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Données\1.UPRT\0-UPRT.fait\1-UPRT.FR-SITE-WEB\ff-fiches-fabrications\ff.fiches.fabrication.2023\ffr-restaurant-2026\"/>
    </mc:Choice>
  </mc:AlternateContent>
  <xr:revisionPtr revIDLastSave="0" documentId="13_ncr:1_{944B802A-F3BB-4925-B14E-20A9CC64CE56}" xr6:coauthVersionLast="47" xr6:coauthVersionMax="47" xr10:uidLastSave="{00000000-0000-0000-0000-000000000000}"/>
  <bookViews>
    <workbookView xWindow="28680" yWindow="-120" windowWidth="29040" windowHeight="15720" tabRatio="583" xr2:uid="{00000000-000D-0000-FFFF-FFFF00000000}"/>
  </bookViews>
  <sheets>
    <sheet name="ALLERGENES.9.Aout.2026" sheetId="34" r:id="rId1"/>
    <sheet name="CONTROLE_ALLERGENES" sheetId="35" r:id="rId2"/>
    <sheet name="CONTROLE_QUOTIDIEN" sheetId="36" r:id="rId3"/>
    <sheet name="FICHE_CAT_PAI" sheetId="30" r:id="rId4"/>
    <sheet name="Magique.et.Allergènes" sheetId="32" r:id="rId5"/>
    <sheet name="Saisissez vos recettes" sheetId="33" r:id="rId6"/>
    <sheet name="PROMPTS_CFA" sheetId="28" r:id="rId7"/>
    <sheet name="Dictionnaire" sheetId="29" r:id="rId8"/>
    <sheet name="Moteur.1.Pédagogiques" sheetId="37" r:id="rId9"/>
    <sheet name="Moteur.vertical" sheetId="38" r:id="rId10"/>
    <sheet name="Choix" sheetId="45" r:id="rId11"/>
    <sheet name="Mode.emploi.A" sheetId="39" r:id="rId12"/>
    <sheet name="Mode d'emploi.B" sheetId="40" r:id="rId13"/>
    <sheet name="Vocabulaire_explications" sheetId="41" r:id="rId14"/>
    <sheet name="Allergènes.et.Farine" sheetId="43" r:id="rId15"/>
    <sheet name="Fonctionnement.explications" sheetId="42" r:id="rId16"/>
    <sheet name="Etiquetage" sheetId="44" r:id="rId17"/>
    <sheet name="Classement Fiches Recettes" sheetId="46" r:id="rId18"/>
    <sheet name="Transmission des savoirs.2025" sheetId="8" r:id="rId19"/>
    <sheet name="Joël.Leboucher" sheetId="9" r:id="rId20"/>
  </sheets>
  <definedNames>
    <definedName name="_xlnm._FilterDatabase" localSheetId="8" hidden="1">'Moteur.1.Pédagogiques'!$A$15:$J$200</definedName>
    <definedName name="_xlnm._FilterDatabase" localSheetId="9" hidden="1">Moteur.vertical!$A$15:$J$200</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C200" i="38" l="1"/>
  <c r="BB200" i="38"/>
  <c r="BA200" i="38"/>
  <c r="AZ200" i="38"/>
  <c r="AY200" i="38"/>
  <c r="AX200" i="38"/>
  <c r="AW200" i="38"/>
  <c r="AV200" i="38"/>
  <c r="AU200" i="38"/>
  <c r="AT200" i="38"/>
  <c r="AS200" i="38"/>
  <c r="AR200" i="38"/>
  <c r="AQ200" i="38"/>
  <c r="AP200" i="38"/>
  <c r="AO200" i="38"/>
  <c r="AN200" i="38"/>
  <c r="AM200" i="38"/>
  <c r="AL200" i="38"/>
  <c r="AK200" i="38"/>
  <c r="AJ200" i="38"/>
  <c r="AI200" i="38"/>
  <c r="AH200" i="38"/>
  <c r="AG200" i="38"/>
  <c r="AF200" i="38"/>
  <c r="AE200" i="38"/>
  <c r="AD200" i="38"/>
  <c r="AC200" i="38"/>
  <c r="AB200" i="38"/>
  <c r="AA200" i="38"/>
  <c r="Z200" i="38"/>
  <c r="Y200" i="38"/>
  <c r="X200" i="38"/>
  <c r="W200" i="38"/>
  <c r="V200" i="38"/>
  <c r="U200" i="38"/>
  <c r="T200" i="38"/>
  <c r="S200" i="38"/>
  <c r="R200" i="38"/>
  <c r="Q200" i="38"/>
  <c r="P200" i="38"/>
  <c r="O200" i="38"/>
  <c r="K200" i="38"/>
  <c r="L200" i="38" s="1"/>
  <c r="M200" i="38" s="1"/>
  <c r="N200" i="38" s="1"/>
  <c r="J200" i="38"/>
  <c r="I200" i="38"/>
  <c r="H200" i="38"/>
  <c r="G200" i="38"/>
  <c r="F200" i="38"/>
  <c r="E200" i="38"/>
  <c r="D200" i="38"/>
  <c r="A200" i="38"/>
  <c r="BC199" i="38"/>
  <c r="BB199" i="38"/>
  <c r="BA199" i="38"/>
  <c r="AZ199" i="38"/>
  <c r="AY199" i="38"/>
  <c r="AX199" i="38"/>
  <c r="AW199" i="38"/>
  <c r="AV199" i="38"/>
  <c r="AU199" i="38"/>
  <c r="AT199" i="38"/>
  <c r="AS199" i="38"/>
  <c r="AR199" i="38"/>
  <c r="AQ199" i="38"/>
  <c r="AP199" i="38"/>
  <c r="AO199" i="38"/>
  <c r="AN199" i="38"/>
  <c r="AM199" i="38"/>
  <c r="AL199" i="38"/>
  <c r="AK199" i="38"/>
  <c r="AJ199" i="38"/>
  <c r="AI199" i="38"/>
  <c r="AH199" i="38"/>
  <c r="AG199" i="38"/>
  <c r="AF199" i="38"/>
  <c r="AE199" i="38"/>
  <c r="AD199" i="38"/>
  <c r="AC199" i="38"/>
  <c r="AB199" i="38"/>
  <c r="AA199" i="38"/>
  <c r="Z199" i="38"/>
  <c r="Y199" i="38"/>
  <c r="X199" i="38"/>
  <c r="W199" i="38"/>
  <c r="V199" i="38"/>
  <c r="U199" i="38"/>
  <c r="T199" i="38"/>
  <c r="S199" i="38"/>
  <c r="R199" i="38"/>
  <c r="Q199" i="38"/>
  <c r="P199" i="38"/>
  <c r="O199" i="38"/>
  <c r="K199" i="38"/>
  <c r="L199" i="38" s="1"/>
  <c r="M199" i="38" s="1"/>
  <c r="N199" i="38" s="1"/>
  <c r="J199" i="38"/>
  <c r="I199" i="38"/>
  <c r="H199" i="38"/>
  <c r="G199" i="38"/>
  <c r="F199" i="38"/>
  <c r="E199" i="38"/>
  <c r="D199" i="38"/>
  <c r="A199" i="38"/>
  <c r="BC198" i="38"/>
  <c r="BB198" i="38"/>
  <c r="BA198" i="38"/>
  <c r="AZ198" i="38"/>
  <c r="AY198" i="38"/>
  <c r="AX198" i="38"/>
  <c r="AW198" i="38"/>
  <c r="AV198" i="38"/>
  <c r="AU198" i="38"/>
  <c r="AT198" i="38"/>
  <c r="AS198" i="38"/>
  <c r="AR198" i="38"/>
  <c r="AQ198" i="38"/>
  <c r="AP198" i="38"/>
  <c r="AO198" i="38"/>
  <c r="AN198" i="38"/>
  <c r="AM198" i="38"/>
  <c r="AL198" i="38"/>
  <c r="AK198" i="38"/>
  <c r="AJ198" i="38"/>
  <c r="AI198" i="38"/>
  <c r="AH198" i="38"/>
  <c r="AG198" i="38"/>
  <c r="AF198" i="38"/>
  <c r="AE198" i="38"/>
  <c r="AD198" i="38"/>
  <c r="AC198" i="38"/>
  <c r="AB198" i="38"/>
  <c r="AA198" i="38"/>
  <c r="Z198" i="38"/>
  <c r="Y198" i="38"/>
  <c r="X198" i="38"/>
  <c r="W198" i="38"/>
  <c r="V198" i="38"/>
  <c r="U198" i="38"/>
  <c r="T198" i="38"/>
  <c r="S198" i="38"/>
  <c r="R198" i="38"/>
  <c r="Q198" i="38"/>
  <c r="P198" i="38"/>
  <c r="O198" i="38"/>
  <c r="K198" i="38"/>
  <c r="L198" i="38" s="1"/>
  <c r="M198" i="38" s="1"/>
  <c r="N198" i="38" s="1"/>
  <c r="J198" i="38"/>
  <c r="I198" i="38"/>
  <c r="H198" i="38"/>
  <c r="G198" i="38"/>
  <c r="F198" i="38"/>
  <c r="E198" i="38"/>
  <c r="D198" i="38"/>
  <c r="A198" i="38"/>
  <c r="BC197" i="38"/>
  <c r="BB197" i="38"/>
  <c r="BA197" i="38"/>
  <c r="AZ197" i="38"/>
  <c r="AY197" i="38"/>
  <c r="AX197" i="38"/>
  <c r="AW197" i="38"/>
  <c r="AV197" i="38"/>
  <c r="AU197" i="38"/>
  <c r="AT197" i="38"/>
  <c r="AS197" i="38"/>
  <c r="AR197" i="38"/>
  <c r="AQ197" i="38"/>
  <c r="AP197" i="38"/>
  <c r="AO197" i="38"/>
  <c r="AN197" i="38"/>
  <c r="AM197" i="38"/>
  <c r="AL197" i="38"/>
  <c r="AK197" i="38"/>
  <c r="AJ197" i="38"/>
  <c r="AI197" i="38"/>
  <c r="AH197" i="38"/>
  <c r="AG197" i="38"/>
  <c r="AF197" i="38"/>
  <c r="AE197" i="38"/>
  <c r="AD197" i="38"/>
  <c r="AC197" i="38"/>
  <c r="AB197" i="38"/>
  <c r="AA197" i="38"/>
  <c r="Z197" i="38"/>
  <c r="Y197" i="38"/>
  <c r="X197" i="38"/>
  <c r="W197" i="38"/>
  <c r="V197" i="38"/>
  <c r="U197" i="38"/>
  <c r="T197" i="38"/>
  <c r="S197" i="38"/>
  <c r="R197" i="38"/>
  <c r="Q197" i="38"/>
  <c r="P197" i="38"/>
  <c r="O197" i="38"/>
  <c r="K197" i="38"/>
  <c r="L197" i="38" s="1"/>
  <c r="M197" i="38" s="1"/>
  <c r="N197" i="38" s="1"/>
  <c r="J197" i="38"/>
  <c r="I197" i="38"/>
  <c r="H197" i="38"/>
  <c r="G197" i="38"/>
  <c r="F197" i="38"/>
  <c r="E197" i="38"/>
  <c r="D197" i="38"/>
  <c r="A197" i="38"/>
  <c r="BC196" i="38"/>
  <c r="BB196" i="38"/>
  <c r="BA196" i="38"/>
  <c r="AZ196" i="38"/>
  <c r="AY196" i="38"/>
  <c r="AX196" i="38"/>
  <c r="AW196" i="38"/>
  <c r="AV196" i="38"/>
  <c r="AU196" i="38"/>
  <c r="AT196" i="38"/>
  <c r="AS196" i="38"/>
  <c r="AR196" i="38"/>
  <c r="AQ196" i="38"/>
  <c r="AP196" i="38"/>
  <c r="AO196" i="38"/>
  <c r="AN196" i="38"/>
  <c r="AM196" i="38"/>
  <c r="AL196" i="38"/>
  <c r="AK196" i="38"/>
  <c r="AJ196" i="38"/>
  <c r="AI196" i="38"/>
  <c r="AH196" i="38"/>
  <c r="AG196" i="38"/>
  <c r="AF196" i="38"/>
  <c r="AE196" i="38"/>
  <c r="AD196" i="38"/>
  <c r="AC196" i="38"/>
  <c r="AB196" i="38"/>
  <c r="AA196" i="38"/>
  <c r="Z196" i="38"/>
  <c r="Y196" i="38"/>
  <c r="X196" i="38"/>
  <c r="W196" i="38"/>
  <c r="V196" i="38"/>
  <c r="U196" i="38"/>
  <c r="T196" i="38"/>
  <c r="S196" i="38"/>
  <c r="R196" i="38"/>
  <c r="Q196" i="38"/>
  <c r="P196" i="38"/>
  <c r="O196" i="38"/>
  <c r="K196" i="38"/>
  <c r="L196" i="38" s="1"/>
  <c r="M196" i="38" s="1"/>
  <c r="N196" i="38" s="1"/>
  <c r="J196" i="38"/>
  <c r="I196" i="38"/>
  <c r="H196" i="38"/>
  <c r="G196" i="38"/>
  <c r="F196" i="38"/>
  <c r="E196" i="38"/>
  <c r="D196" i="38"/>
  <c r="A196" i="38"/>
  <c r="BC195" i="38"/>
  <c r="BB195" i="38"/>
  <c r="BA195" i="38"/>
  <c r="AZ195" i="38"/>
  <c r="AY195" i="38"/>
  <c r="AX195" i="38"/>
  <c r="AW195" i="38"/>
  <c r="AV195" i="38"/>
  <c r="AU195" i="38"/>
  <c r="AT195" i="38"/>
  <c r="AS195" i="38"/>
  <c r="AR195" i="38"/>
  <c r="AQ195" i="38"/>
  <c r="AP195" i="38"/>
  <c r="AO195" i="38"/>
  <c r="AN195" i="38"/>
  <c r="AM195" i="38"/>
  <c r="AL195" i="38"/>
  <c r="AK195" i="38"/>
  <c r="AJ195" i="38"/>
  <c r="AI195" i="38"/>
  <c r="AH195" i="38"/>
  <c r="AG195" i="38"/>
  <c r="AF195" i="38"/>
  <c r="AE195" i="38"/>
  <c r="AD195" i="38"/>
  <c r="AC195" i="38"/>
  <c r="AB195" i="38"/>
  <c r="AA195" i="38"/>
  <c r="Z195" i="38"/>
  <c r="Y195" i="38"/>
  <c r="X195" i="38"/>
  <c r="W195" i="38"/>
  <c r="V195" i="38"/>
  <c r="U195" i="38"/>
  <c r="T195" i="38"/>
  <c r="S195" i="38"/>
  <c r="R195" i="38"/>
  <c r="Q195" i="38"/>
  <c r="P195" i="38"/>
  <c r="O195" i="38"/>
  <c r="K195" i="38"/>
  <c r="L195" i="38" s="1"/>
  <c r="M195" i="38" s="1"/>
  <c r="N195" i="38" s="1"/>
  <c r="J195" i="38"/>
  <c r="I195" i="38"/>
  <c r="H195" i="38"/>
  <c r="G195" i="38"/>
  <c r="F195" i="38"/>
  <c r="E195" i="38"/>
  <c r="D195" i="38"/>
  <c r="A195" i="38"/>
  <c r="BC194" i="38"/>
  <c r="BB194" i="38"/>
  <c r="BA194" i="38"/>
  <c r="AZ194" i="38"/>
  <c r="AY194" i="38"/>
  <c r="AX194" i="38"/>
  <c r="AW194" i="38"/>
  <c r="AV194" i="38"/>
  <c r="AU194" i="38"/>
  <c r="AT194" i="38"/>
  <c r="AS194" i="38"/>
  <c r="AR194" i="38"/>
  <c r="AQ194" i="38"/>
  <c r="AP194" i="38"/>
  <c r="AO194" i="38"/>
  <c r="AN194" i="38"/>
  <c r="AM194" i="38"/>
  <c r="AL194" i="38"/>
  <c r="AK194" i="38"/>
  <c r="AJ194" i="38"/>
  <c r="AI194" i="38"/>
  <c r="AH194" i="38"/>
  <c r="AG194" i="38"/>
  <c r="AF194" i="38"/>
  <c r="AE194" i="38"/>
  <c r="AD194" i="38"/>
  <c r="AC194" i="38"/>
  <c r="AB194" i="38"/>
  <c r="AA194" i="38"/>
  <c r="Z194" i="38"/>
  <c r="Y194" i="38"/>
  <c r="X194" i="38"/>
  <c r="W194" i="38"/>
  <c r="V194" i="38"/>
  <c r="U194" i="38"/>
  <c r="T194" i="38"/>
  <c r="S194" i="38"/>
  <c r="R194" i="38"/>
  <c r="Q194" i="38"/>
  <c r="P194" i="38"/>
  <c r="O194" i="38"/>
  <c r="K194" i="38"/>
  <c r="L194" i="38" s="1"/>
  <c r="M194" i="38" s="1"/>
  <c r="N194" i="38" s="1"/>
  <c r="J194" i="38"/>
  <c r="I194" i="38"/>
  <c r="H194" i="38"/>
  <c r="G194" i="38"/>
  <c r="F194" i="38"/>
  <c r="E194" i="38"/>
  <c r="D194" i="38"/>
  <c r="A194" i="38"/>
  <c r="BC193" i="38"/>
  <c r="BB193" i="38"/>
  <c r="BA193" i="38"/>
  <c r="AZ193" i="38"/>
  <c r="AY193" i="38"/>
  <c r="AX193" i="38"/>
  <c r="AW193" i="38"/>
  <c r="AV193" i="38"/>
  <c r="AU193" i="38"/>
  <c r="AT193" i="38"/>
  <c r="AS193" i="38"/>
  <c r="AR193" i="38"/>
  <c r="AQ193" i="38"/>
  <c r="AP193" i="38"/>
  <c r="AO193" i="38"/>
  <c r="AN193" i="38"/>
  <c r="AM193" i="38"/>
  <c r="AL193" i="38"/>
  <c r="AK193" i="38"/>
  <c r="AJ193" i="38"/>
  <c r="AI193" i="38"/>
  <c r="AH193" i="38"/>
  <c r="AG193" i="38"/>
  <c r="AF193" i="38"/>
  <c r="AE193" i="38"/>
  <c r="AD193" i="38"/>
  <c r="AC193" i="38"/>
  <c r="AB193" i="38"/>
  <c r="AA193" i="38"/>
  <c r="Z193" i="38"/>
  <c r="Y193" i="38"/>
  <c r="X193" i="38"/>
  <c r="W193" i="38"/>
  <c r="V193" i="38"/>
  <c r="U193" i="38"/>
  <c r="T193" i="38"/>
  <c r="S193" i="38"/>
  <c r="R193" i="38"/>
  <c r="Q193" i="38"/>
  <c r="P193" i="38"/>
  <c r="O193" i="38"/>
  <c r="K193" i="38"/>
  <c r="L193" i="38" s="1"/>
  <c r="M193" i="38" s="1"/>
  <c r="N193" i="38" s="1"/>
  <c r="J193" i="38"/>
  <c r="I193" i="38"/>
  <c r="H193" i="38"/>
  <c r="G193" i="38"/>
  <c r="F193" i="38"/>
  <c r="E193" i="38"/>
  <c r="D193" i="38"/>
  <c r="A193" i="38"/>
  <c r="BC192" i="38"/>
  <c r="BB192" i="38"/>
  <c r="BA192" i="38"/>
  <c r="AZ192" i="38"/>
  <c r="AY192" i="38"/>
  <c r="AX192" i="38"/>
  <c r="AW192" i="38"/>
  <c r="AV192" i="38"/>
  <c r="AU192" i="38"/>
  <c r="AT192" i="38"/>
  <c r="AS192" i="38"/>
  <c r="AR192" i="38"/>
  <c r="AQ192" i="38"/>
  <c r="AP192" i="38"/>
  <c r="AO192" i="38"/>
  <c r="AN192" i="38"/>
  <c r="AM192" i="38"/>
  <c r="AL192" i="38"/>
  <c r="AK192" i="38"/>
  <c r="AJ192" i="38"/>
  <c r="AI192" i="38"/>
  <c r="AH192" i="38"/>
  <c r="AG192" i="38"/>
  <c r="AF192" i="38"/>
  <c r="AE192" i="38"/>
  <c r="AD192" i="38"/>
  <c r="AC192" i="38"/>
  <c r="AB192" i="38"/>
  <c r="AA192" i="38"/>
  <c r="Z192" i="38"/>
  <c r="Y192" i="38"/>
  <c r="X192" i="38"/>
  <c r="W192" i="38"/>
  <c r="V192" i="38"/>
  <c r="U192" i="38"/>
  <c r="T192" i="38"/>
  <c r="S192" i="38"/>
  <c r="R192" i="38"/>
  <c r="Q192" i="38"/>
  <c r="P192" i="38"/>
  <c r="O192" i="38"/>
  <c r="K192" i="38"/>
  <c r="L192" i="38" s="1"/>
  <c r="M192" i="38" s="1"/>
  <c r="N192" i="38" s="1"/>
  <c r="J192" i="38"/>
  <c r="I192" i="38"/>
  <c r="H192" i="38"/>
  <c r="G192" i="38"/>
  <c r="F192" i="38"/>
  <c r="E192" i="38"/>
  <c r="D192" i="38"/>
  <c r="A192" i="38"/>
  <c r="BC191" i="38"/>
  <c r="BB191" i="38"/>
  <c r="BA191" i="38"/>
  <c r="AZ191" i="38"/>
  <c r="AY191" i="38"/>
  <c r="AX191" i="38"/>
  <c r="AW191" i="38"/>
  <c r="AV191" i="38"/>
  <c r="AU191" i="38"/>
  <c r="AT191" i="38"/>
  <c r="AS191" i="38"/>
  <c r="AR191" i="38"/>
  <c r="AQ191" i="38"/>
  <c r="AP191" i="38"/>
  <c r="AO191" i="38"/>
  <c r="AN191" i="38"/>
  <c r="AM191" i="38"/>
  <c r="AL191" i="38"/>
  <c r="AK191" i="38"/>
  <c r="AJ191" i="38"/>
  <c r="AI191" i="38"/>
  <c r="AH191" i="38"/>
  <c r="AG191" i="38"/>
  <c r="AF191" i="38"/>
  <c r="AE191" i="38"/>
  <c r="AD191" i="38"/>
  <c r="AC191" i="38"/>
  <c r="AB191" i="38"/>
  <c r="AA191" i="38"/>
  <c r="Z191" i="38"/>
  <c r="Y191" i="38"/>
  <c r="X191" i="38"/>
  <c r="W191" i="38"/>
  <c r="V191" i="38"/>
  <c r="U191" i="38"/>
  <c r="T191" i="38"/>
  <c r="S191" i="38"/>
  <c r="R191" i="38"/>
  <c r="Q191" i="38"/>
  <c r="P191" i="38"/>
  <c r="O191" i="38"/>
  <c r="K191" i="38"/>
  <c r="L191" i="38" s="1"/>
  <c r="M191" i="38" s="1"/>
  <c r="N191" i="38" s="1"/>
  <c r="J191" i="38"/>
  <c r="I191" i="38"/>
  <c r="H191" i="38"/>
  <c r="G191" i="38"/>
  <c r="F191" i="38"/>
  <c r="E191" i="38"/>
  <c r="D191" i="38"/>
  <c r="A191" i="38"/>
  <c r="BC190" i="38"/>
  <c r="BB190" i="38"/>
  <c r="BA190" i="38"/>
  <c r="AZ190" i="38"/>
  <c r="AY190" i="38"/>
  <c r="AX190" i="38"/>
  <c r="AW190" i="38"/>
  <c r="AV190" i="38"/>
  <c r="AU190" i="38"/>
  <c r="AT190" i="38"/>
  <c r="AS190" i="38"/>
  <c r="AR190" i="38"/>
  <c r="AQ190" i="38"/>
  <c r="AP190" i="38"/>
  <c r="AO190" i="38"/>
  <c r="AN190" i="38"/>
  <c r="AM190" i="38"/>
  <c r="AL190" i="38"/>
  <c r="AK190" i="38"/>
  <c r="AJ190" i="38"/>
  <c r="AI190" i="38"/>
  <c r="AH190" i="38"/>
  <c r="AG190" i="38"/>
  <c r="AF190" i="38"/>
  <c r="AE190" i="38"/>
  <c r="AD190" i="38"/>
  <c r="AC190" i="38"/>
  <c r="AB190" i="38"/>
  <c r="AA190" i="38"/>
  <c r="Z190" i="38"/>
  <c r="Y190" i="38"/>
  <c r="X190" i="38"/>
  <c r="W190" i="38"/>
  <c r="V190" i="38"/>
  <c r="U190" i="38"/>
  <c r="T190" i="38"/>
  <c r="S190" i="38"/>
  <c r="R190" i="38"/>
  <c r="Q190" i="38"/>
  <c r="P190" i="38"/>
  <c r="O190" i="38"/>
  <c r="K190" i="38"/>
  <c r="L190" i="38" s="1"/>
  <c r="M190" i="38" s="1"/>
  <c r="N190" i="38" s="1"/>
  <c r="J190" i="38"/>
  <c r="I190" i="38"/>
  <c r="H190" i="38"/>
  <c r="G190" i="38"/>
  <c r="F190" i="38"/>
  <c r="E190" i="38"/>
  <c r="D190" i="38"/>
  <c r="A190" i="38"/>
  <c r="BC189" i="38"/>
  <c r="BB189" i="38"/>
  <c r="BA189" i="38"/>
  <c r="AZ189" i="38"/>
  <c r="AY189" i="38"/>
  <c r="AX189" i="38"/>
  <c r="AW189" i="38"/>
  <c r="AV189" i="38"/>
  <c r="AU189" i="38"/>
  <c r="AT189" i="38"/>
  <c r="AS189" i="38"/>
  <c r="AR189" i="38"/>
  <c r="AQ189" i="38"/>
  <c r="AP189" i="38"/>
  <c r="AO189" i="38"/>
  <c r="AN189" i="38"/>
  <c r="AM189" i="38"/>
  <c r="AL189" i="38"/>
  <c r="AK189" i="38"/>
  <c r="AJ189" i="38"/>
  <c r="AI189" i="38"/>
  <c r="AH189" i="38"/>
  <c r="AG189" i="38"/>
  <c r="AF189" i="38"/>
  <c r="AE189" i="38"/>
  <c r="AD189" i="38"/>
  <c r="AC189" i="38"/>
  <c r="AB189" i="38"/>
  <c r="AA189" i="38"/>
  <c r="Z189" i="38"/>
  <c r="Y189" i="38"/>
  <c r="X189" i="38"/>
  <c r="W189" i="38"/>
  <c r="V189" i="38"/>
  <c r="U189" i="38"/>
  <c r="T189" i="38"/>
  <c r="S189" i="38"/>
  <c r="R189" i="38"/>
  <c r="Q189" i="38"/>
  <c r="P189" i="38"/>
  <c r="O189" i="38"/>
  <c r="K189" i="38"/>
  <c r="L189" i="38" s="1"/>
  <c r="M189" i="38" s="1"/>
  <c r="N189" i="38" s="1"/>
  <c r="J189" i="38"/>
  <c r="I189" i="38"/>
  <c r="H189" i="38"/>
  <c r="G189" i="38"/>
  <c r="F189" i="38"/>
  <c r="E189" i="38"/>
  <c r="D189" i="38"/>
  <c r="A189" i="38"/>
  <c r="BC188" i="38"/>
  <c r="BB188" i="38"/>
  <c r="BA188" i="38"/>
  <c r="AZ188" i="38"/>
  <c r="AY188" i="38"/>
  <c r="AX188" i="38"/>
  <c r="AW188" i="38"/>
  <c r="AV188" i="38"/>
  <c r="AU188" i="38"/>
  <c r="AT188" i="38"/>
  <c r="AS188" i="38"/>
  <c r="AR188" i="38"/>
  <c r="AQ188" i="38"/>
  <c r="AP188" i="38"/>
  <c r="AO188" i="38"/>
  <c r="AN188" i="38"/>
  <c r="AM188" i="38"/>
  <c r="AL188" i="38"/>
  <c r="AK188" i="38"/>
  <c r="AJ188" i="38"/>
  <c r="AI188" i="38"/>
  <c r="AH188" i="38"/>
  <c r="AG188" i="38"/>
  <c r="AF188" i="38"/>
  <c r="AE188" i="38"/>
  <c r="AD188" i="38"/>
  <c r="AC188" i="38"/>
  <c r="AB188" i="38"/>
  <c r="AA188" i="38"/>
  <c r="Z188" i="38"/>
  <c r="Y188" i="38"/>
  <c r="X188" i="38"/>
  <c r="W188" i="38"/>
  <c r="V188" i="38"/>
  <c r="U188" i="38"/>
  <c r="T188" i="38"/>
  <c r="S188" i="38"/>
  <c r="R188" i="38"/>
  <c r="Q188" i="38"/>
  <c r="P188" i="38"/>
  <c r="O188" i="38"/>
  <c r="K188" i="38"/>
  <c r="L188" i="38" s="1"/>
  <c r="M188" i="38" s="1"/>
  <c r="N188" i="38" s="1"/>
  <c r="J188" i="38"/>
  <c r="I188" i="38"/>
  <c r="H188" i="38"/>
  <c r="G188" i="38"/>
  <c r="F188" i="38"/>
  <c r="E188" i="38"/>
  <c r="D188" i="38"/>
  <c r="A188" i="38"/>
  <c r="BC187" i="38"/>
  <c r="BB187" i="38"/>
  <c r="BA187" i="38"/>
  <c r="AZ187" i="38"/>
  <c r="AY187" i="38"/>
  <c r="AX187" i="38"/>
  <c r="AW187" i="38"/>
  <c r="AV187" i="38"/>
  <c r="AU187" i="38"/>
  <c r="AT187" i="38"/>
  <c r="AS187" i="38"/>
  <c r="AR187" i="38"/>
  <c r="AQ187" i="38"/>
  <c r="AP187" i="38"/>
  <c r="AO187" i="38"/>
  <c r="AN187" i="38"/>
  <c r="AM187" i="38"/>
  <c r="AL187" i="38"/>
  <c r="AK187" i="38"/>
  <c r="AJ187" i="38"/>
  <c r="AI187" i="38"/>
  <c r="AH187" i="38"/>
  <c r="AG187" i="38"/>
  <c r="AF187" i="38"/>
  <c r="AE187" i="38"/>
  <c r="AD187" i="38"/>
  <c r="AC187" i="38"/>
  <c r="AB187" i="38"/>
  <c r="AA187" i="38"/>
  <c r="Z187" i="38"/>
  <c r="Y187" i="38"/>
  <c r="X187" i="38"/>
  <c r="W187" i="38"/>
  <c r="V187" i="38"/>
  <c r="U187" i="38"/>
  <c r="T187" i="38"/>
  <c r="S187" i="38"/>
  <c r="R187" i="38"/>
  <c r="Q187" i="38"/>
  <c r="P187" i="38"/>
  <c r="O187" i="38"/>
  <c r="K187" i="38"/>
  <c r="L187" i="38" s="1"/>
  <c r="M187" i="38" s="1"/>
  <c r="N187" i="38" s="1"/>
  <c r="J187" i="38"/>
  <c r="I187" i="38"/>
  <c r="H187" i="38"/>
  <c r="G187" i="38"/>
  <c r="F187" i="38"/>
  <c r="E187" i="38"/>
  <c r="D187" i="38"/>
  <c r="A187" i="38"/>
  <c r="BC186" i="38"/>
  <c r="BB186" i="38"/>
  <c r="BA186" i="38"/>
  <c r="AZ186" i="38"/>
  <c r="AY186" i="38"/>
  <c r="AX186" i="38"/>
  <c r="AW186" i="38"/>
  <c r="AV186" i="38"/>
  <c r="AU186" i="38"/>
  <c r="AT186" i="38"/>
  <c r="AS186" i="38"/>
  <c r="AR186" i="38"/>
  <c r="AQ186" i="38"/>
  <c r="AP186" i="38"/>
  <c r="AO186" i="38"/>
  <c r="AN186" i="38"/>
  <c r="AM186" i="38"/>
  <c r="AL186" i="38"/>
  <c r="AK186" i="38"/>
  <c r="AJ186" i="38"/>
  <c r="AI186" i="38"/>
  <c r="AH186" i="38"/>
  <c r="AG186" i="38"/>
  <c r="AF186" i="38"/>
  <c r="AE186" i="38"/>
  <c r="AD186" i="38"/>
  <c r="AC186" i="38"/>
  <c r="AB186" i="38"/>
  <c r="AA186" i="38"/>
  <c r="Z186" i="38"/>
  <c r="Y186" i="38"/>
  <c r="X186" i="38"/>
  <c r="W186" i="38"/>
  <c r="V186" i="38"/>
  <c r="U186" i="38"/>
  <c r="T186" i="38"/>
  <c r="S186" i="38"/>
  <c r="R186" i="38"/>
  <c r="Q186" i="38"/>
  <c r="P186" i="38"/>
  <c r="O186" i="38"/>
  <c r="K186" i="38"/>
  <c r="L186" i="38" s="1"/>
  <c r="M186" i="38" s="1"/>
  <c r="N186" i="38" s="1"/>
  <c r="J186" i="38"/>
  <c r="I186" i="38"/>
  <c r="H186" i="38"/>
  <c r="G186" i="38"/>
  <c r="F186" i="38"/>
  <c r="E186" i="38"/>
  <c r="D186" i="38"/>
  <c r="A186" i="38"/>
  <c r="BC185" i="38"/>
  <c r="BB185" i="38"/>
  <c r="BA185" i="38"/>
  <c r="AZ185" i="38"/>
  <c r="AY185" i="38"/>
  <c r="AX185" i="38"/>
  <c r="AW185" i="38"/>
  <c r="AV185" i="38"/>
  <c r="AU185" i="38"/>
  <c r="AT185" i="38"/>
  <c r="AS185" i="38"/>
  <c r="AR185" i="38"/>
  <c r="AQ185" i="38"/>
  <c r="AP185" i="38"/>
  <c r="AO185" i="38"/>
  <c r="AN185" i="38"/>
  <c r="AM185" i="38"/>
  <c r="AL185" i="38"/>
  <c r="AK185" i="38"/>
  <c r="AJ185" i="38"/>
  <c r="AI185" i="38"/>
  <c r="AH185" i="38"/>
  <c r="AG185" i="38"/>
  <c r="AF185" i="38"/>
  <c r="AE185" i="38"/>
  <c r="AD185" i="38"/>
  <c r="AC185" i="38"/>
  <c r="AB185" i="38"/>
  <c r="AA185" i="38"/>
  <c r="Z185" i="38"/>
  <c r="Y185" i="38"/>
  <c r="X185" i="38"/>
  <c r="W185" i="38"/>
  <c r="V185" i="38"/>
  <c r="U185" i="38"/>
  <c r="T185" i="38"/>
  <c r="S185" i="38"/>
  <c r="R185" i="38"/>
  <c r="Q185" i="38"/>
  <c r="P185" i="38"/>
  <c r="O185" i="38"/>
  <c r="K185" i="38"/>
  <c r="L185" i="38" s="1"/>
  <c r="M185" i="38" s="1"/>
  <c r="N185" i="38" s="1"/>
  <c r="J185" i="38"/>
  <c r="I185" i="38"/>
  <c r="H185" i="38"/>
  <c r="G185" i="38"/>
  <c r="F185" i="38"/>
  <c r="E185" i="38"/>
  <c r="D185" i="38"/>
  <c r="A185" i="38"/>
  <c r="BC184" i="38"/>
  <c r="BB184" i="38"/>
  <c r="BA184" i="38"/>
  <c r="AZ184" i="38"/>
  <c r="AY184" i="38"/>
  <c r="AX184" i="38"/>
  <c r="AW184" i="38"/>
  <c r="AV184" i="38"/>
  <c r="AU184" i="38"/>
  <c r="AT184" i="38"/>
  <c r="AS184" i="38"/>
  <c r="AR184" i="38"/>
  <c r="AQ184" i="38"/>
  <c r="AP184" i="38"/>
  <c r="AO184" i="38"/>
  <c r="AN184" i="38"/>
  <c r="AM184" i="38"/>
  <c r="AL184" i="38"/>
  <c r="AK184" i="38"/>
  <c r="AJ184" i="38"/>
  <c r="AI184" i="38"/>
  <c r="AH184" i="38"/>
  <c r="AG184" i="38"/>
  <c r="AF184" i="38"/>
  <c r="AE184" i="38"/>
  <c r="AD184" i="38"/>
  <c r="AC184" i="38"/>
  <c r="AB184" i="38"/>
  <c r="AA184" i="38"/>
  <c r="Z184" i="38"/>
  <c r="Y184" i="38"/>
  <c r="X184" i="38"/>
  <c r="W184" i="38"/>
  <c r="V184" i="38"/>
  <c r="U184" i="38"/>
  <c r="T184" i="38"/>
  <c r="S184" i="38"/>
  <c r="R184" i="38"/>
  <c r="Q184" i="38"/>
  <c r="P184" i="38"/>
  <c r="O184" i="38"/>
  <c r="K184" i="38"/>
  <c r="L184" i="38" s="1"/>
  <c r="M184" i="38" s="1"/>
  <c r="N184" i="38" s="1"/>
  <c r="J184" i="38"/>
  <c r="I184" i="38"/>
  <c r="H184" i="38"/>
  <c r="G184" i="38"/>
  <c r="F184" i="38"/>
  <c r="E184" i="38"/>
  <c r="D184" i="38"/>
  <c r="A184" i="38"/>
  <c r="BC183" i="38"/>
  <c r="BB183" i="38"/>
  <c r="BA183" i="38"/>
  <c r="AZ183" i="38"/>
  <c r="AY183" i="38"/>
  <c r="AX183" i="38"/>
  <c r="AW183" i="38"/>
  <c r="AV183" i="38"/>
  <c r="AU183" i="38"/>
  <c r="AT183" i="38"/>
  <c r="AS183" i="38"/>
  <c r="AR183" i="38"/>
  <c r="AQ183" i="38"/>
  <c r="AP183" i="38"/>
  <c r="AO183" i="38"/>
  <c r="AN183" i="38"/>
  <c r="AM183" i="38"/>
  <c r="AL183" i="38"/>
  <c r="AK183" i="38"/>
  <c r="AJ183" i="38"/>
  <c r="AI183" i="38"/>
  <c r="AH183" i="38"/>
  <c r="AG183" i="38"/>
  <c r="AF183" i="38"/>
  <c r="AE183" i="38"/>
  <c r="AD183" i="38"/>
  <c r="AC183" i="38"/>
  <c r="AB183" i="38"/>
  <c r="AA183" i="38"/>
  <c r="Z183" i="38"/>
  <c r="Y183" i="38"/>
  <c r="X183" i="38"/>
  <c r="W183" i="38"/>
  <c r="V183" i="38"/>
  <c r="U183" i="38"/>
  <c r="T183" i="38"/>
  <c r="S183" i="38"/>
  <c r="R183" i="38"/>
  <c r="Q183" i="38"/>
  <c r="P183" i="38"/>
  <c r="O183" i="38"/>
  <c r="K183" i="38"/>
  <c r="L183" i="38" s="1"/>
  <c r="M183" i="38" s="1"/>
  <c r="N183" i="38" s="1"/>
  <c r="J183" i="38"/>
  <c r="I183" i="38"/>
  <c r="H183" i="38"/>
  <c r="G183" i="38"/>
  <c r="F183" i="38"/>
  <c r="E183" i="38"/>
  <c r="D183" i="38"/>
  <c r="A183" i="38"/>
  <c r="BC182" i="38"/>
  <c r="BB182" i="38"/>
  <c r="BA182" i="38"/>
  <c r="AZ182" i="38"/>
  <c r="AY182" i="38"/>
  <c r="AX182" i="38"/>
  <c r="AW182" i="38"/>
  <c r="AV182" i="38"/>
  <c r="AU182" i="38"/>
  <c r="AT182" i="38"/>
  <c r="AS182" i="38"/>
  <c r="AR182" i="38"/>
  <c r="AQ182" i="38"/>
  <c r="AP182" i="38"/>
  <c r="AO182" i="38"/>
  <c r="AN182" i="38"/>
  <c r="AM182" i="38"/>
  <c r="AL182" i="38"/>
  <c r="AK182" i="38"/>
  <c r="AJ182" i="38"/>
  <c r="AI182" i="38"/>
  <c r="AH182" i="38"/>
  <c r="AG182" i="38"/>
  <c r="AF182" i="38"/>
  <c r="AE182" i="38"/>
  <c r="AD182" i="38"/>
  <c r="AC182" i="38"/>
  <c r="AB182" i="38"/>
  <c r="AA182" i="38"/>
  <c r="Z182" i="38"/>
  <c r="Y182" i="38"/>
  <c r="X182" i="38"/>
  <c r="W182" i="38"/>
  <c r="V182" i="38"/>
  <c r="U182" i="38"/>
  <c r="T182" i="38"/>
  <c r="S182" i="38"/>
  <c r="R182" i="38"/>
  <c r="Q182" i="38"/>
  <c r="P182" i="38"/>
  <c r="O182" i="38"/>
  <c r="K182" i="38"/>
  <c r="L182" i="38" s="1"/>
  <c r="M182" i="38" s="1"/>
  <c r="N182" i="38" s="1"/>
  <c r="J182" i="38"/>
  <c r="I182" i="38"/>
  <c r="H182" i="38"/>
  <c r="G182" i="38"/>
  <c r="F182" i="38"/>
  <c r="E182" i="38"/>
  <c r="D182" i="38"/>
  <c r="A182" i="38"/>
  <c r="BC181" i="38"/>
  <c r="BB181" i="38"/>
  <c r="BA181" i="38"/>
  <c r="AZ181" i="38"/>
  <c r="AY181" i="38"/>
  <c r="AX181" i="38"/>
  <c r="AW181" i="38"/>
  <c r="AV181" i="38"/>
  <c r="AU181" i="38"/>
  <c r="AT181" i="38"/>
  <c r="AS181" i="38"/>
  <c r="AR181" i="38"/>
  <c r="AQ181" i="38"/>
  <c r="AP181" i="38"/>
  <c r="AO181" i="38"/>
  <c r="AN181" i="38"/>
  <c r="AM181" i="38"/>
  <c r="AL181" i="38"/>
  <c r="AK181" i="38"/>
  <c r="AJ181" i="38"/>
  <c r="AI181" i="38"/>
  <c r="AH181" i="38"/>
  <c r="AG181" i="38"/>
  <c r="AF181" i="38"/>
  <c r="AE181" i="38"/>
  <c r="AD181" i="38"/>
  <c r="AC181" i="38"/>
  <c r="AB181" i="38"/>
  <c r="AA181" i="38"/>
  <c r="Z181" i="38"/>
  <c r="Y181" i="38"/>
  <c r="X181" i="38"/>
  <c r="W181" i="38"/>
  <c r="V181" i="38"/>
  <c r="U181" i="38"/>
  <c r="T181" i="38"/>
  <c r="S181" i="38"/>
  <c r="R181" i="38"/>
  <c r="Q181" i="38"/>
  <c r="P181" i="38"/>
  <c r="O181" i="38"/>
  <c r="K181" i="38"/>
  <c r="L181" i="38" s="1"/>
  <c r="M181" i="38" s="1"/>
  <c r="N181" i="38" s="1"/>
  <c r="J181" i="38"/>
  <c r="I181" i="38"/>
  <c r="H181" i="38"/>
  <c r="G181" i="38"/>
  <c r="F181" i="38"/>
  <c r="E181" i="38"/>
  <c r="D181" i="38"/>
  <c r="A181" i="38"/>
  <c r="BC180" i="38"/>
  <c r="BB180" i="38"/>
  <c r="BA180" i="38"/>
  <c r="AZ180" i="38"/>
  <c r="AY180" i="38"/>
  <c r="AX180" i="38"/>
  <c r="AW180" i="38"/>
  <c r="AV180" i="38"/>
  <c r="AU180" i="38"/>
  <c r="AT180" i="38"/>
  <c r="AS180" i="38"/>
  <c r="AR180" i="38"/>
  <c r="AQ180" i="38"/>
  <c r="AP180" i="38"/>
  <c r="AO180" i="38"/>
  <c r="AN180" i="38"/>
  <c r="AM180" i="38"/>
  <c r="AL180" i="38"/>
  <c r="AK180" i="38"/>
  <c r="AJ180" i="38"/>
  <c r="AI180" i="38"/>
  <c r="AH180" i="38"/>
  <c r="AG180" i="38"/>
  <c r="AF180" i="38"/>
  <c r="AE180" i="38"/>
  <c r="AD180" i="38"/>
  <c r="AC180" i="38"/>
  <c r="AB180" i="38"/>
  <c r="AA180" i="38"/>
  <c r="Z180" i="38"/>
  <c r="Y180" i="38"/>
  <c r="X180" i="38"/>
  <c r="W180" i="38"/>
  <c r="V180" i="38"/>
  <c r="U180" i="38"/>
  <c r="T180" i="38"/>
  <c r="S180" i="38"/>
  <c r="R180" i="38"/>
  <c r="Q180" i="38"/>
  <c r="P180" i="38"/>
  <c r="O180" i="38"/>
  <c r="K180" i="38"/>
  <c r="L180" i="38" s="1"/>
  <c r="M180" i="38" s="1"/>
  <c r="N180" i="38" s="1"/>
  <c r="J180" i="38"/>
  <c r="I180" i="38"/>
  <c r="H180" i="38"/>
  <c r="G180" i="38"/>
  <c r="F180" i="38"/>
  <c r="E180" i="38"/>
  <c r="D180" i="38"/>
  <c r="A180" i="38"/>
  <c r="BC179" i="38"/>
  <c r="BB179" i="38"/>
  <c r="BA179" i="38"/>
  <c r="AZ179" i="38"/>
  <c r="AY179" i="38"/>
  <c r="AX179" i="38"/>
  <c r="AW179" i="38"/>
  <c r="AV179" i="38"/>
  <c r="AU179" i="38"/>
  <c r="AT179" i="38"/>
  <c r="AS179" i="38"/>
  <c r="AR179" i="38"/>
  <c r="AQ179" i="38"/>
  <c r="AP179" i="38"/>
  <c r="AO179" i="38"/>
  <c r="AN179" i="38"/>
  <c r="AM179" i="38"/>
  <c r="AL179" i="38"/>
  <c r="AK179" i="38"/>
  <c r="AJ179" i="38"/>
  <c r="AI179" i="38"/>
  <c r="AH179" i="38"/>
  <c r="AG179" i="38"/>
  <c r="AF179" i="38"/>
  <c r="AE179" i="38"/>
  <c r="AD179" i="38"/>
  <c r="AC179" i="38"/>
  <c r="AB179" i="38"/>
  <c r="AA179" i="38"/>
  <c r="Z179" i="38"/>
  <c r="Y179" i="38"/>
  <c r="X179" i="38"/>
  <c r="W179" i="38"/>
  <c r="V179" i="38"/>
  <c r="U179" i="38"/>
  <c r="T179" i="38"/>
  <c r="S179" i="38"/>
  <c r="R179" i="38"/>
  <c r="Q179" i="38"/>
  <c r="P179" i="38"/>
  <c r="O179" i="38"/>
  <c r="K179" i="38"/>
  <c r="L179" i="38" s="1"/>
  <c r="M179" i="38" s="1"/>
  <c r="N179" i="38" s="1"/>
  <c r="J179" i="38"/>
  <c r="I179" i="38"/>
  <c r="H179" i="38"/>
  <c r="G179" i="38"/>
  <c r="F179" i="38"/>
  <c r="E179" i="38"/>
  <c r="D179" i="38"/>
  <c r="A179" i="38"/>
  <c r="BC178" i="38"/>
  <c r="BB178" i="38"/>
  <c r="BA178" i="38"/>
  <c r="AZ178" i="38"/>
  <c r="AY178" i="38"/>
  <c r="AX178" i="38"/>
  <c r="AW178" i="38"/>
  <c r="AV178" i="38"/>
  <c r="AU178" i="38"/>
  <c r="AT178" i="38"/>
  <c r="AS178" i="38"/>
  <c r="AR178" i="38"/>
  <c r="AQ178" i="38"/>
  <c r="AP178" i="38"/>
  <c r="AO178" i="38"/>
  <c r="AN178" i="38"/>
  <c r="AM178" i="38"/>
  <c r="AL178" i="38"/>
  <c r="AK178" i="38"/>
  <c r="AJ178" i="38"/>
  <c r="AI178" i="38"/>
  <c r="AH178" i="38"/>
  <c r="AG178" i="38"/>
  <c r="AF178" i="38"/>
  <c r="AE178" i="38"/>
  <c r="AD178" i="38"/>
  <c r="AC178" i="38"/>
  <c r="AB178" i="38"/>
  <c r="AA178" i="38"/>
  <c r="Z178" i="38"/>
  <c r="Y178" i="38"/>
  <c r="X178" i="38"/>
  <c r="W178" i="38"/>
  <c r="V178" i="38"/>
  <c r="U178" i="38"/>
  <c r="T178" i="38"/>
  <c r="S178" i="38"/>
  <c r="R178" i="38"/>
  <c r="Q178" i="38"/>
  <c r="P178" i="38"/>
  <c r="O178" i="38"/>
  <c r="K178" i="38"/>
  <c r="L178" i="38" s="1"/>
  <c r="M178" i="38" s="1"/>
  <c r="N178" i="38" s="1"/>
  <c r="J178" i="38"/>
  <c r="I178" i="38"/>
  <c r="H178" i="38"/>
  <c r="G178" i="38"/>
  <c r="F178" i="38"/>
  <c r="E178" i="38"/>
  <c r="D178" i="38"/>
  <c r="A178" i="38"/>
  <c r="BC177" i="38"/>
  <c r="BB177" i="38"/>
  <c r="BA177" i="38"/>
  <c r="AZ177" i="38"/>
  <c r="AY177" i="38"/>
  <c r="AX177" i="38"/>
  <c r="AW177" i="38"/>
  <c r="AV177" i="38"/>
  <c r="AU177" i="38"/>
  <c r="AT177" i="38"/>
  <c r="AS177" i="38"/>
  <c r="AR177" i="38"/>
  <c r="AQ177" i="38"/>
  <c r="AP177" i="38"/>
  <c r="AO177" i="38"/>
  <c r="AN177" i="38"/>
  <c r="AM177" i="38"/>
  <c r="AL177" i="38"/>
  <c r="AK177" i="38"/>
  <c r="AJ177" i="38"/>
  <c r="AI177" i="38"/>
  <c r="AH177" i="38"/>
  <c r="AG177" i="38"/>
  <c r="AF177" i="38"/>
  <c r="AE177" i="38"/>
  <c r="AD177" i="38"/>
  <c r="AC177" i="38"/>
  <c r="AB177" i="38"/>
  <c r="AA177" i="38"/>
  <c r="Z177" i="38"/>
  <c r="Y177" i="38"/>
  <c r="X177" i="38"/>
  <c r="W177" i="38"/>
  <c r="V177" i="38"/>
  <c r="U177" i="38"/>
  <c r="T177" i="38"/>
  <c r="S177" i="38"/>
  <c r="R177" i="38"/>
  <c r="Q177" i="38"/>
  <c r="P177" i="38"/>
  <c r="O177" i="38"/>
  <c r="K177" i="38"/>
  <c r="L177" i="38" s="1"/>
  <c r="M177" i="38" s="1"/>
  <c r="N177" i="38" s="1"/>
  <c r="J177" i="38"/>
  <c r="I177" i="38"/>
  <c r="H177" i="38"/>
  <c r="G177" i="38"/>
  <c r="F177" i="38"/>
  <c r="E177" i="38"/>
  <c r="D177" i="38"/>
  <c r="A177" i="38"/>
  <c r="BC176" i="38"/>
  <c r="BB176" i="38"/>
  <c r="BA176" i="38"/>
  <c r="AZ176" i="38"/>
  <c r="AY176" i="38"/>
  <c r="AX176" i="38"/>
  <c r="AW176" i="38"/>
  <c r="AV176" i="38"/>
  <c r="AU176" i="38"/>
  <c r="AT176" i="38"/>
  <c r="AS176" i="38"/>
  <c r="AR176" i="38"/>
  <c r="AQ176" i="38"/>
  <c r="AP176" i="38"/>
  <c r="AO176" i="38"/>
  <c r="AN176" i="38"/>
  <c r="AM176" i="38"/>
  <c r="AL176" i="38"/>
  <c r="AK176" i="38"/>
  <c r="AJ176" i="38"/>
  <c r="AI176" i="38"/>
  <c r="AH176" i="38"/>
  <c r="AG176" i="38"/>
  <c r="AF176" i="38"/>
  <c r="AE176" i="38"/>
  <c r="AD176" i="38"/>
  <c r="AC176" i="38"/>
  <c r="AB176" i="38"/>
  <c r="AA176" i="38"/>
  <c r="Z176" i="38"/>
  <c r="Y176" i="38"/>
  <c r="X176" i="38"/>
  <c r="W176" i="38"/>
  <c r="V176" i="38"/>
  <c r="U176" i="38"/>
  <c r="T176" i="38"/>
  <c r="S176" i="38"/>
  <c r="R176" i="38"/>
  <c r="Q176" i="38"/>
  <c r="P176" i="38"/>
  <c r="O176" i="38"/>
  <c r="K176" i="38"/>
  <c r="L176" i="38" s="1"/>
  <c r="M176" i="38" s="1"/>
  <c r="N176" i="38" s="1"/>
  <c r="J176" i="38"/>
  <c r="I176" i="38"/>
  <c r="H176" i="38"/>
  <c r="G176" i="38"/>
  <c r="F176" i="38"/>
  <c r="E176" i="38"/>
  <c r="D176" i="38"/>
  <c r="A176" i="38"/>
  <c r="BC175" i="38"/>
  <c r="BB175" i="38"/>
  <c r="BA175" i="38"/>
  <c r="AZ175" i="38"/>
  <c r="AY175" i="38"/>
  <c r="AX175" i="38"/>
  <c r="AW175" i="38"/>
  <c r="AV175" i="38"/>
  <c r="AU175" i="38"/>
  <c r="AT175" i="38"/>
  <c r="AS175" i="38"/>
  <c r="AR175" i="38"/>
  <c r="AQ175" i="38"/>
  <c r="AP175" i="38"/>
  <c r="AO175" i="38"/>
  <c r="AN175" i="38"/>
  <c r="AM175" i="38"/>
  <c r="AL175" i="38"/>
  <c r="AK175" i="38"/>
  <c r="AJ175" i="38"/>
  <c r="AI175" i="38"/>
  <c r="AH175" i="38"/>
  <c r="AG175" i="38"/>
  <c r="AF175" i="38"/>
  <c r="AE175" i="38"/>
  <c r="AD175" i="38"/>
  <c r="AC175" i="38"/>
  <c r="AB175" i="38"/>
  <c r="AA175" i="38"/>
  <c r="Z175" i="38"/>
  <c r="Y175" i="38"/>
  <c r="X175" i="38"/>
  <c r="W175" i="38"/>
  <c r="V175" i="38"/>
  <c r="U175" i="38"/>
  <c r="T175" i="38"/>
  <c r="S175" i="38"/>
  <c r="R175" i="38"/>
  <c r="Q175" i="38"/>
  <c r="P175" i="38"/>
  <c r="O175" i="38"/>
  <c r="K175" i="38"/>
  <c r="L175" i="38" s="1"/>
  <c r="M175" i="38" s="1"/>
  <c r="N175" i="38" s="1"/>
  <c r="J175" i="38"/>
  <c r="I175" i="38"/>
  <c r="H175" i="38"/>
  <c r="G175" i="38"/>
  <c r="F175" i="38"/>
  <c r="E175" i="38"/>
  <c r="D175" i="38"/>
  <c r="A175" i="38"/>
  <c r="BC174" i="38"/>
  <c r="BB174" i="38"/>
  <c r="BA174" i="38"/>
  <c r="AZ174" i="38"/>
  <c r="AY174" i="38"/>
  <c r="AX174" i="38"/>
  <c r="AW174" i="38"/>
  <c r="AV174" i="38"/>
  <c r="AU174" i="38"/>
  <c r="AT174" i="38"/>
  <c r="AS174" i="38"/>
  <c r="AR174" i="38"/>
  <c r="AQ174" i="38"/>
  <c r="AP174" i="38"/>
  <c r="AO174" i="38"/>
  <c r="AN174" i="38"/>
  <c r="AM174" i="38"/>
  <c r="AL174" i="38"/>
  <c r="AK174" i="38"/>
  <c r="AJ174" i="38"/>
  <c r="AI174" i="38"/>
  <c r="AH174" i="38"/>
  <c r="AG174" i="38"/>
  <c r="AF174" i="38"/>
  <c r="AE174" i="38"/>
  <c r="AD174" i="38"/>
  <c r="AC174" i="38"/>
  <c r="AB174" i="38"/>
  <c r="AA174" i="38"/>
  <c r="Z174" i="38"/>
  <c r="Y174" i="38"/>
  <c r="X174" i="38"/>
  <c r="W174" i="38"/>
  <c r="V174" i="38"/>
  <c r="U174" i="38"/>
  <c r="T174" i="38"/>
  <c r="S174" i="38"/>
  <c r="R174" i="38"/>
  <c r="Q174" i="38"/>
  <c r="P174" i="38"/>
  <c r="O174" i="38"/>
  <c r="K174" i="38"/>
  <c r="L174" i="38" s="1"/>
  <c r="M174" i="38" s="1"/>
  <c r="N174" i="38" s="1"/>
  <c r="J174" i="38"/>
  <c r="I174" i="38"/>
  <c r="H174" i="38"/>
  <c r="G174" i="38"/>
  <c r="F174" i="38"/>
  <c r="E174" i="38"/>
  <c r="D174" i="38"/>
  <c r="A174" i="38"/>
  <c r="BC173" i="38"/>
  <c r="BB173" i="38"/>
  <c r="BA173" i="38"/>
  <c r="AZ173" i="38"/>
  <c r="AY173" i="38"/>
  <c r="AX173" i="38"/>
  <c r="AW173" i="38"/>
  <c r="AV173" i="38"/>
  <c r="AU173" i="38"/>
  <c r="AT173" i="38"/>
  <c r="AS173" i="38"/>
  <c r="AR173" i="38"/>
  <c r="AQ173" i="38"/>
  <c r="AP173" i="38"/>
  <c r="AO173" i="38"/>
  <c r="AN173" i="38"/>
  <c r="AM173" i="38"/>
  <c r="AL173" i="38"/>
  <c r="AK173" i="38"/>
  <c r="AJ173" i="38"/>
  <c r="AI173" i="38"/>
  <c r="AH173" i="38"/>
  <c r="AG173" i="38"/>
  <c r="AF173" i="38"/>
  <c r="AE173" i="38"/>
  <c r="AD173" i="38"/>
  <c r="AC173" i="38"/>
  <c r="AB173" i="38"/>
  <c r="AA173" i="38"/>
  <c r="Z173" i="38"/>
  <c r="Y173" i="38"/>
  <c r="X173" i="38"/>
  <c r="W173" i="38"/>
  <c r="V173" i="38"/>
  <c r="U173" i="38"/>
  <c r="T173" i="38"/>
  <c r="S173" i="38"/>
  <c r="R173" i="38"/>
  <c r="Q173" i="38"/>
  <c r="P173" i="38"/>
  <c r="O173" i="38"/>
  <c r="K173" i="38"/>
  <c r="L173" i="38" s="1"/>
  <c r="M173" i="38" s="1"/>
  <c r="N173" i="38" s="1"/>
  <c r="J173" i="38"/>
  <c r="I173" i="38"/>
  <c r="H173" i="38"/>
  <c r="G173" i="38"/>
  <c r="F173" i="38"/>
  <c r="E173" i="38"/>
  <c r="D173" i="38"/>
  <c r="A173" i="38"/>
  <c r="BC172" i="38"/>
  <c r="BB172" i="38"/>
  <c r="BA172" i="38"/>
  <c r="AZ172" i="38"/>
  <c r="AY172" i="38"/>
  <c r="AX172" i="38"/>
  <c r="AW172" i="38"/>
  <c r="AV172" i="38"/>
  <c r="AU172" i="38"/>
  <c r="AT172" i="38"/>
  <c r="AS172" i="38"/>
  <c r="AR172" i="38"/>
  <c r="AQ172" i="38"/>
  <c r="AP172" i="38"/>
  <c r="AO172" i="38"/>
  <c r="AN172" i="38"/>
  <c r="AM172" i="38"/>
  <c r="AL172" i="38"/>
  <c r="AK172" i="38"/>
  <c r="AJ172" i="38"/>
  <c r="AI172" i="38"/>
  <c r="AH172" i="38"/>
  <c r="AG172" i="38"/>
  <c r="AF172" i="38"/>
  <c r="AE172" i="38"/>
  <c r="AD172" i="38"/>
  <c r="AC172" i="38"/>
  <c r="AB172" i="38"/>
  <c r="AA172" i="38"/>
  <c r="Z172" i="38"/>
  <c r="Y172" i="38"/>
  <c r="X172" i="38"/>
  <c r="W172" i="38"/>
  <c r="V172" i="38"/>
  <c r="U172" i="38"/>
  <c r="T172" i="38"/>
  <c r="S172" i="38"/>
  <c r="R172" i="38"/>
  <c r="Q172" i="38"/>
  <c r="P172" i="38"/>
  <c r="O172" i="38"/>
  <c r="K172" i="38"/>
  <c r="L172" i="38" s="1"/>
  <c r="M172" i="38" s="1"/>
  <c r="N172" i="38" s="1"/>
  <c r="J172" i="38"/>
  <c r="I172" i="38"/>
  <c r="H172" i="38"/>
  <c r="G172" i="38"/>
  <c r="F172" i="38"/>
  <c r="E172" i="38"/>
  <c r="D172" i="38"/>
  <c r="A172" i="38"/>
  <c r="BC171" i="38"/>
  <c r="BB171" i="38"/>
  <c r="BA171" i="38"/>
  <c r="AZ171" i="38"/>
  <c r="AY171" i="38"/>
  <c r="AX171" i="38"/>
  <c r="AW171" i="38"/>
  <c r="AV171" i="38"/>
  <c r="AU171" i="38"/>
  <c r="AT171" i="38"/>
  <c r="AS171" i="38"/>
  <c r="AR171" i="38"/>
  <c r="AQ171" i="38"/>
  <c r="AP171" i="38"/>
  <c r="AO171" i="38"/>
  <c r="AN171" i="38"/>
  <c r="AM171" i="38"/>
  <c r="AL171" i="38"/>
  <c r="AK171" i="38"/>
  <c r="AJ171" i="38"/>
  <c r="AI171" i="38"/>
  <c r="AH171" i="38"/>
  <c r="AG171" i="38"/>
  <c r="AF171" i="38"/>
  <c r="AE171" i="38"/>
  <c r="AD171" i="38"/>
  <c r="AC171" i="38"/>
  <c r="AB171" i="38"/>
  <c r="AA171" i="38"/>
  <c r="Z171" i="38"/>
  <c r="Y171" i="38"/>
  <c r="X171" i="38"/>
  <c r="W171" i="38"/>
  <c r="V171" i="38"/>
  <c r="U171" i="38"/>
  <c r="T171" i="38"/>
  <c r="S171" i="38"/>
  <c r="R171" i="38"/>
  <c r="Q171" i="38"/>
  <c r="P171" i="38"/>
  <c r="O171" i="38"/>
  <c r="K171" i="38"/>
  <c r="L171" i="38" s="1"/>
  <c r="M171" i="38" s="1"/>
  <c r="N171" i="38" s="1"/>
  <c r="J171" i="38"/>
  <c r="I171" i="38"/>
  <c r="H171" i="38"/>
  <c r="G171" i="38"/>
  <c r="F171" i="38"/>
  <c r="E171" i="38"/>
  <c r="D171" i="38"/>
  <c r="A171" i="38"/>
  <c r="BC170" i="38"/>
  <c r="BB170" i="38"/>
  <c r="BA170" i="38"/>
  <c r="AZ170" i="38"/>
  <c r="AY170" i="38"/>
  <c r="AX170" i="38"/>
  <c r="AW170" i="38"/>
  <c r="AV170" i="38"/>
  <c r="AU170" i="38"/>
  <c r="AT170" i="38"/>
  <c r="AS170" i="38"/>
  <c r="AR170" i="38"/>
  <c r="AQ170" i="38"/>
  <c r="AP170" i="38"/>
  <c r="AO170" i="38"/>
  <c r="AN170" i="38"/>
  <c r="AM170" i="38"/>
  <c r="AL170" i="38"/>
  <c r="AK170" i="38"/>
  <c r="AJ170" i="38"/>
  <c r="AI170" i="38"/>
  <c r="AH170" i="38"/>
  <c r="AG170" i="38"/>
  <c r="AF170" i="38"/>
  <c r="AE170" i="38"/>
  <c r="AD170" i="38"/>
  <c r="AC170" i="38"/>
  <c r="AB170" i="38"/>
  <c r="AA170" i="38"/>
  <c r="Z170" i="38"/>
  <c r="Y170" i="38"/>
  <c r="X170" i="38"/>
  <c r="W170" i="38"/>
  <c r="V170" i="38"/>
  <c r="U170" i="38"/>
  <c r="T170" i="38"/>
  <c r="S170" i="38"/>
  <c r="R170" i="38"/>
  <c r="Q170" i="38"/>
  <c r="P170" i="38"/>
  <c r="O170" i="38"/>
  <c r="K170" i="38"/>
  <c r="L170" i="38" s="1"/>
  <c r="M170" i="38" s="1"/>
  <c r="N170" i="38" s="1"/>
  <c r="J170" i="38"/>
  <c r="I170" i="38"/>
  <c r="H170" i="38"/>
  <c r="G170" i="38"/>
  <c r="F170" i="38"/>
  <c r="E170" i="38"/>
  <c r="D170" i="38"/>
  <c r="A170" i="38"/>
  <c r="BC169" i="38"/>
  <c r="BB169" i="38"/>
  <c r="BA169" i="38"/>
  <c r="AZ169" i="38"/>
  <c r="AY169" i="38"/>
  <c r="AX169" i="38"/>
  <c r="AW169" i="38"/>
  <c r="AV169" i="38"/>
  <c r="AU169" i="38"/>
  <c r="AT169" i="38"/>
  <c r="AS169" i="38"/>
  <c r="AR169" i="38"/>
  <c r="AQ169" i="38"/>
  <c r="AP169" i="38"/>
  <c r="AO169" i="38"/>
  <c r="AN169" i="38"/>
  <c r="AM169" i="38"/>
  <c r="AL169" i="38"/>
  <c r="AK169" i="38"/>
  <c r="AJ169" i="38"/>
  <c r="AI169" i="38"/>
  <c r="AH169" i="38"/>
  <c r="AG169" i="38"/>
  <c r="AF169" i="38"/>
  <c r="AE169" i="38"/>
  <c r="AD169" i="38"/>
  <c r="AC169" i="38"/>
  <c r="AB169" i="38"/>
  <c r="AA169" i="38"/>
  <c r="Z169" i="38"/>
  <c r="Y169" i="38"/>
  <c r="X169" i="38"/>
  <c r="W169" i="38"/>
  <c r="V169" i="38"/>
  <c r="U169" i="38"/>
  <c r="T169" i="38"/>
  <c r="S169" i="38"/>
  <c r="R169" i="38"/>
  <c r="Q169" i="38"/>
  <c r="P169" i="38"/>
  <c r="O169" i="38"/>
  <c r="K169" i="38"/>
  <c r="L169" i="38" s="1"/>
  <c r="M169" i="38" s="1"/>
  <c r="N169" i="38" s="1"/>
  <c r="J169" i="38"/>
  <c r="I169" i="38"/>
  <c r="H169" i="38"/>
  <c r="G169" i="38"/>
  <c r="F169" i="38"/>
  <c r="E169" i="38"/>
  <c r="D169" i="38"/>
  <c r="A169" i="38"/>
  <c r="BC168" i="38"/>
  <c r="BB168" i="38"/>
  <c r="BA168" i="38"/>
  <c r="AZ168" i="38"/>
  <c r="AY168" i="38"/>
  <c r="AX168" i="38"/>
  <c r="AW168" i="38"/>
  <c r="AV168" i="38"/>
  <c r="AU168" i="38"/>
  <c r="AT168" i="38"/>
  <c r="AS168" i="38"/>
  <c r="AR168" i="38"/>
  <c r="AQ168" i="38"/>
  <c r="AP168" i="38"/>
  <c r="AO168" i="38"/>
  <c r="AN168" i="38"/>
  <c r="AM168" i="38"/>
  <c r="AL168" i="38"/>
  <c r="AK168" i="38"/>
  <c r="AJ168" i="38"/>
  <c r="AI168" i="38"/>
  <c r="AH168" i="38"/>
  <c r="AG168" i="38"/>
  <c r="AF168" i="38"/>
  <c r="AE168" i="38"/>
  <c r="AD168" i="38"/>
  <c r="AC168" i="38"/>
  <c r="AB168" i="38"/>
  <c r="AA168" i="38"/>
  <c r="Z168" i="38"/>
  <c r="Y168" i="38"/>
  <c r="X168" i="38"/>
  <c r="W168" i="38"/>
  <c r="V168" i="38"/>
  <c r="U168" i="38"/>
  <c r="T168" i="38"/>
  <c r="S168" i="38"/>
  <c r="R168" i="38"/>
  <c r="Q168" i="38"/>
  <c r="P168" i="38"/>
  <c r="O168" i="38"/>
  <c r="K168" i="38"/>
  <c r="L168" i="38" s="1"/>
  <c r="M168" i="38" s="1"/>
  <c r="N168" i="38" s="1"/>
  <c r="J168" i="38"/>
  <c r="I168" i="38"/>
  <c r="H168" i="38"/>
  <c r="G168" i="38"/>
  <c r="F168" i="38"/>
  <c r="E168" i="38"/>
  <c r="D168" i="38"/>
  <c r="A168" i="38"/>
  <c r="BC167" i="38"/>
  <c r="BB167" i="38"/>
  <c r="BA167" i="38"/>
  <c r="AZ167" i="38"/>
  <c r="AY167" i="38"/>
  <c r="AX167" i="38"/>
  <c r="AW167" i="38"/>
  <c r="AV167" i="38"/>
  <c r="AU167" i="38"/>
  <c r="AT167" i="38"/>
  <c r="AS167" i="38"/>
  <c r="AR167" i="38"/>
  <c r="AQ167" i="38"/>
  <c r="AP167" i="38"/>
  <c r="AO167" i="38"/>
  <c r="AN167" i="38"/>
  <c r="AM167" i="38"/>
  <c r="AL167" i="38"/>
  <c r="AK167" i="38"/>
  <c r="AJ167" i="38"/>
  <c r="AI167" i="38"/>
  <c r="AH167" i="38"/>
  <c r="AG167" i="38"/>
  <c r="AF167" i="38"/>
  <c r="AE167" i="38"/>
  <c r="AD167" i="38"/>
  <c r="AC167" i="38"/>
  <c r="AB167" i="38"/>
  <c r="AA167" i="38"/>
  <c r="Z167" i="38"/>
  <c r="Y167" i="38"/>
  <c r="X167" i="38"/>
  <c r="W167" i="38"/>
  <c r="V167" i="38"/>
  <c r="U167" i="38"/>
  <c r="T167" i="38"/>
  <c r="S167" i="38"/>
  <c r="R167" i="38"/>
  <c r="Q167" i="38"/>
  <c r="P167" i="38"/>
  <c r="O167" i="38"/>
  <c r="K167" i="38"/>
  <c r="L167" i="38" s="1"/>
  <c r="M167" i="38" s="1"/>
  <c r="N167" i="38" s="1"/>
  <c r="J167" i="38"/>
  <c r="I167" i="38"/>
  <c r="H167" i="38"/>
  <c r="G167" i="38"/>
  <c r="F167" i="38"/>
  <c r="E167" i="38"/>
  <c r="D167" i="38"/>
  <c r="A167" i="38"/>
  <c r="BC166" i="38"/>
  <c r="BB166" i="38"/>
  <c r="BA166" i="38"/>
  <c r="AZ166" i="38"/>
  <c r="AY166" i="38"/>
  <c r="AX166" i="38"/>
  <c r="AW166" i="38"/>
  <c r="AV166" i="38"/>
  <c r="AU166" i="38"/>
  <c r="AT166" i="38"/>
  <c r="AS166" i="38"/>
  <c r="AR166" i="38"/>
  <c r="AQ166" i="38"/>
  <c r="AP166" i="38"/>
  <c r="AO166" i="38"/>
  <c r="AN166" i="38"/>
  <c r="AM166" i="38"/>
  <c r="AL166" i="38"/>
  <c r="AK166" i="38"/>
  <c r="AJ166" i="38"/>
  <c r="AI166" i="38"/>
  <c r="AH166" i="38"/>
  <c r="AG166" i="38"/>
  <c r="AF166" i="38"/>
  <c r="AE166" i="38"/>
  <c r="AD166" i="38"/>
  <c r="AC166" i="38"/>
  <c r="AB166" i="38"/>
  <c r="AA166" i="38"/>
  <c r="Z166" i="38"/>
  <c r="Y166" i="38"/>
  <c r="X166" i="38"/>
  <c r="W166" i="38"/>
  <c r="V166" i="38"/>
  <c r="U166" i="38"/>
  <c r="T166" i="38"/>
  <c r="S166" i="38"/>
  <c r="R166" i="38"/>
  <c r="Q166" i="38"/>
  <c r="P166" i="38"/>
  <c r="O166" i="38"/>
  <c r="K166" i="38"/>
  <c r="L166" i="38" s="1"/>
  <c r="M166" i="38" s="1"/>
  <c r="N166" i="38" s="1"/>
  <c r="J166" i="38"/>
  <c r="I166" i="38"/>
  <c r="H166" i="38"/>
  <c r="G166" i="38"/>
  <c r="F166" i="38"/>
  <c r="E166" i="38"/>
  <c r="D166" i="38"/>
  <c r="A166" i="38"/>
  <c r="BC165" i="38"/>
  <c r="BB165" i="38"/>
  <c r="BA165" i="38"/>
  <c r="AZ165" i="38"/>
  <c r="AY165" i="38"/>
  <c r="AX165" i="38"/>
  <c r="AW165" i="38"/>
  <c r="AV165" i="38"/>
  <c r="AU165" i="38"/>
  <c r="AT165" i="38"/>
  <c r="AS165" i="38"/>
  <c r="AR165" i="38"/>
  <c r="AQ165" i="38"/>
  <c r="AP165" i="38"/>
  <c r="AO165" i="38"/>
  <c r="AN165" i="38"/>
  <c r="AM165" i="38"/>
  <c r="AL165" i="38"/>
  <c r="AK165" i="38"/>
  <c r="AJ165" i="38"/>
  <c r="AI165" i="38"/>
  <c r="AH165" i="38"/>
  <c r="AG165" i="38"/>
  <c r="AF165" i="38"/>
  <c r="AE165" i="38"/>
  <c r="AD165" i="38"/>
  <c r="AC165" i="38"/>
  <c r="AB165" i="38"/>
  <c r="AA165" i="38"/>
  <c r="Z165" i="38"/>
  <c r="Y165" i="38"/>
  <c r="X165" i="38"/>
  <c r="W165" i="38"/>
  <c r="V165" i="38"/>
  <c r="U165" i="38"/>
  <c r="T165" i="38"/>
  <c r="S165" i="38"/>
  <c r="R165" i="38"/>
  <c r="Q165" i="38"/>
  <c r="P165" i="38"/>
  <c r="O165" i="38"/>
  <c r="K165" i="38"/>
  <c r="L165" i="38" s="1"/>
  <c r="M165" i="38" s="1"/>
  <c r="N165" i="38" s="1"/>
  <c r="J165" i="38"/>
  <c r="I165" i="38"/>
  <c r="H165" i="38"/>
  <c r="G165" i="38"/>
  <c r="F165" i="38"/>
  <c r="E165" i="38"/>
  <c r="D165" i="38"/>
  <c r="A165" i="38"/>
  <c r="BC164" i="38"/>
  <c r="BB164" i="38"/>
  <c r="BA164" i="38"/>
  <c r="AZ164" i="38"/>
  <c r="AY164" i="38"/>
  <c r="AX164" i="38"/>
  <c r="AW164" i="38"/>
  <c r="AV164" i="38"/>
  <c r="AU164" i="38"/>
  <c r="AT164" i="38"/>
  <c r="AS164" i="38"/>
  <c r="AR164" i="38"/>
  <c r="AQ164" i="38"/>
  <c r="AP164" i="38"/>
  <c r="AO164" i="38"/>
  <c r="AN164" i="38"/>
  <c r="AM164" i="38"/>
  <c r="AL164" i="38"/>
  <c r="AK164" i="38"/>
  <c r="AJ164" i="38"/>
  <c r="AI164" i="38"/>
  <c r="AH164" i="38"/>
  <c r="AG164" i="38"/>
  <c r="AF164" i="38"/>
  <c r="AE164" i="38"/>
  <c r="AD164" i="38"/>
  <c r="AC164" i="38"/>
  <c r="AB164" i="38"/>
  <c r="AA164" i="38"/>
  <c r="Z164" i="38"/>
  <c r="Y164" i="38"/>
  <c r="X164" i="38"/>
  <c r="W164" i="38"/>
  <c r="V164" i="38"/>
  <c r="U164" i="38"/>
  <c r="T164" i="38"/>
  <c r="S164" i="38"/>
  <c r="R164" i="38"/>
  <c r="Q164" i="38"/>
  <c r="P164" i="38"/>
  <c r="O164" i="38"/>
  <c r="K164" i="38"/>
  <c r="L164" i="38" s="1"/>
  <c r="M164" i="38" s="1"/>
  <c r="N164" i="38" s="1"/>
  <c r="J164" i="38"/>
  <c r="I164" i="38"/>
  <c r="H164" i="38"/>
  <c r="G164" i="38"/>
  <c r="F164" i="38"/>
  <c r="E164" i="38"/>
  <c r="D164" i="38"/>
  <c r="A164" i="38"/>
  <c r="BC163" i="38"/>
  <c r="BB163" i="38"/>
  <c r="BA163" i="38"/>
  <c r="AZ163" i="38"/>
  <c r="AY163" i="38"/>
  <c r="AX163" i="38"/>
  <c r="AW163" i="38"/>
  <c r="AV163" i="38"/>
  <c r="AU163" i="38"/>
  <c r="AT163" i="38"/>
  <c r="AS163" i="38"/>
  <c r="AR163" i="38"/>
  <c r="AQ163" i="38"/>
  <c r="AP163" i="38"/>
  <c r="AO163" i="38"/>
  <c r="AN163" i="38"/>
  <c r="AM163" i="38"/>
  <c r="AL163" i="38"/>
  <c r="AK163" i="38"/>
  <c r="AJ163" i="38"/>
  <c r="AI163" i="38"/>
  <c r="AH163" i="38"/>
  <c r="AG163" i="38"/>
  <c r="AF163" i="38"/>
  <c r="AE163" i="38"/>
  <c r="AD163" i="38"/>
  <c r="AC163" i="38"/>
  <c r="AB163" i="38"/>
  <c r="AA163" i="38"/>
  <c r="Z163" i="38"/>
  <c r="Y163" i="38"/>
  <c r="X163" i="38"/>
  <c r="W163" i="38"/>
  <c r="V163" i="38"/>
  <c r="U163" i="38"/>
  <c r="T163" i="38"/>
  <c r="S163" i="38"/>
  <c r="R163" i="38"/>
  <c r="Q163" i="38"/>
  <c r="P163" i="38"/>
  <c r="O163" i="38"/>
  <c r="K163" i="38"/>
  <c r="L163" i="38" s="1"/>
  <c r="M163" i="38" s="1"/>
  <c r="N163" i="38" s="1"/>
  <c r="J163" i="38"/>
  <c r="I163" i="38"/>
  <c r="H163" i="38"/>
  <c r="G163" i="38"/>
  <c r="F163" i="38"/>
  <c r="E163" i="38"/>
  <c r="D163" i="38"/>
  <c r="A163" i="38"/>
  <c r="BC162" i="38"/>
  <c r="BB162" i="38"/>
  <c r="BA162" i="38"/>
  <c r="AZ162" i="38"/>
  <c r="AY162" i="38"/>
  <c r="AX162" i="38"/>
  <c r="AW162" i="38"/>
  <c r="AV162" i="38"/>
  <c r="AU162" i="38"/>
  <c r="AT162" i="38"/>
  <c r="AS162" i="38"/>
  <c r="AR162" i="38"/>
  <c r="AQ162" i="38"/>
  <c r="AP162" i="38"/>
  <c r="AO162" i="38"/>
  <c r="AN162" i="38"/>
  <c r="AM162" i="38"/>
  <c r="AL162" i="38"/>
  <c r="AK162" i="38"/>
  <c r="AJ162" i="38"/>
  <c r="AI162" i="38"/>
  <c r="AH162" i="38"/>
  <c r="AG162" i="38"/>
  <c r="AF162" i="38"/>
  <c r="AE162" i="38"/>
  <c r="AD162" i="38"/>
  <c r="AC162" i="38"/>
  <c r="AB162" i="38"/>
  <c r="AA162" i="38"/>
  <c r="Z162" i="38"/>
  <c r="Y162" i="38"/>
  <c r="X162" i="38"/>
  <c r="W162" i="38"/>
  <c r="V162" i="38"/>
  <c r="U162" i="38"/>
  <c r="T162" i="38"/>
  <c r="S162" i="38"/>
  <c r="R162" i="38"/>
  <c r="Q162" i="38"/>
  <c r="P162" i="38"/>
  <c r="O162" i="38"/>
  <c r="K162" i="38"/>
  <c r="L162" i="38" s="1"/>
  <c r="M162" i="38" s="1"/>
  <c r="N162" i="38" s="1"/>
  <c r="J162" i="38"/>
  <c r="I162" i="38"/>
  <c r="H162" i="38"/>
  <c r="G162" i="38"/>
  <c r="F162" i="38"/>
  <c r="E162" i="38"/>
  <c r="D162" i="38"/>
  <c r="A162" i="38"/>
  <c r="BC161" i="38"/>
  <c r="BB161" i="38"/>
  <c r="BA161" i="38"/>
  <c r="AZ161" i="38"/>
  <c r="AY161" i="38"/>
  <c r="AX161" i="38"/>
  <c r="AW161" i="38"/>
  <c r="AV161" i="38"/>
  <c r="AU161" i="38"/>
  <c r="AT161" i="38"/>
  <c r="AS161" i="38"/>
  <c r="AR161" i="38"/>
  <c r="AQ161" i="38"/>
  <c r="AP161" i="38"/>
  <c r="AO161" i="38"/>
  <c r="AN161" i="38"/>
  <c r="AM161" i="38"/>
  <c r="AL161" i="38"/>
  <c r="AK161" i="38"/>
  <c r="AJ161" i="38"/>
  <c r="AI161" i="38"/>
  <c r="AH161" i="38"/>
  <c r="AG161" i="38"/>
  <c r="AF161" i="38"/>
  <c r="AE161" i="38"/>
  <c r="AD161" i="38"/>
  <c r="AC161" i="38"/>
  <c r="AB161" i="38"/>
  <c r="AA161" i="38"/>
  <c r="Z161" i="38"/>
  <c r="Y161" i="38"/>
  <c r="X161" i="38"/>
  <c r="W161" i="38"/>
  <c r="V161" i="38"/>
  <c r="U161" i="38"/>
  <c r="T161" i="38"/>
  <c r="S161" i="38"/>
  <c r="R161" i="38"/>
  <c r="Q161" i="38"/>
  <c r="P161" i="38"/>
  <c r="O161" i="38"/>
  <c r="K161" i="38"/>
  <c r="L161" i="38" s="1"/>
  <c r="M161" i="38" s="1"/>
  <c r="N161" i="38" s="1"/>
  <c r="J161" i="38"/>
  <c r="I161" i="38"/>
  <c r="H161" i="38"/>
  <c r="G161" i="38"/>
  <c r="F161" i="38"/>
  <c r="E161" i="38"/>
  <c r="D161" i="38"/>
  <c r="A161" i="38"/>
  <c r="BC160" i="38"/>
  <c r="BB160" i="38"/>
  <c r="BA160" i="38"/>
  <c r="AZ160" i="38"/>
  <c r="AY160" i="38"/>
  <c r="AX160" i="38"/>
  <c r="AW160" i="38"/>
  <c r="AV160" i="38"/>
  <c r="AU160" i="38"/>
  <c r="AT160" i="38"/>
  <c r="AS160" i="38"/>
  <c r="AR160" i="38"/>
  <c r="AQ160" i="38"/>
  <c r="AP160" i="38"/>
  <c r="AO160" i="38"/>
  <c r="AN160" i="38"/>
  <c r="AM160" i="38"/>
  <c r="AL160" i="38"/>
  <c r="AK160" i="38"/>
  <c r="AJ160" i="38"/>
  <c r="AI160" i="38"/>
  <c r="AH160" i="38"/>
  <c r="AG160" i="38"/>
  <c r="AF160" i="38"/>
  <c r="AE160" i="38"/>
  <c r="AD160" i="38"/>
  <c r="AC160" i="38"/>
  <c r="AB160" i="38"/>
  <c r="AA160" i="38"/>
  <c r="Z160" i="38"/>
  <c r="Y160" i="38"/>
  <c r="X160" i="38"/>
  <c r="W160" i="38"/>
  <c r="V160" i="38"/>
  <c r="U160" i="38"/>
  <c r="T160" i="38"/>
  <c r="S160" i="38"/>
  <c r="R160" i="38"/>
  <c r="Q160" i="38"/>
  <c r="P160" i="38"/>
  <c r="O160" i="38"/>
  <c r="K160" i="38"/>
  <c r="L160" i="38" s="1"/>
  <c r="M160" i="38" s="1"/>
  <c r="N160" i="38" s="1"/>
  <c r="J160" i="38"/>
  <c r="I160" i="38"/>
  <c r="H160" i="38"/>
  <c r="G160" i="38"/>
  <c r="F160" i="38"/>
  <c r="E160" i="38"/>
  <c r="D160" i="38"/>
  <c r="A160" i="38"/>
  <c r="BC159" i="38"/>
  <c r="BB159" i="38"/>
  <c r="BA159" i="38"/>
  <c r="AZ159" i="38"/>
  <c r="AY159" i="38"/>
  <c r="AX159" i="38"/>
  <c r="AW159" i="38"/>
  <c r="AV159" i="38"/>
  <c r="AU159" i="38"/>
  <c r="AT159" i="38"/>
  <c r="AS159" i="38"/>
  <c r="AR159" i="38"/>
  <c r="AQ159" i="38"/>
  <c r="AP159" i="38"/>
  <c r="AO159" i="38"/>
  <c r="AN159" i="38"/>
  <c r="AM159" i="38"/>
  <c r="AL159" i="38"/>
  <c r="AK159" i="38"/>
  <c r="AJ159" i="38"/>
  <c r="AI159" i="38"/>
  <c r="AH159" i="38"/>
  <c r="AG159" i="38"/>
  <c r="AF159" i="38"/>
  <c r="AE159" i="38"/>
  <c r="AD159" i="38"/>
  <c r="AC159" i="38"/>
  <c r="AB159" i="38"/>
  <c r="AA159" i="38"/>
  <c r="Z159" i="38"/>
  <c r="Y159" i="38"/>
  <c r="X159" i="38"/>
  <c r="W159" i="38"/>
  <c r="V159" i="38"/>
  <c r="U159" i="38"/>
  <c r="T159" i="38"/>
  <c r="S159" i="38"/>
  <c r="R159" i="38"/>
  <c r="Q159" i="38"/>
  <c r="P159" i="38"/>
  <c r="O159" i="38"/>
  <c r="K159" i="38"/>
  <c r="L159" i="38" s="1"/>
  <c r="M159" i="38" s="1"/>
  <c r="N159" i="38" s="1"/>
  <c r="J159" i="38"/>
  <c r="I159" i="38"/>
  <c r="H159" i="38"/>
  <c r="G159" i="38"/>
  <c r="F159" i="38"/>
  <c r="E159" i="38"/>
  <c r="D159" i="38"/>
  <c r="A159" i="38"/>
  <c r="BC158" i="38"/>
  <c r="BB158" i="38"/>
  <c r="BA158" i="38"/>
  <c r="AZ158" i="38"/>
  <c r="AY158" i="38"/>
  <c r="AX158" i="38"/>
  <c r="AW158" i="38"/>
  <c r="AV158" i="38"/>
  <c r="AU158" i="38"/>
  <c r="AT158" i="38"/>
  <c r="AS158" i="38"/>
  <c r="AR158" i="38"/>
  <c r="AQ158" i="38"/>
  <c r="AP158" i="38"/>
  <c r="AO158" i="38"/>
  <c r="AN158" i="38"/>
  <c r="AM158" i="38"/>
  <c r="AL158" i="38"/>
  <c r="AK158" i="38"/>
  <c r="AJ158" i="38"/>
  <c r="AI158" i="38"/>
  <c r="AH158" i="38"/>
  <c r="AG158" i="38"/>
  <c r="AF158" i="38"/>
  <c r="AE158" i="38"/>
  <c r="AD158" i="38"/>
  <c r="AC158" i="38"/>
  <c r="AB158" i="38"/>
  <c r="AA158" i="38"/>
  <c r="Z158" i="38"/>
  <c r="Y158" i="38"/>
  <c r="X158" i="38"/>
  <c r="W158" i="38"/>
  <c r="V158" i="38"/>
  <c r="U158" i="38"/>
  <c r="T158" i="38"/>
  <c r="S158" i="38"/>
  <c r="R158" i="38"/>
  <c r="Q158" i="38"/>
  <c r="P158" i="38"/>
  <c r="O158" i="38"/>
  <c r="K158" i="38"/>
  <c r="L158" i="38" s="1"/>
  <c r="M158" i="38" s="1"/>
  <c r="N158" i="38" s="1"/>
  <c r="J158" i="38"/>
  <c r="I158" i="38"/>
  <c r="H158" i="38"/>
  <c r="G158" i="38"/>
  <c r="F158" i="38"/>
  <c r="E158" i="38"/>
  <c r="D158" i="38"/>
  <c r="A158" i="38"/>
  <c r="BC157" i="38"/>
  <c r="BB157" i="38"/>
  <c r="BA157" i="38"/>
  <c r="AZ157" i="38"/>
  <c r="AY157" i="38"/>
  <c r="AX157" i="38"/>
  <c r="AW157" i="38"/>
  <c r="AV157" i="38"/>
  <c r="AU157" i="38"/>
  <c r="AT157" i="38"/>
  <c r="AS157" i="38"/>
  <c r="AR157" i="38"/>
  <c r="AQ157" i="38"/>
  <c r="AP157" i="38"/>
  <c r="AO157" i="38"/>
  <c r="AN157" i="38"/>
  <c r="AM157" i="38"/>
  <c r="AL157" i="38"/>
  <c r="AK157" i="38"/>
  <c r="AJ157" i="38"/>
  <c r="AI157" i="38"/>
  <c r="AH157" i="38"/>
  <c r="AG157" i="38"/>
  <c r="AF157" i="38"/>
  <c r="AE157" i="38"/>
  <c r="AD157" i="38"/>
  <c r="AC157" i="38"/>
  <c r="AB157" i="38"/>
  <c r="AA157" i="38"/>
  <c r="Z157" i="38"/>
  <c r="Y157" i="38"/>
  <c r="X157" i="38"/>
  <c r="W157" i="38"/>
  <c r="V157" i="38"/>
  <c r="U157" i="38"/>
  <c r="T157" i="38"/>
  <c r="S157" i="38"/>
  <c r="R157" i="38"/>
  <c r="Q157" i="38"/>
  <c r="P157" i="38"/>
  <c r="O157" i="38"/>
  <c r="K157" i="38"/>
  <c r="L157" i="38" s="1"/>
  <c r="M157" i="38" s="1"/>
  <c r="N157" i="38" s="1"/>
  <c r="J157" i="38"/>
  <c r="I157" i="38"/>
  <c r="H157" i="38"/>
  <c r="G157" i="38"/>
  <c r="F157" i="38"/>
  <c r="E157" i="38"/>
  <c r="D157" i="38"/>
  <c r="A157" i="38"/>
  <c r="BC156" i="38"/>
  <c r="BB156" i="38"/>
  <c r="BA156" i="38"/>
  <c r="AZ156" i="38"/>
  <c r="AY156" i="38"/>
  <c r="AX156" i="38"/>
  <c r="AW156" i="38"/>
  <c r="AV156" i="38"/>
  <c r="AU156" i="38"/>
  <c r="AT156" i="38"/>
  <c r="AS156" i="38"/>
  <c r="AR156" i="38"/>
  <c r="AQ156" i="38"/>
  <c r="AP156" i="38"/>
  <c r="AO156" i="38"/>
  <c r="AN156" i="38"/>
  <c r="AM156" i="38"/>
  <c r="AL156" i="38"/>
  <c r="AK156" i="38"/>
  <c r="AJ156" i="38"/>
  <c r="AI156" i="38"/>
  <c r="AH156" i="38"/>
  <c r="AG156" i="38"/>
  <c r="AF156" i="38"/>
  <c r="AE156" i="38"/>
  <c r="AD156" i="38"/>
  <c r="AC156" i="38"/>
  <c r="AB156" i="38"/>
  <c r="AA156" i="38"/>
  <c r="Z156" i="38"/>
  <c r="Y156" i="38"/>
  <c r="X156" i="38"/>
  <c r="W156" i="38"/>
  <c r="V156" i="38"/>
  <c r="U156" i="38"/>
  <c r="T156" i="38"/>
  <c r="S156" i="38"/>
  <c r="R156" i="38"/>
  <c r="Q156" i="38"/>
  <c r="P156" i="38"/>
  <c r="O156" i="38"/>
  <c r="K156" i="38"/>
  <c r="L156" i="38" s="1"/>
  <c r="M156" i="38" s="1"/>
  <c r="N156" i="38" s="1"/>
  <c r="J156" i="38"/>
  <c r="I156" i="38"/>
  <c r="H156" i="38"/>
  <c r="G156" i="38"/>
  <c r="F156" i="38"/>
  <c r="E156" i="38"/>
  <c r="D156" i="38"/>
  <c r="A156" i="38"/>
  <c r="BC155" i="38"/>
  <c r="BB155" i="38"/>
  <c r="BA155" i="38"/>
  <c r="AZ155" i="38"/>
  <c r="AY155" i="38"/>
  <c r="AX155" i="38"/>
  <c r="AW155" i="38"/>
  <c r="AV155" i="38"/>
  <c r="AU155" i="38"/>
  <c r="AT155" i="38"/>
  <c r="AS155" i="38"/>
  <c r="AR155" i="38"/>
  <c r="AQ155" i="38"/>
  <c r="AP155" i="38"/>
  <c r="AO155" i="38"/>
  <c r="AN155" i="38"/>
  <c r="AM155" i="38"/>
  <c r="AL155" i="38"/>
  <c r="AK155" i="38"/>
  <c r="AJ155" i="38"/>
  <c r="AI155" i="38"/>
  <c r="AH155" i="38"/>
  <c r="AG155" i="38"/>
  <c r="AF155" i="38"/>
  <c r="AE155" i="38"/>
  <c r="AD155" i="38"/>
  <c r="AC155" i="38"/>
  <c r="AB155" i="38"/>
  <c r="AA155" i="38"/>
  <c r="Z155" i="38"/>
  <c r="Y155" i="38"/>
  <c r="X155" i="38"/>
  <c r="W155" i="38"/>
  <c r="V155" i="38"/>
  <c r="U155" i="38"/>
  <c r="T155" i="38"/>
  <c r="S155" i="38"/>
  <c r="R155" i="38"/>
  <c r="Q155" i="38"/>
  <c r="P155" i="38"/>
  <c r="O155" i="38"/>
  <c r="K155" i="38"/>
  <c r="L155" i="38" s="1"/>
  <c r="M155" i="38" s="1"/>
  <c r="N155" i="38" s="1"/>
  <c r="J155" i="38"/>
  <c r="I155" i="38"/>
  <c r="H155" i="38"/>
  <c r="G155" i="38"/>
  <c r="F155" i="38"/>
  <c r="E155" i="38"/>
  <c r="D155" i="38"/>
  <c r="A155" i="38"/>
  <c r="BC154" i="38"/>
  <c r="BB154" i="38"/>
  <c r="BA154" i="38"/>
  <c r="AZ154" i="38"/>
  <c r="AY154" i="38"/>
  <c r="AX154" i="38"/>
  <c r="AW154" i="38"/>
  <c r="AV154" i="38"/>
  <c r="AU154" i="38"/>
  <c r="AT154" i="38"/>
  <c r="AS154" i="38"/>
  <c r="AR154" i="38"/>
  <c r="AQ154" i="38"/>
  <c r="AP154" i="38"/>
  <c r="AO154" i="38"/>
  <c r="AN154" i="38"/>
  <c r="AM154" i="38"/>
  <c r="AL154" i="38"/>
  <c r="AK154" i="38"/>
  <c r="AJ154" i="38"/>
  <c r="AI154" i="38"/>
  <c r="AH154" i="38"/>
  <c r="AG154" i="38"/>
  <c r="AF154" i="38"/>
  <c r="AE154" i="38"/>
  <c r="AD154" i="38"/>
  <c r="AC154" i="38"/>
  <c r="AB154" i="38"/>
  <c r="AA154" i="38"/>
  <c r="Z154" i="38"/>
  <c r="Y154" i="38"/>
  <c r="X154" i="38"/>
  <c r="W154" i="38"/>
  <c r="V154" i="38"/>
  <c r="U154" i="38"/>
  <c r="T154" i="38"/>
  <c r="S154" i="38"/>
  <c r="R154" i="38"/>
  <c r="Q154" i="38"/>
  <c r="P154" i="38"/>
  <c r="O154" i="38"/>
  <c r="K154" i="38"/>
  <c r="L154" i="38" s="1"/>
  <c r="M154" i="38" s="1"/>
  <c r="N154" i="38" s="1"/>
  <c r="J154" i="38"/>
  <c r="I154" i="38"/>
  <c r="H154" i="38"/>
  <c r="G154" i="38"/>
  <c r="F154" i="38"/>
  <c r="E154" i="38"/>
  <c r="D154" i="38"/>
  <c r="A154" i="38"/>
  <c r="BC153" i="38"/>
  <c r="BB153" i="38"/>
  <c r="BA153" i="38"/>
  <c r="AZ153" i="38"/>
  <c r="AY153" i="38"/>
  <c r="AX153" i="38"/>
  <c r="AW153" i="38"/>
  <c r="AV153" i="38"/>
  <c r="AU153" i="38"/>
  <c r="AT153" i="38"/>
  <c r="AS153" i="38"/>
  <c r="AR153" i="38"/>
  <c r="AQ153" i="38"/>
  <c r="AP153" i="38"/>
  <c r="AO153" i="38"/>
  <c r="AN153" i="38"/>
  <c r="AM153" i="38"/>
  <c r="AL153" i="38"/>
  <c r="AK153" i="38"/>
  <c r="AJ153" i="38"/>
  <c r="AI153" i="38"/>
  <c r="AH153" i="38"/>
  <c r="AG153" i="38"/>
  <c r="AF153" i="38"/>
  <c r="AE153" i="38"/>
  <c r="AD153" i="38"/>
  <c r="AC153" i="38"/>
  <c r="AB153" i="38"/>
  <c r="AA153" i="38"/>
  <c r="Z153" i="38"/>
  <c r="Y153" i="38"/>
  <c r="X153" i="38"/>
  <c r="W153" i="38"/>
  <c r="V153" i="38"/>
  <c r="U153" i="38"/>
  <c r="T153" i="38"/>
  <c r="S153" i="38"/>
  <c r="R153" i="38"/>
  <c r="Q153" i="38"/>
  <c r="P153" i="38"/>
  <c r="O153" i="38"/>
  <c r="K153" i="38"/>
  <c r="L153" i="38" s="1"/>
  <c r="M153" i="38" s="1"/>
  <c r="N153" i="38" s="1"/>
  <c r="J153" i="38"/>
  <c r="I153" i="38"/>
  <c r="H153" i="38"/>
  <c r="G153" i="38"/>
  <c r="F153" i="38"/>
  <c r="E153" i="38"/>
  <c r="D153" i="38"/>
  <c r="A153" i="38"/>
  <c r="BC152" i="38"/>
  <c r="BB152" i="38"/>
  <c r="BA152" i="38"/>
  <c r="AZ152" i="38"/>
  <c r="AY152" i="38"/>
  <c r="AX152" i="38"/>
  <c r="AW152" i="38"/>
  <c r="AV152" i="38"/>
  <c r="AU152" i="38"/>
  <c r="AT152" i="38"/>
  <c r="AS152" i="38"/>
  <c r="AR152" i="38"/>
  <c r="AQ152" i="38"/>
  <c r="AP152" i="38"/>
  <c r="AO152" i="38"/>
  <c r="AN152" i="38"/>
  <c r="AM152" i="38"/>
  <c r="AL152" i="38"/>
  <c r="AK152" i="38"/>
  <c r="AJ152" i="38"/>
  <c r="AI152" i="38"/>
  <c r="AH152" i="38"/>
  <c r="AG152" i="38"/>
  <c r="AF152" i="38"/>
  <c r="AE152" i="38"/>
  <c r="AD152" i="38"/>
  <c r="AC152" i="38"/>
  <c r="AB152" i="38"/>
  <c r="AA152" i="38"/>
  <c r="Z152" i="38"/>
  <c r="Y152" i="38"/>
  <c r="X152" i="38"/>
  <c r="W152" i="38"/>
  <c r="V152" i="38"/>
  <c r="U152" i="38"/>
  <c r="T152" i="38"/>
  <c r="S152" i="38"/>
  <c r="R152" i="38"/>
  <c r="Q152" i="38"/>
  <c r="P152" i="38"/>
  <c r="O152" i="38"/>
  <c r="K152" i="38"/>
  <c r="L152" i="38" s="1"/>
  <c r="M152" i="38" s="1"/>
  <c r="N152" i="38" s="1"/>
  <c r="J152" i="38"/>
  <c r="I152" i="38"/>
  <c r="H152" i="38"/>
  <c r="G152" i="38"/>
  <c r="F152" i="38"/>
  <c r="E152" i="38"/>
  <c r="D152" i="38"/>
  <c r="A152" i="38"/>
  <c r="BC151" i="38"/>
  <c r="BB151" i="38"/>
  <c r="BA151" i="38"/>
  <c r="AZ151" i="38"/>
  <c r="AY151" i="38"/>
  <c r="AX151" i="38"/>
  <c r="AW151" i="38"/>
  <c r="AV151" i="38"/>
  <c r="AU151" i="38"/>
  <c r="AT151" i="38"/>
  <c r="AS151" i="38"/>
  <c r="AR151" i="38"/>
  <c r="AQ151" i="38"/>
  <c r="AP151" i="38"/>
  <c r="AO151" i="38"/>
  <c r="AN151" i="38"/>
  <c r="AM151" i="38"/>
  <c r="AL151" i="38"/>
  <c r="AK151" i="38"/>
  <c r="AJ151" i="38"/>
  <c r="AI151" i="38"/>
  <c r="AH151" i="38"/>
  <c r="AG151" i="38"/>
  <c r="AF151" i="38"/>
  <c r="AE151" i="38"/>
  <c r="AD151" i="38"/>
  <c r="AC151" i="38"/>
  <c r="AB151" i="38"/>
  <c r="AA151" i="38"/>
  <c r="Z151" i="38"/>
  <c r="Y151" i="38"/>
  <c r="X151" i="38"/>
  <c r="W151" i="38"/>
  <c r="V151" i="38"/>
  <c r="U151" i="38"/>
  <c r="T151" i="38"/>
  <c r="S151" i="38"/>
  <c r="R151" i="38"/>
  <c r="Q151" i="38"/>
  <c r="P151" i="38"/>
  <c r="O151" i="38"/>
  <c r="K151" i="38"/>
  <c r="L151" i="38" s="1"/>
  <c r="M151" i="38" s="1"/>
  <c r="N151" i="38" s="1"/>
  <c r="J151" i="38"/>
  <c r="I151" i="38"/>
  <c r="H151" i="38"/>
  <c r="G151" i="38"/>
  <c r="F151" i="38"/>
  <c r="E151" i="38"/>
  <c r="D151" i="38"/>
  <c r="A151" i="38"/>
  <c r="BC150" i="38"/>
  <c r="BB150" i="38"/>
  <c r="BA150" i="38"/>
  <c r="AZ150" i="38"/>
  <c r="AY150" i="38"/>
  <c r="AX150" i="38"/>
  <c r="AW150" i="38"/>
  <c r="AV150" i="38"/>
  <c r="AU150" i="38"/>
  <c r="AT150" i="38"/>
  <c r="AS150" i="38"/>
  <c r="AR150" i="38"/>
  <c r="AQ150" i="38"/>
  <c r="AP150" i="38"/>
  <c r="AO150" i="38"/>
  <c r="AN150" i="38"/>
  <c r="AM150" i="38"/>
  <c r="AL150" i="38"/>
  <c r="AK150" i="38"/>
  <c r="AJ150" i="38"/>
  <c r="AI150" i="38"/>
  <c r="AH150" i="38"/>
  <c r="AG150" i="38"/>
  <c r="AF150" i="38"/>
  <c r="AE150" i="38"/>
  <c r="AD150" i="38"/>
  <c r="AC150" i="38"/>
  <c r="AB150" i="38"/>
  <c r="AA150" i="38"/>
  <c r="Z150" i="38"/>
  <c r="Y150" i="38"/>
  <c r="X150" i="38"/>
  <c r="W150" i="38"/>
  <c r="V150" i="38"/>
  <c r="U150" i="38"/>
  <c r="T150" i="38"/>
  <c r="S150" i="38"/>
  <c r="R150" i="38"/>
  <c r="Q150" i="38"/>
  <c r="P150" i="38"/>
  <c r="O150" i="38"/>
  <c r="K150" i="38"/>
  <c r="L150" i="38" s="1"/>
  <c r="M150" i="38" s="1"/>
  <c r="N150" i="38" s="1"/>
  <c r="J150" i="38"/>
  <c r="I150" i="38"/>
  <c r="H150" i="38"/>
  <c r="G150" i="38"/>
  <c r="F150" i="38"/>
  <c r="E150" i="38"/>
  <c r="D150" i="38"/>
  <c r="A150" i="38"/>
  <c r="BC149" i="38"/>
  <c r="BB149" i="38"/>
  <c r="BA149" i="38"/>
  <c r="AZ149" i="38"/>
  <c r="AY149" i="38"/>
  <c r="AX149" i="38"/>
  <c r="AW149" i="38"/>
  <c r="AV149" i="38"/>
  <c r="AU149" i="38"/>
  <c r="AT149" i="38"/>
  <c r="AS149" i="38"/>
  <c r="AR149" i="38"/>
  <c r="AQ149" i="38"/>
  <c r="AP149" i="38"/>
  <c r="AO149" i="38"/>
  <c r="AN149" i="38"/>
  <c r="AM149" i="38"/>
  <c r="AL149" i="38"/>
  <c r="AK149" i="38"/>
  <c r="AJ149" i="38"/>
  <c r="AI149" i="38"/>
  <c r="AH149" i="38"/>
  <c r="AG149" i="38"/>
  <c r="AF149" i="38"/>
  <c r="AE149" i="38"/>
  <c r="AD149" i="38"/>
  <c r="AC149" i="38"/>
  <c r="AB149" i="38"/>
  <c r="AA149" i="38"/>
  <c r="Z149" i="38"/>
  <c r="Y149" i="38"/>
  <c r="X149" i="38"/>
  <c r="W149" i="38"/>
  <c r="V149" i="38"/>
  <c r="U149" i="38"/>
  <c r="T149" i="38"/>
  <c r="S149" i="38"/>
  <c r="R149" i="38"/>
  <c r="Q149" i="38"/>
  <c r="P149" i="38"/>
  <c r="O149" i="38"/>
  <c r="K149" i="38"/>
  <c r="L149" i="38" s="1"/>
  <c r="M149" i="38" s="1"/>
  <c r="N149" i="38" s="1"/>
  <c r="J149" i="38"/>
  <c r="I149" i="38"/>
  <c r="H149" i="38"/>
  <c r="G149" i="38"/>
  <c r="F149" i="38"/>
  <c r="E149" i="38"/>
  <c r="D149" i="38"/>
  <c r="A149" i="38"/>
  <c r="BC148" i="38"/>
  <c r="BB148" i="38"/>
  <c r="BA148" i="38"/>
  <c r="AZ148" i="38"/>
  <c r="AY148" i="38"/>
  <c r="AX148" i="38"/>
  <c r="AW148" i="38"/>
  <c r="AV148" i="38"/>
  <c r="AU148" i="38"/>
  <c r="AT148" i="38"/>
  <c r="AS148" i="38"/>
  <c r="AR148" i="38"/>
  <c r="AQ148" i="38"/>
  <c r="AP148" i="38"/>
  <c r="AO148" i="38"/>
  <c r="AN148" i="38"/>
  <c r="AM148" i="38"/>
  <c r="AL148" i="38"/>
  <c r="AK148" i="38"/>
  <c r="AJ148" i="38"/>
  <c r="AI148" i="38"/>
  <c r="AH148" i="38"/>
  <c r="AG148" i="38"/>
  <c r="AF148" i="38"/>
  <c r="AE148" i="38"/>
  <c r="AD148" i="38"/>
  <c r="AC148" i="38"/>
  <c r="AB148" i="38"/>
  <c r="AA148" i="38"/>
  <c r="Z148" i="38"/>
  <c r="Y148" i="38"/>
  <c r="X148" i="38"/>
  <c r="W148" i="38"/>
  <c r="V148" i="38"/>
  <c r="U148" i="38"/>
  <c r="T148" i="38"/>
  <c r="S148" i="38"/>
  <c r="R148" i="38"/>
  <c r="Q148" i="38"/>
  <c r="P148" i="38"/>
  <c r="O148" i="38"/>
  <c r="K148" i="38"/>
  <c r="L148" i="38" s="1"/>
  <c r="M148" i="38" s="1"/>
  <c r="N148" i="38" s="1"/>
  <c r="J148" i="38"/>
  <c r="I148" i="38"/>
  <c r="H148" i="38"/>
  <c r="G148" i="38"/>
  <c r="F148" i="38"/>
  <c r="E148" i="38"/>
  <c r="D148" i="38"/>
  <c r="A148" i="38"/>
  <c r="BC147" i="38"/>
  <c r="BB147" i="38"/>
  <c r="BA147" i="38"/>
  <c r="AZ147" i="38"/>
  <c r="AY147" i="38"/>
  <c r="AX147" i="38"/>
  <c r="AW147" i="38"/>
  <c r="AV147" i="38"/>
  <c r="AU147" i="38"/>
  <c r="AT147" i="38"/>
  <c r="AS147" i="38"/>
  <c r="AR147" i="38"/>
  <c r="AQ147" i="38"/>
  <c r="AP147" i="38"/>
  <c r="AO147" i="38"/>
  <c r="AN147" i="38"/>
  <c r="AM147" i="38"/>
  <c r="AL147" i="38"/>
  <c r="AK147" i="38"/>
  <c r="AJ147" i="38"/>
  <c r="AI147" i="38"/>
  <c r="AH147" i="38"/>
  <c r="AG147" i="38"/>
  <c r="AF147" i="38"/>
  <c r="AE147" i="38"/>
  <c r="AD147" i="38"/>
  <c r="AC147" i="38"/>
  <c r="AB147" i="38"/>
  <c r="AA147" i="38"/>
  <c r="Z147" i="38"/>
  <c r="Y147" i="38"/>
  <c r="X147" i="38"/>
  <c r="W147" i="38"/>
  <c r="V147" i="38"/>
  <c r="U147" i="38"/>
  <c r="T147" i="38"/>
  <c r="S147" i="38"/>
  <c r="R147" i="38"/>
  <c r="Q147" i="38"/>
  <c r="P147" i="38"/>
  <c r="O147" i="38"/>
  <c r="K147" i="38"/>
  <c r="L147" i="38" s="1"/>
  <c r="M147" i="38" s="1"/>
  <c r="N147" i="38" s="1"/>
  <c r="J147" i="38"/>
  <c r="I147" i="38"/>
  <c r="H147" i="38"/>
  <c r="G147" i="38"/>
  <c r="F147" i="38"/>
  <c r="E147" i="38"/>
  <c r="D147" i="38"/>
  <c r="A147" i="38"/>
  <c r="BC146" i="38"/>
  <c r="BB146" i="38"/>
  <c r="BA146" i="38"/>
  <c r="AZ146" i="38"/>
  <c r="AY146" i="38"/>
  <c r="AX146" i="38"/>
  <c r="AW146" i="38"/>
  <c r="AV146" i="38"/>
  <c r="AU146" i="38"/>
  <c r="AT146" i="38"/>
  <c r="AS146" i="38"/>
  <c r="AR146" i="38"/>
  <c r="AQ146" i="38"/>
  <c r="AP146" i="38"/>
  <c r="AO146" i="38"/>
  <c r="AN146" i="38"/>
  <c r="AM146" i="38"/>
  <c r="AL146" i="38"/>
  <c r="AK146" i="38"/>
  <c r="AJ146" i="38"/>
  <c r="AI146" i="38"/>
  <c r="AH146" i="38"/>
  <c r="AG146" i="38"/>
  <c r="AF146" i="38"/>
  <c r="AE146" i="38"/>
  <c r="AD146" i="38"/>
  <c r="AC146" i="38"/>
  <c r="AB146" i="38"/>
  <c r="AA146" i="38"/>
  <c r="Z146" i="38"/>
  <c r="Y146" i="38"/>
  <c r="X146" i="38"/>
  <c r="W146" i="38"/>
  <c r="V146" i="38"/>
  <c r="U146" i="38"/>
  <c r="T146" i="38"/>
  <c r="S146" i="38"/>
  <c r="R146" i="38"/>
  <c r="Q146" i="38"/>
  <c r="P146" i="38"/>
  <c r="O146" i="38"/>
  <c r="K146" i="38"/>
  <c r="L146" i="38" s="1"/>
  <c r="M146" i="38" s="1"/>
  <c r="N146" i="38" s="1"/>
  <c r="J146" i="38"/>
  <c r="I146" i="38"/>
  <c r="H146" i="38"/>
  <c r="G146" i="38"/>
  <c r="F146" i="38"/>
  <c r="E146" i="38"/>
  <c r="D146" i="38"/>
  <c r="A146" i="38"/>
  <c r="BC145" i="38"/>
  <c r="BB145" i="38"/>
  <c r="BA145" i="38"/>
  <c r="AZ145" i="38"/>
  <c r="AY145" i="38"/>
  <c r="AX145" i="38"/>
  <c r="AW145" i="38"/>
  <c r="AV145" i="38"/>
  <c r="AU145" i="38"/>
  <c r="AT145" i="38"/>
  <c r="AS145" i="38"/>
  <c r="AR145" i="38"/>
  <c r="AQ145" i="38"/>
  <c r="AP145" i="38"/>
  <c r="AO145" i="38"/>
  <c r="AN145" i="38"/>
  <c r="AM145" i="38"/>
  <c r="AL145" i="38"/>
  <c r="AK145" i="38"/>
  <c r="AJ145" i="38"/>
  <c r="AI145" i="38"/>
  <c r="AH145" i="38"/>
  <c r="AG145" i="38"/>
  <c r="AF145" i="38"/>
  <c r="AE145" i="38"/>
  <c r="AD145" i="38"/>
  <c r="AC145" i="38"/>
  <c r="AB145" i="38"/>
  <c r="AA145" i="38"/>
  <c r="Z145" i="38"/>
  <c r="Y145" i="38"/>
  <c r="X145" i="38"/>
  <c r="W145" i="38"/>
  <c r="V145" i="38"/>
  <c r="U145" i="38"/>
  <c r="T145" i="38"/>
  <c r="S145" i="38"/>
  <c r="R145" i="38"/>
  <c r="Q145" i="38"/>
  <c r="P145" i="38"/>
  <c r="O145" i="38"/>
  <c r="K145" i="38"/>
  <c r="L145" i="38" s="1"/>
  <c r="M145" i="38" s="1"/>
  <c r="N145" i="38" s="1"/>
  <c r="J145" i="38"/>
  <c r="I145" i="38"/>
  <c r="H145" i="38"/>
  <c r="G145" i="38"/>
  <c r="F145" i="38"/>
  <c r="E145" i="38"/>
  <c r="D145" i="38"/>
  <c r="A145" i="38"/>
  <c r="BC144" i="38"/>
  <c r="BB144" i="38"/>
  <c r="BA144" i="38"/>
  <c r="AZ144" i="38"/>
  <c r="AY144" i="38"/>
  <c r="AX144" i="38"/>
  <c r="AW144" i="38"/>
  <c r="AV144" i="38"/>
  <c r="AU144" i="38"/>
  <c r="AT144" i="38"/>
  <c r="AS144" i="38"/>
  <c r="AR144" i="38"/>
  <c r="AQ144" i="38"/>
  <c r="AP144" i="38"/>
  <c r="AO144" i="38"/>
  <c r="AN144" i="38"/>
  <c r="AM144" i="38"/>
  <c r="AL144" i="38"/>
  <c r="AK144" i="38"/>
  <c r="AJ144" i="38"/>
  <c r="AI144" i="38"/>
  <c r="AH144" i="38"/>
  <c r="AG144" i="38"/>
  <c r="AF144" i="38"/>
  <c r="AE144" i="38"/>
  <c r="AD144" i="38"/>
  <c r="AC144" i="38"/>
  <c r="AB144" i="38"/>
  <c r="AA144" i="38"/>
  <c r="Z144" i="38"/>
  <c r="Y144" i="38"/>
  <c r="X144" i="38"/>
  <c r="W144" i="38"/>
  <c r="V144" i="38"/>
  <c r="U144" i="38"/>
  <c r="T144" i="38"/>
  <c r="S144" i="38"/>
  <c r="R144" i="38"/>
  <c r="Q144" i="38"/>
  <c r="P144" i="38"/>
  <c r="O144" i="38"/>
  <c r="K144" i="38"/>
  <c r="L144" i="38" s="1"/>
  <c r="M144" i="38" s="1"/>
  <c r="N144" i="38" s="1"/>
  <c r="J144" i="38"/>
  <c r="I144" i="38"/>
  <c r="H144" i="38"/>
  <c r="G144" i="38"/>
  <c r="F144" i="38"/>
  <c r="E144" i="38"/>
  <c r="D144" i="38"/>
  <c r="A144" i="38"/>
  <c r="BC143" i="38"/>
  <c r="BB143" i="38"/>
  <c r="BA143" i="38"/>
  <c r="AZ143" i="38"/>
  <c r="AY143" i="38"/>
  <c r="AX143" i="38"/>
  <c r="AW143" i="38"/>
  <c r="AV143" i="38"/>
  <c r="AU143" i="38"/>
  <c r="AT143" i="38"/>
  <c r="AS143" i="38"/>
  <c r="AR143" i="38"/>
  <c r="AQ143" i="38"/>
  <c r="AP143" i="38"/>
  <c r="AO143" i="38"/>
  <c r="AN143" i="38"/>
  <c r="AM143" i="38"/>
  <c r="AL143" i="38"/>
  <c r="AK143" i="38"/>
  <c r="AJ143" i="38"/>
  <c r="AI143" i="38"/>
  <c r="AH143" i="38"/>
  <c r="AG143" i="38"/>
  <c r="AF143" i="38"/>
  <c r="AE143" i="38"/>
  <c r="AD143" i="38"/>
  <c r="AC143" i="38"/>
  <c r="AB143" i="38"/>
  <c r="AA143" i="38"/>
  <c r="Z143" i="38"/>
  <c r="Y143" i="38"/>
  <c r="X143" i="38"/>
  <c r="W143" i="38"/>
  <c r="V143" i="38"/>
  <c r="U143" i="38"/>
  <c r="T143" i="38"/>
  <c r="S143" i="38"/>
  <c r="R143" i="38"/>
  <c r="Q143" i="38"/>
  <c r="P143" i="38"/>
  <c r="O143" i="38"/>
  <c r="K143" i="38"/>
  <c r="L143" i="38" s="1"/>
  <c r="M143" i="38" s="1"/>
  <c r="N143" i="38" s="1"/>
  <c r="J143" i="38"/>
  <c r="I143" i="38"/>
  <c r="H143" i="38"/>
  <c r="G143" i="38"/>
  <c r="F143" i="38"/>
  <c r="E143" i="38"/>
  <c r="D143" i="38"/>
  <c r="A143" i="38"/>
  <c r="BC142" i="38"/>
  <c r="BB142" i="38"/>
  <c r="BA142" i="38"/>
  <c r="AZ142" i="38"/>
  <c r="AY142" i="38"/>
  <c r="AX142" i="38"/>
  <c r="AW142" i="38"/>
  <c r="AV142" i="38"/>
  <c r="AU142" i="38"/>
  <c r="AT142" i="38"/>
  <c r="AS142" i="38"/>
  <c r="AR142" i="38"/>
  <c r="AQ142" i="38"/>
  <c r="AP142" i="38"/>
  <c r="AO142" i="38"/>
  <c r="AN142" i="38"/>
  <c r="AM142" i="38"/>
  <c r="AL142" i="38"/>
  <c r="AK142" i="38"/>
  <c r="AJ142" i="38"/>
  <c r="AI142" i="38"/>
  <c r="AH142" i="38"/>
  <c r="AG142" i="38"/>
  <c r="AF142" i="38"/>
  <c r="AE142" i="38"/>
  <c r="AD142" i="38"/>
  <c r="AC142" i="38"/>
  <c r="AB142" i="38"/>
  <c r="AA142" i="38"/>
  <c r="Z142" i="38"/>
  <c r="Y142" i="38"/>
  <c r="X142" i="38"/>
  <c r="W142" i="38"/>
  <c r="V142" i="38"/>
  <c r="U142" i="38"/>
  <c r="T142" i="38"/>
  <c r="S142" i="38"/>
  <c r="R142" i="38"/>
  <c r="Q142" i="38"/>
  <c r="P142" i="38"/>
  <c r="O142" i="38"/>
  <c r="K142" i="38"/>
  <c r="L142" i="38" s="1"/>
  <c r="M142" i="38" s="1"/>
  <c r="N142" i="38" s="1"/>
  <c r="J142" i="38"/>
  <c r="I142" i="38"/>
  <c r="H142" i="38"/>
  <c r="G142" i="38"/>
  <c r="F142" i="38"/>
  <c r="E142" i="38"/>
  <c r="D142" i="38"/>
  <c r="A142" i="38"/>
  <c r="BC141" i="38"/>
  <c r="BB141" i="38"/>
  <c r="BA141" i="38"/>
  <c r="AZ141" i="38"/>
  <c r="AY141" i="38"/>
  <c r="AX141" i="38"/>
  <c r="AW141" i="38"/>
  <c r="AV141" i="38"/>
  <c r="AU141" i="38"/>
  <c r="AT141" i="38"/>
  <c r="AS141" i="38"/>
  <c r="AR141" i="38"/>
  <c r="AQ141" i="38"/>
  <c r="AP141" i="38"/>
  <c r="AO141" i="38"/>
  <c r="AN141" i="38"/>
  <c r="AM141" i="38"/>
  <c r="AL141" i="38"/>
  <c r="AK141" i="38"/>
  <c r="AJ141" i="38"/>
  <c r="AI141" i="38"/>
  <c r="AH141" i="38"/>
  <c r="AG141" i="38"/>
  <c r="AF141" i="38"/>
  <c r="AE141" i="38"/>
  <c r="AD141" i="38"/>
  <c r="AC141" i="38"/>
  <c r="AB141" i="38"/>
  <c r="AA141" i="38"/>
  <c r="Z141" i="38"/>
  <c r="Y141" i="38"/>
  <c r="X141" i="38"/>
  <c r="W141" i="38"/>
  <c r="V141" i="38"/>
  <c r="U141" i="38"/>
  <c r="T141" i="38"/>
  <c r="S141" i="38"/>
  <c r="R141" i="38"/>
  <c r="Q141" i="38"/>
  <c r="P141" i="38"/>
  <c r="O141" i="38"/>
  <c r="K141" i="38"/>
  <c r="L141" i="38" s="1"/>
  <c r="M141" i="38" s="1"/>
  <c r="N141" i="38" s="1"/>
  <c r="J141" i="38"/>
  <c r="I141" i="38"/>
  <c r="H141" i="38"/>
  <c r="G141" i="38"/>
  <c r="F141" i="38"/>
  <c r="E141" i="38"/>
  <c r="D141" i="38"/>
  <c r="A141" i="38"/>
  <c r="BC140" i="38"/>
  <c r="BB140" i="38"/>
  <c r="BA140" i="38"/>
  <c r="AZ140" i="38"/>
  <c r="AY140" i="38"/>
  <c r="AX140" i="38"/>
  <c r="AW140" i="38"/>
  <c r="AV140" i="38"/>
  <c r="AU140" i="38"/>
  <c r="AT140" i="38"/>
  <c r="AS140" i="38"/>
  <c r="AR140" i="38"/>
  <c r="AQ140" i="38"/>
  <c r="AP140" i="38"/>
  <c r="AO140" i="38"/>
  <c r="AN140" i="38"/>
  <c r="AM140" i="38"/>
  <c r="AL140" i="38"/>
  <c r="AK140" i="38"/>
  <c r="AJ140" i="38"/>
  <c r="AI140" i="38"/>
  <c r="AH140" i="38"/>
  <c r="AG140" i="38"/>
  <c r="AF140" i="38"/>
  <c r="AE140" i="38"/>
  <c r="AD140" i="38"/>
  <c r="AC140" i="38"/>
  <c r="AB140" i="38"/>
  <c r="AA140" i="38"/>
  <c r="Z140" i="38"/>
  <c r="Y140" i="38"/>
  <c r="X140" i="38"/>
  <c r="W140" i="38"/>
  <c r="V140" i="38"/>
  <c r="U140" i="38"/>
  <c r="T140" i="38"/>
  <c r="S140" i="38"/>
  <c r="R140" i="38"/>
  <c r="Q140" i="38"/>
  <c r="P140" i="38"/>
  <c r="O140" i="38"/>
  <c r="K140" i="38"/>
  <c r="L140" i="38" s="1"/>
  <c r="M140" i="38" s="1"/>
  <c r="N140" i="38" s="1"/>
  <c r="J140" i="38"/>
  <c r="I140" i="38"/>
  <c r="H140" i="38"/>
  <c r="G140" i="38"/>
  <c r="F140" i="38"/>
  <c r="E140" i="38"/>
  <c r="D140" i="38"/>
  <c r="A140" i="38"/>
  <c r="BC139" i="38"/>
  <c r="BB139" i="38"/>
  <c r="BA139" i="38"/>
  <c r="AZ139" i="38"/>
  <c r="AY139" i="38"/>
  <c r="AX139" i="38"/>
  <c r="AW139" i="38"/>
  <c r="AV139" i="38"/>
  <c r="AU139" i="38"/>
  <c r="AT139" i="38"/>
  <c r="AS139" i="38"/>
  <c r="AR139" i="38"/>
  <c r="AQ139" i="38"/>
  <c r="AP139" i="38"/>
  <c r="AO139" i="38"/>
  <c r="AN139" i="38"/>
  <c r="AM139" i="38"/>
  <c r="AL139" i="38"/>
  <c r="AK139" i="38"/>
  <c r="AJ139" i="38"/>
  <c r="AI139" i="38"/>
  <c r="AH139" i="38"/>
  <c r="AG139" i="38"/>
  <c r="AF139" i="38"/>
  <c r="AE139" i="38"/>
  <c r="AD139" i="38"/>
  <c r="AC139" i="38"/>
  <c r="AB139" i="38"/>
  <c r="AA139" i="38"/>
  <c r="Z139" i="38"/>
  <c r="Y139" i="38"/>
  <c r="X139" i="38"/>
  <c r="W139" i="38"/>
  <c r="V139" i="38"/>
  <c r="U139" i="38"/>
  <c r="T139" i="38"/>
  <c r="S139" i="38"/>
  <c r="R139" i="38"/>
  <c r="Q139" i="38"/>
  <c r="P139" i="38"/>
  <c r="O139" i="38"/>
  <c r="K139" i="38"/>
  <c r="L139" i="38" s="1"/>
  <c r="M139" i="38" s="1"/>
  <c r="N139" i="38" s="1"/>
  <c r="J139" i="38"/>
  <c r="I139" i="38"/>
  <c r="H139" i="38"/>
  <c r="G139" i="38"/>
  <c r="F139" i="38"/>
  <c r="E139" i="38"/>
  <c r="D139" i="38"/>
  <c r="A139" i="38"/>
  <c r="BC138" i="38"/>
  <c r="BB138" i="38"/>
  <c r="BA138" i="38"/>
  <c r="AZ138" i="38"/>
  <c r="AY138" i="38"/>
  <c r="AX138" i="38"/>
  <c r="AW138" i="38"/>
  <c r="AV138" i="38"/>
  <c r="AU138" i="38"/>
  <c r="AT138" i="38"/>
  <c r="AS138" i="38"/>
  <c r="AR138" i="38"/>
  <c r="AQ138" i="38"/>
  <c r="AP138" i="38"/>
  <c r="AO138" i="38"/>
  <c r="AN138" i="38"/>
  <c r="AM138" i="38"/>
  <c r="AL138" i="38"/>
  <c r="AK138" i="38"/>
  <c r="AJ138" i="38"/>
  <c r="AI138" i="38"/>
  <c r="AH138" i="38"/>
  <c r="AG138" i="38"/>
  <c r="AF138" i="38"/>
  <c r="AE138" i="38"/>
  <c r="AD138" i="38"/>
  <c r="AC138" i="38"/>
  <c r="AB138" i="38"/>
  <c r="AA138" i="38"/>
  <c r="Z138" i="38"/>
  <c r="Y138" i="38"/>
  <c r="X138" i="38"/>
  <c r="W138" i="38"/>
  <c r="V138" i="38"/>
  <c r="U138" i="38"/>
  <c r="T138" i="38"/>
  <c r="S138" i="38"/>
  <c r="R138" i="38"/>
  <c r="Q138" i="38"/>
  <c r="P138" i="38"/>
  <c r="O138" i="38"/>
  <c r="K138" i="38"/>
  <c r="L138" i="38" s="1"/>
  <c r="M138" i="38" s="1"/>
  <c r="N138" i="38" s="1"/>
  <c r="J138" i="38"/>
  <c r="I138" i="38"/>
  <c r="H138" i="38"/>
  <c r="G138" i="38"/>
  <c r="F138" i="38"/>
  <c r="E138" i="38"/>
  <c r="D138" i="38"/>
  <c r="A138" i="38"/>
  <c r="BC137" i="38"/>
  <c r="BB137" i="38"/>
  <c r="BA137" i="38"/>
  <c r="AZ137" i="38"/>
  <c r="AY137" i="38"/>
  <c r="AX137" i="38"/>
  <c r="AW137" i="38"/>
  <c r="AV137" i="38"/>
  <c r="AU137" i="38"/>
  <c r="AT137" i="38"/>
  <c r="AS137" i="38"/>
  <c r="AR137" i="38"/>
  <c r="AQ137" i="38"/>
  <c r="AP137" i="38"/>
  <c r="AO137" i="38"/>
  <c r="AN137" i="38"/>
  <c r="AM137" i="38"/>
  <c r="AL137" i="38"/>
  <c r="AK137" i="38"/>
  <c r="AJ137" i="38"/>
  <c r="AI137" i="38"/>
  <c r="AH137" i="38"/>
  <c r="AG137" i="38"/>
  <c r="AF137" i="38"/>
  <c r="AE137" i="38"/>
  <c r="AD137" i="38"/>
  <c r="AC137" i="38"/>
  <c r="AB137" i="38"/>
  <c r="AA137" i="38"/>
  <c r="Z137" i="38"/>
  <c r="Y137" i="38"/>
  <c r="X137" i="38"/>
  <c r="W137" i="38"/>
  <c r="V137" i="38"/>
  <c r="U137" i="38"/>
  <c r="T137" i="38"/>
  <c r="S137" i="38"/>
  <c r="R137" i="38"/>
  <c r="Q137" i="38"/>
  <c r="P137" i="38"/>
  <c r="O137" i="38"/>
  <c r="K137" i="38"/>
  <c r="L137" i="38" s="1"/>
  <c r="M137" i="38" s="1"/>
  <c r="N137" i="38" s="1"/>
  <c r="J137" i="38"/>
  <c r="I137" i="38"/>
  <c r="H137" i="38"/>
  <c r="G137" i="38"/>
  <c r="F137" i="38"/>
  <c r="E137" i="38"/>
  <c r="D137" i="38"/>
  <c r="A137" i="38"/>
  <c r="BC136" i="38"/>
  <c r="BB136" i="38"/>
  <c r="BA136" i="38"/>
  <c r="AZ136" i="38"/>
  <c r="AY136" i="38"/>
  <c r="AX136" i="38"/>
  <c r="AW136" i="38"/>
  <c r="AV136" i="38"/>
  <c r="AU136" i="38"/>
  <c r="AT136" i="38"/>
  <c r="AS136" i="38"/>
  <c r="AR136" i="38"/>
  <c r="AQ136" i="38"/>
  <c r="AP136" i="38"/>
  <c r="AO136" i="38"/>
  <c r="AN136" i="38"/>
  <c r="AM136" i="38"/>
  <c r="AL136" i="38"/>
  <c r="AK136" i="38"/>
  <c r="AJ136" i="38"/>
  <c r="AI136" i="38"/>
  <c r="AH136" i="38"/>
  <c r="AG136" i="38"/>
  <c r="AF136" i="38"/>
  <c r="AE136" i="38"/>
  <c r="AD136" i="38"/>
  <c r="AC136" i="38"/>
  <c r="AB136" i="38"/>
  <c r="AA136" i="38"/>
  <c r="Z136" i="38"/>
  <c r="Y136" i="38"/>
  <c r="X136" i="38"/>
  <c r="W136" i="38"/>
  <c r="V136" i="38"/>
  <c r="U136" i="38"/>
  <c r="T136" i="38"/>
  <c r="S136" i="38"/>
  <c r="R136" i="38"/>
  <c r="Q136" i="38"/>
  <c r="P136" i="38"/>
  <c r="O136" i="38"/>
  <c r="K136" i="38"/>
  <c r="L136" i="38" s="1"/>
  <c r="M136" i="38" s="1"/>
  <c r="N136" i="38" s="1"/>
  <c r="J136" i="38"/>
  <c r="I136" i="38"/>
  <c r="H136" i="38"/>
  <c r="G136" i="38"/>
  <c r="F136" i="38"/>
  <c r="E136" i="38"/>
  <c r="D136" i="38"/>
  <c r="A136" i="38"/>
  <c r="BC135" i="38"/>
  <c r="BB135" i="38"/>
  <c r="BA135" i="38"/>
  <c r="AZ135" i="38"/>
  <c r="AY135" i="38"/>
  <c r="AX135" i="38"/>
  <c r="AW135" i="38"/>
  <c r="AV135" i="38"/>
  <c r="AU135" i="38"/>
  <c r="AT135" i="38"/>
  <c r="AS135" i="38"/>
  <c r="AR135" i="38"/>
  <c r="AQ135" i="38"/>
  <c r="AP135" i="38"/>
  <c r="AO135" i="38"/>
  <c r="AN135" i="38"/>
  <c r="AM135" i="38"/>
  <c r="AL135" i="38"/>
  <c r="AK135" i="38"/>
  <c r="AJ135" i="38"/>
  <c r="AI135" i="38"/>
  <c r="AH135" i="38"/>
  <c r="AG135" i="38"/>
  <c r="AF135" i="38"/>
  <c r="AE135" i="38"/>
  <c r="AD135" i="38"/>
  <c r="AC135" i="38"/>
  <c r="AB135" i="38"/>
  <c r="AA135" i="38"/>
  <c r="Z135" i="38"/>
  <c r="Y135" i="38"/>
  <c r="X135" i="38"/>
  <c r="W135" i="38"/>
  <c r="V135" i="38"/>
  <c r="U135" i="38"/>
  <c r="T135" i="38"/>
  <c r="S135" i="38"/>
  <c r="R135" i="38"/>
  <c r="Q135" i="38"/>
  <c r="P135" i="38"/>
  <c r="O135" i="38"/>
  <c r="K135" i="38"/>
  <c r="L135" i="38" s="1"/>
  <c r="M135" i="38" s="1"/>
  <c r="N135" i="38" s="1"/>
  <c r="J135" i="38"/>
  <c r="I135" i="38"/>
  <c r="H135" i="38"/>
  <c r="G135" i="38"/>
  <c r="F135" i="38"/>
  <c r="E135" i="38"/>
  <c r="D135" i="38"/>
  <c r="A135" i="38"/>
  <c r="BC134" i="38"/>
  <c r="BB134" i="38"/>
  <c r="BA134" i="38"/>
  <c r="AZ134" i="38"/>
  <c r="AY134" i="38"/>
  <c r="AX134" i="38"/>
  <c r="AW134" i="38"/>
  <c r="AV134" i="38"/>
  <c r="AU134" i="38"/>
  <c r="AT134" i="38"/>
  <c r="AS134" i="38"/>
  <c r="AR134" i="38"/>
  <c r="AQ134" i="38"/>
  <c r="AP134" i="38"/>
  <c r="AO134" i="38"/>
  <c r="AN134" i="38"/>
  <c r="AM134" i="38"/>
  <c r="AL134" i="38"/>
  <c r="AK134" i="38"/>
  <c r="AJ134" i="38"/>
  <c r="AI134" i="38"/>
  <c r="AH134" i="38"/>
  <c r="AG134" i="38"/>
  <c r="AF134" i="38"/>
  <c r="AE134" i="38"/>
  <c r="AD134" i="38"/>
  <c r="AC134" i="38"/>
  <c r="AB134" i="38"/>
  <c r="AA134" i="38"/>
  <c r="Z134" i="38"/>
  <c r="Y134" i="38"/>
  <c r="X134" i="38"/>
  <c r="W134" i="38"/>
  <c r="V134" i="38"/>
  <c r="U134" i="38"/>
  <c r="T134" i="38"/>
  <c r="S134" i="38"/>
  <c r="R134" i="38"/>
  <c r="Q134" i="38"/>
  <c r="P134" i="38"/>
  <c r="O134" i="38"/>
  <c r="K134" i="38"/>
  <c r="L134" i="38" s="1"/>
  <c r="M134" i="38" s="1"/>
  <c r="N134" i="38" s="1"/>
  <c r="J134" i="38"/>
  <c r="I134" i="38"/>
  <c r="H134" i="38"/>
  <c r="G134" i="38"/>
  <c r="F134" i="38"/>
  <c r="E134" i="38"/>
  <c r="D134" i="38"/>
  <c r="A134" i="38"/>
  <c r="BC133" i="38"/>
  <c r="BB133" i="38"/>
  <c r="BA133" i="38"/>
  <c r="AZ133" i="38"/>
  <c r="AY133" i="38"/>
  <c r="AX133" i="38"/>
  <c r="AW133" i="38"/>
  <c r="AV133" i="38"/>
  <c r="AU133" i="38"/>
  <c r="AT133" i="38"/>
  <c r="AS133" i="38"/>
  <c r="AR133" i="38"/>
  <c r="AQ133" i="38"/>
  <c r="AP133" i="38"/>
  <c r="AO133" i="38"/>
  <c r="AN133" i="38"/>
  <c r="AM133" i="38"/>
  <c r="AL133" i="38"/>
  <c r="AK133" i="38"/>
  <c r="AJ133" i="38"/>
  <c r="AI133" i="38"/>
  <c r="AH133" i="38"/>
  <c r="AG133" i="38"/>
  <c r="AF133" i="38"/>
  <c r="AE133" i="38"/>
  <c r="AD133" i="38"/>
  <c r="AC133" i="38"/>
  <c r="AB133" i="38"/>
  <c r="AA133" i="38"/>
  <c r="Z133" i="38"/>
  <c r="Y133" i="38"/>
  <c r="X133" i="38"/>
  <c r="W133" i="38"/>
  <c r="V133" i="38"/>
  <c r="U133" i="38"/>
  <c r="T133" i="38"/>
  <c r="S133" i="38"/>
  <c r="R133" i="38"/>
  <c r="Q133" i="38"/>
  <c r="P133" i="38"/>
  <c r="O133" i="38"/>
  <c r="K133" i="38"/>
  <c r="L133" i="38" s="1"/>
  <c r="M133" i="38" s="1"/>
  <c r="N133" i="38" s="1"/>
  <c r="J133" i="38"/>
  <c r="I133" i="38"/>
  <c r="H133" i="38"/>
  <c r="G133" i="38"/>
  <c r="F133" i="38"/>
  <c r="E133" i="38"/>
  <c r="D133" i="38"/>
  <c r="A133" i="38"/>
  <c r="BC132" i="38"/>
  <c r="BB132" i="38"/>
  <c r="BA132" i="38"/>
  <c r="AZ132" i="38"/>
  <c r="AY132" i="38"/>
  <c r="AX132" i="38"/>
  <c r="AW132" i="38"/>
  <c r="AV132" i="38"/>
  <c r="AU132" i="38"/>
  <c r="AT132" i="38"/>
  <c r="AS132" i="38"/>
  <c r="AR132" i="38"/>
  <c r="AQ132" i="38"/>
  <c r="AP132" i="38"/>
  <c r="AO132" i="38"/>
  <c r="AN132" i="38"/>
  <c r="AM132" i="38"/>
  <c r="AL132" i="38"/>
  <c r="AK132" i="38"/>
  <c r="AJ132" i="38"/>
  <c r="AI132" i="38"/>
  <c r="AH132" i="38"/>
  <c r="AG132" i="38"/>
  <c r="AF132" i="38"/>
  <c r="AE132" i="38"/>
  <c r="AD132" i="38"/>
  <c r="AC132" i="38"/>
  <c r="AB132" i="38"/>
  <c r="AA132" i="38"/>
  <c r="Z132" i="38"/>
  <c r="Y132" i="38"/>
  <c r="X132" i="38"/>
  <c r="W132" i="38"/>
  <c r="V132" i="38"/>
  <c r="U132" i="38"/>
  <c r="T132" i="38"/>
  <c r="S132" i="38"/>
  <c r="R132" i="38"/>
  <c r="Q132" i="38"/>
  <c r="P132" i="38"/>
  <c r="O132" i="38"/>
  <c r="K132" i="38"/>
  <c r="L132" i="38" s="1"/>
  <c r="M132" i="38" s="1"/>
  <c r="N132" i="38" s="1"/>
  <c r="J132" i="38"/>
  <c r="I132" i="38"/>
  <c r="H132" i="38"/>
  <c r="G132" i="38"/>
  <c r="F132" i="38"/>
  <c r="E132" i="38"/>
  <c r="D132" i="38"/>
  <c r="A132" i="38"/>
  <c r="BC131" i="38"/>
  <c r="BB131" i="38"/>
  <c r="BA131" i="38"/>
  <c r="AZ131" i="38"/>
  <c r="AY131" i="38"/>
  <c r="AX131" i="38"/>
  <c r="AW131" i="38"/>
  <c r="AV131" i="38"/>
  <c r="AU131" i="38"/>
  <c r="AT131" i="38"/>
  <c r="AS131" i="38"/>
  <c r="AR131" i="38"/>
  <c r="AQ131" i="38"/>
  <c r="AP131" i="38"/>
  <c r="AO131" i="38"/>
  <c r="AN131" i="38"/>
  <c r="AM131" i="38"/>
  <c r="AL131" i="38"/>
  <c r="AK131" i="38"/>
  <c r="AJ131" i="38"/>
  <c r="AI131" i="38"/>
  <c r="AH131" i="38"/>
  <c r="AG131" i="38"/>
  <c r="AF131" i="38"/>
  <c r="AE131" i="38"/>
  <c r="AD131" i="38"/>
  <c r="AC131" i="38"/>
  <c r="AB131" i="38"/>
  <c r="AA131" i="38"/>
  <c r="Z131" i="38"/>
  <c r="Y131" i="38"/>
  <c r="X131" i="38"/>
  <c r="W131" i="38"/>
  <c r="V131" i="38"/>
  <c r="U131" i="38"/>
  <c r="T131" i="38"/>
  <c r="S131" i="38"/>
  <c r="R131" i="38"/>
  <c r="Q131" i="38"/>
  <c r="P131" i="38"/>
  <c r="O131" i="38"/>
  <c r="K131" i="38"/>
  <c r="L131" i="38" s="1"/>
  <c r="M131" i="38" s="1"/>
  <c r="N131" i="38" s="1"/>
  <c r="J131" i="38"/>
  <c r="I131" i="38"/>
  <c r="H131" i="38"/>
  <c r="G131" i="38"/>
  <c r="F131" i="38"/>
  <c r="E131" i="38"/>
  <c r="D131" i="38"/>
  <c r="A131" i="38"/>
  <c r="BC130" i="38"/>
  <c r="BB130" i="38"/>
  <c r="BA130" i="38"/>
  <c r="AZ130" i="38"/>
  <c r="AY130" i="38"/>
  <c r="AX130" i="38"/>
  <c r="AW130" i="38"/>
  <c r="AV130" i="38"/>
  <c r="AU130" i="38"/>
  <c r="AT130" i="38"/>
  <c r="AS130" i="38"/>
  <c r="AR130" i="38"/>
  <c r="AQ130" i="38"/>
  <c r="AP130" i="38"/>
  <c r="AO130" i="38"/>
  <c r="AN130" i="38"/>
  <c r="AM130" i="38"/>
  <c r="AL130" i="38"/>
  <c r="AK130" i="38"/>
  <c r="AJ130" i="38"/>
  <c r="AI130" i="38"/>
  <c r="AH130" i="38"/>
  <c r="AG130" i="38"/>
  <c r="AF130" i="38"/>
  <c r="AE130" i="38"/>
  <c r="AD130" i="38"/>
  <c r="AC130" i="38"/>
  <c r="AB130" i="38"/>
  <c r="AA130" i="38"/>
  <c r="Z130" i="38"/>
  <c r="Y130" i="38"/>
  <c r="X130" i="38"/>
  <c r="W130" i="38"/>
  <c r="V130" i="38"/>
  <c r="U130" i="38"/>
  <c r="T130" i="38"/>
  <c r="S130" i="38"/>
  <c r="R130" i="38"/>
  <c r="Q130" i="38"/>
  <c r="P130" i="38"/>
  <c r="O130" i="38"/>
  <c r="K130" i="38"/>
  <c r="L130" i="38" s="1"/>
  <c r="M130" i="38" s="1"/>
  <c r="N130" i="38" s="1"/>
  <c r="J130" i="38"/>
  <c r="I130" i="38"/>
  <c r="H130" i="38"/>
  <c r="G130" i="38"/>
  <c r="F130" i="38"/>
  <c r="E130" i="38"/>
  <c r="D130" i="38"/>
  <c r="A130" i="38"/>
  <c r="BC129" i="38"/>
  <c r="BB129" i="38"/>
  <c r="BA129" i="38"/>
  <c r="AZ129" i="38"/>
  <c r="AY129" i="38"/>
  <c r="AX129" i="38"/>
  <c r="AW129" i="38"/>
  <c r="AV129" i="38"/>
  <c r="AU129" i="38"/>
  <c r="AT129" i="38"/>
  <c r="AS129" i="38"/>
  <c r="AR129" i="38"/>
  <c r="AQ129" i="38"/>
  <c r="AP129" i="38"/>
  <c r="AO129" i="38"/>
  <c r="AN129" i="38"/>
  <c r="AM129" i="38"/>
  <c r="AL129" i="38"/>
  <c r="AK129" i="38"/>
  <c r="AJ129" i="38"/>
  <c r="AI129" i="38"/>
  <c r="AH129" i="38"/>
  <c r="AG129" i="38"/>
  <c r="AF129" i="38"/>
  <c r="AE129" i="38"/>
  <c r="AD129" i="38"/>
  <c r="AC129" i="38"/>
  <c r="AB129" i="38"/>
  <c r="AA129" i="38"/>
  <c r="Z129" i="38"/>
  <c r="Y129" i="38"/>
  <c r="X129" i="38"/>
  <c r="W129" i="38"/>
  <c r="V129" i="38"/>
  <c r="U129" i="38"/>
  <c r="T129" i="38"/>
  <c r="S129" i="38"/>
  <c r="R129" i="38"/>
  <c r="Q129" i="38"/>
  <c r="P129" i="38"/>
  <c r="O129" i="38"/>
  <c r="K129" i="38"/>
  <c r="L129" i="38" s="1"/>
  <c r="M129" i="38" s="1"/>
  <c r="N129" i="38" s="1"/>
  <c r="J129" i="38"/>
  <c r="I129" i="38"/>
  <c r="H129" i="38"/>
  <c r="G129" i="38"/>
  <c r="F129" i="38"/>
  <c r="E129" i="38"/>
  <c r="D129" i="38"/>
  <c r="A129" i="38"/>
  <c r="BC128" i="38"/>
  <c r="BB128" i="38"/>
  <c r="BA128" i="38"/>
  <c r="AZ128" i="38"/>
  <c r="AY128" i="38"/>
  <c r="AX128" i="38"/>
  <c r="AW128" i="38"/>
  <c r="AV128" i="38"/>
  <c r="AU128" i="38"/>
  <c r="AT128" i="38"/>
  <c r="AS128" i="38"/>
  <c r="AR128" i="38"/>
  <c r="AQ128" i="38"/>
  <c r="AP128" i="38"/>
  <c r="AO128" i="38"/>
  <c r="AN128" i="38"/>
  <c r="AM128" i="38"/>
  <c r="AL128" i="38"/>
  <c r="AK128" i="38"/>
  <c r="AJ128" i="38"/>
  <c r="AI128" i="38"/>
  <c r="AH128" i="38"/>
  <c r="AG128" i="38"/>
  <c r="AF128" i="38"/>
  <c r="AE128" i="38"/>
  <c r="AD128" i="38"/>
  <c r="AC128" i="38"/>
  <c r="AB128" i="38"/>
  <c r="AA128" i="38"/>
  <c r="Z128" i="38"/>
  <c r="Y128" i="38"/>
  <c r="X128" i="38"/>
  <c r="W128" i="38"/>
  <c r="V128" i="38"/>
  <c r="U128" i="38"/>
  <c r="T128" i="38"/>
  <c r="S128" i="38"/>
  <c r="R128" i="38"/>
  <c r="Q128" i="38"/>
  <c r="P128" i="38"/>
  <c r="O128" i="38"/>
  <c r="K128" i="38"/>
  <c r="L128" i="38" s="1"/>
  <c r="M128" i="38" s="1"/>
  <c r="N128" i="38" s="1"/>
  <c r="J128" i="38"/>
  <c r="I128" i="38"/>
  <c r="H128" i="38"/>
  <c r="G128" i="38"/>
  <c r="F128" i="38"/>
  <c r="E128" i="38"/>
  <c r="D128" i="38"/>
  <c r="A128" i="38"/>
  <c r="BC127" i="38"/>
  <c r="BB127" i="38"/>
  <c r="BA127" i="38"/>
  <c r="AZ127" i="38"/>
  <c r="AY127" i="38"/>
  <c r="AX127" i="38"/>
  <c r="AW127" i="38"/>
  <c r="AV127" i="38"/>
  <c r="AU127" i="38"/>
  <c r="AT127" i="38"/>
  <c r="AS127" i="38"/>
  <c r="AR127" i="38"/>
  <c r="AQ127" i="38"/>
  <c r="AP127" i="38"/>
  <c r="AO127" i="38"/>
  <c r="AN127" i="38"/>
  <c r="AM127" i="38"/>
  <c r="AL127" i="38"/>
  <c r="AK127" i="38"/>
  <c r="AJ127" i="38"/>
  <c r="AI127" i="38"/>
  <c r="AH127" i="38"/>
  <c r="AG127" i="38"/>
  <c r="AF127" i="38"/>
  <c r="AE127" i="38"/>
  <c r="AD127" i="38"/>
  <c r="AC127" i="38"/>
  <c r="AB127" i="38"/>
  <c r="AA127" i="38"/>
  <c r="Z127" i="38"/>
  <c r="Y127" i="38"/>
  <c r="X127" i="38"/>
  <c r="W127" i="38"/>
  <c r="V127" i="38"/>
  <c r="U127" i="38"/>
  <c r="T127" i="38"/>
  <c r="S127" i="38"/>
  <c r="R127" i="38"/>
  <c r="Q127" i="38"/>
  <c r="P127" i="38"/>
  <c r="O127" i="38"/>
  <c r="K127" i="38"/>
  <c r="L127" i="38" s="1"/>
  <c r="M127" i="38" s="1"/>
  <c r="N127" i="38" s="1"/>
  <c r="J127" i="38"/>
  <c r="I127" i="38"/>
  <c r="H127" i="38"/>
  <c r="G127" i="38"/>
  <c r="F127" i="38"/>
  <c r="E127" i="38"/>
  <c r="D127" i="38"/>
  <c r="A127" i="38"/>
  <c r="BC126" i="38"/>
  <c r="BB126" i="38"/>
  <c r="BA126" i="38"/>
  <c r="AZ126" i="38"/>
  <c r="AY126" i="38"/>
  <c r="AX126" i="38"/>
  <c r="AW126" i="38"/>
  <c r="AV126" i="38"/>
  <c r="AU126" i="38"/>
  <c r="AT126" i="38"/>
  <c r="AS126" i="38"/>
  <c r="AR126" i="38"/>
  <c r="AQ126" i="38"/>
  <c r="AP126" i="38"/>
  <c r="AO126" i="38"/>
  <c r="AN126" i="38"/>
  <c r="AM126" i="38"/>
  <c r="AL126" i="38"/>
  <c r="AK126" i="38"/>
  <c r="AJ126" i="38"/>
  <c r="AI126" i="38"/>
  <c r="AH126" i="38"/>
  <c r="AG126" i="38"/>
  <c r="AF126" i="38"/>
  <c r="AE126" i="38"/>
  <c r="AD126" i="38"/>
  <c r="AC126" i="38"/>
  <c r="AB126" i="38"/>
  <c r="AA126" i="38"/>
  <c r="Z126" i="38"/>
  <c r="Y126" i="38"/>
  <c r="X126" i="38"/>
  <c r="W126" i="38"/>
  <c r="V126" i="38"/>
  <c r="U126" i="38"/>
  <c r="T126" i="38"/>
  <c r="S126" i="38"/>
  <c r="R126" i="38"/>
  <c r="Q126" i="38"/>
  <c r="P126" i="38"/>
  <c r="O126" i="38"/>
  <c r="K126" i="38"/>
  <c r="L126" i="38" s="1"/>
  <c r="M126" i="38" s="1"/>
  <c r="N126" i="38" s="1"/>
  <c r="J126" i="38"/>
  <c r="I126" i="38"/>
  <c r="H126" i="38"/>
  <c r="G126" i="38"/>
  <c r="F126" i="38"/>
  <c r="E126" i="38"/>
  <c r="D126" i="38"/>
  <c r="A126" i="38"/>
  <c r="BC125" i="38"/>
  <c r="BB125" i="38"/>
  <c r="BA125" i="38"/>
  <c r="AZ125" i="38"/>
  <c r="AY125" i="38"/>
  <c r="AX125" i="38"/>
  <c r="AW125" i="38"/>
  <c r="AV125" i="38"/>
  <c r="AU125" i="38"/>
  <c r="AT125" i="38"/>
  <c r="AS125" i="38"/>
  <c r="AR125" i="38"/>
  <c r="AQ125" i="38"/>
  <c r="AP125" i="38"/>
  <c r="AO125" i="38"/>
  <c r="AN125" i="38"/>
  <c r="AM125" i="38"/>
  <c r="AL125" i="38"/>
  <c r="AK125" i="38"/>
  <c r="AJ125" i="38"/>
  <c r="AI125" i="38"/>
  <c r="AH125" i="38"/>
  <c r="AG125" i="38"/>
  <c r="AF125" i="38"/>
  <c r="AE125" i="38"/>
  <c r="AD125" i="38"/>
  <c r="AC125" i="38"/>
  <c r="AB125" i="38"/>
  <c r="AA125" i="38"/>
  <c r="Z125" i="38"/>
  <c r="Y125" i="38"/>
  <c r="X125" i="38"/>
  <c r="W125" i="38"/>
  <c r="V125" i="38"/>
  <c r="U125" i="38"/>
  <c r="T125" i="38"/>
  <c r="S125" i="38"/>
  <c r="R125" i="38"/>
  <c r="Q125" i="38"/>
  <c r="P125" i="38"/>
  <c r="O125" i="38"/>
  <c r="K125" i="38"/>
  <c r="L125" i="38" s="1"/>
  <c r="M125" i="38" s="1"/>
  <c r="N125" i="38" s="1"/>
  <c r="J125" i="38"/>
  <c r="I125" i="38"/>
  <c r="H125" i="38"/>
  <c r="G125" i="38"/>
  <c r="F125" i="38"/>
  <c r="E125" i="38"/>
  <c r="D125" i="38"/>
  <c r="A125" i="38"/>
  <c r="BC124" i="38"/>
  <c r="BB124" i="38"/>
  <c r="BA124" i="38"/>
  <c r="AZ124" i="38"/>
  <c r="AY124" i="38"/>
  <c r="AX124" i="38"/>
  <c r="AW124" i="38"/>
  <c r="AV124" i="38"/>
  <c r="AU124" i="38"/>
  <c r="AT124" i="38"/>
  <c r="AS124" i="38"/>
  <c r="AR124" i="38"/>
  <c r="AQ124" i="38"/>
  <c r="AP124" i="38"/>
  <c r="AO124" i="38"/>
  <c r="AN124" i="38"/>
  <c r="AM124" i="38"/>
  <c r="AL124" i="38"/>
  <c r="AK124" i="38"/>
  <c r="AJ124" i="38"/>
  <c r="AI124" i="38"/>
  <c r="AH124" i="38"/>
  <c r="AG124" i="38"/>
  <c r="AF124" i="38"/>
  <c r="AE124" i="38"/>
  <c r="AD124" i="38"/>
  <c r="AC124" i="38"/>
  <c r="AB124" i="38"/>
  <c r="AA124" i="38"/>
  <c r="Z124" i="38"/>
  <c r="Y124" i="38"/>
  <c r="X124" i="38"/>
  <c r="W124" i="38"/>
  <c r="V124" i="38"/>
  <c r="U124" i="38"/>
  <c r="T124" i="38"/>
  <c r="S124" i="38"/>
  <c r="R124" i="38"/>
  <c r="Q124" i="38"/>
  <c r="P124" i="38"/>
  <c r="O124" i="38"/>
  <c r="K124" i="38"/>
  <c r="L124" i="38" s="1"/>
  <c r="M124" i="38" s="1"/>
  <c r="N124" i="38" s="1"/>
  <c r="J124" i="38"/>
  <c r="I124" i="38"/>
  <c r="H124" i="38"/>
  <c r="G124" i="38"/>
  <c r="F124" i="38"/>
  <c r="E124" i="38"/>
  <c r="D124" i="38"/>
  <c r="A124" i="38"/>
  <c r="BC123" i="38"/>
  <c r="BB123" i="38"/>
  <c r="BA123" i="38"/>
  <c r="AZ123" i="38"/>
  <c r="AY123" i="38"/>
  <c r="AX123" i="38"/>
  <c r="AW123" i="38"/>
  <c r="AV123" i="38"/>
  <c r="AU123" i="38"/>
  <c r="AT123" i="38"/>
  <c r="AS123" i="38"/>
  <c r="AR123" i="38"/>
  <c r="AQ123" i="38"/>
  <c r="AP123" i="38"/>
  <c r="AO123" i="38"/>
  <c r="AN123" i="38"/>
  <c r="AM123" i="38"/>
  <c r="AL123" i="38"/>
  <c r="AK123" i="38"/>
  <c r="AJ123" i="38"/>
  <c r="AI123" i="38"/>
  <c r="AH123" i="38"/>
  <c r="AG123" i="38"/>
  <c r="AF123" i="38"/>
  <c r="AE123" i="38"/>
  <c r="AD123" i="38"/>
  <c r="AC123" i="38"/>
  <c r="AB123" i="38"/>
  <c r="AA123" i="38"/>
  <c r="Z123" i="38"/>
  <c r="Y123" i="38"/>
  <c r="X123" i="38"/>
  <c r="W123" i="38"/>
  <c r="V123" i="38"/>
  <c r="U123" i="38"/>
  <c r="T123" i="38"/>
  <c r="S123" i="38"/>
  <c r="R123" i="38"/>
  <c r="Q123" i="38"/>
  <c r="P123" i="38"/>
  <c r="O123" i="38"/>
  <c r="K123" i="38"/>
  <c r="L123" i="38" s="1"/>
  <c r="M123" i="38" s="1"/>
  <c r="N123" i="38" s="1"/>
  <c r="J123" i="38"/>
  <c r="I123" i="38"/>
  <c r="H123" i="38"/>
  <c r="G123" i="38"/>
  <c r="F123" i="38"/>
  <c r="E123" i="38"/>
  <c r="D123" i="38"/>
  <c r="A123" i="38"/>
  <c r="BC122" i="38"/>
  <c r="BB122" i="38"/>
  <c r="BA122" i="38"/>
  <c r="AZ122" i="38"/>
  <c r="AY122" i="38"/>
  <c r="AX122" i="38"/>
  <c r="AW122" i="38"/>
  <c r="AV122" i="38"/>
  <c r="AU122" i="38"/>
  <c r="AT122" i="38"/>
  <c r="AS122" i="38"/>
  <c r="AR122" i="38"/>
  <c r="AQ122" i="38"/>
  <c r="AP122" i="38"/>
  <c r="AO122" i="38"/>
  <c r="AN122" i="38"/>
  <c r="AM122" i="38"/>
  <c r="AL122" i="38"/>
  <c r="AK122" i="38"/>
  <c r="AJ122" i="38"/>
  <c r="AI122" i="38"/>
  <c r="AH122" i="38"/>
  <c r="AG122" i="38"/>
  <c r="AF122" i="38"/>
  <c r="AE122" i="38"/>
  <c r="AD122" i="38"/>
  <c r="AC122" i="38"/>
  <c r="AB122" i="38"/>
  <c r="AA122" i="38"/>
  <c r="Z122" i="38"/>
  <c r="Y122" i="38"/>
  <c r="X122" i="38"/>
  <c r="W122" i="38"/>
  <c r="V122" i="38"/>
  <c r="U122" i="38"/>
  <c r="T122" i="38"/>
  <c r="S122" i="38"/>
  <c r="R122" i="38"/>
  <c r="Q122" i="38"/>
  <c r="P122" i="38"/>
  <c r="O122" i="38"/>
  <c r="K122" i="38"/>
  <c r="L122" i="38" s="1"/>
  <c r="M122" i="38" s="1"/>
  <c r="N122" i="38" s="1"/>
  <c r="J122" i="38"/>
  <c r="I122" i="38"/>
  <c r="H122" i="38"/>
  <c r="G122" i="38"/>
  <c r="F122" i="38"/>
  <c r="E122" i="38"/>
  <c r="D122" i="38"/>
  <c r="A122" i="38"/>
  <c r="BC121" i="38"/>
  <c r="BB121" i="38"/>
  <c r="BA121" i="38"/>
  <c r="AZ121" i="38"/>
  <c r="AY121" i="38"/>
  <c r="AX121" i="38"/>
  <c r="AW121" i="38"/>
  <c r="AV121" i="38"/>
  <c r="AU121" i="38"/>
  <c r="AT121" i="38"/>
  <c r="AS121" i="38"/>
  <c r="AR121" i="38"/>
  <c r="AQ121" i="38"/>
  <c r="AP121" i="38"/>
  <c r="AO121" i="38"/>
  <c r="AN121" i="38"/>
  <c r="AM121" i="38"/>
  <c r="AL121" i="38"/>
  <c r="AK121" i="38"/>
  <c r="AJ121" i="38"/>
  <c r="AI121" i="38"/>
  <c r="AH121" i="38"/>
  <c r="AG121" i="38"/>
  <c r="AF121" i="38"/>
  <c r="AE121" i="38"/>
  <c r="AD121" i="38"/>
  <c r="AC121" i="38"/>
  <c r="AB121" i="38"/>
  <c r="AA121" i="38"/>
  <c r="Z121" i="38"/>
  <c r="Y121" i="38"/>
  <c r="X121" i="38"/>
  <c r="W121" i="38"/>
  <c r="V121" i="38"/>
  <c r="U121" i="38"/>
  <c r="T121" i="38"/>
  <c r="S121" i="38"/>
  <c r="R121" i="38"/>
  <c r="Q121" i="38"/>
  <c r="P121" i="38"/>
  <c r="O121" i="38"/>
  <c r="K121" i="38"/>
  <c r="L121" i="38" s="1"/>
  <c r="M121" i="38" s="1"/>
  <c r="N121" i="38" s="1"/>
  <c r="J121" i="38"/>
  <c r="I121" i="38"/>
  <c r="H121" i="38"/>
  <c r="G121" i="38"/>
  <c r="F121" i="38"/>
  <c r="E121" i="38"/>
  <c r="D121" i="38"/>
  <c r="A121" i="38"/>
  <c r="BC120" i="38"/>
  <c r="BB120" i="38"/>
  <c r="BA120" i="38"/>
  <c r="AZ120" i="38"/>
  <c r="AY120" i="38"/>
  <c r="AX120" i="38"/>
  <c r="AW120" i="38"/>
  <c r="AV120" i="38"/>
  <c r="AU120" i="38"/>
  <c r="AT120" i="38"/>
  <c r="AS120" i="38"/>
  <c r="AR120" i="38"/>
  <c r="AQ120" i="38"/>
  <c r="AP120" i="38"/>
  <c r="AO120" i="38"/>
  <c r="AN120" i="38"/>
  <c r="AM120" i="38"/>
  <c r="AL120" i="38"/>
  <c r="AK120" i="38"/>
  <c r="AJ120" i="38"/>
  <c r="AI120" i="38"/>
  <c r="AH120" i="38"/>
  <c r="AG120" i="38"/>
  <c r="AF120" i="38"/>
  <c r="AE120" i="38"/>
  <c r="AD120" i="38"/>
  <c r="AC120" i="38"/>
  <c r="AB120" i="38"/>
  <c r="AA120" i="38"/>
  <c r="Z120" i="38"/>
  <c r="Y120" i="38"/>
  <c r="X120" i="38"/>
  <c r="W120" i="38"/>
  <c r="V120" i="38"/>
  <c r="U120" i="38"/>
  <c r="T120" i="38"/>
  <c r="S120" i="38"/>
  <c r="R120" i="38"/>
  <c r="Q120" i="38"/>
  <c r="P120" i="38"/>
  <c r="O120" i="38"/>
  <c r="K120" i="38"/>
  <c r="L120" i="38" s="1"/>
  <c r="M120" i="38" s="1"/>
  <c r="N120" i="38" s="1"/>
  <c r="J120" i="38"/>
  <c r="I120" i="38"/>
  <c r="H120" i="38"/>
  <c r="G120" i="38"/>
  <c r="F120" i="38"/>
  <c r="E120" i="38"/>
  <c r="D120" i="38"/>
  <c r="A120" i="38"/>
  <c r="BC119" i="38"/>
  <c r="BB119" i="38"/>
  <c r="BA119" i="38"/>
  <c r="AZ119" i="38"/>
  <c r="AY119" i="38"/>
  <c r="AX119" i="38"/>
  <c r="AW119" i="38"/>
  <c r="AV119" i="38"/>
  <c r="AU119" i="38"/>
  <c r="AT119" i="38"/>
  <c r="AS119" i="38"/>
  <c r="AR119" i="38"/>
  <c r="AQ119" i="38"/>
  <c r="AP119" i="38"/>
  <c r="AO119" i="38"/>
  <c r="AN119" i="38"/>
  <c r="AM119" i="38"/>
  <c r="AL119" i="38"/>
  <c r="AK119" i="38"/>
  <c r="AJ119" i="38"/>
  <c r="AI119" i="38"/>
  <c r="AH119" i="38"/>
  <c r="AG119" i="38"/>
  <c r="AF119" i="38"/>
  <c r="AE119" i="38"/>
  <c r="AD119" i="38"/>
  <c r="AC119" i="38"/>
  <c r="AB119" i="38"/>
  <c r="AA119" i="38"/>
  <c r="Z119" i="38"/>
  <c r="Y119" i="38"/>
  <c r="X119" i="38"/>
  <c r="W119" i="38"/>
  <c r="V119" i="38"/>
  <c r="U119" i="38"/>
  <c r="T119" i="38"/>
  <c r="S119" i="38"/>
  <c r="R119" i="38"/>
  <c r="Q119" i="38"/>
  <c r="P119" i="38"/>
  <c r="O119" i="38"/>
  <c r="K119" i="38"/>
  <c r="L119" i="38" s="1"/>
  <c r="M119" i="38" s="1"/>
  <c r="N119" i="38" s="1"/>
  <c r="J119" i="38"/>
  <c r="I119" i="38"/>
  <c r="H119" i="38"/>
  <c r="G119" i="38"/>
  <c r="F119" i="38"/>
  <c r="E119" i="38"/>
  <c r="D119" i="38"/>
  <c r="A119" i="38"/>
  <c r="BC118" i="38"/>
  <c r="BB118" i="38"/>
  <c r="BA118" i="38"/>
  <c r="AZ118" i="38"/>
  <c r="AY118" i="38"/>
  <c r="AX118" i="38"/>
  <c r="AW118" i="38"/>
  <c r="AV118" i="38"/>
  <c r="AU118" i="38"/>
  <c r="AT118" i="38"/>
  <c r="AS118" i="38"/>
  <c r="AR118" i="38"/>
  <c r="AQ118" i="38"/>
  <c r="AP118" i="38"/>
  <c r="AO118" i="38"/>
  <c r="AN118" i="38"/>
  <c r="AM118" i="38"/>
  <c r="AL118" i="38"/>
  <c r="AK118" i="38"/>
  <c r="AJ118" i="38"/>
  <c r="AI118" i="38"/>
  <c r="AH118" i="38"/>
  <c r="AG118" i="38"/>
  <c r="AF118" i="38"/>
  <c r="AE118" i="38"/>
  <c r="AD118" i="38"/>
  <c r="AC118" i="38"/>
  <c r="AB118" i="38"/>
  <c r="AA118" i="38"/>
  <c r="Z118" i="38"/>
  <c r="Y118" i="38"/>
  <c r="X118" i="38"/>
  <c r="W118" i="38"/>
  <c r="V118" i="38"/>
  <c r="U118" i="38"/>
  <c r="T118" i="38"/>
  <c r="S118" i="38"/>
  <c r="R118" i="38"/>
  <c r="Q118" i="38"/>
  <c r="P118" i="38"/>
  <c r="O118" i="38"/>
  <c r="K118" i="38"/>
  <c r="L118" i="38" s="1"/>
  <c r="M118" i="38" s="1"/>
  <c r="N118" i="38" s="1"/>
  <c r="J118" i="38"/>
  <c r="I118" i="38"/>
  <c r="H118" i="38"/>
  <c r="G118" i="38"/>
  <c r="F118" i="38"/>
  <c r="E118" i="38"/>
  <c r="D118" i="38"/>
  <c r="A118" i="38"/>
  <c r="BC117" i="38"/>
  <c r="BB117" i="38"/>
  <c r="BA117" i="38"/>
  <c r="AZ117" i="38"/>
  <c r="AY117" i="38"/>
  <c r="AX117" i="38"/>
  <c r="AW117" i="38"/>
  <c r="AV117" i="38"/>
  <c r="AU117" i="38"/>
  <c r="AT117" i="38"/>
  <c r="AS117" i="38"/>
  <c r="AR117" i="38"/>
  <c r="AQ117" i="38"/>
  <c r="AP117" i="38"/>
  <c r="AO117" i="38"/>
  <c r="AN117" i="38"/>
  <c r="AM117" i="38"/>
  <c r="AL117" i="38"/>
  <c r="AK117" i="38"/>
  <c r="AJ117" i="38"/>
  <c r="AI117" i="38"/>
  <c r="AH117" i="38"/>
  <c r="AG117" i="38"/>
  <c r="AF117" i="38"/>
  <c r="AE117" i="38"/>
  <c r="AD117" i="38"/>
  <c r="AC117" i="38"/>
  <c r="AB117" i="38"/>
  <c r="AA117" i="38"/>
  <c r="Z117" i="38"/>
  <c r="Y117" i="38"/>
  <c r="X117" i="38"/>
  <c r="W117" i="38"/>
  <c r="V117" i="38"/>
  <c r="U117" i="38"/>
  <c r="T117" i="38"/>
  <c r="S117" i="38"/>
  <c r="R117" i="38"/>
  <c r="Q117" i="38"/>
  <c r="P117" i="38"/>
  <c r="O117" i="38"/>
  <c r="K117" i="38"/>
  <c r="L117" i="38" s="1"/>
  <c r="M117" i="38" s="1"/>
  <c r="N117" i="38" s="1"/>
  <c r="J117" i="38"/>
  <c r="I117" i="38"/>
  <c r="H117" i="38"/>
  <c r="G117" i="38"/>
  <c r="F117" i="38"/>
  <c r="E117" i="38"/>
  <c r="D117" i="38"/>
  <c r="A117" i="38"/>
  <c r="BC116" i="38"/>
  <c r="BB116" i="38"/>
  <c r="BA116" i="38"/>
  <c r="AZ116" i="38"/>
  <c r="AY116" i="38"/>
  <c r="AX116" i="38"/>
  <c r="AW116" i="38"/>
  <c r="AV116" i="38"/>
  <c r="AU116" i="38"/>
  <c r="AT116" i="38"/>
  <c r="AS116" i="38"/>
  <c r="AR116" i="38"/>
  <c r="AQ116" i="38"/>
  <c r="AP116" i="38"/>
  <c r="AO116" i="38"/>
  <c r="AN116" i="38"/>
  <c r="AM116" i="38"/>
  <c r="AL116" i="38"/>
  <c r="AK116" i="38"/>
  <c r="AJ116" i="38"/>
  <c r="AI116" i="38"/>
  <c r="AH116" i="38"/>
  <c r="AG116" i="38"/>
  <c r="AF116" i="38"/>
  <c r="AE116" i="38"/>
  <c r="AD116" i="38"/>
  <c r="AC116" i="38"/>
  <c r="AB116" i="38"/>
  <c r="AA116" i="38"/>
  <c r="Z116" i="38"/>
  <c r="Y116" i="38"/>
  <c r="X116" i="38"/>
  <c r="W116" i="38"/>
  <c r="V116" i="38"/>
  <c r="U116" i="38"/>
  <c r="T116" i="38"/>
  <c r="S116" i="38"/>
  <c r="R116" i="38"/>
  <c r="Q116" i="38"/>
  <c r="P116" i="38"/>
  <c r="O116" i="38"/>
  <c r="K116" i="38"/>
  <c r="L116" i="38" s="1"/>
  <c r="M116" i="38" s="1"/>
  <c r="N116" i="38" s="1"/>
  <c r="J116" i="38"/>
  <c r="I116" i="38"/>
  <c r="H116" i="38"/>
  <c r="G116" i="38"/>
  <c r="F116" i="38"/>
  <c r="E116" i="38"/>
  <c r="D116" i="38"/>
  <c r="A116" i="38"/>
  <c r="BC115" i="38"/>
  <c r="BB115" i="38"/>
  <c r="BA115" i="38"/>
  <c r="AZ115" i="38"/>
  <c r="AY115" i="38"/>
  <c r="AX115" i="38"/>
  <c r="AW115" i="38"/>
  <c r="AV115" i="38"/>
  <c r="AU115" i="38"/>
  <c r="AT115" i="38"/>
  <c r="AS115" i="38"/>
  <c r="AR115" i="38"/>
  <c r="AQ115" i="38"/>
  <c r="AP115" i="38"/>
  <c r="AO115" i="38"/>
  <c r="AN115" i="38"/>
  <c r="AM115" i="38"/>
  <c r="AL115" i="38"/>
  <c r="AK115" i="38"/>
  <c r="AJ115" i="38"/>
  <c r="AI115" i="38"/>
  <c r="AH115" i="38"/>
  <c r="AG115" i="38"/>
  <c r="AF115" i="38"/>
  <c r="AE115" i="38"/>
  <c r="AD115" i="38"/>
  <c r="AC115" i="38"/>
  <c r="AB115" i="38"/>
  <c r="AA115" i="38"/>
  <c r="Z115" i="38"/>
  <c r="Y115" i="38"/>
  <c r="X115" i="38"/>
  <c r="W115" i="38"/>
  <c r="V115" i="38"/>
  <c r="U115" i="38"/>
  <c r="T115" i="38"/>
  <c r="S115" i="38"/>
  <c r="R115" i="38"/>
  <c r="Q115" i="38"/>
  <c r="P115" i="38"/>
  <c r="O115" i="38"/>
  <c r="K115" i="38"/>
  <c r="L115" i="38" s="1"/>
  <c r="M115" i="38" s="1"/>
  <c r="N115" i="38" s="1"/>
  <c r="J115" i="38"/>
  <c r="I115" i="38"/>
  <c r="H115" i="38"/>
  <c r="G115" i="38"/>
  <c r="F115" i="38"/>
  <c r="E115" i="38"/>
  <c r="D115" i="38"/>
  <c r="A115" i="38"/>
  <c r="BC114" i="38"/>
  <c r="BB114" i="38"/>
  <c r="BA114" i="38"/>
  <c r="AZ114" i="38"/>
  <c r="AY114" i="38"/>
  <c r="AX114" i="38"/>
  <c r="AW114" i="38"/>
  <c r="AV114" i="38"/>
  <c r="AU114" i="38"/>
  <c r="AT114" i="38"/>
  <c r="AS114" i="38"/>
  <c r="AR114" i="38"/>
  <c r="AQ114" i="38"/>
  <c r="AP114" i="38"/>
  <c r="AO114" i="38"/>
  <c r="AN114" i="38"/>
  <c r="AM114" i="38"/>
  <c r="AL114" i="38"/>
  <c r="AK114" i="38"/>
  <c r="AJ114" i="38"/>
  <c r="AI114" i="38"/>
  <c r="AH114" i="38"/>
  <c r="AG114" i="38"/>
  <c r="AF114" i="38"/>
  <c r="AE114" i="38"/>
  <c r="AD114" i="38"/>
  <c r="AC114" i="38"/>
  <c r="AB114" i="38"/>
  <c r="AA114" i="38"/>
  <c r="Z114" i="38"/>
  <c r="Y114" i="38"/>
  <c r="X114" i="38"/>
  <c r="W114" i="38"/>
  <c r="V114" i="38"/>
  <c r="U114" i="38"/>
  <c r="T114" i="38"/>
  <c r="S114" i="38"/>
  <c r="R114" i="38"/>
  <c r="Q114" i="38"/>
  <c r="P114" i="38"/>
  <c r="O114" i="38"/>
  <c r="K114" i="38"/>
  <c r="L114" i="38" s="1"/>
  <c r="M114" i="38" s="1"/>
  <c r="N114" i="38" s="1"/>
  <c r="J114" i="38"/>
  <c r="I114" i="38"/>
  <c r="H114" i="38"/>
  <c r="G114" i="38"/>
  <c r="F114" i="38"/>
  <c r="E114" i="38"/>
  <c r="D114" i="38"/>
  <c r="A114" i="38"/>
  <c r="BC113" i="38"/>
  <c r="BB113" i="38"/>
  <c r="BA113" i="38"/>
  <c r="AZ113" i="38"/>
  <c r="AY113" i="38"/>
  <c r="AX113" i="38"/>
  <c r="AW113" i="38"/>
  <c r="AV113" i="38"/>
  <c r="AU113" i="38"/>
  <c r="AT113" i="38"/>
  <c r="AS113" i="38"/>
  <c r="AR113" i="38"/>
  <c r="AQ113" i="38"/>
  <c r="AP113" i="38"/>
  <c r="AO113" i="38"/>
  <c r="AN113" i="38"/>
  <c r="AM113" i="38"/>
  <c r="AL113" i="38"/>
  <c r="AK113" i="38"/>
  <c r="AJ113" i="38"/>
  <c r="AI113" i="38"/>
  <c r="AH113" i="38"/>
  <c r="AG113" i="38"/>
  <c r="AF113" i="38"/>
  <c r="AE113" i="38"/>
  <c r="AD113" i="38"/>
  <c r="AC113" i="38"/>
  <c r="AB113" i="38"/>
  <c r="AA113" i="38"/>
  <c r="Z113" i="38"/>
  <c r="Y113" i="38"/>
  <c r="X113" i="38"/>
  <c r="W113" i="38"/>
  <c r="V113" i="38"/>
  <c r="U113" i="38"/>
  <c r="T113" i="38"/>
  <c r="S113" i="38"/>
  <c r="R113" i="38"/>
  <c r="Q113" i="38"/>
  <c r="P113" i="38"/>
  <c r="O113" i="38"/>
  <c r="K113" i="38"/>
  <c r="L113" i="38" s="1"/>
  <c r="M113" i="38" s="1"/>
  <c r="N113" i="38" s="1"/>
  <c r="J113" i="38"/>
  <c r="I113" i="38"/>
  <c r="H113" i="38"/>
  <c r="G113" i="38"/>
  <c r="F113" i="38"/>
  <c r="E113" i="38"/>
  <c r="D113" i="38"/>
  <c r="A113" i="38"/>
  <c r="BC112" i="38"/>
  <c r="BB112" i="38"/>
  <c r="BA112" i="38"/>
  <c r="AZ112" i="38"/>
  <c r="AY112" i="38"/>
  <c r="AX112" i="38"/>
  <c r="AW112" i="38"/>
  <c r="AV112" i="38"/>
  <c r="AU112" i="38"/>
  <c r="AT112" i="38"/>
  <c r="AS112" i="38"/>
  <c r="AR112" i="38"/>
  <c r="AQ112" i="38"/>
  <c r="AP112" i="38"/>
  <c r="AO112" i="38"/>
  <c r="AN112" i="38"/>
  <c r="AM112" i="38"/>
  <c r="AL112" i="38"/>
  <c r="AK112" i="38"/>
  <c r="AJ112" i="38"/>
  <c r="AI112" i="38"/>
  <c r="AH112" i="38"/>
  <c r="AG112" i="38"/>
  <c r="AF112" i="38"/>
  <c r="AE112" i="38"/>
  <c r="AD112" i="38"/>
  <c r="AC112" i="38"/>
  <c r="AB112" i="38"/>
  <c r="AA112" i="38"/>
  <c r="Z112" i="38"/>
  <c r="Y112" i="38"/>
  <c r="X112" i="38"/>
  <c r="W112" i="38"/>
  <c r="V112" i="38"/>
  <c r="U112" i="38"/>
  <c r="T112" i="38"/>
  <c r="S112" i="38"/>
  <c r="R112" i="38"/>
  <c r="Q112" i="38"/>
  <c r="P112" i="38"/>
  <c r="O112" i="38"/>
  <c r="K112" i="38"/>
  <c r="L112" i="38" s="1"/>
  <c r="M112" i="38" s="1"/>
  <c r="N112" i="38" s="1"/>
  <c r="J112" i="38"/>
  <c r="I112" i="38"/>
  <c r="H112" i="38"/>
  <c r="G112" i="38"/>
  <c r="F112" i="38"/>
  <c r="E112" i="38"/>
  <c r="D112" i="38"/>
  <c r="A112" i="38"/>
  <c r="BC111" i="38"/>
  <c r="BB111" i="38"/>
  <c r="BA111" i="38"/>
  <c r="AZ111" i="38"/>
  <c r="AY111" i="38"/>
  <c r="AX111" i="38"/>
  <c r="AW111" i="38"/>
  <c r="AV111" i="38"/>
  <c r="AU111" i="38"/>
  <c r="AT111" i="38"/>
  <c r="AS111" i="38"/>
  <c r="AR111" i="38"/>
  <c r="AQ111" i="38"/>
  <c r="AP111" i="38"/>
  <c r="AO111" i="38"/>
  <c r="AN111" i="38"/>
  <c r="AM111" i="38"/>
  <c r="AL111" i="38"/>
  <c r="AK111" i="38"/>
  <c r="AJ111" i="38"/>
  <c r="AI111" i="38"/>
  <c r="AH111" i="38"/>
  <c r="AG111" i="38"/>
  <c r="AF111" i="38"/>
  <c r="AE111" i="38"/>
  <c r="AD111" i="38"/>
  <c r="AC111" i="38"/>
  <c r="AB111" i="38"/>
  <c r="AA111" i="38"/>
  <c r="Z111" i="38"/>
  <c r="Y111" i="38"/>
  <c r="X111" i="38"/>
  <c r="W111" i="38"/>
  <c r="V111" i="38"/>
  <c r="U111" i="38"/>
  <c r="T111" i="38"/>
  <c r="S111" i="38"/>
  <c r="R111" i="38"/>
  <c r="Q111" i="38"/>
  <c r="P111" i="38"/>
  <c r="O111" i="38"/>
  <c r="K111" i="38"/>
  <c r="L111" i="38" s="1"/>
  <c r="M111" i="38" s="1"/>
  <c r="N111" i="38" s="1"/>
  <c r="J111" i="38"/>
  <c r="I111" i="38"/>
  <c r="H111" i="38"/>
  <c r="G111" i="38"/>
  <c r="F111" i="38"/>
  <c r="E111" i="38"/>
  <c r="D111" i="38"/>
  <c r="A111" i="38"/>
  <c r="BC110" i="38"/>
  <c r="BB110" i="38"/>
  <c r="BA110" i="38"/>
  <c r="AZ110" i="38"/>
  <c r="AY110" i="38"/>
  <c r="AX110" i="38"/>
  <c r="AW110" i="38"/>
  <c r="AV110" i="38"/>
  <c r="AU110" i="38"/>
  <c r="AT110" i="38"/>
  <c r="AS110" i="38"/>
  <c r="AR110" i="38"/>
  <c r="AQ110" i="38"/>
  <c r="AP110" i="38"/>
  <c r="AO110" i="38"/>
  <c r="AN110" i="38"/>
  <c r="AM110" i="38"/>
  <c r="AL110" i="38"/>
  <c r="AK110" i="38"/>
  <c r="AJ110" i="38"/>
  <c r="AI110" i="38"/>
  <c r="AH110" i="38"/>
  <c r="AG110" i="38"/>
  <c r="AF110" i="38"/>
  <c r="AE110" i="38"/>
  <c r="AD110" i="38"/>
  <c r="AC110" i="38"/>
  <c r="AB110" i="38"/>
  <c r="AA110" i="38"/>
  <c r="Z110" i="38"/>
  <c r="Y110" i="38"/>
  <c r="X110" i="38"/>
  <c r="W110" i="38"/>
  <c r="V110" i="38"/>
  <c r="U110" i="38"/>
  <c r="T110" i="38"/>
  <c r="S110" i="38"/>
  <c r="R110" i="38"/>
  <c r="Q110" i="38"/>
  <c r="P110" i="38"/>
  <c r="O110" i="38"/>
  <c r="K110" i="38"/>
  <c r="L110" i="38" s="1"/>
  <c r="M110" i="38" s="1"/>
  <c r="N110" i="38" s="1"/>
  <c r="J110" i="38"/>
  <c r="I110" i="38"/>
  <c r="H110" i="38"/>
  <c r="G110" i="38"/>
  <c r="F110" i="38"/>
  <c r="E110" i="38"/>
  <c r="D110" i="38"/>
  <c r="A110" i="38"/>
  <c r="BC109" i="38"/>
  <c r="BB109" i="38"/>
  <c r="BA109" i="38"/>
  <c r="AZ109" i="38"/>
  <c r="AY109" i="38"/>
  <c r="AX109" i="38"/>
  <c r="AW109" i="38"/>
  <c r="AV109" i="38"/>
  <c r="AU109" i="38"/>
  <c r="AT109" i="38"/>
  <c r="AS109" i="38"/>
  <c r="AR109" i="38"/>
  <c r="AQ109" i="38"/>
  <c r="AP109" i="38"/>
  <c r="AO109" i="38"/>
  <c r="AN109" i="38"/>
  <c r="AM109" i="38"/>
  <c r="AL109" i="38"/>
  <c r="AK109" i="38"/>
  <c r="AJ109" i="38"/>
  <c r="AI109" i="38"/>
  <c r="AH109" i="38"/>
  <c r="AG109" i="38"/>
  <c r="AF109" i="38"/>
  <c r="AE109" i="38"/>
  <c r="AD109" i="38"/>
  <c r="AC109" i="38"/>
  <c r="AB109" i="38"/>
  <c r="AA109" i="38"/>
  <c r="Z109" i="38"/>
  <c r="Y109" i="38"/>
  <c r="X109" i="38"/>
  <c r="W109" i="38"/>
  <c r="V109" i="38"/>
  <c r="U109" i="38"/>
  <c r="T109" i="38"/>
  <c r="S109" i="38"/>
  <c r="R109" i="38"/>
  <c r="Q109" i="38"/>
  <c r="P109" i="38"/>
  <c r="O109" i="38"/>
  <c r="K109" i="38"/>
  <c r="L109" i="38" s="1"/>
  <c r="M109" i="38" s="1"/>
  <c r="N109" i="38" s="1"/>
  <c r="J109" i="38"/>
  <c r="I109" i="38"/>
  <c r="H109" i="38"/>
  <c r="G109" i="38"/>
  <c r="F109" i="38"/>
  <c r="E109" i="38"/>
  <c r="D109" i="38"/>
  <c r="A109" i="38"/>
  <c r="BC108" i="38"/>
  <c r="BB108" i="38"/>
  <c r="BA108" i="38"/>
  <c r="AZ108" i="38"/>
  <c r="AY108" i="38"/>
  <c r="AX108" i="38"/>
  <c r="AW108" i="38"/>
  <c r="AV108" i="38"/>
  <c r="AU108" i="38"/>
  <c r="AT108" i="38"/>
  <c r="AS108" i="38"/>
  <c r="AR108" i="38"/>
  <c r="AQ108" i="38"/>
  <c r="AP108" i="38"/>
  <c r="AO108" i="38"/>
  <c r="AN108" i="38"/>
  <c r="AM108" i="38"/>
  <c r="AL108" i="38"/>
  <c r="AK108" i="38"/>
  <c r="AJ108" i="38"/>
  <c r="AI108" i="38"/>
  <c r="AH108" i="38"/>
  <c r="AG108" i="38"/>
  <c r="AF108" i="38"/>
  <c r="AE108" i="38"/>
  <c r="AD108" i="38"/>
  <c r="AC108" i="38"/>
  <c r="AB108" i="38"/>
  <c r="AA108" i="38"/>
  <c r="Z108" i="38"/>
  <c r="Y108" i="38"/>
  <c r="X108" i="38"/>
  <c r="W108" i="38"/>
  <c r="V108" i="38"/>
  <c r="U108" i="38"/>
  <c r="T108" i="38"/>
  <c r="S108" i="38"/>
  <c r="R108" i="38"/>
  <c r="Q108" i="38"/>
  <c r="P108" i="38"/>
  <c r="O108" i="38"/>
  <c r="K108" i="38"/>
  <c r="L108" i="38" s="1"/>
  <c r="M108" i="38" s="1"/>
  <c r="N108" i="38" s="1"/>
  <c r="J108" i="38"/>
  <c r="I108" i="38"/>
  <c r="H108" i="38"/>
  <c r="G108" i="38"/>
  <c r="F108" i="38"/>
  <c r="E108" i="38"/>
  <c r="D108" i="38"/>
  <c r="A108" i="38"/>
  <c r="BC107" i="38"/>
  <c r="BB107" i="38"/>
  <c r="BA107" i="38"/>
  <c r="AZ107" i="38"/>
  <c r="AY107" i="38"/>
  <c r="AX107" i="38"/>
  <c r="AW107" i="38"/>
  <c r="AV107" i="38"/>
  <c r="AU107" i="38"/>
  <c r="AT107" i="38"/>
  <c r="AS107" i="38"/>
  <c r="AR107" i="38"/>
  <c r="AQ107" i="38"/>
  <c r="AP107" i="38"/>
  <c r="AO107" i="38"/>
  <c r="AN107" i="38"/>
  <c r="AM107" i="38"/>
  <c r="AL107" i="38"/>
  <c r="AK107" i="38"/>
  <c r="AJ107" i="38"/>
  <c r="AI107" i="38"/>
  <c r="AH107" i="38"/>
  <c r="AG107" i="38"/>
  <c r="AF107" i="38"/>
  <c r="AE107" i="38"/>
  <c r="AD107" i="38"/>
  <c r="AC107" i="38"/>
  <c r="AB107" i="38"/>
  <c r="AA107" i="38"/>
  <c r="Z107" i="38"/>
  <c r="Y107" i="38"/>
  <c r="X107" i="38"/>
  <c r="W107" i="38"/>
  <c r="V107" i="38"/>
  <c r="U107" i="38"/>
  <c r="T107" i="38"/>
  <c r="S107" i="38"/>
  <c r="R107" i="38"/>
  <c r="Q107" i="38"/>
  <c r="P107" i="38"/>
  <c r="O107" i="38"/>
  <c r="K107" i="38"/>
  <c r="L107" i="38" s="1"/>
  <c r="M107" i="38" s="1"/>
  <c r="N107" i="38" s="1"/>
  <c r="J107" i="38"/>
  <c r="I107" i="38"/>
  <c r="H107" i="38"/>
  <c r="G107" i="38"/>
  <c r="F107" i="38"/>
  <c r="E107" i="38"/>
  <c r="D107" i="38"/>
  <c r="A107" i="38"/>
  <c r="BC106" i="38"/>
  <c r="BB106" i="38"/>
  <c r="BA106" i="38"/>
  <c r="AZ106" i="38"/>
  <c r="AY106" i="38"/>
  <c r="AX106" i="38"/>
  <c r="AW106" i="38"/>
  <c r="AV106" i="38"/>
  <c r="AU106" i="38"/>
  <c r="AT106" i="38"/>
  <c r="AS106" i="38"/>
  <c r="AR106" i="38"/>
  <c r="AQ106" i="38"/>
  <c r="AP106" i="38"/>
  <c r="AO106" i="38"/>
  <c r="AN106" i="38"/>
  <c r="AM106" i="38"/>
  <c r="AL106" i="38"/>
  <c r="AK106" i="38"/>
  <c r="AJ106" i="38"/>
  <c r="AI106" i="38"/>
  <c r="AH106" i="38"/>
  <c r="AG106" i="38"/>
  <c r="AF106" i="38"/>
  <c r="AE106" i="38"/>
  <c r="AD106" i="38"/>
  <c r="AC106" i="38"/>
  <c r="AB106" i="38"/>
  <c r="AA106" i="38"/>
  <c r="Z106" i="38"/>
  <c r="Y106" i="38"/>
  <c r="X106" i="38"/>
  <c r="W106" i="38"/>
  <c r="V106" i="38"/>
  <c r="U106" i="38"/>
  <c r="T106" i="38"/>
  <c r="S106" i="38"/>
  <c r="R106" i="38"/>
  <c r="Q106" i="38"/>
  <c r="P106" i="38"/>
  <c r="O106" i="38"/>
  <c r="K106" i="38"/>
  <c r="L106" i="38" s="1"/>
  <c r="M106" i="38" s="1"/>
  <c r="N106" i="38" s="1"/>
  <c r="J106" i="38"/>
  <c r="I106" i="38"/>
  <c r="H106" i="38"/>
  <c r="G106" i="38"/>
  <c r="F106" i="38"/>
  <c r="E106" i="38"/>
  <c r="D106" i="38"/>
  <c r="A106" i="38"/>
  <c r="BC105" i="38"/>
  <c r="BB105" i="38"/>
  <c r="BA105" i="38"/>
  <c r="AZ105" i="38"/>
  <c r="AY105" i="38"/>
  <c r="AX105" i="38"/>
  <c r="AW105" i="38"/>
  <c r="AV105" i="38"/>
  <c r="AU105" i="38"/>
  <c r="AT105" i="38"/>
  <c r="AS105" i="38"/>
  <c r="AR105" i="38"/>
  <c r="AQ105" i="38"/>
  <c r="AP105" i="38"/>
  <c r="AO105" i="38"/>
  <c r="AN105" i="38"/>
  <c r="AM105" i="38"/>
  <c r="AL105" i="38"/>
  <c r="AK105" i="38"/>
  <c r="AJ105" i="38"/>
  <c r="AI105" i="38"/>
  <c r="AH105" i="38"/>
  <c r="AG105" i="38"/>
  <c r="AF105" i="38"/>
  <c r="AE105" i="38"/>
  <c r="AD105" i="38"/>
  <c r="AC105" i="38"/>
  <c r="AB105" i="38"/>
  <c r="AA105" i="38"/>
  <c r="Z105" i="38"/>
  <c r="Y105" i="38"/>
  <c r="X105" i="38"/>
  <c r="W105" i="38"/>
  <c r="V105" i="38"/>
  <c r="U105" i="38"/>
  <c r="T105" i="38"/>
  <c r="S105" i="38"/>
  <c r="R105" i="38"/>
  <c r="Q105" i="38"/>
  <c r="P105" i="38"/>
  <c r="O105" i="38"/>
  <c r="K105" i="38"/>
  <c r="L105" i="38" s="1"/>
  <c r="M105" i="38" s="1"/>
  <c r="N105" i="38" s="1"/>
  <c r="J105" i="38"/>
  <c r="I105" i="38"/>
  <c r="H105" i="38"/>
  <c r="G105" i="38"/>
  <c r="F105" i="38"/>
  <c r="E105" i="38"/>
  <c r="D105" i="38"/>
  <c r="A105" i="38"/>
  <c r="BC104" i="38"/>
  <c r="BB104" i="38"/>
  <c r="BA104" i="38"/>
  <c r="AZ104" i="38"/>
  <c r="AY104" i="38"/>
  <c r="AX104" i="38"/>
  <c r="AW104" i="38"/>
  <c r="AV104" i="38"/>
  <c r="AU104" i="38"/>
  <c r="AT104" i="38"/>
  <c r="AS104" i="38"/>
  <c r="AR104" i="38"/>
  <c r="AQ104" i="38"/>
  <c r="AP104" i="38"/>
  <c r="AO104" i="38"/>
  <c r="AN104" i="38"/>
  <c r="AM104" i="38"/>
  <c r="AL104" i="38"/>
  <c r="AK104" i="38"/>
  <c r="AJ104" i="38"/>
  <c r="AI104" i="38"/>
  <c r="AH104" i="38"/>
  <c r="AG104" i="38"/>
  <c r="AF104" i="38"/>
  <c r="AE104" i="38"/>
  <c r="AD104" i="38"/>
  <c r="AC104" i="38"/>
  <c r="AB104" i="38"/>
  <c r="AA104" i="38"/>
  <c r="Z104" i="38"/>
  <c r="Y104" i="38"/>
  <c r="X104" i="38"/>
  <c r="W104" i="38"/>
  <c r="V104" i="38"/>
  <c r="U104" i="38"/>
  <c r="T104" i="38"/>
  <c r="S104" i="38"/>
  <c r="R104" i="38"/>
  <c r="Q104" i="38"/>
  <c r="P104" i="38"/>
  <c r="O104" i="38"/>
  <c r="K104" i="38"/>
  <c r="L104" i="38" s="1"/>
  <c r="M104" i="38" s="1"/>
  <c r="N104" i="38" s="1"/>
  <c r="J104" i="38"/>
  <c r="I104" i="38"/>
  <c r="H104" i="38"/>
  <c r="G104" i="38"/>
  <c r="F104" i="38"/>
  <c r="E104" i="38"/>
  <c r="D104" i="38"/>
  <c r="A104" i="38"/>
  <c r="BC103" i="38"/>
  <c r="BB103" i="38"/>
  <c r="BA103" i="38"/>
  <c r="AZ103" i="38"/>
  <c r="AY103" i="38"/>
  <c r="AX103" i="38"/>
  <c r="AW103" i="38"/>
  <c r="AV103" i="38"/>
  <c r="AU103" i="38"/>
  <c r="AT103" i="38"/>
  <c r="AS103" i="38"/>
  <c r="AR103" i="38"/>
  <c r="AQ103" i="38"/>
  <c r="AP103" i="38"/>
  <c r="AO103" i="38"/>
  <c r="AN103" i="38"/>
  <c r="AM103" i="38"/>
  <c r="AL103" i="38"/>
  <c r="AK103" i="38"/>
  <c r="AJ103" i="38"/>
  <c r="AI103" i="38"/>
  <c r="AH103" i="38"/>
  <c r="AG103" i="38"/>
  <c r="AF103" i="38"/>
  <c r="AE103" i="38"/>
  <c r="AD103" i="38"/>
  <c r="AC103" i="38"/>
  <c r="AB103" i="38"/>
  <c r="AA103" i="38"/>
  <c r="Z103" i="38"/>
  <c r="Y103" i="38"/>
  <c r="X103" i="38"/>
  <c r="W103" i="38"/>
  <c r="V103" i="38"/>
  <c r="U103" i="38"/>
  <c r="T103" i="38"/>
  <c r="S103" i="38"/>
  <c r="R103" i="38"/>
  <c r="Q103" i="38"/>
  <c r="P103" i="38"/>
  <c r="O103" i="38"/>
  <c r="K103" i="38"/>
  <c r="L103" i="38" s="1"/>
  <c r="M103" i="38" s="1"/>
  <c r="N103" i="38" s="1"/>
  <c r="J103" i="38"/>
  <c r="I103" i="38"/>
  <c r="H103" i="38"/>
  <c r="G103" i="38"/>
  <c r="F103" i="38"/>
  <c r="E103" i="38"/>
  <c r="D103" i="38"/>
  <c r="A103" i="38"/>
  <c r="BC102" i="38"/>
  <c r="BB102" i="38"/>
  <c r="BA102" i="38"/>
  <c r="AZ102" i="38"/>
  <c r="AY102" i="38"/>
  <c r="AX102" i="38"/>
  <c r="AW102" i="38"/>
  <c r="AV102" i="38"/>
  <c r="AU102" i="38"/>
  <c r="AT102" i="38"/>
  <c r="AS102" i="38"/>
  <c r="AR102" i="38"/>
  <c r="AQ102" i="38"/>
  <c r="AP102" i="38"/>
  <c r="AO102" i="38"/>
  <c r="AN102" i="38"/>
  <c r="AM102" i="38"/>
  <c r="AL102" i="38"/>
  <c r="AK102" i="38"/>
  <c r="AJ102" i="38"/>
  <c r="AI102" i="38"/>
  <c r="AH102" i="38"/>
  <c r="AG102" i="38"/>
  <c r="AF102" i="38"/>
  <c r="AE102" i="38"/>
  <c r="AD102" i="38"/>
  <c r="AC102" i="38"/>
  <c r="AB102" i="38"/>
  <c r="AA102" i="38"/>
  <c r="Z102" i="38"/>
  <c r="Y102" i="38"/>
  <c r="X102" i="38"/>
  <c r="W102" i="38"/>
  <c r="V102" i="38"/>
  <c r="U102" i="38"/>
  <c r="T102" i="38"/>
  <c r="S102" i="38"/>
  <c r="R102" i="38"/>
  <c r="Q102" i="38"/>
  <c r="P102" i="38"/>
  <c r="O102" i="38"/>
  <c r="K102" i="38"/>
  <c r="L102" i="38" s="1"/>
  <c r="M102" i="38" s="1"/>
  <c r="N102" i="38" s="1"/>
  <c r="J102" i="38"/>
  <c r="I102" i="38"/>
  <c r="H102" i="38"/>
  <c r="G102" i="38"/>
  <c r="F102" i="38"/>
  <c r="E102" i="38"/>
  <c r="D102" i="38"/>
  <c r="A102" i="38"/>
  <c r="BC101" i="38"/>
  <c r="BB101" i="38"/>
  <c r="BA101" i="38"/>
  <c r="AZ101" i="38"/>
  <c r="AY101" i="38"/>
  <c r="AX101" i="38"/>
  <c r="AW101" i="38"/>
  <c r="AV101" i="38"/>
  <c r="AU101" i="38"/>
  <c r="AT101" i="38"/>
  <c r="AS101" i="38"/>
  <c r="AR101" i="38"/>
  <c r="AQ101" i="38"/>
  <c r="AP101" i="38"/>
  <c r="AO101" i="38"/>
  <c r="AN101" i="38"/>
  <c r="AM101" i="38"/>
  <c r="AL101" i="38"/>
  <c r="AK101" i="38"/>
  <c r="AJ101" i="38"/>
  <c r="AI101" i="38"/>
  <c r="AH101" i="38"/>
  <c r="AG101" i="38"/>
  <c r="AF101" i="38"/>
  <c r="AE101" i="38"/>
  <c r="AD101" i="38"/>
  <c r="AC101" i="38"/>
  <c r="AB101" i="38"/>
  <c r="AA101" i="38"/>
  <c r="Z101" i="38"/>
  <c r="Y101" i="38"/>
  <c r="X101" i="38"/>
  <c r="W101" i="38"/>
  <c r="V101" i="38"/>
  <c r="U101" i="38"/>
  <c r="T101" i="38"/>
  <c r="S101" i="38"/>
  <c r="R101" i="38"/>
  <c r="Q101" i="38"/>
  <c r="P101" i="38"/>
  <c r="O101" i="38"/>
  <c r="K101" i="38"/>
  <c r="L101" i="38" s="1"/>
  <c r="M101" i="38" s="1"/>
  <c r="N101" i="38" s="1"/>
  <c r="J101" i="38"/>
  <c r="I101" i="38"/>
  <c r="H101" i="38"/>
  <c r="G101" i="38"/>
  <c r="F101" i="38"/>
  <c r="E101" i="38"/>
  <c r="D101" i="38"/>
  <c r="A101" i="38"/>
  <c r="BC100" i="38"/>
  <c r="BB100" i="38"/>
  <c r="BA100" i="38"/>
  <c r="AZ100" i="38"/>
  <c r="AY100" i="38"/>
  <c r="AX100" i="38"/>
  <c r="AW100" i="38"/>
  <c r="AV100" i="38"/>
  <c r="AU100" i="38"/>
  <c r="AT100" i="38"/>
  <c r="AS100" i="38"/>
  <c r="AR100" i="38"/>
  <c r="AQ100" i="38"/>
  <c r="AP100" i="38"/>
  <c r="AO100" i="38"/>
  <c r="AN100" i="38"/>
  <c r="AM100" i="38"/>
  <c r="AL100" i="38"/>
  <c r="AK100" i="38"/>
  <c r="AJ100" i="38"/>
  <c r="AI100" i="38"/>
  <c r="AH100" i="38"/>
  <c r="AG100" i="38"/>
  <c r="AF100" i="38"/>
  <c r="AE100" i="38"/>
  <c r="AD100" i="38"/>
  <c r="AC100" i="38"/>
  <c r="AB100" i="38"/>
  <c r="AA100" i="38"/>
  <c r="Z100" i="38"/>
  <c r="Y100" i="38"/>
  <c r="X100" i="38"/>
  <c r="W100" i="38"/>
  <c r="V100" i="38"/>
  <c r="U100" i="38"/>
  <c r="T100" i="38"/>
  <c r="S100" i="38"/>
  <c r="R100" i="38"/>
  <c r="Q100" i="38"/>
  <c r="P100" i="38"/>
  <c r="O100" i="38"/>
  <c r="K100" i="38"/>
  <c r="L100" i="38" s="1"/>
  <c r="M100" i="38" s="1"/>
  <c r="N100" i="38" s="1"/>
  <c r="J100" i="38"/>
  <c r="I100" i="38"/>
  <c r="H100" i="38"/>
  <c r="G100" i="38"/>
  <c r="F100" i="38"/>
  <c r="E100" i="38"/>
  <c r="D100" i="38"/>
  <c r="A100" i="38"/>
  <c r="BC99" i="38"/>
  <c r="BB99" i="38"/>
  <c r="BA99" i="38"/>
  <c r="AZ99" i="38"/>
  <c r="AY99" i="38"/>
  <c r="AX99" i="38"/>
  <c r="AW99" i="38"/>
  <c r="AV99" i="38"/>
  <c r="AU99" i="38"/>
  <c r="AT99" i="38"/>
  <c r="AS99" i="38"/>
  <c r="AR99" i="38"/>
  <c r="AQ99" i="38"/>
  <c r="AP99" i="38"/>
  <c r="AO99" i="38"/>
  <c r="AN99" i="38"/>
  <c r="AM99" i="38"/>
  <c r="AL99" i="38"/>
  <c r="AK99" i="38"/>
  <c r="AJ99" i="38"/>
  <c r="AI99" i="38"/>
  <c r="AH99" i="38"/>
  <c r="AG99" i="38"/>
  <c r="AF99" i="38"/>
  <c r="AE99" i="38"/>
  <c r="AD99" i="38"/>
  <c r="AC99" i="38"/>
  <c r="AB99" i="38"/>
  <c r="AA99" i="38"/>
  <c r="Z99" i="38"/>
  <c r="Y99" i="38"/>
  <c r="X99" i="38"/>
  <c r="W99" i="38"/>
  <c r="V99" i="38"/>
  <c r="U99" i="38"/>
  <c r="T99" i="38"/>
  <c r="S99" i="38"/>
  <c r="R99" i="38"/>
  <c r="Q99" i="38"/>
  <c r="P99" i="38"/>
  <c r="O99" i="38"/>
  <c r="K99" i="38"/>
  <c r="L99" i="38" s="1"/>
  <c r="M99" i="38" s="1"/>
  <c r="N99" i="38" s="1"/>
  <c r="J99" i="38"/>
  <c r="I99" i="38"/>
  <c r="H99" i="38"/>
  <c r="G99" i="38"/>
  <c r="F99" i="38"/>
  <c r="E99" i="38"/>
  <c r="D99" i="38"/>
  <c r="A99" i="38"/>
  <c r="BC98" i="38"/>
  <c r="BB98" i="38"/>
  <c r="BA98" i="38"/>
  <c r="AZ98" i="38"/>
  <c r="AY98" i="38"/>
  <c r="AX98" i="38"/>
  <c r="AW98" i="38"/>
  <c r="AV98" i="38"/>
  <c r="AU98" i="38"/>
  <c r="AT98" i="38"/>
  <c r="AS98" i="38"/>
  <c r="AR98" i="38"/>
  <c r="AQ98" i="38"/>
  <c r="AP98" i="38"/>
  <c r="AO98" i="38"/>
  <c r="AN98" i="38"/>
  <c r="AM98" i="38"/>
  <c r="AL98" i="38"/>
  <c r="AK98" i="38"/>
  <c r="AJ98" i="38"/>
  <c r="AI98" i="38"/>
  <c r="AH98" i="38"/>
  <c r="AG98" i="38"/>
  <c r="AF98" i="38"/>
  <c r="AE98" i="38"/>
  <c r="AD98" i="38"/>
  <c r="AC98" i="38"/>
  <c r="AB98" i="38"/>
  <c r="AA98" i="38"/>
  <c r="Z98" i="38"/>
  <c r="Y98" i="38"/>
  <c r="X98" i="38"/>
  <c r="W98" i="38"/>
  <c r="V98" i="38"/>
  <c r="U98" i="38"/>
  <c r="T98" i="38"/>
  <c r="S98" i="38"/>
  <c r="R98" i="38"/>
  <c r="Q98" i="38"/>
  <c r="P98" i="38"/>
  <c r="O98" i="38"/>
  <c r="K98" i="38"/>
  <c r="L98" i="38" s="1"/>
  <c r="M98" i="38" s="1"/>
  <c r="N98" i="38" s="1"/>
  <c r="J98" i="38"/>
  <c r="I98" i="38"/>
  <c r="H98" i="38"/>
  <c r="G98" i="38"/>
  <c r="F98" i="38"/>
  <c r="E98" i="38"/>
  <c r="D98" i="38"/>
  <c r="A98" i="38"/>
  <c r="BC97" i="38"/>
  <c r="BB97" i="38"/>
  <c r="BA97" i="38"/>
  <c r="AZ97" i="38"/>
  <c r="AY97" i="38"/>
  <c r="AX97" i="38"/>
  <c r="AW97" i="38"/>
  <c r="AV97" i="38"/>
  <c r="AU97" i="38"/>
  <c r="AT97" i="38"/>
  <c r="AS97" i="38"/>
  <c r="AR97" i="38"/>
  <c r="AQ97" i="38"/>
  <c r="AP97" i="38"/>
  <c r="AO97" i="38"/>
  <c r="AN97" i="38"/>
  <c r="AM97" i="38"/>
  <c r="AL97" i="38"/>
  <c r="AK97" i="38"/>
  <c r="AJ97" i="38"/>
  <c r="AI97" i="38"/>
  <c r="AH97" i="38"/>
  <c r="AG97" i="38"/>
  <c r="AF97" i="38"/>
  <c r="AE97" i="38"/>
  <c r="AD97" i="38"/>
  <c r="AC97" i="38"/>
  <c r="AB97" i="38"/>
  <c r="AA97" i="38"/>
  <c r="Z97" i="38"/>
  <c r="Y97" i="38"/>
  <c r="X97" i="38"/>
  <c r="W97" i="38"/>
  <c r="V97" i="38"/>
  <c r="U97" i="38"/>
  <c r="T97" i="38"/>
  <c r="S97" i="38"/>
  <c r="R97" i="38"/>
  <c r="Q97" i="38"/>
  <c r="P97" i="38"/>
  <c r="O97" i="38"/>
  <c r="K97" i="38"/>
  <c r="L97" i="38" s="1"/>
  <c r="M97" i="38" s="1"/>
  <c r="N97" i="38" s="1"/>
  <c r="J97" i="38"/>
  <c r="I97" i="38"/>
  <c r="H97" i="38"/>
  <c r="G97" i="38"/>
  <c r="F97" i="38"/>
  <c r="E97" i="38"/>
  <c r="D97" i="38"/>
  <c r="A97" i="38"/>
  <c r="BC96" i="38"/>
  <c r="BB96" i="38"/>
  <c r="BA96" i="38"/>
  <c r="AZ96" i="38"/>
  <c r="AY96" i="38"/>
  <c r="AX96" i="38"/>
  <c r="AW96" i="38"/>
  <c r="AV96" i="38"/>
  <c r="AU96" i="38"/>
  <c r="AT96" i="38"/>
  <c r="AS96" i="38"/>
  <c r="AR96" i="38"/>
  <c r="AQ96" i="38"/>
  <c r="AP96" i="38"/>
  <c r="AO96" i="38"/>
  <c r="AN96" i="38"/>
  <c r="AM96" i="38"/>
  <c r="AL96" i="38"/>
  <c r="AK96" i="38"/>
  <c r="AJ96" i="38"/>
  <c r="AI96" i="38"/>
  <c r="AH96" i="38"/>
  <c r="AG96" i="38"/>
  <c r="AF96" i="38"/>
  <c r="AE96" i="38"/>
  <c r="AD96" i="38"/>
  <c r="AC96" i="38"/>
  <c r="AB96" i="38"/>
  <c r="AA96" i="38"/>
  <c r="Z96" i="38"/>
  <c r="Y96" i="38"/>
  <c r="X96" i="38"/>
  <c r="W96" i="38"/>
  <c r="V96" i="38"/>
  <c r="U96" i="38"/>
  <c r="T96" i="38"/>
  <c r="S96" i="38"/>
  <c r="R96" i="38"/>
  <c r="Q96" i="38"/>
  <c r="P96" i="38"/>
  <c r="O96" i="38"/>
  <c r="K96" i="38"/>
  <c r="L96" i="38" s="1"/>
  <c r="M96" i="38" s="1"/>
  <c r="N96" i="38" s="1"/>
  <c r="J96" i="38"/>
  <c r="I96" i="38"/>
  <c r="H96" i="38"/>
  <c r="G96" i="38"/>
  <c r="F96" i="38"/>
  <c r="E96" i="38"/>
  <c r="D96" i="38"/>
  <c r="A96" i="38"/>
  <c r="BC95" i="38"/>
  <c r="BB95" i="38"/>
  <c r="BA95" i="38"/>
  <c r="AZ95" i="38"/>
  <c r="AY95" i="38"/>
  <c r="AX95" i="38"/>
  <c r="AW95" i="38"/>
  <c r="AV95" i="38"/>
  <c r="AU95" i="38"/>
  <c r="AT95" i="38"/>
  <c r="AS95" i="38"/>
  <c r="AR95" i="38"/>
  <c r="AQ95" i="38"/>
  <c r="AP95" i="38"/>
  <c r="AO95" i="38"/>
  <c r="AN95" i="38"/>
  <c r="AM95" i="38"/>
  <c r="AL95" i="38"/>
  <c r="AK95" i="38"/>
  <c r="AJ95" i="38"/>
  <c r="AI95" i="38"/>
  <c r="AH95" i="38"/>
  <c r="AG95" i="38"/>
  <c r="AF95" i="38"/>
  <c r="AE95" i="38"/>
  <c r="AD95" i="38"/>
  <c r="AC95" i="38"/>
  <c r="AB95" i="38"/>
  <c r="AA95" i="38"/>
  <c r="Z95" i="38"/>
  <c r="Y95" i="38"/>
  <c r="X95" i="38"/>
  <c r="W95" i="38"/>
  <c r="V95" i="38"/>
  <c r="U95" i="38"/>
  <c r="T95" i="38"/>
  <c r="S95" i="38"/>
  <c r="R95" i="38"/>
  <c r="Q95" i="38"/>
  <c r="P95" i="38"/>
  <c r="O95" i="38"/>
  <c r="K95" i="38"/>
  <c r="L95" i="38" s="1"/>
  <c r="M95" i="38" s="1"/>
  <c r="N95" i="38" s="1"/>
  <c r="J95" i="38"/>
  <c r="I95" i="38"/>
  <c r="H95" i="38"/>
  <c r="G95" i="38"/>
  <c r="F95" i="38"/>
  <c r="E95" i="38"/>
  <c r="D95" i="38"/>
  <c r="A95" i="38"/>
  <c r="BC94" i="38"/>
  <c r="BB94" i="38"/>
  <c r="BA94" i="38"/>
  <c r="AZ94" i="38"/>
  <c r="AY94" i="38"/>
  <c r="AX94" i="38"/>
  <c r="AW94" i="38"/>
  <c r="AV94" i="38"/>
  <c r="AU94" i="38"/>
  <c r="AT94" i="38"/>
  <c r="AS94" i="38"/>
  <c r="AR94" i="38"/>
  <c r="AQ94" i="38"/>
  <c r="AP94" i="38"/>
  <c r="AO94" i="38"/>
  <c r="AN94" i="38"/>
  <c r="AM94" i="38"/>
  <c r="AL94" i="38"/>
  <c r="AK94" i="38"/>
  <c r="AJ94" i="38"/>
  <c r="AI94" i="38"/>
  <c r="AH94" i="38"/>
  <c r="AG94" i="38"/>
  <c r="AF94" i="38"/>
  <c r="AE94" i="38"/>
  <c r="AD94" i="38"/>
  <c r="AC94" i="38"/>
  <c r="AB94" i="38"/>
  <c r="AA94" i="38"/>
  <c r="Z94" i="38"/>
  <c r="Y94" i="38"/>
  <c r="X94" i="38"/>
  <c r="W94" i="38"/>
  <c r="V94" i="38"/>
  <c r="U94" i="38"/>
  <c r="T94" i="38"/>
  <c r="S94" i="38"/>
  <c r="R94" i="38"/>
  <c r="Q94" i="38"/>
  <c r="P94" i="38"/>
  <c r="O94" i="38"/>
  <c r="K94" i="38"/>
  <c r="L94" i="38" s="1"/>
  <c r="M94" i="38" s="1"/>
  <c r="N94" i="38" s="1"/>
  <c r="J94" i="38"/>
  <c r="I94" i="38"/>
  <c r="H94" i="38"/>
  <c r="G94" i="38"/>
  <c r="F94" i="38"/>
  <c r="E94" i="38"/>
  <c r="D94" i="38"/>
  <c r="A94" i="38"/>
  <c r="BC93" i="38"/>
  <c r="BB93" i="38"/>
  <c r="BA93" i="38"/>
  <c r="AZ93" i="38"/>
  <c r="AY93" i="38"/>
  <c r="AX93" i="38"/>
  <c r="AW93" i="38"/>
  <c r="AV93" i="38"/>
  <c r="AU93" i="38"/>
  <c r="AT93" i="38"/>
  <c r="AS93" i="38"/>
  <c r="AR93" i="38"/>
  <c r="AQ93" i="38"/>
  <c r="AP93" i="38"/>
  <c r="AO93" i="38"/>
  <c r="AN93" i="38"/>
  <c r="AM93" i="38"/>
  <c r="AL93" i="38"/>
  <c r="AK93" i="38"/>
  <c r="AJ93" i="38"/>
  <c r="AI93" i="38"/>
  <c r="AH93" i="38"/>
  <c r="AG93" i="38"/>
  <c r="AF93" i="38"/>
  <c r="AE93" i="38"/>
  <c r="AD93" i="38"/>
  <c r="AC93" i="38"/>
  <c r="AB93" i="38"/>
  <c r="AA93" i="38"/>
  <c r="Z93" i="38"/>
  <c r="Y93" i="38"/>
  <c r="X93" i="38"/>
  <c r="W93" i="38"/>
  <c r="V93" i="38"/>
  <c r="U93" i="38"/>
  <c r="T93" i="38"/>
  <c r="S93" i="38"/>
  <c r="R93" i="38"/>
  <c r="Q93" i="38"/>
  <c r="P93" i="38"/>
  <c r="O93" i="38"/>
  <c r="K93" i="38"/>
  <c r="L93" i="38" s="1"/>
  <c r="M93" i="38" s="1"/>
  <c r="N93" i="38" s="1"/>
  <c r="J93" i="38"/>
  <c r="I93" i="38"/>
  <c r="H93" i="38"/>
  <c r="G93" i="38"/>
  <c r="F93" i="38"/>
  <c r="E93" i="38"/>
  <c r="D93" i="38"/>
  <c r="A93" i="38"/>
  <c r="BC92" i="38"/>
  <c r="BB92" i="38"/>
  <c r="BA92" i="38"/>
  <c r="AZ92" i="38"/>
  <c r="AY92" i="38"/>
  <c r="AX92" i="38"/>
  <c r="AW92" i="38"/>
  <c r="AV92" i="38"/>
  <c r="AU92" i="38"/>
  <c r="AT92" i="38"/>
  <c r="AS92" i="38"/>
  <c r="AR92" i="38"/>
  <c r="AQ92" i="38"/>
  <c r="AP92" i="38"/>
  <c r="AO92" i="38"/>
  <c r="AN92" i="38"/>
  <c r="AM92" i="38"/>
  <c r="AL92" i="38"/>
  <c r="AK92" i="38"/>
  <c r="AJ92" i="38"/>
  <c r="AI92" i="38"/>
  <c r="AH92" i="38"/>
  <c r="AG92" i="38"/>
  <c r="AF92" i="38"/>
  <c r="AE92" i="38"/>
  <c r="AD92" i="38"/>
  <c r="AC92" i="38"/>
  <c r="AB92" i="38"/>
  <c r="AA92" i="38"/>
  <c r="Z92" i="38"/>
  <c r="Y92" i="38"/>
  <c r="X92" i="38"/>
  <c r="W92" i="38"/>
  <c r="V92" i="38"/>
  <c r="U92" i="38"/>
  <c r="T92" i="38"/>
  <c r="S92" i="38"/>
  <c r="R92" i="38"/>
  <c r="Q92" i="38"/>
  <c r="P92" i="38"/>
  <c r="O92" i="38"/>
  <c r="K92" i="38"/>
  <c r="L92" i="38" s="1"/>
  <c r="M92" i="38" s="1"/>
  <c r="N92" i="38" s="1"/>
  <c r="J92" i="38"/>
  <c r="I92" i="38"/>
  <c r="H92" i="38"/>
  <c r="G92" i="38"/>
  <c r="F92" i="38"/>
  <c r="E92" i="38"/>
  <c r="D92" i="38"/>
  <c r="A92" i="38"/>
  <c r="BC91" i="38"/>
  <c r="BB91" i="38"/>
  <c r="BA91" i="38"/>
  <c r="AZ91" i="38"/>
  <c r="AY91" i="38"/>
  <c r="AX91" i="38"/>
  <c r="AW91" i="38"/>
  <c r="AV91" i="38"/>
  <c r="AU91" i="38"/>
  <c r="AT91" i="38"/>
  <c r="AS91" i="38"/>
  <c r="AR91" i="38"/>
  <c r="AQ91" i="38"/>
  <c r="AP91" i="38"/>
  <c r="AO91" i="38"/>
  <c r="AN91" i="38"/>
  <c r="AM91" i="38"/>
  <c r="AL91" i="38"/>
  <c r="AK91" i="38"/>
  <c r="AJ91" i="38"/>
  <c r="AI91" i="38"/>
  <c r="AH91" i="38"/>
  <c r="AG91" i="38"/>
  <c r="AF91" i="38"/>
  <c r="AE91" i="38"/>
  <c r="AD91" i="38"/>
  <c r="AC91" i="38"/>
  <c r="AB91" i="38"/>
  <c r="AA91" i="38"/>
  <c r="Z91" i="38"/>
  <c r="Y91" i="38"/>
  <c r="X91" i="38"/>
  <c r="W91" i="38"/>
  <c r="V91" i="38"/>
  <c r="U91" i="38"/>
  <c r="T91" i="38"/>
  <c r="S91" i="38"/>
  <c r="R91" i="38"/>
  <c r="Q91" i="38"/>
  <c r="P91" i="38"/>
  <c r="O91" i="38"/>
  <c r="K91" i="38"/>
  <c r="L91" i="38" s="1"/>
  <c r="M91" i="38" s="1"/>
  <c r="N91" i="38" s="1"/>
  <c r="J91" i="38"/>
  <c r="I91" i="38"/>
  <c r="H91" i="38"/>
  <c r="G91" i="38"/>
  <c r="F91" i="38"/>
  <c r="E91" i="38"/>
  <c r="D91" i="38"/>
  <c r="A91" i="38"/>
  <c r="BC90" i="38"/>
  <c r="BB90" i="38"/>
  <c r="BA90" i="38"/>
  <c r="AZ90" i="38"/>
  <c r="AY90" i="38"/>
  <c r="AX90" i="38"/>
  <c r="AW90" i="38"/>
  <c r="AV90" i="38"/>
  <c r="AU90" i="38"/>
  <c r="AT90" i="38"/>
  <c r="AS90" i="38"/>
  <c r="AR90" i="38"/>
  <c r="AQ90" i="38"/>
  <c r="AP90" i="38"/>
  <c r="AO90" i="38"/>
  <c r="AN90" i="38"/>
  <c r="AM90" i="38"/>
  <c r="AL90" i="38"/>
  <c r="AK90" i="38"/>
  <c r="AJ90" i="38"/>
  <c r="AI90" i="38"/>
  <c r="AH90" i="38"/>
  <c r="AG90" i="38"/>
  <c r="AF90" i="38"/>
  <c r="AE90" i="38"/>
  <c r="AD90" i="38"/>
  <c r="AC90" i="38"/>
  <c r="AB90" i="38"/>
  <c r="AA90" i="38"/>
  <c r="Z90" i="38"/>
  <c r="Y90" i="38"/>
  <c r="X90" i="38"/>
  <c r="W90" i="38"/>
  <c r="V90" i="38"/>
  <c r="U90" i="38"/>
  <c r="T90" i="38"/>
  <c r="S90" i="38"/>
  <c r="R90" i="38"/>
  <c r="Q90" i="38"/>
  <c r="P90" i="38"/>
  <c r="O90" i="38"/>
  <c r="K90" i="38"/>
  <c r="L90" i="38" s="1"/>
  <c r="M90" i="38" s="1"/>
  <c r="N90" i="38" s="1"/>
  <c r="J90" i="38"/>
  <c r="I90" i="38"/>
  <c r="H90" i="38"/>
  <c r="G90" i="38"/>
  <c r="F90" i="38"/>
  <c r="E90" i="38"/>
  <c r="D90" i="38"/>
  <c r="A90" i="38"/>
  <c r="BC89" i="38"/>
  <c r="BB89" i="38"/>
  <c r="BA89" i="38"/>
  <c r="AZ89" i="38"/>
  <c r="AY89" i="38"/>
  <c r="AX89" i="38"/>
  <c r="AW89" i="38"/>
  <c r="AV89" i="38"/>
  <c r="AU89" i="38"/>
  <c r="AT89" i="38"/>
  <c r="AS89" i="38"/>
  <c r="AR89" i="38"/>
  <c r="AQ89" i="38"/>
  <c r="AP89" i="38"/>
  <c r="AO89" i="38"/>
  <c r="AN89" i="38"/>
  <c r="AM89" i="38"/>
  <c r="AL89" i="38"/>
  <c r="AK89" i="38"/>
  <c r="AJ89" i="38"/>
  <c r="AI89" i="38"/>
  <c r="AH89" i="38"/>
  <c r="AG89" i="38"/>
  <c r="AF89" i="38"/>
  <c r="AE89" i="38"/>
  <c r="AD89" i="38"/>
  <c r="AC89" i="38"/>
  <c r="AB89" i="38"/>
  <c r="AA89" i="38"/>
  <c r="Z89" i="38"/>
  <c r="Y89" i="38"/>
  <c r="X89" i="38"/>
  <c r="W89" i="38"/>
  <c r="V89" i="38"/>
  <c r="U89" i="38"/>
  <c r="T89" i="38"/>
  <c r="S89" i="38"/>
  <c r="R89" i="38"/>
  <c r="Q89" i="38"/>
  <c r="P89" i="38"/>
  <c r="O89" i="38"/>
  <c r="K89" i="38"/>
  <c r="L89" i="38" s="1"/>
  <c r="M89" i="38" s="1"/>
  <c r="N89" i="38" s="1"/>
  <c r="J89" i="38"/>
  <c r="I89" i="38"/>
  <c r="H89" i="38"/>
  <c r="G89" i="38"/>
  <c r="F89" i="38"/>
  <c r="E89" i="38"/>
  <c r="D89" i="38"/>
  <c r="A89" i="38"/>
  <c r="BC88" i="38"/>
  <c r="BB88" i="38"/>
  <c r="BA88" i="38"/>
  <c r="AZ88" i="38"/>
  <c r="AY88" i="38"/>
  <c r="AX88" i="38"/>
  <c r="AW88" i="38"/>
  <c r="AV88" i="38"/>
  <c r="AU88" i="38"/>
  <c r="AT88" i="38"/>
  <c r="AS88" i="38"/>
  <c r="AR88" i="38"/>
  <c r="AQ88" i="38"/>
  <c r="AP88" i="38"/>
  <c r="AO88" i="38"/>
  <c r="AN88" i="38"/>
  <c r="AM88" i="38"/>
  <c r="AL88" i="38"/>
  <c r="AK88" i="38"/>
  <c r="AJ88" i="38"/>
  <c r="AI88" i="38"/>
  <c r="AH88" i="38"/>
  <c r="AG88" i="38"/>
  <c r="AF88" i="38"/>
  <c r="AE88" i="38"/>
  <c r="AD88" i="38"/>
  <c r="AC88" i="38"/>
  <c r="AB88" i="38"/>
  <c r="AA88" i="38"/>
  <c r="Z88" i="38"/>
  <c r="Y88" i="38"/>
  <c r="X88" i="38"/>
  <c r="W88" i="38"/>
  <c r="V88" i="38"/>
  <c r="U88" i="38"/>
  <c r="T88" i="38"/>
  <c r="S88" i="38"/>
  <c r="R88" i="38"/>
  <c r="Q88" i="38"/>
  <c r="P88" i="38"/>
  <c r="O88" i="38"/>
  <c r="K88" i="38"/>
  <c r="L88" i="38" s="1"/>
  <c r="M88" i="38" s="1"/>
  <c r="N88" i="38" s="1"/>
  <c r="J88" i="38"/>
  <c r="I88" i="38"/>
  <c r="H88" i="38"/>
  <c r="G88" i="38"/>
  <c r="F88" i="38"/>
  <c r="E88" i="38"/>
  <c r="D88" i="38"/>
  <c r="A88" i="38"/>
  <c r="BC87" i="38"/>
  <c r="BB87" i="38"/>
  <c r="BA87" i="38"/>
  <c r="AZ87" i="38"/>
  <c r="AY87" i="38"/>
  <c r="AX87" i="38"/>
  <c r="AW87" i="38"/>
  <c r="AV87" i="38"/>
  <c r="AU87" i="38"/>
  <c r="AT87" i="38"/>
  <c r="AS87" i="38"/>
  <c r="AR87" i="38"/>
  <c r="AQ87" i="38"/>
  <c r="AP87" i="38"/>
  <c r="AO87" i="38"/>
  <c r="AN87" i="38"/>
  <c r="AM87" i="38"/>
  <c r="AL87" i="38"/>
  <c r="AK87" i="38"/>
  <c r="AJ87" i="38"/>
  <c r="AI87" i="38"/>
  <c r="AH87" i="38"/>
  <c r="AG87" i="38"/>
  <c r="AF87" i="38"/>
  <c r="AE87" i="38"/>
  <c r="AD87" i="38"/>
  <c r="AC87" i="38"/>
  <c r="AB87" i="38"/>
  <c r="AA87" i="38"/>
  <c r="Z87" i="38"/>
  <c r="Y87" i="38"/>
  <c r="X87" i="38"/>
  <c r="W87" i="38"/>
  <c r="V87" i="38"/>
  <c r="U87" i="38"/>
  <c r="T87" i="38"/>
  <c r="S87" i="38"/>
  <c r="R87" i="38"/>
  <c r="Q87" i="38"/>
  <c r="P87" i="38"/>
  <c r="O87" i="38"/>
  <c r="K87" i="38"/>
  <c r="L87" i="38" s="1"/>
  <c r="M87" i="38" s="1"/>
  <c r="N87" i="38" s="1"/>
  <c r="J87" i="38"/>
  <c r="I87" i="38"/>
  <c r="H87" i="38"/>
  <c r="G87" i="38"/>
  <c r="F87" i="38"/>
  <c r="E87" i="38"/>
  <c r="D87" i="38"/>
  <c r="A87" i="38"/>
  <c r="BC86" i="38"/>
  <c r="BB86" i="38"/>
  <c r="BA86" i="38"/>
  <c r="AZ86" i="38"/>
  <c r="AY86" i="38"/>
  <c r="AX86" i="38"/>
  <c r="AW86" i="38"/>
  <c r="AV86" i="38"/>
  <c r="AU86" i="38"/>
  <c r="AT86" i="38"/>
  <c r="AS86" i="38"/>
  <c r="AR86" i="38"/>
  <c r="AQ86" i="38"/>
  <c r="AP86" i="38"/>
  <c r="AO86" i="38"/>
  <c r="AN86" i="38"/>
  <c r="AM86" i="38"/>
  <c r="AL86" i="38"/>
  <c r="AK86" i="38"/>
  <c r="AJ86" i="38"/>
  <c r="AI86" i="38"/>
  <c r="AH86" i="38"/>
  <c r="AG86" i="38"/>
  <c r="AF86" i="38"/>
  <c r="AE86" i="38"/>
  <c r="AD86" i="38"/>
  <c r="AC86" i="38"/>
  <c r="AB86" i="38"/>
  <c r="AA86" i="38"/>
  <c r="Z86" i="38"/>
  <c r="Y86" i="38"/>
  <c r="X86" i="38"/>
  <c r="W86" i="38"/>
  <c r="V86" i="38"/>
  <c r="U86" i="38"/>
  <c r="T86" i="38"/>
  <c r="S86" i="38"/>
  <c r="R86" i="38"/>
  <c r="Q86" i="38"/>
  <c r="P86" i="38"/>
  <c r="O86" i="38"/>
  <c r="K86" i="38"/>
  <c r="L86" i="38" s="1"/>
  <c r="M86" i="38" s="1"/>
  <c r="N86" i="38" s="1"/>
  <c r="J86" i="38"/>
  <c r="I86" i="38"/>
  <c r="H86" i="38"/>
  <c r="G86" i="38"/>
  <c r="F86" i="38"/>
  <c r="E86" i="38"/>
  <c r="D86" i="38"/>
  <c r="A86" i="38"/>
  <c r="BC85" i="38"/>
  <c r="BB85" i="38"/>
  <c r="BA85" i="38"/>
  <c r="AZ85" i="38"/>
  <c r="AY85" i="38"/>
  <c r="AX85" i="38"/>
  <c r="AW85" i="38"/>
  <c r="AV85" i="38"/>
  <c r="AU85" i="38"/>
  <c r="AT85" i="38"/>
  <c r="AS85" i="38"/>
  <c r="AR85" i="38"/>
  <c r="AQ85" i="38"/>
  <c r="AP85" i="38"/>
  <c r="AO85" i="38"/>
  <c r="AN85" i="38"/>
  <c r="AM85" i="38"/>
  <c r="AL85" i="38"/>
  <c r="AK85" i="38"/>
  <c r="AJ85" i="38"/>
  <c r="AI85" i="38"/>
  <c r="AH85" i="38"/>
  <c r="AG85" i="38"/>
  <c r="AF85" i="38"/>
  <c r="AE85" i="38"/>
  <c r="AD85" i="38"/>
  <c r="AC85" i="38"/>
  <c r="AB85" i="38"/>
  <c r="AA85" i="38"/>
  <c r="Z85" i="38"/>
  <c r="Y85" i="38"/>
  <c r="X85" i="38"/>
  <c r="W85" i="38"/>
  <c r="V85" i="38"/>
  <c r="U85" i="38"/>
  <c r="T85" i="38"/>
  <c r="S85" i="38"/>
  <c r="R85" i="38"/>
  <c r="Q85" i="38"/>
  <c r="P85" i="38"/>
  <c r="O85" i="38"/>
  <c r="K85" i="38"/>
  <c r="L85" i="38" s="1"/>
  <c r="M85" i="38" s="1"/>
  <c r="N85" i="38" s="1"/>
  <c r="J85" i="38"/>
  <c r="I85" i="38"/>
  <c r="H85" i="38"/>
  <c r="G85" i="38"/>
  <c r="F85" i="38"/>
  <c r="E85" i="38"/>
  <c r="D85" i="38"/>
  <c r="A85" i="38"/>
  <c r="BC84" i="38"/>
  <c r="BB84" i="38"/>
  <c r="BA84" i="38"/>
  <c r="AZ84" i="38"/>
  <c r="AY84" i="38"/>
  <c r="AX84" i="38"/>
  <c r="AW84" i="38"/>
  <c r="AV84" i="38"/>
  <c r="AU84" i="38"/>
  <c r="AT84" i="38"/>
  <c r="AS84" i="38"/>
  <c r="AR84" i="38"/>
  <c r="AQ84" i="38"/>
  <c r="AP84" i="38"/>
  <c r="AO84" i="38"/>
  <c r="AN84" i="38"/>
  <c r="AM84" i="38"/>
  <c r="AL84" i="38"/>
  <c r="AK84" i="38"/>
  <c r="AJ84" i="38"/>
  <c r="AI84" i="38"/>
  <c r="AH84" i="38"/>
  <c r="AG84" i="38"/>
  <c r="AF84" i="38"/>
  <c r="AE84" i="38"/>
  <c r="AD84" i="38"/>
  <c r="AC84" i="38"/>
  <c r="AB84" i="38"/>
  <c r="AA84" i="38"/>
  <c r="Z84" i="38"/>
  <c r="Y84" i="38"/>
  <c r="X84" i="38"/>
  <c r="W84" i="38"/>
  <c r="V84" i="38"/>
  <c r="U84" i="38"/>
  <c r="T84" i="38"/>
  <c r="S84" i="38"/>
  <c r="R84" i="38"/>
  <c r="Q84" i="38"/>
  <c r="P84" i="38"/>
  <c r="O84" i="38"/>
  <c r="K84" i="38"/>
  <c r="L84" i="38" s="1"/>
  <c r="M84" i="38" s="1"/>
  <c r="N84" i="38" s="1"/>
  <c r="J84" i="38"/>
  <c r="I84" i="38"/>
  <c r="H84" i="38"/>
  <c r="G84" i="38"/>
  <c r="F84" i="38"/>
  <c r="E84" i="38"/>
  <c r="D84" i="38"/>
  <c r="A84" i="38"/>
  <c r="BC83" i="38"/>
  <c r="BB83" i="38"/>
  <c r="BA83" i="38"/>
  <c r="AZ83" i="38"/>
  <c r="AY83" i="38"/>
  <c r="AX83" i="38"/>
  <c r="AW83" i="38"/>
  <c r="AV83" i="38"/>
  <c r="AU83" i="38"/>
  <c r="AT83" i="38"/>
  <c r="AS83" i="38"/>
  <c r="AR83" i="38"/>
  <c r="AQ83" i="38"/>
  <c r="AP83" i="38"/>
  <c r="AO83" i="38"/>
  <c r="AN83" i="38"/>
  <c r="AM83" i="38"/>
  <c r="AL83" i="38"/>
  <c r="AK83" i="38"/>
  <c r="AJ83" i="38"/>
  <c r="AI83" i="38"/>
  <c r="AH83" i="38"/>
  <c r="AG83" i="38"/>
  <c r="AF83" i="38"/>
  <c r="AE83" i="38"/>
  <c r="AD83" i="38"/>
  <c r="AC83" i="38"/>
  <c r="AB83" i="38"/>
  <c r="AA83" i="38"/>
  <c r="Z83" i="38"/>
  <c r="Y83" i="38"/>
  <c r="X83" i="38"/>
  <c r="W83" i="38"/>
  <c r="V83" i="38"/>
  <c r="U83" i="38"/>
  <c r="T83" i="38"/>
  <c r="S83" i="38"/>
  <c r="R83" i="38"/>
  <c r="Q83" i="38"/>
  <c r="P83" i="38"/>
  <c r="O83" i="38"/>
  <c r="K83" i="38"/>
  <c r="L83" i="38" s="1"/>
  <c r="M83" i="38" s="1"/>
  <c r="N83" i="38" s="1"/>
  <c r="J83" i="38"/>
  <c r="I83" i="38"/>
  <c r="H83" i="38"/>
  <c r="G83" i="38"/>
  <c r="F83" i="38"/>
  <c r="E83" i="38"/>
  <c r="D83" i="38"/>
  <c r="A83" i="38"/>
  <c r="BC82" i="38"/>
  <c r="BB82" i="38"/>
  <c r="BA82" i="38"/>
  <c r="AZ82" i="38"/>
  <c r="AY82" i="38"/>
  <c r="AX82" i="38"/>
  <c r="AW82" i="38"/>
  <c r="AV82" i="38"/>
  <c r="AU82" i="38"/>
  <c r="AT82" i="38"/>
  <c r="AS82" i="38"/>
  <c r="AR82" i="38"/>
  <c r="AQ82" i="38"/>
  <c r="AP82" i="38"/>
  <c r="AO82" i="38"/>
  <c r="AN82" i="38"/>
  <c r="AM82" i="38"/>
  <c r="AL82" i="38"/>
  <c r="AK82" i="38"/>
  <c r="AJ82" i="38"/>
  <c r="AI82" i="38"/>
  <c r="AH82" i="38"/>
  <c r="AG82" i="38"/>
  <c r="AF82" i="38"/>
  <c r="AE82" i="38"/>
  <c r="AD82" i="38"/>
  <c r="AC82" i="38"/>
  <c r="AB82" i="38"/>
  <c r="AA82" i="38"/>
  <c r="Z82" i="38"/>
  <c r="Y82" i="38"/>
  <c r="X82" i="38"/>
  <c r="W82" i="38"/>
  <c r="V82" i="38"/>
  <c r="U82" i="38"/>
  <c r="T82" i="38"/>
  <c r="S82" i="38"/>
  <c r="R82" i="38"/>
  <c r="Q82" i="38"/>
  <c r="P82" i="38"/>
  <c r="O82" i="38"/>
  <c r="K82" i="38"/>
  <c r="L82" i="38" s="1"/>
  <c r="M82" i="38" s="1"/>
  <c r="N82" i="38" s="1"/>
  <c r="J82" i="38"/>
  <c r="I82" i="38"/>
  <c r="H82" i="38"/>
  <c r="G82" i="38"/>
  <c r="F82" i="38"/>
  <c r="E82" i="38"/>
  <c r="D82" i="38"/>
  <c r="A82" i="38"/>
  <c r="BC81" i="38"/>
  <c r="BB81" i="38"/>
  <c r="BA81" i="38"/>
  <c r="AZ81" i="38"/>
  <c r="AY81" i="38"/>
  <c r="AX81" i="38"/>
  <c r="AW81" i="38"/>
  <c r="AV81" i="38"/>
  <c r="AU81" i="38"/>
  <c r="AT81" i="38"/>
  <c r="AS81" i="38"/>
  <c r="AR81" i="38"/>
  <c r="AQ81" i="38"/>
  <c r="AP81" i="38"/>
  <c r="AO81" i="38"/>
  <c r="AN81" i="38"/>
  <c r="AM81" i="38"/>
  <c r="AL81" i="38"/>
  <c r="AK81" i="38"/>
  <c r="AJ81" i="38"/>
  <c r="AI81" i="38"/>
  <c r="AH81" i="38"/>
  <c r="AG81" i="38"/>
  <c r="AF81" i="38"/>
  <c r="AE81" i="38"/>
  <c r="AD81" i="38"/>
  <c r="AC81" i="38"/>
  <c r="AB81" i="38"/>
  <c r="AA81" i="38"/>
  <c r="Z81" i="38"/>
  <c r="Y81" i="38"/>
  <c r="X81" i="38"/>
  <c r="W81" i="38"/>
  <c r="V81" i="38"/>
  <c r="U81" i="38"/>
  <c r="T81" i="38"/>
  <c r="S81" i="38"/>
  <c r="R81" i="38"/>
  <c r="Q81" i="38"/>
  <c r="P81" i="38"/>
  <c r="O81" i="38"/>
  <c r="K81" i="38"/>
  <c r="L81" i="38" s="1"/>
  <c r="M81" i="38" s="1"/>
  <c r="N81" i="38" s="1"/>
  <c r="J81" i="38"/>
  <c r="I81" i="38"/>
  <c r="H81" i="38"/>
  <c r="G81" i="38"/>
  <c r="F81" i="38"/>
  <c r="E81" i="38"/>
  <c r="D81" i="38"/>
  <c r="A81" i="38"/>
  <c r="BC80" i="38"/>
  <c r="BB80" i="38"/>
  <c r="BA80" i="38"/>
  <c r="AZ80" i="38"/>
  <c r="AY80" i="38"/>
  <c r="AX80" i="38"/>
  <c r="AW80" i="38"/>
  <c r="AV80" i="38"/>
  <c r="AU80" i="38"/>
  <c r="AT80" i="38"/>
  <c r="AS80" i="38"/>
  <c r="AR80" i="38"/>
  <c r="AQ80" i="38"/>
  <c r="AP80" i="38"/>
  <c r="AO80" i="38"/>
  <c r="AN80" i="38"/>
  <c r="AM80" i="38"/>
  <c r="AL80" i="38"/>
  <c r="AK80" i="38"/>
  <c r="AJ80" i="38"/>
  <c r="AI80" i="38"/>
  <c r="AH80" i="38"/>
  <c r="AG80" i="38"/>
  <c r="AF80" i="38"/>
  <c r="AE80" i="38"/>
  <c r="AD80" i="38"/>
  <c r="AC80" i="38"/>
  <c r="AB80" i="38"/>
  <c r="AA80" i="38"/>
  <c r="Z80" i="38"/>
  <c r="Y80" i="38"/>
  <c r="X80" i="38"/>
  <c r="W80" i="38"/>
  <c r="V80" i="38"/>
  <c r="U80" i="38"/>
  <c r="T80" i="38"/>
  <c r="S80" i="38"/>
  <c r="R80" i="38"/>
  <c r="Q80" i="38"/>
  <c r="P80" i="38"/>
  <c r="O80" i="38"/>
  <c r="K80" i="38"/>
  <c r="L80" i="38" s="1"/>
  <c r="M80" i="38" s="1"/>
  <c r="N80" i="38" s="1"/>
  <c r="J80" i="38"/>
  <c r="I80" i="38"/>
  <c r="H80" i="38"/>
  <c r="G80" i="38"/>
  <c r="F80" i="38"/>
  <c r="E80" i="38"/>
  <c r="D80" i="38"/>
  <c r="A80" i="38"/>
  <c r="BC79" i="38"/>
  <c r="BB79" i="38"/>
  <c r="BA79" i="38"/>
  <c r="AZ79" i="38"/>
  <c r="AY79" i="38"/>
  <c r="AX79" i="38"/>
  <c r="AW79" i="38"/>
  <c r="AV79" i="38"/>
  <c r="AU79" i="38"/>
  <c r="AT79" i="38"/>
  <c r="AS79" i="38"/>
  <c r="AR79" i="38"/>
  <c r="AQ79" i="38"/>
  <c r="AP79" i="38"/>
  <c r="AO79" i="38"/>
  <c r="AN79" i="38"/>
  <c r="AM79" i="38"/>
  <c r="AL79" i="38"/>
  <c r="AK79" i="38"/>
  <c r="AJ79" i="38"/>
  <c r="AI79" i="38"/>
  <c r="AH79" i="38"/>
  <c r="AG79" i="38"/>
  <c r="AF79" i="38"/>
  <c r="AE79" i="38"/>
  <c r="AD79" i="38"/>
  <c r="AC79" i="38"/>
  <c r="AB79" i="38"/>
  <c r="AA79" i="38"/>
  <c r="Z79" i="38"/>
  <c r="Y79" i="38"/>
  <c r="X79" i="38"/>
  <c r="W79" i="38"/>
  <c r="V79" i="38"/>
  <c r="U79" i="38"/>
  <c r="T79" i="38"/>
  <c r="S79" i="38"/>
  <c r="R79" i="38"/>
  <c r="Q79" i="38"/>
  <c r="P79" i="38"/>
  <c r="O79" i="38"/>
  <c r="K79" i="38"/>
  <c r="L79" i="38" s="1"/>
  <c r="M79" i="38" s="1"/>
  <c r="N79" i="38" s="1"/>
  <c r="J79" i="38"/>
  <c r="I79" i="38"/>
  <c r="H79" i="38"/>
  <c r="G79" i="38"/>
  <c r="F79" i="38"/>
  <c r="E79" i="38"/>
  <c r="D79" i="38"/>
  <c r="A79" i="38"/>
  <c r="BC78" i="38"/>
  <c r="BB78" i="38"/>
  <c r="BA78" i="38"/>
  <c r="AZ78" i="38"/>
  <c r="AY78" i="38"/>
  <c r="AX78" i="38"/>
  <c r="AW78" i="38"/>
  <c r="AV78" i="38"/>
  <c r="AU78" i="38"/>
  <c r="AT78" i="38"/>
  <c r="AS78" i="38"/>
  <c r="AR78" i="38"/>
  <c r="AQ78" i="38"/>
  <c r="AP78" i="38"/>
  <c r="AO78" i="38"/>
  <c r="AN78" i="38"/>
  <c r="AM78" i="38"/>
  <c r="AL78" i="38"/>
  <c r="AK78" i="38"/>
  <c r="AJ78" i="38"/>
  <c r="AI78" i="38"/>
  <c r="AH78" i="38"/>
  <c r="AG78" i="38"/>
  <c r="AF78" i="38"/>
  <c r="AE78" i="38"/>
  <c r="AD78" i="38"/>
  <c r="AC78" i="38"/>
  <c r="AB78" i="38"/>
  <c r="AA78" i="38"/>
  <c r="Z78" i="38"/>
  <c r="Y78" i="38"/>
  <c r="X78" i="38"/>
  <c r="W78" i="38"/>
  <c r="V78" i="38"/>
  <c r="U78" i="38"/>
  <c r="T78" i="38"/>
  <c r="S78" i="38"/>
  <c r="R78" i="38"/>
  <c r="Q78" i="38"/>
  <c r="P78" i="38"/>
  <c r="O78" i="38"/>
  <c r="K78" i="38"/>
  <c r="L78" i="38" s="1"/>
  <c r="M78" i="38" s="1"/>
  <c r="N78" i="38" s="1"/>
  <c r="J78" i="38"/>
  <c r="I78" i="38"/>
  <c r="H78" i="38"/>
  <c r="G78" i="38"/>
  <c r="F78" i="38"/>
  <c r="E78" i="38"/>
  <c r="D78" i="38"/>
  <c r="A78" i="38"/>
  <c r="BC77" i="38"/>
  <c r="BB77" i="38"/>
  <c r="BA77" i="38"/>
  <c r="AZ77" i="38"/>
  <c r="AY77" i="38"/>
  <c r="AX77" i="38"/>
  <c r="AW77" i="38"/>
  <c r="AV77" i="38"/>
  <c r="AU77" i="38"/>
  <c r="AT77" i="38"/>
  <c r="AS77" i="38"/>
  <c r="AR77" i="38"/>
  <c r="AQ77" i="38"/>
  <c r="AP77" i="38"/>
  <c r="AO77" i="38"/>
  <c r="AN77" i="38"/>
  <c r="AM77" i="38"/>
  <c r="AL77" i="38"/>
  <c r="AK77" i="38"/>
  <c r="AJ77" i="38"/>
  <c r="AI77" i="38"/>
  <c r="AH77" i="38"/>
  <c r="AG77" i="38"/>
  <c r="AF77" i="38"/>
  <c r="AE77" i="38"/>
  <c r="AD77" i="38"/>
  <c r="AC77" i="38"/>
  <c r="AB77" i="38"/>
  <c r="AA77" i="38"/>
  <c r="Z77" i="38"/>
  <c r="Y77" i="38"/>
  <c r="X77" i="38"/>
  <c r="W77" i="38"/>
  <c r="V77" i="38"/>
  <c r="U77" i="38"/>
  <c r="T77" i="38"/>
  <c r="S77" i="38"/>
  <c r="R77" i="38"/>
  <c r="Q77" i="38"/>
  <c r="P77" i="38"/>
  <c r="O77" i="38"/>
  <c r="K77" i="38"/>
  <c r="L77" i="38" s="1"/>
  <c r="M77" i="38" s="1"/>
  <c r="N77" i="38" s="1"/>
  <c r="J77" i="38"/>
  <c r="I77" i="38"/>
  <c r="H77" i="38"/>
  <c r="G77" i="38"/>
  <c r="F77" i="38"/>
  <c r="E77" i="38"/>
  <c r="D77" i="38"/>
  <c r="A77" i="38"/>
  <c r="BC76" i="38"/>
  <c r="BB76" i="38"/>
  <c r="BA76" i="38"/>
  <c r="AZ76" i="38"/>
  <c r="AY76" i="38"/>
  <c r="AX76" i="38"/>
  <c r="AW76" i="38"/>
  <c r="AV76" i="38"/>
  <c r="AU76" i="38"/>
  <c r="AT76" i="38"/>
  <c r="AS76" i="38"/>
  <c r="AR76" i="38"/>
  <c r="AQ76" i="38"/>
  <c r="AP76" i="38"/>
  <c r="AO76" i="38"/>
  <c r="AN76" i="38"/>
  <c r="AM76" i="38"/>
  <c r="AL76" i="38"/>
  <c r="AK76" i="38"/>
  <c r="AJ76" i="38"/>
  <c r="AI76" i="38"/>
  <c r="AH76" i="38"/>
  <c r="AG76" i="38"/>
  <c r="AF76" i="38"/>
  <c r="AE76" i="38"/>
  <c r="AD76" i="38"/>
  <c r="AC76" i="38"/>
  <c r="AB76" i="38"/>
  <c r="AA76" i="38"/>
  <c r="Z76" i="38"/>
  <c r="Y76" i="38"/>
  <c r="X76" i="38"/>
  <c r="W76" i="38"/>
  <c r="V76" i="38"/>
  <c r="U76" i="38"/>
  <c r="T76" i="38"/>
  <c r="S76" i="38"/>
  <c r="R76" i="38"/>
  <c r="Q76" i="38"/>
  <c r="P76" i="38"/>
  <c r="O76" i="38"/>
  <c r="K76" i="38"/>
  <c r="L76" i="38" s="1"/>
  <c r="M76" i="38" s="1"/>
  <c r="N76" i="38" s="1"/>
  <c r="J76" i="38"/>
  <c r="I76" i="38"/>
  <c r="H76" i="38"/>
  <c r="G76" i="38"/>
  <c r="F76" i="38"/>
  <c r="E76" i="38"/>
  <c r="D76" i="38"/>
  <c r="A76" i="38"/>
  <c r="BC75" i="38"/>
  <c r="BB75" i="38"/>
  <c r="BA75" i="38"/>
  <c r="AZ75" i="38"/>
  <c r="AY75" i="38"/>
  <c r="AX75" i="38"/>
  <c r="AW75" i="38"/>
  <c r="AV75" i="38"/>
  <c r="AU75" i="38"/>
  <c r="AT75" i="38"/>
  <c r="AS75" i="38"/>
  <c r="AR75" i="38"/>
  <c r="AQ75" i="38"/>
  <c r="AP75" i="38"/>
  <c r="AO75" i="38"/>
  <c r="AN75" i="38"/>
  <c r="AM75" i="38"/>
  <c r="AL75" i="38"/>
  <c r="AK75" i="38"/>
  <c r="AJ75" i="38"/>
  <c r="AI75" i="38"/>
  <c r="AH75" i="38"/>
  <c r="AG75" i="38"/>
  <c r="AF75" i="38"/>
  <c r="AE75" i="38"/>
  <c r="AD75" i="38"/>
  <c r="AC75" i="38"/>
  <c r="AB75" i="38"/>
  <c r="AA75" i="38"/>
  <c r="Z75" i="38"/>
  <c r="Y75" i="38"/>
  <c r="X75" i="38"/>
  <c r="W75" i="38"/>
  <c r="V75" i="38"/>
  <c r="U75" i="38"/>
  <c r="T75" i="38"/>
  <c r="S75" i="38"/>
  <c r="R75" i="38"/>
  <c r="Q75" i="38"/>
  <c r="P75" i="38"/>
  <c r="O75" i="38"/>
  <c r="K75" i="38"/>
  <c r="L75" i="38" s="1"/>
  <c r="M75" i="38" s="1"/>
  <c r="N75" i="38" s="1"/>
  <c r="J75" i="38"/>
  <c r="I75" i="38"/>
  <c r="H75" i="38"/>
  <c r="G75" i="38"/>
  <c r="F75" i="38"/>
  <c r="E75" i="38"/>
  <c r="D75" i="38"/>
  <c r="A75" i="38"/>
  <c r="BC74" i="38"/>
  <c r="BB74" i="38"/>
  <c r="BA74" i="38"/>
  <c r="AZ74" i="38"/>
  <c r="AY74" i="38"/>
  <c r="AX74" i="38"/>
  <c r="AW74" i="38"/>
  <c r="AV74" i="38"/>
  <c r="AU74" i="38"/>
  <c r="AT74" i="38"/>
  <c r="AS74" i="38"/>
  <c r="AR74" i="38"/>
  <c r="AQ74" i="38"/>
  <c r="AP74" i="38"/>
  <c r="AO74" i="38"/>
  <c r="AN74" i="38"/>
  <c r="AM74" i="38"/>
  <c r="AL74" i="38"/>
  <c r="AK74" i="38"/>
  <c r="AJ74" i="38"/>
  <c r="AI74" i="38"/>
  <c r="AH74" i="38"/>
  <c r="AG74" i="38"/>
  <c r="AF74" i="38"/>
  <c r="AE74" i="38"/>
  <c r="AD74" i="38"/>
  <c r="AC74" i="38"/>
  <c r="AB74" i="38"/>
  <c r="AA74" i="38"/>
  <c r="Z74" i="38"/>
  <c r="Y74" i="38"/>
  <c r="X74" i="38"/>
  <c r="W74" i="38"/>
  <c r="V74" i="38"/>
  <c r="U74" i="38"/>
  <c r="T74" i="38"/>
  <c r="S74" i="38"/>
  <c r="R74" i="38"/>
  <c r="Q74" i="38"/>
  <c r="P74" i="38"/>
  <c r="O74" i="38"/>
  <c r="K74" i="38"/>
  <c r="L74" i="38" s="1"/>
  <c r="M74" i="38" s="1"/>
  <c r="N74" i="38" s="1"/>
  <c r="J74" i="38"/>
  <c r="I74" i="38"/>
  <c r="H74" i="38"/>
  <c r="G74" i="38"/>
  <c r="F74" i="38"/>
  <c r="E74" i="38"/>
  <c r="D74" i="38"/>
  <c r="A74" i="38"/>
  <c r="BC73" i="38"/>
  <c r="BB73" i="38"/>
  <c r="BA73" i="38"/>
  <c r="AZ73" i="38"/>
  <c r="AY73" i="38"/>
  <c r="AX73" i="38"/>
  <c r="AW73" i="38"/>
  <c r="AV73" i="38"/>
  <c r="AU73" i="38"/>
  <c r="AT73" i="38"/>
  <c r="AS73" i="38"/>
  <c r="AR73" i="38"/>
  <c r="AQ73" i="38"/>
  <c r="AP73" i="38"/>
  <c r="AO73" i="38"/>
  <c r="AN73" i="38"/>
  <c r="AM73" i="38"/>
  <c r="AL73" i="38"/>
  <c r="AK73" i="38"/>
  <c r="AJ73" i="38"/>
  <c r="AI73" i="38"/>
  <c r="AH73" i="38"/>
  <c r="AG73" i="38"/>
  <c r="AF73" i="38"/>
  <c r="AE73" i="38"/>
  <c r="AD73" i="38"/>
  <c r="AC73" i="38"/>
  <c r="AB73" i="38"/>
  <c r="AA73" i="38"/>
  <c r="Z73" i="38"/>
  <c r="Y73" i="38"/>
  <c r="X73" i="38"/>
  <c r="W73" i="38"/>
  <c r="V73" i="38"/>
  <c r="U73" i="38"/>
  <c r="T73" i="38"/>
  <c r="S73" i="38"/>
  <c r="R73" i="38"/>
  <c r="Q73" i="38"/>
  <c r="P73" i="38"/>
  <c r="O73" i="38"/>
  <c r="K73" i="38"/>
  <c r="L73" i="38" s="1"/>
  <c r="M73" i="38" s="1"/>
  <c r="N73" i="38" s="1"/>
  <c r="J73" i="38"/>
  <c r="I73" i="38"/>
  <c r="H73" i="38"/>
  <c r="G73" i="38"/>
  <c r="F73" i="38"/>
  <c r="E73" i="38"/>
  <c r="D73" i="38"/>
  <c r="A73" i="38"/>
  <c r="BC72" i="38"/>
  <c r="BB72" i="38"/>
  <c r="BA72" i="38"/>
  <c r="AZ72" i="38"/>
  <c r="AY72" i="38"/>
  <c r="AX72" i="38"/>
  <c r="AW72" i="38"/>
  <c r="AV72" i="38"/>
  <c r="AU72" i="38"/>
  <c r="AT72" i="38"/>
  <c r="AS72" i="38"/>
  <c r="AR72" i="38"/>
  <c r="AQ72" i="38"/>
  <c r="AP72" i="38"/>
  <c r="AO72" i="38"/>
  <c r="AN72" i="38"/>
  <c r="AM72" i="38"/>
  <c r="AL72" i="38"/>
  <c r="AK72" i="38"/>
  <c r="AJ72" i="38"/>
  <c r="AI72" i="38"/>
  <c r="AH72" i="38"/>
  <c r="AG72" i="38"/>
  <c r="AF72" i="38"/>
  <c r="AE72" i="38"/>
  <c r="AD72" i="38"/>
  <c r="AC72" i="38"/>
  <c r="AB72" i="38"/>
  <c r="AA72" i="38"/>
  <c r="Z72" i="38"/>
  <c r="Y72" i="38"/>
  <c r="X72" i="38"/>
  <c r="W72" i="38"/>
  <c r="V72" i="38"/>
  <c r="U72" i="38"/>
  <c r="T72" i="38"/>
  <c r="S72" i="38"/>
  <c r="R72" i="38"/>
  <c r="Q72" i="38"/>
  <c r="P72" i="38"/>
  <c r="O72" i="38"/>
  <c r="K72" i="38"/>
  <c r="L72" i="38" s="1"/>
  <c r="M72" i="38" s="1"/>
  <c r="N72" i="38" s="1"/>
  <c r="J72" i="38"/>
  <c r="I72" i="38"/>
  <c r="H72" i="38"/>
  <c r="G72" i="38"/>
  <c r="F72" i="38"/>
  <c r="E72" i="38"/>
  <c r="D72" i="38"/>
  <c r="A72" i="38"/>
  <c r="BC71" i="38"/>
  <c r="BB71" i="38"/>
  <c r="BA71" i="38"/>
  <c r="AZ71" i="38"/>
  <c r="AY71" i="38"/>
  <c r="AX71" i="38"/>
  <c r="AW71" i="38"/>
  <c r="AV71" i="38"/>
  <c r="AU71" i="38"/>
  <c r="AT71" i="38"/>
  <c r="AS71" i="38"/>
  <c r="AR71" i="38"/>
  <c r="AQ71" i="38"/>
  <c r="AP71" i="38"/>
  <c r="AO71" i="38"/>
  <c r="AN71" i="38"/>
  <c r="AM71" i="38"/>
  <c r="AL71" i="38"/>
  <c r="AK71" i="38"/>
  <c r="AJ71" i="38"/>
  <c r="AI71" i="38"/>
  <c r="AH71" i="38"/>
  <c r="AG71" i="38"/>
  <c r="AF71" i="38"/>
  <c r="AE71" i="38"/>
  <c r="AD71" i="38"/>
  <c r="AC71" i="38"/>
  <c r="AB71" i="38"/>
  <c r="AA71" i="38"/>
  <c r="Z71" i="38"/>
  <c r="Y71" i="38"/>
  <c r="X71" i="38"/>
  <c r="W71" i="38"/>
  <c r="V71" i="38"/>
  <c r="U71" i="38"/>
  <c r="T71" i="38"/>
  <c r="S71" i="38"/>
  <c r="R71" i="38"/>
  <c r="Q71" i="38"/>
  <c r="P71" i="38"/>
  <c r="O71" i="38"/>
  <c r="K71" i="38"/>
  <c r="L71" i="38" s="1"/>
  <c r="M71" i="38" s="1"/>
  <c r="N71" i="38" s="1"/>
  <c r="J71" i="38"/>
  <c r="I71" i="38"/>
  <c r="H71" i="38"/>
  <c r="G71" i="38"/>
  <c r="F71" i="38"/>
  <c r="E71" i="38"/>
  <c r="D71" i="38"/>
  <c r="A71" i="38"/>
  <c r="BC70" i="38"/>
  <c r="BB70" i="38"/>
  <c r="BA70" i="38"/>
  <c r="AZ70" i="38"/>
  <c r="AY70" i="38"/>
  <c r="AX70" i="38"/>
  <c r="AW70" i="38"/>
  <c r="AV70" i="38"/>
  <c r="AU70" i="38"/>
  <c r="AT70" i="38"/>
  <c r="AS70" i="38"/>
  <c r="AR70" i="38"/>
  <c r="AQ70" i="38"/>
  <c r="AP70" i="38"/>
  <c r="AO70" i="38"/>
  <c r="AN70" i="38"/>
  <c r="AM70" i="38"/>
  <c r="AL70" i="38"/>
  <c r="AK70" i="38"/>
  <c r="AJ70" i="38"/>
  <c r="AI70" i="38"/>
  <c r="AH70" i="38"/>
  <c r="AG70" i="38"/>
  <c r="AF70" i="38"/>
  <c r="AE70" i="38"/>
  <c r="AD70" i="38"/>
  <c r="AC70" i="38"/>
  <c r="AB70" i="38"/>
  <c r="AA70" i="38"/>
  <c r="Z70" i="38"/>
  <c r="Y70" i="38"/>
  <c r="X70" i="38"/>
  <c r="W70" i="38"/>
  <c r="V70" i="38"/>
  <c r="U70" i="38"/>
  <c r="T70" i="38"/>
  <c r="S70" i="38"/>
  <c r="R70" i="38"/>
  <c r="Q70" i="38"/>
  <c r="P70" i="38"/>
  <c r="O70" i="38"/>
  <c r="K70" i="38"/>
  <c r="L70" i="38" s="1"/>
  <c r="M70" i="38" s="1"/>
  <c r="N70" i="38" s="1"/>
  <c r="J70" i="38"/>
  <c r="I70" i="38"/>
  <c r="H70" i="38"/>
  <c r="G70" i="38"/>
  <c r="F70" i="38"/>
  <c r="E70" i="38"/>
  <c r="D70" i="38"/>
  <c r="A70" i="38"/>
  <c r="BC69" i="38"/>
  <c r="BB69" i="38"/>
  <c r="BA69" i="38"/>
  <c r="AZ69" i="38"/>
  <c r="AY69" i="38"/>
  <c r="AX69" i="38"/>
  <c r="AW69" i="38"/>
  <c r="AV69" i="38"/>
  <c r="AU69" i="38"/>
  <c r="AT69" i="38"/>
  <c r="AS69" i="38"/>
  <c r="AR69" i="38"/>
  <c r="AQ69" i="38"/>
  <c r="AP69" i="38"/>
  <c r="AO69" i="38"/>
  <c r="AN69" i="38"/>
  <c r="AM69" i="38"/>
  <c r="AL69" i="38"/>
  <c r="AK69" i="38"/>
  <c r="AJ69" i="38"/>
  <c r="AI69" i="38"/>
  <c r="AH69" i="38"/>
  <c r="AG69" i="38"/>
  <c r="AF69" i="38"/>
  <c r="AE69" i="38"/>
  <c r="AD69" i="38"/>
  <c r="AC69" i="38"/>
  <c r="AB69" i="38"/>
  <c r="AA69" i="38"/>
  <c r="Z69" i="38"/>
  <c r="Y69" i="38"/>
  <c r="X69" i="38"/>
  <c r="W69" i="38"/>
  <c r="V69" i="38"/>
  <c r="U69" i="38"/>
  <c r="T69" i="38"/>
  <c r="S69" i="38"/>
  <c r="R69" i="38"/>
  <c r="Q69" i="38"/>
  <c r="P69" i="38"/>
  <c r="O69" i="38"/>
  <c r="K69" i="38"/>
  <c r="L69" i="38" s="1"/>
  <c r="M69" i="38" s="1"/>
  <c r="N69" i="38" s="1"/>
  <c r="J69" i="38"/>
  <c r="I69" i="38"/>
  <c r="H69" i="38"/>
  <c r="G69" i="38"/>
  <c r="F69" i="38"/>
  <c r="E69" i="38"/>
  <c r="D69" i="38"/>
  <c r="A69" i="38"/>
  <c r="BC68" i="38"/>
  <c r="BB68" i="38"/>
  <c r="BA68" i="38"/>
  <c r="AZ68" i="38"/>
  <c r="AY68" i="38"/>
  <c r="AX68" i="38"/>
  <c r="AW68" i="38"/>
  <c r="AV68" i="38"/>
  <c r="AU68" i="38"/>
  <c r="AT68" i="38"/>
  <c r="AS68" i="38"/>
  <c r="AR68" i="38"/>
  <c r="AQ68" i="38"/>
  <c r="AP68" i="38"/>
  <c r="AO68" i="38"/>
  <c r="AN68" i="38"/>
  <c r="AM68" i="38"/>
  <c r="AL68" i="38"/>
  <c r="AK68" i="38"/>
  <c r="AJ68" i="38"/>
  <c r="AI68" i="38"/>
  <c r="AH68" i="38"/>
  <c r="AG68" i="38"/>
  <c r="AF68" i="38"/>
  <c r="AE68" i="38"/>
  <c r="AD68" i="38"/>
  <c r="AC68" i="38"/>
  <c r="AB68" i="38"/>
  <c r="AA68" i="38"/>
  <c r="Z68" i="38"/>
  <c r="Y68" i="38"/>
  <c r="X68" i="38"/>
  <c r="W68" i="38"/>
  <c r="V68" i="38"/>
  <c r="U68" i="38"/>
  <c r="T68" i="38"/>
  <c r="S68" i="38"/>
  <c r="R68" i="38"/>
  <c r="Q68" i="38"/>
  <c r="P68" i="38"/>
  <c r="O68" i="38"/>
  <c r="K68" i="38"/>
  <c r="L68" i="38" s="1"/>
  <c r="M68" i="38" s="1"/>
  <c r="N68" i="38" s="1"/>
  <c r="J68" i="38"/>
  <c r="I68" i="38"/>
  <c r="H68" i="38"/>
  <c r="G68" i="38"/>
  <c r="F68" i="38"/>
  <c r="E68" i="38"/>
  <c r="D68" i="38"/>
  <c r="A68" i="38"/>
  <c r="BC67" i="38"/>
  <c r="BB67" i="38"/>
  <c r="BA67" i="38"/>
  <c r="AZ67" i="38"/>
  <c r="AY67" i="38"/>
  <c r="AX67" i="38"/>
  <c r="AW67" i="38"/>
  <c r="AV67" i="38"/>
  <c r="AU67" i="38"/>
  <c r="AT67" i="38"/>
  <c r="AS67" i="38"/>
  <c r="AR67" i="38"/>
  <c r="AQ67" i="38"/>
  <c r="AP67" i="38"/>
  <c r="AO67" i="38"/>
  <c r="AN67" i="38"/>
  <c r="AM67" i="38"/>
  <c r="AL67" i="38"/>
  <c r="AK67" i="38"/>
  <c r="AJ67" i="38"/>
  <c r="AI67" i="38"/>
  <c r="AH67" i="38"/>
  <c r="AG67" i="38"/>
  <c r="AF67" i="38"/>
  <c r="AE67" i="38"/>
  <c r="AD67" i="38"/>
  <c r="AC67" i="38"/>
  <c r="AB67" i="38"/>
  <c r="AA67" i="38"/>
  <c r="Z67" i="38"/>
  <c r="Y67" i="38"/>
  <c r="X67" i="38"/>
  <c r="W67" i="38"/>
  <c r="V67" i="38"/>
  <c r="U67" i="38"/>
  <c r="T67" i="38"/>
  <c r="S67" i="38"/>
  <c r="R67" i="38"/>
  <c r="Q67" i="38"/>
  <c r="P67" i="38"/>
  <c r="O67" i="38"/>
  <c r="K67" i="38"/>
  <c r="L67" i="38" s="1"/>
  <c r="M67" i="38" s="1"/>
  <c r="N67" i="38" s="1"/>
  <c r="J67" i="38"/>
  <c r="I67" i="38"/>
  <c r="H67" i="38"/>
  <c r="G67" i="38"/>
  <c r="F67" i="38"/>
  <c r="E67" i="38"/>
  <c r="D67" i="38"/>
  <c r="A67" i="38"/>
  <c r="BC66" i="38"/>
  <c r="BB66" i="38"/>
  <c r="BA66" i="38"/>
  <c r="AZ66" i="38"/>
  <c r="AY66" i="38"/>
  <c r="AX66" i="38"/>
  <c r="AW66" i="38"/>
  <c r="AV66" i="38"/>
  <c r="AU66" i="38"/>
  <c r="AT66" i="38"/>
  <c r="AS66" i="38"/>
  <c r="AR66" i="38"/>
  <c r="AQ66" i="38"/>
  <c r="AP66" i="38"/>
  <c r="AO66" i="38"/>
  <c r="AN66" i="38"/>
  <c r="AM66" i="38"/>
  <c r="AL66" i="38"/>
  <c r="AK66" i="38"/>
  <c r="AJ66" i="38"/>
  <c r="AI66" i="38"/>
  <c r="AH66" i="38"/>
  <c r="AG66" i="38"/>
  <c r="AF66" i="38"/>
  <c r="AE66" i="38"/>
  <c r="AD66" i="38"/>
  <c r="AC66" i="38"/>
  <c r="AB66" i="38"/>
  <c r="AA66" i="38"/>
  <c r="Z66" i="38"/>
  <c r="Y66" i="38"/>
  <c r="X66" i="38"/>
  <c r="W66" i="38"/>
  <c r="V66" i="38"/>
  <c r="U66" i="38"/>
  <c r="T66" i="38"/>
  <c r="S66" i="38"/>
  <c r="R66" i="38"/>
  <c r="Q66" i="38"/>
  <c r="P66" i="38"/>
  <c r="O66" i="38"/>
  <c r="K66" i="38"/>
  <c r="L66" i="38" s="1"/>
  <c r="M66" i="38" s="1"/>
  <c r="N66" i="38" s="1"/>
  <c r="J66" i="38"/>
  <c r="I66" i="38"/>
  <c r="H66" i="38"/>
  <c r="G66" i="38"/>
  <c r="F66" i="38"/>
  <c r="E66" i="38"/>
  <c r="D66" i="38"/>
  <c r="A66" i="38"/>
  <c r="BC65" i="38"/>
  <c r="BB65" i="38"/>
  <c r="BA65" i="38"/>
  <c r="AZ65" i="38"/>
  <c r="AY65" i="38"/>
  <c r="AX65" i="38"/>
  <c r="AW65" i="38"/>
  <c r="AV65" i="38"/>
  <c r="AU65" i="38"/>
  <c r="AT65" i="38"/>
  <c r="AS65" i="38"/>
  <c r="AR65" i="38"/>
  <c r="AQ65" i="38"/>
  <c r="AP65" i="38"/>
  <c r="AO65" i="38"/>
  <c r="AN65" i="38"/>
  <c r="AM65" i="38"/>
  <c r="AL65" i="38"/>
  <c r="AK65" i="38"/>
  <c r="AJ65" i="38"/>
  <c r="AI65" i="38"/>
  <c r="AH65" i="38"/>
  <c r="AG65" i="38"/>
  <c r="AF65" i="38"/>
  <c r="AE65" i="38"/>
  <c r="AD65" i="38"/>
  <c r="AC65" i="38"/>
  <c r="AB65" i="38"/>
  <c r="AA65" i="38"/>
  <c r="Z65" i="38"/>
  <c r="Y65" i="38"/>
  <c r="X65" i="38"/>
  <c r="W65" i="38"/>
  <c r="V65" i="38"/>
  <c r="U65" i="38"/>
  <c r="T65" i="38"/>
  <c r="S65" i="38"/>
  <c r="R65" i="38"/>
  <c r="Q65" i="38"/>
  <c r="P65" i="38"/>
  <c r="O65" i="38"/>
  <c r="K65" i="38"/>
  <c r="L65" i="38" s="1"/>
  <c r="M65" i="38" s="1"/>
  <c r="N65" i="38" s="1"/>
  <c r="J65" i="38"/>
  <c r="I65" i="38"/>
  <c r="H65" i="38"/>
  <c r="G65" i="38"/>
  <c r="F65" i="38"/>
  <c r="E65" i="38"/>
  <c r="D65" i="38"/>
  <c r="A65" i="38"/>
  <c r="BC64" i="38"/>
  <c r="BB64" i="38"/>
  <c r="BA64" i="38"/>
  <c r="AZ64" i="38"/>
  <c r="AY64" i="38"/>
  <c r="AX64" i="38"/>
  <c r="AW64" i="38"/>
  <c r="AV64" i="38"/>
  <c r="AU64" i="38"/>
  <c r="AT64" i="38"/>
  <c r="AS64" i="38"/>
  <c r="AR64" i="38"/>
  <c r="AQ64" i="38"/>
  <c r="AP64" i="38"/>
  <c r="AO64" i="38"/>
  <c r="AN64" i="38"/>
  <c r="AM64" i="38"/>
  <c r="AL64" i="38"/>
  <c r="AK64" i="38"/>
  <c r="AJ64" i="38"/>
  <c r="AI64" i="38"/>
  <c r="AH64" i="38"/>
  <c r="AG64" i="38"/>
  <c r="AF64" i="38"/>
  <c r="AE64" i="38"/>
  <c r="AD64" i="38"/>
  <c r="AC64" i="38"/>
  <c r="AB64" i="38"/>
  <c r="AA64" i="38"/>
  <c r="Z64" i="38"/>
  <c r="Y64" i="38"/>
  <c r="X64" i="38"/>
  <c r="W64" i="38"/>
  <c r="V64" i="38"/>
  <c r="U64" i="38"/>
  <c r="T64" i="38"/>
  <c r="S64" i="38"/>
  <c r="R64" i="38"/>
  <c r="Q64" i="38"/>
  <c r="P64" i="38"/>
  <c r="O64" i="38"/>
  <c r="K64" i="38"/>
  <c r="L64" i="38" s="1"/>
  <c r="M64" i="38" s="1"/>
  <c r="N64" i="38" s="1"/>
  <c r="J64" i="38"/>
  <c r="I64" i="38"/>
  <c r="H64" i="38"/>
  <c r="G64" i="38"/>
  <c r="F64" i="38"/>
  <c r="E64" i="38"/>
  <c r="D64" i="38"/>
  <c r="A64" i="38"/>
  <c r="BC63" i="38"/>
  <c r="BB63" i="38"/>
  <c r="BA63" i="38"/>
  <c r="AZ63" i="38"/>
  <c r="AY63" i="38"/>
  <c r="AX63" i="38"/>
  <c r="AW63" i="38"/>
  <c r="AV63" i="38"/>
  <c r="AU63" i="38"/>
  <c r="AT63" i="38"/>
  <c r="AS63" i="38"/>
  <c r="AR63" i="38"/>
  <c r="AQ63" i="38"/>
  <c r="AP63" i="38"/>
  <c r="AO63" i="38"/>
  <c r="AN63" i="38"/>
  <c r="AM63" i="38"/>
  <c r="AL63" i="38"/>
  <c r="AK63" i="38"/>
  <c r="AJ63" i="38"/>
  <c r="AI63" i="38"/>
  <c r="AH63" i="38"/>
  <c r="AG63" i="38"/>
  <c r="AF63" i="38"/>
  <c r="AE63" i="38"/>
  <c r="AD63" i="38"/>
  <c r="AC63" i="38"/>
  <c r="AB63" i="38"/>
  <c r="AA63" i="38"/>
  <c r="Z63" i="38"/>
  <c r="Y63" i="38"/>
  <c r="X63" i="38"/>
  <c r="W63" i="38"/>
  <c r="V63" i="38"/>
  <c r="U63" i="38"/>
  <c r="T63" i="38"/>
  <c r="S63" i="38"/>
  <c r="R63" i="38"/>
  <c r="Q63" i="38"/>
  <c r="P63" i="38"/>
  <c r="O63" i="38"/>
  <c r="K63" i="38"/>
  <c r="L63" i="38" s="1"/>
  <c r="M63" i="38" s="1"/>
  <c r="N63" i="38" s="1"/>
  <c r="J63" i="38"/>
  <c r="I63" i="38"/>
  <c r="H63" i="38"/>
  <c r="G63" i="38"/>
  <c r="F63" i="38"/>
  <c r="E63" i="38"/>
  <c r="D63" i="38"/>
  <c r="A63" i="38"/>
  <c r="BC62" i="38"/>
  <c r="BB62" i="38"/>
  <c r="BA62" i="38"/>
  <c r="AZ62" i="38"/>
  <c r="AY62" i="38"/>
  <c r="AX62" i="38"/>
  <c r="AW62" i="38"/>
  <c r="AV62" i="38"/>
  <c r="AU62" i="38"/>
  <c r="AT62" i="38"/>
  <c r="AS62" i="38"/>
  <c r="AR62" i="38"/>
  <c r="AQ62" i="38"/>
  <c r="AP62" i="38"/>
  <c r="AO62" i="38"/>
  <c r="AN62" i="38"/>
  <c r="AM62" i="38"/>
  <c r="AL62" i="38"/>
  <c r="AK62" i="38"/>
  <c r="AJ62" i="38"/>
  <c r="AI62" i="38"/>
  <c r="AH62" i="38"/>
  <c r="AG62" i="38"/>
  <c r="AF62" i="38"/>
  <c r="AE62" i="38"/>
  <c r="AD62" i="38"/>
  <c r="AC62" i="38"/>
  <c r="AB62" i="38"/>
  <c r="AA62" i="38"/>
  <c r="Z62" i="38"/>
  <c r="Y62" i="38"/>
  <c r="X62" i="38"/>
  <c r="W62" i="38"/>
  <c r="V62" i="38"/>
  <c r="U62" i="38"/>
  <c r="T62" i="38"/>
  <c r="S62" i="38"/>
  <c r="R62" i="38"/>
  <c r="Q62" i="38"/>
  <c r="P62" i="38"/>
  <c r="O62" i="38"/>
  <c r="K62" i="38"/>
  <c r="L62" i="38" s="1"/>
  <c r="M62" i="38" s="1"/>
  <c r="N62" i="38" s="1"/>
  <c r="J62" i="38"/>
  <c r="I62" i="38"/>
  <c r="H62" i="38"/>
  <c r="G62" i="38"/>
  <c r="F62" i="38"/>
  <c r="E62" i="38"/>
  <c r="D62" i="38"/>
  <c r="A62" i="38"/>
  <c r="BC61" i="38"/>
  <c r="BB61" i="38"/>
  <c r="BA61" i="38"/>
  <c r="AZ61" i="38"/>
  <c r="AY61" i="38"/>
  <c r="AX61" i="38"/>
  <c r="AW61" i="38"/>
  <c r="AV61" i="38"/>
  <c r="AU61" i="38"/>
  <c r="AT61" i="38"/>
  <c r="AS61" i="38"/>
  <c r="AR61" i="38"/>
  <c r="AQ61" i="38"/>
  <c r="AP61" i="38"/>
  <c r="AO61" i="38"/>
  <c r="AN61" i="38"/>
  <c r="AM61" i="38"/>
  <c r="AL61" i="38"/>
  <c r="AK61" i="38"/>
  <c r="AJ61" i="38"/>
  <c r="AI61" i="38"/>
  <c r="AH61" i="38"/>
  <c r="AG61" i="38"/>
  <c r="AF61" i="38"/>
  <c r="AE61" i="38"/>
  <c r="AD61" i="38"/>
  <c r="AC61" i="38"/>
  <c r="AB61" i="38"/>
  <c r="AA61" i="38"/>
  <c r="Z61" i="38"/>
  <c r="Y61" i="38"/>
  <c r="X61" i="38"/>
  <c r="W61" i="38"/>
  <c r="V61" i="38"/>
  <c r="U61" i="38"/>
  <c r="T61" i="38"/>
  <c r="S61" i="38"/>
  <c r="R61" i="38"/>
  <c r="Q61" i="38"/>
  <c r="P61" i="38"/>
  <c r="O61" i="38"/>
  <c r="K61" i="38"/>
  <c r="L61" i="38" s="1"/>
  <c r="M61" i="38" s="1"/>
  <c r="N61" i="38" s="1"/>
  <c r="J61" i="38"/>
  <c r="I61" i="38"/>
  <c r="H61" i="38"/>
  <c r="G61" i="38"/>
  <c r="F61" i="38"/>
  <c r="E61" i="38"/>
  <c r="D61" i="38"/>
  <c r="A61" i="38"/>
  <c r="BC60" i="38"/>
  <c r="BB60" i="38"/>
  <c r="BA60" i="38"/>
  <c r="AZ60" i="38"/>
  <c r="AY60" i="38"/>
  <c r="AX60" i="38"/>
  <c r="AW60" i="38"/>
  <c r="AV60" i="38"/>
  <c r="AU60" i="38"/>
  <c r="AT60" i="38"/>
  <c r="AS60" i="38"/>
  <c r="AR60" i="38"/>
  <c r="AQ60" i="38"/>
  <c r="AP60" i="38"/>
  <c r="AO60" i="38"/>
  <c r="AN60" i="38"/>
  <c r="AM60" i="38"/>
  <c r="AL60" i="38"/>
  <c r="AK60" i="38"/>
  <c r="AJ60" i="38"/>
  <c r="AI60" i="38"/>
  <c r="AH60" i="38"/>
  <c r="AG60" i="38"/>
  <c r="AF60" i="38"/>
  <c r="AE60" i="38"/>
  <c r="AD60" i="38"/>
  <c r="AC60" i="38"/>
  <c r="AB60" i="38"/>
  <c r="AA60" i="38"/>
  <c r="Z60" i="38"/>
  <c r="Y60" i="38"/>
  <c r="X60" i="38"/>
  <c r="W60" i="38"/>
  <c r="V60" i="38"/>
  <c r="U60" i="38"/>
  <c r="T60" i="38"/>
  <c r="S60" i="38"/>
  <c r="R60" i="38"/>
  <c r="Q60" i="38"/>
  <c r="P60" i="38"/>
  <c r="O60" i="38"/>
  <c r="K60" i="38"/>
  <c r="L60" i="38" s="1"/>
  <c r="M60" i="38" s="1"/>
  <c r="N60" i="38" s="1"/>
  <c r="J60" i="38"/>
  <c r="I60" i="38"/>
  <c r="H60" i="38"/>
  <c r="G60" i="38"/>
  <c r="F60" i="38"/>
  <c r="E60" i="38"/>
  <c r="D60" i="38"/>
  <c r="A60" i="38"/>
  <c r="BC59" i="38"/>
  <c r="BB59" i="38"/>
  <c r="BA59" i="38"/>
  <c r="AZ59" i="38"/>
  <c r="AY59" i="38"/>
  <c r="AX59" i="38"/>
  <c r="AW59" i="38"/>
  <c r="AV59" i="38"/>
  <c r="AU59" i="38"/>
  <c r="AT59" i="38"/>
  <c r="AS59" i="38"/>
  <c r="AR59" i="38"/>
  <c r="AQ59" i="38"/>
  <c r="AP59" i="38"/>
  <c r="AO59" i="38"/>
  <c r="AN59" i="38"/>
  <c r="AM59" i="38"/>
  <c r="AL59" i="38"/>
  <c r="AK59" i="38"/>
  <c r="AJ59" i="38"/>
  <c r="AI59" i="38"/>
  <c r="AH59" i="38"/>
  <c r="AG59" i="38"/>
  <c r="AF59" i="38"/>
  <c r="AE59" i="38"/>
  <c r="AD59" i="38"/>
  <c r="AC59" i="38"/>
  <c r="AB59" i="38"/>
  <c r="AA59" i="38"/>
  <c r="Z59" i="38"/>
  <c r="Y59" i="38"/>
  <c r="X59" i="38"/>
  <c r="W59" i="38"/>
  <c r="V59" i="38"/>
  <c r="U59" i="38"/>
  <c r="T59" i="38"/>
  <c r="S59" i="38"/>
  <c r="R59" i="38"/>
  <c r="Q59" i="38"/>
  <c r="P59" i="38"/>
  <c r="O59" i="38"/>
  <c r="K59" i="38"/>
  <c r="L59" i="38" s="1"/>
  <c r="M59" i="38" s="1"/>
  <c r="N59" i="38" s="1"/>
  <c r="J59" i="38"/>
  <c r="I59" i="38"/>
  <c r="H59" i="38"/>
  <c r="G59" i="38"/>
  <c r="F59" i="38"/>
  <c r="E59" i="38"/>
  <c r="D59" i="38"/>
  <c r="A59" i="38"/>
  <c r="BC58" i="38"/>
  <c r="BB58" i="38"/>
  <c r="BA58" i="38"/>
  <c r="AZ58" i="38"/>
  <c r="AY58" i="38"/>
  <c r="AX58" i="38"/>
  <c r="AW58" i="38"/>
  <c r="AV58" i="38"/>
  <c r="AU58" i="38"/>
  <c r="AT58" i="38"/>
  <c r="AS58" i="38"/>
  <c r="AR58" i="38"/>
  <c r="AQ58" i="38"/>
  <c r="AP58" i="38"/>
  <c r="AO58" i="38"/>
  <c r="AN58" i="38"/>
  <c r="AM58" i="38"/>
  <c r="AL58" i="38"/>
  <c r="AK58" i="38"/>
  <c r="AJ58" i="38"/>
  <c r="AI58" i="38"/>
  <c r="AH58" i="38"/>
  <c r="AG58" i="38"/>
  <c r="AF58" i="38"/>
  <c r="AE58" i="38"/>
  <c r="AD58" i="38"/>
  <c r="AC58" i="38"/>
  <c r="AB58" i="38"/>
  <c r="AA58" i="38"/>
  <c r="Z58" i="38"/>
  <c r="Y58" i="38"/>
  <c r="X58" i="38"/>
  <c r="W58" i="38"/>
  <c r="V58" i="38"/>
  <c r="U58" i="38"/>
  <c r="T58" i="38"/>
  <c r="S58" i="38"/>
  <c r="R58" i="38"/>
  <c r="Q58" i="38"/>
  <c r="P58" i="38"/>
  <c r="O58" i="38"/>
  <c r="K58" i="38"/>
  <c r="L58" i="38" s="1"/>
  <c r="M58" i="38" s="1"/>
  <c r="N58" i="38" s="1"/>
  <c r="J58" i="38"/>
  <c r="I58" i="38"/>
  <c r="H58" i="38"/>
  <c r="G58" i="38"/>
  <c r="F58" i="38"/>
  <c r="E58" i="38"/>
  <c r="D58" i="38"/>
  <c r="A58" i="38"/>
  <c r="BC57" i="38"/>
  <c r="BB57" i="38"/>
  <c r="BA57" i="38"/>
  <c r="AZ57" i="38"/>
  <c r="AY57" i="38"/>
  <c r="AX57" i="38"/>
  <c r="AW57" i="38"/>
  <c r="AV57" i="38"/>
  <c r="AU57" i="38"/>
  <c r="AT57" i="38"/>
  <c r="AS57" i="38"/>
  <c r="AR57" i="38"/>
  <c r="AQ57" i="38"/>
  <c r="AP57" i="38"/>
  <c r="AO57" i="38"/>
  <c r="AN57" i="38"/>
  <c r="AM57" i="38"/>
  <c r="AL57" i="38"/>
  <c r="AK57" i="38"/>
  <c r="AJ57" i="38"/>
  <c r="AI57" i="38"/>
  <c r="AH57" i="38"/>
  <c r="AG57" i="38"/>
  <c r="AF57" i="38"/>
  <c r="AE57" i="38"/>
  <c r="AD57" i="38"/>
  <c r="AC57" i="38"/>
  <c r="AB57" i="38"/>
  <c r="AA57" i="38"/>
  <c r="Z57" i="38"/>
  <c r="Y57" i="38"/>
  <c r="X57" i="38"/>
  <c r="W57" i="38"/>
  <c r="V57" i="38"/>
  <c r="U57" i="38"/>
  <c r="T57" i="38"/>
  <c r="S57" i="38"/>
  <c r="R57" i="38"/>
  <c r="Q57" i="38"/>
  <c r="P57" i="38"/>
  <c r="O57" i="38"/>
  <c r="K57" i="38"/>
  <c r="L57" i="38" s="1"/>
  <c r="M57" i="38" s="1"/>
  <c r="N57" i="38" s="1"/>
  <c r="J57" i="38"/>
  <c r="I57" i="38"/>
  <c r="H57" i="38"/>
  <c r="G57" i="38"/>
  <c r="F57" i="38"/>
  <c r="E57" i="38"/>
  <c r="D57" i="38"/>
  <c r="A57" i="38"/>
  <c r="BC56" i="38"/>
  <c r="BB56" i="38"/>
  <c r="BA56" i="38"/>
  <c r="AZ56" i="38"/>
  <c r="AY56" i="38"/>
  <c r="AX56" i="38"/>
  <c r="AW56" i="38"/>
  <c r="AV56" i="38"/>
  <c r="AU56" i="38"/>
  <c r="AT56" i="38"/>
  <c r="AS56" i="38"/>
  <c r="AR56" i="38"/>
  <c r="AQ56" i="38"/>
  <c r="AP56" i="38"/>
  <c r="AO56" i="38"/>
  <c r="AN56" i="38"/>
  <c r="AM56" i="38"/>
  <c r="AL56" i="38"/>
  <c r="AK56" i="38"/>
  <c r="AJ56" i="38"/>
  <c r="AI56" i="38"/>
  <c r="AH56" i="38"/>
  <c r="AG56" i="38"/>
  <c r="AF56" i="38"/>
  <c r="AE56" i="38"/>
  <c r="AD56" i="38"/>
  <c r="AC56" i="38"/>
  <c r="AB56" i="38"/>
  <c r="AA56" i="38"/>
  <c r="Z56" i="38"/>
  <c r="Y56" i="38"/>
  <c r="X56" i="38"/>
  <c r="W56" i="38"/>
  <c r="V56" i="38"/>
  <c r="U56" i="38"/>
  <c r="T56" i="38"/>
  <c r="S56" i="38"/>
  <c r="R56" i="38"/>
  <c r="Q56" i="38"/>
  <c r="P56" i="38"/>
  <c r="O56" i="38"/>
  <c r="K56" i="38"/>
  <c r="L56" i="38" s="1"/>
  <c r="M56" i="38" s="1"/>
  <c r="N56" i="38" s="1"/>
  <c r="J56" i="38"/>
  <c r="I56" i="38"/>
  <c r="H56" i="38"/>
  <c r="G56" i="38"/>
  <c r="F56" i="38"/>
  <c r="E56" i="38"/>
  <c r="D56" i="38"/>
  <c r="A56" i="38"/>
  <c r="BC55" i="38"/>
  <c r="BB55" i="38"/>
  <c r="BA55" i="38"/>
  <c r="AZ55" i="38"/>
  <c r="AY55" i="38"/>
  <c r="AX55" i="38"/>
  <c r="AW55" i="38"/>
  <c r="AV55" i="38"/>
  <c r="AU55" i="38"/>
  <c r="AT55" i="38"/>
  <c r="AS55" i="38"/>
  <c r="AR55" i="38"/>
  <c r="AQ55" i="38"/>
  <c r="AP55" i="38"/>
  <c r="AO55" i="38"/>
  <c r="AN55" i="38"/>
  <c r="AM55" i="38"/>
  <c r="AL55" i="38"/>
  <c r="AK55" i="38"/>
  <c r="AJ55" i="38"/>
  <c r="AI55" i="38"/>
  <c r="AH55" i="38"/>
  <c r="AG55" i="38"/>
  <c r="AF55" i="38"/>
  <c r="AE55" i="38"/>
  <c r="AD55" i="38"/>
  <c r="AC55" i="38"/>
  <c r="AB55" i="38"/>
  <c r="AA55" i="38"/>
  <c r="Z55" i="38"/>
  <c r="Y55" i="38"/>
  <c r="X55" i="38"/>
  <c r="W55" i="38"/>
  <c r="V55" i="38"/>
  <c r="U55" i="38"/>
  <c r="T55" i="38"/>
  <c r="S55" i="38"/>
  <c r="R55" i="38"/>
  <c r="Q55" i="38"/>
  <c r="P55" i="38"/>
  <c r="O55" i="38"/>
  <c r="K55" i="38"/>
  <c r="L55" i="38" s="1"/>
  <c r="M55" i="38" s="1"/>
  <c r="N55" i="38" s="1"/>
  <c r="J55" i="38"/>
  <c r="I55" i="38"/>
  <c r="H55" i="38"/>
  <c r="G55" i="38"/>
  <c r="F55" i="38"/>
  <c r="E55" i="38"/>
  <c r="D55" i="38"/>
  <c r="A55" i="38"/>
  <c r="BC54" i="38"/>
  <c r="BB54" i="38"/>
  <c r="BA54" i="38"/>
  <c r="AZ54" i="38"/>
  <c r="AY54" i="38"/>
  <c r="AX54" i="38"/>
  <c r="AW54" i="38"/>
  <c r="AV54" i="38"/>
  <c r="AU54" i="38"/>
  <c r="AT54" i="38"/>
  <c r="AS54" i="38"/>
  <c r="AR54" i="38"/>
  <c r="AQ54" i="38"/>
  <c r="AP54" i="38"/>
  <c r="AO54" i="38"/>
  <c r="AN54" i="38"/>
  <c r="AM54" i="38"/>
  <c r="AL54" i="38"/>
  <c r="AK54" i="38"/>
  <c r="AJ54" i="38"/>
  <c r="AI54" i="38"/>
  <c r="AH54" i="38"/>
  <c r="AG54" i="38"/>
  <c r="AF54" i="38"/>
  <c r="AE54" i="38"/>
  <c r="AD54" i="38"/>
  <c r="AC54" i="38"/>
  <c r="AB54" i="38"/>
  <c r="AA54" i="38"/>
  <c r="Z54" i="38"/>
  <c r="Y54" i="38"/>
  <c r="X54" i="38"/>
  <c r="W54" i="38"/>
  <c r="V54" i="38"/>
  <c r="U54" i="38"/>
  <c r="T54" i="38"/>
  <c r="S54" i="38"/>
  <c r="R54" i="38"/>
  <c r="Q54" i="38"/>
  <c r="P54" i="38"/>
  <c r="O54" i="38"/>
  <c r="K54" i="38"/>
  <c r="L54" i="38" s="1"/>
  <c r="M54" i="38" s="1"/>
  <c r="N54" i="38" s="1"/>
  <c r="J54" i="38"/>
  <c r="I54" i="38"/>
  <c r="H54" i="38"/>
  <c r="G54" i="38"/>
  <c r="F54" i="38"/>
  <c r="E54" i="38"/>
  <c r="D54" i="38"/>
  <c r="A54" i="38"/>
  <c r="BC53" i="38"/>
  <c r="BB53" i="38"/>
  <c r="BA53" i="38"/>
  <c r="AZ53" i="38"/>
  <c r="AY53" i="38"/>
  <c r="AX53" i="38"/>
  <c r="AW53" i="38"/>
  <c r="AV53" i="38"/>
  <c r="AU53" i="38"/>
  <c r="AT53" i="38"/>
  <c r="AS53" i="38"/>
  <c r="AR53" i="38"/>
  <c r="AQ53" i="38"/>
  <c r="AP53" i="38"/>
  <c r="AO53" i="38"/>
  <c r="AN53" i="38"/>
  <c r="AM53" i="38"/>
  <c r="AL53" i="38"/>
  <c r="AK53" i="38"/>
  <c r="AJ53" i="38"/>
  <c r="AI53" i="38"/>
  <c r="AH53" i="38"/>
  <c r="AG53" i="38"/>
  <c r="AF53" i="38"/>
  <c r="AE53" i="38"/>
  <c r="AD53" i="38"/>
  <c r="AC53" i="38"/>
  <c r="AB53" i="38"/>
  <c r="AA53" i="38"/>
  <c r="Z53" i="38"/>
  <c r="Y53" i="38"/>
  <c r="X53" i="38"/>
  <c r="W53" i="38"/>
  <c r="V53" i="38"/>
  <c r="U53" i="38"/>
  <c r="T53" i="38"/>
  <c r="S53" i="38"/>
  <c r="R53" i="38"/>
  <c r="Q53" i="38"/>
  <c r="P53" i="38"/>
  <c r="O53" i="38"/>
  <c r="K53" i="38"/>
  <c r="L53" i="38" s="1"/>
  <c r="M53" i="38" s="1"/>
  <c r="N53" i="38" s="1"/>
  <c r="J53" i="38"/>
  <c r="I53" i="38"/>
  <c r="H53" i="38"/>
  <c r="G53" i="38"/>
  <c r="F53" i="38"/>
  <c r="E53" i="38"/>
  <c r="D53" i="38"/>
  <c r="A53" i="38"/>
  <c r="BC52" i="38"/>
  <c r="BB52" i="38"/>
  <c r="BA52" i="38"/>
  <c r="AZ52" i="38"/>
  <c r="AY52" i="38"/>
  <c r="AX52" i="38"/>
  <c r="AW52" i="38"/>
  <c r="AV52" i="38"/>
  <c r="AU52" i="38"/>
  <c r="AT52" i="38"/>
  <c r="AS52" i="38"/>
  <c r="AR52" i="38"/>
  <c r="AQ52" i="38"/>
  <c r="AP52" i="38"/>
  <c r="AO52" i="38"/>
  <c r="AN52" i="38"/>
  <c r="AM52" i="38"/>
  <c r="AL52" i="38"/>
  <c r="AK52" i="38"/>
  <c r="AJ52" i="38"/>
  <c r="AI52" i="38"/>
  <c r="AH52" i="38"/>
  <c r="AG52" i="38"/>
  <c r="AF52" i="38"/>
  <c r="AE52" i="38"/>
  <c r="AD52" i="38"/>
  <c r="AC52" i="38"/>
  <c r="AB52" i="38"/>
  <c r="AA52" i="38"/>
  <c r="Z52" i="38"/>
  <c r="Y52" i="38"/>
  <c r="X52" i="38"/>
  <c r="W52" i="38"/>
  <c r="V52" i="38"/>
  <c r="U52" i="38"/>
  <c r="T52" i="38"/>
  <c r="S52" i="38"/>
  <c r="R52" i="38"/>
  <c r="Q52" i="38"/>
  <c r="P52" i="38"/>
  <c r="O52" i="38"/>
  <c r="K52" i="38"/>
  <c r="L52" i="38" s="1"/>
  <c r="M52" i="38" s="1"/>
  <c r="N52" i="38" s="1"/>
  <c r="J52" i="38"/>
  <c r="I52" i="38"/>
  <c r="H52" i="38"/>
  <c r="G52" i="38"/>
  <c r="F52" i="38"/>
  <c r="E52" i="38"/>
  <c r="D52" i="38"/>
  <c r="A52" i="38"/>
  <c r="BC51" i="38"/>
  <c r="BB51" i="38"/>
  <c r="BA51" i="38"/>
  <c r="AZ51" i="38"/>
  <c r="AY51" i="38"/>
  <c r="AX51" i="38"/>
  <c r="AW51" i="38"/>
  <c r="AV51" i="38"/>
  <c r="AU51" i="38"/>
  <c r="AT51" i="38"/>
  <c r="AS51" i="38"/>
  <c r="AR51" i="38"/>
  <c r="AQ51" i="38"/>
  <c r="AP51" i="38"/>
  <c r="AO51" i="38"/>
  <c r="AN51" i="38"/>
  <c r="AM51" i="38"/>
  <c r="AL51" i="38"/>
  <c r="AK51" i="38"/>
  <c r="AJ51" i="38"/>
  <c r="AI51" i="38"/>
  <c r="AH51" i="38"/>
  <c r="AG51" i="38"/>
  <c r="AF51" i="38"/>
  <c r="AE51" i="38"/>
  <c r="AD51" i="38"/>
  <c r="AC51" i="38"/>
  <c r="AB51" i="38"/>
  <c r="AA51" i="38"/>
  <c r="Z51" i="38"/>
  <c r="Y51" i="38"/>
  <c r="X51" i="38"/>
  <c r="W51" i="38"/>
  <c r="V51" i="38"/>
  <c r="U51" i="38"/>
  <c r="T51" i="38"/>
  <c r="S51" i="38"/>
  <c r="R51" i="38"/>
  <c r="Q51" i="38"/>
  <c r="P51" i="38"/>
  <c r="O51" i="38"/>
  <c r="K51" i="38"/>
  <c r="L51" i="38" s="1"/>
  <c r="M51" i="38" s="1"/>
  <c r="N51" i="38" s="1"/>
  <c r="J51" i="38"/>
  <c r="I51" i="38"/>
  <c r="H51" i="38"/>
  <c r="G51" i="38"/>
  <c r="F51" i="38"/>
  <c r="E51" i="38"/>
  <c r="D51" i="38"/>
  <c r="A51" i="38"/>
  <c r="BC50" i="38"/>
  <c r="BB50" i="38"/>
  <c r="BA50" i="38"/>
  <c r="AZ50" i="38"/>
  <c r="AY50" i="38"/>
  <c r="AX50" i="38"/>
  <c r="AW50" i="38"/>
  <c r="AV50" i="38"/>
  <c r="AU50" i="38"/>
  <c r="AT50" i="38"/>
  <c r="AS50" i="38"/>
  <c r="AR50" i="38"/>
  <c r="AQ50" i="38"/>
  <c r="AP50" i="38"/>
  <c r="AO50" i="38"/>
  <c r="AN50" i="38"/>
  <c r="AM50" i="38"/>
  <c r="AL50" i="38"/>
  <c r="AK50" i="38"/>
  <c r="AJ50" i="38"/>
  <c r="AI50" i="38"/>
  <c r="AH50" i="38"/>
  <c r="AG50" i="38"/>
  <c r="AF50" i="38"/>
  <c r="AE50" i="38"/>
  <c r="AD50" i="38"/>
  <c r="AC50" i="38"/>
  <c r="AB50" i="38"/>
  <c r="AA50" i="38"/>
  <c r="Z50" i="38"/>
  <c r="Y50" i="38"/>
  <c r="X50" i="38"/>
  <c r="W50" i="38"/>
  <c r="V50" i="38"/>
  <c r="U50" i="38"/>
  <c r="T50" i="38"/>
  <c r="S50" i="38"/>
  <c r="R50" i="38"/>
  <c r="Q50" i="38"/>
  <c r="P50" i="38"/>
  <c r="O50" i="38"/>
  <c r="K50" i="38"/>
  <c r="L50" i="38" s="1"/>
  <c r="M50" i="38" s="1"/>
  <c r="N50" i="38" s="1"/>
  <c r="J50" i="38"/>
  <c r="I50" i="38"/>
  <c r="H50" i="38"/>
  <c r="G50" i="38"/>
  <c r="F50" i="38"/>
  <c r="E50" i="38"/>
  <c r="D50" i="38"/>
  <c r="A50" i="38"/>
  <c r="BC49" i="38"/>
  <c r="BB49" i="38"/>
  <c r="BA49" i="38"/>
  <c r="AZ49" i="38"/>
  <c r="AY49" i="38"/>
  <c r="AX49" i="38"/>
  <c r="AW49" i="38"/>
  <c r="AV49" i="38"/>
  <c r="AU49" i="38"/>
  <c r="AT49" i="38"/>
  <c r="AS49" i="38"/>
  <c r="AR49" i="38"/>
  <c r="AQ49" i="38"/>
  <c r="AP49" i="38"/>
  <c r="AO49" i="38"/>
  <c r="AN49" i="38"/>
  <c r="AM49" i="38"/>
  <c r="AL49" i="38"/>
  <c r="AK49" i="38"/>
  <c r="AJ49" i="38"/>
  <c r="AI49" i="38"/>
  <c r="AH49" i="38"/>
  <c r="AG49" i="38"/>
  <c r="AF49" i="38"/>
  <c r="AE49" i="38"/>
  <c r="AD49" i="38"/>
  <c r="AC49" i="38"/>
  <c r="AB49" i="38"/>
  <c r="AA49" i="38"/>
  <c r="Z49" i="38"/>
  <c r="Y49" i="38"/>
  <c r="X49" i="38"/>
  <c r="W49" i="38"/>
  <c r="V49" i="38"/>
  <c r="U49" i="38"/>
  <c r="T49" i="38"/>
  <c r="S49" i="38"/>
  <c r="R49" i="38"/>
  <c r="Q49" i="38"/>
  <c r="P49" i="38"/>
  <c r="O49" i="38"/>
  <c r="K49" i="38"/>
  <c r="L49" i="38" s="1"/>
  <c r="M49" i="38" s="1"/>
  <c r="N49" i="38" s="1"/>
  <c r="J49" i="38"/>
  <c r="I49" i="38"/>
  <c r="H49" i="38"/>
  <c r="G49" i="38"/>
  <c r="F49" i="38"/>
  <c r="E49" i="38"/>
  <c r="D49" i="38"/>
  <c r="A49" i="38"/>
  <c r="BC48" i="38"/>
  <c r="BB48" i="38"/>
  <c r="BA48" i="38"/>
  <c r="AZ48" i="38"/>
  <c r="AY48" i="38"/>
  <c r="AX48" i="38"/>
  <c r="AW48" i="38"/>
  <c r="AV48" i="38"/>
  <c r="AU48" i="38"/>
  <c r="AT48" i="38"/>
  <c r="AS48" i="38"/>
  <c r="AR48" i="38"/>
  <c r="AQ48" i="38"/>
  <c r="AP48" i="38"/>
  <c r="AO48" i="38"/>
  <c r="AN48" i="38"/>
  <c r="AM48" i="38"/>
  <c r="AL48" i="38"/>
  <c r="AK48" i="38"/>
  <c r="AJ48" i="38"/>
  <c r="AI48" i="38"/>
  <c r="AH48" i="38"/>
  <c r="AG48" i="38"/>
  <c r="AF48" i="38"/>
  <c r="AE48" i="38"/>
  <c r="AD48" i="38"/>
  <c r="AC48" i="38"/>
  <c r="AB48" i="38"/>
  <c r="AA48" i="38"/>
  <c r="Z48" i="38"/>
  <c r="Y48" i="38"/>
  <c r="X48" i="38"/>
  <c r="W48" i="38"/>
  <c r="V48" i="38"/>
  <c r="U48" i="38"/>
  <c r="T48" i="38"/>
  <c r="S48" i="38"/>
  <c r="R48" i="38"/>
  <c r="Q48" i="38"/>
  <c r="P48" i="38"/>
  <c r="O48" i="38"/>
  <c r="K48" i="38"/>
  <c r="L48" i="38" s="1"/>
  <c r="M48" i="38" s="1"/>
  <c r="N48" i="38" s="1"/>
  <c r="J48" i="38"/>
  <c r="I48" i="38"/>
  <c r="H48" i="38"/>
  <c r="G48" i="38"/>
  <c r="F48" i="38"/>
  <c r="E48" i="38"/>
  <c r="D48" i="38"/>
  <c r="A48" i="38"/>
  <c r="BC47" i="38"/>
  <c r="BB47" i="38"/>
  <c r="BA47" i="38"/>
  <c r="AZ47" i="38"/>
  <c r="AY47" i="38"/>
  <c r="AX47" i="38"/>
  <c r="AW47" i="38"/>
  <c r="AV47" i="38"/>
  <c r="AU47" i="38"/>
  <c r="AT47" i="38"/>
  <c r="AS47" i="38"/>
  <c r="AR47" i="38"/>
  <c r="AQ47" i="38"/>
  <c r="AP47" i="38"/>
  <c r="AO47" i="38"/>
  <c r="AN47" i="38"/>
  <c r="AM47" i="38"/>
  <c r="AL47" i="38"/>
  <c r="AK47" i="38"/>
  <c r="AJ47" i="38"/>
  <c r="AI47" i="38"/>
  <c r="AH47" i="38"/>
  <c r="AG47" i="38"/>
  <c r="AF47" i="38"/>
  <c r="AE47" i="38"/>
  <c r="AD47" i="38"/>
  <c r="AC47" i="38"/>
  <c r="AB47" i="38"/>
  <c r="AA47" i="38"/>
  <c r="Z47" i="38"/>
  <c r="Y47" i="38"/>
  <c r="X47" i="38"/>
  <c r="W47" i="38"/>
  <c r="V47" i="38"/>
  <c r="U47" i="38"/>
  <c r="T47" i="38"/>
  <c r="S47" i="38"/>
  <c r="R47" i="38"/>
  <c r="Q47" i="38"/>
  <c r="P47" i="38"/>
  <c r="O47" i="38"/>
  <c r="K47" i="38"/>
  <c r="L47" i="38" s="1"/>
  <c r="M47" i="38" s="1"/>
  <c r="N47" i="38" s="1"/>
  <c r="J47" i="38"/>
  <c r="I47" i="38"/>
  <c r="H47" i="38"/>
  <c r="G47" i="38"/>
  <c r="F47" i="38"/>
  <c r="E47" i="38"/>
  <c r="D47" i="38"/>
  <c r="A47" i="38"/>
  <c r="BC46" i="38"/>
  <c r="BB46" i="38"/>
  <c r="BA46" i="38"/>
  <c r="AZ46" i="38"/>
  <c r="AY46" i="38"/>
  <c r="AX46" i="38"/>
  <c r="AW46" i="38"/>
  <c r="AV46" i="38"/>
  <c r="AU46" i="38"/>
  <c r="AT46" i="38"/>
  <c r="AS46" i="38"/>
  <c r="AR46" i="38"/>
  <c r="AQ46" i="38"/>
  <c r="AP46" i="38"/>
  <c r="AO46" i="38"/>
  <c r="AN46" i="38"/>
  <c r="AM46" i="38"/>
  <c r="AL46" i="38"/>
  <c r="AK46" i="38"/>
  <c r="AJ46" i="38"/>
  <c r="AI46" i="38"/>
  <c r="AH46" i="38"/>
  <c r="AG46" i="38"/>
  <c r="AF46" i="38"/>
  <c r="AE46" i="38"/>
  <c r="AD46" i="38"/>
  <c r="AC46" i="38"/>
  <c r="AB46" i="38"/>
  <c r="AA46" i="38"/>
  <c r="Z46" i="38"/>
  <c r="Y46" i="38"/>
  <c r="X46" i="38"/>
  <c r="W46" i="38"/>
  <c r="V46" i="38"/>
  <c r="U46" i="38"/>
  <c r="T46" i="38"/>
  <c r="S46" i="38"/>
  <c r="R46" i="38"/>
  <c r="Q46" i="38"/>
  <c r="P46" i="38"/>
  <c r="O46" i="38"/>
  <c r="K46" i="38"/>
  <c r="L46" i="38" s="1"/>
  <c r="M46" i="38" s="1"/>
  <c r="N46" i="38" s="1"/>
  <c r="J46" i="38"/>
  <c r="I46" i="38"/>
  <c r="H46" i="38"/>
  <c r="G46" i="38"/>
  <c r="F46" i="38"/>
  <c r="E46" i="38"/>
  <c r="D46" i="38"/>
  <c r="A46" i="38"/>
  <c r="BC45" i="38"/>
  <c r="BB45" i="38"/>
  <c r="BA45" i="38"/>
  <c r="AZ45" i="38"/>
  <c r="AY45" i="38"/>
  <c r="AX45" i="38"/>
  <c r="AW45" i="38"/>
  <c r="AV45" i="38"/>
  <c r="AU45" i="38"/>
  <c r="AT45" i="38"/>
  <c r="AS45" i="38"/>
  <c r="AR45" i="38"/>
  <c r="AQ45" i="38"/>
  <c r="AP45" i="38"/>
  <c r="AO45" i="38"/>
  <c r="AN45" i="38"/>
  <c r="AM45" i="38"/>
  <c r="AL45" i="38"/>
  <c r="AK45" i="38"/>
  <c r="AJ45" i="38"/>
  <c r="AI45" i="38"/>
  <c r="AH45" i="38"/>
  <c r="AG45" i="38"/>
  <c r="AF45" i="38"/>
  <c r="AE45" i="38"/>
  <c r="AD45" i="38"/>
  <c r="AC45" i="38"/>
  <c r="AB45" i="38"/>
  <c r="AA45" i="38"/>
  <c r="Z45" i="38"/>
  <c r="Y45" i="38"/>
  <c r="X45" i="38"/>
  <c r="W45" i="38"/>
  <c r="V45" i="38"/>
  <c r="U45" i="38"/>
  <c r="T45" i="38"/>
  <c r="S45" i="38"/>
  <c r="R45" i="38"/>
  <c r="Q45" i="38"/>
  <c r="P45" i="38"/>
  <c r="O45" i="38"/>
  <c r="K45" i="38"/>
  <c r="L45" i="38" s="1"/>
  <c r="M45" i="38" s="1"/>
  <c r="N45" i="38" s="1"/>
  <c r="J45" i="38"/>
  <c r="I45" i="38"/>
  <c r="H45" i="38"/>
  <c r="G45" i="38"/>
  <c r="F45" i="38"/>
  <c r="E45" i="38"/>
  <c r="D45" i="38"/>
  <c r="A45" i="38"/>
  <c r="BC44" i="38"/>
  <c r="BB44" i="38"/>
  <c r="BA44" i="38"/>
  <c r="AZ44" i="38"/>
  <c r="AY44" i="38"/>
  <c r="AX44" i="38"/>
  <c r="AW44" i="38"/>
  <c r="AV44" i="38"/>
  <c r="AU44" i="38"/>
  <c r="AT44" i="38"/>
  <c r="AS44" i="38"/>
  <c r="AR44" i="38"/>
  <c r="AQ44" i="38"/>
  <c r="AP44" i="38"/>
  <c r="AO44" i="38"/>
  <c r="AN44" i="38"/>
  <c r="AM44" i="38"/>
  <c r="AL44" i="38"/>
  <c r="AK44" i="38"/>
  <c r="AJ44" i="38"/>
  <c r="AI44" i="38"/>
  <c r="AH44" i="38"/>
  <c r="AG44" i="38"/>
  <c r="AF44" i="38"/>
  <c r="AE44" i="38"/>
  <c r="AD44" i="38"/>
  <c r="AC44" i="38"/>
  <c r="AB44" i="38"/>
  <c r="AA44" i="38"/>
  <c r="Z44" i="38"/>
  <c r="Y44" i="38"/>
  <c r="X44" i="38"/>
  <c r="W44" i="38"/>
  <c r="V44" i="38"/>
  <c r="U44" i="38"/>
  <c r="T44" i="38"/>
  <c r="S44" i="38"/>
  <c r="R44" i="38"/>
  <c r="Q44" i="38"/>
  <c r="P44" i="38"/>
  <c r="O44" i="38"/>
  <c r="K44" i="38"/>
  <c r="L44" i="38" s="1"/>
  <c r="M44" i="38" s="1"/>
  <c r="N44" i="38" s="1"/>
  <c r="J44" i="38"/>
  <c r="I44" i="38"/>
  <c r="H44" i="38"/>
  <c r="G44" i="38"/>
  <c r="F44" i="38"/>
  <c r="E44" i="38"/>
  <c r="D44" i="38"/>
  <c r="A44" i="38"/>
  <c r="BC43" i="38"/>
  <c r="BB43" i="38"/>
  <c r="BA43" i="38"/>
  <c r="AZ43" i="38"/>
  <c r="AY43" i="38"/>
  <c r="AX43" i="38"/>
  <c r="AW43" i="38"/>
  <c r="AV43" i="38"/>
  <c r="AU43" i="38"/>
  <c r="AT43" i="38"/>
  <c r="AS43" i="38"/>
  <c r="AR43" i="38"/>
  <c r="AQ43" i="38"/>
  <c r="AP43" i="38"/>
  <c r="AO43" i="38"/>
  <c r="AN43" i="38"/>
  <c r="AM43" i="38"/>
  <c r="AL43" i="38"/>
  <c r="AK43" i="38"/>
  <c r="AJ43" i="38"/>
  <c r="AI43" i="38"/>
  <c r="AH43" i="38"/>
  <c r="AG43" i="38"/>
  <c r="AF43" i="38"/>
  <c r="AE43" i="38"/>
  <c r="AD43" i="38"/>
  <c r="AC43" i="38"/>
  <c r="AB43" i="38"/>
  <c r="AA43" i="38"/>
  <c r="Z43" i="38"/>
  <c r="Y43" i="38"/>
  <c r="X43" i="38"/>
  <c r="W43" i="38"/>
  <c r="V43" i="38"/>
  <c r="U43" i="38"/>
  <c r="T43" i="38"/>
  <c r="S43" i="38"/>
  <c r="R43" i="38"/>
  <c r="Q43" i="38"/>
  <c r="P43" i="38"/>
  <c r="O43" i="38"/>
  <c r="K43" i="38"/>
  <c r="L43" i="38" s="1"/>
  <c r="M43" i="38" s="1"/>
  <c r="N43" i="38" s="1"/>
  <c r="J43" i="38"/>
  <c r="I43" i="38"/>
  <c r="H43" i="38"/>
  <c r="G43" i="38"/>
  <c r="F43" i="38"/>
  <c r="E43" i="38"/>
  <c r="D43" i="38"/>
  <c r="A43" i="38"/>
  <c r="BC42" i="38"/>
  <c r="BB42" i="38"/>
  <c r="BA42" i="38"/>
  <c r="AZ42" i="38"/>
  <c r="AY42" i="38"/>
  <c r="AX42" i="38"/>
  <c r="AW42" i="38"/>
  <c r="AV42" i="38"/>
  <c r="AU42" i="38"/>
  <c r="AT42" i="38"/>
  <c r="AS42" i="38"/>
  <c r="AR42" i="38"/>
  <c r="AQ42" i="38"/>
  <c r="AP42" i="38"/>
  <c r="AO42" i="38"/>
  <c r="AN42" i="38"/>
  <c r="AM42" i="38"/>
  <c r="AL42" i="38"/>
  <c r="AK42" i="38"/>
  <c r="AJ42" i="38"/>
  <c r="AI42" i="38"/>
  <c r="AH42" i="38"/>
  <c r="AG42" i="38"/>
  <c r="AF42" i="38"/>
  <c r="AE42" i="38"/>
  <c r="AD42" i="38"/>
  <c r="AC42" i="38"/>
  <c r="AB42" i="38"/>
  <c r="AA42" i="38"/>
  <c r="Z42" i="38"/>
  <c r="Y42" i="38"/>
  <c r="X42" i="38"/>
  <c r="W42" i="38"/>
  <c r="V42" i="38"/>
  <c r="U42" i="38"/>
  <c r="T42" i="38"/>
  <c r="S42" i="38"/>
  <c r="R42" i="38"/>
  <c r="Q42" i="38"/>
  <c r="P42" i="38"/>
  <c r="O42" i="38"/>
  <c r="K42" i="38"/>
  <c r="L42" i="38" s="1"/>
  <c r="M42" i="38" s="1"/>
  <c r="N42" i="38" s="1"/>
  <c r="J42" i="38"/>
  <c r="I42" i="38"/>
  <c r="H42" i="38"/>
  <c r="G42" i="38"/>
  <c r="F42" i="38"/>
  <c r="E42" i="38"/>
  <c r="D42" i="38"/>
  <c r="A42" i="38"/>
  <c r="BC41" i="38"/>
  <c r="BB41" i="38"/>
  <c r="BA41" i="38"/>
  <c r="AZ41" i="38"/>
  <c r="AY41" i="38"/>
  <c r="AX41" i="38"/>
  <c r="AW41" i="38"/>
  <c r="AV41" i="38"/>
  <c r="AU41" i="38"/>
  <c r="AT41" i="38"/>
  <c r="AS41" i="38"/>
  <c r="AR41" i="38"/>
  <c r="AQ41" i="38"/>
  <c r="AP41" i="38"/>
  <c r="AO41" i="38"/>
  <c r="AN41" i="38"/>
  <c r="AM41" i="38"/>
  <c r="AL41" i="38"/>
  <c r="AK41" i="38"/>
  <c r="AJ41" i="38"/>
  <c r="AI41" i="38"/>
  <c r="AH41" i="38"/>
  <c r="AG41" i="38"/>
  <c r="AF41" i="38"/>
  <c r="AE41" i="38"/>
  <c r="AD41" i="38"/>
  <c r="AC41" i="38"/>
  <c r="AB41" i="38"/>
  <c r="AA41" i="38"/>
  <c r="Z41" i="38"/>
  <c r="Y41" i="38"/>
  <c r="X41" i="38"/>
  <c r="W41" i="38"/>
  <c r="V41" i="38"/>
  <c r="U41" i="38"/>
  <c r="T41" i="38"/>
  <c r="S41" i="38"/>
  <c r="R41" i="38"/>
  <c r="Q41" i="38"/>
  <c r="P41" i="38"/>
  <c r="O41" i="38"/>
  <c r="K41" i="38"/>
  <c r="L41" i="38" s="1"/>
  <c r="M41" i="38" s="1"/>
  <c r="N41" i="38" s="1"/>
  <c r="J41" i="38"/>
  <c r="I41" i="38"/>
  <c r="H41" i="38"/>
  <c r="G41" i="38"/>
  <c r="F41" i="38"/>
  <c r="E41" i="38"/>
  <c r="D41" i="38"/>
  <c r="A41" i="38"/>
  <c r="BC40" i="38"/>
  <c r="BB40" i="38"/>
  <c r="BA40" i="38"/>
  <c r="AZ40" i="38"/>
  <c r="AY40" i="38"/>
  <c r="AX40" i="38"/>
  <c r="AW40" i="38"/>
  <c r="AV40" i="38"/>
  <c r="AU40" i="38"/>
  <c r="AT40" i="38"/>
  <c r="AS40" i="38"/>
  <c r="AR40" i="38"/>
  <c r="AQ40" i="38"/>
  <c r="AP40" i="38"/>
  <c r="AO40" i="38"/>
  <c r="AN40" i="38"/>
  <c r="AM40" i="38"/>
  <c r="AL40" i="38"/>
  <c r="AK40" i="38"/>
  <c r="AJ40" i="38"/>
  <c r="AI40" i="38"/>
  <c r="AH40" i="38"/>
  <c r="AG40" i="38"/>
  <c r="AF40" i="38"/>
  <c r="AE40" i="38"/>
  <c r="AD40" i="38"/>
  <c r="AC40" i="38"/>
  <c r="AB40" i="38"/>
  <c r="AA40" i="38"/>
  <c r="Z40" i="38"/>
  <c r="Y40" i="38"/>
  <c r="X40" i="38"/>
  <c r="W40" i="38"/>
  <c r="V40" i="38"/>
  <c r="U40" i="38"/>
  <c r="T40" i="38"/>
  <c r="S40" i="38"/>
  <c r="R40" i="38"/>
  <c r="Q40" i="38"/>
  <c r="P40" i="38"/>
  <c r="O40" i="38"/>
  <c r="K40" i="38"/>
  <c r="L40" i="38" s="1"/>
  <c r="M40" i="38" s="1"/>
  <c r="N40" i="38" s="1"/>
  <c r="J40" i="38"/>
  <c r="I40" i="38"/>
  <c r="H40" i="38"/>
  <c r="G40" i="38"/>
  <c r="F40" i="38"/>
  <c r="E40" i="38"/>
  <c r="D40" i="38"/>
  <c r="A40" i="38"/>
  <c r="BC39" i="38"/>
  <c r="BB39" i="38"/>
  <c r="BA39" i="38"/>
  <c r="AZ39" i="38"/>
  <c r="AY39" i="38"/>
  <c r="AX39" i="38"/>
  <c r="AW39" i="38"/>
  <c r="AV39" i="38"/>
  <c r="AU39" i="38"/>
  <c r="AT39" i="38"/>
  <c r="AS39" i="38"/>
  <c r="AR39" i="38"/>
  <c r="AQ39" i="38"/>
  <c r="AP39" i="38"/>
  <c r="AO39" i="38"/>
  <c r="AN39" i="38"/>
  <c r="AM39" i="38"/>
  <c r="AL39" i="38"/>
  <c r="AK39" i="38"/>
  <c r="AJ39" i="38"/>
  <c r="AI39" i="38"/>
  <c r="AH39" i="38"/>
  <c r="AG39" i="38"/>
  <c r="AF39" i="38"/>
  <c r="AE39" i="38"/>
  <c r="AD39" i="38"/>
  <c r="AC39" i="38"/>
  <c r="AB39" i="38"/>
  <c r="AA39" i="38"/>
  <c r="Z39" i="38"/>
  <c r="Y39" i="38"/>
  <c r="X39" i="38"/>
  <c r="W39" i="38"/>
  <c r="V39" i="38"/>
  <c r="U39" i="38"/>
  <c r="T39" i="38"/>
  <c r="S39" i="38"/>
  <c r="R39" i="38"/>
  <c r="Q39" i="38"/>
  <c r="P39" i="38"/>
  <c r="O39" i="38"/>
  <c r="K39" i="38"/>
  <c r="L39" i="38" s="1"/>
  <c r="M39" i="38" s="1"/>
  <c r="N39" i="38" s="1"/>
  <c r="J39" i="38"/>
  <c r="I39" i="38"/>
  <c r="H39" i="38"/>
  <c r="G39" i="38"/>
  <c r="F39" i="38"/>
  <c r="E39" i="38"/>
  <c r="D39" i="38"/>
  <c r="A39" i="38"/>
  <c r="BC38" i="38"/>
  <c r="BB38" i="38"/>
  <c r="BA38" i="38"/>
  <c r="AZ38" i="38"/>
  <c r="AY38" i="38"/>
  <c r="AX38" i="38"/>
  <c r="AW38" i="38"/>
  <c r="AV38" i="38"/>
  <c r="AU38" i="38"/>
  <c r="AT38" i="38"/>
  <c r="AS38" i="38"/>
  <c r="AR38" i="38"/>
  <c r="AQ38" i="38"/>
  <c r="AP38" i="38"/>
  <c r="AO38" i="38"/>
  <c r="AN38" i="38"/>
  <c r="AM38" i="38"/>
  <c r="AL38" i="38"/>
  <c r="AK38" i="38"/>
  <c r="AJ38" i="38"/>
  <c r="AI38" i="38"/>
  <c r="AH38" i="38"/>
  <c r="AG38" i="38"/>
  <c r="AF38" i="38"/>
  <c r="AE38" i="38"/>
  <c r="AD38" i="38"/>
  <c r="AC38" i="38"/>
  <c r="AB38" i="38"/>
  <c r="AA38" i="38"/>
  <c r="Z38" i="38"/>
  <c r="Y38" i="38"/>
  <c r="X38" i="38"/>
  <c r="W38" i="38"/>
  <c r="V38" i="38"/>
  <c r="U38" i="38"/>
  <c r="T38" i="38"/>
  <c r="S38" i="38"/>
  <c r="R38" i="38"/>
  <c r="Q38" i="38"/>
  <c r="P38" i="38"/>
  <c r="O38" i="38"/>
  <c r="K38" i="38"/>
  <c r="L38" i="38" s="1"/>
  <c r="M38" i="38" s="1"/>
  <c r="N38" i="38" s="1"/>
  <c r="J38" i="38"/>
  <c r="I38" i="38"/>
  <c r="H38" i="38"/>
  <c r="G38" i="38"/>
  <c r="F38" i="38"/>
  <c r="E38" i="38"/>
  <c r="D38" i="38"/>
  <c r="A38" i="38"/>
  <c r="BC37" i="38"/>
  <c r="BB37" i="38"/>
  <c r="BA37" i="38"/>
  <c r="AZ37" i="38"/>
  <c r="AY37" i="38"/>
  <c r="AX37" i="38"/>
  <c r="AW37" i="38"/>
  <c r="AV37" i="38"/>
  <c r="AU37" i="38"/>
  <c r="AT37" i="38"/>
  <c r="AS37" i="38"/>
  <c r="AR37" i="38"/>
  <c r="AQ37" i="38"/>
  <c r="AP37" i="38"/>
  <c r="AO37" i="38"/>
  <c r="AN37" i="38"/>
  <c r="AM37" i="38"/>
  <c r="AL37" i="38"/>
  <c r="AK37" i="38"/>
  <c r="AJ37" i="38"/>
  <c r="AI37" i="38"/>
  <c r="AH37" i="38"/>
  <c r="AG37" i="38"/>
  <c r="AF37" i="38"/>
  <c r="AE37" i="38"/>
  <c r="AD37" i="38"/>
  <c r="AC37" i="38"/>
  <c r="AB37" i="38"/>
  <c r="AA37" i="38"/>
  <c r="Z37" i="38"/>
  <c r="Y37" i="38"/>
  <c r="X37" i="38"/>
  <c r="W37" i="38"/>
  <c r="V37" i="38"/>
  <c r="U37" i="38"/>
  <c r="T37" i="38"/>
  <c r="S37" i="38"/>
  <c r="R37" i="38"/>
  <c r="Q37" i="38"/>
  <c r="P37" i="38"/>
  <c r="O37" i="38"/>
  <c r="K37" i="38"/>
  <c r="L37" i="38" s="1"/>
  <c r="M37" i="38" s="1"/>
  <c r="N37" i="38" s="1"/>
  <c r="J37" i="38"/>
  <c r="I37" i="38"/>
  <c r="H37" i="38"/>
  <c r="G37" i="38"/>
  <c r="F37" i="38"/>
  <c r="E37" i="38"/>
  <c r="D37" i="38"/>
  <c r="A37" i="38"/>
  <c r="BC36" i="38"/>
  <c r="BB36" i="38"/>
  <c r="BA36" i="38"/>
  <c r="AZ36" i="38"/>
  <c r="AY36" i="38"/>
  <c r="AX36" i="38"/>
  <c r="AW36" i="38"/>
  <c r="AV36" i="38"/>
  <c r="AU36" i="38"/>
  <c r="AT36" i="38"/>
  <c r="AS36" i="38"/>
  <c r="AR36" i="38"/>
  <c r="AQ36" i="38"/>
  <c r="AP36" i="38"/>
  <c r="AO36" i="38"/>
  <c r="AN36" i="38"/>
  <c r="AM36" i="38"/>
  <c r="AL36" i="38"/>
  <c r="AK36" i="38"/>
  <c r="AJ36" i="38"/>
  <c r="AI36" i="38"/>
  <c r="AH36" i="38"/>
  <c r="AG36" i="38"/>
  <c r="AF36" i="38"/>
  <c r="AE36" i="38"/>
  <c r="AD36" i="38"/>
  <c r="AC36" i="38"/>
  <c r="AB36" i="38"/>
  <c r="AA36" i="38"/>
  <c r="Z36" i="38"/>
  <c r="Y36" i="38"/>
  <c r="X36" i="38"/>
  <c r="W36" i="38"/>
  <c r="V36" i="38"/>
  <c r="U36" i="38"/>
  <c r="T36" i="38"/>
  <c r="S36" i="38"/>
  <c r="R36" i="38"/>
  <c r="Q36" i="38"/>
  <c r="P36" i="38"/>
  <c r="O36" i="38"/>
  <c r="K36" i="38"/>
  <c r="L36" i="38" s="1"/>
  <c r="M36" i="38" s="1"/>
  <c r="N36" i="38" s="1"/>
  <c r="J36" i="38"/>
  <c r="I36" i="38"/>
  <c r="H36" i="38"/>
  <c r="G36" i="38"/>
  <c r="F36" i="38"/>
  <c r="E36" i="38"/>
  <c r="D36" i="38"/>
  <c r="A36" i="38"/>
  <c r="BC35" i="38"/>
  <c r="BB35" i="38"/>
  <c r="BA35" i="38"/>
  <c r="AZ35" i="38"/>
  <c r="AY35" i="38"/>
  <c r="AX35" i="38"/>
  <c r="AW35" i="38"/>
  <c r="AV35" i="38"/>
  <c r="AU35" i="38"/>
  <c r="AT35" i="38"/>
  <c r="AS35" i="38"/>
  <c r="AR35" i="38"/>
  <c r="AQ35" i="38"/>
  <c r="AP35" i="38"/>
  <c r="AO35" i="38"/>
  <c r="AN35" i="38"/>
  <c r="AM35" i="38"/>
  <c r="AL35" i="38"/>
  <c r="AK35" i="38"/>
  <c r="AJ35" i="38"/>
  <c r="AI35" i="38"/>
  <c r="AH35" i="38"/>
  <c r="AG35" i="38"/>
  <c r="AF35" i="38"/>
  <c r="AE35" i="38"/>
  <c r="AD35" i="38"/>
  <c r="AC35" i="38"/>
  <c r="AB35" i="38"/>
  <c r="AA35" i="38"/>
  <c r="Z35" i="38"/>
  <c r="Y35" i="38"/>
  <c r="X35" i="38"/>
  <c r="W35" i="38"/>
  <c r="V35" i="38"/>
  <c r="U35" i="38"/>
  <c r="T35" i="38"/>
  <c r="S35" i="38"/>
  <c r="R35" i="38"/>
  <c r="Q35" i="38"/>
  <c r="P35" i="38"/>
  <c r="O35" i="38"/>
  <c r="K35" i="38"/>
  <c r="L35" i="38" s="1"/>
  <c r="M35" i="38" s="1"/>
  <c r="N35" i="38" s="1"/>
  <c r="J35" i="38"/>
  <c r="I35" i="38"/>
  <c r="H35" i="38"/>
  <c r="G35" i="38"/>
  <c r="F35" i="38"/>
  <c r="E35" i="38"/>
  <c r="D35" i="38"/>
  <c r="A35" i="38"/>
  <c r="BC34" i="38"/>
  <c r="BB34" i="38"/>
  <c r="BA34" i="38"/>
  <c r="AZ34" i="38"/>
  <c r="AY34" i="38"/>
  <c r="AX34" i="38"/>
  <c r="AW34" i="38"/>
  <c r="AV34" i="38"/>
  <c r="AU34" i="38"/>
  <c r="AT34" i="38"/>
  <c r="AS34" i="38"/>
  <c r="AR34" i="38"/>
  <c r="AQ34" i="38"/>
  <c r="AP34" i="38"/>
  <c r="AO34" i="38"/>
  <c r="AN34" i="38"/>
  <c r="AM34" i="38"/>
  <c r="AL34" i="38"/>
  <c r="AK34" i="38"/>
  <c r="AJ34" i="38"/>
  <c r="AI34" i="38"/>
  <c r="AH34" i="38"/>
  <c r="AG34" i="38"/>
  <c r="AF34" i="38"/>
  <c r="AE34" i="38"/>
  <c r="AD34" i="38"/>
  <c r="AC34" i="38"/>
  <c r="AB34" i="38"/>
  <c r="AA34" i="38"/>
  <c r="Z34" i="38"/>
  <c r="Y34" i="38"/>
  <c r="X34" i="38"/>
  <c r="W34" i="38"/>
  <c r="V34" i="38"/>
  <c r="U34" i="38"/>
  <c r="T34" i="38"/>
  <c r="S34" i="38"/>
  <c r="R34" i="38"/>
  <c r="Q34" i="38"/>
  <c r="P34" i="38"/>
  <c r="O34" i="38"/>
  <c r="K34" i="38"/>
  <c r="L34" i="38" s="1"/>
  <c r="M34" i="38" s="1"/>
  <c r="N34" i="38" s="1"/>
  <c r="J34" i="38"/>
  <c r="I34" i="38"/>
  <c r="H34" i="38"/>
  <c r="G34" i="38"/>
  <c r="F34" i="38"/>
  <c r="E34" i="38"/>
  <c r="D34" i="38"/>
  <c r="A34" i="38"/>
  <c r="BC33" i="38"/>
  <c r="BB33" i="38"/>
  <c r="BA33" i="38"/>
  <c r="AZ33" i="38"/>
  <c r="AY33" i="38"/>
  <c r="AX33" i="38"/>
  <c r="AW33" i="38"/>
  <c r="AV33" i="38"/>
  <c r="AU33" i="38"/>
  <c r="AT33" i="38"/>
  <c r="AS33" i="38"/>
  <c r="AR33" i="38"/>
  <c r="AQ33" i="38"/>
  <c r="AP33" i="38"/>
  <c r="AO33" i="38"/>
  <c r="AN33" i="38"/>
  <c r="AM33" i="38"/>
  <c r="AL33" i="38"/>
  <c r="AK33" i="38"/>
  <c r="AJ33" i="38"/>
  <c r="AI33" i="38"/>
  <c r="AH33" i="38"/>
  <c r="AG33" i="38"/>
  <c r="AF33" i="38"/>
  <c r="AE33" i="38"/>
  <c r="AD33" i="38"/>
  <c r="AC33" i="38"/>
  <c r="AB33" i="38"/>
  <c r="AA33" i="38"/>
  <c r="Z33" i="38"/>
  <c r="Y33" i="38"/>
  <c r="X33" i="38"/>
  <c r="W33" i="38"/>
  <c r="V33" i="38"/>
  <c r="U33" i="38"/>
  <c r="T33" i="38"/>
  <c r="S33" i="38"/>
  <c r="R33" i="38"/>
  <c r="Q33" i="38"/>
  <c r="P33" i="38"/>
  <c r="O33" i="38"/>
  <c r="K33" i="38"/>
  <c r="L33" i="38" s="1"/>
  <c r="M33" i="38" s="1"/>
  <c r="N33" i="38" s="1"/>
  <c r="J33" i="38"/>
  <c r="I33" i="38"/>
  <c r="H33" i="38"/>
  <c r="G33" i="38"/>
  <c r="F33" i="38"/>
  <c r="E33" i="38"/>
  <c r="D33" i="38"/>
  <c r="A33" i="38"/>
  <c r="BC32" i="38"/>
  <c r="BB32" i="38"/>
  <c r="BA32" i="38"/>
  <c r="AZ32" i="38"/>
  <c r="AY32" i="38"/>
  <c r="AX32" i="38"/>
  <c r="AW32" i="38"/>
  <c r="AV32" i="38"/>
  <c r="AU32" i="38"/>
  <c r="AT32" i="38"/>
  <c r="AS32" i="38"/>
  <c r="AR32" i="38"/>
  <c r="AQ32" i="38"/>
  <c r="AP32" i="38"/>
  <c r="AO32" i="38"/>
  <c r="AN32" i="38"/>
  <c r="AM32" i="38"/>
  <c r="AL32" i="38"/>
  <c r="AK32" i="38"/>
  <c r="AJ32" i="38"/>
  <c r="AI32" i="38"/>
  <c r="AH32" i="38"/>
  <c r="AG32" i="38"/>
  <c r="AF32" i="38"/>
  <c r="AE32" i="38"/>
  <c r="AD32" i="38"/>
  <c r="AC32" i="38"/>
  <c r="AB32" i="38"/>
  <c r="AA32" i="38"/>
  <c r="Z32" i="38"/>
  <c r="Y32" i="38"/>
  <c r="X32" i="38"/>
  <c r="W32" i="38"/>
  <c r="V32" i="38"/>
  <c r="U32" i="38"/>
  <c r="T32" i="38"/>
  <c r="S32" i="38"/>
  <c r="R32" i="38"/>
  <c r="Q32" i="38"/>
  <c r="P32" i="38"/>
  <c r="O32" i="38"/>
  <c r="K32" i="38"/>
  <c r="L32" i="38" s="1"/>
  <c r="M32" i="38" s="1"/>
  <c r="N32" i="38" s="1"/>
  <c r="J32" i="38"/>
  <c r="I32" i="38"/>
  <c r="H32" i="38"/>
  <c r="G32" i="38"/>
  <c r="F32" i="38"/>
  <c r="E32" i="38"/>
  <c r="D32" i="38"/>
  <c r="A32" i="38"/>
  <c r="BC31" i="38"/>
  <c r="BB31" i="38"/>
  <c r="BA31" i="38"/>
  <c r="AZ31" i="38"/>
  <c r="AY31" i="38"/>
  <c r="AX31" i="38"/>
  <c r="AW31" i="38"/>
  <c r="AV31" i="38"/>
  <c r="AU31" i="38"/>
  <c r="AT31" i="38"/>
  <c r="AS31" i="38"/>
  <c r="AR31" i="38"/>
  <c r="AQ31" i="38"/>
  <c r="AP31" i="38"/>
  <c r="AO31" i="38"/>
  <c r="AN31" i="38"/>
  <c r="AM31" i="38"/>
  <c r="AL31" i="38"/>
  <c r="AK31" i="38"/>
  <c r="AJ31" i="38"/>
  <c r="AI31" i="38"/>
  <c r="AH31" i="38"/>
  <c r="AG31" i="38"/>
  <c r="AF31" i="38"/>
  <c r="AE31" i="38"/>
  <c r="AD31" i="38"/>
  <c r="AC31" i="38"/>
  <c r="AB31" i="38"/>
  <c r="AA31" i="38"/>
  <c r="Z31" i="38"/>
  <c r="Y31" i="38"/>
  <c r="X31" i="38"/>
  <c r="W31" i="38"/>
  <c r="V31" i="38"/>
  <c r="U31" i="38"/>
  <c r="T31" i="38"/>
  <c r="S31" i="38"/>
  <c r="R31" i="38"/>
  <c r="Q31" i="38"/>
  <c r="P31" i="38"/>
  <c r="O31" i="38"/>
  <c r="K31" i="38"/>
  <c r="L31" i="38" s="1"/>
  <c r="M31" i="38" s="1"/>
  <c r="N31" i="38" s="1"/>
  <c r="J31" i="38"/>
  <c r="I31" i="38"/>
  <c r="H31" i="38"/>
  <c r="G31" i="38"/>
  <c r="F31" i="38"/>
  <c r="E31" i="38"/>
  <c r="D31" i="38"/>
  <c r="A31" i="38"/>
  <c r="BC30" i="38"/>
  <c r="BB30" i="38"/>
  <c r="BA30" i="38"/>
  <c r="AZ30" i="38"/>
  <c r="AY30" i="38"/>
  <c r="AX30" i="38"/>
  <c r="AW30" i="38"/>
  <c r="AV30" i="38"/>
  <c r="AU30" i="38"/>
  <c r="AT30" i="38"/>
  <c r="AS30" i="38"/>
  <c r="AR30" i="38"/>
  <c r="AQ30" i="38"/>
  <c r="AP30" i="38"/>
  <c r="AO30" i="38"/>
  <c r="AN30" i="38"/>
  <c r="AM30" i="38"/>
  <c r="AL30" i="38"/>
  <c r="AK30" i="38"/>
  <c r="AJ30" i="38"/>
  <c r="AI30" i="38"/>
  <c r="AH30" i="38"/>
  <c r="AG30" i="38"/>
  <c r="AF30" i="38"/>
  <c r="AE30" i="38"/>
  <c r="AD30" i="38"/>
  <c r="AC30" i="38"/>
  <c r="AB30" i="38"/>
  <c r="AA30" i="38"/>
  <c r="Z30" i="38"/>
  <c r="Y30" i="38"/>
  <c r="X30" i="38"/>
  <c r="W30" i="38"/>
  <c r="V30" i="38"/>
  <c r="U30" i="38"/>
  <c r="T30" i="38"/>
  <c r="S30" i="38"/>
  <c r="R30" i="38"/>
  <c r="Q30" i="38"/>
  <c r="P30" i="38"/>
  <c r="O30" i="38"/>
  <c r="K30" i="38"/>
  <c r="L30" i="38" s="1"/>
  <c r="M30" i="38" s="1"/>
  <c r="N30" i="38" s="1"/>
  <c r="J30" i="38"/>
  <c r="I30" i="38"/>
  <c r="H30" i="38"/>
  <c r="G30" i="38"/>
  <c r="F30" i="38"/>
  <c r="E30" i="38"/>
  <c r="D30" i="38"/>
  <c r="A30" i="38"/>
  <c r="BC29" i="38"/>
  <c r="BB29" i="38"/>
  <c r="BA29" i="38"/>
  <c r="AZ29" i="38"/>
  <c r="AY29" i="38"/>
  <c r="AX29" i="38"/>
  <c r="AW29" i="38"/>
  <c r="AV29" i="38"/>
  <c r="AU29" i="38"/>
  <c r="AT29" i="38"/>
  <c r="AS29" i="38"/>
  <c r="AR29" i="38"/>
  <c r="AQ29" i="38"/>
  <c r="AP29" i="38"/>
  <c r="AO29" i="38"/>
  <c r="AN29" i="38"/>
  <c r="AM29" i="38"/>
  <c r="AL29" i="38"/>
  <c r="AK29" i="38"/>
  <c r="AJ29" i="38"/>
  <c r="AI29" i="38"/>
  <c r="AH29" i="38"/>
  <c r="AG29" i="38"/>
  <c r="AF29" i="38"/>
  <c r="AE29" i="38"/>
  <c r="AD29" i="38"/>
  <c r="AC29" i="38"/>
  <c r="AB29" i="38"/>
  <c r="AA29" i="38"/>
  <c r="Z29" i="38"/>
  <c r="Y29" i="38"/>
  <c r="X29" i="38"/>
  <c r="W29" i="38"/>
  <c r="V29" i="38"/>
  <c r="U29" i="38"/>
  <c r="T29" i="38"/>
  <c r="S29" i="38"/>
  <c r="R29" i="38"/>
  <c r="Q29" i="38"/>
  <c r="P29" i="38"/>
  <c r="O29" i="38"/>
  <c r="K29" i="38"/>
  <c r="L29" i="38" s="1"/>
  <c r="M29" i="38" s="1"/>
  <c r="N29" i="38" s="1"/>
  <c r="J29" i="38"/>
  <c r="I29" i="38"/>
  <c r="H29" i="38"/>
  <c r="G29" i="38"/>
  <c r="F29" i="38"/>
  <c r="E29" i="38"/>
  <c r="D29" i="38"/>
  <c r="A29" i="38"/>
  <c r="BC28" i="38"/>
  <c r="BB28" i="38"/>
  <c r="BA28" i="38"/>
  <c r="AZ28" i="38"/>
  <c r="AY28" i="38"/>
  <c r="AX28" i="38"/>
  <c r="AW28" i="38"/>
  <c r="AV28" i="38"/>
  <c r="AU28" i="38"/>
  <c r="AT28" i="38"/>
  <c r="AS28" i="38"/>
  <c r="AR28" i="38"/>
  <c r="AQ28" i="38"/>
  <c r="AP28" i="38"/>
  <c r="AO28" i="38"/>
  <c r="AN28" i="38"/>
  <c r="AM28" i="38"/>
  <c r="AL28" i="38"/>
  <c r="AK28" i="38"/>
  <c r="AJ28" i="38"/>
  <c r="AI28" i="38"/>
  <c r="AH28" i="38"/>
  <c r="AG28" i="38"/>
  <c r="AF28" i="38"/>
  <c r="AE28" i="38"/>
  <c r="AD28" i="38"/>
  <c r="AC28" i="38"/>
  <c r="AB28" i="38"/>
  <c r="AA28" i="38"/>
  <c r="Z28" i="38"/>
  <c r="Y28" i="38"/>
  <c r="X28" i="38"/>
  <c r="W28" i="38"/>
  <c r="V28" i="38"/>
  <c r="U28" i="38"/>
  <c r="T28" i="38"/>
  <c r="S28" i="38"/>
  <c r="R28" i="38"/>
  <c r="Q28" i="38"/>
  <c r="P28" i="38"/>
  <c r="O28" i="38"/>
  <c r="K28" i="38"/>
  <c r="L28" i="38" s="1"/>
  <c r="M28" i="38" s="1"/>
  <c r="N28" i="38" s="1"/>
  <c r="J28" i="38"/>
  <c r="I28" i="38"/>
  <c r="H28" i="38"/>
  <c r="G28" i="38"/>
  <c r="F28" i="38"/>
  <c r="E28" i="38"/>
  <c r="D28" i="38"/>
  <c r="A28" i="38"/>
  <c r="BC27" i="38"/>
  <c r="BB27" i="38"/>
  <c r="BA27" i="38"/>
  <c r="AZ27" i="38"/>
  <c r="AY27" i="38"/>
  <c r="AX27" i="38"/>
  <c r="AW27" i="38"/>
  <c r="AV27" i="38"/>
  <c r="AU27" i="38"/>
  <c r="AT27" i="38"/>
  <c r="AS27" i="38"/>
  <c r="AR27" i="38"/>
  <c r="AQ27" i="38"/>
  <c r="AP27" i="38"/>
  <c r="AO27" i="38"/>
  <c r="AN27" i="38"/>
  <c r="AM27" i="38"/>
  <c r="AL27" i="38"/>
  <c r="AK27" i="38"/>
  <c r="AJ27" i="38"/>
  <c r="AI27" i="38"/>
  <c r="AH27" i="38"/>
  <c r="AG27" i="38"/>
  <c r="AF27" i="38"/>
  <c r="AE27" i="38"/>
  <c r="AD27" i="38"/>
  <c r="AC27" i="38"/>
  <c r="AB27" i="38"/>
  <c r="AA27" i="38"/>
  <c r="Z27" i="38"/>
  <c r="Y27" i="38"/>
  <c r="X27" i="38"/>
  <c r="W27" i="38"/>
  <c r="V27" i="38"/>
  <c r="U27" i="38"/>
  <c r="T27" i="38"/>
  <c r="S27" i="38"/>
  <c r="R27" i="38"/>
  <c r="Q27" i="38"/>
  <c r="P27" i="38"/>
  <c r="O27" i="38"/>
  <c r="K27" i="38"/>
  <c r="L27" i="38" s="1"/>
  <c r="M27" i="38" s="1"/>
  <c r="N27" i="38" s="1"/>
  <c r="J27" i="38"/>
  <c r="I27" i="38"/>
  <c r="H27" i="38"/>
  <c r="G27" i="38"/>
  <c r="F27" i="38"/>
  <c r="E27" i="38"/>
  <c r="D27" i="38"/>
  <c r="A27" i="38"/>
  <c r="K26" i="38"/>
  <c r="L26" i="38" s="1"/>
  <c r="M26" i="38" s="1"/>
  <c r="N26" i="38" s="1"/>
  <c r="A26" i="38"/>
  <c r="K25" i="38"/>
  <c r="L25" i="38" s="1"/>
  <c r="M25" i="38" s="1"/>
  <c r="N25" i="38" s="1"/>
  <c r="AD25" i="38" s="1"/>
  <c r="A25" i="38"/>
  <c r="K24" i="38"/>
  <c r="L24" i="38" s="1"/>
  <c r="M24" i="38" s="1"/>
  <c r="N24" i="38" s="1"/>
  <c r="A24" i="38"/>
  <c r="K23" i="38"/>
  <c r="L23" i="38" s="1"/>
  <c r="M23" i="38" s="1"/>
  <c r="N23" i="38" s="1"/>
  <c r="A23" i="38"/>
  <c r="K22" i="38"/>
  <c r="L22" i="38" s="1"/>
  <c r="M22" i="38" s="1"/>
  <c r="N22" i="38" s="1"/>
  <c r="A22" i="38"/>
  <c r="K21" i="38"/>
  <c r="L21" i="38" s="1"/>
  <c r="M21" i="38" s="1"/>
  <c r="N21" i="38" s="1"/>
  <c r="A21" i="38"/>
  <c r="K20" i="38"/>
  <c r="L20" i="38" s="1"/>
  <c r="M20" i="38" s="1"/>
  <c r="N20" i="38" s="1"/>
  <c r="A20" i="38"/>
  <c r="K19" i="38"/>
  <c r="L19" i="38" s="1"/>
  <c r="M19" i="38" s="1"/>
  <c r="N19" i="38" s="1"/>
  <c r="A19" i="38"/>
  <c r="K18" i="38"/>
  <c r="L18" i="38" s="1"/>
  <c r="M18" i="38" s="1"/>
  <c r="N18" i="38" s="1"/>
  <c r="A18" i="38"/>
  <c r="K17" i="38"/>
  <c r="L17" i="38" s="1"/>
  <c r="M17" i="38" s="1"/>
  <c r="N17" i="38" s="1"/>
  <c r="A17" i="38"/>
  <c r="K16" i="38"/>
  <c r="L16" i="38" s="1"/>
  <c r="M16" i="38" s="1"/>
  <c r="N16" i="38" s="1"/>
  <c r="P16" i="38" s="1"/>
  <c r="A16" i="38"/>
  <c r="E14" i="38"/>
  <c r="D14" i="38"/>
  <c r="B14" i="38"/>
  <c r="B2" i="38" s="1"/>
  <c r="E13" i="38"/>
  <c r="D13" i="38"/>
  <c r="B13" i="38"/>
  <c r="BU200" i="37"/>
  <c r="BT200" i="37"/>
  <c r="BS200" i="37"/>
  <c r="BR200" i="37"/>
  <c r="BQ200" i="37"/>
  <c r="BP200" i="37"/>
  <c r="BO200" i="37"/>
  <c r="BN200" i="37"/>
  <c r="BM200" i="37"/>
  <c r="BL200" i="37"/>
  <c r="BK200" i="37"/>
  <c r="BJ200" i="37"/>
  <c r="BI200" i="37"/>
  <c r="BH200" i="37"/>
  <c r="BG200" i="37"/>
  <c r="BF200" i="37"/>
  <c r="BE200" i="37"/>
  <c r="BD200" i="37"/>
  <c r="BC200" i="37"/>
  <c r="BB200" i="37"/>
  <c r="BA200" i="37"/>
  <c r="AZ200" i="37"/>
  <c r="AY200" i="37"/>
  <c r="AX200" i="37"/>
  <c r="AW200" i="37"/>
  <c r="AV200" i="37"/>
  <c r="AU200" i="37"/>
  <c r="AT200" i="37"/>
  <c r="AS200" i="37"/>
  <c r="AR200" i="37"/>
  <c r="AQ200" i="37"/>
  <c r="AP200" i="37"/>
  <c r="AO200" i="37"/>
  <c r="AN200" i="37"/>
  <c r="AM200" i="37"/>
  <c r="AL200" i="37"/>
  <c r="AK200" i="37"/>
  <c r="AJ200" i="37"/>
  <c r="AI200" i="37"/>
  <c r="AH200" i="37"/>
  <c r="AG200" i="37"/>
  <c r="AF200" i="37"/>
  <c r="AE200" i="37"/>
  <c r="AD200" i="37"/>
  <c r="AC200" i="37"/>
  <c r="AB200" i="37"/>
  <c r="AA200" i="37"/>
  <c r="Z200" i="37"/>
  <c r="Y200" i="37"/>
  <c r="X200" i="37"/>
  <c r="W200" i="37"/>
  <c r="V200" i="37"/>
  <c r="U200" i="37"/>
  <c r="T200" i="37"/>
  <c r="S200" i="37"/>
  <c r="R200" i="37"/>
  <c r="Q200" i="37"/>
  <c r="K200" i="37"/>
  <c r="L200" i="37" s="1"/>
  <c r="M200" i="37" s="1"/>
  <c r="N200" i="37" s="1"/>
  <c r="O200" i="37" s="1"/>
  <c r="P200" i="37" s="1"/>
  <c r="J200" i="37"/>
  <c r="I200" i="37"/>
  <c r="H200" i="37"/>
  <c r="G200" i="37"/>
  <c r="F200" i="37"/>
  <c r="E200" i="37"/>
  <c r="D200" i="37"/>
  <c r="A200" i="37"/>
  <c r="BU199" i="37"/>
  <c r="BT199" i="37"/>
  <c r="BS199" i="37"/>
  <c r="BR199" i="37"/>
  <c r="BQ199" i="37"/>
  <c r="BP199" i="37"/>
  <c r="BO199" i="37"/>
  <c r="BN199" i="37"/>
  <c r="BM199" i="37"/>
  <c r="BL199" i="37"/>
  <c r="BK199" i="37"/>
  <c r="BJ199" i="37"/>
  <c r="BI199" i="37"/>
  <c r="BH199" i="37"/>
  <c r="BG199" i="37"/>
  <c r="BF199" i="37"/>
  <c r="BE199" i="37"/>
  <c r="BD199" i="37"/>
  <c r="BC199" i="37"/>
  <c r="BB199" i="37"/>
  <c r="BA199" i="37"/>
  <c r="AZ199" i="37"/>
  <c r="AY199" i="37"/>
  <c r="AX199" i="37"/>
  <c r="AW199" i="37"/>
  <c r="AV199" i="37"/>
  <c r="AU199" i="37"/>
  <c r="AT199" i="37"/>
  <c r="AS199" i="37"/>
  <c r="AR199" i="37"/>
  <c r="AQ199" i="37"/>
  <c r="AP199" i="37"/>
  <c r="AO199" i="37"/>
  <c r="AN199" i="37"/>
  <c r="AM199" i="37"/>
  <c r="AL199" i="37"/>
  <c r="AK199" i="37"/>
  <c r="AJ199" i="37"/>
  <c r="AI199" i="37"/>
  <c r="AH199" i="37"/>
  <c r="AG199" i="37"/>
  <c r="AF199" i="37"/>
  <c r="AE199" i="37"/>
  <c r="AD199" i="37"/>
  <c r="AC199" i="37"/>
  <c r="AB199" i="37"/>
  <c r="AA199" i="37"/>
  <c r="Z199" i="37"/>
  <c r="Y199" i="37"/>
  <c r="X199" i="37"/>
  <c r="W199" i="37"/>
  <c r="V199" i="37"/>
  <c r="U199" i="37"/>
  <c r="T199" i="37"/>
  <c r="S199" i="37"/>
  <c r="R199" i="37"/>
  <c r="Q199" i="37"/>
  <c r="K199" i="37"/>
  <c r="L199" i="37" s="1"/>
  <c r="M199" i="37" s="1"/>
  <c r="N199" i="37" s="1"/>
  <c r="O199" i="37" s="1"/>
  <c r="P199" i="37" s="1"/>
  <c r="J199" i="37"/>
  <c r="I199" i="37"/>
  <c r="H199" i="37"/>
  <c r="G199" i="37"/>
  <c r="F199" i="37"/>
  <c r="E199" i="37"/>
  <c r="D199" i="37"/>
  <c r="A199" i="37"/>
  <c r="BU198" i="37"/>
  <c r="BT198" i="37"/>
  <c r="BS198" i="37"/>
  <c r="BR198" i="37"/>
  <c r="BQ198" i="37"/>
  <c r="BP198" i="37"/>
  <c r="BO198" i="37"/>
  <c r="BN198" i="37"/>
  <c r="BM198" i="37"/>
  <c r="BL198" i="37"/>
  <c r="BK198" i="37"/>
  <c r="BJ198" i="37"/>
  <c r="BI198" i="37"/>
  <c r="BH198" i="37"/>
  <c r="BG198" i="37"/>
  <c r="BF198" i="37"/>
  <c r="BE198" i="37"/>
  <c r="BD198" i="37"/>
  <c r="BC198" i="37"/>
  <c r="BB198" i="37"/>
  <c r="BA198" i="37"/>
  <c r="AZ198" i="37"/>
  <c r="AY198" i="37"/>
  <c r="AX198" i="37"/>
  <c r="AW198" i="37"/>
  <c r="AV198" i="37"/>
  <c r="AU198" i="37"/>
  <c r="AT198" i="37"/>
  <c r="AS198" i="37"/>
  <c r="AR198" i="37"/>
  <c r="AQ198" i="37"/>
  <c r="AP198" i="37"/>
  <c r="AO198" i="37"/>
  <c r="AN198" i="37"/>
  <c r="AM198" i="37"/>
  <c r="AL198" i="37"/>
  <c r="AK198" i="37"/>
  <c r="AJ198" i="37"/>
  <c r="AI198" i="37"/>
  <c r="AH198" i="37"/>
  <c r="AG198" i="37"/>
  <c r="AF198" i="37"/>
  <c r="AE198" i="37"/>
  <c r="AD198" i="37"/>
  <c r="AC198" i="37"/>
  <c r="AB198" i="37"/>
  <c r="AA198" i="37"/>
  <c r="Z198" i="37"/>
  <c r="Y198" i="37"/>
  <c r="X198" i="37"/>
  <c r="W198" i="37"/>
  <c r="V198" i="37"/>
  <c r="U198" i="37"/>
  <c r="T198" i="37"/>
  <c r="S198" i="37"/>
  <c r="R198" i="37"/>
  <c r="Q198" i="37"/>
  <c r="K198" i="37"/>
  <c r="L198" i="37" s="1"/>
  <c r="M198" i="37" s="1"/>
  <c r="N198" i="37" s="1"/>
  <c r="O198" i="37" s="1"/>
  <c r="P198" i="37" s="1"/>
  <c r="J198" i="37"/>
  <c r="I198" i="37"/>
  <c r="H198" i="37"/>
  <c r="G198" i="37"/>
  <c r="F198" i="37"/>
  <c r="E198" i="37"/>
  <c r="D198" i="37"/>
  <c r="A198" i="37"/>
  <c r="BU197" i="37"/>
  <c r="BT197" i="37"/>
  <c r="BS197" i="37"/>
  <c r="BR197" i="37"/>
  <c r="BQ197" i="37"/>
  <c r="BP197" i="37"/>
  <c r="BO197" i="37"/>
  <c r="BN197" i="37"/>
  <c r="BM197" i="37"/>
  <c r="BL197" i="37"/>
  <c r="BK197" i="37"/>
  <c r="BJ197" i="37"/>
  <c r="BI197" i="37"/>
  <c r="BH197" i="37"/>
  <c r="BG197" i="37"/>
  <c r="BF197" i="37"/>
  <c r="BE197" i="37"/>
  <c r="BD197" i="37"/>
  <c r="BC197" i="37"/>
  <c r="BB197" i="37"/>
  <c r="BA197" i="37"/>
  <c r="AZ197" i="37"/>
  <c r="AY197" i="37"/>
  <c r="AX197" i="37"/>
  <c r="AW197" i="37"/>
  <c r="AV197" i="37"/>
  <c r="AU197" i="37"/>
  <c r="AT197" i="37"/>
  <c r="AS197" i="37"/>
  <c r="AR197" i="37"/>
  <c r="AQ197" i="37"/>
  <c r="AP197" i="37"/>
  <c r="AO197" i="37"/>
  <c r="AN197" i="37"/>
  <c r="AM197" i="37"/>
  <c r="AL197" i="37"/>
  <c r="AK197" i="37"/>
  <c r="AJ197" i="37"/>
  <c r="AI197" i="37"/>
  <c r="AH197" i="37"/>
  <c r="AG197" i="37"/>
  <c r="AF197" i="37"/>
  <c r="AE197" i="37"/>
  <c r="AD197" i="37"/>
  <c r="AC197" i="37"/>
  <c r="AB197" i="37"/>
  <c r="AA197" i="37"/>
  <c r="Z197" i="37"/>
  <c r="Y197" i="37"/>
  <c r="X197" i="37"/>
  <c r="W197" i="37"/>
  <c r="V197" i="37"/>
  <c r="U197" i="37"/>
  <c r="T197" i="37"/>
  <c r="S197" i="37"/>
  <c r="R197" i="37"/>
  <c r="Q197" i="37"/>
  <c r="K197" i="37"/>
  <c r="L197" i="37" s="1"/>
  <c r="M197" i="37" s="1"/>
  <c r="N197" i="37" s="1"/>
  <c r="O197" i="37" s="1"/>
  <c r="P197" i="37" s="1"/>
  <c r="J197" i="37"/>
  <c r="I197" i="37"/>
  <c r="H197" i="37"/>
  <c r="G197" i="37"/>
  <c r="F197" i="37"/>
  <c r="E197" i="37"/>
  <c r="D197" i="37"/>
  <c r="A197" i="37"/>
  <c r="BU196" i="37"/>
  <c r="BT196" i="37"/>
  <c r="BS196" i="37"/>
  <c r="BR196" i="37"/>
  <c r="BQ196" i="37"/>
  <c r="BP196" i="37"/>
  <c r="BO196" i="37"/>
  <c r="BN196" i="37"/>
  <c r="BM196" i="37"/>
  <c r="BL196" i="37"/>
  <c r="BK196" i="37"/>
  <c r="BJ196" i="37"/>
  <c r="BI196" i="37"/>
  <c r="BH196" i="37"/>
  <c r="BG196" i="37"/>
  <c r="BF196" i="37"/>
  <c r="BE196" i="37"/>
  <c r="BD196" i="37"/>
  <c r="BC196" i="37"/>
  <c r="BB196" i="37"/>
  <c r="BA196" i="37"/>
  <c r="AZ196" i="37"/>
  <c r="AY196" i="37"/>
  <c r="AX196" i="37"/>
  <c r="AW196" i="37"/>
  <c r="AV196" i="37"/>
  <c r="AU196" i="37"/>
  <c r="AT196" i="37"/>
  <c r="AS196" i="37"/>
  <c r="AR196" i="37"/>
  <c r="AQ196" i="37"/>
  <c r="AP196" i="37"/>
  <c r="AO196" i="37"/>
  <c r="AN196" i="37"/>
  <c r="AM196" i="37"/>
  <c r="AL196" i="37"/>
  <c r="AK196" i="37"/>
  <c r="AJ196" i="37"/>
  <c r="AI196" i="37"/>
  <c r="AH196" i="37"/>
  <c r="AG196" i="37"/>
  <c r="AF196" i="37"/>
  <c r="AE196" i="37"/>
  <c r="AD196" i="37"/>
  <c r="AC196" i="37"/>
  <c r="AB196" i="37"/>
  <c r="AA196" i="37"/>
  <c r="Z196" i="37"/>
  <c r="Y196" i="37"/>
  <c r="X196" i="37"/>
  <c r="W196" i="37"/>
  <c r="V196" i="37"/>
  <c r="U196" i="37"/>
  <c r="T196" i="37"/>
  <c r="S196" i="37"/>
  <c r="R196" i="37"/>
  <c r="Q196" i="37"/>
  <c r="K196" i="37"/>
  <c r="L196" i="37" s="1"/>
  <c r="M196" i="37" s="1"/>
  <c r="N196" i="37" s="1"/>
  <c r="O196" i="37" s="1"/>
  <c r="P196" i="37" s="1"/>
  <c r="J196" i="37"/>
  <c r="I196" i="37"/>
  <c r="H196" i="37"/>
  <c r="G196" i="37"/>
  <c r="F196" i="37"/>
  <c r="E196" i="37"/>
  <c r="D196" i="37"/>
  <c r="A196" i="37"/>
  <c r="BU195" i="37"/>
  <c r="BT195" i="37"/>
  <c r="BS195" i="37"/>
  <c r="BR195" i="37"/>
  <c r="BQ195" i="37"/>
  <c r="BP195" i="37"/>
  <c r="BO195" i="37"/>
  <c r="BN195" i="37"/>
  <c r="BM195" i="37"/>
  <c r="BL195" i="37"/>
  <c r="BK195" i="37"/>
  <c r="BJ195" i="37"/>
  <c r="BI195" i="37"/>
  <c r="BH195" i="37"/>
  <c r="BG195" i="37"/>
  <c r="BF195" i="37"/>
  <c r="BE195" i="37"/>
  <c r="BD195" i="37"/>
  <c r="BC195" i="37"/>
  <c r="BB195" i="37"/>
  <c r="BA195" i="37"/>
  <c r="AZ195" i="37"/>
  <c r="AY195" i="37"/>
  <c r="AX195" i="37"/>
  <c r="AW195" i="37"/>
  <c r="AV195" i="37"/>
  <c r="AU195" i="37"/>
  <c r="AT195" i="37"/>
  <c r="AS195" i="37"/>
  <c r="AR195" i="37"/>
  <c r="AQ195" i="37"/>
  <c r="AP195" i="37"/>
  <c r="AO195" i="37"/>
  <c r="AN195" i="37"/>
  <c r="AM195" i="37"/>
  <c r="AL195" i="37"/>
  <c r="AK195" i="37"/>
  <c r="AJ195" i="37"/>
  <c r="AI195" i="37"/>
  <c r="AH195" i="37"/>
  <c r="AG195" i="37"/>
  <c r="AF195" i="37"/>
  <c r="AE195" i="37"/>
  <c r="AD195" i="37"/>
  <c r="AC195" i="37"/>
  <c r="AB195" i="37"/>
  <c r="AA195" i="37"/>
  <c r="Z195" i="37"/>
  <c r="Y195" i="37"/>
  <c r="X195" i="37"/>
  <c r="W195" i="37"/>
  <c r="V195" i="37"/>
  <c r="U195" i="37"/>
  <c r="T195" i="37"/>
  <c r="S195" i="37"/>
  <c r="R195" i="37"/>
  <c r="Q195" i="37"/>
  <c r="K195" i="37"/>
  <c r="L195" i="37" s="1"/>
  <c r="M195" i="37" s="1"/>
  <c r="N195" i="37" s="1"/>
  <c r="O195" i="37" s="1"/>
  <c r="P195" i="37" s="1"/>
  <c r="J195" i="37"/>
  <c r="I195" i="37"/>
  <c r="H195" i="37"/>
  <c r="G195" i="37"/>
  <c r="F195" i="37"/>
  <c r="E195" i="37"/>
  <c r="D195" i="37"/>
  <c r="A195" i="37"/>
  <c r="BU194" i="37"/>
  <c r="BT194" i="37"/>
  <c r="BS194" i="37"/>
  <c r="BR194" i="37"/>
  <c r="BQ194" i="37"/>
  <c r="BP194" i="37"/>
  <c r="BO194" i="37"/>
  <c r="BN194" i="37"/>
  <c r="BM194" i="37"/>
  <c r="BL194" i="37"/>
  <c r="BK194" i="37"/>
  <c r="BJ194" i="37"/>
  <c r="BI194" i="37"/>
  <c r="BH194" i="37"/>
  <c r="BG194" i="37"/>
  <c r="BF194" i="37"/>
  <c r="BE194" i="37"/>
  <c r="BD194" i="37"/>
  <c r="BC194" i="37"/>
  <c r="BB194" i="37"/>
  <c r="BA194" i="37"/>
  <c r="AZ194" i="37"/>
  <c r="AY194" i="37"/>
  <c r="AX194" i="37"/>
  <c r="AW194" i="37"/>
  <c r="AV194" i="37"/>
  <c r="AU194" i="37"/>
  <c r="AT194" i="37"/>
  <c r="AS194" i="37"/>
  <c r="AR194" i="37"/>
  <c r="AQ194" i="37"/>
  <c r="AP194" i="37"/>
  <c r="AO194" i="37"/>
  <c r="AN194" i="37"/>
  <c r="AM194" i="37"/>
  <c r="AL194" i="37"/>
  <c r="AK194" i="37"/>
  <c r="AJ194" i="37"/>
  <c r="AI194" i="37"/>
  <c r="AH194" i="37"/>
  <c r="AG194" i="37"/>
  <c r="AF194" i="37"/>
  <c r="AE194" i="37"/>
  <c r="AD194" i="37"/>
  <c r="AC194" i="37"/>
  <c r="AB194" i="37"/>
  <c r="AA194" i="37"/>
  <c r="Z194" i="37"/>
  <c r="Y194" i="37"/>
  <c r="X194" i="37"/>
  <c r="W194" i="37"/>
  <c r="V194" i="37"/>
  <c r="U194" i="37"/>
  <c r="T194" i="37"/>
  <c r="S194" i="37"/>
  <c r="R194" i="37"/>
  <c r="Q194" i="37"/>
  <c r="K194" i="37"/>
  <c r="L194" i="37" s="1"/>
  <c r="M194" i="37" s="1"/>
  <c r="N194" i="37" s="1"/>
  <c r="O194" i="37" s="1"/>
  <c r="P194" i="37" s="1"/>
  <c r="J194" i="37"/>
  <c r="I194" i="37"/>
  <c r="H194" i="37"/>
  <c r="G194" i="37"/>
  <c r="F194" i="37"/>
  <c r="E194" i="37"/>
  <c r="D194" i="37"/>
  <c r="A194" i="37"/>
  <c r="BU193" i="37"/>
  <c r="BT193" i="37"/>
  <c r="BS193" i="37"/>
  <c r="BR193" i="37"/>
  <c r="BQ193" i="37"/>
  <c r="BP193" i="37"/>
  <c r="BO193" i="37"/>
  <c r="BN193" i="37"/>
  <c r="BM193" i="37"/>
  <c r="BL193" i="37"/>
  <c r="BK193" i="37"/>
  <c r="BJ193" i="37"/>
  <c r="BI193" i="37"/>
  <c r="BH193" i="37"/>
  <c r="BG193" i="37"/>
  <c r="BF193" i="37"/>
  <c r="BE193" i="37"/>
  <c r="BD193" i="37"/>
  <c r="BC193" i="37"/>
  <c r="BB193" i="37"/>
  <c r="BA193" i="37"/>
  <c r="AZ193" i="37"/>
  <c r="AY193" i="37"/>
  <c r="AX193" i="37"/>
  <c r="AW193" i="37"/>
  <c r="AV193" i="37"/>
  <c r="AU193" i="37"/>
  <c r="AT193" i="37"/>
  <c r="AS193" i="37"/>
  <c r="AR193" i="37"/>
  <c r="AQ193" i="37"/>
  <c r="AP193" i="37"/>
  <c r="AO193" i="37"/>
  <c r="AN193" i="37"/>
  <c r="AM193" i="37"/>
  <c r="AL193" i="37"/>
  <c r="AK193" i="37"/>
  <c r="AJ193" i="37"/>
  <c r="AI193" i="37"/>
  <c r="AH193" i="37"/>
  <c r="AG193" i="37"/>
  <c r="AF193" i="37"/>
  <c r="AE193" i="37"/>
  <c r="AD193" i="37"/>
  <c r="AC193" i="37"/>
  <c r="AB193" i="37"/>
  <c r="AA193" i="37"/>
  <c r="Z193" i="37"/>
  <c r="Y193" i="37"/>
  <c r="X193" i="37"/>
  <c r="W193" i="37"/>
  <c r="V193" i="37"/>
  <c r="U193" i="37"/>
  <c r="T193" i="37"/>
  <c r="S193" i="37"/>
  <c r="R193" i="37"/>
  <c r="Q193" i="37"/>
  <c r="K193" i="37"/>
  <c r="L193" i="37" s="1"/>
  <c r="M193" i="37" s="1"/>
  <c r="N193" i="37" s="1"/>
  <c r="O193" i="37" s="1"/>
  <c r="P193" i="37" s="1"/>
  <c r="J193" i="37"/>
  <c r="I193" i="37"/>
  <c r="H193" i="37"/>
  <c r="G193" i="37"/>
  <c r="F193" i="37"/>
  <c r="E193" i="37"/>
  <c r="D193" i="37"/>
  <c r="A193" i="37"/>
  <c r="BU192" i="37"/>
  <c r="BT192" i="37"/>
  <c r="BS192" i="37"/>
  <c r="BR192" i="37"/>
  <c r="BQ192" i="37"/>
  <c r="BP192" i="37"/>
  <c r="BO192" i="37"/>
  <c r="BN192" i="37"/>
  <c r="BM192" i="37"/>
  <c r="BL192" i="37"/>
  <c r="BK192" i="37"/>
  <c r="BJ192" i="37"/>
  <c r="BI192" i="37"/>
  <c r="BH192" i="37"/>
  <c r="BG192" i="37"/>
  <c r="BF192" i="37"/>
  <c r="BE192" i="37"/>
  <c r="BD192" i="37"/>
  <c r="BC192" i="37"/>
  <c r="BB192" i="37"/>
  <c r="BA192" i="37"/>
  <c r="AZ192" i="37"/>
  <c r="AY192" i="37"/>
  <c r="AX192" i="37"/>
  <c r="AW192" i="37"/>
  <c r="AV192" i="37"/>
  <c r="AU192" i="37"/>
  <c r="AT192" i="37"/>
  <c r="AS192" i="37"/>
  <c r="AR192" i="37"/>
  <c r="AQ192" i="37"/>
  <c r="AP192" i="37"/>
  <c r="AO192" i="37"/>
  <c r="AN192" i="37"/>
  <c r="AM192" i="37"/>
  <c r="AL192" i="37"/>
  <c r="AK192" i="37"/>
  <c r="AJ192" i="37"/>
  <c r="AI192" i="37"/>
  <c r="AH192" i="37"/>
  <c r="AG192" i="37"/>
  <c r="AF192" i="37"/>
  <c r="AE192" i="37"/>
  <c r="AD192" i="37"/>
  <c r="AC192" i="37"/>
  <c r="AB192" i="37"/>
  <c r="AA192" i="37"/>
  <c r="Z192" i="37"/>
  <c r="Y192" i="37"/>
  <c r="X192" i="37"/>
  <c r="W192" i="37"/>
  <c r="V192" i="37"/>
  <c r="U192" i="37"/>
  <c r="T192" i="37"/>
  <c r="S192" i="37"/>
  <c r="R192" i="37"/>
  <c r="Q192" i="37"/>
  <c r="K192" i="37"/>
  <c r="L192" i="37" s="1"/>
  <c r="M192" i="37" s="1"/>
  <c r="N192" i="37" s="1"/>
  <c r="O192" i="37" s="1"/>
  <c r="P192" i="37" s="1"/>
  <c r="J192" i="37"/>
  <c r="I192" i="37"/>
  <c r="H192" i="37"/>
  <c r="G192" i="37"/>
  <c r="F192" i="37"/>
  <c r="E192" i="37"/>
  <c r="D192" i="37"/>
  <c r="A192" i="37"/>
  <c r="BU191" i="37"/>
  <c r="BT191" i="37"/>
  <c r="BS191" i="37"/>
  <c r="BR191" i="37"/>
  <c r="BQ191" i="37"/>
  <c r="BP191" i="37"/>
  <c r="BO191" i="37"/>
  <c r="BN191" i="37"/>
  <c r="BM191" i="37"/>
  <c r="BL191" i="37"/>
  <c r="BK191" i="37"/>
  <c r="BJ191" i="37"/>
  <c r="BI191" i="37"/>
  <c r="BH191" i="37"/>
  <c r="BG191" i="37"/>
  <c r="BF191" i="37"/>
  <c r="BE191" i="37"/>
  <c r="BD191" i="37"/>
  <c r="BC191" i="37"/>
  <c r="BB191" i="37"/>
  <c r="BA191" i="37"/>
  <c r="AZ191" i="37"/>
  <c r="AY191" i="37"/>
  <c r="AX191" i="37"/>
  <c r="AW191" i="37"/>
  <c r="AV191" i="37"/>
  <c r="AU191" i="37"/>
  <c r="AT191" i="37"/>
  <c r="AS191" i="37"/>
  <c r="AR191" i="37"/>
  <c r="AQ191" i="37"/>
  <c r="AP191" i="37"/>
  <c r="AO191" i="37"/>
  <c r="AN191" i="37"/>
  <c r="AM191" i="37"/>
  <c r="AL191" i="37"/>
  <c r="AK191" i="37"/>
  <c r="AJ191" i="37"/>
  <c r="AI191" i="37"/>
  <c r="AH191" i="37"/>
  <c r="AG191" i="37"/>
  <c r="AF191" i="37"/>
  <c r="AE191" i="37"/>
  <c r="AD191" i="37"/>
  <c r="AC191" i="37"/>
  <c r="AB191" i="37"/>
  <c r="AA191" i="37"/>
  <c r="Z191" i="37"/>
  <c r="Y191" i="37"/>
  <c r="X191" i="37"/>
  <c r="W191" i="37"/>
  <c r="V191" i="37"/>
  <c r="U191" i="37"/>
  <c r="T191" i="37"/>
  <c r="S191" i="37"/>
  <c r="R191" i="37"/>
  <c r="Q191" i="37"/>
  <c r="K191" i="37"/>
  <c r="L191" i="37" s="1"/>
  <c r="M191" i="37" s="1"/>
  <c r="N191" i="37" s="1"/>
  <c r="O191" i="37" s="1"/>
  <c r="P191" i="37" s="1"/>
  <c r="J191" i="37"/>
  <c r="I191" i="37"/>
  <c r="H191" i="37"/>
  <c r="G191" i="37"/>
  <c r="F191" i="37"/>
  <c r="E191" i="37"/>
  <c r="D191" i="37"/>
  <c r="A191" i="37"/>
  <c r="BU190" i="37"/>
  <c r="BT190" i="37"/>
  <c r="BS190" i="37"/>
  <c r="BR190" i="37"/>
  <c r="BQ190" i="37"/>
  <c r="BP190" i="37"/>
  <c r="BO190" i="37"/>
  <c r="BN190" i="37"/>
  <c r="BM190" i="37"/>
  <c r="BL190" i="37"/>
  <c r="BK190" i="37"/>
  <c r="BJ190" i="37"/>
  <c r="BI190" i="37"/>
  <c r="BH190" i="37"/>
  <c r="BG190" i="37"/>
  <c r="BF190" i="37"/>
  <c r="BE190" i="37"/>
  <c r="BD190" i="37"/>
  <c r="BC190" i="37"/>
  <c r="BB190" i="37"/>
  <c r="BA190" i="37"/>
  <c r="AZ190" i="37"/>
  <c r="AY190" i="37"/>
  <c r="AX190" i="37"/>
  <c r="AW190" i="37"/>
  <c r="AV190" i="37"/>
  <c r="AU190" i="37"/>
  <c r="AT190" i="37"/>
  <c r="AS190" i="37"/>
  <c r="AR190" i="37"/>
  <c r="AQ190" i="37"/>
  <c r="AP190" i="37"/>
  <c r="AO190" i="37"/>
  <c r="AN190" i="37"/>
  <c r="AM190" i="37"/>
  <c r="AL190" i="37"/>
  <c r="AK190" i="37"/>
  <c r="AJ190" i="37"/>
  <c r="AI190" i="37"/>
  <c r="AH190" i="37"/>
  <c r="AG190" i="37"/>
  <c r="AF190" i="37"/>
  <c r="AE190" i="37"/>
  <c r="AD190" i="37"/>
  <c r="AC190" i="37"/>
  <c r="AB190" i="37"/>
  <c r="AA190" i="37"/>
  <c r="Z190" i="37"/>
  <c r="Y190" i="37"/>
  <c r="X190" i="37"/>
  <c r="W190" i="37"/>
  <c r="V190" i="37"/>
  <c r="U190" i="37"/>
  <c r="T190" i="37"/>
  <c r="S190" i="37"/>
  <c r="R190" i="37"/>
  <c r="Q190" i="37"/>
  <c r="K190" i="37"/>
  <c r="L190" i="37" s="1"/>
  <c r="M190" i="37" s="1"/>
  <c r="N190" i="37" s="1"/>
  <c r="O190" i="37" s="1"/>
  <c r="P190" i="37" s="1"/>
  <c r="J190" i="37"/>
  <c r="I190" i="37"/>
  <c r="H190" i="37"/>
  <c r="G190" i="37"/>
  <c r="F190" i="37"/>
  <c r="E190" i="37"/>
  <c r="D190" i="37"/>
  <c r="A190" i="37"/>
  <c r="BU189" i="37"/>
  <c r="BT189" i="37"/>
  <c r="BS189" i="37"/>
  <c r="BR189" i="37"/>
  <c r="BQ189" i="37"/>
  <c r="BP189" i="37"/>
  <c r="BO189" i="37"/>
  <c r="BN189" i="37"/>
  <c r="BM189" i="37"/>
  <c r="BL189" i="37"/>
  <c r="BK189" i="37"/>
  <c r="BJ189" i="37"/>
  <c r="BI189" i="37"/>
  <c r="BH189" i="37"/>
  <c r="BG189" i="37"/>
  <c r="BF189" i="37"/>
  <c r="BE189" i="37"/>
  <c r="BD189" i="37"/>
  <c r="BC189" i="37"/>
  <c r="BB189" i="37"/>
  <c r="BA189" i="37"/>
  <c r="AZ189" i="37"/>
  <c r="AY189" i="37"/>
  <c r="AX189" i="37"/>
  <c r="AW189" i="37"/>
  <c r="AV189" i="37"/>
  <c r="AU189" i="37"/>
  <c r="AT189" i="37"/>
  <c r="AS189" i="37"/>
  <c r="AR189" i="37"/>
  <c r="AQ189" i="37"/>
  <c r="AP189" i="37"/>
  <c r="AO189" i="37"/>
  <c r="AN189" i="37"/>
  <c r="AM189" i="37"/>
  <c r="AL189" i="37"/>
  <c r="AK189" i="37"/>
  <c r="AJ189" i="37"/>
  <c r="AI189" i="37"/>
  <c r="AH189" i="37"/>
  <c r="AG189" i="37"/>
  <c r="AF189" i="37"/>
  <c r="AE189" i="37"/>
  <c r="AD189" i="37"/>
  <c r="AC189" i="37"/>
  <c r="AB189" i="37"/>
  <c r="AA189" i="37"/>
  <c r="Z189" i="37"/>
  <c r="Y189" i="37"/>
  <c r="X189" i="37"/>
  <c r="W189" i="37"/>
  <c r="V189" i="37"/>
  <c r="U189" i="37"/>
  <c r="T189" i="37"/>
  <c r="S189" i="37"/>
  <c r="R189" i="37"/>
  <c r="Q189" i="37"/>
  <c r="K189" i="37"/>
  <c r="L189" i="37" s="1"/>
  <c r="M189" i="37" s="1"/>
  <c r="N189" i="37" s="1"/>
  <c r="O189" i="37" s="1"/>
  <c r="P189" i="37" s="1"/>
  <c r="J189" i="37"/>
  <c r="I189" i="37"/>
  <c r="H189" i="37"/>
  <c r="G189" i="37"/>
  <c r="F189" i="37"/>
  <c r="E189" i="37"/>
  <c r="D189" i="37"/>
  <c r="A189" i="37"/>
  <c r="BU188" i="37"/>
  <c r="BT188" i="37"/>
  <c r="BS188" i="37"/>
  <c r="BR188" i="37"/>
  <c r="BQ188" i="37"/>
  <c r="BP188" i="37"/>
  <c r="BO188" i="37"/>
  <c r="BN188" i="37"/>
  <c r="BM188" i="37"/>
  <c r="BL188" i="37"/>
  <c r="BK188" i="37"/>
  <c r="BJ188" i="37"/>
  <c r="BI188" i="37"/>
  <c r="BH188" i="37"/>
  <c r="BG188" i="37"/>
  <c r="BF188" i="37"/>
  <c r="BE188" i="37"/>
  <c r="BD188" i="37"/>
  <c r="BC188" i="37"/>
  <c r="BB188" i="37"/>
  <c r="BA188" i="37"/>
  <c r="AZ188" i="37"/>
  <c r="AY188" i="37"/>
  <c r="AX188" i="37"/>
  <c r="AW188" i="37"/>
  <c r="AV188" i="37"/>
  <c r="AU188" i="37"/>
  <c r="AT188" i="37"/>
  <c r="AS188" i="37"/>
  <c r="AR188" i="37"/>
  <c r="AQ188" i="37"/>
  <c r="AP188" i="37"/>
  <c r="AO188" i="37"/>
  <c r="AN188" i="37"/>
  <c r="AM188" i="37"/>
  <c r="AL188" i="37"/>
  <c r="AK188" i="37"/>
  <c r="AJ188" i="37"/>
  <c r="AI188" i="37"/>
  <c r="AH188" i="37"/>
  <c r="AG188" i="37"/>
  <c r="AF188" i="37"/>
  <c r="AE188" i="37"/>
  <c r="AD188" i="37"/>
  <c r="AC188" i="37"/>
  <c r="AB188" i="37"/>
  <c r="AA188" i="37"/>
  <c r="Z188" i="37"/>
  <c r="Y188" i="37"/>
  <c r="X188" i="37"/>
  <c r="W188" i="37"/>
  <c r="V188" i="37"/>
  <c r="U188" i="37"/>
  <c r="T188" i="37"/>
  <c r="S188" i="37"/>
  <c r="R188" i="37"/>
  <c r="Q188" i="37"/>
  <c r="K188" i="37"/>
  <c r="L188" i="37" s="1"/>
  <c r="M188" i="37" s="1"/>
  <c r="N188" i="37" s="1"/>
  <c r="O188" i="37" s="1"/>
  <c r="P188" i="37" s="1"/>
  <c r="J188" i="37"/>
  <c r="I188" i="37"/>
  <c r="H188" i="37"/>
  <c r="G188" i="37"/>
  <c r="F188" i="37"/>
  <c r="E188" i="37"/>
  <c r="D188" i="37"/>
  <c r="A188" i="37"/>
  <c r="BU187" i="37"/>
  <c r="BT187" i="37"/>
  <c r="BS187" i="37"/>
  <c r="BR187" i="37"/>
  <c r="BQ187" i="37"/>
  <c r="BP187" i="37"/>
  <c r="BO187" i="37"/>
  <c r="BN187" i="37"/>
  <c r="BM187" i="37"/>
  <c r="BL187" i="37"/>
  <c r="BK187" i="37"/>
  <c r="BJ187" i="37"/>
  <c r="BI187" i="37"/>
  <c r="BH187" i="37"/>
  <c r="BG187" i="37"/>
  <c r="BF187" i="37"/>
  <c r="BE187" i="37"/>
  <c r="BD187" i="37"/>
  <c r="BC187" i="37"/>
  <c r="BB187" i="37"/>
  <c r="BA187" i="37"/>
  <c r="AZ187" i="37"/>
  <c r="AY187" i="37"/>
  <c r="AX187" i="37"/>
  <c r="AW187" i="37"/>
  <c r="AV187" i="37"/>
  <c r="AU187" i="37"/>
  <c r="AT187" i="37"/>
  <c r="AS187" i="37"/>
  <c r="AR187" i="37"/>
  <c r="AQ187" i="37"/>
  <c r="AP187" i="37"/>
  <c r="AO187" i="37"/>
  <c r="AN187" i="37"/>
  <c r="AM187" i="37"/>
  <c r="AL187" i="37"/>
  <c r="AK187" i="37"/>
  <c r="AJ187" i="37"/>
  <c r="AI187" i="37"/>
  <c r="AH187" i="37"/>
  <c r="AG187" i="37"/>
  <c r="AF187" i="37"/>
  <c r="AE187" i="37"/>
  <c r="AD187" i="37"/>
  <c r="AC187" i="37"/>
  <c r="AB187" i="37"/>
  <c r="AA187" i="37"/>
  <c r="Z187" i="37"/>
  <c r="Y187" i="37"/>
  <c r="X187" i="37"/>
  <c r="W187" i="37"/>
  <c r="V187" i="37"/>
  <c r="U187" i="37"/>
  <c r="T187" i="37"/>
  <c r="S187" i="37"/>
  <c r="R187" i="37"/>
  <c r="Q187" i="37"/>
  <c r="K187" i="37"/>
  <c r="L187" i="37" s="1"/>
  <c r="M187" i="37" s="1"/>
  <c r="N187" i="37" s="1"/>
  <c r="O187" i="37" s="1"/>
  <c r="P187" i="37" s="1"/>
  <c r="J187" i="37"/>
  <c r="I187" i="37"/>
  <c r="H187" i="37"/>
  <c r="G187" i="37"/>
  <c r="F187" i="37"/>
  <c r="E187" i="37"/>
  <c r="D187" i="37"/>
  <c r="A187" i="37"/>
  <c r="BU186" i="37"/>
  <c r="BT186" i="37"/>
  <c r="BS186" i="37"/>
  <c r="BR186" i="37"/>
  <c r="BQ186" i="37"/>
  <c r="BP186" i="37"/>
  <c r="BO186" i="37"/>
  <c r="BN186" i="37"/>
  <c r="BM186" i="37"/>
  <c r="BL186" i="37"/>
  <c r="BK186" i="37"/>
  <c r="BJ186" i="37"/>
  <c r="BI186" i="37"/>
  <c r="BH186" i="37"/>
  <c r="BG186" i="37"/>
  <c r="BF186" i="37"/>
  <c r="BE186" i="37"/>
  <c r="BD186" i="37"/>
  <c r="BC186" i="37"/>
  <c r="BB186" i="37"/>
  <c r="BA186" i="37"/>
  <c r="AZ186" i="37"/>
  <c r="AY186" i="37"/>
  <c r="AX186" i="37"/>
  <c r="AW186" i="37"/>
  <c r="AV186" i="37"/>
  <c r="AU186" i="37"/>
  <c r="AT186" i="37"/>
  <c r="AS186" i="37"/>
  <c r="AR186" i="37"/>
  <c r="AQ186" i="37"/>
  <c r="AP186" i="37"/>
  <c r="AO186" i="37"/>
  <c r="AN186" i="37"/>
  <c r="AM186" i="37"/>
  <c r="AL186" i="37"/>
  <c r="AK186" i="37"/>
  <c r="AJ186" i="37"/>
  <c r="AI186" i="37"/>
  <c r="AH186" i="37"/>
  <c r="AG186" i="37"/>
  <c r="AF186" i="37"/>
  <c r="AE186" i="37"/>
  <c r="AD186" i="37"/>
  <c r="AC186" i="37"/>
  <c r="AB186" i="37"/>
  <c r="AA186" i="37"/>
  <c r="Z186" i="37"/>
  <c r="Y186" i="37"/>
  <c r="X186" i="37"/>
  <c r="W186" i="37"/>
  <c r="V186" i="37"/>
  <c r="U186" i="37"/>
  <c r="T186" i="37"/>
  <c r="S186" i="37"/>
  <c r="R186" i="37"/>
  <c r="Q186" i="37"/>
  <c r="K186" i="37"/>
  <c r="L186" i="37" s="1"/>
  <c r="M186" i="37" s="1"/>
  <c r="N186" i="37" s="1"/>
  <c r="O186" i="37" s="1"/>
  <c r="P186" i="37" s="1"/>
  <c r="J186" i="37"/>
  <c r="I186" i="37"/>
  <c r="H186" i="37"/>
  <c r="G186" i="37"/>
  <c r="F186" i="37"/>
  <c r="E186" i="37"/>
  <c r="D186" i="37"/>
  <c r="A186" i="37"/>
  <c r="BU185" i="37"/>
  <c r="BT185" i="37"/>
  <c r="BS185" i="37"/>
  <c r="BR185" i="37"/>
  <c r="BQ185" i="37"/>
  <c r="BP185" i="37"/>
  <c r="BO185" i="37"/>
  <c r="BN185" i="37"/>
  <c r="BM185" i="37"/>
  <c r="BL185" i="37"/>
  <c r="BK185" i="37"/>
  <c r="BJ185" i="37"/>
  <c r="BI185" i="37"/>
  <c r="BH185" i="37"/>
  <c r="BG185" i="37"/>
  <c r="BF185" i="37"/>
  <c r="BE185" i="37"/>
  <c r="BD185" i="37"/>
  <c r="BC185" i="37"/>
  <c r="BB185" i="37"/>
  <c r="BA185" i="37"/>
  <c r="AZ185" i="37"/>
  <c r="AY185" i="37"/>
  <c r="AX185" i="37"/>
  <c r="AW185" i="37"/>
  <c r="AV185" i="37"/>
  <c r="AU185" i="37"/>
  <c r="AT185" i="37"/>
  <c r="AS185" i="37"/>
  <c r="AR185" i="37"/>
  <c r="AQ185" i="37"/>
  <c r="AP185" i="37"/>
  <c r="AO185" i="37"/>
  <c r="AN185" i="37"/>
  <c r="AM185" i="37"/>
  <c r="AL185" i="37"/>
  <c r="AK185" i="37"/>
  <c r="AJ185" i="37"/>
  <c r="AI185" i="37"/>
  <c r="AH185" i="37"/>
  <c r="AG185" i="37"/>
  <c r="AF185" i="37"/>
  <c r="AE185" i="37"/>
  <c r="AD185" i="37"/>
  <c r="AC185" i="37"/>
  <c r="AB185" i="37"/>
  <c r="AA185" i="37"/>
  <c r="Z185" i="37"/>
  <c r="Y185" i="37"/>
  <c r="X185" i="37"/>
  <c r="W185" i="37"/>
  <c r="V185" i="37"/>
  <c r="U185" i="37"/>
  <c r="T185" i="37"/>
  <c r="S185" i="37"/>
  <c r="R185" i="37"/>
  <c r="Q185" i="37"/>
  <c r="K185" i="37"/>
  <c r="L185" i="37" s="1"/>
  <c r="M185" i="37" s="1"/>
  <c r="N185" i="37" s="1"/>
  <c r="O185" i="37" s="1"/>
  <c r="P185" i="37" s="1"/>
  <c r="J185" i="37"/>
  <c r="I185" i="37"/>
  <c r="H185" i="37"/>
  <c r="G185" i="37"/>
  <c r="F185" i="37"/>
  <c r="E185" i="37"/>
  <c r="D185" i="37"/>
  <c r="A185" i="37"/>
  <c r="BU184" i="37"/>
  <c r="BT184" i="37"/>
  <c r="BS184" i="37"/>
  <c r="BR184" i="37"/>
  <c r="BQ184" i="37"/>
  <c r="BP184" i="37"/>
  <c r="BO184" i="37"/>
  <c r="BN184" i="37"/>
  <c r="BM184" i="37"/>
  <c r="BL184" i="37"/>
  <c r="BK184" i="37"/>
  <c r="BJ184" i="37"/>
  <c r="BI184" i="37"/>
  <c r="BH184" i="37"/>
  <c r="BG184" i="37"/>
  <c r="BF184" i="37"/>
  <c r="BE184" i="37"/>
  <c r="BD184" i="37"/>
  <c r="BC184" i="37"/>
  <c r="BB184" i="37"/>
  <c r="BA184" i="37"/>
  <c r="AZ184" i="37"/>
  <c r="AY184" i="37"/>
  <c r="AX184" i="37"/>
  <c r="AW184" i="37"/>
  <c r="AV184" i="37"/>
  <c r="AU184" i="37"/>
  <c r="AT184" i="37"/>
  <c r="AS184" i="37"/>
  <c r="AR184" i="37"/>
  <c r="AQ184" i="37"/>
  <c r="AP184" i="37"/>
  <c r="AO184" i="37"/>
  <c r="AN184" i="37"/>
  <c r="AM184" i="37"/>
  <c r="AL184" i="37"/>
  <c r="AK184" i="37"/>
  <c r="AJ184" i="37"/>
  <c r="AI184" i="37"/>
  <c r="AH184" i="37"/>
  <c r="AG184" i="37"/>
  <c r="AF184" i="37"/>
  <c r="AE184" i="37"/>
  <c r="AD184" i="37"/>
  <c r="AC184" i="37"/>
  <c r="AB184" i="37"/>
  <c r="AA184" i="37"/>
  <c r="Z184" i="37"/>
  <c r="Y184" i="37"/>
  <c r="X184" i="37"/>
  <c r="W184" i="37"/>
  <c r="V184" i="37"/>
  <c r="U184" i="37"/>
  <c r="T184" i="37"/>
  <c r="S184" i="37"/>
  <c r="R184" i="37"/>
  <c r="Q184" i="37"/>
  <c r="K184" i="37"/>
  <c r="L184" i="37" s="1"/>
  <c r="M184" i="37" s="1"/>
  <c r="N184" i="37" s="1"/>
  <c r="O184" i="37" s="1"/>
  <c r="P184" i="37" s="1"/>
  <c r="J184" i="37"/>
  <c r="I184" i="37"/>
  <c r="H184" i="37"/>
  <c r="G184" i="37"/>
  <c r="F184" i="37"/>
  <c r="E184" i="37"/>
  <c r="D184" i="37"/>
  <c r="A184" i="37"/>
  <c r="BU183" i="37"/>
  <c r="BT183" i="37"/>
  <c r="BS183" i="37"/>
  <c r="BR183" i="37"/>
  <c r="BQ183" i="37"/>
  <c r="BP183" i="37"/>
  <c r="BO183" i="37"/>
  <c r="BN183" i="37"/>
  <c r="BM183" i="37"/>
  <c r="BL183" i="37"/>
  <c r="BK183" i="37"/>
  <c r="BJ183" i="37"/>
  <c r="BI183" i="37"/>
  <c r="BH183" i="37"/>
  <c r="BG183" i="37"/>
  <c r="BF183" i="37"/>
  <c r="BE183" i="37"/>
  <c r="BD183" i="37"/>
  <c r="BC183" i="37"/>
  <c r="BB183" i="37"/>
  <c r="BA183" i="37"/>
  <c r="AZ183" i="37"/>
  <c r="AY183" i="37"/>
  <c r="AX183" i="37"/>
  <c r="AW183" i="37"/>
  <c r="AV183" i="37"/>
  <c r="AU183" i="37"/>
  <c r="AT183" i="37"/>
  <c r="AS183" i="37"/>
  <c r="AR183" i="37"/>
  <c r="AQ183" i="37"/>
  <c r="AP183" i="37"/>
  <c r="AO183" i="37"/>
  <c r="AN183" i="37"/>
  <c r="AM183" i="37"/>
  <c r="AL183" i="37"/>
  <c r="AK183" i="37"/>
  <c r="AJ183" i="37"/>
  <c r="AI183" i="37"/>
  <c r="AH183" i="37"/>
  <c r="AG183" i="37"/>
  <c r="AF183" i="37"/>
  <c r="AE183" i="37"/>
  <c r="AD183" i="37"/>
  <c r="AC183" i="37"/>
  <c r="AB183" i="37"/>
  <c r="AA183" i="37"/>
  <c r="Z183" i="37"/>
  <c r="Y183" i="37"/>
  <c r="X183" i="37"/>
  <c r="W183" i="37"/>
  <c r="V183" i="37"/>
  <c r="U183" i="37"/>
  <c r="T183" i="37"/>
  <c r="S183" i="37"/>
  <c r="R183" i="37"/>
  <c r="Q183" i="37"/>
  <c r="K183" i="37"/>
  <c r="L183" i="37" s="1"/>
  <c r="M183" i="37" s="1"/>
  <c r="N183" i="37" s="1"/>
  <c r="O183" i="37" s="1"/>
  <c r="P183" i="37" s="1"/>
  <c r="J183" i="37"/>
  <c r="I183" i="37"/>
  <c r="H183" i="37"/>
  <c r="G183" i="37"/>
  <c r="F183" i="37"/>
  <c r="E183" i="37"/>
  <c r="D183" i="37"/>
  <c r="A183" i="37"/>
  <c r="BU182" i="37"/>
  <c r="BT182" i="37"/>
  <c r="BS182" i="37"/>
  <c r="BR182" i="37"/>
  <c r="BQ182" i="37"/>
  <c r="BP182" i="37"/>
  <c r="BO182" i="37"/>
  <c r="BN182" i="37"/>
  <c r="BM182" i="37"/>
  <c r="BL182" i="37"/>
  <c r="BK182" i="37"/>
  <c r="BJ182" i="37"/>
  <c r="BI182" i="37"/>
  <c r="BH182" i="37"/>
  <c r="BG182" i="37"/>
  <c r="BF182" i="37"/>
  <c r="BE182" i="37"/>
  <c r="BD182" i="37"/>
  <c r="BC182" i="37"/>
  <c r="BB182" i="37"/>
  <c r="BA182" i="37"/>
  <c r="AZ182" i="37"/>
  <c r="AY182" i="37"/>
  <c r="AX182" i="37"/>
  <c r="AW182" i="37"/>
  <c r="AV182" i="37"/>
  <c r="AU182" i="37"/>
  <c r="AT182" i="37"/>
  <c r="AS182" i="37"/>
  <c r="AR182" i="37"/>
  <c r="AQ182" i="37"/>
  <c r="AP182" i="37"/>
  <c r="AO182" i="37"/>
  <c r="AN182" i="37"/>
  <c r="AM182" i="37"/>
  <c r="AL182" i="37"/>
  <c r="AK182" i="37"/>
  <c r="AJ182" i="37"/>
  <c r="AI182" i="37"/>
  <c r="AH182" i="37"/>
  <c r="AG182" i="37"/>
  <c r="AF182" i="37"/>
  <c r="AE182" i="37"/>
  <c r="AD182" i="37"/>
  <c r="AC182" i="37"/>
  <c r="AB182" i="37"/>
  <c r="AA182" i="37"/>
  <c r="Z182" i="37"/>
  <c r="Y182" i="37"/>
  <c r="X182" i="37"/>
  <c r="W182" i="37"/>
  <c r="V182" i="37"/>
  <c r="U182" i="37"/>
  <c r="T182" i="37"/>
  <c r="S182" i="37"/>
  <c r="R182" i="37"/>
  <c r="Q182" i="37"/>
  <c r="K182" i="37"/>
  <c r="L182" i="37" s="1"/>
  <c r="M182" i="37" s="1"/>
  <c r="N182" i="37" s="1"/>
  <c r="O182" i="37" s="1"/>
  <c r="P182" i="37" s="1"/>
  <c r="J182" i="37"/>
  <c r="I182" i="37"/>
  <c r="H182" i="37"/>
  <c r="G182" i="37"/>
  <c r="F182" i="37"/>
  <c r="E182" i="37"/>
  <c r="D182" i="37"/>
  <c r="A182" i="37"/>
  <c r="BU181" i="37"/>
  <c r="BT181" i="37"/>
  <c r="BS181" i="37"/>
  <c r="BR181" i="37"/>
  <c r="BQ181" i="37"/>
  <c r="BP181" i="37"/>
  <c r="BO181" i="37"/>
  <c r="BN181" i="37"/>
  <c r="BM181" i="37"/>
  <c r="BL181" i="37"/>
  <c r="BK181" i="37"/>
  <c r="BJ181" i="37"/>
  <c r="BI181" i="37"/>
  <c r="BH181" i="37"/>
  <c r="BG181" i="37"/>
  <c r="BF181" i="37"/>
  <c r="BE181" i="37"/>
  <c r="BD181" i="37"/>
  <c r="BC181" i="37"/>
  <c r="BB181" i="37"/>
  <c r="BA181" i="37"/>
  <c r="AZ181" i="37"/>
  <c r="AY181" i="37"/>
  <c r="AX181" i="37"/>
  <c r="AW181" i="37"/>
  <c r="AV181" i="37"/>
  <c r="AU181" i="37"/>
  <c r="AT181" i="37"/>
  <c r="AS181" i="37"/>
  <c r="AR181" i="37"/>
  <c r="AQ181" i="37"/>
  <c r="AP181" i="37"/>
  <c r="AO181" i="37"/>
  <c r="AN181" i="37"/>
  <c r="AM181" i="37"/>
  <c r="AL181" i="37"/>
  <c r="AK181" i="37"/>
  <c r="AJ181" i="37"/>
  <c r="AI181" i="37"/>
  <c r="AH181" i="37"/>
  <c r="AG181" i="37"/>
  <c r="AF181" i="37"/>
  <c r="AE181" i="37"/>
  <c r="AD181" i="37"/>
  <c r="AC181" i="37"/>
  <c r="AB181" i="37"/>
  <c r="AA181" i="37"/>
  <c r="Z181" i="37"/>
  <c r="Y181" i="37"/>
  <c r="X181" i="37"/>
  <c r="W181" i="37"/>
  <c r="V181" i="37"/>
  <c r="U181" i="37"/>
  <c r="T181" i="37"/>
  <c r="S181" i="37"/>
  <c r="R181" i="37"/>
  <c r="Q181" i="37"/>
  <c r="K181" i="37"/>
  <c r="L181" i="37" s="1"/>
  <c r="M181" i="37" s="1"/>
  <c r="N181" i="37" s="1"/>
  <c r="O181" i="37" s="1"/>
  <c r="P181" i="37" s="1"/>
  <c r="J181" i="37"/>
  <c r="I181" i="37"/>
  <c r="H181" i="37"/>
  <c r="G181" i="37"/>
  <c r="F181" i="37"/>
  <c r="E181" i="37"/>
  <c r="D181" i="37"/>
  <c r="A181" i="37"/>
  <c r="BU180" i="37"/>
  <c r="BT180" i="37"/>
  <c r="BS180" i="37"/>
  <c r="BR180" i="37"/>
  <c r="BQ180" i="37"/>
  <c r="BP180" i="37"/>
  <c r="BO180" i="37"/>
  <c r="BN180" i="37"/>
  <c r="BM180" i="37"/>
  <c r="BL180" i="37"/>
  <c r="BK180" i="37"/>
  <c r="BJ180" i="37"/>
  <c r="BI180" i="37"/>
  <c r="BH180" i="37"/>
  <c r="BG180" i="37"/>
  <c r="BF180" i="37"/>
  <c r="BE180" i="37"/>
  <c r="BD180" i="37"/>
  <c r="BC180" i="37"/>
  <c r="BB180" i="37"/>
  <c r="BA180" i="37"/>
  <c r="AZ180" i="37"/>
  <c r="AY180" i="37"/>
  <c r="AX180" i="37"/>
  <c r="AW180" i="37"/>
  <c r="AV180" i="37"/>
  <c r="AU180" i="37"/>
  <c r="AT180" i="37"/>
  <c r="AS180" i="37"/>
  <c r="AR180" i="37"/>
  <c r="AQ180" i="37"/>
  <c r="AP180" i="37"/>
  <c r="AO180" i="37"/>
  <c r="AN180" i="37"/>
  <c r="AM180" i="37"/>
  <c r="AL180" i="37"/>
  <c r="AK180" i="37"/>
  <c r="AJ180" i="37"/>
  <c r="AI180" i="37"/>
  <c r="AH180" i="37"/>
  <c r="AG180" i="37"/>
  <c r="AF180" i="37"/>
  <c r="AE180" i="37"/>
  <c r="AD180" i="37"/>
  <c r="AC180" i="37"/>
  <c r="AB180" i="37"/>
  <c r="AA180" i="37"/>
  <c r="Z180" i="37"/>
  <c r="Y180" i="37"/>
  <c r="X180" i="37"/>
  <c r="W180" i="37"/>
  <c r="V180" i="37"/>
  <c r="U180" i="37"/>
  <c r="T180" i="37"/>
  <c r="S180" i="37"/>
  <c r="R180" i="37"/>
  <c r="Q180" i="37"/>
  <c r="K180" i="37"/>
  <c r="L180" i="37" s="1"/>
  <c r="M180" i="37" s="1"/>
  <c r="N180" i="37" s="1"/>
  <c r="O180" i="37" s="1"/>
  <c r="P180" i="37" s="1"/>
  <c r="J180" i="37"/>
  <c r="I180" i="37"/>
  <c r="H180" i="37"/>
  <c r="G180" i="37"/>
  <c r="F180" i="37"/>
  <c r="E180" i="37"/>
  <c r="D180" i="37"/>
  <c r="A180" i="37"/>
  <c r="BU179" i="37"/>
  <c r="BT179" i="37"/>
  <c r="BS179" i="37"/>
  <c r="BR179" i="37"/>
  <c r="BQ179" i="37"/>
  <c r="BP179" i="37"/>
  <c r="BO179" i="37"/>
  <c r="BN179" i="37"/>
  <c r="BM179" i="37"/>
  <c r="BL179" i="37"/>
  <c r="BK179" i="37"/>
  <c r="BJ179" i="37"/>
  <c r="BI179" i="37"/>
  <c r="BH179" i="37"/>
  <c r="BG179" i="37"/>
  <c r="BF179" i="37"/>
  <c r="BE179" i="37"/>
  <c r="BD179" i="37"/>
  <c r="BC179" i="37"/>
  <c r="BB179" i="37"/>
  <c r="BA179" i="37"/>
  <c r="AZ179" i="37"/>
  <c r="AY179" i="37"/>
  <c r="AX179" i="37"/>
  <c r="AW179" i="37"/>
  <c r="AV179" i="37"/>
  <c r="AU179" i="37"/>
  <c r="AT179" i="37"/>
  <c r="AS179" i="37"/>
  <c r="AR179" i="37"/>
  <c r="AQ179" i="37"/>
  <c r="AP179" i="37"/>
  <c r="AO179" i="37"/>
  <c r="AN179" i="37"/>
  <c r="AM179" i="37"/>
  <c r="AL179" i="37"/>
  <c r="AK179" i="37"/>
  <c r="AJ179" i="37"/>
  <c r="AI179" i="37"/>
  <c r="AH179" i="37"/>
  <c r="AG179" i="37"/>
  <c r="AF179" i="37"/>
  <c r="AE179" i="37"/>
  <c r="AD179" i="37"/>
  <c r="AC179" i="37"/>
  <c r="AB179" i="37"/>
  <c r="AA179" i="37"/>
  <c r="Z179" i="37"/>
  <c r="Y179" i="37"/>
  <c r="X179" i="37"/>
  <c r="W179" i="37"/>
  <c r="V179" i="37"/>
  <c r="U179" i="37"/>
  <c r="T179" i="37"/>
  <c r="S179" i="37"/>
  <c r="R179" i="37"/>
  <c r="Q179" i="37"/>
  <c r="K179" i="37"/>
  <c r="L179" i="37" s="1"/>
  <c r="M179" i="37" s="1"/>
  <c r="N179" i="37" s="1"/>
  <c r="O179" i="37" s="1"/>
  <c r="P179" i="37" s="1"/>
  <c r="J179" i="37"/>
  <c r="I179" i="37"/>
  <c r="H179" i="37"/>
  <c r="G179" i="37"/>
  <c r="F179" i="37"/>
  <c r="E179" i="37"/>
  <c r="D179" i="37"/>
  <c r="A179" i="37"/>
  <c r="BU178" i="37"/>
  <c r="BT178" i="37"/>
  <c r="BS178" i="37"/>
  <c r="BR178" i="37"/>
  <c r="BQ178" i="37"/>
  <c r="BP178" i="37"/>
  <c r="BO178" i="37"/>
  <c r="BN178" i="37"/>
  <c r="BM178" i="37"/>
  <c r="BL178" i="37"/>
  <c r="BK178" i="37"/>
  <c r="BJ178" i="37"/>
  <c r="BI178" i="37"/>
  <c r="BH178" i="37"/>
  <c r="BG178" i="37"/>
  <c r="BF178" i="37"/>
  <c r="BE178" i="37"/>
  <c r="BD178" i="37"/>
  <c r="BC178" i="37"/>
  <c r="BB178" i="37"/>
  <c r="BA178" i="37"/>
  <c r="AZ178" i="37"/>
  <c r="AY178" i="37"/>
  <c r="AX178" i="37"/>
  <c r="AW178" i="37"/>
  <c r="AV178" i="37"/>
  <c r="AU178" i="37"/>
  <c r="AT178" i="37"/>
  <c r="AS178" i="37"/>
  <c r="AR178" i="37"/>
  <c r="AQ178" i="37"/>
  <c r="AP178" i="37"/>
  <c r="AO178" i="37"/>
  <c r="AN178" i="37"/>
  <c r="AM178" i="37"/>
  <c r="AL178" i="37"/>
  <c r="AK178" i="37"/>
  <c r="AJ178" i="37"/>
  <c r="AI178" i="37"/>
  <c r="AH178" i="37"/>
  <c r="AG178" i="37"/>
  <c r="AF178" i="37"/>
  <c r="AE178" i="37"/>
  <c r="AD178" i="37"/>
  <c r="AC178" i="37"/>
  <c r="AB178" i="37"/>
  <c r="AA178" i="37"/>
  <c r="Z178" i="37"/>
  <c r="Y178" i="37"/>
  <c r="X178" i="37"/>
  <c r="W178" i="37"/>
  <c r="V178" i="37"/>
  <c r="U178" i="37"/>
  <c r="T178" i="37"/>
  <c r="S178" i="37"/>
  <c r="R178" i="37"/>
  <c r="Q178" i="37"/>
  <c r="K178" i="37"/>
  <c r="L178" i="37" s="1"/>
  <c r="M178" i="37" s="1"/>
  <c r="N178" i="37" s="1"/>
  <c r="O178" i="37" s="1"/>
  <c r="P178" i="37" s="1"/>
  <c r="J178" i="37"/>
  <c r="I178" i="37"/>
  <c r="H178" i="37"/>
  <c r="G178" i="37"/>
  <c r="F178" i="37"/>
  <c r="E178" i="37"/>
  <c r="D178" i="37"/>
  <c r="A178" i="37"/>
  <c r="BU177" i="37"/>
  <c r="BT177" i="37"/>
  <c r="BS177" i="37"/>
  <c r="BR177" i="37"/>
  <c r="BQ177" i="37"/>
  <c r="BP177" i="37"/>
  <c r="BO177" i="37"/>
  <c r="BN177" i="37"/>
  <c r="BM177" i="37"/>
  <c r="BL177" i="37"/>
  <c r="BK177" i="37"/>
  <c r="BJ177" i="37"/>
  <c r="BI177" i="37"/>
  <c r="BH177" i="37"/>
  <c r="BG177" i="37"/>
  <c r="BF177" i="37"/>
  <c r="BE177" i="37"/>
  <c r="BD177" i="37"/>
  <c r="BC177" i="37"/>
  <c r="BB177" i="37"/>
  <c r="BA177" i="37"/>
  <c r="AZ177" i="37"/>
  <c r="AY177" i="37"/>
  <c r="AX177" i="37"/>
  <c r="AW177" i="37"/>
  <c r="AV177" i="37"/>
  <c r="AU177" i="37"/>
  <c r="AT177" i="37"/>
  <c r="AS177" i="37"/>
  <c r="AR177" i="37"/>
  <c r="AQ177" i="37"/>
  <c r="AP177" i="37"/>
  <c r="AO177" i="37"/>
  <c r="AN177" i="37"/>
  <c r="AM177" i="37"/>
  <c r="AL177" i="37"/>
  <c r="AK177" i="37"/>
  <c r="AJ177" i="37"/>
  <c r="AI177" i="37"/>
  <c r="AH177" i="37"/>
  <c r="AG177" i="37"/>
  <c r="AF177" i="37"/>
  <c r="AE177" i="37"/>
  <c r="AD177" i="37"/>
  <c r="AC177" i="37"/>
  <c r="AB177" i="37"/>
  <c r="AA177" i="37"/>
  <c r="Z177" i="37"/>
  <c r="Y177" i="37"/>
  <c r="X177" i="37"/>
  <c r="W177" i="37"/>
  <c r="V177" i="37"/>
  <c r="U177" i="37"/>
  <c r="T177" i="37"/>
  <c r="S177" i="37"/>
  <c r="R177" i="37"/>
  <c r="Q177" i="37"/>
  <c r="K177" i="37"/>
  <c r="L177" i="37" s="1"/>
  <c r="M177" i="37" s="1"/>
  <c r="N177" i="37" s="1"/>
  <c r="O177" i="37" s="1"/>
  <c r="P177" i="37" s="1"/>
  <c r="J177" i="37"/>
  <c r="I177" i="37"/>
  <c r="H177" i="37"/>
  <c r="G177" i="37"/>
  <c r="F177" i="37"/>
  <c r="E177" i="37"/>
  <c r="D177" i="37"/>
  <c r="A177" i="37"/>
  <c r="BU176" i="37"/>
  <c r="BT176" i="37"/>
  <c r="BS176" i="37"/>
  <c r="BR176" i="37"/>
  <c r="BQ176" i="37"/>
  <c r="BP176" i="37"/>
  <c r="BO176" i="37"/>
  <c r="BN176" i="37"/>
  <c r="BM176" i="37"/>
  <c r="BL176" i="37"/>
  <c r="BK176" i="37"/>
  <c r="BJ176" i="37"/>
  <c r="BI176" i="37"/>
  <c r="BH176" i="37"/>
  <c r="BG176" i="37"/>
  <c r="BF176" i="37"/>
  <c r="BE176" i="37"/>
  <c r="BD176" i="37"/>
  <c r="BC176" i="37"/>
  <c r="BB176" i="37"/>
  <c r="BA176" i="37"/>
  <c r="AZ176" i="37"/>
  <c r="AY176" i="37"/>
  <c r="AX176" i="37"/>
  <c r="AW176" i="37"/>
  <c r="AV176" i="37"/>
  <c r="AU176" i="37"/>
  <c r="AT176" i="37"/>
  <c r="AS176" i="37"/>
  <c r="AR176" i="37"/>
  <c r="AQ176" i="37"/>
  <c r="AP176" i="37"/>
  <c r="AO176" i="37"/>
  <c r="AN176" i="37"/>
  <c r="AM176" i="37"/>
  <c r="AL176" i="37"/>
  <c r="AK176" i="37"/>
  <c r="AJ176" i="37"/>
  <c r="AI176" i="37"/>
  <c r="AH176" i="37"/>
  <c r="AG176" i="37"/>
  <c r="AF176" i="37"/>
  <c r="AE176" i="37"/>
  <c r="AD176" i="37"/>
  <c r="AC176" i="37"/>
  <c r="AB176" i="37"/>
  <c r="AA176" i="37"/>
  <c r="Z176" i="37"/>
  <c r="Y176" i="37"/>
  <c r="X176" i="37"/>
  <c r="W176" i="37"/>
  <c r="V176" i="37"/>
  <c r="U176" i="37"/>
  <c r="T176" i="37"/>
  <c r="S176" i="37"/>
  <c r="R176" i="37"/>
  <c r="Q176" i="37"/>
  <c r="K176" i="37"/>
  <c r="L176" i="37" s="1"/>
  <c r="M176" i="37" s="1"/>
  <c r="N176" i="37" s="1"/>
  <c r="O176" i="37" s="1"/>
  <c r="P176" i="37" s="1"/>
  <c r="J176" i="37"/>
  <c r="I176" i="37"/>
  <c r="H176" i="37"/>
  <c r="G176" i="37"/>
  <c r="F176" i="37"/>
  <c r="E176" i="37"/>
  <c r="D176" i="37"/>
  <c r="A176" i="37"/>
  <c r="BU175" i="37"/>
  <c r="BT175" i="37"/>
  <c r="BS175" i="37"/>
  <c r="BR175" i="37"/>
  <c r="BQ175" i="37"/>
  <c r="BP175" i="37"/>
  <c r="BO175" i="37"/>
  <c r="BN175" i="37"/>
  <c r="BM175" i="37"/>
  <c r="BL175" i="37"/>
  <c r="BK175" i="37"/>
  <c r="BJ175" i="37"/>
  <c r="BI175" i="37"/>
  <c r="BH175" i="37"/>
  <c r="BG175" i="37"/>
  <c r="BF175" i="37"/>
  <c r="BE175" i="37"/>
  <c r="BD175" i="37"/>
  <c r="BC175" i="37"/>
  <c r="BB175" i="37"/>
  <c r="BA175" i="37"/>
  <c r="AZ175" i="37"/>
  <c r="AY175" i="37"/>
  <c r="AX175" i="37"/>
  <c r="AW175" i="37"/>
  <c r="AV175" i="37"/>
  <c r="AU175" i="37"/>
  <c r="AT175" i="37"/>
  <c r="AS175" i="37"/>
  <c r="AR175" i="37"/>
  <c r="AQ175" i="37"/>
  <c r="AP175" i="37"/>
  <c r="AO175" i="37"/>
  <c r="AN175" i="37"/>
  <c r="AM175" i="37"/>
  <c r="AL175" i="37"/>
  <c r="AK175" i="37"/>
  <c r="AJ175" i="37"/>
  <c r="AI175" i="37"/>
  <c r="AH175" i="37"/>
  <c r="AG175" i="37"/>
  <c r="AF175" i="37"/>
  <c r="AE175" i="37"/>
  <c r="AD175" i="37"/>
  <c r="AC175" i="37"/>
  <c r="AB175" i="37"/>
  <c r="AA175" i="37"/>
  <c r="Z175" i="37"/>
  <c r="Y175" i="37"/>
  <c r="X175" i="37"/>
  <c r="W175" i="37"/>
  <c r="V175" i="37"/>
  <c r="U175" i="37"/>
  <c r="T175" i="37"/>
  <c r="S175" i="37"/>
  <c r="R175" i="37"/>
  <c r="Q175" i="37"/>
  <c r="K175" i="37"/>
  <c r="L175" i="37" s="1"/>
  <c r="M175" i="37" s="1"/>
  <c r="N175" i="37" s="1"/>
  <c r="O175" i="37" s="1"/>
  <c r="P175" i="37" s="1"/>
  <c r="J175" i="37"/>
  <c r="I175" i="37"/>
  <c r="H175" i="37"/>
  <c r="G175" i="37"/>
  <c r="F175" i="37"/>
  <c r="E175" i="37"/>
  <c r="D175" i="37"/>
  <c r="A175" i="37"/>
  <c r="BU174" i="37"/>
  <c r="BT174" i="37"/>
  <c r="BS174" i="37"/>
  <c r="BR174" i="37"/>
  <c r="BQ174" i="37"/>
  <c r="BP174" i="37"/>
  <c r="BO174" i="37"/>
  <c r="BN174" i="37"/>
  <c r="BM174" i="37"/>
  <c r="BL174" i="37"/>
  <c r="BK174" i="37"/>
  <c r="BJ174" i="37"/>
  <c r="BI174" i="37"/>
  <c r="BH174" i="37"/>
  <c r="BG174" i="37"/>
  <c r="BF174" i="37"/>
  <c r="BE174" i="37"/>
  <c r="BD174" i="37"/>
  <c r="BC174" i="37"/>
  <c r="BB174" i="37"/>
  <c r="BA174" i="37"/>
  <c r="AZ174" i="37"/>
  <c r="AY174" i="37"/>
  <c r="AX174" i="37"/>
  <c r="AW174" i="37"/>
  <c r="AV174" i="37"/>
  <c r="AU174" i="37"/>
  <c r="AT174" i="37"/>
  <c r="AS174" i="37"/>
  <c r="AR174" i="37"/>
  <c r="AQ174" i="37"/>
  <c r="AP174" i="37"/>
  <c r="AO174" i="37"/>
  <c r="AN174" i="37"/>
  <c r="AM174" i="37"/>
  <c r="AL174" i="37"/>
  <c r="AK174" i="37"/>
  <c r="AJ174" i="37"/>
  <c r="AI174" i="37"/>
  <c r="AH174" i="37"/>
  <c r="AG174" i="37"/>
  <c r="AF174" i="37"/>
  <c r="AE174" i="37"/>
  <c r="AD174" i="37"/>
  <c r="AC174" i="37"/>
  <c r="AB174" i="37"/>
  <c r="AA174" i="37"/>
  <c r="Z174" i="37"/>
  <c r="Y174" i="37"/>
  <c r="X174" i="37"/>
  <c r="W174" i="37"/>
  <c r="V174" i="37"/>
  <c r="U174" i="37"/>
  <c r="T174" i="37"/>
  <c r="S174" i="37"/>
  <c r="R174" i="37"/>
  <c r="Q174" i="37"/>
  <c r="K174" i="37"/>
  <c r="L174" i="37" s="1"/>
  <c r="M174" i="37" s="1"/>
  <c r="N174" i="37" s="1"/>
  <c r="O174" i="37" s="1"/>
  <c r="P174" i="37" s="1"/>
  <c r="J174" i="37"/>
  <c r="I174" i="37"/>
  <c r="H174" i="37"/>
  <c r="G174" i="37"/>
  <c r="F174" i="37"/>
  <c r="E174" i="37"/>
  <c r="D174" i="37"/>
  <c r="A174" i="37"/>
  <c r="BU173" i="37"/>
  <c r="BT173" i="37"/>
  <c r="BS173" i="37"/>
  <c r="BR173" i="37"/>
  <c r="BQ173" i="37"/>
  <c r="BP173" i="37"/>
  <c r="BO173" i="37"/>
  <c r="BN173" i="37"/>
  <c r="BM173" i="37"/>
  <c r="BL173" i="37"/>
  <c r="BK173" i="37"/>
  <c r="BJ173" i="37"/>
  <c r="BI173" i="37"/>
  <c r="BH173" i="37"/>
  <c r="BG173" i="37"/>
  <c r="BF173" i="37"/>
  <c r="BE173" i="37"/>
  <c r="BD173" i="37"/>
  <c r="BC173" i="37"/>
  <c r="BB173" i="37"/>
  <c r="BA173" i="37"/>
  <c r="AZ173" i="37"/>
  <c r="AY173" i="37"/>
  <c r="AX173" i="37"/>
  <c r="AW173" i="37"/>
  <c r="AV173" i="37"/>
  <c r="AU173" i="37"/>
  <c r="AT173" i="37"/>
  <c r="AS173" i="37"/>
  <c r="AR173" i="37"/>
  <c r="AQ173" i="37"/>
  <c r="AP173" i="37"/>
  <c r="AO173" i="37"/>
  <c r="AN173" i="37"/>
  <c r="AM173" i="37"/>
  <c r="AL173" i="37"/>
  <c r="AK173" i="37"/>
  <c r="AJ173" i="37"/>
  <c r="AI173" i="37"/>
  <c r="AH173" i="37"/>
  <c r="AG173" i="37"/>
  <c r="AF173" i="37"/>
  <c r="AE173" i="37"/>
  <c r="AD173" i="37"/>
  <c r="AC173" i="37"/>
  <c r="AB173" i="37"/>
  <c r="AA173" i="37"/>
  <c r="Z173" i="37"/>
  <c r="Y173" i="37"/>
  <c r="X173" i="37"/>
  <c r="W173" i="37"/>
  <c r="V173" i="37"/>
  <c r="U173" i="37"/>
  <c r="T173" i="37"/>
  <c r="S173" i="37"/>
  <c r="R173" i="37"/>
  <c r="Q173" i="37"/>
  <c r="K173" i="37"/>
  <c r="L173" i="37" s="1"/>
  <c r="M173" i="37" s="1"/>
  <c r="N173" i="37" s="1"/>
  <c r="O173" i="37" s="1"/>
  <c r="P173" i="37" s="1"/>
  <c r="J173" i="37"/>
  <c r="I173" i="37"/>
  <c r="H173" i="37"/>
  <c r="G173" i="37"/>
  <c r="F173" i="37"/>
  <c r="E173" i="37"/>
  <c r="D173" i="37"/>
  <c r="A173" i="37"/>
  <c r="BU172" i="37"/>
  <c r="BT172" i="37"/>
  <c r="BS172" i="37"/>
  <c r="BR172" i="37"/>
  <c r="BQ172" i="37"/>
  <c r="BP172" i="37"/>
  <c r="BO172" i="37"/>
  <c r="BN172" i="37"/>
  <c r="BM172" i="37"/>
  <c r="BL172" i="37"/>
  <c r="BK172" i="37"/>
  <c r="BJ172" i="37"/>
  <c r="BI172" i="37"/>
  <c r="BH172" i="37"/>
  <c r="BG172" i="37"/>
  <c r="BF172" i="37"/>
  <c r="BE172" i="37"/>
  <c r="BD172" i="37"/>
  <c r="BC172" i="37"/>
  <c r="BB172" i="37"/>
  <c r="BA172" i="37"/>
  <c r="AZ172" i="37"/>
  <c r="AY172" i="37"/>
  <c r="AX172" i="37"/>
  <c r="AW172" i="37"/>
  <c r="AV172" i="37"/>
  <c r="AU172" i="37"/>
  <c r="AT172" i="37"/>
  <c r="AS172" i="37"/>
  <c r="AR172" i="37"/>
  <c r="AQ172" i="37"/>
  <c r="AP172" i="37"/>
  <c r="AO172" i="37"/>
  <c r="AN172" i="37"/>
  <c r="AM172" i="37"/>
  <c r="AL172" i="37"/>
  <c r="AK172" i="37"/>
  <c r="AJ172" i="37"/>
  <c r="AI172" i="37"/>
  <c r="AH172" i="37"/>
  <c r="AG172" i="37"/>
  <c r="AF172" i="37"/>
  <c r="AE172" i="37"/>
  <c r="AD172" i="37"/>
  <c r="AC172" i="37"/>
  <c r="AB172" i="37"/>
  <c r="AA172" i="37"/>
  <c r="Z172" i="37"/>
  <c r="Y172" i="37"/>
  <c r="X172" i="37"/>
  <c r="W172" i="37"/>
  <c r="V172" i="37"/>
  <c r="U172" i="37"/>
  <c r="T172" i="37"/>
  <c r="S172" i="37"/>
  <c r="R172" i="37"/>
  <c r="Q172" i="37"/>
  <c r="K172" i="37"/>
  <c r="L172" i="37" s="1"/>
  <c r="M172" i="37" s="1"/>
  <c r="N172" i="37" s="1"/>
  <c r="O172" i="37" s="1"/>
  <c r="P172" i="37" s="1"/>
  <c r="J172" i="37"/>
  <c r="I172" i="37"/>
  <c r="H172" i="37"/>
  <c r="G172" i="37"/>
  <c r="F172" i="37"/>
  <c r="E172" i="37"/>
  <c r="D172" i="37"/>
  <c r="A172" i="37"/>
  <c r="BU171" i="37"/>
  <c r="BT171" i="37"/>
  <c r="BS171" i="37"/>
  <c r="BR171" i="37"/>
  <c r="BQ171" i="37"/>
  <c r="BP171" i="37"/>
  <c r="BO171" i="37"/>
  <c r="BN171" i="37"/>
  <c r="BM171" i="37"/>
  <c r="BL171" i="37"/>
  <c r="BK171" i="37"/>
  <c r="BJ171" i="37"/>
  <c r="BI171" i="37"/>
  <c r="BH171" i="37"/>
  <c r="BG171" i="37"/>
  <c r="BF171" i="37"/>
  <c r="BE171" i="37"/>
  <c r="BD171" i="37"/>
  <c r="BC171" i="37"/>
  <c r="BB171" i="37"/>
  <c r="BA171" i="37"/>
  <c r="AZ171" i="37"/>
  <c r="AY171" i="37"/>
  <c r="AX171" i="37"/>
  <c r="AW171" i="37"/>
  <c r="AV171" i="37"/>
  <c r="AU171" i="37"/>
  <c r="AT171" i="37"/>
  <c r="AS171" i="37"/>
  <c r="AR171" i="37"/>
  <c r="AQ171" i="37"/>
  <c r="AP171" i="37"/>
  <c r="AO171" i="37"/>
  <c r="AN171" i="37"/>
  <c r="AM171" i="37"/>
  <c r="AL171" i="37"/>
  <c r="AK171" i="37"/>
  <c r="AJ171" i="37"/>
  <c r="AI171" i="37"/>
  <c r="AH171" i="37"/>
  <c r="AG171" i="37"/>
  <c r="AF171" i="37"/>
  <c r="AE171" i="37"/>
  <c r="AD171" i="37"/>
  <c r="AC171" i="37"/>
  <c r="AB171" i="37"/>
  <c r="AA171" i="37"/>
  <c r="Z171" i="37"/>
  <c r="Y171" i="37"/>
  <c r="X171" i="37"/>
  <c r="W171" i="37"/>
  <c r="V171" i="37"/>
  <c r="U171" i="37"/>
  <c r="T171" i="37"/>
  <c r="S171" i="37"/>
  <c r="R171" i="37"/>
  <c r="Q171" i="37"/>
  <c r="K171" i="37"/>
  <c r="L171" i="37" s="1"/>
  <c r="M171" i="37" s="1"/>
  <c r="N171" i="37" s="1"/>
  <c r="O171" i="37" s="1"/>
  <c r="P171" i="37" s="1"/>
  <c r="J171" i="37"/>
  <c r="I171" i="37"/>
  <c r="H171" i="37"/>
  <c r="G171" i="37"/>
  <c r="F171" i="37"/>
  <c r="E171" i="37"/>
  <c r="D171" i="37"/>
  <c r="A171" i="37"/>
  <c r="BU170" i="37"/>
  <c r="BT170" i="37"/>
  <c r="BS170" i="37"/>
  <c r="BR170" i="37"/>
  <c r="BQ170" i="37"/>
  <c r="BP170" i="37"/>
  <c r="BO170" i="37"/>
  <c r="BN170" i="37"/>
  <c r="BM170" i="37"/>
  <c r="BL170" i="37"/>
  <c r="BK170" i="37"/>
  <c r="BJ170" i="37"/>
  <c r="BI170" i="37"/>
  <c r="BH170" i="37"/>
  <c r="BG170" i="37"/>
  <c r="BF170" i="37"/>
  <c r="BE170" i="37"/>
  <c r="BD170" i="37"/>
  <c r="BC170" i="37"/>
  <c r="BB170" i="37"/>
  <c r="BA170" i="37"/>
  <c r="AZ170" i="37"/>
  <c r="AY170" i="37"/>
  <c r="AX170" i="37"/>
  <c r="AW170" i="37"/>
  <c r="AV170" i="37"/>
  <c r="AU170" i="37"/>
  <c r="AT170" i="37"/>
  <c r="AS170" i="37"/>
  <c r="AR170" i="37"/>
  <c r="AQ170" i="37"/>
  <c r="AP170" i="37"/>
  <c r="AO170" i="37"/>
  <c r="AN170" i="37"/>
  <c r="AM170" i="37"/>
  <c r="AL170" i="37"/>
  <c r="AK170" i="37"/>
  <c r="AJ170" i="37"/>
  <c r="AI170" i="37"/>
  <c r="AH170" i="37"/>
  <c r="AG170" i="37"/>
  <c r="AF170" i="37"/>
  <c r="AE170" i="37"/>
  <c r="AD170" i="37"/>
  <c r="AC170" i="37"/>
  <c r="AB170" i="37"/>
  <c r="AA170" i="37"/>
  <c r="Z170" i="37"/>
  <c r="Y170" i="37"/>
  <c r="X170" i="37"/>
  <c r="W170" i="37"/>
  <c r="V170" i="37"/>
  <c r="U170" i="37"/>
  <c r="T170" i="37"/>
  <c r="S170" i="37"/>
  <c r="R170" i="37"/>
  <c r="Q170" i="37"/>
  <c r="K170" i="37"/>
  <c r="L170" i="37" s="1"/>
  <c r="M170" i="37" s="1"/>
  <c r="N170" i="37" s="1"/>
  <c r="O170" i="37" s="1"/>
  <c r="P170" i="37" s="1"/>
  <c r="J170" i="37"/>
  <c r="I170" i="37"/>
  <c r="H170" i="37"/>
  <c r="G170" i="37"/>
  <c r="F170" i="37"/>
  <c r="E170" i="37"/>
  <c r="D170" i="37"/>
  <c r="A170" i="37"/>
  <c r="BU169" i="37"/>
  <c r="BT169" i="37"/>
  <c r="BS169" i="37"/>
  <c r="BR169" i="37"/>
  <c r="BQ169" i="37"/>
  <c r="BP169" i="37"/>
  <c r="BO169" i="37"/>
  <c r="BN169" i="37"/>
  <c r="BM169" i="37"/>
  <c r="BL169" i="37"/>
  <c r="BK169" i="37"/>
  <c r="BJ169" i="37"/>
  <c r="BI169" i="37"/>
  <c r="BH169" i="37"/>
  <c r="BG169" i="37"/>
  <c r="BF169" i="37"/>
  <c r="BE169" i="37"/>
  <c r="BD169" i="37"/>
  <c r="BC169" i="37"/>
  <c r="BB169" i="37"/>
  <c r="BA169" i="37"/>
  <c r="AZ169" i="37"/>
  <c r="AY169" i="37"/>
  <c r="AX169" i="37"/>
  <c r="AW169" i="37"/>
  <c r="AV169" i="37"/>
  <c r="AU169" i="37"/>
  <c r="AT169" i="37"/>
  <c r="AS169" i="37"/>
  <c r="AR169" i="37"/>
  <c r="AQ169" i="37"/>
  <c r="AP169" i="37"/>
  <c r="AO169" i="37"/>
  <c r="AN169" i="37"/>
  <c r="AM169" i="37"/>
  <c r="AL169" i="37"/>
  <c r="AK169" i="37"/>
  <c r="AJ169" i="37"/>
  <c r="AI169" i="37"/>
  <c r="AH169" i="37"/>
  <c r="AG169" i="37"/>
  <c r="AF169" i="37"/>
  <c r="AE169" i="37"/>
  <c r="AD169" i="37"/>
  <c r="AC169" i="37"/>
  <c r="AB169" i="37"/>
  <c r="AA169" i="37"/>
  <c r="Z169" i="37"/>
  <c r="Y169" i="37"/>
  <c r="X169" i="37"/>
  <c r="W169" i="37"/>
  <c r="V169" i="37"/>
  <c r="U169" i="37"/>
  <c r="T169" i="37"/>
  <c r="S169" i="37"/>
  <c r="R169" i="37"/>
  <c r="Q169" i="37"/>
  <c r="K169" i="37"/>
  <c r="L169" i="37" s="1"/>
  <c r="M169" i="37" s="1"/>
  <c r="N169" i="37" s="1"/>
  <c r="O169" i="37" s="1"/>
  <c r="P169" i="37" s="1"/>
  <c r="J169" i="37"/>
  <c r="I169" i="37"/>
  <c r="H169" i="37"/>
  <c r="G169" i="37"/>
  <c r="F169" i="37"/>
  <c r="E169" i="37"/>
  <c r="D169" i="37"/>
  <c r="A169" i="37"/>
  <c r="BU168" i="37"/>
  <c r="BT168" i="37"/>
  <c r="BS168" i="37"/>
  <c r="BR168" i="37"/>
  <c r="BQ168" i="37"/>
  <c r="BP168" i="37"/>
  <c r="BO168" i="37"/>
  <c r="BN168" i="37"/>
  <c r="BM168" i="37"/>
  <c r="BL168" i="37"/>
  <c r="BK168" i="37"/>
  <c r="BJ168" i="37"/>
  <c r="BI168" i="37"/>
  <c r="BH168" i="37"/>
  <c r="BG168" i="37"/>
  <c r="BF168" i="37"/>
  <c r="BE168" i="37"/>
  <c r="BD168" i="37"/>
  <c r="BC168" i="37"/>
  <c r="BB168" i="37"/>
  <c r="BA168" i="37"/>
  <c r="AZ168" i="37"/>
  <c r="AY168" i="37"/>
  <c r="AX168" i="37"/>
  <c r="AW168" i="37"/>
  <c r="AV168" i="37"/>
  <c r="AU168" i="37"/>
  <c r="AT168" i="37"/>
  <c r="AS168" i="37"/>
  <c r="AR168" i="37"/>
  <c r="AQ168" i="37"/>
  <c r="AP168" i="37"/>
  <c r="AO168" i="37"/>
  <c r="AN168" i="37"/>
  <c r="AM168" i="37"/>
  <c r="AL168" i="37"/>
  <c r="AK168" i="37"/>
  <c r="AJ168" i="37"/>
  <c r="AI168" i="37"/>
  <c r="AH168" i="37"/>
  <c r="AG168" i="37"/>
  <c r="AF168" i="37"/>
  <c r="AE168" i="37"/>
  <c r="AD168" i="37"/>
  <c r="AC168" i="37"/>
  <c r="AB168" i="37"/>
  <c r="AA168" i="37"/>
  <c r="Z168" i="37"/>
  <c r="Y168" i="37"/>
  <c r="X168" i="37"/>
  <c r="W168" i="37"/>
  <c r="V168" i="37"/>
  <c r="U168" i="37"/>
  <c r="T168" i="37"/>
  <c r="S168" i="37"/>
  <c r="R168" i="37"/>
  <c r="Q168" i="37"/>
  <c r="K168" i="37"/>
  <c r="L168" i="37" s="1"/>
  <c r="M168" i="37" s="1"/>
  <c r="N168" i="37" s="1"/>
  <c r="O168" i="37" s="1"/>
  <c r="P168" i="37" s="1"/>
  <c r="J168" i="37"/>
  <c r="I168" i="37"/>
  <c r="H168" i="37"/>
  <c r="G168" i="37"/>
  <c r="F168" i="37"/>
  <c r="E168" i="37"/>
  <c r="D168" i="37"/>
  <c r="A168" i="37"/>
  <c r="BU167" i="37"/>
  <c r="BT167" i="37"/>
  <c r="BS167" i="37"/>
  <c r="BR167" i="37"/>
  <c r="BQ167" i="37"/>
  <c r="BP167" i="37"/>
  <c r="BO167" i="37"/>
  <c r="BN167" i="37"/>
  <c r="BM167" i="37"/>
  <c r="BL167" i="37"/>
  <c r="BK167" i="37"/>
  <c r="BJ167" i="37"/>
  <c r="BI167" i="37"/>
  <c r="BH167" i="37"/>
  <c r="BG167" i="37"/>
  <c r="BF167" i="37"/>
  <c r="BE167" i="37"/>
  <c r="BD167" i="37"/>
  <c r="BC167" i="37"/>
  <c r="BB167" i="37"/>
  <c r="BA167" i="37"/>
  <c r="AZ167" i="37"/>
  <c r="AY167" i="37"/>
  <c r="AX167" i="37"/>
  <c r="AW167" i="37"/>
  <c r="AV167" i="37"/>
  <c r="AU167" i="37"/>
  <c r="AT167" i="37"/>
  <c r="AS167" i="37"/>
  <c r="AR167" i="37"/>
  <c r="AQ167" i="37"/>
  <c r="AP167" i="37"/>
  <c r="AO167" i="37"/>
  <c r="AN167" i="37"/>
  <c r="AM167" i="37"/>
  <c r="AL167" i="37"/>
  <c r="AK167" i="37"/>
  <c r="AJ167" i="37"/>
  <c r="AI167" i="37"/>
  <c r="AH167" i="37"/>
  <c r="AG167" i="37"/>
  <c r="AF167" i="37"/>
  <c r="AE167" i="37"/>
  <c r="AD167" i="37"/>
  <c r="AC167" i="37"/>
  <c r="AB167" i="37"/>
  <c r="AA167" i="37"/>
  <c r="Z167" i="37"/>
  <c r="Y167" i="37"/>
  <c r="X167" i="37"/>
  <c r="W167" i="37"/>
  <c r="V167" i="37"/>
  <c r="U167" i="37"/>
  <c r="T167" i="37"/>
  <c r="S167" i="37"/>
  <c r="R167" i="37"/>
  <c r="Q167" i="37"/>
  <c r="K167" i="37"/>
  <c r="L167" i="37" s="1"/>
  <c r="M167" i="37" s="1"/>
  <c r="N167" i="37" s="1"/>
  <c r="O167" i="37" s="1"/>
  <c r="P167" i="37" s="1"/>
  <c r="J167" i="37"/>
  <c r="I167" i="37"/>
  <c r="H167" i="37"/>
  <c r="G167" i="37"/>
  <c r="F167" i="37"/>
  <c r="E167" i="37"/>
  <c r="D167" i="37"/>
  <c r="A167" i="37"/>
  <c r="BU166" i="37"/>
  <c r="BT166" i="37"/>
  <c r="BS166" i="37"/>
  <c r="BR166" i="37"/>
  <c r="BQ166" i="37"/>
  <c r="BP166" i="37"/>
  <c r="BO166" i="37"/>
  <c r="BN166" i="37"/>
  <c r="BM166" i="37"/>
  <c r="BL166" i="37"/>
  <c r="BK166" i="37"/>
  <c r="BJ166" i="37"/>
  <c r="BI166" i="37"/>
  <c r="BH166" i="37"/>
  <c r="BG166" i="37"/>
  <c r="BF166" i="37"/>
  <c r="BE166" i="37"/>
  <c r="BD166" i="37"/>
  <c r="BC166" i="37"/>
  <c r="BB166" i="37"/>
  <c r="BA166" i="37"/>
  <c r="AZ166" i="37"/>
  <c r="AY166" i="37"/>
  <c r="AX166" i="37"/>
  <c r="AW166" i="37"/>
  <c r="AV166" i="37"/>
  <c r="AU166" i="37"/>
  <c r="AT166" i="37"/>
  <c r="AS166" i="37"/>
  <c r="AR166" i="37"/>
  <c r="AQ166" i="37"/>
  <c r="AP166" i="37"/>
  <c r="AO166" i="37"/>
  <c r="AN166" i="37"/>
  <c r="AM166" i="37"/>
  <c r="AL166" i="37"/>
  <c r="AK166" i="37"/>
  <c r="AJ166" i="37"/>
  <c r="AI166" i="37"/>
  <c r="AH166" i="37"/>
  <c r="AG166" i="37"/>
  <c r="AF166" i="37"/>
  <c r="AE166" i="37"/>
  <c r="AD166" i="37"/>
  <c r="AC166" i="37"/>
  <c r="AB166" i="37"/>
  <c r="AA166" i="37"/>
  <c r="Z166" i="37"/>
  <c r="Y166" i="37"/>
  <c r="X166" i="37"/>
  <c r="W166" i="37"/>
  <c r="V166" i="37"/>
  <c r="U166" i="37"/>
  <c r="T166" i="37"/>
  <c r="S166" i="37"/>
  <c r="R166" i="37"/>
  <c r="Q166" i="37"/>
  <c r="K166" i="37"/>
  <c r="L166" i="37" s="1"/>
  <c r="M166" i="37" s="1"/>
  <c r="N166" i="37" s="1"/>
  <c r="O166" i="37" s="1"/>
  <c r="P166" i="37" s="1"/>
  <c r="J166" i="37"/>
  <c r="I166" i="37"/>
  <c r="H166" i="37"/>
  <c r="G166" i="37"/>
  <c r="F166" i="37"/>
  <c r="E166" i="37"/>
  <c r="D166" i="37"/>
  <c r="A166" i="37"/>
  <c r="BU165" i="37"/>
  <c r="BT165" i="37"/>
  <c r="BS165" i="37"/>
  <c r="BR165" i="37"/>
  <c r="BQ165" i="37"/>
  <c r="BP165" i="37"/>
  <c r="BO165" i="37"/>
  <c r="BN165" i="37"/>
  <c r="BM165" i="37"/>
  <c r="BL165" i="37"/>
  <c r="BK165" i="37"/>
  <c r="BJ165" i="37"/>
  <c r="BI165" i="37"/>
  <c r="BH165" i="37"/>
  <c r="BG165" i="37"/>
  <c r="BF165" i="37"/>
  <c r="BE165" i="37"/>
  <c r="BD165" i="37"/>
  <c r="BC165" i="37"/>
  <c r="BB165" i="37"/>
  <c r="BA165" i="37"/>
  <c r="AZ165" i="37"/>
  <c r="AY165" i="37"/>
  <c r="AX165" i="37"/>
  <c r="AW165" i="37"/>
  <c r="AV165" i="37"/>
  <c r="AU165" i="37"/>
  <c r="AT165" i="37"/>
  <c r="AS165" i="37"/>
  <c r="AR165" i="37"/>
  <c r="AQ165" i="37"/>
  <c r="AP165" i="37"/>
  <c r="AO165" i="37"/>
  <c r="AN165" i="37"/>
  <c r="AM165" i="37"/>
  <c r="AL165" i="37"/>
  <c r="AK165" i="37"/>
  <c r="AJ165" i="37"/>
  <c r="AI165" i="37"/>
  <c r="AH165" i="37"/>
  <c r="AG165" i="37"/>
  <c r="AF165" i="37"/>
  <c r="AE165" i="37"/>
  <c r="AD165" i="37"/>
  <c r="AC165" i="37"/>
  <c r="AB165" i="37"/>
  <c r="AA165" i="37"/>
  <c r="Z165" i="37"/>
  <c r="Y165" i="37"/>
  <c r="X165" i="37"/>
  <c r="W165" i="37"/>
  <c r="V165" i="37"/>
  <c r="U165" i="37"/>
  <c r="T165" i="37"/>
  <c r="S165" i="37"/>
  <c r="R165" i="37"/>
  <c r="Q165" i="37"/>
  <c r="K165" i="37"/>
  <c r="L165" i="37" s="1"/>
  <c r="M165" i="37" s="1"/>
  <c r="N165" i="37" s="1"/>
  <c r="O165" i="37" s="1"/>
  <c r="P165" i="37" s="1"/>
  <c r="J165" i="37"/>
  <c r="I165" i="37"/>
  <c r="H165" i="37"/>
  <c r="G165" i="37"/>
  <c r="F165" i="37"/>
  <c r="E165" i="37"/>
  <c r="D165" i="37"/>
  <c r="A165" i="37"/>
  <c r="BU164" i="37"/>
  <c r="BT164" i="37"/>
  <c r="BS164" i="37"/>
  <c r="BR164" i="37"/>
  <c r="BQ164" i="37"/>
  <c r="BP164" i="37"/>
  <c r="BO164" i="37"/>
  <c r="BN164" i="37"/>
  <c r="BM164" i="37"/>
  <c r="BL164" i="37"/>
  <c r="BK164" i="37"/>
  <c r="BJ164" i="37"/>
  <c r="BI164" i="37"/>
  <c r="BH164" i="37"/>
  <c r="BG164" i="37"/>
  <c r="BF164" i="37"/>
  <c r="BE164" i="37"/>
  <c r="BD164" i="37"/>
  <c r="BC164" i="37"/>
  <c r="BB164" i="37"/>
  <c r="BA164" i="37"/>
  <c r="AZ164" i="37"/>
  <c r="AY164" i="37"/>
  <c r="AX164" i="37"/>
  <c r="AW164" i="37"/>
  <c r="AV164" i="37"/>
  <c r="AU164" i="37"/>
  <c r="AT164" i="37"/>
  <c r="AS164" i="37"/>
  <c r="AR164" i="37"/>
  <c r="AQ164" i="37"/>
  <c r="AP164" i="37"/>
  <c r="AO164" i="37"/>
  <c r="AN164" i="37"/>
  <c r="AM164" i="37"/>
  <c r="AL164" i="37"/>
  <c r="AK164" i="37"/>
  <c r="AJ164" i="37"/>
  <c r="AI164" i="37"/>
  <c r="AH164" i="37"/>
  <c r="AG164" i="37"/>
  <c r="AF164" i="37"/>
  <c r="AE164" i="37"/>
  <c r="AD164" i="37"/>
  <c r="AC164" i="37"/>
  <c r="AB164" i="37"/>
  <c r="AA164" i="37"/>
  <c r="Z164" i="37"/>
  <c r="Y164" i="37"/>
  <c r="X164" i="37"/>
  <c r="W164" i="37"/>
  <c r="V164" i="37"/>
  <c r="U164" i="37"/>
  <c r="T164" i="37"/>
  <c r="S164" i="37"/>
  <c r="R164" i="37"/>
  <c r="Q164" i="37"/>
  <c r="K164" i="37"/>
  <c r="L164" i="37" s="1"/>
  <c r="M164" i="37" s="1"/>
  <c r="N164" i="37" s="1"/>
  <c r="O164" i="37" s="1"/>
  <c r="P164" i="37" s="1"/>
  <c r="J164" i="37"/>
  <c r="I164" i="37"/>
  <c r="H164" i="37"/>
  <c r="G164" i="37"/>
  <c r="F164" i="37"/>
  <c r="E164" i="37"/>
  <c r="D164" i="37"/>
  <c r="A164" i="37"/>
  <c r="BU163" i="37"/>
  <c r="BT163" i="37"/>
  <c r="BS163" i="37"/>
  <c r="BR163" i="37"/>
  <c r="BQ163" i="37"/>
  <c r="BP163" i="37"/>
  <c r="BO163" i="37"/>
  <c r="BN163" i="37"/>
  <c r="BM163" i="37"/>
  <c r="BL163" i="37"/>
  <c r="BK163" i="37"/>
  <c r="BJ163" i="37"/>
  <c r="BI163" i="37"/>
  <c r="BH163" i="37"/>
  <c r="BG163" i="37"/>
  <c r="BF163" i="37"/>
  <c r="BE163" i="37"/>
  <c r="BD163" i="37"/>
  <c r="BC163" i="37"/>
  <c r="BB163" i="37"/>
  <c r="BA163" i="37"/>
  <c r="AZ163" i="37"/>
  <c r="AY163" i="37"/>
  <c r="AX163" i="37"/>
  <c r="AW163" i="37"/>
  <c r="AV163" i="37"/>
  <c r="AU163" i="37"/>
  <c r="AT163" i="37"/>
  <c r="AS163" i="37"/>
  <c r="AR163" i="37"/>
  <c r="AQ163" i="37"/>
  <c r="AP163" i="37"/>
  <c r="AO163" i="37"/>
  <c r="AN163" i="37"/>
  <c r="AM163" i="37"/>
  <c r="AL163" i="37"/>
  <c r="AK163" i="37"/>
  <c r="AJ163" i="37"/>
  <c r="AI163" i="37"/>
  <c r="AH163" i="37"/>
  <c r="AG163" i="37"/>
  <c r="AF163" i="37"/>
  <c r="AE163" i="37"/>
  <c r="AD163" i="37"/>
  <c r="AC163" i="37"/>
  <c r="AB163" i="37"/>
  <c r="AA163" i="37"/>
  <c r="Z163" i="37"/>
  <c r="Y163" i="37"/>
  <c r="X163" i="37"/>
  <c r="W163" i="37"/>
  <c r="V163" i="37"/>
  <c r="U163" i="37"/>
  <c r="T163" i="37"/>
  <c r="S163" i="37"/>
  <c r="R163" i="37"/>
  <c r="Q163" i="37"/>
  <c r="K163" i="37"/>
  <c r="L163" i="37" s="1"/>
  <c r="M163" i="37" s="1"/>
  <c r="N163" i="37" s="1"/>
  <c r="O163" i="37" s="1"/>
  <c r="P163" i="37" s="1"/>
  <c r="J163" i="37"/>
  <c r="I163" i="37"/>
  <c r="H163" i="37"/>
  <c r="G163" i="37"/>
  <c r="F163" i="37"/>
  <c r="E163" i="37"/>
  <c r="D163" i="37"/>
  <c r="A163" i="37"/>
  <c r="BU162" i="37"/>
  <c r="BT162" i="37"/>
  <c r="BS162" i="37"/>
  <c r="BR162" i="37"/>
  <c r="BQ162" i="37"/>
  <c r="BP162" i="37"/>
  <c r="BO162" i="37"/>
  <c r="BN162" i="37"/>
  <c r="BM162" i="37"/>
  <c r="BL162" i="37"/>
  <c r="BK162" i="37"/>
  <c r="BJ162" i="37"/>
  <c r="BI162" i="37"/>
  <c r="BH162" i="37"/>
  <c r="BG162" i="37"/>
  <c r="BF162" i="37"/>
  <c r="BE162" i="37"/>
  <c r="BD162" i="37"/>
  <c r="BC162" i="37"/>
  <c r="BB162" i="37"/>
  <c r="BA162" i="37"/>
  <c r="AZ162" i="37"/>
  <c r="AY162" i="37"/>
  <c r="AX162" i="37"/>
  <c r="AW162" i="37"/>
  <c r="AV162" i="37"/>
  <c r="AU162" i="37"/>
  <c r="AT162" i="37"/>
  <c r="AS162" i="37"/>
  <c r="AR162" i="37"/>
  <c r="AQ162" i="37"/>
  <c r="AP162" i="37"/>
  <c r="AO162" i="37"/>
  <c r="AN162" i="37"/>
  <c r="AM162" i="37"/>
  <c r="AL162" i="37"/>
  <c r="AK162" i="37"/>
  <c r="AJ162" i="37"/>
  <c r="AI162" i="37"/>
  <c r="AH162" i="37"/>
  <c r="AG162" i="37"/>
  <c r="AF162" i="37"/>
  <c r="AE162" i="37"/>
  <c r="AD162" i="37"/>
  <c r="AC162" i="37"/>
  <c r="AB162" i="37"/>
  <c r="AA162" i="37"/>
  <c r="Z162" i="37"/>
  <c r="Y162" i="37"/>
  <c r="X162" i="37"/>
  <c r="W162" i="37"/>
  <c r="V162" i="37"/>
  <c r="U162" i="37"/>
  <c r="T162" i="37"/>
  <c r="S162" i="37"/>
  <c r="R162" i="37"/>
  <c r="Q162" i="37"/>
  <c r="K162" i="37"/>
  <c r="L162" i="37" s="1"/>
  <c r="M162" i="37" s="1"/>
  <c r="N162" i="37" s="1"/>
  <c r="O162" i="37" s="1"/>
  <c r="P162" i="37" s="1"/>
  <c r="J162" i="37"/>
  <c r="I162" i="37"/>
  <c r="H162" i="37"/>
  <c r="G162" i="37"/>
  <c r="F162" i="37"/>
  <c r="E162" i="37"/>
  <c r="D162" i="37"/>
  <c r="A162" i="37"/>
  <c r="BU161" i="37"/>
  <c r="BT161" i="37"/>
  <c r="BS161" i="37"/>
  <c r="BR161" i="37"/>
  <c r="BQ161" i="37"/>
  <c r="BP161" i="37"/>
  <c r="BO161" i="37"/>
  <c r="BN161" i="37"/>
  <c r="BM161" i="37"/>
  <c r="BL161" i="37"/>
  <c r="BK161" i="37"/>
  <c r="BJ161" i="37"/>
  <c r="BI161" i="37"/>
  <c r="BH161" i="37"/>
  <c r="BG161" i="37"/>
  <c r="BF161" i="37"/>
  <c r="BE161" i="37"/>
  <c r="BD161" i="37"/>
  <c r="BC161" i="37"/>
  <c r="BB161" i="37"/>
  <c r="BA161" i="37"/>
  <c r="AZ161" i="37"/>
  <c r="AY161" i="37"/>
  <c r="AX161" i="37"/>
  <c r="AW161" i="37"/>
  <c r="AV161" i="37"/>
  <c r="AU161" i="37"/>
  <c r="AT161" i="37"/>
  <c r="AS161" i="37"/>
  <c r="AR161" i="37"/>
  <c r="AQ161" i="37"/>
  <c r="AP161" i="37"/>
  <c r="AO161" i="37"/>
  <c r="AN161" i="37"/>
  <c r="AM161" i="37"/>
  <c r="AL161" i="37"/>
  <c r="AK161" i="37"/>
  <c r="AJ161" i="37"/>
  <c r="AI161" i="37"/>
  <c r="AH161" i="37"/>
  <c r="AG161" i="37"/>
  <c r="AF161" i="37"/>
  <c r="AE161" i="37"/>
  <c r="AD161" i="37"/>
  <c r="AC161" i="37"/>
  <c r="AB161" i="37"/>
  <c r="AA161" i="37"/>
  <c r="Z161" i="37"/>
  <c r="Y161" i="37"/>
  <c r="X161" i="37"/>
  <c r="W161" i="37"/>
  <c r="V161" i="37"/>
  <c r="U161" i="37"/>
  <c r="T161" i="37"/>
  <c r="S161" i="37"/>
  <c r="R161" i="37"/>
  <c r="Q161" i="37"/>
  <c r="K161" i="37"/>
  <c r="L161" i="37" s="1"/>
  <c r="M161" i="37" s="1"/>
  <c r="N161" i="37" s="1"/>
  <c r="O161" i="37" s="1"/>
  <c r="P161" i="37" s="1"/>
  <c r="J161" i="37"/>
  <c r="I161" i="37"/>
  <c r="H161" i="37"/>
  <c r="G161" i="37"/>
  <c r="F161" i="37"/>
  <c r="E161" i="37"/>
  <c r="D161" i="37"/>
  <c r="A161" i="37"/>
  <c r="BU160" i="37"/>
  <c r="BT160" i="37"/>
  <c r="BS160" i="37"/>
  <c r="BR160" i="37"/>
  <c r="BQ160" i="37"/>
  <c r="BP160" i="37"/>
  <c r="BO160" i="37"/>
  <c r="BN160" i="37"/>
  <c r="BM160" i="37"/>
  <c r="BL160" i="37"/>
  <c r="BK160" i="37"/>
  <c r="BJ160" i="37"/>
  <c r="BI160" i="37"/>
  <c r="BH160" i="37"/>
  <c r="BG160" i="37"/>
  <c r="BF160" i="37"/>
  <c r="BE160" i="37"/>
  <c r="BD160" i="37"/>
  <c r="BC160" i="37"/>
  <c r="BB160" i="37"/>
  <c r="BA160" i="37"/>
  <c r="AZ160" i="37"/>
  <c r="AY160" i="37"/>
  <c r="AX160" i="37"/>
  <c r="AW160" i="37"/>
  <c r="AV160" i="37"/>
  <c r="AU160" i="37"/>
  <c r="AT160" i="37"/>
  <c r="AS160" i="37"/>
  <c r="AR160" i="37"/>
  <c r="AQ160" i="37"/>
  <c r="AP160" i="37"/>
  <c r="AO160" i="37"/>
  <c r="AN160" i="37"/>
  <c r="AM160" i="37"/>
  <c r="AL160" i="37"/>
  <c r="AK160" i="37"/>
  <c r="AJ160" i="37"/>
  <c r="AI160" i="37"/>
  <c r="AH160" i="37"/>
  <c r="AG160" i="37"/>
  <c r="AF160" i="37"/>
  <c r="AE160" i="37"/>
  <c r="AD160" i="37"/>
  <c r="AC160" i="37"/>
  <c r="AB160" i="37"/>
  <c r="AA160" i="37"/>
  <c r="Z160" i="37"/>
  <c r="Y160" i="37"/>
  <c r="X160" i="37"/>
  <c r="W160" i="37"/>
  <c r="V160" i="37"/>
  <c r="U160" i="37"/>
  <c r="T160" i="37"/>
  <c r="S160" i="37"/>
  <c r="R160" i="37"/>
  <c r="Q160" i="37"/>
  <c r="K160" i="37"/>
  <c r="L160" i="37" s="1"/>
  <c r="M160" i="37" s="1"/>
  <c r="N160" i="37" s="1"/>
  <c r="O160" i="37" s="1"/>
  <c r="P160" i="37" s="1"/>
  <c r="J160" i="37"/>
  <c r="I160" i="37"/>
  <c r="H160" i="37"/>
  <c r="G160" i="37"/>
  <c r="F160" i="37"/>
  <c r="E160" i="37"/>
  <c r="D160" i="37"/>
  <c r="A160" i="37"/>
  <c r="BU159" i="37"/>
  <c r="BT159" i="37"/>
  <c r="BS159" i="37"/>
  <c r="BR159" i="37"/>
  <c r="BQ159" i="37"/>
  <c r="BP159" i="37"/>
  <c r="BO159" i="37"/>
  <c r="BN159" i="37"/>
  <c r="BM159" i="37"/>
  <c r="BL159" i="37"/>
  <c r="BK159" i="37"/>
  <c r="BJ159" i="37"/>
  <c r="BI159" i="37"/>
  <c r="BH159" i="37"/>
  <c r="BG159" i="37"/>
  <c r="BF159" i="37"/>
  <c r="BE159" i="37"/>
  <c r="BD159" i="37"/>
  <c r="BC159" i="37"/>
  <c r="BB159" i="37"/>
  <c r="BA159" i="37"/>
  <c r="AZ159" i="37"/>
  <c r="AY159" i="37"/>
  <c r="AX159" i="37"/>
  <c r="AW159" i="37"/>
  <c r="AV159" i="37"/>
  <c r="AU159" i="37"/>
  <c r="AT159" i="37"/>
  <c r="AS159" i="37"/>
  <c r="AR159" i="37"/>
  <c r="AQ159" i="37"/>
  <c r="AP159" i="37"/>
  <c r="AO159" i="37"/>
  <c r="AN159" i="37"/>
  <c r="AM159" i="37"/>
  <c r="AL159" i="37"/>
  <c r="AK159" i="37"/>
  <c r="AJ159" i="37"/>
  <c r="AI159" i="37"/>
  <c r="AH159" i="37"/>
  <c r="AG159" i="37"/>
  <c r="AF159" i="37"/>
  <c r="AE159" i="37"/>
  <c r="AD159" i="37"/>
  <c r="AC159" i="37"/>
  <c r="AB159" i="37"/>
  <c r="AA159" i="37"/>
  <c r="Z159" i="37"/>
  <c r="Y159" i="37"/>
  <c r="X159" i="37"/>
  <c r="W159" i="37"/>
  <c r="V159" i="37"/>
  <c r="U159" i="37"/>
  <c r="T159" i="37"/>
  <c r="S159" i="37"/>
  <c r="R159" i="37"/>
  <c r="Q159" i="37"/>
  <c r="K159" i="37"/>
  <c r="L159" i="37" s="1"/>
  <c r="M159" i="37" s="1"/>
  <c r="N159" i="37" s="1"/>
  <c r="O159" i="37" s="1"/>
  <c r="P159" i="37" s="1"/>
  <c r="J159" i="37"/>
  <c r="I159" i="37"/>
  <c r="H159" i="37"/>
  <c r="G159" i="37"/>
  <c r="F159" i="37"/>
  <c r="E159" i="37"/>
  <c r="D159" i="37"/>
  <c r="A159" i="37"/>
  <c r="BU158" i="37"/>
  <c r="BT158" i="37"/>
  <c r="BS158" i="37"/>
  <c r="BR158" i="37"/>
  <c r="BQ158" i="37"/>
  <c r="BP158" i="37"/>
  <c r="BO158" i="37"/>
  <c r="BN158" i="37"/>
  <c r="BM158" i="37"/>
  <c r="BL158" i="37"/>
  <c r="BK158" i="37"/>
  <c r="BJ158" i="37"/>
  <c r="BI158" i="37"/>
  <c r="BH158" i="37"/>
  <c r="BG158" i="37"/>
  <c r="BF158" i="37"/>
  <c r="BE158" i="37"/>
  <c r="BD158" i="37"/>
  <c r="BC158" i="37"/>
  <c r="BB158" i="37"/>
  <c r="BA158" i="37"/>
  <c r="AZ158" i="37"/>
  <c r="AY158" i="37"/>
  <c r="AX158" i="37"/>
  <c r="AW158" i="37"/>
  <c r="AV158" i="37"/>
  <c r="AU158" i="37"/>
  <c r="AT158" i="37"/>
  <c r="AS158" i="37"/>
  <c r="AR158" i="37"/>
  <c r="AQ158" i="37"/>
  <c r="AP158" i="37"/>
  <c r="AO158" i="37"/>
  <c r="AN158" i="37"/>
  <c r="AM158" i="37"/>
  <c r="AL158" i="37"/>
  <c r="AK158" i="37"/>
  <c r="AJ158" i="37"/>
  <c r="AI158" i="37"/>
  <c r="AH158" i="37"/>
  <c r="AG158" i="37"/>
  <c r="AF158" i="37"/>
  <c r="AE158" i="37"/>
  <c r="AD158" i="37"/>
  <c r="AC158" i="37"/>
  <c r="AB158" i="37"/>
  <c r="AA158" i="37"/>
  <c r="Z158" i="37"/>
  <c r="Y158" i="37"/>
  <c r="X158" i="37"/>
  <c r="W158" i="37"/>
  <c r="V158" i="37"/>
  <c r="U158" i="37"/>
  <c r="T158" i="37"/>
  <c r="S158" i="37"/>
  <c r="R158" i="37"/>
  <c r="Q158" i="37"/>
  <c r="K158" i="37"/>
  <c r="L158" i="37" s="1"/>
  <c r="M158" i="37" s="1"/>
  <c r="N158" i="37" s="1"/>
  <c r="O158" i="37" s="1"/>
  <c r="P158" i="37" s="1"/>
  <c r="J158" i="37"/>
  <c r="I158" i="37"/>
  <c r="H158" i="37"/>
  <c r="G158" i="37"/>
  <c r="F158" i="37"/>
  <c r="E158" i="37"/>
  <c r="D158" i="37"/>
  <c r="A158" i="37"/>
  <c r="BU157" i="37"/>
  <c r="BT157" i="37"/>
  <c r="BS157" i="37"/>
  <c r="BR157" i="37"/>
  <c r="BQ157" i="37"/>
  <c r="BP157" i="37"/>
  <c r="BO157" i="37"/>
  <c r="BN157" i="37"/>
  <c r="BM157" i="37"/>
  <c r="BL157" i="37"/>
  <c r="BK157" i="37"/>
  <c r="BJ157" i="37"/>
  <c r="BI157" i="37"/>
  <c r="BH157" i="37"/>
  <c r="BG157" i="37"/>
  <c r="BF157" i="37"/>
  <c r="BE157" i="37"/>
  <c r="BD157" i="37"/>
  <c r="BC157" i="37"/>
  <c r="BB157" i="37"/>
  <c r="BA157" i="37"/>
  <c r="AZ157" i="37"/>
  <c r="AY157" i="37"/>
  <c r="AX157" i="37"/>
  <c r="AW157" i="37"/>
  <c r="AV157" i="37"/>
  <c r="AU157" i="37"/>
  <c r="AT157" i="37"/>
  <c r="AS157" i="37"/>
  <c r="AR157" i="37"/>
  <c r="AQ157" i="37"/>
  <c r="AP157" i="37"/>
  <c r="AO157" i="37"/>
  <c r="AN157" i="37"/>
  <c r="AM157" i="37"/>
  <c r="AL157" i="37"/>
  <c r="AK157" i="37"/>
  <c r="AJ157" i="37"/>
  <c r="AI157" i="37"/>
  <c r="AH157" i="37"/>
  <c r="AG157" i="37"/>
  <c r="AF157" i="37"/>
  <c r="AE157" i="37"/>
  <c r="AD157" i="37"/>
  <c r="AC157" i="37"/>
  <c r="AB157" i="37"/>
  <c r="AA157" i="37"/>
  <c r="Z157" i="37"/>
  <c r="Y157" i="37"/>
  <c r="X157" i="37"/>
  <c r="W157" i="37"/>
  <c r="V157" i="37"/>
  <c r="U157" i="37"/>
  <c r="T157" i="37"/>
  <c r="S157" i="37"/>
  <c r="R157" i="37"/>
  <c r="Q157" i="37"/>
  <c r="K157" i="37"/>
  <c r="L157" i="37" s="1"/>
  <c r="M157" i="37" s="1"/>
  <c r="N157" i="37" s="1"/>
  <c r="O157" i="37" s="1"/>
  <c r="P157" i="37" s="1"/>
  <c r="J157" i="37"/>
  <c r="I157" i="37"/>
  <c r="H157" i="37"/>
  <c r="G157" i="37"/>
  <c r="F157" i="37"/>
  <c r="E157" i="37"/>
  <c r="D157" i="37"/>
  <c r="A157" i="37"/>
  <c r="BU156" i="37"/>
  <c r="BT156" i="37"/>
  <c r="BS156" i="37"/>
  <c r="BR156" i="37"/>
  <c r="BQ156" i="37"/>
  <c r="BP156" i="37"/>
  <c r="BO156" i="37"/>
  <c r="BN156" i="37"/>
  <c r="BM156" i="37"/>
  <c r="BL156" i="37"/>
  <c r="BK156" i="37"/>
  <c r="BJ156" i="37"/>
  <c r="BI156" i="37"/>
  <c r="BH156" i="37"/>
  <c r="BG156" i="37"/>
  <c r="BF156" i="37"/>
  <c r="BE156" i="37"/>
  <c r="BD156" i="37"/>
  <c r="BC156" i="37"/>
  <c r="BB156" i="37"/>
  <c r="BA156" i="37"/>
  <c r="AZ156" i="37"/>
  <c r="AY156" i="37"/>
  <c r="AX156" i="37"/>
  <c r="AW156" i="37"/>
  <c r="AV156" i="37"/>
  <c r="AU156" i="37"/>
  <c r="AT156" i="37"/>
  <c r="AS156" i="37"/>
  <c r="AR156" i="37"/>
  <c r="AQ156" i="37"/>
  <c r="AP156" i="37"/>
  <c r="AO156" i="37"/>
  <c r="AN156" i="37"/>
  <c r="AM156" i="37"/>
  <c r="AL156" i="37"/>
  <c r="AK156" i="37"/>
  <c r="AJ156" i="37"/>
  <c r="AI156" i="37"/>
  <c r="AH156" i="37"/>
  <c r="AG156" i="37"/>
  <c r="AF156" i="37"/>
  <c r="AE156" i="37"/>
  <c r="AD156" i="37"/>
  <c r="AC156" i="37"/>
  <c r="AB156" i="37"/>
  <c r="AA156" i="37"/>
  <c r="Z156" i="37"/>
  <c r="Y156" i="37"/>
  <c r="X156" i="37"/>
  <c r="W156" i="37"/>
  <c r="V156" i="37"/>
  <c r="U156" i="37"/>
  <c r="T156" i="37"/>
  <c r="S156" i="37"/>
  <c r="R156" i="37"/>
  <c r="Q156" i="37"/>
  <c r="K156" i="37"/>
  <c r="L156" i="37" s="1"/>
  <c r="M156" i="37" s="1"/>
  <c r="N156" i="37" s="1"/>
  <c r="O156" i="37" s="1"/>
  <c r="P156" i="37" s="1"/>
  <c r="J156" i="37"/>
  <c r="I156" i="37"/>
  <c r="H156" i="37"/>
  <c r="G156" i="37"/>
  <c r="F156" i="37"/>
  <c r="E156" i="37"/>
  <c r="D156" i="37"/>
  <c r="A156" i="37"/>
  <c r="BU155" i="37"/>
  <c r="BT155" i="37"/>
  <c r="BS155" i="37"/>
  <c r="BR155" i="37"/>
  <c r="BQ155" i="37"/>
  <c r="BP155" i="37"/>
  <c r="BO155" i="37"/>
  <c r="BN155" i="37"/>
  <c r="BM155" i="37"/>
  <c r="BL155" i="37"/>
  <c r="BK155" i="37"/>
  <c r="BJ155" i="37"/>
  <c r="BI155" i="37"/>
  <c r="BH155" i="37"/>
  <c r="BG155" i="37"/>
  <c r="BF155" i="37"/>
  <c r="BE155" i="37"/>
  <c r="BD155" i="37"/>
  <c r="BC155" i="37"/>
  <c r="BB155" i="37"/>
  <c r="BA155" i="37"/>
  <c r="AZ155" i="37"/>
  <c r="AY155" i="37"/>
  <c r="AX155" i="37"/>
  <c r="AW155" i="37"/>
  <c r="AV155" i="37"/>
  <c r="AU155" i="37"/>
  <c r="AT155" i="37"/>
  <c r="AS155" i="37"/>
  <c r="AR155" i="37"/>
  <c r="AQ155" i="37"/>
  <c r="AP155" i="37"/>
  <c r="AO155" i="37"/>
  <c r="AN155" i="37"/>
  <c r="AM155" i="37"/>
  <c r="AL155" i="37"/>
  <c r="AK155" i="37"/>
  <c r="AJ155" i="37"/>
  <c r="AI155" i="37"/>
  <c r="AH155" i="37"/>
  <c r="AG155" i="37"/>
  <c r="AF155" i="37"/>
  <c r="AE155" i="37"/>
  <c r="AD155" i="37"/>
  <c r="AC155" i="37"/>
  <c r="AB155" i="37"/>
  <c r="AA155" i="37"/>
  <c r="Z155" i="37"/>
  <c r="Y155" i="37"/>
  <c r="X155" i="37"/>
  <c r="W155" i="37"/>
  <c r="V155" i="37"/>
  <c r="U155" i="37"/>
  <c r="T155" i="37"/>
  <c r="S155" i="37"/>
  <c r="R155" i="37"/>
  <c r="Q155" i="37"/>
  <c r="K155" i="37"/>
  <c r="L155" i="37" s="1"/>
  <c r="M155" i="37" s="1"/>
  <c r="N155" i="37" s="1"/>
  <c r="O155" i="37" s="1"/>
  <c r="P155" i="37" s="1"/>
  <c r="J155" i="37"/>
  <c r="I155" i="37"/>
  <c r="H155" i="37"/>
  <c r="G155" i="37"/>
  <c r="F155" i="37"/>
  <c r="E155" i="37"/>
  <c r="D155" i="37"/>
  <c r="A155" i="37"/>
  <c r="BU154" i="37"/>
  <c r="BT154" i="37"/>
  <c r="BS154" i="37"/>
  <c r="BR154" i="37"/>
  <c r="BQ154" i="37"/>
  <c r="BP154" i="37"/>
  <c r="BO154" i="37"/>
  <c r="BN154" i="37"/>
  <c r="BM154" i="37"/>
  <c r="BL154" i="37"/>
  <c r="BK154" i="37"/>
  <c r="BJ154" i="37"/>
  <c r="BI154" i="37"/>
  <c r="BH154" i="37"/>
  <c r="BG154" i="37"/>
  <c r="BF154" i="37"/>
  <c r="BE154" i="37"/>
  <c r="BD154" i="37"/>
  <c r="BC154" i="37"/>
  <c r="BB154" i="37"/>
  <c r="BA154" i="37"/>
  <c r="AZ154" i="37"/>
  <c r="AY154" i="37"/>
  <c r="AX154" i="37"/>
  <c r="AW154" i="37"/>
  <c r="AV154" i="37"/>
  <c r="AU154" i="37"/>
  <c r="AT154" i="37"/>
  <c r="AS154" i="37"/>
  <c r="AR154" i="37"/>
  <c r="AQ154" i="37"/>
  <c r="AP154" i="37"/>
  <c r="AO154" i="37"/>
  <c r="AN154" i="37"/>
  <c r="AM154" i="37"/>
  <c r="AL154" i="37"/>
  <c r="AK154" i="37"/>
  <c r="AJ154" i="37"/>
  <c r="AI154" i="37"/>
  <c r="AH154" i="37"/>
  <c r="AG154" i="37"/>
  <c r="AF154" i="37"/>
  <c r="AE154" i="37"/>
  <c r="AD154" i="37"/>
  <c r="AC154" i="37"/>
  <c r="AB154" i="37"/>
  <c r="AA154" i="37"/>
  <c r="Z154" i="37"/>
  <c r="Y154" i="37"/>
  <c r="X154" i="37"/>
  <c r="W154" i="37"/>
  <c r="V154" i="37"/>
  <c r="U154" i="37"/>
  <c r="T154" i="37"/>
  <c r="S154" i="37"/>
  <c r="R154" i="37"/>
  <c r="Q154" i="37"/>
  <c r="K154" i="37"/>
  <c r="L154" i="37" s="1"/>
  <c r="M154" i="37" s="1"/>
  <c r="N154" i="37" s="1"/>
  <c r="O154" i="37" s="1"/>
  <c r="P154" i="37" s="1"/>
  <c r="J154" i="37"/>
  <c r="I154" i="37"/>
  <c r="H154" i="37"/>
  <c r="G154" i="37"/>
  <c r="F154" i="37"/>
  <c r="E154" i="37"/>
  <c r="D154" i="37"/>
  <c r="A154" i="37"/>
  <c r="BU153" i="37"/>
  <c r="BT153" i="37"/>
  <c r="BS153" i="37"/>
  <c r="BR153" i="37"/>
  <c r="BQ153" i="37"/>
  <c r="BP153" i="37"/>
  <c r="BO153" i="37"/>
  <c r="BN153" i="37"/>
  <c r="BM153" i="37"/>
  <c r="BL153" i="37"/>
  <c r="BK153" i="37"/>
  <c r="BJ153" i="37"/>
  <c r="BI153" i="37"/>
  <c r="BH153" i="37"/>
  <c r="BG153" i="37"/>
  <c r="BF153" i="37"/>
  <c r="BE153" i="37"/>
  <c r="BD153" i="37"/>
  <c r="BC153" i="37"/>
  <c r="BB153" i="37"/>
  <c r="BA153" i="37"/>
  <c r="AZ153" i="37"/>
  <c r="AY153" i="37"/>
  <c r="AX153" i="37"/>
  <c r="AW153" i="37"/>
  <c r="AV153" i="37"/>
  <c r="AU153" i="37"/>
  <c r="AT153" i="37"/>
  <c r="AS153" i="37"/>
  <c r="AR153" i="37"/>
  <c r="AQ153" i="37"/>
  <c r="AP153" i="37"/>
  <c r="AO153" i="37"/>
  <c r="AN153" i="37"/>
  <c r="AM153" i="37"/>
  <c r="AL153" i="37"/>
  <c r="AK153" i="37"/>
  <c r="AJ153" i="37"/>
  <c r="AI153" i="37"/>
  <c r="AH153" i="37"/>
  <c r="AG153" i="37"/>
  <c r="AF153" i="37"/>
  <c r="AE153" i="37"/>
  <c r="AD153" i="37"/>
  <c r="AC153" i="37"/>
  <c r="AB153" i="37"/>
  <c r="AA153" i="37"/>
  <c r="Z153" i="37"/>
  <c r="Y153" i="37"/>
  <c r="X153" i="37"/>
  <c r="W153" i="37"/>
  <c r="V153" i="37"/>
  <c r="U153" i="37"/>
  <c r="T153" i="37"/>
  <c r="S153" i="37"/>
  <c r="R153" i="37"/>
  <c r="Q153" i="37"/>
  <c r="K153" i="37"/>
  <c r="L153" i="37" s="1"/>
  <c r="M153" i="37" s="1"/>
  <c r="N153" i="37" s="1"/>
  <c r="O153" i="37" s="1"/>
  <c r="P153" i="37" s="1"/>
  <c r="J153" i="37"/>
  <c r="I153" i="37"/>
  <c r="H153" i="37"/>
  <c r="G153" i="37"/>
  <c r="F153" i="37"/>
  <c r="E153" i="37"/>
  <c r="D153" i="37"/>
  <c r="A153" i="37"/>
  <c r="BU152" i="37"/>
  <c r="BT152" i="37"/>
  <c r="BS152" i="37"/>
  <c r="BR152" i="37"/>
  <c r="BQ152" i="37"/>
  <c r="BP152" i="37"/>
  <c r="BO152" i="37"/>
  <c r="BN152" i="37"/>
  <c r="BM152" i="37"/>
  <c r="BL152" i="37"/>
  <c r="BK152" i="37"/>
  <c r="BJ152" i="37"/>
  <c r="BI152" i="37"/>
  <c r="BH152" i="37"/>
  <c r="BG152" i="37"/>
  <c r="BF152" i="37"/>
  <c r="BE152" i="37"/>
  <c r="BD152" i="37"/>
  <c r="BC152" i="37"/>
  <c r="BB152" i="37"/>
  <c r="BA152" i="37"/>
  <c r="AZ152" i="37"/>
  <c r="AY152" i="37"/>
  <c r="AX152" i="37"/>
  <c r="AW152" i="37"/>
  <c r="AV152" i="37"/>
  <c r="AU152" i="37"/>
  <c r="AT152" i="37"/>
  <c r="AS152" i="37"/>
  <c r="AR152" i="37"/>
  <c r="AQ152" i="37"/>
  <c r="AP152" i="37"/>
  <c r="AO152" i="37"/>
  <c r="AN152" i="37"/>
  <c r="AM152" i="37"/>
  <c r="AL152" i="37"/>
  <c r="AK152" i="37"/>
  <c r="AJ152" i="37"/>
  <c r="AI152" i="37"/>
  <c r="AH152" i="37"/>
  <c r="AG152" i="37"/>
  <c r="AF152" i="37"/>
  <c r="AE152" i="37"/>
  <c r="AD152" i="37"/>
  <c r="AC152" i="37"/>
  <c r="AB152" i="37"/>
  <c r="AA152" i="37"/>
  <c r="Z152" i="37"/>
  <c r="Y152" i="37"/>
  <c r="X152" i="37"/>
  <c r="W152" i="37"/>
  <c r="V152" i="37"/>
  <c r="U152" i="37"/>
  <c r="T152" i="37"/>
  <c r="S152" i="37"/>
  <c r="R152" i="37"/>
  <c r="Q152" i="37"/>
  <c r="K152" i="37"/>
  <c r="L152" i="37" s="1"/>
  <c r="M152" i="37" s="1"/>
  <c r="N152" i="37" s="1"/>
  <c r="O152" i="37" s="1"/>
  <c r="P152" i="37" s="1"/>
  <c r="J152" i="37"/>
  <c r="I152" i="37"/>
  <c r="H152" i="37"/>
  <c r="G152" i="37"/>
  <c r="F152" i="37"/>
  <c r="E152" i="37"/>
  <c r="D152" i="37"/>
  <c r="A152" i="37"/>
  <c r="BU151" i="37"/>
  <c r="BT151" i="37"/>
  <c r="BS151" i="37"/>
  <c r="BR151" i="37"/>
  <c r="BQ151" i="37"/>
  <c r="BP151" i="37"/>
  <c r="BO151" i="37"/>
  <c r="BN151" i="37"/>
  <c r="BM151" i="37"/>
  <c r="BL151" i="37"/>
  <c r="BK151" i="37"/>
  <c r="BJ151" i="37"/>
  <c r="BI151" i="37"/>
  <c r="BH151" i="37"/>
  <c r="BG151" i="37"/>
  <c r="BF151" i="37"/>
  <c r="BE151" i="37"/>
  <c r="BD151" i="37"/>
  <c r="BC151" i="37"/>
  <c r="BB151" i="37"/>
  <c r="BA151" i="37"/>
  <c r="AZ151" i="37"/>
  <c r="AY151" i="37"/>
  <c r="AX151" i="37"/>
  <c r="AW151" i="37"/>
  <c r="AV151" i="37"/>
  <c r="AU151" i="37"/>
  <c r="AT151" i="37"/>
  <c r="AS151" i="37"/>
  <c r="AR151" i="37"/>
  <c r="AQ151" i="37"/>
  <c r="AP151" i="37"/>
  <c r="AO151" i="37"/>
  <c r="AN151" i="37"/>
  <c r="AM151" i="37"/>
  <c r="AL151" i="37"/>
  <c r="AK151" i="37"/>
  <c r="AJ151" i="37"/>
  <c r="AI151" i="37"/>
  <c r="AH151" i="37"/>
  <c r="AG151" i="37"/>
  <c r="AF151" i="37"/>
  <c r="AE151" i="37"/>
  <c r="AD151" i="37"/>
  <c r="AC151" i="37"/>
  <c r="AB151" i="37"/>
  <c r="AA151" i="37"/>
  <c r="Z151" i="37"/>
  <c r="Y151" i="37"/>
  <c r="X151" i="37"/>
  <c r="W151" i="37"/>
  <c r="V151" i="37"/>
  <c r="U151" i="37"/>
  <c r="T151" i="37"/>
  <c r="S151" i="37"/>
  <c r="R151" i="37"/>
  <c r="Q151" i="37"/>
  <c r="K151" i="37"/>
  <c r="L151" i="37" s="1"/>
  <c r="M151" i="37" s="1"/>
  <c r="N151" i="37" s="1"/>
  <c r="O151" i="37" s="1"/>
  <c r="P151" i="37" s="1"/>
  <c r="J151" i="37"/>
  <c r="I151" i="37"/>
  <c r="H151" i="37"/>
  <c r="G151" i="37"/>
  <c r="F151" i="37"/>
  <c r="E151" i="37"/>
  <c r="D151" i="37"/>
  <c r="A151" i="37"/>
  <c r="BU150" i="37"/>
  <c r="BT150" i="37"/>
  <c r="BS150" i="37"/>
  <c r="BR150" i="37"/>
  <c r="BQ150" i="37"/>
  <c r="BP150" i="37"/>
  <c r="BO150" i="37"/>
  <c r="BN150" i="37"/>
  <c r="BM150" i="37"/>
  <c r="BL150" i="37"/>
  <c r="BK150" i="37"/>
  <c r="BJ150" i="37"/>
  <c r="BI150" i="37"/>
  <c r="BH150" i="37"/>
  <c r="BG150" i="37"/>
  <c r="BF150" i="37"/>
  <c r="BE150" i="37"/>
  <c r="BD150" i="37"/>
  <c r="BC150" i="37"/>
  <c r="BB150" i="37"/>
  <c r="BA150" i="37"/>
  <c r="AZ150" i="37"/>
  <c r="AY150" i="37"/>
  <c r="AX150" i="37"/>
  <c r="AW150" i="37"/>
  <c r="AV150" i="37"/>
  <c r="AU150" i="37"/>
  <c r="AT150" i="37"/>
  <c r="AS150" i="37"/>
  <c r="AR150" i="37"/>
  <c r="AQ150" i="37"/>
  <c r="AP150" i="37"/>
  <c r="AO150" i="37"/>
  <c r="AN150" i="37"/>
  <c r="AM150" i="37"/>
  <c r="AL150" i="37"/>
  <c r="AK150" i="37"/>
  <c r="AJ150" i="37"/>
  <c r="AI150" i="37"/>
  <c r="AH150" i="37"/>
  <c r="AG150" i="37"/>
  <c r="AF150" i="37"/>
  <c r="AE150" i="37"/>
  <c r="AD150" i="37"/>
  <c r="AC150" i="37"/>
  <c r="AB150" i="37"/>
  <c r="AA150" i="37"/>
  <c r="Z150" i="37"/>
  <c r="Y150" i="37"/>
  <c r="X150" i="37"/>
  <c r="W150" i="37"/>
  <c r="V150" i="37"/>
  <c r="U150" i="37"/>
  <c r="T150" i="37"/>
  <c r="S150" i="37"/>
  <c r="R150" i="37"/>
  <c r="Q150" i="37"/>
  <c r="K150" i="37"/>
  <c r="L150" i="37" s="1"/>
  <c r="M150" i="37" s="1"/>
  <c r="N150" i="37" s="1"/>
  <c r="O150" i="37" s="1"/>
  <c r="P150" i="37" s="1"/>
  <c r="J150" i="37"/>
  <c r="I150" i="37"/>
  <c r="H150" i="37"/>
  <c r="G150" i="37"/>
  <c r="F150" i="37"/>
  <c r="E150" i="37"/>
  <c r="D150" i="37"/>
  <c r="A150" i="37"/>
  <c r="BU149" i="37"/>
  <c r="BT149" i="37"/>
  <c r="BS149" i="37"/>
  <c r="BR149" i="37"/>
  <c r="BQ149" i="37"/>
  <c r="BP149" i="37"/>
  <c r="BO149" i="37"/>
  <c r="BN149" i="37"/>
  <c r="BM149" i="37"/>
  <c r="BL149" i="37"/>
  <c r="BK149" i="37"/>
  <c r="BJ149" i="37"/>
  <c r="BI149" i="37"/>
  <c r="BH149" i="37"/>
  <c r="BG149" i="37"/>
  <c r="BF149" i="37"/>
  <c r="BE149" i="37"/>
  <c r="BD149" i="37"/>
  <c r="BC149" i="37"/>
  <c r="BB149" i="37"/>
  <c r="BA149" i="37"/>
  <c r="AZ149" i="37"/>
  <c r="AY149" i="37"/>
  <c r="AX149" i="37"/>
  <c r="AW149" i="37"/>
  <c r="AV149" i="37"/>
  <c r="AU149" i="37"/>
  <c r="AT149" i="37"/>
  <c r="AS149" i="37"/>
  <c r="AR149" i="37"/>
  <c r="AQ149" i="37"/>
  <c r="AP149" i="37"/>
  <c r="AO149" i="37"/>
  <c r="AN149" i="37"/>
  <c r="AM149" i="37"/>
  <c r="AL149" i="37"/>
  <c r="AK149" i="37"/>
  <c r="AJ149" i="37"/>
  <c r="AI149" i="37"/>
  <c r="AH149" i="37"/>
  <c r="AG149" i="37"/>
  <c r="AF149" i="37"/>
  <c r="AE149" i="37"/>
  <c r="AD149" i="37"/>
  <c r="AC149" i="37"/>
  <c r="AB149" i="37"/>
  <c r="AA149" i="37"/>
  <c r="Z149" i="37"/>
  <c r="Y149" i="37"/>
  <c r="X149" i="37"/>
  <c r="W149" i="37"/>
  <c r="V149" i="37"/>
  <c r="U149" i="37"/>
  <c r="T149" i="37"/>
  <c r="S149" i="37"/>
  <c r="R149" i="37"/>
  <c r="Q149" i="37"/>
  <c r="K149" i="37"/>
  <c r="L149" i="37" s="1"/>
  <c r="M149" i="37" s="1"/>
  <c r="N149" i="37" s="1"/>
  <c r="O149" i="37" s="1"/>
  <c r="P149" i="37" s="1"/>
  <c r="J149" i="37"/>
  <c r="I149" i="37"/>
  <c r="H149" i="37"/>
  <c r="G149" i="37"/>
  <c r="F149" i="37"/>
  <c r="E149" i="37"/>
  <c r="D149" i="37"/>
  <c r="A149" i="37"/>
  <c r="BU148" i="37"/>
  <c r="BT148" i="37"/>
  <c r="BS148" i="37"/>
  <c r="BR148" i="37"/>
  <c r="BQ148" i="37"/>
  <c r="BP148" i="37"/>
  <c r="BO148" i="37"/>
  <c r="BN148" i="37"/>
  <c r="BM148" i="37"/>
  <c r="BL148" i="37"/>
  <c r="BK148" i="37"/>
  <c r="BJ148" i="37"/>
  <c r="BI148" i="37"/>
  <c r="BH148" i="37"/>
  <c r="BG148" i="37"/>
  <c r="BF148" i="37"/>
  <c r="BE148" i="37"/>
  <c r="BD148" i="37"/>
  <c r="BC148" i="37"/>
  <c r="BB148" i="37"/>
  <c r="BA148" i="37"/>
  <c r="AZ148" i="37"/>
  <c r="AY148" i="37"/>
  <c r="AX148" i="37"/>
  <c r="AW148" i="37"/>
  <c r="AV148" i="37"/>
  <c r="AU148" i="37"/>
  <c r="AT148" i="37"/>
  <c r="AS148" i="37"/>
  <c r="AR148" i="37"/>
  <c r="AQ148" i="37"/>
  <c r="AP148" i="37"/>
  <c r="AO148" i="37"/>
  <c r="AN148" i="37"/>
  <c r="AM148" i="37"/>
  <c r="AL148" i="37"/>
  <c r="AK148" i="37"/>
  <c r="AJ148" i="37"/>
  <c r="AI148" i="37"/>
  <c r="AH148" i="37"/>
  <c r="AG148" i="37"/>
  <c r="AF148" i="37"/>
  <c r="AE148" i="37"/>
  <c r="AD148" i="37"/>
  <c r="AC148" i="37"/>
  <c r="AB148" i="37"/>
  <c r="AA148" i="37"/>
  <c r="Z148" i="37"/>
  <c r="Y148" i="37"/>
  <c r="X148" i="37"/>
  <c r="W148" i="37"/>
  <c r="V148" i="37"/>
  <c r="U148" i="37"/>
  <c r="T148" i="37"/>
  <c r="S148" i="37"/>
  <c r="R148" i="37"/>
  <c r="Q148" i="37"/>
  <c r="K148" i="37"/>
  <c r="L148" i="37" s="1"/>
  <c r="M148" i="37" s="1"/>
  <c r="N148" i="37" s="1"/>
  <c r="O148" i="37" s="1"/>
  <c r="P148" i="37" s="1"/>
  <c r="J148" i="37"/>
  <c r="I148" i="37"/>
  <c r="H148" i="37"/>
  <c r="G148" i="37"/>
  <c r="F148" i="37"/>
  <c r="E148" i="37"/>
  <c r="D148" i="37"/>
  <c r="A148" i="37"/>
  <c r="BU147" i="37"/>
  <c r="BT147" i="37"/>
  <c r="BS147" i="37"/>
  <c r="BR147" i="37"/>
  <c r="BQ147" i="37"/>
  <c r="BP147" i="37"/>
  <c r="BO147" i="37"/>
  <c r="BN147" i="37"/>
  <c r="BM147" i="37"/>
  <c r="BL147" i="37"/>
  <c r="BK147" i="37"/>
  <c r="BJ147" i="37"/>
  <c r="BI147" i="37"/>
  <c r="BH147" i="37"/>
  <c r="BG147" i="37"/>
  <c r="BF147" i="37"/>
  <c r="BE147" i="37"/>
  <c r="BD147" i="37"/>
  <c r="BC147" i="37"/>
  <c r="BB147" i="37"/>
  <c r="BA147" i="37"/>
  <c r="AZ147" i="37"/>
  <c r="AY147" i="37"/>
  <c r="AX147" i="37"/>
  <c r="AW147" i="37"/>
  <c r="AV147" i="37"/>
  <c r="AU147" i="37"/>
  <c r="AT147" i="37"/>
  <c r="AS147" i="37"/>
  <c r="AR147" i="37"/>
  <c r="AQ147" i="37"/>
  <c r="AP147" i="37"/>
  <c r="AO147" i="37"/>
  <c r="AN147" i="37"/>
  <c r="AM147" i="37"/>
  <c r="AL147" i="37"/>
  <c r="AK147" i="37"/>
  <c r="AJ147" i="37"/>
  <c r="AI147" i="37"/>
  <c r="AH147" i="37"/>
  <c r="AG147" i="37"/>
  <c r="AF147" i="37"/>
  <c r="AE147" i="37"/>
  <c r="AD147" i="37"/>
  <c r="AC147" i="37"/>
  <c r="AB147" i="37"/>
  <c r="AA147" i="37"/>
  <c r="Z147" i="37"/>
  <c r="Y147" i="37"/>
  <c r="X147" i="37"/>
  <c r="W147" i="37"/>
  <c r="V147" i="37"/>
  <c r="U147" i="37"/>
  <c r="T147" i="37"/>
  <c r="S147" i="37"/>
  <c r="R147" i="37"/>
  <c r="Q147" i="37"/>
  <c r="K147" i="37"/>
  <c r="L147" i="37" s="1"/>
  <c r="M147" i="37" s="1"/>
  <c r="N147" i="37" s="1"/>
  <c r="O147" i="37" s="1"/>
  <c r="P147" i="37" s="1"/>
  <c r="J147" i="37"/>
  <c r="I147" i="37"/>
  <c r="H147" i="37"/>
  <c r="G147" i="37"/>
  <c r="F147" i="37"/>
  <c r="E147" i="37"/>
  <c r="D147" i="37"/>
  <c r="A147" i="37"/>
  <c r="BU146" i="37"/>
  <c r="BT146" i="37"/>
  <c r="BS146" i="37"/>
  <c r="BR146" i="37"/>
  <c r="BQ146" i="37"/>
  <c r="BP146" i="37"/>
  <c r="BO146" i="37"/>
  <c r="BN146" i="37"/>
  <c r="BM146" i="37"/>
  <c r="BL146" i="37"/>
  <c r="BK146" i="37"/>
  <c r="BJ146" i="37"/>
  <c r="BI146" i="37"/>
  <c r="BH146" i="37"/>
  <c r="BG146" i="37"/>
  <c r="BF146" i="37"/>
  <c r="BE146" i="37"/>
  <c r="BD146" i="37"/>
  <c r="BC146" i="37"/>
  <c r="BB146" i="37"/>
  <c r="BA146" i="37"/>
  <c r="AZ146" i="37"/>
  <c r="AY146" i="37"/>
  <c r="AX146" i="37"/>
  <c r="AW146" i="37"/>
  <c r="AV146" i="37"/>
  <c r="AU146" i="37"/>
  <c r="AT146" i="37"/>
  <c r="AS146" i="37"/>
  <c r="AR146" i="37"/>
  <c r="AQ146" i="37"/>
  <c r="AP146" i="37"/>
  <c r="AO146" i="37"/>
  <c r="AN146" i="37"/>
  <c r="AM146" i="37"/>
  <c r="AL146" i="37"/>
  <c r="AK146" i="37"/>
  <c r="AJ146" i="37"/>
  <c r="AI146" i="37"/>
  <c r="AH146" i="37"/>
  <c r="AG146" i="37"/>
  <c r="AF146" i="37"/>
  <c r="AE146" i="37"/>
  <c r="AD146" i="37"/>
  <c r="AC146" i="37"/>
  <c r="AB146" i="37"/>
  <c r="AA146" i="37"/>
  <c r="Z146" i="37"/>
  <c r="Y146" i="37"/>
  <c r="X146" i="37"/>
  <c r="W146" i="37"/>
  <c r="V146" i="37"/>
  <c r="U146" i="37"/>
  <c r="T146" i="37"/>
  <c r="S146" i="37"/>
  <c r="R146" i="37"/>
  <c r="Q146" i="37"/>
  <c r="K146" i="37"/>
  <c r="L146" i="37" s="1"/>
  <c r="M146" i="37" s="1"/>
  <c r="N146" i="37" s="1"/>
  <c r="O146" i="37" s="1"/>
  <c r="P146" i="37" s="1"/>
  <c r="J146" i="37"/>
  <c r="I146" i="37"/>
  <c r="H146" i="37"/>
  <c r="G146" i="37"/>
  <c r="F146" i="37"/>
  <c r="E146" i="37"/>
  <c r="D146" i="37"/>
  <c r="A146" i="37"/>
  <c r="BU145" i="37"/>
  <c r="BT145" i="37"/>
  <c r="BS145" i="37"/>
  <c r="BR145" i="37"/>
  <c r="BQ145" i="37"/>
  <c r="BP145" i="37"/>
  <c r="BO145" i="37"/>
  <c r="BN145" i="37"/>
  <c r="BM145" i="37"/>
  <c r="BL145" i="37"/>
  <c r="BK145" i="37"/>
  <c r="BJ145" i="37"/>
  <c r="BI145" i="37"/>
  <c r="BH145" i="37"/>
  <c r="BG145" i="37"/>
  <c r="BF145" i="37"/>
  <c r="BE145" i="37"/>
  <c r="BD145" i="37"/>
  <c r="BC145" i="37"/>
  <c r="BB145" i="37"/>
  <c r="BA145" i="37"/>
  <c r="AZ145" i="37"/>
  <c r="AY145" i="37"/>
  <c r="AX145" i="37"/>
  <c r="AW145" i="37"/>
  <c r="AV145" i="37"/>
  <c r="AU145" i="37"/>
  <c r="AT145" i="37"/>
  <c r="AS145" i="37"/>
  <c r="AR145" i="37"/>
  <c r="AQ145" i="37"/>
  <c r="AP145" i="37"/>
  <c r="AO145" i="37"/>
  <c r="AN145" i="37"/>
  <c r="AM145" i="37"/>
  <c r="AL145" i="37"/>
  <c r="AK145" i="37"/>
  <c r="AJ145" i="37"/>
  <c r="AI145" i="37"/>
  <c r="AH145" i="37"/>
  <c r="AG145" i="37"/>
  <c r="AF145" i="37"/>
  <c r="AE145" i="37"/>
  <c r="AD145" i="37"/>
  <c r="AC145" i="37"/>
  <c r="AB145" i="37"/>
  <c r="AA145" i="37"/>
  <c r="Z145" i="37"/>
  <c r="Y145" i="37"/>
  <c r="X145" i="37"/>
  <c r="W145" i="37"/>
  <c r="V145" i="37"/>
  <c r="U145" i="37"/>
  <c r="T145" i="37"/>
  <c r="S145" i="37"/>
  <c r="R145" i="37"/>
  <c r="Q145" i="37"/>
  <c r="K145" i="37"/>
  <c r="L145" i="37" s="1"/>
  <c r="M145" i="37" s="1"/>
  <c r="N145" i="37" s="1"/>
  <c r="O145" i="37" s="1"/>
  <c r="P145" i="37" s="1"/>
  <c r="J145" i="37"/>
  <c r="I145" i="37"/>
  <c r="H145" i="37"/>
  <c r="G145" i="37"/>
  <c r="F145" i="37"/>
  <c r="E145" i="37"/>
  <c r="D145" i="37"/>
  <c r="A145" i="37"/>
  <c r="BU144" i="37"/>
  <c r="BT144" i="37"/>
  <c r="BS144" i="37"/>
  <c r="BR144" i="37"/>
  <c r="BQ144" i="37"/>
  <c r="BP144" i="37"/>
  <c r="BO144" i="37"/>
  <c r="BN144" i="37"/>
  <c r="BM144" i="37"/>
  <c r="BL144" i="37"/>
  <c r="BK144" i="37"/>
  <c r="BJ144" i="37"/>
  <c r="BI144" i="37"/>
  <c r="BH144" i="37"/>
  <c r="BG144" i="37"/>
  <c r="BF144" i="37"/>
  <c r="BE144" i="37"/>
  <c r="BD144" i="37"/>
  <c r="BC144" i="37"/>
  <c r="BB144" i="37"/>
  <c r="BA144" i="37"/>
  <c r="AZ144" i="37"/>
  <c r="AY144" i="37"/>
  <c r="AX144" i="37"/>
  <c r="AW144" i="37"/>
  <c r="AV144" i="37"/>
  <c r="AU144" i="37"/>
  <c r="AT144" i="37"/>
  <c r="AS144" i="37"/>
  <c r="AR144" i="37"/>
  <c r="AQ144" i="37"/>
  <c r="AP144" i="37"/>
  <c r="AO144" i="37"/>
  <c r="AN144" i="37"/>
  <c r="AM144" i="37"/>
  <c r="AL144" i="37"/>
  <c r="AK144" i="37"/>
  <c r="AJ144" i="37"/>
  <c r="AI144" i="37"/>
  <c r="AH144" i="37"/>
  <c r="AG144" i="37"/>
  <c r="AF144" i="37"/>
  <c r="AE144" i="37"/>
  <c r="AD144" i="37"/>
  <c r="AC144" i="37"/>
  <c r="AB144" i="37"/>
  <c r="AA144" i="37"/>
  <c r="Z144" i="37"/>
  <c r="Y144" i="37"/>
  <c r="X144" i="37"/>
  <c r="W144" i="37"/>
  <c r="V144" i="37"/>
  <c r="U144" i="37"/>
  <c r="T144" i="37"/>
  <c r="S144" i="37"/>
  <c r="R144" i="37"/>
  <c r="Q144" i="37"/>
  <c r="K144" i="37"/>
  <c r="L144" i="37" s="1"/>
  <c r="M144" i="37" s="1"/>
  <c r="N144" i="37" s="1"/>
  <c r="O144" i="37" s="1"/>
  <c r="P144" i="37" s="1"/>
  <c r="J144" i="37"/>
  <c r="I144" i="37"/>
  <c r="H144" i="37"/>
  <c r="G144" i="37"/>
  <c r="F144" i="37"/>
  <c r="E144" i="37"/>
  <c r="D144" i="37"/>
  <c r="A144" i="37"/>
  <c r="BU143" i="37"/>
  <c r="BT143" i="37"/>
  <c r="BS143" i="37"/>
  <c r="BR143" i="37"/>
  <c r="BQ143" i="37"/>
  <c r="BP143" i="37"/>
  <c r="BO143" i="37"/>
  <c r="BN143" i="37"/>
  <c r="BM143" i="37"/>
  <c r="BL143" i="37"/>
  <c r="BK143" i="37"/>
  <c r="BJ143" i="37"/>
  <c r="BI143" i="37"/>
  <c r="BH143" i="37"/>
  <c r="BG143" i="37"/>
  <c r="BF143" i="37"/>
  <c r="BE143" i="37"/>
  <c r="BD143" i="37"/>
  <c r="BC143" i="37"/>
  <c r="BB143" i="37"/>
  <c r="BA143" i="37"/>
  <c r="AZ143" i="37"/>
  <c r="AY143" i="37"/>
  <c r="AX143" i="37"/>
  <c r="AW143" i="37"/>
  <c r="AV143" i="37"/>
  <c r="AU143" i="37"/>
  <c r="AT143" i="37"/>
  <c r="AS143" i="37"/>
  <c r="AR143" i="37"/>
  <c r="AQ143" i="37"/>
  <c r="AP143" i="37"/>
  <c r="AO143" i="37"/>
  <c r="AN143" i="37"/>
  <c r="AM143" i="37"/>
  <c r="AL143" i="37"/>
  <c r="AK143" i="37"/>
  <c r="AJ143" i="37"/>
  <c r="AI143" i="37"/>
  <c r="AH143" i="37"/>
  <c r="AG143" i="37"/>
  <c r="AF143" i="37"/>
  <c r="AE143" i="37"/>
  <c r="AD143" i="37"/>
  <c r="AC143" i="37"/>
  <c r="AB143" i="37"/>
  <c r="AA143" i="37"/>
  <c r="Z143" i="37"/>
  <c r="Y143" i="37"/>
  <c r="X143" i="37"/>
  <c r="W143" i="37"/>
  <c r="V143" i="37"/>
  <c r="U143" i="37"/>
  <c r="T143" i="37"/>
  <c r="S143" i="37"/>
  <c r="R143" i="37"/>
  <c r="Q143" i="37"/>
  <c r="K143" i="37"/>
  <c r="L143" i="37" s="1"/>
  <c r="M143" i="37" s="1"/>
  <c r="N143" i="37" s="1"/>
  <c r="O143" i="37" s="1"/>
  <c r="P143" i="37" s="1"/>
  <c r="J143" i="37"/>
  <c r="I143" i="37"/>
  <c r="H143" i="37"/>
  <c r="G143" i="37"/>
  <c r="F143" i="37"/>
  <c r="E143" i="37"/>
  <c r="D143" i="37"/>
  <c r="A143" i="37"/>
  <c r="BU142" i="37"/>
  <c r="BT142" i="37"/>
  <c r="BS142" i="37"/>
  <c r="BR142" i="37"/>
  <c r="BQ142" i="37"/>
  <c r="BP142" i="37"/>
  <c r="BO142" i="37"/>
  <c r="BN142" i="37"/>
  <c r="BM142" i="37"/>
  <c r="BL142" i="37"/>
  <c r="BK142" i="37"/>
  <c r="BJ142" i="37"/>
  <c r="BI142" i="37"/>
  <c r="BH142" i="37"/>
  <c r="BG142" i="37"/>
  <c r="BF142" i="37"/>
  <c r="BE142" i="37"/>
  <c r="BD142" i="37"/>
  <c r="BC142" i="37"/>
  <c r="BB142" i="37"/>
  <c r="BA142" i="37"/>
  <c r="AZ142" i="37"/>
  <c r="AY142" i="37"/>
  <c r="AX142" i="37"/>
  <c r="AW142" i="37"/>
  <c r="AV142" i="37"/>
  <c r="AU142" i="37"/>
  <c r="AT142" i="37"/>
  <c r="AS142" i="37"/>
  <c r="AR142" i="37"/>
  <c r="AQ142" i="37"/>
  <c r="AP142" i="37"/>
  <c r="AO142" i="37"/>
  <c r="AN142" i="37"/>
  <c r="AM142" i="37"/>
  <c r="AL142" i="37"/>
  <c r="AK142" i="37"/>
  <c r="AJ142" i="37"/>
  <c r="AI142" i="37"/>
  <c r="AH142" i="37"/>
  <c r="AG142" i="37"/>
  <c r="AF142" i="37"/>
  <c r="AE142" i="37"/>
  <c r="AD142" i="37"/>
  <c r="AC142" i="37"/>
  <c r="AB142" i="37"/>
  <c r="AA142" i="37"/>
  <c r="Z142" i="37"/>
  <c r="Y142" i="37"/>
  <c r="X142" i="37"/>
  <c r="W142" i="37"/>
  <c r="V142" i="37"/>
  <c r="U142" i="37"/>
  <c r="T142" i="37"/>
  <c r="S142" i="37"/>
  <c r="R142" i="37"/>
  <c r="Q142" i="37"/>
  <c r="K142" i="37"/>
  <c r="L142" i="37" s="1"/>
  <c r="M142" i="37" s="1"/>
  <c r="N142" i="37" s="1"/>
  <c r="O142" i="37" s="1"/>
  <c r="P142" i="37" s="1"/>
  <c r="J142" i="37"/>
  <c r="I142" i="37"/>
  <c r="H142" i="37"/>
  <c r="G142" i="37"/>
  <c r="F142" i="37"/>
  <c r="E142" i="37"/>
  <c r="D142" i="37"/>
  <c r="A142" i="37"/>
  <c r="BU141" i="37"/>
  <c r="BT141" i="37"/>
  <c r="BS141" i="37"/>
  <c r="BR141" i="37"/>
  <c r="BQ141" i="37"/>
  <c r="BP141" i="37"/>
  <c r="BO141" i="37"/>
  <c r="BN141" i="37"/>
  <c r="BM141" i="37"/>
  <c r="BL141" i="37"/>
  <c r="BK141" i="37"/>
  <c r="BJ141" i="37"/>
  <c r="BI141" i="37"/>
  <c r="BH141" i="37"/>
  <c r="BG141" i="37"/>
  <c r="BF141" i="37"/>
  <c r="BE141" i="37"/>
  <c r="BD141" i="37"/>
  <c r="BC141" i="37"/>
  <c r="BB141" i="37"/>
  <c r="BA141" i="37"/>
  <c r="AZ141" i="37"/>
  <c r="AY141" i="37"/>
  <c r="AX141" i="37"/>
  <c r="AW141" i="37"/>
  <c r="AV141" i="37"/>
  <c r="AU141" i="37"/>
  <c r="AT141" i="37"/>
  <c r="AS141" i="37"/>
  <c r="AR141" i="37"/>
  <c r="AQ141" i="37"/>
  <c r="AP141" i="37"/>
  <c r="AO141" i="37"/>
  <c r="AN141" i="37"/>
  <c r="AM141" i="37"/>
  <c r="AL141" i="37"/>
  <c r="AK141" i="37"/>
  <c r="AJ141" i="37"/>
  <c r="AI141" i="37"/>
  <c r="AH141" i="37"/>
  <c r="AG141" i="37"/>
  <c r="AF141" i="37"/>
  <c r="AE141" i="37"/>
  <c r="AD141" i="37"/>
  <c r="AC141" i="37"/>
  <c r="AB141" i="37"/>
  <c r="AA141" i="37"/>
  <c r="Z141" i="37"/>
  <c r="Y141" i="37"/>
  <c r="X141" i="37"/>
  <c r="W141" i="37"/>
  <c r="V141" i="37"/>
  <c r="U141" i="37"/>
  <c r="T141" i="37"/>
  <c r="S141" i="37"/>
  <c r="R141" i="37"/>
  <c r="Q141" i="37"/>
  <c r="K141" i="37"/>
  <c r="L141" i="37" s="1"/>
  <c r="M141" i="37" s="1"/>
  <c r="N141" i="37" s="1"/>
  <c r="O141" i="37" s="1"/>
  <c r="P141" i="37" s="1"/>
  <c r="J141" i="37"/>
  <c r="I141" i="37"/>
  <c r="H141" i="37"/>
  <c r="G141" i="37"/>
  <c r="F141" i="37"/>
  <c r="E141" i="37"/>
  <c r="D141" i="37"/>
  <c r="A141" i="37"/>
  <c r="BU140" i="37"/>
  <c r="BT140" i="37"/>
  <c r="BS140" i="37"/>
  <c r="BR140" i="37"/>
  <c r="BQ140" i="37"/>
  <c r="BP140" i="37"/>
  <c r="BO140" i="37"/>
  <c r="BN140" i="37"/>
  <c r="BM140" i="37"/>
  <c r="BL140" i="37"/>
  <c r="BK140" i="37"/>
  <c r="BJ140" i="37"/>
  <c r="BI140" i="37"/>
  <c r="BH140" i="37"/>
  <c r="BG140" i="37"/>
  <c r="BF140" i="37"/>
  <c r="BE140" i="37"/>
  <c r="BD140" i="37"/>
  <c r="BC140" i="37"/>
  <c r="BB140" i="37"/>
  <c r="BA140" i="37"/>
  <c r="AZ140" i="37"/>
  <c r="AY140" i="37"/>
  <c r="AX140" i="37"/>
  <c r="AW140" i="37"/>
  <c r="AV140" i="37"/>
  <c r="AU140" i="37"/>
  <c r="AT140" i="37"/>
  <c r="AS140" i="37"/>
  <c r="AR140" i="37"/>
  <c r="AQ140" i="37"/>
  <c r="AP140" i="37"/>
  <c r="AO140" i="37"/>
  <c r="AN140" i="37"/>
  <c r="AM140" i="37"/>
  <c r="AL140" i="37"/>
  <c r="AK140" i="37"/>
  <c r="AJ140" i="37"/>
  <c r="AI140" i="37"/>
  <c r="AH140" i="37"/>
  <c r="AG140" i="37"/>
  <c r="AF140" i="37"/>
  <c r="AE140" i="37"/>
  <c r="AD140" i="37"/>
  <c r="AC140" i="37"/>
  <c r="AB140" i="37"/>
  <c r="AA140" i="37"/>
  <c r="Z140" i="37"/>
  <c r="Y140" i="37"/>
  <c r="X140" i="37"/>
  <c r="W140" i="37"/>
  <c r="V140" i="37"/>
  <c r="U140" i="37"/>
  <c r="T140" i="37"/>
  <c r="S140" i="37"/>
  <c r="R140" i="37"/>
  <c r="Q140" i="37"/>
  <c r="K140" i="37"/>
  <c r="L140" i="37" s="1"/>
  <c r="M140" i="37" s="1"/>
  <c r="N140" i="37" s="1"/>
  <c r="O140" i="37" s="1"/>
  <c r="P140" i="37" s="1"/>
  <c r="J140" i="37"/>
  <c r="I140" i="37"/>
  <c r="H140" i="37"/>
  <c r="G140" i="37"/>
  <c r="F140" i="37"/>
  <c r="E140" i="37"/>
  <c r="D140" i="37"/>
  <c r="A140" i="37"/>
  <c r="BU139" i="37"/>
  <c r="BT139" i="37"/>
  <c r="BS139" i="37"/>
  <c r="BR139" i="37"/>
  <c r="BQ139" i="37"/>
  <c r="BP139" i="37"/>
  <c r="BO139" i="37"/>
  <c r="BN139" i="37"/>
  <c r="BM139" i="37"/>
  <c r="BL139" i="37"/>
  <c r="BK139" i="37"/>
  <c r="BJ139" i="37"/>
  <c r="BI139" i="37"/>
  <c r="BH139" i="37"/>
  <c r="BG139" i="37"/>
  <c r="BF139" i="37"/>
  <c r="BE139" i="37"/>
  <c r="BD139" i="37"/>
  <c r="BC139" i="37"/>
  <c r="BB139" i="37"/>
  <c r="BA139" i="37"/>
  <c r="AZ139" i="37"/>
  <c r="AY139" i="37"/>
  <c r="AX139" i="37"/>
  <c r="AW139" i="37"/>
  <c r="AV139" i="37"/>
  <c r="AU139" i="37"/>
  <c r="AT139" i="37"/>
  <c r="AS139" i="37"/>
  <c r="AR139" i="37"/>
  <c r="AQ139" i="37"/>
  <c r="AP139" i="37"/>
  <c r="AO139" i="37"/>
  <c r="AN139" i="37"/>
  <c r="AM139" i="37"/>
  <c r="AL139" i="37"/>
  <c r="AK139" i="37"/>
  <c r="AJ139" i="37"/>
  <c r="AI139" i="37"/>
  <c r="AH139" i="37"/>
  <c r="AG139" i="37"/>
  <c r="AF139" i="37"/>
  <c r="AE139" i="37"/>
  <c r="AD139" i="37"/>
  <c r="AC139" i="37"/>
  <c r="AB139" i="37"/>
  <c r="AA139" i="37"/>
  <c r="Z139" i="37"/>
  <c r="Y139" i="37"/>
  <c r="X139" i="37"/>
  <c r="W139" i="37"/>
  <c r="V139" i="37"/>
  <c r="U139" i="37"/>
  <c r="T139" i="37"/>
  <c r="S139" i="37"/>
  <c r="R139" i="37"/>
  <c r="Q139" i="37"/>
  <c r="K139" i="37"/>
  <c r="L139" i="37" s="1"/>
  <c r="M139" i="37" s="1"/>
  <c r="N139" i="37" s="1"/>
  <c r="O139" i="37" s="1"/>
  <c r="P139" i="37" s="1"/>
  <c r="J139" i="37"/>
  <c r="I139" i="37"/>
  <c r="H139" i="37"/>
  <c r="G139" i="37"/>
  <c r="F139" i="37"/>
  <c r="E139" i="37"/>
  <c r="D139" i="37"/>
  <c r="A139" i="37"/>
  <c r="BU138" i="37"/>
  <c r="BT138" i="37"/>
  <c r="BS138" i="37"/>
  <c r="BR138" i="37"/>
  <c r="BQ138" i="37"/>
  <c r="BP138" i="37"/>
  <c r="BO138" i="37"/>
  <c r="BN138" i="37"/>
  <c r="BM138" i="37"/>
  <c r="BL138" i="37"/>
  <c r="BK138" i="37"/>
  <c r="BJ138" i="37"/>
  <c r="BI138" i="37"/>
  <c r="BH138" i="37"/>
  <c r="BG138" i="37"/>
  <c r="BF138" i="37"/>
  <c r="BE138" i="37"/>
  <c r="BD138" i="37"/>
  <c r="BC138" i="37"/>
  <c r="BB138" i="37"/>
  <c r="BA138" i="37"/>
  <c r="AZ138" i="37"/>
  <c r="AY138" i="37"/>
  <c r="AX138" i="37"/>
  <c r="AW138" i="37"/>
  <c r="AV138" i="37"/>
  <c r="AU138" i="37"/>
  <c r="AT138" i="37"/>
  <c r="AS138" i="37"/>
  <c r="AR138" i="37"/>
  <c r="AQ138" i="37"/>
  <c r="AP138" i="37"/>
  <c r="AO138" i="37"/>
  <c r="AN138" i="37"/>
  <c r="AM138" i="37"/>
  <c r="AL138" i="37"/>
  <c r="AK138" i="37"/>
  <c r="AJ138" i="37"/>
  <c r="AI138" i="37"/>
  <c r="AH138" i="37"/>
  <c r="AG138" i="37"/>
  <c r="AF138" i="37"/>
  <c r="AE138" i="37"/>
  <c r="AD138" i="37"/>
  <c r="AC138" i="37"/>
  <c r="AB138" i="37"/>
  <c r="AA138" i="37"/>
  <c r="Z138" i="37"/>
  <c r="Y138" i="37"/>
  <c r="X138" i="37"/>
  <c r="W138" i="37"/>
  <c r="V138" i="37"/>
  <c r="U138" i="37"/>
  <c r="T138" i="37"/>
  <c r="S138" i="37"/>
  <c r="R138" i="37"/>
  <c r="Q138" i="37"/>
  <c r="K138" i="37"/>
  <c r="L138" i="37" s="1"/>
  <c r="M138" i="37" s="1"/>
  <c r="N138" i="37" s="1"/>
  <c r="O138" i="37" s="1"/>
  <c r="P138" i="37" s="1"/>
  <c r="J138" i="37"/>
  <c r="I138" i="37"/>
  <c r="H138" i="37"/>
  <c r="G138" i="37"/>
  <c r="F138" i="37"/>
  <c r="E138" i="37"/>
  <c r="D138" i="37"/>
  <c r="A138" i="37"/>
  <c r="BU137" i="37"/>
  <c r="BT137" i="37"/>
  <c r="BS137" i="37"/>
  <c r="BR137" i="37"/>
  <c r="BQ137" i="37"/>
  <c r="BP137" i="37"/>
  <c r="BO137" i="37"/>
  <c r="BN137" i="37"/>
  <c r="BM137" i="37"/>
  <c r="BL137" i="37"/>
  <c r="BK137" i="37"/>
  <c r="BJ137" i="37"/>
  <c r="BI137" i="37"/>
  <c r="BH137" i="37"/>
  <c r="BG137" i="37"/>
  <c r="BF137" i="37"/>
  <c r="BE137" i="37"/>
  <c r="BD137" i="37"/>
  <c r="BC137" i="37"/>
  <c r="BB137" i="37"/>
  <c r="BA137" i="37"/>
  <c r="AZ137" i="37"/>
  <c r="AY137" i="37"/>
  <c r="AX137" i="37"/>
  <c r="AW137" i="37"/>
  <c r="AV137" i="37"/>
  <c r="AU137" i="37"/>
  <c r="AT137" i="37"/>
  <c r="AS137" i="37"/>
  <c r="AR137" i="37"/>
  <c r="AQ137" i="37"/>
  <c r="AP137" i="37"/>
  <c r="AO137" i="37"/>
  <c r="AN137" i="37"/>
  <c r="AM137" i="37"/>
  <c r="AL137" i="37"/>
  <c r="AK137" i="37"/>
  <c r="AJ137" i="37"/>
  <c r="AI137" i="37"/>
  <c r="AH137" i="37"/>
  <c r="AG137" i="37"/>
  <c r="AF137" i="37"/>
  <c r="AE137" i="37"/>
  <c r="AD137" i="37"/>
  <c r="AC137" i="37"/>
  <c r="AB137" i="37"/>
  <c r="AA137" i="37"/>
  <c r="Z137" i="37"/>
  <c r="Y137" i="37"/>
  <c r="X137" i="37"/>
  <c r="W137" i="37"/>
  <c r="V137" i="37"/>
  <c r="U137" i="37"/>
  <c r="T137" i="37"/>
  <c r="S137" i="37"/>
  <c r="R137" i="37"/>
  <c r="Q137" i="37"/>
  <c r="K137" i="37"/>
  <c r="L137" i="37" s="1"/>
  <c r="M137" i="37" s="1"/>
  <c r="N137" i="37" s="1"/>
  <c r="O137" i="37" s="1"/>
  <c r="P137" i="37" s="1"/>
  <c r="J137" i="37"/>
  <c r="I137" i="37"/>
  <c r="H137" i="37"/>
  <c r="G137" i="37"/>
  <c r="F137" i="37"/>
  <c r="E137" i="37"/>
  <c r="D137" i="37"/>
  <c r="A137" i="37"/>
  <c r="BU136" i="37"/>
  <c r="BT136" i="37"/>
  <c r="BS136" i="37"/>
  <c r="BR136" i="37"/>
  <c r="BQ136" i="37"/>
  <c r="BP136" i="37"/>
  <c r="BO136" i="37"/>
  <c r="BN136" i="37"/>
  <c r="BM136" i="37"/>
  <c r="BL136" i="37"/>
  <c r="BK136" i="37"/>
  <c r="BJ136" i="37"/>
  <c r="BI136" i="37"/>
  <c r="BH136" i="37"/>
  <c r="BG136" i="37"/>
  <c r="BF136" i="37"/>
  <c r="BE136" i="37"/>
  <c r="BD136" i="37"/>
  <c r="BC136" i="37"/>
  <c r="BB136" i="37"/>
  <c r="BA136" i="37"/>
  <c r="AZ136" i="37"/>
  <c r="AY136" i="37"/>
  <c r="AX136" i="37"/>
  <c r="AW136" i="37"/>
  <c r="AV136" i="37"/>
  <c r="AU136" i="37"/>
  <c r="AT136" i="37"/>
  <c r="AS136" i="37"/>
  <c r="AR136" i="37"/>
  <c r="AQ136" i="37"/>
  <c r="AP136" i="37"/>
  <c r="AO136" i="37"/>
  <c r="AN136" i="37"/>
  <c r="AM136" i="37"/>
  <c r="AL136" i="37"/>
  <c r="AK136" i="37"/>
  <c r="AJ136" i="37"/>
  <c r="AI136" i="37"/>
  <c r="AH136" i="37"/>
  <c r="AG136" i="37"/>
  <c r="AF136" i="37"/>
  <c r="AE136" i="37"/>
  <c r="AD136" i="37"/>
  <c r="AC136" i="37"/>
  <c r="AB136" i="37"/>
  <c r="AA136" i="37"/>
  <c r="Z136" i="37"/>
  <c r="Y136" i="37"/>
  <c r="X136" i="37"/>
  <c r="W136" i="37"/>
  <c r="V136" i="37"/>
  <c r="U136" i="37"/>
  <c r="T136" i="37"/>
  <c r="S136" i="37"/>
  <c r="R136" i="37"/>
  <c r="Q136" i="37"/>
  <c r="K136" i="37"/>
  <c r="L136" i="37" s="1"/>
  <c r="M136" i="37" s="1"/>
  <c r="N136" i="37" s="1"/>
  <c r="O136" i="37" s="1"/>
  <c r="P136" i="37" s="1"/>
  <c r="J136" i="37"/>
  <c r="I136" i="37"/>
  <c r="H136" i="37"/>
  <c r="G136" i="37"/>
  <c r="F136" i="37"/>
  <c r="E136" i="37"/>
  <c r="D136" i="37"/>
  <c r="A136" i="37"/>
  <c r="BU135" i="37"/>
  <c r="BT135" i="37"/>
  <c r="BS135" i="37"/>
  <c r="BR135" i="37"/>
  <c r="BQ135" i="37"/>
  <c r="BP135" i="37"/>
  <c r="BO135" i="37"/>
  <c r="BN135" i="37"/>
  <c r="BM135" i="37"/>
  <c r="BL135" i="37"/>
  <c r="BK135" i="37"/>
  <c r="BJ135" i="37"/>
  <c r="BI135" i="37"/>
  <c r="BH135" i="37"/>
  <c r="BG135" i="37"/>
  <c r="BF135" i="37"/>
  <c r="BE135" i="37"/>
  <c r="BD135" i="37"/>
  <c r="BC135" i="37"/>
  <c r="BB135" i="37"/>
  <c r="BA135" i="37"/>
  <c r="AZ135" i="37"/>
  <c r="AY135" i="37"/>
  <c r="AX135" i="37"/>
  <c r="AW135" i="37"/>
  <c r="AV135" i="37"/>
  <c r="AU135" i="37"/>
  <c r="AT135" i="37"/>
  <c r="AS135" i="37"/>
  <c r="AR135" i="37"/>
  <c r="AQ135" i="37"/>
  <c r="AP135" i="37"/>
  <c r="AO135" i="37"/>
  <c r="AN135" i="37"/>
  <c r="AM135" i="37"/>
  <c r="AL135" i="37"/>
  <c r="AK135" i="37"/>
  <c r="AJ135" i="37"/>
  <c r="AI135" i="37"/>
  <c r="AH135" i="37"/>
  <c r="AG135" i="37"/>
  <c r="AF135" i="37"/>
  <c r="AE135" i="37"/>
  <c r="AD135" i="37"/>
  <c r="AC135" i="37"/>
  <c r="AB135" i="37"/>
  <c r="AA135" i="37"/>
  <c r="Z135" i="37"/>
  <c r="Y135" i="37"/>
  <c r="X135" i="37"/>
  <c r="W135" i="37"/>
  <c r="V135" i="37"/>
  <c r="U135" i="37"/>
  <c r="T135" i="37"/>
  <c r="S135" i="37"/>
  <c r="R135" i="37"/>
  <c r="Q135" i="37"/>
  <c r="K135" i="37"/>
  <c r="L135" i="37" s="1"/>
  <c r="M135" i="37" s="1"/>
  <c r="N135" i="37" s="1"/>
  <c r="O135" i="37" s="1"/>
  <c r="P135" i="37" s="1"/>
  <c r="J135" i="37"/>
  <c r="I135" i="37"/>
  <c r="H135" i="37"/>
  <c r="G135" i="37"/>
  <c r="F135" i="37"/>
  <c r="E135" i="37"/>
  <c r="D135" i="37"/>
  <c r="A135" i="37"/>
  <c r="BU134" i="37"/>
  <c r="BT134" i="37"/>
  <c r="BS134" i="37"/>
  <c r="BR134" i="37"/>
  <c r="BQ134" i="37"/>
  <c r="BP134" i="37"/>
  <c r="BO134" i="37"/>
  <c r="BN134" i="37"/>
  <c r="BM134" i="37"/>
  <c r="BL134" i="37"/>
  <c r="BK134" i="37"/>
  <c r="BJ134" i="37"/>
  <c r="BI134" i="37"/>
  <c r="BH134" i="37"/>
  <c r="BG134" i="37"/>
  <c r="BF134" i="37"/>
  <c r="BE134" i="37"/>
  <c r="BD134" i="37"/>
  <c r="BC134" i="37"/>
  <c r="BB134" i="37"/>
  <c r="BA134" i="37"/>
  <c r="AZ134" i="37"/>
  <c r="AY134" i="37"/>
  <c r="AX134" i="37"/>
  <c r="AW134" i="37"/>
  <c r="AV134" i="37"/>
  <c r="AU134" i="37"/>
  <c r="AT134" i="37"/>
  <c r="AS134" i="37"/>
  <c r="AR134" i="37"/>
  <c r="AQ134" i="37"/>
  <c r="AP134" i="37"/>
  <c r="AO134" i="37"/>
  <c r="AN134" i="37"/>
  <c r="AM134" i="37"/>
  <c r="AL134" i="37"/>
  <c r="AK134" i="37"/>
  <c r="AJ134" i="37"/>
  <c r="AI134" i="37"/>
  <c r="AH134" i="37"/>
  <c r="AG134" i="37"/>
  <c r="AF134" i="37"/>
  <c r="AE134" i="37"/>
  <c r="AD134" i="37"/>
  <c r="AC134" i="37"/>
  <c r="AB134" i="37"/>
  <c r="AA134" i="37"/>
  <c r="Z134" i="37"/>
  <c r="Y134" i="37"/>
  <c r="X134" i="37"/>
  <c r="W134" i="37"/>
  <c r="V134" i="37"/>
  <c r="U134" i="37"/>
  <c r="T134" i="37"/>
  <c r="S134" i="37"/>
  <c r="R134" i="37"/>
  <c r="Q134" i="37"/>
  <c r="K134" i="37"/>
  <c r="L134" i="37" s="1"/>
  <c r="M134" i="37" s="1"/>
  <c r="N134" i="37" s="1"/>
  <c r="O134" i="37" s="1"/>
  <c r="P134" i="37" s="1"/>
  <c r="J134" i="37"/>
  <c r="I134" i="37"/>
  <c r="H134" i="37"/>
  <c r="G134" i="37"/>
  <c r="F134" i="37"/>
  <c r="E134" i="37"/>
  <c r="D134" i="37"/>
  <c r="A134" i="37"/>
  <c r="BU133" i="37"/>
  <c r="BT133" i="37"/>
  <c r="BS133" i="37"/>
  <c r="BR133" i="37"/>
  <c r="BQ133" i="37"/>
  <c r="BP133" i="37"/>
  <c r="BO133" i="37"/>
  <c r="BN133" i="37"/>
  <c r="BM133" i="37"/>
  <c r="BL133" i="37"/>
  <c r="BK133" i="37"/>
  <c r="BJ133" i="37"/>
  <c r="BI133" i="37"/>
  <c r="BH133" i="37"/>
  <c r="BG133" i="37"/>
  <c r="BF133" i="37"/>
  <c r="BE133" i="37"/>
  <c r="BD133" i="37"/>
  <c r="BC133" i="37"/>
  <c r="BB133" i="37"/>
  <c r="BA133" i="37"/>
  <c r="AZ133" i="37"/>
  <c r="AY133" i="37"/>
  <c r="AX133" i="37"/>
  <c r="AW133" i="37"/>
  <c r="AV133" i="37"/>
  <c r="AU133" i="37"/>
  <c r="AT133" i="37"/>
  <c r="AS133" i="37"/>
  <c r="AR133" i="37"/>
  <c r="AQ133" i="37"/>
  <c r="AP133" i="37"/>
  <c r="AO133" i="37"/>
  <c r="AN133" i="37"/>
  <c r="AM133" i="37"/>
  <c r="AL133" i="37"/>
  <c r="AK133" i="37"/>
  <c r="AJ133" i="37"/>
  <c r="AI133" i="37"/>
  <c r="AH133" i="37"/>
  <c r="AG133" i="37"/>
  <c r="AF133" i="37"/>
  <c r="AE133" i="37"/>
  <c r="AD133" i="37"/>
  <c r="AC133" i="37"/>
  <c r="AB133" i="37"/>
  <c r="AA133" i="37"/>
  <c r="Z133" i="37"/>
  <c r="Y133" i="37"/>
  <c r="X133" i="37"/>
  <c r="W133" i="37"/>
  <c r="V133" i="37"/>
  <c r="U133" i="37"/>
  <c r="T133" i="37"/>
  <c r="S133" i="37"/>
  <c r="R133" i="37"/>
  <c r="Q133" i="37"/>
  <c r="K133" i="37"/>
  <c r="L133" i="37" s="1"/>
  <c r="M133" i="37" s="1"/>
  <c r="N133" i="37" s="1"/>
  <c r="O133" i="37" s="1"/>
  <c r="P133" i="37" s="1"/>
  <c r="J133" i="37"/>
  <c r="I133" i="37"/>
  <c r="H133" i="37"/>
  <c r="G133" i="37"/>
  <c r="F133" i="37"/>
  <c r="E133" i="37"/>
  <c r="D133" i="37"/>
  <c r="A133" i="37"/>
  <c r="BU132" i="37"/>
  <c r="BT132" i="37"/>
  <c r="BS132" i="37"/>
  <c r="BR132" i="37"/>
  <c r="BQ132" i="37"/>
  <c r="BP132" i="37"/>
  <c r="BO132" i="37"/>
  <c r="BN132" i="37"/>
  <c r="BM132" i="37"/>
  <c r="BL132" i="37"/>
  <c r="BK132" i="37"/>
  <c r="BJ132" i="37"/>
  <c r="BI132" i="37"/>
  <c r="BH132" i="37"/>
  <c r="BG132" i="37"/>
  <c r="BF132" i="37"/>
  <c r="BE132" i="37"/>
  <c r="BD132" i="37"/>
  <c r="BC132" i="37"/>
  <c r="BB132" i="37"/>
  <c r="BA132" i="37"/>
  <c r="AZ132" i="37"/>
  <c r="AY132" i="37"/>
  <c r="AX132" i="37"/>
  <c r="AW132" i="37"/>
  <c r="AV132" i="37"/>
  <c r="AU132" i="37"/>
  <c r="AT132" i="37"/>
  <c r="AS132" i="37"/>
  <c r="AR132" i="37"/>
  <c r="AQ132" i="37"/>
  <c r="AP132" i="37"/>
  <c r="AO132" i="37"/>
  <c r="AN132" i="37"/>
  <c r="AM132" i="37"/>
  <c r="AL132" i="37"/>
  <c r="AK132" i="37"/>
  <c r="AJ132" i="37"/>
  <c r="AI132" i="37"/>
  <c r="AH132" i="37"/>
  <c r="AG132" i="37"/>
  <c r="AF132" i="37"/>
  <c r="AE132" i="37"/>
  <c r="AD132" i="37"/>
  <c r="AC132" i="37"/>
  <c r="AB132" i="37"/>
  <c r="AA132" i="37"/>
  <c r="Z132" i="37"/>
  <c r="Y132" i="37"/>
  <c r="X132" i="37"/>
  <c r="W132" i="37"/>
  <c r="V132" i="37"/>
  <c r="U132" i="37"/>
  <c r="T132" i="37"/>
  <c r="S132" i="37"/>
  <c r="R132" i="37"/>
  <c r="Q132" i="37"/>
  <c r="K132" i="37"/>
  <c r="L132" i="37" s="1"/>
  <c r="M132" i="37" s="1"/>
  <c r="N132" i="37" s="1"/>
  <c r="O132" i="37" s="1"/>
  <c r="P132" i="37" s="1"/>
  <c r="J132" i="37"/>
  <c r="I132" i="37"/>
  <c r="H132" i="37"/>
  <c r="G132" i="37"/>
  <c r="F132" i="37"/>
  <c r="E132" i="37"/>
  <c r="D132" i="37"/>
  <c r="A132" i="37"/>
  <c r="BU131" i="37"/>
  <c r="BT131" i="37"/>
  <c r="BS131" i="37"/>
  <c r="BR131" i="37"/>
  <c r="BQ131" i="37"/>
  <c r="BP131" i="37"/>
  <c r="BO131" i="37"/>
  <c r="BN131" i="37"/>
  <c r="BM131" i="37"/>
  <c r="BL131" i="37"/>
  <c r="BK131" i="37"/>
  <c r="BJ131" i="37"/>
  <c r="BI131" i="37"/>
  <c r="BH131" i="37"/>
  <c r="BG131" i="37"/>
  <c r="BF131" i="37"/>
  <c r="BE131" i="37"/>
  <c r="BD131" i="37"/>
  <c r="BC131" i="37"/>
  <c r="BB131" i="37"/>
  <c r="BA131" i="37"/>
  <c r="AZ131" i="37"/>
  <c r="AY131" i="37"/>
  <c r="AX131" i="37"/>
  <c r="AW131" i="37"/>
  <c r="AV131" i="37"/>
  <c r="AU131" i="37"/>
  <c r="AT131" i="37"/>
  <c r="AS131" i="37"/>
  <c r="AR131" i="37"/>
  <c r="AQ131" i="37"/>
  <c r="AP131" i="37"/>
  <c r="AO131" i="37"/>
  <c r="AN131" i="37"/>
  <c r="AM131" i="37"/>
  <c r="AL131" i="37"/>
  <c r="AK131" i="37"/>
  <c r="AJ131" i="37"/>
  <c r="AI131" i="37"/>
  <c r="AH131" i="37"/>
  <c r="AG131" i="37"/>
  <c r="AF131" i="37"/>
  <c r="AE131" i="37"/>
  <c r="AD131" i="37"/>
  <c r="AC131" i="37"/>
  <c r="AB131" i="37"/>
  <c r="AA131" i="37"/>
  <c r="Z131" i="37"/>
  <c r="Y131" i="37"/>
  <c r="X131" i="37"/>
  <c r="W131" i="37"/>
  <c r="V131" i="37"/>
  <c r="U131" i="37"/>
  <c r="T131" i="37"/>
  <c r="S131" i="37"/>
  <c r="R131" i="37"/>
  <c r="Q131" i="37"/>
  <c r="K131" i="37"/>
  <c r="L131" i="37" s="1"/>
  <c r="M131" i="37" s="1"/>
  <c r="N131" i="37" s="1"/>
  <c r="O131" i="37" s="1"/>
  <c r="P131" i="37" s="1"/>
  <c r="J131" i="37"/>
  <c r="I131" i="37"/>
  <c r="H131" i="37"/>
  <c r="G131" i="37"/>
  <c r="F131" i="37"/>
  <c r="E131" i="37"/>
  <c r="D131" i="37"/>
  <c r="A131" i="37"/>
  <c r="BU130" i="37"/>
  <c r="BT130" i="37"/>
  <c r="BS130" i="37"/>
  <c r="BR130" i="37"/>
  <c r="BQ130" i="37"/>
  <c r="BP130" i="37"/>
  <c r="BO130" i="37"/>
  <c r="BN130" i="37"/>
  <c r="BM130" i="37"/>
  <c r="BL130" i="37"/>
  <c r="BK130" i="37"/>
  <c r="BJ130" i="37"/>
  <c r="BI130" i="37"/>
  <c r="BH130" i="37"/>
  <c r="BG130" i="37"/>
  <c r="BF130" i="37"/>
  <c r="BE130" i="37"/>
  <c r="BD130" i="37"/>
  <c r="BC130" i="37"/>
  <c r="BB130" i="37"/>
  <c r="BA130" i="37"/>
  <c r="AZ130" i="37"/>
  <c r="AY130" i="37"/>
  <c r="AX130" i="37"/>
  <c r="AW130" i="37"/>
  <c r="AV130" i="37"/>
  <c r="AU130" i="37"/>
  <c r="AT130" i="37"/>
  <c r="AS130" i="37"/>
  <c r="AR130" i="37"/>
  <c r="AQ130" i="37"/>
  <c r="AP130" i="37"/>
  <c r="AO130" i="37"/>
  <c r="AN130" i="37"/>
  <c r="AM130" i="37"/>
  <c r="AL130" i="37"/>
  <c r="AK130" i="37"/>
  <c r="AJ130" i="37"/>
  <c r="AI130" i="37"/>
  <c r="AH130" i="37"/>
  <c r="AG130" i="37"/>
  <c r="AF130" i="37"/>
  <c r="AE130" i="37"/>
  <c r="AD130" i="37"/>
  <c r="AC130" i="37"/>
  <c r="AB130" i="37"/>
  <c r="AA130" i="37"/>
  <c r="Z130" i="37"/>
  <c r="Y130" i="37"/>
  <c r="X130" i="37"/>
  <c r="W130" i="37"/>
  <c r="V130" i="37"/>
  <c r="U130" i="37"/>
  <c r="T130" i="37"/>
  <c r="S130" i="37"/>
  <c r="R130" i="37"/>
  <c r="Q130" i="37"/>
  <c r="K130" i="37"/>
  <c r="L130" i="37" s="1"/>
  <c r="M130" i="37" s="1"/>
  <c r="N130" i="37" s="1"/>
  <c r="O130" i="37" s="1"/>
  <c r="P130" i="37" s="1"/>
  <c r="J130" i="37"/>
  <c r="I130" i="37"/>
  <c r="H130" i="37"/>
  <c r="G130" i="37"/>
  <c r="F130" i="37"/>
  <c r="E130" i="37"/>
  <c r="D130" i="37"/>
  <c r="A130" i="37"/>
  <c r="BU129" i="37"/>
  <c r="BT129" i="37"/>
  <c r="BS129" i="37"/>
  <c r="BR129" i="37"/>
  <c r="BQ129" i="37"/>
  <c r="BP129" i="37"/>
  <c r="BO129" i="37"/>
  <c r="BN129" i="37"/>
  <c r="BM129" i="37"/>
  <c r="BL129" i="37"/>
  <c r="BK129" i="37"/>
  <c r="BJ129" i="37"/>
  <c r="BI129" i="37"/>
  <c r="BH129" i="37"/>
  <c r="BG129" i="37"/>
  <c r="BF129" i="37"/>
  <c r="BE129" i="37"/>
  <c r="BD129" i="37"/>
  <c r="BC129" i="37"/>
  <c r="BB129" i="37"/>
  <c r="BA129" i="37"/>
  <c r="AZ129" i="37"/>
  <c r="AY129" i="37"/>
  <c r="AX129" i="37"/>
  <c r="AW129" i="37"/>
  <c r="AV129" i="37"/>
  <c r="AU129" i="37"/>
  <c r="AT129" i="37"/>
  <c r="AS129" i="37"/>
  <c r="AR129" i="37"/>
  <c r="AQ129" i="37"/>
  <c r="AP129" i="37"/>
  <c r="AO129" i="37"/>
  <c r="AN129" i="37"/>
  <c r="AM129" i="37"/>
  <c r="AL129" i="37"/>
  <c r="AK129" i="37"/>
  <c r="AJ129" i="37"/>
  <c r="AI129" i="37"/>
  <c r="AH129" i="37"/>
  <c r="AG129" i="37"/>
  <c r="AF129" i="37"/>
  <c r="AE129" i="37"/>
  <c r="AD129" i="37"/>
  <c r="AC129" i="37"/>
  <c r="AB129" i="37"/>
  <c r="AA129" i="37"/>
  <c r="Z129" i="37"/>
  <c r="Y129" i="37"/>
  <c r="X129" i="37"/>
  <c r="W129" i="37"/>
  <c r="V129" i="37"/>
  <c r="U129" i="37"/>
  <c r="T129" i="37"/>
  <c r="S129" i="37"/>
  <c r="R129" i="37"/>
  <c r="Q129" i="37"/>
  <c r="K129" i="37"/>
  <c r="L129" i="37" s="1"/>
  <c r="M129" i="37" s="1"/>
  <c r="N129" i="37" s="1"/>
  <c r="O129" i="37" s="1"/>
  <c r="P129" i="37" s="1"/>
  <c r="J129" i="37"/>
  <c r="I129" i="37"/>
  <c r="H129" i="37"/>
  <c r="G129" i="37"/>
  <c r="F129" i="37"/>
  <c r="E129" i="37"/>
  <c r="D129" i="37"/>
  <c r="A129" i="37"/>
  <c r="BU128" i="37"/>
  <c r="BT128" i="37"/>
  <c r="BS128" i="37"/>
  <c r="BR128" i="37"/>
  <c r="BQ128" i="37"/>
  <c r="BP128" i="37"/>
  <c r="BO128" i="37"/>
  <c r="BN128" i="37"/>
  <c r="BM128" i="37"/>
  <c r="BL128" i="37"/>
  <c r="BK128" i="37"/>
  <c r="BJ128" i="37"/>
  <c r="BI128" i="37"/>
  <c r="BH128" i="37"/>
  <c r="BG128" i="37"/>
  <c r="BF128" i="37"/>
  <c r="BE128" i="37"/>
  <c r="BD128" i="37"/>
  <c r="BC128" i="37"/>
  <c r="BB128" i="37"/>
  <c r="BA128" i="37"/>
  <c r="AZ128" i="37"/>
  <c r="AY128" i="37"/>
  <c r="AX128" i="37"/>
  <c r="AW128" i="37"/>
  <c r="AV128" i="37"/>
  <c r="AU128" i="37"/>
  <c r="AT128" i="37"/>
  <c r="AS128" i="37"/>
  <c r="AR128" i="37"/>
  <c r="AQ128" i="37"/>
  <c r="AP128" i="37"/>
  <c r="AO128" i="37"/>
  <c r="AN128" i="37"/>
  <c r="AM128" i="37"/>
  <c r="AL128" i="37"/>
  <c r="AK128" i="37"/>
  <c r="AJ128" i="37"/>
  <c r="AI128" i="37"/>
  <c r="AH128" i="37"/>
  <c r="AG128" i="37"/>
  <c r="AF128" i="37"/>
  <c r="AE128" i="37"/>
  <c r="AD128" i="37"/>
  <c r="AC128" i="37"/>
  <c r="AB128" i="37"/>
  <c r="AA128" i="37"/>
  <c r="Z128" i="37"/>
  <c r="Y128" i="37"/>
  <c r="X128" i="37"/>
  <c r="W128" i="37"/>
  <c r="V128" i="37"/>
  <c r="U128" i="37"/>
  <c r="T128" i="37"/>
  <c r="S128" i="37"/>
  <c r="R128" i="37"/>
  <c r="Q128" i="37"/>
  <c r="K128" i="37"/>
  <c r="L128" i="37" s="1"/>
  <c r="M128" i="37" s="1"/>
  <c r="N128" i="37" s="1"/>
  <c r="O128" i="37" s="1"/>
  <c r="P128" i="37" s="1"/>
  <c r="J128" i="37"/>
  <c r="I128" i="37"/>
  <c r="H128" i="37"/>
  <c r="G128" i="37"/>
  <c r="F128" i="37"/>
  <c r="E128" i="37"/>
  <c r="D128" i="37"/>
  <c r="A128" i="37"/>
  <c r="BU127" i="37"/>
  <c r="BT127" i="37"/>
  <c r="BS127" i="37"/>
  <c r="BR127" i="37"/>
  <c r="BQ127" i="37"/>
  <c r="BP127" i="37"/>
  <c r="BO127" i="37"/>
  <c r="BN127" i="37"/>
  <c r="BM127" i="37"/>
  <c r="BL127" i="37"/>
  <c r="BK127" i="37"/>
  <c r="BJ127" i="37"/>
  <c r="BI127" i="37"/>
  <c r="BH127" i="37"/>
  <c r="BG127" i="37"/>
  <c r="BF127" i="37"/>
  <c r="BE127" i="37"/>
  <c r="BD127" i="37"/>
  <c r="BC127" i="37"/>
  <c r="BB127" i="37"/>
  <c r="BA127" i="37"/>
  <c r="AZ127" i="37"/>
  <c r="AY127" i="37"/>
  <c r="AX127" i="37"/>
  <c r="AW127" i="37"/>
  <c r="AV127" i="37"/>
  <c r="AU127" i="37"/>
  <c r="AT127" i="37"/>
  <c r="AS127" i="37"/>
  <c r="AR127" i="37"/>
  <c r="AQ127" i="37"/>
  <c r="AP127" i="37"/>
  <c r="AO127" i="37"/>
  <c r="AN127" i="37"/>
  <c r="AM127" i="37"/>
  <c r="AL127" i="37"/>
  <c r="AK127" i="37"/>
  <c r="AJ127" i="37"/>
  <c r="AI127" i="37"/>
  <c r="AH127" i="37"/>
  <c r="AG127" i="37"/>
  <c r="AF127" i="37"/>
  <c r="AE127" i="37"/>
  <c r="AD127" i="37"/>
  <c r="AC127" i="37"/>
  <c r="AB127" i="37"/>
  <c r="AA127" i="37"/>
  <c r="Z127" i="37"/>
  <c r="Y127" i="37"/>
  <c r="X127" i="37"/>
  <c r="W127" i="37"/>
  <c r="V127" i="37"/>
  <c r="U127" i="37"/>
  <c r="T127" i="37"/>
  <c r="S127" i="37"/>
  <c r="R127" i="37"/>
  <c r="Q127" i="37"/>
  <c r="K127" i="37"/>
  <c r="L127" i="37" s="1"/>
  <c r="M127" i="37" s="1"/>
  <c r="N127" i="37" s="1"/>
  <c r="O127" i="37" s="1"/>
  <c r="P127" i="37" s="1"/>
  <c r="J127" i="37"/>
  <c r="I127" i="37"/>
  <c r="H127" i="37"/>
  <c r="G127" i="37"/>
  <c r="F127" i="37"/>
  <c r="E127" i="37"/>
  <c r="D127" i="37"/>
  <c r="A127" i="37"/>
  <c r="BU126" i="37"/>
  <c r="BT126" i="37"/>
  <c r="BS126" i="37"/>
  <c r="BR126" i="37"/>
  <c r="BQ126" i="37"/>
  <c r="BP126" i="37"/>
  <c r="BO126" i="37"/>
  <c r="BN126" i="37"/>
  <c r="BM126" i="37"/>
  <c r="BL126" i="37"/>
  <c r="BK126" i="37"/>
  <c r="BJ126" i="37"/>
  <c r="BI126" i="37"/>
  <c r="BH126" i="37"/>
  <c r="BG126" i="37"/>
  <c r="BF126" i="37"/>
  <c r="BE126" i="37"/>
  <c r="BD126" i="37"/>
  <c r="BC126" i="37"/>
  <c r="BB126" i="37"/>
  <c r="BA126" i="37"/>
  <c r="AZ126" i="37"/>
  <c r="AY126" i="37"/>
  <c r="AX126" i="37"/>
  <c r="AW126" i="37"/>
  <c r="AV126" i="37"/>
  <c r="AU126" i="37"/>
  <c r="AT126" i="37"/>
  <c r="AS126" i="37"/>
  <c r="AR126" i="37"/>
  <c r="AQ126" i="37"/>
  <c r="AP126" i="37"/>
  <c r="AO126" i="37"/>
  <c r="AN126" i="37"/>
  <c r="AM126" i="37"/>
  <c r="AL126" i="37"/>
  <c r="AK126" i="37"/>
  <c r="AJ126" i="37"/>
  <c r="AI126" i="37"/>
  <c r="AH126" i="37"/>
  <c r="AG126" i="37"/>
  <c r="AF126" i="37"/>
  <c r="AE126" i="37"/>
  <c r="AD126" i="37"/>
  <c r="AC126" i="37"/>
  <c r="AB126" i="37"/>
  <c r="AA126" i="37"/>
  <c r="Z126" i="37"/>
  <c r="Y126" i="37"/>
  <c r="X126" i="37"/>
  <c r="W126" i="37"/>
  <c r="V126" i="37"/>
  <c r="U126" i="37"/>
  <c r="T126" i="37"/>
  <c r="S126" i="37"/>
  <c r="R126" i="37"/>
  <c r="Q126" i="37"/>
  <c r="K126" i="37"/>
  <c r="L126" i="37" s="1"/>
  <c r="M126" i="37" s="1"/>
  <c r="N126" i="37" s="1"/>
  <c r="O126" i="37" s="1"/>
  <c r="P126" i="37" s="1"/>
  <c r="J126" i="37"/>
  <c r="I126" i="37"/>
  <c r="H126" i="37"/>
  <c r="G126" i="37"/>
  <c r="F126" i="37"/>
  <c r="E126" i="37"/>
  <c r="D126" i="37"/>
  <c r="A126" i="37"/>
  <c r="BU125" i="37"/>
  <c r="BT125" i="37"/>
  <c r="BS125" i="37"/>
  <c r="BR125" i="37"/>
  <c r="BQ125" i="37"/>
  <c r="BP125" i="37"/>
  <c r="BO125" i="37"/>
  <c r="BN125" i="37"/>
  <c r="BM125" i="37"/>
  <c r="BL125" i="37"/>
  <c r="BK125" i="37"/>
  <c r="BJ125" i="37"/>
  <c r="BI125" i="37"/>
  <c r="BH125" i="37"/>
  <c r="BG125" i="37"/>
  <c r="BF125" i="37"/>
  <c r="BE125" i="37"/>
  <c r="BD125" i="37"/>
  <c r="BC125" i="37"/>
  <c r="BB125" i="37"/>
  <c r="BA125" i="37"/>
  <c r="AZ125" i="37"/>
  <c r="AY125" i="37"/>
  <c r="AX125" i="37"/>
  <c r="AW125" i="37"/>
  <c r="AV125" i="37"/>
  <c r="AU125" i="37"/>
  <c r="AT125" i="37"/>
  <c r="AS125" i="37"/>
  <c r="AR125" i="37"/>
  <c r="AQ125" i="37"/>
  <c r="AP125" i="37"/>
  <c r="AO125" i="37"/>
  <c r="AN125" i="37"/>
  <c r="AM125" i="37"/>
  <c r="AL125" i="37"/>
  <c r="AK125" i="37"/>
  <c r="AJ125" i="37"/>
  <c r="AI125" i="37"/>
  <c r="AH125" i="37"/>
  <c r="AG125" i="37"/>
  <c r="AF125" i="37"/>
  <c r="AE125" i="37"/>
  <c r="AD125" i="37"/>
  <c r="AC125" i="37"/>
  <c r="AB125" i="37"/>
  <c r="AA125" i="37"/>
  <c r="Z125" i="37"/>
  <c r="Y125" i="37"/>
  <c r="X125" i="37"/>
  <c r="W125" i="37"/>
  <c r="V125" i="37"/>
  <c r="U125" i="37"/>
  <c r="T125" i="37"/>
  <c r="S125" i="37"/>
  <c r="R125" i="37"/>
  <c r="Q125" i="37"/>
  <c r="K125" i="37"/>
  <c r="L125" i="37" s="1"/>
  <c r="M125" i="37" s="1"/>
  <c r="N125" i="37" s="1"/>
  <c r="O125" i="37" s="1"/>
  <c r="P125" i="37" s="1"/>
  <c r="J125" i="37"/>
  <c r="I125" i="37"/>
  <c r="H125" i="37"/>
  <c r="G125" i="37"/>
  <c r="F125" i="37"/>
  <c r="E125" i="37"/>
  <c r="D125" i="37"/>
  <c r="A125" i="37"/>
  <c r="BU124" i="37"/>
  <c r="BT124" i="37"/>
  <c r="BS124" i="37"/>
  <c r="BR124" i="37"/>
  <c r="BQ124" i="37"/>
  <c r="BP124" i="37"/>
  <c r="BO124" i="37"/>
  <c r="BN124" i="37"/>
  <c r="BM124" i="37"/>
  <c r="BL124" i="37"/>
  <c r="BK124" i="37"/>
  <c r="BJ124" i="37"/>
  <c r="BI124" i="37"/>
  <c r="BH124" i="37"/>
  <c r="BG124" i="37"/>
  <c r="BF124" i="37"/>
  <c r="BE124" i="37"/>
  <c r="BD124" i="37"/>
  <c r="BC124" i="37"/>
  <c r="BB124" i="37"/>
  <c r="BA124" i="37"/>
  <c r="AZ124" i="37"/>
  <c r="AY124" i="37"/>
  <c r="AX124" i="37"/>
  <c r="AW124" i="37"/>
  <c r="AV124" i="37"/>
  <c r="AU124" i="37"/>
  <c r="AT124" i="37"/>
  <c r="AS124" i="37"/>
  <c r="AR124" i="37"/>
  <c r="AQ124" i="37"/>
  <c r="AP124" i="37"/>
  <c r="AO124" i="37"/>
  <c r="AN124" i="37"/>
  <c r="AM124" i="37"/>
  <c r="AL124" i="37"/>
  <c r="AK124" i="37"/>
  <c r="AJ124" i="37"/>
  <c r="AI124" i="37"/>
  <c r="AH124" i="37"/>
  <c r="AG124" i="37"/>
  <c r="AF124" i="37"/>
  <c r="AE124" i="37"/>
  <c r="AD124" i="37"/>
  <c r="AC124" i="37"/>
  <c r="AB124" i="37"/>
  <c r="AA124" i="37"/>
  <c r="Z124" i="37"/>
  <c r="Y124" i="37"/>
  <c r="X124" i="37"/>
  <c r="W124" i="37"/>
  <c r="V124" i="37"/>
  <c r="U124" i="37"/>
  <c r="T124" i="37"/>
  <c r="S124" i="37"/>
  <c r="R124" i="37"/>
  <c r="Q124" i="37"/>
  <c r="K124" i="37"/>
  <c r="L124" i="37" s="1"/>
  <c r="M124" i="37" s="1"/>
  <c r="N124" i="37" s="1"/>
  <c r="O124" i="37" s="1"/>
  <c r="P124" i="37" s="1"/>
  <c r="J124" i="37"/>
  <c r="I124" i="37"/>
  <c r="H124" i="37"/>
  <c r="G124" i="37"/>
  <c r="F124" i="37"/>
  <c r="E124" i="37"/>
  <c r="D124" i="37"/>
  <c r="A124" i="37"/>
  <c r="BU123" i="37"/>
  <c r="BT123" i="37"/>
  <c r="BS123" i="37"/>
  <c r="BR123" i="37"/>
  <c r="BQ123" i="37"/>
  <c r="BP123" i="37"/>
  <c r="BO123" i="37"/>
  <c r="BN123" i="37"/>
  <c r="BM123" i="37"/>
  <c r="BL123" i="37"/>
  <c r="BK123" i="37"/>
  <c r="BJ123" i="37"/>
  <c r="BI123" i="37"/>
  <c r="BH123" i="37"/>
  <c r="BG123" i="37"/>
  <c r="BF123" i="37"/>
  <c r="BE123" i="37"/>
  <c r="BD123" i="37"/>
  <c r="BC123" i="37"/>
  <c r="BB123" i="37"/>
  <c r="BA123" i="37"/>
  <c r="AZ123" i="37"/>
  <c r="AY123" i="37"/>
  <c r="AX123" i="37"/>
  <c r="AW123" i="37"/>
  <c r="AV123" i="37"/>
  <c r="AU123" i="37"/>
  <c r="AT123" i="37"/>
  <c r="AS123" i="37"/>
  <c r="AR123" i="37"/>
  <c r="AQ123" i="37"/>
  <c r="AP123" i="37"/>
  <c r="AO123" i="37"/>
  <c r="AN123" i="37"/>
  <c r="AM123" i="37"/>
  <c r="AL123" i="37"/>
  <c r="AK123" i="37"/>
  <c r="AJ123" i="37"/>
  <c r="AI123" i="37"/>
  <c r="AH123" i="37"/>
  <c r="AG123" i="37"/>
  <c r="AF123" i="37"/>
  <c r="AE123" i="37"/>
  <c r="AD123" i="37"/>
  <c r="AC123" i="37"/>
  <c r="AB123" i="37"/>
  <c r="AA123" i="37"/>
  <c r="Z123" i="37"/>
  <c r="Y123" i="37"/>
  <c r="X123" i="37"/>
  <c r="W123" i="37"/>
  <c r="V123" i="37"/>
  <c r="U123" i="37"/>
  <c r="T123" i="37"/>
  <c r="S123" i="37"/>
  <c r="R123" i="37"/>
  <c r="Q123" i="37"/>
  <c r="K123" i="37"/>
  <c r="L123" i="37" s="1"/>
  <c r="M123" i="37" s="1"/>
  <c r="N123" i="37" s="1"/>
  <c r="O123" i="37" s="1"/>
  <c r="P123" i="37" s="1"/>
  <c r="J123" i="37"/>
  <c r="I123" i="37"/>
  <c r="H123" i="37"/>
  <c r="G123" i="37"/>
  <c r="F123" i="37"/>
  <c r="E123" i="37"/>
  <c r="D123" i="37"/>
  <c r="A123" i="37"/>
  <c r="BU122" i="37"/>
  <c r="BT122" i="37"/>
  <c r="BS122" i="37"/>
  <c r="BR122" i="37"/>
  <c r="BQ122" i="37"/>
  <c r="BP122" i="37"/>
  <c r="BO122" i="37"/>
  <c r="BN122" i="37"/>
  <c r="BM122" i="37"/>
  <c r="BL122" i="37"/>
  <c r="BK122" i="37"/>
  <c r="BJ122" i="37"/>
  <c r="BI122" i="37"/>
  <c r="BH122" i="37"/>
  <c r="BG122" i="37"/>
  <c r="BF122" i="37"/>
  <c r="BE122" i="37"/>
  <c r="BD122" i="37"/>
  <c r="BC122" i="37"/>
  <c r="BB122" i="37"/>
  <c r="BA122" i="37"/>
  <c r="AZ122" i="37"/>
  <c r="AY122" i="37"/>
  <c r="AX122" i="37"/>
  <c r="AW122" i="37"/>
  <c r="AV122" i="37"/>
  <c r="AU122" i="37"/>
  <c r="AT122" i="37"/>
  <c r="AS122" i="37"/>
  <c r="AR122" i="37"/>
  <c r="AQ122" i="37"/>
  <c r="AP122" i="37"/>
  <c r="AO122" i="37"/>
  <c r="AN122" i="37"/>
  <c r="AM122" i="37"/>
  <c r="AL122" i="37"/>
  <c r="AK122" i="37"/>
  <c r="AJ122" i="37"/>
  <c r="AI122" i="37"/>
  <c r="AH122" i="37"/>
  <c r="AG122" i="37"/>
  <c r="AF122" i="37"/>
  <c r="AE122" i="37"/>
  <c r="AD122" i="37"/>
  <c r="AC122" i="37"/>
  <c r="AB122" i="37"/>
  <c r="AA122" i="37"/>
  <c r="Z122" i="37"/>
  <c r="Y122" i="37"/>
  <c r="X122" i="37"/>
  <c r="W122" i="37"/>
  <c r="V122" i="37"/>
  <c r="U122" i="37"/>
  <c r="T122" i="37"/>
  <c r="S122" i="37"/>
  <c r="R122" i="37"/>
  <c r="Q122" i="37"/>
  <c r="K122" i="37"/>
  <c r="L122" i="37" s="1"/>
  <c r="M122" i="37" s="1"/>
  <c r="N122" i="37" s="1"/>
  <c r="O122" i="37" s="1"/>
  <c r="P122" i="37" s="1"/>
  <c r="J122" i="37"/>
  <c r="I122" i="37"/>
  <c r="H122" i="37"/>
  <c r="G122" i="37"/>
  <c r="F122" i="37"/>
  <c r="E122" i="37"/>
  <c r="D122" i="37"/>
  <c r="A122" i="37"/>
  <c r="BU121" i="37"/>
  <c r="BT121" i="37"/>
  <c r="BS121" i="37"/>
  <c r="BR121" i="37"/>
  <c r="BQ121" i="37"/>
  <c r="BP121" i="37"/>
  <c r="BO121" i="37"/>
  <c r="BN121" i="37"/>
  <c r="BM121" i="37"/>
  <c r="BL121" i="37"/>
  <c r="BK121" i="37"/>
  <c r="BJ121" i="37"/>
  <c r="BI121" i="37"/>
  <c r="BH121" i="37"/>
  <c r="BG121" i="37"/>
  <c r="BF121" i="37"/>
  <c r="BE121" i="37"/>
  <c r="BD121" i="37"/>
  <c r="BC121" i="37"/>
  <c r="BB121" i="37"/>
  <c r="BA121" i="37"/>
  <c r="AZ121" i="37"/>
  <c r="AY121" i="37"/>
  <c r="AX121" i="37"/>
  <c r="AW121" i="37"/>
  <c r="AV121" i="37"/>
  <c r="AU121" i="37"/>
  <c r="AT121" i="37"/>
  <c r="AS121" i="37"/>
  <c r="AR121" i="37"/>
  <c r="AQ121" i="37"/>
  <c r="AP121" i="37"/>
  <c r="AO121" i="37"/>
  <c r="AN121" i="37"/>
  <c r="AM121" i="37"/>
  <c r="AL121" i="37"/>
  <c r="AK121" i="37"/>
  <c r="AJ121" i="37"/>
  <c r="AI121" i="37"/>
  <c r="AH121" i="37"/>
  <c r="AG121" i="37"/>
  <c r="AF121" i="37"/>
  <c r="AE121" i="37"/>
  <c r="AD121" i="37"/>
  <c r="AC121" i="37"/>
  <c r="AB121" i="37"/>
  <c r="AA121" i="37"/>
  <c r="Z121" i="37"/>
  <c r="Y121" i="37"/>
  <c r="X121" i="37"/>
  <c r="W121" i="37"/>
  <c r="V121" i="37"/>
  <c r="U121" i="37"/>
  <c r="T121" i="37"/>
  <c r="S121" i="37"/>
  <c r="R121" i="37"/>
  <c r="Q121" i="37"/>
  <c r="K121" i="37"/>
  <c r="L121" i="37" s="1"/>
  <c r="M121" i="37" s="1"/>
  <c r="N121" i="37" s="1"/>
  <c r="O121" i="37" s="1"/>
  <c r="P121" i="37" s="1"/>
  <c r="J121" i="37"/>
  <c r="I121" i="37"/>
  <c r="H121" i="37"/>
  <c r="G121" i="37"/>
  <c r="F121" i="37"/>
  <c r="E121" i="37"/>
  <c r="D121" i="37"/>
  <c r="A121" i="37"/>
  <c r="BU120" i="37"/>
  <c r="BT120" i="37"/>
  <c r="BS120" i="37"/>
  <c r="BR120" i="37"/>
  <c r="BQ120" i="37"/>
  <c r="BP120" i="37"/>
  <c r="BO120" i="37"/>
  <c r="BN120" i="37"/>
  <c r="BM120" i="37"/>
  <c r="BL120" i="37"/>
  <c r="BK120" i="37"/>
  <c r="BJ120" i="37"/>
  <c r="BI120" i="37"/>
  <c r="BH120" i="37"/>
  <c r="BG120" i="37"/>
  <c r="BF120" i="37"/>
  <c r="BE120" i="37"/>
  <c r="BD120" i="37"/>
  <c r="BC120" i="37"/>
  <c r="BB120" i="37"/>
  <c r="BA120" i="37"/>
  <c r="AZ120" i="37"/>
  <c r="AY120" i="37"/>
  <c r="AX120" i="37"/>
  <c r="AW120" i="37"/>
  <c r="AV120" i="37"/>
  <c r="AU120" i="37"/>
  <c r="AT120" i="37"/>
  <c r="AS120" i="37"/>
  <c r="AR120" i="37"/>
  <c r="AQ120" i="37"/>
  <c r="AP120" i="37"/>
  <c r="AO120" i="37"/>
  <c r="AN120" i="37"/>
  <c r="AM120" i="37"/>
  <c r="AL120" i="37"/>
  <c r="AK120" i="37"/>
  <c r="AJ120" i="37"/>
  <c r="AI120" i="37"/>
  <c r="AH120" i="37"/>
  <c r="AG120" i="37"/>
  <c r="AF120" i="37"/>
  <c r="AE120" i="37"/>
  <c r="AD120" i="37"/>
  <c r="AC120" i="37"/>
  <c r="AB120" i="37"/>
  <c r="AA120" i="37"/>
  <c r="Z120" i="37"/>
  <c r="Y120" i="37"/>
  <c r="X120" i="37"/>
  <c r="W120" i="37"/>
  <c r="V120" i="37"/>
  <c r="U120" i="37"/>
  <c r="T120" i="37"/>
  <c r="S120" i="37"/>
  <c r="R120" i="37"/>
  <c r="Q120" i="37"/>
  <c r="K120" i="37"/>
  <c r="L120" i="37" s="1"/>
  <c r="M120" i="37" s="1"/>
  <c r="N120" i="37" s="1"/>
  <c r="O120" i="37" s="1"/>
  <c r="P120" i="37" s="1"/>
  <c r="J120" i="37"/>
  <c r="I120" i="37"/>
  <c r="H120" i="37"/>
  <c r="G120" i="37"/>
  <c r="F120" i="37"/>
  <c r="E120" i="37"/>
  <c r="D120" i="37"/>
  <c r="A120" i="37"/>
  <c r="BU119" i="37"/>
  <c r="BT119" i="37"/>
  <c r="BS119" i="37"/>
  <c r="BR119" i="37"/>
  <c r="BQ119" i="37"/>
  <c r="BP119" i="37"/>
  <c r="BO119" i="37"/>
  <c r="BN119" i="37"/>
  <c r="BM119" i="37"/>
  <c r="BL119" i="37"/>
  <c r="BK119" i="37"/>
  <c r="BJ119" i="37"/>
  <c r="BI119" i="37"/>
  <c r="BH119" i="37"/>
  <c r="BG119" i="37"/>
  <c r="BF119" i="37"/>
  <c r="BE119" i="37"/>
  <c r="BD119" i="37"/>
  <c r="BC119" i="37"/>
  <c r="BB119" i="37"/>
  <c r="BA119" i="37"/>
  <c r="AZ119" i="37"/>
  <c r="AY119" i="37"/>
  <c r="AX119" i="37"/>
  <c r="AW119" i="37"/>
  <c r="AV119" i="37"/>
  <c r="AU119" i="37"/>
  <c r="AT119" i="37"/>
  <c r="AS119" i="37"/>
  <c r="AR119" i="37"/>
  <c r="AQ119" i="37"/>
  <c r="AP119" i="37"/>
  <c r="AO119" i="37"/>
  <c r="AN119" i="37"/>
  <c r="AM119" i="37"/>
  <c r="AL119" i="37"/>
  <c r="AK119" i="37"/>
  <c r="AJ119" i="37"/>
  <c r="AI119" i="37"/>
  <c r="AH119" i="37"/>
  <c r="AG119" i="37"/>
  <c r="AF119" i="37"/>
  <c r="AE119" i="37"/>
  <c r="AD119" i="37"/>
  <c r="AC119" i="37"/>
  <c r="AB119" i="37"/>
  <c r="AA119" i="37"/>
  <c r="Z119" i="37"/>
  <c r="Y119" i="37"/>
  <c r="X119" i="37"/>
  <c r="W119" i="37"/>
  <c r="V119" i="37"/>
  <c r="U119" i="37"/>
  <c r="T119" i="37"/>
  <c r="S119" i="37"/>
  <c r="R119" i="37"/>
  <c r="Q119" i="37"/>
  <c r="K119" i="37"/>
  <c r="L119" i="37" s="1"/>
  <c r="M119" i="37" s="1"/>
  <c r="N119" i="37" s="1"/>
  <c r="O119" i="37" s="1"/>
  <c r="P119" i="37" s="1"/>
  <c r="J119" i="37"/>
  <c r="I119" i="37"/>
  <c r="H119" i="37"/>
  <c r="G119" i="37"/>
  <c r="F119" i="37"/>
  <c r="E119" i="37"/>
  <c r="D119" i="37"/>
  <c r="A119" i="37"/>
  <c r="BU118" i="37"/>
  <c r="BT118" i="37"/>
  <c r="BS118" i="37"/>
  <c r="BR118" i="37"/>
  <c r="BQ118" i="37"/>
  <c r="BP118" i="37"/>
  <c r="BO118" i="37"/>
  <c r="BN118" i="37"/>
  <c r="BM118" i="37"/>
  <c r="BL118" i="37"/>
  <c r="BK118" i="37"/>
  <c r="BJ118" i="37"/>
  <c r="BI118" i="37"/>
  <c r="BH118" i="37"/>
  <c r="BG118" i="37"/>
  <c r="BF118" i="37"/>
  <c r="BE118" i="37"/>
  <c r="BD118" i="37"/>
  <c r="BC118" i="37"/>
  <c r="BB118" i="37"/>
  <c r="BA118" i="37"/>
  <c r="AZ118" i="37"/>
  <c r="AY118" i="37"/>
  <c r="AX118" i="37"/>
  <c r="AW118" i="37"/>
  <c r="AV118" i="37"/>
  <c r="AU118" i="37"/>
  <c r="AT118" i="37"/>
  <c r="AS118" i="37"/>
  <c r="AR118" i="37"/>
  <c r="AQ118" i="37"/>
  <c r="AP118" i="37"/>
  <c r="AO118" i="37"/>
  <c r="AN118" i="37"/>
  <c r="AM118" i="37"/>
  <c r="AL118" i="37"/>
  <c r="AK118" i="37"/>
  <c r="AJ118" i="37"/>
  <c r="AI118" i="37"/>
  <c r="AH118" i="37"/>
  <c r="AG118" i="37"/>
  <c r="AF118" i="37"/>
  <c r="AE118" i="37"/>
  <c r="AD118" i="37"/>
  <c r="AC118" i="37"/>
  <c r="AB118" i="37"/>
  <c r="AA118" i="37"/>
  <c r="Z118" i="37"/>
  <c r="Y118" i="37"/>
  <c r="X118" i="37"/>
  <c r="W118" i="37"/>
  <c r="V118" i="37"/>
  <c r="U118" i="37"/>
  <c r="T118" i="37"/>
  <c r="S118" i="37"/>
  <c r="R118" i="37"/>
  <c r="Q118" i="37"/>
  <c r="K118" i="37"/>
  <c r="L118" i="37" s="1"/>
  <c r="M118" i="37" s="1"/>
  <c r="N118" i="37" s="1"/>
  <c r="O118" i="37" s="1"/>
  <c r="P118" i="37" s="1"/>
  <c r="J118" i="37"/>
  <c r="I118" i="37"/>
  <c r="H118" i="37"/>
  <c r="G118" i="37"/>
  <c r="F118" i="37"/>
  <c r="E118" i="37"/>
  <c r="D118" i="37"/>
  <c r="A118" i="37"/>
  <c r="BU117" i="37"/>
  <c r="BT117" i="37"/>
  <c r="BS117" i="37"/>
  <c r="BR117" i="37"/>
  <c r="BQ117" i="37"/>
  <c r="BP117" i="37"/>
  <c r="BO117" i="37"/>
  <c r="BN117" i="37"/>
  <c r="BM117" i="37"/>
  <c r="BL117" i="37"/>
  <c r="BK117" i="37"/>
  <c r="BJ117" i="37"/>
  <c r="BI117" i="37"/>
  <c r="BH117" i="37"/>
  <c r="BG117" i="37"/>
  <c r="BF117" i="37"/>
  <c r="BE117" i="37"/>
  <c r="BD117" i="37"/>
  <c r="BC117" i="37"/>
  <c r="BB117" i="37"/>
  <c r="BA117" i="37"/>
  <c r="AZ117" i="37"/>
  <c r="AY117" i="37"/>
  <c r="AX117" i="37"/>
  <c r="AW117" i="37"/>
  <c r="AV117" i="37"/>
  <c r="AU117" i="37"/>
  <c r="AT117" i="37"/>
  <c r="AS117" i="37"/>
  <c r="AR117" i="37"/>
  <c r="AQ117" i="37"/>
  <c r="AP117" i="37"/>
  <c r="AO117" i="37"/>
  <c r="AN117" i="37"/>
  <c r="AM117" i="37"/>
  <c r="AL117" i="37"/>
  <c r="AK117" i="37"/>
  <c r="AJ117" i="37"/>
  <c r="AI117" i="37"/>
  <c r="AH117" i="37"/>
  <c r="AG117" i="37"/>
  <c r="AF117" i="37"/>
  <c r="AE117" i="37"/>
  <c r="AD117" i="37"/>
  <c r="AC117" i="37"/>
  <c r="AB117" i="37"/>
  <c r="AA117" i="37"/>
  <c r="Z117" i="37"/>
  <c r="Y117" i="37"/>
  <c r="X117" i="37"/>
  <c r="W117" i="37"/>
  <c r="V117" i="37"/>
  <c r="U117" i="37"/>
  <c r="T117" i="37"/>
  <c r="S117" i="37"/>
  <c r="R117" i="37"/>
  <c r="Q117" i="37"/>
  <c r="K117" i="37"/>
  <c r="L117" i="37" s="1"/>
  <c r="M117" i="37" s="1"/>
  <c r="N117" i="37" s="1"/>
  <c r="O117" i="37" s="1"/>
  <c r="P117" i="37" s="1"/>
  <c r="J117" i="37"/>
  <c r="I117" i="37"/>
  <c r="H117" i="37"/>
  <c r="G117" i="37"/>
  <c r="F117" i="37"/>
  <c r="E117" i="37"/>
  <c r="D117" i="37"/>
  <c r="A117" i="37"/>
  <c r="BU116" i="37"/>
  <c r="BT116" i="37"/>
  <c r="BS116" i="37"/>
  <c r="BR116" i="37"/>
  <c r="BQ116" i="37"/>
  <c r="BP116" i="37"/>
  <c r="BO116" i="37"/>
  <c r="BN116" i="37"/>
  <c r="BM116" i="37"/>
  <c r="BL116" i="37"/>
  <c r="BK116" i="37"/>
  <c r="BJ116" i="37"/>
  <c r="BI116" i="37"/>
  <c r="BH116" i="37"/>
  <c r="BG116" i="37"/>
  <c r="BF116" i="37"/>
  <c r="BE116" i="37"/>
  <c r="BD116" i="37"/>
  <c r="BC116" i="37"/>
  <c r="BB116" i="37"/>
  <c r="BA116" i="37"/>
  <c r="AZ116" i="37"/>
  <c r="AY116" i="37"/>
  <c r="AX116" i="37"/>
  <c r="AW116" i="37"/>
  <c r="AV116" i="37"/>
  <c r="AU116" i="37"/>
  <c r="AT116" i="37"/>
  <c r="AS116" i="37"/>
  <c r="AR116" i="37"/>
  <c r="AQ116" i="37"/>
  <c r="AP116" i="37"/>
  <c r="AO116" i="37"/>
  <c r="AN116" i="37"/>
  <c r="AM116" i="37"/>
  <c r="AL116" i="37"/>
  <c r="AK116" i="37"/>
  <c r="AJ116" i="37"/>
  <c r="AI116" i="37"/>
  <c r="AH116" i="37"/>
  <c r="AG116" i="37"/>
  <c r="AF116" i="37"/>
  <c r="AE116" i="37"/>
  <c r="AD116" i="37"/>
  <c r="AC116" i="37"/>
  <c r="AB116" i="37"/>
  <c r="AA116" i="37"/>
  <c r="Z116" i="37"/>
  <c r="Y116" i="37"/>
  <c r="X116" i="37"/>
  <c r="W116" i="37"/>
  <c r="V116" i="37"/>
  <c r="U116" i="37"/>
  <c r="T116" i="37"/>
  <c r="S116" i="37"/>
  <c r="R116" i="37"/>
  <c r="Q116" i="37"/>
  <c r="K116" i="37"/>
  <c r="L116" i="37" s="1"/>
  <c r="M116" i="37" s="1"/>
  <c r="N116" i="37" s="1"/>
  <c r="O116" i="37" s="1"/>
  <c r="P116" i="37" s="1"/>
  <c r="J116" i="37"/>
  <c r="I116" i="37"/>
  <c r="H116" i="37"/>
  <c r="G116" i="37"/>
  <c r="F116" i="37"/>
  <c r="E116" i="37"/>
  <c r="D116" i="37"/>
  <c r="A116" i="37"/>
  <c r="BU115" i="37"/>
  <c r="BT115" i="37"/>
  <c r="BS115" i="37"/>
  <c r="BR115" i="37"/>
  <c r="BQ115" i="37"/>
  <c r="BP115" i="37"/>
  <c r="BO115" i="37"/>
  <c r="BN115" i="37"/>
  <c r="BM115" i="37"/>
  <c r="BL115" i="37"/>
  <c r="BK115" i="37"/>
  <c r="BJ115" i="37"/>
  <c r="BI115" i="37"/>
  <c r="BH115" i="37"/>
  <c r="BG115" i="37"/>
  <c r="BF115" i="37"/>
  <c r="BE115" i="37"/>
  <c r="BD115" i="37"/>
  <c r="BC115" i="37"/>
  <c r="BB115" i="37"/>
  <c r="BA115" i="37"/>
  <c r="AZ115" i="37"/>
  <c r="AY115" i="37"/>
  <c r="AX115" i="37"/>
  <c r="AW115" i="37"/>
  <c r="AV115" i="37"/>
  <c r="AU115" i="37"/>
  <c r="AT115" i="37"/>
  <c r="AS115" i="37"/>
  <c r="AR115" i="37"/>
  <c r="AQ115" i="37"/>
  <c r="AP115" i="37"/>
  <c r="AO115" i="37"/>
  <c r="AN115" i="37"/>
  <c r="AM115" i="37"/>
  <c r="AL115" i="37"/>
  <c r="AK115" i="37"/>
  <c r="AJ115" i="37"/>
  <c r="AI115" i="37"/>
  <c r="AH115" i="37"/>
  <c r="AG115" i="37"/>
  <c r="AF115" i="37"/>
  <c r="AE115" i="37"/>
  <c r="AD115" i="37"/>
  <c r="AC115" i="37"/>
  <c r="AB115" i="37"/>
  <c r="AA115" i="37"/>
  <c r="Z115" i="37"/>
  <c r="Y115" i="37"/>
  <c r="X115" i="37"/>
  <c r="W115" i="37"/>
  <c r="V115" i="37"/>
  <c r="U115" i="37"/>
  <c r="T115" i="37"/>
  <c r="S115" i="37"/>
  <c r="R115" i="37"/>
  <c r="Q115" i="37"/>
  <c r="K115" i="37"/>
  <c r="L115" i="37" s="1"/>
  <c r="M115" i="37" s="1"/>
  <c r="N115" i="37" s="1"/>
  <c r="O115" i="37" s="1"/>
  <c r="P115" i="37" s="1"/>
  <c r="J115" i="37"/>
  <c r="I115" i="37"/>
  <c r="H115" i="37"/>
  <c r="G115" i="37"/>
  <c r="F115" i="37"/>
  <c r="E115" i="37"/>
  <c r="D115" i="37"/>
  <c r="A115" i="37"/>
  <c r="BU114" i="37"/>
  <c r="BT114" i="37"/>
  <c r="BS114" i="37"/>
  <c r="BR114" i="37"/>
  <c r="BQ114" i="37"/>
  <c r="BP114" i="37"/>
  <c r="BO114" i="37"/>
  <c r="BN114" i="37"/>
  <c r="BM114" i="37"/>
  <c r="BL114" i="37"/>
  <c r="BK114" i="37"/>
  <c r="BJ114" i="37"/>
  <c r="BI114" i="37"/>
  <c r="BH114" i="37"/>
  <c r="BG114" i="37"/>
  <c r="BF114" i="37"/>
  <c r="BE114" i="37"/>
  <c r="BD114" i="37"/>
  <c r="BC114" i="37"/>
  <c r="BB114" i="37"/>
  <c r="BA114" i="37"/>
  <c r="AZ114" i="37"/>
  <c r="AY114" i="37"/>
  <c r="AX114" i="37"/>
  <c r="AW114" i="37"/>
  <c r="AV114" i="37"/>
  <c r="AU114" i="37"/>
  <c r="AT114" i="37"/>
  <c r="AS114" i="37"/>
  <c r="AR114" i="37"/>
  <c r="AQ114" i="37"/>
  <c r="AP114" i="37"/>
  <c r="AO114" i="37"/>
  <c r="AN114" i="37"/>
  <c r="AM114" i="37"/>
  <c r="AL114" i="37"/>
  <c r="AK114" i="37"/>
  <c r="AJ114" i="37"/>
  <c r="AI114" i="37"/>
  <c r="AH114" i="37"/>
  <c r="AG114" i="37"/>
  <c r="AF114" i="37"/>
  <c r="AE114" i="37"/>
  <c r="AD114" i="37"/>
  <c r="AC114" i="37"/>
  <c r="AB114" i="37"/>
  <c r="AA114" i="37"/>
  <c r="Z114" i="37"/>
  <c r="Y114" i="37"/>
  <c r="X114" i="37"/>
  <c r="W114" i="37"/>
  <c r="V114" i="37"/>
  <c r="U114" i="37"/>
  <c r="T114" i="37"/>
  <c r="S114" i="37"/>
  <c r="R114" i="37"/>
  <c r="Q114" i="37"/>
  <c r="K114" i="37"/>
  <c r="L114" i="37" s="1"/>
  <c r="M114" i="37" s="1"/>
  <c r="N114" i="37" s="1"/>
  <c r="O114" i="37" s="1"/>
  <c r="P114" i="37" s="1"/>
  <c r="J114" i="37"/>
  <c r="I114" i="37"/>
  <c r="H114" i="37"/>
  <c r="G114" i="37"/>
  <c r="F114" i="37"/>
  <c r="E114" i="37"/>
  <c r="D114" i="37"/>
  <c r="A114" i="37"/>
  <c r="BU113" i="37"/>
  <c r="BT113" i="37"/>
  <c r="BS113" i="37"/>
  <c r="BR113" i="37"/>
  <c r="BQ113" i="37"/>
  <c r="BP113" i="37"/>
  <c r="BO113" i="37"/>
  <c r="BN113" i="37"/>
  <c r="BM113" i="37"/>
  <c r="BL113" i="37"/>
  <c r="BK113" i="37"/>
  <c r="BJ113" i="37"/>
  <c r="BI113" i="37"/>
  <c r="BH113" i="37"/>
  <c r="BG113" i="37"/>
  <c r="BF113" i="37"/>
  <c r="BE113" i="37"/>
  <c r="BD113" i="37"/>
  <c r="BC113" i="37"/>
  <c r="BB113" i="37"/>
  <c r="BA113" i="37"/>
  <c r="AZ113" i="37"/>
  <c r="AY113" i="37"/>
  <c r="AX113" i="37"/>
  <c r="AW113" i="37"/>
  <c r="AV113" i="37"/>
  <c r="AU113" i="37"/>
  <c r="AT113" i="37"/>
  <c r="AS113" i="37"/>
  <c r="AR113" i="37"/>
  <c r="AQ113" i="37"/>
  <c r="AP113" i="37"/>
  <c r="AO113" i="37"/>
  <c r="AN113" i="37"/>
  <c r="AM113" i="37"/>
  <c r="AL113" i="37"/>
  <c r="AK113" i="37"/>
  <c r="AJ113" i="37"/>
  <c r="AI113" i="37"/>
  <c r="AH113" i="37"/>
  <c r="AG113" i="37"/>
  <c r="AF113" i="37"/>
  <c r="AE113" i="37"/>
  <c r="AD113" i="37"/>
  <c r="AC113" i="37"/>
  <c r="AB113" i="37"/>
  <c r="AA113" i="37"/>
  <c r="Z113" i="37"/>
  <c r="Y113" i="37"/>
  <c r="X113" i="37"/>
  <c r="W113" i="37"/>
  <c r="V113" i="37"/>
  <c r="U113" i="37"/>
  <c r="T113" i="37"/>
  <c r="S113" i="37"/>
  <c r="R113" i="37"/>
  <c r="Q113" i="37"/>
  <c r="K113" i="37"/>
  <c r="L113" i="37" s="1"/>
  <c r="M113" i="37" s="1"/>
  <c r="N113" i="37" s="1"/>
  <c r="O113" i="37" s="1"/>
  <c r="P113" i="37" s="1"/>
  <c r="J113" i="37"/>
  <c r="I113" i="37"/>
  <c r="H113" i="37"/>
  <c r="G113" i="37"/>
  <c r="F113" i="37"/>
  <c r="E113" i="37"/>
  <c r="D113" i="37"/>
  <c r="A113" i="37"/>
  <c r="BU112" i="37"/>
  <c r="BT112" i="37"/>
  <c r="BS112" i="37"/>
  <c r="BR112" i="37"/>
  <c r="BQ112" i="37"/>
  <c r="BP112" i="37"/>
  <c r="BO112" i="37"/>
  <c r="BN112" i="37"/>
  <c r="BM112" i="37"/>
  <c r="BL112" i="37"/>
  <c r="BK112" i="37"/>
  <c r="BJ112" i="37"/>
  <c r="BI112" i="37"/>
  <c r="BH112" i="37"/>
  <c r="BG112" i="37"/>
  <c r="BF112" i="37"/>
  <c r="BE112" i="37"/>
  <c r="BD112" i="37"/>
  <c r="BC112" i="37"/>
  <c r="BB112" i="37"/>
  <c r="BA112" i="37"/>
  <c r="AZ112" i="37"/>
  <c r="AY112" i="37"/>
  <c r="AX112" i="37"/>
  <c r="AW112" i="37"/>
  <c r="AV112" i="37"/>
  <c r="AU112" i="37"/>
  <c r="AT112" i="37"/>
  <c r="AS112" i="37"/>
  <c r="AR112" i="37"/>
  <c r="AQ112" i="37"/>
  <c r="AP112" i="37"/>
  <c r="AO112" i="37"/>
  <c r="AN112" i="37"/>
  <c r="AM112" i="37"/>
  <c r="AL112" i="37"/>
  <c r="AK112" i="37"/>
  <c r="AJ112" i="37"/>
  <c r="AI112" i="37"/>
  <c r="AH112" i="37"/>
  <c r="AG112" i="37"/>
  <c r="AF112" i="37"/>
  <c r="AE112" i="37"/>
  <c r="AD112" i="37"/>
  <c r="AC112" i="37"/>
  <c r="AB112" i="37"/>
  <c r="AA112" i="37"/>
  <c r="Z112" i="37"/>
  <c r="Y112" i="37"/>
  <c r="X112" i="37"/>
  <c r="W112" i="37"/>
  <c r="V112" i="37"/>
  <c r="U112" i="37"/>
  <c r="T112" i="37"/>
  <c r="S112" i="37"/>
  <c r="R112" i="37"/>
  <c r="Q112" i="37"/>
  <c r="K112" i="37"/>
  <c r="L112" i="37" s="1"/>
  <c r="M112" i="37" s="1"/>
  <c r="N112" i="37" s="1"/>
  <c r="O112" i="37" s="1"/>
  <c r="P112" i="37" s="1"/>
  <c r="J112" i="37"/>
  <c r="I112" i="37"/>
  <c r="H112" i="37"/>
  <c r="G112" i="37"/>
  <c r="F112" i="37"/>
  <c r="E112" i="37"/>
  <c r="D112" i="37"/>
  <c r="A112" i="37"/>
  <c r="BU111" i="37"/>
  <c r="BT111" i="37"/>
  <c r="BS111" i="37"/>
  <c r="BR111" i="37"/>
  <c r="BQ111" i="37"/>
  <c r="BP111" i="37"/>
  <c r="BO111" i="37"/>
  <c r="BN111" i="37"/>
  <c r="BM111" i="37"/>
  <c r="BL111" i="37"/>
  <c r="BK111" i="37"/>
  <c r="BJ111" i="37"/>
  <c r="BI111" i="37"/>
  <c r="BH111" i="37"/>
  <c r="BG111" i="37"/>
  <c r="BF111" i="37"/>
  <c r="BE111" i="37"/>
  <c r="BD111" i="37"/>
  <c r="BC111" i="37"/>
  <c r="BB111" i="37"/>
  <c r="BA111" i="37"/>
  <c r="AZ111" i="37"/>
  <c r="AY111" i="37"/>
  <c r="AX111" i="37"/>
  <c r="AW111" i="37"/>
  <c r="AV111" i="37"/>
  <c r="AU111" i="37"/>
  <c r="AT111" i="37"/>
  <c r="AS111" i="37"/>
  <c r="AR111" i="37"/>
  <c r="AQ111" i="37"/>
  <c r="AP111" i="37"/>
  <c r="AO111" i="37"/>
  <c r="AN111" i="37"/>
  <c r="AM111" i="37"/>
  <c r="AL111" i="37"/>
  <c r="AK111" i="37"/>
  <c r="AJ111" i="37"/>
  <c r="AI111" i="37"/>
  <c r="AH111" i="37"/>
  <c r="AG111" i="37"/>
  <c r="AF111" i="37"/>
  <c r="AE111" i="37"/>
  <c r="AD111" i="37"/>
  <c r="AC111" i="37"/>
  <c r="AB111" i="37"/>
  <c r="AA111" i="37"/>
  <c r="Z111" i="37"/>
  <c r="Y111" i="37"/>
  <c r="X111" i="37"/>
  <c r="W111" i="37"/>
  <c r="V111" i="37"/>
  <c r="U111" i="37"/>
  <c r="T111" i="37"/>
  <c r="S111" i="37"/>
  <c r="R111" i="37"/>
  <c r="Q111" i="37"/>
  <c r="K111" i="37"/>
  <c r="L111" i="37" s="1"/>
  <c r="M111" i="37" s="1"/>
  <c r="N111" i="37" s="1"/>
  <c r="O111" i="37" s="1"/>
  <c r="P111" i="37" s="1"/>
  <c r="J111" i="37"/>
  <c r="I111" i="37"/>
  <c r="H111" i="37"/>
  <c r="G111" i="37"/>
  <c r="F111" i="37"/>
  <c r="E111" i="37"/>
  <c r="D111" i="37"/>
  <c r="A111" i="37"/>
  <c r="BU110" i="37"/>
  <c r="BT110" i="37"/>
  <c r="BS110" i="37"/>
  <c r="BR110" i="37"/>
  <c r="BQ110" i="37"/>
  <c r="BP110" i="37"/>
  <c r="BO110" i="37"/>
  <c r="BN110" i="37"/>
  <c r="BM110" i="37"/>
  <c r="BL110" i="37"/>
  <c r="BK110" i="37"/>
  <c r="BJ110" i="37"/>
  <c r="BI110" i="37"/>
  <c r="BH110" i="37"/>
  <c r="BG110" i="37"/>
  <c r="BF110" i="37"/>
  <c r="BE110" i="37"/>
  <c r="BD110" i="37"/>
  <c r="BC110" i="37"/>
  <c r="BB110" i="37"/>
  <c r="BA110" i="37"/>
  <c r="AZ110" i="37"/>
  <c r="AY110" i="37"/>
  <c r="AX110" i="37"/>
  <c r="AW110" i="37"/>
  <c r="AV110" i="37"/>
  <c r="AU110" i="37"/>
  <c r="AT110" i="37"/>
  <c r="AS110" i="37"/>
  <c r="AR110" i="37"/>
  <c r="AQ110" i="37"/>
  <c r="AP110" i="37"/>
  <c r="AO110" i="37"/>
  <c r="AN110" i="37"/>
  <c r="AM110" i="37"/>
  <c r="AL110" i="37"/>
  <c r="AK110" i="37"/>
  <c r="AJ110" i="37"/>
  <c r="AI110" i="37"/>
  <c r="AH110" i="37"/>
  <c r="AG110" i="37"/>
  <c r="AF110" i="37"/>
  <c r="AE110" i="37"/>
  <c r="AD110" i="37"/>
  <c r="AC110" i="37"/>
  <c r="AB110" i="37"/>
  <c r="AA110" i="37"/>
  <c r="Z110" i="37"/>
  <c r="Y110" i="37"/>
  <c r="X110" i="37"/>
  <c r="W110" i="37"/>
  <c r="V110" i="37"/>
  <c r="U110" i="37"/>
  <c r="T110" i="37"/>
  <c r="S110" i="37"/>
  <c r="R110" i="37"/>
  <c r="Q110" i="37"/>
  <c r="K110" i="37"/>
  <c r="L110" i="37" s="1"/>
  <c r="M110" i="37" s="1"/>
  <c r="N110" i="37" s="1"/>
  <c r="O110" i="37" s="1"/>
  <c r="P110" i="37" s="1"/>
  <c r="J110" i="37"/>
  <c r="I110" i="37"/>
  <c r="H110" i="37"/>
  <c r="G110" i="37"/>
  <c r="F110" i="37"/>
  <c r="E110" i="37"/>
  <c r="D110" i="37"/>
  <c r="A110" i="37"/>
  <c r="BU109" i="37"/>
  <c r="BT109" i="37"/>
  <c r="BS109" i="37"/>
  <c r="BR109" i="37"/>
  <c r="BQ109" i="37"/>
  <c r="BP109" i="37"/>
  <c r="BO109" i="37"/>
  <c r="BN109" i="37"/>
  <c r="BM109" i="37"/>
  <c r="BL109" i="37"/>
  <c r="BK109" i="37"/>
  <c r="BJ109" i="37"/>
  <c r="BI109" i="37"/>
  <c r="BH109" i="37"/>
  <c r="BG109" i="37"/>
  <c r="BF109" i="37"/>
  <c r="BE109" i="37"/>
  <c r="BD109" i="37"/>
  <c r="BC109" i="37"/>
  <c r="BB109" i="37"/>
  <c r="BA109" i="37"/>
  <c r="AZ109" i="37"/>
  <c r="AY109" i="37"/>
  <c r="AX109" i="37"/>
  <c r="AW109" i="37"/>
  <c r="AV109" i="37"/>
  <c r="AU109" i="37"/>
  <c r="AT109" i="37"/>
  <c r="AS109" i="37"/>
  <c r="AR109" i="37"/>
  <c r="AQ109" i="37"/>
  <c r="AP109" i="37"/>
  <c r="AO109" i="37"/>
  <c r="AN109" i="37"/>
  <c r="AM109" i="37"/>
  <c r="AL109" i="37"/>
  <c r="AK109" i="37"/>
  <c r="AJ109" i="37"/>
  <c r="AI109" i="37"/>
  <c r="AH109" i="37"/>
  <c r="AG109" i="37"/>
  <c r="AF109" i="37"/>
  <c r="AE109" i="37"/>
  <c r="AD109" i="37"/>
  <c r="AC109" i="37"/>
  <c r="AB109" i="37"/>
  <c r="AA109" i="37"/>
  <c r="Z109" i="37"/>
  <c r="Y109" i="37"/>
  <c r="X109" i="37"/>
  <c r="W109" i="37"/>
  <c r="V109" i="37"/>
  <c r="U109" i="37"/>
  <c r="T109" i="37"/>
  <c r="S109" i="37"/>
  <c r="R109" i="37"/>
  <c r="Q109" i="37"/>
  <c r="K109" i="37"/>
  <c r="L109" i="37" s="1"/>
  <c r="M109" i="37" s="1"/>
  <c r="N109" i="37" s="1"/>
  <c r="O109" i="37" s="1"/>
  <c r="P109" i="37" s="1"/>
  <c r="J109" i="37"/>
  <c r="I109" i="37"/>
  <c r="H109" i="37"/>
  <c r="G109" i="37"/>
  <c r="F109" i="37"/>
  <c r="E109" i="37"/>
  <c r="D109" i="37"/>
  <c r="A109" i="37"/>
  <c r="BU108" i="37"/>
  <c r="BT108" i="37"/>
  <c r="BS108" i="37"/>
  <c r="BR108" i="37"/>
  <c r="BQ108" i="37"/>
  <c r="BP108" i="37"/>
  <c r="BO108" i="37"/>
  <c r="BN108" i="37"/>
  <c r="BM108" i="37"/>
  <c r="BL108" i="37"/>
  <c r="BK108" i="37"/>
  <c r="BJ108" i="37"/>
  <c r="BI108" i="37"/>
  <c r="BH108" i="37"/>
  <c r="BG108" i="37"/>
  <c r="BF108" i="37"/>
  <c r="BE108" i="37"/>
  <c r="BD108" i="37"/>
  <c r="BC108" i="37"/>
  <c r="BB108" i="37"/>
  <c r="BA108" i="37"/>
  <c r="AZ108" i="37"/>
  <c r="AY108" i="37"/>
  <c r="AX108" i="37"/>
  <c r="AW108" i="37"/>
  <c r="AV108" i="37"/>
  <c r="AU108" i="37"/>
  <c r="AT108" i="37"/>
  <c r="AS108" i="37"/>
  <c r="AR108" i="37"/>
  <c r="AQ108" i="37"/>
  <c r="AP108" i="37"/>
  <c r="AO108" i="37"/>
  <c r="AN108" i="37"/>
  <c r="AM108" i="37"/>
  <c r="AL108" i="37"/>
  <c r="AK108" i="37"/>
  <c r="AJ108" i="37"/>
  <c r="AI108" i="37"/>
  <c r="AH108" i="37"/>
  <c r="AG108" i="37"/>
  <c r="AF108" i="37"/>
  <c r="AE108" i="37"/>
  <c r="AD108" i="37"/>
  <c r="AC108" i="37"/>
  <c r="AB108" i="37"/>
  <c r="AA108" i="37"/>
  <c r="Z108" i="37"/>
  <c r="Y108" i="37"/>
  <c r="X108" i="37"/>
  <c r="W108" i="37"/>
  <c r="V108" i="37"/>
  <c r="U108" i="37"/>
  <c r="T108" i="37"/>
  <c r="S108" i="37"/>
  <c r="R108" i="37"/>
  <c r="Q108" i="37"/>
  <c r="K108" i="37"/>
  <c r="L108" i="37" s="1"/>
  <c r="M108" i="37" s="1"/>
  <c r="N108" i="37" s="1"/>
  <c r="O108" i="37" s="1"/>
  <c r="P108" i="37" s="1"/>
  <c r="J108" i="37"/>
  <c r="I108" i="37"/>
  <c r="H108" i="37"/>
  <c r="G108" i="37"/>
  <c r="F108" i="37"/>
  <c r="E108" i="37"/>
  <c r="D108" i="37"/>
  <c r="A108" i="37"/>
  <c r="BU107" i="37"/>
  <c r="BT107" i="37"/>
  <c r="BS107" i="37"/>
  <c r="BR107" i="37"/>
  <c r="BQ107" i="37"/>
  <c r="BP107" i="37"/>
  <c r="BO107" i="37"/>
  <c r="BN107" i="37"/>
  <c r="BM107" i="37"/>
  <c r="BL107" i="37"/>
  <c r="BK107" i="37"/>
  <c r="BJ107" i="37"/>
  <c r="BI107" i="37"/>
  <c r="BH107" i="37"/>
  <c r="BG107" i="37"/>
  <c r="BF107" i="37"/>
  <c r="BE107" i="37"/>
  <c r="BD107" i="37"/>
  <c r="BC107" i="37"/>
  <c r="BB107" i="37"/>
  <c r="BA107" i="37"/>
  <c r="AZ107" i="37"/>
  <c r="AY107" i="37"/>
  <c r="AX107" i="37"/>
  <c r="AW107" i="37"/>
  <c r="AV107" i="37"/>
  <c r="AU107" i="37"/>
  <c r="AT107" i="37"/>
  <c r="AS107" i="37"/>
  <c r="AR107" i="37"/>
  <c r="AQ107" i="37"/>
  <c r="AP107" i="37"/>
  <c r="AO107" i="37"/>
  <c r="AN107" i="37"/>
  <c r="AM107" i="37"/>
  <c r="AL107" i="37"/>
  <c r="AK107" i="37"/>
  <c r="AJ107" i="37"/>
  <c r="AI107" i="37"/>
  <c r="AH107" i="37"/>
  <c r="AG107" i="37"/>
  <c r="AF107" i="37"/>
  <c r="AE107" i="37"/>
  <c r="AD107" i="37"/>
  <c r="AC107" i="37"/>
  <c r="AB107" i="37"/>
  <c r="AA107" i="37"/>
  <c r="Z107" i="37"/>
  <c r="Y107" i="37"/>
  <c r="X107" i="37"/>
  <c r="W107" i="37"/>
  <c r="V107" i="37"/>
  <c r="U107" i="37"/>
  <c r="T107" i="37"/>
  <c r="S107" i="37"/>
  <c r="R107" i="37"/>
  <c r="Q107" i="37"/>
  <c r="K107" i="37"/>
  <c r="L107" i="37" s="1"/>
  <c r="M107" i="37" s="1"/>
  <c r="N107" i="37" s="1"/>
  <c r="O107" i="37" s="1"/>
  <c r="P107" i="37" s="1"/>
  <c r="J107" i="37"/>
  <c r="I107" i="37"/>
  <c r="H107" i="37"/>
  <c r="G107" i="37"/>
  <c r="F107" i="37"/>
  <c r="E107" i="37"/>
  <c r="D107" i="37"/>
  <c r="A107" i="37"/>
  <c r="BU106" i="37"/>
  <c r="BT106" i="37"/>
  <c r="BS106" i="37"/>
  <c r="BR106" i="37"/>
  <c r="BQ106" i="37"/>
  <c r="BP106" i="37"/>
  <c r="BO106" i="37"/>
  <c r="BN106" i="37"/>
  <c r="BM106" i="37"/>
  <c r="BL106" i="37"/>
  <c r="BK106" i="37"/>
  <c r="BJ106" i="37"/>
  <c r="BI106" i="37"/>
  <c r="BH106" i="37"/>
  <c r="BG106" i="37"/>
  <c r="BF106" i="37"/>
  <c r="BE106" i="37"/>
  <c r="BD106" i="37"/>
  <c r="BC106" i="37"/>
  <c r="BB106" i="37"/>
  <c r="BA106" i="37"/>
  <c r="AZ106" i="37"/>
  <c r="AY106" i="37"/>
  <c r="AX106" i="37"/>
  <c r="AW106" i="37"/>
  <c r="AV106" i="37"/>
  <c r="AU106" i="37"/>
  <c r="AT106" i="37"/>
  <c r="AS106" i="37"/>
  <c r="AR106" i="37"/>
  <c r="AQ106" i="37"/>
  <c r="AP106" i="37"/>
  <c r="AO106" i="37"/>
  <c r="AN106" i="37"/>
  <c r="AM106" i="37"/>
  <c r="AL106" i="37"/>
  <c r="AK106" i="37"/>
  <c r="AJ106" i="37"/>
  <c r="AI106" i="37"/>
  <c r="AH106" i="37"/>
  <c r="AG106" i="37"/>
  <c r="AF106" i="37"/>
  <c r="AE106" i="37"/>
  <c r="AD106" i="37"/>
  <c r="AC106" i="37"/>
  <c r="AB106" i="37"/>
  <c r="AA106" i="37"/>
  <c r="Z106" i="37"/>
  <c r="Y106" i="37"/>
  <c r="X106" i="37"/>
  <c r="W106" i="37"/>
  <c r="V106" i="37"/>
  <c r="U106" i="37"/>
  <c r="T106" i="37"/>
  <c r="S106" i="37"/>
  <c r="R106" i="37"/>
  <c r="Q106" i="37"/>
  <c r="K106" i="37"/>
  <c r="L106" i="37" s="1"/>
  <c r="M106" i="37" s="1"/>
  <c r="N106" i="37" s="1"/>
  <c r="O106" i="37" s="1"/>
  <c r="P106" i="37" s="1"/>
  <c r="J106" i="37"/>
  <c r="I106" i="37"/>
  <c r="H106" i="37"/>
  <c r="G106" i="37"/>
  <c r="F106" i="37"/>
  <c r="E106" i="37"/>
  <c r="D106" i="37"/>
  <c r="A106" i="37"/>
  <c r="BU105" i="37"/>
  <c r="BT105" i="37"/>
  <c r="BS105" i="37"/>
  <c r="BR105" i="37"/>
  <c r="BQ105" i="37"/>
  <c r="BP105" i="37"/>
  <c r="BO105" i="37"/>
  <c r="BN105" i="37"/>
  <c r="BM105" i="37"/>
  <c r="BL105" i="37"/>
  <c r="BK105" i="37"/>
  <c r="BJ105" i="37"/>
  <c r="BI105" i="37"/>
  <c r="BH105" i="37"/>
  <c r="BG105" i="37"/>
  <c r="BF105" i="37"/>
  <c r="BE105" i="37"/>
  <c r="BD105" i="37"/>
  <c r="BC105" i="37"/>
  <c r="BB105" i="37"/>
  <c r="BA105" i="37"/>
  <c r="AZ105" i="37"/>
  <c r="AY105" i="37"/>
  <c r="AX105" i="37"/>
  <c r="AW105" i="37"/>
  <c r="AV105" i="37"/>
  <c r="AU105" i="37"/>
  <c r="AT105" i="37"/>
  <c r="AS105" i="37"/>
  <c r="AR105" i="37"/>
  <c r="AQ105" i="37"/>
  <c r="AP105" i="37"/>
  <c r="AO105" i="37"/>
  <c r="AN105" i="37"/>
  <c r="AM105" i="37"/>
  <c r="AL105" i="37"/>
  <c r="AK105" i="37"/>
  <c r="AJ105" i="37"/>
  <c r="AI105" i="37"/>
  <c r="AH105" i="37"/>
  <c r="AG105" i="37"/>
  <c r="AF105" i="37"/>
  <c r="AE105" i="37"/>
  <c r="AD105" i="37"/>
  <c r="AC105" i="37"/>
  <c r="AB105" i="37"/>
  <c r="AA105" i="37"/>
  <c r="Z105" i="37"/>
  <c r="Y105" i="37"/>
  <c r="X105" i="37"/>
  <c r="W105" i="37"/>
  <c r="V105" i="37"/>
  <c r="U105" i="37"/>
  <c r="T105" i="37"/>
  <c r="S105" i="37"/>
  <c r="R105" i="37"/>
  <c r="Q105" i="37"/>
  <c r="K105" i="37"/>
  <c r="L105" i="37" s="1"/>
  <c r="M105" i="37" s="1"/>
  <c r="N105" i="37" s="1"/>
  <c r="O105" i="37" s="1"/>
  <c r="P105" i="37" s="1"/>
  <c r="J105" i="37"/>
  <c r="I105" i="37"/>
  <c r="H105" i="37"/>
  <c r="G105" i="37"/>
  <c r="F105" i="37"/>
  <c r="E105" i="37"/>
  <c r="D105" i="37"/>
  <c r="A105" i="37"/>
  <c r="BU104" i="37"/>
  <c r="BT104" i="37"/>
  <c r="BS104" i="37"/>
  <c r="BR104" i="37"/>
  <c r="BQ104" i="37"/>
  <c r="BP104" i="37"/>
  <c r="BO104" i="37"/>
  <c r="BN104" i="37"/>
  <c r="BM104" i="37"/>
  <c r="BL104" i="37"/>
  <c r="BK104" i="37"/>
  <c r="BJ104" i="37"/>
  <c r="BI104" i="37"/>
  <c r="BH104" i="37"/>
  <c r="BG104" i="37"/>
  <c r="BF104" i="37"/>
  <c r="BE104" i="37"/>
  <c r="BD104" i="37"/>
  <c r="BC104" i="37"/>
  <c r="BB104" i="37"/>
  <c r="BA104" i="37"/>
  <c r="AZ104" i="37"/>
  <c r="AY104" i="37"/>
  <c r="AX104" i="37"/>
  <c r="AW104" i="37"/>
  <c r="AV104" i="37"/>
  <c r="AU104" i="37"/>
  <c r="AT104" i="37"/>
  <c r="AS104" i="37"/>
  <c r="AR104" i="37"/>
  <c r="AQ104" i="37"/>
  <c r="AP104" i="37"/>
  <c r="AO104" i="37"/>
  <c r="AN104" i="37"/>
  <c r="AM104" i="37"/>
  <c r="AL104" i="37"/>
  <c r="AK104" i="37"/>
  <c r="AJ104" i="37"/>
  <c r="AI104" i="37"/>
  <c r="AH104" i="37"/>
  <c r="AG104" i="37"/>
  <c r="AF104" i="37"/>
  <c r="AE104" i="37"/>
  <c r="AD104" i="37"/>
  <c r="AC104" i="37"/>
  <c r="AB104" i="37"/>
  <c r="AA104" i="37"/>
  <c r="Z104" i="37"/>
  <c r="Y104" i="37"/>
  <c r="X104" i="37"/>
  <c r="W104" i="37"/>
  <c r="V104" i="37"/>
  <c r="U104" i="37"/>
  <c r="T104" i="37"/>
  <c r="S104" i="37"/>
  <c r="R104" i="37"/>
  <c r="Q104" i="37"/>
  <c r="K104" i="37"/>
  <c r="L104" i="37" s="1"/>
  <c r="M104" i="37" s="1"/>
  <c r="N104" i="37" s="1"/>
  <c r="O104" i="37" s="1"/>
  <c r="P104" i="37" s="1"/>
  <c r="J104" i="37"/>
  <c r="I104" i="37"/>
  <c r="H104" i="37"/>
  <c r="G104" i="37"/>
  <c r="F104" i="37"/>
  <c r="E104" i="37"/>
  <c r="D104" i="37"/>
  <c r="A104" i="37"/>
  <c r="BU103" i="37"/>
  <c r="BT103" i="37"/>
  <c r="BS103" i="37"/>
  <c r="BR103" i="37"/>
  <c r="BQ103" i="37"/>
  <c r="BP103" i="37"/>
  <c r="BO103" i="37"/>
  <c r="BN103" i="37"/>
  <c r="BM103" i="37"/>
  <c r="BL103" i="37"/>
  <c r="BK103" i="37"/>
  <c r="BJ103" i="37"/>
  <c r="BI103" i="37"/>
  <c r="BH103" i="37"/>
  <c r="BG103" i="37"/>
  <c r="BF103" i="37"/>
  <c r="BE103" i="37"/>
  <c r="BD103" i="37"/>
  <c r="BC103" i="37"/>
  <c r="BB103" i="37"/>
  <c r="BA103" i="37"/>
  <c r="AZ103" i="37"/>
  <c r="AY103" i="37"/>
  <c r="AX103" i="37"/>
  <c r="AW103" i="37"/>
  <c r="AV103" i="37"/>
  <c r="AU103" i="37"/>
  <c r="AT103" i="37"/>
  <c r="AS103" i="37"/>
  <c r="AR103" i="37"/>
  <c r="AQ103" i="37"/>
  <c r="AP103" i="37"/>
  <c r="AO103" i="37"/>
  <c r="AN103" i="37"/>
  <c r="AM103" i="37"/>
  <c r="AL103" i="37"/>
  <c r="AK103" i="37"/>
  <c r="AJ103" i="37"/>
  <c r="AI103" i="37"/>
  <c r="AH103" i="37"/>
  <c r="AG103" i="37"/>
  <c r="AF103" i="37"/>
  <c r="AE103" i="37"/>
  <c r="AD103" i="37"/>
  <c r="AC103" i="37"/>
  <c r="AB103" i="37"/>
  <c r="AA103" i="37"/>
  <c r="Z103" i="37"/>
  <c r="Y103" i="37"/>
  <c r="X103" i="37"/>
  <c r="W103" i="37"/>
  <c r="V103" i="37"/>
  <c r="U103" i="37"/>
  <c r="T103" i="37"/>
  <c r="S103" i="37"/>
  <c r="R103" i="37"/>
  <c r="Q103" i="37"/>
  <c r="K103" i="37"/>
  <c r="L103" i="37" s="1"/>
  <c r="M103" i="37" s="1"/>
  <c r="N103" i="37" s="1"/>
  <c r="O103" i="37" s="1"/>
  <c r="P103" i="37" s="1"/>
  <c r="J103" i="37"/>
  <c r="I103" i="37"/>
  <c r="H103" i="37"/>
  <c r="G103" i="37"/>
  <c r="F103" i="37"/>
  <c r="E103" i="37"/>
  <c r="D103" i="37"/>
  <c r="A103" i="37"/>
  <c r="BU102" i="37"/>
  <c r="BT102" i="37"/>
  <c r="BS102" i="37"/>
  <c r="BR102" i="37"/>
  <c r="BQ102" i="37"/>
  <c r="BP102" i="37"/>
  <c r="BO102" i="37"/>
  <c r="BN102" i="37"/>
  <c r="BM102" i="37"/>
  <c r="BL102" i="37"/>
  <c r="BK102" i="37"/>
  <c r="BJ102" i="37"/>
  <c r="BI102" i="37"/>
  <c r="BH102" i="37"/>
  <c r="BG102" i="37"/>
  <c r="BF102" i="37"/>
  <c r="BE102" i="37"/>
  <c r="BD102" i="37"/>
  <c r="BC102" i="37"/>
  <c r="BB102" i="37"/>
  <c r="BA102" i="37"/>
  <c r="AZ102" i="37"/>
  <c r="AY102" i="37"/>
  <c r="AX102" i="37"/>
  <c r="AW102" i="37"/>
  <c r="AV102" i="37"/>
  <c r="AU102" i="37"/>
  <c r="AT102" i="37"/>
  <c r="AS102" i="37"/>
  <c r="AR102" i="37"/>
  <c r="AQ102" i="37"/>
  <c r="AP102" i="37"/>
  <c r="AO102" i="37"/>
  <c r="AN102" i="37"/>
  <c r="AM102" i="37"/>
  <c r="AL102" i="37"/>
  <c r="AK102" i="37"/>
  <c r="AJ102" i="37"/>
  <c r="AI102" i="37"/>
  <c r="AH102" i="37"/>
  <c r="AG102" i="37"/>
  <c r="AF102" i="37"/>
  <c r="AE102" i="37"/>
  <c r="AD102" i="37"/>
  <c r="AC102" i="37"/>
  <c r="AB102" i="37"/>
  <c r="AA102" i="37"/>
  <c r="Z102" i="37"/>
  <c r="Y102" i="37"/>
  <c r="X102" i="37"/>
  <c r="W102" i="37"/>
  <c r="V102" i="37"/>
  <c r="U102" i="37"/>
  <c r="T102" i="37"/>
  <c r="S102" i="37"/>
  <c r="R102" i="37"/>
  <c r="Q102" i="37"/>
  <c r="K102" i="37"/>
  <c r="L102" i="37" s="1"/>
  <c r="M102" i="37" s="1"/>
  <c r="N102" i="37" s="1"/>
  <c r="O102" i="37" s="1"/>
  <c r="P102" i="37" s="1"/>
  <c r="J102" i="37"/>
  <c r="I102" i="37"/>
  <c r="H102" i="37"/>
  <c r="G102" i="37"/>
  <c r="F102" i="37"/>
  <c r="E102" i="37"/>
  <c r="D102" i="37"/>
  <c r="A102" i="37"/>
  <c r="BU101" i="37"/>
  <c r="BT101" i="37"/>
  <c r="BS101" i="37"/>
  <c r="BR101" i="37"/>
  <c r="BQ101" i="37"/>
  <c r="BP101" i="37"/>
  <c r="BO101" i="37"/>
  <c r="BN101" i="37"/>
  <c r="BM101" i="37"/>
  <c r="BL101" i="37"/>
  <c r="BK101" i="37"/>
  <c r="BJ101" i="37"/>
  <c r="BI101" i="37"/>
  <c r="BH101" i="37"/>
  <c r="BG101" i="37"/>
  <c r="BF101" i="37"/>
  <c r="BE101" i="37"/>
  <c r="BD101" i="37"/>
  <c r="BC101" i="37"/>
  <c r="BB101" i="37"/>
  <c r="BA101" i="37"/>
  <c r="AZ101" i="37"/>
  <c r="AY101" i="37"/>
  <c r="AX101" i="37"/>
  <c r="AW101" i="37"/>
  <c r="AV101" i="37"/>
  <c r="AU101" i="37"/>
  <c r="AT101" i="37"/>
  <c r="AS101" i="37"/>
  <c r="AR101" i="37"/>
  <c r="AQ101" i="37"/>
  <c r="AP101" i="37"/>
  <c r="AO101" i="37"/>
  <c r="AN101" i="37"/>
  <c r="AM101" i="37"/>
  <c r="AL101" i="37"/>
  <c r="AK101" i="37"/>
  <c r="AJ101" i="37"/>
  <c r="AI101" i="37"/>
  <c r="AH101" i="37"/>
  <c r="AG101" i="37"/>
  <c r="AF101" i="37"/>
  <c r="AE101" i="37"/>
  <c r="AD101" i="37"/>
  <c r="AC101" i="37"/>
  <c r="AB101" i="37"/>
  <c r="AA101" i="37"/>
  <c r="Z101" i="37"/>
  <c r="Y101" i="37"/>
  <c r="X101" i="37"/>
  <c r="W101" i="37"/>
  <c r="V101" i="37"/>
  <c r="U101" i="37"/>
  <c r="T101" i="37"/>
  <c r="S101" i="37"/>
  <c r="R101" i="37"/>
  <c r="Q101" i="37"/>
  <c r="K101" i="37"/>
  <c r="L101" i="37" s="1"/>
  <c r="M101" i="37" s="1"/>
  <c r="N101" i="37" s="1"/>
  <c r="O101" i="37" s="1"/>
  <c r="P101" i="37" s="1"/>
  <c r="J101" i="37"/>
  <c r="I101" i="37"/>
  <c r="H101" i="37"/>
  <c r="G101" i="37"/>
  <c r="F101" i="37"/>
  <c r="E101" i="37"/>
  <c r="D101" i="37"/>
  <c r="A101" i="37"/>
  <c r="BU100" i="37"/>
  <c r="BT100" i="37"/>
  <c r="BS100" i="37"/>
  <c r="BR100" i="37"/>
  <c r="BQ100" i="37"/>
  <c r="BP100" i="37"/>
  <c r="BO100" i="37"/>
  <c r="BN100" i="37"/>
  <c r="BM100" i="37"/>
  <c r="BL100" i="37"/>
  <c r="BK100" i="37"/>
  <c r="BJ100" i="37"/>
  <c r="BI100" i="37"/>
  <c r="BH100" i="37"/>
  <c r="BG100" i="37"/>
  <c r="BF100" i="37"/>
  <c r="BE100" i="37"/>
  <c r="BD100" i="37"/>
  <c r="BC100" i="37"/>
  <c r="BB100" i="37"/>
  <c r="BA100" i="37"/>
  <c r="AZ100" i="37"/>
  <c r="AY100" i="37"/>
  <c r="AX100" i="37"/>
  <c r="AW100" i="37"/>
  <c r="AV100" i="37"/>
  <c r="AU100" i="37"/>
  <c r="AT100" i="37"/>
  <c r="AS100" i="37"/>
  <c r="AR100" i="37"/>
  <c r="AQ100" i="37"/>
  <c r="AP100" i="37"/>
  <c r="AO100" i="37"/>
  <c r="AN100" i="37"/>
  <c r="AM100" i="37"/>
  <c r="AL100" i="37"/>
  <c r="AK100" i="37"/>
  <c r="AJ100" i="37"/>
  <c r="AI100" i="37"/>
  <c r="AH100" i="37"/>
  <c r="AG100" i="37"/>
  <c r="AF100" i="37"/>
  <c r="AE100" i="37"/>
  <c r="AD100" i="37"/>
  <c r="AC100" i="37"/>
  <c r="AB100" i="37"/>
  <c r="AA100" i="37"/>
  <c r="Z100" i="37"/>
  <c r="Y100" i="37"/>
  <c r="X100" i="37"/>
  <c r="W100" i="37"/>
  <c r="V100" i="37"/>
  <c r="U100" i="37"/>
  <c r="T100" i="37"/>
  <c r="S100" i="37"/>
  <c r="R100" i="37"/>
  <c r="Q100" i="37"/>
  <c r="K100" i="37"/>
  <c r="L100" i="37" s="1"/>
  <c r="M100" i="37" s="1"/>
  <c r="N100" i="37" s="1"/>
  <c r="O100" i="37" s="1"/>
  <c r="P100" i="37" s="1"/>
  <c r="J100" i="37"/>
  <c r="I100" i="37"/>
  <c r="H100" i="37"/>
  <c r="G100" i="37"/>
  <c r="F100" i="37"/>
  <c r="E100" i="37"/>
  <c r="D100" i="37"/>
  <c r="A100" i="37"/>
  <c r="BU99" i="37"/>
  <c r="BT99" i="37"/>
  <c r="BS99" i="37"/>
  <c r="BR99" i="37"/>
  <c r="BQ99" i="37"/>
  <c r="BP99" i="37"/>
  <c r="BO99" i="37"/>
  <c r="BN99" i="37"/>
  <c r="BM99" i="37"/>
  <c r="BL99" i="37"/>
  <c r="BK99" i="37"/>
  <c r="BJ99" i="37"/>
  <c r="BI99" i="37"/>
  <c r="BH99" i="37"/>
  <c r="BG99" i="37"/>
  <c r="BF99" i="37"/>
  <c r="BE99" i="37"/>
  <c r="BD99" i="37"/>
  <c r="BC99" i="37"/>
  <c r="BB99" i="37"/>
  <c r="BA99" i="37"/>
  <c r="AZ99" i="37"/>
  <c r="AY99" i="37"/>
  <c r="AX99" i="37"/>
  <c r="AW99" i="37"/>
  <c r="AV99" i="37"/>
  <c r="AU99" i="37"/>
  <c r="AT99" i="37"/>
  <c r="AS99" i="37"/>
  <c r="AR99" i="37"/>
  <c r="AQ99" i="37"/>
  <c r="AP99" i="37"/>
  <c r="AO99" i="37"/>
  <c r="AN99" i="37"/>
  <c r="AM99" i="37"/>
  <c r="AL99" i="37"/>
  <c r="AK99" i="37"/>
  <c r="AJ99" i="37"/>
  <c r="AI99" i="37"/>
  <c r="AH99" i="37"/>
  <c r="AG99" i="37"/>
  <c r="AF99" i="37"/>
  <c r="AE99" i="37"/>
  <c r="AD99" i="37"/>
  <c r="AC99" i="37"/>
  <c r="AB99" i="37"/>
  <c r="AA99" i="37"/>
  <c r="Z99" i="37"/>
  <c r="Y99" i="37"/>
  <c r="X99" i="37"/>
  <c r="W99" i="37"/>
  <c r="V99" i="37"/>
  <c r="U99" i="37"/>
  <c r="T99" i="37"/>
  <c r="S99" i="37"/>
  <c r="R99" i="37"/>
  <c r="Q99" i="37"/>
  <c r="K99" i="37"/>
  <c r="L99" i="37" s="1"/>
  <c r="M99" i="37" s="1"/>
  <c r="N99" i="37" s="1"/>
  <c r="O99" i="37" s="1"/>
  <c r="P99" i="37" s="1"/>
  <c r="J99" i="37"/>
  <c r="I99" i="37"/>
  <c r="H99" i="37"/>
  <c r="G99" i="37"/>
  <c r="F99" i="37"/>
  <c r="E99" i="37"/>
  <c r="D99" i="37"/>
  <c r="A99" i="37"/>
  <c r="BU98" i="37"/>
  <c r="BT98" i="37"/>
  <c r="BS98" i="37"/>
  <c r="BR98" i="37"/>
  <c r="BQ98" i="37"/>
  <c r="BP98" i="37"/>
  <c r="BO98" i="37"/>
  <c r="BN98" i="37"/>
  <c r="BM98" i="37"/>
  <c r="BL98" i="37"/>
  <c r="BK98" i="37"/>
  <c r="BJ98" i="37"/>
  <c r="BI98" i="37"/>
  <c r="BH98" i="37"/>
  <c r="BG98" i="37"/>
  <c r="BF98" i="37"/>
  <c r="BE98" i="37"/>
  <c r="BD98" i="37"/>
  <c r="BC98" i="37"/>
  <c r="BB98" i="37"/>
  <c r="BA98" i="37"/>
  <c r="AZ98" i="37"/>
  <c r="AY98" i="37"/>
  <c r="AX98" i="37"/>
  <c r="AW98" i="37"/>
  <c r="AV98" i="37"/>
  <c r="AU98" i="37"/>
  <c r="AT98" i="37"/>
  <c r="AS98" i="37"/>
  <c r="AR98" i="37"/>
  <c r="AQ98" i="37"/>
  <c r="AP98" i="37"/>
  <c r="AO98" i="37"/>
  <c r="AN98" i="37"/>
  <c r="AM98" i="37"/>
  <c r="AL98" i="37"/>
  <c r="AK98" i="37"/>
  <c r="AJ98" i="37"/>
  <c r="AI98" i="37"/>
  <c r="AH98" i="37"/>
  <c r="AG98" i="37"/>
  <c r="AF98" i="37"/>
  <c r="AE98" i="37"/>
  <c r="AD98" i="37"/>
  <c r="AC98" i="37"/>
  <c r="AB98" i="37"/>
  <c r="AA98" i="37"/>
  <c r="Z98" i="37"/>
  <c r="Y98" i="37"/>
  <c r="X98" i="37"/>
  <c r="W98" i="37"/>
  <c r="V98" i="37"/>
  <c r="U98" i="37"/>
  <c r="T98" i="37"/>
  <c r="S98" i="37"/>
  <c r="R98" i="37"/>
  <c r="Q98" i="37"/>
  <c r="K98" i="37"/>
  <c r="L98" i="37" s="1"/>
  <c r="M98" i="37" s="1"/>
  <c r="N98" i="37" s="1"/>
  <c r="O98" i="37" s="1"/>
  <c r="P98" i="37" s="1"/>
  <c r="J98" i="37"/>
  <c r="I98" i="37"/>
  <c r="H98" i="37"/>
  <c r="G98" i="37"/>
  <c r="F98" i="37"/>
  <c r="E98" i="37"/>
  <c r="D98" i="37"/>
  <c r="A98" i="37"/>
  <c r="BU97" i="37"/>
  <c r="BT97" i="37"/>
  <c r="BS97" i="37"/>
  <c r="BR97" i="37"/>
  <c r="BQ97" i="37"/>
  <c r="BP97" i="37"/>
  <c r="BO97" i="37"/>
  <c r="BN97" i="37"/>
  <c r="BM97" i="37"/>
  <c r="BL97" i="37"/>
  <c r="BK97" i="37"/>
  <c r="BJ97" i="37"/>
  <c r="BI97" i="37"/>
  <c r="BH97" i="37"/>
  <c r="BG97" i="37"/>
  <c r="BF97" i="37"/>
  <c r="BE97" i="37"/>
  <c r="BD97" i="37"/>
  <c r="BC97" i="37"/>
  <c r="BB97" i="37"/>
  <c r="BA97" i="37"/>
  <c r="AZ97" i="37"/>
  <c r="AY97" i="37"/>
  <c r="AX97" i="37"/>
  <c r="AW97" i="37"/>
  <c r="AV97" i="37"/>
  <c r="AU97" i="37"/>
  <c r="AT97" i="37"/>
  <c r="AS97" i="37"/>
  <c r="AR97" i="37"/>
  <c r="AQ97" i="37"/>
  <c r="AP97" i="37"/>
  <c r="AO97" i="37"/>
  <c r="AN97" i="37"/>
  <c r="AM97" i="37"/>
  <c r="AL97" i="37"/>
  <c r="AK97" i="37"/>
  <c r="AJ97" i="37"/>
  <c r="AI97" i="37"/>
  <c r="AH97" i="37"/>
  <c r="AG97" i="37"/>
  <c r="AF97" i="37"/>
  <c r="AE97" i="37"/>
  <c r="AD97" i="37"/>
  <c r="AC97" i="37"/>
  <c r="AB97" i="37"/>
  <c r="AA97" i="37"/>
  <c r="Z97" i="37"/>
  <c r="Y97" i="37"/>
  <c r="X97" i="37"/>
  <c r="W97" i="37"/>
  <c r="V97" i="37"/>
  <c r="U97" i="37"/>
  <c r="T97" i="37"/>
  <c r="S97" i="37"/>
  <c r="R97" i="37"/>
  <c r="Q97" i="37"/>
  <c r="K97" i="37"/>
  <c r="L97" i="37" s="1"/>
  <c r="M97" i="37" s="1"/>
  <c r="N97" i="37" s="1"/>
  <c r="O97" i="37" s="1"/>
  <c r="P97" i="37" s="1"/>
  <c r="J97" i="37"/>
  <c r="I97" i="37"/>
  <c r="H97" i="37"/>
  <c r="G97" i="37"/>
  <c r="F97" i="37"/>
  <c r="E97" i="37"/>
  <c r="D97" i="37"/>
  <c r="A97" i="37"/>
  <c r="BU96" i="37"/>
  <c r="BT96" i="37"/>
  <c r="BS96" i="37"/>
  <c r="BR96" i="37"/>
  <c r="BQ96" i="37"/>
  <c r="BP96" i="37"/>
  <c r="BO96" i="37"/>
  <c r="BN96" i="37"/>
  <c r="BM96" i="37"/>
  <c r="BL96" i="37"/>
  <c r="BK96" i="37"/>
  <c r="BJ96" i="37"/>
  <c r="BI96" i="37"/>
  <c r="BH96" i="37"/>
  <c r="BG96" i="37"/>
  <c r="BF96" i="37"/>
  <c r="BE96" i="37"/>
  <c r="BD96" i="37"/>
  <c r="BC96" i="37"/>
  <c r="BB96" i="37"/>
  <c r="BA96" i="37"/>
  <c r="AZ96" i="37"/>
  <c r="AY96" i="37"/>
  <c r="AX96" i="37"/>
  <c r="AW96" i="37"/>
  <c r="AV96" i="37"/>
  <c r="AU96" i="37"/>
  <c r="AT96" i="37"/>
  <c r="AS96" i="37"/>
  <c r="AR96" i="37"/>
  <c r="AQ96" i="37"/>
  <c r="AP96" i="37"/>
  <c r="AO96" i="37"/>
  <c r="AN96" i="37"/>
  <c r="AM96" i="37"/>
  <c r="AL96" i="37"/>
  <c r="AK96" i="37"/>
  <c r="AJ96" i="37"/>
  <c r="AI96" i="37"/>
  <c r="AH96" i="37"/>
  <c r="AG96" i="37"/>
  <c r="AF96" i="37"/>
  <c r="AE96" i="37"/>
  <c r="AD96" i="37"/>
  <c r="AC96" i="37"/>
  <c r="AB96" i="37"/>
  <c r="AA96" i="37"/>
  <c r="Z96" i="37"/>
  <c r="Y96" i="37"/>
  <c r="X96" i="37"/>
  <c r="W96" i="37"/>
  <c r="V96" i="37"/>
  <c r="U96" i="37"/>
  <c r="T96" i="37"/>
  <c r="S96" i="37"/>
  <c r="R96" i="37"/>
  <c r="Q96" i="37"/>
  <c r="K96" i="37"/>
  <c r="L96" i="37" s="1"/>
  <c r="M96" i="37" s="1"/>
  <c r="N96" i="37" s="1"/>
  <c r="O96" i="37" s="1"/>
  <c r="P96" i="37" s="1"/>
  <c r="J96" i="37"/>
  <c r="I96" i="37"/>
  <c r="H96" i="37"/>
  <c r="G96" i="37"/>
  <c r="F96" i="37"/>
  <c r="E96" i="37"/>
  <c r="D96" i="37"/>
  <c r="A96" i="37"/>
  <c r="BU95" i="37"/>
  <c r="BT95" i="37"/>
  <c r="BS95" i="37"/>
  <c r="BR95" i="37"/>
  <c r="BQ95" i="37"/>
  <c r="BP95" i="37"/>
  <c r="BO95" i="37"/>
  <c r="BN95" i="37"/>
  <c r="BM95" i="37"/>
  <c r="BL95" i="37"/>
  <c r="BK95" i="37"/>
  <c r="BJ95" i="37"/>
  <c r="BI95" i="37"/>
  <c r="BH95" i="37"/>
  <c r="BG95" i="37"/>
  <c r="BF95" i="37"/>
  <c r="BE95" i="37"/>
  <c r="BD95" i="37"/>
  <c r="BC95" i="37"/>
  <c r="BB95" i="37"/>
  <c r="BA95" i="37"/>
  <c r="AZ95" i="37"/>
  <c r="AY95" i="37"/>
  <c r="AX95" i="37"/>
  <c r="AW95" i="37"/>
  <c r="AV95" i="37"/>
  <c r="AU95" i="37"/>
  <c r="AT95" i="37"/>
  <c r="AS95" i="37"/>
  <c r="AR95" i="37"/>
  <c r="AQ95" i="37"/>
  <c r="AP95" i="37"/>
  <c r="AO95" i="37"/>
  <c r="AN95" i="37"/>
  <c r="AM95" i="37"/>
  <c r="AL95" i="37"/>
  <c r="AK95" i="37"/>
  <c r="AJ95" i="37"/>
  <c r="AI95" i="37"/>
  <c r="AH95" i="37"/>
  <c r="AG95" i="37"/>
  <c r="AF95" i="37"/>
  <c r="AE95" i="37"/>
  <c r="AD95" i="37"/>
  <c r="AC95" i="37"/>
  <c r="AB95" i="37"/>
  <c r="AA95" i="37"/>
  <c r="Z95" i="37"/>
  <c r="Y95" i="37"/>
  <c r="X95" i="37"/>
  <c r="W95" i="37"/>
  <c r="V95" i="37"/>
  <c r="U95" i="37"/>
  <c r="T95" i="37"/>
  <c r="S95" i="37"/>
  <c r="R95" i="37"/>
  <c r="Q95" i="37"/>
  <c r="K95" i="37"/>
  <c r="L95" i="37" s="1"/>
  <c r="M95" i="37" s="1"/>
  <c r="N95" i="37" s="1"/>
  <c r="O95" i="37" s="1"/>
  <c r="P95" i="37" s="1"/>
  <c r="J95" i="37"/>
  <c r="I95" i="37"/>
  <c r="H95" i="37"/>
  <c r="G95" i="37"/>
  <c r="F95" i="37"/>
  <c r="E95" i="37"/>
  <c r="D95" i="37"/>
  <c r="A95" i="37"/>
  <c r="BU94" i="37"/>
  <c r="BT94" i="37"/>
  <c r="BS94" i="37"/>
  <c r="BR94" i="37"/>
  <c r="BQ94" i="37"/>
  <c r="BP94" i="37"/>
  <c r="BO94" i="37"/>
  <c r="BN94" i="37"/>
  <c r="BM94" i="37"/>
  <c r="BL94" i="37"/>
  <c r="BK94" i="37"/>
  <c r="BJ94" i="37"/>
  <c r="BI94" i="37"/>
  <c r="BH94" i="37"/>
  <c r="BG94" i="37"/>
  <c r="BF94" i="37"/>
  <c r="BE94" i="37"/>
  <c r="BD94" i="37"/>
  <c r="BC94" i="37"/>
  <c r="BB94" i="37"/>
  <c r="BA94" i="37"/>
  <c r="AZ94" i="37"/>
  <c r="AY94" i="37"/>
  <c r="AX94" i="37"/>
  <c r="AW94" i="37"/>
  <c r="AV94" i="37"/>
  <c r="AU94" i="37"/>
  <c r="AT94" i="37"/>
  <c r="AS94" i="37"/>
  <c r="AR94" i="37"/>
  <c r="AQ94" i="37"/>
  <c r="AP94" i="37"/>
  <c r="AO94" i="37"/>
  <c r="AN94" i="37"/>
  <c r="AM94" i="37"/>
  <c r="AL94" i="37"/>
  <c r="AK94" i="37"/>
  <c r="AJ94" i="37"/>
  <c r="AI94" i="37"/>
  <c r="AH94" i="37"/>
  <c r="AG94" i="37"/>
  <c r="AF94" i="37"/>
  <c r="AE94" i="37"/>
  <c r="AD94" i="37"/>
  <c r="AC94" i="37"/>
  <c r="AB94" i="37"/>
  <c r="AA94" i="37"/>
  <c r="Z94" i="37"/>
  <c r="Y94" i="37"/>
  <c r="X94" i="37"/>
  <c r="W94" i="37"/>
  <c r="V94" i="37"/>
  <c r="U94" i="37"/>
  <c r="T94" i="37"/>
  <c r="S94" i="37"/>
  <c r="R94" i="37"/>
  <c r="Q94" i="37"/>
  <c r="K94" i="37"/>
  <c r="L94" i="37" s="1"/>
  <c r="M94" i="37" s="1"/>
  <c r="N94" i="37" s="1"/>
  <c r="O94" i="37" s="1"/>
  <c r="P94" i="37" s="1"/>
  <c r="J94" i="37"/>
  <c r="I94" i="37"/>
  <c r="H94" i="37"/>
  <c r="G94" i="37"/>
  <c r="F94" i="37"/>
  <c r="E94" i="37"/>
  <c r="D94" i="37"/>
  <c r="A94" i="37"/>
  <c r="BU93" i="37"/>
  <c r="BT93" i="37"/>
  <c r="BS93" i="37"/>
  <c r="BR93" i="37"/>
  <c r="BQ93" i="37"/>
  <c r="BP93" i="37"/>
  <c r="BO93" i="37"/>
  <c r="BN93" i="37"/>
  <c r="BM93" i="37"/>
  <c r="BL93" i="37"/>
  <c r="BK93" i="37"/>
  <c r="BJ93" i="37"/>
  <c r="BI93" i="37"/>
  <c r="BH93" i="37"/>
  <c r="BG93" i="37"/>
  <c r="BF93" i="37"/>
  <c r="BE93" i="37"/>
  <c r="BD93" i="37"/>
  <c r="BC93" i="37"/>
  <c r="BB93" i="37"/>
  <c r="BA93" i="37"/>
  <c r="AZ93" i="37"/>
  <c r="AY93" i="37"/>
  <c r="AX93" i="37"/>
  <c r="AW93" i="37"/>
  <c r="AV93" i="37"/>
  <c r="AU93" i="37"/>
  <c r="AT93" i="37"/>
  <c r="AS93" i="37"/>
  <c r="AR93" i="37"/>
  <c r="AQ93" i="37"/>
  <c r="AP93" i="37"/>
  <c r="AO93" i="37"/>
  <c r="AN93" i="37"/>
  <c r="AM93" i="37"/>
  <c r="AL93" i="37"/>
  <c r="AK93" i="37"/>
  <c r="AJ93" i="37"/>
  <c r="AI93" i="37"/>
  <c r="AH93" i="37"/>
  <c r="AG93" i="37"/>
  <c r="AF93" i="37"/>
  <c r="AE93" i="37"/>
  <c r="AD93" i="37"/>
  <c r="AC93" i="37"/>
  <c r="AB93" i="37"/>
  <c r="AA93" i="37"/>
  <c r="Z93" i="37"/>
  <c r="Y93" i="37"/>
  <c r="X93" i="37"/>
  <c r="W93" i="37"/>
  <c r="V93" i="37"/>
  <c r="U93" i="37"/>
  <c r="T93" i="37"/>
  <c r="S93" i="37"/>
  <c r="R93" i="37"/>
  <c r="Q93" i="37"/>
  <c r="K93" i="37"/>
  <c r="L93" i="37" s="1"/>
  <c r="M93" i="37" s="1"/>
  <c r="N93" i="37" s="1"/>
  <c r="O93" i="37" s="1"/>
  <c r="P93" i="37" s="1"/>
  <c r="J93" i="37"/>
  <c r="I93" i="37"/>
  <c r="H93" i="37"/>
  <c r="G93" i="37"/>
  <c r="F93" i="37"/>
  <c r="E93" i="37"/>
  <c r="D93" i="37"/>
  <c r="A93" i="37"/>
  <c r="BU92" i="37"/>
  <c r="BT92" i="37"/>
  <c r="BS92" i="37"/>
  <c r="BR92" i="37"/>
  <c r="BQ92" i="37"/>
  <c r="BP92" i="37"/>
  <c r="BO92" i="37"/>
  <c r="BN92" i="37"/>
  <c r="BM92" i="37"/>
  <c r="BL92" i="37"/>
  <c r="BK92" i="37"/>
  <c r="BJ92" i="37"/>
  <c r="BI92" i="37"/>
  <c r="BH92" i="37"/>
  <c r="BG92" i="37"/>
  <c r="BF92" i="37"/>
  <c r="BE92" i="37"/>
  <c r="BD92" i="37"/>
  <c r="BC92" i="37"/>
  <c r="BB92" i="37"/>
  <c r="BA92" i="37"/>
  <c r="AZ92" i="37"/>
  <c r="AY92" i="37"/>
  <c r="AX92" i="37"/>
  <c r="AW92" i="37"/>
  <c r="AV92" i="37"/>
  <c r="AU92" i="37"/>
  <c r="AT92" i="37"/>
  <c r="AS92" i="37"/>
  <c r="AR92" i="37"/>
  <c r="AQ92" i="37"/>
  <c r="AP92" i="37"/>
  <c r="AO92" i="37"/>
  <c r="AN92" i="37"/>
  <c r="AM92" i="37"/>
  <c r="AL92" i="37"/>
  <c r="AK92" i="37"/>
  <c r="AJ92" i="37"/>
  <c r="AI92" i="37"/>
  <c r="AH92" i="37"/>
  <c r="AG92" i="37"/>
  <c r="AF92" i="37"/>
  <c r="AE92" i="37"/>
  <c r="AD92" i="37"/>
  <c r="AC92" i="37"/>
  <c r="AB92" i="37"/>
  <c r="AA92" i="37"/>
  <c r="Z92" i="37"/>
  <c r="Y92" i="37"/>
  <c r="X92" i="37"/>
  <c r="W92" i="37"/>
  <c r="V92" i="37"/>
  <c r="U92" i="37"/>
  <c r="T92" i="37"/>
  <c r="S92" i="37"/>
  <c r="R92" i="37"/>
  <c r="Q92" i="37"/>
  <c r="K92" i="37"/>
  <c r="L92" i="37" s="1"/>
  <c r="M92" i="37" s="1"/>
  <c r="N92" i="37" s="1"/>
  <c r="O92" i="37" s="1"/>
  <c r="P92" i="37" s="1"/>
  <c r="J92" i="37"/>
  <c r="I92" i="37"/>
  <c r="H92" i="37"/>
  <c r="G92" i="37"/>
  <c r="F92" i="37"/>
  <c r="E92" i="37"/>
  <c r="D92" i="37"/>
  <c r="A92" i="37"/>
  <c r="BU91" i="37"/>
  <c r="BT91" i="37"/>
  <c r="BS91" i="37"/>
  <c r="BR91" i="37"/>
  <c r="BQ91" i="37"/>
  <c r="BP91" i="37"/>
  <c r="BO91" i="37"/>
  <c r="BN91" i="37"/>
  <c r="BM91" i="37"/>
  <c r="BL91" i="37"/>
  <c r="BK91" i="37"/>
  <c r="BJ91" i="37"/>
  <c r="BI91" i="37"/>
  <c r="BH91" i="37"/>
  <c r="BG91" i="37"/>
  <c r="BF91" i="37"/>
  <c r="BE91" i="37"/>
  <c r="BD91" i="37"/>
  <c r="BC91" i="37"/>
  <c r="BB91" i="37"/>
  <c r="BA91" i="37"/>
  <c r="AZ91" i="37"/>
  <c r="AY91" i="37"/>
  <c r="AX91" i="37"/>
  <c r="AW91" i="37"/>
  <c r="AV91" i="37"/>
  <c r="AU91" i="37"/>
  <c r="AT91" i="37"/>
  <c r="AS91" i="37"/>
  <c r="AR91" i="37"/>
  <c r="AQ91" i="37"/>
  <c r="AP91" i="37"/>
  <c r="AO91" i="37"/>
  <c r="AN91" i="37"/>
  <c r="AM91" i="37"/>
  <c r="AL91" i="37"/>
  <c r="AK91" i="37"/>
  <c r="AJ91" i="37"/>
  <c r="AI91" i="37"/>
  <c r="AH91" i="37"/>
  <c r="AG91" i="37"/>
  <c r="AF91" i="37"/>
  <c r="AE91" i="37"/>
  <c r="AD91" i="37"/>
  <c r="AC91" i="37"/>
  <c r="AB91" i="37"/>
  <c r="AA91" i="37"/>
  <c r="Z91" i="37"/>
  <c r="Y91" i="37"/>
  <c r="X91" i="37"/>
  <c r="W91" i="37"/>
  <c r="V91" i="37"/>
  <c r="U91" i="37"/>
  <c r="T91" i="37"/>
  <c r="S91" i="37"/>
  <c r="R91" i="37"/>
  <c r="Q91" i="37"/>
  <c r="K91" i="37"/>
  <c r="L91" i="37" s="1"/>
  <c r="M91" i="37" s="1"/>
  <c r="N91" i="37" s="1"/>
  <c r="O91" i="37" s="1"/>
  <c r="P91" i="37" s="1"/>
  <c r="J91" i="37"/>
  <c r="I91" i="37"/>
  <c r="H91" i="37"/>
  <c r="G91" i="37"/>
  <c r="F91" i="37"/>
  <c r="E91" i="37"/>
  <c r="D91" i="37"/>
  <c r="A91" i="37"/>
  <c r="BU90" i="37"/>
  <c r="BT90" i="37"/>
  <c r="BS90" i="37"/>
  <c r="BR90" i="37"/>
  <c r="BQ90" i="37"/>
  <c r="BP90" i="37"/>
  <c r="BO90" i="37"/>
  <c r="BN90" i="37"/>
  <c r="BM90" i="37"/>
  <c r="BL90" i="37"/>
  <c r="BK90" i="37"/>
  <c r="BJ90" i="37"/>
  <c r="BI90" i="37"/>
  <c r="BH90" i="37"/>
  <c r="BG90" i="37"/>
  <c r="BF90" i="37"/>
  <c r="BE90" i="37"/>
  <c r="BD90" i="37"/>
  <c r="BC90" i="37"/>
  <c r="BB90" i="37"/>
  <c r="BA90" i="37"/>
  <c r="AZ90" i="37"/>
  <c r="AY90" i="37"/>
  <c r="AX90" i="37"/>
  <c r="AW90" i="37"/>
  <c r="AV90" i="37"/>
  <c r="AU90" i="37"/>
  <c r="AT90" i="37"/>
  <c r="AS90" i="37"/>
  <c r="AR90" i="37"/>
  <c r="AQ90" i="37"/>
  <c r="AP90" i="37"/>
  <c r="AO90" i="37"/>
  <c r="AN90" i="37"/>
  <c r="AM90" i="37"/>
  <c r="AL90" i="37"/>
  <c r="AK90" i="37"/>
  <c r="AJ90" i="37"/>
  <c r="AI90" i="37"/>
  <c r="AH90" i="37"/>
  <c r="AG90" i="37"/>
  <c r="AF90" i="37"/>
  <c r="AE90" i="37"/>
  <c r="AD90" i="37"/>
  <c r="AC90" i="37"/>
  <c r="AB90" i="37"/>
  <c r="AA90" i="37"/>
  <c r="Z90" i="37"/>
  <c r="Y90" i="37"/>
  <c r="X90" i="37"/>
  <c r="W90" i="37"/>
  <c r="V90" i="37"/>
  <c r="U90" i="37"/>
  <c r="T90" i="37"/>
  <c r="S90" i="37"/>
  <c r="R90" i="37"/>
  <c r="Q90" i="37"/>
  <c r="K90" i="37"/>
  <c r="L90" i="37" s="1"/>
  <c r="M90" i="37" s="1"/>
  <c r="N90" i="37" s="1"/>
  <c r="O90" i="37" s="1"/>
  <c r="P90" i="37" s="1"/>
  <c r="J90" i="37"/>
  <c r="I90" i="37"/>
  <c r="H90" i="37"/>
  <c r="G90" i="37"/>
  <c r="F90" i="37"/>
  <c r="E90" i="37"/>
  <c r="D90" i="37"/>
  <c r="A90" i="37"/>
  <c r="BU89" i="37"/>
  <c r="BT89" i="37"/>
  <c r="BS89" i="37"/>
  <c r="BR89" i="37"/>
  <c r="BQ89" i="37"/>
  <c r="BP89" i="37"/>
  <c r="BO89" i="37"/>
  <c r="BN89" i="37"/>
  <c r="BM89" i="37"/>
  <c r="BL89" i="37"/>
  <c r="BK89" i="37"/>
  <c r="BJ89" i="37"/>
  <c r="BI89" i="37"/>
  <c r="BH89" i="37"/>
  <c r="BG89" i="37"/>
  <c r="BF89" i="37"/>
  <c r="BE89" i="37"/>
  <c r="BD89" i="37"/>
  <c r="BC89" i="37"/>
  <c r="BB89" i="37"/>
  <c r="BA89" i="37"/>
  <c r="AZ89" i="37"/>
  <c r="AY89" i="37"/>
  <c r="AX89" i="37"/>
  <c r="AW89" i="37"/>
  <c r="AV89" i="37"/>
  <c r="AU89" i="37"/>
  <c r="AT89" i="37"/>
  <c r="AS89" i="37"/>
  <c r="AR89" i="37"/>
  <c r="AQ89" i="37"/>
  <c r="AP89" i="37"/>
  <c r="AO89" i="37"/>
  <c r="AN89" i="37"/>
  <c r="AM89" i="37"/>
  <c r="AL89" i="37"/>
  <c r="AK89" i="37"/>
  <c r="AJ89" i="37"/>
  <c r="AI89" i="37"/>
  <c r="AH89" i="37"/>
  <c r="AG89" i="37"/>
  <c r="AF89" i="37"/>
  <c r="AE89" i="37"/>
  <c r="AD89" i="37"/>
  <c r="AC89" i="37"/>
  <c r="AB89" i="37"/>
  <c r="AA89" i="37"/>
  <c r="Z89" i="37"/>
  <c r="Y89" i="37"/>
  <c r="X89" i="37"/>
  <c r="W89" i="37"/>
  <c r="V89" i="37"/>
  <c r="U89" i="37"/>
  <c r="T89" i="37"/>
  <c r="S89" i="37"/>
  <c r="R89" i="37"/>
  <c r="Q89" i="37"/>
  <c r="K89" i="37"/>
  <c r="L89" i="37" s="1"/>
  <c r="M89" i="37" s="1"/>
  <c r="N89" i="37" s="1"/>
  <c r="O89" i="37" s="1"/>
  <c r="P89" i="37" s="1"/>
  <c r="J89" i="37"/>
  <c r="I89" i="37"/>
  <c r="H89" i="37"/>
  <c r="G89" i="37"/>
  <c r="F89" i="37"/>
  <c r="E89" i="37"/>
  <c r="D89" i="37"/>
  <c r="A89" i="37"/>
  <c r="BU88" i="37"/>
  <c r="BT88" i="37"/>
  <c r="BS88" i="37"/>
  <c r="BR88" i="37"/>
  <c r="BQ88" i="37"/>
  <c r="BP88" i="37"/>
  <c r="BO88" i="37"/>
  <c r="BN88" i="37"/>
  <c r="BM88" i="37"/>
  <c r="BL88" i="37"/>
  <c r="BK88" i="37"/>
  <c r="BJ88" i="37"/>
  <c r="BI88" i="37"/>
  <c r="BH88" i="37"/>
  <c r="BG88" i="37"/>
  <c r="BF88" i="37"/>
  <c r="BE88" i="37"/>
  <c r="BD88" i="37"/>
  <c r="BC88" i="37"/>
  <c r="BB88" i="37"/>
  <c r="BA88" i="37"/>
  <c r="AZ88" i="37"/>
  <c r="AY88" i="37"/>
  <c r="AX88" i="37"/>
  <c r="AW88" i="37"/>
  <c r="AV88" i="37"/>
  <c r="AU88" i="37"/>
  <c r="AT88" i="37"/>
  <c r="AS88" i="37"/>
  <c r="AR88" i="37"/>
  <c r="AQ88" i="37"/>
  <c r="AP88" i="37"/>
  <c r="AO88" i="37"/>
  <c r="AN88" i="37"/>
  <c r="AM88" i="37"/>
  <c r="AL88" i="37"/>
  <c r="AK88" i="37"/>
  <c r="AJ88" i="37"/>
  <c r="AI88" i="37"/>
  <c r="AH88" i="37"/>
  <c r="AG88" i="37"/>
  <c r="AF88" i="37"/>
  <c r="AE88" i="37"/>
  <c r="AD88" i="37"/>
  <c r="AC88" i="37"/>
  <c r="AB88" i="37"/>
  <c r="AA88" i="37"/>
  <c r="Z88" i="37"/>
  <c r="Y88" i="37"/>
  <c r="X88" i="37"/>
  <c r="W88" i="37"/>
  <c r="V88" i="37"/>
  <c r="U88" i="37"/>
  <c r="T88" i="37"/>
  <c r="S88" i="37"/>
  <c r="R88" i="37"/>
  <c r="Q88" i="37"/>
  <c r="K88" i="37"/>
  <c r="L88" i="37" s="1"/>
  <c r="M88" i="37" s="1"/>
  <c r="N88" i="37" s="1"/>
  <c r="O88" i="37" s="1"/>
  <c r="P88" i="37" s="1"/>
  <c r="J88" i="37"/>
  <c r="I88" i="37"/>
  <c r="H88" i="37"/>
  <c r="G88" i="37"/>
  <c r="F88" i="37"/>
  <c r="E88" i="37"/>
  <c r="D88" i="37"/>
  <c r="A88" i="37"/>
  <c r="BU87" i="37"/>
  <c r="BT87" i="37"/>
  <c r="BS87" i="37"/>
  <c r="BR87" i="37"/>
  <c r="BQ87" i="37"/>
  <c r="BP87" i="37"/>
  <c r="BO87" i="37"/>
  <c r="BN87" i="37"/>
  <c r="BM87" i="37"/>
  <c r="BL87" i="37"/>
  <c r="BK87" i="37"/>
  <c r="BJ87" i="37"/>
  <c r="BI87" i="37"/>
  <c r="BH87" i="37"/>
  <c r="BG87" i="37"/>
  <c r="BF87" i="37"/>
  <c r="BE87" i="37"/>
  <c r="BD87" i="37"/>
  <c r="BC87" i="37"/>
  <c r="BB87" i="37"/>
  <c r="BA87" i="37"/>
  <c r="AZ87" i="37"/>
  <c r="AY87" i="37"/>
  <c r="AX87" i="37"/>
  <c r="AW87" i="37"/>
  <c r="AV87" i="37"/>
  <c r="AU87" i="37"/>
  <c r="AT87" i="37"/>
  <c r="AS87" i="37"/>
  <c r="AR87" i="37"/>
  <c r="AQ87" i="37"/>
  <c r="AP87" i="37"/>
  <c r="AO87" i="37"/>
  <c r="AN87" i="37"/>
  <c r="AM87" i="37"/>
  <c r="AL87" i="37"/>
  <c r="AK87" i="37"/>
  <c r="AJ87" i="37"/>
  <c r="AI87" i="37"/>
  <c r="AH87" i="37"/>
  <c r="AG87" i="37"/>
  <c r="AF87" i="37"/>
  <c r="AE87" i="37"/>
  <c r="AD87" i="37"/>
  <c r="AC87" i="37"/>
  <c r="AB87" i="37"/>
  <c r="AA87" i="37"/>
  <c r="Z87" i="37"/>
  <c r="Y87" i="37"/>
  <c r="X87" i="37"/>
  <c r="W87" i="37"/>
  <c r="V87" i="37"/>
  <c r="U87" i="37"/>
  <c r="T87" i="37"/>
  <c r="S87" i="37"/>
  <c r="R87" i="37"/>
  <c r="Q87" i="37"/>
  <c r="K87" i="37"/>
  <c r="L87" i="37" s="1"/>
  <c r="M87" i="37" s="1"/>
  <c r="N87" i="37" s="1"/>
  <c r="O87" i="37" s="1"/>
  <c r="P87" i="37" s="1"/>
  <c r="J87" i="37"/>
  <c r="I87" i="37"/>
  <c r="H87" i="37"/>
  <c r="G87" i="37"/>
  <c r="F87" i="37"/>
  <c r="E87" i="37"/>
  <c r="D87" i="37"/>
  <c r="A87" i="37"/>
  <c r="BU86" i="37"/>
  <c r="BT86" i="37"/>
  <c r="BS86" i="37"/>
  <c r="BR86" i="37"/>
  <c r="BQ86" i="37"/>
  <c r="BP86" i="37"/>
  <c r="BO86" i="37"/>
  <c r="BN86" i="37"/>
  <c r="BM86" i="37"/>
  <c r="BL86" i="37"/>
  <c r="BK86" i="37"/>
  <c r="BJ86" i="37"/>
  <c r="BI86" i="37"/>
  <c r="BH86" i="37"/>
  <c r="BG86" i="37"/>
  <c r="BF86" i="37"/>
  <c r="BE86" i="37"/>
  <c r="BD86" i="37"/>
  <c r="BC86" i="37"/>
  <c r="BB86" i="37"/>
  <c r="BA86" i="37"/>
  <c r="AZ86" i="37"/>
  <c r="AY86" i="37"/>
  <c r="AX86" i="37"/>
  <c r="AW86" i="37"/>
  <c r="AV86" i="37"/>
  <c r="AU86" i="37"/>
  <c r="AT86" i="37"/>
  <c r="AS86" i="37"/>
  <c r="AR86" i="37"/>
  <c r="AQ86" i="37"/>
  <c r="AP86" i="37"/>
  <c r="AO86" i="37"/>
  <c r="AN86" i="37"/>
  <c r="AM86" i="37"/>
  <c r="AL86" i="37"/>
  <c r="AK86" i="37"/>
  <c r="AJ86" i="37"/>
  <c r="AI86" i="37"/>
  <c r="AH86" i="37"/>
  <c r="AG86" i="37"/>
  <c r="AF86" i="37"/>
  <c r="AE86" i="37"/>
  <c r="AD86" i="37"/>
  <c r="AC86" i="37"/>
  <c r="AB86" i="37"/>
  <c r="AA86" i="37"/>
  <c r="Z86" i="37"/>
  <c r="Y86" i="37"/>
  <c r="X86" i="37"/>
  <c r="W86" i="37"/>
  <c r="V86" i="37"/>
  <c r="U86" i="37"/>
  <c r="T86" i="37"/>
  <c r="S86" i="37"/>
  <c r="R86" i="37"/>
  <c r="Q86" i="37"/>
  <c r="K86" i="37"/>
  <c r="L86" i="37" s="1"/>
  <c r="M86" i="37" s="1"/>
  <c r="N86" i="37" s="1"/>
  <c r="O86" i="37" s="1"/>
  <c r="P86" i="37" s="1"/>
  <c r="J86" i="37"/>
  <c r="I86" i="37"/>
  <c r="H86" i="37"/>
  <c r="G86" i="37"/>
  <c r="F86" i="37"/>
  <c r="E86" i="37"/>
  <c r="D86" i="37"/>
  <c r="A86" i="37"/>
  <c r="BU85" i="37"/>
  <c r="BT85" i="37"/>
  <c r="BS85" i="37"/>
  <c r="BR85" i="37"/>
  <c r="BQ85" i="37"/>
  <c r="BP85" i="37"/>
  <c r="BO85" i="37"/>
  <c r="BN85" i="37"/>
  <c r="BM85" i="37"/>
  <c r="BL85" i="37"/>
  <c r="BK85" i="37"/>
  <c r="BJ85" i="37"/>
  <c r="BI85" i="37"/>
  <c r="BH85" i="37"/>
  <c r="BG85" i="37"/>
  <c r="BF85" i="37"/>
  <c r="BE85" i="37"/>
  <c r="BD85" i="37"/>
  <c r="BC85" i="37"/>
  <c r="BB85" i="37"/>
  <c r="BA85" i="37"/>
  <c r="AZ85" i="37"/>
  <c r="AY85" i="37"/>
  <c r="AX85" i="37"/>
  <c r="AW85" i="37"/>
  <c r="AV85" i="37"/>
  <c r="AU85" i="37"/>
  <c r="AT85" i="37"/>
  <c r="AS85" i="37"/>
  <c r="AR85" i="37"/>
  <c r="AQ85" i="37"/>
  <c r="AP85" i="37"/>
  <c r="AO85" i="37"/>
  <c r="AN85" i="37"/>
  <c r="AM85" i="37"/>
  <c r="AL85" i="37"/>
  <c r="AK85" i="37"/>
  <c r="AJ85" i="37"/>
  <c r="AI85" i="37"/>
  <c r="AH85" i="37"/>
  <c r="AG85" i="37"/>
  <c r="AF85" i="37"/>
  <c r="AE85" i="37"/>
  <c r="AD85" i="37"/>
  <c r="AC85" i="37"/>
  <c r="AB85" i="37"/>
  <c r="AA85" i="37"/>
  <c r="Z85" i="37"/>
  <c r="Y85" i="37"/>
  <c r="X85" i="37"/>
  <c r="W85" i="37"/>
  <c r="V85" i="37"/>
  <c r="U85" i="37"/>
  <c r="T85" i="37"/>
  <c r="S85" i="37"/>
  <c r="R85" i="37"/>
  <c r="Q85" i="37"/>
  <c r="K85" i="37"/>
  <c r="L85" i="37" s="1"/>
  <c r="M85" i="37" s="1"/>
  <c r="N85" i="37" s="1"/>
  <c r="O85" i="37" s="1"/>
  <c r="P85" i="37" s="1"/>
  <c r="J85" i="37"/>
  <c r="I85" i="37"/>
  <c r="H85" i="37"/>
  <c r="G85" i="37"/>
  <c r="F85" i="37"/>
  <c r="E85" i="37"/>
  <c r="D85" i="37"/>
  <c r="A85" i="37"/>
  <c r="BU84" i="37"/>
  <c r="BT84" i="37"/>
  <c r="BS84" i="37"/>
  <c r="BR84" i="37"/>
  <c r="BQ84" i="37"/>
  <c r="BP84" i="37"/>
  <c r="BO84" i="37"/>
  <c r="BN84" i="37"/>
  <c r="BM84" i="37"/>
  <c r="BL84" i="37"/>
  <c r="BK84" i="37"/>
  <c r="BJ84" i="37"/>
  <c r="BI84" i="37"/>
  <c r="BH84" i="37"/>
  <c r="BG84" i="37"/>
  <c r="BF84" i="37"/>
  <c r="BE84" i="37"/>
  <c r="BD84" i="37"/>
  <c r="BC84" i="37"/>
  <c r="BB84" i="37"/>
  <c r="BA84" i="37"/>
  <c r="AZ84" i="37"/>
  <c r="AY84" i="37"/>
  <c r="AX84" i="37"/>
  <c r="AW84" i="37"/>
  <c r="AV84" i="37"/>
  <c r="AU84" i="37"/>
  <c r="AT84" i="37"/>
  <c r="AS84" i="37"/>
  <c r="AR84" i="37"/>
  <c r="AQ84" i="37"/>
  <c r="AP84" i="37"/>
  <c r="AO84" i="37"/>
  <c r="AN84" i="37"/>
  <c r="AM84" i="37"/>
  <c r="AL84" i="37"/>
  <c r="AK84" i="37"/>
  <c r="AJ84" i="37"/>
  <c r="AI84" i="37"/>
  <c r="AH84" i="37"/>
  <c r="AG84" i="37"/>
  <c r="AF84" i="37"/>
  <c r="AE84" i="37"/>
  <c r="AD84" i="37"/>
  <c r="AC84" i="37"/>
  <c r="AB84" i="37"/>
  <c r="AA84" i="37"/>
  <c r="Z84" i="37"/>
  <c r="Y84" i="37"/>
  <c r="X84" i="37"/>
  <c r="W84" i="37"/>
  <c r="V84" i="37"/>
  <c r="U84" i="37"/>
  <c r="T84" i="37"/>
  <c r="S84" i="37"/>
  <c r="R84" i="37"/>
  <c r="Q84" i="37"/>
  <c r="K84" i="37"/>
  <c r="L84" i="37" s="1"/>
  <c r="M84" i="37" s="1"/>
  <c r="N84" i="37" s="1"/>
  <c r="O84" i="37" s="1"/>
  <c r="P84" i="37" s="1"/>
  <c r="J84" i="37"/>
  <c r="I84" i="37"/>
  <c r="H84" i="37"/>
  <c r="G84" i="37"/>
  <c r="F84" i="37"/>
  <c r="E84" i="37"/>
  <c r="D84" i="37"/>
  <c r="A84" i="37"/>
  <c r="BU83" i="37"/>
  <c r="BT83" i="37"/>
  <c r="BS83" i="37"/>
  <c r="BR83" i="37"/>
  <c r="BQ83" i="37"/>
  <c r="BP83" i="37"/>
  <c r="BO83" i="37"/>
  <c r="BN83" i="37"/>
  <c r="BM83" i="37"/>
  <c r="BL83" i="37"/>
  <c r="BK83" i="37"/>
  <c r="BJ83" i="37"/>
  <c r="BI83" i="37"/>
  <c r="BH83" i="37"/>
  <c r="BG83" i="37"/>
  <c r="BF83" i="37"/>
  <c r="BE83" i="37"/>
  <c r="BD83" i="37"/>
  <c r="BC83" i="37"/>
  <c r="BB83" i="37"/>
  <c r="BA83" i="37"/>
  <c r="AZ83" i="37"/>
  <c r="AY83" i="37"/>
  <c r="AX83" i="37"/>
  <c r="AW83" i="37"/>
  <c r="AV83" i="37"/>
  <c r="AU83" i="37"/>
  <c r="AT83" i="37"/>
  <c r="AS83" i="37"/>
  <c r="AR83" i="37"/>
  <c r="AQ83" i="37"/>
  <c r="AP83" i="37"/>
  <c r="AO83" i="37"/>
  <c r="AN83" i="37"/>
  <c r="AM83" i="37"/>
  <c r="AL83" i="37"/>
  <c r="AK83" i="37"/>
  <c r="AJ83" i="37"/>
  <c r="AI83" i="37"/>
  <c r="AH83" i="37"/>
  <c r="AG83" i="37"/>
  <c r="AF83" i="37"/>
  <c r="AE83" i="37"/>
  <c r="AD83" i="37"/>
  <c r="AC83" i="37"/>
  <c r="AB83" i="37"/>
  <c r="AA83" i="37"/>
  <c r="Z83" i="37"/>
  <c r="Y83" i="37"/>
  <c r="X83" i="37"/>
  <c r="W83" i="37"/>
  <c r="V83" i="37"/>
  <c r="U83" i="37"/>
  <c r="T83" i="37"/>
  <c r="S83" i="37"/>
  <c r="R83" i="37"/>
  <c r="Q83" i="37"/>
  <c r="K83" i="37"/>
  <c r="L83" i="37" s="1"/>
  <c r="M83" i="37" s="1"/>
  <c r="N83" i="37" s="1"/>
  <c r="O83" i="37" s="1"/>
  <c r="P83" i="37" s="1"/>
  <c r="J83" i="37"/>
  <c r="I83" i="37"/>
  <c r="H83" i="37"/>
  <c r="G83" i="37"/>
  <c r="F83" i="37"/>
  <c r="E83" i="37"/>
  <c r="D83" i="37"/>
  <c r="A83" i="37"/>
  <c r="BU82" i="37"/>
  <c r="BT82" i="37"/>
  <c r="BS82" i="37"/>
  <c r="BR82" i="37"/>
  <c r="BQ82" i="37"/>
  <c r="BP82" i="37"/>
  <c r="BO82" i="37"/>
  <c r="BN82" i="37"/>
  <c r="BM82" i="37"/>
  <c r="BL82" i="37"/>
  <c r="BK82" i="37"/>
  <c r="BJ82" i="37"/>
  <c r="BI82" i="37"/>
  <c r="BH82" i="37"/>
  <c r="BG82" i="37"/>
  <c r="BF82" i="37"/>
  <c r="BE82" i="37"/>
  <c r="BD82" i="37"/>
  <c r="BC82" i="37"/>
  <c r="BB82" i="37"/>
  <c r="BA82" i="37"/>
  <c r="AZ82" i="37"/>
  <c r="AY82" i="37"/>
  <c r="AX82" i="37"/>
  <c r="AW82" i="37"/>
  <c r="AV82" i="37"/>
  <c r="AU82" i="37"/>
  <c r="AT82" i="37"/>
  <c r="AS82" i="37"/>
  <c r="AR82" i="37"/>
  <c r="AQ82" i="37"/>
  <c r="AP82" i="37"/>
  <c r="AO82" i="37"/>
  <c r="AN82" i="37"/>
  <c r="AM82" i="37"/>
  <c r="AL82" i="37"/>
  <c r="AK82" i="37"/>
  <c r="AJ82" i="37"/>
  <c r="AI82" i="37"/>
  <c r="AH82" i="37"/>
  <c r="AG82" i="37"/>
  <c r="AF82" i="37"/>
  <c r="AE82" i="37"/>
  <c r="AD82" i="37"/>
  <c r="AC82" i="37"/>
  <c r="AB82" i="37"/>
  <c r="AA82" i="37"/>
  <c r="Z82" i="37"/>
  <c r="Y82" i="37"/>
  <c r="X82" i="37"/>
  <c r="W82" i="37"/>
  <c r="V82" i="37"/>
  <c r="U82" i="37"/>
  <c r="T82" i="37"/>
  <c r="S82" i="37"/>
  <c r="R82" i="37"/>
  <c r="Q82" i="37"/>
  <c r="K82" i="37"/>
  <c r="L82" i="37" s="1"/>
  <c r="M82" i="37" s="1"/>
  <c r="N82" i="37" s="1"/>
  <c r="O82" i="37" s="1"/>
  <c r="P82" i="37" s="1"/>
  <c r="J82" i="37"/>
  <c r="I82" i="37"/>
  <c r="H82" i="37"/>
  <c r="G82" i="37"/>
  <c r="F82" i="37"/>
  <c r="E82" i="37"/>
  <c r="D82" i="37"/>
  <c r="A82" i="37"/>
  <c r="BU81" i="37"/>
  <c r="BT81" i="37"/>
  <c r="BS81" i="37"/>
  <c r="BR81" i="37"/>
  <c r="BQ81" i="37"/>
  <c r="BP81" i="37"/>
  <c r="BO81" i="37"/>
  <c r="BN81" i="37"/>
  <c r="BM81" i="37"/>
  <c r="BL81" i="37"/>
  <c r="BK81" i="37"/>
  <c r="BJ81" i="37"/>
  <c r="BI81" i="37"/>
  <c r="BH81" i="37"/>
  <c r="BG81" i="37"/>
  <c r="BF81" i="37"/>
  <c r="BE81" i="37"/>
  <c r="BD81" i="37"/>
  <c r="BC81" i="37"/>
  <c r="BB81" i="37"/>
  <c r="BA81" i="37"/>
  <c r="AZ81" i="37"/>
  <c r="AY81" i="37"/>
  <c r="AX81" i="37"/>
  <c r="AW81" i="37"/>
  <c r="AV81" i="37"/>
  <c r="AU81" i="37"/>
  <c r="AT81" i="37"/>
  <c r="AS81" i="37"/>
  <c r="AR81" i="37"/>
  <c r="AQ81" i="37"/>
  <c r="AP81" i="37"/>
  <c r="AO81" i="37"/>
  <c r="AN81" i="37"/>
  <c r="AM81" i="37"/>
  <c r="AL81" i="37"/>
  <c r="AK81" i="37"/>
  <c r="AJ81" i="37"/>
  <c r="AI81" i="37"/>
  <c r="AH81" i="37"/>
  <c r="AG81" i="37"/>
  <c r="AF81" i="37"/>
  <c r="AE81" i="37"/>
  <c r="AD81" i="37"/>
  <c r="AC81" i="37"/>
  <c r="AB81" i="37"/>
  <c r="AA81" i="37"/>
  <c r="Z81" i="37"/>
  <c r="Y81" i="37"/>
  <c r="X81" i="37"/>
  <c r="W81" i="37"/>
  <c r="V81" i="37"/>
  <c r="U81" i="37"/>
  <c r="T81" i="37"/>
  <c r="S81" i="37"/>
  <c r="R81" i="37"/>
  <c r="Q81" i="37"/>
  <c r="K81" i="37"/>
  <c r="L81" i="37" s="1"/>
  <c r="M81" i="37" s="1"/>
  <c r="N81" i="37" s="1"/>
  <c r="O81" i="37" s="1"/>
  <c r="P81" i="37" s="1"/>
  <c r="J81" i="37"/>
  <c r="I81" i="37"/>
  <c r="H81" i="37"/>
  <c r="G81" i="37"/>
  <c r="F81" i="37"/>
  <c r="E81" i="37"/>
  <c r="D81" i="37"/>
  <c r="A81" i="37"/>
  <c r="BU80" i="37"/>
  <c r="BT80" i="37"/>
  <c r="BS80" i="37"/>
  <c r="BR80" i="37"/>
  <c r="BQ80" i="37"/>
  <c r="BP80" i="37"/>
  <c r="BO80" i="37"/>
  <c r="BN80" i="37"/>
  <c r="BM80" i="37"/>
  <c r="BL80" i="37"/>
  <c r="BK80" i="37"/>
  <c r="BJ80" i="37"/>
  <c r="BI80" i="37"/>
  <c r="BH80" i="37"/>
  <c r="BG80" i="37"/>
  <c r="BF80" i="37"/>
  <c r="BE80" i="37"/>
  <c r="BD80" i="37"/>
  <c r="BC80" i="37"/>
  <c r="BB80" i="37"/>
  <c r="BA80" i="37"/>
  <c r="AZ80" i="37"/>
  <c r="AY80" i="37"/>
  <c r="AX80" i="37"/>
  <c r="AW80" i="37"/>
  <c r="AV80" i="37"/>
  <c r="AU80" i="37"/>
  <c r="AT80" i="37"/>
  <c r="AS80" i="37"/>
  <c r="AR80" i="37"/>
  <c r="AQ80" i="37"/>
  <c r="AP80" i="37"/>
  <c r="AO80" i="37"/>
  <c r="AN80" i="37"/>
  <c r="AM80" i="37"/>
  <c r="AL80" i="37"/>
  <c r="AK80" i="37"/>
  <c r="AJ80" i="37"/>
  <c r="AI80" i="37"/>
  <c r="AH80" i="37"/>
  <c r="AG80" i="37"/>
  <c r="AF80" i="37"/>
  <c r="AE80" i="37"/>
  <c r="AD80" i="37"/>
  <c r="AC80" i="37"/>
  <c r="AB80" i="37"/>
  <c r="AA80" i="37"/>
  <c r="Z80" i="37"/>
  <c r="Y80" i="37"/>
  <c r="X80" i="37"/>
  <c r="W80" i="37"/>
  <c r="V80" i="37"/>
  <c r="U80" i="37"/>
  <c r="T80" i="37"/>
  <c r="S80" i="37"/>
  <c r="R80" i="37"/>
  <c r="Q80" i="37"/>
  <c r="K80" i="37"/>
  <c r="L80" i="37" s="1"/>
  <c r="M80" i="37" s="1"/>
  <c r="N80" i="37" s="1"/>
  <c r="O80" i="37" s="1"/>
  <c r="P80" i="37" s="1"/>
  <c r="J80" i="37"/>
  <c r="I80" i="37"/>
  <c r="H80" i="37"/>
  <c r="G80" i="37"/>
  <c r="F80" i="37"/>
  <c r="E80" i="37"/>
  <c r="D80" i="37"/>
  <c r="A80" i="37"/>
  <c r="BU79" i="37"/>
  <c r="BT79" i="37"/>
  <c r="BS79" i="37"/>
  <c r="BR79" i="37"/>
  <c r="BQ79" i="37"/>
  <c r="BP79" i="37"/>
  <c r="BO79" i="37"/>
  <c r="BN79" i="37"/>
  <c r="BM79" i="37"/>
  <c r="BL79" i="37"/>
  <c r="BK79" i="37"/>
  <c r="BJ79" i="37"/>
  <c r="BI79" i="37"/>
  <c r="BH79" i="37"/>
  <c r="BG79" i="37"/>
  <c r="BF79" i="37"/>
  <c r="BE79" i="37"/>
  <c r="BD79" i="37"/>
  <c r="BC79" i="37"/>
  <c r="BB79" i="37"/>
  <c r="BA79" i="37"/>
  <c r="AZ79" i="37"/>
  <c r="AY79" i="37"/>
  <c r="AX79" i="37"/>
  <c r="AW79" i="37"/>
  <c r="AV79" i="37"/>
  <c r="AU79" i="37"/>
  <c r="AT79" i="37"/>
  <c r="AS79" i="37"/>
  <c r="AR79" i="37"/>
  <c r="AQ79" i="37"/>
  <c r="AP79" i="37"/>
  <c r="AO79" i="37"/>
  <c r="AN79" i="37"/>
  <c r="AM79" i="37"/>
  <c r="AL79" i="37"/>
  <c r="AK79" i="37"/>
  <c r="AJ79" i="37"/>
  <c r="AI79" i="37"/>
  <c r="AH79" i="37"/>
  <c r="AG79" i="37"/>
  <c r="AF79" i="37"/>
  <c r="AE79" i="37"/>
  <c r="AD79" i="37"/>
  <c r="AC79" i="37"/>
  <c r="AB79" i="37"/>
  <c r="AA79" i="37"/>
  <c r="Z79" i="37"/>
  <c r="Y79" i="37"/>
  <c r="X79" i="37"/>
  <c r="W79" i="37"/>
  <c r="V79" i="37"/>
  <c r="U79" i="37"/>
  <c r="T79" i="37"/>
  <c r="S79" i="37"/>
  <c r="R79" i="37"/>
  <c r="Q79" i="37"/>
  <c r="K79" i="37"/>
  <c r="L79" i="37" s="1"/>
  <c r="M79" i="37" s="1"/>
  <c r="N79" i="37" s="1"/>
  <c r="O79" i="37" s="1"/>
  <c r="P79" i="37" s="1"/>
  <c r="J79" i="37"/>
  <c r="I79" i="37"/>
  <c r="H79" i="37"/>
  <c r="G79" i="37"/>
  <c r="F79" i="37"/>
  <c r="E79" i="37"/>
  <c r="D79" i="37"/>
  <c r="A79" i="37"/>
  <c r="BU78" i="37"/>
  <c r="BT78" i="37"/>
  <c r="BS78" i="37"/>
  <c r="BR78" i="37"/>
  <c r="BQ78" i="37"/>
  <c r="BP78" i="37"/>
  <c r="BO78" i="37"/>
  <c r="BN78" i="37"/>
  <c r="BM78" i="37"/>
  <c r="BL78" i="37"/>
  <c r="BK78" i="37"/>
  <c r="BJ78" i="37"/>
  <c r="BI78" i="37"/>
  <c r="BH78" i="37"/>
  <c r="BG78" i="37"/>
  <c r="BF78" i="37"/>
  <c r="BE78" i="37"/>
  <c r="BD78" i="37"/>
  <c r="BC78" i="37"/>
  <c r="BB78" i="37"/>
  <c r="BA78" i="37"/>
  <c r="AZ78" i="37"/>
  <c r="AY78" i="37"/>
  <c r="AX78" i="37"/>
  <c r="AW78" i="37"/>
  <c r="AV78" i="37"/>
  <c r="AU78" i="37"/>
  <c r="AT78" i="37"/>
  <c r="AS78" i="37"/>
  <c r="AR78" i="37"/>
  <c r="AQ78" i="37"/>
  <c r="AP78" i="37"/>
  <c r="AO78" i="37"/>
  <c r="AN78" i="37"/>
  <c r="AM78" i="37"/>
  <c r="AL78" i="37"/>
  <c r="AK78" i="37"/>
  <c r="AJ78" i="37"/>
  <c r="AI78" i="37"/>
  <c r="AH78" i="37"/>
  <c r="AG78" i="37"/>
  <c r="AF78" i="37"/>
  <c r="AE78" i="37"/>
  <c r="AD78" i="37"/>
  <c r="AC78" i="37"/>
  <c r="AB78" i="37"/>
  <c r="AA78" i="37"/>
  <c r="Z78" i="37"/>
  <c r="Y78" i="37"/>
  <c r="X78" i="37"/>
  <c r="W78" i="37"/>
  <c r="V78" i="37"/>
  <c r="U78" i="37"/>
  <c r="T78" i="37"/>
  <c r="S78" i="37"/>
  <c r="R78" i="37"/>
  <c r="Q78" i="37"/>
  <c r="K78" i="37"/>
  <c r="L78" i="37" s="1"/>
  <c r="M78" i="37" s="1"/>
  <c r="N78" i="37" s="1"/>
  <c r="O78" i="37" s="1"/>
  <c r="P78" i="37" s="1"/>
  <c r="J78" i="37"/>
  <c r="I78" i="37"/>
  <c r="H78" i="37"/>
  <c r="G78" i="37"/>
  <c r="F78" i="37"/>
  <c r="E78" i="37"/>
  <c r="D78" i="37"/>
  <c r="A78" i="37"/>
  <c r="BU77" i="37"/>
  <c r="BT77" i="37"/>
  <c r="BS77" i="37"/>
  <c r="BR77" i="37"/>
  <c r="BQ77" i="37"/>
  <c r="BP77" i="37"/>
  <c r="BO77" i="37"/>
  <c r="BN77" i="37"/>
  <c r="BM77" i="37"/>
  <c r="BL77" i="37"/>
  <c r="BK77" i="37"/>
  <c r="BJ77" i="37"/>
  <c r="BI77" i="37"/>
  <c r="BH77" i="37"/>
  <c r="BG77" i="37"/>
  <c r="BF77" i="37"/>
  <c r="BE77" i="37"/>
  <c r="BD77" i="37"/>
  <c r="BC77" i="37"/>
  <c r="BB77" i="37"/>
  <c r="BA77" i="37"/>
  <c r="AZ77" i="37"/>
  <c r="AY77" i="37"/>
  <c r="AX77" i="37"/>
  <c r="AW77" i="37"/>
  <c r="AV77" i="37"/>
  <c r="AU77" i="37"/>
  <c r="AT77" i="37"/>
  <c r="AS77" i="37"/>
  <c r="AR77" i="37"/>
  <c r="AQ77" i="37"/>
  <c r="AP77" i="37"/>
  <c r="AO77" i="37"/>
  <c r="AN77" i="37"/>
  <c r="AM77" i="37"/>
  <c r="AL77" i="37"/>
  <c r="AK77" i="37"/>
  <c r="AJ77" i="37"/>
  <c r="AI77" i="37"/>
  <c r="AH77" i="37"/>
  <c r="AG77" i="37"/>
  <c r="AF77" i="37"/>
  <c r="AE77" i="37"/>
  <c r="AD77" i="37"/>
  <c r="AC77" i="37"/>
  <c r="AB77" i="37"/>
  <c r="AA77" i="37"/>
  <c r="Z77" i="37"/>
  <c r="Y77" i="37"/>
  <c r="X77" i="37"/>
  <c r="W77" i="37"/>
  <c r="V77" i="37"/>
  <c r="U77" i="37"/>
  <c r="T77" i="37"/>
  <c r="S77" i="37"/>
  <c r="R77" i="37"/>
  <c r="Q77" i="37"/>
  <c r="K77" i="37"/>
  <c r="L77" i="37" s="1"/>
  <c r="M77" i="37" s="1"/>
  <c r="N77" i="37" s="1"/>
  <c r="O77" i="37" s="1"/>
  <c r="P77" i="37" s="1"/>
  <c r="J77" i="37"/>
  <c r="I77" i="37"/>
  <c r="H77" i="37"/>
  <c r="G77" i="37"/>
  <c r="F77" i="37"/>
  <c r="E77" i="37"/>
  <c r="D77" i="37"/>
  <c r="A77" i="37"/>
  <c r="BU76" i="37"/>
  <c r="BT76" i="37"/>
  <c r="BS76" i="37"/>
  <c r="BR76" i="37"/>
  <c r="BQ76" i="37"/>
  <c r="BP76" i="37"/>
  <c r="BO76" i="37"/>
  <c r="BN76" i="37"/>
  <c r="BM76" i="37"/>
  <c r="BL76" i="37"/>
  <c r="BK76" i="37"/>
  <c r="BJ76" i="37"/>
  <c r="BI76" i="37"/>
  <c r="BH76" i="37"/>
  <c r="BG76" i="37"/>
  <c r="BF76" i="37"/>
  <c r="BE76" i="37"/>
  <c r="BD76" i="37"/>
  <c r="BC76" i="37"/>
  <c r="BB76" i="37"/>
  <c r="BA76" i="37"/>
  <c r="AZ76" i="37"/>
  <c r="AY76" i="37"/>
  <c r="AX76" i="37"/>
  <c r="AW76" i="37"/>
  <c r="AV76" i="37"/>
  <c r="AU76" i="37"/>
  <c r="AT76" i="37"/>
  <c r="AS76" i="37"/>
  <c r="AR76" i="37"/>
  <c r="AQ76" i="37"/>
  <c r="AP76" i="37"/>
  <c r="AO76" i="37"/>
  <c r="AN76" i="37"/>
  <c r="AM76" i="37"/>
  <c r="AL76" i="37"/>
  <c r="AK76" i="37"/>
  <c r="AJ76" i="37"/>
  <c r="AI76" i="37"/>
  <c r="AH76" i="37"/>
  <c r="AG76" i="37"/>
  <c r="AF76" i="37"/>
  <c r="AE76" i="37"/>
  <c r="AD76" i="37"/>
  <c r="AC76" i="37"/>
  <c r="AB76" i="37"/>
  <c r="AA76" i="37"/>
  <c r="Z76" i="37"/>
  <c r="Y76" i="37"/>
  <c r="X76" i="37"/>
  <c r="W76" i="37"/>
  <c r="V76" i="37"/>
  <c r="U76" i="37"/>
  <c r="T76" i="37"/>
  <c r="S76" i="37"/>
  <c r="R76" i="37"/>
  <c r="Q76" i="37"/>
  <c r="K76" i="37"/>
  <c r="L76" i="37" s="1"/>
  <c r="M76" i="37" s="1"/>
  <c r="N76" i="37" s="1"/>
  <c r="O76" i="37" s="1"/>
  <c r="P76" i="37" s="1"/>
  <c r="J76" i="37"/>
  <c r="I76" i="37"/>
  <c r="H76" i="37"/>
  <c r="G76" i="37"/>
  <c r="F76" i="37"/>
  <c r="E76" i="37"/>
  <c r="D76" i="37"/>
  <c r="A76" i="37"/>
  <c r="BU75" i="37"/>
  <c r="BT75" i="37"/>
  <c r="BS75" i="37"/>
  <c r="BR75" i="37"/>
  <c r="BQ75" i="37"/>
  <c r="BP75" i="37"/>
  <c r="BO75" i="37"/>
  <c r="BN75" i="37"/>
  <c r="BM75" i="37"/>
  <c r="BL75" i="37"/>
  <c r="BK75" i="37"/>
  <c r="BJ75" i="37"/>
  <c r="BI75" i="37"/>
  <c r="BH75" i="37"/>
  <c r="BG75" i="37"/>
  <c r="BF75" i="37"/>
  <c r="BE75" i="37"/>
  <c r="BD75" i="37"/>
  <c r="BC75" i="37"/>
  <c r="BB75" i="37"/>
  <c r="BA75" i="37"/>
  <c r="AZ75" i="37"/>
  <c r="AY75" i="37"/>
  <c r="AX75" i="37"/>
  <c r="AW75" i="37"/>
  <c r="AV75" i="37"/>
  <c r="AU75" i="37"/>
  <c r="AT75" i="37"/>
  <c r="AS75" i="37"/>
  <c r="AR75" i="37"/>
  <c r="AQ75" i="37"/>
  <c r="AP75" i="37"/>
  <c r="AO75" i="37"/>
  <c r="AN75" i="37"/>
  <c r="AM75" i="37"/>
  <c r="AL75" i="37"/>
  <c r="AK75" i="37"/>
  <c r="AJ75" i="37"/>
  <c r="AI75" i="37"/>
  <c r="AH75" i="37"/>
  <c r="AG75" i="37"/>
  <c r="AF75" i="37"/>
  <c r="AE75" i="37"/>
  <c r="AD75" i="37"/>
  <c r="AC75" i="37"/>
  <c r="AB75" i="37"/>
  <c r="AA75" i="37"/>
  <c r="Z75" i="37"/>
  <c r="Y75" i="37"/>
  <c r="X75" i="37"/>
  <c r="W75" i="37"/>
  <c r="V75" i="37"/>
  <c r="U75" i="37"/>
  <c r="T75" i="37"/>
  <c r="S75" i="37"/>
  <c r="R75" i="37"/>
  <c r="Q75" i="37"/>
  <c r="K75" i="37"/>
  <c r="L75" i="37" s="1"/>
  <c r="M75" i="37" s="1"/>
  <c r="N75" i="37" s="1"/>
  <c r="O75" i="37" s="1"/>
  <c r="P75" i="37" s="1"/>
  <c r="J75" i="37"/>
  <c r="I75" i="37"/>
  <c r="H75" i="37"/>
  <c r="G75" i="37"/>
  <c r="F75" i="37"/>
  <c r="E75" i="37"/>
  <c r="D75" i="37"/>
  <c r="A75" i="37"/>
  <c r="BU74" i="37"/>
  <c r="BT74" i="37"/>
  <c r="BS74" i="37"/>
  <c r="BR74" i="37"/>
  <c r="BQ74" i="37"/>
  <c r="BP74" i="37"/>
  <c r="BO74" i="37"/>
  <c r="BN74" i="37"/>
  <c r="BM74" i="37"/>
  <c r="BL74" i="37"/>
  <c r="BK74" i="37"/>
  <c r="BJ74" i="37"/>
  <c r="BI74" i="37"/>
  <c r="BH74" i="37"/>
  <c r="BG74" i="37"/>
  <c r="BF74" i="37"/>
  <c r="BE74" i="37"/>
  <c r="BD74" i="37"/>
  <c r="BC74" i="37"/>
  <c r="BB74" i="37"/>
  <c r="BA74" i="37"/>
  <c r="AZ74" i="37"/>
  <c r="AY74" i="37"/>
  <c r="AX74" i="37"/>
  <c r="AW74" i="37"/>
  <c r="AV74" i="37"/>
  <c r="AU74" i="37"/>
  <c r="AT74" i="37"/>
  <c r="AS74" i="37"/>
  <c r="AR74" i="37"/>
  <c r="AQ74" i="37"/>
  <c r="AP74" i="37"/>
  <c r="AO74" i="37"/>
  <c r="AN74" i="37"/>
  <c r="AM74" i="37"/>
  <c r="AL74" i="37"/>
  <c r="AK74" i="37"/>
  <c r="AJ74" i="37"/>
  <c r="AI74" i="37"/>
  <c r="AH74" i="37"/>
  <c r="AG74" i="37"/>
  <c r="AF74" i="37"/>
  <c r="AE74" i="37"/>
  <c r="AD74" i="37"/>
  <c r="AC74" i="37"/>
  <c r="AB74" i="37"/>
  <c r="AA74" i="37"/>
  <c r="Z74" i="37"/>
  <c r="Y74" i="37"/>
  <c r="X74" i="37"/>
  <c r="W74" i="37"/>
  <c r="V74" i="37"/>
  <c r="U74" i="37"/>
  <c r="T74" i="37"/>
  <c r="S74" i="37"/>
  <c r="R74" i="37"/>
  <c r="Q74" i="37"/>
  <c r="K74" i="37"/>
  <c r="L74" i="37" s="1"/>
  <c r="M74" i="37" s="1"/>
  <c r="N74" i="37" s="1"/>
  <c r="O74" i="37" s="1"/>
  <c r="P74" i="37" s="1"/>
  <c r="J74" i="37"/>
  <c r="I74" i="37"/>
  <c r="H74" i="37"/>
  <c r="G74" i="37"/>
  <c r="F74" i="37"/>
  <c r="E74" i="37"/>
  <c r="D74" i="37"/>
  <c r="A74" i="37"/>
  <c r="BU73" i="37"/>
  <c r="BT73" i="37"/>
  <c r="BS73" i="37"/>
  <c r="BR73" i="37"/>
  <c r="BQ73" i="37"/>
  <c r="BP73" i="37"/>
  <c r="BO73" i="37"/>
  <c r="BN73" i="37"/>
  <c r="BM73" i="37"/>
  <c r="BL73" i="37"/>
  <c r="BK73" i="37"/>
  <c r="BJ73" i="37"/>
  <c r="BI73" i="37"/>
  <c r="BH73" i="37"/>
  <c r="BG73" i="37"/>
  <c r="BF73" i="37"/>
  <c r="BE73" i="37"/>
  <c r="BD73" i="37"/>
  <c r="BC73" i="37"/>
  <c r="BB73" i="37"/>
  <c r="BA73" i="37"/>
  <c r="AZ73" i="37"/>
  <c r="AY73" i="37"/>
  <c r="AX73" i="37"/>
  <c r="AW73" i="37"/>
  <c r="AV73" i="37"/>
  <c r="AU73" i="37"/>
  <c r="AT73" i="37"/>
  <c r="AS73" i="37"/>
  <c r="AR73" i="37"/>
  <c r="AQ73" i="37"/>
  <c r="AP73" i="37"/>
  <c r="AO73" i="37"/>
  <c r="AN73" i="37"/>
  <c r="AM73" i="37"/>
  <c r="AL73" i="37"/>
  <c r="AK73" i="37"/>
  <c r="AJ73" i="37"/>
  <c r="AI73" i="37"/>
  <c r="AH73" i="37"/>
  <c r="AG73" i="37"/>
  <c r="AF73" i="37"/>
  <c r="AE73" i="37"/>
  <c r="AD73" i="37"/>
  <c r="AC73" i="37"/>
  <c r="AB73" i="37"/>
  <c r="AA73" i="37"/>
  <c r="Z73" i="37"/>
  <c r="Y73" i="37"/>
  <c r="X73" i="37"/>
  <c r="W73" i="37"/>
  <c r="V73" i="37"/>
  <c r="U73" i="37"/>
  <c r="T73" i="37"/>
  <c r="S73" i="37"/>
  <c r="R73" i="37"/>
  <c r="Q73" i="37"/>
  <c r="K73" i="37"/>
  <c r="L73" i="37" s="1"/>
  <c r="M73" i="37" s="1"/>
  <c r="N73" i="37" s="1"/>
  <c r="O73" i="37" s="1"/>
  <c r="P73" i="37" s="1"/>
  <c r="J73" i="37"/>
  <c r="I73" i="37"/>
  <c r="H73" i="37"/>
  <c r="G73" i="37"/>
  <c r="F73" i="37"/>
  <c r="E73" i="37"/>
  <c r="D73" i="37"/>
  <c r="A73" i="37"/>
  <c r="BU72" i="37"/>
  <c r="BT72" i="37"/>
  <c r="BS72" i="37"/>
  <c r="BR72" i="37"/>
  <c r="BQ72" i="37"/>
  <c r="BP72" i="37"/>
  <c r="BO72" i="37"/>
  <c r="BN72" i="37"/>
  <c r="BM72" i="37"/>
  <c r="BL72" i="37"/>
  <c r="BK72" i="37"/>
  <c r="BJ72" i="37"/>
  <c r="BI72" i="37"/>
  <c r="BH72" i="37"/>
  <c r="BG72" i="37"/>
  <c r="BF72" i="37"/>
  <c r="BE72" i="37"/>
  <c r="BD72" i="37"/>
  <c r="BC72" i="37"/>
  <c r="BB72" i="37"/>
  <c r="BA72" i="37"/>
  <c r="AZ72" i="37"/>
  <c r="AY72" i="37"/>
  <c r="AX72" i="37"/>
  <c r="AW72" i="37"/>
  <c r="AV72" i="37"/>
  <c r="AU72" i="37"/>
  <c r="AT72" i="37"/>
  <c r="AS72" i="37"/>
  <c r="AR72" i="37"/>
  <c r="AQ72" i="37"/>
  <c r="AP72" i="37"/>
  <c r="AO72" i="37"/>
  <c r="AN72" i="37"/>
  <c r="AM72" i="37"/>
  <c r="AL72" i="37"/>
  <c r="AK72" i="37"/>
  <c r="AJ72" i="37"/>
  <c r="AI72" i="37"/>
  <c r="AH72" i="37"/>
  <c r="AG72" i="37"/>
  <c r="AF72" i="37"/>
  <c r="AE72" i="37"/>
  <c r="AD72" i="37"/>
  <c r="AC72" i="37"/>
  <c r="AB72" i="37"/>
  <c r="AA72" i="37"/>
  <c r="Z72" i="37"/>
  <c r="Y72" i="37"/>
  <c r="X72" i="37"/>
  <c r="W72" i="37"/>
  <c r="V72" i="37"/>
  <c r="U72" i="37"/>
  <c r="T72" i="37"/>
  <c r="S72" i="37"/>
  <c r="R72" i="37"/>
  <c r="Q72" i="37"/>
  <c r="K72" i="37"/>
  <c r="L72" i="37" s="1"/>
  <c r="M72" i="37" s="1"/>
  <c r="N72" i="37" s="1"/>
  <c r="O72" i="37" s="1"/>
  <c r="P72" i="37" s="1"/>
  <c r="J72" i="37"/>
  <c r="I72" i="37"/>
  <c r="H72" i="37"/>
  <c r="G72" i="37"/>
  <c r="F72" i="37"/>
  <c r="E72" i="37"/>
  <c r="D72" i="37"/>
  <c r="A72" i="37"/>
  <c r="BU71" i="37"/>
  <c r="BT71" i="37"/>
  <c r="BS71" i="37"/>
  <c r="BR71" i="37"/>
  <c r="BQ71" i="37"/>
  <c r="BP71" i="37"/>
  <c r="BO71" i="37"/>
  <c r="BN71" i="37"/>
  <c r="BM71" i="37"/>
  <c r="BL71" i="37"/>
  <c r="BK71" i="37"/>
  <c r="BJ71" i="37"/>
  <c r="BI71" i="37"/>
  <c r="BH71" i="37"/>
  <c r="BG71" i="37"/>
  <c r="BF71" i="37"/>
  <c r="BE71" i="37"/>
  <c r="BD71" i="37"/>
  <c r="BC71" i="37"/>
  <c r="BB71" i="37"/>
  <c r="BA71" i="37"/>
  <c r="AZ71" i="37"/>
  <c r="AY71" i="37"/>
  <c r="AX71" i="37"/>
  <c r="AW71" i="37"/>
  <c r="AV71" i="37"/>
  <c r="AU71" i="37"/>
  <c r="AT71" i="37"/>
  <c r="AS71" i="37"/>
  <c r="AR71" i="37"/>
  <c r="AQ71" i="37"/>
  <c r="AP71" i="37"/>
  <c r="AO71" i="37"/>
  <c r="AN71" i="37"/>
  <c r="AM71" i="37"/>
  <c r="AL71" i="37"/>
  <c r="AK71" i="37"/>
  <c r="AJ71" i="37"/>
  <c r="AI71" i="37"/>
  <c r="AH71" i="37"/>
  <c r="AG71" i="37"/>
  <c r="AF71" i="37"/>
  <c r="AE71" i="37"/>
  <c r="AD71" i="37"/>
  <c r="AC71" i="37"/>
  <c r="AB71" i="37"/>
  <c r="AA71" i="37"/>
  <c r="Z71" i="37"/>
  <c r="Y71" i="37"/>
  <c r="X71" i="37"/>
  <c r="W71" i="37"/>
  <c r="V71" i="37"/>
  <c r="U71" i="37"/>
  <c r="T71" i="37"/>
  <c r="S71" i="37"/>
  <c r="R71" i="37"/>
  <c r="Q71" i="37"/>
  <c r="K71" i="37"/>
  <c r="L71" i="37" s="1"/>
  <c r="M71" i="37" s="1"/>
  <c r="N71" i="37" s="1"/>
  <c r="O71" i="37" s="1"/>
  <c r="P71" i="37" s="1"/>
  <c r="J71" i="37"/>
  <c r="I71" i="37"/>
  <c r="H71" i="37"/>
  <c r="G71" i="37"/>
  <c r="F71" i="37"/>
  <c r="E71" i="37"/>
  <c r="D71" i="37"/>
  <c r="A71" i="37"/>
  <c r="BU70" i="37"/>
  <c r="BT70" i="37"/>
  <c r="BS70" i="37"/>
  <c r="BR70" i="37"/>
  <c r="BQ70" i="37"/>
  <c r="BP70" i="37"/>
  <c r="BO70" i="37"/>
  <c r="BN70" i="37"/>
  <c r="BM70" i="37"/>
  <c r="BL70" i="37"/>
  <c r="BK70" i="37"/>
  <c r="BJ70" i="37"/>
  <c r="BI70" i="37"/>
  <c r="BH70" i="37"/>
  <c r="BG70" i="37"/>
  <c r="BF70" i="37"/>
  <c r="BE70" i="37"/>
  <c r="BD70" i="37"/>
  <c r="BC70" i="37"/>
  <c r="BB70" i="37"/>
  <c r="BA70" i="37"/>
  <c r="AZ70" i="37"/>
  <c r="AY70" i="37"/>
  <c r="AX70" i="37"/>
  <c r="AW70" i="37"/>
  <c r="AV70" i="37"/>
  <c r="AU70" i="37"/>
  <c r="AT70" i="37"/>
  <c r="AS70" i="37"/>
  <c r="AR70" i="37"/>
  <c r="AQ70" i="37"/>
  <c r="AP70" i="37"/>
  <c r="AO70" i="37"/>
  <c r="AN70" i="37"/>
  <c r="AM70" i="37"/>
  <c r="AL70" i="37"/>
  <c r="AK70" i="37"/>
  <c r="AJ70" i="37"/>
  <c r="AI70" i="37"/>
  <c r="AH70" i="37"/>
  <c r="AG70" i="37"/>
  <c r="AF70" i="37"/>
  <c r="AE70" i="37"/>
  <c r="AD70" i="37"/>
  <c r="AC70" i="37"/>
  <c r="AB70" i="37"/>
  <c r="AA70" i="37"/>
  <c r="Z70" i="37"/>
  <c r="Y70" i="37"/>
  <c r="X70" i="37"/>
  <c r="W70" i="37"/>
  <c r="V70" i="37"/>
  <c r="U70" i="37"/>
  <c r="T70" i="37"/>
  <c r="S70" i="37"/>
  <c r="R70" i="37"/>
  <c r="Q70" i="37"/>
  <c r="K70" i="37"/>
  <c r="L70" i="37" s="1"/>
  <c r="M70" i="37" s="1"/>
  <c r="N70" i="37" s="1"/>
  <c r="O70" i="37" s="1"/>
  <c r="P70" i="37" s="1"/>
  <c r="J70" i="37"/>
  <c r="I70" i="37"/>
  <c r="H70" i="37"/>
  <c r="G70" i="37"/>
  <c r="F70" i="37"/>
  <c r="E70" i="37"/>
  <c r="D70" i="37"/>
  <c r="A70" i="37"/>
  <c r="BU69" i="37"/>
  <c r="BT69" i="37"/>
  <c r="BS69" i="37"/>
  <c r="BR69" i="37"/>
  <c r="BQ69" i="37"/>
  <c r="BP69" i="37"/>
  <c r="BO69" i="37"/>
  <c r="BN69" i="37"/>
  <c r="BM69" i="37"/>
  <c r="BL69" i="37"/>
  <c r="BK69" i="37"/>
  <c r="BJ69" i="37"/>
  <c r="BI69" i="37"/>
  <c r="BH69" i="37"/>
  <c r="BG69" i="37"/>
  <c r="BF69" i="37"/>
  <c r="BE69" i="37"/>
  <c r="BD69" i="37"/>
  <c r="BC69" i="37"/>
  <c r="BB69" i="37"/>
  <c r="BA69" i="37"/>
  <c r="AZ69" i="37"/>
  <c r="AY69" i="37"/>
  <c r="AX69" i="37"/>
  <c r="AW69" i="37"/>
  <c r="AV69" i="37"/>
  <c r="AU69" i="37"/>
  <c r="AT69" i="37"/>
  <c r="AS69" i="37"/>
  <c r="AR69" i="37"/>
  <c r="AQ69" i="37"/>
  <c r="AP69" i="37"/>
  <c r="AO69" i="37"/>
  <c r="AN69" i="37"/>
  <c r="AM69" i="37"/>
  <c r="AL69" i="37"/>
  <c r="AK69" i="37"/>
  <c r="AJ69" i="37"/>
  <c r="AI69" i="37"/>
  <c r="AH69" i="37"/>
  <c r="AG69" i="37"/>
  <c r="AF69" i="37"/>
  <c r="AE69" i="37"/>
  <c r="AD69" i="37"/>
  <c r="AC69" i="37"/>
  <c r="AB69" i="37"/>
  <c r="AA69" i="37"/>
  <c r="Z69" i="37"/>
  <c r="Y69" i="37"/>
  <c r="X69" i="37"/>
  <c r="W69" i="37"/>
  <c r="V69" i="37"/>
  <c r="U69" i="37"/>
  <c r="T69" i="37"/>
  <c r="S69" i="37"/>
  <c r="R69" i="37"/>
  <c r="Q69" i="37"/>
  <c r="K69" i="37"/>
  <c r="L69" i="37" s="1"/>
  <c r="M69" i="37" s="1"/>
  <c r="N69" i="37" s="1"/>
  <c r="O69" i="37" s="1"/>
  <c r="P69" i="37" s="1"/>
  <c r="J69" i="37"/>
  <c r="I69" i="37"/>
  <c r="H69" i="37"/>
  <c r="G69" i="37"/>
  <c r="F69" i="37"/>
  <c r="E69" i="37"/>
  <c r="D69" i="37"/>
  <c r="A69" i="37"/>
  <c r="BU68" i="37"/>
  <c r="BT68" i="37"/>
  <c r="BS68" i="37"/>
  <c r="BR68" i="37"/>
  <c r="BQ68" i="37"/>
  <c r="BP68" i="37"/>
  <c r="BO68" i="37"/>
  <c r="BN68" i="37"/>
  <c r="BM68" i="37"/>
  <c r="BL68" i="37"/>
  <c r="BK68" i="37"/>
  <c r="BJ68" i="37"/>
  <c r="BI68" i="37"/>
  <c r="BH68" i="37"/>
  <c r="BG68" i="37"/>
  <c r="BF68" i="37"/>
  <c r="BE68" i="37"/>
  <c r="BD68" i="37"/>
  <c r="BC68" i="37"/>
  <c r="BB68" i="37"/>
  <c r="BA68" i="37"/>
  <c r="AZ68" i="37"/>
  <c r="AY68" i="37"/>
  <c r="AX68" i="37"/>
  <c r="AW68" i="37"/>
  <c r="AV68" i="37"/>
  <c r="AU68" i="37"/>
  <c r="AT68" i="37"/>
  <c r="AS68" i="37"/>
  <c r="AR68" i="37"/>
  <c r="AQ68" i="37"/>
  <c r="AP68" i="37"/>
  <c r="AO68" i="37"/>
  <c r="AN68" i="37"/>
  <c r="AM68" i="37"/>
  <c r="AL68" i="37"/>
  <c r="AK68" i="37"/>
  <c r="AJ68" i="37"/>
  <c r="AI68" i="37"/>
  <c r="AH68" i="37"/>
  <c r="AG68" i="37"/>
  <c r="AF68" i="37"/>
  <c r="AE68" i="37"/>
  <c r="AD68" i="37"/>
  <c r="AC68" i="37"/>
  <c r="AB68" i="37"/>
  <c r="AA68" i="37"/>
  <c r="Z68" i="37"/>
  <c r="Y68" i="37"/>
  <c r="X68" i="37"/>
  <c r="W68" i="37"/>
  <c r="V68" i="37"/>
  <c r="U68" i="37"/>
  <c r="T68" i="37"/>
  <c r="S68" i="37"/>
  <c r="R68" i="37"/>
  <c r="Q68" i="37"/>
  <c r="K68" i="37"/>
  <c r="L68" i="37" s="1"/>
  <c r="M68" i="37" s="1"/>
  <c r="N68" i="37" s="1"/>
  <c r="O68" i="37" s="1"/>
  <c r="P68" i="37" s="1"/>
  <c r="J68" i="37"/>
  <c r="I68" i="37"/>
  <c r="H68" i="37"/>
  <c r="G68" i="37"/>
  <c r="F68" i="37"/>
  <c r="E68" i="37"/>
  <c r="D68" i="37"/>
  <c r="A68" i="37"/>
  <c r="BU67" i="37"/>
  <c r="BT67" i="37"/>
  <c r="BS67" i="37"/>
  <c r="BR67" i="37"/>
  <c r="BQ67" i="37"/>
  <c r="BP67" i="37"/>
  <c r="BO67" i="37"/>
  <c r="BN67" i="37"/>
  <c r="BM67" i="37"/>
  <c r="BL67" i="37"/>
  <c r="BK67" i="37"/>
  <c r="BJ67" i="37"/>
  <c r="BI67" i="37"/>
  <c r="BH67" i="37"/>
  <c r="BG67" i="37"/>
  <c r="BF67" i="37"/>
  <c r="BE67" i="37"/>
  <c r="BD67" i="37"/>
  <c r="BC67" i="37"/>
  <c r="BB67" i="37"/>
  <c r="BA67" i="37"/>
  <c r="AZ67" i="37"/>
  <c r="AY67" i="37"/>
  <c r="AX67" i="37"/>
  <c r="AW67" i="37"/>
  <c r="AV67" i="37"/>
  <c r="AU67" i="37"/>
  <c r="AT67" i="37"/>
  <c r="AS67" i="37"/>
  <c r="AR67" i="37"/>
  <c r="AQ67" i="37"/>
  <c r="AP67" i="37"/>
  <c r="AO67" i="37"/>
  <c r="AN67" i="37"/>
  <c r="AM67" i="37"/>
  <c r="AL67" i="37"/>
  <c r="AK67" i="37"/>
  <c r="AJ67" i="37"/>
  <c r="AI67" i="37"/>
  <c r="AH67" i="37"/>
  <c r="AG67" i="37"/>
  <c r="AF67" i="37"/>
  <c r="AE67" i="37"/>
  <c r="AD67" i="37"/>
  <c r="AC67" i="37"/>
  <c r="AB67" i="37"/>
  <c r="AA67" i="37"/>
  <c r="Z67" i="37"/>
  <c r="Y67" i="37"/>
  <c r="X67" i="37"/>
  <c r="W67" i="37"/>
  <c r="V67" i="37"/>
  <c r="U67" i="37"/>
  <c r="T67" i="37"/>
  <c r="S67" i="37"/>
  <c r="R67" i="37"/>
  <c r="Q67" i="37"/>
  <c r="K67" i="37"/>
  <c r="L67" i="37" s="1"/>
  <c r="M67" i="37" s="1"/>
  <c r="N67" i="37" s="1"/>
  <c r="O67" i="37" s="1"/>
  <c r="P67" i="37" s="1"/>
  <c r="J67" i="37"/>
  <c r="I67" i="37"/>
  <c r="H67" i="37"/>
  <c r="G67" i="37"/>
  <c r="F67" i="37"/>
  <c r="E67" i="37"/>
  <c r="D67" i="37"/>
  <c r="A67" i="37"/>
  <c r="BU66" i="37"/>
  <c r="BT66" i="37"/>
  <c r="BS66" i="37"/>
  <c r="BR66" i="37"/>
  <c r="BQ66" i="37"/>
  <c r="BP66" i="37"/>
  <c r="BO66" i="37"/>
  <c r="BN66" i="37"/>
  <c r="BM66" i="37"/>
  <c r="BL66" i="37"/>
  <c r="BK66" i="37"/>
  <c r="BJ66" i="37"/>
  <c r="BI66" i="37"/>
  <c r="BH66" i="37"/>
  <c r="BG66" i="37"/>
  <c r="BF66" i="37"/>
  <c r="BE66" i="37"/>
  <c r="BD66" i="37"/>
  <c r="BC66" i="37"/>
  <c r="BB66" i="37"/>
  <c r="BA66" i="37"/>
  <c r="AZ66" i="37"/>
  <c r="AY66" i="37"/>
  <c r="AX66" i="37"/>
  <c r="AW66" i="37"/>
  <c r="AV66" i="37"/>
  <c r="AU66" i="37"/>
  <c r="AT66" i="37"/>
  <c r="AS66" i="37"/>
  <c r="AR66" i="37"/>
  <c r="AQ66" i="37"/>
  <c r="AP66" i="37"/>
  <c r="AO66" i="37"/>
  <c r="AN66" i="37"/>
  <c r="AM66" i="37"/>
  <c r="AL66" i="37"/>
  <c r="AK66" i="37"/>
  <c r="AJ66" i="37"/>
  <c r="AI66" i="37"/>
  <c r="AH66" i="37"/>
  <c r="AG66" i="37"/>
  <c r="AF66" i="37"/>
  <c r="AE66" i="37"/>
  <c r="AD66" i="37"/>
  <c r="AC66" i="37"/>
  <c r="AB66" i="37"/>
  <c r="AA66" i="37"/>
  <c r="Z66" i="37"/>
  <c r="Y66" i="37"/>
  <c r="X66" i="37"/>
  <c r="W66" i="37"/>
  <c r="V66" i="37"/>
  <c r="U66" i="37"/>
  <c r="T66" i="37"/>
  <c r="S66" i="37"/>
  <c r="R66" i="37"/>
  <c r="Q66" i="37"/>
  <c r="K66" i="37"/>
  <c r="L66" i="37" s="1"/>
  <c r="M66" i="37" s="1"/>
  <c r="N66" i="37" s="1"/>
  <c r="O66" i="37" s="1"/>
  <c r="P66" i="37" s="1"/>
  <c r="J66" i="37"/>
  <c r="I66" i="37"/>
  <c r="H66" i="37"/>
  <c r="G66" i="37"/>
  <c r="F66" i="37"/>
  <c r="E66" i="37"/>
  <c r="D66" i="37"/>
  <c r="A66" i="37"/>
  <c r="BU65" i="37"/>
  <c r="BT65" i="37"/>
  <c r="BS65" i="37"/>
  <c r="BR65" i="37"/>
  <c r="BQ65" i="37"/>
  <c r="BP65" i="37"/>
  <c r="BO65" i="37"/>
  <c r="BN65" i="37"/>
  <c r="BM65" i="37"/>
  <c r="BL65" i="37"/>
  <c r="BK65" i="37"/>
  <c r="BJ65" i="37"/>
  <c r="BI65" i="37"/>
  <c r="BH65" i="37"/>
  <c r="BG65" i="37"/>
  <c r="BF65" i="37"/>
  <c r="BE65" i="37"/>
  <c r="BD65" i="37"/>
  <c r="BC65" i="37"/>
  <c r="BB65" i="37"/>
  <c r="BA65" i="37"/>
  <c r="AZ65" i="37"/>
  <c r="AY65" i="37"/>
  <c r="AX65" i="37"/>
  <c r="AW65" i="37"/>
  <c r="AV65" i="37"/>
  <c r="AU65" i="37"/>
  <c r="AT65" i="37"/>
  <c r="AS65" i="37"/>
  <c r="AR65" i="37"/>
  <c r="AQ65" i="37"/>
  <c r="AP65" i="37"/>
  <c r="AO65" i="37"/>
  <c r="AN65" i="37"/>
  <c r="AM65" i="37"/>
  <c r="AL65" i="37"/>
  <c r="AK65" i="37"/>
  <c r="AJ65" i="37"/>
  <c r="AI65" i="37"/>
  <c r="AH65" i="37"/>
  <c r="AG65" i="37"/>
  <c r="AF65" i="37"/>
  <c r="AE65" i="37"/>
  <c r="AD65" i="37"/>
  <c r="AC65" i="37"/>
  <c r="AB65" i="37"/>
  <c r="AA65" i="37"/>
  <c r="Z65" i="37"/>
  <c r="Y65" i="37"/>
  <c r="X65" i="37"/>
  <c r="W65" i="37"/>
  <c r="V65" i="37"/>
  <c r="U65" i="37"/>
  <c r="T65" i="37"/>
  <c r="S65" i="37"/>
  <c r="R65" i="37"/>
  <c r="Q65" i="37"/>
  <c r="K65" i="37"/>
  <c r="L65" i="37" s="1"/>
  <c r="M65" i="37" s="1"/>
  <c r="N65" i="37" s="1"/>
  <c r="O65" i="37" s="1"/>
  <c r="P65" i="37" s="1"/>
  <c r="J65" i="37"/>
  <c r="I65" i="37"/>
  <c r="H65" i="37"/>
  <c r="G65" i="37"/>
  <c r="F65" i="37"/>
  <c r="E65" i="37"/>
  <c r="D65" i="37"/>
  <c r="A65" i="37"/>
  <c r="BU64" i="37"/>
  <c r="BT64" i="37"/>
  <c r="BS64" i="37"/>
  <c r="BR64" i="37"/>
  <c r="BQ64" i="37"/>
  <c r="BP64" i="37"/>
  <c r="BO64" i="37"/>
  <c r="BN64" i="37"/>
  <c r="BM64" i="37"/>
  <c r="BL64" i="37"/>
  <c r="BK64" i="37"/>
  <c r="BJ64" i="37"/>
  <c r="BI64" i="37"/>
  <c r="BH64" i="37"/>
  <c r="BG64" i="37"/>
  <c r="BF64" i="37"/>
  <c r="BE64" i="37"/>
  <c r="BD64" i="37"/>
  <c r="BC64" i="37"/>
  <c r="BB64" i="37"/>
  <c r="BA64" i="37"/>
  <c r="AZ64" i="37"/>
  <c r="AY64" i="37"/>
  <c r="AX64" i="37"/>
  <c r="AW64" i="37"/>
  <c r="AV64" i="37"/>
  <c r="AU64" i="37"/>
  <c r="AT64" i="37"/>
  <c r="AS64" i="37"/>
  <c r="AR64" i="37"/>
  <c r="AQ64" i="37"/>
  <c r="AP64" i="37"/>
  <c r="AO64" i="37"/>
  <c r="AN64" i="37"/>
  <c r="AM64" i="37"/>
  <c r="AL64" i="37"/>
  <c r="AK64" i="37"/>
  <c r="AJ64" i="37"/>
  <c r="AI64" i="37"/>
  <c r="AH64" i="37"/>
  <c r="AG64" i="37"/>
  <c r="AF64" i="37"/>
  <c r="AE64" i="37"/>
  <c r="AD64" i="37"/>
  <c r="AC64" i="37"/>
  <c r="AB64" i="37"/>
  <c r="AA64" i="37"/>
  <c r="Z64" i="37"/>
  <c r="Y64" i="37"/>
  <c r="X64" i="37"/>
  <c r="W64" i="37"/>
  <c r="V64" i="37"/>
  <c r="U64" i="37"/>
  <c r="T64" i="37"/>
  <c r="S64" i="37"/>
  <c r="R64" i="37"/>
  <c r="Q64" i="37"/>
  <c r="K64" i="37"/>
  <c r="L64" i="37" s="1"/>
  <c r="M64" i="37" s="1"/>
  <c r="N64" i="37" s="1"/>
  <c r="O64" i="37" s="1"/>
  <c r="P64" i="37" s="1"/>
  <c r="J64" i="37"/>
  <c r="I64" i="37"/>
  <c r="H64" i="37"/>
  <c r="G64" i="37"/>
  <c r="F64" i="37"/>
  <c r="E64" i="37"/>
  <c r="D64" i="37"/>
  <c r="A64" i="37"/>
  <c r="BU63" i="37"/>
  <c r="BT63" i="37"/>
  <c r="BS63" i="37"/>
  <c r="BR63" i="37"/>
  <c r="BQ63" i="37"/>
  <c r="BP63" i="37"/>
  <c r="BO63" i="37"/>
  <c r="BN63" i="37"/>
  <c r="BM63" i="37"/>
  <c r="BL63" i="37"/>
  <c r="BK63" i="37"/>
  <c r="BJ63" i="37"/>
  <c r="BI63" i="37"/>
  <c r="BH63" i="37"/>
  <c r="BG63" i="37"/>
  <c r="BF63" i="37"/>
  <c r="BE63" i="37"/>
  <c r="BD63" i="37"/>
  <c r="BC63" i="37"/>
  <c r="BB63" i="37"/>
  <c r="BA63" i="37"/>
  <c r="AZ63" i="37"/>
  <c r="AY63" i="37"/>
  <c r="AX63" i="37"/>
  <c r="AW63" i="37"/>
  <c r="AV63" i="37"/>
  <c r="AU63" i="37"/>
  <c r="AT63" i="37"/>
  <c r="AS63" i="37"/>
  <c r="AR63" i="37"/>
  <c r="AQ63" i="37"/>
  <c r="AP63" i="37"/>
  <c r="AO63" i="37"/>
  <c r="AN63" i="37"/>
  <c r="AM63" i="37"/>
  <c r="AL63" i="37"/>
  <c r="AK63" i="37"/>
  <c r="AJ63" i="37"/>
  <c r="AI63" i="37"/>
  <c r="AH63" i="37"/>
  <c r="AG63" i="37"/>
  <c r="AF63" i="37"/>
  <c r="AE63" i="37"/>
  <c r="AD63" i="37"/>
  <c r="AC63" i="37"/>
  <c r="AB63" i="37"/>
  <c r="AA63" i="37"/>
  <c r="Z63" i="37"/>
  <c r="Y63" i="37"/>
  <c r="X63" i="37"/>
  <c r="W63" i="37"/>
  <c r="V63" i="37"/>
  <c r="U63" i="37"/>
  <c r="T63" i="37"/>
  <c r="S63" i="37"/>
  <c r="R63" i="37"/>
  <c r="Q63" i="37"/>
  <c r="K63" i="37"/>
  <c r="L63" i="37" s="1"/>
  <c r="M63" i="37" s="1"/>
  <c r="N63" i="37" s="1"/>
  <c r="O63" i="37" s="1"/>
  <c r="P63" i="37" s="1"/>
  <c r="J63" i="37"/>
  <c r="I63" i="37"/>
  <c r="H63" i="37"/>
  <c r="G63" i="37"/>
  <c r="F63" i="37"/>
  <c r="E63" i="37"/>
  <c r="D63" i="37"/>
  <c r="A63" i="37"/>
  <c r="BU62" i="37"/>
  <c r="BT62" i="37"/>
  <c r="BS62" i="37"/>
  <c r="BR62" i="37"/>
  <c r="BQ62" i="37"/>
  <c r="BP62" i="37"/>
  <c r="BO62" i="37"/>
  <c r="BN62" i="37"/>
  <c r="BM62" i="37"/>
  <c r="BL62" i="37"/>
  <c r="BK62" i="37"/>
  <c r="BJ62" i="37"/>
  <c r="BI62" i="37"/>
  <c r="BH62" i="37"/>
  <c r="BG62" i="37"/>
  <c r="BF62" i="37"/>
  <c r="BE62" i="37"/>
  <c r="BD62" i="37"/>
  <c r="BC62" i="37"/>
  <c r="BB62" i="37"/>
  <c r="BA62" i="37"/>
  <c r="AZ62" i="37"/>
  <c r="AY62" i="37"/>
  <c r="AX62" i="37"/>
  <c r="AW62" i="37"/>
  <c r="AV62" i="37"/>
  <c r="AU62" i="37"/>
  <c r="AT62" i="37"/>
  <c r="AS62" i="37"/>
  <c r="AR62" i="37"/>
  <c r="AQ62" i="37"/>
  <c r="AP62" i="37"/>
  <c r="AO62" i="37"/>
  <c r="AN62" i="37"/>
  <c r="AM62" i="37"/>
  <c r="AL62" i="37"/>
  <c r="AK62" i="37"/>
  <c r="AJ62" i="37"/>
  <c r="AI62" i="37"/>
  <c r="AH62" i="37"/>
  <c r="AG62" i="37"/>
  <c r="AF62" i="37"/>
  <c r="AE62" i="37"/>
  <c r="AD62" i="37"/>
  <c r="AC62" i="37"/>
  <c r="AB62" i="37"/>
  <c r="AA62" i="37"/>
  <c r="Z62" i="37"/>
  <c r="Y62" i="37"/>
  <c r="X62" i="37"/>
  <c r="W62" i="37"/>
  <c r="V62" i="37"/>
  <c r="U62" i="37"/>
  <c r="T62" i="37"/>
  <c r="S62" i="37"/>
  <c r="R62" i="37"/>
  <c r="Q62" i="37"/>
  <c r="K62" i="37"/>
  <c r="L62" i="37" s="1"/>
  <c r="M62" i="37" s="1"/>
  <c r="N62" i="37" s="1"/>
  <c r="O62" i="37" s="1"/>
  <c r="P62" i="37" s="1"/>
  <c r="J62" i="37"/>
  <c r="I62" i="37"/>
  <c r="H62" i="37"/>
  <c r="G62" i="37"/>
  <c r="F62" i="37"/>
  <c r="E62" i="37"/>
  <c r="D62" i="37"/>
  <c r="A62" i="37"/>
  <c r="BU61" i="37"/>
  <c r="BT61" i="37"/>
  <c r="BS61" i="37"/>
  <c r="BR61" i="37"/>
  <c r="BQ61" i="37"/>
  <c r="BP61" i="37"/>
  <c r="BO61" i="37"/>
  <c r="BN61" i="37"/>
  <c r="BM61" i="37"/>
  <c r="BL61" i="37"/>
  <c r="BK61" i="37"/>
  <c r="BJ61" i="37"/>
  <c r="BI61" i="37"/>
  <c r="BH61" i="37"/>
  <c r="BG61" i="37"/>
  <c r="BF61" i="37"/>
  <c r="BE61" i="37"/>
  <c r="BD61" i="37"/>
  <c r="BC61" i="37"/>
  <c r="BB61" i="37"/>
  <c r="BA61" i="37"/>
  <c r="AZ61" i="37"/>
  <c r="AY61" i="37"/>
  <c r="AX61" i="37"/>
  <c r="AW61" i="37"/>
  <c r="AV61" i="37"/>
  <c r="AU61" i="37"/>
  <c r="AT61" i="37"/>
  <c r="AS61" i="37"/>
  <c r="AR61" i="37"/>
  <c r="AQ61" i="37"/>
  <c r="AP61" i="37"/>
  <c r="AO61" i="37"/>
  <c r="AN61" i="37"/>
  <c r="AM61" i="37"/>
  <c r="AL61" i="37"/>
  <c r="AK61" i="37"/>
  <c r="AJ61" i="37"/>
  <c r="AI61" i="37"/>
  <c r="AH61" i="37"/>
  <c r="AG61" i="37"/>
  <c r="AF61" i="37"/>
  <c r="AE61" i="37"/>
  <c r="AD61" i="37"/>
  <c r="AC61" i="37"/>
  <c r="AB61" i="37"/>
  <c r="AA61" i="37"/>
  <c r="Z61" i="37"/>
  <c r="Y61" i="37"/>
  <c r="X61" i="37"/>
  <c r="W61" i="37"/>
  <c r="V61" i="37"/>
  <c r="U61" i="37"/>
  <c r="T61" i="37"/>
  <c r="S61" i="37"/>
  <c r="R61" i="37"/>
  <c r="Q61" i="37"/>
  <c r="K61" i="37"/>
  <c r="L61" i="37" s="1"/>
  <c r="M61" i="37" s="1"/>
  <c r="N61" i="37" s="1"/>
  <c r="O61" i="37" s="1"/>
  <c r="P61" i="37" s="1"/>
  <c r="J61" i="37"/>
  <c r="I61" i="37"/>
  <c r="H61" i="37"/>
  <c r="G61" i="37"/>
  <c r="F61" i="37"/>
  <c r="E61" i="37"/>
  <c r="D61" i="37"/>
  <c r="A61" i="37"/>
  <c r="BU60" i="37"/>
  <c r="BT60" i="37"/>
  <c r="BS60" i="37"/>
  <c r="BR60" i="37"/>
  <c r="BQ60" i="37"/>
  <c r="BP60" i="37"/>
  <c r="BO60" i="37"/>
  <c r="BN60" i="37"/>
  <c r="BM60" i="37"/>
  <c r="BL60" i="37"/>
  <c r="BK60" i="37"/>
  <c r="BJ60" i="37"/>
  <c r="BI60" i="37"/>
  <c r="BH60" i="37"/>
  <c r="BG60" i="37"/>
  <c r="BF60" i="37"/>
  <c r="BE60" i="37"/>
  <c r="BD60" i="37"/>
  <c r="BC60" i="37"/>
  <c r="BB60" i="37"/>
  <c r="BA60" i="37"/>
  <c r="AZ60" i="37"/>
  <c r="AY60" i="37"/>
  <c r="AX60" i="37"/>
  <c r="AW60" i="37"/>
  <c r="AV60" i="37"/>
  <c r="AU60" i="37"/>
  <c r="AT60" i="37"/>
  <c r="AS60" i="37"/>
  <c r="AR60" i="37"/>
  <c r="AQ60" i="37"/>
  <c r="AP60" i="37"/>
  <c r="AO60" i="37"/>
  <c r="AN60" i="37"/>
  <c r="AM60" i="37"/>
  <c r="AL60" i="37"/>
  <c r="AK60" i="37"/>
  <c r="AJ60" i="37"/>
  <c r="AI60" i="37"/>
  <c r="AH60" i="37"/>
  <c r="AG60" i="37"/>
  <c r="AF60" i="37"/>
  <c r="AE60" i="37"/>
  <c r="AD60" i="37"/>
  <c r="AC60" i="37"/>
  <c r="AB60" i="37"/>
  <c r="AA60" i="37"/>
  <c r="Z60" i="37"/>
  <c r="Y60" i="37"/>
  <c r="X60" i="37"/>
  <c r="W60" i="37"/>
  <c r="V60" i="37"/>
  <c r="U60" i="37"/>
  <c r="T60" i="37"/>
  <c r="S60" i="37"/>
  <c r="R60" i="37"/>
  <c r="Q60" i="37"/>
  <c r="K60" i="37"/>
  <c r="L60" i="37" s="1"/>
  <c r="M60" i="37" s="1"/>
  <c r="N60" i="37" s="1"/>
  <c r="O60" i="37" s="1"/>
  <c r="P60" i="37" s="1"/>
  <c r="J60" i="37"/>
  <c r="I60" i="37"/>
  <c r="H60" i="37"/>
  <c r="G60" i="37"/>
  <c r="F60" i="37"/>
  <c r="E60" i="37"/>
  <c r="D60" i="37"/>
  <c r="A60" i="37"/>
  <c r="BU59" i="37"/>
  <c r="BT59" i="37"/>
  <c r="BS59" i="37"/>
  <c r="BR59" i="37"/>
  <c r="BQ59" i="37"/>
  <c r="BP59" i="37"/>
  <c r="BO59" i="37"/>
  <c r="BN59" i="37"/>
  <c r="BM59" i="37"/>
  <c r="BL59" i="37"/>
  <c r="BK59" i="37"/>
  <c r="BJ59" i="37"/>
  <c r="BI59" i="37"/>
  <c r="BH59" i="37"/>
  <c r="BG59" i="37"/>
  <c r="BF59" i="37"/>
  <c r="BE59" i="37"/>
  <c r="BD59" i="37"/>
  <c r="BC59" i="37"/>
  <c r="BB59" i="37"/>
  <c r="BA59" i="37"/>
  <c r="AZ59" i="37"/>
  <c r="AY59" i="37"/>
  <c r="AX59" i="37"/>
  <c r="AW59" i="37"/>
  <c r="AV59" i="37"/>
  <c r="AU59" i="37"/>
  <c r="AT59" i="37"/>
  <c r="AS59" i="37"/>
  <c r="AR59" i="37"/>
  <c r="AQ59" i="37"/>
  <c r="AP59" i="37"/>
  <c r="AO59" i="37"/>
  <c r="AN59" i="37"/>
  <c r="AM59" i="37"/>
  <c r="AL59" i="37"/>
  <c r="AK59" i="37"/>
  <c r="AJ59" i="37"/>
  <c r="AI59" i="37"/>
  <c r="AH59" i="37"/>
  <c r="AG59" i="37"/>
  <c r="AF59" i="37"/>
  <c r="AE59" i="37"/>
  <c r="AD59" i="37"/>
  <c r="AC59" i="37"/>
  <c r="AB59" i="37"/>
  <c r="AA59" i="37"/>
  <c r="Z59" i="37"/>
  <c r="Y59" i="37"/>
  <c r="X59" i="37"/>
  <c r="W59" i="37"/>
  <c r="V59" i="37"/>
  <c r="U59" i="37"/>
  <c r="T59" i="37"/>
  <c r="S59" i="37"/>
  <c r="R59" i="37"/>
  <c r="Q59" i="37"/>
  <c r="K59" i="37"/>
  <c r="L59" i="37" s="1"/>
  <c r="M59" i="37" s="1"/>
  <c r="N59" i="37" s="1"/>
  <c r="O59" i="37" s="1"/>
  <c r="P59" i="37" s="1"/>
  <c r="J59" i="37"/>
  <c r="I59" i="37"/>
  <c r="H59" i="37"/>
  <c r="G59" i="37"/>
  <c r="F59" i="37"/>
  <c r="E59" i="37"/>
  <c r="D59" i="37"/>
  <c r="A59" i="37"/>
  <c r="BU58" i="37"/>
  <c r="BT58" i="37"/>
  <c r="BS58" i="37"/>
  <c r="BR58" i="37"/>
  <c r="BQ58" i="37"/>
  <c r="BP58" i="37"/>
  <c r="BO58" i="37"/>
  <c r="BN58" i="37"/>
  <c r="BM58" i="37"/>
  <c r="BL58" i="37"/>
  <c r="BK58" i="37"/>
  <c r="BJ58" i="37"/>
  <c r="BI58" i="37"/>
  <c r="BH58" i="37"/>
  <c r="BG58" i="37"/>
  <c r="BF58" i="37"/>
  <c r="BE58" i="37"/>
  <c r="BD58" i="37"/>
  <c r="BC58" i="37"/>
  <c r="BB58" i="37"/>
  <c r="BA58" i="37"/>
  <c r="AZ58" i="37"/>
  <c r="AY58" i="37"/>
  <c r="AX58" i="37"/>
  <c r="AW58" i="37"/>
  <c r="AV58" i="37"/>
  <c r="AU58" i="37"/>
  <c r="AT58" i="37"/>
  <c r="AS58" i="37"/>
  <c r="AR58" i="37"/>
  <c r="AQ58" i="37"/>
  <c r="AP58" i="37"/>
  <c r="AO58" i="37"/>
  <c r="AN58" i="37"/>
  <c r="AM58" i="37"/>
  <c r="AL58" i="37"/>
  <c r="AK58" i="37"/>
  <c r="AJ58" i="37"/>
  <c r="AI58" i="37"/>
  <c r="AH58" i="37"/>
  <c r="AG58" i="37"/>
  <c r="AF58" i="37"/>
  <c r="AE58" i="37"/>
  <c r="AD58" i="37"/>
  <c r="AC58" i="37"/>
  <c r="AB58" i="37"/>
  <c r="AA58" i="37"/>
  <c r="Z58" i="37"/>
  <c r="Y58" i="37"/>
  <c r="X58" i="37"/>
  <c r="W58" i="37"/>
  <c r="V58" i="37"/>
  <c r="U58" i="37"/>
  <c r="T58" i="37"/>
  <c r="S58" i="37"/>
  <c r="R58" i="37"/>
  <c r="Q58" i="37"/>
  <c r="K58" i="37"/>
  <c r="L58" i="37" s="1"/>
  <c r="M58" i="37" s="1"/>
  <c r="N58" i="37" s="1"/>
  <c r="O58" i="37" s="1"/>
  <c r="P58" i="37" s="1"/>
  <c r="J58" i="37"/>
  <c r="I58" i="37"/>
  <c r="H58" i="37"/>
  <c r="G58" i="37"/>
  <c r="F58" i="37"/>
  <c r="E58" i="37"/>
  <c r="D58" i="37"/>
  <c r="A58" i="37"/>
  <c r="BU57" i="37"/>
  <c r="BT57" i="37"/>
  <c r="BS57" i="37"/>
  <c r="BR57" i="37"/>
  <c r="BQ57" i="37"/>
  <c r="BP57" i="37"/>
  <c r="BO57" i="37"/>
  <c r="BN57" i="37"/>
  <c r="BM57" i="37"/>
  <c r="BL57" i="37"/>
  <c r="BK57" i="37"/>
  <c r="BJ57" i="37"/>
  <c r="BI57" i="37"/>
  <c r="BH57" i="37"/>
  <c r="BG57" i="37"/>
  <c r="BF57" i="37"/>
  <c r="BE57" i="37"/>
  <c r="BD57" i="37"/>
  <c r="BC57" i="37"/>
  <c r="BB57" i="37"/>
  <c r="BA57" i="37"/>
  <c r="AZ57" i="37"/>
  <c r="AY57" i="37"/>
  <c r="AX57" i="37"/>
  <c r="AW57" i="37"/>
  <c r="AV57" i="37"/>
  <c r="AU57" i="37"/>
  <c r="AT57" i="37"/>
  <c r="AS57" i="37"/>
  <c r="AR57" i="37"/>
  <c r="AQ57" i="37"/>
  <c r="AP57" i="37"/>
  <c r="AO57" i="37"/>
  <c r="AN57" i="37"/>
  <c r="AM57" i="37"/>
  <c r="AL57" i="37"/>
  <c r="AK57" i="37"/>
  <c r="AJ57" i="37"/>
  <c r="AI57" i="37"/>
  <c r="AH57" i="37"/>
  <c r="AG57" i="37"/>
  <c r="AF57" i="37"/>
  <c r="AE57" i="37"/>
  <c r="AD57" i="37"/>
  <c r="AC57" i="37"/>
  <c r="AB57" i="37"/>
  <c r="AA57" i="37"/>
  <c r="Z57" i="37"/>
  <c r="Y57" i="37"/>
  <c r="X57" i="37"/>
  <c r="W57" i="37"/>
  <c r="V57" i="37"/>
  <c r="U57" i="37"/>
  <c r="T57" i="37"/>
  <c r="S57" i="37"/>
  <c r="R57" i="37"/>
  <c r="Q57" i="37"/>
  <c r="K57" i="37"/>
  <c r="L57" i="37" s="1"/>
  <c r="M57" i="37" s="1"/>
  <c r="N57" i="37" s="1"/>
  <c r="O57" i="37" s="1"/>
  <c r="P57" i="37" s="1"/>
  <c r="J57" i="37"/>
  <c r="I57" i="37"/>
  <c r="H57" i="37"/>
  <c r="G57" i="37"/>
  <c r="F57" i="37"/>
  <c r="E57" i="37"/>
  <c r="D57" i="37"/>
  <c r="A57" i="37"/>
  <c r="BU56" i="37"/>
  <c r="BT56" i="37"/>
  <c r="BS56" i="37"/>
  <c r="BR56" i="37"/>
  <c r="BQ56" i="37"/>
  <c r="BP56" i="37"/>
  <c r="BO56" i="37"/>
  <c r="BN56" i="37"/>
  <c r="BM56" i="37"/>
  <c r="BL56" i="37"/>
  <c r="BK56" i="37"/>
  <c r="BJ56" i="37"/>
  <c r="BI56" i="37"/>
  <c r="BH56" i="37"/>
  <c r="BG56" i="37"/>
  <c r="BF56" i="37"/>
  <c r="BE56" i="37"/>
  <c r="BD56" i="37"/>
  <c r="BC56" i="37"/>
  <c r="BB56" i="37"/>
  <c r="BA56" i="37"/>
  <c r="AZ56" i="37"/>
  <c r="AY56" i="37"/>
  <c r="AX56" i="37"/>
  <c r="AW56" i="37"/>
  <c r="AV56" i="37"/>
  <c r="AU56" i="37"/>
  <c r="AT56" i="37"/>
  <c r="AS56" i="37"/>
  <c r="AR56" i="37"/>
  <c r="AQ56" i="37"/>
  <c r="AP56" i="37"/>
  <c r="AO56" i="37"/>
  <c r="AN56" i="37"/>
  <c r="AM56" i="37"/>
  <c r="AL56" i="37"/>
  <c r="AK56" i="37"/>
  <c r="AJ56" i="37"/>
  <c r="AI56" i="37"/>
  <c r="AH56" i="37"/>
  <c r="AG56" i="37"/>
  <c r="AF56" i="37"/>
  <c r="AE56" i="37"/>
  <c r="AD56" i="37"/>
  <c r="AC56" i="37"/>
  <c r="AB56" i="37"/>
  <c r="AA56" i="37"/>
  <c r="Z56" i="37"/>
  <c r="Y56" i="37"/>
  <c r="X56" i="37"/>
  <c r="W56" i="37"/>
  <c r="V56" i="37"/>
  <c r="U56" i="37"/>
  <c r="T56" i="37"/>
  <c r="S56" i="37"/>
  <c r="R56" i="37"/>
  <c r="Q56" i="37"/>
  <c r="K56" i="37"/>
  <c r="L56" i="37" s="1"/>
  <c r="M56" i="37" s="1"/>
  <c r="N56" i="37" s="1"/>
  <c r="O56" i="37" s="1"/>
  <c r="P56" i="37" s="1"/>
  <c r="J56" i="37"/>
  <c r="I56" i="37"/>
  <c r="H56" i="37"/>
  <c r="G56" i="37"/>
  <c r="F56" i="37"/>
  <c r="E56" i="37"/>
  <c r="D56" i="37"/>
  <c r="A56" i="37"/>
  <c r="BU55" i="37"/>
  <c r="BT55" i="37"/>
  <c r="BS55" i="37"/>
  <c r="BR55" i="37"/>
  <c r="BQ55" i="37"/>
  <c r="BP55" i="37"/>
  <c r="BO55" i="37"/>
  <c r="BN55" i="37"/>
  <c r="BM55" i="37"/>
  <c r="BL55" i="37"/>
  <c r="BK55" i="37"/>
  <c r="BJ55" i="37"/>
  <c r="BI55" i="37"/>
  <c r="BH55" i="37"/>
  <c r="BG55" i="37"/>
  <c r="BF55" i="37"/>
  <c r="BE55" i="37"/>
  <c r="BD55" i="37"/>
  <c r="BC55" i="37"/>
  <c r="BB55" i="37"/>
  <c r="BA55" i="37"/>
  <c r="AZ55" i="37"/>
  <c r="AY55" i="37"/>
  <c r="AX55" i="37"/>
  <c r="AW55" i="37"/>
  <c r="AV55" i="37"/>
  <c r="AU55" i="37"/>
  <c r="AT55" i="37"/>
  <c r="AS55" i="37"/>
  <c r="AR55" i="37"/>
  <c r="AQ55" i="37"/>
  <c r="AP55" i="37"/>
  <c r="AO55" i="37"/>
  <c r="AN55" i="37"/>
  <c r="AM55" i="37"/>
  <c r="AL55" i="37"/>
  <c r="AK55" i="37"/>
  <c r="AJ55" i="37"/>
  <c r="AI55" i="37"/>
  <c r="AH55" i="37"/>
  <c r="AG55" i="37"/>
  <c r="AF55" i="37"/>
  <c r="AE55" i="37"/>
  <c r="AD55" i="37"/>
  <c r="AC55" i="37"/>
  <c r="AB55" i="37"/>
  <c r="AA55" i="37"/>
  <c r="Z55" i="37"/>
  <c r="Y55" i="37"/>
  <c r="X55" i="37"/>
  <c r="W55" i="37"/>
  <c r="V55" i="37"/>
  <c r="U55" i="37"/>
  <c r="T55" i="37"/>
  <c r="S55" i="37"/>
  <c r="R55" i="37"/>
  <c r="Q55" i="37"/>
  <c r="K55" i="37"/>
  <c r="L55" i="37" s="1"/>
  <c r="M55" i="37" s="1"/>
  <c r="N55" i="37" s="1"/>
  <c r="O55" i="37" s="1"/>
  <c r="P55" i="37" s="1"/>
  <c r="J55" i="37"/>
  <c r="I55" i="37"/>
  <c r="H55" i="37"/>
  <c r="G55" i="37"/>
  <c r="F55" i="37"/>
  <c r="E55" i="37"/>
  <c r="D55" i="37"/>
  <c r="A55" i="37"/>
  <c r="BU54" i="37"/>
  <c r="BT54" i="37"/>
  <c r="BS54" i="37"/>
  <c r="BR54" i="37"/>
  <c r="BQ54" i="37"/>
  <c r="BP54" i="37"/>
  <c r="BO54" i="37"/>
  <c r="BN54" i="37"/>
  <c r="BM54" i="37"/>
  <c r="BL54" i="37"/>
  <c r="BK54" i="37"/>
  <c r="BJ54" i="37"/>
  <c r="BI54" i="37"/>
  <c r="BH54" i="37"/>
  <c r="BG54" i="37"/>
  <c r="BF54" i="37"/>
  <c r="BE54" i="37"/>
  <c r="BD54" i="37"/>
  <c r="BC54" i="37"/>
  <c r="BB54" i="37"/>
  <c r="BA54" i="37"/>
  <c r="AZ54" i="37"/>
  <c r="AY54" i="37"/>
  <c r="AX54" i="37"/>
  <c r="AW54" i="37"/>
  <c r="AV54" i="37"/>
  <c r="AU54" i="37"/>
  <c r="AT54" i="37"/>
  <c r="AS54" i="37"/>
  <c r="AR54" i="37"/>
  <c r="AQ54" i="37"/>
  <c r="AP54" i="37"/>
  <c r="AO54" i="37"/>
  <c r="AN54" i="37"/>
  <c r="AM54" i="37"/>
  <c r="AL54" i="37"/>
  <c r="AK54" i="37"/>
  <c r="AJ54" i="37"/>
  <c r="AI54" i="37"/>
  <c r="AH54" i="37"/>
  <c r="AG54" i="37"/>
  <c r="AF54" i="37"/>
  <c r="AE54" i="37"/>
  <c r="AD54" i="37"/>
  <c r="AC54" i="37"/>
  <c r="AB54" i="37"/>
  <c r="AA54" i="37"/>
  <c r="Z54" i="37"/>
  <c r="Y54" i="37"/>
  <c r="X54" i="37"/>
  <c r="W54" i="37"/>
  <c r="V54" i="37"/>
  <c r="U54" i="37"/>
  <c r="T54" i="37"/>
  <c r="S54" i="37"/>
  <c r="R54" i="37"/>
  <c r="Q54" i="37"/>
  <c r="K54" i="37"/>
  <c r="L54" i="37" s="1"/>
  <c r="M54" i="37" s="1"/>
  <c r="N54" i="37" s="1"/>
  <c r="O54" i="37" s="1"/>
  <c r="P54" i="37" s="1"/>
  <c r="J54" i="37"/>
  <c r="I54" i="37"/>
  <c r="H54" i="37"/>
  <c r="G54" i="37"/>
  <c r="F54" i="37"/>
  <c r="E54" i="37"/>
  <c r="D54" i="37"/>
  <c r="A54" i="37"/>
  <c r="BU53" i="37"/>
  <c r="BT53" i="37"/>
  <c r="BS53" i="37"/>
  <c r="BR53" i="37"/>
  <c r="BQ53" i="37"/>
  <c r="BP53" i="37"/>
  <c r="BO53" i="37"/>
  <c r="BN53" i="37"/>
  <c r="BM53" i="37"/>
  <c r="BL53" i="37"/>
  <c r="BK53" i="37"/>
  <c r="BJ53" i="37"/>
  <c r="BI53" i="37"/>
  <c r="BH53" i="37"/>
  <c r="BG53" i="37"/>
  <c r="BF53" i="37"/>
  <c r="BE53" i="37"/>
  <c r="BD53" i="37"/>
  <c r="BC53" i="37"/>
  <c r="BB53" i="37"/>
  <c r="BA53" i="37"/>
  <c r="AZ53" i="37"/>
  <c r="AY53" i="37"/>
  <c r="AX53" i="37"/>
  <c r="AW53" i="37"/>
  <c r="AV53" i="37"/>
  <c r="AU53" i="37"/>
  <c r="AT53" i="37"/>
  <c r="AS53" i="37"/>
  <c r="AR53" i="37"/>
  <c r="AQ53" i="37"/>
  <c r="AP53" i="37"/>
  <c r="AO53" i="37"/>
  <c r="AN53" i="37"/>
  <c r="AM53" i="37"/>
  <c r="AL53" i="37"/>
  <c r="AK53" i="37"/>
  <c r="AJ53" i="37"/>
  <c r="AI53" i="37"/>
  <c r="AH53" i="37"/>
  <c r="AG53" i="37"/>
  <c r="AF53" i="37"/>
  <c r="AE53" i="37"/>
  <c r="AD53" i="37"/>
  <c r="AC53" i="37"/>
  <c r="AB53" i="37"/>
  <c r="AA53" i="37"/>
  <c r="Z53" i="37"/>
  <c r="Y53" i="37"/>
  <c r="X53" i="37"/>
  <c r="W53" i="37"/>
  <c r="V53" i="37"/>
  <c r="U53" i="37"/>
  <c r="T53" i="37"/>
  <c r="S53" i="37"/>
  <c r="R53" i="37"/>
  <c r="Q53" i="37"/>
  <c r="K53" i="37"/>
  <c r="L53" i="37" s="1"/>
  <c r="M53" i="37" s="1"/>
  <c r="N53" i="37" s="1"/>
  <c r="O53" i="37" s="1"/>
  <c r="P53" i="37" s="1"/>
  <c r="J53" i="37"/>
  <c r="I53" i="37"/>
  <c r="H53" i="37"/>
  <c r="G53" i="37"/>
  <c r="F53" i="37"/>
  <c r="E53" i="37"/>
  <c r="D53" i="37"/>
  <c r="A53" i="37"/>
  <c r="BU52" i="37"/>
  <c r="BT52" i="37"/>
  <c r="BS52" i="37"/>
  <c r="BR52" i="37"/>
  <c r="BQ52" i="37"/>
  <c r="BP52" i="37"/>
  <c r="BO52" i="37"/>
  <c r="BN52" i="37"/>
  <c r="BM52" i="37"/>
  <c r="BL52" i="37"/>
  <c r="BK52" i="37"/>
  <c r="BJ52" i="37"/>
  <c r="BI52" i="37"/>
  <c r="BH52" i="37"/>
  <c r="BG52" i="37"/>
  <c r="BF52" i="37"/>
  <c r="BE52" i="37"/>
  <c r="BD52" i="37"/>
  <c r="BC52" i="37"/>
  <c r="BB52" i="37"/>
  <c r="BA52" i="37"/>
  <c r="AZ52" i="37"/>
  <c r="AY52" i="37"/>
  <c r="AX52" i="37"/>
  <c r="AW52" i="37"/>
  <c r="AV52" i="37"/>
  <c r="AU52" i="37"/>
  <c r="AT52" i="37"/>
  <c r="AS52" i="37"/>
  <c r="AR52" i="37"/>
  <c r="AQ52" i="37"/>
  <c r="AP52" i="37"/>
  <c r="AO52" i="37"/>
  <c r="AN52" i="37"/>
  <c r="AM52" i="37"/>
  <c r="AL52" i="37"/>
  <c r="AK52" i="37"/>
  <c r="AJ52" i="37"/>
  <c r="AI52" i="37"/>
  <c r="AH52" i="37"/>
  <c r="AG52" i="37"/>
  <c r="AF52" i="37"/>
  <c r="AE52" i="37"/>
  <c r="AD52" i="37"/>
  <c r="AC52" i="37"/>
  <c r="AB52" i="37"/>
  <c r="AA52" i="37"/>
  <c r="Z52" i="37"/>
  <c r="Y52" i="37"/>
  <c r="X52" i="37"/>
  <c r="W52" i="37"/>
  <c r="V52" i="37"/>
  <c r="U52" i="37"/>
  <c r="T52" i="37"/>
  <c r="S52" i="37"/>
  <c r="R52" i="37"/>
  <c r="Q52" i="37"/>
  <c r="K52" i="37"/>
  <c r="L52" i="37" s="1"/>
  <c r="M52" i="37" s="1"/>
  <c r="N52" i="37" s="1"/>
  <c r="O52" i="37" s="1"/>
  <c r="P52" i="37" s="1"/>
  <c r="J52" i="37"/>
  <c r="I52" i="37"/>
  <c r="H52" i="37"/>
  <c r="G52" i="37"/>
  <c r="F52" i="37"/>
  <c r="E52" i="37"/>
  <c r="D52" i="37"/>
  <c r="A52" i="37"/>
  <c r="BU51" i="37"/>
  <c r="BT51" i="37"/>
  <c r="BS51" i="37"/>
  <c r="BR51" i="37"/>
  <c r="BQ51" i="37"/>
  <c r="BP51" i="37"/>
  <c r="BO51" i="37"/>
  <c r="BN51" i="37"/>
  <c r="BM51" i="37"/>
  <c r="BL51" i="37"/>
  <c r="BK51" i="37"/>
  <c r="BJ51" i="37"/>
  <c r="BI51" i="37"/>
  <c r="BH51" i="37"/>
  <c r="BG51" i="37"/>
  <c r="BF51" i="37"/>
  <c r="BE51" i="37"/>
  <c r="BD51" i="37"/>
  <c r="BC51" i="37"/>
  <c r="BB51" i="37"/>
  <c r="BA51" i="37"/>
  <c r="AZ51" i="37"/>
  <c r="AY51" i="37"/>
  <c r="AX51" i="37"/>
  <c r="AW51" i="37"/>
  <c r="AV51" i="37"/>
  <c r="AU51" i="37"/>
  <c r="AT51" i="37"/>
  <c r="AS51" i="37"/>
  <c r="AR51" i="37"/>
  <c r="AQ51" i="37"/>
  <c r="AP51" i="37"/>
  <c r="AO51" i="37"/>
  <c r="AN51" i="37"/>
  <c r="AM51" i="37"/>
  <c r="AL51" i="37"/>
  <c r="AK51" i="37"/>
  <c r="AJ51" i="37"/>
  <c r="AI51" i="37"/>
  <c r="AH51" i="37"/>
  <c r="AG51" i="37"/>
  <c r="AF51" i="37"/>
  <c r="AE51" i="37"/>
  <c r="AD51" i="37"/>
  <c r="AC51" i="37"/>
  <c r="AB51" i="37"/>
  <c r="AA51" i="37"/>
  <c r="Z51" i="37"/>
  <c r="Y51" i="37"/>
  <c r="X51" i="37"/>
  <c r="W51" i="37"/>
  <c r="V51" i="37"/>
  <c r="U51" i="37"/>
  <c r="T51" i="37"/>
  <c r="S51" i="37"/>
  <c r="R51" i="37"/>
  <c r="Q51" i="37"/>
  <c r="K51" i="37"/>
  <c r="L51" i="37" s="1"/>
  <c r="M51" i="37" s="1"/>
  <c r="N51" i="37" s="1"/>
  <c r="O51" i="37" s="1"/>
  <c r="P51" i="37" s="1"/>
  <c r="J51" i="37"/>
  <c r="I51" i="37"/>
  <c r="H51" i="37"/>
  <c r="G51" i="37"/>
  <c r="F51" i="37"/>
  <c r="E51" i="37"/>
  <c r="D51" i="37"/>
  <c r="A51" i="37"/>
  <c r="BU50" i="37"/>
  <c r="BT50" i="37"/>
  <c r="BS50" i="37"/>
  <c r="BR50" i="37"/>
  <c r="BQ50" i="37"/>
  <c r="BP50" i="37"/>
  <c r="BO50" i="37"/>
  <c r="BN50" i="37"/>
  <c r="BM50" i="37"/>
  <c r="BL50" i="37"/>
  <c r="BK50" i="37"/>
  <c r="BJ50" i="37"/>
  <c r="BI50" i="37"/>
  <c r="BH50" i="37"/>
  <c r="BG50" i="37"/>
  <c r="BF50" i="37"/>
  <c r="BE50" i="37"/>
  <c r="BD50" i="37"/>
  <c r="BC50" i="37"/>
  <c r="BB50" i="37"/>
  <c r="BA50" i="37"/>
  <c r="AZ50" i="37"/>
  <c r="AY50" i="37"/>
  <c r="AX50" i="37"/>
  <c r="AW50" i="37"/>
  <c r="AV50" i="37"/>
  <c r="AU50" i="37"/>
  <c r="AT50" i="37"/>
  <c r="AS50" i="37"/>
  <c r="AR50" i="37"/>
  <c r="AQ50" i="37"/>
  <c r="AP50" i="37"/>
  <c r="AO50" i="37"/>
  <c r="AN50" i="37"/>
  <c r="AM50" i="37"/>
  <c r="AL50" i="37"/>
  <c r="AK50" i="37"/>
  <c r="AJ50" i="37"/>
  <c r="AI50" i="37"/>
  <c r="AH50" i="37"/>
  <c r="AG50" i="37"/>
  <c r="AF50" i="37"/>
  <c r="AE50" i="37"/>
  <c r="AD50" i="37"/>
  <c r="AC50" i="37"/>
  <c r="AB50" i="37"/>
  <c r="AA50" i="37"/>
  <c r="Z50" i="37"/>
  <c r="Y50" i="37"/>
  <c r="X50" i="37"/>
  <c r="W50" i="37"/>
  <c r="V50" i="37"/>
  <c r="U50" i="37"/>
  <c r="T50" i="37"/>
  <c r="S50" i="37"/>
  <c r="R50" i="37"/>
  <c r="Q50" i="37"/>
  <c r="K50" i="37"/>
  <c r="L50" i="37" s="1"/>
  <c r="M50" i="37" s="1"/>
  <c r="N50" i="37" s="1"/>
  <c r="O50" i="37" s="1"/>
  <c r="P50" i="37" s="1"/>
  <c r="J50" i="37"/>
  <c r="I50" i="37"/>
  <c r="H50" i="37"/>
  <c r="G50" i="37"/>
  <c r="F50" i="37"/>
  <c r="E50" i="37"/>
  <c r="D50" i="37"/>
  <c r="A50" i="37"/>
  <c r="BU49" i="37"/>
  <c r="BT49" i="37"/>
  <c r="BS49" i="37"/>
  <c r="BR49" i="37"/>
  <c r="BQ49" i="37"/>
  <c r="BP49" i="37"/>
  <c r="BO49" i="37"/>
  <c r="BN49" i="37"/>
  <c r="BM49" i="37"/>
  <c r="BL49" i="37"/>
  <c r="BK49" i="37"/>
  <c r="BJ49" i="37"/>
  <c r="BI49" i="37"/>
  <c r="BH49" i="37"/>
  <c r="BG49" i="37"/>
  <c r="BF49" i="37"/>
  <c r="BE49" i="37"/>
  <c r="BD49" i="37"/>
  <c r="BC49" i="37"/>
  <c r="BB49" i="37"/>
  <c r="BA49" i="37"/>
  <c r="AZ49" i="37"/>
  <c r="AY49" i="37"/>
  <c r="AX49" i="37"/>
  <c r="AW49" i="37"/>
  <c r="AV49" i="37"/>
  <c r="AU49" i="37"/>
  <c r="AT49" i="37"/>
  <c r="AS49" i="37"/>
  <c r="AR49" i="37"/>
  <c r="AQ49" i="37"/>
  <c r="AP49" i="37"/>
  <c r="AO49" i="37"/>
  <c r="AN49" i="37"/>
  <c r="AM49" i="37"/>
  <c r="AL49" i="37"/>
  <c r="AK49" i="37"/>
  <c r="AJ49" i="37"/>
  <c r="AI49" i="37"/>
  <c r="AH49" i="37"/>
  <c r="AG49" i="37"/>
  <c r="AF49" i="37"/>
  <c r="AE49" i="37"/>
  <c r="AD49" i="37"/>
  <c r="AC49" i="37"/>
  <c r="AB49" i="37"/>
  <c r="AA49" i="37"/>
  <c r="Z49" i="37"/>
  <c r="Y49" i="37"/>
  <c r="X49" i="37"/>
  <c r="W49" i="37"/>
  <c r="V49" i="37"/>
  <c r="U49" i="37"/>
  <c r="T49" i="37"/>
  <c r="S49" i="37"/>
  <c r="R49" i="37"/>
  <c r="Q49" i="37"/>
  <c r="K49" i="37"/>
  <c r="L49" i="37" s="1"/>
  <c r="M49" i="37" s="1"/>
  <c r="N49" i="37" s="1"/>
  <c r="O49" i="37" s="1"/>
  <c r="P49" i="37" s="1"/>
  <c r="J49" i="37"/>
  <c r="I49" i="37"/>
  <c r="H49" i="37"/>
  <c r="G49" i="37"/>
  <c r="F49" i="37"/>
  <c r="E49" i="37"/>
  <c r="D49" i="37"/>
  <c r="A49" i="37"/>
  <c r="BU48" i="37"/>
  <c r="BT48" i="37"/>
  <c r="BS48" i="37"/>
  <c r="BR48" i="37"/>
  <c r="BQ48" i="37"/>
  <c r="BP48" i="37"/>
  <c r="BO48" i="37"/>
  <c r="BN48" i="37"/>
  <c r="BM48" i="37"/>
  <c r="BL48" i="37"/>
  <c r="BK48" i="37"/>
  <c r="BJ48" i="37"/>
  <c r="BI48" i="37"/>
  <c r="BH48" i="37"/>
  <c r="BG48" i="37"/>
  <c r="BF48" i="37"/>
  <c r="BE48" i="37"/>
  <c r="BD48" i="37"/>
  <c r="BC48" i="37"/>
  <c r="BB48" i="37"/>
  <c r="BA48" i="37"/>
  <c r="AZ48" i="37"/>
  <c r="AY48" i="37"/>
  <c r="AX48" i="37"/>
  <c r="AW48" i="37"/>
  <c r="AV48" i="37"/>
  <c r="AU48" i="37"/>
  <c r="AT48" i="37"/>
  <c r="AS48" i="37"/>
  <c r="AR48" i="37"/>
  <c r="AQ48" i="37"/>
  <c r="AP48" i="37"/>
  <c r="AO48" i="37"/>
  <c r="AN48" i="37"/>
  <c r="AM48" i="37"/>
  <c r="AL48" i="37"/>
  <c r="AK48" i="37"/>
  <c r="AJ48" i="37"/>
  <c r="AI48" i="37"/>
  <c r="AH48" i="37"/>
  <c r="AG48" i="37"/>
  <c r="AF48" i="37"/>
  <c r="AE48" i="37"/>
  <c r="AD48" i="37"/>
  <c r="AC48" i="37"/>
  <c r="AB48" i="37"/>
  <c r="AA48" i="37"/>
  <c r="Z48" i="37"/>
  <c r="Y48" i="37"/>
  <c r="X48" i="37"/>
  <c r="W48" i="37"/>
  <c r="V48" i="37"/>
  <c r="U48" i="37"/>
  <c r="T48" i="37"/>
  <c r="S48" i="37"/>
  <c r="R48" i="37"/>
  <c r="Q48" i="37"/>
  <c r="K48" i="37"/>
  <c r="L48" i="37" s="1"/>
  <c r="M48" i="37" s="1"/>
  <c r="N48" i="37" s="1"/>
  <c r="O48" i="37" s="1"/>
  <c r="P48" i="37" s="1"/>
  <c r="J48" i="37"/>
  <c r="I48" i="37"/>
  <c r="H48" i="37"/>
  <c r="G48" i="37"/>
  <c r="F48" i="37"/>
  <c r="E48" i="37"/>
  <c r="D48" i="37"/>
  <c r="A48" i="37"/>
  <c r="BU47" i="37"/>
  <c r="BT47" i="37"/>
  <c r="BS47" i="37"/>
  <c r="BR47" i="37"/>
  <c r="BQ47" i="37"/>
  <c r="BP47" i="37"/>
  <c r="BO47" i="37"/>
  <c r="BN47" i="37"/>
  <c r="BM47" i="37"/>
  <c r="BL47" i="37"/>
  <c r="BK47" i="37"/>
  <c r="BJ47" i="37"/>
  <c r="BI47" i="37"/>
  <c r="BH47" i="37"/>
  <c r="BG47" i="37"/>
  <c r="BF47" i="37"/>
  <c r="BE47" i="37"/>
  <c r="BD47" i="37"/>
  <c r="BC47" i="37"/>
  <c r="BB47" i="37"/>
  <c r="BA47" i="37"/>
  <c r="AZ47" i="37"/>
  <c r="AY47" i="37"/>
  <c r="AX47" i="37"/>
  <c r="AW47" i="37"/>
  <c r="AV47" i="37"/>
  <c r="AU47" i="37"/>
  <c r="AT47" i="37"/>
  <c r="AS47" i="37"/>
  <c r="AR47" i="37"/>
  <c r="AQ47" i="37"/>
  <c r="AP47" i="37"/>
  <c r="AO47" i="37"/>
  <c r="AN47" i="37"/>
  <c r="AM47" i="37"/>
  <c r="AL47" i="37"/>
  <c r="AK47" i="37"/>
  <c r="AJ47" i="37"/>
  <c r="AI47" i="37"/>
  <c r="AH47" i="37"/>
  <c r="AG47" i="37"/>
  <c r="AF47" i="37"/>
  <c r="AE47" i="37"/>
  <c r="AD47" i="37"/>
  <c r="AC47" i="37"/>
  <c r="AB47" i="37"/>
  <c r="AA47" i="37"/>
  <c r="Z47" i="37"/>
  <c r="Y47" i="37"/>
  <c r="X47" i="37"/>
  <c r="W47" i="37"/>
  <c r="V47" i="37"/>
  <c r="U47" i="37"/>
  <c r="T47" i="37"/>
  <c r="S47" i="37"/>
  <c r="R47" i="37"/>
  <c r="Q47" i="37"/>
  <c r="K47" i="37"/>
  <c r="L47" i="37" s="1"/>
  <c r="M47" i="37" s="1"/>
  <c r="N47" i="37" s="1"/>
  <c r="O47" i="37" s="1"/>
  <c r="P47" i="37" s="1"/>
  <c r="J47" i="37"/>
  <c r="I47" i="37"/>
  <c r="H47" i="37"/>
  <c r="G47" i="37"/>
  <c r="F47" i="37"/>
  <c r="E47" i="37"/>
  <c r="D47" i="37"/>
  <c r="A47" i="37"/>
  <c r="BU46" i="37"/>
  <c r="BT46" i="37"/>
  <c r="BS46" i="37"/>
  <c r="BR46" i="37"/>
  <c r="BQ46" i="37"/>
  <c r="BP46" i="37"/>
  <c r="BO46" i="37"/>
  <c r="BN46" i="37"/>
  <c r="BM46" i="37"/>
  <c r="BL46" i="37"/>
  <c r="BK46" i="37"/>
  <c r="BJ46" i="37"/>
  <c r="BI46" i="37"/>
  <c r="BH46" i="37"/>
  <c r="BG46" i="37"/>
  <c r="BF46" i="37"/>
  <c r="BE46" i="37"/>
  <c r="BD46" i="37"/>
  <c r="BC46" i="37"/>
  <c r="BB46" i="37"/>
  <c r="BA46" i="37"/>
  <c r="AZ46" i="37"/>
  <c r="AY46" i="37"/>
  <c r="AX46" i="37"/>
  <c r="AW46" i="37"/>
  <c r="AV46" i="37"/>
  <c r="AU46" i="37"/>
  <c r="AT46" i="37"/>
  <c r="AS46" i="37"/>
  <c r="AR46" i="37"/>
  <c r="AQ46" i="37"/>
  <c r="AP46" i="37"/>
  <c r="AO46" i="37"/>
  <c r="AN46" i="37"/>
  <c r="AM46" i="37"/>
  <c r="AL46" i="37"/>
  <c r="AK46" i="37"/>
  <c r="AJ46" i="37"/>
  <c r="AI46" i="37"/>
  <c r="AH46" i="37"/>
  <c r="AG46" i="37"/>
  <c r="AF46" i="37"/>
  <c r="AE46" i="37"/>
  <c r="AD46" i="37"/>
  <c r="AC46" i="37"/>
  <c r="AB46" i="37"/>
  <c r="AA46" i="37"/>
  <c r="Z46" i="37"/>
  <c r="Y46" i="37"/>
  <c r="X46" i="37"/>
  <c r="W46" i="37"/>
  <c r="V46" i="37"/>
  <c r="U46" i="37"/>
  <c r="T46" i="37"/>
  <c r="S46" i="37"/>
  <c r="R46" i="37"/>
  <c r="Q46" i="37"/>
  <c r="K46" i="37"/>
  <c r="L46" i="37" s="1"/>
  <c r="M46" i="37" s="1"/>
  <c r="N46" i="37" s="1"/>
  <c r="O46" i="37" s="1"/>
  <c r="P46" i="37" s="1"/>
  <c r="J46" i="37"/>
  <c r="I46" i="37"/>
  <c r="H46" i="37"/>
  <c r="G46" i="37"/>
  <c r="F46" i="37"/>
  <c r="E46" i="37"/>
  <c r="D46" i="37"/>
  <c r="A46" i="37"/>
  <c r="BU45" i="37"/>
  <c r="BT45" i="37"/>
  <c r="BS45" i="37"/>
  <c r="BR45" i="37"/>
  <c r="BQ45" i="37"/>
  <c r="BP45" i="37"/>
  <c r="BO45" i="37"/>
  <c r="BN45" i="37"/>
  <c r="BM45" i="37"/>
  <c r="BL45" i="37"/>
  <c r="BK45" i="37"/>
  <c r="BJ45" i="37"/>
  <c r="BI45" i="37"/>
  <c r="BH45" i="37"/>
  <c r="BG45" i="37"/>
  <c r="BF45" i="37"/>
  <c r="BE45" i="37"/>
  <c r="BD45" i="37"/>
  <c r="BC45" i="37"/>
  <c r="BB45" i="37"/>
  <c r="BA45" i="37"/>
  <c r="AZ45" i="37"/>
  <c r="AY45" i="37"/>
  <c r="AX45" i="37"/>
  <c r="AW45" i="37"/>
  <c r="AV45" i="37"/>
  <c r="AU45" i="37"/>
  <c r="AT45" i="37"/>
  <c r="AS45" i="37"/>
  <c r="AR45" i="37"/>
  <c r="AQ45" i="37"/>
  <c r="AP45" i="37"/>
  <c r="AO45" i="37"/>
  <c r="AN45" i="37"/>
  <c r="AM45" i="37"/>
  <c r="AL45" i="37"/>
  <c r="AK45" i="37"/>
  <c r="AJ45" i="37"/>
  <c r="AI45" i="37"/>
  <c r="AH45" i="37"/>
  <c r="AG45" i="37"/>
  <c r="AF45" i="37"/>
  <c r="AE45" i="37"/>
  <c r="AD45" i="37"/>
  <c r="AC45" i="37"/>
  <c r="AB45" i="37"/>
  <c r="AA45" i="37"/>
  <c r="Z45" i="37"/>
  <c r="Y45" i="37"/>
  <c r="X45" i="37"/>
  <c r="W45" i="37"/>
  <c r="V45" i="37"/>
  <c r="U45" i="37"/>
  <c r="T45" i="37"/>
  <c r="S45" i="37"/>
  <c r="R45" i="37"/>
  <c r="Q45" i="37"/>
  <c r="K45" i="37"/>
  <c r="L45" i="37" s="1"/>
  <c r="M45" i="37" s="1"/>
  <c r="N45" i="37" s="1"/>
  <c r="O45" i="37" s="1"/>
  <c r="P45" i="37" s="1"/>
  <c r="J45" i="37"/>
  <c r="I45" i="37"/>
  <c r="H45" i="37"/>
  <c r="G45" i="37"/>
  <c r="F45" i="37"/>
  <c r="E45" i="37"/>
  <c r="D45" i="37"/>
  <c r="A45" i="37"/>
  <c r="BU44" i="37"/>
  <c r="BT44" i="37"/>
  <c r="BS44" i="37"/>
  <c r="BR44" i="37"/>
  <c r="BQ44" i="37"/>
  <c r="BP44" i="37"/>
  <c r="BO44" i="37"/>
  <c r="BN44" i="37"/>
  <c r="BM44" i="37"/>
  <c r="BL44" i="37"/>
  <c r="BK44" i="37"/>
  <c r="BJ44" i="37"/>
  <c r="BI44" i="37"/>
  <c r="BH44" i="37"/>
  <c r="BG44" i="37"/>
  <c r="BF44" i="37"/>
  <c r="BE44" i="37"/>
  <c r="BD44" i="37"/>
  <c r="BC44" i="37"/>
  <c r="BB44" i="37"/>
  <c r="BA44" i="37"/>
  <c r="AZ44" i="37"/>
  <c r="AY44" i="37"/>
  <c r="AX44" i="37"/>
  <c r="AW44" i="37"/>
  <c r="AV44" i="37"/>
  <c r="AU44" i="37"/>
  <c r="AT44" i="37"/>
  <c r="AS44" i="37"/>
  <c r="AR44" i="37"/>
  <c r="AQ44" i="37"/>
  <c r="AP44" i="37"/>
  <c r="AO44" i="37"/>
  <c r="AN44" i="37"/>
  <c r="AM44" i="37"/>
  <c r="AL44" i="37"/>
  <c r="AK44" i="37"/>
  <c r="AJ44" i="37"/>
  <c r="AI44" i="37"/>
  <c r="AH44" i="37"/>
  <c r="AG44" i="37"/>
  <c r="AF44" i="37"/>
  <c r="AE44" i="37"/>
  <c r="AD44" i="37"/>
  <c r="AC44" i="37"/>
  <c r="AB44" i="37"/>
  <c r="AA44" i="37"/>
  <c r="Z44" i="37"/>
  <c r="Y44" i="37"/>
  <c r="X44" i="37"/>
  <c r="W44" i="37"/>
  <c r="V44" i="37"/>
  <c r="U44" i="37"/>
  <c r="T44" i="37"/>
  <c r="S44" i="37"/>
  <c r="R44" i="37"/>
  <c r="Q44" i="37"/>
  <c r="K44" i="37"/>
  <c r="L44" i="37" s="1"/>
  <c r="M44" i="37" s="1"/>
  <c r="N44" i="37" s="1"/>
  <c r="O44" i="37" s="1"/>
  <c r="P44" i="37" s="1"/>
  <c r="J44" i="37"/>
  <c r="I44" i="37"/>
  <c r="H44" i="37"/>
  <c r="G44" i="37"/>
  <c r="F44" i="37"/>
  <c r="E44" i="37"/>
  <c r="D44" i="37"/>
  <c r="A44" i="37"/>
  <c r="BU43" i="37"/>
  <c r="BT43" i="37"/>
  <c r="BS43" i="37"/>
  <c r="BR43" i="37"/>
  <c r="BQ43" i="37"/>
  <c r="BP43" i="37"/>
  <c r="BO43" i="37"/>
  <c r="BN43" i="37"/>
  <c r="BM43" i="37"/>
  <c r="BL43" i="37"/>
  <c r="BK43" i="37"/>
  <c r="BJ43" i="37"/>
  <c r="BI43" i="37"/>
  <c r="BH43" i="37"/>
  <c r="BG43" i="37"/>
  <c r="BF43" i="37"/>
  <c r="BE43" i="37"/>
  <c r="BD43" i="37"/>
  <c r="BC43" i="37"/>
  <c r="BB43" i="37"/>
  <c r="BA43" i="37"/>
  <c r="AZ43" i="37"/>
  <c r="AY43" i="37"/>
  <c r="AX43" i="37"/>
  <c r="AW43" i="37"/>
  <c r="AV43" i="37"/>
  <c r="AU43" i="37"/>
  <c r="AT43" i="37"/>
  <c r="AS43" i="37"/>
  <c r="AR43" i="37"/>
  <c r="AQ43" i="37"/>
  <c r="AP43" i="37"/>
  <c r="AO43" i="37"/>
  <c r="AN43" i="37"/>
  <c r="AM43" i="37"/>
  <c r="AL43" i="37"/>
  <c r="AK43" i="37"/>
  <c r="AJ43" i="37"/>
  <c r="AI43" i="37"/>
  <c r="AH43" i="37"/>
  <c r="AG43" i="37"/>
  <c r="AF43" i="37"/>
  <c r="AE43" i="37"/>
  <c r="AD43" i="37"/>
  <c r="AC43" i="37"/>
  <c r="AB43" i="37"/>
  <c r="AA43" i="37"/>
  <c r="Z43" i="37"/>
  <c r="Y43" i="37"/>
  <c r="X43" i="37"/>
  <c r="W43" i="37"/>
  <c r="V43" i="37"/>
  <c r="U43" i="37"/>
  <c r="T43" i="37"/>
  <c r="S43" i="37"/>
  <c r="R43" i="37"/>
  <c r="Q43" i="37"/>
  <c r="K43" i="37"/>
  <c r="L43" i="37" s="1"/>
  <c r="M43" i="37" s="1"/>
  <c r="N43" i="37" s="1"/>
  <c r="O43" i="37" s="1"/>
  <c r="P43" i="37" s="1"/>
  <c r="J43" i="37"/>
  <c r="I43" i="37"/>
  <c r="H43" i="37"/>
  <c r="G43" i="37"/>
  <c r="F43" i="37"/>
  <c r="E43" i="37"/>
  <c r="D43" i="37"/>
  <c r="A43" i="37"/>
  <c r="BU42" i="37"/>
  <c r="BT42" i="37"/>
  <c r="BS42" i="37"/>
  <c r="BR42" i="37"/>
  <c r="BQ42" i="37"/>
  <c r="BP42" i="37"/>
  <c r="BO42" i="37"/>
  <c r="BN42" i="37"/>
  <c r="BM42" i="37"/>
  <c r="BL42" i="37"/>
  <c r="BK42" i="37"/>
  <c r="BJ42" i="37"/>
  <c r="BI42" i="37"/>
  <c r="BH42" i="37"/>
  <c r="BG42" i="37"/>
  <c r="BF42" i="37"/>
  <c r="BE42" i="37"/>
  <c r="BD42" i="37"/>
  <c r="BC42" i="37"/>
  <c r="BB42" i="37"/>
  <c r="BA42" i="37"/>
  <c r="AZ42" i="37"/>
  <c r="AY42" i="37"/>
  <c r="AX42" i="37"/>
  <c r="AW42" i="37"/>
  <c r="AV42" i="37"/>
  <c r="AU42" i="37"/>
  <c r="AT42" i="37"/>
  <c r="AS42" i="37"/>
  <c r="AR42" i="37"/>
  <c r="AQ42" i="37"/>
  <c r="AP42" i="37"/>
  <c r="AO42" i="37"/>
  <c r="AN42" i="37"/>
  <c r="AM42" i="37"/>
  <c r="AL42" i="37"/>
  <c r="AK42" i="37"/>
  <c r="AJ42" i="37"/>
  <c r="AI42" i="37"/>
  <c r="AH42" i="37"/>
  <c r="AG42" i="37"/>
  <c r="AF42" i="37"/>
  <c r="AE42" i="37"/>
  <c r="AD42" i="37"/>
  <c r="AC42" i="37"/>
  <c r="AB42" i="37"/>
  <c r="AA42" i="37"/>
  <c r="Z42" i="37"/>
  <c r="Y42" i="37"/>
  <c r="X42" i="37"/>
  <c r="W42" i="37"/>
  <c r="V42" i="37"/>
  <c r="U42" i="37"/>
  <c r="T42" i="37"/>
  <c r="S42" i="37"/>
  <c r="R42" i="37"/>
  <c r="Q42" i="37"/>
  <c r="K42" i="37"/>
  <c r="L42" i="37" s="1"/>
  <c r="M42" i="37" s="1"/>
  <c r="N42" i="37" s="1"/>
  <c r="O42" i="37" s="1"/>
  <c r="P42" i="37" s="1"/>
  <c r="J42" i="37"/>
  <c r="I42" i="37"/>
  <c r="H42" i="37"/>
  <c r="G42" i="37"/>
  <c r="F42" i="37"/>
  <c r="E42" i="37"/>
  <c r="D42" i="37"/>
  <c r="A42" i="37"/>
  <c r="BU41" i="37"/>
  <c r="BT41" i="37"/>
  <c r="BS41" i="37"/>
  <c r="BR41" i="37"/>
  <c r="BQ41" i="37"/>
  <c r="BP41" i="37"/>
  <c r="BO41" i="37"/>
  <c r="BN41" i="37"/>
  <c r="BM41" i="37"/>
  <c r="BL41" i="37"/>
  <c r="BK41" i="37"/>
  <c r="BJ41" i="37"/>
  <c r="BI41" i="37"/>
  <c r="BH41" i="37"/>
  <c r="BG41" i="37"/>
  <c r="BF41" i="37"/>
  <c r="BE41" i="37"/>
  <c r="BD41" i="37"/>
  <c r="BC41" i="37"/>
  <c r="BB41" i="37"/>
  <c r="BA41" i="37"/>
  <c r="AZ41" i="37"/>
  <c r="AY41" i="37"/>
  <c r="AX41" i="37"/>
  <c r="AW41" i="37"/>
  <c r="AV41" i="37"/>
  <c r="AU41" i="37"/>
  <c r="AT41" i="37"/>
  <c r="AS41" i="37"/>
  <c r="AR41" i="37"/>
  <c r="AQ41" i="37"/>
  <c r="AP41" i="37"/>
  <c r="AO41" i="37"/>
  <c r="AN41" i="37"/>
  <c r="AM41" i="37"/>
  <c r="AL41" i="37"/>
  <c r="AK41" i="37"/>
  <c r="AJ41" i="37"/>
  <c r="AI41" i="37"/>
  <c r="AH41" i="37"/>
  <c r="AG41" i="37"/>
  <c r="AF41" i="37"/>
  <c r="AE41" i="37"/>
  <c r="AD41" i="37"/>
  <c r="AC41" i="37"/>
  <c r="AB41" i="37"/>
  <c r="AA41" i="37"/>
  <c r="Z41" i="37"/>
  <c r="Y41" i="37"/>
  <c r="X41" i="37"/>
  <c r="W41" i="37"/>
  <c r="V41" i="37"/>
  <c r="U41" i="37"/>
  <c r="T41" i="37"/>
  <c r="S41" i="37"/>
  <c r="R41" i="37"/>
  <c r="Q41" i="37"/>
  <c r="K41" i="37"/>
  <c r="L41" i="37" s="1"/>
  <c r="M41" i="37" s="1"/>
  <c r="N41" i="37" s="1"/>
  <c r="O41" i="37" s="1"/>
  <c r="P41" i="37" s="1"/>
  <c r="J41" i="37"/>
  <c r="I41" i="37"/>
  <c r="H41" i="37"/>
  <c r="G41" i="37"/>
  <c r="F41" i="37"/>
  <c r="E41" i="37"/>
  <c r="D41" i="37"/>
  <c r="A41" i="37"/>
  <c r="BU40" i="37"/>
  <c r="BT40" i="37"/>
  <c r="BS40" i="37"/>
  <c r="BR40" i="37"/>
  <c r="BQ40" i="37"/>
  <c r="BP40" i="37"/>
  <c r="BO40" i="37"/>
  <c r="BN40" i="37"/>
  <c r="BM40" i="37"/>
  <c r="BL40" i="37"/>
  <c r="BK40" i="37"/>
  <c r="BJ40" i="37"/>
  <c r="BI40" i="37"/>
  <c r="BH40" i="37"/>
  <c r="BG40" i="37"/>
  <c r="BF40" i="37"/>
  <c r="BE40" i="37"/>
  <c r="BD40" i="37"/>
  <c r="BC40" i="37"/>
  <c r="BB40" i="37"/>
  <c r="BA40" i="37"/>
  <c r="AZ40" i="37"/>
  <c r="AY40" i="37"/>
  <c r="AX40" i="37"/>
  <c r="AW40" i="37"/>
  <c r="AV40" i="37"/>
  <c r="AU40" i="37"/>
  <c r="AT40" i="37"/>
  <c r="AS40" i="37"/>
  <c r="AR40" i="37"/>
  <c r="AQ40" i="37"/>
  <c r="AP40" i="37"/>
  <c r="AO40" i="37"/>
  <c r="AN40" i="37"/>
  <c r="AM40" i="37"/>
  <c r="AL40" i="37"/>
  <c r="AK40" i="37"/>
  <c r="AJ40" i="37"/>
  <c r="AI40" i="37"/>
  <c r="AH40" i="37"/>
  <c r="AG40" i="37"/>
  <c r="AF40" i="37"/>
  <c r="AE40" i="37"/>
  <c r="AD40" i="37"/>
  <c r="AC40" i="37"/>
  <c r="AB40" i="37"/>
  <c r="AA40" i="37"/>
  <c r="Z40" i="37"/>
  <c r="Y40" i="37"/>
  <c r="X40" i="37"/>
  <c r="W40" i="37"/>
  <c r="V40" i="37"/>
  <c r="U40" i="37"/>
  <c r="T40" i="37"/>
  <c r="S40" i="37"/>
  <c r="R40" i="37"/>
  <c r="Q40" i="37"/>
  <c r="K40" i="37"/>
  <c r="L40" i="37" s="1"/>
  <c r="M40" i="37" s="1"/>
  <c r="N40" i="37" s="1"/>
  <c r="O40" i="37" s="1"/>
  <c r="P40" i="37" s="1"/>
  <c r="J40" i="37"/>
  <c r="I40" i="37"/>
  <c r="H40" i="37"/>
  <c r="G40" i="37"/>
  <c r="F40" i="37"/>
  <c r="E40" i="37"/>
  <c r="D40" i="37"/>
  <c r="A40" i="37"/>
  <c r="BU39" i="37"/>
  <c r="BT39" i="37"/>
  <c r="BS39" i="37"/>
  <c r="BR39" i="37"/>
  <c r="BQ39" i="37"/>
  <c r="BP39" i="37"/>
  <c r="BO39" i="37"/>
  <c r="BN39" i="37"/>
  <c r="BM39" i="37"/>
  <c r="BL39" i="37"/>
  <c r="BK39" i="37"/>
  <c r="BJ39" i="37"/>
  <c r="BI39" i="37"/>
  <c r="BH39" i="37"/>
  <c r="BG39" i="37"/>
  <c r="BF39" i="37"/>
  <c r="BE39" i="37"/>
  <c r="BD39" i="37"/>
  <c r="BC39" i="37"/>
  <c r="BB39" i="37"/>
  <c r="BA39" i="37"/>
  <c r="AZ39" i="37"/>
  <c r="AY39" i="37"/>
  <c r="AX39" i="37"/>
  <c r="AW39" i="37"/>
  <c r="AV39" i="37"/>
  <c r="AU39" i="37"/>
  <c r="AT39" i="37"/>
  <c r="AS39" i="37"/>
  <c r="AR39" i="37"/>
  <c r="AQ39" i="37"/>
  <c r="AP39" i="37"/>
  <c r="AO39" i="37"/>
  <c r="AN39" i="37"/>
  <c r="AM39" i="37"/>
  <c r="AL39" i="37"/>
  <c r="AK39" i="37"/>
  <c r="AJ39" i="37"/>
  <c r="AI39" i="37"/>
  <c r="AH39" i="37"/>
  <c r="AG39" i="37"/>
  <c r="AF39" i="37"/>
  <c r="AE39" i="37"/>
  <c r="AD39" i="37"/>
  <c r="AC39" i="37"/>
  <c r="AB39" i="37"/>
  <c r="AA39" i="37"/>
  <c r="Z39" i="37"/>
  <c r="Y39" i="37"/>
  <c r="X39" i="37"/>
  <c r="W39" i="37"/>
  <c r="V39" i="37"/>
  <c r="U39" i="37"/>
  <c r="T39" i="37"/>
  <c r="S39" i="37"/>
  <c r="R39" i="37"/>
  <c r="Q39" i="37"/>
  <c r="K39" i="37"/>
  <c r="L39" i="37" s="1"/>
  <c r="M39" i="37" s="1"/>
  <c r="N39" i="37" s="1"/>
  <c r="O39" i="37" s="1"/>
  <c r="P39" i="37" s="1"/>
  <c r="J39" i="37"/>
  <c r="I39" i="37"/>
  <c r="H39" i="37"/>
  <c r="G39" i="37"/>
  <c r="F39" i="37"/>
  <c r="E39" i="37"/>
  <c r="D39" i="37"/>
  <c r="A39" i="37"/>
  <c r="BU38" i="37"/>
  <c r="BT38" i="37"/>
  <c r="BS38" i="37"/>
  <c r="BR38" i="37"/>
  <c r="BQ38" i="37"/>
  <c r="BP38" i="37"/>
  <c r="BO38" i="37"/>
  <c r="BN38" i="37"/>
  <c r="BM38" i="37"/>
  <c r="BL38" i="37"/>
  <c r="BK38" i="37"/>
  <c r="BJ38" i="37"/>
  <c r="BI38" i="37"/>
  <c r="BH38" i="37"/>
  <c r="BG38" i="37"/>
  <c r="BF38" i="37"/>
  <c r="BE38" i="37"/>
  <c r="BD38" i="37"/>
  <c r="BC38" i="37"/>
  <c r="BB38" i="37"/>
  <c r="BA38" i="37"/>
  <c r="AZ38" i="37"/>
  <c r="AY38" i="37"/>
  <c r="AX38" i="37"/>
  <c r="AW38" i="37"/>
  <c r="AV38" i="37"/>
  <c r="AU38" i="37"/>
  <c r="AT38" i="37"/>
  <c r="AS38" i="37"/>
  <c r="AR38" i="37"/>
  <c r="AQ38" i="37"/>
  <c r="AP38" i="37"/>
  <c r="AO38" i="37"/>
  <c r="AN38" i="37"/>
  <c r="AM38" i="37"/>
  <c r="AL38" i="37"/>
  <c r="AK38" i="37"/>
  <c r="AJ38" i="37"/>
  <c r="AI38" i="37"/>
  <c r="AH38" i="37"/>
  <c r="AG38" i="37"/>
  <c r="AF38" i="37"/>
  <c r="AE38" i="37"/>
  <c r="AD38" i="37"/>
  <c r="AC38" i="37"/>
  <c r="AB38" i="37"/>
  <c r="AA38" i="37"/>
  <c r="Z38" i="37"/>
  <c r="Y38" i="37"/>
  <c r="X38" i="37"/>
  <c r="W38" i="37"/>
  <c r="V38" i="37"/>
  <c r="U38" i="37"/>
  <c r="T38" i="37"/>
  <c r="S38" i="37"/>
  <c r="R38" i="37"/>
  <c r="Q38" i="37"/>
  <c r="K38" i="37"/>
  <c r="L38" i="37" s="1"/>
  <c r="M38" i="37" s="1"/>
  <c r="N38" i="37" s="1"/>
  <c r="O38" i="37" s="1"/>
  <c r="P38" i="37" s="1"/>
  <c r="J38" i="37"/>
  <c r="I38" i="37"/>
  <c r="H38" i="37"/>
  <c r="G38" i="37"/>
  <c r="F38" i="37"/>
  <c r="E38" i="37"/>
  <c r="D38" i="37"/>
  <c r="A38" i="37"/>
  <c r="BU37" i="37"/>
  <c r="BT37" i="37"/>
  <c r="BS37" i="37"/>
  <c r="BR37" i="37"/>
  <c r="BQ37" i="37"/>
  <c r="BP37" i="37"/>
  <c r="BO37" i="37"/>
  <c r="BN37" i="37"/>
  <c r="BM37" i="37"/>
  <c r="BL37" i="37"/>
  <c r="BK37" i="37"/>
  <c r="BJ37" i="37"/>
  <c r="BI37" i="37"/>
  <c r="BH37" i="37"/>
  <c r="BG37" i="37"/>
  <c r="BF37" i="37"/>
  <c r="BE37" i="37"/>
  <c r="BD37" i="37"/>
  <c r="BC37" i="37"/>
  <c r="BB37" i="37"/>
  <c r="BA37" i="37"/>
  <c r="AZ37" i="37"/>
  <c r="AY37" i="37"/>
  <c r="AX37" i="37"/>
  <c r="AW37" i="37"/>
  <c r="AV37" i="37"/>
  <c r="AU37" i="37"/>
  <c r="AT37" i="37"/>
  <c r="AS37" i="37"/>
  <c r="AR37" i="37"/>
  <c r="AQ37" i="37"/>
  <c r="AP37" i="37"/>
  <c r="AO37" i="37"/>
  <c r="AN37" i="37"/>
  <c r="AM37" i="37"/>
  <c r="AL37" i="37"/>
  <c r="AK37" i="37"/>
  <c r="AJ37" i="37"/>
  <c r="AI37" i="37"/>
  <c r="AH37" i="37"/>
  <c r="AG37" i="37"/>
  <c r="AF37" i="37"/>
  <c r="AE37" i="37"/>
  <c r="AD37" i="37"/>
  <c r="AC37" i="37"/>
  <c r="AB37" i="37"/>
  <c r="AA37" i="37"/>
  <c r="Z37" i="37"/>
  <c r="Y37" i="37"/>
  <c r="X37" i="37"/>
  <c r="W37" i="37"/>
  <c r="V37" i="37"/>
  <c r="U37" i="37"/>
  <c r="T37" i="37"/>
  <c r="S37" i="37"/>
  <c r="R37" i="37"/>
  <c r="Q37" i="37"/>
  <c r="K37" i="37"/>
  <c r="L37" i="37" s="1"/>
  <c r="M37" i="37" s="1"/>
  <c r="N37" i="37" s="1"/>
  <c r="O37" i="37" s="1"/>
  <c r="P37" i="37" s="1"/>
  <c r="J37" i="37"/>
  <c r="I37" i="37"/>
  <c r="H37" i="37"/>
  <c r="G37" i="37"/>
  <c r="F37" i="37"/>
  <c r="E37" i="37"/>
  <c r="D37" i="37"/>
  <c r="A37" i="37"/>
  <c r="K36" i="37"/>
  <c r="L36" i="37" s="1"/>
  <c r="M36" i="37" s="1"/>
  <c r="N36" i="37" s="1"/>
  <c r="O36" i="37" s="1"/>
  <c r="P36" i="37" s="1"/>
  <c r="BD36" i="37" s="1"/>
  <c r="A36" i="37"/>
  <c r="K35" i="37"/>
  <c r="L35" i="37" s="1"/>
  <c r="M35" i="37" s="1"/>
  <c r="N35" i="37" s="1"/>
  <c r="O35" i="37" s="1"/>
  <c r="P35" i="37" s="1"/>
  <c r="A35" i="37"/>
  <c r="K34" i="37"/>
  <c r="L34" i="37" s="1"/>
  <c r="M34" i="37" s="1"/>
  <c r="N34" i="37" s="1"/>
  <c r="O34" i="37" s="1"/>
  <c r="P34" i="37" s="1"/>
  <c r="AQ34" i="37" s="1"/>
  <c r="A34" i="37"/>
  <c r="K33" i="37"/>
  <c r="L33" i="37" s="1"/>
  <c r="M33" i="37" s="1"/>
  <c r="N33" i="37" s="1"/>
  <c r="O33" i="37" s="1"/>
  <c r="P33" i="37" s="1"/>
  <c r="A33" i="37"/>
  <c r="K32" i="37"/>
  <c r="L32" i="37" s="1"/>
  <c r="M32" i="37" s="1"/>
  <c r="N32" i="37" s="1"/>
  <c r="O32" i="37" s="1"/>
  <c r="P32" i="37" s="1"/>
  <c r="BA32" i="37" s="1"/>
  <c r="BB32" i="37" s="1"/>
  <c r="A32" i="37"/>
  <c r="K31" i="37"/>
  <c r="L31" i="37" s="1"/>
  <c r="M31" i="37" s="1"/>
  <c r="N31" i="37" s="1"/>
  <c r="O31" i="37" s="1"/>
  <c r="P31" i="37" s="1"/>
  <c r="A31" i="37"/>
  <c r="BU30" i="37"/>
  <c r="BT30" i="37"/>
  <c r="BS30" i="37"/>
  <c r="BR30" i="37"/>
  <c r="BQ30" i="37"/>
  <c r="BP30" i="37"/>
  <c r="BO30" i="37"/>
  <c r="BN30" i="37"/>
  <c r="BM30" i="37"/>
  <c r="BL30" i="37"/>
  <c r="BK30" i="37"/>
  <c r="BJ30" i="37"/>
  <c r="BI30" i="37"/>
  <c r="BH30" i="37"/>
  <c r="BG30" i="37"/>
  <c r="BF30" i="37"/>
  <c r="BE30" i="37"/>
  <c r="BD30" i="37"/>
  <c r="BC30" i="37"/>
  <c r="BB30" i="37"/>
  <c r="BA30" i="37"/>
  <c r="AZ30" i="37"/>
  <c r="AY30" i="37"/>
  <c r="AX30" i="37"/>
  <c r="AW30" i="37"/>
  <c r="AV30" i="37"/>
  <c r="AU30" i="37"/>
  <c r="AT30" i="37"/>
  <c r="AS30" i="37"/>
  <c r="AR30" i="37"/>
  <c r="AQ30" i="37"/>
  <c r="AP30" i="37"/>
  <c r="AO30" i="37"/>
  <c r="AN30" i="37"/>
  <c r="AM30" i="37"/>
  <c r="AL30" i="37"/>
  <c r="AK30" i="37"/>
  <c r="AJ30" i="37"/>
  <c r="AI30" i="37"/>
  <c r="AH30" i="37"/>
  <c r="AG30" i="37"/>
  <c r="AF30" i="37"/>
  <c r="AE30" i="37"/>
  <c r="AD30" i="37"/>
  <c r="AC30" i="37"/>
  <c r="AB30" i="37"/>
  <c r="AA30" i="37"/>
  <c r="Z30" i="37"/>
  <c r="Y30" i="37"/>
  <c r="X30" i="37"/>
  <c r="W30" i="37"/>
  <c r="V30" i="37"/>
  <c r="U30" i="37"/>
  <c r="T30" i="37"/>
  <c r="S30" i="37"/>
  <c r="R30" i="37"/>
  <c r="Q30" i="37"/>
  <c r="K30" i="37"/>
  <c r="L30" i="37" s="1"/>
  <c r="M30" i="37" s="1"/>
  <c r="N30" i="37" s="1"/>
  <c r="O30" i="37" s="1"/>
  <c r="P30" i="37" s="1"/>
  <c r="J30" i="37"/>
  <c r="I30" i="37"/>
  <c r="H30" i="37"/>
  <c r="G30" i="37"/>
  <c r="F30" i="37"/>
  <c r="E30" i="37"/>
  <c r="D30" i="37"/>
  <c r="A30" i="37"/>
  <c r="BU29" i="37"/>
  <c r="BT29" i="37"/>
  <c r="BS29" i="37"/>
  <c r="BR29" i="37"/>
  <c r="BQ29" i="37"/>
  <c r="BP29" i="37"/>
  <c r="BO29" i="37"/>
  <c r="BN29" i="37"/>
  <c r="BM29" i="37"/>
  <c r="BL29" i="37"/>
  <c r="BK29" i="37"/>
  <c r="BJ29" i="37"/>
  <c r="BI29" i="37"/>
  <c r="BH29" i="37"/>
  <c r="BG29" i="37"/>
  <c r="BF29" i="37"/>
  <c r="BE29" i="37"/>
  <c r="BD29" i="37"/>
  <c r="BC29" i="37"/>
  <c r="BB29" i="37"/>
  <c r="BA29" i="37"/>
  <c r="AZ29" i="37"/>
  <c r="AY29" i="37"/>
  <c r="AX29" i="37"/>
  <c r="AW29" i="37"/>
  <c r="AV29" i="37"/>
  <c r="AU29" i="37"/>
  <c r="AT29" i="37"/>
  <c r="AS29" i="37"/>
  <c r="AR29" i="37"/>
  <c r="AQ29" i="37"/>
  <c r="AP29" i="37"/>
  <c r="AO29" i="37"/>
  <c r="AN29" i="37"/>
  <c r="AM29" i="37"/>
  <c r="AL29" i="37"/>
  <c r="AK29" i="37"/>
  <c r="AJ29" i="37"/>
  <c r="AI29" i="37"/>
  <c r="AH29" i="37"/>
  <c r="AG29" i="37"/>
  <c r="AF29" i="37"/>
  <c r="AE29" i="37"/>
  <c r="AD29" i="37"/>
  <c r="AC29" i="37"/>
  <c r="AB29" i="37"/>
  <c r="AA29" i="37"/>
  <c r="Z29" i="37"/>
  <c r="Y29" i="37"/>
  <c r="X29" i="37"/>
  <c r="W29" i="37"/>
  <c r="V29" i="37"/>
  <c r="U29" i="37"/>
  <c r="T29" i="37"/>
  <c r="S29" i="37"/>
  <c r="R29" i="37"/>
  <c r="Q29" i="37"/>
  <c r="K29" i="37"/>
  <c r="L29" i="37" s="1"/>
  <c r="M29" i="37" s="1"/>
  <c r="N29" i="37" s="1"/>
  <c r="O29" i="37" s="1"/>
  <c r="P29" i="37" s="1"/>
  <c r="J29" i="37"/>
  <c r="I29" i="37"/>
  <c r="H29" i="37"/>
  <c r="G29" i="37"/>
  <c r="F29" i="37"/>
  <c r="E29" i="37"/>
  <c r="D29" i="37"/>
  <c r="A29" i="37"/>
  <c r="BU28" i="37"/>
  <c r="BT28" i="37"/>
  <c r="BS28" i="37"/>
  <c r="BR28" i="37"/>
  <c r="BQ28" i="37"/>
  <c r="BP28" i="37"/>
  <c r="BO28" i="37"/>
  <c r="BN28" i="37"/>
  <c r="BM28" i="37"/>
  <c r="BL28" i="37"/>
  <c r="BK28" i="37"/>
  <c r="BJ28" i="37"/>
  <c r="BI28" i="37"/>
  <c r="BH28" i="37"/>
  <c r="BG28" i="37"/>
  <c r="BF28" i="37"/>
  <c r="BE28" i="37"/>
  <c r="BD28" i="37"/>
  <c r="BC28" i="37"/>
  <c r="BB28" i="37"/>
  <c r="BA28" i="37"/>
  <c r="AZ28" i="37"/>
  <c r="AY28" i="37"/>
  <c r="AX28" i="37"/>
  <c r="AW28" i="37"/>
  <c r="AV28" i="37"/>
  <c r="AU28" i="37"/>
  <c r="AT28" i="37"/>
  <c r="AS28" i="37"/>
  <c r="AR28" i="37"/>
  <c r="AQ28" i="37"/>
  <c r="AP28" i="37"/>
  <c r="AO28" i="37"/>
  <c r="AN28" i="37"/>
  <c r="AM28" i="37"/>
  <c r="AL28" i="37"/>
  <c r="AK28" i="37"/>
  <c r="AJ28" i="37"/>
  <c r="AI28" i="37"/>
  <c r="AH28" i="37"/>
  <c r="AG28" i="37"/>
  <c r="AF28" i="37"/>
  <c r="AE28" i="37"/>
  <c r="AD28" i="37"/>
  <c r="AC28" i="37"/>
  <c r="AB28" i="37"/>
  <c r="AA28" i="37"/>
  <c r="Z28" i="37"/>
  <c r="Y28" i="37"/>
  <c r="X28" i="37"/>
  <c r="W28" i="37"/>
  <c r="V28" i="37"/>
  <c r="U28" i="37"/>
  <c r="T28" i="37"/>
  <c r="S28" i="37"/>
  <c r="R28" i="37"/>
  <c r="Q28" i="37"/>
  <c r="K28" i="37"/>
  <c r="L28" i="37" s="1"/>
  <c r="M28" i="37" s="1"/>
  <c r="N28" i="37" s="1"/>
  <c r="O28" i="37" s="1"/>
  <c r="P28" i="37" s="1"/>
  <c r="J28" i="37"/>
  <c r="I28" i="37"/>
  <c r="H28" i="37"/>
  <c r="G28" i="37"/>
  <c r="F28" i="37"/>
  <c r="E28" i="37"/>
  <c r="D28" i="37"/>
  <c r="A28" i="37"/>
  <c r="BU27" i="37"/>
  <c r="BT27" i="37"/>
  <c r="BS27" i="37"/>
  <c r="BR27" i="37"/>
  <c r="BQ27" i="37"/>
  <c r="BP27" i="37"/>
  <c r="BO27" i="37"/>
  <c r="BN27" i="37"/>
  <c r="BM27" i="37"/>
  <c r="BL27" i="37"/>
  <c r="BK27" i="37"/>
  <c r="BJ27" i="37"/>
  <c r="BI27" i="37"/>
  <c r="BH27" i="37"/>
  <c r="BG27" i="37"/>
  <c r="BF27" i="37"/>
  <c r="BE27" i="37"/>
  <c r="BD27" i="37"/>
  <c r="BC27" i="37"/>
  <c r="BB27" i="37"/>
  <c r="BA27" i="37"/>
  <c r="AZ27" i="37"/>
  <c r="AY27" i="37"/>
  <c r="AX27" i="37"/>
  <c r="AW27" i="37"/>
  <c r="AV27" i="37"/>
  <c r="AU27" i="37"/>
  <c r="AT27" i="37"/>
  <c r="AS27" i="37"/>
  <c r="AR27" i="37"/>
  <c r="AQ27" i="37"/>
  <c r="AP27" i="37"/>
  <c r="AO27" i="37"/>
  <c r="AN27" i="37"/>
  <c r="AM27" i="37"/>
  <c r="AL27" i="37"/>
  <c r="AK27" i="37"/>
  <c r="AJ27" i="37"/>
  <c r="AI27" i="37"/>
  <c r="AH27" i="37"/>
  <c r="AG27" i="37"/>
  <c r="AF27" i="37"/>
  <c r="AE27" i="37"/>
  <c r="AD27" i="37"/>
  <c r="AC27" i="37"/>
  <c r="AB27" i="37"/>
  <c r="AA27" i="37"/>
  <c r="Z27" i="37"/>
  <c r="Y27" i="37"/>
  <c r="X27" i="37"/>
  <c r="W27" i="37"/>
  <c r="V27" i="37"/>
  <c r="U27" i="37"/>
  <c r="T27" i="37"/>
  <c r="S27" i="37"/>
  <c r="R27" i="37"/>
  <c r="Q27" i="37"/>
  <c r="K27" i="37"/>
  <c r="L27" i="37" s="1"/>
  <c r="M27" i="37" s="1"/>
  <c r="N27" i="37" s="1"/>
  <c r="O27" i="37" s="1"/>
  <c r="P27" i="37" s="1"/>
  <c r="J27" i="37"/>
  <c r="I27" i="37"/>
  <c r="H27" i="37"/>
  <c r="G27" i="37"/>
  <c r="F27" i="37"/>
  <c r="E27" i="37"/>
  <c r="D27" i="37"/>
  <c r="A27" i="37"/>
  <c r="K26" i="37"/>
  <c r="L26" i="37" s="1"/>
  <c r="M26" i="37" s="1"/>
  <c r="N26" i="37" s="1"/>
  <c r="O26" i="37" s="1"/>
  <c r="P26" i="37" s="1"/>
  <c r="AL26" i="37" s="1"/>
  <c r="A26" i="37"/>
  <c r="BU25" i="37"/>
  <c r="BT25" i="37"/>
  <c r="BS25" i="37"/>
  <c r="BR25" i="37"/>
  <c r="BQ25" i="37"/>
  <c r="BP25" i="37"/>
  <c r="BO25" i="37"/>
  <c r="BN25" i="37"/>
  <c r="BM25" i="37"/>
  <c r="BL25" i="37"/>
  <c r="BK25" i="37"/>
  <c r="BJ25" i="37"/>
  <c r="BI25" i="37"/>
  <c r="BH25" i="37"/>
  <c r="BG25" i="37"/>
  <c r="BF25" i="37"/>
  <c r="BE25" i="37"/>
  <c r="BD25" i="37"/>
  <c r="BC25" i="37"/>
  <c r="BB25" i="37"/>
  <c r="BA25" i="37"/>
  <c r="AZ25" i="37"/>
  <c r="AY25" i="37"/>
  <c r="AX25" i="37"/>
  <c r="AW25" i="37"/>
  <c r="AV25" i="37"/>
  <c r="AU25" i="37"/>
  <c r="AT25" i="37"/>
  <c r="AS25" i="37"/>
  <c r="AR25" i="37"/>
  <c r="AQ25" i="37"/>
  <c r="AP25" i="37"/>
  <c r="AO25" i="37"/>
  <c r="AN25" i="37"/>
  <c r="AM25" i="37"/>
  <c r="AL25" i="37"/>
  <c r="AK25" i="37"/>
  <c r="AJ25" i="37"/>
  <c r="AI25" i="37"/>
  <c r="AH25" i="37"/>
  <c r="AG25" i="37"/>
  <c r="AF25" i="37"/>
  <c r="AE25" i="37"/>
  <c r="AD25" i="37"/>
  <c r="AC25" i="37"/>
  <c r="AB25" i="37"/>
  <c r="AA25" i="37"/>
  <c r="Z25" i="37"/>
  <c r="Y25" i="37"/>
  <c r="X25" i="37"/>
  <c r="W25" i="37"/>
  <c r="V25" i="37"/>
  <c r="U25" i="37"/>
  <c r="T25" i="37"/>
  <c r="S25" i="37"/>
  <c r="R25" i="37"/>
  <c r="Q25" i="37"/>
  <c r="K25" i="37"/>
  <c r="L25" i="37" s="1"/>
  <c r="M25" i="37" s="1"/>
  <c r="N25" i="37" s="1"/>
  <c r="O25" i="37" s="1"/>
  <c r="P25" i="37" s="1"/>
  <c r="J25" i="37"/>
  <c r="I25" i="37"/>
  <c r="H25" i="37"/>
  <c r="G25" i="37"/>
  <c r="F25" i="37"/>
  <c r="E25" i="37"/>
  <c r="D25" i="37"/>
  <c r="A25" i="37"/>
  <c r="K24" i="37"/>
  <c r="L24" i="37" s="1"/>
  <c r="M24" i="37" s="1"/>
  <c r="N24" i="37" s="1"/>
  <c r="O24" i="37" s="1"/>
  <c r="P24" i="37" s="1"/>
  <c r="AS24" i="37" s="1"/>
  <c r="AT24" i="37" s="1"/>
  <c r="A24" i="37"/>
  <c r="K23" i="37"/>
  <c r="L23" i="37" s="1"/>
  <c r="M23" i="37" s="1"/>
  <c r="N23" i="37" s="1"/>
  <c r="O23" i="37" s="1"/>
  <c r="P23" i="37" s="1"/>
  <c r="A23" i="37"/>
  <c r="K22" i="37"/>
  <c r="L22" i="37" s="1"/>
  <c r="M22" i="37" s="1"/>
  <c r="N22" i="37" s="1"/>
  <c r="O22" i="37" s="1"/>
  <c r="P22" i="37" s="1"/>
  <c r="Y22" i="37" s="1"/>
  <c r="Z22" i="37" s="1"/>
  <c r="A22" i="37"/>
  <c r="K21" i="37"/>
  <c r="L21" i="37" s="1"/>
  <c r="M21" i="37" s="1"/>
  <c r="N21" i="37" s="1"/>
  <c r="O21" i="37" s="1"/>
  <c r="P21" i="37" s="1"/>
  <c r="AP21" i="37" s="1"/>
  <c r="A21" i="37"/>
  <c r="K20" i="37"/>
  <c r="L20" i="37" s="1"/>
  <c r="M20" i="37" s="1"/>
  <c r="N20" i="37" s="1"/>
  <c r="O20" i="37" s="1"/>
  <c r="P20" i="37" s="1"/>
  <c r="A20" i="37"/>
  <c r="K19" i="37"/>
  <c r="L19" i="37" s="1"/>
  <c r="M19" i="37" s="1"/>
  <c r="N19" i="37" s="1"/>
  <c r="O19" i="37" s="1"/>
  <c r="P19" i="37" s="1"/>
  <c r="A19" i="37"/>
  <c r="K18" i="37"/>
  <c r="L18" i="37" s="1"/>
  <c r="M18" i="37" s="1"/>
  <c r="N18" i="37" s="1"/>
  <c r="O18" i="37" s="1"/>
  <c r="P18" i="37" s="1"/>
  <c r="A18" i="37"/>
  <c r="K17" i="37"/>
  <c r="L17" i="37" s="1"/>
  <c r="M17" i="37" s="1"/>
  <c r="N17" i="37" s="1"/>
  <c r="O17" i="37" s="1"/>
  <c r="P17" i="37" s="1"/>
  <c r="A17" i="37"/>
  <c r="K16" i="37"/>
  <c r="L16" i="37" s="1"/>
  <c r="M16" i="37" s="1"/>
  <c r="N16" i="37" s="1"/>
  <c r="O16" i="37" s="1"/>
  <c r="P16" i="37" s="1"/>
  <c r="A16" i="37"/>
  <c r="I25" i="36"/>
  <c r="E25" i="36"/>
  <c r="C25" i="36"/>
  <c r="A25" i="36"/>
  <c r="O21" i="36"/>
  <c r="E21" i="36"/>
  <c r="O20" i="36"/>
  <c r="E20" i="36"/>
  <c r="O19" i="36"/>
  <c r="E19" i="36"/>
  <c r="O18" i="36"/>
  <c r="E18" i="36"/>
  <c r="O17" i="36"/>
  <c r="E17" i="36"/>
  <c r="O16" i="36"/>
  <c r="E16" i="36"/>
  <c r="O15" i="36"/>
  <c r="E15" i="36"/>
  <c r="O14" i="36"/>
  <c r="E14" i="36"/>
  <c r="O13" i="36"/>
  <c r="E13" i="36"/>
  <c r="O12" i="36"/>
  <c r="E12" i="36"/>
  <c r="O11" i="36"/>
  <c r="E11" i="36"/>
  <c r="O10" i="36"/>
  <c r="E10" i="36"/>
  <c r="H39" i="35"/>
  <c r="D39" i="35"/>
  <c r="B39" i="35"/>
  <c r="B7" i="38" l="1"/>
  <c r="B4" i="38"/>
  <c r="B3" i="38"/>
  <c r="X22" i="38"/>
  <c r="AS22" i="38" s="1"/>
  <c r="V22" i="38"/>
  <c r="U22" i="38"/>
  <c r="T22" i="38"/>
  <c r="AQ22" i="38" s="1"/>
  <c r="S22" i="38"/>
  <c r="AP22" i="38" s="1"/>
  <c r="R22" i="38"/>
  <c r="AM19" i="38"/>
  <c r="Q19" i="38"/>
  <c r="AL19" i="38"/>
  <c r="AK19" i="38"/>
  <c r="BB19" i="38" s="1"/>
  <c r="S19" i="38"/>
  <c r="AP19" i="38" s="1"/>
  <c r="AJ19" i="38"/>
  <c r="BA19" i="38" s="1"/>
  <c r="T19" i="38"/>
  <c r="AQ19" i="38" s="1"/>
  <c r="AI19" i="38"/>
  <c r="AZ19" i="38" s="1"/>
  <c r="AH19" i="38"/>
  <c r="AY19" i="38" s="1"/>
  <c r="R19" i="38"/>
  <c r="AG19" i="38"/>
  <c r="AX19" i="38" s="1"/>
  <c r="AB19" i="38"/>
  <c r="U19" i="38"/>
  <c r="W19" i="38"/>
  <c r="V19" i="38"/>
  <c r="AM18" i="38"/>
  <c r="AA18" i="38"/>
  <c r="Z18" i="38"/>
  <c r="Y18" i="38"/>
  <c r="X18" i="38"/>
  <c r="AS18" i="38" s="1"/>
  <c r="W18" i="38"/>
  <c r="V18" i="38"/>
  <c r="Q18" i="38"/>
  <c r="O18" i="38"/>
  <c r="AB23" i="38"/>
  <c r="AA23" i="38"/>
  <c r="Y23" i="38"/>
  <c r="Z23" i="38"/>
  <c r="AM23" i="38"/>
  <c r="W23" i="38"/>
  <c r="AL23" i="38"/>
  <c r="V23" i="38"/>
  <c r="AK23" i="38"/>
  <c r="BB23" i="38" s="1"/>
  <c r="U23" i="38"/>
  <c r="AJ23" i="38"/>
  <c r="BA23" i="38" s="1"/>
  <c r="T23" i="38"/>
  <c r="AQ23" i="38" s="1"/>
  <c r="P23" i="38"/>
  <c r="O23" i="38"/>
  <c r="AD23" i="38"/>
  <c r="AI23" i="38"/>
  <c r="AZ23" i="38" s="1"/>
  <c r="AE23" i="38"/>
  <c r="AH23" i="38"/>
  <c r="AY23" i="38" s="1"/>
  <c r="AG23" i="38"/>
  <c r="AX23" i="38" s="1"/>
  <c r="AF23" i="38"/>
  <c r="AC23" i="38"/>
  <c r="X23" i="38"/>
  <c r="AS23" i="38" s="1"/>
  <c r="S23" i="38"/>
  <c r="AP23" i="38" s="1"/>
  <c r="R23" i="38"/>
  <c r="Q23" i="38"/>
  <c r="AA20" i="38"/>
  <c r="X20" i="38"/>
  <c r="AS20" i="38" s="1"/>
  <c r="Z20" i="38"/>
  <c r="Y20" i="38"/>
  <c r="AL20" i="38"/>
  <c r="V20" i="38"/>
  <c r="U20" i="38"/>
  <c r="AK20" i="38"/>
  <c r="BB20" i="38" s="1"/>
  <c r="AJ20" i="38"/>
  <c r="BA20" i="38" s="1"/>
  <c r="T20" i="38"/>
  <c r="AQ20" i="38" s="1"/>
  <c r="AI20" i="38"/>
  <c r="AZ20" i="38" s="1"/>
  <c r="S20" i="38"/>
  <c r="AP20" i="38" s="1"/>
  <c r="W20" i="38"/>
  <c r="AH20" i="38"/>
  <c r="AY20" i="38" s="1"/>
  <c r="R20" i="38"/>
  <c r="AG20" i="38"/>
  <c r="AX20" i="38" s="1"/>
  <c r="Q20" i="38"/>
  <c r="P20" i="38"/>
  <c r="AE20" i="38"/>
  <c r="O20" i="38"/>
  <c r="AM20" i="38"/>
  <c r="BC20" i="38" s="1"/>
  <c r="AF20" i="38"/>
  <c r="AD20" i="38"/>
  <c r="AC20" i="38"/>
  <c r="AB20" i="38"/>
  <c r="AL21" i="38"/>
  <c r="V21" i="38"/>
  <c r="AK21" i="38"/>
  <c r="BB21" i="38" s="1"/>
  <c r="U21" i="38"/>
  <c r="S21" i="38"/>
  <c r="AP21" i="38" s="1"/>
  <c r="AJ21" i="38"/>
  <c r="BA21" i="38" s="1"/>
  <c r="T21" i="38"/>
  <c r="AQ21" i="38" s="1"/>
  <c r="AI21" i="38"/>
  <c r="AZ21" i="38" s="1"/>
  <c r="AG21" i="38"/>
  <c r="AX21" i="38" s="1"/>
  <c r="Q21" i="38"/>
  <c r="AF21" i="38"/>
  <c r="P21" i="38"/>
  <c r="AE21" i="38"/>
  <c r="O21" i="38"/>
  <c r="AD21" i="38"/>
  <c r="AC21" i="38"/>
  <c r="AB21" i="38"/>
  <c r="R21" i="38"/>
  <c r="AA21" i="38"/>
  <c r="Z21" i="38"/>
  <c r="Y21" i="38"/>
  <c r="X21" i="38"/>
  <c r="AS21" i="38" s="1"/>
  <c r="W21" i="38"/>
  <c r="AM21" i="38"/>
  <c r="AH21" i="38"/>
  <c r="AY21" i="38" s="1"/>
  <c r="AM24" i="38"/>
  <c r="W24" i="38"/>
  <c r="AL24" i="38"/>
  <c r="V24" i="38"/>
  <c r="AK24" i="38"/>
  <c r="BB24" i="38" s="1"/>
  <c r="U24" i="38"/>
  <c r="T24" i="38"/>
  <c r="AQ24" i="38" s="1"/>
  <c r="AJ24" i="38"/>
  <c r="BA24" i="38" s="1"/>
  <c r="AH24" i="38"/>
  <c r="AY24" i="38" s="1"/>
  <c r="R24" i="38"/>
  <c r="AG24" i="38"/>
  <c r="AX24" i="38" s="1"/>
  <c r="Q24" i="38"/>
  <c r="AF24" i="38"/>
  <c r="P24" i="38"/>
  <c r="AE24" i="38"/>
  <c r="O24" i="38"/>
  <c r="AA24" i="38"/>
  <c r="Z24" i="38"/>
  <c r="Y24" i="38"/>
  <c r="X24" i="38"/>
  <c r="AS24" i="38" s="1"/>
  <c r="S24" i="38"/>
  <c r="AP24" i="38" s="1"/>
  <c r="AI24" i="38"/>
  <c r="AZ24" i="38" s="1"/>
  <c r="AD24" i="38"/>
  <c r="AC24" i="38"/>
  <c r="AB24" i="38"/>
  <c r="AC26" i="38"/>
  <c r="Y26" i="38"/>
  <c r="AB26" i="38"/>
  <c r="AA26" i="38"/>
  <c r="Z26" i="38"/>
  <c r="X26" i="38"/>
  <c r="AS26" i="38" s="1"/>
  <c r="AM26" i="38"/>
  <c r="W26" i="38"/>
  <c r="AL26" i="38"/>
  <c r="V26" i="38"/>
  <c r="AK26" i="38"/>
  <c r="BB26" i="38" s="1"/>
  <c r="U26" i="38"/>
  <c r="P26" i="38"/>
  <c r="O26" i="38"/>
  <c r="AE26" i="38"/>
  <c r="AH26" i="38"/>
  <c r="AY26" i="38" s="1"/>
  <c r="AJ26" i="38"/>
  <c r="BA26" i="38" s="1"/>
  <c r="AF26" i="38"/>
  <c r="AI26" i="38"/>
  <c r="AZ26" i="38" s="1"/>
  <c r="AG26" i="38"/>
  <c r="AX26" i="38" s="1"/>
  <c r="AD26" i="38"/>
  <c r="T26" i="38"/>
  <c r="AQ26" i="38" s="1"/>
  <c r="S26" i="38"/>
  <c r="AP26" i="38" s="1"/>
  <c r="R26" i="38"/>
  <c r="Q26" i="38"/>
  <c r="AK25" i="38"/>
  <c r="BB25" i="38" s="1"/>
  <c r="AL16" i="38"/>
  <c r="Z17" i="38"/>
  <c r="Y17" i="38"/>
  <c r="X17" i="38"/>
  <c r="AS17" i="38" s="1"/>
  <c r="AM17" i="38"/>
  <c r="W17" i="38"/>
  <c r="AK17" i="38"/>
  <c r="BB17" i="38" s="1"/>
  <c r="U17" i="38"/>
  <c r="AI17" i="38"/>
  <c r="AZ17" i="38" s="1"/>
  <c r="S17" i="38"/>
  <c r="AP17" i="38" s="1"/>
  <c r="AH17" i="38"/>
  <c r="AY17" i="38" s="1"/>
  <c r="R17" i="38"/>
  <c r="O17" i="38"/>
  <c r="AG22" i="38"/>
  <c r="AX22" i="38" s="1"/>
  <c r="Q22" i="38"/>
  <c r="AF22" i="38"/>
  <c r="P22" i="38"/>
  <c r="AE22" i="38"/>
  <c r="O22" i="38"/>
  <c r="AD22" i="38"/>
  <c r="AB22" i="38"/>
  <c r="AA22" i="38"/>
  <c r="Z22" i="38"/>
  <c r="Y22" i="38"/>
  <c r="AL25" i="38"/>
  <c r="AE16" i="38"/>
  <c r="O16" i="38"/>
  <c r="AD16" i="38"/>
  <c r="AB16" i="38"/>
  <c r="AC16" i="38"/>
  <c r="Z16" i="38"/>
  <c r="X16" i="38"/>
  <c r="AS16" i="38" s="1"/>
  <c r="AM16" i="38"/>
  <c r="BC16" i="38" s="1"/>
  <c r="W16" i="38"/>
  <c r="AM25" i="38"/>
  <c r="R16" i="38"/>
  <c r="V17" i="38"/>
  <c r="U16" i="38"/>
  <c r="AA17" i="38"/>
  <c r="Q16" i="38"/>
  <c r="W22" i="38"/>
  <c r="AR22" i="38" s="1"/>
  <c r="T25" i="38"/>
  <c r="AQ25" i="38" s="1"/>
  <c r="T16" i="38"/>
  <c r="AQ16" i="38" s="1"/>
  <c r="P17" i="38"/>
  <c r="AB18" i="38"/>
  <c r="AA16" i="38"/>
  <c r="AD17" i="38"/>
  <c r="AE18" i="38"/>
  <c r="AC22" i="38"/>
  <c r="V25" i="38"/>
  <c r="AB17" i="38"/>
  <c r="Y16" i="38"/>
  <c r="U25" i="38"/>
  <c r="AH22" i="38"/>
  <c r="AY22" i="38" s="1"/>
  <c r="W25" i="38"/>
  <c r="S16" i="38"/>
  <c r="AP16" i="38" s="1"/>
  <c r="T17" i="38"/>
  <c r="AQ17" i="38" s="1"/>
  <c r="AI22" i="38"/>
  <c r="AZ22" i="38" s="1"/>
  <c r="X25" i="38"/>
  <c r="AS25" i="38" s="1"/>
  <c r="AE17" i="38"/>
  <c r="AG16" i="38"/>
  <c r="AX16" i="38" s="1"/>
  <c r="AJ22" i="38"/>
  <c r="BA22" i="38" s="1"/>
  <c r="Y25" i="38"/>
  <c r="AF16" i="38"/>
  <c r="AG18" i="38"/>
  <c r="AX18" i="38" s="1"/>
  <c r="AF17" i="38"/>
  <c r="AL18" i="38"/>
  <c r="BC18" i="38" s="1"/>
  <c r="AH16" i="38"/>
  <c r="AY16" i="38" s="1"/>
  <c r="AG17" i="38"/>
  <c r="AX17" i="38" s="1"/>
  <c r="AI16" i="38"/>
  <c r="AZ16" i="38" s="1"/>
  <c r="AJ17" i="38"/>
  <c r="BA17" i="38" s="1"/>
  <c r="AF19" i="38"/>
  <c r="P19" i="38"/>
  <c r="AE19" i="38"/>
  <c r="O19" i="38"/>
  <c r="AD19" i="38"/>
  <c r="AC19" i="38"/>
  <c r="AA19" i="38"/>
  <c r="Z19" i="38"/>
  <c r="Y19" i="38"/>
  <c r="X19" i="38"/>
  <c r="AS19" i="38" s="1"/>
  <c r="AK22" i="38"/>
  <c r="BB22" i="38" s="1"/>
  <c r="AH25" i="38"/>
  <c r="AY25" i="38" s="1"/>
  <c r="R25" i="38"/>
  <c r="AG25" i="38"/>
  <c r="AX25" i="38" s="1"/>
  <c r="Q25" i="38"/>
  <c r="AF25" i="38"/>
  <c r="P25" i="38"/>
  <c r="AE25" i="38"/>
  <c r="O25" i="38"/>
  <c r="AC25" i="38"/>
  <c r="AB25" i="38"/>
  <c r="AA25" i="38"/>
  <c r="Z25" i="38"/>
  <c r="AC17" i="38"/>
  <c r="AJ16" i="38"/>
  <c r="BA16" i="38" s="1"/>
  <c r="AL17" i="38"/>
  <c r="AL22" i="38"/>
  <c r="AI25" i="38"/>
  <c r="AZ25" i="38" s="1"/>
  <c r="Q17" i="38"/>
  <c r="S25" i="38"/>
  <c r="AP25" i="38" s="1"/>
  <c r="V16" i="38"/>
  <c r="AK16" i="38"/>
  <c r="BB16" i="38" s="1"/>
  <c r="AK18" i="38"/>
  <c r="BB18" i="38" s="1"/>
  <c r="U18" i="38"/>
  <c r="AR18" i="38" s="1"/>
  <c r="R18" i="38"/>
  <c r="AJ18" i="38"/>
  <c r="BA18" i="38" s="1"/>
  <c r="T18" i="38"/>
  <c r="AQ18" i="38" s="1"/>
  <c r="AH18" i="38"/>
  <c r="AY18" i="38" s="1"/>
  <c r="AI18" i="38"/>
  <c r="AZ18" i="38" s="1"/>
  <c r="S18" i="38"/>
  <c r="AP18" i="38" s="1"/>
  <c r="AF18" i="38"/>
  <c r="AW18" i="38" s="1"/>
  <c r="P18" i="38"/>
  <c r="AN18" i="38" s="1"/>
  <c r="AD18" i="38"/>
  <c r="AC18" i="38"/>
  <c r="AU18" i="38" s="1"/>
  <c r="AM22" i="38"/>
  <c r="AJ25" i="38"/>
  <c r="BA25" i="38" s="1"/>
  <c r="AM19" i="37"/>
  <c r="BD19" i="37"/>
  <c r="BC19" i="37"/>
  <c r="AW20" i="37"/>
  <c r="AX20" i="37" s="1"/>
  <c r="BC20" i="37"/>
  <c r="Q20" i="37"/>
  <c r="AA24" i="37"/>
  <c r="AY22" i="37"/>
  <c r="AZ22" i="37" s="1"/>
  <c r="AB24" i="37"/>
  <c r="S26" i="37"/>
  <c r="R26" i="37"/>
  <c r="AQ16" i="37"/>
  <c r="AA16" i="37"/>
  <c r="BD16" i="37"/>
  <c r="AP16" i="37"/>
  <c r="Y16" i="37"/>
  <c r="Z16" i="37" s="1"/>
  <c r="BC16" i="37"/>
  <c r="AH16" i="37"/>
  <c r="R16" i="37"/>
  <c r="AW16" i="37"/>
  <c r="AX16" i="37" s="1"/>
  <c r="Q16" i="37"/>
  <c r="AG16" i="37"/>
  <c r="T16" i="37"/>
  <c r="S16" i="37"/>
  <c r="AM16" i="37"/>
  <c r="AS16" i="37"/>
  <c r="AT16" i="37" s="1"/>
  <c r="AK16" i="37"/>
  <c r="AE16" i="37"/>
  <c r="AF16" i="37" s="1"/>
  <c r="AJ16" i="37"/>
  <c r="AU16" i="37"/>
  <c r="AV16" i="37" s="1"/>
  <c r="AY16" i="37"/>
  <c r="AZ16" i="37" s="1"/>
  <c r="BA16" i="37"/>
  <c r="BB16" i="37" s="1"/>
  <c r="AC16" i="37"/>
  <c r="AB16" i="37"/>
  <c r="W16" i="37"/>
  <c r="X16" i="37" s="1"/>
  <c r="AL16" i="37"/>
  <c r="BD31" i="37"/>
  <c r="BC31" i="37"/>
  <c r="AM31" i="37"/>
  <c r="W31" i="37"/>
  <c r="X31" i="37" s="1"/>
  <c r="AL31" i="37"/>
  <c r="BA31" i="37"/>
  <c r="BB31" i="37" s="1"/>
  <c r="AK31" i="37"/>
  <c r="AJ31" i="37"/>
  <c r="T31" i="37"/>
  <c r="AU31" i="37"/>
  <c r="AV31" i="37" s="1"/>
  <c r="AE31" i="37"/>
  <c r="AF31" i="37" s="1"/>
  <c r="AH31" i="37"/>
  <c r="AG31" i="37"/>
  <c r="AC31" i="37"/>
  <c r="AY31" i="37"/>
  <c r="AZ31" i="37" s="1"/>
  <c r="AB31" i="37"/>
  <c r="AA31" i="37"/>
  <c r="AW31" i="37"/>
  <c r="AX31" i="37" s="1"/>
  <c r="Y31" i="37"/>
  <c r="Z31" i="37" s="1"/>
  <c r="S31" i="37"/>
  <c r="AS31" i="37"/>
  <c r="AT31" i="37" s="1"/>
  <c r="R31" i="37"/>
  <c r="Q31" i="37"/>
  <c r="AQ31" i="37"/>
  <c r="AP31" i="37"/>
  <c r="AS23" i="37"/>
  <c r="AT23" i="37" s="1"/>
  <c r="AC23" i="37"/>
  <c r="AB23" i="37"/>
  <c r="AA23" i="37"/>
  <c r="AQ23" i="37"/>
  <c r="AP23" i="37"/>
  <c r="Y23" i="37"/>
  <c r="Z23" i="37" s="1"/>
  <c r="W23" i="37"/>
  <c r="X23" i="37" s="1"/>
  <c r="BD23" i="37"/>
  <c r="AM23" i="37"/>
  <c r="BC23" i="37"/>
  <c r="AL23" i="37"/>
  <c r="BA23" i="37"/>
  <c r="BB23" i="37" s="1"/>
  <c r="AJ23" i="37"/>
  <c r="S23" i="37"/>
  <c r="R23" i="37"/>
  <c r="AY23" i="37"/>
  <c r="AZ23" i="37" s="1"/>
  <c r="AH23" i="37"/>
  <c r="Q23" i="37"/>
  <c r="AG23" i="37"/>
  <c r="AW23" i="37"/>
  <c r="AX23" i="37" s="1"/>
  <c r="AU23" i="37"/>
  <c r="AV23" i="37" s="1"/>
  <c r="AK23" i="37"/>
  <c r="T23" i="37"/>
  <c r="AE23" i="37"/>
  <c r="AF23" i="37" s="1"/>
  <c r="AP33" i="37"/>
  <c r="Y33" i="37"/>
  <c r="Z33" i="37" s="1"/>
  <c r="BD33" i="37"/>
  <c r="BC33" i="37"/>
  <c r="AM33" i="37"/>
  <c r="W33" i="37"/>
  <c r="X33" i="37" s="1"/>
  <c r="AL33" i="37"/>
  <c r="BA33" i="37"/>
  <c r="BB33" i="37" s="1"/>
  <c r="AK33" i="37"/>
  <c r="AJ33" i="37"/>
  <c r="AY33" i="37"/>
  <c r="AZ33" i="37" s="1"/>
  <c r="S33" i="37"/>
  <c r="AW33" i="37"/>
  <c r="AX33" i="37" s="1"/>
  <c r="AG33" i="37"/>
  <c r="Q33" i="37"/>
  <c r="U33" i="37" s="1"/>
  <c r="AQ33" i="37"/>
  <c r="AH33" i="37"/>
  <c r="AE33" i="37"/>
  <c r="AF33" i="37" s="1"/>
  <c r="AC33" i="37"/>
  <c r="AB33" i="37"/>
  <c r="AA33" i="37"/>
  <c r="T33" i="37"/>
  <c r="R33" i="37"/>
  <c r="AU33" i="37"/>
  <c r="AV33" i="37" s="1"/>
  <c r="AS33" i="37"/>
  <c r="AT33" i="37" s="1"/>
  <c r="AJ17" i="37"/>
  <c r="T17" i="37"/>
  <c r="S17" i="37"/>
  <c r="AH17" i="37"/>
  <c r="AY17" i="37"/>
  <c r="AZ17" i="37" s="1"/>
  <c r="R17" i="37"/>
  <c r="Q17" i="37"/>
  <c r="AW17" i="37"/>
  <c r="AX17" i="37" s="1"/>
  <c r="AG17" i="37"/>
  <c r="AU17" i="37"/>
  <c r="AV17" i="37" s="1"/>
  <c r="AQ17" i="37"/>
  <c r="AA17" i="37"/>
  <c r="AP17" i="37"/>
  <c r="Y17" i="37"/>
  <c r="Z17" i="37" s="1"/>
  <c r="BC17" i="37"/>
  <c r="AM17" i="37"/>
  <c r="W17" i="37"/>
  <c r="X17" i="37" s="1"/>
  <c r="AB17" i="37"/>
  <c r="AC17" i="37"/>
  <c r="AK17" i="37"/>
  <c r="BD17" i="37"/>
  <c r="AS17" i="37"/>
  <c r="AT17" i="37" s="1"/>
  <c r="BA17" i="37"/>
  <c r="BB17" i="37" s="1"/>
  <c r="AL17" i="37"/>
  <c r="AE17" i="37"/>
  <c r="AF17" i="37" s="1"/>
  <c r="AS18" i="37"/>
  <c r="AT18" i="37" s="1"/>
  <c r="AC18" i="37"/>
  <c r="AB18" i="37"/>
  <c r="AQ18" i="37"/>
  <c r="AA18" i="37"/>
  <c r="AP18" i="37"/>
  <c r="Y18" i="37"/>
  <c r="Z18" i="37" s="1"/>
  <c r="BD18" i="37"/>
  <c r="AJ18" i="37"/>
  <c r="T18" i="37"/>
  <c r="S18" i="37"/>
  <c r="AY18" i="37"/>
  <c r="AZ18" i="37" s="1"/>
  <c r="R18" i="37"/>
  <c r="AH18" i="37"/>
  <c r="AW18" i="37"/>
  <c r="AX18" i="37" s="1"/>
  <c r="AL18" i="37"/>
  <c r="AG18" i="37"/>
  <c r="AK18" i="37"/>
  <c r="W18" i="37"/>
  <c r="X18" i="37" s="1"/>
  <c r="Q18" i="37"/>
  <c r="BA18" i="37"/>
  <c r="BB18" i="37" s="1"/>
  <c r="BC18" i="37"/>
  <c r="AE18" i="37"/>
  <c r="AF18" i="37" s="1"/>
  <c r="AU18" i="37"/>
  <c r="AV18" i="37" s="1"/>
  <c r="AM18" i="37"/>
  <c r="W19" i="37"/>
  <c r="X19" i="37" s="1"/>
  <c r="R22" i="37"/>
  <c r="AE19" i="37"/>
  <c r="AF19" i="37" s="1"/>
  <c r="AU20" i="37"/>
  <c r="AV20" i="37" s="1"/>
  <c r="AE20" i="37"/>
  <c r="AF20" i="37" s="1"/>
  <c r="AS20" i="37"/>
  <c r="AT20" i="37" s="1"/>
  <c r="AC20" i="37"/>
  <c r="AB20" i="37"/>
  <c r="AQ20" i="37"/>
  <c r="AA20" i="37"/>
  <c r="AP20" i="37"/>
  <c r="Y20" i="37"/>
  <c r="Z20" i="37" s="1"/>
  <c r="BD20" i="37"/>
  <c r="AL20" i="37"/>
  <c r="BA20" i="37"/>
  <c r="BB20" i="37" s="1"/>
  <c r="AK20" i="37"/>
  <c r="AJ20" i="37"/>
  <c r="T20" i="37"/>
  <c r="AY20" i="37"/>
  <c r="AZ20" i="37" s="1"/>
  <c r="S20" i="37"/>
  <c r="AH20" i="37"/>
  <c r="R20" i="37"/>
  <c r="S22" i="37"/>
  <c r="BD21" i="37"/>
  <c r="BC21" i="37"/>
  <c r="AM21" i="37"/>
  <c r="W21" i="37"/>
  <c r="X21" i="37" s="1"/>
  <c r="AL21" i="37"/>
  <c r="BA21" i="37"/>
  <c r="BB21" i="37" s="1"/>
  <c r="AK21" i="37"/>
  <c r="AJ21" i="37"/>
  <c r="T21" i="37"/>
  <c r="AY21" i="37"/>
  <c r="AZ21" i="37" s="1"/>
  <c r="S21" i="37"/>
  <c r="AH21" i="37"/>
  <c r="R21" i="37"/>
  <c r="AW21" i="37"/>
  <c r="AX21" i="37" s="1"/>
  <c r="AG21" i="37"/>
  <c r="Q21" i="37"/>
  <c r="AU21" i="37"/>
  <c r="AV21" i="37" s="1"/>
  <c r="AE21" i="37"/>
  <c r="AF21" i="37" s="1"/>
  <c r="AS21" i="37"/>
  <c r="AT21" i="37" s="1"/>
  <c r="AC21" i="37"/>
  <c r="AB21" i="37"/>
  <c r="AQ21" i="37"/>
  <c r="AR21" i="37" s="1"/>
  <c r="AA21" i="37"/>
  <c r="Y21" i="37"/>
  <c r="Z21" i="37" s="1"/>
  <c r="AW22" i="37"/>
  <c r="AX22" i="37" s="1"/>
  <c r="AG22" i="37"/>
  <c r="Q22" i="37"/>
  <c r="AU22" i="37"/>
  <c r="AV22" i="37" s="1"/>
  <c r="AE22" i="37"/>
  <c r="AF22" i="37" s="1"/>
  <c r="AS22" i="37"/>
  <c r="AT22" i="37" s="1"/>
  <c r="AC22" i="37"/>
  <c r="AB22" i="37"/>
  <c r="AQ22" i="37"/>
  <c r="AA22" i="37"/>
  <c r="AP22" i="37"/>
  <c r="BD22" i="37"/>
  <c r="BC22" i="37"/>
  <c r="AM22" i="37"/>
  <c r="W22" i="37"/>
  <c r="X22" i="37" s="1"/>
  <c r="AL22" i="37"/>
  <c r="BA22" i="37"/>
  <c r="BB22" i="37" s="1"/>
  <c r="AK22" i="37"/>
  <c r="AJ22" i="37"/>
  <c r="T22" i="37"/>
  <c r="W20" i="37"/>
  <c r="X20" i="37" s="1"/>
  <c r="AH22" i="37"/>
  <c r="AW32" i="37"/>
  <c r="AX32" i="37" s="1"/>
  <c r="AG32" i="37"/>
  <c r="Q32" i="37"/>
  <c r="AU32" i="37"/>
  <c r="AV32" i="37" s="1"/>
  <c r="AE32" i="37"/>
  <c r="AF32" i="37" s="1"/>
  <c r="AS32" i="37"/>
  <c r="AT32" i="37" s="1"/>
  <c r="AC32" i="37"/>
  <c r="AB32" i="37"/>
  <c r="AP32" i="37"/>
  <c r="BD32" i="37"/>
  <c r="AY32" i="37"/>
  <c r="AZ32" i="37" s="1"/>
  <c r="T32" i="37"/>
  <c r="S32" i="37"/>
  <c r="AQ32" i="37"/>
  <c r="R32" i="37"/>
  <c r="AM32" i="37"/>
  <c r="AL32" i="37"/>
  <c r="AK32" i="37"/>
  <c r="AJ32" i="37"/>
  <c r="AN32" i="37" s="1"/>
  <c r="AH32" i="37"/>
  <c r="AA32" i="37"/>
  <c r="BC32" i="37"/>
  <c r="Y32" i="37"/>
  <c r="Z32" i="37" s="1"/>
  <c r="W32" i="37"/>
  <c r="X32" i="37" s="1"/>
  <c r="AG20" i="37"/>
  <c r="AL19" i="37"/>
  <c r="AK19" i="37"/>
  <c r="T19" i="37"/>
  <c r="BA19" i="37"/>
  <c r="BB19" i="37" s="1"/>
  <c r="AJ19" i="37"/>
  <c r="AY19" i="37"/>
  <c r="AZ19" i="37" s="1"/>
  <c r="S19" i="37"/>
  <c r="AH19" i="37"/>
  <c r="R19" i="37"/>
  <c r="AW19" i="37"/>
  <c r="AX19" i="37" s="1"/>
  <c r="AG19" i="37"/>
  <c r="Q19" i="37"/>
  <c r="AU19" i="37"/>
  <c r="AV19" i="37" s="1"/>
  <c r="AS19" i="37"/>
  <c r="AT19" i="37" s="1"/>
  <c r="AC19" i="37"/>
  <c r="AB19" i="37"/>
  <c r="AQ19" i="37"/>
  <c r="AA19" i="37"/>
  <c r="AP19" i="37"/>
  <c r="Y19" i="37"/>
  <c r="Z19" i="37" s="1"/>
  <c r="AM20" i="37"/>
  <c r="AQ26" i="37"/>
  <c r="AA26" i="37"/>
  <c r="AP26" i="37"/>
  <c r="Y26" i="37"/>
  <c r="Z26" i="37" s="1"/>
  <c r="BD26" i="37"/>
  <c r="BC26" i="37"/>
  <c r="AM26" i="37"/>
  <c r="AH26" i="37"/>
  <c r="AK26" i="37"/>
  <c r="Q26" i="37"/>
  <c r="AJ26" i="37"/>
  <c r="AG26" i="37"/>
  <c r="AE26" i="37"/>
  <c r="AF26" i="37" s="1"/>
  <c r="BA26" i="37"/>
  <c r="BB26" i="37" s="1"/>
  <c r="AC26" i="37"/>
  <c r="AY26" i="37"/>
  <c r="AZ26" i="37" s="1"/>
  <c r="AB26" i="37"/>
  <c r="AW26" i="37"/>
  <c r="AX26" i="37" s="1"/>
  <c r="W26" i="37"/>
  <c r="X26" i="37" s="1"/>
  <c r="AU26" i="37"/>
  <c r="AV26" i="37" s="1"/>
  <c r="AS26" i="37"/>
  <c r="AT26" i="37" s="1"/>
  <c r="T26" i="37"/>
  <c r="AB35" i="37"/>
  <c r="AQ35" i="37"/>
  <c r="AA35" i="37"/>
  <c r="AP35" i="37"/>
  <c r="Y35" i="37"/>
  <c r="Z35" i="37" s="1"/>
  <c r="BD35" i="37"/>
  <c r="BC35" i="37"/>
  <c r="AM35" i="37"/>
  <c r="W35" i="37"/>
  <c r="X35" i="37" s="1"/>
  <c r="AL35" i="37"/>
  <c r="BA35" i="37"/>
  <c r="BB35" i="37" s="1"/>
  <c r="AK35" i="37"/>
  <c r="AJ35" i="37"/>
  <c r="AN35" i="37" s="1"/>
  <c r="AY35" i="37"/>
  <c r="AZ35" i="37" s="1"/>
  <c r="S35" i="37"/>
  <c r="AS35" i="37"/>
  <c r="AT35" i="37" s="1"/>
  <c r="AH35" i="37"/>
  <c r="AG35" i="37"/>
  <c r="AE35" i="37"/>
  <c r="AF35" i="37" s="1"/>
  <c r="AC35" i="37"/>
  <c r="T35" i="37"/>
  <c r="R35" i="37"/>
  <c r="Q35" i="37"/>
  <c r="AW35" i="37"/>
  <c r="AX35" i="37" s="1"/>
  <c r="AU35" i="37"/>
  <c r="AV35" i="37" s="1"/>
  <c r="AL24" i="37"/>
  <c r="AQ24" i="37"/>
  <c r="AP24" i="37"/>
  <c r="Y24" i="37"/>
  <c r="Z24" i="37" s="1"/>
  <c r="W24" i="37"/>
  <c r="X24" i="37" s="1"/>
  <c r="BD24" i="37"/>
  <c r="AM24" i="37"/>
  <c r="BC24" i="37"/>
  <c r="AK24" i="37"/>
  <c r="T24" i="37"/>
  <c r="BA24" i="37"/>
  <c r="BB24" i="37" s="1"/>
  <c r="AJ24" i="37"/>
  <c r="S24" i="37"/>
  <c r="R24" i="37"/>
  <c r="AY24" i="37"/>
  <c r="AZ24" i="37" s="1"/>
  <c r="AH24" i="37"/>
  <c r="Q24" i="37"/>
  <c r="AG24" i="37"/>
  <c r="AW24" i="37"/>
  <c r="AX24" i="37" s="1"/>
  <c r="AE24" i="37"/>
  <c r="AF24" i="37" s="1"/>
  <c r="AU24" i="37"/>
  <c r="AV24" i="37" s="1"/>
  <c r="AC24" i="37"/>
  <c r="BA36" i="37"/>
  <c r="BB36" i="37" s="1"/>
  <c r="AK36" i="37"/>
  <c r="AJ36" i="37"/>
  <c r="T36" i="37"/>
  <c r="AY36" i="37"/>
  <c r="AZ36" i="37" s="1"/>
  <c r="S36" i="37"/>
  <c r="AH36" i="37"/>
  <c r="R36" i="37"/>
  <c r="AW36" i="37"/>
  <c r="AX36" i="37" s="1"/>
  <c r="AG36" i="37"/>
  <c r="Q36" i="37"/>
  <c r="U36" i="37" s="1"/>
  <c r="AU36" i="37"/>
  <c r="AV36" i="37" s="1"/>
  <c r="AE36" i="37"/>
  <c r="AF36" i="37" s="1"/>
  <c r="AS36" i="37"/>
  <c r="AT36" i="37" s="1"/>
  <c r="AC36" i="37"/>
  <c r="AB36" i="37"/>
  <c r="AY34" i="37"/>
  <c r="AZ34" i="37" s="1"/>
  <c r="S34" i="37"/>
  <c r="AH34" i="37"/>
  <c r="R34" i="37"/>
  <c r="AW34" i="37"/>
  <c r="AX34" i="37" s="1"/>
  <c r="AG34" i="37"/>
  <c r="AI34" i="37" s="1"/>
  <c r="Q34" i="37"/>
  <c r="AU34" i="37"/>
  <c r="AV34" i="37" s="1"/>
  <c r="AE34" i="37"/>
  <c r="AF34" i="37" s="1"/>
  <c r="AS34" i="37"/>
  <c r="AT34" i="37" s="1"/>
  <c r="AC34" i="37"/>
  <c r="AB34" i="37"/>
  <c r="AP34" i="37"/>
  <c r="AR34" i="37" s="1"/>
  <c r="BA34" i="37"/>
  <c r="BB34" i="37" s="1"/>
  <c r="W36" i="37"/>
  <c r="X36" i="37" s="1"/>
  <c r="T34" i="37"/>
  <c r="BC34" i="37"/>
  <c r="Y36" i="37"/>
  <c r="Z36" i="37" s="1"/>
  <c r="BD34" i="37"/>
  <c r="W34" i="37"/>
  <c r="X34" i="37" s="1"/>
  <c r="AA36" i="37"/>
  <c r="AL36" i="37"/>
  <c r="Y34" i="37"/>
  <c r="Z34" i="37" s="1"/>
  <c r="AM36" i="37"/>
  <c r="AA34" i="37"/>
  <c r="AJ34" i="37"/>
  <c r="AK34" i="37"/>
  <c r="AP36" i="37"/>
  <c r="AL34" i="37"/>
  <c r="AQ36" i="37"/>
  <c r="AM34" i="37"/>
  <c r="BC36" i="37"/>
  <c r="BE36" i="37" s="1"/>
  <c r="G25" i="36"/>
  <c r="K25" i="36" s="1"/>
  <c r="J39" i="35"/>
  <c r="U26" i="37" l="1"/>
  <c r="BF26" i="37" s="1"/>
  <c r="BG26" i="37" s="1"/>
  <c r="BH26" i="37" s="1"/>
  <c r="BE20" i="37"/>
  <c r="AD36" i="37"/>
  <c r="AD24" i="37"/>
  <c r="AI20" i="37"/>
  <c r="AT16" i="38"/>
  <c r="AN22" i="38"/>
  <c r="AO22" i="38" s="1"/>
  <c r="BE19" i="37"/>
  <c r="BC25" i="38"/>
  <c r="U18" i="37"/>
  <c r="V18" i="37" s="1"/>
  <c r="AT21" i="38"/>
  <c r="AR19" i="37"/>
  <c r="BE16" i="37"/>
  <c r="AR26" i="38"/>
  <c r="AN21" i="38"/>
  <c r="AO21" i="38" s="1"/>
  <c r="AD34" i="37"/>
  <c r="AW17" i="38"/>
  <c r="AR18" i="37"/>
  <c r="AT24" i="38"/>
  <c r="AT18" i="38"/>
  <c r="E18" i="38" s="1"/>
  <c r="BC19" i="38"/>
  <c r="BC21" i="38"/>
  <c r="BE31" i="37"/>
  <c r="AW24" i="38"/>
  <c r="AT26" i="38"/>
  <c r="AU21" i="38"/>
  <c r="AV21" i="38" s="1"/>
  <c r="BC22" i="38"/>
  <c r="AN26" i="38"/>
  <c r="AO26" i="38" s="1"/>
  <c r="AR24" i="38"/>
  <c r="AR31" i="37"/>
  <c r="AW16" i="38"/>
  <c r="AT25" i="38"/>
  <c r="BE26" i="37"/>
  <c r="AU19" i="38"/>
  <c r="AV19" i="38" s="1"/>
  <c r="AW25" i="38"/>
  <c r="BC23" i="38"/>
  <c r="AR19" i="38"/>
  <c r="AO18" i="38"/>
  <c r="AR22" i="37"/>
  <c r="AW22" i="38"/>
  <c r="AR20" i="38"/>
  <c r="AI18" i="37"/>
  <c r="AU16" i="38"/>
  <c r="AV16" i="38" s="1"/>
  <c r="AW20" i="38"/>
  <c r="AR36" i="37"/>
  <c r="AI21" i="37"/>
  <c r="AI17" i="37"/>
  <c r="AU25" i="38"/>
  <c r="AV25" i="38" s="1"/>
  <c r="AW21" i="38"/>
  <c r="AN23" i="38"/>
  <c r="AN17" i="38"/>
  <c r="BC26" i="38"/>
  <c r="AU24" i="38"/>
  <c r="AV24" i="38" s="1"/>
  <c r="BC24" i="38"/>
  <c r="AN20" i="38"/>
  <c r="AT20" i="38"/>
  <c r="AI24" i="37"/>
  <c r="AN19" i="38"/>
  <c r="AN24" i="38"/>
  <c r="AR32" i="37"/>
  <c r="AD31" i="37"/>
  <c r="AN25" i="38"/>
  <c r="AN16" i="38"/>
  <c r="AU26" i="38"/>
  <c r="AV26" i="38" s="1"/>
  <c r="AU20" i="38"/>
  <c r="AV20" i="38" s="1"/>
  <c r="AR23" i="38"/>
  <c r="AW19" i="38"/>
  <c r="AU17" i="38"/>
  <c r="AV17" i="38" s="1"/>
  <c r="AT22" i="38"/>
  <c r="AR17" i="38"/>
  <c r="AW26" i="38"/>
  <c r="BE35" i="37"/>
  <c r="AI23" i="37"/>
  <c r="AD23" i="37"/>
  <c r="AR16" i="38"/>
  <c r="AR21" i="38"/>
  <c r="AR25" i="38"/>
  <c r="AU22" i="38"/>
  <c r="AV22" i="38" s="1"/>
  <c r="BC17" i="38"/>
  <c r="AV18" i="38"/>
  <c r="AW23" i="38"/>
  <c r="AT17" i="38"/>
  <c r="AT23" i="38"/>
  <c r="AD32" i="37"/>
  <c r="AR16" i="37"/>
  <c r="AU23" i="38"/>
  <c r="AV23" i="38" s="1"/>
  <c r="AR20" i="37"/>
  <c r="AD17" i="37"/>
  <c r="AT19" i="38"/>
  <c r="AN24" i="37"/>
  <c r="AO24" i="37" s="1"/>
  <c r="AN26" i="37"/>
  <c r="AO26" i="37" s="1"/>
  <c r="AD21" i="37"/>
  <c r="BE34" i="37"/>
  <c r="AI35" i="37"/>
  <c r="AR35" i="37"/>
  <c r="BE22" i="37"/>
  <c r="AN31" i="37"/>
  <c r="AO31" i="37" s="1"/>
  <c r="AD33" i="37"/>
  <c r="U31" i="37"/>
  <c r="V31" i="37" s="1"/>
  <c r="U20" i="37"/>
  <c r="BF20" i="37" s="1"/>
  <c r="BG20" i="37" s="1"/>
  <c r="BH20" i="37" s="1"/>
  <c r="U17" i="37"/>
  <c r="V17" i="37" s="1"/>
  <c r="AR33" i="37"/>
  <c r="BE23" i="37"/>
  <c r="U22" i="37"/>
  <c r="BF22" i="37" s="1"/>
  <c r="BG22" i="37" s="1"/>
  <c r="BH22" i="37" s="1"/>
  <c r="BE17" i="37"/>
  <c r="AN20" i="37"/>
  <c r="AO20" i="37" s="1"/>
  <c r="AD19" i="37"/>
  <c r="AR23" i="37"/>
  <c r="AR17" i="37"/>
  <c r="U34" i="37"/>
  <c r="U35" i="37"/>
  <c r="AN22" i="37"/>
  <c r="BE33" i="37"/>
  <c r="AI26" i="37"/>
  <c r="AI22" i="37"/>
  <c r="BE32" i="37"/>
  <c r="AN36" i="37"/>
  <c r="AD35" i="37"/>
  <c r="AN21" i="37"/>
  <c r="BF33" i="37"/>
  <c r="BG33" i="37" s="1"/>
  <c r="BH33" i="37" s="1"/>
  <c r="V33" i="37"/>
  <c r="AI16" i="37"/>
  <c r="AI33" i="37"/>
  <c r="U16" i="37"/>
  <c r="U19" i="37"/>
  <c r="BE24" i="37"/>
  <c r="AI19" i="37"/>
  <c r="AN18" i="37"/>
  <c r="AD22" i="37"/>
  <c r="BE18" i="37"/>
  <c r="AN17" i="37"/>
  <c r="AN33" i="37"/>
  <c r="U23" i="37"/>
  <c r="AI31" i="37"/>
  <c r="AO35" i="37"/>
  <c r="AO32" i="37"/>
  <c r="U32" i="37"/>
  <c r="AD20" i="37"/>
  <c r="AR24" i="37"/>
  <c r="AD26" i="37"/>
  <c r="AI32" i="37"/>
  <c r="BE21" i="37"/>
  <c r="BF36" i="37"/>
  <c r="BG36" i="37" s="1"/>
  <c r="BH36" i="37" s="1"/>
  <c r="V36" i="37"/>
  <c r="U24" i="37"/>
  <c r="AR26" i="37"/>
  <c r="U21" i="37"/>
  <c r="AD18" i="37"/>
  <c r="AN34" i="37"/>
  <c r="AI36" i="37"/>
  <c r="AN19" i="37"/>
  <c r="AN16" i="37"/>
  <c r="AD16" i="37"/>
  <c r="AN23" i="37"/>
  <c r="CX2459" i="34"/>
  <c r="R4" i="34" s="1"/>
  <c r="U66" i="34"/>
  <c r="U65" i="34"/>
  <c r="U64" i="34"/>
  <c r="U63" i="34"/>
  <c r="V63" i="34" s="1"/>
  <c r="W63" i="34" s="1"/>
  <c r="X63" i="34" s="1"/>
  <c r="Y63" i="34" s="1"/>
  <c r="Z63" i="34" s="1"/>
  <c r="AA63" i="34" s="1"/>
  <c r="U62" i="34"/>
  <c r="U61" i="34"/>
  <c r="U60" i="34"/>
  <c r="U59" i="34"/>
  <c r="U58" i="34"/>
  <c r="V58" i="34" s="1"/>
  <c r="W58" i="34" s="1"/>
  <c r="X58" i="34" s="1"/>
  <c r="Y58" i="34" s="1"/>
  <c r="Z58" i="34" s="1"/>
  <c r="AA58" i="34" s="1"/>
  <c r="BX58" i="34" s="1"/>
  <c r="U57" i="34"/>
  <c r="U56" i="34"/>
  <c r="U55" i="34"/>
  <c r="U54" i="34"/>
  <c r="U53" i="34"/>
  <c r="U52" i="34"/>
  <c r="V52" i="34" s="1"/>
  <c r="W52" i="34" s="1"/>
  <c r="X52" i="34" s="1"/>
  <c r="Y52" i="34" s="1"/>
  <c r="Z52" i="34" s="1"/>
  <c r="AA52" i="34" s="1"/>
  <c r="U51" i="34"/>
  <c r="U50" i="34"/>
  <c r="U49" i="34"/>
  <c r="V49" i="34" s="1"/>
  <c r="W49" i="34" s="1"/>
  <c r="X49" i="34" s="1"/>
  <c r="Y49" i="34" s="1"/>
  <c r="Z49" i="34" s="1"/>
  <c r="AA49" i="34" s="1"/>
  <c r="U48" i="34"/>
  <c r="U47" i="34"/>
  <c r="U46" i="34"/>
  <c r="V46" i="34" s="1"/>
  <c r="W46" i="34" s="1"/>
  <c r="X46" i="34" s="1"/>
  <c r="Y46" i="34" s="1"/>
  <c r="Z46" i="34" s="1"/>
  <c r="AA46" i="34" s="1"/>
  <c r="U45" i="34"/>
  <c r="V45" i="34" s="1"/>
  <c r="W45" i="34" s="1"/>
  <c r="X45" i="34" s="1"/>
  <c r="Y45" i="34" s="1"/>
  <c r="Z45" i="34" s="1"/>
  <c r="AA45" i="34" s="1"/>
  <c r="U44" i="34"/>
  <c r="U43" i="34"/>
  <c r="U42" i="34"/>
  <c r="U41" i="34"/>
  <c r="V41" i="34" s="1"/>
  <c r="W41" i="34" s="1"/>
  <c r="X41" i="34" s="1"/>
  <c r="Y41" i="34" s="1"/>
  <c r="Z41" i="34" s="1"/>
  <c r="AA41" i="34" s="1"/>
  <c r="BD41" i="34" s="1"/>
  <c r="BC41" i="34" s="1"/>
  <c r="U40" i="34"/>
  <c r="U39" i="34"/>
  <c r="U38" i="34"/>
  <c r="V38" i="34" s="1"/>
  <c r="W38" i="34" s="1"/>
  <c r="X38" i="34" s="1"/>
  <c r="Y38" i="34" s="1"/>
  <c r="Z38" i="34" s="1"/>
  <c r="AA38" i="34" s="1"/>
  <c r="U37" i="34"/>
  <c r="U36" i="34"/>
  <c r="V36" i="34" s="1"/>
  <c r="W36" i="34" s="1"/>
  <c r="X36" i="34" s="1"/>
  <c r="Y36" i="34" s="1"/>
  <c r="Z36" i="34" s="1"/>
  <c r="AA36" i="34" s="1"/>
  <c r="U35" i="34"/>
  <c r="U34" i="34"/>
  <c r="U33" i="34"/>
  <c r="V33" i="34" s="1"/>
  <c r="W33" i="34" s="1"/>
  <c r="X33" i="34" s="1"/>
  <c r="Y33" i="34" s="1"/>
  <c r="Z33" i="34" s="1"/>
  <c r="AA33" i="34" s="1"/>
  <c r="U32" i="34"/>
  <c r="V32" i="34" s="1"/>
  <c r="W32" i="34" s="1"/>
  <c r="X32" i="34" s="1"/>
  <c r="Y32" i="34" s="1"/>
  <c r="Z32" i="34" s="1"/>
  <c r="AA32" i="34" s="1"/>
  <c r="BV32" i="34" s="1"/>
  <c r="U31" i="34"/>
  <c r="V31" i="34" s="1"/>
  <c r="W31" i="34" s="1"/>
  <c r="X31" i="34" s="1"/>
  <c r="Y31" i="34" s="1"/>
  <c r="Z31" i="34" s="1"/>
  <c r="AA31" i="34" s="1"/>
  <c r="BV31" i="34" s="1"/>
  <c r="U30" i="34"/>
  <c r="U29" i="34"/>
  <c r="U28" i="34"/>
  <c r="U27" i="34"/>
  <c r="U26" i="34"/>
  <c r="U25" i="34"/>
  <c r="U24" i="34"/>
  <c r="U23" i="34"/>
  <c r="U22" i="34"/>
  <c r="U21" i="34"/>
  <c r="V21" i="34" s="1"/>
  <c r="W21" i="34" s="1"/>
  <c r="X21" i="34" s="1"/>
  <c r="Y21" i="34" s="1"/>
  <c r="Z21" i="34" s="1"/>
  <c r="AA21" i="34" s="1"/>
  <c r="U20" i="34"/>
  <c r="U19" i="34"/>
  <c r="U18" i="34"/>
  <c r="V18" i="34" s="1"/>
  <c r="W18" i="34" s="1"/>
  <c r="X18" i="34" s="1"/>
  <c r="Y18" i="34" s="1"/>
  <c r="Z18" i="34" s="1"/>
  <c r="AA18" i="34" s="1"/>
  <c r="U17" i="34"/>
  <c r="U16" i="34"/>
  <c r="U15" i="34"/>
  <c r="V15" i="34" s="1"/>
  <c r="W15" i="34" s="1"/>
  <c r="X15" i="34" s="1"/>
  <c r="Y15" i="34" s="1"/>
  <c r="Z15" i="34" s="1"/>
  <c r="AA15" i="34" s="1"/>
  <c r="U14" i="34"/>
  <c r="U13" i="34"/>
  <c r="U12" i="34"/>
  <c r="V12" i="34" s="1"/>
  <c r="W12" i="34" s="1"/>
  <c r="X12" i="34" s="1"/>
  <c r="Y12" i="34" s="1"/>
  <c r="Z12" i="34" s="1"/>
  <c r="AA12" i="34" s="1"/>
  <c r="U11" i="34"/>
  <c r="U10" i="34"/>
  <c r="U9" i="34"/>
  <c r="V9" i="34" s="1"/>
  <c r="W9" i="34" s="1"/>
  <c r="X9" i="34" s="1"/>
  <c r="Y9" i="34" s="1"/>
  <c r="Z9" i="34" s="1"/>
  <c r="AA9" i="34" s="1"/>
  <c r="U8" i="34"/>
  <c r="V8" i="34" s="1"/>
  <c r="W8" i="34" s="1"/>
  <c r="X8" i="34" s="1"/>
  <c r="Y8" i="34" s="1"/>
  <c r="Z8" i="34" s="1"/>
  <c r="AA8" i="34" s="1"/>
  <c r="U7" i="34"/>
  <c r="V7" i="34" s="1"/>
  <c r="W7" i="34" s="1"/>
  <c r="X7" i="34" s="1"/>
  <c r="Y7" i="34" s="1"/>
  <c r="Z7" i="34" s="1"/>
  <c r="AA7" i="34" s="1"/>
  <c r="DZ2468" i="33"/>
  <c r="AT11" i="33" s="1"/>
  <c r="AW75" i="33"/>
  <c r="AU75" i="33"/>
  <c r="AT75" i="33"/>
  <c r="AS75" i="33"/>
  <c r="AR75" i="33"/>
  <c r="AQ75" i="33"/>
  <c r="AP75" i="33"/>
  <c r="AO75" i="33"/>
  <c r="AN75" i="33"/>
  <c r="AM75" i="33"/>
  <c r="AL75" i="33"/>
  <c r="AK75" i="33"/>
  <c r="AJ75" i="33"/>
  <c r="AI75" i="33"/>
  <c r="AH75" i="33"/>
  <c r="AG75" i="33"/>
  <c r="AF75" i="33"/>
  <c r="AE75" i="33"/>
  <c r="AW74" i="33"/>
  <c r="CQ74" i="33" s="1"/>
  <c r="AU74" i="33"/>
  <c r="AT74" i="33"/>
  <c r="AS74" i="33"/>
  <c r="AR74" i="33"/>
  <c r="AQ74" i="33"/>
  <c r="AP74" i="33"/>
  <c r="AO74" i="33"/>
  <c r="AN74" i="33"/>
  <c r="AM74" i="33"/>
  <c r="AL74" i="33"/>
  <c r="AK74" i="33"/>
  <c r="AJ74" i="33"/>
  <c r="AI74" i="33"/>
  <c r="AH74" i="33"/>
  <c r="AG74" i="33"/>
  <c r="AF74" i="33"/>
  <c r="AE74" i="33"/>
  <c r="AW73" i="33"/>
  <c r="DF73" i="33" s="1" a="1"/>
  <c r="DF73" i="33" s="1"/>
  <c r="AU73" i="33"/>
  <c r="AT73" i="33"/>
  <c r="AS73" i="33"/>
  <c r="AR73" i="33"/>
  <c r="AQ73" i="33"/>
  <c r="AP73" i="33"/>
  <c r="AO73" i="33"/>
  <c r="AN73" i="33"/>
  <c r="AM73" i="33"/>
  <c r="AL73" i="33"/>
  <c r="AK73" i="33"/>
  <c r="AJ73" i="33"/>
  <c r="AI73" i="33"/>
  <c r="AH73" i="33"/>
  <c r="AG73" i="33"/>
  <c r="AF73" i="33"/>
  <c r="AE73" i="33"/>
  <c r="AW72" i="33"/>
  <c r="CL72" i="33" s="1"/>
  <c r="AU72" i="33"/>
  <c r="AT72" i="33"/>
  <c r="AS72" i="33"/>
  <c r="AR72" i="33"/>
  <c r="AQ72" i="33"/>
  <c r="AP72" i="33"/>
  <c r="AO72" i="33"/>
  <c r="AN72" i="33"/>
  <c r="AM72" i="33"/>
  <c r="AL72" i="33"/>
  <c r="AK72" i="33"/>
  <c r="AJ72" i="33"/>
  <c r="AI72" i="33"/>
  <c r="AH72" i="33"/>
  <c r="AG72" i="33"/>
  <c r="AF72" i="33"/>
  <c r="AE72" i="33"/>
  <c r="AW71" i="33"/>
  <c r="CE71" i="33" s="1" a="1"/>
  <c r="CE71" i="33" s="1"/>
  <c r="AU71" i="33"/>
  <c r="AT71" i="33"/>
  <c r="AS71" i="33"/>
  <c r="AR71" i="33"/>
  <c r="AQ71" i="33"/>
  <c r="AP71" i="33"/>
  <c r="AO71" i="33"/>
  <c r="AN71" i="33"/>
  <c r="AM71" i="33"/>
  <c r="AL71" i="33"/>
  <c r="AK71" i="33"/>
  <c r="AJ71" i="33"/>
  <c r="AI71" i="33"/>
  <c r="AH71" i="33"/>
  <c r="AG71" i="33"/>
  <c r="AF71" i="33"/>
  <c r="AE71" i="33"/>
  <c r="AW70" i="33"/>
  <c r="CM70" i="33" s="1" a="1"/>
  <c r="CM70" i="33" s="1"/>
  <c r="AU70" i="33"/>
  <c r="AT70" i="33"/>
  <c r="AS70" i="33"/>
  <c r="AR70" i="33"/>
  <c r="AQ70" i="33"/>
  <c r="AP70" i="33"/>
  <c r="AO70" i="33"/>
  <c r="AN70" i="33"/>
  <c r="AM70" i="33"/>
  <c r="AL70" i="33"/>
  <c r="AK70" i="33"/>
  <c r="AJ70" i="33"/>
  <c r="AI70" i="33"/>
  <c r="AH70" i="33"/>
  <c r="AG70" i="33"/>
  <c r="AF70" i="33"/>
  <c r="AE70" i="33"/>
  <c r="AW69" i="33"/>
  <c r="DM69" i="33" s="1" a="1"/>
  <c r="DM69" i="33" s="1"/>
  <c r="AU69" i="33"/>
  <c r="AT69" i="33"/>
  <c r="AS69" i="33"/>
  <c r="AR69" i="33"/>
  <c r="AQ69" i="33"/>
  <c r="AP69" i="33"/>
  <c r="AO69" i="33"/>
  <c r="AN69" i="33"/>
  <c r="AM69" i="33"/>
  <c r="AL69" i="33"/>
  <c r="AK69" i="33"/>
  <c r="AJ69" i="33"/>
  <c r="AI69" i="33"/>
  <c r="AH69" i="33"/>
  <c r="AG69" i="33"/>
  <c r="AF69" i="33"/>
  <c r="AE69" i="33"/>
  <c r="AW68" i="33"/>
  <c r="CK68" i="33" s="1" a="1"/>
  <c r="CK68" i="33" s="1"/>
  <c r="AU68" i="33"/>
  <c r="AT68" i="33"/>
  <c r="AS68" i="33"/>
  <c r="AR68" i="33"/>
  <c r="AQ68" i="33"/>
  <c r="AP68" i="33"/>
  <c r="AO68" i="33"/>
  <c r="AN68" i="33"/>
  <c r="AM68" i="33"/>
  <c r="AL68" i="33"/>
  <c r="AK68" i="33"/>
  <c r="AJ68" i="33"/>
  <c r="AI68" i="33"/>
  <c r="AH68" i="33"/>
  <c r="AG68" i="33"/>
  <c r="AF68" i="33"/>
  <c r="AE68" i="33"/>
  <c r="AW67" i="33"/>
  <c r="DF67" i="33" s="1" a="1"/>
  <c r="DF67" i="33" s="1"/>
  <c r="AU67" i="33"/>
  <c r="AT67" i="33"/>
  <c r="AS67" i="33"/>
  <c r="AR67" i="33"/>
  <c r="AQ67" i="33"/>
  <c r="AP67" i="33"/>
  <c r="AO67" i="33"/>
  <c r="AN67" i="33"/>
  <c r="AM67" i="33"/>
  <c r="AL67" i="33"/>
  <c r="AK67" i="33"/>
  <c r="AJ67" i="33"/>
  <c r="AI67" i="33"/>
  <c r="AH67" i="33"/>
  <c r="AG67" i="33"/>
  <c r="AF67" i="33"/>
  <c r="AE67" i="33"/>
  <c r="AW66" i="33"/>
  <c r="BK66" i="33" s="1"/>
  <c r="AU66" i="33"/>
  <c r="AT66" i="33"/>
  <c r="AS66" i="33"/>
  <c r="AR66" i="33"/>
  <c r="AQ66" i="33"/>
  <c r="AP66" i="33"/>
  <c r="AO66" i="33"/>
  <c r="AN66" i="33"/>
  <c r="AM66" i="33"/>
  <c r="AL66" i="33"/>
  <c r="AK66" i="33"/>
  <c r="AJ66" i="33"/>
  <c r="AI66" i="33"/>
  <c r="AH66" i="33"/>
  <c r="AG66" i="33"/>
  <c r="AF66" i="33"/>
  <c r="AE66" i="33"/>
  <c r="AW65" i="33"/>
  <c r="DE65" i="33" s="1"/>
  <c r="AU65" i="33"/>
  <c r="AT65" i="33"/>
  <c r="AS65" i="33"/>
  <c r="AR65" i="33"/>
  <c r="AQ65" i="33"/>
  <c r="AP65" i="33"/>
  <c r="AO65" i="33"/>
  <c r="AN65" i="33"/>
  <c r="AM65" i="33"/>
  <c r="AL65" i="33"/>
  <c r="AK65" i="33"/>
  <c r="AJ65" i="33"/>
  <c r="AI65" i="33"/>
  <c r="AH65" i="33"/>
  <c r="AG65" i="33"/>
  <c r="AF65" i="33"/>
  <c r="AE65" i="33"/>
  <c r="AW64" i="33"/>
  <c r="DH64" i="33" s="1"/>
  <c r="AU64" i="33"/>
  <c r="AT64" i="33"/>
  <c r="AS64" i="33"/>
  <c r="AR64" i="33"/>
  <c r="AQ64" i="33"/>
  <c r="AP64" i="33"/>
  <c r="AO64" i="33"/>
  <c r="AN64" i="33"/>
  <c r="AM64" i="33"/>
  <c r="AL64" i="33"/>
  <c r="AK64" i="33"/>
  <c r="AJ64" i="33"/>
  <c r="AI64" i="33"/>
  <c r="AH64" i="33"/>
  <c r="AG64" i="33"/>
  <c r="AF64" i="33"/>
  <c r="AE64" i="33"/>
  <c r="AW63" i="33"/>
  <c r="AX63" i="33" s="1"/>
  <c r="AY63" i="33" s="1"/>
  <c r="AZ63" i="33" s="1"/>
  <c r="BA63" i="33" s="1"/>
  <c r="BB63" i="33" s="1"/>
  <c r="BC63" i="33" s="1"/>
  <c r="AU63" i="33"/>
  <c r="AT63" i="33"/>
  <c r="AS63" i="33"/>
  <c r="AR63" i="33"/>
  <c r="AQ63" i="33"/>
  <c r="AP63" i="33"/>
  <c r="AO63" i="33"/>
  <c r="AN63" i="33"/>
  <c r="AM63" i="33"/>
  <c r="AL63" i="33"/>
  <c r="AK63" i="33"/>
  <c r="AJ63" i="33"/>
  <c r="AI63" i="33"/>
  <c r="AH63" i="33"/>
  <c r="AG63" i="33"/>
  <c r="AF63" i="33"/>
  <c r="AE63" i="33"/>
  <c r="AW62" i="33"/>
  <c r="CK62" i="33" s="1" a="1"/>
  <c r="CK62" i="33" s="1"/>
  <c r="AU62" i="33"/>
  <c r="AT62" i="33"/>
  <c r="AS62" i="33"/>
  <c r="AR62" i="33"/>
  <c r="AQ62" i="33"/>
  <c r="AP62" i="33"/>
  <c r="AO62" i="33"/>
  <c r="AN62" i="33"/>
  <c r="AM62" i="33"/>
  <c r="AL62" i="33"/>
  <c r="AK62" i="33"/>
  <c r="AJ62" i="33"/>
  <c r="AI62" i="33"/>
  <c r="AH62" i="33"/>
  <c r="AG62" i="33"/>
  <c r="AF62" i="33"/>
  <c r="AE62" i="33"/>
  <c r="AW61" i="33"/>
  <c r="DF61" i="33" s="1" a="1"/>
  <c r="DF61" i="33" s="1"/>
  <c r="AU61" i="33"/>
  <c r="AT61" i="33"/>
  <c r="AS61" i="33"/>
  <c r="AR61" i="33"/>
  <c r="AQ61" i="33"/>
  <c r="AP61" i="33"/>
  <c r="AO61" i="33"/>
  <c r="AN61" i="33"/>
  <c r="AM61" i="33"/>
  <c r="AL61" i="33"/>
  <c r="AK61" i="33"/>
  <c r="AJ61" i="33"/>
  <c r="AI61" i="33"/>
  <c r="AH61" i="33"/>
  <c r="AG61" i="33"/>
  <c r="AF61" i="33"/>
  <c r="AE61" i="33"/>
  <c r="K61" i="33"/>
  <c r="AW60" i="33"/>
  <c r="CD60" i="33" s="1"/>
  <c r="AU60" i="33"/>
  <c r="AT60" i="33"/>
  <c r="AS60" i="33"/>
  <c r="AR60" i="33"/>
  <c r="AQ60" i="33"/>
  <c r="AP60" i="33"/>
  <c r="AO60" i="33"/>
  <c r="AN60" i="33"/>
  <c r="AM60" i="33"/>
  <c r="AL60" i="33"/>
  <c r="AK60" i="33"/>
  <c r="AJ60" i="33"/>
  <c r="AI60" i="33"/>
  <c r="AH60" i="33"/>
  <c r="AG60" i="33"/>
  <c r="AF60" i="33"/>
  <c r="AE60" i="33"/>
  <c r="AW59" i="33"/>
  <c r="CV59" i="33" s="1"/>
  <c r="AU59" i="33"/>
  <c r="AT59" i="33"/>
  <c r="AS59" i="33"/>
  <c r="AR59" i="33"/>
  <c r="AQ59" i="33"/>
  <c r="AP59" i="33"/>
  <c r="AO59" i="33"/>
  <c r="AN59" i="33"/>
  <c r="AM59" i="33"/>
  <c r="AL59" i="33"/>
  <c r="AK59" i="33"/>
  <c r="AJ59" i="33"/>
  <c r="AI59" i="33"/>
  <c r="AH59" i="33"/>
  <c r="AG59" i="33"/>
  <c r="AF59" i="33"/>
  <c r="AE59" i="33"/>
  <c r="X59" i="33"/>
  <c r="W59" i="33"/>
  <c r="AW58" i="33"/>
  <c r="DH58" i="33" s="1"/>
  <c r="AU58" i="33"/>
  <c r="AT58" i="33"/>
  <c r="AS58" i="33"/>
  <c r="AR58" i="33"/>
  <c r="AQ58" i="33"/>
  <c r="AP58" i="33"/>
  <c r="AO58" i="33"/>
  <c r="AN58" i="33"/>
  <c r="AM58" i="33"/>
  <c r="AL58" i="33"/>
  <c r="AK58" i="33"/>
  <c r="AJ58" i="33"/>
  <c r="AI58" i="33"/>
  <c r="AH58" i="33"/>
  <c r="AG58" i="33"/>
  <c r="AF58" i="33"/>
  <c r="AE58" i="33"/>
  <c r="AW57" i="33"/>
  <c r="DH57" i="33" s="1"/>
  <c r="AU57" i="33"/>
  <c r="AT57" i="33"/>
  <c r="AS57" i="33"/>
  <c r="AR57" i="33"/>
  <c r="AQ57" i="33"/>
  <c r="AP57" i="33"/>
  <c r="AO57" i="33"/>
  <c r="AN57" i="33"/>
  <c r="AM57" i="33"/>
  <c r="AL57" i="33"/>
  <c r="AK57" i="33"/>
  <c r="AJ57" i="33"/>
  <c r="AI57" i="33"/>
  <c r="AH57" i="33"/>
  <c r="AG57" i="33"/>
  <c r="AF57" i="33"/>
  <c r="AE57" i="33"/>
  <c r="AW56" i="33"/>
  <c r="DN56" i="33" s="1"/>
  <c r="AU56" i="33"/>
  <c r="AT56" i="33"/>
  <c r="AS56" i="33"/>
  <c r="AR56" i="33"/>
  <c r="AQ56" i="33"/>
  <c r="AP56" i="33"/>
  <c r="AO56" i="33"/>
  <c r="AN56" i="33"/>
  <c r="AM56" i="33"/>
  <c r="AL56" i="33"/>
  <c r="AK56" i="33"/>
  <c r="AJ56" i="33"/>
  <c r="AI56" i="33"/>
  <c r="AH56" i="33"/>
  <c r="AG56" i="33"/>
  <c r="AF56" i="33"/>
  <c r="AE56" i="33"/>
  <c r="O56" i="33"/>
  <c r="N56" i="33" a="1"/>
  <c r="N56" i="33" s="1"/>
  <c r="L56" i="33"/>
  <c r="AW55" i="33"/>
  <c r="CA55" i="33" s="1" a="1"/>
  <c r="CA55" i="33" s="1"/>
  <c r="AU55" i="33"/>
  <c r="AT55" i="33"/>
  <c r="AS55" i="33"/>
  <c r="AR55" i="33"/>
  <c r="AQ55" i="33"/>
  <c r="AP55" i="33"/>
  <c r="AO55" i="33"/>
  <c r="AN55" i="33"/>
  <c r="AM55" i="33"/>
  <c r="AL55" i="33"/>
  <c r="AK55" i="33"/>
  <c r="AJ55" i="33"/>
  <c r="AI55" i="33"/>
  <c r="AH55" i="33"/>
  <c r="AG55" i="33"/>
  <c r="AF55" i="33"/>
  <c r="AE55" i="33"/>
  <c r="O55" i="33"/>
  <c r="N55" i="33" a="1"/>
  <c r="N55" i="33" s="1"/>
  <c r="L55" i="33"/>
  <c r="AW54" i="33"/>
  <c r="DD54" i="33" s="1" a="1"/>
  <c r="DD54" i="33" s="1"/>
  <c r="AU54" i="33"/>
  <c r="AT54" i="33"/>
  <c r="AS54" i="33"/>
  <c r="AR54" i="33"/>
  <c r="AQ54" i="33"/>
  <c r="AP54" i="33"/>
  <c r="AO54" i="33"/>
  <c r="AN54" i="33"/>
  <c r="AM54" i="33"/>
  <c r="AL54" i="33"/>
  <c r="AK54" i="33"/>
  <c r="AJ54" i="33"/>
  <c r="AI54" i="33"/>
  <c r="AH54" i="33"/>
  <c r="AG54" i="33"/>
  <c r="AF54" i="33"/>
  <c r="AE54" i="33"/>
  <c r="N54" i="33" a="1"/>
  <c r="N54" i="33" s="1"/>
  <c r="L54" i="33"/>
  <c r="AW53" i="33"/>
  <c r="BE53" i="33" s="1" a="1"/>
  <c r="BE53" i="33" s="1"/>
  <c r="AU53" i="33"/>
  <c r="AT53" i="33"/>
  <c r="AS53" i="33"/>
  <c r="AR53" i="33"/>
  <c r="AQ53" i="33"/>
  <c r="AP53" i="33"/>
  <c r="AO53" i="33"/>
  <c r="AN53" i="33"/>
  <c r="AM53" i="33"/>
  <c r="AL53" i="33"/>
  <c r="AK53" i="33"/>
  <c r="AJ53" i="33"/>
  <c r="AI53" i="33"/>
  <c r="AH53" i="33"/>
  <c r="AG53" i="33"/>
  <c r="AF53" i="33"/>
  <c r="AE53" i="33"/>
  <c r="N53" i="33" a="1"/>
  <c r="N53" i="33" s="1"/>
  <c r="L53" i="33"/>
  <c r="AW52" i="33"/>
  <c r="AU52" i="33"/>
  <c r="AT52" i="33"/>
  <c r="AS52" i="33"/>
  <c r="AR52" i="33"/>
  <c r="AQ52" i="33"/>
  <c r="AP52" i="33"/>
  <c r="AO52" i="33"/>
  <c r="AN52" i="33"/>
  <c r="AM52" i="33"/>
  <c r="AL52" i="33"/>
  <c r="AK52" i="33"/>
  <c r="AJ52" i="33"/>
  <c r="AI52" i="33"/>
  <c r="AH52" i="33"/>
  <c r="AG52" i="33"/>
  <c r="AF52" i="33"/>
  <c r="AE52" i="33"/>
  <c r="N52" i="33" a="1"/>
  <c r="N52" i="33" s="1"/>
  <c r="L52" i="33"/>
  <c r="AW51" i="33"/>
  <c r="DI51" i="33" s="1" a="1"/>
  <c r="DI51" i="33" s="1"/>
  <c r="AU51" i="33"/>
  <c r="AT51" i="33"/>
  <c r="AS51" i="33"/>
  <c r="AR51" i="33"/>
  <c r="AQ51" i="33"/>
  <c r="AP51" i="33"/>
  <c r="AO51" i="33"/>
  <c r="AN51" i="33"/>
  <c r="AM51" i="33"/>
  <c r="AL51" i="33"/>
  <c r="AK51" i="33"/>
  <c r="AJ51" i="33"/>
  <c r="AI51" i="33"/>
  <c r="AH51" i="33"/>
  <c r="AG51" i="33"/>
  <c r="AF51" i="33"/>
  <c r="AE51" i="33"/>
  <c r="N51" i="33" a="1"/>
  <c r="N51" i="33" s="1"/>
  <c r="L51" i="33"/>
  <c r="AW50" i="33"/>
  <c r="DD50" i="33" s="1" a="1"/>
  <c r="DD50" i="33" s="1"/>
  <c r="AU50" i="33"/>
  <c r="AT50" i="33"/>
  <c r="AS50" i="33"/>
  <c r="AR50" i="33"/>
  <c r="AQ50" i="33"/>
  <c r="AP50" i="33"/>
  <c r="AO50" i="33"/>
  <c r="AN50" i="33"/>
  <c r="AM50" i="33"/>
  <c r="AL50" i="33"/>
  <c r="AK50" i="33"/>
  <c r="AJ50" i="33"/>
  <c r="AI50" i="33"/>
  <c r="AH50" i="33"/>
  <c r="AG50" i="33"/>
  <c r="AF50" i="33"/>
  <c r="AE50" i="33"/>
  <c r="N50" i="33" a="1"/>
  <c r="N50" i="33" s="1"/>
  <c r="L50" i="33"/>
  <c r="AW49" i="33"/>
  <c r="CA49" i="33" s="1" a="1"/>
  <c r="CA49" i="33" s="1"/>
  <c r="AU49" i="33"/>
  <c r="AT49" i="33"/>
  <c r="AS49" i="33"/>
  <c r="AR49" i="33"/>
  <c r="AQ49" i="33"/>
  <c r="AP49" i="33"/>
  <c r="AO49" i="33"/>
  <c r="AN49" i="33"/>
  <c r="AM49" i="33"/>
  <c r="AL49" i="33"/>
  <c r="AK49" i="33"/>
  <c r="AJ49" i="33"/>
  <c r="AI49" i="33"/>
  <c r="AH49" i="33"/>
  <c r="AG49" i="33"/>
  <c r="AF49" i="33"/>
  <c r="AE49" i="33"/>
  <c r="N49" i="33" a="1"/>
  <c r="N49" i="33" s="1"/>
  <c r="L49" i="33"/>
  <c r="AW48" i="33"/>
  <c r="CP48" i="33" s="1" a="1"/>
  <c r="CP48" i="33" s="1"/>
  <c r="AU48" i="33"/>
  <c r="AT48" i="33"/>
  <c r="AS48" i="33"/>
  <c r="AR48" i="33"/>
  <c r="AQ48" i="33"/>
  <c r="AP48" i="33"/>
  <c r="AO48" i="33"/>
  <c r="AN48" i="33"/>
  <c r="AM48" i="33"/>
  <c r="AL48" i="33"/>
  <c r="AK48" i="33"/>
  <c r="AJ48" i="33"/>
  <c r="AI48" i="33"/>
  <c r="AH48" i="33"/>
  <c r="AG48" i="33"/>
  <c r="AF48" i="33"/>
  <c r="AE48" i="33"/>
  <c r="N48" i="33" a="1"/>
  <c r="N48" i="33" s="1"/>
  <c r="L48" i="33"/>
  <c r="AW47" i="33"/>
  <c r="BS47" i="33" s="1" a="1"/>
  <c r="BS47" i="33" s="1"/>
  <c r="AU47" i="33"/>
  <c r="AT47" i="33"/>
  <c r="AS47" i="33"/>
  <c r="AR47" i="33"/>
  <c r="AQ47" i="33"/>
  <c r="AP47" i="33"/>
  <c r="AO47" i="33"/>
  <c r="AN47" i="33"/>
  <c r="AM47" i="33"/>
  <c r="AL47" i="33"/>
  <c r="AK47" i="33"/>
  <c r="AJ47" i="33"/>
  <c r="AI47" i="33"/>
  <c r="AH47" i="33"/>
  <c r="AG47" i="33"/>
  <c r="AF47" i="33"/>
  <c r="AE47" i="33"/>
  <c r="N47" i="33" a="1"/>
  <c r="N47" i="33" s="1"/>
  <c r="L47" i="33"/>
  <c r="AW46" i="33"/>
  <c r="BW46" i="33" s="1" a="1"/>
  <c r="BW46" i="33" s="1"/>
  <c r="AU46" i="33"/>
  <c r="AT46" i="33"/>
  <c r="AS46" i="33"/>
  <c r="AR46" i="33"/>
  <c r="AQ46" i="33"/>
  <c r="AP46" i="33"/>
  <c r="AO46" i="33"/>
  <c r="AN46" i="33"/>
  <c r="AM46" i="33"/>
  <c r="AL46" i="33"/>
  <c r="AK46" i="33"/>
  <c r="AJ46" i="33"/>
  <c r="AI46" i="33"/>
  <c r="AH46" i="33"/>
  <c r="AG46" i="33"/>
  <c r="AF46" i="33"/>
  <c r="AE46" i="33"/>
  <c r="N46" i="33" a="1"/>
  <c r="N46" i="33" s="1"/>
  <c r="L46" i="33"/>
  <c r="AW45" i="33"/>
  <c r="DL45" i="33" s="1"/>
  <c r="AU45" i="33"/>
  <c r="AT45" i="33"/>
  <c r="AS45" i="33"/>
  <c r="AR45" i="33"/>
  <c r="AQ45" i="33"/>
  <c r="AP45" i="33"/>
  <c r="AO45" i="33"/>
  <c r="AN45" i="33"/>
  <c r="AM45" i="33"/>
  <c r="AL45" i="33"/>
  <c r="AK45" i="33"/>
  <c r="AJ45" i="33"/>
  <c r="AI45" i="33"/>
  <c r="AH45" i="33"/>
  <c r="AG45" i="33"/>
  <c r="AF45" i="33"/>
  <c r="AE45" i="33"/>
  <c r="N45" i="33" a="1"/>
  <c r="N45" i="33" s="1"/>
  <c r="L45" i="33"/>
  <c r="AW44" i="33"/>
  <c r="DM44" i="33" s="1" a="1"/>
  <c r="DM44" i="33" s="1"/>
  <c r="AU44" i="33"/>
  <c r="AT44" i="33"/>
  <c r="AS44" i="33"/>
  <c r="AR44" i="33"/>
  <c r="AQ44" i="33"/>
  <c r="AP44" i="33"/>
  <c r="AO44" i="33"/>
  <c r="AN44" i="33"/>
  <c r="AM44" i="33"/>
  <c r="AL44" i="33"/>
  <c r="AK44" i="33"/>
  <c r="AJ44" i="33"/>
  <c r="AI44" i="33"/>
  <c r="AH44" i="33"/>
  <c r="AG44" i="33"/>
  <c r="AF44" i="33"/>
  <c r="AE44" i="33"/>
  <c r="N44" i="33" a="1"/>
  <c r="N44" i="33" s="1"/>
  <c r="L44" i="33"/>
  <c r="AW43" i="33"/>
  <c r="BJ43" i="33" s="1" a="1"/>
  <c r="BJ43" i="33" s="1"/>
  <c r="AU43" i="33"/>
  <c r="AT43" i="33"/>
  <c r="AS43" i="33"/>
  <c r="AR43" i="33"/>
  <c r="AQ43" i="33"/>
  <c r="AP43" i="33"/>
  <c r="AO43" i="33"/>
  <c r="AN43" i="33"/>
  <c r="AM43" i="33"/>
  <c r="AL43" i="33"/>
  <c r="AK43" i="33"/>
  <c r="AJ43" i="33"/>
  <c r="AI43" i="33"/>
  <c r="AH43" i="33"/>
  <c r="AG43" i="33"/>
  <c r="AF43" i="33"/>
  <c r="AE43" i="33"/>
  <c r="N43" i="33" a="1"/>
  <c r="N43" i="33" s="1"/>
  <c r="L43" i="33"/>
  <c r="AW42" i="33"/>
  <c r="DA42" i="33" s="1" a="1"/>
  <c r="DA42" i="33" s="1"/>
  <c r="AU42" i="33"/>
  <c r="AT42" i="33"/>
  <c r="AS42" i="33"/>
  <c r="AR42" i="33"/>
  <c r="AQ42" i="33"/>
  <c r="AP42" i="33"/>
  <c r="AO42" i="33"/>
  <c r="AN42" i="33"/>
  <c r="AM42" i="33"/>
  <c r="AL42" i="33"/>
  <c r="AK42" i="33"/>
  <c r="AJ42" i="33"/>
  <c r="AI42" i="33"/>
  <c r="AH42" i="33"/>
  <c r="AG42" i="33"/>
  <c r="AF42" i="33"/>
  <c r="AE42" i="33"/>
  <c r="N42" i="33" a="1"/>
  <c r="N42" i="33" s="1"/>
  <c r="L42" i="33"/>
  <c r="AW41" i="33"/>
  <c r="DH41" i="33" s="1"/>
  <c r="AU41" i="33"/>
  <c r="AT41" i="33"/>
  <c r="AS41" i="33"/>
  <c r="AR41" i="33"/>
  <c r="AQ41" i="33"/>
  <c r="AP41" i="33"/>
  <c r="AO41" i="33"/>
  <c r="AN41" i="33"/>
  <c r="AM41" i="33"/>
  <c r="AL41" i="33"/>
  <c r="AK41" i="33"/>
  <c r="AJ41" i="33"/>
  <c r="AI41" i="33"/>
  <c r="AH41" i="33"/>
  <c r="AG41" i="33"/>
  <c r="AF41" i="33"/>
  <c r="AE41" i="33"/>
  <c r="Y41" i="33"/>
  <c r="N41" i="33" a="1"/>
  <c r="N41" i="33" s="1"/>
  <c r="L41" i="33"/>
  <c r="AW40" i="33"/>
  <c r="DJ40" i="33" s="1" a="1"/>
  <c r="DJ40" i="33" s="1"/>
  <c r="AU40" i="33"/>
  <c r="AT40" i="33"/>
  <c r="AS40" i="33"/>
  <c r="AR40" i="33"/>
  <c r="AQ40" i="33"/>
  <c r="AP40" i="33"/>
  <c r="AO40" i="33"/>
  <c r="AN40" i="33"/>
  <c r="AM40" i="33"/>
  <c r="AL40" i="33"/>
  <c r="AK40" i="33"/>
  <c r="AJ40" i="33"/>
  <c r="AI40" i="33"/>
  <c r="AH40" i="33"/>
  <c r="AG40" i="33"/>
  <c r="AF40" i="33"/>
  <c r="AE40" i="33"/>
  <c r="N40" i="33" a="1"/>
  <c r="N40" i="33" s="1"/>
  <c r="L40" i="33"/>
  <c r="AW39" i="33"/>
  <c r="CF39" i="33" s="1"/>
  <c r="AU39" i="33"/>
  <c r="AT39" i="33"/>
  <c r="AS39" i="33"/>
  <c r="AR39" i="33"/>
  <c r="AQ39" i="33"/>
  <c r="AP39" i="33"/>
  <c r="AO39" i="33"/>
  <c r="AN39" i="33"/>
  <c r="AM39" i="33"/>
  <c r="AL39" i="33"/>
  <c r="AK39" i="33"/>
  <c r="AJ39" i="33"/>
  <c r="AI39" i="33"/>
  <c r="AH39" i="33"/>
  <c r="AG39" i="33"/>
  <c r="AF39" i="33"/>
  <c r="AE39" i="33"/>
  <c r="N39" i="33" a="1"/>
  <c r="N39" i="33" s="1"/>
  <c r="L39" i="33"/>
  <c r="AW38" i="33"/>
  <c r="BM38" i="33" s="1" a="1"/>
  <c r="BM38" i="33" s="1"/>
  <c r="AU38" i="33"/>
  <c r="AT38" i="33"/>
  <c r="AS38" i="33"/>
  <c r="AR38" i="33"/>
  <c r="AQ38" i="33"/>
  <c r="AP38" i="33"/>
  <c r="AO38" i="33"/>
  <c r="AN38" i="33"/>
  <c r="AM38" i="33"/>
  <c r="AL38" i="33"/>
  <c r="AK38" i="33"/>
  <c r="AJ38" i="33"/>
  <c r="AI38" i="33"/>
  <c r="AH38" i="33"/>
  <c r="AG38" i="33"/>
  <c r="AF38" i="33"/>
  <c r="AE38" i="33"/>
  <c r="N38" i="33" a="1"/>
  <c r="N38" i="33" s="1"/>
  <c r="L38" i="33"/>
  <c r="AW37" i="33"/>
  <c r="CQ37" i="33" s="1"/>
  <c r="AU37" i="33"/>
  <c r="AT37" i="33"/>
  <c r="AS37" i="33"/>
  <c r="AR37" i="33"/>
  <c r="AQ37" i="33"/>
  <c r="AP37" i="33"/>
  <c r="AO37" i="33"/>
  <c r="AN37" i="33"/>
  <c r="AM37" i="33"/>
  <c r="AL37" i="33"/>
  <c r="AK37" i="33"/>
  <c r="AJ37" i="33"/>
  <c r="AI37" i="33"/>
  <c r="AH37" i="33"/>
  <c r="AG37" i="33"/>
  <c r="AF37" i="33"/>
  <c r="AE37" i="33"/>
  <c r="O37" i="33"/>
  <c r="N37" i="33" a="1"/>
  <c r="N37" i="33" s="1"/>
  <c r="L37" i="33"/>
  <c r="AW36" i="33"/>
  <c r="DJ36" i="33" s="1" a="1"/>
  <c r="DJ36" i="33" s="1"/>
  <c r="AU36" i="33"/>
  <c r="AT36" i="33"/>
  <c r="AS36" i="33"/>
  <c r="AR36" i="33"/>
  <c r="AQ36" i="33"/>
  <c r="AP36" i="33"/>
  <c r="AO36" i="33"/>
  <c r="AN36" i="33"/>
  <c r="AM36" i="33"/>
  <c r="AL36" i="33"/>
  <c r="AK36" i="33"/>
  <c r="AJ36" i="33"/>
  <c r="AI36" i="33"/>
  <c r="AH36" i="33"/>
  <c r="AG36" i="33"/>
  <c r="AF36" i="33"/>
  <c r="AE36" i="33"/>
  <c r="AW35" i="33"/>
  <c r="BN35" i="33" s="1"/>
  <c r="AU35" i="33"/>
  <c r="AT35" i="33"/>
  <c r="AS35" i="33"/>
  <c r="AR35" i="33"/>
  <c r="AQ35" i="33"/>
  <c r="AP35" i="33"/>
  <c r="AO35" i="33"/>
  <c r="AN35" i="33"/>
  <c r="AM35" i="33"/>
  <c r="AL35" i="33"/>
  <c r="AK35" i="33"/>
  <c r="AJ35" i="33"/>
  <c r="AI35" i="33"/>
  <c r="AH35" i="33"/>
  <c r="AG35" i="33"/>
  <c r="AF35" i="33"/>
  <c r="AE35" i="33"/>
  <c r="AW34" i="33"/>
  <c r="DN34" i="33" s="1"/>
  <c r="AU34" i="33"/>
  <c r="AT34" i="33"/>
  <c r="AS34" i="33"/>
  <c r="AR34" i="33"/>
  <c r="AQ34" i="33"/>
  <c r="AP34" i="33"/>
  <c r="AO34" i="33"/>
  <c r="AN34" i="33"/>
  <c r="AM34" i="33"/>
  <c r="AL34" i="33"/>
  <c r="AK34" i="33"/>
  <c r="AJ34" i="33"/>
  <c r="AI34" i="33"/>
  <c r="AH34" i="33"/>
  <c r="AG34" i="33"/>
  <c r="AF34" i="33"/>
  <c r="AE34" i="33"/>
  <c r="Y34" i="33"/>
  <c r="X34" i="33"/>
  <c r="W34" i="33"/>
  <c r="V34" i="33"/>
  <c r="U34" i="33"/>
  <c r="T34" i="33"/>
  <c r="S34" i="33"/>
  <c r="Q34" i="33"/>
  <c r="P34" i="33"/>
  <c r="O34" i="33"/>
  <c r="N34" i="33"/>
  <c r="M34" i="33"/>
  <c r="L34" i="33"/>
  <c r="K34" i="33"/>
  <c r="J34" i="33"/>
  <c r="I34" i="33"/>
  <c r="H34" i="33"/>
  <c r="G34" i="33"/>
  <c r="F34" i="33"/>
  <c r="AW33" i="33"/>
  <c r="DN33" i="33" s="1"/>
  <c r="AU33" i="33"/>
  <c r="AT33" i="33"/>
  <c r="AS33" i="33"/>
  <c r="AR33" i="33"/>
  <c r="AQ33" i="33"/>
  <c r="AP33" i="33"/>
  <c r="AO33" i="33"/>
  <c r="AN33" i="33"/>
  <c r="AM33" i="33"/>
  <c r="AL33" i="33"/>
  <c r="AK33" i="33"/>
  <c r="AJ33" i="33"/>
  <c r="AI33" i="33"/>
  <c r="AH33" i="33"/>
  <c r="AG33" i="33"/>
  <c r="AF33" i="33"/>
  <c r="AE33" i="33"/>
  <c r="Y33" i="33"/>
  <c r="X33" i="33"/>
  <c r="W33" i="33"/>
  <c r="V33" i="33"/>
  <c r="U33" i="33"/>
  <c r="T33" i="33"/>
  <c r="S33" i="33"/>
  <c r="Q33" i="33"/>
  <c r="P33" i="33"/>
  <c r="O33" i="33"/>
  <c r="N33" i="33"/>
  <c r="M33" i="33"/>
  <c r="L33" i="33"/>
  <c r="K33" i="33"/>
  <c r="J33" i="33"/>
  <c r="I33" i="33"/>
  <c r="H33" i="33"/>
  <c r="G33" i="33"/>
  <c r="F33" i="33"/>
  <c r="AW32" i="33"/>
  <c r="CC32" i="33" s="1" a="1"/>
  <c r="CC32" i="33" s="1"/>
  <c r="AU32" i="33"/>
  <c r="AT32" i="33"/>
  <c r="AS32" i="33"/>
  <c r="AR32" i="33"/>
  <c r="AQ32" i="33"/>
  <c r="AP32" i="33"/>
  <c r="AO32" i="33"/>
  <c r="AN32" i="33"/>
  <c r="AM32" i="33"/>
  <c r="AL32" i="33"/>
  <c r="AK32" i="33"/>
  <c r="AJ32" i="33"/>
  <c r="AI32" i="33"/>
  <c r="AH32" i="33"/>
  <c r="AG32" i="33"/>
  <c r="AF32" i="33"/>
  <c r="AE32" i="33"/>
  <c r="AW31" i="33"/>
  <c r="CP31" i="33" s="1" a="1"/>
  <c r="CP31" i="33" s="1"/>
  <c r="AU31" i="33"/>
  <c r="AT31" i="33"/>
  <c r="AS31" i="33"/>
  <c r="AR31" i="33"/>
  <c r="AQ31" i="33"/>
  <c r="AP31" i="33"/>
  <c r="AO31" i="33"/>
  <c r="AN31" i="33"/>
  <c r="AM31" i="33"/>
  <c r="AL31" i="33"/>
  <c r="AK31" i="33"/>
  <c r="AJ31" i="33"/>
  <c r="AI31" i="33"/>
  <c r="AH31" i="33"/>
  <c r="AG31" i="33"/>
  <c r="AF31" i="33"/>
  <c r="AE31" i="33"/>
  <c r="AW30" i="33"/>
  <c r="CD30" i="33" s="1"/>
  <c r="AU30" i="33"/>
  <c r="AT30" i="33"/>
  <c r="AS30" i="33"/>
  <c r="AR30" i="33"/>
  <c r="AQ30" i="33"/>
  <c r="AP30" i="33"/>
  <c r="AO30" i="33"/>
  <c r="AN30" i="33"/>
  <c r="AM30" i="33"/>
  <c r="AL30" i="33"/>
  <c r="AK30" i="33"/>
  <c r="AJ30" i="33"/>
  <c r="AI30" i="33"/>
  <c r="AH30" i="33"/>
  <c r="AG30" i="33"/>
  <c r="AF30" i="33"/>
  <c r="AE30" i="33"/>
  <c r="AW29" i="33"/>
  <c r="DI29" i="33" s="1" a="1"/>
  <c r="DI29" i="33" s="1"/>
  <c r="AU29" i="33"/>
  <c r="AT29" i="33"/>
  <c r="AS29" i="33"/>
  <c r="AR29" i="33"/>
  <c r="AQ29" i="33"/>
  <c r="AP29" i="33"/>
  <c r="AO29" i="33"/>
  <c r="AN29" i="33"/>
  <c r="AM29" i="33"/>
  <c r="AL29" i="33"/>
  <c r="AK29" i="33"/>
  <c r="AJ29" i="33"/>
  <c r="AI29" i="33"/>
  <c r="AH29" i="33"/>
  <c r="AG29" i="33"/>
  <c r="AF29" i="33"/>
  <c r="AE29" i="33"/>
  <c r="AW28" i="33"/>
  <c r="CX28" i="33" s="1" a="1"/>
  <c r="CX28" i="33" s="1"/>
  <c r="AU28" i="33"/>
  <c r="AT28" i="33"/>
  <c r="AS28" i="33"/>
  <c r="AR28" i="33"/>
  <c r="AQ28" i="33"/>
  <c r="AP28" i="33"/>
  <c r="AO28" i="33"/>
  <c r="AN28" i="33"/>
  <c r="AM28" i="33"/>
  <c r="AL28" i="33"/>
  <c r="AK28" i="33"/>
  <c r="AJ28" i="33"/>
  <c r="AI28" i="33"/>
  <c r="AH28" i="33"/>
  <c r="AG28" i="33"/>
  <c r="AF28" i="33"/>
  <c r="AE28" i="33"/>
  <c r="W28" i="33"/>
  <c r="AW27" i="33"/>
  <c r="DH27" i="33" s="1"/>
  <c r="AU27" i="33"/>
  <c r="AT27" i="33"/>
  <c r="AS27" i="33"/>
  <c r="AR27" i="33"/>
  <c r="AQ27" i="33"/>
  <c r="AP27" i="33"/>
  <c r="AO27" i="33"/>
  <c r="AN27" i="33"/>
  <c r="AM27" i="33"/>
  <c r="AL27" i="33"/>
  <c r="AK27" i="33"/>
  <c r="AJ27" i="33"/>
  <c r="AI27" i="33"/>
  <c r="AH27" i="33"/>
  <c r="AG27" i="33"/>
  <c r="AF27" i="33"/>
  <c r="AE27" i="33"/>
  <c r="Y27" i="33"/>
  <c r="W27" i="33"/>
  <c r="U27" i="33" a="1"/>
  <c r="U27" i="33" s="1"/>
  <c r="P27" i="33"/>
  <c r="L27" i="33"/>
  <c r="AW26" i="33"/>
  <c r="BZ26" i="33" s="1"/>
  <c r="AU26" i="33"/>
  <c r="AT26" i="33"/>
  <c r="AS26" i="33"/>
  <c r="AR26" i="33"/>
  <c r="AQ26" i="33"/>
  <c r="AP26" i="33"/>
  <c r="AO26" i="33"/>
  <c r="AN26" i="33"/>
  <c r="AM26" i="33"/>
  <c r="AL26" i="33"/>
  <c r="AK26" i="33"/>
  <c r="AJ26" i="33"/>
  <c r="AI26" i="33"/>
  <c r="AH26" i="33"/>
  <c r="AG26" i="33"/>
  <c r="AF26" i="33"/>
  <c r="AE26" i="33"/>
  <c r="Y26" i="33"/>
  <c r="W26" i="33"/>
  <c r="U26" i="33" a="1"/>
  <c r="U26" i="33" s="1"/>
  <c r="P26" i="33"/>
  <c r="L26" i="33"/>
  <c r="AW25" i="33"/>
  <c r="CT25" i="33" s="1" a="1"/>
  <c r="CT25" i="33" s="1"/>
  <c r="AU25" i="33"/>
  <c r="AT25" i="33"/>
  <c r="AS25" i="33"/>
  <c r="AR25" i="33"/>
  <c r="AQ25" i="33"/>
  <c r="AP25" i="33"/>
  <c r="AO25" i="33"/>
  <c r="AN25" i="33"/>
  <c r="AM25" i="33"/>
  <c r="AL25" i="33"/>
  <c r="AK25" i="33"/>
  <c r="AJ25" i="33"/>
  <c r="AI25" i="33"/>
  <c r="AH25" i="33"/>
  <c r="AG25" i="33"/>
  <c r="AF25" i="33"/>
  <c r="AE25" i="33"/>
  <c r="Y25" i="33"/>
  <c r="W25" i="33"/>
  <c r="U25" i="33" a="1"/>
  <c r="U25" i="33" s="1"/>
  <c r="P25" i="33"/>
  <c r="L25" i="33"/>
  <c r="E25" i="33"/>
  <c r="AW24" i="33"/>
  <c r="DH24" i="33" s="1"/>
  <c r="AU24" i="33"/>
  <c r="AT24" i="33"/>
  <c r="AS24" i="33"/>
  <c r="AR24" i="33"/>
  <c r="AQ24" i="33"/>
  <c r="AP24" i="33"/>
  <c r="AO24" i="33"/>
  <c r="AN24" i="33"/>
  <c r="AM24" i="33"/>
  <c r="AL24" i="33"/>
  <c r="AK24" i="33"/>
  <c r="AJ24" i="33"/>
  <c r="AI24" i="33"/>
  <c r="AH24" i="33"/>
  <c r="AG24" i="33"/>
  <c r="AF24" i="33"/>
  <c r="AE24" i="33"/>
  <c r="Y24" i="33"/>
  <c r="W24" i="33"/>
  <c r="U24" i="33" a="1"/>
  <c r="U24" i="33" s="1"/>
  <c r="P24" i="33"/>
  <c r="L24" i="33"/>
  <c r="E24" i="33"/>
  <c r="AW23" i="33"/>
  <c r="CL23" i="33" s="1"/>
  <c r="AU23" i="33"/>
  <c r="AT23" i="33"/>
  <c r="AS23" i="33"/>
  <c r="AR23" i="33"/>
  <c r="AQ23" i="33"/>
  <c r="AP23" i="33"/>
  <c r="AO23" i="33"/>
  <c r="AN23" i="33"/>
  <c r="AM23" i="33"/>
  <c r="AL23" i="33"/>
  <c r="AK23" i="33"/>
  <c r="AJ23" i="33"/>
  <c r="AI23" i="33"/>
  <c r="AH23" i="33"/>
  <c r="AG23" i="33"/>
  <c r="AF23" i="33"/>
  <c r="AE23" i="33"/>
  <c r="W23" i="33"/>
  <c r="U23" i="33" a="1"/>
  <c r="U23" i="33" s="1"/>
  <c r="P23" i="33"/>
  <c r="L23" i="33"/>
  <c r="E23" i="33"/>
  <c r="AW22" i="33"/>
  <c r="W22" i="33"/>
  <c r="U22" i="33" a="1"/>
  <c r="U22" i="33" s="1"/>
  <c r="P22" i="33"/>
  <c r="L22" i="33"/>
  <c r="E22" i="33"/>
  <c r="AW21" i="33"/>
  <c r="W21" i="33"/>
  <c r="U21" i="33" a="1"/>
  <c r="U21" i="33" s="1"/>
  <c r="P21" i="33"/>
  <c r="L21" i="33"/>
  <c r="E21" i="33"/>
  <c r="AW20" i="33"/>
  <c r="W20" i="33"/>
  <c r="U20" i="33" a="1"/>
  <c r="U20" i="33" s="1"/>
  <c r="P20" i="33"/>
  <c r="L20" i="33"/>
  <c r="E20" i="33"/>
  <c r="AW19" i="33"/>
  <c r="AX19" i="33" s="1"/>
  <c r="AY19" i="33" s="1"/>
  <c r="AZ19" i="33" s="1"/>
  <c r="BA19" i="33" s="1"/>
  <c r="BB19" i="33" s="1"/>
  <c r="BC19" i="33" s="1"/>
  <c r="W19" i="33"/>
  <c r="U19" i="33" a="1"/>
  <c r="U19" i="33" s="1"/>
  <c r="P19" i="33"/>
  <c r="L19" i="33"/>
  <c r="E19" i="33"/>
  <c r="AW18" i="33"/>
  <c r="W18" i="33"/>
  <c r="U18" i="33" a="1"/>
  <c r="U18" i="33" s="1"/>
  <c r="P18" i="33"/>
  <c r="L18" i="33"/>
  <c r="E18" i="33"/>
  <c r="AW17" i="33"/>
  <c r="AA17" i="33"/>
  <c r="W17" i="33"/>
  <c r="U17" i="33" a="1"/>
  <c r="U17" i="33" s="1"/>
  <c r="P17" i="33"/>
  <c r="L17" i="33"/>
  <c r="AW16" i="33"/>
  <c r="AX16" i="33" s="1"/>
  <c r="AY16" i="33" s="1"/>
  <c r="AZ16" i="33" s="1"/>
  <c r="BA16" i="33" s="1"/>
  <c r="BB16" i="33" s="1"/>
  <c r="BC16" i="33" s="1"/>
  <c r="Y16" i="33"/>
  <c r="W16" i="33"/>
  <c r="U16" i="33" a="1"/>
  <c r="U16" i="33" s="1"/>
  <c r="P16" i="33"/>
  <c r="L16" i="33"/>
  <c r="Y12" i="33"/>
  <c r="P12" i="33"/>
  <c r="J12" i="33"/>
  <c r="F12" i="33" s="1"/>
  <c r="F17" i="33" s="1"/>
  <c r="H12" i="33"/>
  <c r="H56" i="33" s="1"/>
  <c r="G12" i="33"/>
  <c r="G27" i="33" s="1"/>
  <c r="O11" i="33"/>
  <c r="V17" i="33" s="1"/>
  <c r="Y9" i="33"/>
  <c r="Y6" i="33"/>
  <c r="R5" i="33"/>
  <c r="Q5" i="33"/>
  <c r="B3" i="33"/>
  <c r="Y1" i="33"/>
  <c r="X1" i="33"/>
  <c r="W1" i="33"/>
  <c r="V1" i="33"/>
  <c r="U1" i="33"/>
  <c r="T1" i="33"/>
  <c r="S1" i="33"/>
  <c r="R1" i="33"/>
  <c r="Q1" i="33"/>
  <c r="P1" i="33"/>
  <c r="O1" i="33"/>
  <c r="N1" i="33"/>
  <c r="M1" i="33"/>
  <c r="L1" i="33"/>
  <c r="K1" i="33"/>
  <c r="J1" i="33"/>
  <c r="I1" i="33"/>
  <c r="H1" i="33"/>
  <c r="G1" i="33"/>
  <c r="F1" i="33"/>
  <c r="E1" i="33"/>
  <c r="A1" i="33"/>
  <c r="DP2470" i="32"/>
  <c r="AJ13" i="32" s="1"/>
  <c r="L203" i="32"/>
  <c r="J203" i="32"/>
  <c r="B203" i="32"/>
  <c r="D203" i="32" s="1"/>
  <c r="L202" i="32"/>
  <c r="J202" i="32"/>
  <c r="B202" i="32"/>
  <c r="D202" i="32" s="1"/>
  <c r="L201" i="32"/>
  <c r="J201" i="32"/>
  <c r="B201" i="32"/>
  <c r="C201" i="32" s="1"/>
  <c r="L200" i="32"/>
  <c r="J200" i="32"/>
  <c r="B200" i="32"/>
  <c r="L199" i="32"/>
  <c r="J199" i="32"/>
  <c r="B199" i="32"/>
  <c r="L198" i="32"/>
  <c r="J198" i="32"/>
  <c r="B198" i="32"/>
  <c r="C198" i="32" s="1"/>
  <c r="L197" i="32"/>
  <c r="J197" i="32"/>
  <c r="B197" i="32"/>
  <c r="D197" i="32" s="1"/>
  <c r="L196" i="32"/>
  <c r="J196" i="32"/>
  <c r="B196" i="32"/>
  <c r="D196" i="32" s="1"/>
  <c r="L195" i="32"/>
  <c r="J195" i="32"/>
  <c r="B195" i="32"/>
  <c r="L194" i="32"/>
  <c r="J194" i="32"/>
  <c r="B194" i="32"/>
  <c r="C194" i="32" s="1"/>
  <c r="L193" i="32"/>
  <c r="J193" i="32"/>
  <c r="B193" i="32"/>
  <c r="C193" i="32" s="1"/>
  <c r="L192" i="32"/>
  <c r="J192" i="32"/>
  <c r="B192" i="32"/>
  <c r="D192" i="32" s="1"/>
  <c r="L191" i="32"/>
  <c r="J191" i="32"/>
  <c r="B191" i="32"/>
  <c r="D191" i="32" s="1"/>
  <c r="L190" i="32"/>
  <c r="J190" i="32"/>
  <c r="B190" i="32"/>
  <c r="D190" i="32" s="1"/>
  <c r="L189" i="32"/>
  <c r="J189" i="32"/>
  <c r="B189" i="32"/>
  <c r="C189" i="32" s="1"/>
  <c r="L188" i="32"/>
  <c r="J188" i="32"/>
  <c r="B188" i="32"/>
  <c r="D188" i="32" s="1"/>
  <c r="L187" i="32"/>
  <c r="J187" i="32"/>
  <c r="B187" i="32"/>
  <c r="D187" i="32" s="1"/>
  <c r="L186" i="32"/>
  <c r="J186" i="32"/>
  <c r="B186" i="32"/>
  <c r="D186" i="32" s="1"/>
  <c r="L185" i="32"/>
  <c r="J185" i="32"/>
  <c r="B185" i="32"/>
  <c r="C185" i="32" s="1"/>
  <c r="L184" i="32"/>
  <c r="J184" i="32"/>
  <c r="B184" i="32"/>
  <c r="L183" i="32"/>
  <c r="J183" i="32"/>
  <c r="B183" i="32"/>
  <c r="C183" i="32" s="1"/>
  <c r="L182" i="32"/>
  <c r="J182" i="32"/>
  <c r="B182" i="32"/>
  <c r="D182" i="32" s="1"/>
  <c r="L181" i="32"/>
  <c r="J181" i="32"/>
  <c r="B181" i="32"/>
  <c r="D181" i="32" s="1"/>
  <c r="L180" i="32"/>
  <c r="J180" i="32"/>
  <c r="B180" i="32"/>
  <c r="D180" i="32" s="1"/>
  <c r="L179" i="32"/>
  <c r="J179" i="32"/>
  <c r="B179" i="32"/>
  <c r="D179" i="32" s="1"/>
  <c r="L178" i="32"/>
  <c r="J178" i="32"/>
  <c r="B178" i="32"/>
  <c r="C178" i="32" s="1"/>
  <c r="L177" i="32"/>
  <c r="J177" i="32"/>
  <c r="B177" i="32"/>
  <c r="D177" i="32" s="1"/>
  <c r="L176" i="32"/>
  <c r="J176" i="32"/>
  <c r="B176" i="32"/>
  <c r="D176" i="32" s="1"/>
  <c r="L175" i="32"/>
  <c r="J175" i="32"/>
  <c r="B175" i="32"/>
  <c r="D175" i="32" s="1"/>
  <c r="L174" i="32"/>
  <c r="J174" i="32"/>
  <c r="B174" i="32"/>
  <c r="D174" i="32" s="1"/>
  <c r="L173" i="32"/>
  <c r="J173" i="32"/>
  <c r="B173" i="32"/>
  <c r="C173" i="32" s="1"/>
  <c r="L172" i="32"/>
  <c r="J172" i="32"/>
  <c r="B172" i="32"/>
  <c r="L171" i="32"/>
  <c r="J171" i="32"/>
  <c r="B171" i="32"/>
  <c r="C171" i="32" s="1"/>
  <c r="L170" i="32"/>
  <c r="J170" i="32"/>
  <c r="B170" i="32"/>
  <c r="D170" i="32" s="1"/>
  <c r="L169" i="32"/>
  <c r="J169" i="32"/>
  <c r="B169" i="32"/>
  <c r="C169" i="32" s="1"/>
  <c r="L168" i="32"/>
  <c r="J168" i="32"/>
  <c r="B168" i="32"/>
  <c r="D168" i="32" s="1"/>
  <c r="L167" i="32"/>
  <c r="J167" i="32"/>
  <c r="B167" i="32"/>
  <c r="D167" i="32" s="1"/>
  <c r="L166" i="32"/>
  <c r="J166" i="32"/>
  <c r="B166" i="32"/>
  <c r="L165" i="32"/>
  <c r="J165" i="32"/>
  <c r="B165" i="32"/>
  <c r="D165" i="32" s="1"/>
  <c r="L164" i="32"/>
  <c r="J164" i="32"/>
  <c r="B164" i="32"/>
  <c r="L163" i="32"/>
  <c r="J163" i="32"/>
  <c r="B163" i="32"/>
  <c r="C163" i="32" s="1"/>
  <c r="L162" i="32"/>
  <c r="J162" i="32"/>
  <c r="B162" i="32"/>
  <c r="L161" i="32"/>
  <c r="J161" i="32"/>
  <c r="B161" i="32"/>
  <c r="C161" i="32" s="1"/>
  <c r="L160" i="32"/>
  <c r="J160" i="32"/>
  <c r="B160" i="32"/>
  <c r="C160" i="32" s="1"/>
  <c r="L159" i="32"/>
  <c r="J159" i="32"/>
  <c r="B159" i="32"/>
  <c r="D159" i="32" s="1"/>
  <c r="L158" i="32"/>
  <c r="J158" i="32"/>
  <c r="B158" i="32"/>
  <c r="D158" i="32" s="1"/>
  <c r="L157" i="32"/>
  <c r="J157" i="32"/>
  <c r="B157" i="32"/>
  <c r="L156" i="32"/>
  <c r="J156" i="32"/>
  <c r="B156" i="32"/>
  <c r="L155" i="32"/>
  <c r="J155" i="32"/>
  <c r="B155" i="32"/>
  <c r="D155" i="32" s="1"/>
  <c r="L154" i="32"/>
  <c r="J154" i="32"/>
  <c r="B154" i="32"/>
  <c r="D154" i="32" s="1"/>
  <c r="L153" i="32"/>
  <c r="J153" i="32"/>
  <c r="B153" i="32"/>
  <c r="L152" i="32"/>
  <c r="J152" i="32"/>
  <c r="B152" i="32"/>
  <c r="L151" i="32"/>
  <c r="J151" i="32"/>
  <c r="B151" i="32"/>
  <c r="D151" i="32" s="1"/>
  <c r="L150" i="32"/>
  <c r="J150" i="32"/>
  <c r="B150" i="32"/>
  <c r="C150" i="32" s="1"/>
  <c r="L149" i="32"/>
  <c r="J149" i="32"/>
  <c r="B149" i="32"/>
  <c r="D149" i="32" s="1"/>
  <c r="L148" i="32"/>
  <c r="J148" i="32"/>
  <c r="B148" i="32"/>
  <c r="D148" i="32" s="1"/>
  <c r="L147" i="32"/>
  <c r="J147" i="32"/>
  <c r="B147" i="32"/>
  <c r="L146" i="32"/>
  <c r="J146" i="32"/>
  <c r="B146" i="32"/>
  <c r="L145" i="32"/>
  <c r="J145" i="32"/>
  <c r="B145" i="32"/>
  <c r="D145" i="32" s="1"/>
  <c r="L144" i="32"/>
  <c r="J144" i="32"/>
  <c r="B144" i="32"/>
  <c r="C144" i="32" s="1"/>
  <c r="L143" i="32"/>
  <c r="J143" i="32"/>
  <c r="B143" i="32"/>
  <c r="L142" i="32"/>
  <c r="J142" i="32"/>
  <c r="B142" i="32"/>
  <c r="D142" i="32" s="1"/>
  <c r="L141" i="32"/>
  <c r="J141" i="32"/>
  <c r="B141" i="32"/>
  <c r="L140" i="32"/>
  <c r="J140" i="32"/>
  <c r="B140" i="32"/>
  <c r="L139" i="32"/>
  <c r="J139" i="32"/>
  <c r="B139" i="32"/>
  <c r="D139" i="32" s="1"/>
  <c r="L138" i="32"/>
  <c r="J138" i="32"/>
  <c r="B138" i="32"/>
  <c r="D138" i="32" s="1"/>
  <c r="L137" i="32"/>
  <c r="J137" i="32"/>
  <c r="B137" i="32"/>
  <c r="C137" i="32" s="1"/>
  <c r="L136" i="32"/>
  <c r="J136" i="32"/>
  <c r="B136" i="32"/>
  <c r="L135" i="32"/>
  <c r="J135" i="32"/>
  <c r="B135" i="32"/>
  <c r="D135" i="32" s="1"/>
  <c r="L134" i="32"/>
  <c r="J134" i="32"/>
  <c r="B134" i="32"/>
  <c r="D134" i="32" s="1"/>
  <c r="L133" i="32"/>
  <c r="J133" i="32"/>
  <c r="B133" i="32"/>
  <c r="D133" i="32" s="1"/>
  <c r="L132" i="32"/>
  <c r="J132" i="32"/>
  <c r="B132" i="32"/>
  <c r="D132" i="32" s="1"/>
  <c r="L131" i="32"/>
  <c r="J131" i="32"/>
  <c r="B131" i="32"/>
  <c r="L130" i="32"/>
  <c r="J130" i="32"/>
  <c r="B130" i="32"/>
  <c r="C130" i="32" s="1"/>
  <c r="L129" i="32"/>
  <c r="J129" i="32"/>
  <c r="B129" i="32"/>
  <c r="D129" i="32" s="1"/>
  <c r="L128" i="32"/>
  <c r="J128" i="32"/>
  <c r="B128" i="32"/>
  <c r="D128" i="32" s="1"/>
  <c r="L127" i="32"/>
  <c r="J127" i="32"/>
  <c r="B127" i="32"/>
  <c r="D127" i="32" s="1"/>
  <c r="L126" i="32"/>
  <c r="J126" i="32"/>
  <c r="B126" i="32"/>
  <c r="C126" i="32" s="1"/>
  <c r="L125" i="32"/>
  <c r="J125" i="32"/>
  <c r="B125" i="32"/>
  <c r="C125" i="32" s="1"/>
  <c r="L124" i="32"/>
  <c r="J124" i="32"/>
  <c r="B124" i="32"/>
  <c r="L123" i="32"/>
  <c r="J123" i="32"/>
  <c r="B123" i="32"/>
  <c r="D123" i="32" s="1"/>
  <c r="L122" i="32"/>
  <c r="J122" i="32"/>
  <c r="B122" i="32"/>
  <c r="C122" i="32" s="1"/>
  <c r="L121" i="32"/>
  <c r="J121" i="32"/>
  <c r="B121" i="32"/>
  <c r="C121" i="32" s="1"/>
  <c r="L120" i="32"/>
  <c r="J120" i="32"/>
  <c r="B120" i="32"/>
  <c r="D120" i="32" s="1"/>
  <c r="L119" i="32"/>
  <c r="J119" i="32"/>
  <c r="B119" i="32"/>
  <c r="D119" i="32" s="1"/>
  <c r="L118" i="32"/>
  <c r="J118" i="32"/>
  <c r="B118" i="32"/>
  <c r="L117" i="32"/>
  <c r="J117" i="32"/>
  <c r="B117" i="32"/>
  <c r="D117" i="32" s="1"/>
  <c r="L116" i="32"/>
  <c r="J116" i="32"/>
  <c r="B116" i="32"/>
  <c r="D116" i="32" s="1"/>
  <c r="L115" i="32"/>
  <c r="J115" i="32"/>
  <c r="B115" i="32"/>
  <c r="D115" i="32" s="1"/>
  <c r="L114" i="32"/>
  <c r="J114" i="32"/>
  <c r="B114" i="32"/>
  <c r="C114" i="32" s="1"/>
  <c r="L113" i="32"/>
  <c r="J113" i="32"/>
  <c r="B113" i="32"/>
  <c r="D113" i="32" s="1"/>
  <c r="L112" i="32"/>
  <c r="J112" i="32"/>
  <c r="B112" i="32"/>
  <c r="C112" i="32" s="1"/>
  <c r="L111" i="32"/>
  <c r="J111" i="32"/>
  <c r="B111" i="32"/>
  <c r="D111" i="32" s="1"/>
  <c r="L110" i="32"/>
  <c r="J110" i="32"/>
  <c r="B110" i="32"/>
  <c r="C110" i="32" s="1"/>
  <c r="L109" i="32"/>
  <c r="J109" i="32"/>
  <c r="B109" i="32"/>
  <c r="C109" i="32" s="1"/>
  <c r="L108" i="32"/>
  <c r="J108" i="32"/>
  <c r="B108" i="32"/>
  <c r="L107" i="32"/>
  <c r="J107" i="32"/>
  <c r="B107" i="32"/>
  <c r="D107" i="32" s="1"/>
  <c r="L106" i="32"/>
  <c r="J106" i="32"/>
  <c r="B106" i="32"/>
  <c r="C106" i="32" s="1"/>
  <c r="L105" i="32"/>
  <c r="J105" i="32"/>
  <c r="B105" i="32"/>
  <c r="C105" i="32" s="1"/>
  <c r="L104" i="32"/>
  <c r="J104" i="32"/>
  <c r="B104" i="32"/>
  <c r="D104" i="32" s="1"/>
  <c r="L103" i="32"/>
  <c r="J103" i="32"/>
  <c r="B103" i="32"/>
  <c r="D103" i="32" s="1"/>
  <c r="L102" i="32"/>
  <c r="J102" i="32"/>
  <c r="B102" i="32"/>
  <c r="L101" i="32"/>
  <c r="J101" i="32"/>
  <c r="B101" i="32"/>
  <c r="C101" i="32" s="1"/>
  <c r="L100" i="32"/>
  <c r="J100" i="32"/>
  <c r="B100" i="32"/>
  <c r="D100" i="32" s="1"/>
  <c r="L99" i="32"/>
  <c r="J99" i="32"/>
  <c r="B99" i="32"/>
  <c r="C99" i="32" s="1"/>
  <c r="L98" i="32"/>
  <c r="J98" i="32"/>
  <c r="B98" i="32"/>
  <c r="D98" i="32" s="1"/>
  <c r="L97" i="32"/>
  <c r="J97" i="32"/>
  <c r="B97" i="32"/>
  <c r="D97" i="32" s="1"/>
  <c r="L96" i="32"/>
  <c r="J96" i="32"/>
  <c r="B96" i="32"/>
  <c r="D96" i="32" s="1"/>
  <c r="L95" i="32"/>
  <c r="J95" i="32"/>
  <c r="B95" i="32"/>
  <c r="D95" i="32" s="1"/>
  <c r="L94" i="32"/>
  <c r="J94" i="32"/>
  <c r="B94" i="32"/>
  <c r="D94" i="32" s="1"/>
  <c r="L93" i="32"/>
  <c r="J93" i="32"/>
  <c r="B93" i="32"/>
  <c r="C93" i="32" s="1"/>
  <c r="L92" i="32"/>
  <c r="J92" i="32"/>
  <c r="B92" i="32"/>
  <c r="L91" i="32"/>
  <c r="J91" i="32"/>
  <c r="B91" i="32"/>
  <c r="D91" i="32" s="1"/>
  <c r="L90" i="32"/>
  <c r="J90" i="32"/>
  <c r="B90" i="32"/>
  <c r="C90" i="32" s="1"/>
  <c r="L89" i="32"/>
  <c r="J89" i="32"/>
  <c r="B89" i="32"/>
  <c r="L88" i="32"/>
  <c r="J88" i="32"/>
  <c r="B88" i="32"/>
  <c r="L87" i="32"/>
  <c r="J87" i="32"/>
  <c r="B87" i="32"/>
  <c r="D87" i="32" s="1"/>
  <c r="L86" i="32"/>
  <c r="J86" i="32"/>
  <c r="B86" i="32"/>
  <c r="C86" i="32" s="1"/>
  <c r="L85" i="32"/>
  <c r="J85" i="32"/>
  <c r="B85" i="32"/>
  <c r="C85" i="32" s="1"/>
  <c r="L84" i="32"/>
  <c r="J84" i="32"/>
  <c r="B84" i="32"/>
  <c r="L83" i="32"/>
  <c r="J83" i="32"/>
  <c r="B83" i="32"/>
  <c r="D83" i="32" s="1"/>
  <c r="L82" i="32"/>
  <c r="J82" i="32"/>
  <c r="B82" i="32"/>
  <c r="D82" i="32" s="1"/>
  <c r="L81" i="32"/>
  <c r="J81" i="32"/>
  <c r="B81" i="32"/>
  <c r="D81" i="32" s="1"/>
  <c r="L80" i="32"/>
  <c r="J80" i="32"/>
  <c r="B80" i="32"/>
  <c r="C80" i="32" s="1"/>
  <c r="L79" i="32"/>
  <c r="J79" i="32"/>
  <c r="B79" i="32"/>
  <c r="D79" i="32" s="1"/>
  <c r="L78" i="32"/>
  <c r="J78" i="32"/>
  <c r="B78" i="32"/>
  <c r="C78" i="32" s="1"/>
  <c r="L77" i="32"/>
  <c r="J77" i="32"/>
  <c r="B77" i="32"/>
  <c r="C77" i="32" s="1"/>
  <c r="L76" i="32"/>
  <c r="J76" i="32"/>
  <c r="B76" i="32"/>
  <c r="C76" i="32" s="1"/>
  <c r="L75" i="32"/>
  <c r="J75" i="32"/>
  <c r="B75" i="32"/>
  <c r="L74" i="32"/>
  <c r="J74" i="32"/>
  <c r="B74" i="32"/>
  <c r="C74" i="32" s="1"/>
  <c r="L73" i="32"/>
  <c r="J73" i="32"/>
  <c r="B73" i="32"/>
  <c r="D73" i="32" s="1"/>
  <c r="L72" i="32"/>
  <c r="J72" i="32"/>
  <c r="B72" i="32"/>
  <c r="L71" i="32"/>
  <c r="J71" i="32"/>
  <c r="B71" i="32"/>
  <c r="D71" i="32" s="1"/>
  <c r="L70" i="32"/>
  <c r="J70" i="32"/>
  <c r="B70" i="32"/>
  <c r="D70" i="32" s="1"/>
  <c r="L69" i="32"/>
  <c r="J69" i="32"/>
  <c r="B69" i="32"/>
  <c r="C69" i="32" s="1"/>
  <c r="L68" i="32"/>
  <c r="J68" i="32"/>
  <c r="B68" i="32"/>
  <c r="D68" i="32" s="1"/>
  <c r="L67" i="32"/>
  <c r="J67" i="32"/>
  <c r="B67" i="32"/>
  <c r="L66" i="32"/>
  <c r="J66" i="32"/>
  <c r="B66" i="32"/>
  <c r="D66" i="32" s="1"/>
  <c r="L65" i="32"/>
  <c r="J65" i="32"/>
  <c r="B65" i="32"/>
  <c r="L64" i="32"/>
  <c r="J64" i="32"/>
  <c r="B64" i="32"/>
  <c r="D64" i="32" s="1"/>
  <c r="L63" i="32"/>
  <c r="J63" i="32"/>
  <c r="B63" i="32"/>
  <c r="C63" i="32" s="1"/>
  <c r="L62" i="32"/>
  <c r="J62" i="32"/>
  <c r="B62" i="32"/>
  <c r="D62" i="32" s="1"/>
  <c r="L61" i="32"/>
  <c r="J61" i="32"/>
  <c r="B61" i="32"/>
  <c r="C61" i="32" s="1"/>
  <c r="L60" i="32"/>
  <c r="J60" i="32"/>
  <c r="B60" i="32"/>
  <c r="L59" i="32"/>
  <c r="J59" i="32"/>
  <c r="B59" i="32"/>
  <c r="L58" i="32"/>
  <c r="J58" i="32"/>
  <c r="B58" i="32"/>
  <c r="D58" i="32" s="1"/>
  <c r="L57" i="32"/>
  <c r="J57" i="32"/>
  <c r="B57" i="32"/>
  <c r="D57" i="32" s="1"/>
  <c r="L56" i="32"/>
  <c r="J56" i="32"/>
  <c r="B56" i="32"/>
  <c r="C56" i="32" s="1"/>
  <c r="L55" i="32"/>
  <c r="J55" i="32"/>
  <c r="B55" i="32"/>
  <c r="C55" i="32" s="1"/>
  <c r="L54" i="32"/>
  <c r="J54" i="32"/>
  <c r="B54" i="32"/>
  <c r="D54" i="32" s="1"/>
  <c r="L53" i="32"/>
  <c r="J53" i="32"/>
  <c r="B53" i="32"/>
  <c r="C53" i="32" s="1"/>
  <c r="L52" i="32"/>
  <c r="J52" i="32"/>
  <c r="B52" i="32"/>
  <c r="D52" i="32" s="1"/>
  <c r="L51" i="32"/>
  <c r="J51" i="32"/>
  <c r="B51" i="32"/>
  <c r="D51" i="32" s="1"/>
  <c r="L50" i="32"/>
  <c r="J50" i="32"/>
  <c r="B50" i="32"/>
  <c r="D50" i="32" s="1"/>
  <c r="L49" i="32"/>
  <c r="J49" i="32"/>
  <c r="B49" i="32"/>
  <c r="C49" i="32" s="1"/>
  <c r="L48" i="32"/>
  <c r="J48" i="32"/>
  <c r="B48" i="32"/>
  <c r="D48" i="32" s="1"/>
  <c r="L47" i="32"/>
  <c r="J47" i="32"/>
  <c r="B47" i="32"/>
  <c r="D47" i="32" s="1"/>
  <c r="L46" i="32"/>
  <c r="J46" i="32"/>
  <c r="B46" i="32"/>
  <c r="C46" i="32" s="1"/>
  <c r="L45" i="32"/>
  <c r="J45" i="32"/>
  <c r="B45" i="32"/>
  <c r="C45" i="32" s="1"/>
  <c r="L44" i="32"/>
  <c r="J44" i="32"/>
  <c r="B44" i="32"/>
  <c r="L43" i="32"/>
  <c r="J43" i="32"/>
  <c r="B43" i="32"/>
  <c r="C43" i="32" s="1"/>
  <c r="L42" i="32"/>
  <c r="J42" i="32"/>
  <c r="B42" i="32"/>
  <c r="D42" i="32" s="1"/>
  <c r="L41" i="32"/>
  <c r="J41" i="32"/>
  <c r="B41" i="32"/>
  <c r="L40" i="32"/>
  <c r="J40" i="32"/>
  <c r="B40" i="32"/>
  <c r="D40" i="32" s="1"/>
  <c r="L39" i="32"/>
  <c r="J39" i="32"/>
  <c r="B39" i="32"/>
  <c r="D39" i="32" s="1"/>
  <c r="L38" i="32"/>
  <c r="J38" i="32"/>
  <c r="B38" i="32"/>
  <c r="D38" i="32" s="1"/>
  <c r="L37" i="32"/>
  <c r="J37" i="32"/>
  <c r="B37" i="32"/>
  <c r="C37" i="32" s="1"/>
  <c r="L36" i="32"/>
  <c r="J36" i="32"/>
  <c r="B36" i="32"/>
  <c r="D36" i="32" s="1"/>
  <c r="L35" i="32"/>
  <c r="J35" i="32"/>
  <c r="B35" i="32"/>
  <c r="C35" i="32" s="1"/>
  <c r="L34" i="32"/>
  <c r="J34" i="32"/>
  <c r="B34" i="32"/>
  <c r="D34" i="32" s="1"/>
  <c r="L33" i="32"/>
  <c r="J33" i="32"/>
  <c r="B33" i="32"/>
  <c r="C33" i="32" s="1"/>
  <c r="L32" i="32"/>
  <c r="J32" i="32"/>
  <c r="B32" i="32"/>
  <c r="D32" i="32" s="1"/>
  <c r="L31" i="32"/>
  <c r="J31" i="32"/>
  <c r="B31" i="32"/>
  <c r="C31" i="32" s="1"/>
  <c r="L30" i="32"/>
  <c r="J30" i="32"/>
  <c r="B30" i="32"/>
  <c r="D30" i="32" s="1"/>
  <c r="L29" i="32"/>
  <c r="J29" i="32"/>
  <c r="B29" i="32"/>
  <c r="L28" i="32"/>
  <c r="J28" i="32"/>
  <c r="B28" i="32"/>
  <c r="D28" i="32" s="1"/>
  <c r="L27" i="32"/>
  <c r="J27" i="32"/>
  <c r="B27" i="32"/>
  <c r="L26" i="32"/>
  <c r="J26" i="32"/>
  <c r="B26" i="32"/>
  <c r="D26" i="32" s="1"/>
  <c r="L25" i="32"/>
  <c r="J25" i="32"/>
  <c r="B25" i="32"/>
  <c r="D25" i="32" s="1"/>
  <c r="L24" i="32"/>
  <c r="J24" i="32"/>
  <c r="B24" i="32"/>
  <c r="D24" i="32" s="1"/>
  <c r="L23" i="32"/>
  <c r="J23" i="32"/>
  <c r="B23" i="32"/>
  <c r="D23" i="32" s="1"/>
  <c r="L22" i="32"/>
  <c r="J22" i="32"/>
  <c r="B22" i="32"/>
  <c r="C22" i="32" s="1"/>
  <c r="L21" i="32"/>
  <c r="J21" i="32"/>
  <c r="B21" i="32"/>
  <c r="D21" i="32" s="1"/>
  <c r="L20" i="32"/>
  <c r="J20" i="32"/>
  <c r="B20" i="32"/>
  <c r="D20" i="32" s="1"/>
  <c r="L19" i="32"/>
  <c r="J19" i="32"/>
  <c r="B19" i="32"/>
  <c r="C19" i="32" s="1"/>
  <c r="L18" i="32"/>
  <c r="J18" i="32"/>
  <c r="E18" i="32" a="1"/>
  <c r="E18" i="32" s="1"/>
  <c r="B18" i="32"/>
  <c r="D18" i="32" s="1"/>
  <c r="O15" i="32"/>
  <c r="T16" i="32" s="1"/>
  <c r="K15" i="32"/>
  <c r="J4" i="32" s="1"/>
  <c r="M11" i="32"/>
  <c r="M10" i="32"/>
  <c r="J10" i="32" a="1"/>
  <c r="J10" i="32" s="1"/>
  <c r="M9" i="32"/>
  <c r="J8" i="32"/>
  <c r="K6" i="32"/>
  <c r="Q5" i="32"/>
  <c r="P5" i="32"/>
  <c r="O5" i="32"/>
  <c r="O6" i="32" s="1"/>
  <c r="N5" i="32"/>
  <c r="L5" i="32"/>
  <c r="K5" i="32"/>
  <c r="J5" i="32"/>
  <c r="A1" i="32"/>
  <c r="G92" i="28"/>
  <c r="F5" i="28" s="1"/>
  <c r="E43" i="28"/>
  <c r="E32" i="28"/>
  <c r="BF18" i="37" l="1"/>
  <c r="BG18" i="37" s="1"/>
  <c r="BH18" i="37" s="1"/>
  <c r="BI18" i="37" s="1"/>
  <c r="BJ18" i="37" s="1"/>
  <c r="BK18" i="37" s="1"/>
  <c r="BL18" i="37" s="1"/>
  <c r="BM18" i="37" s="1"/>
  <c r="BN18" i="37" s="1"/>
  <c r="BO18" i="37" s="1"/>
  <c r="BP18" i="37" s="1"/>
  <c r="BQ18" i="37" s="1"/>
  <c r="BR18" i="37" s="1"/>
  <c r="BS18" i="37" s="1"/>
  <c r="E18" i="37" s="1"/>
  <c r="V26" i="37"/>
  <c r="BI36" i="37"/>
  <c r="BJ36" i="37" s="1"/>
  <c r="BK36" i="37" s="1"/>
  <c r="BL36" i="37" s="1"/>
  <c r="BM36" i="37" s="1"/>
  <c r="BN36" i="37" s="1"/>
  <c r="BO36" i="37" s="1"/>
  <c r="BP36" i="37" s="1"/>
  <c r="BQ36" i="37" s="1"/>
  <c r="BR36" i="37" s="1"/>
  <c r="BS36" i="37" s="1"/>
  <c r="E36" i="37" s="1"/>
  <c r="H21" i="38"/>
  <c r="F21" i="38" s="1"/>
  <c r="BF17" i="37"/>
  <c r="BG17" i="37" s="1"/>
  <c r="BH17" i="37" s="1"/>
  <c r="BI17" i="37" s="1"/>
  <c r="BJ17" i="37" s="1"/>
  <c r="BK17" i="37" s="1"/>
  <c r="BL17" i="37" s="1"/>
  <c r="BM17" i="37" s="1"/>
  <c r="BN17" i="37" s="1"/>
  <c r="BO17" i="37" s="1"/>
  <c r="BP17" i="37" s="1"/>
  <c r="BQ17" i="37" s="1"/>
  <c r="BR17" i="37" s="1"/>
  <c r="BS17" i="37" s="1"/>
  <c r="E17" i="37" s="1"/>
  <c r="H26" i="38"/>
  <c r="F26" i="38" s="1"/>
  <c r="E21" i="38"/>
  <c r="D21" i="38" s="1"/>
  <c r="H18" i="38"/>
  <c r="F18" i="38" s="1"/>
  <c r="H26" i="37"/>
  <c r="F26" i="37" s="1"/>
  <c r="H22" i="38"/>
  <c r="F22" i="38" s="1"/>
  <c r="BI33" i="37"/>
  <c r="BJ33" i="37" s="1"/>
  <c r="BK33" i="37" s="1"/>
  <c r="BL33" i="37" s="1"/>
  <c r="BM33" i="37" s="1"/>
  <c r="BN33" i="37" s="1"/>
  <c r="BO33" i="37" s="1"/>
  <c r="BP33" i="37" s="1"/>
  <c r="BQ33" i="37" s="1"/>
  <c r="BR33" i="37" s="1"/>
  <c r="BS33" i="37" s="1"/>
  <c r="E33" i="37" s="1"/>
  <c r="BF31" i="37"/>
  <c r="BG31" i="37" s="1"/>
  <c r="BH31" i="37" s="1"/>
  <c r="BI31" i="37" s="1"/>
  <c r="BJ31" i="37" s="1"/>
  <c r="BK31" i="37" s="1"/>
  <c r="BL31" i="37" s="1"/>
  <c r="BM31" i="37" s="1"/>
  <c r="BN31" i="37" s="1"/>
  <c r="BO31" i="37" s="1"/>
  <c r="BP31" i="37" s="1"/>
  <c r="BQ31" i="37" s="1"/>
  <c r="BR31" i="37" s="1"/>
  <c r="BS31" i="37" s="1"/>
  <c r="E31" i="37" s="1"/>
  <c r="AO23" i="38"/>
  <c r="E23" i="38"/>
  <c r="H23" i="38"/>
  <c r="F23" i="38" s="1"/>
  <c r="I21" i="38"/>
  <c r="G21" i="38"/>
  <c r="I26" i="38"/>
  <c r="G26" i="38"/>
  <c r="H16" i="38"/>
  <c r="F16" i="38" s="1"/>
  <c r="E16" i="38"/>
  <c r="AO16" i="38"/>
  <c r="E25" i="38"/>
  <c r="AO25" i="38"/>
  <c r="H25" i="38"/>
  <c r="F25" i="38" s="1"/>
  <c r="H36" i="37"/>
  <c r="F36" i="37" s="1"/>
  <c r="E24" i="38"/>
  <c r="AO24" i="38"/>
  <c r="H24" i="38"/>
  <c r="F24" i="38" s="1"/>
  <c r="AO19" i="38"/>
  <c r="H19" i="38"/>
  <c r="F19" i="38" s="1"/>
  <c r="E19" i="38"/>
  <c r="E22" i="38"/>
  <c r="AO20" i="38"/>
  <c r="H20" i="38"/>
  <c r="F20" i="38" s="1"/>
  <c r="E20" i="38"/>
  <c r="I22" i="38"/>
  <c r="G22" i="38"/>
  <c r="I18" i="38"/>
  <c r="G18" i="38"/>
  <c r="J18" i="38" s="1"/>
  <c r="E26" i="38"/>
  <c r="AO17" i="38"/>
  <c r="H17" i="38"/>
  <c r="F17" i="38" s="1"/>
  <c r="E17" i="38"/>
  <c r="D18" i="38"/>
  <c r="V22" i="37"/>
  <c r="BT22" i="37" s="1"/>
  <c r="H22" i="37"/>
  <c r="F22" i="37" s="1"/>
  <c r="V20" i="37"/>
  <c r="BT20" i="37" s="1"/>
  <c r="BU20" i="37" s="1"/>
  <c r="G20" i="37" s="1"/>
  <c r="BI20" i="37"/>
  <c r="BJ20" i="37" s="1"/>
  <c r="BK20" i="37" s="1"/>
  <c r="BL20" i="37" s="1"/>
  <c r="BM20" i="37" s="1"/>
  <c r="BN20" i="37" s="1"/>
  <c r="BO20" i="37" s="1"/>
  <c r="BP20" i="37" s="1"/>
  <c r="BQ20" i="37" s="1"/>
  <c r="BR20" i="37" s="1"/>
  <c r="BS20" i="37" s="1"/>
  <c r="E20" i="37" s="1"/>
  <c r="D20" i="37" s="1"/>
  <c r="H33" i="37"/>
  <c r="F33" i="37" s="1"/>
  <c r="BT31" i="37"/>
  <c r="BU31" i="37" s="1"/>
  <c r="G31" i="37" s="1"/>
  <c r="I31" i="37"/>
  <c r="AO34" i="37"/>
  <c r="H23" i="37"/>
  <c r="F23" i="37" s="1"/>
  <c r="BF23" i="37"/>
  <c r="BG23" i="37" s="1"/>
  <c r="BH23" i="37" s="1"/>
  <c r="BI23" i="37" s="1"/>
  <c r="BJ23" i="37" s="1"/>
  <c r="BK23" i="37" s="1"/>
  <c r="BL23" i="37" s="1"/>
  <c r="BM23" i="37" s="1"/>
  <c r="BN23" i="37" s="1"/>
  <c r="BO23" i="37" s="1"/>
  <c r="BP23" i="37" s="1"/>
  <c r="BQ23" i="37" s="1"/>
  <c r="BR23" i="37" s="1"/>
  <c r="BS23" i="37" s="1"/>
  <c r="E23" i="37" s="1"/>
  <c r="V23" i="37"/>
  <c r="H31" i="37"/>
  <c r="F31" i="37" s="1"/>
  <c r="AO33" i="37"/>
  <c r="AO17" i="37"/>
  <c r="I17" i="37" s="1"/>
  <c r="BF16" i="37"/>
  <c r="BG16" i="37" s="1"/>
  <c r="BH16" i="37" s="1"/>
  <c r="BI16" i="37" s="1"/>
  <c r="BJ16" i="37" s="1"/>
  <c r="BK16" i="37" s="1"/>
  <c r="BL16" i="37" s="1"/>
  <c r="BM16" i="37" s="1"/>
  <c r="BN16" i="37" s="1"/>
  <c r="BO16" i="37" s="1"/>
  <c r="BP16" i="37" s="1"/>
  <c r="BQ16" i="37" s="1"/>
  <c r="BR16" i="37" s="1"/>
  <c r="BS16" i="37" s="1"/>
  <c r="E16" i="37" s="1"/>
  <c r="H16" i="37"/>
  <c r="F16" i="37" s="1"/>
  <c r="V16" i="37"/>
  <c r="AO23" i="37"/>
  <c r="AO18" i="37"/>
  <c r="I18" i="37" s="1"/>
  <c r="AO16" i="37"/>
  <c r="BT33" i="37"/>
  <c r="BT17" i="37"/>
  <c r="H17" i="37"/>
  <c r="F17" i="37" s="1"/>
  <c r="BT18" i="37"/>
  <c r="H21" i="37"/>
  <c r="F21" i="37" s="1"/>
  <c r="V21" i="37"/>
  <c r="BF21" i="37"/>
  <c r="BG21" i="37" s="1"/>
  <c r="BH21" i="37" s="1"/>
  <c r="BI21" i="37" s="1"/>
  <c r="BJ21" i="37" s="1"/>
  <c r="BK21" i="37" s="1"/>
  <c r="BL21" i="37" s="1"/>
  <c r="BM21" i="37" s="1"/>
  <c r="BN21" i="37" s="1"/>
  <c r="BO21" i="37" s="1"/>
  <c r="BP21" i="37" s="1"/>
  <c r="BQ21" i="37" s="1"/>
  <c r="BR21" i="37" s="1"/>
  <c r="BS21" i="37" s="1"/>
  <c r="E21" i="37" s="1"/>
  <c r="BF32" i="37"/>
  <c r="BG32" i="37" s="1"/>
  <c r="BH32" i="37" s="1"/>
  <c r="BI32" i="37" s="1"/>
  <c r="BJ32" i="37" s="1"/>
  <c r="BK32" i="37" s="1"/>
  <c r="BL32" i="37" s="1"/>
  <c r="BM32" i="37" s="1"/>
  <c r="BN32" i="37" s="1"/>
  <c r="BO32" i="37" s="1"/>
  <c r="BP32" i="37" s="1"/>
  <c r="BQ32" i="37" s="1"/>
  <c r="BR32" i="37" s="1"/>
  <c r="BS32" i="37" s="1"/>
  <c r="E32" i="37" s="1"/>
  <c r="H32" i="37"/>
  <c r="F32" i="37" s="1"/>
  <c r="V32" i="37"/>
  <c r="BI22" i="37"/>
  <c r="BJ22" i="37" s="1"/>
  <c r="BK22" i="37" s="1"/>
  <c r="BL22" i="37" s="1"/>
  <c r="BM22" i="37" s="1"/>
  <c r="BN22" i="37" s="1"/>
  <c r="BO22" i="37" s="1"/>
  <c r="BP22" i="37" s="1"/>
  <c r="BQ22" i="37" s="1"/>
  <c r="BR22" i="37" s="1"/>
  <c r="BS22" i="37" s="1"/>
  <c r="E22" i="37" s="1"/>
  <c r="H18" i="37"/>
  <c r="F18" i="37" s="1"/>
  <c r="AO21" i="37"/>
  <c r="AO22" i="37"/>
  <c r="BI26" i="37"/>
  <c r="BJ26" i="37" s="1"/>
  <c r="BK26" i="37" s="1"/>
  <c r="BL26" i="37" s="1"/>
  <c r="BM26" i="37" s="1"/>
  <c r="BN26" i="37" s="1"/>
  <c r="BO26" i="37" s="1"/>
  <c r="BP26" i="37" s="1"/>
  <c r="BQ26" i="37" s="1"/>
  <c r="BR26" i="37" s="1"/>
  <c r="BS26" i="37" s="1"/>
  <c r="E26" i="37" s="1"/>
  <c r="BF35" i="37"/>
  <c r="BG35" i="37" s="1"/>
  <c r="BH35" i="37" s="1"/>
  <c r="BI35" i="37" s="1"/>
  <c r="BJ35" i="37" s="1"/>
  <c r="BK35" i="37" s="1"/>
  <c r="BL35" i="37" s="1"/>
  <c r="BM35" i="37" s="1"/>
  <c r="BN35" i="37" s="1"/>
  <c r="BO35" i="37" s="1"/>
  <c r="BP35" i="37" s="1"/>
  <c r="BQ35" i="37" s="1"/>
  <c r="BR35" i="37" s="1"/>
  <c r="BS35" i="37" s="1"/>
  <c r="E35" i="37" s="1"/>
  <c r="H35" i="37"/>
  <c r="F35" i="37" s="1"/>
  <c r="V35" i="37"/>
  <c r="AO19" i="37"/>
  <c r="V24" i="37"/>
  <c r="H24" i="37"/>
  <c r="F24" i="37" s="1"/>
  <c r="BF24" i="37"/>
  <c r="BG24" i="37" s="1"/>
  <c r="BH24" i="37" s="1"/>
  <c r="BI24" i="37" s="1"/>
  <c r="BJ24" i="37" s="1"/>
  <c r="BK24" i="37" s="1"/>
  <c r="BL24" i="37" s="1"/>
  <c r="BM24" i="37" s="1"/>
  <c r="BN24" i="37" s="1"/>
  <c r="BO24" i="37" s="1"/>
  <c r="BP24" i="37" s="1"/>
  <c r="BQ24" i="37" s="1"/>
  <c r="BR24" i="37" s="1"/>
  <c r="BS24" i="37" s="1"/>
  <c r="E24" i="37" s="1"/>
  <c r="BF34" i="37"/>
  <c r="BG34" i="37" s="1"/>
  <c r="BH34" i="37" s="1"/>
  <c r="BI34" i="37" s="1"/>
  <c r="BJ34" i="37" s="1"/>
  <c r="BK34" i="37" s="1"/>
  <c r="BL34" i="37" s="1"/>
  <c r="BM34" i="37" s="1"/>
  <c r="BN34" i="37" s="1"/>
  <c r="BO34" i="37" s="1"/>
  <c r="BP34" i="37" s="1"/>
  <c r="BQ34" i="37" s="1"/>
  <c r="BR34" i="37" s="1"/>
  <c r="BS34" i="37" s="1"/>
  <c r="E34" i="37" s="1"/>
  <c r="V34" i="37"/>
  <c r="H34" i="37"/>
  <c r="F34" i="37" s="1"/>
  <c r="H20" i="37"/>
  <c r="F20" i="37" s="1"/>
  <c r="BT36" i="37"/>
  <c r="BT26" i="37"/>
  <c r="BU26" i="37" s="1"/>
  <c r="G26" i="37" s="1"/>
  <c r="I26" i="37"/>
  <c r="V19" i="37"/>
  <c r="BF19" i="37"/>
  <c r="BG19" i="37" s="1"/>
  <c r="BH19" i="37" s="1"/>
  <c r="BI19" i="37" s="1"/>
  <c r="BJ19" i="37" s="1"/>
  <c r="BK19" i="37" s="1"/>
  <c r="BL19" i="37" s="1"/>
  <c r="BM19" i="37" s="1"/>
  <c r="BN19" i="37" s="1"/>
  <c r="BO19" i="37" s="1"/>
  <c r="BP19" i="37" s="1"/>
  <c r="BQ19" i="37" s="1"/>
  <c r="BR19" i="37" s="1"/>
  <c r="BS19" i="37" s="1"/>
  <c r="E19" i="37" s="1"/>
  <c r="H19" i="37"/>
  <c r="F19" i="37" s="1"/>
  <c r="AO36" i="37"/>
  <c r="CD63" i="34"/>
  <c r="BJ63" i="34"/>
  <c r="BL63" i="34" s="1"/>
  <c r="BK63" i="34" s="1"/>
  <c r="AL63" i="34"/>
  <c r="AD63" i="34"/>
  <c r="BO63" i="34"/>
  <c r="BP63" i="34" s="1"/>
  <c r="BS32" i="34"/>
  <c r="BU32" i="34"/>
  <c r="BW32" i="34" s="1"/>
  <c r="N32" i="34" s="1"/>
  <c r="CD32" i="34"/>
  <c r="CE32" i="34"/>
  <c r="V30" i="34"/>
  <c r="W30" i="34" s="1"/>
  <c r="X30" i="34" s="1"/>
  <c r="Y30" i="34" s="1"/>
  <c r="Z30" i="34" s="1"/>
  <c r="AA30" i="34" s="1"/>
  <c r="BV30" i="34" s="1"/>
  <c r="V37" i="34"/>
  <c r="W37" i="34" s="1"/>
  <c r="X37" i="34" s="1"/>
  <c r="Y37" i="34" s="1"/>
  <c r="Z37" i="34" s="1"/>
  <c r="AA37" i="34" s="1"/>
  <c r="BR37" i="34" s="1"/>
  <c r="V66" i="34"/>
  <c r="W66" i="34" s="1"/>
  <c r="X66" i="34" s="1"/>
  <c r="Y66" i="34" s="1"/>
  <c r="Z66" i="34" s="1"/>
  <c r="AA66" i="34" s="1"/>
  <c r="BX66" i="34" s="1"/>
  <c r="V65" i="34"/>
  <c r="W65" i="34" s="1"/>
  <c r="X65" i="34" s="1"/>
  <c r="Y65" i="34" s="1"/>
  <c r="Z65" i="34" s="1"/>
  <c r="AA65" i="34" s="1"/>
  <c r="CD49" i="34"/>
  <c r="V34" i="34"/>
  <c r="W34" i="34" s="1"/>
  <c r="X34" i="34" s="1"/>
  <c r="Y34" i="34" s="1"/>
  <c r="Z34" i="34" s="1"/>
  <c r="AA34" i="34" s="1"/>
  <c r="BJ34" i="34" s="1"/>
  <c r="V35" i="34"/>
  <c r="W35" i="34" s="1"/>
  <c r="X35" i="34" s="1"/>
  <c r="Y35" i="34" s="1"/>
  <c r="Z35" i="34" s="1"/>
  <c r="AA35" i="34" s="1"/>
  <c r="BV35" i="34" s="1"/>
  <c r="V59" i="34"/>
  <c r="W59" i="34" s="1"/>
  <c r="X59" i="34" s="1"/>
  <c r="Y59" i="34" s="1"/>
  <c r="Z59" i="34" s="1"/>
  <c r="AA59" i="34" s="1"/>
  <c r="BV59" i="34" s="1"/>
  <c r="V55" i="34"/>
  <c r="W55" i="34" s="1"/>
  <c r="X55" i="34" s="1"/>
  <c r="Y55" i="34" s="1"/>
  <c r="Z55" i="34" s="1"/>
  <c r="AA55" i="34" s="1"/>
  <c r="AD55" i="34" s="1"/>
  <c r="AC55" i="34" s="1"/>
  <c r="V19" i="34"/>
  <c r="W19" i="34" s="1"/>
  <c r="X19" i="34" s="1"/>
  <c r="Y19" i="34" s="1"/>
  <c r="Z19" i="34" s="1"/>
  <c r="AA19" i="34" s="1"/>
  <c r="BA19" i="34" s="1"/>
  <c r="BB19" i="34" s="1"/>
  <c r="I19" i="34" s="1"/>
  <c r="V60" i="34"/>
  <c r="W60" i="34" s="1"/>
  <c r="X60" i="34" s="1"/>
  <c r="Y60" i="34" s="1"/>
  <c r="Z60" i="34" s="1"/>
  <c r="AA60" i="34" s="1"/>
  <c r="AG60" i="34" s="1"/>
  <c r="BR15" i="34"/>
  <c r="BJ9" i="34"/>
  <c r="BL9" i="34" s="1"/>
  <c r="BK9" i="34" s="1"/>
  <c r="BO9" i="34"/>
  <c r="BN9" i="34" s="1"/>
  <c r="AL9" i="34"/>
  <c r="AK9" i="34" s="1"/>
  <c r="CJ9" i="34"/>
  <c r="CK9" i="34" s="1"/>
  <c r="CA9" i="34"/>
  <c r="BV9" i="34"/>
  <c r="BA9" i="34"/>
  <c r="BB9" i="34" s="1"/>
  <c r="I9" i="34" s="1"/>
  <c r="AH9" i="34"/>
  <c r="CE9" i="34"/>
  <c r="BX9" i="34"/>
  <c r="AG9" i="34"/>
  <c r="BD9" i="34"/>
  <c r="BC9" i="34" s="1"/>
  <c r="AJ9" i="34"/>
  <c r="BV33" i="34"/>
  <c r="BD33" i="34"/>
  <c r="BE33" i="34" s="1"/>
  <c r="AJ33" i="34"/>
  <c r="AD33" i="34"/>
  <c r="CD33" i="34"/>
  <c r="BJ33" i="34"/>
  <c r="AL33" i="34"/>
  <c r="AK33" i="34" s="1"/>
  <c r="CE33" i="34"/>
  <c r="CA33" i="34"/>
  <c r="AH33" i="34"/>
  <c r="AG33" i="34"/>
  <c r="BO33" i="34"/>
  <c r="BR33" i="34"/>
  <c r="BY33" i="34"/>
  <c r="BU33" i="34"/>
  <c r="BX33" i="34"/>
  <c r="AX33" i="34"/>
  <c r="CJ33" i="34"/>
  <c r="CG33" i="34" s="1"/>
  <c r="CB33" i="34"/>
  <c r="CB38" i="34"/>
  <c r="CD38" i="34"/>
  <c r="CJ38" i="34"/>
  <c r="CE38" i="34"/>
  <c r="AL38" i="34"/>
  <c r="AK38" i="34" s="1"/>
  <c r="BD38" i="34"/>
  <c r="BE38" i="34" s="1"/>
  <c r="CA38" i="34"/>
  <c r="AG38" i="34"/>
  <c r="CD12" i="34"/>
  <c r="BA12" i="34"/>
  <c r="BB12" i="34" s="1"/>
  <c r="I12" i="34" s="1"/>
  <c r="BV12" i="34"/>
  <c r="AH12" i="34"/>
  <c r="CB12" i="34"/>
  <c r="BS12" i="34"/>
  <c r="BD12" i="34"/>
  <c r="BE12" i="34" s="1"/>
  <c r="AG12" i="34"/>
  <c r="AX12" i="34"/>
  <c r="AO12" i="34" s="1"/>
  <c r="CA12" i="34"/>
  <c r="AD12" i="34"/>
  <c r="BU12" i="34"/>
  <c r="CJ12" i="34"/>
  <c r="CE12" i="34"/>
  <c r="BR12" i="34"/>
  <c r="BO12" i="34"/>
  <c r="BN12" i="34" s="1"/>
  <c r="BJ12" i="34"/>
  <c r="CA36" i="34"/>
  <c r="BV36" i="34"/>
  <c r="CJ36" i="34"/>
  <c r="CG36" i="34" s="1"/>
  <c r="BX36" i="34"/>
  <c r="BO36" i="34"/>
  <c r="BP36" i="34" s="1"/>
  <c r="BJ36" i="34"/>
  <c r="AL36" i="34"/>
  <c r="AK36" i="34" s="1"/>
  <c r="CD52" i="34"/>
  <c r="CA52" i="34"/>
  <c r="CE52" i="34"/>
  <c r="BV52" i="34"/>
  <c r="BD52" i="34"/>
  <c r="BU52" i="34"/>
  <c r="BO18" i="34"/>
  <c r="BN18" i="34" s="1"/>
  <c r="AL18" i="34"/>
  <c r="AK18" i="34" s="1"/>
  <c r="AH18" i="34"/>
  <c r="BD18" i="34"/>
  <c r="CE18" i="34"/>
  <c r="AJ18" i="34"/>
  <c r="AG18" i="34"/>
  <c r="BS18" i="34"/>
  <c r="CA18" i="34"/>
  <c r="BV18" i="34"/>
  <c r="BA18" i="34"/>
  <c r="BB18" i="34" s="1"/>
  <c r="I18" i="34" s="1"/>
  <c r="BY18" i="34"/>
  <c r="BU18" i="34"/>
  <c r="CJ8" i="34"/>
  <c r="CK8" i="34" s="1"/>
  <c r="CA8" i="34"/>
  <c r="BJ8" i="34"/>
  <c r="BL8" i="34" s="1"/>
  <c r="BK8" i="34" s="1"/>
  <c r="AL8" i="34"/>
  <c r="AK8" i="34" s="1"/>
  <c r="AJ8" i="34"/>
  <c r="BY8" i="34"/>
  <c r="BU8" i="34"/>
  <c r="BX8" i="34"/>
  <c r="AH8" i="34"/>
  <c r="BV8" i="34"/>
  <c r="BA8" i="34"/>
  <c r="BB8" i="34" s="1"/>
  <c r="I8" i="34" s="1"/>
  <c r="BS8" i="34"/>
  <c r="BR8" i="34"/>
  <c r="BD8" i="34"/>
  <c r="CE46" i="34"/>
  <c r="CA46" i="34"/>
  <c r="BS46" i="34"/>
  <c r="BJ46" i="34"/>
  <c r="BL46" i="34" s="1"/>
  <c r="BK46" i="34" s="1"/>
  <c r="BD46" i="34"/>
  <c r="BE46" i="34" s="1"/>
  <c r="CD46" i="34"/>
  <c r="AL46" i="34"/>
  <c r="AK46" i="34" s="1"/>
  <c r="CB46" i="34"/>
  <c r="AH46" i="34"/>
  <c r="CJ46" i="34"/>
  <c r="CI46" i="34" s="1"/>
  <c r="BD15" i="34"/>
  <c r="CA15" i="34"/>
  <c r="BY15" i="34"/>
  <c r="CB15" i="34"/>
  <c r="BX15" i="34"/>
  <c r="BV21" i="34"/>
  <c r="AJ21" i="34"/>
  <c r="CA21" i="34"/>
  <c r="BD21" i="34"/>
  <c r="BC21" i="34" s="1"/>
  <c r="AH21" i="34"/>
  <c r="BY21" i="34"/>
  <c r="BA21" i="34"/>
  <c r="BB21" i="34" s="1"/>
  <c r="I21" i="34" s="1"/>
  <c r="AG21" i="34"/>
  <c r="BR21" i="34"/>
  <c r="AX21" i="34"/>
  <c r="AO21" i="34" s="1"/>
  <c r="AD21" i="34"/>
  <c r="CB21" i="34"/>
  <c r="BO21" i="34"/>
  <c r="AL21" i="34"/>
  <c r="AK21" i="34" s="1"/>
  <c r="CE21" i="34"/>
  <c r="CD21" i="34"/>
  <c r="BJ21" i="34"/>
  <c r="CJ7" i="34"/>
  <c r="CK7" i="34" s="1"/>
  <c r="BD7" i="34"/>
  <c r="BE7" i="34" s="1"/>
  <c r="CD7" i="34"/>
  <c r="AL7" i="34"/>
  <c r="AK7" i="34" s="1"/>
  <c r="AJ7" i="34"/>
  <c r="BX7" i="34"/>
  <c r="CA7" i="34"/>
  <c r="BY7" i="34"/>
  <c r="BU7" i="34"/>
  <c r="BR7" i="34"/>
  <c r="BV7" i="34"/>
  <c r="AD7" i="34"/>
  <c r="BA7" i="34"/>
  <c r="BB7" i="34" s="1"/>
  <c r="I7" i="34" s="1"/>
  <c r="AH31" i="34"/>
  <c r="AJ31" i="34"/>
  <c r="V44" i="34"/>
  <c r="W44" i="34" s="1"/>
  <c r="X44" i="34" s="1"/>
  <c r="Y44" i="34" s="1"/>
  <c r="Z44" i="34" s="1"/>
  <c r="AA44" i="34" s="1"/>
  <c r="AD44" i="34" s="1"/>
  <c r="V42" i="34"/>
  <c r="W42" i="34" s="1"/>
  <c r="X42" i="34" s="1"/>
  <c r="Y42" i="34" s="1"/>
  <c r="Z42" i="34" s="1"/>
  <c r="AA42" i="34" s="1"/>
  <c r="BD42" i="34" s="1"/>
  <c r="V22" i="34"/>
  <c r="W22" i="34" s="1"/>
  <c r="X22" i="34" s="1"/>
  <c r="Y22" i="34" s="1"/>
  <c r="Z22" i="34" s="1"/>
  <c r="AA22" i="34" s="1"/>
  <c r="AL22" i="34" s="1"/>
  <c r="AK22" i="34" s="1"/>
  <c r="BR45" i="34"/>
  <c r="CB58" i="34"/>
  <c r="CE31" i="34"/>
  <c r="BO31" i="34"/>
  <c r="BR31" i="34"/>
  <c r="AD31" i="34"/>
  <c r="AG31" i="34"/>
  <c r="BU31" i="34"/>
  <c r="BW31" i="34" s="1"/>
  <c r="N31" i="34" s="1"/>
  <c r="BS31" i="34"/>
  <c r="CJ31" i="34"/>
  <c r="CD31" i="34"/>
  <c r="BD31" i="34"/>
  <c r="CB31" i="34"/>
  <c r="AX31" i="34"/>
  <c r="CA31" i="34"/>
  <c r="BO32" i="34"/>
  <c r="CA32" i="34"/>
  <c r="BY32" i="34"/>
  <c r="BA32" i="34"/>
  <c r="BB32" i="34" s="1"/>
  <c r="I32" i="34" s="1"/>
  <c r="AL32" i="34"/>
  <c r="AK32" i="34" s="1"/>
  <c r="BD32" i="34"/>
  <c r="AJ32" i="34"/>
  <c r="AG32" i="34"/>
  <c r="BU45" i="34"/>
  <c r="BV58" i="34"/>
  <c r="V11" i="34"/>
  <c r="W11" i="34" s="1"/>
  <c r="X11" i="34" s="1"/>
  <c r="Y11" i="34" s="1"/>
  <c r="Z11" i="34" s="1"/>
  <c r="AA11" i="34" s="1"/>
  <c r="CA11" i="34" s="1"/>
  <c r="BA41" i="34"/>
  <c r="BB41" i="34" s="1"/>
  <c r="I41" i="34" s="1"/>
  <c r="V23" i="34"/>
  <c r="W23" i="34" s="1"/>
  <c r="X23" i="34" s="1"/>
  <c r="Y23" i="34" s="1"/>
  <c r="Z23" i="34" s="1"/>
  <c r="AA23" i="34" s="1"/>
  <c r="AJ23" i="34" s="1"/>
  <c r="BX31" i="34"/>
  <c r="BU49" i="34"/>
  <c r="AJ49" i="34"/>
  <c r="BJ49" i="34"/>
  <c r="AG49" i="34"/>
  <c r="CA49" i="34"/>
  <c r="BV49" i="34"/>
  <c r="CB49" i="34"/>
  <c r="AH49" i="34"/>
  <c r="BX49" i="34"/>
  <c r="AD49" i="34"/>
  <c r="AB49" i="34" s="1"/>
  <c r="BA49" i="34"/>
  <c r="BB49" i="34" s="1"/>
  <c r="I49" i="34" s="1"/>
  <c r="AL49" i="34"/>
  <c r="AK49" i="34" s="1"/>
  <c r="CJ45" i="34"/>
  <c r="CK45" i="34" s="1"/>
  <c r="BS45" i="34"/>
  <c r="CB45" i="34"/>
  <c r="CA45" i="34"/>
  <c r="BX45" i="34"/>
  <c r="BA45" i="34"/>
  <c r="BB45" i="34" s="1"/>
  <c r="I45" i="34" s="1"/>
  <c r="CD45" i="34"/>
  <c r="BD45" i="34"/>
  <c r="BE45" i="34" s="1"/>
  <c r="AG45" i="34"/>
  <c r="BJ45" i="34"/>
  <c r="AX45" i="34"/>
  <c r="CE45" i="34"/>
  <c r="AD45" i="34"/>
  <c r="BV45" i="34"/>
  <c r="AH45" i="34"/>
  <c r="BY45" i="34"/>
  <c r="V24" i="34"/>
  <c r="W24" i="34" s="1"/>
  <c r="X24" i="34" s="1"/>
  <c r="Y24" i="34" s="1"/>
  <c r="Z24" i="34" s="1"/>
  <c r="AA24" i="34" s="1"/>
  <c r="BA24" i="34" s="1"/>
  <c r="BB24" i="34" s="1"/>
  <c r="I24" i="34" s="1"/>
  <c r="V43" i="34"/>
  <c r="W43" i="34" s="1"/>
  <c r="X43" i="34" s="1"/>
  <c r="Y43" i="34" s="1"/>
  <c r="Z43" i="34" s="1"/>
  <c r="AA43" i="34" s="1"/>
  <c r="AG43" i="34" s="1"/>
  <c r="BO45" i="34"/>
  <c r="BR58" i="34"/>
  <c r="CA58" i="34"/>
  <c r="AD58" i="34"/>
  <c r="AC58" i="34" s="1"/>
  <c r="BU58" i="34"/>
  <c r="BJ31" i="34"/>
  <c r="V39" i="34"/>
  <c r="W39" i="34" s="1"/>
  <c r="X39" i="34" s="1"/>
  <c r="Y39" i="34" s="1"/>
  <c r="Z39" i="34" s="1"/>
  <c r="AA39" i="34" s="1"/>
  <c r="AG39" i="34" s="1"/>
  <c r="BJ15" i="34"/>
  <c r="BL15" i="34" s="1"/>
  <c r="BK15" i="34" s="1"/>
  <c r="AD15" i="34"/>
  <c r="AC15" i="34" s="1"/>
  <c r="CE15" i="34"/>
  <c r="BV15" i="34"/>
  <c r="AJ15" i="34"/>
  <c r="BU15" i="34"/>
  <c r="BA15" i="34"/>
  <c r="BB15" i="34" s="1"/>
  <c r="I15" i="34" s="1"/>
  <c r="AH15" i="34"/>
  <c r="CJ15" i="34"/>
  <c r="CH15" i="34" s="1"/>
  <c r="AX15" i="34"/>
  <c r="BO15" i="34"/>
  <c r="BP15" i="34" s="1"/>
  <c r="AG15" i="34"/>
  <c r="CD15" i="34"/>
  <c r="AL15" i="34"/>
  <c r="AK15" i="34" s="1"/>
  <c r="BS15" i="34"/>
  <c r="BY31" i="34"/>
  <c r="AX32" i="34"/>
  <c r="AN32" i="34" s="1"/>
  <c r="BY49" i="34"/>
  <c r="AL31" i="34"/>
  <c r="AK31" i="34" s="1"/>
  <c r="V13" i="34"/>
  <c r="W13" i="34" s="1"/>
  <c r="X13" i="34" s="1"/>
  <c r="Y13" i="34" s="1"/>
  <c r="Z13" i="34" s="1"/>
  <c r="AA13" i="34" s="1"/>
  <c r="CB13" i="34" s="1"/>
  <c r="BV41" i="34"/>
  <c r="BS41" i="34"/>
  <c r="BO41" i="34"/>
  <c r="AJ41" i="34"/>
  <c r="CJ41" i="34"/>
  <c r="CI41" i="34" s="1"/>
  <c r="BR41" i="34"/>
  <c r="AL41" i="34"/>
  <c r="AK41" i="34" s="1"/>
  <c r="AG41" i="34"/>
  <c r="BY41" i="34"/>
  <c r="BU9" i="34"/>
  <c r="CD9" i="34"/>
  <c r="AD9" i="34"/>
  <c r="AB9" i="34" s="1"/>
  <c r="CB9" i="34"/>
  <c r="BY9" i="34"/>
  <c r="V27" i="34"/>
  <c r="W27" i="34" s="1"/>
  <c r="X27" i="34" s="1"/>
  <c r="Y27" i="34" s="1"/>
  <c r="Z27" i="34" s="1"/>
  <c r="AA27" i="34" s="1"/>
  <c r="AX27" i="34" s="1"/>
  <c r="AU27" i="34" s="1"/>
  <c r="V64" i="34"/>
  <c r="W64" i="34" s="1"/>
  <c r="X64" i="34" s="1"/>
  <c r="Y64" i="34" s="1"/>
  <c r="Z64" i="34" s="1"/>
  <c r="AA64" i="34" s="1"/>
  <c r="BR64" i="34" s="1"/>
  <c r="V29" i="34"/>
  <c r="W29" i="34" s="1"/>
  <c r="X29" i="34" s="1"/>
  <c r="Y29" i="34" s="1"/>
  <c r="Z29" i="34" s="1"/>
  <c r="AA29" i="34" s="1"/>
  <c r="BJ29" i="34" s="1"/>
  <c r="BI29" i="34" s="1"/>
  <c r="V26" i="34"/>
  <c r="W26" i="34" s="1"/>
  <c r="X26" i="34" s="1"/>
  <c r="Y26" i="34" s="1"/>
  <c r="Z26" i="34" s="1"/>
  <c r="AA26" i="34" s="1"/>
  <c r="CB26" i="34" s="1"/>
  <c r="V50" i="34"/>
  <c r="W50" i="34" s="1"/>
  <c r="X50" i="34" s="1"/>
  <c r="Y50" i="34" s="1"/>
  <c r="Z50" i="34" s="1"/>
  <c r="AA50" i="34" s="1"/>
  <c r="BU50" i="34" s="1"/>
  <c r="BS7" i="34"/>
  <c r="AH7" i="34"/>
  <c r="BO7" i="34"/>
  <c r="BP7" i="34" s="1"/>
  <c r="AG7" i="34"/>
  <c r="AX7" i="34"/>
  <c r="AW7" i="34" s="1"/>
  <c r="CE7" i="34"/>
  <c r="CB7" i="34"/>
  <c r="BJ7" i="34"/>
  <c r="CB8" i="34"/>
  <c r="BO8" i="34"/>
  <c r="BP8" i="34" s="1"/>
  <c r="AX8" i="34"/>
  <c r="AV8" i="34" s="1"/>
  <c r="AG8" i="34"/>
  <c r="CE8" i="34"/>
  <c r="CD8" i="34"/>
  <c r="AD8" i="34"/>
  <c r="AE8" i="34" s="1"/>
  <c r="BR9" i="34"/>
  <c r="V17" i="34"/>
  <c r="W17" i="34" s="1"/>
  <c r="X17" i="34" s="1"/>
  <c r="Y17" i="34" s="1"/>
  <c r="Z17" i="34" s="1"/>
  <c r="AA17" i="34" s="1"/>
  <c r="BY17" i="34" s="1"/>
  <c r="BR38" i="34"/>
  <c r="BA38" i="34"/>
  <c r="BB38" i="34" s="1"/>
  <c r="I38" i="34" s="1"/>
  <c r="AJ38" i="34"/>
  <c r="BO38" i="34"/>
  <c r="BN38" i="34" s="1"/>
  <c r="AX38" i="34"/>
  <c r="AU38" i="34" s="1"/>
  <c r="AH38" i="34"/>
  <c r="BJ38" i="34"/>
  <c r="BS38" i="34"/>
  <c r="BY38" i="34"/>
  <c r="AD38" i="34"/>
  <c r="BV38" i="34"/>
  <c r="BU38" i="34"/>
  <c r="BX38" i="34"/>
  <c r="V48" i="34"/>
  <c r="W48" i="34" s="1"/>
  <c r="X48" i="34" s="1"/>
  <c r="Y48" i="34" s="1"/>
  <c r="Z48" i="34" s="1"/>
  <c r="AA48" i="34" s="1"/>
  <c r="CB48" i="34" s="1"/>
  <c r="V47" i="34"/>
  <c r="W47" i="34" s="1"/>
  <c r="X47" i="34" s="1"/>
  <c r="Y47" i="34" s="1"/>
  <c r="Z47" i="34" s="1"/>
  <c r="AA47" i="34" s="1"/>
  <c r="BO47" i="34" s="1"/>
  <c r="BN47" i="34" s="1"/>
  <c r="V10" i="34"/>
  <c r="W10" i="34" s="1"/>
  <c r="X10" i="34" s="1"/>
  <c r="Y10" i="34" s="1"/>
  <c r="Z10" i="34" s="1"/>
  <c r="AA10" i="34" s="1"/>
  <c r="BA10" i="34" s="1"/>
  <c r="BB10" i="34" s="1"/>
  <c r="I10" i="34" s="1"/>
  <c r="V14" i="34"/>
  <c r="W14" i="34" s="1"/>
  <c r="X14" i="34" s="1"/>
  <c r="Y14" i="34" s="1"/>
  <c r="Z14" i="34" s="1"/>
  <c r="AA14" i="34" s="1"/>
  <c r="BR14" i="34" s="1"/>
  <c r="V16" i="34"/>
  <c r="W16" i="34" s="1"/>
  <c r="X16" i="34" s="1"/>
  <c r="Y16" i="34" s="1"/>
  <c r="Z16" i="34" s="1"/>
  <c r="AA16" i="34" s="1"/>
  <c r="BD16" i="34" s="1"/>
  <c r="V28" i="34"/>
  <c r="W28" i="34" s="1"/>
  <c r="X28" i="34" s="1"/>
  <c r="Y28" i="34" s="1"/>
  <c r="Z28" i="34" s="1"/>
  <c r="AA28" i="34" s="1"/>
  <c r="CA28" i="34" s="1"/>
  <c r="AX9" i="34"/>
  <c r="AU9" i="34" s="1"/>
  <c r="BS9" i="34"/>
  <c r="CD36" i="34"/>
  <c r="AX36" i="34"/>
  <c r="AU36" i="34" s="1"/>
  <c r="AH36" i="34"/>
  <c r="CB36" i="34"/>
  <c r="BU36" i="34"/>
  <c r="BA36" i="34"/>
  <c r="BB36" i="34" s="1"/>
  <c r="I36" i="34" s="1"/>
  <c r="AD36" i="34"/>
  <c r="BS36" i="34"/>
  <c r="BR36" i="34"/>
  <c r="AJ36" i="34"/>
  <c r="AM36" i="34" s="1"/>
  <c r="G36" i="34" s="1"/>
  <c r="CE36" i="34"/>
  <c r="AG36" i="34"/>
  <c r="BY36" i="34"/>
  <c r="BD36" i="34"/>
  <c r="BE36" i="34" s="1"/>
  <c r="AJ12" i="34"/>
  <c r="AL12" i="34"/>
  <c r="AK12" i="34" s="1"/>
  <c r="BJ18" i="34"/>
  <c r="AD18" i="34"/>
  <c r="AB18" i="34" s="1"/>
  <c r="BX18" i="34"/>
  <c r="CD18" i="34"/>
  <c r="CB18" i="34"/>
  <c r="CJ18" i="34"/>
  <c r="CK18" i="34" s="1"/>
  <c r="V40" i="34"/>
  <c r="W40" i="34" s="1"/>
  <c r="X40" i="34" s="1"/>
  <c r="Y40" i="34" s="1"/>
  <c r="Z40" i="34" s="1"/>
  <c r="AA40" i="34" s="1"/>
  <c r="CE40" i="34" s="1"/>
  <c r="BX12" i="34"/>
  <c r="BY12" i="34"/>
  <c r="AX18" i="34"/>
  <c r="BR18" i="34"/>
  <c r="V20" i="34"/>
  <c r="W20" i="34" s="1"/>
  <c r="X20" i="34" s="1"/>
  <c r="Y20" i="34" s="1"/>
  <c r="Z20" i="34" s="1"/>
  <c r="AA20" i="34" s="1"/>
  <c r="BA20" i="34" s="1"/>
  <c r="BB20" i="34" s="1"/>
  <c r="I20" i="34" s="1"/>
  <c r="V25" i="34"/>
  <c r="W25" i="34" s="1"/>
  <c r="X25" i="34" s="1"/>
  <c r="Y25" i="34" s="1"/>
  <c r="Z25" i="34" s="1"/>
  <c r="AA25" i="34" s="1"/>
  <c r="BY25" i="34" s="1"/>
  <c r="BU21" i="34"/>
  <c r="CJ21" i="34"/>
  <c r="CK21" i="34" s="1"/>
  <c r="BS21" i="34"/>
  <c r="BX21" i="34"/>
  <c r="CA41" i="34"/>
  <c r="CD41" i="34"/>
  <c r="AD41" i="34"/>
  <c r="CB41" i="34"/>
  <c r="BJ41" i="34"/>
  <c r="BU41" i="34"/>
  <c r="CE41" i="34"/>
  <c r="BE41" i="34"/>
  <c r="BF41" i="34" s="1"/>
  <c r="J41" i="34" s="1"/>
  <c r="AH41" i="34"/>
  <c r="AX41" i="34"/>
  <c r="AV41" i="34" s="1"/>
  <c r="BX41" i="34"/>
  <c r="V61" i="34"/>
  <c r="W61" i="34" s="1"/>
  <c r="X61" i="34" s="1"/>
  <c r="Y61" i="34" s="1"/>
  <c r="Z61" i="34" s="1"/>
  <c r="AA61" i="34" s="1"/>
  <c r="BN63" i="34"/>
  <c r="BQ63" i="34" s="1"/>
  <c r="L63" i="34" s="1"/>
  <c r="BJ32" i="34"/>
  <c r="BH32" i="34" s="1"/>
  <c r="AD32" i="34"/>
  <c r="AB32" i="34" s="1"/>
  <c r="BX32" i="34"/>
  <c r="CJ32" i="34"/>
  <c r="BR32" i="34"/>
  <c r="AH32" i="34"/>
  <c r="CB32" i="34"/>
  <c r="V51" i="34"/>
  <c r="W51" i="34" s="1"/>
  <c r="X51" i="34" s="1"/>
  <c r="Y51" i="34" s="1"/>
  <c r="Z51" i="34" s="1"/>
  <c r="AA51" i="34" s="1"/>
  <c r="CB51" i="34" s="1"/>
  <c r="BY52" i="34"/>
  <c r="BX52" i="34"/>
  <c r="BA52" i="34"/>
  <c r="BB52" i="34" s="1"/>
  <c r="I52" i="34" s="1"/>
  <c r="AH52" i="34"/>
  <c r="BS52" i="34"/>
  <c r="AG52" i="34"/>
  <c r="CJ52" i="34"/>
  <c r="CG52" i="34" s="1"/>
  <c r="AX52" i="34"/>
  <c r="AL52" i="34"/>
  <c r="AK52" i="34" s="1"/>
  <c r="BO52" i="34"/>
  <c r="BP52" i="34" s="1"/>
  <c r="AJ52" i="34"/>
  <c r="BR52" i="34"/>
  <c r="AD52" i="34"/>
  <c r="AE52" i="34" s="1"/>
  <c r="CB52" i="34"/>
  <c r="BJ52" i="34"/>
  <c r="BH52" i="34" s="1"/>
  <c r="CE58" i="34"/>
  <c r="BO58" i="34"/>
  <c r="BN58" i="34" s="1"/>
  <c r="CD58" i="34"/>
  <c r="AX58" i="34"/>
  <c r="AH58" i="34"/>
  <c r="AJ58" i="34"/>
  <c r="BS58" i="34"/>
  <c r="BA58" i="34"/>
  <c r="BB58" i="34" s="1"/>
  <c r="I58" i="34" s="1"/>
  <c r="AG58" i="34"/>
  <c r="AL58" i="34"/>
  <c r="AK58" i="34" s="1"/>
  <c r="BY58" i="34"/>
  <c r="BZ58" i="34" s="1"/>
  <c r="O58" i="34" s="1"/>
  <c r="CJ58" i="34"/>
  <c r="CG58" i="34" s="1"/>
  <c r="BJ58" i="34"/>
  <c r="BG58" i="34" s="1"/>
  <c r="BD58" i="34"/>
  <c r="BE58" i="34" s="1"/>
  <c r="BY46" i="34"/>
  <c r="BR46" i="34"/>
  <c r="BA46" i="34"/>
  <c r="BB46" i="34" s="1"/>
  <c r="I46" i="34" s="1"/>
  <c r="AJ46" i="34"/>
  <c r="BO46" i="34"/>
  <c r="AX46" i="34"/>
  <c r="AN46" i="34" s="1"/>
  <c r="AG46" i="34"/>
  <c r="BV46" i="34"/>
  <c r="BU46" i="34"/>
  <c r="AD46" i="34"/>
  <c r="AB46" i="34" s="1"/>
  <c r="BX46" i="34"/>
  <c r="CJ63" i="34"/>
  <c r="CE63" i="34"/>
  <c r="AG63" i="34"/>
  <c r="BR63" i="34"/>
  <c r="BA33" i="34"/>
  <c r="BB33" i="34" s="1"/>
  <c r="I33" i="34" s="1"/>
  <c r="CJ49" i="34"/>
  <c r="CK49" i="34" s="1"/>
  <c r="BD49" i="34"/>
  <c r="BS49" i="34"/>
  <c r="AX49" i="34"/>
  <c r="AU49" i="34" s="1"/>
  <c r="BO49" i="34"/>
  <c r="BN49" i="34" s="1"/>
  <c r="CE49" i="34"/>
  <c r="V53" i="34"/>
  <c r="W53" i="34" s="1"/>
  <c r="X53" i="34" s="1"/>
  <c r="Y53" i="34" s="1"/>
  <c r="Z53" i="34" s="1"/>
  <c r="AA53" i="34" s="1"/>
  <c r="AX53" i="34" s="1"/>
  <c r="AS53" i="34" s="1"/>
  <c r="BA31" i="34"/>
  <c r="BB31" i="34" s="1"/>
  <c r="I31" i="34" s="1"/>
  <c r="BS33" i="34"/>
  <c r="BR49" i="34"/>
  <c r="V57" i="34"/>
  <c r="W57" i="34" s="1"/>
  <c r="X57" i="34" s="1"/>
  <c r="Y57" i="34" s="1"/>
  <c r="Z57" i="34" s="1"/>
  <c r="AA57" i="34" s="1"/>
  <c r="CB63" i="34"/>
  <c r="CA63" i="34"/>
  <c r="BY63" i="34"/>
  <c r="BD63" i="34"/>
  <c r="AK63" i="34"/>
  <c r="BV63" i="34"/>
  <c r="AJ63" i="34"/>
  <c r="BA63" i="34"/>
  <c r="BB63" i="34" s="1"/>
  <c r="I63" i="34" s="1"/>
  <c r="AH63" i="34"/>
  <c r="BX63" i="34"/>
  <c r="BU63" i="34"/>
  <c r="AX63" i="34"/>
  <c r="BS63" i="34"/>
  <c r="AJ45" i="34"/>
  <c r="AL45" i="34"/>
  <c r="AK45" i="34" s="1"/>
  <c r="V56" i="34"/>
  <c r="W56" i="34" s="1"/>
  <c r="X56" i="34" s="1"/>
  <c r="Y56" i="34" s="1"/>
  <c r="Z56" i="34" s="1"/>
  <c r="AA56" i="34" s="1"/>
  <c r="CA56" i="34" s="1"/>
  <c r="V62" i="34"/>
  <c r="W62" i="34" s="1"/>
  <c r="X62" i="34" s="1"/>
  <c r="Y62" i="34" s="1"/>
  <c r="Z62" i="34" s="1"/>
  <c r="AA62" i="34" s="1"/>
  <c r="AJ62" i="34" s="1"/>
  <c r="V54" i="34"/>
  <c r="W54" i="34" s="1"/>
  <c r="X54" i="34" s="1"/>
  <c r="Y54" i="34" s="1"/>
  <c r="Z54" i="34" s="1"/>
  <c r="AA54" i="34" s="1"/>
  <c r="BU54" i="34" s="1"/>
  <c r="BY55" i="34"/>
  <c r="CY69" i="33"/>
  <c r="DA69" i="33" a="1"/>
  <c r="DA69" i="33" s="1"/>
  <c r="DB69" i="33"/>
  <c r="CZ27" i="33" a="1"/>
  <c r="CZ27" i="33" s="1"/>
  <c r="DF46" i="33" a="1"/>
  <c r="DF46" i="33" s="1"/>
  <c r="DJ46" i="33" a="1"/>
  <c r="DJ46" i="33" s="1"/>
  <c r="H11" i="33"/>
  <c r="DE46" i="33"/>
  <c r="DA43" i="33" a="1"/>
  <c r="DA43" i="33" s="1"/>
  <c r="DC43" i="33" a="1"/>
  <c r="DC43" i="33" s="1"/>
  <c r="CV27" i="33"/>
  <c r="CS33" i="33"/>
  <c r="CY25" i="33"/>
  <c r="BZ27" i="33"/>
  <c r="DF38" i="33" a="1"/>
  <c r="DF38" i="33" s="1"/>
  <c r="BI69" i="33" a="1"/>
  <c r="BI69" i="33" s="1"/>
  <c r="CP38" i="33" a="1"/>
  <c r="CP38" i="33" s="1"/>
  <c r="CA27" i="33" a="1"/>
  <c r="CA27" i="33" s="1"/>
  <c r="H32" i="33"/>
  <c r="BS69" i="33" a="1"/>
  <c r="BS69" i="33" s="1"/>
  <c r="BY27" i="33" a="1"/>
  <c r="BY27" i="33" s="1"/>
  <c r="CD27" i="33"/>
  <c r="BU69" i="33" a="1"/>
  <c r="BU69" i="33" s="1"/>
  <c r="CO33" i="33" a="1"/>
  <c r="CO33" i="33" s="1"/>
  <c r="CE27" i="33" a="1"/>
  <c r="CE27" i="33" s="1"/>
  <c r="BV69" i="33" a="1"/>
  <c r="BV69" i="33" s="1"/>
  <c r="DH54" i="33"/>
  <c r="CI33" i="33" a="1"/>
  <c r="CI33" i="33" s="1"/>
  <c r="CS27" i="33"/>
  <c r="CH46" i="33"/>
  <c r="BZ69" i="33"/>
  <c r="DE38" i="33"/>
  <c r="CU27" i="33" a="1"/>
  <c r="CU27" i="33" s="1"/>
  <c r="CU69" i="33" a="1"/>
  <c r="CU69" i="33" s="1"/>
  <c r="BU30" i="33" a="1"/>
  <c r="BU30" i="33" s="1"/>
  <c r="BV30" i="33" a="1"/>
  <c r="BV30" i="33" s="1"/>
  <c r="X26" i="33"/>
  <c r="CU30" i="33" a="1"/>
  <c r="CU30" i="33" s="1"/>
  <c r="BO54" i="33"/>
  <c r="DN54" i="33"/>
  <c r="CF58" i="33"/>
  <c r="DH61" i="33"/>
  <c r="DL24" i="33"/>
  <c r="CV30" i="33"/>
  <c r="BP54" i="33" a="1"/>
  <c r="BP54" i="33" s="1"/>
  <c r="CP58" i="33" a="1"/>
  <c r="CP58" i="33" s="1"/>
  <c r="DI61" i="33" a="1"/>
  <c r="DI61" i="33" s="1"/>
  <c r="DM24" i="33" a="1"/>
  <c r="DM24" i="33" s="1"/>
  <c r="CQ27" i="33"/>
  <c r="F31" i="33"/>
  <c r="CB38" i="33" a="1"/>
  <c r="CB38" i="33" s="1"/>
  <c r="BQ54" i="33" a="1"/>
  <c r="BQ54" i="33" s="1"/>
  <c r="CQ58" i="33"/>
  <c r="DN61" i="33"/>
  <c r="DJ54" i="33" a="1"/>
  <c r="DJ54" i="33" s="1"/>
  <c r="DG38" i="33" a="1"/>
  <c r="DG38" i="33" s="1"/>
  <c r="BZ54" i="33"/>
  <c r="H6" i="33"/>
  <c r="CU54" i="33" a="1"/>
  <c r="CU54" i="33" s="1"/>
  <c r="CA69" i="33" a="1"/>
  <c r="CA69" i="33" s="1"/>
  <c r="CV61" i="33"/>
  <c r="H19" i="33"/>
  <c r="CV54" i="33"/>
  <c r="CD69" i="33"/>
  <c r="BN54" i="33"/>
  <c r="V20" i="33"/>
  <c r="F7" i="33"/>
  <c r="DA54" i="33" a="1"/>
  <c r="DA54" i="33" s="1"/>
  <c r="CE69" i="33" a="1"/>
  <c r="CE69" i="33" s="1"/>
  <c r="DL54" i="33"/>
  <c r="DG61" i="33" a="1"/>
  <c r="DG61" i="33" s="1"/>
  <c r="H7" i="33"/>
  <c r="DB54" i="33"/>
  <c r="CB58" i="33" a="1"/>
  <c r="CB58" i="33" s="1"/>
  <c r="BS54" i="33" a="1"/>
  <c r="BS54" i="33" s="1"/>
  <c r="CT58" i="33" a="1"/>
  <c r="CT58" i="33" s="1"/>
  <c r="G25" i="33"/>
  <c r="BX54" i="33" a="1"/>
  <c r="BX54" i="33" s="1"/>
  <c r="CU58" i="33" a="1"/>
  <c r="CU58" i="33" s="1"/>
  <c r="BY54" i="33" a="1"/>
  <c r="BY54" i="33" s="1"/>
  <c r="G6" i="33"/>
  <c r="H39" i="33"/>
  <c r="CH54" i="33"/>
  <c r="CC25" i="33" a="1"/>
  <c r="CC25" i="33" s="1"/>
  <c r="BW27" i="33" a="1"/>
  <c r="BW27" i="33" s="1"/>
  <c r="DE54" i="33"/>
  <c r="CX69" i="33" a="1"/>
  <c r="CX69" i="33" s="1"/>
  <c r="DC70" i="33" a="1"/>
  <c r="DC70" i="33" s="1"/>
  <c r="BY29" i="33" a="1"/>
  <c r="BY29" i="33" s="1"/>
  <c r="BH70" i="33" a="1"/>
  <c r="BH70" i="33" s="1"/>
  <c r="CP53" i="33" a="1"/>
  <c r="CP53" i="33" s="1"/>
  <c r="BH58" i="33" a="1"/>
  <c r="BH58" i="33" s="1"/>
  <c r="DD29" i="33" a="1"/>
  <c r="DD29" i="33" s="1"/>
  <c r="DG37" i="33" a="1"/>
  <c r="DG37" i="33" s="1"/>
  <c r="DD42" i="33" a="1"/>
  <c r="DD42" i="33" s="1"/>
  <c r="BI58" i="33" a="1"/>
  <c r="BI58" i="33" s="1"/>
  <c r="CZ58" i="33" a="1"/>
  <c r="CZ58" i="33" s="1"/>
  <c r="BL61" i="33" a="1"/>
  <c r="BL61" i="33" s="1"/>
  <c r="CO68" i="33" a="1"/>
  <c r="CO68" i="33" s="1"/>
  <c r="BZ70" i="33"/>
  <c r="DD72" i="33" a="1"/>
  <c r="DD72" i="33" s="1"/>
  <c r="DF23" i="33" a="1"/>
  <c r="DF23" i="33" s="1"/>
  <c r="CB24" i="33" a="1"/>
  <c r="CB24" i="33" s="1"/>
  <c r="DK37" i="33" a="1"/>
  <c r="DK37" i="33" s="1"/>
  <c r="CI54" i="33" a="1"/>
  <c r="CI54" i="33" s="1"/>
  <c r="BJ58" i="33" a="1"/>
  <c r="BJ58" i="33" s="1"/>
  <c r="DC58" i="33" a="1"/>
  <c r="DC58" i="33" s="1"/>
  <c r="BP61" i="33" a="1"/>
  <c r="BP61" i="33" s="1"/>
  <c r="CT68" i="33" a="1"/>
  <c r="CT68" i="33" s="1"/>
  <c r="CN70" i="33"/>
  <c r="DG23" i="33" a="1"/>
  <c r="DG23" i="33" s="1"/>
  <c r="CL24" i="33"/>
  <c r="CW27" i="33" a="1"/>
  <c r="CW27" i="33" s="1"/>
  <c r="CJ54" i="33" a="1"/>
  <c r="CJ54" i="33" s="1"/>
  <c r="BL58" i="33" a="1"/>
  <c r="BL58" i="33" s="1"/>
  <c r="DI58" i="33" a="1"/>
  <c r="DI58" i="33" s="1"/>
  <c r="BQ61" i="33" a="1"/>
  <c r="BQ61" i="33" s="1"/>
  <c r="DC68" i="33" a="1"/>
  <c r="DC68" i="33" s="1"/>
  <c r="CO70" i="33" a="1"/>
  <c r="CO70" i="33" s="1"/>
  <c r="BH53" i="33" a="1"/>
  <c r="BH53" i="33" s="1"/>
  <c r="BK53" i="33"/>
  <c r="BF24" i="33"/>
  <c r="BN70" i="33"/>
  <c r="CA37" i="33" a="1"/>
  <c r="CA37" i="33" s="1"/>
  <c r="DF50" i="33" a="1"/>
  <c r="DF50" i="33" s="1"/>
  <c r="BO70" i="33"/>
  <c r="CN23" i="33"/>
  <c r="BS24" i="33" a="1"/>
  <c r="BS24" i="33" s="1"/>
  <c r="DC31" i="33" a="1"/>
  <c r="DC31" i="33" s="1"/>
  <c r="CN37" i="33"/>
  <c r="CT53" i="33" a="1"/>
  <c r="CT53" i="33" s="1"/>
  <c r="BT24" i="33" a="1"/>
  <c r="BT24" i="33" s="1"/>
  <c r="CO37" i="33" a="1"/>
  <c r="CO37" i="33" s="1"/>
  <c r="CD42" i="33"/>
  <c r="CZ53" i="33" a="1"/>
  <c r="CZ53" i="33" s="1"/>
  <c r="CY58" i="33"/>
  <c r="BK61" i="33"/>
  <c r="DF62" i="33" a="1"/>
  <c r="DF62" i="33" s="1"/>
  <c r="BY70" i="33" a="1"/>
  <c r="BY70" i="33" s="1"/>
  <c r="CN24" i="33"/>
  <c r="CM54" i="33" a="1"/>
  <c r="CM54" i="33" s="1"/>
  <c r="BM58" i="33" a="1"/>
  <c r="BM58" i="33" s="1"/>
  <c r="DJ58" i="33" a="1"/>
  <c r="DJ58" i="33" s="1"/>
  <c r="BV61" i="33" a="1"/>
  <c r="BV61" i="33" s="1"/>
  <c r="DI68" i="33" a="1"/>
  <c r="DI68" i="33" s="1"/>
  <c r="CS70" i="33"/>
  <c r="CO24" i="33" a="1"/>
  <c r="CO24" i="33" s="1"/>
  <c r="AX54" i="33"/>
  <c r="AY54" i="33" s="1"/>
  <c r="AZ54" i="33" s="1"/>
  <c r="BA54" i="33" s="1"/>
  <c r="BB54" i="33" s="1"/>
  <c r="BC54" i="33" s="1"/>
  <c r="CN54" i="33"/>
  <c r="BO58" i="33"/>
  <c r="DM58" i="33" a="1"/>
  <c r="DM58" i="33" s="1"/>
  <c r="BW61" i="33" a="1"/>
  <c r="BW61" i="33" s="1"/>
  <c r="CA64" i="33" a="1"/>
  <c r="CA64" i="33" s="1"/>
  <c r="DK68" i="33" a="1"/>
  <c r="DK68" i="33" s="1"/>
  <c r="CX70" i="33" a="1"/>
  <c r="CX70" i="33" s="1"/>
  <c r="CX24" i="33" a="1"/>
  <c r="CX24" i="33" s="1"/>
  <c r="CZ25" i="33" a="1"/>
  <c r="CZ25" i="33" s="1"/>
  <c r="BF27" i="33"/>
  <c r="BZ30" i="33"/>
  <c r="BU43" i="33" a="1"/>
  <c r="BU43" i="33" s="1"/>
  <c r="BD54" i="33" a="1"/>
  <c r="BD54" i="33" s="1"/>
  <c r="CP54" i="33" a="1"/>
  <c r="CP54" i="33" s="1"/>
  <c r="BP58" i="33" a="1"/>
  <c r="BP58" i="33" s="1"/>
  <c r="CF61" i="33"/>
  <c r="CC64" i="33" a="1"/>
  <c r="CC64" i="33" s="1"/>
  <c r="DE69" i="33"/>
  <c r="CY70" i="33"/>
  <c r="BZ37" i="33"/>
  <c r="CN53" i="33"/>
  <c r="BG24" i="33" a="1"/>
  <c r="BG24" i="33" s="1"/>
  <c r="CO53" i="33" a="1"/>
  <c r="CO53" i="33" s="1"/>
  <c r="DA31" i="33" a="1"/>
  <c r="DA31" i="33" s="1"/>
  <c r="CL37" i="33"/>
  <c r="BP70" i="33" a="1"/>
  <c r="BP70" i="33" s="1"/>
  <c r="CA42" i="33" a="1"/>
  <c r="CA42" i="33" s="1"/>
  <c r="CX58" i="33" a="1"/>
  <c r="CX58" i="33" s="1"/>
  <c r="BJ61" i="33" a="1"/>
  <c r="BJ61" i="33" s="1"/>
  <c r="BR70" i="33" a="1"/>
  <c r="BR70" i="33" s="1"/>
  <c r="CY72" i="33"/>
  <c r="CO23" i="33" a="1"/>
  <c r="CO23" i="33" s="1"/>
  <c r="G18" i="33"/>
  <c r="X24" i="33"/>
  <c r="DI24" i="33" a="1"/>
  <c r="DI24" i="33" s="1"/>
  <c r="DG25" i="33" a="1"/>
  <c r="DG25" i="33" s="1"/>
  <c r="BG27" i="33" a="1"/>
  <c r="BG27" i="33" s="1"/>
  <c r="CE30" i="33" a="1"/>
  <c r="CE30" i="33" s="1"/>
  <c r="BW43" i="33" a="1"/>
  <c r="BW43" i="33" s="1"/>
  <c r="BV46" i="33" a="1"/>
  <c r="BV46" i="33" s="1"/>
  <c r="BE54" i="33" a="1"/>
  <c r="BE54" i="33" s="1"/>
  <c r="CQ54" i="33"/>
  <c r="BY58" i="33" a="1"/>
  <c r="BY58" i="33" s="1"/>
  <c r="CH61" i="33"/>
  <c r="CJ64" i="33" a="1"/>
  <c r="CJ64" i="33" s="1"/>
  <c r="DG69" i="33" a="1"/>
  <c r="DG69" i="33" s="1"/>
  <c r="CZ70" i="33" a="1"/>
  <c r="CZ70" i="33" s="1"/>
  <c r="BG70" i="33" a="1"/>
  <c r="BG70" i="33" s="1"/>
  <c r="DE70" i="33"/>
  <c r="BY37" i="33" a="1"/>
  <c r="BY37" i="33" s="1"/>
  <c r="BZ29" i="33"/>
  <c r="CA29" i="33" a="1"/>
  <c r="CA29" i="33" s="1"/>
  <c r="BR24" i="33" a="1"/>
  <c r="BR24" i="33" s="1"/>
  <c r="CP29" i="33" a="1"/>
  <c r="CP29" i="33" s="1"/>
  <c r="CR29" i="33" a="1"/>
  <c r="CR29" i="33" s="1"/>
  <c r="CT29" i="33" a="1"/>
  <c r="CT29" i="33" s="1"/>
  <c r="CZ72" i="33" a="1"/>
  <c r="CZ72" i="33" s="1"/>
  <c r="CT23" i="33" a="1"/>
  <c r="CT23" i="33" s="1"/>
  <c r="CA24" i="33" a="1"/>
  <c r="CA24" i="33" s="1"/>
  <c r="DD27" i="33" a="1"/>
  <c r="DD27" i="33" s="1"/>
  <c r="H16" i="33"/>
  <c r="H18" i="33"/>
  <c r="X20" i="33"/>
  <c r="Y20" i="33" s="1"/>
  <c r="DJ24" i="33" a="1"/>
  <c r="DJ24" i="33" s="1"/>
  <c r="BT27" i="33" a="1"/>
  <c r="BT27" i="33" s="1"/>
  <c r="CH30" i="33"/>
  <c r="CG33" i="33" a="1"/>
  <c r="CG33" i="33" s="1"/>
  <c r="CC38" i="33" a="1"/>
  <c r="CC38" i="33" s="1"/>
  <c r="CL43" i="33"/>
  <c r="BG54" i="33" a="1"/>
  <c r="BG54" i="33" s="1"/>
  <c r="CT54" i="33" a="1"/>
  <c r="CT54" i="33" s="1"/>
  <c r="CA58" i="33" a="1"/>
  <c r="CA58" i="33" s="1"/>
  <c r="CU61" i="33" a="1"/>
  <c r="CU61" i="33" s="1"/>
  <c r="CZ64" i="33" a="1"/>
  <c r="CZ64" i="33" s="1"/>
  <c r="BH69" i="33" a="1"/>
  <c r="BH69" i="33" s="1"/>
  <c r="DB70" i="33"/>
  <c r="BF36" i="33"/>
  <c r="BR28" i="33" a="1"/>
  <c r="BR28" i="33" s="1"/>
  <c r="DD31" i="33" a="1"/>
  <c r="DD31" i="33" s="1"/>
  <c r="CF42" i="33"/>
  <c r="BR71" i="33" a="1"/>
  <c r="BR71" i="33" s="1"/>
  <c r="BV71" i="33" a="1"/>
  <c r="BV71" i="33" s="1"/>
  <c r="BI31" i="33" a="1"/>
  <c r="BI31" i="33" s="1"/>
  <c r="CZ36" i="33" a="1"/>
  <c r="CZ36" i="33" s="1"/>
  <c r="BQ60" i="33" a="1"/>
  <c r="BQ60" i="33" s="1"/>
  <c r="CB27" i="33" a="1"/>
  <c r="CB27" i="33" s="1"/>
  <c r="CX27" i="33" a="1"/>
  <c r="CX27" i="33" s="1"/>
  <c r="BY28" i="33" a="1"/>
  <c r="BY28" i="33" s="1"/>
  <c r="CJ30" i="33" a="1"/>
  <c r="CJ30" i="33" s="1"/>
  <c r="BJ31" i="33" a="1"/>
  <c r="BJ31" i="33" s="1"/>
  <c r="BN36" i="33"/>
  <c r="DA36" i="33" a="1"/>
  <c r="DA36" i="33" s="1"/>
  <c r="BI42" i="33" a="1"/>
  <c r="BI42" i="33" s="1"/>
  <c r="CI42" i="33" a="1"/>
  <c r="CI42" i="33" s="1"/>
  <c r="DK42" i="33" a="1"/>
  <c r="DK42" i="33" s="1"/>
  <c r="CB44" i="33" a="1"/>
  <c r="CB44" i="33" s="1"/>
  <c r="CH51" i="33"/>
  <c r="BJ55" i="33" a="1"/>
  <c r="BJ55" i="33" s="1"/>
  <c r="BQ56" i="33" a="1"/>
  <c r="BQ56" i="33" s="1"/>
  <c r="CD57" i="33"/>
  <c r="BR60" i="33" a="1"/>
  <c r="BR60" i="33" s="1"/>
  <c r="CH63" i="33"/>
  <c r="DC65" i="33" a="1"/>
  <c r="DC65" i="33" s="1"/>
  <c r="DC69" i="33" a="1"/>
  <c r="DC69" i="33" s="1"/>
  <c r="DE71" i="33"/>
  <c r="DG73" i="33" a="1"/>
  <c r="DG73" i="33" s="1"/>
  <c r="BZ24" i="33"/>
  <c r="H25" i="33"/>
  <c r="BD27" i="33" a="1"/>
  <c r="BD27" i="33" s="1"/>
  <c r="CC27" i="33" a="1"/>
  <c r="CC27" i="33" s="1"/>
  <c r="CY27" i="33"/>
  <c r="CI28" i="33" a="1"/>
  <c r="CI28" i="33" s="1"/>
  <c r="DE29" i="33"/>
  <c r="CR30" i="33" a="1"/>
  <c r="CR30" i="33" s="1"/>
  <c r="BK31" i="33"/>
  <c r="BQ36" i="33" a="1"/>
  <c r="BQ36" i="33" s="1"/>
  <c r="DK36" i="33" a="1"/>
  <c r="DK36" i="33" s="1"/>
  <c r="DH37" i="33"/>
  <c r="BM42" i="33" a="1"/>
  <c r="BM42" i="33" s="1"/>
  <c r="CM42" i="33" a="1"/>
  <c r="CM42" i="33" s="1"/>
  <c r="DM42" i="33" a="1"/>
  <c r="DM42" i="33" s="1"/>
  <c r="DL44" i="33"/>
  <c r="H54" i="33"/>
  <c r="BW54" i="33" a="1"/>
  <c r="BW54" i="33" s="1"/>
  <c r="CW54" i="33" a="1"/>
  <c r="CW54" i="33" s="1"/>
  <c r="BK55" i="33"/>
  <c r="BR56" i="33" a="1"/>
  <c r="BR56" i="33" s="1"/>
  <c r="CE57" i="33" a="1"/>
  <c r="CE57" i="33" s="1"/>
  <c r="BR58" i="33" a="1"/>
  <c r="BR58" i="33" s="1"/>
  <c r="DA58" i="33" a="1"/>
  <c r="DA58" i="33" s="1"/>
  <c r="CC60" i="33" a="1"/>
  <c r="CC60" i="33" s="1"/>
  <c r="BU61" i="33" a="1"/>
  <c r="BU61" i="33" s="1"/>
  <c r="CM63" i="33" a="1"/>
  <c r="CM63" i="33" s="1"/>
  <c r="BE69" i="33" a="1"/>
  <c r="BE69" i="33" s="1"/>
  <c r="CC69" i="33" a="1"/>
  <c r="CC69" i="33" s="1"/>
  <c r="BQ70" i="33" a="1"/>
  <c r="BQ70" i="33" s="1"/>
  <c r="DA70" i="33" a="1"/>
  <c r="DA70" i="33" s="1"/>
  <c r="CO36" i="33" a="1"/>
  <c r="CO36" i="33" s="1"/>
  <c r="CQ36" i="33"/>
  <c r="BY57" i="33" a="1"/>
  <c r="BY57" i="33" s="1"/>
  <c r="DE31" i="33"/>
  <c r="BJ36" i="33" a="1"/>
  <c r="BJ36" i="33" s="1"/>
  <c r="BG42" i="33" a="1"/>
  <c r="BG42" i="33" s="1"/>
  <c r="BW28" i="33" a="1"/>
  <c r="BW28" i="33" s="1"/>
  <c r="DK40" i="33" a="1"/>
  <c r="DK40" i="33" s="1"/>
  <c r="BH42" i="33" a="1"/>
  <c r="BH42" i="33" s="1"/>
  <c r="BL31" i="33" a="1"/>
  <c r="BL31" i="33" s="1"/>
  <c r="CE56" i="33" a="1"/>
  <c r="CE56" i="33" s="1"/>
  <c r="CE60" i="33" a="1"/>
  <c r="CE60" i="33" s="1"/>
  <c r="DN36" i="33"/>
  <c r="CO42" i="33" a="1"/>
  <c r="CO42" i="33" s="1"/>
  <c r="CB74" i="33" a="1"/>
  <c r="CB74" i="33" s="1"/>
  <c r="BH27" i="33" a="1"/>
  <c r="BH27" i="33" s="1"/>
  <c r="CF27" i="33"/>
  <c r="DD28" i="33" a="1"/>
  <c r="DD28" i="33" s="1"/>
  <c r="CW30" i="33" a="1"/>
  <c r="CW30" i="33" s="1"/>
  <c r="BV31" i="33" a="1"/>
  <c r="BV31" i="33" s="1"/>
  <c r="BV55" i="33" a="1"/>
  <c r="BV55" i="33" s="1"/>
  <c r="DG60" i="33" a="1"/>
  <c r="DG60" i="33" s="1"/>
  <c r="BF62" i="33"/>
  <c r="CW63" i="33" a="1"/>
  <c r="CW63" i="33" s="1"/>
  <c r="BN66" i="33"/>
  <c r="CF69" i="33"/>
  <c r="DH69" i="33"/>
  <c r="X17" i="33"/>
  <c r="Y17" i="33" s="1"/>
  <c r="BE23" i="33" a="1"/>
  <c r="BE23" i="33" s="1"/>
  <c r="V24" i="33"/>
  <c r="CM24" i="33" a="1"/>
  <c r="CM24" i="33" s="1"/>
  <c r="CA26" i="33" a="1"/>
  <c r="CA26" i="33" s="1"/>
  <c r="BI27" i="33" a="1"/>
  <c r="BI27" i="33" s="1"/>
  <c r="CI27" i="33" a="1"/>
  <c r="CI27" i="33" s="1"/>
  <c r="DI27" i="33" a="1"/>
  <c r="DI27" i="33" s="1"/>
  <c r="DE28" i="33"/>
  <c r="BH30" i="33" a="1"/>
  <c r="BH30" i="33" s="1"/>
  <c r="DC30" i="33" a="1"/>
  <c r="DC30" i="33" s="1"/>
  <c r="BX31" i="33" a="1"/>
  <c r="BX31" i="33" s="1"/>
  <c r="CS35" i="33"/>
  <c r="BX36" i="33" a="1"/>
  <c r="BX36" i="33" s="1"/>
  <c r="CY39" i="33"/>
  <c r="DG41" i="33" a="1"/>
  <c r="DG41" i="33" s="1"/>
  <c r="BQ42" i="33" a="1"/>
  <c r="BQ42" i="33" s="1"/>
  <c r="CR42" i="33" a="1"/>
  <c r="CR42" i="33" s="1"/>
  <c r="CC47" i="33" a="1"/>
  <c r="CC47" i="33" s="1"/>
  <c r="CB54" i="33" a="1"/>
  <c r="CB54" i="33" s="1"/>
  <c r="DG54" i="33" a="1"/>
  <c r="DG54" i="33" s="1"/>
  <c r="BW55" i="33" a="1"/>
  <c r="BW55" i="33" s="1"/>
  <c r="CR56" i="33" a="1"/>
  <c r="CR56" i="33" s="1"/>
  <c r="DF57" i="33" a="1"/>
  <c r="DF57" i="33" s="1"/>
  <c r="CD58" i="33"/>
  <c r="DK58" i="33" a="1"/>
  <c r="DK58" i="33" s="1"/>
  <c r="DJ60" i="33" a="1"/>
  <c r="DJ60" i="33" s="1"/>
  <c r="CG61" i="33" a="1"/>
  <c r="CG61" i="33" s="1"/>
  <c r="BM62" i="33" a="1"/>
  <c r="BM62" i="33" s="1"/>
  <c r="DK63" i="33" a="1"/>
  <c r="DK63" i="33" s="1"/>
  <c r="BJ69" i="33" a="1"/>
  <c r="BJ69" i="33" s="1"/>
  <c r="CG69" i="33" a="1"/>
  <c r="CG69" i="33" s="1"/>
  <c r="CB70" i="33" a="1"/>
  <c r="CB70" i="33" s="1"/>
  <c r="DF70" i="33" a="1"/>
  <c r="DF70" i="33" s="1"/>
  <c r="BG72" i="33" a="1"/>
  <c r="BG72" i="33" s="1"/>
  <c r="BX40" i="33" a="1"/>
  <c r="BX40" i="33" s="1"/>
  <c r="BG36" i="33" a="1"/>
  <c r="BG36" i="33" s="1"/>
  <c r="BF42" i="33"/>
  <c r="CY36" i="33"/>
  <c r="DD48" i="33" a="1"/>
  <c r="DD48" i="33" s="1"/>
  <c r="BZ63" i="33"/>
  <c r="CN42" i="33"/>
  <c r="CY28" i="33"/>
  <c r="BS36" i="33" a="1"/>
  <c r="BS36" i="33" s="1"/>
  <c r="CK56" i="33" a="1"/>
  <c r="CK56" i="33" s="1"/>
  <c r="BD62" i="33" a="1"/>
  <c r="BD62" i="33" s="1"/>
  <c r="BD23" i="33" a="1"/>
  <c r="BD23" i="33" s="1"/>
  <c r="BW36" i="33" a="1"/>
  <c r="BW36" i="33" s="1"/>
  <c r="CQ42" i="33"/>
  <c r="CZ57" i="33" a="1"/>
  <c r="CZ57" i="33" s="1"/>
  <c r="X19" i="33"/>
  <c r="Y19" i="33" s="1"/>
  <c r="BV23" i="33" a="1"/>
  <c r="BV23" i="33" s="1"/>
  <c r="DG26" i="33" a="1"/>
  <c r="DG26" i="33" s="1"/>
  <c r="BJ27" i="33" a="1"/>
  <c r="BJ27" i="33" s="1"/>
  <c r="CJ27" i="33" a="1"/>
  <c r="CJ27" i="33" s="1"/>
  <c r="DL28" i="33"/>
  <c r="BI30" i="33" a="1"/>
  <c r="BI30" i="33" s="1"/>
  <c r="DD30" i="33" a="1"/>
  <c r="DD30" i="33" s="1"/>
  <c r="BY31" i="33" a="1"/>
  <c r="BY31" i="33" s="1"/>
  <c r="CT35" i="33" a="1"/>
  <c r="CT35" i="33" s="1"/>
  <c r="BZ36" i="33"/>
  <c r="DJ39" i="33" a="1"/>
  <c r="DJ39" i="33" s="1"/>
  <c r="BR42" i="33" a="1"/>
  <c r="BR42" i="33" s="1"/>
  <c r="CT42" i="33" a="1"/>
  <c r="CT42" i="33" s="1"/>
  <c r="CF47" i="33"/>
  <c r="CK55" i="33" a="1"/>
  <c r="CK55" i="33" s="1"/>
  <c r="DG56" i="33" a="1"/>
  <c r="DG56" i="33" s="1"/>
  <c r="DL60" i="33"/>
  <c r="CL62" i="33"/>
  <c r="DN63" i="33"/>
  <c r="BK69" i="33"/>
  <c r="CH69" i="33"/>
  <c r="CC70" i="33" a="1"/>
  <c r="CC70" i="33" s="1"/>
  <c r="DG70" i="33" a="1"/>
  <c r="DG70" i="33" s="1"/>
  <c r="CA72" i="33" a="1"/>
  <c r="CA72" i="33" s="1"/>
  <c r="CS74" i="33"/>
  <c r="CV36" i="33"/>
  <c r="DG42" i="33" a="1"/>
  <c r="DG42" i="33" s="1"/>
  <c r="BI60" i="33" a="1"/>
  <c r="BI60" i="33" s="1"/>
  <c r="BU28" i="33" a="1"/>
  <c r="BU28" i="33" s="1"/>
  <c r="CG42" i="33" a="1"/>
  <c r="CG42" i="33" s="1"/>
  <c r="BZ57" i="33"/>
  <c r="DI42" i="33" a="1"/>
  <c r="DI42" i="33" s="1"/>
  <c r="BM55" i="33" a="1"/>
  <c r="BM55" i="33" s="1"/>
  <c r="CG60" i="33" a="1"/>
  <c r="CG60" i="33" s="1"/>
  <c r="CV63" i="33"/>
  <c r="DF27" i="33" a="1"/>
  <c r="DF27" i="33" s="1"/>
  <c r="CP56" i="33" a="1"/>
  <c r="CP56" i="33" s="1"/>
  <c r="CE74" i="33" a="1"/>
  <c r="CE74" i="33" s="1"/>
  <c r="BW23" i="33" a="1"/>
  <c r="BW23" i="33" s="1"/>
  <c r="DH26" i="33"/>
  <c r="BK27" i="33"/>
  <c r="CK27" i="33" a="1"/>
  <c r="CK27" i="33" s="1"/>
  <c r="DJ27" i="33" a="1"/>
  <c r="DJ27" i="33" s="1"/>
  <c r="BJ30" i="33" a="1"/>
  <c r="BJ30" i="33" s="1"/>
  <c r="DF30" i="33" a="1"/>
  <c r="DF30" i="33" s="1"/>
  <c r="CB31" i="33" a="1"/>
  <c r="CB31" i="33" s="1"/>
  <c r="CU35" i="33" a="1"/>
  <c r="CU35" i="33" s="1"/>
  <c r="CI36" i="33" a="1"/>
  <c r="CI36" i="33" s="1"/>
  <c r="DK39" i="33" a="1"/>
  <c r="DK39" i="33" s="1"/>
  <c r="G42" i="33"/>
  <c r="BW42" i="33" a="1"/>
  <c r="BW42" i="33" s="1"/>
  <c r="CV42" i="33"/>
  <c r="DE47" i="33"/>
  <c r="BL50" i="33" a="1"/>
  <c r="BL50" i="33" s="1"/>
  <c r="CL55" i="33"/>
  <c r="DK56" i="33" a="1"/>
  <c r="DK56" i="33" s="1"/>
  <c r="CH58" i="33"/>
  <c r="DN60" i="33"/>
  <c r="CI61" i="33" a="1"/>
  <c r="CI61" i="33" s="1"/>
  <c r="CO62" i="33" a="1"/>
  <c r="CO62" i="33" s="1"/>
  <c r="BM69" i="33" a="1"/>
  <c r="BM69" i="33" s="1"/>
  <c r="CK69" i="33" a="1"/>
  <c r="CK69" i="33" s="1"/>
  <c r="AX70" i="33"/>
  <c r="AY70" i="33" s="1"/>
  <c r="AZ70" i="33" s="1"/>
  <c r="BA70" i="33" s="1"/>
  <c r="BB70" i="33" s="1"/>
  <c r="BC70" i="33" s="1"/>
  <c r="CE70" i="33" a="1"/>
  <c r="CE70" i="33" s="1"/>
  <c r="DL70" i="33"/>
  <c r="CC72" i="33" a="1"/>
  <c r="CC72" i="33" s="1"/>
  <c r="DN74" i="33"/>
  <c r="DM36" i="33" a="1"/>
  <c r="DM36" i="33" s="1"/>
  <c r="CR63" i="33" a="1"/>
  <c r="CR63" i="33" s="1"/>
  <c r="CB23" i="33" a="1"/>
  <c r="CB23" i="33" s="1"/>
  <c r="CV24" i="33"/>
  <c r="H27" i="33"/>
  <c r="BM27" i="33" a="1"/>
  <c r="BM27" i="33" s="1"/>
  <c r="CN27" i="33"/>
  <c r="DK27" i="33" a="1"/>
  <c r="DK27" i="33" s="1"/>
  <c r="BP30" i="33" a="1"/>
  <c r="BP30" i="33" s="1"/>
  <c r="DH30" i="33"/>
  <c r="CC31" i="33" a="1"/>
  <c r="CC31" i="33" s="1"/>
  <c r="BT33" i="33" a="1"/>
  <c r="BT33" i="33" s="1"/>
  <c r="CV35" i="33"/>
  <c r="CK36" i="33" a="1"/>
  <c r="CK36" i="33" s="1"/>
  <c r="BI38" i="33" a="1"/>
  <c r="BI38" i="33" s="1"/>
  <c r="H42" i="33"/>
  <c r="BX42" i="33" a="1"/>
  <c r="BX42" i="33" s="1"/>
  <c r="CW42" i="33" a="1"/>
  <c r="CW42" i="33" s="1"/>
  <c r="DF47" i="33" a="1"/>
  <c r="DF47" i="33" s="1"/>
  <c r="CV50" i="33"/>
  <c r="CM55" i="33" a="1"/>
  <c r="CM55" i="33" s="1"/>
  <c r="DL56" i="33"/>
  <c r="BE58" i="33" a="1"/>
  <c r="BE58" i="33" s="1"/>
  <c r="CI58" i="33" a="1"/>
  <c r="CI58" i="33" s="1"/>
  <c r="CK61" i="33" a="1"/>
  <c r="CK61" i="33" s="1"/>
  <c r="CP62" i="33" a="1"/>
  <c r="CP62" i="33" s="1"/>
  <c r="BN69" i="33"/>
  <c r="CM69" i="33" a="1"/>
  <c r="CM69" i="33" s="1"/>
  <c r="CF70" i="33"/>
  <c r="DM70" i="33" a="1"/>
  <c r="DM70" i="33" s="1"/>
  <c r="CE72" i="33" a="1"/>
  <c r="CE72" i="33" s="1"/>
  <c r="BO71" i="33"/>
  <c r="CU40" i="33" a="1"/>
  <c r="CU40" i="33" s="1"/>
  <c r="BH31" i="33" a="1"/>
  <c r="BH31" i="33" s="1"/>
  <c r="DH42" i="33"/>
  <c r="BL60" i="33" a="1"/>
  <c r="BL60" i="33" s="1"/>
  <c r="DF31" i="33" a="1"/>
  <c r="DF31" i="33" s="1"/>
  <c r="BM36" i="33" a="1"/>
  <c r="BM36" i="33" s="1"/>
  <c r="CH42" i="33"/>
  <c r="CA57" i="33" a="1"/>
  <c r="CA57" i="33" s="1"/>
  <c r="BN42" i="33"/>
  <c r="BL55" i="33" a="1"/>
  <c r="BL55" i="33" s="1"/>
  <c r="BM31" i="33" a="1"/>
  <c r="BM31" i="33" s="1"/>
  <c r="BO42" i="33"/>
  <c r="CW57" i="33" a="1"/>
  <c r="CW57" i="33" s="1"/>
  <c r="AX30" i="33"/>
  <c r="AY30" i="33" s="1"/>
  <c r="AZ30" i="33" s="1"/>
  <c r="BA30" i="33" s="1"/>
  <c r="BB30" i="33" s="1"/>
  <c r="BC30" i="33" s="1"/>
  <c r="BP42" i="33" a="1"/>
  <c r="BP42" i="33" s="1"/>
  <c r="CK23" i="33" a="1"/>
  <c r="CK23" i="33" s="1"/>
  <c r="CW24" i="33" a="1"/>
  <c r="CW24" i="33" s="1"/>
  <c r="BT25" i="33" a="1"/>
  <c r="BT25" i="33" s="1"/>
  <c r="BQ27" i="33" a="1"/>
  <c r="BQ27" i="33" s="1"/>
  <c r="CO27" i="33" a="1"/>
  <c r="CO27" i="33" s="1"/>
  <c r="DN27" i="33"/>
  <c r="BX29" i="33" a="1"/>
  <c r="BX29" i="33" s="1"/>
  <c r="BS30" i="33" a="1"/>
  <c r="BS30" i="33" s="1"/>
  <c r="DI30" i="33" a="1"/>
  <c r="DI30" i="33" s="1"/>
  <c r="CJ31" i="33" a="1"/>
  <c r="CJ31" i="33" s="1"/>
  <c r="BU33" i="33" a="1"/>
  <c r="BU33" i="33" s="1"/>
  <c r="DJ35" i="33" a="1"/>
  <c r="DJ35" i="33" s="1"/>
  <c r="CL36" i="33"/>
  <c r="BY42" i="33" a="1"/>
  <c r="BY42" i="33" s="1"/>
  <c r="CX42" i="33" a="1"/>
  <c r="CX42" i="33" s="1"/>
  <c r="CM43" i="33" a="1"/>
  <c r="CM43" i="33" s="1"/>
  <c r="DG47" i="33" a="1"/>
  <c r="DG47" i="33" s="1"/>
  <c r="DB50" i="33"/>
  <c r="BF54" i="33"/>
  <c r="CL54" i="33"/>
  <c r="DM54" i="33" a="1"/>
  <c r="DM54" i="33" s="1"/>
  <c r="DI55" i="33" a="1"/>
  <c r="DI55" i="33" s="1"/>
  <c r="DM56" i="33" a="1"/>
  <c r="DM56" i="33" s="1"/>
  <c r="BG58" i="33" a="1"/>
  <c r="BG58" i="33" s="1"/>
  <c r="CJ58" i="33" a="1"/>
  <c r="CJ58" i="33" s="1"/>
  <c r="CM61" i="33" a="1"/>
  <c r="CM61" i="33" s="1"/>
  <c r="DA62" i="33" a="1"/>
  <c r="DA62" i="33" s="1"/>
  <c r="BZ64" i="33"/>
  <c r="BO69" i="33"/>
  <c r="CO69" i="33" a="1"/>
  <c r="CO69" i="33" s="1"/>
  <c r="BD70" i="33" a="1"/>
  <c r="BD70" i="33" s="1"/>
  <c r="CG70" i="33" a="1"/>
  <c r="CG70" i="33" s="1"/>
  <c r="DN70" i="33"/>
  <c r="CK72" i="33" a="1"/>
  <c r="CK72" i="33" s="1"/>
  <c r="DF42" i="33" a="1"/>
  <c r="DF42" i="33" s="1"/>
  <c r="BR36" i="33" a="1"/>
  <c r="BR36" i="33" s="1"/>
  <c r="CK57" i="33" a="1"/>
  <c r="CK57" i="33" s="1"/>
  <c r="BE72" i="33" a="1"/>
  <c r="BE72" i="33" s="1"/>
  <c r="BF72" i="33"/>
  <c r="X22" i="33"/>
  <c r="Y22" i="33" s="1"/>
  <c r="BR27" i="33" a="1"/>
  <c r="BR27" i="33" s="1"/>
  <c r="CP27" i="33" a="1"/>
  <c r="CP27" i="33" s="1"/>
  <c r="BT30" i="33" a="1"/>
  <c r="BT30" i="33" s="1"/>
  <c r="DN30" i="33"/>
  <c r="CS31" i="33"/>
  <c r="CN36" i="33"/>
  <c r="BZ42" i="33"/>
  <c r="CY42" i="33"/>
  <c r="DJ55" i="33" a="1"/>
  <c r="DJ55" i="33" s="1"/>
  <c r="CS61" i="33"/>
  <c r="DE62" i="33"/>
  <c r="BP69" i="33" a="1"/>
  <c r="BP69" i="33" s="1"/>
  <c r="CS69" i="33"/>
  <c r="BE70" i="33" a="1"/>
  <c r="BE70" i="33" s="1"/>
  <c r="BR45" i="33" a="1"/>
  <c r="BR45" i="33" s="1"/>
  <c r="CL67" i="33"/>
  <c r="CK45" i="33" a="1"/>
  <c r="CK45" i="33" s="1"/>
  <c r="BU45" i="33" a="1"/>
  <c r="BU45" i="33" s="1"/>
  <c r="V27" i="33"/>
  <c r="V21" i="33"/>
  <c r="V16" i="33"/>
  <c r="V22" i="33"/>
  <c r="CR45" i="33" a="1"/>
  <c r="CR45" i="33" s="1"/>
  <c r="DD23" i="33" a="1"/>
  <c r="DD23" i="33" s="1"/>
  <c r="BS23" i="33" a="1"/>
  <c r="BS23" i="33" s="1"/>
  <c r="DM23" i="33" a="1"/>
  <c r="DM23" i="33" s="1"/>
  <c r="DC23" i="33" a="1"/>
  <c r="DC23" i="33" s="1"/>
  <c r="CJ23" i="33" a="1"/>
  <c r="CJ23" i="33" s="1"/>
  <c r="DB23" i="33"/>
  <c r="CI23" i="33" a="1"/>
  <c r="CI23" i="33" s="1"/>
  <c r="BR23" i="33" a="1"/>
  <c r="BR23" i="33" s="1"/>
  <c r="DN23" i="33"/>
  <c r="BM23" i="33" a="1"/>
  <c r="BM23" i="33" s="1"/>
  <c r="CU23" i="33" a="1"/>
  <c r="CU23" i="33" s="1"/>
  <c r="CD23" i="33"/>
  <c r="CZ23" i="33" a="1"/>
  <c r="CZ23" i="33" s="1"/>
  <c r="CH23" i="33"/>
  <c r="BQ23" i="33" a="1"/>
  <c r="BQ23" i="33" s="1"/>
  <c r="CY23" i="33"/>
  <c r="CG23" i="33" a="1"/>
  <c r="CG23" i="33" s="1"/>
  <c r="BO23" i="33"/>
  <c r="CE23" i="33" a="1"/>
  <c r="CE23" i="33" s="1"/>
  <c r="CW23" i="33" a="1"/>
  <c r="CW23" i="33" s="1"/>
  <c r="CF23" i="33"/>
  <c r="BN23" i="33"/>
  <c r="CV23" i="33"/>
  <c r="BL23" i="33" a="1"/>
  <c r="BL23" i="33" s="1"/>
  <c r="DK23" i="33" a="1"/>
  <c r="DK23" i="33" s="1"/>
  <c r="CS23" i="33"/>
  <c r="CA23" i="33" a="1"/>
  <c r="CA23" i="33" s="1"/>
  <c r="BI23" i="33" a="1"/>
  <c r="BI23" i="33" s="1"/>
  <c r="DI23" i="33" a="1"/>
  <c r="DI23" i="33" s="1"/>
  <c r="BG23" i="33" a="1"/>
  <c r="BG23" i="33" s="1"/>
  <c r="DJ23" i="33" a="1"/>
  <c r="DJ23" i="33" s="1"/>
  <c r="CR23" i="33" a="1"/>
  <c r="CR23" i="33" s="1"/>
  <c r="BZ23" i="33"/>
  <c r="BH23" i="33" a="1"/>
  <c r="BH23" i="33" s="1"/>
  <c r="CP23" i="33" a="1"/>
  <c r="CP23" i="33" s="1"/>
  <c r="BY23" i="33" a="1"/>
  <c r="BY23" i="33" s="1"/>
  <c r="DE23" i="33"/>
  <c r="DF45" i="33" a="1"/>
  <c r="DF45" i="33" s="1"/>
  <c r="DJ34" i="33" a="1"/>
  <c r="DJ34" i="33" s="1"/>
  <c r="DA34" i="33" a="1"/>
  <c r="DA34" i="33" s="1"/>
  <c r="CX34" i="33" a="1"/>
  <c r="CX34" i="33" s="1"/>
  <c r="CU34" i="33" a="1"/>
  <c r="CU34" i="33" s="1"/>
  <c r="CG34" i="33" a="1"/>
  <c r="CG34" i="33" s="1"/>
  <c r="BR34" i="33" a="1"/>
  <c r="BR34" i="33" s="1"/>
  <c r="DM34" i="33" a="1"/>
  <c r="DM34" i="33" s="1"/>
  <c r="CF34" i="33"/>
  <c r="CE34" i="33" a="1"/>
  <c r="CE34" i="33" s="1"/>
  <c r="CD34" i="33"/>
  <c r="G60" i="33"/>
  <c r="G46" i="33"/>
  <c r="G49" i="33"/>
  <c r="G47" i="33"/>
  <c r="G32" i="33"/>
  <c r="G19" i="33"/>
  <c r="G16" i="33"/>
  <c r="G11" i="33"/>
  <c r="G8" i="33"/>
  <c r="G58" i="33"/>
  <c r="G22" i="33"/>
  <c r="G15" i="33"/>
  <c r="G10" i="33"/>
  <c r="G13" i="33"/>
  <c r="G30" i="33"/>
  <c r="G20" i="33"/>
  <c r="G17" i="33"/>
  <c r="G23" i="33"/>
  <c r="G24" i="33"/>
  <c r="G14" i="33"/>
  <c r="G52" i="33"/>
  <c r="G38" i="33"/>
  <c r="G31" i="33"/>
  <c r="G9" i="33"/>
  <c r="G57" i="33"/>
  <c r="G36" i="33"/>
  <c r="G29" i="33"/>
  <c r="G54" i="33"/>
  <c r="G39" i="33"/>
  <c r="G37" i="33"/>
  <c r="G7" i="33"/>
  <c r="G56" i="33"/>
  <c r="G45" i="33"/>
  <c r="G59" i="33"/>
  <c r="G21" i="33"/>
  <c r="G43" i="33"/>
  <c r="G28" i="33"/>
  <c r="G41" i="33"/>
  <c r="BM45" i="33" a="1"/>
  <c r="BM45" i="33" s="1"/>
  <c r="DB67" i="33"/>
  <c r="CC67" i="33" a="1"/>
  <c r="CC67" i="33" s="1"/>
  <c r="BJ67" i="33" a="1"/>
  <c r="BJ67" i="33" s="1"/>
  <c r="DA67" i="33" a="1"/>
  <c r="DA67" i="33" s="1"/>
  <c r="CB67" i="33" a="1"/>
  <c r="CB67" i="33" s="1"/>
  <c r="BI67" i="33" a="1"/>
  <c r="BI67" i="33" s="1"/>
  <c r="CX67" i="33" a="1"/>
  <c r="CX67" i="33" s="1"/>
  <c r="CA67" i="33" a="1"/>
  <c r="CA67" i="33" s="1"/>
  <c r="BH67" i="33" a="1"/>
  <c r="BH67" i="33" s="1"/>
  <c r="CU67" i="33" a="1"/>
  <c r="CU67" i="33" s="1"/>
  <c r="BZ67" i="33"/>
  <c r="BG67" i="33" a="1"/>
  <c r="BG67" i="33" s="1"/>
  <c r="CT67" i="33" a="1"/>
  <c r="CT67" i="33" s="1"/>
  <c r="BY67" i="33" a="1"/>
  <c r="BY67" i="33" s="1"/>
  <c r="BF67" i="33"/>
  <c r="DM67" i="33" a="1"/>
  <c r="DM67" i="33" s="1"/>
  <c r="CM67" i="33" a="1"/>
  <c r="CM67" i="33" s="1"/>
  <c r="CI67" i="33" a="1"/>
  <c r="CI67" i="33" s="1"/>
  <c r="BT67" i="33" a="1"/>
  <c r="BT67" i="33" s="1"/>
  <c r="CH67" i="33"/>
  <c r="CG67" i="33" a="1"/>
  <c r="CG67" i="33" s="1"/>
  <c r="CE67" i="33" a="1"/>
  <c r="CE67" i="33" s="1"/>
  <c r="DN67" i="33"/>
  <c r="DL67" i="33"/>
  <c r="BV67" i="33" a="1"/>
  <c r="BV67" i="33" s="1"/>
  <c r="DG67" i="33" a="1"/>
  <c r="DG67" i="33" s="1"/>
  <c r="DE67" i="33"/>
  <c r="BR67" i="33" a="1"/>
  <c r="BR67" i="33" s="1"/>
  <c r="BQ67" i="33" a="1"/>
  <c r="BQ67" i="33" s="1"/>
  <c r="BO67" i="33"/>
  <c r="DD67" i="33" a="1"/>
  <c r="DD67" i="33" s="1"/>
  <c r="DC67" i="33" a="1"/>
  <c r="DC67" i="33" s="1"/>
  <c r="CS67" i="33"/>
  <c r="CH45" i="33"/>
  <c r="DG45" i="33" a="1"/>
  <c r="DG45" i="33" s="1"/>
  <c r="DL52" i="33"/>
  <c r="CK52" i="33" a="1"/>
  <c r="CK52" i="33" s="1"/>
  <c r="CJ52" i="33" a="1"/>
  <c r="CJ52" i="33" s="1"/>
  <c r="N9" i="33"/>
  <c r="I12" i="33"/>
  <c r="I55" i="33" s="1"/>
  <c r="DL23" i="33"/>
  <c r="BV52" i="33" a="1"/>
  <c r="BV52" i="33" s="1"/>
  <c r="DD45" i="33" a="1"/>
  <c r="DD45" i="33" s="1"/>
  <c r="DE45" i="33"/>
  <c r="CD45" i="33"/>
  <c r="DC45" i="33" a="1"/>
  <c r="DC45" i="33" s="1"/>
  <c r="CP45" i="33" a="1"/>
  <c r="CP45" i="33" s="1"/>
  <c r="CC45" i="33" a="1"/>
  <c r="CC45" i="33" s="1"/>
  <c r="BQ45" i="33" a="1"/>
  <c r="BQ45" i="33" s="1"/>
  <c r="DB45" i="33"/>
  <c r="CO45" i="33" a="1"/>
  <c r="CO45" i="33" s="1"/>
  <c r="CB45" i="33" a="1"/>
  <c r="CB45" i="33" s="1"/>
  <c r="BP45" i="33" a="1"/>
  <c r="BP45" i="33" s="1"/>
  <c r="DA45" i="33" a="1"/>
  <c r="DA45" i="33" s="1"/>
  <c r="CN45" i="33"/>
  <c r="BZ45" i="33"/>
  <c r="BO45" i="33"/>
  <c r="BN45" i="33"/>
  <c r="AX45" i="33"/>
  <c r="AY45" i="33" s="1"/>
  <c r="AZ45" i="33" s="1"/>
  <c r="BA45" i="33" s="1"/>
  <c r="BB45" i="33" s="1"/>
  <c r="BC45" i="33" s="1"/>
  <c r="DK45" i="33" a="1"/>
  <c r="DK45" i="33" s="1"/>
  <c r="CV45" i="33"/>
  <c r="CJ45" i="33" a="1"/>
  <c r="CJ45" i="33" s="1"/>
  <c r="BV45" i="33" a="1"/>
  <c r="BV45" i="33" s="1"/>
  <c r="CZ45" i="33" a="1"/>
  <c r="CZ45" i="33" s="1"/>
  <c r="CG45" i="33" a="1"/>
  <c r="CG45" i="33" s="1"/>
  <c r="BL45" i="33" a="1"/>
  <c r="BL45" i="33" s="1"/>
  <c r="CT45" i="33" a="1"/>
  <c r="CT45" i="33" s="1"/>
  <c r="DM45" i="33" a="1"/>
  <c r="DM45" i="33" s="1"/>
  <c r="CY45" i="33"/>
  <c r="CF45" i="33"/>
  <c r="BK45" i="33"/>
  <c r="CX45" i="33" a="1"/>
  <c r="CX45" i="33" s="1"/>
  <c r="BJ45" i="33" a="1"/>
  <c r="BJ45" i="33" s="1"/>
  <c r="BW45" i="33" a="1"/>
  <c r="BW45" i="33" s="1"/>
  <c r="CW45" i="33" a="1"/>
  <c r="CW45" i="33" s="1"/>
  <c r="CE45" i="33" a="1"/>
  <c r="CE45" i="33" s="1"/>
  <c r="BH45" i="33" a="1"/>
  <c r="BH45" i="33" s="1"/>
  <c r="BY45" i="33" a="1"/>
  <c r="BY45" i="33" s="1"/>
  <c r="BG45" i="33" a="1"/>
  <c r="BG45" i="33" s="1"/>
  <c r="BD45" i="33" a="1"/>
  <c r="BD45" i="33" s="1"/>
  <c r="CU45" i="33" a="1"/>
  <c r="CU45" i="33" s="1"/>
  <c r="BX45" i="33" a="1"/>
  <c r="BX45" i="33" s="1"/>
  <c r="BF45" i="33"/>
  <c r="DN45" i="33"/>
  <c r="BE45" i="33" a="1"/>
  <c r="BE45" i="33" s="1"/>
  <c r="CS45" i="33"/>
  <c r="CQ45" i="33"/>
  <c r="DH45" i="33"/>
  <c r="BS45" i="33" a="1"/>
  <c r="BS45" i="33" s="1"/>
  <c r="DJ45" i="33" a="1"/>
  <c r="DJ45" i="33" s="1"/>
  <c r="CM45" i="33" a="1"/>
  <c r="CM45" i="33" s="1"/>
  <c r="BT45" i="33" a="1"/>
  <c r="BT45" i="33" s="1"/>
  <c r="DI45" i="33" a="1"/>
  <c r="DI45" i="33" s="1"/>
  <c r="CL45" i="33"/>
  <c r="BS67" i="33" a="1"/>
  <c r="BS67" i="33" s="1"/>
  <c r="BS34" i="33" a="1"/>
  <c r="BS34" i="33" s="1"/>
  <c r="CI45" i="33" a="1"/>
  <c r="CI45" i="33" s="1"/>
  <c r="CR67" i="33" a="1"/>
  <c r="CR67" i="33" s="1"/>
  <c r="BK23" i="33"/>
  <c r="X27" i="33"/>
  <c r="CN38" i="33"/>
  <c r="BW38" i="33" a="1"/>
  <c r="BW38" i="33" s="1"/>
  <c r="BG38" i="33" a="1"/>
  <c r="BG38" i="33" s="1"/>
  <c r="DD38" i="33" a="1"/>
  <c r="DD38" i="33" s="1"/>
  <c r="CM38" i="33" a="1"/>
  <c r="CM38" i="33" s="1"/>
  <c r="BV38" i="33" a="1"/>
  <c r="BV38" i="33" s="1"/>
  <c r="BF38" i="33"/>
  <c r="DB38" i="33"/>
  <c r="CL38" i="33"/>
  <c r="BE38" i="33" a="1"/>
  <c r="BE38" i="33" s="1"/>
  <c r="CK38" i="33" a="1"/>
  <c r="CK38" i="33" s="1"/>
  <c r="BU38" i="33" a="1"/>
  <c r="BU38" i="33" s="1"/>
  <c r="BD38" i="33" a="1"/>
  <c r="BD38" i="33" s="1"/>
  <c r="DA38" i="33" a="1"/>
  <c r="DA38" i="33" s="1"/>
  <c r="CI38" i="33" a="1"/>
  <c r="CI38" i="33" s="1"/>
  <c r="BT38" i="33" a="1"/>
  <c r="BT38" i="33" s="1"/>
  <c r="DN38" i="33"/>
  <c r="CV38" i="33"/>
  <c r="CE38" i="33" a="1"/>
  <c r="CE38" i="33" s="1"/>
  <c r="BN38" i="33"/>
  <c r="CZ38" i="33" a="1"/>
  <c r="CZ38" i="33" s="1"/>
  <c r="CA38" i="33" a="1"/>
  <c r="CA38" i="33" s="1"/>
  <c r="BP38" i="33" a="1"/>
  <c r="BP38" i="33" s="1"/>
  <c r="CY38" i="33"/>
  <c r="BY38" i="33" a="1"/>
  <c r="BY38" i="33" s="1"/>
  <c r="CX38" i="33" a="1"/>
  <c r="CX38" i="33" s="1"/>
  <c r="CQ38" i="33"/>
  <c r="BO38" i="33"/>
  <c r="CW38" i="33" a="1"/>
  <c r="CW38" i="33" s="1"/>
  <c r="BX38" i="33" a="1"/>
  <c r="BX38" i="33" s="1"/>
  <c r="CU38" i="33" a="1"/>
  <c r="CU38" i="33" s="1"/>
  <c r="BS38" i="33" a="1"/>
  <c r="BS38" i="33" s="1"/>
  <c r="CR38" i="33" a="1"/>
  <c r="CR38" i="33" s="1"/>
  <c r="BQ38" i="33" a="1"/>
  <c r="BQ38" i="33" s="1"/>
  <c r="CO38" i="33" a="1"/>
  <c r="CO38" i="33" s="1"/>
  <c r="DI38" i="33" a="1"/>
  <c r="DI38" i="33" s="1"/>
  <c r="CF38" i="33"/>
  <c r="DJ38" i="33" a="1"/>
  <c r="DJ38" i="33" s="1"/>
  <c r="CH38" i="33"/>
  <c r="BL38" i="33" a="1"/>
  <c r="BL38" i="33" s="1"/>
  <c r="CG38" i="33" a="1"/>
  <c r="CG38" i="33" s="1"/>
  <c r="BK38" i="33"/>
  <c r="DH38" i="33"/>
  <c r="CB52" i="33" a="1"/>
  <c r="CB52" i="33" s="1"/>
  <c r="DJ75" i="33" a="1"/>
  <c r="DJ75" i="33" s="1"/>
  <c r="BY75" i="33" a="1"/>
  <c r="BY75" i="33" s="1"/>
  <c r="DI75" i="33" a="1"/>
  <c r="DI75" i="33" s="1"/>
  <c r="BV75" i="33" a="1"/>
  <c r="BV75" i="33" s="1"/>
  <c r="DH75" i="33"/>
  <c r="BT75" i="33" a="1"/>
  <c r="BT75" i="33" s="1"/>
  <c r="DG75" i="33" a="1"/>
  <c r="DG75" i="33" s="1"/>
  <c r="BP75" i="33" a="1"/>
  <c r="BP75" i="33" s="1"/>
  <c r="DF75" i="33" a="1"/>
  <c r="DF75" i="33" s="1"/>
  <c r="BO75" i="33"/>
  <c r="DD75" i="33" a="1"/>
  <c r="DD75" i="33" s="1"/>
  <c r="BN75" i="33"/>
  <c r="CQ75" i="33"/>
  <c r="BF75" i="33"/>
  <c r="DB75" i="33"/>
  <c r="CW75" i="33" a="1"/>
  <c r="CW75" i="33" s="1"/>
  <c r="CE75" i="33" a="1"/>
  <c r="CE75" i="33" s="1"/>
  <c r="CS75" i="33"/>
  <c r="CN75" i="33"/>
  <c r="CI75" i="33" a="1"/>
  <c r="CI75" i="33" s="1"/>
  <c r="CM75" i="33" a="1"/>
  <c r="CM75" i="33" s="1"/>
  <c r="CJ75" i="33" a="1"/>
  <c r="CJ75" i="33" s="1"/>
  <c r="CD75" i="33"/>
  <c r="BH75" i="33" a="1"/>
  <c r="BH75" i="33" s="1"/>
  <c r="BG75" i="33" a="1"/>
  <c r="BG75" i="33" s="1"/>
  <c r="BL67" i="33" a="1"/>
  <c r="BL67" i="33" s="1"/>
  <c r="CQ67" i="33"/>
  <c r="BU23" i="33" a="1"/>
  <c r="BU23" i="33" s="1"/>
  <c r="AX38" i="33"/>
  <c r="AY38" i="33" s="1"/>
  <c r="AZ38" i="33" s="1"/>
  <c r="BA38" i="33" s="1"/>
  <c r="BB38" i="33" s="1"/>
  <c r="BC38" i="33" s="1"/>
  <c r="DH40" i="33"/>
  <c r="BV40" i="33" a="1"/>
  <c r="BV40" i="33" s="1"/>
  <c r="DF40" i="33" a="1"/>
  <c r="DF40" i="33" s="1"/>
  <c r="BU40" i="33" a="1"/>
  <c r="BU40" i="33" s="1"/>
  <c r="DC40" i="33" a="1"/>
  <c r="DC40" i="33" s="1"/>
  <c r="BM40" i="33" a="1"/>
  <c r="BM40" i="33" s="1"/>
  <c r="DB40" i="33"/>
  <c r="BL40" i="33" a="1"/>
  <c r="BL40" i="33" s="1"/>
  <c r="DA40" i="33" a="1"/>
  <c r="DA40" i="33" s="1"/>
  <c r="BK40" i="33"/>
  <c r="CM40" i="33" a="1"/>
  <c r="CM40" i="33" s="1"/>
  <c r="CM50" i="33" a="1"/>
  <c r="CM50" i="33" s="1"/>
  <c r="CG50" i="33" a="1"/>
  <c r="CG50" i="33" s="1"/>
  <c r="CF50" i="33"/>
  <c r="CE50" i="33" a="1"/>
  <c r="CE50" i="33" s="1"/>
  <c r="CD50" i="33"/>
  <c r="DC50" i="33" a="1"/>
  <c r="DC50" i="33" s="1"/>
  <c r="BQ50" i="33" a="1"/>
  <c r="BQ50" i="33" s="1"/>
  <c r="BZ28" i="33"/>
  <c r="BD40" i="33" a="1"/>
  <c r="BD40" i="33" s="1"/>
  <c r="H41" i="33"/>
  <c r="CP43" i="33" a="1"/>
  <c r="CP43" i="33" s="1"/>
  <c r="H47" i="33"/>
  <c r="CJ48" i="33" a="1"/>
  <c r="CJ48" i="33" s="1"/>
  <c r="BI50" i="33" a="1"/>
  <c r="BI50" i="33" s="1"/>
  <c r="DG50" i="33" a="1"/>
  <c r="DG50" i="33" s="1"/>
  <c r="CK64" i="33" a="1"/>
  <c r="CK64" i="33" s="1"/>
  <c r="BE66" i="33" a="1"/>
  <c r="BE66" i="33" s="1"/>
  <c r="BU24" i="33" a="1"/>
  <c r="BU24" i="33" s="1"/>
  <c r="CR24" i="33" a="1"/>
  <c r="CR24" i="33" s="1"/>
  <c r="DN24" i="33"/>
  <c r="H26" i="33"/>
  <c r="H28" i="33"/>
  <c r="CA28" i="33" a="1"/>
  <c r="CA28" i="33" s="1"/>
  <c r="DG28" i="33" a="1"/>
  <c r="DG28" i="33" s="1"/>
  <c r="CM33" i="33" a="1"/>
  <c r="CM33" i="33" s="1"/>
  <c r="DG35" i="33" a="1"/>
  <c r="DG35" i="33" s="1"/>
  <c r="BG40" i="33" a="1"/>
  <c r="BG40" i="33" s="1"/>
  <c r="CU43" i="33" a="1"/>
  <c r="CU43" i="33" s="1"/>
  <c r="BJ50" i="33" a="1"/>
  <c r="BJ50" i="33" s="1"/>
  <c r="CL64" i="33"/>
  <c r="BF74" i="33"/>
  <c r="CO48" i="33" a="1"/>
  <c r="CO48" i="33" s="1"/>
  <c r="BX48" i="33" a="1"/>
  <c r="BX48" i="33" s="1"/>
  <c r="BV48" i="33" a="1"/>
  <c r="BV48" i="33" s="1"/>
  <c r="BR48" i="33" a="1"/>
  <c r="BR48" i="33" s="1"/>
  <c r="BP48" i="33" a="1"/>
  <c r="BP48" i="33" s="1"/>
  <c r="BO48" i="33"/>
  <c r="CG66" i="33" a="1"/>
  <c r="CG66" i="33" s="1"/>
  <c r="CF66" i="33"/>
  <c r="CA66" i="33" a="1"/>
  <c r="CA66" i="33" s="1"/>
  <c r="BR66" i="33" a="1"/>
  <c r="BR66" i="33" s="1"/>
  <c r="BQ66" i="33" a="1"/>
  <c r="BQ66" i="33" s="1"/>
  <c r="BP66" i="33" a="1"/>
  <c r="BP66" i="33" s="1"/>
  <c r="DI66" i="33" a="1"/>
  <c r="DI66" i="33" s="1"/>
  <c r="BL66" i="33" a="1"/>
  <c r="BL66" i="33" s="1"/>
  <c r="DJ74" i="33" a="1"/>
  <c r="DJ74" i="33" s="1"/>
  <c r="CP74" i="33" a="1"/>
  <c r="CP74" i="33" s="1"/>
  <c r="BV74" i="33" a="1"/>
  <c r="BV74" i="33" s="1"/>
  <c r="DH74" i="33"/>
  <c r="CO74" i="33" a="1"/>
  <c r="CO74" i="33" s="1"/>
  <c r="BT74" i="33" a="1"/>
  <c r="BT74" i="33" s="1"/>
  <c r="DE74" i="33"/>
  <c r="CK74" i="33" a="1"/>
  <c r="CK74" i="33" s="1"/>
  <c r="BS74" i="33" a="1"/>
  <c r="BS74" i="33" s="1"/>
  <c r="CI74" i="33" a="1"/>
  <c r="CI74" i="33" s="1"/>
  <c r="DD74" i="33" a="1"/>
  <c r="DD74" i="33" s="1"/>
  <c r="BR74" i="33" a="1"/>
  <c r="BR74" i="33" s="1"/>
  <c r="DC74" i="33" a="1"/>
  <c r="DC74" i="33" s="1"/>
  <c r="CG74" i="33" a="1"/>
  <c r="CG74" i="33" s="1"/>
  <c r="BQ74" i="33" a="1"/>
  <c r="BQ74" i="33" s="1"/>
  <c r="CX74" i="33" a="1"/>
  <c r="CX74" i="33" s="1"/>
  <c r="CD74" i="33"/>
  <c r="BH74" i="33" a="1"/>
  <c r="BH74" i="33" s="1"/>
  <c r="CF74" i="33"/>
  <c r="H46" i="33"/>
  <c r="H60" i="33"/>
  <c r="H53" i="33"/>
  <c r="H50" i="33"/>
  <c r="H31" i="33"/>
  <c r="H44" i="33"/>
  <c r="H43" i="33"/>
  <c r="H58" i="33"/>
  <c r="H57" i="33"/>
  <c r="H45" i="33"/>
  <c r="DF28" i="33" a="1"/>
  <c r="DF28" i="33" s="1"/>
  <c r="CL33" i="33"/>
  <c r="BD74" i="33" a="1"/>
  <c r="BD74" i="33" s="1"/>
  <c r="F19" i="33"/>
  <c r="F60" i="33"/>
  <c r="H21" i="33"/>
  <c r="BD24" i="33" a="1"/>
  <c r="BD24" i="33" s="1"/>
  <c r="BY24" i="33" a="1"/>
  <c r="BY24" i="33" s="1"/>
  <c r="CS24" i="33"/>
  <c r="CH28" i="33"/>
  <c r="DJ28" i="33" a="1"/>
  <c r="DJ28" i="33" s="1"/>
  <c r="CS29" i="33"/>
  <c r="CN33" i="33"/>
  <c r="DI35" i="33" a="1"/>
  <c r="DI35" i="33" s="1"/>
  <c r="BJ40" i="33" a="1"/>
  <c r="BJ40" i="33" s="1"/>
  <c r="CV43" i="33"/>
  <c r="DC48" i="33" a="1"/>
  <c r="DC48" i="33" s="1"/>
  <c r="BK50" i="33"/>
  <c r="DJ53" i="33" a="1"/>
  <c r="DJ53" i="33" s="1"/>
  <c r="CC53" i="33" a="1"/>
  <c r="CC53" i="33" s="1"/>
  <c r="DG53" i="33" a="1"/>
  <c r="DG53" i="33" s="1"/>
  <c r="CA53" i="33" a="1"/>
  <c r="CA53" i="33" s="1"/>
  <c r="DD53" i="33" a="1"/>
  <c r="DD53" i="33" s="1"/>
  <c r="BZ53" i="33"/>
  <c r="DC53" i="33" a="1"/>
  <c r="DC53" i="33" s="1"/>
  <c r="BX53" i="33" a="1"/>
  <c r="BX53" i="33" s="1"/>
  <c r="DB53" i="33"/>
  <c r="BW53" i="33" a="1"/>
  <c r="BW53" i="33" s="1"/>
  <c r="DA53" i="33" a="1"/>
  <c r="DA53" i="33" s="1"/>
  <c r="BV53" i="33" a="1"/>
  <c r="BV53" i="33" s="1"/>
  <c r="CQ53" i="33"/>
  <c r="BL53" i="33" a="1"/>
  <c r="BL53" i="33" s="1"/>
  <c r="CV57" i="33"/>
  <c r="CM64" i="33" a="1"/>
  <c r="CM64" i="33" s="1"/>
  <c r="BM66" i="33" a="1"/>
  <c r="BM66" i="33" s="1"/>
  <c r="CV72" i="33"/>
  <c r="BV72" i="33" a="1"/>
  <c r="BV72" i="33" s="1"/>
  <c r="CU72" i="33" a="1"/>
  <c r="CU72" i="33" s="1"/>
  <c r="BU72" i="33" a="1"/>
  <c r="BU72" i="33" s="1"/>
  <c r="CT72" i="33" a="1"/>
  <c r="CT72" i="33" s="1"/>
  <c r="CS72" i="33"/>
  <c r="BT72" i="33" a="1"/>
  <c r="BT72" i="33" s="1"/>
  <c r="CN72" i="33"/>
  <c r="BQ72" i="33" a="1"/>
  <c r="BQ72" i="33" s="1"/>
  <c r="CM72" i="33" a="1"/>
  <c r="CM72" i="33" s="1"/>
  <c r="BN72" i="33"/>
  <c r="DI72" i="33" a="1"/>
  <c r="DI72" i="33" s="1"/>
  <c r="CI72" i="33" a="1"/>
  <c r="CI72" i="33" s="1"/>
  <c r="BI72" i="33" a="1"/>
  <c r="BI72" i="33" s="1"/>
  <c r="CX72" i="33" a="1"/>
  <c r="CX72" i="33" s="1"/>
  <c r="BG74" i="33" a="1"/>
  <c r="BG74" i="33" s="1"/>
  <c r="CR74" i="33" a="1"/>
  <c r="CR74" i="33" s="1"/>
  <c r="DF48" i="33" a="1"/>
  <c r="DF48" i="33" s="1"/>
  <c r="CT74" i="33" a="1"/>
  <c r="CT74" i="33" s="1"/>
  <c r="X21" i="33"/>
  <c r="Y21" i="33" s="1"/>
  <c r="CA41" i="33" a="1"/>
  <c r="CA41" i="33" s="1"/>
  <c r="BZ41" i="33"/>
  <c r="BX41" i="33" a="1"/>
  <c r="BX41" i="33" s="1"/>
  <c r="BW41" i="33" a="1"/>
  <c r="BW41" i="33" s="1"/>
  <c r="BM41" i="33" a="1"/>
  <c r="BM41" i="33" s="1"/>
  <c r="DJ41" i="33" a="1"/>
  <c r="DJ41" i="33" s="1"/>
  <c r="BE43" i="33" a="1"/>
  <c r="BE43" i="33" s="1"/>
  <c r="DG43" i="33" a="1"/>
  <c r="DG43" i="33" s="1"/>
  <c r="DG48" i="33" a="1"/>
  <c r="DG48" i="33" s="1"/>
  <c r="BS50" i="33" a="1"/>
  <c r="BS50" i="33" s="1"/>
  <c r="BF64" i="33"/>
  <c r="DC64" i="33" a="1"/>
  <c r="DC64" i="33" s="1"/>
  <c r="CK66" i="33" a="1"/>
  <c r="CK66" i="33" s="1"/>
  <c r="BN74" i="33"/>
  <c r="CV74" i="33"/>
  <c r="H13" i="33"/>
  <c r="H23" i="33"/>
  <c r="BH24" i="33" a="1"/>
  <c r="BH24" i="33" s="1"/>
  <c r="CC24" i="33" a="1"/>
  <c r="CC24" i="33" s="1"/>
  <c r="CY24" i="33"/>
  <c r="BP27" i="33" a="1"/>
  <c r="BP27" i="33" s="1"/>
  <c r="DA27" i="33" a="1"/>
  <c r="DA27" i="33" s="1"/>
  <c r="BE28" i="33" a="1"/>
  <c r="BE28" i="33" s="1"/>
  <c r="CL28" i="33"/>
  <c r="DF29" i="33" a="1"/>
  <c r="DF29" i="33" s="1"/>
  <c r="BG33" i="33" a="1"/>
  <c r="BG33" i="33" s="1"/>
  <c r="DA33" i="33" a="1"/>
  <c r="DA33" i="33" s="1"/>
  <c r="BI35" i="33" a="1"/>
  <c r="BI35" i="33" s="1"/>
  <c r="CB40" i="33" a="1"/>
  <c r="CB40" i="33" s="1"/>
  <c r="BK41" i="33"/>
  <c r="BF43" i="33"/>
  <c r="DI43" i="33" a="1"/>
  <c r="DI43" i="33" s="1"/>
  <c r="H49" i="33"/>
  <c r="CB50" i="33" a="1"/>
  <c r="CB50" i="33" s="1"/>
  <c r="BM53" i="33" a="1"/>
  <c r="BM53" i="33" s="1"/>
  <c r="BS56" i="33" a="1"/>
  <c r="BS56" i="33" s="1"/>
  <c r="DF56" i="33" a="1"/>
  <c r="DF56" i="33" s="1"/>
  <c r="BP56" i="33" a="1"/>
  <c r="BP56" i="33" s="1"/>
  <c r="DA56" i="33" a="1"/>
  <c r="DA56" i="33" s="1"/>
  <c r="BM56" i="33" a="1"/>
  <c r="BM56" i="33" s="1"/>
  <c r="BL56" i="33" a="1"/>
  <c r="BL56" i="33" s="1"/>
  <c r="CZ56" i="33" a="1"/>
  <c r="CZ56" i="33" s="1"/>
  <c r="BK56" i="33"/>
  <c r="CY56" i="33"/>
  <c r="BE56" i="33" a="1"/>
  <c r="BE56" i="33" s="1"/>
  <c r="CT56" i="33" a="1"/>
  <c r="CT56" i="33" s="1"/>
  <c r="AX56" i="33"/>
  <c r="AY56" i="33" s="1"/>
  <c r="AZ56" i="33" s="1"/>
  <c r="BA56" i="33" s="1"/>
  <c r="BB56" i="33" s="1"/>
  <c r="BC56" i="33" s="1"/>
  <c r="CF56" i="33"/>
  <c r="DI63" i="33" a="1"/>
  <c r="DI63" i="33" s="1"/>
  <c r="BU63" i="33" a="1"/>
  <c r="BU63" i="33" s="1"/>
  <c r="DH63" i="33"/>
  <c r="BR63" i="33" a="1"/>
  <c r="BR63" i="33" s="1"/>
  <c r="DE63" i="33"/>
  <c r="BM63" i="33" a="1"/>
  <c r="BM63" i="33" s="1"/>
  <c r="BL63" i="33" a="1"/>
  <c r="BL63" i="33" s="1"/>
  <c r="DD63" i="33" a="1"/>
  <c r="DD63" i="33" s="1"/>
  <c r="BK63" i="33"/>
  <c r="CX63" i="33" a="1"/>
  <c r="CX63" i="33" s="1"/>
  <c r="CQ63" i="33"/>
  <c r="BG64" i="33" a="1"/>
  <c r="BG64" i="33" s="1"/>
  <c r="DD64" i="33" a="1"/>
  <c r="DD64" i="33" s="1"/>
  <c r="CM66" i="33" a="1"/>
  <c r="CM66" i="33" s="1"/>
  <c r="BJ72" i="33" a="1"/>
  <c r="BJ72" i="33" s="1"/>
  <c r="DG72" i="33" a="1"/>
  <c r="DG72" i="33" s="1"/>
  <c r="BO74" i="33"/>
  <c r="CY74" i="33"/>
  <c r="BY40" i="33" a="1"/>
  <c r="BY40" i="33" s="1"/>
  <c r="H36" i="33"/>
  <c r="H9" i="33"/>
  <c r="X18" i="33"/>
  <c r="Y18" i="33" s="1"/>
  <c r="BI24" i="33" a="1"/>
  <c r="BI24" i="33" s="1"/>
  <c r="DB24" i="33"/>
  <c r="X25" i="33"/>
  <c r="CM28" i="33" a="1"/>
  <c r="CM28" i="33" s="1"/>
  <c r="DG29" i="33" a="1"/>
  <c r="DG29" i="33" s="1"/>
  <c r="BH33" i="33" a="1"/>
  <c r="BH33" i="33" s="1"/>
  <c r="DD33" i="33" a="1"/>
  <c r="DD33" i="33" s="1"/>
  <c r="H38" i="33"/>
  <c r="CJ40" i="33" a="1"/>
  <c r="CJ40" i="33" s="1"/>
  <c r="BL41" i="33" a="1"/>
  <c r="BL41" i="33" s="1"/>
  <c r="BG43" i="33" a="1"/>
  <c r="BG43" i="33" s="1"/>
  <c r="DJ43" i="33" a="1"/>
  <c r="DJ43" i="33" s="1"/>
  <c r="CC50" i="33" a="1"/>
  <c r="CC50" i="33" s="1"/>
  <c r="H52" i="33"/>
  <c r="CT57" i="33" a="1"/>
  <c r="CT57" i="33" s="1"/>
  <c r="BN57" i="33"/>
  <c r="CS57" i="33"/>
  <c r="BL57" i="33" a="1"/>
  <c r="BL57" i="33" s="1"/>
  <c r="CO57" i="33" a="1"/>
  <c r="CO57" i="33" s="1"/>
  <c r="BJ57" i="33" a="1"/>
  <c r="BJ57" i="33" s="1"/>
  <c r="CN57" i="33"/>
  <c r="BI57" i="33" a="1"/>
  <c r="BI57" i="33" s="1"/>
  <c r="CM57" i="33" a="1"/>
  <c r="CM57" i="33" s="1"/>
  <c r="BH57" i="33" a="1"/>
  <c r="BH57" i="33" s="1"/>
  <c r="CL57" i="33"/>
  <c r="DJ57" i="33" a="1"/>
  <c r="DJ57" i="33" s="1"/>
  <c r="CB57" i="33" a="1"/>
  <c r="CB57" i="33" s="1"/>
  <c r="DI57" i="33" a="1"/>
  <c r="DI57" i="33" s="1"/>
  <c r="CY60" i="33"/>
  <c r="CB60" i="33" a="1"/>
  <c r="CB60" i="33" s="1"/>
  <c r="CX60" i="33" a="1"/>
  <c r="CX60" i="33" s="1"/>
  <c r="BZ60" i="33"/>
  <c r="CU60" i="33" a="1"/>
  <c r="CU60" i="33" s="1"/>
  <c r="BY60" i="33" a="1"/>
  <c r="BY60" i="33" s="1"/>
  <c r="CR60" i="33" a="1"/>
  <c r="CR60" i="33" s="1"/>
  <c r="BU60" i="33" a="1"/>
  <c r="BU60" i="33" s="1"/>
  <c r="CQ60" i="33"/>
  <c r="CP60" i="33" a="1"/>
  <c r="CP60" i="33" s="1"/>
  <c r="BS60" i="33" a="1"/>
  <c r="BS60" i="33" s="1"/>
  <c r="DM60" i="33" a="1"/>
  <c r="DM60" i="33" s="1"/>
  <c r="CK60" i="33" a="1"/>
  <c r="CK60" i="33" s="1"/>
  <c r="CM60" i="33" a="1"/>
  <c r="CM60" i="33" s="1"/>
  <c r="BH64" i="33" a="1"/>
  <c r="BH64" i="33" s="1"/>
  <c r="CU66" i="33" a="1"/>
  <c r="CU66" i="33" s="1"/>
  <c r="BK72" i="33"/>
  <c r="DH72" i="33"/>
  <c r="BW74" i="33" a="1"/>
  <c r="BW74" i="33" s="1"/>
  <c r="CZ74" i="33" a="1"/>
  <c r="CZ74" i="33" s="1"/>
  <c r="CK28" i="33" a="1"/>
  <c r="CK28" i="33" s="1"/>
  <c r="H14" i="33"/>
  <c r="H24" i="33"/>
  <c r="BJ24" i="33" a="1"/>
  <c r="BJ24" i="33" s="1"/>
  <c r="CD24" i="33"/>
  <c r="DC24" i="33" a="1"/>
  <c r="DC24" i="33" s="1"/>
  <c r="BG28" i="33" a="1"/>
  <c r="BG28" i="33" s="1"/>
  <c r="CS28" i="33"/>
  <c r="BL29" i="33" a="1"/>
  <c r="BL29" i="33" s="1"/>
  <c r="BL35" i="33" a="1"/>
  <c r="BL35" i="33" s="1"/>
  <c r="DA37" i="33" a="1"/>
  <c r="DA37" i="33" s="1"/>
  <c r="DD37" i="33" a="1"/>
  <c r="DD37" i="33" s="1"/>
  <c r="BL37" i="33" a="1"/>
  <c r="BL37" i="33" s="1"/>
  <c r="DC37" i="33" a="1"/>
  <c r="DC37" i="33" s="1"/>
  <c r="BK37" i="33"/>
  <c r="DB37" i="33"/>
  <c r="BG37" i="33" a="1"/>
  <c r="BG37" i="33" s="1"/>
  <c r="CU37" i="33" a="1"/>
  <c r="CU37" i="33" s="1"/>
  <c r="BF37" i="33"/>
  <c r="CR37" i="33" a="1"/>
  <c r="CR37" i="33" s="1"/>
  <c r="BD37" i="33" a="1"/>
  <c r="BD37" i="33" s="1"/>
  <c r="CK37" i="33" a="1"/>
  <c r="CK37" i="33" s="1"/>
  <c r="CL40" i="33"/>
  <c r="CO41" i="33" a="1"/>
  <c r="CO41" i="33" s="1"/>
  <c r="CO50" i="33" a="1"/>
  <c r="CO50" i="33" s="1"/>
  <c r="BU53" i="33" a="1"/>
  <c r="BU53" i="33" s="1"/>
  <c r="BG57" i="33" a="1"/>
  <c r="BG57" i="33" s="1"/>
  <c r="DK57" i="33" a="1"/>
  <c r="DK57" i="33" s="1"/>
  <c r="BE60" i="33" a="1"/>
  <c r="BE60" i="33" s="1"/>
  <c r="CN60" i="33"/>
  <c r="BK64" i="33"/>
  <c r="CY66" i="33"/>
  <c r="BU68" i="33" a="1"/>
  <c r="BU68" i="33" s="1"/>
  <c r="BT68" i="33" a="1"/>
  <c r="BT68" i="33" s="1"/>
  <c r="BR68" i="33" a="1"/>
  <c r="BR68" i="33" s="1"/>
  <c r="BH68" i="33" a="1"/>
  <c r="BH68" i="33" s="1"/>
  <c r="DN68" i="33"/>
  <c r="BF68" i="33"/>
  <c r="DM68" i="33" a="1"/>
  <c r="DM68" i="33" s="1"/>
  <c r="BE68" i="33" a="1"/>
  <c r="BE68" i="33" s="1"/>
  <c r="CU68" i="33" a="1"/>
  <c r="CU68" i="33" s="1"/>
  <c r="BL72" i="33" a="1"/>
  <c r="BL72" i="33" s="1"/>
  <c r="DB74" i="33"/>
  <c r="CJ28" i="33" a="1"/>
  <c r="CJ28" i="33" s="1"/>
  <c r="CE33" i="33" a="1"/>
  <c r="CE33" i="33" s="1"/>
  <c r="DJ33" i="33" a="1"/>
  <c r="DJ33" i="33" s="1"/>
  <c r="CC33" i="33" a="1"/>
  <c r="CC33" i="33" s="1"/>
  <c r="DI33" i="33" a="1"/>
  <c r="DI33" i="33" s="1"/>
  <c r="CB33" i="33" a="1"/>
  <c r="CB33" i="33" s="1"/>
  <c r="DF33" i="33" a="1"/>
  <c r="DF33" i="33" s="1"/>
  <c r="CA33" i="33" a="1"/>
  <c r="CA33" i="33" s="1"/>
  <c r="DE33" i="33"/>
  <c r="BZ33" i="33"/>
  <c r="BV33" i="33" a="1"/>
  <c r="BV33" i="33" s="1"/>
  <c r="CQ33" i="33"/>
  <c r="BJ33" i="33" a="1"/>
  <c r="BJ33" i="33" s="1"/>
  <c r="CK43" i="33" a="1"/>
  <c r="CK43" i="33" s="1"/>
  <c r="CB43" i="33" a="1"/>
  <c r="CB43" i="33" s="1"/>
  <c r="CA43" i="33" a="1"/>
  <c r="CA43" i="33" s="1"/>
  <c r="BZ43" i="33"/>
  <c r="DK43" i="33" a="1"/>
  <c r="DK43" i="33" s="1"/>
  <c r="BY43" i="33" a="1"/>
  <c r="BY43" i="33" s="1"/>
  <c r="DB43" i="33"/>
  <c r="BL43" i="33" a="1"/>
  <c r="BL43" i="33" s="1"/>
  <c r="BR50" i="33" a="1"/>
  <c r="BR50" i="33" s="1"/>
  <c r="CY64" i="33"/>
  <c r="BV64" i="33" a="1"/>
  <c r="BV64" i="33" s="1"/>
  <c r="CW64" i="33" a="1"/>
  <c r="CW64" i="33" s="1"/>
  <c r="BT64" i="33" a="1"/>
  <c r="BT64" i="33" s="1"/>
  <c r="BS64" i="33" a="1"/>
  <c r="BS64" i="33" s="1"/>
  <c r="CP64" i="33" a="1"/>
  <c r="CP64" i="33" s="1"/>
  <c r="BP64" i="33" a="1"/>
  <c r="BP64" i="33" s="1"/>
  <c r="CO64" i="33" a="1"/>
  <c r="CO64" i="33" s="1"/>
  <c r="BO64" i="33"/>
  <c r="CN64" i="33"/>
  <c r="BM64" i="33" a="1"/>
  <c r="BM64" i="33" s="1"/>
  <c r="DJ64" i="33" a="1"/>
  <c r="DJ64" i="33" s="1"/>
  <c r="BI74" i="33" a="1"/>
  <c r="BI74" i="33" s="1"/>
  <c r="BD28" i="33" a="1"/>
  <c r="BD28" i="33" s="1"/>
  <c r="CY33" i="33"/>
  <c r="H17" i="33"/>
  <c r="H20" i="33"/>
  <c r="X23" i="33"/>
  <c r="Y23" i="33" s="1"/>
  <c r="BO24" i="33"/>
  <c r="CE24" i="33" a="1"/>
  <c r="CE24" i="33" s="1"/>
  <c r="DD24" i="33" a="1"/>
  <c r="DD24" i="33" s="1"/>
  <c r="BS27" i="33" a="1"/>
  <c r="BS27" i="33" s="1"/>
  <c r="CL27" i="33"/>
  <c r="BJ28" i="33" a="1"/>
  <c r="BJ28" i="33" s="1"/>
  <c r="CV28" i="33"/>
  <c r="BN29" i="33"/>
  <c r="BI33" i="33" a="1"/>
  <c r="BI33" i="33" s="1"/>
  <c r="BM35" i="33" a="1"/>
  <c r="BM35" i="33" s="1"/>
  <c r="BM37" i="33" a="1"/>
  <c r="BM37" i="33" s="1"/>
  <c r="CN40" i="33"/>
  <c r="CT41" i="33" a="1"/>
  <c r="CT41" i="33" s="1"/>
  <c r="BK43" i="33"/>
  <c r="CP50" i="33" a="1"/>
  <c r="CP50" i="33" s="1"/>
  <c r="CI53" i="33" a="1"/>
  <c r="CI53" i="33" s="1"/>
  <c r="BZ56" i="33"/>
  <c r="BO57" i="33"/>
  <c r="DM57" i="33" a="1"/>
  <c r="DM57" i="33" s="1"/>
  <c r="BF60" i="33"/>
  <c r="CZ60" i="33" a="1"/>
  <c r="CZ60" i="33" s="1"/>
  <c r="CA63" i="33" a="1"/>
  <c r="CA63" i="33" s="1"/>
  <c r="BL64" i="33" a="1"/>
  <c r="BL64" i="33" s="1"/>
  <c r="DK64" i="33" a="1"/>
  <c r="DK64" i="33" s="1"/>
  <c r="CZ66" i="33" a="1"/>
  <c r="CZ66" i="33" s="1"/>
  <c r="CB68" i="33" a="1"/>
  <c r="CB68" i="33" s="1"/>
  <c r="BX72" i="33" a="1"/>
  <c r="BX72" i="33" s="1"/>
  <c r="DK72" i="33" a="1"/>
  <c r="DK72" i="33" s="1"/>
  <c r="BX74" i="33" a="1"/>
  <c r="BX74" i="33" s="1"/>
  <c r="DK74" i="33" a="1"/>
  <c r="DK74" i="33" s="1"/>
  <c r="H10" i="33"/>
  <c r="H15" i="33"/>
  <c r="BP24" i="33" a="1"/>
  <c r="BP24" i="33" s="1"/>
  <c r="CJ24" i="33" a="1"/>
  <c r="CJ24" i="33" s="1"/>
  <c r="DG24" i="33" a="1"/>
  <c r="DG24" i="33" s="1"/>
  <c r="AX27" i="33"/>
  <c r="AY27" i="33" s="1"/>
  <c r="AZ27" i="33" s="1"/>
  <c r="BA27" i="33" s="1"/>
  <c r="BB27" i="33" s="1"/>
  <c r="BC27" i="33" s="1"/>
  <c r="CM27" i="33" a="1"/>
  <c r="CM27" i="33" s="1"/>
  <c r="BK28" i="33"/>
  <c r="CW28" i="33" a="1"/>
  <c r="CW28" i="33" s="1"/>
  <c r="BO29" i="33"/>
  <c r="DG30" i="33" a="1"/>
  <c r="DG30" i="33" s="1"/>
  <c r="CP30" i="33" a="1"/>
  <c r="CP30" i="33" s="1"/>
  <c r="BO30" i="33"/>
  <c r="CO30" i="33" a="1"/>
  <c r="CO30" i="33" s="1"/>
  <c r="BL30" i="33" a="1"/>
  <c r="BL30" i="33" s="1"/>
  <c r="CK30" i="33" a="1"/>
  <c r="CK30" i="33" s="1"/>
  <c r="BK30" i="33"/>
  <c r="DE30" i="33"/>
  <c r="BX30" i="33" a="1"/>
  <c r="BX30" i="33" s="1"/>
  <c r="BK33" i="33"/>
  <c r="BV37" i="33" a="1"/>
  <c r="BV37" i="33" s="1"/>
  <c r="CO40" i="33" a="1"/>
  <c r="CO40" i="33" s="1"/>
  <c r="CU41" i="33" a="1"/>
  <c r="CU41" i="33" s="1"/>
  <c r="BO43" i="33"/>
  <c r="H48" i="33"/>
  <c r="CS50" i="33"/>
  <c r="CK53" i="33" a="1"/>
  <c r="CK53" i="33" s="1"/>
  <c r="CC56" i="33" a="1"/>
  <c r="CC56" i="33" s="1"/>
  <c r="BU57" i="33" a="1"/>
  <c r="BU57" i="33" s="1"/>
  <c r="BG60" i="33" a="1"/>
  <c r="BG60" i="33" s="1"/>
  <c r="DB60" i="33"/>
  <c r="CB63" i="33" a="1"/>
  <c r="CB63" i="33" s="1"/>
  <c r="BY64" i="33" a="1"/>
  <c r="BY64" i="33" s="1"/>
  <c r="DA66" i="33" a="1"/>
  <c r="DA66" i="33" s="1"/>
  <c r="CI68" i="33" a="1"/>
  <c r="CI68" i="33" s="1"/>
  <c r="DD70" i="33" a="1"/>
  <c r="DD70" i="33" s="1"/>
  <c r="DK70" i="33" a="1"/>
  <c r="DK70" i="33" s="1"/>
  <c r="CL70" i="33"/>
  <c r="BX70" i="33" a="1"/>
  <c r="BX70" i="33" s="1"/>
  <c r="BM70" i="33" a="1"/>
  <c r="BM70" i="33" s="1"/>
  <c r="CW70" i="33" a="1"/>
  <c r="CW70" i="33" s="1"/>
  <c r="CK70" i="33" a="1"/>
  <c r="CK70" i="33" s="1"/>
  <c r="BW70" i="33" a="1"/>
  <c r="BW70" i="33" s="1"/>
  <c r="DJ70" i="33" a="1"/>
  <c r="DJ70" i="33" s="1"/>
  <c r="CV70" i="33"/>
  <c r="CJ70" i="33" a="1"/>
  <c r="CJ70" i="33" s="1"/>
  <c r="BV70" i="33" a="1"/>
  <c r="BV70" i="33" s="1"/>
  <c r="BL70" i="33" a="1"/>
  <c r="BL70" i="33" s="1"/>
  <c r="DI70" i="33" a="1"/>
  <c r="DI70" i="33" s="1"/>
  <c r="CI70" i="33" a="1"/>
  <c r="CI70" i="33" s="1"/>
  <c r="BK70" i="33"/>
  <c r="DH70" i="33"/>
  <c r="CU70" i="33" a="1"/>
  <c r="CU70" i="33" s="1"/>
  <c r="CH70" i="33"/>
  <c r="BU70" i="33" a="1"/>
  <c r="BU70" i="33" s="1"/>
  <c r="BJ70" i="33" a="1"/>
  <c r="BJ70" i="33" s="1"/>
  <c r="CT70" i="33" a="1"/>
  <c r="CT70" i="33" s="1"/>
  <c r="BT70" i="33" a="1"/>
  <c r="BT70" i="33" s="1"/>
  <c r="CQ70" i="33"/>
  <c r="CD70" i="33"/>
  <c r="BF70" i="33"/>
  <c r="BS70" i="33" a="1"/>
  <c r="BS70" i="33" s="1"/>
  <c r="CP70" i="33" a="1"/>
  <c r="CP70" i="33" s="1"/>
  <c r="BY72" i="33" a="1"/>
  <c r="BY72" i="33" s="1"/>
  <c r="DL72" i="33"/>
  <c r="CA74" i="33" a="1"/>
  <c r="CA74" i="33" s="1"/>
  <c r="DA64" i="33" a="1"/>
  <c r="DA64" i="33" s="1"/>
  <c r="BO66" i="33"/>
  <c r="C87" i="32"/>
  <c r="H8" i="33"/>
  <c r="H29" i="33"/>
  <c r="BF33" i="33"/>
  <c r="DE35" i="33"/>
  <c r="CM35" i="33" a="1"/>
  <c r="CM35" i="33" s="1"/>
  <c r="CF35" i="33"/>
  <c r="CD35" i="33"/>
  <c r="CA35" i="33" a="1"/>
  <c r="CA35" i="33" s="1"/>
  <c r="BZ35" i="33"/>
  <c r="DH35" i="33"/>
  <c r="BJ35" i="33" a="1"/>
  <c r="BJ35" i="33" s="1"/>
  <c r="CA40" i="33" a="1"/>
  <c r="CA40" i="33" s="1"/>
  <c r="H22" i="33"/>
  <c r="BQ24" i="33" a="1"/>
  <c r="BQ24" i="33" s="1"/>
  <c r="CK24" i="33" a="1"/>
  <c r="CK24" i="33" s="1"/>
  <c r="BL28" i="33" a="1"/>
  <c r="BL28" i="33" s="1"/>
  <c r="BP29" i="33" a="1"/>
  <c r="BP29" i="33" s="1"/>
  <c r="BQ33" i="33" a="1"/>
  <c r="BQ33" i="33" s="1"/>
  <c r="BX35" i="33" a="1"/>
  <c r="BX35" i="33" s="1"/>
  <c r="BX37" i="33" a="1"/>
  <c r="BX37" i="33" s="1"/>
  <c r="CT40" i="33" a="1"/>
  <c r="CT40" i="33" s="1"/>
  <c r="DF41" i="33" a="1"/>
  <c r="DF41" i="33" s="1"/>
  <c r="BP43" i="33" a="1"/>
  <c r="BP43" i="33" s="1"/>
  <c r="CU50" i="33" a="1"/>
  <c r="CU50" i="33" s="1"/>
  <c r="CL53" i="33"/>
  <c r="CD56" i="33"/>
  <c r="BV57" i="33" a="1"/>
  <c r="BV57" i="33" s="1"/>
  <c r="BH60" i="33" a="1"/>
  <c r="BH60" i="33" s="1"/>
  <c r="DE60" i="33"/>
  <c r="CD63" i="33"/>
  <c r="BS65" i="33" a="1"/>
  <c r="BS65" i="33" s="1"/>
  <c r="CX65" i="33" a="1"/>
  <c r="CX65" i="33" s="1"/>
  <c r="CU65" i="33" a="1"/>
  <c r="CU65" i="33" s="1"/>
  <c r="CP65" i="33" a="1"/>
  <c r="CP65" i="33" s="1"/>
  <c r="BW65" i="33" a="1"/>
  <c r="BW65" i="33" s="1"/>
  <c r="BV65" i="33" a="1"/>
  <c r="BV65" i="33" s="1"/>
  <c r="BU65" i="33" a="1"/>
  <c r="BU65" i="33" s="1"/>
  <c r="DN66" i="33"/>
  <c r="CJ68" i="33" a="1"/>
  <c r="CJ68" i="33" s="1"/>
  <c r="CR70" i="33" a="1"/>
  <c r="CR70" i="33" s="1"/>
  <c r="DJ71" i="33" a="1"/>
  <c r="DJ71" i="33" s="1"/>
  <c r="DD71" i="33" a="1"/>
  <c r="DD71" i="33" s="1"/>
  <c r="CW71" i="33" a="1"/>
  <c r="CW71" i="33" s="1"/>
  <c r="CR71" i="33" a="1"/>
  <c r="CR71" i="33" s="1"/>
  <c r="CQ71" i="33"/>
  <c r="CP71" i="33" a="1"/>
  <c r="CP71" i="33" s="1"/>
  <c r="CM71" i="33" a="1"/>
  <c r="CM71" i="33" s="1"/>
  <c r="BP71" i="33" a="1"/>
  <c r="BP71" i="33" s="1"/>
  <c r="BZ72" i="33"/>
  <c r="DL74" i="33"/>
  <c r="BU31" i="33" a="1"/>
  <c r="BU31" i="33" s="1"/>
  <c r="DG31" i="33" a="1"/>
  <c r="DG31" i="33" s="1"/>
  <c r="CP36" i="33" a="1"/>
  <c r="CP36" i="33" s="1"/>
  <c r="BL42" i="33" a="1"/>
  <c r="BL42" i="33" s="1"/>
  <c r="CC42" i="33" a="1"/>
  <c r="CC42" i="33" s="1"/>
  <c r="CS42" i="33"/>
  <c r="DJ42" i="33" a="1"/>
  <c r="DJ42" i="33" s="1"/>
  <c r="BT54" i="33" a="1"/>
  <c r="BT54" i="33" s="1"/>
  <c r="CO54" i="33" a="1"/>
  <c r="CO54" i="33" s="1"/>
  <c r="DK54" i="33" a="1"/>
  <c r="DK54" i="33" s="1"/>
  <c r="CE55" i="33" a="1"/>
  <c r="CE55" i="33" s="1"/>
  <c r="CE58" i="33" a="1"/>
  <c r="CE58" i="33" s="1"/>
  <c r="DN58" i="33"/>
  <c r="BS61" i="33" a="1"/>
  <c r="BS61" i="33" s="1"/>
  <c r="CQ61" i="33"/>
  <c r="DM62" i="33" a="1"/>
  <c r="DM62" i="33" s="1"/>
  <c r="BX61" i="33" a="1"/>
  <c r="BX61" i="33" s="1"/>
  <c r="CW61" i="33" a="1"/>
  <c r="CW61" i="33" s="1"/>
  <c r="N36" i="33"/>
  <c r="N59" i="33" s="1"/>
  <c r="CQ55" i="33"/>
  <c r="BS58" i="33" a="1"/>
  <c r="BS58" i="33" s="1"/>
  <c r="DD58" i="33" a="1"/>
  <c r="DD58" i="33" s="1"/>
  <c r="BD61" i="33" a="1"/>
  <c r="BD61" i="33" s="1"/>
  <c r="CB61" i="33" a="1"/>
  <c r="CB61" i="33" s="1"/>
  <c r="DA61" i="33" a="1"/>
  <c r="DA61" i="33" s="1"/>
  <c r="BS62" i="33" a="1"/>
  <c r="BS62" i="33" s="1"/>
  <c r="DJ69" i="33" a="1"/>
  <c r="DJ69" i="33" s="1"/>
  <c r="CA36" i="33" a="1"/>
  <c r="CA36" i="33" s="1"/>
  <c r="DB36" i="33"/>
  <c r="BN47" i="33"/>
  <c r="CR55" i="33" a="1"/>
  <c r="CR55" i="33" s="1"/>
  <c r="BT58" i="33" a="1"/>
  <c r="BT58" i="33" s="1"/>
  <c r="CL58" i="33"/>
  <c r="DE58" i="33"/>
  <c r="BE61" i="33" a="1"/>
  <c r="BE61" i="33" s="1"/>
  <c r="BT62" i="33" a="1"/>
  <c r="BT62" i="33" s="1"/>
  <c r="CP69" i="33" a="1"/>
  <c r="CP69" i="33" s="1"/>
  <c r="DD73" i="33" a="1"/>
  <c r="DD73" i="33" s="1"/>
  <c r="CO31" i="33" a="1"/>
  <c r="CO31" i="33" s="1"/>
  <c r="AX36" i="33"/>
  <c r="AY36" i="33" s="1"/>
  <c r="AZ36" i="33" s="1"/>
  <c r="BA36" i="33" s="1"/>
  <c r="BB36" i="33" s="1"/>
  <c r="BC36" i="33" s="1"/>
  <c r="CB36" i="33" a="1"/>
  <c r="CB36" i="33" s="1"/>
  <c r="DC36" i="33" a="1"/>
  <c r="DC36" i="33" s="1"/>
  <c r="BZ39" i="33"/>
  <c r="BT42" i="33" a="1"/>
  <c r="BT42" i="33" s="1"/>
  <c r="CJ42" i="33" a="1"/>
  <c r="CJ42" i="33" s="1"/>
  <c r="CZ42" i="33" a="1"/>
  <c r="CZ42" i="33" s="1"/>
  <c r="BO47" i="33"/>
  <c r="BI54" i="33" a="1"/>
  <c r="BI54" i="33" s="1"/>
  <c r="CC54" i="33" a="1"/>
  <c r="CC54" i="33" s="1"/>
  <c r="CX54" i="33" a="1"/>
  <c r="CX54" i="33" s="1"/>
  <c r="CS55" i="33"/>
  <c r="AX58" i="33"/>
  <c r="AY58" i="33" s="1"/>
  <c r="AZ58" i="33" s="1"/>
  <c r="BA58" i="33" s="1"/>
  <c r="BB58" i="33" s="1"/>
  <c r="BC58" i="33" s="1"/>
  <c r="BU58" i="33" a="1"/>
  <c r="BU58" i="33" s="1"/>
  <c r="CN58" i="33"/>
  <c r="DF58" i="33" a="1"/>
  <c r="DF58" i="33" s="1"/>
  <c r="BF61" i="33"/>
  <c r="CD61" i="33"/>
  <c r="DC61" i="33" a="1"/>
  <c r="DC61" i="33" s="1"/>
  <c r="BV62" i="33" a="1"/>
  <c r="BV62" i="33" s="1"/>
  <c r="BX69" i="33" a="1"/>
  <c r="BX69" i="33" s="1"/>
  <c r="CQ69" i="33"/>
  <c r="DL69" i="33"/>
  <c r="DE73" i="33"/>
  <c r="CE36" i="33" a="1"/>
  <c r="CE36" i="33" s="1"/>
  <c r="DI36" i="33" a="1"/>
  <c r="DI36" i="33" s="1"/>
  <c r="CA39" i="33" a="1"/>
  <c r="CA39" i="33" s="1"/>
  <c r="BD42" i="33" a="1"/>
  <c r="BD42" i="33" s="1"/>
  <c r="DB42" i="33"/>
  <c r="BR47" i="33" a="1"/>
  <c r="BR47" i="33" s="1"/>
  <c r="CF51" i="33"/>
  <c r="BK54" i="33"/>
  <c r="CD54" i="33"/>
  <c r="DG55" i="33" a="1"/>
  <c r="DG55" i="33" s="1"/>
  <c r="BW58" i="33" a="1"/>
  <c r="BW58" i="33" s="1"/>
  <c r="CO58" i="33" a="1"/>
  <c r="CO58" i="33" s="1"/>
  <c r="DG58" i="33" a="1"/>
  <c r="DG58" i="33" s="1"/>
  <c r="BG61" i="33" a="1"/>
  <c r="BG61" i="33" s="1"/>
  <c r="CE61" i="33" a="1"/>
  <c r="CE61" i="33" s="1"/>
  <c r="DE61" i="33"/>
  <c r="CJ62" i="33" a="1"/>
  <c r="CJ62" i="33" s="1"/>
  <c r="BD69" i="33" a="1"/>
  <c r="BD69" i="33" s="1"/>
  <c r="CR69" i="33" a="1"/>
  <c r="CR69" i="33" s="1"/>
  <c r="BD36" i="33" a="1"/>
  <c r="BD36" i="33" s="1"/>
  <c r="CH36" i="33"/>
  <c r="BE42" i="33" a="1"/>
  <c r="BE42" i="33" s="1"/>
  <c r="BV42" i="33" a="1"/>
  <c r="BV42" i="33" s="1"/>
  <c r="CL42" i="33"/>
  <c r="DC42" i="33" a="1"/>
  <c r="DC42" i="33" s="1"/>
  <c r="CG51" i="33" a="1"/>
  <c r="CG51" i="33" s="1"/>
  <c r="BM54" i="33" a="1"/>
  <c r="BM54" i="33" s="1"/>
  <c r="CE54" i="33" a="1"/>
  <c r="CE54" i="33" s="1"/>
  <c r="CZ54" i="33" a="1"/>
  <c r="CZ54" i="33" s="1"/>
  <c r="DH55" i="33"/>
  <c r="BD58" i="33" a="1"/>
  <c r="BD58" i="33" s="1"/>
  <c r="BX58" i="33" a="1"/>
  <c r="BX58" i="33" s="1"/>
  <c r="BH61" i="33" a="1"/>
  <c r="BH61" i="33" s="1"/>
  <c r="CT16" i="33" a="1"/>
  <c r="CT16" i="33" s="1"/>
  <c r="BZ16" i="33"/>
  <c r="CA16" i="33" s="1" a="1"/>
  <c r="CA16" i="33" s="1"/>
  <c r="CX16" i="33" a="1"/>
  <c r="CX16" i="33" s="1"/>
  <c r="DG16" i="33" a="1"/>
  <c r="DG16" i="33" s="1"/>
  <c r="CL16" i="33"/>
  <c r="BF16" i="33"/>
  <c r="CW16" i="33" a="1"/>
  <c r="CW16" i="33" s="1"/>
  <c r="CZ16" i="33" a="1"/>
  <c r="CZ16" i="33" s="1"/>
  <c r="CU16" i="33" a="1"/>
  <c r="CU16" i="33" s="1"/>
  <c r="CF16" i="33"/>
  <c r="DL16" i="33"/>
  <c r="DF16" i="33" a="1"/>
  <c r="DF16" i="33" s="1"/>
  <c r="DC16" i="33" a="1"/>
  <c r="DC16" i="33" s="1"/>
  <c r="DA16" i="33" a="1"/>
  <c r="DA16" i="33" s="1"/>
  <c r="CC16" i="33" a="1"/>
  <c r="CC16" i="33" s="1"/>
  <c r="CD16" i="33" s="1"/>
  <c r="AK16" i="33" s="1"/>
  <c r="CQ16" i="33"/>
  <c r="BN16" i="33"/>
  <c r="BM16" i="33" s="1" a="1"/>
  <c r="BM16" i="33" s="1"/>
  <c r="BL16" i="33" a="1"/>
  <c r="BL16" i="33" s="1"/>
  <c r="BJ16" i="33" a="1"/>
  <c r="BJ16" i="33" s="1"/>
  <c r="CQ19" i="33"/>
  <c r="CR19" i="33" s="1" a="1"/>
  <c r="CR19" i="33" s="1"/>
  <c r="BJ19" i="33" a="1"/>
  <c r="BJ19" i="33" s="1"/>
  <c r="DA19" i="33" a="1"/>
  <c r="DA19" i="33" s="1"/>
  <c r="BI19" i="33" a="1"/>
  <c r="BI19" i="33" s="1"/>
  <c r="BL19" i="33" a="1"/>
  <c r="BL19" i="33" s="1"/>
  <c r="DC19" i="33" a="1"/>
  <c r="DC19" i="33" s="1"/>
  <c r="CL19" i="33"/>
  <c r="CJ19" i="33" s="1" a="1"/>
  <c r="CJ19" i="33" s="1"/>
  <c r="CX19" i="33" a="1"/>
  <c r="CX19" i="33" s="1"/>
  <c r="CT19" i="33" a="1"/>
  <c r="CT19" i="33" s="1"/>
  <c r="CC19" i="33" a="1"/>
  <c r="CC19" i="33" s="1"/>
  <c r="CD19" i="33" s="1"/>
  <c r="AK19" i="33" s="1"/>
  <c r="CW19" i="33" a="1"/>
  <c r="CW19" i="33" s="1"/>
  <c r="DL19" i="33"/>
  <c r="DJ19" i="33" s="1" a="1"/>
  <c r="DJ19" i="33" s="1"/>
  <c r="CO49" i="33" a="1"/>
  <c r="CO49" i="33" s="1"/>
  <c r="DM32" i="33" a="1"/>
  <c r="DM32" i="33" s="1"/>
  <c r="CT32" i="33" a="1"/>
  <c r="CT32" i="33" s="1"/>
  <c r="CJ32" i="33" a="1"/>
  <c r="CJ32" i="33" s="1"/>
  <c r="BZ32" i="33"/>
  <c r="BR32" i="33" a="1"/>
  <c r="BR32" i="33" s="1"/>
  <c r="CQ32" i="33"/>
  <c r="CG32" i="33" a="1"/>
  <c r="CG32" i="33" s="1"/>
  <c r="BW32" i="33" a="1"/>
  <c r="BW32" i="33" s="1"/>
  <c r="BD32" i="33" a="1"/>
  <c r="BD32" i="33" s="1"/>
  <c r="DK32" i="33" a="1"/>
  <c r="DK32" i="33" s="1"/>
  <c r="DA32" i="33" a="1"/>
  <c r="DA32" i="33" s="1"/>
  <c r="CF32" i="33"/>
  <c r="BM32" i="33" a="1"/>
  <c r="BM32" i="33" s="1"/>
  <c r="DI32" i="33" a="1"/>
  <c r="DI32" i="33" s="1"/>
  <c r="BP32" i="33" a="1"/>
  <c r="BP32" i="33" s="1"/>
  <c r="DG32" i="33" a="1"/>
  <c r="DG32" i="33" s="1"/>
  <c r="BX32" i="33" a="1"/>
  <c r="BX32" i="33" s="1"/>
  <c r="DH32" i="33"/>
  <c r="CW32" i="33" a="1"/>
  <c r="CW32" i="33" s="1"/>
  <c r="CK32" i="33" a="1"/>
  <c r="CK32" i="33" s="1"/>
  <c r="BY32" i="33" a="1"/>
  <c r="BY32" i="33" s="1"/>
  <c r="BO32" i="33"/>
  <c r="CV32" i="33"/>
  <c r="BN32" i="33"/>
  <c r="DE32" i="33"/>
  <c r="CM32" i="33" a="1"/>
  <c r="CM32" i="33" s="1"/>
  <c r="BH32" i="33" a="1"/>
  <c r="BH32" i="33" s="1"/>
  <c r="CL32" i="33"/>
  <c r="CZ32" i="33" a="1"/>
  <c r="CZ32" i="33" s="1"/>
  <c r="BG32" i="33" a="1"/>
  <c r="BG32" i="33" s="1"/>
  <c r="CY32" i="33"/>
  <c r="BT32" i="33" a="1"/>
  <c r="BT32" i="33" s="1"/>
  <c r="BF32" i="33"/>
  <c r="CO32" i="33" a="1"/>
  <c r="CO32" i="33" s="1"/>
  <c r="CA32" i="33" a="1"/>
  <c r="CA32" i="33" s="1"/>
  <c r="BJ32" i="33" a="1"/>
  <c r="BJ32" i="33" s="1"/>
  <c r="DD32" i="33" a="1"/>
  <c r="DD32" i="33" s="1"/>
  <c r="CN32" i="33"/>
  <c r="DC32" i="33" a="1"/>
  <c r="DC32" i="33" s="1"/>
  <c r="BV32" i="33" a="1"/>
  <c r="BV32" i="33" s="1"/>
  <c r="BI32" i="33" a="1"/>
  <c r="BI32" i="33" s="1"/>
  <c r="DB32" i="33"/>
  <c r="BU32" i="33" a="1"/>
  <c r="BU32" i="33" s="1"/>
  <c r="CI32" i="33" a="1"/>
  <c r="CI32" i="33" s="1"/>
  <c r="CH32" i="33"/>
  <c r="DJ32" i="33" a="1"/>
  <c r="DJ32" i="33" s="1"/>
  <c r="DN59" i="33"/>
  <c r="AX17" i="33"/>
  <c r="AY17" i="33" s="1"/>
  <c r="AZ17" i="33" s="1"/>
  <c r="BA17" i="33" s="1"/>
  <c r="BB17" i="33" s="1"/>
  <c r="BC17" i="33" s="1"/>
  <c r="DC17" i="33" s="1" a="1"/>
  <c r="DC17" i="33" s="1"/>
  <c r="CX26" i="33" a="1"/>
  <c r="CX26" i="33" s="1"/>
  <c r="CN26" i="33"/>
  <c r="CD26" i="33"/>
  <c r="CY26" i="33"/>
  <c r="CO26" i="33" a="1"/>
  <c r="CO26" i="33" s="1"/>
  <c r="DI26" i="33" a="1"/>
  <c r="DI26" i="33" s="1"/>
  <c r="CC26" i="33" a="1"/>
  <c r="CC26" i="33" s="1"/>
  <c r="BT26" i="33" a="1"/>
  <c r="BT26" i="33" s="1"/>
  <c r="BJ26" i="33" a="1"/>
  <c r="BJ26" i="33" s="1"/>
  <c r="AX26" i="33"/>
  <c r="AY26" i="33" s="1"/>
  <c r="AZ26" i="33" s="1"/>
  <c r="BA26" i="33" s="1"/>
  <c r="BB26" i="33" s="1"/>
  <c r="BC26" i="33" s="1"/>
  <c r="DB26" i="33"/>
  <c r="CE26" i="33" a="1"/>
  <c r="CE26" i="33" s="1"/>
  <c r="BS26" i="33" a="1"/>
  <c r="BS26" i="33" s="1"/>
  <c r="BH26" i="33" a="1"/>
  <c r="BH26" i="33" s="1"/>
  <c r="BF26" i="33"/>
  <c r="DM26" i="33" a="1"/>
  <c r="DM26" i="33" s="1"/>
  <c r="CP26" i="33" a="1"/>
  <c r="CP26" i="33" s="1"/>
  <c r="DL26" i="33"/>
  <c r="DA26" i="33" a="1"/>
  <c r="DA26" i="33" s="1"/>
  <c r="CB26" i="33" a="1"/>
  <c r="CB26" i="33" s="1"/>
  <c r="BR26" i="33" a="1"/>
  <c r="BR26" i="33" s="1"/>
  <c r="BG26" i="33" a="1"/>
  <c r="BG26" i="33" s="1"/>
  <c r="CM26" i="33" a="1"/>
  <c r="CM26" i="33" s="1"/>
  <c r="DE26" i="33"/>
  <c r="CQ26" i="33"/>
  <c r="BY26" i="33" a="1"/>
  <c r="BY26" i="33" s="1"/>
  <c r="BL26" i="33" a="1"/>
  <c r="BL26" i="33" s="1"/>
  <c r="CK26" i="33" a="1"/>
  <c r="CK26" i="33" s="1"/>
  <c r="BI26" i="33" a="1"/>
  <c r="BI26" i="33" s="1"/>
  <c r="CZ26" i="33" a="1"/>
  <c r="CZ26" i="33" s="1"/>
  <c r="CJ26" i="33" a="1"/>
  <c r="CJ26" i="33" s="1"/>
  <c r="BV26" i="33" a="1"/>
  <c r="BV26" i="33" s="1"/>
  <c r="CW26" i="33" a="1"/>
  <c r="CW26" i="33" s="1"/>
  <c r="CI26" i="33" a="1"/>
  <c r="CI26" i="33" s="1"/>
  <c r="CL26" i="33"/>
  <c r="BK26" i="33"/>
  <c r="DD26" i="33" a="1"/>
  <c r="DD26" i="33" s="1"/>
  <c r="BX26" i="33" a="1"/>
  <c r="BX26" i="33" s="1"/>
  <c r="DC26" i="33" a="1"/>
  <c r="DC26" i="33" s="1"/>
  <c r="BW26" i="33" a="1"/>
  <c r="BW26" i="33" s="1"/>
  <c r="BE26" i="33" a="1"/>
  <c r="BE26" i="33" s="1"/>
  <c r="BU26" i="33" a="1"/>
  <c r="BU26" i="33" s="1"/>
  <c r="AX32" i="33"/>
  <c r="AY32" i="33" s="1"/>
  <c r="AZ32" i="33" s="1"/>
  <c r="BA32" i="33" s="1"/>
  <c r="BB32" i="33" s="1"/>
  <c r="BC32" i="33" s="1"/>
  <c r="CP49" i="33" a="1"/>
  <c r="CP49" i="33" s="1"/>
  <c r="DJ26" i="33" a="1"/>
  <c r="DJ26" i="33" s="1"/>
  <c r="CE32" i="33" a="1"/>
  <c r="CE32" i="33" s="1"/>
  <c r="DK44" i="33" a="1"/>
  <c r="DK44" i="33" s="1"/>
  <c r="CR44" i="33" a="1"/>
  <c r="CR44" i="33" s="1"/>
  <c r="CH44" i="33"/>
  <c r="BG44" i="33" a="1"/>
  <c r="BG44" i="33" s="1"/>
  <c r="DA44" i="33" a="1"/>
  <c r="DA44" i="33" s="1"/>
  <c r="CQ44" i="33"/>
  <c r="BX44" i="33" a="1"/>
  <c r="BX44" i="33" s="1"/>
  <c r="BP44" i="33" a="1"/>
  <c r="BP44" i="33" s="1"/>
  <c r="BF44" i="33"/>
  <c r="BO44" i="33"/>
  <c r="DE44" i="33"/>
  <c r="DF44" i="33" a="1"/>
  <c r="DF44" i="33" s="1"/>
  <c r="CU44" i="33" a="1"/>
  <c r="CU44" i="33" s="1"/>
  <c r="CJ44" i="33" a="1"/>
  <c r="CJ44" i="33" s="1"/>
  <c r="BY44" i="33" a="1"/>
  <c r="BY44" i="33" s="1"/>
  <c r="BN44" i="33"/>
  <c r="BD44" i="33" a="1"/>
  <c r="BD44" i="33" s="1"/>
  <c r="DH44" i="33"/>
  <c r="CT44" i="33" a="1"/>
  <c r="CT44" i="33" s="1"/>
  <c r="CF44" i="33"/>
  <c r="BU44" i="33" a="1"/>
  <c r="BU44" i="33" s="1"/>
  <c r="CD44" i="33"/>
  <c r="BH44" i="33" a="1"/>
  <c r="BH44" i="33" s="1"/>
  <c r="CS44" i="33"/>
  <c r="BI44" i="33" a="1"/>
  <c r="BI44" i="33" s="1"/>
  <c r="DG44" i="33" a="1"/>
  <c r="DG44" i="33" s="1"/>
  <c r="CE44" i="33" a="1"/>
  <c r="CE44" i="33" s="1"/>
  <c r="BT44" i="33" a="1"/>
  <c r="BT44" i="33" s="1"/>
  <c r="DI44" i="33" a="1"/>
  <c r="DI44" i="33" s="1"/>
  <c r="CN44" i="33"/>
  <c r="BJ44" i="33" a="1"/>
  <c r="BJ44" i="33" s="1"/>
  <c r="BV44" i="33" a="1"/>
  <c r="BV44" i="33" s="1"/>
  <c r="CK44" i="33" a="1"/>
  <c r="CK44" i="33" s="1"/>
  <c r="BS44" i="33" a="1"/>
  <c r="BS44" i="33" s="1"/>
  <c r="CZ44" i="33" a="1"/>
  <c r="CZ44" i="33" s="1"/>
  <c r="CY44" i="33"/>
  <c r="CI44" i="33" a="1"/>
  <c r="CI44" i="33" s="1"/>
  <c r="DD44" i="33" a="1"/>
  <c r="DD44" i="33" s="1"/>
  <c r="BW44" i="33" a="1"/>
  <c r="BW44" i="33" s="1"/>
  <c r="CM44" i="33" a="1"/>
  <c r="CM44" i="33" s="1"/>
  <c r="DC44" i="33" a="1"/>
  <c r="DC44" i="33" s="1"/>
  <c r="CL44" i="33"/>
  <c r="BE44" i="33" a="1"/>
  <c r="BE44" i="33" s="1"/>
  <c r="DB44" i="33"/>
  <c r="BR44" i="33" a="1"/>
  <c r="BR44" i="33" s="1"/>
  <c r="BE32" i="33" a="1"/>
  <c r="BE32" i="33" s="1"/>
  <c r="F37" i="33"/>
  <c r="CD25" i="33"/>
  <c r="DN32" i="33"/>
  <c r="CG44" i="33" a="1"/>
  <c r="CG44" i="33" s="1"/>
  <c r="F45" i="33"/>
  <c r="CX46" i="33" a="1"/>
  <c r="CX46" i="33" s="1"/>
  <c r="CN46" i="33"/>
  <c r="CD46" i="33"/>
  <c r="DG46" i="33" a="1"/>
  <c r="DG46" i="33" s="1"/>
  <c r="BU46" i="33" a="1"/>
  <c r="BU46" i="33" s="1"/>
  <c r="BL46" i="33" a="1"/>
  <c r="BL46" i="33" s="1"/>
  <c r="DI46" i="33" a="1"/>
  <c r="DI46" i="33" s="1"/>
  <c r="CW46" i="33" a="1"/>
  <c r="CW46" i="33" s="1"/>
  <c r="CA46" i="33" a="1"/>
  <c r="CA46" i="33" s="1"/>
  <c r="BG46" i="33" a="1"/>
  <c r="BG46" i="33" s="1"/>
  <c r="DH46" i="33"/>
  <c r="CV46" i="33"/>
  <c r="CK46" i="33" a="1"/>
  <c r="CK46" i="33" s="1"/>
  <c r="BZ46" i="33"/>
  <c r="BQ46" i="33" a="1"/>
  <c r="BQ46" i="33" s="1"/>
  <c r="BF46" i="33"/>
  <c r="BP46" i="33" a="1"/>
  <c r="BP46" i="33" s="1"/>
  <c r="CO46" i="33" a="1"/>
  <c r="CO46" i="33" s="1"/>
  <c r="AX46" i="33"/>
  <c r="AY46" i="33" s="1"/>
  <c r="AZ46" i="33" s="1"/>
  <c r="BA46" i="33" s="1"/>
  <c r="BB46" i="33" s="1"/>
  <c r="BC46" i="33" s="1"/>
  <c r="DC46" i="33" a="1"/>
  <c r="DC46" i="33" s="1"/>
  <c r="CP46" i="33" a="1"/>
  <c r="CP46" i="33" s="1"/>
  <c r="CB46" i="33" a="1"/>
  <c r="CB46" i="33" s="1"/>
  <c r="BO46" i="33"/>
  <c r="DB46" i="33"/>
  <c r="BN46" i="33"/>
  <c r="DN46" i="33"/>
  <c r="BY46" i="33" a="1"/>
  <c r="BY46" i="33" s="1"/>
  <c r="CZ46" i="33" a="1"/>
  <c r="CZ46" i="33" s="1"/>
  <c r="DM46" i="33" a="1"/>
  <c r="DM46" i="33" s="1"/>
  <c r="DL46" i="33"/>
  <c r="CE46" i="33" a="1"/>
  <c r="CE46" i="33" s="1"/>
  <c r="CT46" i="33" a="1"/>
  <c r="CT46" i="33" s="1"/>
  <c r="CC46" i="33" a="1"/>
  <c r="CC46" i="33" s="1"/>
  <c r="BJ46" i="33" a="1"/>
  <c r="BJ46" i="33" s="1"/>
  <c r="DK46" i="33" a="1"/>
  <c r="DK46" i="33" s="1"/>
  <c r="CS46" i="33"/>
  <c r="BX46" i="33" a="1"/>
  <c r="BX46" i="33" s="1"/>
  <c r="BI46" i="33" a="1"/>
  <c r="BI46" i="33" s="1"/>
  <c r="CY46" i="33"/>
  <c r="CG46" i="33" a="1"/>
  <c r="CG46" i="33" s="1"/>
  <c r="BR46" i="33" a="1"/>
  <c r="BR46" i="33" s="1"/>
  <c r="CF46" i="33"/>
  <c r="BM46" i="33" a="1"/>
  <c r="BM46" i="33" s="1"/>
  <c r="CU46" i="33" a="1"/>
  <c r="CU46" i="33" s="1"/>
  <c r="BK46" i="33"/>
  <c r="CI46" i="33" a="1"/>
  <c r="CI46" i="33" s="1"/>
  <c r="CP51" i="33" a="1"/>
  <c r="CP51" i="33" s="1"/>
  <c r="BX59" i="33" a="1"/>
  <c r="BX59" i="33" s="1"/>
  <c r="CH26" i="33"/>
  <c r="F28" i="33"/>
  <c r="BK32" i="33"/>
  <c r="CP32" i="33" a="1"/>
  <c r="CP32" i="33" s="1"/>
  <c r="CW39" i="33" a="1"/>
  <c r="CW39" i="33" s="1"/>
  <c r="CM39" i="33" a="1"/>
  <c r="CM39" i="33" s="1"/>
  <c r="CC39" i="33" a="1"/>
  <c r="CC39" i="33" s="1"/>
  <c r="BK39" i="33"/>
  <c r="DF39" i="33" a="1"/>
  <c r="DF39" i="33" s="1"/>
  <c r="CV39" i="33"/>
  <c r="CL39" i="33"/>
  <c r="BT39" i="33" a="1"/>
  <c r="BT39" i="33" s="1"/>
  <c r="DD39" i="33" a="1"/>
  <c r="DD39" i="33" s="1"/>
  <c r="CS39" i="33"/>
  <c r="CH39" i="33"/>
  <c r="DN39" i="33"/>
  <c r="BW39" i="33" a="1"/>
  <c r="BW39" i="33" s="1"/>
  <c r="BM39" i="33" a="1"/>
  <c r="BM39" i="33" s="1"/>
  <c r="CQ39" i="33"/>
  <c r="CE39" i="33" a="1"/>
  <c r="CE39" i="33" s="1"/>
  <c r="BS39" i="33" a="1"/>
  <c r="BS39" i="33" s="1"/>
  <c r="CB39" i="33" a="1"/>
  <c r="CB39" i="33" s="1"/>
  <c r="DC39" i="33" a="1"/>
  <c r="DC39" i="33" s="1"/>
  <c r="CD39" i="33"/>
  <c r="BG39" i="33" a="1"/>
  <c r="BG39" i="33" s="1"/>
  <c r="DB39" i="33"/>
  <c r="CP39" i="33" a="1"/>
  <c r="CP39" i="33" s="1"/>
  <c r="BR39" i="33" a="1"/>
  <c r="BR39" i="33" s="1"/>
  <c r="BF39" i="33"/>
  <c r="DI39" i="33" a="1"/>
  <c r="DI39" i="33" s="1"/>
  <c r="CR39" i="33" a="1"/>
  <c r="CR39" i="33" s="1"/>
  <c r="BJ39" i="33" a="1"/>
  <c r="BJ39" i="33" s="1"/>
  <c r="BX39" i="33" a="1"/>
  <c r="BX39" i="33" s="1"/>
  <c r="DE39" i="33"/>
  <c r="DA39" i="33" a="1"/>
  <c r="DA39" i="33" s="1"/>
  <c r="CK39" i="33" a="1"/>
  <c r="CK39" i="33" s="1"/>
  <c r="BV39" i="33" a="1"/>
  <c r="BV39" i="33" s="1"/>
  <c r="BE39" i="33" a="1"/>
  <c r="BE39" i="33" s="1"/>
  <c r="CJ39" i="33" a="1"/>
  <c r="CJ39" i="33" s="1"/>
  <c r="DH39" i="33"/>
  <c r="CO39" i="33" a="1"/>
  <c r="CO39" i="33" s="1"/>
  <c r="BY39" i="33" a="1"/>
  <c r="BY39" i="33" s="1"/>
  <c r="CN39" i="33"/>
  <c r="BI39" i="33" a="1"/>
  <c r="BI39" i="33" s="1"/>
  <c r="DG39" i="33" a="1"/>
  <c r="DG39" i="33" s="1"/>
  <c r="BH39" i="33" a="1"/>
  <c r="BH39" i="33" s="1"/>
  <c r="CZ39" i="33" a="1"/>
  <c r="CZ39" i="33" s="1"/>
  <c r="BU39" i="33" a="1"/>
  <c r="BU39" i="33" s="1"/>
  <c r="BD39" i="33" a="1"/>
  <c r="BD39" i="33" s="1"/>
  <c r="CG39" i="33" a="1"/>
  <c r="CG39" i="33" s="1"/>
  <c r="DL39" i="33"/>
  <c r="F41" i="33"/>
  <c r="CO44" i="33" a="1"/>
  <c r="CO44" i="33" s="1"/>
  <c r="BD46" i="33" a="1"/>
  <c r="BD46" i="33" s="1"/>
  <c r="DL25" i="33"/>
  <c r="CR26" i="33" a="1"/>
  <c r="CR26" i="33" s="1"/>
  <c r="AX39" i="33"/>
  <c r="AY39" i="33" s="1"/>
  <c r="AZ39" i="33" s="1"/>
  <c r="BA39" i="33" s="1"/>
  <c r="BB39" i="33" s="1"/>
  <c r="BC39" i="33" s="1"/>
  <c r="DM39" i="33" a="1"/>
  <c r="DM39" i="33" s="1"/>
  <c r="CJ46" i="33" a="1"/>
  <c r="CJ46" i="33" s="1"/>
  <c r="DG49" i="33" a="1"/>
  <c r="DG49" i="33" s="1"/>
  <c r="CQ51" i="33"/>
  <c r="DK52" i="33" a="1"/>
  <c r="DK52" i="33" s="1"/>
  <c r="CR52" i="33" a="1"/>
  <c r="CR52" i="33" s="1"/>
  <c r="CH52" i="33"/>
  <c r="BG52" i="33" a="1"/>
  <c r="BG52" i="33" s="1"/>
  <c r="DI52" i="33" a="1"/>
  <c r="DI52" i="33" s="1"/>
  <c r="CN52" i="33"/>
  <c r="DH52" i="33"/>
  <c r="CL52" i="33"/>
  <c r="BR52" i="33" a="1"/>
  <c r="BR52" i="33" s="1"/>
  <c r="DB52" i="33"/>
  <c r="CP52" i="33" a="1"/>
  <c r="CP52" i="33" s="1"/>
  <c r="CD52" i="33"/>
  <c r="DM52" i="33" a="1"/>
  <c r="DM52" i="33" s="1"/>
  <c r="DA52" i="33" a="1"/>
  <c r="DA52" i="33" s="1"/>
  <c r="CC52" i="33" a="1"/>
  <c r="CC52" i="33" s="1"/>
  <c r="BS52" i="33" a="1"/>
  <c r="BS52" i="33" s="1"/>
  <c r="BH52" i="33" a="1"/>
  <c r="BH52" i="33" s="1"/>
  <c r="DC52" i="33" a="1"/>
  <c r="DC52" i="33" s="1"/>
  <c r="BZ52" i="33"/>
  <c r="BN52" i="33"/>
  <c r="CM52" i="33" a="1"/>
  <c r="CM52" i="33" s="1"/>
  <c r="DN52" i="33"/>
  <c r="CZ52" i="33" a="1"/>
  <c r="CZ52" i="33" s="1"/>
  <c r="BY52" i="33" a="1"/>
  <c r="BY52" i="33" s="1"/>
  <c r="BM52" i="33" a="1"/>
  <c r="BM52" i="33" s="1"/>
  <c r="AX52" i="33"/>
  <c r="AY52" i="33" s="1"/>
  <c r="AZ52" i="33" s="1"/>
  <c r="BA52" i="33" s="1"/>
  <c r="BB52" i="33" s="1"/>
  <c r="BC52" i="33" s="1"/>
  <c r="DG52" i="33" a="1"/>
  <c r="DG52" i="33" s="1"/>
  <c r="CA52" i="33" a="1"/>
  <c r="CA52" i="33" s="1"/>
  <c r="BK52" i="33"/>
  <c r="CO52" i="33" a="1"/>
  <c r="CO52" i="33" s="1"/>
  <c r="BI52" i="33" a="1"/>
  <c r="BI52" i="33" s="1"/>
  <c r="CQ52" i="33"/>
  <c r="BX52" i="33" a="1"/>
  <c r="BX52" i="33" s="1"/>
  <c r="BJ52" i="33" a="1"/>
  <c r="BJ52" i="33" s="1"/>
  <c r="DF52" i="33" a="1"/>
  <c r="DF52" i="33" s="1"/>
  <c r="DE52" i="33"/>
  <c r="BW52" i="33" a="1"/>
  <c r="BW52" i="33" s="1"/>
  <c r="BQ52" i="33" a="1"/>
  <c r="BQ52" i="33" s="1"/>
  <c r="CX52" i="33" a="1"/>
  <c r="CX52" i="33" s="1"/>
  <c r="BF52" i="33"/>
  <c r="CW52" i="33" a="1"/>
  <c r="CW52" i="33" s="1"/>
  <c r="CE52" i="33" a="1"/>
  <c r="CE52" i="33" s="1"/>
  <c r="CI52" i="33" a="1"/>
  <c r="CI52" i="33" s="1"/>
  <c r="BP52" i="33" a="1"/>
  <c r="BP52" i="33" s="1"/>
  <c r="DD52" i="33" a="1"/>
  <c r="DD52" i="33" s="1"/>
  <c r="BO52" i="33"/>
  <c r="CG52" i="33" a="1"/>
  <c r="CG52" i="33" s="1"/>
  <c r="CY52" i="33"/>
  <c r="CF52" i="33"/>
  <c r="BL52" i="33" a="1"/>
  <c r="BL52" i="33" s="1"/>
  <c r="CV52" i="33"/>
  <c r="BE52" i="33" a="1"/>
  <c r="BE52" i="33" s="1"/>
  <c r="BY59" i="33" a="1"/>
  <c r="BY59" i="33" s="1"/>
  <c r="CG25" i="33" a="1"/>
  <c r="CG25" i="33" s="1"/>
  <c r="CP44" i="33" a="1"/>
  <c r="CP44" i="33" s="1"/>
  <c r="CL46" i="33"/>
  <c r="BU49" i="33" a="1"/>
  <c r="BU49" i="33" s="1"/>
  <c r="F10" i="33"/>
  <c r="F14" i="33"/>
  <c r="CS26" i="33"/>
  <c r="BQ32" i="33" a="1"/>
  <c r="BQ32" i="33" s="1"/>
  <c r="CS32" i="33"/>
  <c r="BL39" i="33" a="1"/>
  <c r="BL39" i="33" s="1"/>
  <c r="CT39" i="33" a="1"/>
  <c r="CT39" i="33" s="1"/>
  <c r="CV44" i="33"/>
  <c r="CM46" i="33" a="1"/>
  <c r="CM46" i="33" s="1"/>
  <c r="DB47" i="33"/>
  <c r="CI47" i="33" a="1"/>
  <c r="CI47" i="33" s="1"/>
  <c r="BY47" i="33" a="1"/>
  <c r="BY47" i="33" s="1"/>
  <c r="BQ47" i="33" a="1"/>
  <c r="BQ47" i="33" s="1"/>
  <c r="CJ47" i="33" a="1"/>
  <c r="CJ47" i="33" s="1"/>
  <c r="BF47" i="33"/>
  <c r="DN47" i="33"/>
  <c r="DD47" i="33" a="1"/>
  <c r="DD47" i="33" s="1"/>
  <c r="CT47" i="33" a="1"/>
  <c r="CT47" i="33" s="1"/>
  <c r="BP47" i="33" a="1"/>
  <c r="BP47" i="33" s="1"/>
  <c r="DC47" i="33" a="1"/>
  <c r="DC47" i="33" s="1"/>
  <c r="CE47" i="33" a="1"/>
  <c r="CE47" i="33" s="1"/>
  <c r="DA47" i="33" a="1"/>
  <c r="DA47" i="33" s="1"/>
  <c r="CP47" i="33" a="1"/>
  <c r="CP47" i="33" s="1"/>
  <c r="CD47" i="33"/>
  <c r="BT47" i="33" a="1"/>
  <c r="BT47" i="33" s="1"/>
  <c r="BI47" i="33" a="1"/>
  <c r="BI47" i="33" s="1"/>
  <c r="DM47" i="33" a="1"/>
  <c r="DM47" i="33" s="1"/>
  <c r="DL47" i="33"/>
  <c r="CK47" i="33" a="1"/>
  <c r="CK47" i="33" s="1"/>
  <c r="BJ47" i="33" a="1"/>
  <c r="BJ47" i="33" s="1"/>
  <c r="DJ47" i="33" a="1"/>
  <c r="DJ47" i="33" s="1"/>
  <c r="BU47" i="33" a="1"/>
  <c r="BU47" i="33" s="1"/>
  <c r="DK47" i="33" a="1"/>
  <c r="DK47" i="33" s="1"/>
  <c r="CX47" i="33" a="1"/>
  <c r="CX47" i="33" s="1"/>
  <c r="BV47" i="33" a="1"/>
  <c r="BV47" i="33" s="1"/>
  <c r="BH47" i="33" a="1"/>
  <c r="BH47" i="33" s="1"/>
  <c r="CH47" i="33"/>
  <c r="BG47" i="33" a="1"/>
  <c r="BG47" i="33" s="1"/>
  <c r="CW47" i="33" a="1"/>
  <c r="CW47" i="33" s="1"/>
  <c r="BE47" i="33" a="1"/>
  <c r="BE47" i="33" s="1"/>
  <c r="CV47" i="33"/>
  <c r="BZ47" i="33"/>
  <c r="DI47" i="33" a="1"/>
  <c r="DI47" i="33" s="1"/>
  <c r="CQ47" i="33"/>
  <c r="BX47" i="33" a="1"/>
  <c r="BX47" i="33" s="1"/>
  <c r="BD47" i="33" a="1"/>
  <c r="BD47" i="33" s="1"/>
  <c r="DH47" i="33"/>
  <c r="CN47" i="33"/>
  <c r="BW47" i="33" a="1"/>
  <c r="BW47" i="33" s="1"/>
  <c r="CB47" i="33" a="1"/>
  <c r="CB47" i="33" s="1"/>
  <c r="BL47" i="33" a="1"/>
  <c r="BL47" i="33" s="1"/>
  <c r="CU47" i="33" a="1"/>
  <c r="CU47" i="33" s="1"/>
  <c r="BK47" i="33"/>
  <c r="CS47" i="33"/>
  <c r="CA47" i="33" a="1"/>
  <c r="CA47" i="33" s="1"/>
  <c r="CR47" i="33" a="1"/>
  <c r="CR47" i="33" s="1"/>
  <c r="CO47" i="33" a="1"/>
  <c r="CO47" i="33" s="1"/>
  <c r="CG47" i="33" a="1"/>
  <c r="CG47" i="33" s="1"/>
  <c r="BW49" i="33" a="1"/>
  <c r="BW49" i="33" s="1"/>
  <c r="DH49" i="33"/>
  <c r="CR59" i="33" a="1"/>
  <c r="CR59" i="33" s="1"/>
  <c r="CQ25" i="33"/>
  <c r="CW34" i="33" a="1"/>
  <c r="CW34" i="33" s="1"/>
  <c r="CM34" i="33" a="1"/>
  <c r="CM34" i="33" s="1"/>
  <c r="CC34" i="33" a="1"/>
  <c r="CC34" i="33" s="1"/>
  <c r="BK34" i="33"/>
  <c r="DF34" i="33" a="1"/>
  <c r="DF34" i="33" s="1"/>
  <c r="CV34" i="33"/>
  <c r="CL34" i="33"/>
  <c r="BT34" i="33" a="1"/>
  <c r="BT34" i="33" s="1"/>
  <c r="DH34" i="33"/>
  <c r="CK34" i="33" a="1"/>
  <c r="CK34" i="33" s="1"/>
  <c r="BZ34" i="33"/>
  <c r="BQ34" i="33" a="1"/>
  <c r="BQ34" i="33" s="1"/>
  <c r="BF34" i="33"/>
  <c r="DL34" i="33"/>
  <c r="CN34" i="33"/>
  <c r="CA34" i="33" a="1"/>
  <c r="CA34" i="33" s="1"/>
  <c r="BO34" i="33"/>
  <c r="CJ34" i="33" a="1"/>
  <c r="CJ34" i="33" s="1"/>
  <c r="BX34" i="33" a="1"/>
  <c r="BX34" i="33" s="1"/>
  <c r="BM34" i="33" a="1"/>
  <c r="BM34" i="33" s="1"/>
  <c r="CZ34" i="33" a="1"/>
  <c r="CZ34" i="33" s="1"/>
  <c r="BY34" i="33" a="1"/>
  <c r="BY34" i="33" s="1"/>
  <c r="BN34" i="33"/>
  <c r="DK34" i="33" a="1"/>
  <c r="DK34" i="33" s="1"/>
  <c r="CY34" i="33"/>
  <c r="AX34" i="33"/>
  <c r="AY34" i="33" s="1"/>
  <c r="AZ34" i="33" s="1"/>
  <c r="BA34" i="33" s="1"/>
  <c r="BB34" i="33" s="1"/>
  <c r="BC34" i="33" s="1"/>
  <c r="DI34" i="33" a="1"/>
  <c r="DI34" i="33" s="1"/>
  <c r="CR34" i="33" a="1"/>
  <c r="CR34" i="33" s="1"/>
  <c r="CB34" i="33" a="1"/>
  <c r="CB34" i="33" s="1"/>
  <c r="BJ34" i="33" a="1"/>
  <c r="BJ34" i="33" s="1"/>
  <c r="CP34" i="33" a="1"/>
  <c r="CP34" i="33" s="1"/>
  <c r="BH34" i="33" a="1"/>
  <c r="BH34" i="33" s="1"/>
  <c r="CO34" i="33" a="1"/>
  <c r="CO34" i="33" s="1"/>
  <c r="BV34" i="33" a="1"/>
  <c r="BV34" i="33" s="1"/>
  <c r="BG34" i="33" a="1"/>
  <c r="BG34" i="33" s="1"/>
  <c r="DB34" i="33"/>
  <c r="BU34" i="33" a="1"/>
  <c r="BU34" i="33" s="1"/>
  <c r="DG34" i="33" a="1"/>
  <c r="DG34" i="33" s="1"/>
  <c r="CQ34" i="33"/>
  <c r="DE34" i="33"/>
  <c r="BI34" i="33" a="1"/>
  <c r="BI34" i="33" s="1"/>
  <c r="BW34" i="33" a="1"/>
  <c r="BW34" i="33" s="1"/>
  <c r="DD34" i="33" a="1"/>
  <c r="DD34" i="33" s="1"/>
  <c r="DC34" i="33" a="1"/>
  <c r="DC34" i="33" s="1"/>
  <c r="CI34" i="33" a="1"/>
  <c r="CI34" i="33" s="1"/>
  <c r="BE34" i="33" a="1"/>
  <c r="BE34" i="33" s="1"/>
  <c r="F35" i="33"/>
  <c r="BM44" i="33" a="1"/>
  <c r="BM44" i="33" s="1"/>
  <c r="CQ46" i="33"/>
  <c r="AX47" i="33"/>
  <c r="AY47" i="33" s="1"/>
  <c r="AZ47" i="33" s="1"/>
  <c r="BA47" i="33" s="1"/>
  <c r="BB47" i="33" s="1"/>
  <c r="BC47" i="33" s="1"/>
  <c r="AX22" i="33"/>
  <c r="AY22" i="33" s="1"/>
  <c r="AZ22" i="33" s="1"/>
  <c r="BA22" i="33" s="1"/>
  <c r="BB22" i="33" s="1"/>
  <c r="BC22" i="33" s="1"/>
  <c r="CZ22" i="33" s="1" a="1"/>
  <c r="CZ22" i="33" s="1"/>
  <c r="AX21" i="33"/>
  <c r="AY21" i="33" s="1"/>
  <c r="AZ21" i="33" s="1"/>
  <c r="BA21" i="33" s="1"/>
  <c r="BB21" i="33" s="1"/>
  <c r="BC21" i="33" s="1"/>
  <c r="BR25" i="33" a="1"/>
  <c r="BR25" i="33" s="1"/>
  <c r="CS25" i="33"/>
  <c r="BQ26" i="33" a="1"/>
  <c r="BQ26" i="33" s="1"/>
  <c r="AX29" i="33"/>
  <c r="AY29" i="33" s="1"/>
  <c r="AZ29" i="33" s="1"/>
  <c r="BA29" i="33" s="1"/>
  <c r="BB29" i="33" s="1"/>
  <c r="BC29" i="33" s="1"/>
  <c r="CE29" i="33" a="1"/>
  <c r="CE29" i="33" s="1"/>
  <c r="BL34" i="33" a="1"/>
  <c r="BL34" i="33" s="1"/>
  <c r="BP39" i="33" a="1"/>
  <c r="BP39" i="33" s="1"/>
  <c r="DB41" i="33"/>
  <c r="CI41" i="33" a="1"/>
  <c r="CI41" i="33" s="1"/>
  <c r="BY41" i="33" a="1"/>
  <c r="BY41" i="33" s="1"/>
  <c r="BQ41" i="33" a="1"/>
  <c r="BQ41" i="33" s="1"/>
  <c r="DK41" i="33" a="1"/>
  <c r="DK41" i="33" s="1"/>
  <c r="CR41" i="33" a="1"/>
  <c r="CR41" i="33" s="1"/>
  <c r="CH41" i="33"/>
  <c r="BG41" i="33" a="1"/>
  <c r="BG41" i="33" s="1"/>
  <c r="BS41" i="33" a="1"/>
  <c r="BS41" i="33" s="1"/>
  <c r="DI41" i="33" a="1"/>
  <c r="DI41" i="33" s="1"/>
  <c r="CX41" i="33" a="1"/>
  <c r="CX41" i="33" s="1"/>
  <c r="CM41" i="33" a="1"/>
  <c r="CM41" i="33" s="1"/>
  <c r="CB41" i="33" a="1"/>
  <c r="CB41" i="33" s="1"/>
  <c r="BH41" i="33" a="1"/>
  <c r="BH41" i="33" s="1"/>
  <c r="DE41" i="33"/>
  <c r="CS41" i="33"/>
  <c r="BI41" i="33" a="1"/>
  <c r="BI41" i="33" s="1"/>
  <c r="BR41" i="33" a="1"/>
  <c r="BR41" i="33" s="1"/>
  <c r="BE41" i="33" a="1"/>
  <c r="BE41" i="33" s="1"/>
  <c r="CQ41" i="33"/>
  <c r="CE41" i="33" a="1"/>
  <c r="CE41" i="33" s="1"/>
  <c r="BT41" i="33" a="1"/>
  <c r="BT41" i="33" s="1"/>
  <c r="BF41" i="33"/>
  <c r="DD41" i="33" a="1"/>
  <c r="DD41" i="33" s="1"/>
  <c r="CD41" i="33"/>
  <c r="CP41" i="33" a="1"/>
  <c r="CP41" i="33" s="1"/>
  <c r="DC41" i="33" a="1"/>
  <c r="DC41" i="33" s="1"/>
  <c r="CZ41" i="33" a="1"/>
  <c r="CZ41" i="33" s="1"/>
  <c r="CY41" i="33"/>
  <c r="DN41" i="33"/>
  <c r="BP41" i="33" a="1"/>
  <c r="BP41" i="33" s="1"/>
  <c r="BO41" i="33"/>
  <c r="DM41" i="33" a="1"/>
  <c r="DM41" i="33" s="1"/>
  <c r="CV41" i="33"/>
  <c r="BN41" i="33"/>
  <c r="AX41" i="33"/>
  <c r="AY41" i="33" s="1"/>
  <c r="AZ41" i="33" s="1"/>
  <c r="BA41" i="33" s="1"/>
  <c r="BB41" i="33" s="1"/>
  <c r="BC41" i="33" s="1"/>
  <c r="DA41" i="33" a="1"/>
  <c r="DA41" i="33" s="1"/>
  <c r="CK41" i="33" a="1"/>
  <c r="CK41" i="33" s="1"/>
  <c r="BV41" i="33" a="1"/>
  <c r="BV41" i="33" s="1"/>
  <c r="BD41" i="33" a="1"/>
  <c r="BD41" i="33" s="1"/>
  <c r="CJ41" i="33" a="1"/>
  <c r="CJ41" i="33" s="1"/>
  <c r="BU41" i="33" a="1"/>
  <c r="BU41" i="33" s="1"/>
  <c r="CW41" i="33" a="1"/>
  <c r="CW41" i="33" s="1"/>
  <c r="CG41" i="33" a="1"/>
  <c r="CG41" i="33" s="1"/>
  <c r="CF41" i="33"/>
  <c r="CC41" i="33" a="1"/>
  <c r="CC41" i="33" s="1"/>
  <c r="DL41" i="33"/>
  <c r="DA46" i="33" a="1"/>
  <c r="DA46" i="33" s="1"/>
  <c r="AX48" i="33"/>
  <c r="AY48" i="33" s="1"/>
  <c r="AZ48" i="33" s="1"/>
  <c r="BA48" i="33" s="1"/>
  <c r="BB48" i="33" s="1"/>
  <c r="BC48" i="33" s="1"/>
  <c r="CN48" i="33"/>
  <c r="BT51" i="33" a="1"/>
  <c r="BT51" i="33" s="1"/>
  <c r="DJ52" i="33" a="1"/>
  <c r="DJ52" i="33" s="1"/>
  <c r="AX65" i="33"/>
  <c r="AY65" i="33" s="1"/>
  <c r="AZ65" i="33" s="1"/>
  <c r="BA65" i="33" s="1"/>
  <c r="BB65" i="33" s="1"/>
  <c r="BC65" i="33" s="1"/>
  <c r="CV26" i="33"/>
  <c r="CB32" i="33" a="1"/>
  <c r="CB32" i="33" s="1"/>
  <c r="DF32" i="33" a="1"/>
  <c r="DF32" i="33" s="1"/>
  <c r="CS34" i="33"/>
  <c r="CX39" i="33" a="1"/>
  <c r="CX39" i="33" s="1"/>
  <c r="CL41" i="33"/>
  <c r="BZ44" i="33"/>
  <c r="BT46" i="33" a="1"/>
  <c r="BT46" i="33" s="1"/>
  <c r="DD46" i="33" a="1"/>
  <c r="DD46" i="33" s="1"/>
  <c r="BM47" i="33" a="1"/>
  <c r="BM47" i="33" s="1"/>
  <c r="CY47" i="33"/>
  <c r="BT52" i="33" a="1"/>
  <c r="BT52" i="33" s="1"/>
  <c r="DF49" i="33" a="1"/>
  <c r="DF49" i="33" s="1"/>
  <c r="CV49" i="33"/>
  <c r="CL49" i="33"/>
  <c r="BT49" i="33" a="1"/>
  <c r="BT49" i="33" s="1"/>
  <c r="DK49" i="33" a="1"/>
  <c r="DK49" i="33" s="1"/>
  <c r="DA49" i="33" a="1"/>
  <c r="DA49" i="33" s="1"/>
  <c r="CF49" i="33"/>
  <c r="BM49" i="33" a="1"/>
  <c r="BM49" i="33" s="1"/>
  <c r="BD49" i="33" a="1"/>
  <c r="BD49" i="33" s="1"/>
  <c r="DC49" i="33" a="1"/>
  <c r="DC49" i="33" s="1"/>
  <c r="CR49" i="33" a="1"/>
  <c r="CR49" i="33" s="1"/>
  <c r="CG49" i="33" a="1"/>
  <c r="CG49" i="33" s="1"/>
  <c r="BV49" i="33" a="1"/>
  <c r="BV49" i="33" s="1"/>
  <c r="BL49" i="33" a="1"/>
  <c r="BL49" i="33" s="1"/>
  <c r="DM49" i="33" a="1"/>
  <c r="DM49" i="33" s="1"/>
  <c r="DB49" i="33"/>
  <c r="CQ49" i="33"/>
  <c r="BK49" i="33"/>
  <c r="DJ49" i="33" a="1"/>
  <c r="DJ49" i="33" s="1"/>
  <c r="CX49" i="33" a="1"/>
  <c r="CX49" i="33" s="1"/>
  <c r="CK49" i="33" a="1"/>
  <c r="CK49" i="33" s="1"/>
  <c r="BY49" i="33" a="1"/>
  <c r="BY49" i="33" s="1"/>
  <c r="BN49" i="33"/>
  <c r="CW49" i="33" a="1"/>
  <c r="CW49" i="33" s="1"/>
  <c r="DI49" i="33" a="1"/>
  <c r="DI49" i="33" s="1"/>
  <c r="CJ49" i="33" a="1"/>
  <c r="CJ49" i="33" s="1"/>
  <c r="BX49" i="33" a="1"/>
  <c r="BX49" i="33" s="1"/>
  <c r="AX49" i="33"/>
  <c r="AY49" i="33" s="1"/>
  <c r="AZ49" i="33" s="1"/>
  <c r="BA49" i="33" s="1"/>
  <c r="BB49" i="33" s="1"/>
  <c r="BC49" i="33" s="1"/>
  <c r="DN49" i="33"/>
  <c r="CH49" i="33"/>
  <c r="BS49" i="33" a="1"/>
  <c r="BS49" i="33" s="1"/>
  <c r="BF49" i="33"/>
  <c r="DL49" i="33"/>
  <c r="CU49" i="33" a="1"/>
  <c r="CU49" i="33" s="1"/>
  <c r="CE49" i="33" a="1"/>
  <c r="CE49" i="33" s="1"/>
  <c r="BR49" i="33" a="1"/>
  <c r="BR49" i="33" s="1"/>
  <c r="BE49" i="33" a="1"/>
  <c r="BE49" i="33" s="1"/>
  <c r="CD49" i="33"/>
  <c r="DE49" i="33"/>
  <c r="CM49" i="33" a="1"/>
  <c r="CM49" i="33" s="1"/>
  <c r="BQ49" i="33" a="1"/>
  <c r="BQ49" i="33" s="1"/>
  <c r="BO49" i="33"/>
  <c r="CC49" i="33" a="1"/>
  <c r="CC49" i="33" s="1"/>
  <c r="BJ49" i="33" a="1"/>
  <c r="BJ49" i="33" s="1"/>
  <c r="CZ49" i="33" a="1"/>
  <c r="CZ49" i="33" s="1"/>
  <c r="CB49" i="33" a="1"/>
  <c r="CB49" i="33" s="1"/>
  <c r="CY49" i="33"/>
  <c r="BI49" i="33" a="1"/>
  <c r="BI49" i="33" s="1"/>
  <c r="DD49" i="33" a="1"/>
  <c r="DD49" i="33" s="1"/>
  <c r="BP49" i="33" a="1"/>
  <c r="BP49" i="33" s="1"/>
  <c r="CI49" i="33" a="1"/>
  <c r="CI49" i="33" s="1"/>
  <c r="DJ59" i="33" a="1"/>
  <c r="DJ59" i="33" s="1"/>
  <c r="CG59" i="33" a="1"/>
  <c r="CG59" i="33" s="1"/>
  <c r="BO59" i="33"/>
  <c r="DK59" i="33" a="1"/>
  <c r="DK59" i="33" s="1"/>
  <c r="DA59" i="33" a="1"/>
  <c r="DA59" i="33" s="1"/>
  <c r="CP59" i="33" a="1"/>
  <c r="CP59" i="33" s="1"/>
  <c r="BV59" i="33" a="1"/>
  <c r="BV59" i="33" s="1"/>
  <c r="CY59" i="33"/>
  <c r="CN59" i="33"/>
  <c r="CC59" i="33" a="1"/>
  <c r="CC59" i="33" s="1"/>
  <c r="BI59" i="33" a="1"/>
  <c r="BI59" i="33" s="1"/>
  <c r="BS59" i="33" a="1"/>
  <c r="BS59" i="33" s="1"/>
  <c r="DE59" i="33"/>
  <c r="CS59" i="33"/>
  <c r="CF59" i="33"/>
  <c r="BH59" i="33" a="1"/>
  <c r="BH59" i="33" s="1"/>
  <c r="CE59" i="33" a="1"/>
  <c r="CE59" i="33" s="1"/>
  <c r="BT59" i="33" a="1"/>
  <c r="BT59" i="33" s="1"/>
  <c r="DF59" i="33" a="1"/>
  <c r="DF59" i="33" s="1"/>
  <c r="CQ59" i="33"/>
  <c r="BP59" i="33" a="1"/>
  <c r="BP59" i="33" s="1"/>
  <c r="DD59" i="33" a="1"/>
  <c r="DD59" i="33" s="1"/>
  <c r="CA59" i="33" a="1"/>
  <c r="CA59" i="33" s="1"/>
  <c r="BN59" i="33"/>
  <c r="CO59" i="33" a="1"/>
  <c r="CO59" i="33" s="1"/>
  <c r="BZ59" i="33"/>
  <c r="AX59" i="33"/>
  <c r="AY59" i="33" s="1"/>
  <c r="AZ59" i="33" s="1"/>
  <c r="BA59" i="33" s="1"/>
  <c r="BB59" i="33" s="1"/>
  <c r="BC59" i="33" s="1"/>
  <c r="DG59" i="33" a="1"/>
  <c r="DG59" i="33" s="1"/>
  <c r="CL59" i="33"/>
  <c r="BW59" i="33" a="1"/>
  <c r="BW59" i="33" s="1"/>
  <c r="BF59" i="33"/>
  <c r="BE59" i="33" a="1"/>
  <c r="BE59" i="33" s="1"/>
  <c r="DC59" i="33" a="1"/>
  <c r="DC59" i="33" s="1"/>
  <c r="CK59" i="33" a="1"/>
  <c r="CK59" i="33" s="1"/>
  <c r="DB59" i="33"/>
  <c r="BU59" i="33" a="1"/>
  <c r="BU59" i="33" s="1"/>
  <c r="BD59" i="33" a="1"/>
  <c r="BD59" i="33" s="1"/>
  <c r="CJ59" i="33" a="1"/>
  <c r="CJ59" i="33" s="1"/>
  <c r="DM59" i="33" a="1"/>
  <c r="DM59" i="33" s="1"/>
  <c r="CM59" i="33" a="1"/>
  <c r="CM59" i="33" s="1"/>
  <c r="BM59" i="33" a="1"/>
  <c r="BM59" i="33" s="1"/>
  <c r="DH59" i="33"/>
  <c r="BJ59" i="33" a="1"/>
  <c r="BJ59" i="33" s="1"/>
  <c r="CD59" i="33"/>
  <c r="CZ59" i="33" a="1"/>
  <c r="CZ59" i="33" s="1"/>
  <c r="BG59" i="33" a="1"/>
  <c r="BG59" i="33" s="1"/>
  <c r="DL59" i="33"/>
  <c r="BL59" i="33" a="1"/>
  <c r="BL59" i="33" s="1"/>
  <c r="CI59" i="33" a="1"/>
  <c r="CI59" i="33" s="1"/>
  <c r="BK59" i="33"/>
  <c r="DI59" i="33" a="1"/>
  <c r="DI59" i="33" s="1"/>
  <c r="CH59" i="33"/>
  <c r="CX59" i="33" a="1"/>
  <c r="CX59" i="33" s="1"/>
  <c r="CB59" i="33" a="1"/>
  <c r="CB59" i="33" s="1"/>
  <c r="CD32" i="33"/>
  <c r="BG49" i="33" a="1"/>
  <c r="BG49" i="33" s="1"/>
  <c r="BQ59" i="33" a="1"/>
  <c r="BQ59" i="33" s="1"/>
  <c r="CF26" i="33"/>
  <c r="DL32" i="33"/>
  <c r="CC44" i="33" a="1"/>
  <c r="CC44" i="33" s="1"/>
  <c r="F57" i="33"/>
  <c r="F54" i="33"/>
  <c r="F49" i="33"/>
  <c r="F48" i="33"/>
  <c r="F43" i="33"/>
  <c r="F40" i="33"/>
  <c r="F53" i="33"/>
  <c r="F44" i="33"/>
  <c r="F26" i="33"/>
  <c r="F29" i="33"/>
  <c r="F36" i="33"/>
  <c r="F11" i="33"/>
  <c r="F58" i="33"/>
  <c r="F51" i="33"/>
  <c r="F24" i="33"/>
  <c r="F56" i="33"/>
  <c r="F47" i="33"/>
  <c r="F39" i="33"/>
  <c r="F8" i="33"/>
  <c r="F13" i="33"/>
  <c r="F30" i="33"/>
  <c r="F15" i="33"/>
  <c r="F46" i="33"/>
  <c r="F23" i="33"/>
  <c r="F32" i="33"/>
  <c r="F22" i="33"/>
  <c r="F21" i="33"/>
  <c r="F16" i="33"/>
  <c r="F9" i="33"/>
  <c r="F38" i="33"/>
  <c r="F52" i="33"/>
  <c r="F42" i="33"/>
  <c r="F20" i="33"/>
  <c r="F27" i="33"/>
  <c r="U28" i="33"/>
  <c r="X16" i="33"/>
  <c r="DH25" i="33"/>
  <c r="CO25" i="33" a="1"/>
  <c r="CO25" i="33" s="1"/>
  <c r="CE25" i="33" a="1"/>
  <c r="CE25" i="33" s="1"/>
  <c r="BV25" i="33" a="1"/>
  <c r="BV25" i="33" s="1"/>
  <c r="BM25" i="33" a="1"/>
  <c r="BM25" i="33" s="1"/>
  <c r="BD25" i="33" a="1"/>
  <c r="BD25" i="33" s="1"/>
  <c r="DE25" i="33"/>
  <c r="CU25" i="33" a="1"/>
  <c r="CU25" i="33" s="1"/>
  <c r="BZ25" i="33"/>
  <c r="CJ25" i="33" a="1"/>
  <c r="CJ25" i="33" s="1"/>
  <c r="BQ25" i="33" a="1"/>
  <c r="BQ25" i="33" s="1"/>
  <c r="BG25" i="33" a="1"/>
  <c r="BG25" i="33" s="1"/>
  <c r="DJ25" i="33" a="1"/>
  <c r="DJ25" i="33" s="1"/>
  <c r="CX25" i="33" a="1"/>
  <c r="CX25" i="33" s="1"/>
  <c r="CL25" i="33"/>
  <c r="CA25" i="33" a="1"/>
  <c r="CA25" i="33" s="1"/>
  <c r="BP25" i="33" a="1"/>
  <c r="BP25" i="33" s="1"/>
  <c r="BY25" i="33" a="1"/>
  <c r="BY25" i="33" s="1"/>
  <c r="BO25" i="33"/>
  <c r="DI25" i="33" a="1"/>
  <c r="DI25" i="33" s="1"/>
  <c r="CW25" i="33" a="1"/>
  <c r="CW25" i="33" s="1"/>
  <c r="CK25" i="33" a="1"/>
  <c r="CK25" i="33" s="1"/>
  <c r="BN25" i="33"/>
  <c r="CV25" i="33"/>
  <c r="BX25" i="33" a="1"/>
  <c r="BX25" i="33" s="1"/>
  <c r="DF25" i="33" a="1"/>
  <c r="DF25" i="33" s="1"/>
  <c r="CB25" i="33" a="1"/>
  <c r="CB25" i="33" s="1"/>
  <c r="BK25" i="33"/>
  <c r="DC25" i="33" a="1"/>
  <c r="DC25" i="33" s="1"/>
  <c r="BW25" i="33" a="1"/>
  <c r="BW25" i="33" s="1"/>
  <c r="DB25" i="33"/>
  <c r="BI25" i="33" a="1"/>
  <c r="BI25" i="33" s="1"/>
  <c r="CM25" i="33" a="1"/>
  <c r="CM25" i="33" s="1"/>
  <c r="CI25" i="33" a="1"/>
  <c r="CI25" i="33" s="1"/>
  <c r="BU25" i="33" a="1"/>
  <c r="BU25" i="33" s="1"/>
  <c r="DD25" i="33" a="1"/>
  <c r="DD25" i="33" s="1"/>
  <c r="CP25" i="33" a="1"/>
  <c r="CP25" i="33" s="1"/>
  <c r="BJ25" i="33" a="1"/>
  <c r="BJ25" i="33" s="1"/>
  <c r="CN25" i="33"/>
  <c r="DA25" i="33" a="1"/>
  <c r="DA25" i="33" s="1"/>
  <c r="BH25" i="33" a="1"/>
  <c r="BH25" i="33" s="1"/>
  <c r="DN25" i="33"/>
  <c r="CH25" i="33"/>
  <c r="BF25" i="33"/>
  <c r="CG26" i="33" a="1"/>
  <c r="CG26" i="33" s="1"/>
  <c r="AX44" i="33"/>
  <c r="AY44" i="33" s="1"/>
  <c r="AZ44" i="33" s="1"/>
  <c r="BA44" i="33" s="1"/>
  <c r="BB44" i="33" s="1"/>
  <c r="BC44" i="33" s="1"/>
  <c r="DN44" i="33"/>
  <c r="BH49" i="33" a="1"/>
  <c r="BH49" i="33" s="1"/>
  <c r="CS49" i="33"/>
  <c r="DB51" i="33"/>
  <c r="CI51" i="33" a="1"/>
  <c r="CI51" i="33" s="1"/>
  <c r="BY51" i="33" a="1"/>
  <c r="BY51" i="33" s="1"/>
  <c r="BQ51" i="33" a="1"/>
  <c r="BQ51" i="33" s="1"/>
  <c r="DG51" i="33" a="1"/>
  <c r="DG51" i="33" s="1"/>
  <c r="CW51" i="33" a="1"/>
  <c r="CW51" i="33" s="1"/>
  <c r="CL51" i="33"/>
  <c r="CB51" i="33" a="1"/>
  <c r="CB51" i="33" s="1"/>
  <c r="BS51" i="33" a="1"/>
  <c r="BS51" i="33" s="1"/>
  <c r="BI51" i="33" a="1"/>
  <c r="BI51" i="33" s="1"/>
  <c r="CV51" i="33"/>
  <c r="CK51" i="33" a="1"/>
  <c r="CK51" i="33" s="1"/>
  <c r="BZ51" i="33"/>
  <c r="BP51" i="33" a="1"/>
  <c r="BP51" i="33" s="1"/>
  <c r="BE51" i="33" a="1"/>
  <c r="BE51" i="33" s="1"/>
  <c r="DL51" i="33"/>
  <c r="CZ51" i="33" a="1"/>
  <c r="CZ51" i="33" s="1"/>
  <c r="CA51" i="33" a="1"/>
  <c r="CA51" i="33" s="1"/>
  <c r="BN51" i="33"/>
  <c r="DK51" i="33" a="1"/>
  <c r="DK51" i="33" s="1"/>
  <c r="CY51" i="33"/>
  <c r="CM51" i="33" a="1"/>
  <c r="CM51" i="33" s="1"/>
  <c r="BX51" i="33" a="1"/>
  <c r="BX51" i="33" s="1"/>
  <c r="BM51" i="33" a="1"/>
  <c r="BM51" i="33" s="1"/>
  <c r="CO51" i="33" a="1"/>
  <c r="CO51" i="33" s="1"/>
  <c r="BW51" i="33" a="1"/>
  <c r="BW51" i="33" s="1"/>
  <c r="BJ51" i="33" a="1"/>
  <c r="BJ51" i="33" s="1"/>
  <c r="BH51" i="33" a="1"/>
  <c r="BH51" i="33" s="1"/>
  <c r="DC51" i="33" a="1"/>
  <c r="DC51" i="33" s="1"/>
  <c r="CN51" i="33"/>
  <c r="CJ51" i="33" a="1"/>
  <c r="CJ51" i="33" s="1"/>
  <c r="BV51" i="33" a="1"/>
  <c r="BV51" i="33" s="1"/>
  <c r="DA51" i="33" a="1"/>
  <c r="DA51" i="33" s="1"/>
  <c r="CU51" i="33" a="1"/>
  <c r="CU51" i="33" s="1"/>
  <c r="BG51" i="33" a="1"/>
  <c r="BG51" i="33" s="1"/>
  <c r="DN51" i="33"/>
  <c r="CT51" i="33" a="1"/>
  <c r="CT51" i="33" s="1"/>
  <c r="BF51" i="33"/>
  <c r="CX51" i="33" a="1"/>
  <c r="CX51" i="33" s="1"/>
  <c r="CE51" i="33" a="1"/>
  <c r="CE51" i="33" s="1"/>
  <c r="BL51" i="33" a="1"/>
  <c r="BL51" i="33" s="1"/>
  <c r="CD51" i="33"/>
  <c r="BK51" i="33"/>
  <c r="CC51" i="33" a="1"/>
  <c r="CC51" i="33" s="1"/>
  <c r="CS51" i="33"/>
  <c r="DM51" i="33" a="1"/>
  <c r="DM51" i="33" s="1"/>
  <c r="CR51" i="33" a="1"/>
  <c r="CR51" i="33" s="1"/>
  <c r="BD51" i="33" a="1"/>
  <c r="BD51" i="33" s="1"/>
  <c r="BR59" i="33" a="1"/>
  <c r="BR59" i="33" s="1"/>
  <c r="AX20" i="33"/>
  <c r="AY20" i="33" s="1"/>
  <c r="AZ20" i="33" s="1"/>
  <c r="BA20" i="33" s="1"/>
  <c r="BB20" i="33" s="1"/>
  <c r="BC20" i="33" s="1"/>
  <c r="BN20" i="33" s="1"/>
  <c r="BM20" i="33" s="1" a="1"/>
  <c r="BM20" i="33" s="1"/>
  <c r="AX25" i="33"/>
  <c r="AY25" i="33" s="1"/>
  <c r="AZ25" i="33" s="1"/>
  <c r="BA25" i="33" s="1"/>
  <c r="BB25" i="33" s="1"/>
  <c r="BC25" i="33" s="1"/>
  <c r="DK25" i="33" a="1"/>
  <c r="DK25" i="33" s="1"/>
  <c r="DK26" i="33" a="1"/>
  <c r="DK26" i="33" s="1"/>
  <c r="CT49" i="33" a="1"/>
  <c r="CT49" i="33" s="1"/>
  <c r="AX51" i="33"/>
  <c r="AY51" i="33" s="1"/>
  <c r="AZ51" i="33" s="1"/>
  <c r="BA51" i="33" s="1"/>
  <c r="BB51" i="33" s="1"/>
  <c r="BC51" i="33" s="1"/>
  <c r="BD26" i="33" a="1"/>
  <c r="BD26" i="33" s="1"/>
  <c r="DN26" i="33"/>
  <c r="Y8" i="33" a="1"/>
  <c r="Y8" i="33" s="1"/>
  <c r="F18" i="33"/>
  <c r="CF25" i="33"/>
  <c r="BM26" i="33" a="1"/>
  <c r="BM26" i="33" s="1"/>
  <c r="BL32" i="33" a="1"/>
  <c r="BL32" i="33" s="1"/>
  <c r="CR32" i="33" a="1"/>
  <c r="CR32" i="33" s="1"/>
  <c r="CI39" i="33" a="1"/>
  <c r="CI39" i="33" s="1"/>
  <c r="BK44" i="33"/>
  <c r="CS52" i="33"/>
  <c r="BE25" i="33" a="1"/>
  <c r="BE25" i="33" s="1"/>
  <c r="DM25" i="33" a="1"/>
  <c r="DM25" i="33" s="1"/>
  <c r="BL44" i="33" a="1"/>
  <c r="BL44" i="33" s="1"/>
  <c r="BE46" i="33" a="1"/>
  <c r="BE46" i="33" s="1"/>
  <c r="BO51" i="33"/>
  <c r="DD51" i="33" a="1"/>
  <c r="DD51" i="33" s="1"/>
  <c r="CT52" i="33" a="1"/>
  <c r="CT52" i="33" s="1"/>
  <c r="BN26" i="33"/>
  <c r="BL25" i="33" a="1"/>
  <c r="BL25" i="33" s="1"/>
  <c r="BO26" i="33"/>
  <c r="CT26" i="33" a="1"/>
  <c r="CT26" i="33" s="1"/>
  <c r="CW44" i="33" a="1"/>
  <c r="CW44" i="33" s="1"/>
  <c r="BH46" i="33" a="1"/>
  <c r="BH46" i="33" s="1"/>
  <c r="F50" i="33"/>
  <c r="BR51" i="33" a="1"/>
  <c r="BR51" i="33" s="1"/>
  <c r="DE51" i="33"/>
  <c r="BD52" i="33" a="1"/>
  <c r="BD52" i="33" s="1"/>
  <c r="CU52" i="33" a="1"/>
  <c r="CU52" i="33" s="1"/>
  <c r="F55" i="33"/>
  <c r="CT59" i="33" a="1"/>
  <c r="CT59" i="33" s="1"/>
  <c r="DI73" i="33" a="1"/>
  <c r="DI73" i="33" s="1"/>
  <c r="CY73" i="33"/>
  <c r="DH73" i="33"/>
  <c r="CO73" i="33" a="1"/>
  <c r="CO73" i="33" s="1"/>
  <c r="CE73" i="33" a="1"/>
  <c r="CE73" i="33" s="1"/>
  <c r="BV73" i="33" a="1"/>
  <c r="BV73" i="33" s="1"/>
  <c r="BM73" i="33" a="1"/>
  <c r="BM73" i="33" s="1"/>
  <c r="BD73" i="33" a="1"/>
  <c r="BD73" i="33" s="1"/>
  <c r="CZ73" i="33" a="1"/>
  <c r="CZ73" i="33" s="1"/>
  <c r="BS73" i="33" a="1"/>
  <c r="BS73" i="33" s="1"/>
  <c r="DJ73" i="33" a="1"/>
  <c r="DJ73" i="33" s="1"/>
  <c r="CX73" i="33" a="1"/>
  <c r="CX73" i="33" s="1"/>
  <c r="CM73" i="33" a="1"/>
  <c r="CM73" i="33" s="1"/>
  <c r="CB73" i="33" a="1"/>
  <c r="CB73" i="33" s="1"/>
  <c r="BH73" i="33" a="1"/>
  <c r="BH73" i="33" s="1"/>
  <c r="DN73" i="33"/>
  <c r="DB73" i="33"/>
  <c r="CP73" i="33" a="1"/>
  <c r="CP73" i="33" s="1"/>
  <c r="BQ73" i="33" a="1"/>
  <c r="BQ73" i="33" s="1"/>
  <c r="BE73" i="33" a="1"/>
  <c r="BE73" i="33" s="1"/>
  <c r="CA73" i="33" a="1"/>
  <c r="CA73" i="33" s="1"/>
  <c r="BP73" i="33" a="1"/>
  <c r="BP73" i="33" s="1"/>
  <c r="DC73" i="33" a="1"/>
  <c r="DC73" i="33" s="1"/>
  <c r="CN73" i="33"/>
  <c r="BZ73" i="33"/>
  <c r="BO73" i="33"/>
  <c r="DM73" i="33" a="1"/>
  <c r="DM73" i="33" s="1"/>
  <c r="CW73" i="33" a="1"/>
  <c r="CW73" i="33" s="1"/>
  <c r="CI73" i="33" a="1"/>
  <c r="CI73" i="33" s="1"/>
  <c r="BF73" i="33"/>
  <c r="DL73" i="33"/>
  <c r="CV73" i="33"/>
  <c r="CH73" i="33"/>
  <c r="BT73" i="33" a="1"/>
  <c r="BT73" i="33" s="1"/>
  <c r="CG73" i="33" a="1"/>
  <c r="CG73" i="33" s="1"/>
  <c r="CF73" i="33"/>
  <c r="BN73" i="33"/>
  <c r="CU73" i="33" a="1"/>
  <c r="CU73" i="33" s="1"/>
  <c r="CD73" i="33"/>
  <c r="BY73" i="33" a="1"/>
  <c r="BY73" i="33" s="1"/>
  <c r="DK73" i="33" a="1"/>
  <c r="DK73" i="33" s="1"/>
  <c r="CR73" i="33" a="1"/>
  <c r="CR73" i="33" s="1"/>
  <c r="BW73" i="33" a="1"/>
  <c r="BW73" i="33" s="1"/>
  <c r="CT73" i="33" a="1"/>
  <c r="CT73" i="33" s="1"/>
  <c r="BG73" i="33" a="1"/>
  <c r="BG73" i="33" s="1"/>
  <c r="CS73" i="33"/>
  <c r="BX73" i="33" a="1"/>
  <c r="BX73" i="33" s="1"/>
  <c r="CL73" i="33"/>
  <c r="BK73" i="33"/>
  <c r="CK73" i="33" a="1"/>
  <c r="CK73" i="33" s="1"/>
  <c r="BJ73" i="33" a="1"/>
  <c r="BJ73" i="33" s="1"/>
  <c r="CJ73" i="33" a="1"/>
  <c r="CJ73" i="33" s="1"/>
  <c r="BI73" i="33" a="1"/>
  <c r="BI73" i="33" s="1"/>
  <c r="DA73" i="33" a="1"/>
  <c r="DA73" i="33" s="1"/>
  <c r="BR73" i="33" a="1"/>
  <c r="BR73" i="33" s="1"/>
  <c r="CQ73" i="33"/>
  <c r="BL73" i="33" a="1"/>
  <c r="BL73" i="33" s="1"/>
  <c r="F25" i="33"/>
  <c r="CR25" i="33" a="1"/>
  <c r="CR25" i="33" s="1"/>
  <c r="BP26" i="33" a="1"/>
  <c r="BP26" i="33" s="1"/>
  <c r="CU32" i="33" a="1"/>
  <c r="CU32" i="33" s="1"/>
  <c r="BD34" i="33" a="1"/>
  <c r="BD34" i="33" s="1"/>
  <c r="BN39" i="33"/>
  <c r="CU39" i="33" a="1"/>
  <c r="CU39" i="33" s="1"/>
  <c r="CR46" i="33" a="1"/>
  <c r="CR46" i="33" s="1"/>
  <c r="CL47" i="33"/>
  <c r="DF51" i="33" a="1"/>
  <c r="DF51" i="33" s="1"/>
  <c r="F59" i="33"/>
  <c r="AX73" i="33"/>
  <c r="AY73" i="33" s="1"/>
  <c r="AZ73" i="33" s="1"/>
  <c r="BA73" i="33" s="1"/>
  <c r="BB73" i="33" s="1"/>
  <c r="BC73" i="33" s="1"/>
  <c r="F6" i="33"/>
  <c r="DD16" i="33" a="1"/>
  <c r="DD16" i="33" s="1"/>
  <c r="CU26" i="33" a="1"/>
  <c r="CU26" i="33" s="1"/>
  <c r="CW29" i="33" a="1"/>
  <c r="CW29" i="33" s="1"/>
  <c r="CM29" i="33" a="1"/>
  <c r="CM29" i="33" s="1"/>
  <c r="CC29" i="33" a="1"/>
  <c r="CC29" i="33" s="1"/>
  <c r="BK29" i="33"/>
  <c r="CQ29" i="33"/>
  <c r="CG29" i="33" a="1"/>
  <c r="CG29" i="33" s="1"/>
  <c r="BW29" i="33" a="1"/>
  <c r="BW29" i="33" s="1"/>
  <c r="BD29" i="33" a="1"/>
  <c r="BD29" i="33" s="1"/>
  <c r="DK29" i="33" a="1"/>
  <c r="DK29" i="33" s="1"/>
  <c r="DA29" i="33" a="1"/>
  <c r="DA29" i="33" s="1"/>
  <c r="CF29" i="33"/>
  <c r="BM29" i="33" a="1"/>
  <c r="BM29" i="33" s="1"/>
  <c r="DB29" i="33"/>
  <c r="BS29" i="33" a="1"/>
  <c r="BS29" i="33" s="1"/>
  <c r="BH29" i="33" a="1"/>
  <c r="BH29" i="33" s="1"/>
  <c r="CY29" i="33"/>
  <c r="BF29" i="33"/>
  <c r="DM29" i="33" a="1"/>
  <c r="DM29" i="33" s="1"/>
  <c r="CO29" i="33" a="1"/>
  <c r="CO29" i="33" s="1"/>
  <c r="DL29" i="33"/>
  <c r="CZ29" i="33" a="1"/>
  <c r="CZ29" i="33" s="1"/>
  <c r="CN29" i="33"/>
  <c r="CB29" i="33" a="1"/>
  <c r="CB29" i="33" s="1"/>
  <c r="BR29" i="33" a="1"/>
  <c r="BR29" i="33" s="1"/>
  <c r="BG29" i="33" a="1"/>
  <c r="BG29" i="33" s="1"/>
  <c r="CK29" i="33" a="1"/>
  <c r="CK29" i="33" s="1"/>
  <c r="BI29" i="33" a="1"/>
  <c r="BI29" i="33" s="1"/>
  <c r="BE29" i="33" a="1"/>
  <c r="BE29" i="33" s="1"/>
  <c r="CI29" i="33" a="1"/>
  <c r="CI29" i="33" s="1"/>
  <c r="DN29" i="33"/>
  <c r="CV29" i="33"/>
  <c r="CH29" i="33"/>
  <c r="DJ29" i="33" a="1"/>
  <c r="DJ29" i="33" s="1"/>
  <c r="BQ29" i="33" a="1"/>
  <c r="BQ29" i="33" s="1"/>
  <c r="DC29" i="33" a="1"/>
  <c r="DC29" i="33" s="1"/>
  <c r="BV29" i="33" a="1"/>
  <c r="BV29" i="33" s="1"/>
  <c r="CJ29" i="33" a="1"/>
  <c r="CJ29" i="33" s="1"/>
  <c r="CX29" i="33" a="1"/>
  <c r="CX29" i="33" s="1"/>
  <c r="BU29" i="33" a="1"/>
  <c r="BU29" i="33" s="1"/>
  <c r="BT29" i="33" a="1"/>
  <c r="BT29" i="33" s="1"/>
  <c r="CU29" i="33" a="1"/>
  <c r="CU29" i="33" s="1"/>
  <c r="CD29" i="33"/>
  <c r="DH29" i="33"/>
  <c r="BS32" i="33" a="1"/>
  <c r="BS32" i="33" s="1"/>
  <c r="CX32" i="33" a="1"/>
  <c r="CX32" i="33" s="1"/>
  <c r="CH34" i="33"/>
  <c r="BO39" i="33"/>
  <c r="BQ44" i="33" a="1"/>
  <c r="BQ44" i="33" s="1"/>
  <c r="CX44" i="33" a="1"/>
  <c r="CX44" i="33" s="1"/>
  <c r="BS46" i="33" a="1"/>
  <c r="BS46" i="33" s="1"/>
  <c r="CM47" i="33" a="1"/>
  <c r="CM47" i="33" s="1"/>
  <c r="DE48" i="33"/>
  <c r="CB48" i="33" a="1"/>
  <c r="CB48" i="33" s="1"/>
  <c r="BJ48" i="33" a="1"/>
  <c r="BJ48" i="33" s="1"/>
  <c r="DL48" i="33"/>
  <c r="DB48" i="33"/>
  <c r="CR48" i="33" a="1"/>
  <c r="CR48" i="33" s="1"/>
  <c r="BN48" i="33"/>
  <c r="CQ48" i="33"/>
  <c r="CG48" i="33" a="1"/>
  <c r="CG48" i="33" s="1"/>
  <c r="BW48" i="33" a="1"/>
  <c r="BW48" i="33" s="1"/>
  <c r="BD48" i="33" a="1"/>
  <c r="BD48" i="33" s="1"/>
  <c r="CY48" i="33"/>
  <c r="BF48" i="33"/>
  <c r="DJ48" i="33" a="1"/>
  <c r="DJ48" i="33" s="1"/>
  <c r="CM48" i="33" a="1"/>
  <c r="CM48" i="33" s="1"/>
  <c r="CA48" i="33" a="1"/>
  <c r="CA48" i="33" s="1"/>
  <c r="BQ48" i="33" a="1"/>
  <c r="BQ48" i="33" s="1"/>
  <c r="CX48" i="33" a="1"/>
  <c r="CX48" i="33" s="1"/>
  <c r="CL48" i="33"/>
  <c r="BZ48" i="33"/>
  <c r="BE48" i="33" a="1"/>
  <c r="BE48" i="33" s="1"/>
  <c r="DM48" i="33" a="1"/>
  <c r="DM48" i="33" s="1"/>
  <c r="CW48" i="33" a="1"/>
  <c r="CW48" i="33" s="1"/>
  <c r="CI48" i="33" a="1"/>
  <c r="CI48" i="33" s="1"/>
  <c r="BU48" i="33" a="1"/>
  <c r="BU48" i="33" s="1"/>
  <c r="BH48" i="33" a="1"/>
  <c r="BH48" i="33" s="1"/>
  <c r="DH48" i="33"/>
  <c r="BS48" i="33" a="1"/>
  <c r="BS48" i="33" s="1"/>
  <c r="DK48" i="33" a="1"/>
  <c r="DK48" i="33" s="1"/>
  <c r="CV48" i="33"/>
  <c r="CH48" i="33"/>
  <c r="DI48" i="33" a="1"/>
  <c r="DI48" i="33" s="1"/>
  <c r="CU48" i="33" a="1"/>
  <c r="CU48" i="33" s="1"/>
  <c r="CF48" i="33"/>
  <c r="BT48" i="33" a="1"/>
  <c r="BT48" i="33" s="1"/>
  <c r="BG48" i="33" a="1"/>
  <c r="BG48" i="33" s="1"/>
  <c r="DA48" i="33" a="1"/>
  <c r="DA48" i="33" s="1"/>
  <c r="CE48" i="33" a="1"/>
  <c r="CE48" i="33" s="1"/>
  <c r="BM48" i="33" a="1"/>
  <c r="BM48" i="33" s="1"/>
  <c r="CC48" i="33" a="1"/>
  <c r="CC48" i="33" s="1"/>
  <c r="CS48" i="33"/>
  <c r="DN48" i="33"/>
  <c r="BY48" i="33" a="1"/>
  <c r="BY48" i="33" s="1"/>
  <c r="BI48" i="33" a="1"/>
  <c r="BI48" i="33" s="1"/>
  <c r="CD48" i="33"/>
  <c r="CZ48" i="33" a="1"/>
  <c r="CZ48" i="33" s="1"/>
  <c r="BL48" i="33" a="1"/>
  <c r="BL48" i="33" s="1"/>
  <c r="BK48" i="33"/>
  <c r="CT48" i="33" a="1"/>
  <c r="CT48" i="33" s="1"/>
  <c r="CK48" i="33" a="1"/>
  <c r="CK48" i="33" s="1"/>
  <c r="BZ49" i="33"/>
  <c r="DH51" i="33"/>
  <c r="CU59" i="33" a="1"/>
  <c r="CU59" i="33" s="1"/>
  <c r="DM65" i="33" a="1"/>
  <c r="DM65" i="33" s="1"/>
  <c r="CT65" i="33" a="1"/>
  <c r="CT65" i="33" s="1"/>
  <c r="CJ65" i="33" a="1"/>
  <c r="CJ65" i="33" s="1"/>
  <c r="BZ65" i="33"/>
  <c r="BR65" i="33" a="1"/>
  <c r="BR65" i="33" s="1"/>
  <c r="BY65" i="33" a="1"/>
  <c r="BY65" i="33" s="1"/>
  <c r="BF65" i="33"/>
  <c r="DN65" i="33"/>
  <c r="DD65" i="33" a="1"/>
  <c r="DD65" i="33" s="1"/>
  <c r="CS65" i="33"/>
  <c r="CI65" i="33" a="1"/>
  <c r="CI65" i="33" s="1"/>
  <c r="BP65" i="33" a="1"/>
  <c r="BP65" i="33" s="1"/>
  <c r="CV65" i="33"/>
  <c r="BM65" i="33" a="1"/>
  <c r="BM65" i="33" s="1"/>
  <c r="DK65" i="33" a="1"/>
  <c r="DK65" i="33" s="1"/>
  <c r="CY65" i="33"/>
  <c r="CM65" i="33" a="1"/>
  <c r="CM65" i="33" s="1"/>
  <c r="CA65" i="33" a="1"/>
  <c r="CA65" i="33" s="1"/>
  <c r="BN65" i="33"/>
  <c r="CL65" i="33"/>
  <c r="DJ65" i="33" a="1"/>
  <c r="DJ65" i="33" s="1"/>
  <c r="CW65" i="33" a="1"/>
  <c r="CW65" i="33" s="1"/>
  <c r="CG65" i="33" a="1"/>
  <c r="CG65" i="33" s="1"/>
  <c r="CF65" i="33"/>
  <c r="BT65" i="33" a="1"/>
  <c r="BT65" i="33" s="1"/>
  <c r="BG65" i="33" a="1"/>
  <c r="BG65" i="33" s="1"/>
  <c r="DI65" i="33" a="1"/>
  <c r="DI65" i="33" s="1"/>
  <c r="CR65" i="33" a="1"/>
  <c r="CR65" i="33" s="1"/>
  <c r="CC65" i="33" a="1"/>
  <c r="CC65" i="33" s="1"/>
  <c r="DH65" i="33"/>
  <c r="CQ65" i="33"/>
  <c r="BL65" i="33" a="1"/>
  <c r="BL65" i="33" s="1"/>
  <c r="DG65" i="33" a="1"/>
  <c r="DG65" i="33" s="1"/>
  <c r="CB65" i="33" a="1"/>
  <c r="CB65" i="33" s="1"/>
  <c r="BK65" i="33"/>
  <c r="DB65" i="33"/>
  <c r="CH65" i="33"/>
  <c r="CD65" i="33"/>
  <c r="BJ65" i="33" a="1"/>
  <c r="BJ65" i="33" s="1"/>
  <c r="BQ65" i="33" a="1"/>
  <c r="BQ65" i="33" s="1"/>
  <c r="DA65" i="33" a="1"/>
  <c r="DA65" i="33" s="1"/>
  <c r="BO65" i="33"/>
  <c r="CE65" i="33" a="1"/>
  <c r="CE65" i="33" s="1"/>
  <c r="CZ65" i="33" a="1"/>
  <c r="CZ65" i="33" s="1"/>
  <c r="BE65" i="33" a="1"/>
  <c r="BE65" i="33" s="1"/>
  <c r="DL65" i="33"/>
  <c r="CK65" i="33" a="1"/>
  <c r="CK65" i="33" s="1"/>
  <c r="BD65" i="33" a="1"/>
  <c r="BD65" i="33" s="1"/>
  <c r="BX65" i="33" a="1"/>
  <c r="BX65" i="33" s="1"/>
  <c r="CO65" i="33" a="1"/>
  <c r="CO65" i="33" s="1"/>
  <c r="CN65" i="33"/>
  <c r="BI65" i="33" a="1"/>
  <c r="BI65" i="33" s="1"/>
  <c r="BH65" i="33" a="1"/>
  <c r="BH65" i="33" s="1"/>
  <c r="DF65" i="33" a="1"/>
  <c r="DF65" i="33" s="1"/>
  <c r="BU73" i="33" a="1"/>
  <c r="BU73" i="33" s="1"/>
  <c r="BS25" i="33" a="1"/>
  <c r="BS25" i="33" s="1"/>
  <c r="DF26" i="33" a="1"/>
  <c r="DF26" i="33" s="1"/>
  <c r="BJ29" i="33" a="1"/>
  <c r="BJ29" i="33" s="1"/>
  <c r="CL29" i="33"/>
  <c r="BP34" i="33" a="1"/>
  <c r="BP34" i="33" s="1"/>
  <c r="CT34" i="33" a="1"/>
  <c r="CT34" i="33" s="1"/>
  <c r="BQ39" i="33" a="1"/>
  <c r="BQ39" i="33" s="1"/>
  <c r="BJ41" i="33" a="1"/>
  <c r="BJ41" i="33" s="1"/>
  <c r="CN41" i="33"/>
  <c r="CA44" i="33" a="1"/>
  <c r="CA44" i="33" s="1"/>
  <c r="DJ44" i="33" a="1"/>
  <c r="DJ44" i="33" s="1"/>
  <c r="CZ47" i="33" a="1"/>
  <c r="CZ47" i="33" s="1"/>
  <c r="CN49" i="33"/>
  <c r="BU51" i="33" a="1"/>
  <c r="BU51" i="33" s="1"/>
  <c r="DJ51" i="33" a="1"/>
  <c r="DJ51" i="33" s="1"/>
  <c r="BU52" i="33" a="1"/>
  <c r="BU52" i="33" s="1"/>
  <c r="CW59" i="33" a="1"/>
  <c r="CW59" i="33" s="1"/>
  <c r="CC73" i="33" a="1"/>
  <c r="CC73" i="33" s="1"/>
  <c r="CG35" i="33" a="1"/>
  <c r="CG35" i="33" s="1"/>
  <c r="DL35" i="33"/>
  <c r="CX31" i="33" a="1"/>
  <c r="CX31" i="33" s="1"/>
  <c r="CN31" i="33"/>
  <c r="CD31" i="33"/>
  <c r="DL31" i="33"/>
  <c r="DB31" i="33"/>
  <c r="CR31" i="33" a="1"/>
  <c r="CR31" i="33" s="1"/>
  <c r="BN31" i="33"/>
  <c r="CQ31" i="33"/>
  <c r="CG31" i="33" a="1"/>
  <c r="CG31" i="33" s="1"/>
  <c r="BW31" i="33" a="1"/>
  <c r="BW31" i="33" s="1"/>
  <c r="BD31" i="33" a="1"/>
  <c r="BD31" i="33" s="1"/>
  <c r="CY31" i="33"/>
  <c r="CM31" i="33" a="1"/>
  <c r="CM31" i="33" s="1"/>
  <c r="BF31" i="33"/>
  <c r="DI31" i="33" a="1"/>
  <c r="DI31" i="33" s="1"/>
  <c r="CK31" i="33" a="1"/>
  <c r="CK31" i="33" s="1"/>
  <c r="BP31" i="33" a="1"/>
  <c r="BP31" i="33" s="1"/>
  <c r="DJ31" i="33" a="1"/>
  <c r="DJ31" i="33" s="1"/>
  <c r="CL31" i="33"/>
  <c r="CA31" i="33" a="1"/>
  <c r="CA31" i="33" s="1"/>
  <c r="BQ31" i="33" a="1"/>
  <c r="BQ31" i="33" s="1"/>
  <c r="BZ31" i="33"/>
  <c r="BE31" i="33" a="1"/>
  <c r="BE31" i="33" s="1"/>
  <c r="CW31" i="33" a="1"/>
  <c r="CW31" i="33" s="1"/>
  <c r="CT31" i="33" a="1"/>
  <c r="CT31" i="33" s="1"/>
  <c r="DN35" i="33"/>
  <c r="CC37" i="33" a="1"/>
  <c r="CC37" i="33" s="1"/>
  <c r="DL37" i="33"/>
  <c r="C146" i="32"/>
  <c r="D146" i="32"/>
  <c r="DM31" i="33" a="1"/>
  <c r="DM31" i="33" s="1"/>
  <c r="BT35" i="33" a="1"/>
  <c r="BT35" i="33" s="1"/>
  <c r="DH43" i="33"/>
  <c r="CO43" i="33" a="1"/>
  <c r="CO43" i="33" s="1"/>
  <c r="CE43" i="33" a="1"/>
  <c r="CE43" i="33" s="1"/>
  <c r="BV43" i="33" a="1"/>
  <c r="BV43" i="33" s="1"/>
  <c r="BM43" i="33" a="1"/>
  <c r="BM43" i="33" s="1"/>
  <c r="BD43" i="33" a="1"/>
  <c r="BD43" i="33" s="1"/>
  <c r="CX43" i="33" a="1"/>
  <c r="CX43" i="33" s="1"/>
  <c r="CN43" i="33"/>
  <c r="CD43" i="33"/>
  <c r="CT43" i="33" a="1"/>
  <c r="CT43" i="33" s="1"/>
  <c r="CI43" i="33" a="1"/>
  <c r="CI43" i="33" s="1"/>
  <c r="BX43" i="33" a="1"/>
  <c r="BX43" i="33" s="1"/>
  <c r="BN43" i="33"/>
  <c r="DD43" i="33" a="1"/>
  <c r="DD43" i="33" s="1"/>
  <c r="CS43" i="33"/>
  <c r="CH43" i="33"/>
  <c r="CG43" i="33" a="1"/>
  <c r="CG43" i="33" s="1"/>
  <c r="BI43" i="33" a="1"/>
  <c r="BI43" i="33" s="1"/>
  <c r="CQ43" i="33"/>
  <c r="BS43" i="33" a="1"/>
  <c r="BS43" i="33" s="1"/>
  <c r="DF43" i="33" a="1"/>
  <c r="DF43" i="33" s="1"/>
  <c r="CF43" i="33"/>
  <c r="BT43" i="33" a="1"/>
  <c r="BT43" i="33" s="1"/>
  <c r="DE43" i="33"/>
  <c r="CR43" i="33" a="1"/>
  <c r="CR43" i="33" s="1"/>
  <c r="BH43" i="33" a="1"/>
  <c r="BH43" i="33" s="1"/>
  <c r="CC43" i="33" a="1"/>
  <c r="CC43" i="33" s="1"/>
  <c r="CW43" i="33" a="1"/>
  <c r="CW43" i="33" s="1"/>
  <c r="V23" i="33"/>
  <c r="V25" i="33"/>
  <c r="V18" i="33"/>
  <c r="V26" i="33"/>
  <c r="DA28" i="33" a="1"/>
  <c r="DA28" i="33" s="1"/>
  <c r="CQ28" i="33"/>
  <c r="BX28" i="33" a="1"/>
  <c r="BX28" i="33" s="1"/>
  <c r="BP28" i="33" a="1"/>
  <c r="BP28" i="33" s="1"/>
  <c r="BF28" i="33"/>
  <c r="CF28" i="33"/>
  <c r="BM28" i="33" a="1"/>
  <c r="BM28" i="33" s="1"/>
  <c r="DK28" i="33" a="1"/>
  <c r="DK28" i="33" s="1"/>
  <c r="CP28" i="33" a="1"/>
  <c r="CP28" i="33" s="1"/>
  <c r="BV28" i="33" a="1"/>
  <c r="BV28" i="33" s="1"/>
  <c r="CR28" i="33" a="1"/>
  <c r="CR28" i="33" s="1"/>
  <c r="CD28" i="33"/>
  <c r="BT28" i="33" a="1"/>
  <c r="BT28" i="33" s="1"/>
  <c r="BI28" i="33" a="1"/>
  <c r="BI28" i="33" s="1"/>
  <c r="DM28" i="33" a="1"/>
  <c r="DM28" i="33" s="1"/>
  <c r="CN28" i="33"/>
  <c r="DN28" i="33"/>
  <c r="DC28" i="33" a="1"/>
  <c r="DC28" i="33" s="1"/>
  <c r="DB28" i="33"/>
  <c r="CO28" i="33" a="1"/>
  <c r="CO28" i="33" s="1"/>
  <c r="CC28" i="33" a="1"/>
  <c r="CC28" i="33" s="1"/>
  <c r="BS28" i="33" a="1"/>
  <c r="BS28" i="33" s="1"/>
  <c r="BH28" i="33" a="1"/>
  <c r="BH28" i="33" s="1"/>
  <c r="CZ28" i="33" a="1"/>
  <c r="CZ28" i="33" s="1"/>
  <c r="BS31" i="33" a="1"/>
  <c r="BS31" i="33" s="1"/>
  <c r="CF31" i="33"/>
  <c r="BQ37" i="33" a="1"/>
  <c r="BQ37" i="33" s="1"/>
  <c r="CZ40" i="33" a="1"/>
  <c r="CZ40" i="33" s="1"/>
  <c r="CP40" i="33" a="1"/>
  <c r="CP40" i="33" s="1"/>
  <c r="CF40" i="33"/>
  <c r="BW40" i="33" a="1"/>
  <c r="BW40" i="33" s="1"/>
  <c r="BN40" i="33"/>
  <c r="BE40" i="33" a="1"/>
  <c r="BE40" i="33" s="1"/>
  <c r="DI40" i="33" a="1"/>
  <c r="DI40" i="33" s="1"/>
  <c r="CY40" i="33"/>
  <c r="DG40" i="33" a="1"/>
  <c r="DG40" i="33" s="1"/>
  <c r="CV40" i="33"/>
  <c r="CK40" i="33" a="1"/>
  <c r="CK40" i="33" s="1"/>
  <c r="BZ40" i="33"/>
  <c r="BQ40" i="33" a="1"/>
  <c r="BQ40" i="33" s="1"/>
  <c r="BF40" i="33"/>
  <c r="DE40" i="33"/>
  <c r="CS40" i="33"/>
  <c r="CG40" i="33" a="1"/>
  <c r="CG40" i="33" s="1"/>
  <c r="BI40" i="33" a="1"/>
  <c r="BI40" i="33" s="1"/>
  <c r="BS40" i="33" a="1"/>
  <c r="BS40" i="33" s="1"/>
  <c r="CE40" i="33" a="1"/>
  <c r="CE40" i="33" s="1"/>
  <c r="BT40" i="33" a="1"/>
  <c r="BT40" i="33" s="1"/>
  <c r="DD40" i="33" a="1"/>
  <c r="DD40" i="33" s="1"/>
  <c r="CR40" i="33" a="1"/>
  <c r="CR40" i="33" s="1"/>
  <c r="CD40" i="33"/>
  <c r="BH40" i="33" a="1"/>
  <c r="BH40" i="33" s="1"/>
  <c r="CQ40" i="33"/>
  <c r="CC40" i="33" a="1"/>
  <c r="CC40" i="33" s="1"/>
  <c r="DL40" i="33"/>
  <c r="BQ43" i="33" a="1"/>
  <c r="BQ43" i="33" s="1"/>
  <c r="DI50" i="33" a="1"/>
  <c r="DI50" i="33" s="1"/>
  <c r="CY50" i="33"/>
  <c r="CN50" i="33"/>
  <c r="DE50" i="33"/>
  <c r="BO50" i="33"/>
  <c r="BD50" i="33" a="1"/>
  <c r="BD50" i="33" s="1"/>
  <c r="CT50" i="33" a="1"/>
  <c r="CT50" i="33" s="1"/>
  <c r="CI50" i="33" a="1"/>
  <c r="CI50" i="33" s="1"/>
  <c r="BX50" i="33" a="1"/>
  <c r="BX50" i="33" s="1"/>
  <c r="BN50" i="33"/>
  <c r="CZ50" i="33" a="1"/>
  <c r="CZ50" i="33" s="1"/>
  <c r="CL50" i="33"/>
  <c r="BZ50" i="33"/>
  <c r="BP50" i="33" a="1"/>
  <c r="BP50" i="33" s="1"/>
  <c r="DK50" i="33" a="1"/>
  <c r="DK50" i="33" s="1"/>
  <c r="CX50" i="33" a="1"/>
  <c r="CX50" i="33" s="1"/>
  <c r="BM50" i="33" a="1"/>
  <c r="BM50" i="33" s="1"/>
  <c r="CK50" i="33" a="1"/>
  <c r="CK50" i="33" s="1"/>
  <c r="BY50" i="33" a="1"/>
  <c r="BY50" i="33" s="1"/>
  <c r="AX50" i="33"/>
  <c r="AY50" i="33" s="1"/>
  <c r="AZ50" i="33" s="1"/>
  <c r="BA50" i="33" s="1"/>
  <c r="BB50" i="33" s="1"/>
  <c r="BC50" i="33" s="1"/>
  <c r="BH50" i="33" a="1"/>
  <c r="BH50" i="33" s="1"/>
  <c r="CW50" i="33" a="1"/>
  <c r="CW50" i="33" s="1"/>
  <c r="BF50" i="33"/>
  <c r="DA50" i="33" a="1"/>
  <c r="DA50" i="33" s="1"/>
  <c r="CJ50" i="33" a="1"/>
  <c r="CJ50" i="33" s="1"/>
  <c r="BU50" i="33" a="1"/>
  <c r="BU50" i="33" s="1"/>
  <c r="DN50" i="33"/>
  <c r="CH50" i="33"/>
  <c r="BT50" i="33" a="1"/>
  <c r="BT50" i="33" s="1"/>
  <c r="BG50" i="33" a="1"/>
  <c r="BG50" i="33" s="1"/>
  <c r="DH50" i="33"/>
  <c r="BF55" i="33"/>
  <c r="CV55" i="33"/>
  <c r="DB62" i="33"/>
  <c r="CI62" i="33" a="1"/>
  <c r="CI62" i="33" s="1"/>
  <c r="BY62" i="33" a="1"/>
  <c r="BY62" i="33" s="1"/>
  <c r="BQ62" i="33" a="1"/>
  <c r="BQ62" i="33" s="1"/>
  <c r="DK62" i="33" a="1"/>
  <c r="DK62" i="33" s="1"/>
  <c r="CR62" i="33" a="1"/>
  <c r="CR62" i="33" s="1"/>
  <c r="CH62" i="33"/>
  <c r="BG62" i="33" a="1"/>
  <c r="BG62" i="33" s="1"/>
  <c r="DI62" i="33" a="1"/>
  <c r="DI62" i="33" s="1"/>
  <c r="CX62" i="33" a="1"/>
  <c r="CX62" i="33" s="1"/>
  <c r="CM62" i="33" a="1"/>
  <c r="CM62" i="33" s="1"/>
  <c r="CB62" i="33" a="1"/>
  <c r="CB62" i="33" s="1"/>
  <c r="BH62" i="33" a="1"/>
  <c r="BH62" i="33" s="1"/>
  <c r="DL62" i="33"/>
  <c r="CZ62" i="33" a="1"/>
  <c r="CZ62" i="33" s="1"/>
  <c r="CN62" i="33"/>
  <c r="BR62" i="33" a="1"/>
  <c r="BR62" i="33" s="1"/>
  <c r="CY62" i="33"/>
  <c r="BE62" i="33" a="1"/>
  <c r="BE62" i="33" s="1"/>
  <c r="DH62" i="33"/>
  <c r="CU62" i="33" a="1"/>
  <c r="CU62" i="33" s="1"/>
  <c r="CG62" i="33" a="1"/>
  <c r="CG62" i="33" s="1"/>
  <c r="BU62" i="33" a="1"/>
  <c r="BU62" i="33" s="1"/>
  <c r="BI62" i="33" a="1"/>
  <c r="BI62" i="33" s="1"/>
  <c r="DJ62" i="33" a="1"/>
  <c r="DJ62" i="33" s="1"/>
  <c r="CE62" i="33" a="1"/>
  <c r="CE62" i="33" s="1"/>
  <c r="BP62" i="33" a="1"/>
  <c r="BP62" i="33" s="1"/>
  <c r="CT62" i="33" a="1"/>
  <c r="CT62" i="33" s="1"/>
  <c r="CD62" i="33"/>
  <c r="BO62" i="33"/>
  <c r="DG62" i="33" a="1"/>
  <c r="DG62" i="33" s="1"/>
  <c r="CS62" i="33"/>
  <c r="BN62" i="33"/>
  <c r="CC62" i="33" a="1"/>
  <c r="CC62" i="33" s="1"/>
  <c r="BL62" i="33" a="1"/>
  <c r="BL62" i="33" s="1"/>
  <c r="BX62" i="33" a="1"/>
  <c r="BX62" i="33" s="1"/>
  <c r="CW62" i="33" a="1"/>
  <c r="CW62" i="33" s="1"/>
  <c r="CA62" i="33" a="1"/>
  <c r="CA62" i="33" s="1"/>
  <c r="BK62" i="33"/>
  <c r="CV62" i="33"/>
  <c r="BZ62" i="33"/>
  <c r="DN62" i="33"/>
  <c r="CQ62" i="33"/>
  <c r="BJ62" i="33" a="1"/>
  <c r="BJ62" i="33" s="1"/>
  <c r="BW62" i="33" a="1"/>
  <c r="BW62" i="33" s="1"/>
  <c r="DC62" i="33" a="1"/>
  <c r="DC62" i="33" s="1"/>
  <c r="CF71" i="33"/>
  <c r="AX28" i="33"/>
  <c r="AY28" i="33" s="1"/>
  <c r="AZ28" i="33" s="1"/>
  <c r="BA28" i="33" s="1"/>
  <c r="BB28" i="33" s="1"/>
  <c r="BC28" i="33" s="1"/>
  <c r="BO28" i="33"/>
  <c r="CB28" i="33" a="1"/>
  <c r="CB28" i="33" s="1"/>
  <c r="DH28" i="33"/>
  <c r="CH31" i="33"/>
  <c r="CV31" i="33"/>
  <c r="DN31" i="33"/>
  <c r="AX33" i="33"/>
  <c r="AY33" i="33" s="1"/>
  <c r="AZ33" i="33" s="1"/>
  <c r="BA33" i="33" s="1"/>
  <c r="BB33" i="33" s="1"/>
  <c r="BC33" i="33" s="1"/>
  <c r="BR33" i="33" a="1"/>
  <c r="BR33" i="33" s="1"/>
  <c r="CD33" i="33"/>
  <c r="DK33" i="33" a="1"/>
  <c r="DK33" i="33" s="1"/>
  <c r="BD35" i="33" a="1"/>
  <c r="BD35" i="33" s="1"/>
  <c r="BV35" i="33" a="1"/>
  <c r="BV35" i="33" s="1"/>
  <c r="CK35" i="33" a="1"/>
  <c r="CK35" i="33" s="1"/>
  <c r="CZ35" i="33" a="1"/>
  <c r="CZ35" i="33" s="1"/>
  <c r="CY37" i="33"/>
  <c r="AX40" i="33"/>
  <c r="AY40" i="33" s="1"/>
  <c r="AZ40" i="33" s="1"/>
  <c r="BA40" i="33" s="1"/>
  <c r="BB40" i="33" s="1"/>
  <c r="BC40" i="33" s="1"/>
  <c r="BP40" i="33" a="1"/>
  <c r="BP40" i="33" s="1"/>
  <c r="DM40" i="33" a="1"/>
  <c r="DM40" i="33" s="1"/>
  <c r="CY43" i="33"/>
  <c r="BW50" i="33" a="1"/>
  <c r="BW50" i="33" s="1"/>
  <c r="CQ50" i="33"/>
  <c r="DJ50" i="33" a="1"/>
  <c r="DJ50" i="33" s="1"/>
  <c r="BZ55" i="33"/>
  <c r="DA55" i="33" a="1"/>
  <c r="DA55" i="33" s="1"/>
  <c r="AX62" i="33"/>
  <c r="AY62" i="33" s="1"/>
  <c r="AZ62" i="33" s="1"/>
  <c r="BA62" i="33" s="1"/>
  <c r="BB62" i="33" s="1"/>
  <c r="BC62" i="33" s="1"/>
  <c r="DK66" i="33" a="1"/>
  <c r="DK66" i="33" s="1"/>
  <c r="CR66" i="33" a="1"/>
  <c r="CR66" i="33" s="1"/>
  <c r="CH66" i="33"/>
  <c r="BG66" i="33" a="1"/>
  <c r="BG66" i="33" s="1"/>
  <c r="DG66" i="33" a="1"/>
  <c r="DG66" i="33" s="1"/>
  <c r="CW66" i="33" a="1"/>
  <c r="CW66" i="33" s="1"/>
  <c r="CL66" i="33"/>
  <c r="CB66" i="33" a="1"/>
  <c r="CB66" i="33" s="1"/>
  <c r="BS66" i="33" a="1"/>
  <c r="BS66" i="33" s="1"/>
  <c r="BI66" i="33" a="1"/>
  <c r="BI66" i="33" s="1"/>
  <c r="CV66" i="33"/>
  <c r="DH66" i="33"/>
  <c r="CJ66" i="33" a="1"/>
  <c r="CJ66" i="33" s="1"/>
  <c r="BX66" i="33" a="1"/>
  <c r="BX66" i="33" s="1"/>
  <c r="DD66" i="33" a="1"/>
  <c r="DD66" i="33" s="1"/>
  <c r="CQ66" i="33"/>
  <c r="CE66" i="33" a="1"/>
  <c r="CE66" i="33" s="1"/>
  <c r="BT66" i="33" a="1"/>
  <c r="BT66" i="33" s="1"/>
  <c r="CD66" i="33"/>
  <c r="BF66" i="33"/>
  <c r="DL66" i="33"/>
  <c r="BV66" i="33" a="1"/>
  <c r="BV66" i="33" s="1"/>
  <c r="CX66" i="33" a="1"/>
  <c r="CX66" i="33" s="1"/>
  <c r="CI66" i="33" a="1"/>
  <c r="CI66" i="33" s="1"/>
  <c r="BH66" i="33" a="1"/>
  <c r="BH66" i="33" s="1"/>
  <c r="DE66" i="33"/>
  <c r="CO66" i="33" a="1"/>
  <c r="CO66" i="33" s="1"/>
  <c r="BY66" i="33" a="1"/>
  <c r="BY66" i="33" s="1"/>
  <c r="CN66" i="33"/>
  <c r="BJ66" i="33" a="1"/>
  <c r="BJ66" i="33" s="1"/>
  <c r="DC66" i="33" a="1"/>
  <c r="DC66" i="33" s="1"/>
  <c r="BW66" i="33" a="1"/>
  <c r="BW66" i="33" s="1"/>
  <c r="CT66" i="33" a="1"/>
  <c r="CT66" i="33" s="1"/>
  <c r="BZ66" i="33"/>
  <c r="DM66" i="33" a="1"/>
  <c r="DM66" i="33" s="1"/>
  <c r="CS66" i="33"/>
  <c r="BD66" i="33" a="1"/>
  <c r="BD66" i="33" s="1"/>
  <c r="DJ66" i="33" a="1"/>
  <c r="DJ66" i="33" s="1"/>
  <c r="CP66" i="33" a="1"/>
  <c r="CP66" i="33" s="1"/>
  <c r="BU66" i="33" a="1"/>
  <c r="BU66" i="33" s="1"/>
  <c r="CC66" i="33" a="1"/>
  <c r="CC66" i="33" s="1"/>
  <c r="DB66" i="33"/>
  <c r="CX68" i="33" a="1"/>
  <c r="CX68" i="33" s="1"/>
  <c r="CN68" i="33"/>
  <c r="CD68" i="33"/>
  <c r="DL68" i="33"/>
  <c r="DB68" i="33"/>
  <c r="CR68" i="33" a="1"/>
  <c r="CR68" i="33" s="1"/>
  <c r="BN68" i="33"/>
  <c r="CQ68" i="33"/>
  <c r="CG68" i="33" a="1"/>
  <c r="CG68" i="33" s="1"/>
  <c r="BW68" i="33" a="1"/>
  <c r="BW68" i="33" s="1"/>
  <c r="BD68" i="33" a="1"/>
  <c r="BD68" i="33" s="1"/>
  <c r="DJ68" i="33" a="1"/>
  <c r="DJ68" i="33" s="1"/>
  <c r="CL68" i="33"/>
  <c r="CA68" i="33" a="1"/>
  <c r="CA68" i="33" s="1"/>
  <c r="BQ68" i="33" a="1"/>
  <c r="BQ68" i="33" s="1"/>
  <c r="DD68" i="33" a="1"/>
  <c r="DD68" i="33" s="1"/>
  <c r="BS68" i="33" a="1"/>
  <c r="BS68" i="33" s="1"/>
  <c r="CP68" i="33" a="1"/>
  <c r="CP68" i="33" s="1"/>
  <c r="CC68" i="33" a="1"/>
  <c r="CC68" i="33" s="1"/>
  <c r="BG68" i="33" a="1"/>
  <c r="BG68" i="33" s="1"/>
  <c r="DA68" i="33" a="1"/>
  <c r="DA68" i="33" s="1"/>
  <c r="CM68" i="33" a="1"/>
  <c r="CM68" i="33" s="1"/>
  <c r="BY68" i="33" a="1"/>
  <c r="BY68" i="33" s="1"/>
  <c r="BK68" i="33"/>
  <c r="DH68" i="33"/>
  <c r="CS68" i="33"/>
  <c r="BL68" i="33" a="1"/>
  <c r="BL68" i="33" s="1"/>
  <c r="DG68" i="33" a="1"/>
  <c r="DG68" i="33" s="1"/>
  <c r="BZ68" i="33"/>
  <c r="BJ68" i="33" a="1"/>
  <c r="BJ68" i="33" s="1"/>
  <c r="CZ68" i="33" a="1"/>
  <c r="CZ68" i="33" s="1"/>
  <c r="CH68" i="33"/>
  <c r="BP68" i="33" a="1"/>
  <c r="BP68" i="33" s="1"/>
  <c r="CY68" i="33"/>
  <c r="CF68" i="33"/>
  <c r="BO68" i="33"/>
  <c r="BM68" i="33" a="1"/>
  <c r="BM68" i="33" s="1"/>
  <c r="CW68" i="33" a="1"/>
  <c r="CW68" i="33" s="1"/>
  <c r="CE68" i="33" a="1"/>
  <c r="CE68" i="33" s="1"/>
  <c r="BI68" i="33" a="1"/>
  <c r="BI68" i="33" s="1"/>
  <c r="CV68" i="33"/>
  <c r="BV68" i="33" a="1"/>
  <c r="BV68" i="33" s="1"/>
  <c r="BD71" i="33" a="1"/>
  <c r="BD71" i="33" s="1"/>
  <c r="CG71" i="33" a="1"/>
  <c r="CG71" i="33" s="1"/>
  <c r="DH71" i="33"/>
  <c r="CZ19" i="33" a="1"/>
  <c r="CZ19" i="33" s="1"/>
  <c r="CF19" i="33"/>
  <c r="CE19" i="33" s="1" a="1"/>
  <c r="CE19" i="33" s="1"/>
  <c r="BN19" i="33"/>
  <c r="BM19" i="33" s="1" a="1"/>
  <c r="BM19" i="33" s="1"/>
  <c r="DG19" i="33" a="1"/>
  <c r="DG19" i="33" s="1"/>
  <c r="BZ19" i="33"/>
  <c r="BW19" i="33" s="1" a="1"/>
  <c r="BW19" i="33" s="1"/>
  <c r="BF19" i="33"/>
  <c r="BG19" i="33" s="1" a="1"/>
  <c r="BG19" i="33" s="1"/>
  <c r="DF19" i="33" a="1"/>
  <c r="DF19" i="33" s="1"/>
  <c r="CU19" i="33" a="1"/>
  <c r="CU19" i="33" s="1"/>
  <c r="DD19" i="33" a="1"/>
  <c r="DD19" i="33" s="1"/>
  <c r="CE28" i="33" a="1"/>
  <c r="CE28" i="33" s="1"/>
  <c r="CU28" i="33" a="1"/>
  <c r="CU28" i="33" s="1"/>
  <c r="DI28" i="33" a="1"/>
  <c r="DI28" i="33" s="1"/>
  <c r="CC30" i="33" a="1"/>
  <c r="CC30" i="33" s="1"/>
  <c r="CS30" i="33"/>
  <c r="BG31" i="33" a="1"/>
  <c r="BG31" i="33" s="1"/>
  <c r="BT31" i="33" a="1"/>
  <c r="BT31" i="33" s="1"/>
  <c r="CI31" i="33" a="1"/>
  <c r="CI31" i="33" s="1"/>
  <c r="CZ31" i="33" a="1"/>
  <c r="CZ31" i="33" s="1"/>
  <c r="BH35" i="33" a="1"/>
  <c r="BH35" i="33" s="1"/>
  <c r="DG36" i="33" a="1"/>
  <c r="DG36" i="33" s="1"/>
  <c r="BU36" i="33" a="1"/>
  <c r="BU36" i="33" s="1"/>
  <c r="BL36" i="33" a="1"/>
  <c r="BL36" i="33" s="1"/>
  <c r="CW36" i="33" a="1"/>
  <c r="CW36" i="33" s="1"/>
  <c r="CM36" i="33" a="1"/>
  <c r="CM36" i="33" s="1"/>
  <c r="CC36" i="33" a="1"/>
  <c r="CC36" i="33" s="1"/>
  <c r="BK36" i="33"/>
  <c r="DF36" i="33" a="1"/>
  <c r="DF36" i="33" s="1"/>
  <c r="CU36" i="33" a="1"/>
  <c r="CU36" i="33" s="1"/>
  <c r="CJ36" i="33" a="1"/>
  <c r="CJ36" i="33" s="1"/>
  <c r="BY36" i="33" a="1"/>
  <c r="BY36" i="33" s="1"/>
  <c r="BP36" i="33" a="1"/>
  <c r="BP36" i="33" s="1"/>
  <c r="BE36" i="33" a="1"/>
  <c r="BE36" i="33" s="1"/>
  <c r="DH36" i="33"/>
  <c r="CT36" i="33" a="1"/>
  <c r="CT36" i="33" s="1"/>
  <c r="BV36" i="33" a="1"/>
  <c r="BV36" i="33" s="1"/>
  <c r="DD36" i="33" a="1"/>
  <c r="DD36" i="33" s="1"/>
  <c r="DE36" i="33"/>
  <c r="CS36" i="33"/>
  <c r="CG36" i="33" a="1"/>
  <c r="CG36" i="33" s="1"/>
  <c r="BI36" i="33" a="1"/>
  <c r="BI36" i="33" s="1"/>
  <c r="CF36" i="33"/>
  <c r="BT36" i="33" a="1"/>
  <c r="BT36" i="33" s="1"/>
  <c r="CR36" i="33" a="1"/>
  <c r="CR36" i="33" s="1"/>
  <c r="BH36" i="33" a="1"/>
  <c r="BH36" i="33" s="1"/>
  <c r="BO36" i="33"/>
  <c r="CD36" i="33"/>
  <c r="CX36" i="33" a="1"/>
  <c r="CX36" i="33" s="1"/>
  <c r="DL36" i="33"/>
  <c r="BR37" i="33" a="1"/>
  <c r="BR37" i="33" s="1"/>
  <c r="CJ37" i="33" a="1"/>
  <c r="CJ37" i="33" s="1"/>
  <c r="CH40" i="33"/>
  <c r="CX40" i="33" a="1"/>
  <c r="CX40" i="33" s="1"/>
  <c r="BR43" i="33" a="1"/>
  <c r="BR43" i="33" s="1"/>
  <c r="CJ43" i="33" a="1"/>
  <c r="CJ43" i="33" s="1"/>
  <c r="CZ43" i="33" a="1"/>
  <c r="CZ43" i="33" s="1"/>
  <c r="DN43" i="33"/>
  <c r="BE50" i="33" a="1"/>
  <c r="BE50" i="33" s="1"/>
  <c r="CR50" i="33" a="1"/>
  <c r="CR50" i="33" s="1"/>
  <c r="DL50" i="33"/>
  <c r="BI55" i="33" a="1"/>
  <c r="BI55" i="33" s="1"/>
  <c r="DD62" i="33" a="1"/>
  <c r="DD62" i="33" s="1"/>
  <c r="AX66" i="33"/>
  <c r="AY66" i="33" s="1"/>
  <c r="AZ66" i="33" s="1"/>
  <c r="BA66" i="33" s="1"/>
  <c r="BB66" i="33" s="1"/>
  <c r="BC66" i="33" s="1"/>
  <c r="DF66" i="33" a="1"/>
  <c r="DF66" i="33" s="1"/>
  <c r="AX68" i="33"/>
  <c r="AY68" i="33" s="1"/>
  <c r="AZ68" i="33" s="1"/>
  <c r="BA68" i="33" s="1"/>
  <c r="BB68" i="33" s="1"/>
  <c r="BC68" i="33" s="1"/>
  <c r="DE68" i="33"/>
  <c r="BF71" i="33"/>
  <c r="DB35" i="33"/>
  <c r="CI35" i="33" a="1"/>
  <c r="CI35" i="33" s="1"/>
  <c r="BY35" i="33" a="1"/>
  <c r="BY35" i="33" s="1"/>
  <c r="BQ35" i="33" a="1"/>
  <c r="BQ35" i="33" s="1"/>
  <c r="DK35" i="33" a="1"/>
  <c r="DK35" i="33" s="1"/>
  <c r="CR35" i="33" a="1"/>
  <c r="CR35" i="33" s="1"/>
  <c r="CH35" i="33"/>
  <c r="BG35" i="33" a="1"/>
  <c r="BG35" i="33" s="1"/>
  <c r="DC35" i="33" a="1"/>
  <c r="DC35" i="33" s="1"/>
  <c r="BK35" i="33"/>
  <c r="DM35" i="33" a="1"/>
  <c r="DM35" i="33" s="1"/>
  <c r="DA35" i="33" a="1"/>
  <c r="DA35" i="33" s="1"/>
  <c r="CP35" i="33" a="1"/>
  <c r="CP35" i="33" s="1"/>
  <c r="CE35" i="33" a="1"/>
  <c r="CE35" i="33" s="1"/>
  <c r="BU35" i="33" a="1"/>
  <c r="BU35" i="33" s="1"/>
  <c r="AX35" i="33"/>
  <c r="AY35" i="33" s="1"/>
  <c r="AZ35" i="33" s="1"/>
  <c r="BA35" i="33" s="1"/>
  <c r="BB35" i="33" s="1"/>
  <c r="BC35" i="33" s="1"/>
  <c r="CQ35" i="33"/>
  <c r="BS35" i="33" a="1"/>
  <c r="BS35" i="33" s="1"/>
  <c r="BF35" i="33"/>
  <c r="CN35" i="33"/>
  <c r="DD35" i="33" a="1"/>
  <c r="DD35" i="33" s="1"/>
  <c r="CC35" i="33" a="1"/>
  <c r="CC35" i="33" s="1"/>
  <c r="CO35" i="33" a="1"/>
  <c r="CO35" i="33" s="1"/>
  <c r="BR35" i="33" a="1"/>
  <c r="BR35" i="33" s="1"/>
  <c r="BE35" i="33" a="1"/>
  <c r="BE35" i="33" s="1"/>
  <c r="CB35" i="33" a="1"/>
  <c r="CB35" i="33" s="1"/>
  <c r="BO35" i="33"/>
  <c r="CW35" i="33" a="1"/>
  <c r="CW35" i="33" s="1"/>
  <c r="C199" i="32"/>
  <c r="D199" i="32"/>
  <c r="BO31" i="33"/>
  <c r="DH31" i="33"/>
  <c r="BP35" i="33" a="1"/>
  <c r="BP35" i="33" s="1"/>
  <c r="DJ37" i="33" a="1"/>
  <c r="DJ37" i="33" s="1"/>
  <c r="CG37" i="33" a="1"/>
  <c r="CG37" i="33" s="1"/>
  <c r="BO37" i="33"/>
  <c r="CZ37" i="33" a="1"/>
  <c r="CZ37" i="33" s="1"/>
  <c r="CP37" i="33" a="1"/>
  <c r="CP37" i="33" s="1"/>
  <c r="CF37" i="33"/>
  <c r="BW37" i="33" a="1"/>
  <c r="BW37" i="33" s="1"/>
  <c r="BN37" i="33"/>
  <c r="BE37" i="33" a="1"/>
  <c r="BE37" i="33" s="1"/>
  <c r="BS37" i="33" a="1"/>
  <c r="BS37" i="33" s="1"/>
  <c r="DI37" i="33" a="1"/>
  <c r="DI37" i="33" s="1"/>
  <c r="CX37" i="33" a="1"/>
  <c r="CX37" i="33" s="1"/>
  <c r="CM37" i="33" a="1"/>
  <c r="CM37" i="33" s="1"/>
  <c r="CB37" i="33" a="1"/>
  <c r="CB37" i="33" s="1"/>
  <c r="BH37" i="33" a="1"/>
  <c r="BH37" i="33" s="1"/>
  <c r="CH37" i="33"/>
  <c r="BJ37" i="33" a="1"/>
  <c r="BJ37" i="33" s="1"/>
  <c r="CE37" i="33" a="1"/>
  <c r="CE37" i="33" s="1"/>
  <c r="DF37" i="33" a="1"/>
  <c r="DF37" i="33" s="1"/>
  <c r="CT37" i="33" a="1"/>
  <c r="CT37" i="33" s="1"/>
  <c r="BU37" i="33" a="1"/>
  <c r="BU37" i="33" s="1"/>
  <c r="DE37" i="33"/>
  <c r="CS37" i="33"/>
  <c r="BI37" i="33" a="1"/>
  <c r="BI37" i="33" s="1"/>
  <c r="BT37" i="33" a="1"/>
  <c r="BT37" i="33" s="1"/>
  <c r="AX31" i="33"/>
  <c r="AY31" i="33" s="1"/>
  <c r="AZ31" i="33" s="1"/>
  <c r="BA31" i="33" s="1"/>
  <c r="BB31" i="33" s="1"/>
  <c r="BC31" i="33" s="1"/>
  <c r="BR31" i="33" a="1"/>
  <c r="BR31" i="33" s="1"/>
  <c r="CE31" i="33" a="1"/>
  <c r="CE31" i="33" s="1"/>
  <c r="DK31" i="33" a="1"/>
  <c r="DK31" i="33" s="1"/>
  <c r="CX35" i="33" a="1"/>
  <c r="CX35" i="33" s="1"/>
  <c r="AX37" i="33"/>
  <c r="AY37" i="33" s="1"/>
  <c r="AZ37" i="33" s="1"/>
  <c r="BA37" i="33" s="1"/>
  <c r="BB37" i="33" s="1"/>
  <c r="BC37" i="33" s="1"/>
  <c r="BP37" i="33" a="1"/>
  <c r="BP37" i="33" s="1"/>
  <c r="CV37" i="33"/>
  <c r="DM37" i="33" a="1"/>
  <c r="DM37" i="33" s="1"/>
  <c r="C72" i="32"/>
  <c r="D72" i="32"/>
  <c r="AX18" i="33"/>
  <c r="AY18" i="33" s="1"/>
  <c r="AZ18" i="33" s="1"/>
  <c r="BA18" i="33" s="1"/>
  <c r="BB18" i="33" s="1"/>
  <c r="BC18" i="33" s="1"/>
  <c r="CQ18" i="33" s="1"/>
  <c r="CU31" i="33" a="1"/>
  <c r="CU31" i="33" s="1"/>
  <c r="CJ35" i="33" a="1"/>
  <c r="CJ35" i="33" s="1"/>
  <c r="CD37" i="33"/>
  <c r="CW37" i="33" a="1"/>
  <c r="CW37" i="33" s="1"/>
  <c r="DL43" i="33"/>
  <c r="DB55" i="33"/>
  <c r="CI55" i="33" a="1"/>
  <c r="CI55" i="33" s="1"/>
  <c r="BY55" i="33" a="1"/>
  <c r="BY55" i="33" s="1"/>
  <c r="BQ55" i="33" a="1"/>
  <c r="BQ55" i="33" s="1"/>
  <c r="DN55" i="33"/>
  <c r="DD55" i="33" a="1"/>
  <c r="DD55" i="33" s="1"/>
  <c r="CT55" i="33" a="1"/>
  <c r="CT55" i="33" s="1"/>
  <c r="BP55" i="33" a="1"/>
  <c r="BP55" i="33" s="1"/>
  <c r="DF55" i="33" a="1"/>
  <c r="DF55" i="33" s="1"/>
  <c r="CU55" i="33" a="1"/>
  <c r="CU55" i="33" s="1"/>
  <c r="CJ55" i="33" a="1"/>
  <c r="CJ55" i="33" s="1"/>
  <c r="BX55" i="33" a="1"/>
  <c r="BX55" i="33" s="1"/>
  <c r="BN55" i="33"/>
  <c r="BD55" i="33" a="1"/>
  <c r="BD55" i="33" s="1"/>
  <c r="DL55" i="33"/>
  <c r="CO55" i="33" a="1"/>
  <c r="CO55" i="33" s="1"/>
  <c r="CC55" i="33" a="1"/>
  <c r="CC55" i="33" s="1"/>
  <c r="BS55" i="33" a="1"/>
  <c r="BS55" i="33" s="1"/>
  <c r="BH55" i="33" a="1"/>
  <c r="BH55" i="33" s="1"/>
  <c r="DK55" i="33" a="1"/>
  <c r="DK55" i="33" s="1"/>
  <c r="CZ55" i="33" a="1"/>
  <c r="CZ55" i="33" s="1"/>
  <c r="CN55" i="33"/>
  <c r="BG55" i="33" a="1"/>
  <c r="BG55" i="33" s="1"/>
  <c r="CP55" i="33" a="1"/>
  <c r="CP55" i="33" s="1"/>
  <c r="CB55" i="33" a="1"/>
  <c r="CB55" i="33" s="1"/>
  <c r="DC55" i="33" a="1"/>
  <c r="DC55" i="33" s="1"/>
  <c r="BO55" i="33"/>
  <c r="CY55" i="33"/>
  <c r="BU55" i="33" a="1"/>
  <c r="BU55" i="33" s="1"/>
  <c r="BE55" i="33" a="1"/>
  <c r="BE55" i="33" s="1"/>
  <c r="CW55" i="33" a="1"/>
  <c r="CW55" i="33" s="1"/>
  <c r="BR55" i="33" a="1"/>
  <c r="BR55" i="33" s="1"/>
  <c r="CH55" i="33"/>
  <c r="CX55" i="33" a="1"/>
  <c r="CX55" i="33" s="1"/>
  <c r="BT55" i="33" a="1"/>
  <c r="BT55" i="33" s="1"/>
  <c r="CG55" i="33" a="1"/>
  <c r="CG55" i="33" s="1"/>
  <c r="DM55" i="33" a="1"/>
  <c r="DM55" i="33" s="1"/>
  <c r="CF55" i="33"/>
  <c r="AX55" i="33"/>
  <c r="AY55" i="33" s="1"/>
  <c r="AZ55" i="33" s="1"/>
  <c r="BA55" i="33" s="1"/>
  <c r="BB55" i="33" s="1"/>
  <c r="BC55" i="33" s="1"/>
  <c r="DB71" i="33"/>
  <c r="CI71" i="33" a="1"/>
  <c r="CI71" i="33" s="1"/>
  <c r="BY71" i="33" a="1"/>
  <c r="BY71" i="33" s="1"/>
  <c r="BQ71" i="33" a="1"/>
  <c r="BQ71" i="33" s="1"/>
  <c r="CY71" i="33"/>
  <c r="CO71" i="33" a="1"/>
  <c r="CO71" i="33" s="1"/>
  <c r="CD71" i="33"/>
  <c r="BU71" i="33" a="1"/>
  <c r="BU71" i="33" s="1"/>
  <c r="BK71" i="33"/>
  <c r="DI71" i="33" a="1"/>
  <c r="DI71" i="33" s="1"/>
  <c r="CN71" i="33"/>
  <c r="DF71" i="33" a="1"/>
  <c r="DF71" i="33" s="1"/>
  <c r="CH71" i="33"/>
  <c r="BW71" i="33" a="1"/>
  <c r="BW71" i="33" s="1"/>
  <c r="AX71" i="33"/>
  <c r="AY71" i="33" s="1"/>
  <c r="AZ71" i="33" s="1"/>
  <c r="BA71" i="33" s="1"/>
  <c r="BB71" i="33" s="1"/>
  <c r="BC71" i="33" s="1"/>
  <c r="DK71" i="33" a="1"/>
  <c r="DK71" i="33" s="1"/>
  <c r="CX71" i="33" a="1"/>
  <c r="CX71" i="33" s="1"/>
  <c r="BN71" i="33"/>
  <c r="CK71" i="33" a="1"/>
  <c r="CK71" i="33" s="1"/>
  <c r="CA71" i="33" a="1"/>
  <c r="CA71" i="33" s="1"/>
  <c r="BM71" i="33" a="1"/>
  <c r="BM71" i="33" s="1"/>
  <c r="DC71" i="33" a="1"/>
  <c r="DC71" i="33" s="1"/>
  <c r="BZ71" i="33"/>
  <c r="BL71" i="33" a="1"/>
  <c r="BL71" i="33" s="1"/>
  <c r="DA71" i="33" a="1"/>
  <c r="DA71" i="33" s="1"/>
  <c r="CJ71" i="33" a="1"/>
  <c r="CJ71" i="33" s="1"/>
  <c r="BT71" i="33" a="1"/>
  <c r="BT71" i="33" s="1"/>
  <c r="BE71" i="33" a="1"/>
  <c r="BE71" i="33" s="1"/>
  <c r="CZ71" i="33" a="1"/>
  <c r="CZ71" i="33" s="1"/>
  <c r="BS71" i="33" a="1"/>
  <c r="BS71" i="33" s="1"/>
  <c r="CV71" i="33"/>
  <c r="CC71" i="33" a="1"/>
  <c r="CC71" i="33" s="1"/>
  <c r="DM71" i="33" a="1"/>
  <c r="DM71" i="33" s="1"/>
  <c r="CS71" i="33"/>
  <c r="BX71" i="33" a="1"/>
  <c r="BX71" i="33" s="1"/>
  <c r="BG71" i="33" a="1"/>
  <c r="BG71" i="33" s="1"/>
  <c r="BI71" i="33" a="1"/>
  <c r="BI71" i="33" s="1"/>
  <c r="DN71" i="33"/>
  <c r="CU71" i="33" a="1"/>
  <c r="CU71" i="33" s="1"/>
  <c r="CB71" i="33" a="1"/>
  <c r="CB71" i="33" s="1"/>
  <c r="CT71" i="33" a="1"/>
  <c r="CT71" i="33" s="1"/>
  <c r="BH71" i="33" a="1"/>
  <c r="BH71" i="33" s="1"/>
  <c r="DG71" i="33" a="1"/>
  <c r="DG71" i="33" s="1"/>
  <c r="BN28" i="33"/>
  <c r="CT28" i="33" a="1"/>
  <c r="CT28" i="33" s="1"/>
  <c r="CZ33" i="33" a="1"/>
  <c r="CZ33" i="33" s="1"/>
  <c r="CP33" i="33" a="1"/>
  <c r="CP33" i="33" s="1"/>
  <c r="CF33" i="33"/>
  <c r="BW33" i="33" a="1"/>
  <c r="BW33" i="33" s="1"/>
  <c r="BN33" i="33"/>
  <c r="BE33" i="33" a="1"/>
  <c r="BE33" i="33" s="1"/>
  <c r="DM33" i="33" a="1"/>
  <c r="DM33" i="33" s="1"/>
  <c r="DC33" i="33" a="1"/>
  <c r="DC33" i="33" s="1"/>
  <c r="CH33" i="33"/>
  <c r="BX33" i="33" a="1"/>
  <c r="BX33" i="33" s="1"/>
  <c r="BO33" i="33"/>
  <c r="DL33" i="33"/>
  <c r="DB33" i="33"/>
  <c r="CR33" i="33" a="1"/>
  <c r="CR33" i="33" s="1"/>
  <c r="BD33" i="33" a="1"/>
  <c r="BD33" i="33" s="1"/>
  <c r="DH33" i="33"/>
  <c r="CW33" i="33" a="1"/>
  <c r="CW33" i="33" s="1"/>
  <c r="CK33" i="33" a="1"/>
  <c r="CK33" i="33" s="1"/>
  <c r="BP33" i="33" a="1"/>
  <c r="BP33" i="33" s="1"/>
  <c r="CV33" i="33"/>
  <c r="BY33" i="33" a="1"/>
  <c r="BY33" i="33" s="1"/>
  <c r="BM33" i="33" a="1"/>
  <c r="BM33" i="33" s="1"/>
  <c r="DG33" i="33" a="1"/>
  <c r="DG33" i="33" s="1"/>
  <c r="CJ33" i="33" a="1"/>
  <c r="CJ33" i="33" s="1"/>
  <c r="CU33" i="33" a="1"/>
  <c r="CU33" i="33" s="1"/>
  <c r="BL33" i="33" a="1"/>
  <c r="BL33" i="33" s="1"/>
  <c r="CT33" i="33" a="1"/>
  <c r="CT33" i="33" s="1"/>
  <c r="CY35" i="33"/>
  <c r="CI37" i="33" a="1"/>
  <c r="CI37" i="33" s="1"/>
  <c r="DN37" i="33"/>
  <c r="BO40" i="33"/>
  <c r="CW40" i="33" a="1"/>
  <c r="CW40" i="33" s="1"/>
  <c r="AX43" i="33"/>
  <c r="AY43" i="33" s="1"/>
  <c r="AZ43" i="33" s="1"/>
  <c r="BA43" i="33" s="1"/>
  <c r="BB43" i="33" s="1"/>
  <c r="BC43" i="33" s="1"/>
  <c r="DM43" i="33" a="1"/>
  <c r="DM43" i="33" s="1"/>
  <c r="BV50" i="33" a="1"/>
  <c r="BV50" i="33" s="1"/>
  <c r="V19" i="33"/>
  <c r="BQ28" i="33" a="1"/>
  <c r="BQ28" i="33" s="1"/>
  <c r="CG28" i="33" a="1"/>
  <c r="CG28" i="33" s="1"/>
  <c r="DB30" i="33"/>
  <c r="CI30" i="33" a="1"/>
  <c r="CI30" i="33" s="1"/>
  <c r="BY30" i="33" a="1"/>
  <c r="BY30" i="33" s="1"/>
  <c r="BQ30" i="33" a="1"/>
  <c r="BQ30" i="33" s="1"/>
  <c r="DL30" i="33"/>
  <c r="CQ30" i="33"/>
  <c r="CG30" i="33" a="1"/>
  <c r="CG30" i="33" s="1"/>
  <c r="BW30" i="33" a="1"/>
  <c r="BW30" i="33" s="1"/>
  <c r="BD30" i="33" a="1"/>
  <c r="BD30" i="33" s="1"/>
  <c r="DK30" i="33" a="1"/>
  <c r="DK30" i="33" s="1"/>
  <c r="DA30" i="33" a="1"/>
  <c r="DA30" i="33" s="1"/>
  <c r="CF30" i="33"/>
  <c r="BM30" i="33" a="1"/>
  <c r="BM30" i="33" s="1"/>
  <c r="DM30" i="33" a="1"/>
  <c r="DM30" i="33" s="1"/>
  <c r="CZ30" i="33" a="1"/>
  <c r="CZ30" i="33" s="1"/>
  <c r="CN30" i="33"/>
  <c r="BG30" i="33" a="1"/>
  <c r="BG30" i="33" s="1"/>
  <c r="CX30" i="33" a="1"/>
  <c r="CX30" i="33" s="1"/>
  <c r="CA30" i="33" a="1"/>
  <c r="CA30" i="33" s="1"/>
  <c r="BE30" i="33" a="1"/>
  <c r="BE30" i="33" s="1"/>
  <c r="CY30" i="33"/>
  <c r="CB30" i="33" a="1"/>
  <c r="CB30" i="33" s="1"/>
  <c r="BR30" i="33" a="1"/>
  <c r="BR30" i="33" s="1"/>
  <c r="BF30" i="33"/>
  <c r="DJ30" i="33" a="1"/>
  <c r="DJ30" i="33" s="1"/>
  <c r="CM30" i="33" a="1"/>
  <c r="CM30" i="33" s="1"/>
  <c r="CL30" i="33"/>
  <c r="BN30" i="33"/>
  <c r="CT30" i="33" a="1"/>
  <c r="CT30" i="33" s="1"/>
  <c r="BS33" i="33" a="1"/>
  <c r="BS33" i="33" s="1"/>
  <c r="CX33" i="33" a="1"/>
  <c r="CX33" i="33" s="1"/>
  <c r="BW35" i="33" a="1"/>
  <c r="BW35" i="33" s="1"/>
  <c r="CL35" i="33"/>
  <c r="DF35" i="33" a="1"/>
  <c r="DF35" i="33" s="1"/>
  <c r="BR40" i="33" a="1"/>
  <c r="BR40" i="33" s="1"/>
  <c r="CI40" i="33" a="1"/>
  <c r="CI40" i="33" s="1"/>
  <c r="DN40" i="33"/>
  <c r="CA50" i="33" a="1"/>
  <c r="CA50" i="33" s="1"/>
  <c r="DM50" i="33" a="1"/>
  <c r="DM50" i="33" s="1"/>
  <c r="CD55" i="33"/>
  <c r="DE55" i="33"/>
  <c r="DE56" i="33"/>
  <c r="CB56" i="33" a="1"/>
  <c r="CB56" i="33" s="1"/>
  <c r="BJ56" i="33" a="1"/>
  <c r="BJ56" i="33" s="1"/>
  <c r="CQ56" i="33"/>
  <c r="CG56" i="33" a="1"/>
  <c r="CG56" i="33" s="1"/>
  <c r="BW56" i="33" a="1"/>
  <c r="BW56" i="33" s="1"/>
  <c r="BD56" i="33" a="1"/>
  <c r="BD56" i="33" s="1"/>
  <c r="DH56" i="33"/>
  <c r="CL56" i="33"/>
  <c r="CA56" i="33" a="1"/>
  <c r="CA56" i="33" s="1"/>
  <c r="BG56" i="33" a="1"/>
  <c r="BG56" i="33" s="1"/>
  <c r="DI56" i="33" a="1"/>
  <c r="DI56" i="33" s="1"/>
  <c r="CW56" i="33" a="1"/>
  <c r="CW56" i="33" s="1"/>
  <c r="BY56" i="33" a="1"/>
  <c r="BY56" i="33" s="1"/>
  <c r="BO56" i="33"/>
  <c r="CV56" i="33"/>
  <c r="CJ56" i="33" a="1"/>
  <c r="CJ56" i="33" s="1"/>
  <c r="BN56" i="33"/>
  <c r="CX56" i="33" a="1"/>
  <c r="CX56" i="33" s="1"/>
  <c r="CI56" i="33" a="1"/>
  <c r="CI56" i="33" s="1"/>
  <c r="BV56" i="33" a="1"/>
  <c r="BV56" i="33" s="1"/>
  <c r="DJ56" i="33" a="1"/>
  <c r="DJ56" i="33" s="1"/>
  <c r="CU56" i="33" a="1"/>
  <c r="CU56" i="33" s="1"/>
  <c r="CH56" i="33"/>
  <c r="BI56" i="33" a="1"/>
  <c r="BI56" i="33" s="1"/>
  <c r="BU56" i="33" a="1"/>
  <c r="BU56" i="33" s="1"/>
  <c r="CM56" i="33" a="1"/>
  <c r="CM56" i="33" s="1"/>
  <c r="DD56" i="33" a="1"/>
  <c r="DD56" i="33" s="1"/>
  <c r="CO56" i="33" a="1"/>
  <c r="CO56" i="33" s="1"/>
  <c r="BX56" i="33" a="1"/>
  <c r="BX56" i="33" s="1"/>
  <c r="BH56" i="33" a="1"/>
  <c r="BH56" i="33" s="1"/>
  <c r="CN56" i="33"/>
  <c r="DC56" i="33" a="1"/>
  <c r="DC56" i="33" s="1"/>
  <c r="BF56" i="33"/>
  <c r="DB56" i="33"/>
  <c r="BT56" i="33" a="1"/>
  <c r="BT56" i="33" s="1"/>
  <c r="CS56" i="33"/>
  <c r="CF62" i="33"/>
  <c r="BX68" i="33" a="1"/>
  <c r="BX68" i="33" s="1"/>
  <c r="DF68" i="33" a="1"/>
  <c r="DF68" i="33" s="1"/>
  <c r="BJ71" i="33" a="1"/>
  <c r="BJ71" i="33" s="1"/>
  <c r="CL71" i="33"/>
  <c r="DL71" i="33"/>
  <c r="DE53" i="33"/>
  <c r="CB53" i="33" a="1"/>
  <c r="CB53" i="33" s="1"/>
  <c r="BJ53" i="33" a="1"/>
  <c r="BJ53" i="33" s="1"/>
  <c r="CM53" i="33" a="1"/>
  <c r="CM53" i="33" s="1"/>
  <c r="BS53" i="33" a="1"/>
  <c r="BS53" i="33" s="1"/>
  <c r="BI53" i="33" a="1"/>
  <c r="BI53" i="33" s="1"/>
  <c r="DK53" i="33" a="1"/>
  <c r="DK53" i="33" s="1"/>
  <c r="CD53" i="33"/>
  <c r="DI53" i="33" a="1"/>
  <c r="DI53" i="33" s="1"/>
  <c r="CW53" i="33" a="1"/>
  <c r="CW53" i="33" s="1"/>
  <c r="BY53" i="33" a="1"/>
  <c r="BY53" i="33" s="1"/>
  <c r="BO53" i="33"/>
  <c r="BD53" i="33" a="1"/>
  <c r="BD53" i="33" s="1"/>
  <c r="DH53" i="33"/>
  <c r="CV53" i="33"/>
  <c r="CJ53" i="33" a="1"/>
  <c r="CJ53" i="33" s="1"/>
  <c r="BN53" i="33"/>
  <c r="CS53" i="33"/>
  <c r="CF53" i="33"/>
  <c r="BT53" i="33" a="1"/>
  <c r="BT53" i="33" s="1"/>
  <c r="BG53" i="33" a="1"/>
  <c r="BG53" i="33" s="1"/>
  <c r="DF53" i="33" a="1"/>
  <c r="DF53" i="33" s="1"/>
  <c r="BF53" i="33"/>
  <c r="CR53" i="33" a="1"/>
  <c r="CR53" i="33" s="1"/>
  <c r="CE53" i="33" a="1"/>
  <c r="CE53" i="33" s="1"/>
  <c r="BR53" i="33" a="1"/>
  <c r="BR53" i="33" s="1"/>
  <c r="DL53" i="33"/>
  <c r="DA57" i="33" a="1"/>
  <c r="DA57" i="33" s="1"/>
  <c r="CQ57" i="33"/>
  <c r="BX57" i="33" a="1"/>
  <c r="BX57" i="33" s="1"/>
  <c r="BP57" i="33" a="1"/>
  <c r="BP57" i="33" s="1"/>
  <c r="BF57" i="33"/>
  <c r="DL57" i="33"/>
  <c r="DB57" i="33"/>
  <c r="CR57" i="33" a="1"/>
  <c r="CR57" i="33" s="1"/>
  <c r="CG57" i="33" a="1"/>
  <c r="CG57" i="33" s="1"/>
  <c r="BW57" i="33" a="1"/>
  <c r="BW57" i="33" s="1"/>
  <c r="BD57" i="33" a="1"/>
  <c r="BD57" i="33" s="1"/>
  <c r="DC57" i="33" a="1"/>
  <c r="DC57" i="33" s="1"/>
  <c r="BK57" i="33"/>
  <c r="DG57" i="33" a="1"/>
  <c r="DG57" i="33" s="1"/>
  <c r="CJ57" i="33" a="1"/>
  <c r="CJ57" i="33" s="1"/>
  <c r="BM57" i="33" a="1"/>
  <c r="BM57" i="33" s="1"/>
  <c r="CU57" i="33" a="1"/>
  <c r="CU57" i="33" s="1"/>
  <c r="DE57" i="33"/>
  <c r="CP57" i="33" a="1"/>
  <c r="CP57" i="33" s="1"/>
  <c r="CC57" i="33" a="1"/>
  <c r="CC57" i="33" s="1"/>
  <c r="BR57" i="33" a="1"/>
  <c r="BR57" i="33" s="1"/>
  <c r="BE57" i="33" a="1"/>
  <c r="BE57" i="33" s="1"/>
  <c r="DD57" i="33" a="1"/>
  <c r="DD57" i="33" s="1"/>
  <c r="BQ57" i="33" a="1"/>
  <c r="BQ57" i="33" s="1"/>
  <c r="CF57" i="33"/>
  <c r="CZ24" i="33" a="1"/>
  <c r="CZ24" i="33" s="1"/>
  <c r="CP24" i="33" a="1"/>
  <c r="CP24" i="33" s="1"/>
  <c r="CF24" i="33"/>
  <c r="BW24" i="33" a="1"/>
  <c r="BW24" i="33" s="1"/>
  <c r="BN24" i="33"/>
  <c r="BE24" i="33" a="1"/>
  <c r="BE24" i="33" s="1"/>
  <c r="CQ24" i="33"/>
  <c r="CG24" i="33" a="1"/>
  <c r="CG24" i="33" s="1"/>
  <c r="BM24" i="33" a="1"/>
  <c r="BM24" i="33" s="1"/>
  <c r="DK24" i="33" a="1"/>
  <c r="DK24" i="33" s="1"/>
  <c r="DA24" i="33" a="1"/>
  <c r="DA24" i="33" s="1"/>
  <c r="BV24" i="33" a="1"/>
  <c r="BV24" i="33" s="1"/>
  <c r="CH24" i="33"/>
  <c r="CT24" i="33" a="1"/>
  <c r="CT24" i="33" s="1"/>
  <c r="DE24" i="33"/>
  <c r="AX53" i="33"/>
  <c r="AY53" i="33" s="1"/>
  <c r="AZ53" i="33" s="1"/>
  <c r="BA53" i="33" s="1"/>
  <c r="BB53" i="33" s="1"/>
  <c r="BC53" i="33" s="1"/>
  <c r="CG53" i="33" a="1"/>
  <c r="CG53" i="33" s="1"/>
  <c r="CX53" i="33" a="1"/>
  <c r="CX53" i="33" s="1"/>
  <c r="DM53" i="33" a="1"/>
  <c r="DM53" i="33" s="1"/>
  <c r="AX57" i="33"/>
  <c r="AY57" i="33" s="1"/>
  <c r="AZ57" i="33" s="1"/>
  <c r="BA57" i="33" s="1"/>
  <c r="BB57" i="33" s="1"/>
  <c r="BC57" i="33" s="1"/>
  <c r="BS57" i="33" a="1"/>
  <c r="BS57" i="33" s="1"/>
  <c r="CH57" i="33"/>
  <c r="CX57" i="33" a="1"/>
  <c r="CX57" i="33" s="1"/>
  <c r="DN57" i="33"/>
  <c r="AX24" i="33"/>
  <c r="AY24" i="33" s="1"/>
  <c r="AZ24" i="33" s="1"/>
  <c r="BA24" i="33" s="1"/>
  <c r="BB24" i="33" s="1"/>
  <c r="BC24" i="33" s="1"/>
  <c r="BK24" i="33"/>
  <c r="CI24" i="33" a="1"/>
  <c r="CI24" i="33" s="1"/>
  <c r="DF24" i="33" a="1"/>
  <c r="DF24" i="33" s="1"/>
  <c r="DG27" i="33" a="1"/>
  <c r="DG27" i="33" s="1"/>
  <c r="BU27" i="33" a="1"/>
  <c r="BU27" i="33" s="1"/>
  <c r="BL27" i="33" a="1"/>
  <c r="BL27" i="33" s="1"/>
  <c r="DM27" i="33" a="1"/>
  <c r="DM27" i="33" s="1"/>
  <c r="DC27" i="33" a="1"/>
  <c r="DC27" i="33" s="1"/>
  <c r="CH27" i="33"/>
  <c r="BX27" i="33" a="1"/>
  <c r="BX27" i="33" s="1"/>
  <c r="BO27" i="33"/>
  <c r="BE27" i="33" a="1"/>
  <c r="BE27" i="33" s="1"/>
  <c r="DL27" i="33"/>
  <c r="DB27" i="33"/>
  <c r="CR27" i="33" a="1"/>
  <c r="CR27" i="33" s="1"/>
  <c r="BN27" i="33"/>
  <c r="BV27" i="33" a="1"/>
  <c r="BV27" i="33" s="1"/>
  <c r="CG27" i="33" a="1"/>
  <c r="CG27" i="33" s="1"/>
  <c r="CT27" i="33" a="1"/>
  <c r="CT27" i="33" s="1"/>
  <c r="DE27" i="33"/>
  <c r="BQ53" i="33" a="1"/>
  <c r="BQ53" i="33" s="1"/>
  <c r="CI57" i="33" a="1"/>
  <c r="CI57" i="33" s="1"/>
  <c r="DJ63" i="33" a="1"/>
  <c r="DJ63" i="33" s="1"/>
  <c r="CG63" i="33" a="1"/>
  <c r="CG63" i="33" s="1"/>
  <c r="BO63" i="33"/>
  <c r="CZ63" i="33" a="1"/>
  <c r="CZ63" i="33" s="1"/>
  <c r="CP63" i="33" a="1"/>
  <c r="CP63" i="33" s="1"/>
  <c r="CF63" i="33"/>
  <c r="BW63" i="33" a="1"/>
  <c r="BW63" i="33" s="1"/>
  <c r="BN63" i="33"/>
  <c r="BE63" i="33" a="1"/>
  <c r="BE63" i="33" s="1"/>
  <c r="DF63" i="33" a="1"/>
  <c r="DF63" i="33" s="1"/>
  <c r="CU63" i="33" a="1"/>
  <c r="CU63" i="33" s="1"/>
  <c r="CJ63" i="33" a="1"/>
  <c r="CJ63" i="33" s="1"/>
  <c r="BY63" i="33" a="1"/>
  <c r="BY63" i="33" s="1"/>
  <c r="BP63" i="33" a="1"/>
  <c r="BP63" i="33" s="1"/>
  <c r="BD63" i="33" a="1"/>
  <c r="BD63" i="33" s="1"/>
  <c r="DM63" i="33" a="1"/>
  <c r="DM63" i="33" s="1"/>
  <c r="CO63" i="33" a="1"/>
  <c r="CO63" i="33" s="1"/>
  <c r="CC63" i="33" a="1"/>
  <c r="CC63" i="33" s="1"/>
  <c r="BS63" i="33" a="1"/>
  <c r="BS63" i="33" s="1"/>
  <c r="BH63" i="33" a="1"/>
  <c r="BH63" i="33" s="1"/>
  <c r="DL63" i="33"/>
  <c r="DA63" i="33" a="1"/>
  <c r="DA63" i="33" s="1"/>
  <c r="CN63" i="33"/>
  <c r="DG63" i="33" a="1"/>
  <c r="DG63" i="33" s="1"/>
  <c r="CT63" i="33" a="1"/>
  <c r="CT63" i="33" s="1"/>
  <c r="BT63" i="33" a="1"/>
  <c r="BT63" i="33" s="1"/>
  <c r="BG63" i="33" a="1"/>
  <c r="BG63" i="33" s="1"/>
  <c r="CS63" i="33"/>
  <c r="CE63" i="33" a="1"/>
  <c r="CE63" i="33" s="1"/>
  <c r="BF63" i="33"/>
  <c r="DC63" i="33" a="1"/>
  <c r="DC63" i="33" s="1"/>
  <c r="CL63" i="33"/>
  <c r="BX63" i="33" a="1"/>
  <c r="BX63" i="33" s="1"/>
  <c r="BJ63" i="33" a="1"/>
  <c r="BJ63" i="33" s="1"/>
  <c r="DB63" i="33"/>
  <c r="CY63" i="33"/>
  <c r="CK63" i="33" a="1"/>
  <c r="CK63" i="33" s="1"/>
  <c r="BV63" i="33" a="1"/>
  <c r="BV63" i="33" s="1"/>
  <c r="BI63" i="33" a="1"/>
  <c r="BI63" i="33" s="1"/>
  <c r="BQ63" i="33" a="1"/>
  <c r="BQ63" i="33" s="1"/>
  <c r="CI63" i="33" a="1"/>
  <c r="CI63" i="33" s="1"/>
  <c r="CP75" i="33" a="1"/>
  <c r="CP75" i="33" s="1"/>
  <c r="BP53" i="33" a="1"/>
  <c r="BP53" i="33" s="1"/>
  <c r="CU53" i="33" a="1"/>
  <c r="CU53" i="33" s="1"/>
  <c r="BL24" i="33" a="1"/>
  <c r="BL24" i="33" s="1"/>
  <c r="BX24" i="33" a="1"/>
  <c r="BX24" i="33" s="1"/>
  <c r="CU24" i="33" a="1"/>
  <c r="CU24" i="33" s="1"/>
  <c r="O38" i="33"/>
  <c r="CH53" i="33"/>
  <c r="CY53" i="33"/>
  <c r="DN53" i="33"/>
  <c r="BT57" i="33" a="1"/>
  <c r="BT57" i="33" s="1"/>
  <c r="CY57" i="33"/>
  <c r="DE75" i="33"/>
  <c r="CB75" i="33" a="1"/>
  <c r="CB75" i="33" s="1"/>
  <c r="BJ75" i="33" a="1"/>
  <c r="BJ75" i="33" s="1"/>
  <c r="DN75" i="33"/>
  <c r="CU75" i="33" a="1"/>
  <c r="CU75" i="33" s="1"/>
  <c r="CK75" i="33" a="1"/>
  <c r="CK75" i="33" s="1"/>
  <c r="BS75" i="33" a="1"/>
  <c r="BS75" i="33" s="1"/>
  <c r="AX75" i="33"/>
  <c r="AY75" i="33" s="1"/>
  <c r="AZ75" i="33" s="1"/>
  <c r="BA75" i="33" s="1"/>
  <c r="BB75" i="33" s="1"/>
  <c r="BC75" i="33" s="1"/>
  <c r="BW75" i="33" a="1"/>
  <c r="BW75" i="33" s="1"/>
  <c r="BM75" i="33" a="1"/>
  <c r="BM75" i="33" s="1"/>
  <c r="DC75" i="33" a="1"/>
  <c r="DC75" i="33" s="1"/>
  <c r="CR75" i="33" a="1"/>
  <c r="CR75" i="33" s="1"/>
  <c r="CG75" i="33" a="1"/>
  <c r="CG75" i="33" s="1"/>
  <c r="CC75" i="33" a="1"/>
  <c r="CC75" i="33" s="1"/>
  <c r="DM75" i="33" a="1"/>
  <c r="DM75" i="33" s="1"/>
  <c r="DA75" i="33" a="1"/>
  <c r="DA75" i="33" s="1"/>
  <c r="CO75" i="33" a="1"/>
  <c r="CO75" i="33" s="1"/>
  <c r="BQ75" i="33" a="1"/>
  <c r="BQ75" i="33" s="1"/>
  <c r="BE75" i="33" a="1"/>
  <c r="BE75" i="33" s="1"/>
  <c r="CZ75" i="33" a="1"/>
  <c r="CZ75" i="33" s="1"/>
  <c r="CL75" i="33"/>
  <c r="BX75" i="33" a="1"/>
  <c r="BX75" i="33" s="1"/>
  <c r="BK75" i="33"/>
  <c r="DL75" i="33"/>
  <c r="CY75" i="33"/>
  <c r="CX75" i="33" a="1"/>
  <c r="CX75" i="33" s="1"/>
  <c r="CH75" i="33"/>
  <c r="CF75" i="33"/>
  <c r="BR75" i="33" a="1"/>
  <c r="BR75" i="33" s="1"/>
  <c r="BD75" i="33" a="1"/>
  <c r="BD75" i="33" s="1"/>
  <c r="CV75" i="33"/>
  <c r="CT75" i="33" a="1"/>
  <c r="CT75" i="33" s="1"/>
  <c r="DK75" i="33" a="1"/>
  <c r="DK75" i="33" s="1"/>
  <c r="CA75" i="33" a="1"/>
  <c r="CA75" i="33" s="1"/>
  <c r="BL75" i="33" a="1"/>
  <c r="BL75" i="33" s="1"/>
  <c r="BZ75" i="33"/>
  <c r="BI75" i="33" a="1"/>
  <c r="BI75" i="33" s="1"/>
  <c r="BU75" i="33" a="1"/>
  <c r="BU75" i="33" s="1"/>
  <c r="DE64" i="33"/>
  <c r="CB64" i="33" a="1"/>
  <c r="CB64" i="33" s="1"/>
  <c r="BJ64" i="33" a="1"/>
  <c r="BJ64" i="33" s="1"/>
  <c r="DL64" i="33"/>
  <c r="DB64" i="33"/>
  <c r="CR64" i="33" a="1"/>
  <c r="CR64" i="33" s="1"/>
  <c r="BN64" i="33"/>
  <c r="CQ64" i="33"/>
  <c r="CG64" i="33" a="1"/>
  <c r="CG64" i="33" s="1"/>
  <c r="BW64" i="33" a="1"/>
  <c r="BW64" i="33" s="1"/>
  <c r="BD64" i="33" a="1"/>
  <c r="BD64" i="33" s="1"/>
  <c r="DG64" i="33" a="1"/>
  <c r="DG64" i="33" s="1"/>
  <c r="CU64" i="33" a="1"/>
  <c r="CU64" i="33" s="1"/>
  <c r="BX64" i="33" a="1"/>
  <c r="BX64" i="33" s="1"/>
  <c r="CT64" i="33" a="1"/>
  <c r="CT64" i="33" s="1"/>
  <c r="CF64" i="33"/>
  <c r="BU64" i="33" a="1"/>
  <c r="BU64" i="33" s="1"/>
  <c r="BI64" i="33" a="1"/>
  <c r="BI64" i="33" s="1"/>
  <c r="DF64" i="33" a="1"/>
  <c r="DF64" i="33" s="1"/>
  <c r="CS64" i="33"/>
  <c r="CV64" i="33"/>
  <c r="CE64" i="33" a="1"/>
  <c r="CE64" i="33" s="1"/>
  <c r="DI64" i="33" a="1"/>
  <c r="DI64" i="33" s="1"/>
  <c r="CD64" i="33"/>
  <c r="BR64" i="33" a="1"/>
  <c r="BR64" i="33" s="1"/>
  <c r="BE64" i="33" a="1"/>
  <c r="BE64" i="33" s="1"/>
  <c r="DM64" i="33" a="1"/>
  <c r="DM64" i="33" s="1"/>
  <c r="G50" i="33"/>
  <c r="G55" i="33"/>
  <c r="G51" i="33"/>
  <c r="G40" i="33"/>
  <c r="G35" i="33"/>
  <c r="DA23" i="33" a="1"/>
  <c r="DA23" i="33" s="1"/>
  <c r="CQ23" i="33"/>
  <c r="BX23" i="33" a="1"/>
  <c r="BX23" i="33" s="1"/>
  <c r="BP23" i="33" a="1"/>
  <c r="BP23" i="33" s="1"/>
  <c r="BF23" i="33"/>
  <c r="CM23" i="33" a="1"/>
  <c r="CM23" i="33" s="1"/>
  <c r="DM38" i="33" a="1"/>
  <c r="DM38" i="33" s="1"/>
  <c r="CT38" i="33" a="1"/>
  <c r="CT38" i="33" s="1"/>
  <c r="CJ38" i="33" a="1"/>
  <c r="CJ38" i="33" s="1"/>
  <c r="BZ38" i="33"/>
  <c r="BR38" i="33" a="1"/>
  <c r="BR38" i="33" s="1"/>
  <c r="DL38" i="33"/>
  <c r="DC38" i="33" a="1"/>
  <c r="DC38" i="33" s="1"/>
  <c r="CS38" i="33"/>
  <c r="BH38" i="33" a="1"/>
  <c r="BH38" i="33" s="1"/>
  <c r="BJ38" i="33" a="1"/>
  <c r="BJ38" i="33" s="1"/>
  <c r="CD38" i="33"/>
  <c r="DK38" i="33" a="1"/>
  <c r="DK38" i="33" s="1"/>
  <c r="BU42" i="33" a="1"/>
  <c r="BU42" i="33" s="1"/>
  <c r="CE42" i="33" a="1"/>
  <c r="CE42" i="33" s="1"/>
  <c r="CP42" i="33" a="1"/>
  <c r="CP42" i="33" s="1"/>
  <c r="DF60" i="33" a="1"/>
  <c r="DF60" i="33" s="1"/>
  <c r="CV60" i="33"/>
  <c r="CL60" i="33"/>
  <c r="BT60" i="33" a="1"/>
  <c r="BT60" i="33" s="1"/>
  <c r="DK60" i="33" a="1"/>
  <c r="DK60" i="33" s="1"/>
  <c r="DA60" i="33" a="1"/>
  <c r="DA60" i="33" s="1"/>
  <c r="CF60" i="33"/>
  <c r="BM60" i="33" a="1"/>
  <c r="BM60" i="33" s="1"/>
  <c r="CT60" i="33" a="1"/>
  <c r="CT60" i="33" s="1"/>
  <c r="CI60" i="33" a="1"/>
  <c r="CI60" i="33" s="1"/>
  <c r="BX60" i="33" a="1"/>
  <c r="BX60" i="33" s="1"/>
  <c r="BN60" i="33"/>
  <c r="BD60" i="33" a="1"/>
  <c r="BD60" i="33" s="1"/>
  <c r="DD60" i="33" a="1"/>
  <c r="DD60" i="33" s="1"/>
  <c r="CS60" i="33"/>
  <c r="CH60" i="33"/>
  <c r="DI60" i="33" a="1"/>
  <c r="DI60" i="33" s="1"/>
  <c r="CW60" i="33" a="1"/>
  <c r="CW60" i="33" s="1"/>
  <c r="CJ60" i="33" a="1"/>
  <c r="CJ60" i="33" s="1"/>
  <c r="BW60" i="33" a="1"/>
  <c r="BW60" i="33" s="1"/>
  <c r="BK60" i="33"/>
  <c r="DH60" i="33"/>
  <c r="BV60" i="33" a="1"/>
  <c r="BV60" i="33" s="1"/>
  <c r="BJ60" i="33" a="1"/>
  <c r="BJ60" i="33" s="1"/>
  <c r="BO60" i="33"/>
  <c r="CA60" i="33" a="1"/>
  <c r="CA60" i="33" s="1"/>
  <c r="CO60" i="33" a="1"/>
  <c r="CO60" i="33" s="1"/>
  <c r="DC60" i="33" a="1"/>
  <c r="DC60" i="33" s="1"/>
  <c r="DM61" i="33" a="1"/>
  <c r="DM61" i="33" s="1"/>
  <c r="CT61" i="33" a="1"/>
  <c r="CT61" i="33" s="1"/>
  <c r="CJ61" i="33" a="1"/>
  <c r="CJ61" i="33" s="1"/>
  <c r="BZ61" i="33"/>
  <c r="BR61" i="33" a="1"/>
  <c r="BR61" i="33" s="1"/>
  <c r="DL61" i="33"/>
  <c r="DB61" i="33"/>
  <c r="CR61" i="33" a="1"/>
  <c r="CR61" i="33" s="1"/>
  <c r="BN61" i="33"/>
  <c r="CZ61" i="33" a="1"/>
  <c r="CZ61" i="33" s="1"/>
  <c r="CO61" i="33" a="1"/>
  <c r="CO61" i="33" s="1"/>
  <c r="BT61" i="33" a="1"/>
  <c r="BT61" i="33" s="1"/>
  <c r="DJ61" i="33" a="1"/>
  <c r="DJ61" i="33" s="1"/>
  <c r="CY61" i="33"/>
  <c r="CN61" i="33"/>
  <c r="CC61" i="33" a="1"/>
  <c r="CC61" i="33" s="1"/>
  <c r="BI61" i="33" a="1"/>
  <c r="BI61" i="33" s="1"/>
  <c r="CL61" i="33"/>
  <c r="BO61" i="33"/>
  <c r="DK61" i="33" a="1"/>
  <c r="DK61" i="33" s="1"/>
  <c r="CX61" i="33" a="1"/>
  <c r="CX61" i="33" s="1"/>
  <c r="BY61" i="33" a="1"/>
  <c r="BY61" i="33" s="1"/>
  <c r="CA61" i="33" a="1"/>
  <c r="CA61" i="33" s="1"/>
  <c r="DD61" i="33" a="1"/>
  <c r="DD61" i="33" s="1"/>
  <c r="AX64" i="33"/>
  <c r="AY64" i="33" s="1"/>
  <c r="AZ64" i="33" s="1"/>
  <c r="BA64" i="33" s="1"/>
  <c r="BB64" i="33" s="1"/>
  <c r="BC64" i="33" s="1"/>
  <c r="BQ64" i="33" a="1"/>
  <c r="BQ64" i="33" s="1"/>
  <c r="CH64" i="33"/>
  <c r="CX64" i="33" a="1"/>
  <c r="CX64" i="33" s="1"/>
  <c r="DA72" i="33" a="1"/>
  <c r="DA72" i="33" s="1"/>
  <c r="DJ72" i="33" a="1"/>
  <c r="DJ72" i="33" s="1"/>
  <c r="CG72" i="33" a="1"/>
  <c r="CG72" i="33" s="1"/>
  <c r="BO72" i="33"/>
  <c r="DC72" i="33" a="1"/>
  <c r="DC72" i="33" s="1"/>
  <c r="CR72" i="33" a="1"/>
  <c r="CR72" i="33" s="1"/>
  <c r="BW72" i="33" a="1"/>
  <c r="BW72" i="33" s="1"/>
  <c r="BD72" i="33" a="1"/>
  <c r="BD72" i="33" s="1"/>
  <c r="DM72" i="33" a="1"/>
  <c r="DM72" i="33" s="1"/>
  <c r="DB72" i="33"/>
  <c r="CQ72" i="33"/>
  <c r="CF72" i="33"/>
  <c r="BM72" i="33" a="1"/>
  <c r="BM72" i="33" s="1"/>
  <c r="CJ72" i="33" a="1"/>
  <c r="CJ72" i="33" s="1"/>
  <c r="DE72" i="33"/>
  <c r="CD72" i="33"/>
  <c r="BH72" i="33" a="1"/>
  <c r="BH72" i="33" s="1"/>
  <c r="CP72" i="33" a="1"/>
  <c r="CP72" i="33" s="1"/>
  <c r="BS72" i="33" a="1"/>
  <c r="BS72" i="33" s="1"/>
  <c r="CB72" i="33" a="1"/>
  <c r="CB72" i="33" s="1"/>
  <c r="DF72" i="33" a="1"/>
  <c r="DF72" i="33" s="1"/>
  <c r="CO72" i="33" a="1"/>
  <c r="CO72" i="33" s="1"/>
  <c r="BP72" i="33" a="1"/>
  <c r="BP72" i="33" s="1"/>
  <c r="AX72" i="33"/>
  <c r="AY72" i="33" s="1"/>
  <c r="AZ72" i="33" s="1"/>
  <c r="BA72" i="33" s="1"/>
  <c r="BB72" i="33" s="1"/>
  <c r="BC72" i="33" s="1"/>
  <c r="CW72" i="33" a="1"/>
  <c r="CW72" i="33" s="1"/>
  <c r="DN72" i="33"/>
  <c r="H59" i="33"/>
  <c r="H55" i="33"/>
  <c r="H51" i="33"/>
  <c r="H40" i="33"/>
  <c r="H35" i="33"/>
  <c r="H37" i="33"/>
  <c r="H30" i="33"/>
  <c r="BI16" i="33" a="1"/>
  <c r="BI16" i="33" s="1"/>
  <c r="AX23" i="33"/>
  <c r="AY23" i="33" s="1"/>
  <c r="AZ23" i="33" s="1"/>
  <c r="BA23" i="33" s="1"/>
  <c r="BB23" i="33" s="1"/>
  <c r="BC23" i="33" s="1"/>
  <c r="BJ23" i="33" a="1"/>
  <c r="BJ23" i="33" s="1"/>
  <c r="BT23" i="33" a="1"/>
  <c r="BT23" i="33" s="1"/>
  <c r="CC23" i="33" a="1"/>
  <c r="CC23" i="33" s="1"/>
  <c r="CX23" i="33" a="1"/>
  <c r="CX23" i="33" s="1"/>
  <c r="DH23" i="33"/>
  <c r="G26" i="33"/>
  <c r="DE42" i="33"/>
  <c r="CB42" i="33" a="1"/>
  <c r="CB42" i="33" s="1"/>
  <c r="BJ42" i="33" a="1"/>
  <c r="BJ42" i="33" s="1"/>
  <c r="DN42" i="33"/>
  <c r="CU42" i="33" a="1"/>
  <c r="CU42" i="33" s="1"/>
  <c r="CK42" i="33" a="1"/>
  <c r="CK42" i="33" s="1"/>
  <c r="BS42" i="33" a="1"/>
  <c r="BS42" i="33" s="1"/>
  <c r="AX42" i="33"/>
  <c r="AY42" i="33" s="1"/>
  <c r="AZ42" i="33" s="1"/>
  <c r="BA42" i="33" s="1"/>
  <c r="BB42" i="33" s="1"/>
  <c r="BC42" i="33" s="1"/>
  <c r="BK42" i="33"/>
  <c r="DL42" i="33"/>
  <c r="G44" i="33"/>
  <c r="G48" i="33"/>
  <c r="G53" i="33"/>
  <c r="AX60" i="33"/>
  <c r="AY60" i="33" s="1"/>
  <c r="AZ60" i="33" s="1"/>
  <c r="BA60" i="33" s="1"/>
  <c r="BB60" i="33" s="1"/>
  <c r="BC60" i="33" s="1"/>
  <c r="BP60" i="33" a="1"/>
  <c r="BP60" i="33" s="1"/>
  <c r="AX61" i="33"/>
  <c r="AY61" i="33" s="1"/>
  <c r="AZ61" i="33" s="1"/>
  <c r="BA61" i="33" s="1"/>
  <c r="BB61" i="33" s="1"/>
  <c r="BC61" i="33" s="1"/>
  <c r="BM61" i="33" a="1"/>
  <c r="BM61" i="33" s="1"/>
  <c r="CP61" i="33" a="1"/>
  <c r="CP61" i="33" s="1"/>
  <c r="CI64" i="33" a="1"/>
  <c r="CI64" i="33" s="1"/>
  <c r="DN64" i="33"/>
  <c r="BR72" i="33" a="1"/>
  <c r="BR72" i="33" s="1"/>
  <c r="CH72" i="33"/>
  <c r="BI45" i="33" a="1"/>
  <c r="BI45" i="33" s="1"/>
  <c r="CA45" i="33" a="1"/>
  <c r="CA45" i="33" s="1"/>
  <c r="BJ54" i="33" a="1"/>
  <c r="BJ54" i="33" s="1"/>
  <c r="BU54" i="33" a="1"/>
  <c r="BU54" i="33" s="1"/>
  <c r="CF54" i="33"/>
  <c r="CW58" i="33" a="1"/>
  <c r="CW58" i="33" s="1"/>
  <c r="CM58" i="33" a="1"/>
  <c r="CM58" i="33" s="1"/>
  <c r="CC58" i="33" a="1"/>
  <c r="CC58" i="33" s="1"/>
  <c r="BK58" i="33"/>
  <c r="DL58" i="33"/>
  <c r="DB58" i="33"/>
  <c r="CR58" i="33" a="1"/>
  <c r="CR58" i="33" s="1"/>
  <c r="BN58" i="33"/>
  <c r="CV58" i="33"/>
  <c r="CK58" i="33" a="1"/>
  <c r="CK58" i="33" s="1"/>
  <c r="BZ58" i="33"/>
  <c r="BQ58" i="33" a="1"/>
  <c r="BQ58" i="33" s="1"/>
  <c r="BF58" i="33"/>
  <c r="BV58" i="33" a="1"/>
  <c r="BV58" i="33" s="1"/>
  <c r="CG58" i="33" a="1"/>
  <c r="CG58" i="33" s="1"/>
  <c r="CS58" i="33"/>
  <c r="DI54" i="33" a="1"/>
  <c r="DI54" i="33" s="1"/>
  <c r="CY54" i="33"/>
  <c r="DF54" i="33" a="1"/>
  <c r="DF54" i="33" s="1"/>
  <c r="CK54" i="33" a="1"/>
  <c r="CK54" i="33" s="1"/>
  <c r="CA54" i="33" a="1"/>
  <c r="CA54" i="33" s="1"/>
  <c r="BR54" i="33" a="1"/>
  <c r="BR54" i="33" s="1"/>
  <c r="BH54" i="33" a="1"/>
  <c r="BH54" i="33" s="1"/>
  <c r="DC54" i="33" a="1"/>
  <c r="DC54" i="33" s="1"/>
  <c r="CR54" i="33" a="1"/>
  <c r="CR54" i="33" s="1"/>
  <c r="CG54" i="33" a="1"/>
  <c r="CG54" i="33" s="1"/>
  <c r="BV54" i="33" a="1"/>
  <c r="BV54" i="33" s="1"/>
  <c r="BL54" i="33" a="1"/>
  <c r="BL54" i="33" s="1"/>
  <c r="CS54" i="33"/>
  <c r="CZ67" i="33" a="1"/>
  <c r="CZ67" i="33" s="1"/>
  <c r="CP67" i="33" a="1"/>
  <c r="CP67" i="33" s="1"/>
  <c r="CF67" i="33"/>
  <c r="BW67" i="33" a="1"/>
  <c r="BW67" i="33" s="1"/>
  <c r="BN67" i="33"/>
  <c r="BE67" i="33" a="1"/>
  <c r="BE67" i="33" s="1"/>
  <c r="DJ67" i="33" a="1"/>
  <c r="DJ67" i="33" s="1"/>
  <c r="CY67" i="33"/>
  <c r="CO67" i="33" a="1"/>
  <c r="CO67" i="33" s="1"/>
  <c r="CD67" i="33"/>
  <c r="BU67" i="33" a="1"/>
  <c r="BU67" i="33" s="1"/>
  <c r="BK67" i="33"/>
  <c r="DI67" i="33" a="1"/>
  <c r="DI67" i="33" s="1"/>
  <c r="CN67" i="33"/>
  <c r="DH67" i="33"/>
  <c r="CW67" i="33" a="1"/>
  <c r="CW67" i="33" s="1"/>
  <c r="CK67" i="33" a="1"/>
  <c r="CK67" i="33" s="1"/>
  <c r="BP67" i="33" a="1"/>
  <c r="BP67" i="33" s="1"/>
  <c r="BD67" i="33" a="1"/>
  <c r="BD67" i="33" s="1"/>
  <c r="BX67" i="33" a="1"/>
  <c r="BX67" i="33" s="1"/>
  <c r="CJ67" i="33" a="1"/>
  <c r="CJ67" i="33" s="1"/>
  <c r="CV67" i="33"/>
  <c r="DF69" i="33" a="1"/>
  <c r="DF69" i="33" s="1"/>
  <c r="CV69" i="33"/>
  <c r="CL69" i="33"/>
  <c r="BT69" i="33" a="1"/>
  <c r="BT69" i="33" s="1"/>
  <c r="CJ69" i="33" a="1"/>
  <c r="CJ69" i="33" s="1"/>
  <c r="BQ69" i="33" a="1"/>
  <c r="BQ69" i="33" s="1"/>
  <c r="BG69" i="33" a="1"/>
  <c r="BG69" i="33" s="1"/>
  <c r="DN69" i="33"/>
  <c r="DD69" i="33" a="1"/>
  <c r="DD69" i="33" s="1"/>
  <c r="CT69" i="33" a="1"/>
  <c r="CT69" i="33" s="1"/>
  <c r="BY69" i="33" a="1"/>
  <c r="BY69" i="33" s="1"/>
  <c r="BF69" i="33"/>
  <c r="DK69" i="33" a="1"/>
  <c r="DK69" i="33" s="1"/>
  <c r="CZ69" i="33" a="1"/>
  <c r="CZ69" i="33" s="1"/>
  <c r="CN69" i="33"/>
  <c r="CB69" i="33" a="1"/>
  <c r="CB69" i="33" s="1"/>
  <c r="BR69" i="33" a="1"/>
  <c r="BR69" i="33" s="1"/>
  <c r="BL69" i="33" a="1"/>
  <c r="BL69" i="33" s="1"/>
  <c r="BW69" i="33" a="1"/>
  <c r="BW69" i="33" s="1"/>
  <c r="CI69" i="33" a="1"/>
  <c r="CI69" i="33" s="1"/>
  <c r="CW69" i="33" a="1"/>
  <c r="CW69" i="33" s="1"/>
  <c r="DI69" i="33" a="1"/>
  <c r="DI69" i="33" s="1"/>
  <c r="DG74" i="33" a="1"/>
  <c r="DG74" i="33" s="1"/>
  <c r="BU74" i="33" a="1"/>
  <c r="BU74" i="33" s="1"/>
  <c r="BL74" i="33" a="1"/>
  <c r="BL74" i="33" s="1"/>
  <c r="CW74" i="33" a="1"/>
  <c r="CW74" i="33" s="1"/>
  <c r="CM74" i="33" a="1"/>
  <c r="CM74" i="33" s="1"/>
  <c r="CC74" i="33" a="1"/>
  <c r="CC74" i="33" s="1"/>
  <c r="BK74" i="33"/>
  <c r="DF74" i="33" a="1"/>
  <c r="DF74" i="33" s="1"/>
  <c r="CU74" i="33" a="1"/>
  <c r="CU74" i="33" s="1"/>
  <c r="CJ74" i="33" a="1"/>
  <c r="CJ74" i="33" s="1"/>
  <c r="BY74" i="33" a="1"/>
  <c r="BY74" i="33" s="1"/>
  <c r="BP74" i="33" a="1"/>
  <c r="BP74" i="33" s="1"/>
  <c r="BE74" i="33" a="1"/>
  <c r="BE74" i="33" s="1"/>
  <c r="DI74" i="33" a="1"/>
  <c r="DI74" i="33" s="1"/>
  <c r="CH74" i="33"/>
  <c r="BJ74" i="33" a="1"/>
  <c r="BJ74" i="33" s="1"/>
  <c r="BM74" i="33" a="1"/>
  <c r="BM74" i="33" s="1"/>
  <c r="CL74" i="33"/>
  <c r="DM74" i="33" a="1"/>
  <c r="DM74" i="33" s="1"/>
  <c r="AX67" i="33"/>
  <c r="AY67" i="33" s="1"/>
  <c r="AZ67" i="33" s="1"/>
  <c r="BA67" i="33" s="1"/>
  <c r="BB67" i="33" s="1"/>
  <c r="BC67" i="33" s="1"/>
  <c r="BM67" i="33" a="1"/>
  <c r="BM67" i="33" s="1"/>
  <c r="DK67" i="33" a="1"/>
  <c r="DK67" i="33" s="1"/>
  <c r="AX69" i="33"/>
  <c r="AY69" i="33" s="1"/>
  <c r="AZ69" i="33" s="1"/>
  <c r="BA69" i="33" s="1"/>
  <c r="BB69" i="33" s="1"/>
  <c r="BC69" i="33" s="1"/>
  <c r="AX74" i="33"/>
  <c r="AY74" i="33" s="1"/>
  <c r="AZ74" i="33" s="1"/>
  <c r="BA74" i="33" s="1"/>
  <c r="BB74" i="33" s="1"/>
  <c r="BC74" i="33" s="1"/>
  <c r="BZ74" i="33"/>
  <c r="CN74" i="33"/>
  <c r="DA74" i="33" a="1"/>
  <c r="DA74" i="33" s="1"/>
  <c r="BI70" i="33" a="1"/>
  <c r="BI70" i="33" s="1"/>
  <c r="CA70" i="33" a="1"/>
  <c r="CA70" i="33" s="1"/>
  <c r="C111" i="32"/>
  <c r="C71" i="32"/>
  <c r="C96" i="32"/>
  <c r="C47" i="32"/>
  <c r="D78" i="32"/>
  <c r="D112" i="32"/>
  <c r="C30" i="32"/>
  <c r="C129" i="32"/>
  <c r="O8" i="32"/>
  <c r="C40" i="32"/>
  <c r="C192" i="32"/>
  <c r="D31" i="32"/>
  <c r="C91" i="32"/>
  <c r="D161" i="32"/>
  <c r="D74" i="32"/>
  <c r="D63" i="32"/>
  <c r="C107" i="32"/>
  <c r="C142" i="32"/>
  <c r="C36" i="32"/>
  <c r="C42" i="32"/>
  <c r="D46" i="32"/>
  <c r="D86" i="32"/>
  <c r="D90" i="32"/>
  <c r="C94" i="32"/>
  <c r="D106" i="32"/>
  <c r="D110" i="32"/>
  <c r="C127" i="32"/>
  <c r="C135" i="32"/>
  <c r="D160" i="32"/>
  <c r="C181" i="32"/>
  <c r="C190" i="32"/>
  <c r="D193" i="32"/>
  <c r="D198" i="32"/>
  <c r="C202" i="32"/>
  <c r="C148" i="32"/>
  <c r="C177" i="32"/>
  <c r="C186" i="32"/>
  <c r="C98" i="32"/>
  <c r="D144" i="32"/>
  <c r="C170" i="32"/>
  <c r="C174" i="32"/>
  <c r="D61" i="32"/>
  <c r="D114" i="32"/>
  <c r="D163" i="32"/>
  <c r="C73" i="32"/>
  <c r="D76" i="32"/>
  <c r="D85" i="32"/>
  <c r="D93" i="32"/>
  <c r="D126" i="32"/>
  <c r="C138" i="32"/>
  <c r="C151" i="32"/>
  <c r="C155" i="32"/>
  <c r="C176" i="32"/>
  <c r="D189" i="32"/>
  <c r="D201" i="32"/>
  <c r="D49" i="32"/>
  <c r="D19" i="32"/>
  <c r="C64" i="32"/>
  <c r="D101" i="32"/>
  <c r="C113" i="32"/>
  <c r="D122" i="32"/>
  <c r="D37" i="32"/>
  <c r="C81" i="32"/>
  <c r="D130" i="32"/>
  <c r="C52" i="32"/>
  <c r="C115" i="32"/>
  <c r="C154" i="32"/>
  <c r="C158" i="32"/>
  <c r="C175" i="32"/>
  <c r="D183" i="32"/>
  <c r="C18" i="32"/>
  <c r="D22" i="32"/>
  <c r="D137" i="32"/>
  <c r="D150" i="32"/>
  <c r="C167" i="32"/>
  <c r="D171" i="32"/>
  <c r="F18" i="32" a="1"/>
  <c r="F18" i="32" s="1"/>
  <c r="D80" i="32"/>
  <c r="C24" i="32"/>
  <c r="D77" i="32"/>
  <c r="D43" i="32"/>
  <c r="C95" i="32"/>
  <c r="C103" i="32"/>
  <c r="C128" i="32"/>
  <c r="C191" i="32"/>
  <c r="C203" i="32"/>
  <c r="C26" i="32"/>
  <c r="D178" i="32"/>
  <c r="D35" i="32"/>
  <c r="C48" i="32"/>
  <c r="C133" i="32"/>
  <c r="C58" i="32"/>
  <c r="C83" i="32"/>
  <c r="C119" i="32"/>
  <c r="C89" i="32"/>
  <c r="D89" i="32"/>
  <c r="C23" i="32"/>
  <c r="C50" i="32"/>
  <c r="D55" i="32"/>
  <c r="C97" i="32"/>
  <c r="C141" i="32"/>
  <c r="D141" i="32"/>
  <c r="D162" i="32"/>
  <c r="C162" i="32"/>
  <c r="D59" i="32"/>
  <c r="C59" i="32"/>
  <c r="D69" i="32"/>
  <c r="C20" i="32"/>
  <c r="C139" i="32"/>
  <c r="C27" i="32"/>
  <c r="D27" i="32"/>
  <c r="D41" i="32"/>
  <c r="C41" i="32"/>
  <c r="D143" i="32"/>
  <c r="C143" i="32"/>
  <c r="C196" i="32"/>
  <c r="D194" i="32"/>
  <c r="D124" i="32"/>
  <c r="C124" i="32"/>
  <c r="C51" i="32"/>
  <c r="C62" i="32"/>
  <c r="D184" i="32"/>
  <c r="C184" i="32"/>
  <c r="C32" i="32"/>
  <c r="D147" i="32"/>
  <c r="C147" i="32"/>
  <c r="D140" i="32"/>
  <c r="C140" i="32"/>
  <c r="D56" i="32"/>
  <c r="D67" i="32"/>
  <c r="C67" i="32"/>
  <c r="C79" i="32"/>
  <c r="D102" i="32"/>
  <c r="C102" i="32"/>
  <c r="C159" i="32"/>
  <c r="C25" i="32"/>
  <c r="C28" i="32"/>
  <c r="D44" i="32"/>
  <c r="C44" i="32"/>
  <c r="D45" i="32"/>
  <c r="D53" i="32"/>
  <c r="D109" i="32"/>
  <c r="D118" i="32"/>
  <c r="C118" i="32"/>
  <c r="D169" i="32"/>
  <c r="C34" i="32"/>
  <c r="D92" i="32"/>
  <c r="C92" i="32"/>
  <c r="C104" i="32"/>
  <c r="D156" i="32"/>
  <c r="C156" i="32"/>
  <c r="C165" i="32"/>
  <c r="C179" i="32"/>
  <c r="D166" i="32"/>
  <c r="C166" i="32"/>
  <c r="C39" i="32"/>
  <c r="C70" i="32"/>
  <c r="C75" i="32"/>
  <c r="D75" i="32"/>
  <c r="D105" i="32"/>
  <c r="C134" i="32"/>
  <c r="C153" i="32"/>
  <c r="D153" i="32"/>
  <c r="D164" i="32"/>
  <c r="C164" i="32"/>
  <c r="C168" i="32"/>
  <c r="D173" i="32"/>
  <c r="C188" i="32"/>
  <c r="J9" i="32"/>
  <c r="C65" i="32"/>
  <c r="D65" i="32"/>
  <c r="C132" i="32"/>
  <c r="C149" i="32"/>
  <c r="D84" i="32"/>
  <c r="C84" i="32"/>
  <c r="C123" i="32"/>
  <c r="D125" i="32"/>
  <c r="C145" i="32"/>
  <c r="C182" i="32"/>
  <c r="C21" i="32"/>
  <c r="D33" i="32"/>
  <c r="C57" i="32"/>
  <c r="C82" i="32"/>
  <c r="C38" i="32"/>
  <c r="C66" i="32"/>
  <c r="D195" i="32"/>
  <c r="C195" i="32"/>
  <c r="C197" i="32"/>
  <c r="C29" i="32"/>
  <c r="D29" i="32"/>
  <c r="D60" i="32"/>
  <c r="C60" i="32"/>
  <c r="D131" i="32"/>
  <c r="C131" i="32"/>
  <c r="C157" i="32"/>
  <c r="D157" i="32"/>
  <c r="C68" i="32"/>
  <c r="D99" i="32"/>
  <c r="C117" i="32"/>
  <c r="C120" i="32"/>
  <c r="C187" i="32"/>
  <c r="C54" i="32"/>
  <c r="C100" i="32"/>
  <c r="D136" i="32"/>
  <c r="C136" i="32"/>
  <c r="D200" i="32"/>
  <c r="C200" i="32"/>
  <c r="D121" i="32"/>
  <c r="D185" i="32"/>
  <c r="D88" i="32"/>
  <c r="C88" i="32"/>
  <c r="D152" i="32"/>
  <c r="C152" i="32"/>
  <c r="D108" i="32"/>
  <c r="C108" i="32"/>
  <c r="C116" i="32"/>
  <c r="D172" i="32"/>
  <c r="C172" i="32"/>
  <c r="C180" i="32"/>
  <c r="BA60" i="34" l="1"/>
  <c r="BB60" i="34" s="1"/>
  <c r="I60" i="34" s="1"/>
  <c r="BU60" i="34"/>
  <c r="J21" i="38"/>
  <c r="I20" i="37"/>
  <c r="I17" i="38"/>
  <c r="G17" i="38"/>
  <c r="J17" i="38" s="1"/>
  <c r="J26" i="38"/>
  <c r="D26" i="38"/>
  <c r="J20" i="37"/>
  <c r="I25" i="38"/>
  <c r="G25" i="38"/>
  <c r="J25" i="38"/>
  <c r="D25" i="38"/>
  <c r="BU22" i="37"/>
  <c r="G22" i="37" s="1"/>
  <c r="J22" i="37" s="1"/>
  <c r="I16" i="38"/>
  <c r="G16" i="38"/>
  <c r="J16" i="38" s="1"/>
  <c r="D16" i="38"/>
  <c r="J20" i="38"/>
  <c r="D20" i="38"/>
  <c r="I20" i="38"/>
  <c r="G20" i="38"/>
  <c r="J22" i="38"/>
  <c r="D22" i="38"/>
  <c r="D19" i="38"/>
  <c r="BU36" i="37"/>
  <c r="G36" i="37" s="1"/>
  <c r="I19" i="38"/>
  <c r="G19" i="38"/>
  <c r="J19" i="38" s="1"/>
  <c r="D17" i="38"/>
  <c r="G24" i="38"/>
  <c r="J24" i="38" s="1"/>
  <c r="I24" i="38"/>
  <c r="D23" i="38"/>
  <c r="D24" i="38"/>
  <c r="I23" i="38"/>
  <c r="G23" i="38"/>
  <c r="J23" i="38" s="1"/>
  <c r="BU33" i="37"/>
  <c r="G33" i="37" s="1"/>
  <c r="I33" i="37"/>
  <c r="D19" i="37"/>
  <c r="D16" i="37"/>
  <c r="D17" i="37"/>
  <c r="J33" i="37"/>
  <c r="D33" i="37"/>
  <c r="J26" i="37"/>
  <c r="D26" i="37"/>
  <c r="J23" i="37"/>
  <c r="D23" i="37"/>
  <c r="J34" i="37"/>
  <c r="D34" i="37"/>
  <c r="D22" i="37"/>
  <c r="D24" i="37"/>
  <c r="J24" i="37"/>
  <c r="J32" i="37"/>
  <c r="D32" i="37"/>
  <c r="D21" i="37"/>
  <c r="J18" i="37"/>
  <c r="D18" i="37"/>
  <c r="J35" i="37"/>
  <c r="D35" i="37"/>
  <c r="D36" i="37"/>
  <c r="J36" i="37"/>
  <c r="BT21" i="37"/>
  <c r="BU21" i="37" s="1"/>
  <c r="G21" i="37" s="1"/>
  <c r="J21" i="37" s="1"/>
  <c r="I21" i="37"/>
  <c r="I23" i="37"/>
  <c r="BT23" i="37"/>
  <c r="BU23" i="37" s="1"/>
  <c r="G23" i="37" s="1"/>
  <c r="BU18" i="37"/>
  <c r="G18" i="37" s="1"/>
  <c r="I19" i="37"/>
  <c r="BT19" i="37"/>
  <c r="BU19" i="37" s="1"/>
  <c r="G19" i="37" s="1"/>
  <c r="J19" i="37" s="1"/>
  <c r="I24" i="37"/>
  <c r="BT24" i="37"/>
  <c r="BU24" i="37" s="1"/>
  <c r="G24" i="37" s="1"/>
  <c r="I22" i="37"/>
  <c r="BT16" i="37"/>
  <c r="BU16" i="37" s="1"/>
  <c r="G16" i="37" s="1"/>
  <c r="J16" i="37" s="1"/>
  <c r="I16" i="37"/>
  <c r="I36" i="37"/>
  <c r="I35" i="37"/>
  <c r="BT35" i="37"/>
  <c r="BU35" i="37" s="1"/>
  <c r="G35" i="37" s="1"/>
  <c r="D31" i="37"/>
  <c r="J31" i="37"/>
  <c r="BU17" i="37"/>
  <c r="G17" i="37" s="1"/>
  <c r="J17" i="37" s="1"/>
  <c r="BT34" i="37"/>
  <c r="BU34" i="37" s="1"/>
  <c r="G34" i="37" s="1"/>
  <c r="I34" i="37"/>
  <c r="BT32" i="37"/>
  <c r="BU32" i="37" s="1"/>
  <c r="G32" i="37" s="1"/>
  <c r="I32" i="37"/>
  <c r="BT32" i="34"/>
  <c r="M32" i="34" s="1"/>
  <c r="CF63" i="34"/>
  <c r="Q63" i="34" s="1"/>
  <c r="BX59" i="34"/>
  <c r="CI36" i="34"/>
  <c r="BZ18" i="34"/>
  <c r="O18" i="34" s="1"/>
  <c r="CA19" i="34"/>
  <c r="AM7" i="34"/>
  <c r="G7" i="34" s="1"/>
  <c r="BW21" i="34"/>
  <c r="N21" i="34" s="1"/>
  <c r="BO23" i="34"/>
  <c r="BP23" i="34" s="1"/>
  <c r="AP12" i="34"/>
  <c r="AC49" i="34"/>
  <c r="AJ35" i="34"/>
  <c r="AJ13" i="34"/>
  <c r="BX13" i="34"/>
  <c r="CB17" i="34"/>
  <c r="AU41" i="34"/>
  <c r="CD50" i="34"/>
  <c r="AX44" i="34"/>
  <c r="AU44" i="34" s="1"/>
  <c r="BY29" i="34"/>
  <c r="AL44" i="34"/>
  <c r="AK44" i="34" s="1"/>
  <c r="AH64" i="34"/>
  <c r="BS20" i="34"/>
  <c r="AX64" i="34"/>
  <c r="AQ64" i="34" s="1"/>
  <c r="BX17" i="34"/>
  <c r="BZ17" i="34" s="1"/>
  <c r="O17" i="34" s="1"/>
  <c r="CD60" i="34"/>
  <c r="BI58" i="34"/>
  <c r="CI58" i="34"/>
  <c r="AL50" i="34"/>
  <c r="AK50" i="34" s="1"/>
  <c r="AM8" i="34"/>
  <c r="G8" i="34" s="1"/>
  <c r="AI33" i="34"/>
  <c r="F33" i="34" s="1"/>
  <c r="AJ60" i="34"/>
  <c r="BY60" i="34"/>
  <c r="CA60" i="34"/>
  <c r="BW41" i="34"/>
  <c r="N41" i="34" s="1"/>
  <c r="CB60" i="34"/>
  <c r="CI7" i="34"/>
  <c r="AI9" i="34"/>
  <c r="F9" i="34" s="1"/>
  <c r="CB37" i="34"/>
  <c r="BT41" i="34"/>
  <c r="M41" i="34" s="1"/>
  <c r="AT41" i="34"/>
  <c r="AY41" i="34"/>
  <c r="AW41" i="34"/>
  <c r="CF49" i="34"/>
  <c r="Q49" i="34" s="1"/>
  <c r="BN52" i="34"/>
  <c r="BQ52" i="34" s="1"/>
  <c r="L52" i="34" s="1"/>
  <c r="BP58" i="34"/>
  <c r="BQ58" i="34" s="1"/>
  <c r="L58" i="34" s="1"/>
  <c r="AM63" i="34"/>
  <c r="G63" i="34" s="1"/>
  <c r="BW46" i="34"/>
  <c r="N46" i="34" s="1"/>
  <c r="CB34" i="34"/>
  <c r="AX23" i="34"/>
  <c r="AN23" i="34" s="1"/>
  <c r="BS23" i="34"/>
  <c r="CD22" i="34"/>
  <c r="CF38" i="34"/>
  <c r="Q38" i="34" s="1"/>
  <c r="BR23" i="34"/>
  <c r="CA14" i="34"/>
  <c r="AG23" i="34"/>
  <c r="CE23" i="34"/>
  <c r="AG22" i="34"/>
  <c r="BJ23" i="34"/>
  <c r="BI23" i="34" s="1"/>
  <c r="AD23" i="34"/>
  <c r="AC23" i="34" s="1"/>
  <c r="BV22" i="34"/>
  <c r="BP18" i="34"/>
  <c r="BQ18" i="34" s="1"/>
  <c r="L18" i="34" s="1"/>
  <c r="BY13" i="34"/>
  <c r="BZ13" i="34" s="1"/>
  <c r="O13" i="34" s="1"/>
  <c r="AH23" i="34"/>
  <c r="BS66" i="34"/>
  <c r="CJ47" i="34"/>
  <c r="CG47" i="34" s="1"/>
  <c r="BD23" i="34"/>
  <c r="BC23" i="34" s="1"/>
  <c r="CF9" i="34"/>
  <c r="Q9" i="34" s="1"/>
  <c r="CD23" i="34"/>
  <c r="AB58" i="34"/>
  <c r="CF58" i="34"/>
  <c r="Q58" i="34" s="1"/>
  <c r="BI8" i="34"/>
  <c r="BW9" i="34"/>
  <c r="N9" i="34" s="1"/>
  <c r="AH35" i="34"/>
  <c r="AL23" i="34"/>
  <c r="AK23" i="34" s="1"/>
  <c r="AM23" i="34" s="1"/>
  <c r="G23" i="34" s="1"/>
  <c r="AM18" i="34"/>
  <c r="G18" i="34" s="1"/>
  <c r="CJ48" i="34"/>
  <c r="CI48" i="34" s="1"/>
  <c r="BW52" i="34"/>
  <c r="N52" i="34" s="1"/>
  <c r="BA37" i="34"/>
  <c r="BB37" i="34" s="1"/>
  <c r="I37" i="34" s="1"/>
  <c r="CD62" i="34"/>
  <c r="CF62" i="34" s="1"/>
  <c r="Q62" i="34" s="1"/>
  <c r="BR22" i="34"/>
  <c r="AH22" i="34"/>
  <c r="CJ34" i="34"/>
  <c r="CI34" i="34" s="1"/>
  <c r="CK41" i="34"/>
  <c r="BD47" i="34"/>
  <c r="BC47" i="34" s="1"/>
  <c r="CF45" i="34"/>
  <c r="Q45" i="34" s="1"/>
  <c r="AX22" i="34"/>
  <c r="AV22" i="34" s="1"/>
  <c r="BO30" i="34"/>
  <c r="BP30" i="34" s="1"/>
  <c r="BS47" i="34"/>
  <c r="CK58" i="34"/>
  <c r="CD48" i="34"/>
  <c r="BA40" i="34"/>
  <c r="BB40" i="34" s="1"/>
  <c r="I40" i="34" s="1"/>
  <c r="BS17" i="34"/>
  <c r="AH44" i="34"/>
  <c r="CA40" i="34"/>
  <c r="BW38" i="34"/>
  <c r="N38" i="34" s="1"/>
  <c r="BJ17" i="34"/>
  <c r="BG17" i="34" s="1"/>
  <c r="BO64" i="34"/>
  <c r="BR43" i="34"/>
  <c r="BD40" i="34"/>
  <c r="BC40" i="34" s="1"/>
  <c r="AW49" i="34"/>
  <c r="CH58" i="34"/>
  <c r="CD40" i="34"/>
  <c r="CF40" i="34" s="1"/>
  <c r="Q40" i="34" s="1"/>
  <c r="BD48" i="34"/>
  <c r="BC48" i="34" s="1"/>
  <c r="CE22" i="34"/>
  <c r="BZ8" i="34"/>
  <c r="O8" i="34" s="1"/>
  <c r="BO40" i="34"/>
  <c r="BP40" i="34" s="1"/>
  <c r="AL48" i="34"/>
  <c r="AK48" i="34" s="1"/>
  <c r="BS10" i="34"/>
  <c r="BX40" i="34"/>
  <c r="BT38" i="34"/>
  <c r="M38" i="34" s="1"/>
  <c r="BJ48" i="34"/>
  <c r="BI48" i="34" s="1"/>
  <c r="BO13" i="34"/>
  <c r="BP13" i="34" s="1"/>
  <c r="BV42" i="34"/>
  <c r="BT46" i="34"/>
  <c r="M46" i="34" s="1"/>
  <c r="BT58" i="34"/>
  <c r="M58" i="34" s="1"/>
  <c r="CD64" i="34"/>
  <c r="BW58" i="34"/>
  <c r="N58" i="34" s="1"/>
  <c r="AM32" i="34"/>
  <c r="G32" i="34" s="1"/>
  <c r="CE60" i="34"/>
  <c r="BE21" i="34"/>
  <c r="BF21" i="34" s="1"/>
  <c r="J21" i="34" s="1"/>
  <c r="BN8" i="34"/>
  <c r="BQ8" i="34" s="1"/>
  <c r="L8" i="34" s="1"/>
  <c r="CJ28" i="34"/>
  <c r="CI28" i="34" s="1"/>
  <c r="BD54" i="34"/>
  <c r="BE54" i="34" s="1"/>
  <c r="CI52" i="34"/>
  <c r="CI33" i="34"/>
  <c r="BC12" i="34"/>
  <c r="BF12" i="34" s="1"/>
  <c r="J12" i="34" s="1"/>
  <c r="AV36" i="34"/>
  <c r="BA47" i="34"/>
  <c r="BB47" i="34" s="1"/>
  <c r="I47" i="34" s="1"/>
  <c r="AJ48" i="34"/>
  <c r="AJ64" i="34"/>
  <c r="CF15" i="34"/>
  <c r="Q15" i="34" s="1"/>
  <c r="AX42" i="34"/>
  <c r="AP42" i="34" s="1"/>
  <c r="BZ15" i="34"/>
  <c r="O15" i="34" s="1"/>
  <c r="BT8" i="34"/>
  <c r="M8" i="34" s="1"/>
  <c r="AH60" i="34"/>
  <c r="AI60" i="34" s="1"/>
  <c r="F60" i="34" s="1"/>
  <c r="AM38" i="34"/>
  <c r="G38" i="34" s="1"/>
  <c r="AJ66" i="34"/>
  <c r="BJ66" i="34"/>
  <c r="BL66" i="34" s="1"/>
  <c r="BK66" i="34" s="1"/>
  <c r="BD37" i="34"/>
  <c r="BC37" i="34" s="1"/>
  <c r="BO37" i="34"/>
  <c r="BN37" i="34" s="1"/>
  <c r="AE49" i="34"/>
  <c r="AL37" i="34"/>
  <c r="AK37" i="34" s="1"/>
  <c r="BW12" i="34"/>
  <c r="N12" i="34" s="1"/>
  <c r="AJ44" i="34"/>
  <c r="AM44" i="34" s="1"/>
  <c r="G44" i="34" s="1"/>
  <c r="CA37" i="34"/>
  <c r="BX37" i="34"/>
  <c r="AG37" i="34"/>
  <c r="BU37" i="34"/>
  <c r="BO60" i="34"/>
  <c r="BN60" i="34" s="1"/>
  <c r="AY46" i="34"/>
  <c r="BZ52" i="34"/>
  <c r="O52" i="34" s="1"/>
  <c r="AQ12" i="34"/>
  <c r="AD10" i="34"/>
  <c r="AE10" i="34" s="1"/>
  <c r="CC9" i="34"/>
  <c r="P9" i="34" s="1"/>
  <c r="CJ13" i="34"/>
  <c r="CH13" i="34" s="1"/>
  <c r="CB23" i="34"/>
  <c r="CD44" i="34"/>
  <c r="BJ22" i="34"/>
  <c r="BI22" i="34" s="1"/>
  <c r="CF12" i="34"/>
  <c r="Q12" i="34" s="1"/>
  <c r="BP9" i="34"/>
  <c r="BQ9" i="34" s="1"/>
  <c r="L9" i="34" s="1"/>
  <c r="BS60" i="34"/>
  <c r="BU14" i="34"/>
  <c r="BU44" i="34"/>
  <c r="BS22" i="34"/>
  <c r="AI21" i="34"/>
  <c r="F21" i="34" s="1"/>
  <c r="BC45" i="34"/>
  <c r="BF45" i="34" s="1"/>
  <c r="J45" i="34" s="1"/>
  <c r="AL60" i="34"/>
  <c r="AK60" i="34" s="1"/>
  <c r="BR60" i="34"/>
  <c r="BO51" i="34"/>
  <c r="BP51" i="34" s="1"/>
  <c r="BJ37" i="34"/>
  <c r="BI37" i="34" s="1"/>
  <c r="AH11" i="34"/>
  <c r="BU22" i="34"/>
  <c r="CF46" i="34"/>
  <c r="Q46" i="34" s="1"/>
  <c r="CA54" i="34"/>
  <c r="AI52" i="34"/>
  <c r="F52" i="34" s="1"/>
  <c r="BA30" i="34"/>
  <c r="BB30" i="34" s="1"/>
  <c r="I30" i="34" s="1"/>
  <c r="AD40" i="34"/>
  <c r="AE40" i="34" s="1"/>
  <c r="CA34" i="34"/>
  <c r="AL28" i="34"/>
  <c r="AK28" i="34" s="1"/>
  <c r="CE48" i="34"/>
  <c r="CE16" i="34"/>
  <c r="AG35" i="34"/>
  <c r="AD13" i="34"/>
  <c r="AC13" i="34" s="1"/>
  <c r="BU55" i="34"/>
  <c r="AE9" i="34"/>
  <c r="AL19" i="34"/>
  <c r="AK19" i="34" s="1"/>
  <c r="CB19" i="34"/>
  <c r="BZ49" i="34"/>
  <c r="O49" i="34" s="1"/>
  <c r="BV34" i="34"/>
  <c r="BU64" i="34"/>
  <c r="AX16" i="34"/>
  <c r="AV16" i="34" s="1"/>
  <c r="AS46" i="34"/>
  <c r="BA34" i="34"/>
  <c r="BB34" i="34" s="1"/>
  <c r="I34" i="34" s="1"/>
  <c r="AR38" i="34"/>
  <c r="BP38" i="34"/>
  <c r="BQ38" i="34" s="1"/>
  <c r="L38" i="34" s="1"/>
  <c r="AI8" i="34"/>
  <c r="F8" i="34" s="1"/>
  <c r="CA17" i="34"/>
  <c r="AG48" i="34"/>
  <c r="BJ16" i="34"/>
  <c r="BI16" i="34" s="1"/>
  <c r="BA35" i="34"/>
  <c r="BB35" i="34" s="1"/>
  <c r="I35" i="34" s="1"/>
  <c r="AI15" i="34"/>
  <c r="F15" i="34" s="1"/>
  <c r="BX35" i="34"/>
  <c r="BS62" i="34"/>
  <c r="CE34" i="34"/>
  <c r="CD28" i="34"/>
  <c r="BZ38" i="34"/>
  <c r="O38" i="34" s="1"/>
  <c r="AX48" i="34"/>
  <c r="AY48" i="34" s="1"/>
  <c r="BV14" i="34"/>
  <c r="CA16" i="34"/>
  <c r="CF31" i="34"/>
  <c r="Q31" i="34" s="1"/>
  <c r="AI46" i="34"/>
  <c r="F46" i="34" s="1"/>
  <c r="AL35" i="34"/>
  <c r="AK35" i="34" s="1"/>
  <c r="BS34" i="34"/>
  <c r="AJ34" i="34"/>
  <c r="BJ28" i="34"/>
  <c r="BG28" i="34" s="1"/>
  <c r="AS38" i="34"/>
  <c r="BO48" i="34"/>
  <c r="CB10" i="34"/>
  <c r="AX14" i="34"/>
  <c r="AQ14" i="34" s="1"/>
  <c r="AD16" i="34"/>
  <c r="AB16" i="34" s="1"/>
  <c r="BD35" i="34"/>
  <c r="BC35" i="34" s="1"/>
  <c r="BW15" i="34"/>
  <c r="N15" i="34" s="1"/>
  <c r="BA55" i="34"/>
  <c r="BB55" i="34" s="1"/>
  <c r="I55" i="34" s="1"/>
  <c r="AB15" i="34"/>
  <c r="AM46" i="34"/>
  <c r="G46" i="34" s="1"/>
  <c r="BV16" i="34"/>
  <c r="BR48" i="34"/>
  <c r="AT46" i="34"/>
  <c r="CJ59" i="34"/>
  <c r="CH59" i="34" s="1"/>
  <c r="BY51" i="34"/>
  <c r="BD27" i="34"/>
  <c r="BC27" i="34" s="1"/>
  <c r="BX28" i="34"/>
  <c r="BC36" i="34"/>
  <c r="BF36" i="34" s="1"/>
  <c r="J36" i="34" s="1"/>
  <c r="CA48" i="34"/>
  <c r="CC48" i="34" s="1"/>
  <c r="P48" i="34" s="1"/>
  <c r="AH10" i="34"/>
  <c r="BS16" i="34"/>
  <c r="BY35" i="34"/>
  <c r="AM15" i="34"/>
  <c r="G15" i="34" s="1"/>
  <c r="AI12" i="34"/>
  <c r="F12" i="34" s="1"/>
  <c r="AG19" i="34"/>
  <c r="AD35" i="34"/>
  <c r="AE35" i="34" s="1"/>
  <c r="BU53" i="34"/>
  <c r="CE59" i="34"/>
  <c r="AJ51" i="34"/>
  <c r="CB28" i="34"/>
  <c r="CC28" i="34" s="1"/>
  <c r="P28" i="34" s="1"/>
  <c r="AX10" i="34"/>
  <c r="AV10" i="34" s="1"/>
  <c r="AX19" i="34"/>
  <c r="AS19" i="34" s="1"/>
  <c r="BU35" i="34"/>
  <c r="BW35" i="34" s="1"/>
  <c r="N35" i="34" s="1"/>
  <c r="BT15" i="34"/>
  <c r="M15" i="34" s="1"/>
  <c r="AH34" i="34"/>
  <c r="BI46" i="34"/>
  <c r="BW63" i="34"/>
  <c r="N63" i="34" s="1"/>
  <c r="AX59" i="34"/>
  <c r="AQ59" i="34" s="1"/>
  <c r="AM52" i="34"/>
  <c r="G52" i="34" s="1"/>
  <c r="AG16" i="34"/>
  <c r="CE28" i="34"/>
  <c r="BA14" i="34"/>
  <c r="BB14" i="34" s="1"/>
  <c r="I14" i="34" s="1"/>
  <c r="BX48" i="34"/>
  <c r="BX16" i="34"/>
  <c r="CD10" i="34"/>
  <c r="BX19" i="34"/>
  <c r="BS13" i="34"/>
  <c r="BN15" i="34"/>
  <c r="BQ15" i="34" s="1"/>
  <c r="L15" i="34" s="1"/>
  <c r="AG13" i="34"/>
  <c r="BT12" i="34"/>
  <c r="M12" i="34" s="1"/>
  <c r="CJ60" i="34"/>
  <c r="CH60" i="34" s="1"/>
  <c r="AD60" i="34"/>
  <c r="BR19" i="34"/>
  <c r="CD55" i="34"/>
  <c r="AJ11" i="34"/>
  <c r="CB30" i="34"/>
  <c r="AJ19" i="34"/>
  <c r="AM58" i="34"/>
  <c r="G58" i="34" s="1"/>
  <c r="BZ63" i="34"/>
  <c r="O63" i="34" s="1"/>
  <c r="BD28" i="34"/>
  <c r="BC28" i="34" s="1"/>
  <c r="BU10" i="34"/>
  <c r="BA48" i="34"/>
  <c r="BB48" i="34" s="1"/>
  <c r="I48" i="34" s="1"/>
  <c r="BR10" i="34"/>
  <c r="CA64" i="34"/>
  <c r="AC9" i="34"/>
  <c r="CE13" i="34"/>
  <c r="BZ31" i="34"/>
  <c r="O31" i="34" s="1"/>
  <c r="AI18" i="34"/>
  <c r="F18" i="34" s="1"/>
  <c r="BZ36" i="34"/>
  <c r="O36" i="34" s="1"/>
  <c r="BZ33" i="34"/>
  <c r="O33" i="34" s="1"/>
  <c r="AM9" i="34"/>
  <c r="G9" i="34" s="1"/>
  <c r="AJ24" i="34"/>
  <c r="AL65" i="34"/>
  <c r="AK65" i="34" s="1"/>
  <c r="AH65" i="34"/>
  <c r="CJ65" i="34"/>
  <c r="CE65" i="34"/>
  <c r="AX65" i="34"/>
  <c r="AW65" i="34" s="1"/>
  <c r="BV65" i="34"/>
  <c r="BA65" i="34"/>
  <c r="BB65" i="34" s="1"/>
  <c r="I65" i="34" s="1"/>
  <c r="CD65" i="34"/>
  <c r="CB65" i="34"/>
  <c r="BU65" i="34"/>
  <c r="CC15" i="34"/>
  <c r="P15" i="34" s="1"/>
  <c r="CE11" i="34"/>
  <c r="BU57" i="34"/>
  <c r="AL57" i="34"/>
  <c r="AK57" i="34" s="1"/>
  <c r="AN49" i="34"/>
  <c r="BI34" i="34"/>
  <c r="BH34" i="34"/>
  <c r="BG34" i="34"/>
  <c r="CC36" i="34"/>
  <c r="P36" i="34" s="1"/>
  <c r="AI36" i="34"/>
  <c r="F36" i="34" s="1"/>
  <c r="BT21" i="34"/>
  <c r="M21" i="34" s="1"/>
  <c r="AT49" i="34"/>
  <c r="AY36" i="34"/>
  <c r="AP36" i="34"/>
  <c r="AX39" i="34"/>
  <c r="AN39" i="34" s="1"/>
  <c r="BT45" i="34"/>
  <c r="M45" i="34" s="1"/>
  <c r="AD30" i="34"/>
  <c r="AE30" i="34" s="1"/>
  <c r="BC15" i="34"/>
  <c r="BE15" i="34"/>
  <c r="BT7" i="34"/>
  <c r="M7" i="34" s="1"/>
  <c r="BH9" i="34"/>
  <c r="CE30" i="34"/>
  <c r="BJ65" i="34"/>
  <c r="BI65" i="34" s="1"/>
  <c r="BU25" i="34"/>
  <c r="BS25" i="34"/>
  <c r="BA25" i="34"/>
  <c r="BB25" i="34" s="1"/>
  <c r="I25" i="34" s="1"/>
  <c r="BJ25" i="34"/>
  <c r="BG25" i="34" s="1"/>
  <c r="AX66" i="34"/>
  <c r="AS66" i="34" s="1"/>
  <c r="BO65" i="34"/>
  <c r="BP65" i="34" s="1"/>
  <c r="CD26" i="34"/>
  <c r="BY26" i="34"/>
  <c r="BD26" i="34"/>
  <c r="BU26" i="34"/>
  <c r="BU19" i="34"/>
  <c r="BV19" i="34"/>
  <c r="BS19" i="34"/>
  <c r="BY19" i="34"/>
  <c r="CD19" i="34"/>
  <c r="CE19" i="34"/>
  <c r="CJ19" i="34"/>
  <c r="CH19" i="34" s="1"/>
  <c r="BD19" i="34"/>
  <c r="AH19" i="34"/>
  <c r="AD19" i="34"/>
  <c r="AB19" i="34" s="1"/>
  <c r="BO19" i="34"/>
  <c r="BP19" i="34" s="1"/>
  <c r="BJ19" i="34"/>
  <c r="CJ35" i="34"/>
  <c r="BH36" i="34"/>
  <c r="BI36" i="34"/>
  <c r="BY11" i="34"/>
  <c r="BS11" i="34"/>
  <c r="BR11" i="34"/>
  <c r="BV11" i="34"/>
  <c r="BW33" i="34"/>
  <c r="N33" i="34" s="1"/>
  <c r="AB38" i="34"/>
  <c r="AC38" i="34"/>
  <c r="CH46" i="34"/>
  <c r="AB52" i="34"/>
  <c r="BC33" i="34"/>
  <c r="BF33" i="34" s="1"/>
  <c r="J33" i="34" s="1"/>
  <c r="BY66" i="34"/>
  <c r="BZ66" i="34" s="1"/>
  <c r="O66" i="34" s="1"/>
  <c r="BV66" i="34"/>
  <c r="AJ65" i="34"/>
  <c r="BG36" i="34"/>
  <c r="BN7" i="34"/>
  <c r="BQ7" i="34" s="1"/>
  <c r="L7" i="34" s="1"/>
  <c r="AX55" i="34"/>
  <c r="BV55" i="34"/>
  <c r="BX55" i="34"/>
  <c r="BZ55" i="34" s="1"/>
  <c r="O55" i="34" s="1"/>
  <c r="BR55" i="34"/>
  <c r="BS55" i="34"/>
  <c r="BJ55" i="34"/>
  <c r="CE55" i="34"/>
  <c r="AL55" i="34"/>
  <c r="AK55" i="34" s="1"/>
  <c r="CJ55" i="34"/>
  <c r="CH55" i="34" s="1"/>
  <c r="BD55" i="34"/>
  <c r="CA55" i="34"/>
  <c r="AG55" i="34"/>
  <c r="BO55" i="34"/>
  <c r="BN55" i="34" s="1"/>
  <c r="AH55" i="34"/>
  <c r="CB55" i="34"/>
  <c r="AB63" i="34"/>
  <c r="AE63" i="34"/>
  <c r="AC63" i="34"/>
  <c r="AG24" i="34"/>
  <c r="CJ24" i="34"/>
  <c r="CG24" i="34" s="1"/>
  <c r="BS24" i="34"/>
  <c r="BR24" i="34"/>
  <c r="CB24" i="34"/>
  <c r="CD24" i="34"/>
  <c r="AH24" i="34"/>
  <c r="BY39" i="34"/>
  <c r="CA27" i="34"/>
  <c r="CA30" i="34"/>
  <c r="AE55" i="34"/>
  <c r="AB55" i="34"/>
  <c r="AX30" i="34"/>
  <c r="AY30" i="34" s="1"/>
  <c r="AD65" i="34"/>
  <c r="AC65" i="34" s="1"/>
  <c r="BU66" i="34"/>
  <c r="AI58" i="34"/>
  <c r="F58" i="34" s="1"/>
  <c r="CA51" i="34"/>
  <c r="CC51" i="34" s="1"/>
  <c r="P51" i="34" s="1"/>
  <c r="BX51" i="34"/>
  <c r="CJ51" i="34"/>
  <c r="CH51" i="34" s="1"/>
  <c r="BA51" i="34"/>
  <c r="BB51" i="34" s="1"/>
  <c r="I51" i="34" s="1"/>
  <c r="AD51" i="34"/>
  <c r="AC51" i="34" s="1"/>
  <c r="AX51" i="34"/>
  <c r="AT51" i="34" s="1"/>
  <c r="BR65" i="34"/>
  <c r="BH29" i="34"/>
  <c r="BL29" i="34"/>
  <c r="BK29" i="34" s="1"/>
  <c r="AL30" i="34"/>
  <c r="AK30" i="34" s="1"/>
  <c r="BX39" i="34"/>
  <c r="AI31" i="34"/>
  <c r="F31" i="34" s="1"/>
  <c r="BR59" i="34"/>
  <c r="BJ59" i="34"/>
  <c r="AJ59" i="34"/>
  <c r="H59" i="34"/>
  <c r="CD59" i="34"/>
  <c r="BU59" i="34"/>
  <c r="BW59" i="34" s="1"/>
  <c r="N59" i="34" s="1"/>
  <c r="BO59" i="34"/>
  <c r="AH59" i="34"/>
  <c r="AG59" i="34"/>
  <c r="BD59" i="34"/>
  <c r="BC59" i="34" s="1"/>
  <c r="CB59" i="34"/>
  <c r="CA59" i="34"/>
  <c r="AL59" i="34"/>
  <c r="AK59" i="34" s="1"/>
  <c r="BY59" i="34"/>
  <c r="AD59" i="34"/>
  <c r="BS59" i="34"/>
  <c r="BA59" i="34"/>
  <c r="BB59" i="34" s="1"/>
  <c r="I59" i="34" s="1"/>
  <c r="AC36" i="34"/>
  <c r="AE36" i="34"/>
  <c r="BO66" i="34"/>
  <c r="BN66" i="34" s="1"/>
  <c r="BX30" i="34"/>
  <c r="AW38" i="34"/>
  <c r="AQ38" i="34"/>
  <c r="AV38" i="34"/>
  <c r="AY7" i="34"/>
  <c r="AP7" i="34"/>
  <c r="BU24" i="34"/>
  <c r="AD37" i="34"/>
  <c r="CE37" i="34"/>
  <c r="CJ37" i="34"/>
  <c r="CD37" i="34"/>
  <c r="BY37" i="34"/>
  <c r="AX37" i="34"/>
  <c r="AT37" i="34" s="1"/>
  <c r="AH37" i="34"/>
  <c r="AJ37" i="34"/>
  <c r="BS37" i="34"/>
  <c r="BT37" i="34" s="1"/>
  <c r="M37" i="34" s="1"/>
  <c r="BI63" i="34"/>
  <c r="BH63" i="34"/>
  <c r="BG63" i="34"/>
  <c r="BG52" i="34"/>
  <c r="BU30" i="34"/>
  <c r="BW30" i="34" s="1"/>
  <c r="N30" i="34" s="1"/>
  <c r="CE66" i="34"/>
  <c r="AG66" i="34"/>
  <c r="CJ66" i="34"/>
  <c r="CH66" i="34" s="1"/>
  <c r="AH66" i="34"/>
  <c r="BR66" i="34"/>
  <c r="BD66" i="34"/>
  <c r="BE66" i="34" s="1"/>
  <c r="BA66" i="34"/>
  <c r="BB66" i="34" s="1"/>
  <c r="I66" i="34" s="1"/>
  <c r="CD66" i="34"/>
  <c r="CB66" i="34"/>
  <c r="AY63" i="34"/>
  <c r="AW63" i="34"/>
  <c r="BI52" i="34"/>
  <c r="AD66" i="34"/>
  <c r="AE66" i="34" s="1"/>
  <c r="AL53" i="34"/>
  <c r="AK53" i="34" s="1"/>
  <c r="BV53" i="34"/>
  <c r="CE53" i="34"/>
  <c r="BS53" i="34"/>
  <c r="AL66" i="34"/>
  <c r="AK66" i="34" s="1"/>
  <c r="BS65" i="34"/>
  <c r="CA65" i="34"/>
  <c r="CB62" i="34"/>
  <c r="CA66" i="34"/>
  <c r="BJ51" i="34"/>
  <c r="BL51" i="34" s="1"/>
  <c r="BK51" i="34" s="1"/>
  <c r="BD65" i="34"/>
  <c r="BC65" i="34" s="1"/>
  <c r="BF65" i="34" s="1"/>
  <c r="J65" i="34" s="1"/>
  <c r="AE18" i="34"/>
  <c r="AC18" i="34"/>
  <c r="BT36" i="34"/>
  <c r="M36" i="34" s="1"/>
  <c r="CF8" i="34"/>
  <c r="Q8" i="34" s="1"/>
  <c r="AI7" i="34"/>
  <c r="F7" i="34" s="1"/>
  <c r="BY27" i="34"/>
  <c r="AL29" i="34"/>
  <c r="AK29" i="34" s="1"/>
  <c r="CB29" i="34"/>
  <c r="AG29" i="34"/>
  <c r="CD29" i="34"/>
  <c r="CD27" i="34"/>
  <c r="CD42" i="34"/>
  <c r="CA42" i="34"/>
  <c r="AG42" i="34"/>
  <c r="CA44" i="34"/>
  <c r="CB44" i="34"/>
  <c r="BJ44" i="34"/>
  <c r="BG44" i="34" s="1"/>
  <c r="BO44" i="34"/>
  <c r="BN44" i="34" s="1"/>
  <c r="BD44" i="34"/>
  <c r="BC44" i="34" s="1"/>
  <c r="BV37" i="34"/>
  <c r="CB39" i="34"/>
  <c r="BA39" i="34"/>
  <c r="BB39" i="34" s="1"/>
  <c r="I39" i="34" s="1"/>
  <c r="AD39" i="34"/>
  <c r="AC39" i="34" s="1"/>
  <c r="BR39" i="34"/>
  <c r="BU39" i="34"/>
  <c r="AL39" i="34"/>
  <c r="AK39" i="34" s="1"/>
  <c r="BJ39" i="34"/>
  <c r="BH39" i="34" s="1"/>
  <c r="CJ27" i="34"/>
  <c r="CI27" i="34" s="1"/>
  <c r="AJ30" i="34"/>
  <c r="BJ30" i="34"/>
  <c r="BY30" i="34"/>
  <c r="BS30" i="34"/>
  <c r="AH30" i="34"/>
  <c r="BD30" i="34"/>
  <c r="BC30" i="34" s="1"/>
  <c r="CJ30" i="34"/>
  <c r="CH30" i="34" s="1"/>
  <c r="AG30" i="34"/>
  <c r="CD30" i="34"/>
  <c r="BJ11" i="34"/>
  <c r="BL11" i="34" s="1"/>
  <c r="BK11" i="34" s="1"/>
  <c r="BT49" i="34"/>
  <c r="M49" i="34" s="1"/>
  <c r="AG65" i="34"/>
  <c r="BC63" i="34"/>
  <c r="BE63" i="34"/>
  <c r="BX65" i="34"/>
  <c r="BH18" i="34"/>
  <c r="BG18" i="34"/>
  <c r="BI18" i="34"/>
  <c r="BL18" i="34"/>
  <c r="BK18" i="34" s="1"/>
  <c r="AB36" i="34"/>
  <c r="AW8" i="34"/>
  <c r="AJ27" i="34"/>
  <c r="CD11" i="34"/>
  <c r="AX11" i="34"/>
  <c r="AU11" i="34" s="1"/>
  <c r="CD39" i="34"/>
  <c r="CC52" i="34"/>
  <c r="P52" i="34" s="1"/>
  <c r="CC12" i="34"/>
  <c r="P12" i="34" s="1"/>
  <c r="CE35" i="34"/>
  <c r="CA35" i="34"/>
  <c r="AX35" i="34"/>
  <c r="CB35" i="34"/>
  <c r="BS35" i="34"/>
  <c r="BO35" i="34"/>
  <c r="CD35" i="34"/>
  <c r="BJ35" i="34"/>
  <c r="BG35" i="34" s="1"/>
  <c r="BR35" i="34"/>
  <c r="CH36" i="34"/>
  <c r="CK36" i="34"/>
  <c r="AC52" i="34"/>
  <c r="BN41" i="34"/>
  <c r="BP41" i="34"/>
  <c r="BT52" i="34"/>
  <c r="M52" i="34" s="1"/>
  <c r="CD51" i="34"/>
  <c r="BY65" i="34"/>
  <c r="AW36" i="34"/>
  <c r="AP38" i="34"/>
  <c r="AS27" i="34"/>
  <c r="AX24" i="34"/>
  <c r="AW24" i="34" s="1"/>
  <c r="AJ43" i="34"/>
  <c r="BV43" i="34"/>
  <c r="BS43" i="34"/>
  <c r="BA43" i="34"/>
  <c r="BB43" i="34" s="1"/>
  <c r="I43" i="34" s="1"/>
  <c r="AH43" i="34"/>
  <c r="AI43" i="34" s="1"/>
  <c r="F43" i="34" s="1"/>
  <c r="CA43" i="34"/>
  <c r="CB43" i="34"/>
  <c r="BD43" i="34"/>
  <c r="BE43" i="34" s="1"/>
  <c r="BO43" i="34"/>
  <c r="BP43" i="34" s="1"/>
  <c r="CE43" i="34"/>
  <c r="AD11" i="34"/>
  <c r="AJ39" i="34"/>
  <c r="AB44" i="34"/>
  <c r="AC44" i="34"/>
  <c r="CE24" i="34"/>
  <c r="AJ55" i="34"/>
  <c r="BR30" i="34"/>
  <c r="BT33" i="34"/>
  <c r="M33" i="34" s="1"/>
  <c r="BW36" i="34"/>
  <c r="N36" i="34" s="1"/>
  <c r="BU13" i="34"/>
  <c r="BZ9" i="34"/>
  <c r="O9" i="34" s="1"/>
  <c r="BX60" i="34"/>
  <c r="BZ60" i="34" s="1"/>
  <c r="O60" i="34" s="1"/>
  <c r="AX60" i="34"/>
  <c r="BV60" i="34"/>
  <c r="BW60" i="34" s="1"/>
  <c r="N60" i="34" s="1"/>
  <c r="BJ60" i="34"/>
  <c r="BD60" i="34"/>
  <c r="BZ32" i="34"/>
  <c r="O32" i="34" s="1"/>
  <c r="AL13" i="34"/>
  <c r="AK13" i="34" s="1"/>
  <c r="AX34" i="34"/>
  <c r="BU34" i="34"/>
  <c r="BR34" i="34"/>
  <c r="BO34" i="34"/>
  <c r="BT18" i="34"/>
  <c r="M18" i="34" s="1"/>
  <c r="BD34" i="34"/>
  <c r="BC34" i="34" s="1"/>
  <c r="AJ17" i="34"/>
  <c r="AI41" i="34"/>
  <c r="F41" i="34" s="1"/>
  <c r="BD13" i="34"/>
  <c r="BC13" i="34" s="1"/>
  <c r="CJ22" i="34"/>
  <c r="CC38" i="34"/>
  <c r="P38" i="34" s="1"/>
  <c r="BU17" i="34"/>
  <c r="AI38" i="34"/>
  <c r="F38" i="34" s="1"/>
  <c r="BX34" i="34"/>
  <c r="BD17" i="34"/>
  <c r="BC17" i="34" s="1"/>
  <c r="BV13" i="34"/>
  <c r="AM49" i="34"/>
  <c r="G49" i="34" s="1"/>
  <c r="CF7" i="34"/>
  <c r="Q7" i="34" s="1"/>
  <c r="CC33" i="34"/>
  <c r="P33" i="34" s="1"/>
  <c r="AG34" i="34"/>
  <c r="CF32" i="34"/>
  <c r="Q32" i="34" s="1"/>
  <c r="BY34" i="34"/>
  <c r="CF18" i="34"/>
  <c r="Q18" i="34" s="1"/>
  <c r="CF36" i="34"/>
  <c r="Q36" i="34" s="1"/>
  <c r="AL34" i="34"/>
  <c r="AK34" i="34" s="1"/>
  <c r="CJ64" i="34"/>
  <c r="CG64" i="34" s="1"/>
  <c r="CA13" i="34"/>
  <c r="CC13" i="34" s="1"/>
  <c r="P13" i="34" s="1"/>
  <c r="BZ45" i="34"/>
  <c r="O45" i="34" s="1"/>
  <c r="BW49" i="34"/>
  <c r="N49" i="34" s="1"/>
  <c r="BR17" i="34"/>
  <c r="CC63" i="34"/>
  <c r="P63" i="34" s="1"/>
  <c r="AM33" i="34"/>
  <c r="G33" i="34" s="1"/>
  <c r="AD34" i="34"/>
  <c r="AB34" i="34" s="1"/>
  <c r="CD34" i="34"/>
  <c r="BT9" i="34"/>
  <c r="M9" i="34" s="1"/>
  <c r="BS64" i="34"/>
  <c r="BT64" i="34" s="1"/>
  <c r="M64" i="34" s="1"/>
  <c r="CC45" i="34"/>
  <c r="P45" i="34" s="1"/>
  <c r="AM21" i="34"/>
  <c r="G21" i="34" s="1"/>
  <c r="BW18" i="34"/>
  <c r="N18" i="34" s="1"/>
  <c r="AB21" i="34"/>
  <c r="AE21" i="34"/>
  <c r="AC21" i="34"/>
  <c r="CA61" i="34"/>
  <c r="CC61" i="34" s="1"/>
  <c r="P61" i="34" s="1"/>
  <c r="BX61" i="34"/>
  <c r="BV61" i="34"/>
  <c r="AL61" i="34"/>
  <c r="AK61" i="34" s="1"/>
  <c r="BJ61" i="34"/>
  <c r="AG61" i="34"/>
  <c r="BR61" i="34"/>
  <c r="CJ61" i="34"/>
  <c r="BA61" i="34"/>
  <c r="BB61" i="34" s="1"/>
  <c r="I61" i="34" s="1"/>
  <c r="CB61" i="34"/>
  <c r="BS61" i="34"/>
  <c r="BU61" i="34"/>
  <c r="AH61" i="34"/>
  <c r="AD61" i="34"/>
  <c r="BY61" i="34"/>
  <c r="AX61" i="34"/>
  <c r="BO61" i="34"/>
  <c r="CE61" i="34"/>
  <c r="AP9" i="34"/>
  <c r="AS9" i="34"/>
  <c r="AN9" i="34"/>
  <c r="AY9" i="34"/>
  <c r="AV9" i="34"/>
  <c r="AW9" i="34"/>
  <c r="AO9" i="34"/>
  <c r="AR9" i="34"/>
  <c r="AT9" i="34"/>
  <c r="AQ9" i="34"/>
  <c r="BC31" i="34"/>
  <c r="BE31" i="34"/>
  <c r="BA42" i="34"/>
  <c r="BB42" i="34" s="1"/>
  <c r="I42" i="34" s="1"/>
  <c r="BY42" i="34"/>
  <c r="CE42" i="34"/>
  <c r="CB42" i="34"/>
  <c r="AL42" i="34"/>
  <c r="AK42" i="34" s="1"/>
  <c r="CJ42" i="34"/>
  <c r="BU42" i="34"/>
  <c r="AD42" i="34"/>
  <c r="AJ42" i="34"/>
  <c r="BO42" i="34"/>
  <c r="BJ42" i="34"/>
  <c r="AH42" i="34"/>
  <c r="BX42" i="34"/>
  <c r="BR42" i="34"/>
  <c r="BS42" i="34"/>
  <c r="BT63" i="34"/>
  <c r="M63" i="34" s="1"/>
  <c r="AQ52" i="34"/>
  <c r="AY52" i="34"/>
  <c r="AW52" i="34"/>
  <c r="AU52" i="34"/>
  <c r="AV52" i="34"/>
  <c r="AP52" i="34"/>
  <c r="AN52" i="34"/>
  <c r="AO52" i="34"/>
  <c r="AR52" i="34"/>
  <c r="AT52" i="34"/>
  <c r="AS52" i="34"/>
  <c r="AV15" i="34"/>
  <c r="AR15" i="34"/>
  <c r="AS15" i="34"/>
  <c r="AY15" i="34"/>
  <c r="AQ15" i="34"/>
  <c r="AP15" i="34"/>
  <c r="AU15" i="34"/>
  <c r="AO15" i="34"/>
  <c r="AW15" i="34"/>
  <c r="AT15" i="34"/>
  <c r="AN15" i="34"/>
  <c r="BN45" i="34"/>
  <c r="BP45" i="34"/>
  <c r="BC42" i="34"/>
  <c r="BE42" i="34"/>
  <c r="AT27" i="34"/>
  <c r="AR27" i="34"/>
  <c r="AQ27" i="34"/>
  <c r="AP27" i="34"/>
  <c r="AO27" i="34"/>
  <c r="AN27" i="34"/>
  <c r="AY27" i="34"/>
  <c r="AV27" i="34"/>
  <c r="AW27" i="34"/>
  <c r="AY53" i="34"/>
  <c r="AW53" i="34"/>
  <c r="AT53" i="34"/>
  <c r="AU53" i="34"/>
  <c r="AQ53" i="34"/>
  <c r="AR53" i="34"/>
  <c r="AV53" i="34"/>
  <c r="AO53" i="34"/>
  <c r="AP53" i="34"/>
  <c r="AN53" i="34"/>
  <c r="AN18" i="34"/>
  <c r="AY18" i="34"/>
  <c r="AU18" i="34"/>
  <c r="AR18" i="34"/>
  <c r="AP18" i="34"/>
  <c r="AW18" i="34"/>
  <c r="AV18" i="34"/>
  <c r="AT18" i="34"/>
  <c r="AS18" i="34"/>
  <c r="BE8" i="34"/>
  <c r="BC8" i="34"/>
  <c r="BC58" i="34"/>
  <c r="BF58" i="34" s="1"/>
  <c r="J58" i="34" s="1"/>
  <c r="BD61" i="34"/>
  <c r="AO18" i="34"/>
  <c r="BC52" i="34"/>
  <c r="BE52" i="34"/>
  <c r="AC41" i="34"/>
  <c r="AB41" i="34"/>
  <c r="AE41" i="34"/>
  <c r="CD61" i="34"/>
  <c r="AQ18" i="34"/>
  <c r="BP47" i="34"/>
  <c r="BQ47" i="34" s="1"/>
  <c r="L47" i="34" s="1"/>
  <c r="BE49" i="34"/>
  <c r="BC49" i="34"/>
  <c r="BI12" i="34"/>
  <c r="BL12" i="34"/>
  <c r="BK12" i="34" s="1"/>
  <c r="BH12" i="34"/>
  <c r="BG12" i="34"/>
  <c r="AX57" i="34"/>
  <c r="BY57" i="34"/>
  <c r="BX57" i="34"/>
  <c r="AH57" i="34"/>
  <c r="BJ57" i="34"/>
  <c r="CJ57" i="34"/>
  <c r="CA57" i="34"/>
  <c r="CE57" i="34"/>
  <c r="AG57" i="34"/>
  <c r="BA57" i="34"/>
  <c r="BB57" i="34" s="1"/>
  <c r="I57" i="34" s="1"/>
  <c r="CD57" i="34"/>
  <c r="BD57" i="34"/>
  <c r="AJ57" i="34"/>
  <c r="BO57" i="34"/>
  <c r="BS57" i="34"/>
  <c r="BR57" i="34"/>
  <c r="AD57" i="34"/>
  <c r="BV57" i="34"/>
  <c r="CB57" i="34"/>
  <c r="AV58" i="34"/>
  <c r="AU58" i="34"/>
  <c r="AT58" i="34"/>
  <c r="AS58" i="34"/>
  <c r="AW58" i="34"/>
  <c r="AR58" i="34"/>
  <c r="AQ58" i="34"/>
  <c r="AP58" i="34"/>
  <c r="AO58" i="34"/>
  <c r="AN58" i="34"/>
  <c r="AY58" i="34"/>
  <c r="AV48" i="34"/>
  <c r="AJ61" i="34"/>
  <c r="BE16" i="34"/>
  <c r="BC16" i="34"/>
  <c r="AS63" i="34"/>
  <c r="CD20" i="34"/>
  <c r="BY20" i="34"/>
  <c r="AJ20" i="34"/>
  <c r="BR20" i="34"/>
  <c r="CA20" i="34"/>
  <c r="AX20" i="34"/>
  <c r="BX20" i="34"/>
  <c r="BV20" i="34"/>
  <c r="AD20" i="34"/>
  <c r="AL20" i="34"/>
  <c r="AK20" i="34" s="1"/>
  <c r="AH20" i="34"/>
  <c r="CJ20" i="34"/>
  <c r="BO20" i="34"/>
  <c r="AM12" i="34"/>
  <c r="G12" i="34" s="1"/>
  <c r="AE44" i="34"/>
  <c r="AL14" i="34"/>
  <c r="AK14" i="34" s="1"/>
  <c r="AL47" i="34"/>
  <c r="AK47" i="34" s="1"/>
  <c r="BO50" i="34"/>
  <c r="BD50" i="34"/>
  <c r="CE50" i="34"/>
  <c r="AW32" i="34"/>
  <c r="AU32" i="34"/>
  <c r="AV32" i="34"/>
  <c r="AY32" i="34"/>
  <c r="AO32" i="34"/>
  <c r="AP32" i="34"/>
  <c r="AS32" i="34"/>
  <c r="AQ32" i="34"/>
  <c r="BD20" i="34"/>
  <c r="BP12" i="34"/>
  <c r="BQ12" i="34" s="1"/>
  <c r="L12" i="34" s="1"/>
  <c r="BU20" i="34"/>
  <c r="AU63" i="34"/>
  <c r="BV50" i="34"/>
  <c r="BW50" i="34" s="1"/>
  <c r="N50" i="34" s="1"/>
  <c r="BE9" i="34"/>
  <c r="BF9" i="34" s="1"/>
  <c r="J9" i="34" s="1"/>
  <c r="CD43" i="34"/>
  <c r="AB12" i="34"/>
  <c r="AE12" i="34"/>
  <c r="AC12" i="34"/>
  <c r="BA50" i="34"/>
  <c r="BB50" i="34" s="1"/>
  <c r="I50" i="34" s="1"/>
  <c r="BT31" i="34"/>
  <c r="M31" i="34" s="1"/>
  <c r="BW8" i="34"/>
  <c r="N8" i="34" s="1"/>
  <c r="BO62" i="34"/>
  <c r="BJ62" i="34"/>
  <c r="BY62" i="34"/>
  <c r="BX62" i="34"/>
  <c r="BV62" i="34"/>
  <c r="AX62" i="34"/>
  <c r="CA62" i="34"/>
  <c r="BD62" i="34"/>
  <c r="BA62" i="34"/>
  <c r="BB62" i="34" s="1"/>
  <c r="I62" i="34" s="1"/>
  <c r="AG62" i="34"/>
  <c r="AD62" i="34"/>
  <c r="AH62" i="34"/>
  <c r="BU62" i="34"/>
  <c r="CJ62" i="34"/>
  <c r="BA13" i="34"/>
  <c r="BB13" i="34" s="1"/>
  <c r="I13" i="34" s="1"/>
  <c r="CB22" i="34"/>
  <c r="BX22" i="34"/>
  <c r="BJ24" i="34"/>
  <c r="BP49" i="34"/>
  <c r="BQ49" i="34" s="1"/>
  <c r="L49" i="34" s="1"/>
  <c r="AI63" i="34"/>
  <c r="F63" i="34" s="1"/>
  <c r="BG29" i="34"/>
  <c r="CE14" i="34"/>
  <c r="BR50" i="34"/>
  <c r="BR26" i="34"/>
  <c r="AE15" i="34"/>
  <c r="AH13" i="34"/>
  <c r="BJ13" i="34"/>
  <c r="AQ45" i="34"/>
  <c r="AO45" i="34"/>
  <c r="AP45" i="34"/>
  <c r="AW45" i="34"/>
  <c r="AY45" i="34"/>
  <c r="AV45" i="34"/>
  <c r="AS45" i="34"/>
  <c r="AU45" i="34"/>
  <c r="AT45" i="34"/>
  <c r="AR45" i="34"/>
  <c r="AN45" i="34"/>
  <c r="AL43" i="34"/>
  <c r="AK43" i="34" s="1"/>
  <c r="BR44" i="34"/>
  <c r="BX44" i="34"/>
  <c r="BY22" i="34"/>
  <c r="BD24" i="34"/>
  <c r="AD24" i="34"/>
  <c r="BX14" i="34"/>
  <c r="BL33" i="34"/>
  <c r="BK33" i="34" s="1"/>
  <c r="BI33" i="34"/>
  <c r="BH33" i="34"/>
  <c r="BG33" i="34"/>
  <c r="BI32" i="34"/>
  <c r="BL32" i="34"/>
  <c r="BK32" i="34" s="1"/>
  <c r="AR8" i="34"/>
  <c r="CJ29" i="34"/>
  <c r="BA11" i="34"/>
  <c r="BB11" i="34" s="1"/>
  <c r="I11" i="34" s="1"/>
  <c r="CJ43" i="34"/>
  <c r="CJ44" i="34"/>
  <c r="AG44" i="34"/>
  <c r="CA24" i="34"/>
  <c r="BR62" i="34"/>
  <c r="BL34" i="34"/>
  <c r="BK34" i="34" s="1"/>
  <c r="CD25" i="34"/>
  <c r="BV10" i="34"/>
  <c r="AD47" i="34"/>
  <c r="AX47" i="34"/>
  <c r="BC38" i="34"/>
  <c r="BF38" i="34" s="1"/>
  <c r="J38" i="34" s="1"/>
  <c r="BA28" i="34"/>
  <c r="BB28" i="34" s="1"/>
  <c r="I28" i="34" s="1"/>
  <c r="AH27" i="34"/>
  <c r="BY50" i="34"/>
  <c r="AJ50" i="34"/>
  <c r="BY64" i="34"/>
  <c r="AX26" i="34"/>
  <c r="AM41" i="34"/>
  <c r="G41" i="34" s="1"/>
  <c r="BO39" i="34"/>
  <c r="AI45" i="34"/>
  <c r="F45" i="34" s="1"/>
  <c r="CC49" i="34"/>
  <c r="P49" i="34" s="1"/>
  <c r="BX11" i="34"/>
  <c r="BW45" i="34"/>
  <c r="N45" i="34" s="1"/>
  <c r="CJ39" i="34"/>
  <c r="CE39" i="34"/>
  <c r="CC32" i="34"/>
  <c r="P32" i="34" s="1"/>
  <c r="BS44" i="34"/>
  <c r="BV44" i="34"/>
  <c r="AL24" i="34"/>
  <c r="AK24" i="34" s="1"/>
  <c r="BO24" i="34"/>
  <c r="CF21" i="34"/>
  <c r="Q21" i="34" s="1"/>
  <c r="BH46" i="34"/>
  <c r="BG46" i="34"/>
  <c r="BG8" i="34"/>
  <c r="BH8" i="34"/>
  <c r="AE33" i="34"/>
  <c r="AC33" i="34"/>
  <c r="AB33" i="34"/>
  <c r="BW7" i="34"/>
  <c r="N7" i="34" s="1"/>
  <c r="AV21" i="34"/>
  <c r="AQ21" i="34"/>
  <c r="AU21" i="34"/>
  <c r="AP21" i="34"/>
  <c r="AN21" i="34"/>
  <c r="AT21" i="34"/>
  <c r="AR21" i="34"/>
  <c r="AS21" i="34"/>
  <c r="AY21" i="34"/>
  <c r="AW21" i="34"/>
  <c r="AH29" i="34"/>
  <c r="BU29" i="34"/>
  <c r="BS29" i="34"/>
  <c r="BR29" i="34"/>
  <c r="AJ29" i="34"/>
  <c r="CK31" i="34"/>
  <c r="CH31" i="34"/>
  <c r="CI31" i="34"/>
  <c r="CE56" i="34"/>
  <c r="AH56" i="34"/>
  <c r="BD56" i="34"/>
  <c r="AD56" i="34"/>
  <c r="BY56" i="34"/>
  <c r="BS56" i="34"/>
  <c r="BO56" i="34"/>
  <c r="BX56" i="34"/>
  <c r="AJ56" i="34"/>
  <c r="CJ56" i="34"/>
  <c r="BV56" i="34"/>
  <c r="AL56" i="34"/>
  <c r="AK56" i="34" s="1"/>
  <c r="BU56" i="34"/>
  <c r="BR56" i="34"/>
  <c r="AX56" i="34"/>
  <c r="BA56" i="34"/>
  <c r="BB56" i="34" s="1"/>
  <c r="I56" i="34" s="1"/>
  <c r="BJ56" i="34"/>
  <c r="CK52" i="34"/>
  <c r="BG38" i="34"/>
  <c r="BH38" i="34"/>
  <c r="BL38" i="34"/>
  <c r="BK38" i="34" s="1"/>
  <c r="BI38" i="34"/>
  <c r="BS50" i="34"/>
  <c r="AI32" i="34"/>
  <c r="F32" i="34" s="1"/>
  <c r="BV54" i="34"/>
  <c r="BW54" i="34" s="1"/>
  <c r="N54" i="34" s="1"/>
  <c r="BA54" i="34"/>
  <c r="BB54" i="34" s="1"/>
  <c r="I54" i="34" s="1"/>
  <c r="AH54" i="34"/>
  <c r="BS54" i="34"/>
  <c r="AG54" i="34"/>
  <c r="CJ54" i="34"/>
  <c r="AX54" i="34"/>
  <c r="AD54" i="34"/>
  <c r="CE54" i="34"/>
  <c r="AJ54" i="34"/>
  <c r="CD54" i="34"/>
  <c r="CB54" i="34"/>
  <c r="BY54" i="34"/>
  <c r="BR54" i="34"/>
  <c r="BO54" i="34"/>
  <c r="BX54" i="34"/>
  <c r="BJ54" i="34"/>
  <c r="CD14" i="34"/>
  <c r="BU47" i="34"/>
  <c r="BR47" i="34"/>
  <c r="BC32" i="34"/>
  <c r="BE32" i="34"/>
  <c r="AC31" i="34"/>
  <c r="AE31" i="34"/>
  <c r="AB31" i="34"/>
  <c r="AD43" i="34"/>
  <c r="BX53" i="34"/>
  <c r="AJ53" i="34"/>
  <c r="BJ53" i="34"/>
  <c r="BY53" i="34"/>
  <c r="AG53" i="34"/>
  <c r="BD53" i="34"/>
  <c r="AH53" i="34"/>
  <c r="CA53" i="34"/>
  <c r="BA53" i="34"/>
  <c r="BB53" i="34" s="1"/>
  <c r="I53" i="34" s="1"/>
  <c r="BO53" i="34"/>
  <c r="AD53" i="34"/>
  <c r="CJ53" i="34"/>
  <c r="AS49" i="34"/>
  <c r="AO49" i="34"/>
  <c r="AQ49" i="34"/>
  <c r="AP49" i="34"/>
  <c r="AY49" i="34"/>
  <c r="AV49" i="34"/>
  <c r="AC46" i="34"/>
  <c r="BJ20" i="34"/>
  <c r="CA26" i="34"/>
  <c r="CC26" i="34" s="1"/>
  <c r="P26" i="34" s="1"/>
  <c r="BA44" i="34"/>
  <c r="BB44" i="34" s="1"/>
  <c r="I44" i="34" s="1"/>
  <c r="CE62" i="34"/>
  <c r="AL62" i="34"/>
  <c r="AK62" i="34" s="1"/>
  <c r="AM62" i="34" s="1"/>
  <c r="G62" i="34" s="1"/>
  <c r="CB56" i="34"/>
  <c r="CC56" i="34" s="1"/>
  <c r="P56" i="34" s="1"/>
  <c r="BZ12" i="34"/>
  <c r="O12" i="34" s="1"/>
  <c r="AG40" i="34"/>
  <c r="BU40" i="34"/>
  <c r="CB40" i="34"/>
  <c r="BY40" i="34"/>
  <c r="AJ40" i="34"/>
  <c r="BV40" i="34"/>
  <c r="AH40" i="34"/>
  <c r="BJ40" i="34"/>
  <c r="AX40" i="34"/>
  <c r="BU11" i="34"/>
  <c r="BE18" i="34"/>
  <c r="BC18" i="34"/>
  <c r="BC46" i="34"/>
  <c r="BF46" i="34" s="1"/>
  <c r="J46" i="34" s="1"/>
  <c r="AG20" i="34"/>
  <c r="CB20" i="34"/>
  <c r="BS40" i="34"/>
  <c r="AL40" i="34"/>
  <c r="AK40" i="34" s="1"/>
  <c r="CJ50" i="34"/>
  <c r="CE47" i="34"/>
  <c r="BX64" i="34"/>
  <c r="AD64" i="34"/>
  <c r="BJ64" i="34"/>
  <c r="BU27" i="34"/>
  <c r="BX27" i="34"/>
  <c r="BV27" i="34"/>
  <c r="BS27" i="34"/>
  <c r="BO27" i="34"/>
  <c r="BJ27" i="34"/>
  <c r="AD27" i="34"/>
  <c r="AG27" i="34"/>
  <c r="BR27" i="34"/>
  <c r="AX28" i="34"/>
  <c r="CH41" i="34"/>
  <c r="CG41" i="34"/>
  <c r="CG15" i="34"/>
  <c r="AL11" i="34"/>
  <c r="AK11" i="34" s="1"/>
  <c r="CJ40" i="34"/>
  <c r="BG21" i="34"/>
  <c r="BL21" i="34"/>
  <c r="BK21" i="34" s="1"/>
  <c r="BI21" i="34"/>
  <c r="BH21" i="34"/>
  <c r="CH52" i="34"/>
  <c r="BZ41" i="34"/>
  <c r="O41" i="34" s="1"/>
  <c r="BR40" i="34"/>
  <c r="AO36" i="34"/>
  <c r="AN36" i="34"/>
  <c r="AR36" i="34"/>
  <c r="AT36" i="34"/>
  <c r="AS36" i="34"/>
  <c r="AQ36" i="34"/>
  <c r="BU16" i="34"/>
  <c r="AJ16" i="34"/>
  <c r="BR16" i="34"/>
  <c r="BO16" i="34"/>
  <c r="CJ16" i="34"/>
  <c r="AH16" i="34"/>
  <c r="AL16" i="34"/>
  <c r="AK16" i="34" s="1"/>
  <c r="BY28" i="34"/>
  <c r="AH28" i="34"/>
  <c r="BV48" i="34"/>
  <c r="AD48" i="34"/>
  <c r="AH48" i="34"/>
  <c r="CG7" i="34"/>
  <c r="CB16" i="34"/>
  <c r="BD29" i="34"/>
  <c r="BS48" i="34"/>
  <c r="CE27" i="34"/>
  <c r="CB27" i="34"/>
  <c r="AD50" i="34"/>
  <c r="CA29" i="34"/>
  <c r="BX26" i="34"/>
  <c r="BV24" i="34"/>
  <c r="BI15" i="34"/>
  <c r="BH15" i="34"/>
  <c r="BI31" i="34"/>
  <c r="BH31" i="34"/>
  <c r="BG31" i="34"/>
  <c r="BL31" i="34"/>
  <c r="BK31" i="34" s="1"/>
  <c r="AI49" i="34"/>
  <c r="F49" i="34" s="1"/>
  <c r="BX23" i="34"/>
  <c r="BU23" i="34"/>
  <c r="BA23" i="34"/>
  <c r="BB23" i="34" s="1"/>
  <c r="I23" i="34" s="1"/>
  <c r="BY23" i="34"/>
  <c r="CA23" i="34"/>
  <c r="BV23" i="34"/>
  <c r="AG11" i="34"/>
  <c r="BS39" i="34"/>
  <c r="AH39" i="34"/>
  <c r="AI39" i="34" s="1"/>
  <c r="F39" i="34" s="1"/>
  <c r="BP32" i="34"/>
  <c r="BN32" i="34"/>
  <c r="BU43" i="34"/>
  <c r="BJ43" i="34"/>
  <c r="BO22" i="34"/>
  <c r="CA22" i="34"/>
  <c r="CC8" i="34"/>
  <c r="P8" i="34" s="1"/>
  <c r="CK33" i="34"/>
  <c r="CH33" i="34"/>
  <c r="AT63" i="34"/>
  <c r="AO63" i="34"/>
  <c r="AN63" i="34"/>
  <c r="AQ63" i="34"/>
  <c r="AR63" i="34"/>
  <c r="AP63" i="34"/>
  <c r="CI18" i="34"/>
  <c r="CH18" i="34"/>
  <c r="BS14" i="34"/>
  <c r="BT14" i="34" s="1"/>
  <c r="M14" i="34" s="1"/>
  <c r="CB14" i="34"/>
  <c r="AG14" i="34"/>
  <c r="BD14" i="34"/>
  <c r="BJ14" i="34"/>
  <c r="CJ14" i="34"/>
  <c r="AH14" i="34"/>
  <c r="BO14" i="34"/>
  <c r="BY47" i="34"/>
  <c r="BJ47" i="34"/>
  <c r="BX47" i="34"/>
  <c r="BV47" i="34"/>
  <c r="CF41" i="34"/>
  <c r="Q41" i="34" s="1"/>
  <c r="CK15" i="34"/>
  <c r="CC7" i="34"/>
  <c r="P7" i="34" s="1"/>
  <c r="AJ47" i="34"/>
  <c r="CG46" i="34"/>
  <c r="CK46" i="34"/>
  <c r="CC18" i="34"/>
  <c r="P18" i="34" s="1"/>
  <c r="CD56" i="34"/>
  <c r="AR32" i="34"/>
  <c r="CG49" i="34"/>
  <c r="AE46" i="34"/>
  <c r="AQ8" i="34"/>
  <c r="AO8" i="34"/>
  <c r="AN8" i="34"/>
  <c r="AY8" i="34"/>
  <c r="AS8" i="34"/>
  <c r="AT8" i="34"/>
  <c r="BX29" i="34"/>
  <c r="CA50" i="34"/>
  <c r="AG50" i="34"/>
  <c r="AJ26" i="34"/>
  <c r="CC41" i="34"/>
  <c r="P41" i="34" s="1"/>
  <c r="CE20" i="34"/>
  <c r="CG31" i="34"/>
  <c r="AG64" i="34"/>
  <c r="BV64" i="34"/>
  <c r="AC45" i="34"/>
  <c r="AE45" i="34"/>
  <c r="AB45" i="34"/>
  <c r="AM31" i="34"/>
  <c r="G31" i="34" s="1"/>
  <c r="AE32" i="34"/>
  <c r="AC32" i="34"/>
  <c r="BZ21" i="34"/>
  <c r="O21" i="34" s="1"/>
  <c r="BY14" i="34"/>
  <c r="CB64" i="34"/>
  <c r="AL64" i="34"/>
  <c r="AK64" i="34" s="1"/>
  <c r="AX13" i="34"/>
  <c r="BR13" i="34"/>
  <c r="BD11" i="34"/>
  <c r="BY44" i="34"/>
  <c r="CH38" i="34"/>
  <c r="CK38" i="34"/>
  <c r="BL36" i="34"/>
  <c r="BK36" i="34" s="1"/>
  <c r="CJ10" i="34"/>
  <c r="BO10" i="34"/>
  <c r="BX10" i="34"/>
  <c r="CE10" i="34"/>
  <c r="AJ10" i="34"/>
  <c r="AL10" i="34"/>
  <c r="AK10" i="34" s="1"/>
  <c r="BY10" i="34"/>
  <c r="AG10" i="34"/>
  <c r="BD10" i="34"/>
  <c r="CD47" i="34"/>
  <c r="CG38" i="34"/>
  <c r="AP8" i="34"/>
  <c r="BA29" i="34"/>
  <c r="BB29" i="34" s="1"/>
  <c r="I29" i="34" s="1"/>
  <c r="AG56" i="34"/>
  <c r="AV63" i="34"/>
  <c r="CH49" i="34"/>
  <c r="AD14" i="34"/>
  <c r="AG47" i="34"/>
  <c r="BA26" i="34"/>
  <c r="BB26" i="34" s="1"/>
  <c r="I26" i="34" s="1"/>
  <c r="CF33" i="34"/>
  <c r="Q33" i="34" s="1"/>
  <c r="CB53" i="34"/>
  <c r="BR53" i="34"/>
  <c r="CI63" i="34"/>
  <c r="CG63" i="34"/>
  <c r="CK63" i="34"/>
  <c r="AL54" i="34"/>
  <c r="AK54" i="34" s="1"/>
  <c r="AQ46" i="34"/>
  <c r="AV46" i="34"/>
  <c r="AU46" i="34"/>
  <c r="AR46" i="34"/>
  <c r="AW46" i="34"/>
  <c r="AP46" i="34"/>
  <c r="AO46" i="34"/>
  <c r="BL58" i="34"/>
  <c r="BK58" i="34" s="1"/>
  <c r="AQ41" i="34"/>
  <c r="AP41" i="34"/>
  <c r="AR41" i="34"/>
  <c r="AO41" i="34"/>
  <c r="AN41" i="34"/>
  <c r="AS41" i="34"/>
  <c r="BN36" i="34"/>
  <c r="BQ36" i="34" s="1"/>
  <c r="L36" i="34" s="1"/>
  <c r="AJ28" i="34"/>
  <c r="CB47" i="34"/>
  <c r="AE38" i="34"/>
  <c r="CI38" i="34"/>
  <c r="BO17" i="34"/>
  <c r="CJ17" i="34"/>
  <c r="CD17" i="34"/>
  <c r="AX17" i="34"/>
  <c r="AH17" i="34"/>
  <c r="AD17" i="34"/>
  <c r="AL17" i="34"/>
  <c r="AK17" i="34" s="1"/>
  <c r="AG17" i="34"/>
  <c r="CE17" i="34"/>
  <c r="BA17" i="34"/>
  <c r="BB17" i="34" s="1"/>
  <c r="I17" i="34" s="1"/>
  <c r="AB8" i="34"/>
  <c r="AC8" i="34"/>
  <c r="CH7" i="34"/>
  <c r="BV17" i="34"/>
  <c r="CE29" i="34"/>
  <c r="BV29" i="34"/>
  <c r="BA27" i="34"/>
  <c r="BB27" i="34" s="1"/>
  <c r="I27" i="34" s="1"/>
  <c r="AL27" i="34"/>
  <c r="AK27" i="34" s="1"/>
  <c r="BJ10" i="34"/>
  <c r="BA64" i="34"/>
  <c r="BB64" i="34" s="1"/>
  <c r="I64" i="34" s="1"/>
  <c r="BD64" i="34"/>
  <c r="BY16" i="34"/>
  <c r="BD22" i="34"/>
  <c r="CI15" i="34"/>
  <c r="CI13" i="34"/>
  <c r="BI49" i="34"/>
  <c r="BL49" i="34"/>
  <c r="BK49" i="34" s="1"/>
  <c r="BH49" i="34"/>
  <c r="BG49" i="34"/>
  <c r="BD39" i="34"/>
  <c r="BX43" i="34"/>
  <c r="CC31" i="34"/>
  <c r="P31" i="34" s="1"/>
  <c r="CD13" i="34"/>
  <c r="AJ22" i="34"/>
  <c r="AM22" i="34" s="1"/>
  <c r="G22" i="34" s="1"/>
  <c r="CC46" i="34"/>
  <c r="P46" i="34" s="1"/>
  <c r="CG8" i="34"/>
  <c r="CH8" i="34"/>
  <c r="CI8" i="34"/>
  <c r="AW33" i="34"/>
  <c r="AR33" i="34"/>
  <c r="AP33" i="34"/>
  <c r="AO33" i="34"/>
  <c r="AN33" i="34"/>
  <c r="AV33" i="34"/>
  <c r="AU33" i="34"/>
  <c r="AT33" i="34"/>
  <c r="AQ33" i="34"/>
  <c r="AS33" i="34"/>
  <c r="AY33" i="34"/>
  <c r="BI9" i="34"/>
  <c r="BG9" i="34"/>
  <c r="CI32" i="34"/>
  <c r="CH32" i="34"/>
  <c r="CG32" i="34"/>
  <c r="CK32" i="34"/>
  <c r="CI45" i="34"/>
  <c r="CG45" i="34"/>
  <c r="CH45" i="34"/>
  <c r="BP33" i="34"/>
  <c r="BN33" i="34"/>
  <c r="BZ7" i="34"/>
  <c r="O7" i="34" s="1"/>
  <c r="CF52" i="34"/>
  <c r="Q52" i="34" s="1"/>
  <c r="CI12" i="34"/>
  <c r="CH12" i="34"/>
  <c r="CG12" i="34"/>
  <c r="AQ7" i="34"/>
  <c r="AO7" i="34"/>
  <c r="AN7" i="34"/>
  <c r="AS7" i="34"/>
  <c r="AR7" i="34"/>
  <c r="AV7" i="34"/>
  <c r="AU7" i="34"/>
  <c r="AT7" i="34"/>
  <c r="BO29" i="34"/>
  <c r="AX50" i="34"/>
  <c r="CB50" i="34"/>
  <c r="AJ25" i="34"/>
  <c r="CJ25" i="34"/>
  <c r="BV25" i="34"/>
  <c r="AD25" i="34"/>
  <c r="BD25" i="34"/>
  <c r="CB25" i="34"/>
  <c r="CA25" i="34"/>
  <c r="BX25" i="34"/>
  <c r="BZ25" i="34" s="1"/>
  <c r="O25" i="34" s="1"/>
  <c r="AX25" i="34"/>
  <c r="BR25" i="34"/>
  <c r="BO25" i="34"/>
  <c r="H25" i="34"/>
  <c r="AL25" i="34"/>
  <c r="AK25" i="34" s="1"/>
  <c r="AG25" i="34"/>
  <c r="AH25" i="34"/>
  <c r="BS26" i="34"/>
  <c r="CJ26" i="34"/>
  <c r="BJ26" i="34"/>
  <c r="AH26" i="34"/>
  <c r="BO26" i="34"/>
  <c r="AD26" i="34"/>
  <c r="AG26" i="34"/>
  <c r="CJ11" i="34"/>
  <c r="BO11" i="34"/>
  <c r="AY38" i="34"/>
  <c r="AT38" i="34"/>
  <c r="AO38" i="34"/>
  <c r="AN38" i="34"/>
  <c r="BJ50" i="34"/>
  <c r="AH50" i="34"/>
  <c r="AL26" i="34"/>
  <c r="AK26" i="34" s="1"/>
  <c r="BX24" i="34"/>
  <c r="BY24" i="34"/>
  <c r="AX29" i="34"/>
  <c r="AX43" i="34"/>
  <c r="BP31" i="34"/>
  <c r="BN31" i="34"/>
  <c r="CC21" i="34"/>
  <c r="P21" i="34" s="1"/>
  <c r="AY12" i="34"/>
  <c r="AW12" i="34"/>
  <c r="AS12" i="34"/>
  <c r="AV12" i="34"/>
  <c r="AR12" i="34"/>
  <c r="AT12" i="34"/>
  <c r="AN12" i="34"/>
  <c r="AU12" i="34"/>
  <c r="AM45" i="34"/>
  <c r="G45" i="34" s="1"/>
  <c r="AT32" i="34"/>
  <c r="BU28" i="34"/>
  <c r="BV28" i="34"/>
  <c r="AG28" i="34"/>
  <c r="BS28" i="34"/>
  <c r="AD28" i="34"/>
  <c r="BO28" i="34"/>
  <c r="BG15" i="34"/>
  <c r="CC58" i="34"/>
  <c r="P58" i="34" s="1"/>
  <c r="BI45" i="34"/>
  <c r="BH45" i="34"/>
  <c r="BG45" i="34"/>
  <c r="BL45" i="34"/>
  <c r="BK45" i="34" s="1"/>
  <c r="CI9" i="34"/>
  <c r="CH9" i="34"/>
  <c r="CG9" i="34"/>
  <c r="BL52" i="34"/>
  <c r="BK52" i="34" s="1"/>
  <c r="CH63" i="34"/>
  <c r="CD53" i="34"/>
  <c r="AR49" i="34"/>
  <c r="CI49" i="34"/>
  <c r="BZ46" i="34"/>
  <c r="O46" i="34" s="1"/>
  <c r="BP46" i="34"/>
  <c r="BN46" i="34"/>
  <c r="BH58" i="34"/>
  <c r="AE58" i="34"/>
  <c r="CE51" i="34"/>
  <c r="BU51" i="34"/>
  <c r="AG51" i="34"/>
  <c r="BD51" i="34"/>
  <c r="AH51" i="34"/>
  <c r="BS51" i="34"/>
  <c r="BV51" i="34"/>
  <c r="BR51" i="34"/>
  <c r="AL51" i="34"/>
  <c r="AK51" i="34" s="1"/>
  <c r="BG32" i="34"/>
  <c r="BL41" i="34"/>
  <c r="BK41" i="34" s="1"/>
  <c r="BG41" i="34"/>
  <c r="BH41" i="34"/>
  <c r="BI41" i="34"/>
  <c r="CI21" i="34"/>
  <c r="CG21" i="34"/>
  <c r="CH21" i="34"/>
  <c r="CG30" i="34"/>
  <c r="CE25" i="34"/>
  <c r="CG18" i="34"/>
  <c r="CK12" i="34"/>
  <c r="AJ14" i="34"/>
  <c r="BR28" i="34"/>
  <c r="AH47" i="34"/>
  <c r="CD16" i="34"/>
  <c r="AU8" i="34"/>
  <c r="BG7" i="34"/>
  <c r="BI7" i="34"/>
  <c r="BH7" i="34"/>
  <c r="BL7" i="34"/>
  <c r="BK7" i="34" s="1"/>
  <c r="BC7" i="34"/>
  <c r="BF7" i="34" s="1"/>
  <c r="J7" i="34" s="1"/>
  <c r="AD29" i="34"/>
  <c r="BY48" i="34"/>
  <c r="BU48" i="34"/>
  <c r="CE26" i="34"/>
  <c r="BX50" i="34"/>
  <c r="BV26" i="34"/>
  <c r="CA10" i="34"/>
  <c r="CE64" i="34"/>
  <c r="BA16" i="34"/>
  <c r="BB16" i="34" s="1"/>
  <c r="I16" i="34" s="1"/>
  <c r="CA47" i="34"/>
  <c r="CJ23" i="34"/>
  <c r="CB11" i="34"/>
  <c r="CC11" i="34" s="1"/>
  <c r="P11" i="34" s="1"/>
  <c r="BV39" i="34"/>
  <c r="CA39" i="34"/>
  <c r="BY43" i="34"/>
  <c r="CE44" i="34"/>
  <c r="AY31" i="34"/>
  <c r="AU31" i="34"/>
  <c r="AW31" i="34"/>
  <c r="AT31" i="34"/>
  <c r="AS31" i="34"/>
  <c r="AR31" i="34"/>
  <c r="AO31" i="34"/>
  <c r="AV31" i="34"/>
  <c r="AQ31" i="34"/>
  <c r="AN31" i="34"/>
  <c r="AP31" i="34"/>
  <c r="AD22" i="34"/>
  <c r="BA22" i="34"/>
  <c r="BB22" i="34" s="1"/>
  <c r="I22" i="34" s="1"/>
  <c r="AE7" i="34"/>
  <c r="AB7" i="34"/>
  <c r="AC7" i="34"/>
  <c r="BP21" i="34"/>
  <c r="BN21" i="34"/>
  <c r="BK16" i="33"/>
  <c r="AH16" i="33" s="1"/>
  <c r="BD19" i="33" a="1"/>
  <c r="BD19" i="33" s="1"/>
  <c r="BP19" i="33" a="1"/>
  <c r="BP19" i="33" s="1"/>
  <c r="BY19" i="33" a="1"/>
  <c r="BY19" i="33" s="1"/>
  <c r="I30" i="33"/>
  <c r="I50" i="33"/>
  <c r="I14" i="33"/>
  <c r="I27" i="33"/>
  <c r="I23" i="33"/>
  <c r="BO16" i="33"/>
  <c r="AI16" i="33" s="1"/>
  <c r="I44" i="33"/>
  <c r="I28" i="33"/>
  <c r="DH19" i="33"/>
  <c r="AS19" i="33" s="1"/>
  <c r="I47" i="33"/>
  <c r="I11" i="33"/>
  <c r="I31" i="33"/>
  <c r="I46" i="33"/>
  <c r="I59" i="33"/>
  <c r="I56" i="33"/>
  <c r="CX22" i="33" a="1"/>
  <c r="CX22" i="33" s="1"/>
  <c r="DD22" i="33" a="1"/>
  <c r="DD22" i="33" s="1"/>
  <c r="I49" i="33"/>
  <c r="I60" i="33"/>
  <c r="I26" i="33"/>
  <c r="I8" i="33"/>
  <c r="I10" i="33"/>
  <c r="CT22" i="33" a="1"/>
  <c r="CT22" i="33" s="1"/>
  <c r="I21" i="33"/>
  <c r="I25" i="33"/>
  <c r="I41" i="33"/>
  <c r="DE19" i="33"/>
  <c r="AR19" i="33" s="1"/>
  <c r="I42" i="33"/>
  <c r="BO19" i="33"/>
  <c r="AI19" i="33" s="1"/>
  <c r="I57" i="33"/>
  <c r="I52" i="33"/>
  <c r="BK19" i="33"/>
  <c r="AH19" i="33" s="1"/>
  <c r="CY16" i="33"/>
  <c r="AP16" i="33" s="1"/>
  <c r="I29" i="33"/>
  <c r="CL20" i="33"/>
  <c r="CN20" i="33" s="1"/>
  <c r="CM20" i="33" s="1" a="1"/>
  <c r="CM20" i="33" s="1"/>
  <c r="I48" i="33"/>
  <c r="I18" i="33"/>
  <c r="I37" i="33"/>
  <c r="BQ19" i="33" a="1"/>
  <c r="BQ19" i="33" s="1"/>
  <c r="DA20" i="33" a="1"/>
  <c r="DA20" i="33" s="1"/>
  <c r="I54" i="33"/>
  <c r="I38" i="33"/>
  <c r="BI20" i="33" a="1"/>
  <c r="BI20" i="33" s="1"/>
  <c r="I9" i="33"/>
  <c r="I53" i="33"/>
  <c r="I22" i="33"/>
  <c r="I16" i="33"/>
  <c r="I32" i="33"/>
  <c r="I24" i="33"/>
  <c r="I13" i="33"/>
  <c r="CW17" i="33" a="1"/>
  <c r="CW17" i="33" s="1"/>
  <c r="X28" i="33"/>
  <c r="I35" i="33"/>
  <c r="I39" i="33"/>
  <c r="I36" i="33"/>
  <c r="I7" i="33"/>
  <c r="I51" i="33"/>
  <c r="CP19" i="33" a="1"/>
  <c r="CP19" i="33" s="1"/>
  <c r="CS19" i="33" s="1"/>
  <c r="AN19" i="33" s="1"/>
  <c r="I19" i="33"/>
  <c r="I58" i="33"/>
  <c r="CU20" i="33" a="1"/>
  <c r="CU20" i="33" s="1"/>
  <c r="DB19" i="33"/>
  <c r="AQ19" i="33" s="1"/>
  <c r="I40" i="33"/>
  <c r="I6" i="33"/>
  <c r="CQ20" i="33"/>
  <c r="CR20" i="33" s="1" a="1"/>
  <c r="CR20" i="33" s="1"/>
  <c r="CV19" i="33"/>
  <c r="AO19" i="33" s="1"/>
  <c r="DH16" i="33"/>
  <c r="AS16" i="33" s="1"/>
  <c r="I43" i="33"/>
  <c r="I45" i="33"/>
  <c r="I17" i="33"/>
  <c r="I20" i="33"/>
  <c r="I15" i="33"/>
  <c r="CR18" i="33" a="1"/>
  <c r="CR18" i="33" s="1"/>
  <c r="CP18" i="33" a="1"/>
  <c r="CP18" i="33" s="1"/>
  <c r="DF21" i="33" a="1"/>
  <c r="DF21" i="33" s="1"/>
  <c r="DD21" i="33" a="1"/>
  <c r="DD21" i="33" s="1"/>
  <c r="DC21" i="33" a="1"/>
  <c r="DC21" i="33" s="1"/>
  <c r="CQ21" i="33"/>
  <c r="BJ21" i="33" a="1"/>
  <c r="BJ21" i="33" s="1"/>
  <c r="CF21" i="33"/>
  <c r="BI21" i="33" a="1"/>
  <c r="BI21" i="33" s="1"/>
  <c r="CX21" i="33" a="1"/>
  <c r="CX21" i="33" s="1"/>
  <c r="CL17" i="33"/>
  <c r="CW20" i="33" a="1"/>
  <c r="CW20" i="33" s="1"/>
  <c r="CT20" i="33" a="1"/>
  <c r="CT20" i="33" s="1"/>
  <c r="DF20" i="33" a="1"/>
  <c r="DF20" i="33" s="1"/>
  <c r="CL21" i="33"/>
  <c r="BJ22" i="33" a="1"/>
  <c r="BJ22" i="33" s="1"/>
  <c r="BF20" i="33"/>
  <c r="BN21" i="33"/>
  <c r="BM21" i="33" s="1" a="1"/>
  <c r="BM21" i="33" s="1"/>
  <c r="CK19" i="33" a="1"/>
  <c r="CK19" i="33" s="1"/>
  <c r="DF18" i="33" a="1"/>
  <c r="DF18" i="33" s="1"/>
  <c r="CX20" i="33" a="1"/>
  <c r="CX20" i="33" s="1"/>
  <c r="CC20" i="33" a="1"/>
  <c r="CC20" i="33" s="1"/>
  <c r="CD20" i="33" s="1"/>
  <c r="AK20" i="33" s="1"/>
  <c r="CC17" i="33" a="1"/>
  <c r="CC17" i="33" s="1"/>
  <c r="CD17" i="33" s="1"/>
  <c r="AK17" i="33" s="1"/>
  <c r="BZ17" i="33"/>
  <c r="CJ16" i="33" a="1"/>
  <c r="CJ16" i="33" s="1"/>
  <c r="CK16" i="33" a="1"/>
  <c r="CK16" i="33" s="1"/>
  <c r="CI16" i="33" a="1"/>
  <c r="CI16" i="33" s="1"/>
  <c r="CN16" i="33"/>
  <c r="CM16" i="33" s="1" a="1"/>
  <c r="CM16" i="33" s="1"/>
  <c r="BL18" i="33" a="1"/>
  <c r="BL18" i="33" s="1"/>
  <c r="DC18" i="33" a="1"/>
  <c r="DC18" i="33" s="1"/>
  <c r="BI18" i="33" a="1"/>
  <c r="BI18" i="33" s="1"/>
  <c r="DL18" i="33"/>
  <c r="CF18" i="33"/>
  <c r="CZ18" i="33" a="1"/>
  <c r="CZ18" i="33" s="1"/>
  <c r="BJ18" i="33" a="1"/>
  <c r="BJ18" i="33" s="1"/>
  <c r="CL18" i="33"/>
  <c r="CX18" i="33" a="1"/>
  <c r="CX18" i="33" s="1"/>
  <c r="DG18" i="33" a="1"/>
  <c r="DG18" i="33" s="1"/>
  <c r="BZ22" i="33"/>
  <c r="DF22" i="33" a="1"/>
  <c r="DF22" i="33" s="1"/>
  <c r="BN22" i="33"/>
  <c r="BM22" i="33" s="1" a="1"/>
  <c r="BM22" i="33" s="1"/>
  <c r="BL22" i="33" a="1"/>
  <c r="BL22" i="33" s="1"/>
  <c r="DG22" i="33" a="1"/>
  <c r="DG22" i="33" s="1"/>
  <c r="CU22" i="33" a="1"/>
  <c r="CU22" i="33" s="1"/>
  <c r="CQ22" i="33"/>
  <c r="BL21" i="33" a="1"/>
  <c r="BL21" i="33" s="1"/>
  <c r="DM16" i="33" a="1"/>
  <c r="DM16" i="33" s="1"/>
  <c r="DI16" i="33" a="1"/>
  <c r="DI16" i="33" s="1"/>
  <c r="DK16" i="33" a="1"/>
  <c r="DK16" i="33" s="1"/>
  <c r="DJ16" i="33" a="1"/>
  <c r="DJ16" i="33" s="1"/>
  <c r="BJ20" i="33" a="1"/>
  <c r="BJ20" i="33" s="1"/>
  <c r="DL21" i="33"/>
  <c r="CU21" i="33" a="1"/>
  <c r="CU21" i="33" s="1"/>
  <c r="CT17" i="33" a="1"/>
  <c r="CT17" i="33" s="1"/>
  <c r="CX17" i="33" a="1"/>
  <c r="CX17" i="33" s="1"/>
  <c r="CE16" i="33" a="1"/>
  <c r="CE16" i="33" s="1"/>
  <c r="CG16" i="33" a="1"/>
  <c r="CG16" i="33" s="1"/>
  <c r="DD18" i="33" a="1"/>
  <c r="DD18" i="33" s="1"/>
  <c r="DA17" i="33" a="1"/>
  <c r="DA17" i="33" s="1"/>
  <c r="DL22" i="33"/>
  <c r="BI17" i="33" a="1"/>
  <c r="BI17" i="33" s="1"/>
  <c r="BF21" i="33"/>
  <c r="BN18" i="33"/>
  <c r="BM18" i="33" s="1" a="1"/>
  <c r="BM18" i="33" s="1"/>
  <c r="S25" i="33"/>
  <c r="T27" i="33"/>
  <c r="T20" i="33"/>
  <c r="S27" i="33"/>
  <c r="T22" i="33"/>
  <c r="S20" i="33"/>
  <c r="S18" i="33"/>
  <c r="T26" i="33"/>
  <c r="S22" i="33"/>
  <c r="T17" i="33"/>
  <c r="T16" i="33"/>
  <c r="S17" i="33"/>
  <c r="S16" i="33"/>
  <c r="T19" i="33"/>
  <c r="T18" i="33"/>
  <c r="L11" i="33"/>
  <c r="N11" i="33" s="1" a="1"/>
  <c r="N11" i="33" s="1"/>
  <c r="S26" i="33"/>
  <c r="S19" i="33"/>
  <c r="T25" i="33"/>
  <c r="T23" i="33"/>
  <c r="S23" i="33"/>
  <c r="T21" i="33"/>
  <c r="S21" i="33"/>
  <c r="T24" i="33"/>
  <c r="S24" i="33"/>
  <c r="CA19" i="33" a="1"/>
  <c r="CA19" i="33" s="1"/>
  <c r="BX19" i="33" a="1"/>
  <c r="BX19" i="33" s="1"/>
  <c r="BV19" i="33" a="1"/>
  <c r="BV19" i="33" s="1"/>
  <c r="BT19" i="33" a="1"/>
  <c r="BT19" i="33" s="1"/>
  <c r="BR19" i="33" a="1"/>
  <c r="BR19" i="33" s="1"/>
  <c r="BU19" i="33" a="1"/>
  <c r="BU19" i="33" s="1"/>
  <c r="BS19" i="33" a="1"/>
  <c r="BS19" i="33" s="1"/>
  <c r="BZ20" i="33"/>
  <c r="CZ21" i="33" a="1"/>
  <c r="CZ21" i="33" s="1"/>
  <c r="CT18" i="33" a="1"/>
  <c r="CT18" i="33" s="1"/>
  <c r="BI22" i="33" a="1"/>
  <c r="BI22" i="33" s="1"/>
  <c r="DG20" i="33" a="1"/>
  <c r="DG20" i="33" s="1"/>
  <c r="BN17" i="33"/>
  <c r="BM17" i="33" s="1" a="1"/>
  <c r="BM17" i="33" s="1"/>
  <c r="DM19" i="33" a="1"/>
  <c r="DM19" i="33" s="1"/>
  <c r="DK19" i="33" a="1"/>
  <c r="DK19" i="33" s="1"/>
  <c r="DI19" i="33" a="1"/>
  <c r="DI19" i="33" s="1"/>
  <c r="BE19" i="33" a="1"/>
  <c r="BE19" i="33" s="1"/>
  <c r="DA21" i="33" a="1"/>
  <c r="DA21" i="33" s="1"/>
  <c r="CT21" i="33" a="1"/>
  <c r="CT21" i="33" s="1"/>
  <c r="CQ17" i="33"/>
  <c r="DG17" i="33" a="1"/>
  <c r="DG17" i="33" s="1"/>
  <c r="CY19" i="33"/>
  <c r="AP19" i="33" s="1"/>
  <c r="BR16" i="33" a="1"/>
  <c r="BR16" i="33" s="1"/>
  <c r="BY16" i="33" a="1"/>
  <c r="BY16" i="33" s="1"/>
  <c r="BP16" i="33" a="1"/>
  <c r="BP16" i="33" s="1"/>
  <c r="BQ16" i="33" a="1"/>
  <c r="BQ16" i="33" s="1"/>
  <c r="BV16" i="33" a="1"/>
  <c r="BV16" i="33" s="1"/>
  <c r="BU16" i="33" a="1"/>
  <c r="BU16" i="33" s="1"/>
  <c r="BT16" i="33" a="1"/>
  <c r="BT16" i="33" s="1"/>
  <c r="BS16" i="33" a="1"/>
  <c r="BS16" i="33" s="1"/>
  <c r="BX16" i="33" a="1"/>
  <c r="BX16" i="33" s="1"/>
  <c r="BW16" i="33" a="1"/>
  <c r="BW16" i="33" s="1"/>
  <c r="BF17" i="33"/>
  <c r="O39" i="33"/>
  <c r="CW21" i="33" a="1"/>
  <c r="CW21" i="33" s="1"/>
  <c r="CN19" i="33"/>
  <c r="CM19" i="33" s="1" a="1"/>
  <c r="CM19" i="33" s="1"/>
  <c r="CI19" i="33" a="1"/>
  <c r="CI19" i="33" s="1"/>
  <c r="DE16" i="33"/>
  <c r="AR16" i="33" s="1"/>
  <c r="CC18" i="33" a="1"/>
  <c r="CC18" i="33" s="1"/>
  <c r="CD18" i="33" s="1"/>
  <c r="AK18" i="33" s="1"/>
  <c r="CG19" i="33" a="1"/>
  <c r="CG19" i="33" s="1"/>
  <c r="CH19" i="33" s="1"/>
  <c r="AL19" i="33" s="1"/>
  <c r="CU18" i="33" a="1"/>
  <c r="CU18" i="33" s="1"/>
  <c r="CF22" i="33"/>
  <c r="CC22" i="33" a="1"/>
  <c r="CC22" i="33" s="1"/>
  <c r="CD22" i="33" s="1"/>
  <c r="AK22" i="33" s="1"/>
  <c r="BF22" i="33"/>
  <c r="CF20" i="33"/>
  <c r="CW18" i="33" a="1"/>
  <c r="CW18" i="33" s="1"/>
  <c r="DC22" i="33" a="1"/>
  <c r="DC22" i="33" s="1"/>
  <c r="BL17" i="33" a="1"/>
  <c r="BL17" i="33" s="1"/>
  <c r="BF18" i="33"/>
  <c r="DA22" i="33" a="1"/>
  <c r="DA22" i="33" s="1"/>
  <c r="DB22" i="33" s="1"/>
  <c r="AQ22" i="33" s="1"/>
  <c r="DD20" i="33" a="1"/>
  <c r="DD20" i="33" s="1"/>
  <c r="DB16" i="33"/>
  <c r="AQ16" i="33" s="1"/>
  <c r="CF17" i="33"/>
  <c r="CZ17" i="33" a="1"/>
  <c r="CZ17" i="33" s="1"/>
  <c r="CL22" i="33"/>
  <c r="DG21" i="33" a="1"/>
  <c r="DG21" i="33" s="1"/>
  <c r="CU17" i="33" a="1"/>
  <c r="CU17" i="33" s="1"/>
  <c r="BG16" i="33" a="1"/>
  <c r="BG16" i="33" s="1"/>
  <c r="BE16" i="33" a="1"/>
  <c r="BE16" i="33" s="1"/>
  <c r="BD16" i="33" a="1"/>
  <c r="BD16" i="33" s="1"/>
  <c r="DA18" i="33" a="1"/>
  <c r="DA18" i="33" s="1"/>
  <c r="CW22" i="33" a="1"/>
  <c r="CW22" i="33" s="1"/>
  <c r="BL20" i="33" a="1"/>
  <c r="BL20" i="33" s="1"/>
  <c r="BO20" i="33" s="1"/>
  <c r="AI20" i="33" s="1"/>
  <c r="DL20" i="33"/>
  <c r="BZ21" i="33"/>
  <c r="DL17" i="33"/>
  <c r="BZ18" i="33"/>
  <c r="BJ17" i="33" a="1"/>
  <c r="BJ17" i="33" s="1"/>
  <c r="CZ20" i="33" a="1"/>
  <c r="CZ20" i="33" s="1"/>
  <c r="DC20" i="33" a="1"/>
  <c r="DC20" i="33" s="1"/>
  <c r="CC21" i="33" a="1"/>
  <c r="CC21" i="33" s="1"/>
  <c r="CD21" i="33" s="1"/>
  <c r="AK21" i="33" s="1"/>
  <c r="DD17" i="33" a="1"/>
  <c r="DD17" i="33" s="1"/>
  <c r="DE17" i="33" s="1"/>
  <c r="AR17" i="33" s="1"/>
  <c r="DF17" i="33" a="1"/>
  <c r="DF17" i="33" s="1"/>
  <c r="CR16" i="33" a="1"/>
  <c r="CR16" i="33" s="1"/>
  <c r="CP16" i="33" a="1"/>
  <c r="CP16" i="33" s="1"/>
  <c r="CV16" i="33"/>
  <c r="AO16" i="33" s="1"/>
  <c r="M18" i="32"/>
  <c r="BC54" i="34" l="1"/>
  <c r="BF54" i="34" s="1"/>
  <c r="J54" i="34" s="1"/>
  <c r="AN59" i="34"/>
  <c r="AO59" i="34"/>
  <c r="BI11" i="34"/>
  <c r="AY59" i="34"/>
  <c r="BG11" i="34"/>
  <c r="BH23" i="34"/>
  <c r="BT16" i="34"/>
  <c r="M16" i="34" s="1"/>
  <c r="BF15" i="34"/>
  <c r="J15" i="34" s="1"/>
  <c r="BZ59" i="34"/>
  <c r="O59" i="34" s="1"/>
  <c r="CI30" i="34"/>
  <c r="BG48" i="34"/>
  <c r="CK30" i="34"/>
  <c r="CC19" i="34"/>
  <c r="P19" i="34" s="1"/>
  <c r="AM50" i="34"/>
  <c r="G50" i="34" s="1"/>
  <c r="BN43" i="34"/>
  <c r="BQ43" i="34" s="1"/>
  <c r="L43" i="34" s="1"/>
  <c r="AM35" i="34"/>
  <c r="G35" i="34" s="1"/>
  <c r="AM13" i="34"/>
  <c r="G13" i="34" s="1"/>
  <c r="BL48" i="34"/>
  <c r="BK48" i="34" s="1"/>
  <c r="BH48" i="34"/>
  <c r="CC17" i="34"/>
  <c r="P17" i="34" s="1"/>
  <c r="BN23" i="34"/>
  <c r="BQ23" i="34" s="1"/>
  <c r="L23" i="34" s="1"/>
  <c r="BW17" i="34"/>
  <c r="N17" i="34" s="1"/>
  <c r="AB10" i="34"/>
  <c r="AI35" i="34"/>
  <c r="F35" i="34" s="1"/>
  <c r="CF11" i="34"/>
  <c r="Q11" i="34" s="1"/>
  <c r="AS44" i="34"/>
  <c r="BT43" i="34"/>
  <c r="M43" i="34" s="1"/>
  <c r="AO44" i="34"/>
  <c r="AR44" i="34"/>
  <c r="AQ44" i="34"/>
  <c r="AT44" i="34"/>
  <c r="AN48" i="34"/>
  <c r="AM64" i="34"/>
  <c r="G64" i="34" s="1"/>
  <c r="AR66" i="34"/>
  <c r="AQ48" i="34"/>
  <c r="AY16" i="34"/>
  <c r="AW48" i="34"/>
  <c r="CF50" i="34"/>
  <c r="Q50" i="34" s="1"/>
  <c r="AQ39" i="34"/>
  <c r="AM24" i="34"/>
  <c r="G24" i="34" s="1"/>
  <c r="AK14" i="33"/>
  <c r="BT48" i="34"/>
  <c r="M48" i="34" s="1"/>
  <c r="CC64" i="34"/>
  <c r="P64" i="34" s="1"/>
  <c r="AO39" i="34"/>
  <c r="CF60" i="34"/>
  <c r="Q60" i="34" s="1"/>
  <c r="BZ26" i="34"/>
  <c r="O26" i="34" s="1"/>
  <c r="AF18" i="34"/>
  <c r="E18" i="34" s="1"/>
  <c r="BT60" i="34"/>
  <c r="M60" i="34" s="1"/>
  <c r="AM11" i="34"/>
  <c r="G11" i="34" s="1"/>
  <c r="AP44" i="34"/>
  <c r="AU48" i="34"/>
  <c r="BN40" i="34"/>
  <c r="BQ40" i="34" s="1"/>
  <c r="L40" i="34" s="1"/>
  <c r="AE23" i="34"/>
  <c r="CG28" i="34"/>
  <c r="CF13" i="34"/>
  <c r="Q13" i="34" s="1"/>
  <c r="AR51" i="34"/>
  <c r="BZ29" i="34"/>
  <c r="O29" i="34" s="1"/>
  <c r="AN44" i="34"/>
  <c r="AY44" i="34"/>
  <c r="CG34" i="34"/>
  <c r="CK28" i="34"/>
  <c r="AP37" i="34"/>
  <c r="CK34" i="34"/>
  <c r="AW51" i="34"/>
  <c r="AS51" i="34"/>
  <c r="AW44" i="34"/>
  <c r="AF49" i="34"/>
  <c r="E49" i="34" s="1"/>
  <c r="CF51" i="34"/>
  <c r="Q51" i="34" s="1"/>
  <c r="CK47" i="34"/>
  <c r="CL58" i="34"/>
  <c r="R58" i="34" s="1"/>
  <c r="AE51" i="34"/>
  <c r="BW39" i="34"/>
  <c r="N39" i="34" s="1"/>
  <c r="BH11" i="34"/>
  <c r="AI16" i="34"/>
  <c r="F16" i="34" s="1"/>
  <c r="BT34" i="34"/>
  <c r="M34" i="34" s="1"/>
  <c r="BE47" i="34"/>
  <c r="BF47" i="34" s="1"/>
  <c r="J47" i="34" s="1"/>
  <c r="AS37" i="34"/>
  <c r="CF64" i="34"/>
  <c r="Q64" i="34" s="1"/>
  <c r="AN37" i="34"/>
  <c r="AU22" i="34"/>
  <c r="AN42" i="34"/>
  <c r="BT23" i="34"/>
  <c r="M23" i="34" s="1"/>
  <c r="BW24" i="34"/>
  <c r="N24" i="34" s="1"/>
  <c r="AR37" i="34"/>
  <c r="AN22" i="34"/>
  <c r="BW14" i="34"/>
  <c r="N14" i="34" s="1"/>
  <c r="AQ22" i="34"/>
  <c r="AT64" i="34"/>
  <c r="CK27" i="34"/>
  <c r="AM28" i="34"/>
  <c r="G28" i="34" s="1"/>
  <c r="CK59" i="34"/>
  <c r="AY37" i="34"/>
  <c r="BW44" i="34"/>
  <c r="N44" i="34" s="1"/>
  <c r="BE17" i="34"/>
  <c r="BF17" i="34" s="1"/>
  <c r="J17" i="34" s="1"/>
  <c r="CH64" i="34"/>
  <c r="AN64" i="34"/>
  <c r="CF26" i="34"/>
  <c r="Q26" i="34" s="1"/>
  <c r="BN65" i="34"/>
  <c r="BQ65" i="34" s="1"/>
  <c r="L65" i="34" s="1"/>
  <c r="AW22" i="34"/>
  <c r="BE65" i="34"/>
  <c r="BN19" i="34"/>
  <c r="BQ19" i="34" s="1"/>
  <c r="L19" i="34" s="1"/>
  <c r="CF43" i="34"/>
  <c r="Q43" i="34" s="1"/>
  <c r="BT13" i="34"/>
  <c r="M13" i="34" s="1"/>
  <c r="AI64" i="34"/>
  <c r="F64" i="34" s="1"/>
  <c r="AT22" i="34"/>
  <c r="AE13" i="34"/>
  <c r="AR22" i="34"/>
  <c r="AB13" i="34"/>
  <c r="BL39" i="34"/>
  <c r="BK39" i="34" s="1"/>
  <c r="AO66" i="34"/>
  <c r="AY64" i="34"/>
  <c r="AR64" i="34"/>
  <c r="CI51" i="34"/>
  <c r="AB51" i="34"/>
  <c r="CF16" i="34"/>
  <c r="Q16" i="34" s="1"/>
  <c r="BE48" i="34"/>
  <c r="BF48" i="34" s="1"/>
  <c r="J48" i="34" s="1"/>
  <c r="AO42" i="34"/>
  <c r="CC27" i="34"/>
  <c r="P27" i="34" s="1"/>
  <c r="BN30" i="34"/>
  <c r="BQ30" i="34" s="1"/>
  <c r="L30" i="34" s="1"/>
  <c r="BT47" i="34"/>
  <c r="M47" i="34" s="1"/>
  <c r="AP64" i="34"/>
  <c r="CC37" i="34"/>
  <c r="P37" i="34" s="1"/>
  <c r="AI22" i="34"/>
  <c r="F22" i="34" s="1"/>
  <c r="BW25" i="34"/>
  <c r="N25" i="34" s="1"/>
  <c r="AR10" i="34"/>
  <c r="BE27" i="34"/>
  <c r="BF27" i="34" s="1"/>
  <c r="J27" i="34" s="1"/>
  <c r="AP22" i="34"/>
  <c r="BT30" i="34"/>
  <c r="M30" i="34" s="1"/>
  <c r="AS64" i="34"/>
  <c r="CC14" i="34"/>
  <c r="P14" i="34" s="1"/>
  <c r="BT20" i="34"/>
  <c r="M20" i="34" s="1"/>
  <c r="AV44" i="34"/>
  <c r="BP60" i="34"/>
  <c r="BQ60" i="34" s="1"/>
  <c r="L60" i="34" s="1"/>
  <c r="AF38" i="34"/>
  <c r="E38" i="34" s="1"/>
  <c r="AM51" i="34"/>
  <c r="G51" i="34" s="1"/>
  <c r="AU51" i="34"/>
  <c r="CK19" i="34"/>
  <c r="BT25" i="34"/>
  <c r="M25" i="34" s="1"/>
  <c r="CI59" i="34"/>
  <c r="AN51" i="34"/>
  <c r="AI48" i="34"/>
  <c r="F48" i="34" s="1"/>
  <c r="AW64" i="34"/>
  <c r="AU64" i="34"/>
  <c r="CG59" i="34"/>
  <c r="AV64" i="34"/>
  <c r="AO64" i="34"/>
  <c r="CF23" i="34"/>
  <c r="Q23" i="34" s="1"/>
  <c r="CI64" i="34"/>
  <c r="CC60" i="34"/>
  <c r="P60" i="34" s="1"/>
  <c r="AI23" i="34"/>
  <c r="F23" i="34" s="1"/>
  <c r="AT48" i="34"/>
  <c r="AW16" i="34"/>
  <c r="CH47" i="34"/>
  <c r="CC42" i="34"/>
  <c r="P42" i="34" s="1"/>
  <c r="CI60" i="34"/>
  <c r="CG60" i="34"/>
  <c r="AO22" i="34"/>
  <c r="AS48" i="34"/>
  <c r="CI47" i="34"/>
  <c r="CK60" i="34"/>
  <c r="BH17" i="34"/>
  <c r="AY22" i="34"/>
  <c r="BL17" i="34"/>
  <c r="BK17" i="34" s="1"/>
  <c r="AP48" i="34"/>
  <c r="AR16" i="34"/>
  <c r="BH51" i="34"/>
  <c r="CH34" i="34"/>
  <c r="AT59" i="34"/>
  <c r="BE59" i="34"/>
  <c r="BF59" i="34" s="1"/>
  <c r="J59" i="34" s="1"/>
  <c r="CI66" i="34"/>
  <c r="BW16" i="34"/>
  <c r="N16" i="34" s="1"/>
  <c r="BF18" i="34"/>
  <c r="J18" i="34" s="1"/>
  <c r="AB30" i="34"/>
  <c r="AU16" i="34"/>
  <c r="BW37" i="34"/>
  <c r="N37" i="34" s="1"/>
  <c r="BW61" i="34"/>
  <c r="N61" i="34" s="1"/>
  <c r="AC30" i="34"/>
  <c r="AM57" i="34"/>
  <c r="G57" i="34" s="1"/>
  <c r="BN13" i="34"/>
  <c r="BQ13" i="34" s="1"/>
  <c r="L13" i="34" s="1"/>
  <c r="AP59" i="34"/>
  <c r="AM29" i="34"/>
  <c r="G29" i="34" s="1"/>
  <c r="CF39" i="34"/>
  <c r="Q39" i="34" s="1"/>
  <c r="AS22" i="34"/>
  <c r="AQ16" i="34"/>
  <c r="BE35" i="34"/>
  <c r="BF35" i="34" s="1"/>
  <c r="J35" i="34" s="1"/>
  <c r="BZ35" i="34"/>
  <c r="O35" i="34" s="1"/>
  <c r="AU59" i="34"/>
  <c r="AW39" i="34"/>
  <c r="AS16" i="34"/>
  <c r="CG51" i="34"/>
  <c r="AF9" i="34"/>
  <c r="E9" i="34" s="1"/>
  <c r="AN16" i="34"/>
  <c r="BG51" i="34"/>
  <c r="AS59" i="34"/>
  <c r="CC16" i="34"/>
  <c r="P16" i="34" s="1"/>
  <c r="AP16" i="34"/>
  <c r="BW42" i="34"/>
  <c r="N42" i="34" s="1"/>
  <c r="CF59" i="34"/>
  <c r="Q59" i="34" s="1"/>
  <c r="AT16" i="34"/>
  <c r="BI51" i="34"/>
  <c r="BP55" i="34"/>
  <c r="BQ55" i="34" s="1"/>
  <c r="L55" i="34" s="1"/>
  <c r="AV59" i="34"/>
  <c r="BI17" i="34"/>
  <c r="AF15" i="34"/>
  <c r="E15" i="34" s="1"/>
  <c r="AM61" i="34"/>
  <c r="G61" i="34" s="1"/>
  <c r="CF61" i="34"/>
  <c r="Q61" i="34" s="1"/>
  <c r="AO16" i="34"/>
  <c r="AM60" i="34"/>
  <c r="G60" i="34" s="1"/>
  <c r="CF22" i="34"/>
  <c r="Q22" i="34" s="1"/>
  <c r="AW59" i="34"/>
  <c r="BE23" i="34"/>
  <c r="BF23" i="34" s="1"/>
  <c r="J23" i="34" s="1"/>
  <c r="AI29" i="34"/>
  <c r="F29" i="34" s="1"/>
  <c r="CF30" i="34"/>
  <c r="Q30" i="34" s="1"/>
  <c r="BE30" i="34"/>
  <c r="BF30" i="34" s="1"/>
  <c r="J30" i="34" s="1"/>
  <c r="AY65" i="34"/>
  <c r="AM19" i="34"/>
  <c r="G19" i="34" s="1"/>
  <c r="AO10" i="34"/>
  <c r="AW30" i="34"/>
  <c r="BZ28" i="34"/>
  <c r="O28" i="34" s="1"/>
  <c r="BH37" i="34"/>
  <c r="AI44" i="34"/>
  <c r="F44" i="34" s="1"/>
  <c r="AQ65" i="34"/>
  <c r="CK48" i="34"/>
  <c r="CF42" i="34"/>
  <c r="Q42" i="34" s="1"/>
  <c r="AB65" i="34"/>
  <c r="AS11" i="34"/>
  <c r="AQ23" i="34"/>
  <c r="AS23" i="34"/>
  <c r="AC10" i="34"/>
  <c r="AE65" i="34"/>
  <c r="AR11" i="34"/>
  <c r="CH48" i="34"/>
  <c r="AV65" i="34"/>
  <c r="BL37" i="34"/>
  <c r="BK37" i="34" s="1"/>
  <c r="BT17" i="34"/>
  <c r="M17" i="34" s="1"/>
  <c r="AW23" i="34"/>
  <c r="AU65" i="34"/>
  <c r="AQ30" i="34"/>
  <c r="CC23" i="34"/>
  <c r="P23" i="34" s="1"/>
  <c r="CH28" i="34"/>
  <c r="AI28" i="34"/>
  <c r="F28" i="34" s="1"/>
  <c r="CF56" i="34"/>
  <c r="Q56" i="34" s="1"/>
  <c r="AS10" i="34"/>
  <c r="AN10" i="34"/>
  <c r="CG48" i="34"/>
  <c r="CK24" i="34"/>
  <c r="BP37" i="34"/>
  <c r="BQ37" i="34" s="1"/>
  <c r="L37" i="34" s="1"/>
  <c r="AU23" i="34"/>
  <c r="AI11" i="34"/>
  <c r="F11" i="34" s="1"/>
  <c r="AY23" i="34"/>
  <c r="AO24" i="34"/>
  <c r="AU10" i="34"/>
  <c r="AP10" i="34"/>
  <c r="AB39" i="34"/>
  <c r="CI24" i="34"/>
  <c r="BT22" i="34"/>
  <c r="M22" i="34" s="1"/>
  <c r="BT24" i="34"/>
  <c r="M24" i="34" s="1"/>
  <c r="BT39" i="34"/>
  <c r="M39" i="34" s="1"/>
  <c r="AP24" i="34"/>
  <c r="AN24" i="34"/>
  <c r="BZ40" i="34"/>
  <c r="O40" i="34" s="1"/>
  <c r="AE39" i="34"/>
  <c r="CH24" i="34"/>
  <c r="BF32" i="34"/>
  <c r="J32" i="34" s="1"/>
  <c r="BT66" i="34"/>
  <c r="M66" i="34" s="1"/>
  <c r="BZ11" i="34"/>
  <c r="O11" i="34" s="1"/>
  <c r="CC34" i="34"/>
  <c r="P34" i="34" s="1"/>
  <c r="AV24" i="34"/>
  <c r="AV23" i="34"/>
  <c r="CC10" i="34"/>
  <c r="P10" i="34" s="1"/>
  <c r="BH28" i="34"/>
  <c r="AR23" i="34"/>
  <c r="CF44" i="34"/>
  <c r="Q44" i="34" s="1"/>
  <c r="BZ50" i="34"/>
  <c r="O50" i="34" s="1"/>
  <c r="BE37" i="34"/>
  <c r="BF37" i="34" s="1"/>
  <c r="J37" i="34" s="1"/>
  <c r="AP19" i="34"/>
  <c r="AM27" i="34"/>
  <c r="G27" i="34" s="1"/>
  <c r="AT23" i="34"/>
  <c r="BW10" i="34"/>
  <c r="N10" i="34" s="1"/>
  <c r="BZ19" i="34"/>
  <c r="O19" i="34" s="1"/>
  <c r="BM32" i="34"/>
  <c r="K32" i="34" s="1"/>
  <c r="CC40" i="34"/>
  <c r="P40" i="34" s="1"/>
  <c r="BG16" i="34"/>
  <c r="AT19" i="34"/>
  <c r="AP23" i="34"/>
  <c r="BT53" i="34"/>
  <c r="M53" i="34" s="1"/>
  <c r="AO23" i="34"/>
  <c r="CF27" i="34"/>
  <c r="Q27" i="34" s="1"/>
  <c r="AS24" i="34"/>
  <c r="AR24" i="34"/>
  <c r="BC66" i="34"/>
  <c r="BF66" i="34" s="1"/>
  <c r="J66" i="34" s="1"/>
  <c r="AI65" i="34"/>
  <c r="F65" i="34" s="1"/>
  <c r="AM37" i="34"/>
  <c r="G37" i="34" s="1"/>
  <c r="BG37" i="34"/>
  <c r="CC39" i="34"/>
  <c r="P39" i="34" s="1"/>
  <c r="BW48" i="34"/>
  <c r="N48" i="34" s="1"/>
  <c r="AV19" i="34"/>
  <c r="CK13" i="34"/>
  <c r="AN65" i="34"/>
  <c r="CG13" i="34"/>
  <c r="AO65" i="34"/>
  <c r="AU30" i="34"/>
  <c r="AP65" i="34"/>
  <c r="BZ48" i="34"/>
  <c r="O48" i="34" s="1"/>
  <c r="AY19" i="34"/>
  <c r="CF29" i="34"/>
  <c r="Q29" i="34" s="1"/>
  <c r="BW43" i="34"/>
  <c r="N43" i="34" s="1"/>
  <c r="BT10" i="34"/>
  <c r="M10" i="34" s="1"/>
  <c r="CK51" i="34"/>
  <c r="CC30" i="34"/>
  <c r="P30" i="34" s="1"/>
  <c r="BE40" i="34"/>
  <c r="BF40" i="34" s="1"/>
  <c r="J40" i="34" s="1"/>
  <c r="BZ37" i="34"/>
  <c r="O37" i="34" s="1"/>
  <c r="BZ54" i="34"/>
  <c r="O54" i="34" s="1"/>
  <c r="BZ56" i="34"/>
  <c r="O56" i="34" s="1"/>
  <c r="BZ51" i="34"/>
  <c r="O51" i="34" s="1"/>
  <c r="CF48" i="34"/>
  <c r="Q48" i="34" s="1"/>
  <c r="AY11" i="34"/>
  <c r="BN51" i="34"/>
  <c r="BQ51" i="34" s="1"/>
  <c r="L51" i="34" s="1"/>
  <c r="AW11" i="34"/>
  <c r="BL16" i="34"/>
  <c r="BK16" i="34" s="1"/>
  <c r="BG65" i="34"/>
  <c r="AM66" i="34"/>
  <c r="G66" i="34" s="1"/>
  <c r="AF58" i="34"/>
  <c r="E58" i="34" s="1"/>
  <c r="BH16" i="34"/>
  <c r="BH66" i="34"/>
  <c r="BH65" i="34"/>
  <c r="AM48" i="34"/>
  <c r="G48" i="34" s="1"/>
  <c r="BP44" i="34"/>
  <c r="BQ44" i="34" s="1"/>
  <c r="L44" i="34" s="1"/>
  <c r="BG66" i="34"/>
  <c r="BL65" i="34"/>
  <c r="BK65" i="34" s="1"/>
  <c r="BG23" i="34"/>
  <c r="BP66" i="34"/>
  <c r="BQ66" i="34" s="1"/>
  <c r="L66" i="34" s="1"/>
  <c r="BI66" i="34"/>
  <c r="AC40" i="34"/>
  <c r="AM34" i="34"/>
  <c r="G34" i="34" s="1"/>
  <c r="BW53" i="34"/>
  <c r="N53" i="34" s="1"/>
  <c r="BL23" i="34"/>
  <c r="BK23" i="34" s="1"/>
  <c r="AM10" i="34"/>
  <c r="G10" i="34" s="1"/>
  <c r="CC24" i="34"/>
  <c r="P24" i="34" s="1"/>
  <c r="AF44" i="34"/>
  <c r="E44" i="34" s="1"/>
  <c r="AB40" i="34"/>
  <c r="AB23" i="34"/>
  <c r="BW22" i="34"/>
  <c r="N22" i="34" s="1"/>
  <c r="BW57" i="34"/>
  <c r="N57" i="34" s="1"/>
  <c r="BF8" i="34"/>
  <c r="J8" i="34" s="1"/>
  <c r="BZ10" i="34"/>
  <c r="O10" i="34" s="1"/>
  <c r="BQ45" i="34"/>
  <c r="L45" i="34" s="1"/>
  <c r="AI62" i="34"/>
  <c r="F62" i="34" s="1"/>
  <c r="AF12" i="34"/>
  <c r="E12" i="34" s="1"/>
  <c r="CF37" i="34"/>
  <c r="Q37" i="34" s="1"/>
  <c r="CF55" i="34"/>
  <c r="Q55" i="34" s="1"/>
  <c r="CF19" i="34"/>
  <c r="Q19" i="34" s="1"/>
  <c r="BT19" i="34"/>
  <c r="M19" i="34" s="1"/>
  <c r="BN64" i="34"/>
  <c r="BP64" i="34"/>
  <c r="BT11" i="34"/>
  <c r="M11" i="34" s="1"/>
  <c r="BW19" i="34"/>
  <c r="N19" i="34" s="1"/>
  <c r="CF34" i="34"/>
  <c r="Q34" i="34" s="1"/>
  <c r="BQ21" i="34"/>
  <c r="L21" i="34" s="1"/>
  <c r="BF63" i="34"/>
  <c r="J63" i="34" s="1"/>
  <c r="BM63" i="34"/>
  <c r="K63" i="34" s="1"/>
  <c r="AO14" i="34"/>
  <c r="AN30" i="34"/>
  <c r="BW11" i="34"/>
  <c r="N11" i="34" s="1"/>
  <c r="CC54" i="34"/>
  <c r="P54" i="34" s="1"/>
  <c r="AR14" i="34"/>
  <c r="AW42" i="34"/>
  <c r="AI34" i="34"/>
  <c r="F34" i="34" s="1"/>
  <c r="AY14" i="34"/>
  <c r="CC35" i="34"/>
  <c r="P35" i="34" s="1"/>
  <c r="BG22" i="34"/>
  <c r="BH22" i="34"/>
  <c r="BT62" i="34"/>
  <c r="M62" i="34" s="1"/>
  <c r="AU19" i="34"/>
  <c r="AI25" i="34"/>
  <c r="F25" i="34" s="1"/>
  <c r="CF10" i="34"/>
  <c r="Q10" i="34" s="1"/>
  <c r="AS14" i="34"/>
  <c r="BM29" i="34"/>
  <c r="K29" i="34" s="1"/>
  <c r="AI37" i="34"/>
  <c r="F37" i="34" s="1"/>
  <c r="BM52" i="34"/>
  <c r="K52" i="34" s="1"/>
  <c r="AT14" i="34"/>
  <c r="BW34" i="34"/>
  <c r="N34" i="34" s="1"/>
  <c r="AU14" i="34"/>
  <c r="BM36" i="34"/>
  <c r="K36" i="34" s="1"/>
  <c r="AM20" i="34"/>
  <c r="G20" i="34" s="1"/>
  <c r="AY42" i="34"/>
  <c r="AT11" i="34"/>
  <c r="CL36" i="34"/>
  <c r="R36" i="34" s="1"/>
  <c r="AI19" i="34"/>
  <c r="F19" i="34" s="1"/>
  <c r="BW55" i="34"/>
  <c r="N55" i="34" s="1"/>
  <c r="BW64" i="34"/>
  <c r="N64" i="34" s="1"/>
  <c r="AW19" i="34"/>
  <c r="AI17" i="34"/>
  <c r="F17" i="34" s="1"/>
  <c r="AI56" i="34"/>
  <c r="F56" i="34" s="1"/>
  <c r="CL52" i="34"/>
  <c r="R52" i="34" s="1"/>
  <c r="AT42" i="34"/>
  <c r="AF52" i="34"/>
  <c r="E52" i="34" s="1"/>
  <c r="BW26" i="34"/>
  <c r="N26" i="34" s="1"/>
  <c r="CC29" i="34"/>
  <c r="P29" i="34" s="1"/>
  <c r="CL18" i="34"/>
  <c r="R18" i="34" s="1"/>
  <c r="AP30" i="34"/>
  <c r="CC25" i="34"/>
  <c r="P25" i="34" s="1"/>
  <c r="AN19" i="34"/>
  <c r="BZ16" i="34"/>
  <c r="O16" i="34" s="1"/>
  <c r="BE28" i="34"/>
  <c r="BF28" i="34" s="1"/>
  <c r="J28" i="34" s="1"/>
  <c r="BE34" i="34"/>
  <c r="BF34" i="34" s="1"/>
  <c r="J34" i="34" s="1"/>
  <c r="BL22" i="34"/>
  <c r="BK22" i="34" s="1"/>
  <c r="AR42" i="34"/>
  <c r="CC65" i="34"/>
  <c r="P65" i="34" s="1"/>
  <c r="AO30" i="34"/>
  <c r="AU42" i="34"/>
  <c r="AV42" i="34"/>
  <c r="AS30" i="34"/>
  <c r="BM46" i="34"/>
  <c r="K46" i="34" s="1"/>
  <c r="AV14" i="34"/>
  <c r="AS42" i="34"/>
  <c r="AM59" i="34"/>
  <c r="G59" i="34" s="1"/>
  <c r="AM42" i="34"/>
  <c r="G42" i="34" s="1"/>
  <c r="AQ19" i="34"/>
  <c r="AR19" i="34"/>
  <c r="AI10" i="34"/>
  <c r="F10" i="34" s="1"/>
  <c r="AV30" i="34"/>
  <c r="AO19" i="34"/>
  <c r="AN14" i="34"/>
  <c r="AQ42" i="34"/>
  <c r="CF53" i="34"/>
  <c r="Q53" i="34" s="1"/>
  <c r="AW14" i="34"/>
  <c r="BE13" i="34"/>
  <c r="BF13" i="34" s="1"/>
  <c r="J13" i="34" s="1"/>
  <c r="AI13" i="34"/>
  <c r="F13" i="34" s="1"/>
  <c r="AP14" i="34"/>
  <c r="BW13" i="34"/>
  <c r="N13" i="34" s="1"/>
  <c r="CC43" i="34"/>
  <c r="P43" i="34" s="1"/>
  <c r="AI47" i="34"/>
  <c r="F47" i="34" s="1"/>
  <c r="CL33" i="34"/>
  <c r="R33" i="34" s="1"/>
  <c r="CL41" i="34"/>
  <c r="R41" i="34" s="1"/>
  <c r="AI24" i="34"/>
  <c r="F24" i="34" s="1"/>
  <c r="BL28" i="34"/>
  <c r="BK28" i="34" s="1"/>
  <c r="BI28" i="34"/>
  <c r="CL9" i="34"/>
  <c r="R9" i="34" s="1"/>
  <c r="BT51" i="34"/>
  <c r="M51" i="34" s="1"/>
  <c r="CC62" i="34"/>
  <c r="P62" i="34" s="1"/>
  <c r="BM18" i="34"/>
  <c r="K18" i="34" s="1"/>
  <c r="CL45" i="34"/>
  <c r="R45" i="34" s="1"/>
  <c r="AF32" i="34"/>
  <c r="E32" i="34" s="1"/>
  <c r="BZ65" i="34"/>
  <c r="O65" i="34" s="1"/>
  <c r="AE60" i="34"/>
  <c r="AB60" i="34"/>
  <c r="AC60" i="34"/>
  <c r="AB35" i="34"/>
  <c r="AC35" i="34"/>
  <c r="BZ62" i="34"/>
  <c r="O62" i="34" s="1"/>
  <c r="AF55" i="34"/>
  <c r="E55" i="34" s="1"/>
  <c r="CF20" i="34"/>
  <c r="Q20" i="34" s="1"/>
  <c r="CK64" i="34"/>
  <c r="BC43" i="34"/>
  <c r="BF43" i="34" s="1"/>
  <c r="J43" i="34" s="1"/>
  <c r="AI59" i="34"/>
  <c r="F59" i="34" s="1"/>
  <c r="AF63" i="34"/>
  <c r="E63" i="34" s="1"/>
  <c r="CC44" i="34"/>
  <c r="P44" i="34" s="1"/>
  <c r="AO48" i="34"/>
  <c r="AR48" i="34"/>
  <c r="AE16" i="34"/>
  <c r="AC16" i="34"/>
  <c r="BM58" i="34"/>
  <c r="K58" i="34" s="1"/>
  <c r="BQ31" i="34"/>
  <c r="L31" i="34" s="1"/>
  <c r="AI42" i="34"/>
  <c r="F42" i="34" s="1"/>
  <c r="AO11" i="34"/>
  <c r="CF66" i="34"/>
  <c r="Q66" i="34" s="1"/>
  <c r="CF28" i="34"/>
  <c r="Q28" i="34" s="1"/>
  <c r="BZ57" i="34"/>
  <c r="O57" i="34" s="1"/>
  <c r="AW10" i="34"/>
  <c r="AQ10" i="34"/>
  <c r="AY10" i="34"/>
  <c r="AT10" i="34"/>
  <c r="AI30" i="34"/>
  <c r="F30" i="34" s="1"/>
  <c r="AR59" i="34"/>
  <c r="BN48" i="34"/>
  <c r="BP48" i="34"/>
  <c r="AM25" i="34"/>
  <c r="G25" i="34" s="1"/>
  <c r="CC50" i="34"/>
  <c r="P50" i="34" s="1"/>
  <c r="AC34" i="34"/>
  <c r="BZ47" i="34"/>
  <c r="O47" i="34" s="1"/>
  <c r="AZ45" i="34"/>
  <c r="H45" i="34" s="1"/>
  <c r="CK55" i="34"/>
  <c r="CK22" i="34"/>
  <c r="CH22" i="34"/>
  <c r="CG22" i="34"/>
  <c r="CI22" i="34"/>
  <c r="AY60" i="34"/>
  <c r="AS60" i="34"/>
  <c r="AQ60" i="34"/>
  <c r="AP60" i="34"/>
  <c r="AU60" i="34"/>
  <c r="AO60" i="34"/>
  <c r="AN60" i="34"/>
  <c r="AW60" i="34"/>
  <c r="AV60" i="34"/>
  <c r="AT60" i="34"/>
  <c r="AR60" i="34"/>
  <c r="BP35" i="34"/>
  <c r="BN35" i="34"/>
  <c r="AC37" i="34"/>
  <c r="AE37" i="34"/>
  <c r="AB37" i="34"/>
  <c r="AE59" i="34"/>
  <c r="AC59" i="34"/>
  <c r="AB59" i="34"/>
  <c r="AM65" i="34"/>
  <c r="G65" i="34" s="1"/>
  <c r="CG35" i="34"/>
  <c r="CH35" i="34"/>
  <c r="CI35" i="34"/>
  <c r="CK35" i="34"/>
  <c r="CF65" i="34"/>
  <c r="Q65" i="34" s="1"/>
  <c r="AM14" i="34"/>
  <c r="G14" i="34" s="1"/>
  <c r="AZ38" i="34"/>
  <c r="H38" i="34" s="1"/>
  <c r="AE34" i="34"/>
  <c r="BT56" i="34"/>
  <c r="M56" i="34" s="1"/>
  <c r="AQ11" i="34"/>
  <c r="BW66" i="34"/>
  <c r="N66" i="34" s="1"/>
  <c r="BL19" i="34"/>
  <c r="BK19" i="34" s="1"/>
  <c r="BH19" i="34"/>
  <c r="BG19" i="34"/>
  <c r="BI19" i="34"/>
  <c r="CL32" i="34"/>
  <c r="R32" i="34" s="1"/>
  <c r="BQ32" i="34"/>
  <c r="L32" i="34" s="1"/>
  <c r="AI54" i="34"/>
  <c r="F54" i="34" s="1"/>
  <c r="BW56" i="34"/>
  <c r="N56" i="34" s="1"/>
  <c r="BM33" i="34"/>
  <c r="K33" i="34" s="1"/>
  <c r="AP11" i="34"/>
  <c r="BQ41" i="34"/>
  <c r="L41" i="34" s="1"/>
  <c r="BL30" i="34"/>
  <c r="BK30" i="34" s="1"/>
  <c r="BI30" i="34"/>
  <c r="BG30" i="34"/>
  <c r="BH30" i="34"/>
  <c r="BZ39" i="34"/>
  <c r="O39" i="34" s="1"/>
  <c r="CC55" i="34"/>
  <c r="P55" i="34" s="1"/>
  <c r="AF33" i="34"/>
  <c r="E33" i="34" s="1"/>
  <c r="AW35" i="34"/>
  <c r="AV35" i="34"/>
  <c r="AU35" i="34"/>
  <c r="AQ35" i="34"/>
  <c r="AT35" i="34"/>
  <c r="AY35" i="34"/>
  <c r="AP35" i="34"/>
  <c r="AO35" i="34"/>
  <c r="AR35" i="34"/>
  <c r="AS35" i="34"/>
  <c r="AN35" i="34"/>
  <c r="CC59" i="34"/>
  <c r="P59" i="34" s="1"/>
  <c r="BE55" i="34"/>
  <c r="BC55" i="34"/>
  <c r="AP66" i="34"/>
  <c r="AY66" i="34"/>
  <c r="AN66" i="34"/>
  <c r="AU66" i="34"/>
  <c r="AT66" i="34"/>
  <c r="AV66" i="34"/>
  <c r="AQ66" i="34"/>
  <c r="AW66" i="34"/>
  <c r="BZ27" i="34"/>
  <c r="O27" i="34" s="1"/>
  <c r="AF31" i="34"/>
  <c r="E31" i="34" s="1"/>
  <c r="CC20" i="34"/>
  <c r="P20" i="34" s="1"/>
  <c r="BF31" i="34"/>
  <c r="J31" i="34" s="1"/>
  <c r="AN11" i="34"/>
  <c r="AB66" i="34"/>
  <c r="AC66" i="34"/>
  <c r="CF24" i="34"/>
  <c r="Q24" i="34" s="1"/>
  <c r="AM55" i="34"/>
  <c r="G55" i="34" s="1"/>
  <c r="BE19" i="34"/>
  <c r="BC19" i="34"/>
  <c r="AY39" i="34"/>
  <c r="AS39" i="34"/>
  <c r="AP39" i="34"/>
  <c r="AR39" i="34"/>
  <c r="AT39" i="34"/>
  <c r="AV39" i="34"/>
  <c r="AU39" i="34"/>
  <c r="CI65" i="34"/>
  <c r="CH65" i="34"/>
  <c r="CG65" i="34"/>
  <c r="CK65" i="34"/>
  <c r="CL8" i="34"/>
  <c r="R8" i="34" s="1"/>
  <c r="AF8" i="34"/>
  <c r="E8" i="34" s="1"/>
  <c r="BM21" i="34"/>
  <c r="K21" i="34" s="1"/>
  <c r="BW27" i="34"/>
  <c r="N27" i="34" s="1"/>
  <c r="BW29" i="34"/>
  <c r="N29" i="34" s="1"/>
  <c r="BH44" i="34"/>
  <c r="BI44" i="34"/>
  <c r="BL44" i="34"/>
  <c r="BK44" i="34" s="1"/>
  <c r="AM30" i="34"/>
  <c r="G30" i="34" s="1"/>
  <c r="AT30" i="34"/>
  <c r="AR30" i="34"/>
  <c r="CG19" i="34"/>
  <c r="CI19" i="34"/>
  <c r="CG27" i="34"/>
  <c r="CH27" i="34"/>
  <c r="BM9" i="34"/>
  <c r="K9" i="34" s="1"/>
  <c r="CC53" i="34"/>
  <c r="P53" i="34" s="1"/>
  <c r="BM12" i="34"/>
  <c r="K12" i="34" s="1"/>
  <c r="AV11" i="34"/>
  <c r="BN34" i="34"/>
  <c r="BP34" i="34"/>
  <c r="BL55" i="34"/>
  <c r="BK55" i="34" s="1"/>
  <c r="BI55" i="34"/>
  <c r="BG55" i="34"/>
  <c r="BH55" i="34"/>
  <c r="BI39" i="34"/>
  <c r="BG39" i="34"/>
  <c r="BP59" i="34"/>
  <c r="BN59" i="34"/>
  <c r="BI25" i="34"/>
  <c r="AY24" i="34"/>
  <c r="AQ24" i="34"/>
  <c r="AT24" i="34"/>
  <c r="AU24" i="34"/>
  <c r="BT55" i="34"/>
  <c r="M55" i="34" s="1"/>
  <c r="BZ24" i="34"/>
  <c r="O24" i="34" s="1"/>
  <c r="AI53" i="34"/>
  <c r="F53" i="34" s="1"/>
  <c r="AR65" i="34"/>
  <c r="AZ32" i="34"/>
  <c r="H32" i="34" s="1"/>
  <c r="BH25" i="34"/>
  <c r="AW34" i="34"/>
  <c r="AS34" i="34"/>
  <c r="AR34" i="34"/>
  <c r="AY34" i="34"/>
  <c r="AN34" i="34"/>
  <c r="AU34" i="34"/>
  <c r="AQ34" i="34"/>
  <c r="AO34" i="34"/>
  <c r="AP34" i="34"/>
  <c r="AT34" i="34"/>
  <c r="AV34" i="34"/>
  <c r="BZ30" i="34"/>
  <c r="O30" i="34" s="1"/>
  <c r="AM47" i="34"/>
  <c r="G47" i="34" s="1"/>
  <c r="CF25" i="34"/>
  <c r="Q25" i="34" s="1"/>
  <c r="I6" i="34"/>
  <c r="BW62" i="34"/>
  <c r="N62" i="34" s="1"/>
  <c r="AS65" i="34"/>
  <c r="BL25" i="34"/>
  <c r="BK25" i="34" s="1"/>
  <c r="BZ34" i="34"/>
  <c r="O34" i="34" s="1"/>
  <c r="AU37" i="34"/>
  <c r="AQ37" i="34"/>
  <c r="AV37" i="34"/>
  <c r="AO37" i="34"/>
  <c r="AW37" i="34"/>
  <c r="AM17" i="34"/>
  <c r="G17" i="34" s="1"/>
  <c r="CC47" i="34"/>
  <c r="P47" i="34" s="1"/>
  <c r="BM15" i="34"/>
  <c r="K15" i="34" s="1"/>
  <c r="BW23" i="34"/>
  <c r="N23" i="34" s="1"/>
  <c r="AF46" i="34"/>
  <c r="E46" i="34" s="1"/>
  <c r="CF54" i="34"/>
  <c r="Q54" i="34" s="1"/>
  <c r="BZ44" i="34"/>
  <c r="O44" i="34" s="1"/>
  <c r="AT65" i="34"/>
  <c r="BF16" i="34"/>
  <c r="J16" i="34" s="1"/>
  <c r="CF57" i="34"/>
  <c r="Q57" i="34" s="1"/>
  <c r="AC19" i="34"/>
  <c r="BE44" i="34"/>
  <c r="BF44" i="34" s="1"/>
  <c r="J44" i="34" s="1"/>
  <c r="CC66" i="34"/>
  <c r="P66" i="34" s="1"/>
  <c r="AF36" i="34"/>
  <c r="E36" i="34" s="1"/>
  <c r="BT65" i="34"/>
  <c r="M65" i="34" s="1"/>
  <c r="AW55" i="34"/>
  <c r="AN55" i="34"/>
  <c r="AY55" i="34"/>
  <c r="AS55" i="34"/>
  <c r="AT55" i="34"/>
  <c r="AR55" i="34"/>
  <c r="AO55" i="34"/>
  <c r="AV55" i="34"/>
  <c r="AP55" i="34"/>
  <c r="AU55" i="34"/>
  <c r="AQ55" i="34"/>
  <c r="AZ49" i="34"/>
  <c r="H49" i="34" s="1"/>
  <c r="AM53" i="34"/>
  <c r="G53" i="34" s="1"/>
  <c r="AZ21" i="34"/>
  <c r="H21" i="34" s="1"/>
  <c r="BT44" i="34"/>
  <c r="M44" i="34" s="1"/>
  <c r="BW20" i="34"/>
  <c r="N20" i="34" s="1"/>
  <c r="CI55" i="34"/>
  <c r="AE19" i="34"/>
  <c r="BE60" i="34"/>
  <c r="BC60" i="34"/>
  <c r="AM39" i="34"/>
  <c r="G39" i="34" s="1"/>
  <c r="BT35" i="34"/>
  <c r="M35" i="34" s="1"/>
  <c r="BI59" i="34"/>
  <c r="BL59" i="34"/>
  <c r="BK59" i="34" s="1"/>
  <c r="BG59" i="34"/>
  <c r="BH59" i="34"/>
  <c r="AY51" i="34"/>
  <c r="AQ51" i="34"/>
  <c r="AP51" i="34"/>
  <c r="AO51" i="34"/>
  <c r="AV51" i="34"/>
  <c r="AZ46" i="34"/>
  <c r="H46" i="34" s="1"/>
  <c r="CC22" i="34"/>
  <c r="P22" i="34" s="1"/>
  <c r="BT40" i="34"/>
  <c r="M40" i="34" s="1"/>
  <c r="BT27" i="34"/>
  <c r="M27" i="34" s="1"/>
  <c r="AM40" i="34"/>
  <c r="G40" i="34" s="1"/>
  <c r="BM34" i="34"/>
  <c r="K34" i="34" s="1"/>
  <c r="CG55" i="34"/>
  <c r="BG60" i="34"/>
  <c r="BI60" i="34"/>
  <c r="BH60" i="34"/>
  <c r="BL60" i="34"/>
  <c r="BK60" i="34" s="1"/>
  <c r="AB11" i="34"/>
  <c r="AE11" i="34"/>
  <c r="AC11" i="34"/>
  <c r="BL35" i="34"/>
  <c r="BK35" i="34" s="1"/>
  <c r="BH35" i="34"/>
  <c r="BI35" i="34"/>
  <c r="AI66" i="34"/>
  <c r="F66" i="34" s="1"/>
  <c r="CG37" i="34"/>
  <c r="CH37" i="34"/>
  <c r="CI37" i="34"/>
  <c r="CK37" i="34"/>
  <c r="BW65" i="34"/>
  <c r="N65" i="34" s="1"/>
  <c r="AM43" i="34"/>
  <c r="G43" i="34" s="1"/>
  <c r="BZ61" i="34"/>
  <c r="O61" i="34" s="1"/>
  <c r="CF35" i="34"/>
  <c r="Q35" i="34" s="1"/>
  <c r="CK66" i="34"/>
  <c r="CG66" i="34"/>
  <c r="BT59" i="34"/>
  <c r="M59" i="34" s="1"/>
  <c r="AI55" i="34"/>
  <c r="F55" i="34" s="1"/>
  <c r="BE26" i="34"/>
  <c r="BC26" i="34"/>
  <c r="BT28" i="34"/>
  <c r="M28" i="34" s="1"/>
  <c r="AI26" i="34"/>
  <c r="F26" i="34" s="1"/>
  <c r="AW25" i="34"/>
  <c r="AU25" i="34"/>
  <c r="AY25" i="34"/>
  <c r="AQ25" i="34"/>
  <c r="AR25" i="34"/>
  <c r="AT25" i="34"/>
  <c r="AS25" i="34"/>
  <c r="AV25" i="34"/>
  <c r="AP25" i="34"/>
  <c r="AO25" i="34"/>
  <c r="AN25" i="34"/>
  <c r="AW13" i="34"/>
  <c r="AT13" i="34"/>
  <c r="AU13" i="34"/>
  <c r="AR13" i="34"/>
  <c r="AO13" i="34"/>
  <c r="AQ13" i="34"/>
  <c r="AP13" i="34"/>
  <c r="AN13" i="34"/>
  <c r="AV13" i="34"/>
  <c r="AY13" i="34"/>
  <c r="AS13" i="34"/>
  <c r="AC53" i="34"/>
  <c r="AE53" i="34"/>
  <c r="AB53" i="34"/>
  <c r="CF14" i="34"/>
  <c r="Q14" i="34" s="1"/>
  <c r="CI54" i="34"/>
  <c r="CH54" i="34"/>
  <c r="CG54" i="34"/>
  <c r="CK54" i="34"/>
  <c r="AU56" i="34"/>
  <c r="AS56" i="34"/>
  <c r="AT56" i="34"/>
  <c r="AN56" i="34"/>
  <c r="AY56" i="34"/>
  <c r="AW56" i="34"/>
  <c r="AV56" i="34"/>
  <c r="AR56" i="34"/>
  <c r="AP56" i="34"/>
  <c r="AQ56" i="34"/>
  <c r="AO56" i="34"/>
  <c r="BN62" i="34"/>
  <c r="BP62" i="34"/>
  <c r="CH57" i="34"/>
  <c r="CI57" i="34"/>
  <c r="CG57" i="34"/>
  <c r="CK57" i="34"/>
  <c r="BP42" i="34"/>
  <c r="BN42" i="34"/>
  <c r="AE61" i="34"/>
  <c r="AB61" i="34"/>
  <c r="AC61" i="34"/>
  <c r="BN10" i="34"/>
  <c r="BP10" i="34"/>
  <c r="AE42" i="34"/>
  <c r="AC42" i="34"/>
  <c r="AB42" i="34"/>
  <c r="BH50" i="34"/>
  <c r="BI50" i="34"/>
  <c r="BG50" i="34"/>
  <c r="BL50" i="34"/>
  <c r="BK50" i="34" s="1"/>
  <c r="BP26" i="34"/>
  <c r="BN26" i="34"/>
  <c r="CI40" i="34"/>
  <c r="CG40" i="34"/>
  <c r="CH40" i="34"/>
  <c r="CK40" i="34"/>
  <c r="BM41" i="34"/>
  <c r="K41" i="34" s="1"/>
  <c r="AC28" i="34"/>
  <c r="AB28" i="34"/>
  <c r="AE28" i="34"/>
  <c r="AR26" i="34"/>
  <c r="AS26" i="34"/>
  <c r="AU26" i="34"/>
  <c r="AP26" i="34"/>
  <c r="AQ26" i="34"/>
  <c r="AN26" i="34"/>
  <c r="AT26" i="34"/>
  <c r="AW26" i="34"/>
  <c r="AO26" i="34"/>
  <c r="AV26" i="34"/>
  <c r="AY26" i="34"/>
  <c r="BZ23" i="34"/>
  <c r="O23" i="34" s="1"/>
  <c r="CL15" i="34"/>
  <c r="R15" i="34" s="1"/>
  <c r="BZ64" i="34"/>
  <c r="O64" i="34" s="1"/>
  <c r="BH54" i="34"/>
  <c r="BG54" i="34"/>
  <c r="BI54" i="34"/>
  <c r="BL54" i="34"/>
  <c r="BK54" i="34" s="1"/>
  <c r="BT26" i="34"/>
  <c r="M26" i="34" s="1"/>
  <c r="BF42" i="34"/>
  <c r="J42" i="34" s="1"/>
  <c r="CH42" i="34"/>
  <c r="CI42" i="34"/>
  <c r="CK42" i="34"/>
  <c r="CG42" i="34"/>
  <c r="AE14" i="34"/>
  <c r="AB14" i="34"/>
  <c r="AC14" i="34"/>
  <c r="BE25" i="34"/>
  <c r="BC25" i="34"/>
  <c r="BC64" i="34"/>
  <c r="BE64" i="34"/>
  <c r="AC17" i="34"/>
  <c r="AB17" i="34"/>
  <c r="AE17" i="34"/>
  <c r="AS40" i="34"/>
  <c r="AQ40" i="34"/>
  <c r="AO40" i="34"/>
  <c r="AN40" i="34"/>
  <c r="AR40" i="34"/>
  <c r="AW40" i="34"/>
  <c r="AP40" i="34"/>
  <c r="AT40" i="34"/>
  <c r="AY40" i="34"/>
  <c r="AV40" i="34"/>
  <c r="AU40" i="34"/>
  <c r="CI56" i="34"/>
  <c r="CK56" i="34"/>
  <c r="CG56" i="34"/>
  <c r="CH56" i="34"/>
  <c r="BT29" i="34"/>
  <c r="M29" i="34" s="1"/>
  <c r="BT50" i="34"/>
  <c r="M50" i="34" s="1"/>
  <c r="AE62" i="34"/>
  <c r="AC62" i="34"/>
  <c r="AB62" i="34"/>
  <c r="AC57" i="34"/>
  <c r="AB57" i="34"/>
  <c r="AE57" i="34"/>
  <c r="AN57" i="34"/>
  <c r="AR57" i="34"/>
  <c r="AQ57" i="34"/>
  <c r="AY57" i="34"/>
  <c r="AO57" i="34"/>
  <c r="AU57" i="34"/>
  <c r="AV57" i="34"/>
  <c r="AT57" i="34"/>
  <c r="AW57" i="34"/>
  <c r="AS57" i="34"/>
  <c r="AP57" i="34"/>
  <c r="BP53" i="34"/>
  <c r="BN53" i="34"/>
  <c r="BG13" i="34"/>
  <c r="BI13" i="34"/>
  <c r="BL13" i="34"/>
  <c r="BK13" i="34" s="1"/>
  <c r="BH13" i="34"/>
  <c r="BE22" i="34"/>
  <c r="BC22" i="34"/>
  <c r="BT57" i="34"/>
  <c r="M57" i="34" s="1"/>
  <c r="AZ9" i="34"/>
  <c r="H9" i="34" s="1"/>
  <c r="CK61" i="34"/>
  <c r="CI61" i="34"/>
  <c r="CH61" i="34"/>
  <c r="CG61" i="34"/>
  <c r="CI10" i="34"/>
  <c r="CH10" i="34"/>
  <c r="CG10" i="34"/>
  <c r="CK10" i="34"/>
  <c r="AZ63" i="34"/>
  <c r="H63" i="34" s="1"/>
  <c r="CK62" i="34"/>
  <c r="CG62" i="34"/>
  <c r="CH62" i="34"/>
  <c r="CI62" i="34"/>
  <c r="CH29" i="34"/>
  <c r="CI29" i="34"/>
  <c r="CK29" i="34"/>
  <c r="CG29" i="34"/>
  <c r="AF7" i="34"/>
  <c r="E7" i="34" s="1"/>
  <c r="BM31" i="34"/>
  <c r="K31" i="34" s="1"/>
  <c r="BL61" i="34"/>
  <c r="BK61" i="34" s="1"/>
  <c r="BH61" i="34"/>
  <c r="BI61" i="34"/>
  <c r="BG61" i="34"/>
  <c r="BP28" i="34"/>
  <c r="BN28" i="34"/>
  <c r="AE26" i="34"/>
  <c r="AC26" i="34"/>
  <c r="AB26" i="34"/>
  <c r="AZ7" i="34"/>
  <c r="H7" i="34" s="1"/>
  <c r="AR43" i="34"/>
  <c r="AY43" i="34"/>
  <c r="AS43" i="34"/>
  <c r="AQ43" i="34"/>
  <c r="AU43" i="34"/>
  <c r="AV43" i="34"/>
  <c r="AT43" i="34"/>
  <c r="AP43" i="34"/>
  <c r="AN43" i="34"/>
  <c r="AW43" i="34"/>
  <c r="AO43" i="34"/>
  <c r="BL26" i="34"/>
  <c r="BK26" i="34" s="1"/>
  <c r="BI26" i="34"/>
  <c r="BH26" i="34"/>
  <c r="BG26" i="34"/>
  <c r="AB25" i="34"/>
  <c r="AE25" i="34"/>
  <c r="AC25" i="34"/>
  <c r="BN14" i="34"/>
  <c r="BP14" i="34"/>
  <c r="BC53" i="34"/>
  <c r="BE53" i="34"/>
  <c r="AB22" i="34"/>
  <c r="AC22" i="34"/>
  <c r="AE22" i="34"/>
  <c r="AM16" i="34"/>
  <c r="G16" i="34" s="1"/>
  <c r="BE62" i="34"/>
  <c r="BC62" i="34"/>
  <c r="AI61" i="34"/>
  <c r="F61" i="34" s="1"/>
  <c r="CG23" i="34"/>
  <c r="CK23" i="34"/>
  <c r="CI23" i="34"/>
  <c r="CH23" i="34"/>
  <c r="BE51" i="34"/>
  <c r="BC51" i="34"/>
  <c r="BQ46" i="34"/>
  <c r="L46" i="34" s="1"/>
  <c r="BM45" i="34"/>
  <c r="K45" i="34" s="1"/>
  <c r="AW50" i="34"/>
  <c r="AR50" i="34"/>
  <c r="AU50" i="34"/>
  <c r="AQ50" i="34"/>
  <c r="AY50" i="34"/>
  <c r="AO50" i="34"/>
  <c r="AS50" i="34"/>
  <c r="AP50" i="34"/>
  <c r="AN50" i="34"/>
  <c r="AV50" i="34"/>
  <c r="AT50" i="34"/>
  <c r="BN17" i="34"/>
  <c r="BP17" i="34"/>
  <c r="CL63" i="34"/>
  <c r="R63" i="34" s="1"/>
  <c r="AC27" i="34"/>
  <c r="AB27" i="34"/>
  <c r="AE27" i="34"/>
  <c r="AQ62" i="34"/>
  <c r="AO62" i="34"/>
  <c r="AN62" i="34"/>
  <c r="AV62" i="34"/>
  <c r="AU62" i="34"/>
  <c r="AT62" i="34"/>
  <c r="AY62" i="34"/>
  <c r="AW62" i="34"/>
  <c r="AS62" i="34"/>
  <c r="AR62" i="34"/>
  <c r="AP62" i="34"/>
  <c r="BP50" i="34"/>
  <c r="BN50" i="34"/>
  <c r="BC57" i="34"/>
  <c r="BE57" i="34"/>
  <c r="AF41" i="34"/>
  <c r="E41" i="34" s="1"/>
  <c r="BI64" i="34"/>
  <c r="BL64" i="34"/>
  <c r="BK64" i="34" s="1"/>
  <c r="BH64" i="34"/>
  <c r="BG64" i="34"/>
  <c r="AZ18" i="34"/>
  <c r="H18" i="34" s="1"/>
  <c r="AZ8" i="34"/>
  <c r="H8" i="34" s="1"/>
  <c r="CK14" i="34"/>
  <c r="CI14" i="34"/>
  <c r="CG14" i="34"/>
  <c r="CH14" i="34"/>
  <c r="BH43" i="34"/>
  <c r="BG43" i="34"/>
  <c r="BL43" i="34"/>
  <c r="BK43" i="34" s="1"/>
  <c r="BI43" i="34"/>
  <c r="AZ15" i="34"/>
  <c r="H15" i="34" s="1"/>
  <c r="AZ31" i="34"/>
  <c r="H31" i="34" s="1"/>
  <c r="BC10" i="34"/>
  <c r="BE10" i="34"/>
  <c r="AI14" i="34"/>
  <c r="F14" i="34" s="1"/>
  <c r="CL7" i="34"/>
  <c r="R7" i="34" s="1"/>
  <c r="BI27" i="34"/>
  <c r="BH27" i="34"/>
  <c r="BL27" i="34"/>
  <c r="BK27" i="34" s="1"/>
  <c r="BG27" i="34"/>
  <c r="BZ53" i="34"/>
  <c r="O53" i="34" s="1"/>
  <c r="BM38" i="34"/>
  <c r="K38" i="34" s="1"/>
  <c r="AE56" i="34"/>
  <c r="AC56" i="34"/>
  <c r="AB56" i="34"/>
  <c r="BM8" i="34"/>
  <c r="K8" i="34" s="1"/>
  <c r="BH24" i="34"/>
  <c r="BL24" i="34"/>
  <c r="BK24" i="34" s="1"/>
  <c r="BI24" i="34"/>
  <c r="BG24" i="34"/>
  <c r="AF21" i="34"/>
  <c r="E21" i="34" s="1"/>
  <c r="AZ41" i="34"/>
  <c r="H41" i="34" s="1"/>
  <c r="BL47" i="34"/>
  <c r="BK47" i="34" s="1"/>
  <c r="BI47" i="34"/>
  <c r="BH47" i="34"/>
  <c r="BG47" i="34"/>
  <c r="BW28" i="34"/>
  <c r="N28" i="34" s="1"/>
  <c r="AS29" i="34"/>
  <c r="AQ29" i="34"/>
  <c r="AP29" i="34"/>
  <c r="AR29" i="34"/>
  <c r="AN29" i="34"/>
  <c r="AV29" i="34"/>
  <c r="AW29" i="34"/>
  <c r="AT29" i="34"/>
  <c r="AY29" i="34"/>
  <c r="AU29" i="34"/>
  <c r="AO29" i="34"/>
  <c r="CK26" i="34"/>
  <c r="CI26" i="34"/>
  <c r="CH26" i="34"/>
  <c r="CG26" i="34"/>
  <c r="BZ43" i="34"/>
  <c r="O43" i="34" s="1"/>
  <c r="CL46" i="34"/>
  <c r="R46" i="34" s="1"/>
  <c r="BP16" i="34"/>
  <c r="BN16" i="34"/>
  <c r="AE29" i="34"/>
  <c r="AC29" i="34"/>
  <c r="AB29" i="34"/>
  <c r="CL12" i="34"/>
  <c r="R12" i="34" s="1"/>
  <c r="BM7" i="34"/>
  <c r="K7" i="34" s="1"/>
  <c r="BW51" i="34"/>
  <c r="N51" i="34" s="1"/>
  <c r="BP29" i="34"/>
  <c r="BN29" i="34"/>
  <c r="BM49" i="34"/>
  <c r="K49" i="34" s="1"/>
  <c r="BP27" i="34"/>
  <c r="BN27" i="34"/>
  <c r="BW40" i="34"/>
  <c r="N40" i="34" s="1"/>
  <c r="AM54" i="34"/>
  <c r="G54" i="34" s="1"/>
  <c r="AU47" i="34"/>
  <c r="AR47" i="34"/>
  <c r="AP47" i="34"/>
  <c r="AN47" i="34"/>
  <c r="AT47" i="34"/>
  <c r="AO47" i="34"/>
  <c r="AQ47" i="34"/>
  <c r="AV47" i="34"/>
  <c r="AS47" i="34"/>
  <c r="AY47" i="34"/>
  <c r="AW47" i="34"/>
  <c r="CK44" i="34"/>
  <c r="CG44" i="34"/>
  <c r="CI44" i="34"/>
  <c r="CH44" i="34"/>
  <c r="BZ14" i="34"/>
  <c r="O14" i="34" s="1"/>
  <c r="AC20" i="34"/>
  <c r="AB20" i="34"/>
  <c r="AE20" i="34"/>
  <c r="BF49" i="34"/>
  <c r="J49" i="34" s="1"/>
  <c r="AZ27" i="34"/>
  <c r="H27" i="34" s="1"/>
  <c r="BT42" i="34"/>
  <c r="M42" i="34" s="1"/>
  <c r="CL31" i="34"/>
  <c r="R31" i="34" s="1"/>
  <c r="CG50" i="34"/>
  <c r="CK50" i="34"/>
  <c r="CI50" i="34"/>
  <c r="CH50" i="34"/>
  <c r="BI40" i="34"/>
  <c r="BG40" i="34"/>
  <c r="BL40" i="34"/>
  <c r="BK40" i="34" s="1"/>
  <c r="BH40" i="34"/>
  <c r="AS28" i="34"/>
  <c r="AT28" i="34"/>
  <c r="AR28" i="34"/>
  <c r="AP28" i="34"/>
  <c r="AQ28" i="34"/>
  <c r="AV28" i="34"/>
  <c r="AU28" i="34"/>
  <c r="AY28" i="34"/>
  <c r="AN28" i="34"/>
  <c r="AO28" i="34"/>
  <c r="AW28" i="34"/>
  <c r="BI20" i="34"/>
  <c r="BH20" i="34"/>
  <c r="BG20" i="34"/>
  <c r="BL20" i="34"/>
  <c r="BK20" i="34" s="1"/>
  <c r="BT54" i="34"/>
  <c r="M54" i="34" s="1"/>
  <c r="AZ52" i="34"/>
  <c r="H52" i="34" s="1"/>
  <c r="BT61" i="34"/>
  <c r="M61" i="34" s="1"/>
  <c r="AZ58" i="34"/>
  <c r="H58" i="34" s="1"/>
  <c r="BP57" i="34"/>
  <c r="BN57" i="34"/>
  <c r="AZ33" i="34"/>
  <c r="H33" i="34" s="1"/>
  <c r="CI17" i="34"/>
  <c r="CH17" i="34"/>
  <c r="CG17" i="34"/>
  <c r="CK17" i="34"/>
  <c r="CF47" i="34"/>
  <c r="Q47" i="34" s="1"/>
  <c r="BE11" i="34"/>
  <c r="BC11" i="34"/>
  <c r="BE29" i="34"/>
  <c r="BC29" i="34"/>
  <c r="AI27" i="34"/>
  <c r="F27" i="34" s="1"/>
  <c r="AZ12" i="34"/>
  <c r="H12" i="34" s="1"/>
  <c r="BN11" i="34"/>
  <c r="BP11" i="34"/>
  <c r="CL49" i="34"/>
  <c r="R49" i="34" s="1"/>
  <c r="AB48" i="34"/>
  <c r="AC48" i="34"/>
  <c r="AE48" i="34"/>
  <c r="AI40" i="34"/>
  <c r="F40" i="34" s="1"/>
  <c r="BE56" i="34"/>
  <c r="BC56" i="34"/>
  <c r="AE47" i="34"/>
  <c r="AC47" i="34"/>
  <c r="AB47" i="34"/>
  <c r="CK43" i="34"/>
  <c r="CI43" i="34"/>
  <c r="CH43" i="34"/>
  <c r="CG43" i="34"/>
  <c r="AE24" i="34"/>
  <c r="AB24" i="34"/>
  <c r="AC24" i="34"/>
  <c r="BZ22" i="34"/>
  <c r="O22" i="34" s="1"/>
  <c r="BE20" i="34"/>
  <c r="BC20" i="34"/>
  <c r="AI57" i="34"/>
  <c r="F57" i="34" s="1"/>
  <c r="BZ42" i="34"/>
  <c r="O42" i="34" s="1"/>
  <c r="BN61" i="34"/>
  <c r="BP61" i="34"/>
  <c r="BL57" i="34"/>
  <c r="BK57" i="34" s="1"/>
  <c r="BG57" i="34"/>
  <c r="BI57" i="34"/>
  <c r="BH57" i="34"/>
  <c r="BP22" i="34"/>
  <c r="BN22" i="34"/>
  <c r="AM56" i="34"/>
  <c r="G56" i="34" s="1"/>
  <c r="CI25" i="34"/>
  <c r="CH25" i="34"/>
  <c r="CG25" i="34"/>
  <c r="CK25" i="34"/>
  <c r="BH10" i="34"/>
  <c r="BG10" i="34"/>
  <c r="BL10" i="34"/>
  <c r="BK10" i="34" s="1"/>
  <c r="BI10" i="34"/>
  <c r="BP20" i="34"/>
  <c r="BN20" i="34"/>
  <c r="CF17" i="34"/>
  <c r="Q17" i="34" s="1"/>
  <c r="BP56" i="34"/>
  <c r="BN56" i="34"/>
  <c r="BG53" i="34"/>
  <c r="BH53" i="34"/>
  <c r="BI53" i="34"/>
  <c r="BL53" i="34"/>
  <c r="BK53" i="34" s="1"/>
  <c r="CL21" i="34"/>
  <c r="R21" i="34" s="1"/>
  <c r="CK11" i="34"/>
  <c r="CI11" i="34"/>
  <c r="CH11" i="34"/>
  <c r="CG11" i="34"/>
  <c r="BP25" i="34"/>
  <c r="BN25" i="34"/>
  <c r="BQ33" i="34"/>
  <c r="L33" i="34" s="1"/>
  <c r="AF45" i="34"/>
  <c r="E45" i="34" s="1"/>
  <c r="AM26" i="34"/>
  <c r="G26" i="34" s="1"/>
  <c r="AZ36" i="34"/>
  <c r="H36" i="34" s="1"/>
  <c r="AE43" i="34"/>
  <c r="AC43" i="34"/>
  <c r="AB43" i="34"/>
  <c r="AC54" i="34"/>
  <c r="AB54" i="34"/>
  <c r="AE54" i="34"/>
  <c r="BG56" i="34"/>
  <c r="BH56" i="34"/>
  <c r="BL56" i="34"/>
  <c r="BK56" i="34" s="1"/>
  <c r="BI56" i="34"/>
  <c r="BE24" i="34"/>
  <c r="BC24" i="34"/>
  <c r="BZ20" i="34"/>
  <c r="O20" i="34" s="1"/>
  <c r="BF52" i="34"/>
  <c r="J52" i="34" s="1"/>
  <c r="AQ61" i="34"/>
  <c r="AU61" i="34"/>
  <c r="AP61" i="34"/>
  <c r="AY61" i="34"/>
  <c r="AT61" i="34"/>
  <c r="AO61" i="34"/>
  <c r="AV61" i="34"/>
  <c r="AN61" i="34"/>
  <c r="AW61" i="34"/>
  <c r="AR61" i="34"/>
  <c r="AS61" i="34"/>
  <c r="AC64" i="34"/>
  <c r="AE64" i="34"/>
  <c r="AB64" i="34"/>
  <c r="AC50" i="34"/>
  <c r="AB50" i="34"/>
  <c r="AE50" i="34"/>
  <c r="CK16" i="34"/>
  <c r="CG16" i="34"/>
  <c r="CI16" i="34"/>
  <c r="CH16" i="34"/>
  <c r="BP54" i="34"/>
  <c r="BN54" i="34"/>
  <c r="BE39" i="34"/>
  <c r="BC39" i="34"/>
  <c r="AN17" i="34"/>
  <c r="AP17" i="34"/>
  <c r="AO17" i="34"/>
  <c r="AV17" i="34"/>
  <c r="AS17" i="34"/>
  <c r="AY17" i="34"/>
  <c r="AR17" i="34"/>
  <c r="AU17" i="34"/>
  <c r="AT17" i="34"/>
  <c r="AW17" i="34"/>
  <c r="AQ17" i="34"/>
  <c r="CL38" i="34"/>
  <c r="R38" i="34" s="1"/>
  <c r="BG14" i="34"/>
  <c r="BH14" i="34"/>
  <c r="BL14" i="34"/>
  <c r="BK14" i="34" s="1"/>
  <c r="BI14" i="34"/>
  <c r="CI39" i="34"/>
  <c r="CK39" i="34"/>
  <c r="CH39" i="34"/>
  <c r="CG39" i="34"/>
  <c r="CH20" i="34"/>
  <c r="CG20" i="34"/>
  <c r="CI20" i="34"/>
  <c r="CK20" i="34"/>
  <c r="BE14" i="34"/>
  <c r="BC14" i="34"/>
  <c r="BM48" i="34"/>
  <c r="K48" i="34" s="1"/>
  <c r="BE50" i="34"/>
  <c r="BC50" i="34"/>
  <c r="AI51" i="34"/>
  <c r="F51" i="34" s="1"/>
  <c r="AI50" i="34"/>
  <c r="F50" i="34" s="1"/>
  <c r="AI20" i="34"/>
  <c r="F20" i="34" s="1"/>
  <c r="CI53" i="34"/>
  <c r="CK53" i="34"/>
  <c r="CG53" i="34"/>
  <c r="CH53" i="34"/>
  <c r="BW47" i="34"/>
  <c r="N47" i="34" s="1"/>
  <c r="AS54" i="34"/>
  <c r="AO54" i="34"/>
  <c r="AY54" i="34"/>
  <c r="AW54" i="34"/>
  <c r="AN54" i="34"/>
  <c r="AR54" i="34"/>
  <c r="AQ54" i="34"/>
  <c r="AV54" i="34"/>
  <c r="AT54" i="34"/>
  <c r="AP54" i="34"/>
  <c r="AU54" i="34"/>
  <c r="BP24" i="34"/>
  <c r="BN24" i="34"/>
  <c r="BP39" i="34"/>
  <c r="BN39" i="34"/>
  <c r="BH62" i="34"/>
  <c r="BG62" i="34"/>
  <c r="BI62" i="34"/>
  <c r="BL62" i="34"/>
  <c r="BK62" i="34" s="1"/>
  <c r="AO20" i="34"/>
  <c r="AN20" i="34"/>
  <c r="AQ20" i="34"/>
  <c r="AT20" i="34"/>
  <c r="AR20" i="34"/>
  <c r="AW20" i="34"/>
  <c r="AU20" i="34"/>
  <c r="AS20" i="34"/>
  <c r="AV20" i="34"/>
  <c r="AY20" i="34"/>
  <c r="AP20" i="34"/>
  <c r="CC57" i="34"/>
  <c r="P57" i="34" s="1"/>
  <c r="BE61" i="34"/>
  <c r="BC61" i="34"/>
  <c r="AZ53" i="34"/>
  <c r="H53" i="34" s="1"/>
  <c r="BH42" i="34"/>
  <c r="BG42" i="34"/>
  <c r="BI42" i="34"/>
  <c r="BL42" i="34"/>
  <c r="BK42" i="34" s="1"/>
  <c r="BH19" i="33" a="1"/>
  <c r="BH19" i="33" s="1"/>
  <c r="AG19" i="33" s="1"/>
  <c r="DE22" i="33"/>
  <c r="AR22" i="33" s="1"/>
  <c r="CV20" i="33"/>
  <c r="AO20" i="33" s="1"/>
  <c r="CS18" i="33"/>
  <c r="AN18" i="33" s="1"/>
  <c r="DH22" i="33"/>
  <c r="AS22" i="33" s="1"/>
  <c r="DB20" i="33"/>
  <c r="AQ20" i="33" s="1"/>
  <c r="BO21" i="33"/>
  <c r="AI21" i="33" s="1"/>
  <c r="CY22" i="33"/>
  <c r="AP22" i="33" s="1"/>
  <c r="CY18" i="33"/>
  <c r="AP18" i="33" s="1"/>
  <c r="CY20" i="33"/>
  <c r="AP20" i="33" s="1"/>
  <c r="DH17" i="33"/>
  <c r="AS17" i="33" s="1"/>
  <c r="CK20" i="33" a="1"/>
  <c r="CK20" i="33" s="1"/>
  <c r="CP20" i="33" a="1"/>
  <c r="CP20" i="33" s="1"/>
  <c r="CS20" i="33" s="1"/>
  <c r="AN20" i="33" s="1"/>
  <c r="CI20" i="33" a="1"/>
  <c r="CI20" i="33" s="1"/>
  <c r="BK17" i="33"/>
  <c r="AH17" i="33" s="1"/>
  <c r="CV22" i="33"/>
  <c r="AO22" i="33" s="1"/>
  <c r="CJ20" i="33" a="1"/>
  <c r="CJ20" i="33" s="1"/>
  <c r="DB17" i="33"/>
  <c r="AQ17" i="33" s="1"/>
  <c r="CV17" i="33"/>
  <c r="AO17" i="33" s="1"/>
  <c r="CY21" i="33"/>
  <c r="AP21" i="33" s="1"/>
  <c r="DN16" i="33"/>
  <c r="AT16" i="33" s="1"/>
  <c r="CS16" i="33"/>
  <c r="AN16" i="33" s="1"/>
  <c r="BH16" i="33" a="1"/>
  <c r="BH16" i="33" s="1"/>
  <c r="AG16" i="33" s="1"/>
  <c r="BO18" i="33"/>
  <c r="AI18" i="33" s="1"/>
  <c r="DH20" i="33"/>
  <c r="AS20" i="33" s="1"/>
  <c r="DN19" i="33"/>
  <c r="AT19" i="33" s="1"/>
  <c r="BO22" i="33"/>
  <c r="AI22" i="33" s="1"/>
  <c r="CH16" i="33"/>
  <c r="AL16" i="33" s="1"/>
  <c r="CY17" i="33"/>
  <c r="AP17" i="33" s="1"/>
  <c r="CV18" i="33"/>
  <c r="AO18" i="33" s="1"/>
  <c r="BK22" i="33"/>
  <c r="AH22" i="33" s="1"/>
  <c r="BK20" i="33"/>
  <c r="AH20" i="33" s="1"/>
  <c r="DH18" i="33"/>
  <c r="AS18" i="33" s="1"/>
  <c r="DE21" i="33"/>
  <c r="AR21" i="33" s="1"/>
  <c r="DB18" i="33"/>
  <c r="AQ18" i="33" s="1"/>
  <c r="BE17" i="33" a="1"/>
  <c r="BE17" i="33" s="1"/>
  <c r="BD17" i="33" a="1"/>
  <c r="BD17" i="33" s="1"/>
  <c r="BG17" i="33" a="1"/>
  <c r="BG17" i="33" s="1"/>
  <c r="BS20" i="33" a="1"/>
  <c r="BS20" i="33" s="1"/>
  <c r="BT20" i="33" a="1"/>
  <c r="BT20" i="33" s="1"/>
  <c r="BQ20" i="33" a="1"/>
  <c r="BQ20" i="33" s="1"/>
  <c r="BW20" i="33" a="1"/>
  <c r="BW20" i="33" s="1"/>
  <c r="BP20" i="33" a="1"/>
  <c r="BP20" i="33" s="1"/>
  <c r="CA20" i="33" a="1"/>
  <c r="CA20" i="33" s="1"/>
  <c r="BU20" i="33" a="1"/>
  <c r="BU20" i="33" s="1"/>
  <c r="BR20" i="33" a="1"/>
  <c r="BR20" i="33" s="1"/>
  <c r="BY20" i="33" a="1"/>
  <c r="BY20" i="33" s="1"/>
  <c r="BV20" i="33" a="1"/>
  <c r="BV20" i="33" s="1"/>
  <c r="BX20" i="33" a="1"/>
  <c r="BX20" i="33" s="1"/>
  <c r="CG17" i="33" a="1"/>
  <c r="CG17" i="33" s="1"/>
  <c r="CE17" i="33" a="1"/>
  <c r="CE17" i="33" s="1"/>
  <c r="CO19" i="33" a="1"/>
  <c r="CO19" i="33" s="1"/>
  <c r="AM19" i="33" s="1"/>
  <c r="CN18" i="33"/>
  <c r="CM18" i="33" s="1" a="1"/>
  <c r="CM18" i="33" s="1"/>
  <c r="CI18" i="33" a="1"/>
  <c r="CI18" i="33" s="1"/>
  <c r="CJ18" i="33" a="1"/>
  <c r="CJ18" i="33" s="1"/>
  <c r="CK18" i="33" a="1"/>
  <c r="CK18" i="33" s="1"/>
  <c r="CG21" i="33" a="1"/>
  <c r="CG21" i="33" s="1"/>
  <c r="CE21" i="33" a="1"/>
  <c r="CE21" i="33" s="1"/>
  <c r="CR22" i="33" a="1"/>
  <c r="CR22" i="33" s="1"/>
  <c r="CP22" i="33" a="1"/>
  <c r="CP22" i="33" s="1"/>
  <c r="DM17" i="33" a="1"/>
  <c r="DM17" i="33" s="1"/>
  <c r="DI17" i="33" a="1"/>
  <c r="DI17" i="33" s="1"/>
  <c r="DK17" i="33" a="1"/>
  <c r="DK17" i="33" s="1"/>
  <c r="DJ17" i="33" a="1"/>
  <c r="DJ17" i="33" s="1"/>
  <c r="DK22" i="33" a="1"/>
  <c r="DK22" i="33" s="1"/>
  <c r="DI22" i="33" a="1"/>
  <c r="DI22" i="33" s="1"/>
  <c r="DM22" i="33" a="1"/>
  <c r="DM22" i="33" s="1"/>
  <c r="DJ22" i="33" a="1"/>
  <c r="DJ22" i="33" s="1"/>
  <c r="CG18" i="33" a="1"/>
  <c r="CG18" i="33" s="1"/>
  <c r="CE18" i="33" a="1"/>
  <c r="CE18" i="33" s="1"/>
  <c r="CR21" i="33" a="1"/>
  <c r="CR21" i="33" s="1"/>
  <c r="CP21" i="33" a="1"/>
  <c r="CP21" i="33" s="1"/>
  <c r="BU18" i="33" a="1"/>
  <c r="BU18" i="33" s="1"/>
  <c r="BT18" i="33" a="1"/>
  <c r="BT18" i="33" s="1"/>
  <c r="BW18" i="33" a="1"/>
  <c r="BW18" i="33" s="1"/>
  <c r="BV18" i="33" a="1"/>
  <c r="BV18" i="33" s="1"/>
  <c r="BS18" i="33" a="1"/>
  <c r="BS18" i="33" s="1"/>
  <c r="CA18" i="33" a="1"/>
  <c r="CA18" i="33" s="1"/>
  <c r="BR18" i="33" a="1"/>
  <c r="BR18" i="33" s="1"/>
  <c r="BQ18" i="33" a="1"/>
  <c r="BQ18" i="33" s="1"/>
  <c r="BX18" i="33" a="1"/>
  <c r="BX18" i="33" s="1"/>
  <c r="BY18" i="33" a="1"/>
  <c r="BY18" i="33" s="1"/>
  <c r="BP18" i="33" a="1"/>
  <c r="BP18" i="33" s="1"/>
  <c r="BG21" i="33" a="1"/>
  <c r="BG21" i="33" s="1"/>
  <c r="BE21" i="33" a="1"/>
  <c r="BE21" i="33" s="1"/>
  <c r="BD21" i="33" a="1"/>
  <c r="BD21" i="33" s="1"/>
  <c r="BW21" i="33" a="1"/>
  <c r="BW21" i="33" s="1"/>
  <c r="CA21" i="33" a="1"/>
  <c r="CA21" i="33" s="1"/>
  <c r="BQ21" i="33" a="1"/>
  <c r="BQ21" i="33" s="1"/>
  <c r="BP21" i="33" a="1"/>
  <c r="BP21" i="33" s="1"/>
  <c r="BS21" i="33" a="1"/>
  <c r="BS21" i="33" s="1"/>
  <c r="BX21" i="33" a="1"/>
  <c r="BX21" i="33" s="1"/>
  <c r="BT21" i="33" a="1"/>
  <c r="BT21" i="33" s="1"/>
  <c r="BU21" i="33" a="1"/>
  <c r="BU21" i="33" s="1"/>
  <c r="BR21" i="33" a="1"/>
  <c r="BR21" i="33" s="1"/>
  <c r="BV21" i="33" a="1"/>
  <c r="BV21" i="33" s="1"/>
  <c r="BY21" i="33" a="1"/>
  <c r="BY21" i="33" s="1"/>
  <c r="BG18" i="33" a="1"/>
  <c r="BG18" i="33" s="1"/>
  <c r="BE18" i="33" a="1"/>
  <c r="BE18" i="33" s="1"/>
  <c r="BD18" i="33" a="1"/>
  <c r="BD18" i="33" s="1"/>
  <c r="DJ20" i="33" a="1"/>
  <c r="DJ20" i="33" s="1"/>
  <c r="DM20" i="33" a="1"/>
  <c r="DM20" i="33" s="1"/>
  <c r="DI20" i="33" a="1"/>
  <c r="DI20" i="33" s="1"/>
  <c r="DK20" i="33" a="1"/>
  <c r="DK20" i="33" s="1"/>
  <c r="BO17" i="33"/>
  <c r="AI17" i="33" s="1"/>
  <c r="BK18" i="33"/>
  <c r="AH18" i="33" s="1"/>
  <c r="CB19" i="33" a="1"/>
  <c r="CB19" i="33" s="1"/>
  <c r="AJ19" i="33" s="1"/>
  <c r="DM18" i="33" a="1"/>
  <c r="DM18" i="33" s="1"/>
  <c r="DJ18" i="33" a="1"/>
  <c r="DJ18" i="33" s="1"/>
  <c r="DI18" i="33" a="1"/>
  <c r="DI18" i="33" s="1"/>
  <c r="DK18" i="33" a="1"/>
  <c r="DK18" i="33" s="1"/>
  <c r="BD20" i="33" a="1"/>
  <c r="BD20" i="33" s="1"/>
  <c r="BG20" i="33" a="1"/>
  <c r="BG20" i="33" s="1"/>
  <c r="BE20" i="33" a="1"/>
  <c r="BE20" i="33" s="1"/>
  <c r="DE18" i="33"/>
  <c r="AR18" i="33" s="1"/>
  <c r="CN21" i="33"/>
  <c r="CM21" i="33" s="1" a="1"/>
  <c r="CM21" i="33" s="1"/>
  <c r="CJ21" i="33" a="1"/>
  <c r="CJ21" i="33" s="1"/>
  <c r="CI21" i="33" a="1"/>
  <c r="CI21" i="33" s="1"/>
  <c r="CK21" i="33" a="1"/>
  <c r="CK21" i="33" s="1"/>
  <c r="DH21" i="33"/>
  <c r="AS21" i="33" s="1"/>
  <c r="CG20" i="33" a="1"/>
  <c r="CG20" i="33" s="1"/>
  <c r="CE20" i="33" a="1"/>
  <c r="CE20" i="33" s="1"/>
  <c r="CA22" i="33" a="1"/>
  <c r="CA22" i="33" s="1"/>
  <c r="BX22" i="33" a="1"/>
  <c r="BX22" i="33" s="1"/>
  <c r="BS22" i="33" a="1"/>
  <c r="BS22" i="33" s="1"/>
  <c r="BT22" i="33" a="1"/>
  <c r="BT22" i="33" s="1"/>
  <c r="BU22" i="33" a="1"/>
  <c r="BU22" i="33" s="1"/>
  <c r="BW22" i="33" a="1"/>
  <c r="BW22" i="33" s="1"/>
  <c r="BY22" i="33" a="1"/>
  <c r="BY22" i="33" s="1"/>
  <c r="BV22" i="33" a="1"/>
  <c r="BV22" i="33" s="1"/>
  <c r="BR22" i="33" a="1"/>
  <c r="BR22" i="33" s="1"/>
  <c r="BQ22" i="33" a="1"/>
  <c r="BQ22" i="33" s="1"/>
  <c r="BP22" i="33" a="1"/>
  <c r="BP22" i="33" s="1"/>
  <c r="CE22" i="33" a="1"/>
  <c r="CE22" i="33" s="1"/>
  <c r="CG22" i="33" a="1"/>
  <c r="CG22" i="33" s="1"/>
  <c r="O40" i="33"/>
  <c r="O41" i="33" s="1"/>
  <c r="DM21" i="33" a="1"/>
  <c r="DM21" i="33" s="1"/>
  <c r="DI21" i="33" a="1"/>
  <c r="DI21" i="33" s="1"/>
  <c r="DJ21" i="33" a="1"/>
  <c r="DJ21" i="33" s="1"/>
  <c r="DK21" i="33" a="1"/>
  <c r="DK21" i="33" s="1"/>
  <c r="CK17" i="33" a="1"/>
  <c r="CK17" i="33" s="1"/>
  <c r="CJ17" i="33" a="1"/>
  <c r="CJ17" i="33" s="1"/>
  <c r="CI17" i="33" a="1"/>
  <c r="CI17" i="33" s="1"/>
  <c r="CN17" i="33"/>
  <c r="CM17" i="33" s="1" a="1"/>
  <c r="CM17" i="33" s="1"/>
  <c r="BD22" i="33" a="1"/>
  <c r="BD22" i="33" s="1"/>
  <c r="BE22" i="33" a="1"/>
  <c r="BE22" i="33" s="1"/>
  <c r="BG22" i="33" a="1"/>
  <c r="BG22" i="33" s="1"/>
  <c r="BX17" i="33" a="1"/>
  <c r="BX17" i="33" s="1"/>
  <c r="CA17" i="33" a="1"/>
  <c r="CA17" i="33" s="1"/>
  <c r="BR17" i="33" a="1"/>
  <c r="BR17" i="33" s="1"/>
  <c r="BV17" i="33" a="1"/>
  <c r="BV17" i="33" s="1"/>
  <c r="BP17" i="33" a="1"/>
  <c r="BP17" i="33" s="1"/>
  <c r="BY17" i="33" a="1"/>
  <c r="BY17" i="33" s="1"/>
  <c r="BU17" i="33" a="1"/>
  <c r="BU17" i="33" s="1"/>
  <c r="BT17" i="33" a="1"/>
  <c r="BT17" i="33" s="1"/>
  <c r="BW17" i="33" a="1"/>
  <c r="BW17" i="33" s="1"/>
  <c r="BQ17" i="33" a="1"/>
  <c r="BQ17" i="33" s="1"/>
  <c r="BS17" i="33" a="1"/>
  <c r="BS17" i="33" s="1"/>
  <c r="CO16" i="33" a="1"/>
  <c r="CO16" i="33" s="1"/>
  <c r="AM16" i="33" s="1"/>
  <c r="CR17" i="33" a="1"/>
  <c r="CR17" i="33" s="1"/>
  <c r="CP17" i="33" a="1"/>
  <c r="CP17" i="33" s="1"/>
  <c r="CB16" i="33" a="1"/>
  <c r="CB16" i="33" s="1"/>
  <c r="AJ16" i="33" s="1"/>
  <c r="DE20" i="33"/>
  <c r="AR20" i="33" s="1"/>
  <c r="CK22" i="33" a="1"/>
  <c r="CK22" i="33" s="1"/>
  <c r="CN22" i="33"/>
  <c r="CM22" i="33" s="1" a="1"/>
  <c r="CM22" i="33" s="1"/>
  <c r="CJ22" i="33" a="1"/>
  <c r="CJ22" i="33" s="1"/>
  <c r="CI22" i="33" a="1"/>
  <c r="CI22" i="33" s="1"/>
  <c r="CV21" i="33"/>
  <c r="AO21" i="33" s="1"/>
  <c r="DB21" i="33"/>
  <c r="AQ21" i="33" s="1"/>
  <c r="BK21" i="33"/>
  <c r="AH21" i="33" s="1"/>
  <c r="H18" i="32"/>
  <c r="E19" i="32" s="1" a="1"/>
  <c r="E19" i="32" s="1"/>
  <c r="F19" i="32" s="1" a="1"/>
  <c r="F19" i="32" s="1"/>
  <c r="M19" i="32" s="1"/>
  <c r="G19" i="32" s="1"/>
  <c r="O19" i="32" s="1"/>
  <c r="Q19" i="32" s="1"/>
  <c r="G18" i="32"/>
  <c r="O18" i="32" s="1"/>
  <c r="I18" i="32"/>
  <c r="CL30" i="34" l="1"/>
  <c r="R30" i="34" s="1"/>
  <c r="BM11" i="34"/>
  <c r="K11" i="34" s="1"/>
  <c r="AF65" i="34"/>
  <c r="E65" i="34" s="1"/>
  <c r="AF10" i="34"/>
  <c r="E10" i="34" s="1"/>
  <c r="CL47" i="34"/>
  <c r="R47" i="34" s="1"/>
  <c r="BM51" i="34"/>
  <c r="K51" i="34" s="1"/>
  <c r="AF30" i="34"/>
  <c r="E30" i="34" s="1"/>
  <c r="CL13" i="34"/>
  <c r="R13" i="34" s="1"/>
  <c r="AF13" i="34"/>
  <c r="E13" i="34" s="1"/>
  <c r="BM66" i="34"/>
  <c r="K66" i="34" s="1"/>
  <c r="CL59" i="34"/>
  <c r="R59" i="34" s="1"/>
  <c r="CL34" i="34"/>
  <c r="R34" i="34" s="1"/>
  <c r="AZ44" i="34"/>
  <c r="H44" i="34" s="1"/>
  <c r="AF34" i="34"/>
  <c r="E34" i="34" s="1"/>
  <c r="BM17" i="34"/>
  <c r="K17" i="34" s="1"/>
  <c r="CL24" i="34"/>
  <c r="R24" i="34" s="1"/>
  <c r="CL64" i="34"/>
  <c r="R64" i="34" s="1"/>
  <c r="AZ22" i="34"/>
  <c r="H22" i="34" s="1"/>
  <c r="AF23" i="34"/>
  <c r="E23" i="34" s="1"/>
  <c r="AZ39" i="34"/>
  <c r="H39" i="34" s="1"/>
  <c r="CL48" i="34"/>
  <c r="R48" i="34" s="1"/>
  <c r="AF51" i="34"/>
  <c r="E51" i="34" s="1"/>
  <c r="AF40" i="34"/>
  <c r="E40" i="34" s="1"/>
  <c r="CL19" i="34"/>
  <c r="R19" i="34" s="1"/>
  <c r="AZ19" i="34"/>
  <c r="H19" i="34" s="1"/>
  <c r="AR14" i="33"/>
  <c r="D32" i="34"/>
  <c r="BQ48" i="34"/>
  <c r="L48" i="34" s="1"/>
  <c r="AQ14" i="33"/>
  <c r="AZ59" i="34"/>
  <c r="AO14" i="33"/>
  <c r="AF39" i="34"/>
  <c r="E39" i="34" s="1"/>
  <c r="AP14" i="33"/>
  <c r="AS14" i="33"/>
  <c r="AH14" i="33"/>
  <c r="AI14" i="33"/>
  <c r="BM25" i="34"/>
  <c r="K25" i="34" s="1"/>
  <c r="AZ16" i="34"/>
  <c r="H16" i="34" s="1"/>
  <c r="CL60" i="34"/>
  <c r="R60" i="34" s="1"/>
  <c r="AZ64" i="34"/>
  <c r="H64" i="34" s="1"/>
  <c r="D18" i="34"/>
  <c r="BM16" i="34"/>
  <c r="K16" i="34" s="1"/>
  <c r="AZ48" i="34"/>
  <c r="H48" i="34" s="1"/>
  <c r="CL28" i="34"/>
  <c r="R28" i="34" s="1"/>
  <c r="BM65" i="34"/>
  <c r="K65" i="34" s="1"/>
  <c r="CL51" i="34"/>
  <c r="R51" i="34" s="1"/>
  <c r="AZ23" i="34"/>
  <c r="H23" i="34" s="1"/>
  <c r="BM37" i="34"/>
  <c r="K37" i="34" s="1"/>
  <c r="AF19" i="34"/>
  <c r="E19" i="34" s="1"/>
  <c r="BM23" i="34"/>
  <c r="K23" i="34" s="1"/>
  <c r="AZ10" i="34"/>
  <c r="H10" i="34" s="1"/>
  <c r="AZ37" i="34"/>
  <c r="H37" i="34" s="1"/>
  <c r="AZ24" i="34"/>
  <c r="H24" i="34" s="1"/>
  <c r="AF66" i="34"/>
  <c r="E66" i="34" s="1"/>
  <c r="BM39" i="34"/>
  <c r="K39" i="34" s="1"/>
  <c r="BQ20" i="34"/>
  <c r="L20" i="34" s="1"/>
  <c r="BF53" i="34"/>
  <c r="J53" i="34" s="1"/>
  <c r="BQ61" i="34"/>
  <c r="L61" i="34" s="1"/>
  <c r="S9" i="34"/>
  <c r="AZ30" i="34"/>
  <c r="H30" i="34" s="1"/>
  <c r="AZ14" i="34"/>
  <c r="H14" i="34" s="1"/>
  <c r="BQ64" i="34"/>
  <c r="L64" i="34" s="1"/>
  <c r="AZ51" i="34"/>
  <c r="H51" i="34" s="1"/>
  <c r="CL42" i="34"/>
  <c r="R42" i="34" s="1"/>
  <c r="AZ65" i="34"/>
  <c r="H65" i="34" s="1"/>
  <c r="BM28" i="34"/>
  <c r="K28" i="34" s="1"/>
  <c r="BF26" i="34"/>
  <c r="J26" i="34" s="1"/>
  <c r="BQ26" i="34"/>
  <c r="L26" i="34" s="1"/>
  <c r="C9" i="34"/>
  <c r="D9" i="34"/>
  <c r="C32" i="34"/>
  <c r="AZ42" i="34"/>
  <c r="H42" i="34" s="1"/>
  <c r="C63" i="34"/>
  <c r="P6" i="34"/>
  <c r="BQ57" i="34"/>
  <c r="L57" i="34" s="1"/>
  <c r="D58" i="34"/>
  <c r="BM44" i="34"/>
  <c r="K44" i="34" s="1"/>
  <c r="BM22" i="34"/>
  <c r="K22" i="34" s="1"/>
  <c r="N6" i="34"/>
  <c r="CL50" i="34"/>
  <c r="R50" i="34" s="1"/>
  <c r="S32" i="34"/>
  <c r="BM26" i="34"/>
  <c r="K26" i="34" s="1"/>
  <c r="AF26" i="34"/>
  <c r="E26" i="34" s="1"/>
  <c r="BF50" i="34"/>
  <c r="J50" i="34" s="1"/>
  <c r="BQ34" i="34"/>
  <c r="L34" i="34" s="1"/>
  <c r="BF19" i="34"/>
  <c r="J19" i="34" s="1"/>
  <c r="AZ66" i="34"/>
  <c r="H66" i="34" s="1"/>
  <c r="AF16" i="34"/>
  <c r="E16" i="34" s="1"/>
  <c r="AF35" i="34"/>
  <c r="E35" i="34" s="1"/>
  <c r="BF11" i="34"/>
  <c r="J11" i="34" s="1"/>
  <c r="BQ27" i="34"/>
  <c r="L27" i="34" s="1"/>
  <c r="CL66" i="34"/>
  <c r="R66" i="34" s="1"/>
  <c r="AF60" i="34"/>
  <c r="E60" i="34" s="1"/>
  <c r="BF61" i="34"/>
  <c r="J61" i="34" s="1"/>
  <c r="BQ35" i="34"/>
  <c r="L35" i="34" s="1"/>
  <c r="CL55" i="34"/>
  <c r="R55" i="34" s="1"/>
  <c r="CL22" i="34"/>
  <c r="R22" i="34" s="1"/>
  <c r="BQ24" i="34"/>
  <c r="L24" i="34" s="1"/>
  <c r="BQ22" i="34"/>
  <c r="L22" i="34" s="1"/>
  <c r="S8" i="34"/>
  <c r="BF22" i="34"/>
  <c r="J22" i="34" s="1"/>
  <c r="S12" i="34"/>
  <c r="D52" i="34"/>
  <c r="BF62" i="34"/>
  <c r="J62" i="34" s="1"/>
  <c r="BQ28" i="34"/>
  <c r="L28" i="34" s="1"/>
  <c r="AF14" i="34"/>
  <c r="E14" i="34" s="1"/>
  <c r="BM35" i="34"/>
  <c r="K35" i="34" s="1"/>
  <c r="CL14" i="34"/>
  <c r="R14" i="34" s="1"/>
  <c r="AZ34" i="34"/>
  <c r="H34" i="34" s="1"/>
  <c r="M6" i="34"/>
  <c r="F6" i="34"/>
  <c r="BF64" i="34"/>
  <c r="J64" i="34" s="1"/>
  <c r="BM60" i="34"/>
  <c r="K60" i="34" s="1"/>
  <c r="BM59" i="34"/>
  <c r="K59" i="34" s="1"/>
  <c r="CL65" i="34"/>
  <c r="R65" i="34" s="1"/>
  <c r="AZ11" i="34"/>
  <c r="H11" i="34" s="1"/>
  <c r="BM30" i="34"/>
  <c r="K30" i="34" s="1"/>
  <c r="CL25" i="34"/>
  <c r="R25" i="34" s="1"/>
  <c r="BM20" i="34"/>
  <c r="K20" i="34" s="1"/>
  <c r="O6" i="34"/>
  <c r="AF42" i="34"/>
  <c r="E42" i="34" s="1"/>
  <c r="CL54" i="34"/>
  <c r="R54" i="34" s="1"/>
  <c r="BQ59" i="34"/>
  <c r="L59" i="34" s="1"/>
  <c r="CL27" i="34"/>
  <c r="R27" i="34" s="1"/>
  <c r="AZ35" i="34"/>
  <c r="H35" i="34" s="1"/>
  <c r="AF37" i="34"/>
  <c r="E37" i="34" s="1"/>
  <c r="S31" i="34"/>
  <c r="CL53" i="34"/>
  <c r="R53" i="34" s="1"/>
  <c r="S52" i="34"/>
  <c r="BF20" i="34"/>
  <c r="J20" i="34" s="1"/>
  <c r="D15" i="34"/>
  <c r="D63" i="34"/>
  <c r="AF57" i="34"/>
  <c r="E57" i="34" s="1"/>
  <c r="BQ62" i="34"/>
  <c r="L62" i="34" s="1"/>
  <c r="Q6" i="34"/>
  <c r="G6" i="34"/>
  <c r="AF53" i="34"/>
  <c r="E53" i="34" s="1"/>
  <c r="CL37" i="34"/>
  <c r="R37" i="34" s="1"/>
  <c r="BF60" i="34"/>
  <c r="J60" i="34" s="1"/>
  <c r="D33" i="34"/>
  <c r="CL10" i="34"/>
  <c r="R10" i="34" s="1"/>
  <c r="BQ53" i="34"/>
  <c r="L53" i="34" s="1"/>
  <c r="BM55" i="34"/>
  <c r="K55" i="34" s="1"/>
  <c r="AZ17" i="34"/>
  <c r="H17" i="34" s="1"/>
  <c r="S38" i="34"/>
  <c r="AZ40" i="34"/>
  <c r="H40" i="34" s="1"/>
  <c r="BF39" i="34"/>
  <c r="J39" i="34" s="1"/>
  <c r="BQ25" i="34"/>
  <c r="L25" i="34" s="1"/>
  <c r="AZ55" i="34"/>
  <c r="H55" i="34" s="1"/>
  <c r="AZ60" i="34"/>
  <c r="H60" i="34" s="1"/>
  <c r="S18" i="34"/>
  <c r="BM27" i="34"/>
  <c r="K27" i="34" s="1"/>
  <c r="S46" i="34"/>
  <c r="CL29" i="34"/>
  <c r="R29" i="34" s="1"/>
  <c r="D38" i="34"/>
  <c r="BM19" i="34"/>
  <c r="K19" i="34" s="1"/>
  <c r="CL35" i="34"/>
  <c r="R35" i="34" s="1"/>
  <c r="D49" i="34"/>
  <c r="C18" i="34"/>
  <c r="AZ56" i="34"/>
  <c r="H56" i="34" s="1"/>
  <c r="AF11" i="34"/>
  <c r="E11" i="34" s="1"/>
  <c r="BM56" i="34"/>
  <c r="K56" i="34" s="1"/>
  <c r="BM42" i="34"/>
  <c r="K42" i="34" s="1"/>
  <c r="BF14" i="34"/>
  <c r="J14" i="34" s="1"/>
  <c r="AF47" i="34"/>
  <c r="E47" i="34" s="1"/>
  <c r="BQ17" i="34"/>
  <c r="L17" i="34" s="1"/>
  <c r="BF55" i="34"/>
  <c r="J55" i="34" s="1"/>
  <c r="AF59" i="34"/>
  <c r="E59" i="34" s="1"/>
  <c r="BM53" i="34"/>
  <c r="K53" i="34" s="1"/>
  <c r="BF29" i="34"/>
  <c r="J29" i="34" s="1"/>
  <c r="BQ29" i="34"/>
  <c r="L29" i="34" s="1"/>
  <c r="BM64" i="34"/>
  <c r="K64" i="34" s="1"/>
  <c r="D31" i="34"/>
  <c r="BM50" i="34"/>
  <c r="K50" i="34" s="1"/>
  <c r="AZ25" i="34"/>
  <c r="C46" i="34"/>
  <c r="BF24" i="34"/>
  <c r="J24" i="34" s="1"/>
  <c r="S45" i="34"/>
  <c r="C45" i="34"/>
  <c r="D45" i="34"/>
  <c r="BQ56" i="34"/>
  <c r="L56" i="34" s="1"/>
  <c r="BF56" i="34"/>
  <c r="J56" i="34" s="1"/>
  <c r="CL26" i="34"/>
  <c r="R26" i="34" s="1"/>
  <c r="BM47" i="34"/>
  <c r="K47" i="34" s="1"/>
  <c r="AF56" i="34"/>
  <c r="E56" i="34" s="1"/>
  <c r="AZ50" i="34"/>
  <c r="H50" i="34" s="1"/>
  <c r="CL23" i="34"/>
  <c r="R23" i="34" s="1"/>
  <c r="CL61" i="34"/>
  <c r="R61" i="34" s="1"/>
  <c r="CL57" i="34"/>
  <c r="R57" i="34" s="1"/>
  <c r="S49" i="34"/>
  <c r="S7" i="34"/>
  <c r="D7" i="34"/>
  <c r="C7" i="34"/>
  <c r="BQ14" i="34"/>
  <c r="L14" i="34" s="1"/>
  <c r="AZ47" i="34"/>
  <c r="H47" i="34" s="1"/>
  <c r="BM43" i="34"/>
  <c r="K43" i="34" s="1"/>
  <c r="C38" i="34"/>
  <c r="BM14" i="34"/>
  <c r="K14" i="34" s="1"/>
  <c r="CL11" i="34"/>
  <c r="R11" i="34" s="1"/>
  <c r="C52" i="34"/>
  <c r="AF20" i="34"/>
  <c r="E20" i="34" s="1"/>
  <c r="AZ62" i="34"/>
  <c r="H62" i="34" s="1"/>
  <c r="BM54" i="34"/>
  <c r="K54" i="34" s="1"/>
  <c r="AZ13" i="34"/>
  <c r="H13" i="34" s="1"/>
  <c r="AZ20" i="34"/>
  <c r="H20" i="34" s="1"/>
  <c r="AZ54" i="34"/>
  <c r="H54" i="34" s="1"/>
  <c r="BQ54" i="34"/>
  <c r="L54" i="34" s="1"/>
  <c r="AZ61" i="34"/>
  <c r="H61" i="34" s="1"/>
  <c r="AF48" i="34"/>
  <c r="E48" i="34" s="1"/>
  <c r="CL17" i="34"/>
  <c r="R17" i="34" s="1"/>
  <c r="AF25" i="34"/>
  <c r="E25" i="34" s="1"/>
  <c r="AF28" i="34"/>
  <c r="E28" i="34" s="1"/>
  <c r="S21" i="34"/>
  <c r="D21" i="34"/>
  <c r="C21" i="34"/>
  <c r="D41" i="34"/>
  <c r="C41" i="34"/>
  <c r="S41" i="34"/>
  <c r="D12" i="34"/>
  <c r="AF17" i="34"/>
  <c r="E17" i="34" s="1"/>
  <c r="AF24" i="34"/>
  <c r="E24" i="34" s="1"/>
  <c r="BM40" i="34"/>
  <c r="K40" i="34" s="1"/>
  <c r="C12" i="34"/>
  <c r="CL56" i="34"/>
  <c r="R56" i="34" s="1"/>
  <c r="BQ10" i="34"/>
  <c r="L10" i="34" s="1"/>
  <c r="AF54" i="34"/>
  <c r="E54" i="34" s="1"/>
  <c r="BQ11" i="34"/>
  <c r="L11" i="34" s="1"/>
  <c r="BF57" i="34"/>
  <c r="J57" i="34" s="1"/>
  <c r="AF27" i="34"/>
  <c r="E27" i="34" s="1"/>
  <c r="CL62" i="34"/>
  <c r="R62" i="34" s="1"/>
  <c r="S58" i="34"/>
  <c r="CL16" i="34"/>
  <c r="R16" i="34" s="1"/>
  <c r="BM57" i="34"/>
  <c r="K57" i="34" s="1"/>
  <c r="CL43" i="34"/>
  <c r="R43" i="34" s="1"/>
  <c r="AF29" i="34"/>
  <c r="E29" i="34" s="1"/>
  <c r="C33" i="34"/>
  <c r="AZ57" i="34"/>
  <c r="H57" i="34" s="1"/>
  <c r="C58" i="34"/>
  <c r="AF61" i="34"/>
  <c r="E61" i="34" s="1"/>
  <c r="BM62" i="34"/>
  <c r="K62" i="34" s="1"/>
  <c r="CL20" i="34"/>
  <c r="R20" i="34" s="1"/>
  <c r="AF43" i="34"/>
  <c r="E43" i="34" s="1"/>
  <c r="BM10" i="34"/>
  <c r="K10" i="34" s="1"/>
  <c r="CL44" i="34"/>
  <c r="R44" i="34" s="1"/>
  <c r="AZ29" i="34"/>
  <c r="H29" i="34" s="1"/>
  <c r="S63" i="34"/>
  <c r="S15" i="34"/>
  <c r="BQ50" i="34"/>
  <c r="L50" i="34" s="1"/>
  <c r="S33" i="34"/>
  <c r="BF25" i="34"/>
  <c r="J25" i="34" s="1"/>
  <c r="CL40" i="34"/>
  <c r="R40" i="34" s="1"/>
  <c r="BQ39" i="34"/>
  <c r="L39" i="34" s="1"/>
  <c r="AZ28" i="34"/>
  <c r="H28" i="34" s="1"/>
  <c r="BM24" i="34"/>
  <c r="K24" i="34" s="1"/>
  <c r="C15" i="34"/>
  <c r="BF51" i="34"/>
  <c r="J51" i="34" s="1"/>
  <c r="C49" i="34"/>
  <c r="BQ42" i="34"/>
  <c r="L42" i="34" s="1"/>
  <c r="AF50" i="34"/>
  <c r="E50" i="34" s="1"/>
  <c r="BQ16" i="34"/>
  <c r="L16" i="34" s="1"/>
  <c r="AZ43" i="34"/>
  <c r="H43" i="34" s="1"/>
  <c r="BM61" i="34"/>
  <c r="K61" i="34" s="1"/>
  <c r="BM13" i="34"/>
  <c r="K13" i="34" s="1"/>
  <c r="C8" i="34"/>
  <c r="C31" i="34"/>
  <c r="D8" i="34"/>
  <c r="D46" i="34"/>
  <c r="CL39" i="34"/>
  <c r="R39" i="34" s="1"/>
  <c r="C36" i="34"/>
  <c r="S36" i="34"/>
  <c r="D36" i="34"/>
  <c r="AF64" i="34"/>
  <c r="E64" i="34" s="1"/>
  <c r="BF10" i="34"/>
  <c r="J10" i="34" s="1"/>
  <c r="AF22" i="34"/>
  <c r="E22" i="34" s="1"/>
  <c r="AF62" i="34"/>
  <c r="E62" i="34" s="1"/>
  <c r="AZ26" i="34"/>
  <c r="H26" i="34" s="1"/>
  <c r="CO20" i="33" a="1"/>
  <c r="CO20" i="33" s="1"/>
  <c r="AM20" i="33" s="1"/>
  <c r="AU19" i="33"/>
  <c r="H19" i="32"/>
  <c r="E20" i="32" s="1" a="1"/>
  <c r="E20" i="32" s="1"/>
  <c r="F20" i="32" s="1" a="1"/>
  <c r="F20" i="32" s="1"/>
  <c r="M20" i="32" s="1"/>
  <c r="G20" i="32" s="1"/>
  <c r="O20" i="32" s="1"/>
  <c r="BH20" i="33" a="1"/>
  <c r="BH20" i="33" s="1"/>
  <c r="AG20" i="33" s="1"/>
  <c r="P19" i="32"/>
  <c r="CH21" i="33"/>
  <c r="AL21" i="33" s="1"/>
  <c r="AE16" i="33"/>
  <c r="BH22" i="33" a="1"/>
  <c r="BH22" i="33" s="1"/>
  <c r="AG22" i="33" s="1"/>
  <c r="CS17" i="33"/>
  <c r="AN17" i="33" s="1"/>
  <c r="CS21" i="33"/>
  <c r="AN21" i="33" s="1"/>
  <c r="CO17" i="33" a="1"/>
  <c r="CO17" i="33" s="1"/>
  <c r="AM17" i="33" s="1"/>
  <c r="CO18" i="33" a="1"/>
  <c r="CO18" i="33" s="1"/>
  <c r="AM18" i="33" s="1"/>
  <c r="DN21" i="33"/>
  <c r="AT21" i="33" s="1"/>
  <c r="CH17" i="33"/>
  <c r="AL17" i="33" s="1"/>
  <c r="AU16" i="33"/>
  <c r="DN17" i="33"/>
  <c r="AT17" i="33" s="1"/>
  <c r="AF16" i="33"/>
  <c r="CB21" i="33" a="1"/>
  <c r="CB21" i="33" s="1"/>
  <c r="AJ21" i="33" s="1"/>
  <c r="CO22" i="33" a="1"/>
  <c r="CO22" i="33" s="1"/>
  <c r="AM22" i="33" s="1"/>
  <c r="CB22" i="33" a="1"/>
  <c r="CB22" i="33" s="1"/>
  <c r="AJ22" i="33" s="1"/>
  <c r="CO21" i="33" a="1"/>
  <c r="CO21" i="33" s="1"/>
  <c r="AM21" i="33" s="1"/>
  <c r="DN18" i="33"/>
  <c r="AT18" i="33" s="1"/>
  <c r="CS22" i="33"/>
  <c r="AN22" i="33" s="1"/>
  <c r="CB20" i="33" a="1"/>
  <c r="CB20" i="33" s="1"/>
  <c r="AJ20" i="33" s="1"/>
  <c r="BH21" i="33" a="1"/>
  <c r="BH21" i="33" s="1"/>
  <c r="AG21" i="33" s="1"/>
  <c r="BH18" i="33" a="1"/>
  <c r="BH18" i="33" s="1"/>
  <c r="AG18" i="33" s="1"/>
  <c r="CH18" i="33"/>
  <c r="AL18" i="33" s="1"/>
  <c r="O42" i="33"/>
  <c r="O43" i="33" s="1"/>
  <c r="BH17" i="33" a="1"/>
  <c r="BH17" i="33" s="1"/>
  <c r="AG17" i="33" s="1"/>
  <c r="CB18" i="33" a="1"/>
  <c r="CB18" i="33" s="1"/>
  <c r="AJ18" i="33" s="1"/>
  <c r="DN22" i="33"/>
  <c r="AT22" i="33" s="1"/>
  <c r="CH22" i="33"/>
  <c r="AL22" i="33" s="1"/>
  <c r="AE19" i="33"/>
  <c r="CB17" i="33" a="1"/>
  <c r="CB17" i="33" s="1"/>
  <c r="AJ17" i="33" s="1"/>
  <c r="DN20" i="33"/>
  <c r="AT20" i="33" s="1"/>
  <c r="AF19" i="33"/>
  <c r="CH20" i="33"/>
  <c r="AL20" i="33" s="1"/>
  <c r="I19" i="32"/>
  <c r="N19" i="32"/>
  <c r="T19" i="32"/>
  <c r="AM19" i="32" s="1"/>
  <c r="T18" i="32"/>
  <c r="AM18" i="32" s="1"/>
  <c r="P18" i="32"/>
  <c r="N18" i="32"/>
  <c r="Q18" i="32"/>
  <c r="S44" i="34" l="1"/>
  <c r="AG14" i="33"/>
  <c r="AM14" i="33"/>
  <c r="AJ14" i="33"/>
  <c r="AT14" i="33"/>
  <c r="AL14" i="33"/>
  <c r="AN14" i="33"/>
  <c r="S51" i="34"/>
  <c r="S13" i="34"/>
  <c r="D30" i="34"/>
  <c r="D34" i="34"/>
  <c r="S30" i="34"/>
  <c r="S19" i="34"/>
  <c r="C30" i="34"/>
  <c r="D59" i="34"/>
  <c r="D37" i="34"/>
  <c r="D66" i="34"/>
  <c r="S65" i="34"/>
  <c r="S66" i="34"/>
  <c r="S53" i="34"/>
  <c r="C34" i="34"/>
  <c r="S34" i="34"/>
  <c r="D53" i="34"/>
  <c r="C55" i="34"/>
  <c r="C66" i="34"/>
  <c r="D26" i="34"/>
  <c r="S37" i="34"/>
  <c r="S39" i="34"/>
  <c r="C53" i="34"/>
  <c r="C14" i="34"/>
  <c r="S59" i="34"/>
  <c r="D11" i="34"/>
  <c r="S10" i="34"/>
  <c r="D57" i="34"/>
  <c r="C40" i="34"/>
  <c r="D13" i="34"/>
  <c r="D42" i="34"/>
  <c r="C59" i="34"/>
  <c r="D19" i="34"/>
  <c r="D60" i="34"/>
  <c r="S60" i="34"/>
  <c r="C60" i="34"/>
  <c r="C37" i="34"/>
  <c r="D55" i="34"/>
  <c r="S55" i="34"/>
  <c r="D47" i="34"/>
  <c r="C19" i="34"/>
  <c r="K6" i="34"/>
  <c r="D65" i="34"/>
  <c r="C65" i="34"/>
  <c r="S57" i="34"/>
  <c r="C57" i="34"/>
  <c r="S40" i="34"/>
  <c r="C11" i="34"/>
  <c r="S11" i="34"/>
  <c r="C35" i="34"/>
  <c r="S35" i="34"/>
  <c r="D35" i="34"/>
  <c r="D40" i="34"/>
  <c r="C13" i="34"/>
  <c r="C47" i="34"/>
  <c r="S14" i="34"/>
  <c r="C64" i="34"/>
  <c r="D64" i="34"/>
  <c r="S64" i="34"/>
  <c r="C42" i="34"/>
  <c r="L6" i="34"/>
  <c r="S42" i="34"/>
  <c r="S28" i="34"/>
  <c r="C28" i="34"/>
  <c r="D28" i="34"/>
  <c r="D39" i="34"/>
  <c r="H6" i="34"/>
  <c r="D10" i="34"/>
  <c r="D16" i="34"/>
  <c r="C16" i="34"/>
  <c r="S16" i="34"/>
  <c r="D44" i="34"/>
  <c r="S29" i="34"/>
  <c r="C29" i="34"/>
  <c r="D29" i="34"/>
  <c r="S25" i="34"/>
  <c r="D25" i="34"/>
  <c r="C25" i="34"/>
  <c r="C10" i="34"/>
  <c r="D50" i="34"/>
  <c r="C50" i="34"/>
  <c r="S50" i="34"/>
  <c r="R6" i="34"/>
  <c r="S24" i="34"/>
  <c r="C24" i="34"/>
  <c r="D24" i="34"/>
  <c r="D23" i="34"/>
  <c r="C23" i="34"/>
  <c r="S23" i="34"/>
  <c r="D20" i="34"/>
  <c r="S20" i="34"/>
  <c r="C20" i="34"/>
  <c r="D56" i="34"/>
  <c r="C56" i="34"/>
  <c r="S56" i="34"/>
  <c r="S26" i="34"/>
  <c r="D51" i="34"/>
  <c r="C44" i="34"/>
  <c r="S62" i="34"/>
  <c r="C62" i="34"/>
  <c r="D62" i="34"/>
  <c r="D48" i="34"/>
  <c r="C48" i="34"/>
  <c r="S48" i="34"/>
  <c r="C51" i="34"/>
  <c r="D14" i="34"/>
  <c r="C26" i="34"/>
  <c r="D22" i="34"/>
  <c r="C22" i="34"/>
  <c r="S22" i="34"/>
  <c r="S47" i="34"/>
  <c r="D43" i="34"/>
  <c r="C43" i="34"/>
  <c r="S43" i="34"/>
  <c r="S27" i="34"/>
  <c r="C27" i="34"/>
  <c r="D27" i="34"/>
  <c r="S17" i="34"/>
  <c r="C17" i="34"/>
  <c r="D17" i="34"/>
  <c r="C39" i="34"/>
  <c r="J6" i="34"/>
  <c r="D61" i="34"/>
  <c r="S61" i="34"/>
  <c r="C61" i="34"/>
  <c r="D54" i="34"/>
  <c r="C54" i="34"/>
  <c r="S54" i="34"/>
  <c r="E6" i="34"/>
  <c r="AF22" i="33"/>
  <c r="AU20" i="33"/>
  <c r="AF17" i="33"/>
  <c r="AE17" i="33"/>
  <c r="AU17" i="33"/>
  <c r="AU22" i="33"/>
  <c r="O44" i="33"/>
  <c r="AE22" i="33"/>
  <c r="AE20" i="33"/>
  <c r="AF20" i="33"/>
  <c r="AE18" i="33"/>
  <c r="AU18" i="33"/>
  <c r="AF18" i="33"/>
  <c r="AE21" i="33"/>
  <c r="AF21" i="33"/>
  <c r="AU21" i="33"/>
  <c r="AN18" i="32"/>
  <c r="AO18" i="32" s="1"/>
  <c r="AP18" i="32" s="1"/>
  <c r="AQ18" i="32" s="1"/>
  <c r="AR18" i="32" s="1"/>
  <c r="AS18" i="32" s="1"/>
  <c r="CG18" i="32" s="1"/>
  <c r="H20" i="32"/>
  <c r="E21" i="32" s="1" a="1"/>
  <c r="E21" i="32" s="1"/>
  <c r="F21" i="32" s="1" a="1"/>
  <c r="F21" i="32" s="1"/>
  <c r="M21" i="32" s="1"/>
  <c r="I21" i="32" s="1"/>
  <c r="T20" i="32"/>
  <c r="N20" i="32"/>
  <c r="P20" i="32"/>
  <c r="Q20" i="32"/>
  <c r="AN19" i="32"/>
  <c r="AO19" i="32" s="1"/>
  <c r="AP19" i="32" s="1"/>
  <c r="AQ19" i="32" s="1"/>
  <c r="AR19" i="32" s="1"/>
  <c r="AS19" i="32" s="1"/>
  <c r="CM19" i="32" s="1" a="1"/>
  <c r="CM19" i="32" s="1"/>
  <c r="I20" i="32"/>
  <c r="BB18" i="32" l="1" a="1"/>
  <c r="BB18" i="32" s="1"/>
  <c r="CP18" i="32" a="1"/>
  <c r="CP18" i="32" s="1"/>
  <c r="O45" i="33"/>
  <c r="O46" i="33" s="1"/>
  <c r="O47" i="33" s="1"/>
  <c r="CN18" i="32" a="1"/>
  <c r="CN18" i="32" s="1"/>
  <c r="AV18" i="32"/>
  <c r="AW18" i="32" s="1" a="1"/>
  <c r="AW18" i="32" s="1"/>
  <c r="CT18" i="32" a="1"/>
  <c r="CT18" i="32" s="1"/>
  <c r="CS18" i="32" a="1"/>
  <c r="CS18" i="32" s="1"/>
  <c r="BP18" i="32"/>
  <c r="BJ18" i="32" s="1" a="1"/>
  <c r="BJ18" i="32" s="1"/>
  <c r="AZ18" i="32" a="1"/>
  <c r="AZ18" i="32" s="1"/>
  <c r="CK18" i="32" a="1"/>
  <c r="CK18" i="32" s="1"/>
  <c r="CB18" i="32"/>
  <c r="BZ18" i="32" s="1" a="1"/>
  <c r="BZ18" i="32" s="1"/>
  <c r="CM18" i="32" a="1"/>
  <c r="CM18" i="32" s="1"/>
  <c r="CQ18" i="32" a="1"/>
  <c r="CQ18" i="32" s="1"/>
  <c r="CV18" i="32" a="1"/>
  <c r="CV18" i="32" s="1"/>
  <c r="CW18" i="32" a="1"/>
  <c r="CW18" i="32" s="1"/>
  <c r="BD18" i="32"/>
  <c r="BC18" i="32" s="1" a="1"/>
  <c r="BC18" i="32" s="1"/>
  <c r="BS18" i="32" a="1"/>
  <c r="BS18" i="32" s="1"/>
  <c r="BT18" i="32" s="1"/>
  <c r="AA18" i="32" s="1"/>
  <c r="CJ18" i="32" a="1"/>
  <c r="CJ18" i="32" s="1"/>
  <c r="AY18" i="32" a="1"/>
  <c r="AY18" i="32" s="1"/>
  <c r="BV18" i="32"/>
  <c r="BU18" i="32" s="1" a="1"/>
  <c r="BU18" i="32" s="1"/>
  <c r="DB18" i="32"/>
  <c r="CB19" i="32"/>
  <c r="CA19" i="32" s="1" a="1"/>
  <c r="CA19" i="32" s="1"/>
  <c r="BB19" i="32" a="1"/>
  <c r="BB19" i="32" s="1"/>
  <c r="CQ19" i="32" a="1"/>
  <c r="CQ19" i="32" s="1"/>
  <c r="AV19" i="32"/>
  <c r="AU19" i="32" s="1" a="1"/>
  <c r="AU19" i="32" s="1"/>
  <c r="CK19" i="32" a="1"/>
  <c r="CK19" i="32" s="1"/>
  <c r="CG19" i="32"/>
  <c r="CF19" i="32" s="1" a="1"/>
  <c r="CF19" i="32" s="1"/>
  <c r="BP19" i="32"/>
  <c r="DB19" i="32"/>
  <c r="CT19" i="32" a="1"/>
  <c r="CT19" i="32" s="1"/>
  <c r="AZ19" i="32" a="1"/>
  <c r="AZ19" i="32" s="1"/>
  <c r="CN19" i="32" a="1"/>
  <c r="CN19" i="32" s="1"/>
  <c r="CO19" i="32" s="1"/>
  <c r="AF19" i="32" s="1"/>
  <c r="G21" i="32"/>
  <c r="O21" i="32" s="1"/>
  <c r="CW19" i="32" a="1"/>
  <c r="CW19" i="32" s="1"/>
  <c r="CH18" i="32" a="1"/>
  <c r="CH18" i="32" s="1"/>
  <c r="CF18" i="32" a="1"/>
  <c r="CF18" i="32" s="1"/>
  <c r="CI18" i="32" s="1"/>
  <c r="AD18" i="32" s="1"/>
  <c r="CS19" i="32" a="1"/>
  <c r="CS19" i="32" s="1"/>
  <c r="H21" i="32"/>
  <c r="E22" i="32" s="1" a="1"/>
  <c r="E22" i="32" s="1"/>
  <c r="F22" i="32" s="1" a="1"/>
  <c r="F22" i="32" s="1"/>
  <c r="BV19" i="32"/>
  <c r="CJ19" i="32" a="1"/>
  <c r="CJ19" i="32" s="1"/>
  <c r="BS19" i="32" a="1"/>
  <c r="BS19" i="32" s="1"/>
  <c r="BT19" i="32" s="1"/>
  <c r="AA19" i="32" s="1"/>
  <c r="BD19" i="32"/>
  <c r="BC19" i="32" s="1" a="1"/>
  <c r="BC19" i="32" s="1"/>
  <c r="CP19" i="32" a="1"/>
  <c r="CP19" i="32" s="1"/>
  <c r="CV19" i="32" a="1"/>
  <c r="CV19" i="32" s="1"/>
  <c r="AY19" i="32" a="1"/>
  <c r="AY19" i="32" s="1"/>
  <c r="AM20" i="32"/>
  <c r="BA19" i="32" l="1"/>
  <c r="X19" i="32" s="1"/>
  <c r="CL19" i="32"/>
  <c r="AE19" i="32" s="1"/>
  <c r="AT18" i="32" a="1"/>
  <c r="AT18" i="32" s="1"/>
  <c r="AU18" i="32" a="1"/>
  <c r="AU18" i="32" s="1"/>
  <c r="BI18" i="32" a="1"/>
  <c r="BI18" i="32" s="1"/>
  <c r="BL18" i="32" a="1"/>
  <c r="BL18" i="32" s="1"/>
  <c r="BW18" i="32" a="1"/>
  <c r="BW18" i="32" s="1"/>
  <c r="BX18" i="32" s="1"/>
  <c r="AB18" i="32" s="1"/>
  <c r="BG18" i="32" a="1"/>
  <c r="BG18" i="32" s="1"/>
  <c r="BH18" i="32" a="1"/>
  <c r="BH18" i="32" s="1"/>
  <c r="BF18" i="32" a="1"/>
  <c r="BF18" i="32" s="1"/>
  <c r="BO18" i="32" a="1"/>
  <c r="BO18" i="32" s="1"/>
  <c r="CR19" i="32"/>
  <c r="AG19" i="32" s="1"/>
  <c r="BQ18" i="32" a="1"/>
  <c r="BQ18" i="32" s="1"/>
  <c r="AW19" i="32" a="1"/>
  <c r="AW19" i="32" s="1"/>
  <c r="BK18" i="32" a="1"/>
  <c r="BK18" i="32" s="1"/>
  <c r="BN18" i="32" a="1"/>
  <c r="BN18" i="32" s="1"/>
  <c r="CX18" i="32"/>
  <c r="AI18" i="32" s="1"/>
  <c r="CU18" i="32"/>
  <c r="AH18" i="32" s="1"/>
  <c r="BM18" i="32" a="1"/>
  <c r="BM18" i="32" s="1"/>
  <c r="CO18" i="32"/>
  <c r="AF18" i="32" s="1"/>
  <c r="BE19" i="32"/>
  <c r="Y19" i="32" s="1"/>
  <c r="BZ19" i="32" a="1"/>
  <c r="BZ19" i="32" s="1"/>
  <c r="BY19" i="32" a="1"/>
  <c r="BY19" i="32" s="1"/>
  <c r="O48" i="33"/>
  <c r="O49" i="33" s="1"/>
  <c r="O50" i="33" s="1"/>
  <c r="O51" i="33" s="1"/>
  <c r="O52" i="33" s="1"/>
  <c r="CX19" i="32"/>
  <c r="AI19" i="32" s="1"/>
  <c r="CR18" i="32"/>
  <c r="AG18" i="32" s="1"/>
  <c r="AT19" i="32" a="1"/>
  <c r="AT19" i="32" s="1"/>
  <c r="BA18" i="32"/>
  <c r="X18" i="32" s="1"/>
  <c r="CD18" i="32"/>
  <c r="CC18" i="32" s="1" a="1"/>
  <c r="CC18" i="32" s="1"/>
  <c r="CH19" i="32" a="1"/>
  <c r="CH19" i="32" s="1"/>
  <c r="CI19" i="32" s="1"/>
  <c r="AD19" i="32" s="1"/>
  <c r="BE18" i="32"/>
  <c r="Y18" i="32" s="1"/>
  <c r="CA18" i="32" a="1"/>
  <c r="CA18" i="32" s="1"/>
  <c r="BY18" i="32" a="1"/>
  <c r="BY18" i="32" s="1"/>
  <c r="CL18" i="32"/>
  <c r="AE18" i="32" s="1"/>
  <c r="CY18" i="32" a="1"/>
  <c r="CY18" i="32" s="1"/>
  <c r="DC18" i="32" a="1"/>
  <c r="DC18" i="32" s="1"/>
  <c r="DA18" i="32" a="1"/>
  <c r="DA18" i="32" s="1"/>
  <c r="CZ18" i="32" a="1"/>
  <c r="CZ18" i="32" s="1"/>
  <c r="CU19" i="32"/>
  <c r="AH19" i="32" s="1"/>
  <c r="CD19" i="32"/>
  <c r="CC19" i="32" s="1" a="1"/>
  <c r="CC19" i="32" s="1"/>
  <c r="N21" i="32"/>
  <c r="P21" i="32"/>
  <c r="T21" i="32"/>
  <c r="Q21" i="32"/>
  <c r="AN20" i="32"/>
  <c r="AO20" i="32" s="1"/>
  <c r="AP20" i="32" s="1"/>
  <c r="AQ20" i="32" s="1"/>
  <c r="AR20" i="32" s="1"/>
  <c r="AS20" i="32" s="1"/>
  <c r="CG20" i="32" s="1"/>
  <c r="BU19" i="32" a="1"/>
  <c r="BU19" i="32" s="1"/>
  <c r="BW19" i="32" a="1"/>
  <c r="BW19" i="32" s="1"/>
  <c r="M22" i="32"/>
  <c r="I22" i="32" s="1"/>
  <c r="BH19" i="32" a="1"/>
  <c r="BH19" i="32" s="1"/>
  <c r="BK19" i="32" a="1"/>
  <c r="BK19" i="32" s="1"/>
  <c r="BG19" i="32" a="1"/>
  <c r="BG19" i="32" s="1"/>
  <c r="BJ19" i="32" a="1"/>
  <c r="BJ19" i="32" s="1"/>
  <c r="BM19" i="32" a="1"/>
  <c r="BM19" i="32" s="1"/>
  <c r="BL19" i="32" a="1"/>
  <c r="BL19" i="32" s="1"/>
  <c r="BI19" i="32" a="1"/>
  <c r="BI19" i="32" s="1"/>
  <c r="BF19" i="32" a="1"/>
  <c r="BF19" i="32" s="1"/>
  <c r="BN19" i="32" a="1"/>
  <c r="BN19" i="32" s="1"/>
  <c r="BQ19" i="32" a="1"/>
  <c r="BQ19" i="32" s="1"/>
  <c r="BO19" i="32" a="1"/>
  <c r="BO19" i="32" s="1"/>
  <c r="CY19" i="32" a="1"/>
  <c r="CY19" i="32" s="1"/>
  <c r="DA19" i="32" a="1"/>
  <c r="DA19" i="32" s="1"/>
  <c r="DC19" i="32" a="1"/>
  <c r="DC19" i="32" s="1"/>
  <c r="CZ19" i="32" a="1"/>
  <c r="CZ19" i="32" s="1"/>
  <c r="AX18" i="32" l="1" a="1"/>
  <c r="AX18" i="32" s="1"/>
  <c r="W18" i="32" s="1"/>
  <c r="AX19" i="32" a="1"/>
  <c r="AX19" i="32" s="1"/>
  <c r="W19" i="32" s="1"/>
  <c r="BR18" i="32" a="1"/>
  <c r="BR18" i="32" s="1"/>
  <c r="Z18" i="32" s="1"/>
  <c r="CE18" i="32" a="1"/>
  <c r="CE18" i="32" s="1"/>
  <c r="AC18" i="32" s="1"/>
  <c r="AZ20" i="32" a="1"/>
  <c r="AZ20" i="32" s="1"/>
  <c r="CE19" i="32" a="1"/>
  <c r="CE19" i="32" s="1"/>
  <c r="AC19" i="32" s="1"/>
  <c r="BX19" i="32"/>
  <c r="AB19" i="32" s="1"/>
  <c r="CW20" i="32" a="1"/>
  <c r="CW20" i="32" s="1"/>
  <c r="BD20" i="32"/>
  <c r="BC20" i="32" s="1" a="1"/>
  <c r="BC20" i="32" s="1"/>
  <c r="CV20" i="32" a="1"/>
  <c r="CV20" i="32" s="1"/>
  <c r="CP20" i="32" a="1"/>
  <c r="CP20" i="32" s="1"/>
  <c r="CB20" i="32"/>
  <c r="BY20" i="32" s="1" a="1"/>
  <c r="BY20" i="32" s="1"/>
  <c r="DD18" i="32"/>
  <c r="AJ18" i="32" s="1"/>
  <c r="BB20" i="32" a="1"/>
  <c r="BB20" i="32" s="1"/>
  <c r="DB20" i="32"/>
  <c r="AV20" i="32"/>
  <c r="AU20" i="32" s="1" a="1"/>
  <c r="AU20" i="32" s="1"/>
  <c r="BS20" i="32" a="1"/>
  <c r="BS20" i="32" s="1"/>
  <c r="BT20" i="32" s="1"/>
  <c r="AA20" i="32" s="1"/>
  <c r="CS20" i="32" a="1"/>
  <c r="CS20" i="32" s="1"/>
  <c r="CF20" i="32" a="1"/>
  <c r="CF20" i="32" s="1"/>
  <c r="CI20" i="32" s="1"/>
  <c r="AD20" i="32" s="1"/>
  <c r="CH20" i="32" a="1"/>
  <c r="CH20" i="32" s="1"/>
  <c r="G22" i="32"/>
  <c r="O22" i="32" s="1"/>
  <c r="BV20" i="32"/>
  <c r="H22" i="32"/>
  <c r="E23" i="32" s="1" a="1"/>
  <c r="E23" i="32" s="1"/>
  <c r="F23" i="32" s="1" a="1"/>
  <c r="F23" i="32" s="1"/>
  <c r="DD19" i="32"/>
  <c r="AJ19" i="32" s="1"/>
  <c r="AY20" i="32" a="1"/>
  <c r="AY20" i="32" s="1"/>
  <c r="BA20" i="32" s="1"/>
  <c r="X20" i="32" s="1"/>
  <c r="CQ20" i="32" a="1"/>
  <c r="CQ20" i="32" s="1"/>
  <c r="CN20" i="32" a="1"/>
  <c r="CN20" i="32" s="1"/>
  <c r="BR19" i="32" a="1"/>
  <c r="BR19" i="32" s="1"/>
  <c r="Z19" i="32" s="1"/>
  <c r="AM21" i="32"/>
  <c r="CK20" i="32" a="1"/>
  <c r="CK20" i="32" s="1"/>
  <c r="CT20" i="32" a="1"/>
  <c r="CT20" i="32" s="1"/>
  <c r="BP20" i="32"/>
  <c r="CM20" i="32" a="1"/>
  <c r="CM20" i="32" s="1"/>
  <c r="CJ20" i="32" a="1"/>
  <c r="CJ20" i="32" s="1"/>
  <c r="CA20" i="32" l="1" a="1"/>
  <c r="CA20" i="32" s="1"/>
  <c r="BZ20" i="32" a="1"/>
  <c r="BZ20" i="32" s="1"/>
  <c r="CX20" i="32"/>
  <c r="AI20" i="32" s="1"/>
  <c r="CU20" i="32"/>
  <c r="AH20" i="32" s="1"/>
  <c r="AK18" i="32"/>
  <c r="V18" i="32"/>
  <c r="BE20" i="32"/>
  <c r="Y20" i="32" s="1"/>
  <c r="CD20" i="32"/>
  <c r="CC20" i="32" s="1" a="1"/>
  <c r="CC20" i="32" s="1"/>
  <c r="U18" i="32"/>
  <c r="CR20" i="32"/>
  <c r="AG20" i="32" s="1"/>
  <c r="AT20" i="32" a="1"/>
  <c r="AT20" i="32" s="1"/>
  <c r="AX20" i="32" s="1" a="1"/>
  <c r="AX20" i="32" s="1"/>
  <c r="W20" i="32" s="1"/>
  <c r="CO20" i="32"/>
  <c r="AF20" i="32" s="1"/>
  <c r="AW20" i="32" a="1"/>
  <c r="AW20" i="32" s="1"/>
  <c r="DC20" i="32" a="1"/>
  <c r="DC20" i="32" s="1"/>
  <c r="CY20" i="32" a="1"/>
  <c r="CY20" i="32" s="1"/>
  <c r="DA20" i="32" a="1"/>
  <c r="DA20" i="32" s="1"/>
  <c r="CZ20" i="32" a="1"/>
  <c r="CZ20" i="32" s="1"/>
  <c r="CL20" i="32"/>
  <c r="AE20" i="32" s="1"/>
  <c r="M23" i="32"/>
  <c r="I23" i="32" s="1"/>
  <c r="BG20" i="32" a="1"/>
  <c r="BG20" i="32" s="1"/>
  <c r="BH20" i="32" a="1"/>
  <c r="BH20" i="32" s="1"/>
  <c r="BO20" i="32" a="1"/>
  <c r="BO20" i="32" s="1"/>
  <c r="BI20" i="32" a="1"/>
  <c r="BI20" i="32" s="1"/>
  <c r="BQ20" i="32" a="1"/>
  <c r="BQ20" i="32" s="1"/>
  <c r="BJ20" i="32" a="1"/>
  <c r="BJ20" i="32" s="1"/>
  <c r="BK20" i="32" a="1"/>
  <c r="BK20" i="32" s="1"/>
  <c r="BL20" i="32" a="1"/>
  <c r="BL20" i="32" s="1"/>
  <c r="BN20" i="32" a="1"/>
  <c r="BN20" i="32" s="1"/>
  <c r="BF20" i="32" a="1"/>
  <c r="BF20" i="32" s="1"/>
  <c r="BM20" i="32" a="1"/>
  <c r="BM20" i="32" s="1"/>
  <c r="BW20" i="32" a="1"/>
  <c r="BW20" i="32" s="1"/>
  <c r="BU20" i="32" a="1"/>
  <c r="BU20" i="32" s="1"/>
  <c r="T22" i="32"/>
  <c r="Q22" i="32"/>
  <c r="P22" i="32"/>
  <c r="N22" i="32"/>
  <c r="AN21" i="32"/>
  <c r="AO21" i="32" s="1"/>
  <c r="AP21" i="32" s="1"/>
  <c r="AQ21" i="32" s="1"/>
  <c r="AR21" i="32" s="1"/>
  <c r="AS21" i="32" s="1"/>
  <c r="CM21" i="32" s="1" a="1"/>
  <c r="CM21" i="32" s="1"/>
  <c r="U19" i="32"/>
  <c r="AK19" i="32"/>
  <c r="V19" i="32"/>
  <c r="CE20" i="32" l="1" a="1"/>
  <c r="CE20" i="32" s="1"/>
  <c r="AC20" i="32" s="1"/>
  <c r="DD20" i="32"/>
  <c r="AJ20" i="32" s="1"/>
  <c r="CV21" i="32" a="1"/>
  <c r="CV21" i="32" s="1"/>
  <c r="BX20" i="32"/>
  <c r="AB20" i="32" s="1"/>
  <c r="BV21" i="32"/>
  <c r="CT21" i="32" a="1"/>
  <c r="CT21" i="32" s="1"/>
  <c r="CQ21" i="32" a="1"/>
  <c r="CQ21" i="32" s="1"/>
  <c r="BP21" i="32"/>
  <c r="CJ21" i="32" a="1"/>
  <c r="CJ21" i="32" s="1"/>
  <c r="CN21" i="32" a="1"/>
  <c r="CN21" i="32" s="1"/>
  <c r="CO21" i="32" s="1"/>
  <c r="AF21" i="32" s="1"/>
  <c r="AY21" i="32" a="1"/>
  <c r="AY21" i="32" s="1"/>
  <c r="BA21" i="32" s="1"/>
  <c r="X21" i="32" s="1"/>
  <c r="BB21" i="32" a="1"/>
  <c r="BB21" i="32" s="1"/>
  <c r="CW21" i="32" a="1"/>
  <c r="CW21" i="32" s="1"/>
  <c r="BS21" i="32" a="1"/>
  <c r="BS21" i="32" s="1"/>
  <c r="BT21" i="32" s="1"/>
  <c r="AA21" i="32" s="1"/>
  <c r="G23" i="32"/>
  <c r="O23" i="32" s="1"/>
  <c r="CG21" i="32"/>
  <c r="CK21" i="32" a="1"/>
  <c r="CK21" i="32" s="1"/>
  <c r="H23" i="32"/>
  <c r="E24" i="32" s="1" a="1"/>
  <c r="E24" i="32" s="1"/>
  <c r="F24" i="32" s="1" a="1"/>
  <c r="F24" i="32" s="1"/>
  <c r="DB21" i="32"/>
  <c r="CP21" i="32" a="1"/>
  <c r="CP21" i="32" s="1"/>
  <c r="AM22" i="32"/>
  <c r="BD21" i="32"/>
  <c r="BC21" i="32" s="1" a="1"/>
  <c r="BC21" i="32" s="1"/>
  <c r="CS21" i="32" a="1"/>
  <c r="CS21" i="32" s="1"/>
  <c r="AV21" i="32"/>
  <c r="CB21" i="32"/>
  <c r="AZ21" i="32" a="1"/>
  <c r="AZ21" i="32" s="1"/>
  <c r="BR20" i="32" a="1"/>
  <c r="BR20" i="32" s="1"/>
  <c r="Z20" i="32" s="1"/>
  <c r="BE21" i="32" l="1"/>
  <c r="Y21" i="32" s="1"/>
  <c r="CX21" i="32"/>
  <c r="AI21" i="32" s="1"/>
  <c r="CL21" i="32"/>
  <c r="AE21" i="32" s="1"/>
  <c r="CR21" i="32"/>
  <c r="AG21" i="32" s="1"/>
  <c r="M24" i="32"/>
  <c r="I24" i="32" s="1"/>
  <c r="CF21" i="32" a="1"/>
  <c r="CF21" i="32" s="1"/>
  <c r="CI21" i="32" s="1"/>
  <c r="AD21" i="32" s="1"/>
  <c r="CH21" i="32" a="1"/>
  <c r="CH21" i="32" s="1"/>
  <c r="AN22" i="32"/>
  <c r="AO22" i="32" s="1"/>
  <c r="AP22" i="32" s="1"/>
  <c r="AQ22" i="32" s="1"/>
  <c r="AR22" i="32" s="1"/>
  <c r="AS22" i="32" s="1"/>
  <c r="BB22" i="32" s="1" a="1"/>
  <c r="BB22" i="32" s="1"/>
  <c r="P23" i="32"/>
  <c r="T23" i="32"/>
  <c r="Q23" i="32"/>
  <c r="N23" i="32"/>
  <c r="BY21" i="32" a="1"/>
  <c r="BY21" i="32" s="1"/>
  <c r="BZ21" i="32" a="1"/>
  <c r="BZ21" i="32" s="1"/>
  <c r="CD21" i="32"/>
  <c r="CC21" i="32" s="1" a="1"/>
  <c r="CC21" i="32" s="1"/>
  <c r="CA21" i="32" a="1"/>
  <c r="CA21" i="32" s="1"/>
  <c r="AW21" i="32" a="1"/>
  <c r="AW21" i="32" s="1"/>
  <c r="AU21" i="32" a="1"/>
  <c r="AU21" i="32" s="1"/>
  <c r="AT21" i="32" a="1"/>
  <c r="AT21" i="32" s="1"/>
  <c r="AX21" i="32" s="1" a="1"/>
  <c r="AX21" i="32" s="1"/>
  <c r="W21" i="32" s="1"/>
  <c r="CU21" i="32"/>
  <c r="AH21" i="32" s="1"/>
  <c r="BM21" i="32" a="1"/>
  <c r="BM21" i="32" s="1"/>
  <c r="BH21" i="32" a="1"/>
  <c r="BH21" i="32" s="1"/>
  <c r="BJ21" i="32" a="1"/>
  <c r="BJ21" i="32" s="1"/>
  <c r="BQ21" i="32" a="1"/>
  <c r="BQ21" i="32" s="1"/>
  <c r="BI21" i="32" a="1"/>
  <c r="BI21" i="32" s="1"/>
  <c r="BL21" i="32" a="1"/>
  <c r="BL21" i="32" s="1"/>
  <c r="BG21" i="32" a="1"/>
  <c r="BG21" i="32" s="1"/>
  <c r="BK21" i="32" a="1"/>
  <c r="BK21" i="32" s="1"/>
  <c r="BO21" i="32" a="1"/>
  <c r="BO21" i="32" s="1"/>
  <c r="BF21" i="32" a="1"/>
  <c r="BF21" i="32" s="1"/>
  <c r="BN21" i="32" a="1"/>
  <c r="BN21" i="32" s="1"/>
  <c r="AK20" i="32"/>
  <c r="V20" i="32"/>
  <c r="U20" i="32"/>
  <c r="BU21" i="32" a="1"/>
  <c r="BU21" i="32" s="1"/>
  <c r="BX21" i="32" s="1"/>
  <c r="AB21" i="32" s="1"/>
  <c r="BW21" i="32" a="1"/>
  <c r="BW21" i="32" s="1"/>
  <c r="DC21" i="32" a="1"/>
  <c r="DC21" i="32" s="1"/>
  <c r="DA21" i="32" a="1"/>
  <c r="DA21" i="32" s="1"/>
  <c r="CY21" i="32" a="1"/>
  <c r="CY21" i="32" s="1"/>
  <c r="CZ21" i="32" a="1"/>
  <c r="CZ21" i="32" s="1"/>
  <c r="DD21" i="32" l="1"/>
  <c r="AJ21" i="32" s="1"/>
  <c r="BR21" i="32" a="1"/>
  <c r="BR21" i="32" s="1"/>
  <c r="Z21" i="32" s="1"/>
  <c r="DB22" i="32"/>
  <c r="CY22" i="32" s="1" a="1"/>
  <c r="CY22" i="32" s="1"/>
  <c r="CQ22" i="32" a="1"/>
  <c r="CQ22" i="32" s="1"/>
  <c r="BV22" i="32"/>
  <c r="BW22" i="32" s="1" a="1"/>
  <c r="BW22" i="32" s="1"/>
  <c r="CT22" i="32" a="1"/>
  <c r="CT22" i="32" s="1"/>
  <c r="AZ22" i="32" a="1"/>
  <c r="AZ22" i="32" s="1"/>
  <c r="CN22" i="32" a="1"/>
  <c r="CN22" i="32" s="1"/>
  <c r="CS22" i="32" a="1"/>
  <c r="CS22" i="32" s="1"/>
  <c r="CJ22" i="32" a="1"/>
  <c r="CJ22" i="32" s="1"/>
  <c r="CM22" i="32" a="1"/>
  <c r="CM22" i="32" s="1"/>
  <c r="BD22" i="32"/>
  <c r="BC22" i="32" s="1" a="1"/>
  <c r="BC22" i="32" s="1"/>
  <c r="BE22" i="32" s="1"/>
  <c r="Y22" i="32" s="1"/>
  <c r="CW22" i="32" a="1"/>
  <c r="CW22" i="32" s="1"/>
  <c r="CB22" i="32"/>
  <c r="CD22" i="32" s="1"/>
  <c r="CC22" i="32" s="1" a="1"/>
  <c r="CC22" i="32" s="1"/>
  <c r="G24" i="32"/>
  <c r="O24" i="32" s="1"/>
  <c r="N24" i="32" s="1"/>
  <c r="AY22" i="32" a="1"/>
  <c r="AY22" i="32" s="1"/>
  <c r="AV22" i="32"/>
  <c r="CE21" i="32" a="1"/>
  <c r="CE21" i="32" s="1"/>
  <c r="AC21" i="32" s="1"/>
  <c r="CG22" i="32"/>
  <c r="AM23" i="32"/>
  <c r="CP22" i="32" a="1"/>
  <c r="CP22" i="32" s="1"/>
  <c r="BP22" i="32"/>
  <c r="CK22" i="32" a="1"/>
  <c r="CK22" i="32" s="1"/>
  <c r="CV22" i="32" a="1"/>
  <c r="CV22" i="32" s="1"/>
  <c r="H24" i="32"/>
  <c r="E25" i="32" s="1" a="1"/>
  <c r="E25" i="32" s="1"/>
  <c r="F25" i="32" s="1" a="1"/>
  <c r="F25" i="32" s="1"/>
  <c r="BS22" i="32" a="1"/>
  <c r="BS22" i="32" s="1"/>
  <c r="BT22" i="32" s="1"/>
  <c r="AA22" i="32" s="1"/>
  <c r="BA22" i="32" l="1"/>
  <c r="X22" i="32" s="1"/>
  <c r="CX22" i="32"/>
  <c r="AI22" i="32" s="1"/>
  <c r="BY22" i="32" a="1"/>
  <c r="BY22" i="32" s="1"/>
  <c r="CL22" i="32"/>
  <c r="AE22" i="32" s="1"/>
  <c r="CR22" i="32"/>
  <c r="AG22" i="32" s="1"/>
  <c r="AK21" i="32"/>
  <c r="DA22" i="32" a="1"/>
  <c r="DA22" i="32" s="1"/>
  <c r="BU22" i="32" a="1"/>
  <c r="BU22" i="32" s="1"/>
  <c r="BX22" i="32" s="1"/>
  <c r="AB22" i="32" s="1"/>
  <c r="CO22" i="32"/>
  <c r="AF22" i="32" s="1"/>
  <c r="CU22" i="32"/>
  <c r="AH22" i="32" s="1"/>
  <c r="T24" i="32"/>
  <c r="AM24" i="32" s="1"/>
  <c r="P24" i="32"/>
  <c r="Q24" i="32"/>
  <c r="DC22" i="32" a="1"/>
  <c r="DC22" i="32" s="1"/>
  <c r="CZ22" i="32" a="1"/>
  <c r="CZ22" i="32" s="1"/>
  <c r="BZ22" i="32" a="1"/>
  <c r="BZ22" i="32" s="1"/>
  <c r="U21" i="32"/>
  <c r="CA22" i="32" a="1"/>
  <c r="CA22" i="32" s="1"/>
  <c r="BF22" i="32" a="1"/>
  <c r="BF22" i="32" s="1"/>
  <c r="BL22" i="32" a="1"/>
  <c r="BL22" i="32" s="1"/>
  <c r="BH22" i="32" a="1"/>
  <c r="BH22" i="32" s="1"/>
  <c r="BQ22" i="32" a="1"/>
  <c r="BQ22" i="32" s="1"/>
  <c r="BJ22" i="32" a="1"/>
  <c r="BJ22" i="32" s="1"/>
  <c r="BI22" i="32" a="1"/>
  <c r="BI22" i="32" s="1"/>
  <c r="BK22" i="32" a="1"/>
  <c r="BK22" i="32" s="1"/>
  <c r="BN22" i="32" a="1"/>
  <c r="BN22" i="32" s="1"/>
  <c r="BM22" i="32" a="1"/>
  <c r="BM22" i="32" s="1"/>
  <c r="BO22" i="32" a="1"/>
  <c r="BO22" i="32" s="1"/>
  <c r="BG22" i="32" a="1"/>
  <c r="BG22" i="32" s="1"/>
  <c r="AN23" i="32"/>
  <c r="AO23" i="32" s="1"/>
  <c r="AP23" i="32" s="1"/>
  <c r="AQ23" i="32" s="1"/>
  <c r="AR23" i="32" s="1"/>
  <c r="AS23" i="32" s="1"/>
  <c r="CJ23" i="32" s="1" a="1"/>
  <c r="CJ23" i="32" s="1"/>
  <c r="V21" i="32"/>
  <c r="CF22" i="32" a="1"/>
  <c r="CF22" i="32" s="1"/>
  <c r="CH22" i="32" a="1"/>
  <c r="CH22" i="32" s="1"/>
  <c r="M25" i="32"/>
  <c r="I25" i="32" s="1"/>
  <c r="G25" i="32"/>
  <c r="O25" i="32" s="1"/>
  <c r="AU22" i="32" a="1"/>
  <c r="AU22" i="32" s="1"/>
  <c r="AT22" i="32" a="1"/>
  <c r="AT22" i="32" s="1"/>
  <c r="AW22" i="32" a="1"/>
  <c r="AW22" i="32" s="1"/>
  <c r="CI22" i="32" l="1"/>
  <c r="AD22" i="32" s="1"/>
  <c r="DD22" i="32"/>
  <c r="AJ22" i="32" s="1"/>
  <c r="CK23" i="32" a="1"/>
  <c r="CK23" i="32" s="1"/>
  <c r="CL23" i="32" s="1"/>
  <c r="AE23" i="32" s="1"/>
  <c r="BD23" i="32"/>
  <c r="BC23" i="32" s="1" a="1"/>
  <c r="BC23" i="32" s="1"/>
  <c r="CV23" i="32" a="1"/>
  <c r="CV23" i="32" s="1"/>
  <c r="BB23" i="32" a="1"/>
  <c r="BB23" i="32" s="1"/>
  <c r="CE22" i="32" a="1"/>
  <c r="CE22" i="32" s="1"/>
  <c r="AC22" i="32" s="1"/>
  <c r="BP23" i="32"/>
  <c r="BL23" i="32" s="1" a="1"/>
  <c r="BL23" i="32" s="1"/>
  <c r="CM23" i="32" a="1"/>
  <c r="CM23" i="32" s="1"/>
  <c r="CP23" i="32" a="1"/>
  <c r="CP23" i="32" s="1"/>
  <c r="H25" i="32"/>
  <c r="E26" i="32" s="1" a="1"/>
  <c r="E26" i="32" s="1"/>
  <c r="F26" i="32" s="1" a="1"/>
  <c r="F26" i="32" s="1"/>
  <c r="M26" i="32" s="1"/>
  <c r="CS23" i="32" a="1"/>
  <c r="CS23" i="32" s="1"/>
  <c r="BV23" i="32"/>
  <c r="CT23" i="32" a="1"/>
  <c r="CT23" i="32" s="1"/>
  <c r="DB23" i="32"/>
  <c r="BS23" i="32" a="1"/>
  <c r="BS23" i="32" s="1"/>
  <c r="BT23" i="32" s="1"/>
  <c r="AA23" i="32" s="1"/>
  <c r="AZ23" i="32" a="1"/>
  <c r="AZ23" i="32" s="1"/>
  <c r="AV23" i="32"/>
  <c r="CB23" i="32"/>
  <c r="AN24" i="32"/>
  <c r="AO24" i="32" s="1"/>
  <c r="AP24" i="32" s="1"/>
  <c r="AQ24" i="32" s="1"/>
  <c r="AR24" i="32" s="1"/>
  <c r="AS24" i="32" s="1"/>
  <c r="CB24" i="32" s="1"/>
  <c r="CQ23" i="32" a="1"/>
  <c r="CQ23" i="32" s="1"/>
  <c r="AX22" i="32" a="1"/>
  <c r="AX22" i="32" s="1"/>
  <c r="W22" i="32" s="1"/>
  <c r="CN23" i="32" a="1"/>
  <c r="CN23" i="32" s="1"/>
  <c r="CG23" i="32"/>
  <c r="Q25" i="32"/>
  <c r="T25" i="32"/>
  <c r="P25" i="32"/>
  <c r="N25" i="32"/>
  <c r="AY23" i="32" a="1"/>
  <c r="AY23" i="32" s="1"/>
  <c r="BA23" i="32" s="1"/>
  <c r="X23" i="32" s="1"/>
  <c r="CW23" i="32" a="1"/>
  <c r="CW23" i="32" s="1"/>
  <c r="BR22" i="32" a="1"/>
  <c r="BR22" i="32" s="1"/>
  <c r="Z22" i="32" s="1"/>
  <c r="CU23" i="32" l="1"/>
  <c r="AH23" i="32" s="1"/>
  <c r="BK23" i="32" a="1"/>
  <c r="BK23" i="32" s="1"/>
  <c r="BM23" i="32" a="1"/>
  <c r="BM23" i="32" s="1"/>
  <c r="BH23" i="32" a="1"/>
  <c r="BH23" i="32" s="1"/>
  <c r="BG23" i="32" a="1"/>
  <c r="BG23" i="32" s="1"/>
  <c r="CX23" i="32"/>
  <c r="AI23" i="32" s="1"/>
  <c r="BI23" i="32" a="1"/>
  <c r="BI23" i="32" s="1"/>
  <c r="BE23" i="32"/>
  <c r="Y23" i="32" s="1"/>
  <c r="CO23" i="32"/>
  <c r="AF23" i="32" s="1"/>
  <c r="CR23" i="32"/>
  <c r="AG23" i="32" s="1"/>
  <c r="BQ23" i="32" a="1"/>
  <c r="BQ23" i="32" s="1"/>
  <c r="BO23" i="32" a="1"/>
  <c r="BO23" i="32" s="1"/>
  <c r="BN23" i="32" a="1"/>
  <c r="BN23" i="32" s="1"/>
  <c r="BF23" i="32" a="1"/>
  <c r="BF23" i="32" s="1"/>
  <c r="BJ23" i="32" a="1"/>
  <c r="BJ23" i="32" s="1"/>
  <c r="G26" i="32"/>
  <c r="O26" i="32" s="1"/>
  <c r="Q26" i="32" s="1"/>
  <c r="H26" i="32"/>
  <c r="E27" i="32" s="1" a="1"/>
  <c r="E27" i="32" s="1"/>
  <c r="F27" i="32" s="1" a="1"/>
  <c r="F27" i="32" s="1"/>
  <c r="I26" i="32"/>
  <c r="CD24" i="32"/>
  <c r="CC24" i="32" s="1" a="1"/>
  <c r="CC24" i="32" s="1"/>
  <c r="BY24" i="32" a="1"/>
  <c r="BY24" i="32" s="1"/>
  <c r="BZ24" i="32" a="1"/>
  <c r="BZ24" i="32" s="1"/>
  <c r="CA24" i="32" a="1"/>
  <c r="CA24" i="32" s="1"/>
  <c r="BP24" i="32"/>
  <c r="AY24" i="32" a="1"/>
  <c r="AY24" i="32" s="1"/>
  <c r="CD23" i="32"/>
  <c r="CC23" i="32" s="1" a="1"/>
  <c r="CC23" i="32" s="1"/>
  <c r="BY23" i="32" a="1"/>
  <c r="BY23" i="32" s="1"/>
  <c r="BZ23" i="32" a="1"/>
  <c r="BZ23" i="32" s="1"/>
  <c r="CA23" i="32" a="1"/>
  <c r="CA23" i="32" s="1"/>
  <c r="CW24" i="32" a="1"/>
  <c r="CW24" i="32" s="1"/>
  <c r="CN24" i="32" a="1"/>
  <c r="CN24" i="32" s="1"/>
  <c r="BV24" i="32"/>
  <c r="AT23" i="32" a="1"/>
  <c r="AT23" i="32" s="1"/>
  <c r="AW23" i="32" a="1"/>
  <c r="AW23" i="32" s="1"/>
  <c r="AU23" i="32" a="1"/>
  <c r="AU23" i="32" s="1"/>
  <c r="CM24" i="32" a="1"/>
  <c r="CM24" i="32" s="1"/>
  <c r="AV24" i="32"/>
  <c r="CZ23" i="32" a="1"/>
  <c r="CZ23" i="32" s="1"/>
  <c r="CY23" i="32" a="1"/>
  <c r="CY23" i="32" s="1"/>
  <c r="DA23" i="32" a="1"/>
  <c r="DA23" i="32" s="1"/>
  <c r="DC23" i="32" a="1"/>
  <c r="DC23" i="32" s="1"/>
  <c r="AM25" i="32"/>
  <c r="BS24" i="32" a="1"/>
  <c r="BS24" i="32" s="1"/>
  <c r="BT24" i="32" s="1"/>
  <c r="AA24" i="32" s="1"/>
  <c r="CQ24" i="32" a="1"/>
  <c r="CQ24" i="32" s="1"/>
  <c r="BW23" i="32" a="1"/>
  <c r="BW23" i="32" s="1"/>
  <c r="BU23" i="32" a="1"/>
  <c r="BU23" i="32" s="1"/>
  <c r="CT24" i="32" a="1"/>
  <c r="CT24" i="32" s="1"/>
  <c r="BB24" i="32" a="1"/>
  <c r="BB24" i="32" s="1"/>
  <c r="CP24" i="32" a="1"/>
  <c r="CP24" i="32" s="1"/>
  <c r="CV24" i="32" a="1"/>
  <c r="CV24" i="32" s="1"/>
  <c r="CF23" i="32" a="1"/>
  <c r="CF23" i="32" s="1"/>
  <c r="CH23" i="32" a="1"/>
  <c r="CH23" i="32" s="1"/>
  <c r="CK24" i="32" a="1"/>
  <c r="CK24" i="32" s="1"/>
  <c r="DB24" i="32"/>
  <c r="M27" i="32"/>
  <c r="I27" i="32" s="1"/>
  <c r="CJ24" i="32" a="1"/>
  <c r="CJ24" i="32" s="1"/>
  <c r="CS24" i="32" a="1"/>
  <c r="CS24" i="32" s="1"/>
  <c r="AZ24" i="32" a="1"/>
  <c r="AZ24" i="32" s="1"/>
  <c r="CG24" i="32"/>
  <c r="V22" i="32"/>
  <c r="U22" i="32"/>
  <c r="AK22" i="32"/>
  <c r="BD24" i="32"/>
  <c r="BC24" i="32" s="1" a="1"/>
  <c r="BC24" i="32" s="1"/>
  <c r="CO24" i="32" l="1"/>
  <c r="AF24" i="32" s="1"/>
  <c r="CI23" i="32"/>
  <c r="AD23" i="32" s="1"/>
  <c r="AX23" i="32" a="1"/>
  <c r="AX23" i="32" s="1"/>
  <c r="W23" i="32" s="1"/>
  <c r="P26" i="32"/>
  <c r="CX24" i="32"/>
  <c r="AI24" i="32" s="1"/>
  <c r="N26" i="32"/>
  <c r="BR23" i="32" a="1"/>
  <c r="BR23" i="32" s="1"/>
  <c r="Z23" i="32" s="1"/>
  <c r="T26" i="32"/>
  <c r="AM26" i="32" s="1"/>
  <c r="BA24" i="32"/>
  <c r="X24" i="32" s="1"/>
  <c r="BX23" i="32"/>
  <c r="AB23" i="32" s="1"/>
  <c r="CU24" i="32"/>
  <c r="AH24" i="32" s="1"/>
  <c r="DD23" i="32"/>
  <c r="AJ23" i="32" s="1"/>
  <c r="CE23" i="32" a="1"/>
  <c r="CE23" i="32" s="1"/>
  <c r="AC23" i="32" s="1"/>
  <c r="CL24" i="32"/>
  <c r="AE24" i="32" s="1"/>
  <c r="G27" i="32"/>
  <c r="O27" i="32" s="1"/>
  <c r="H27" i="32"/>
  <c r="E28" i="32" s="1" a="1"/>
  <c r="E28" i="32" s="1"/>
  <c r="F28" i="32" s="1" a="1"/>
  <c r="F28" i="32" s="1"/>
  <c r="CY24" i="32" a="1"/>
  <c r="CY24" i="32" s="1"/>
  <c r="DC24" i="32" a="1"/>
  <c r="DC24" i="32" s="1"/>
  <c r="DA24" i="32" a="1"/>
  <c r="DA24" i="32" s="1"/>
  <c r="CZ24" i="32" a="1"/>
  <c r="CZ24" i="32" s="1"/>
  <c r="BJ24" i="32" a="1"/>
  <c r="BJ24" i="32" s="1"/>
  <c r="BI24" i="32" a="1"/>
  <c r="BI24" i="32" s="1"/>
  <c r="BO24" i="32" a="1"/>
  <c r="BO24" i="32" s="1"/>
  <c r="BM24" i="32" a="1"/>
  <c r="BM24" i="32" s="1"/>
  <c r="BG24" i="32" a="1"/>
  <c r="BG24" i="32" s="1"/>
  <c r="BF24" i="32" a="1"/>
  <c r="BF24" i="32" s="1"/>
  <c r="BL24" i="32" a="1"/>
  <c r="BL24" i="32" s="1"/>
  <c r="BH24" i="32" a="1"/>
  <c r="BH24" i="32" s="1"/>
  <c r="BQ24" i="32" a="1"/>
  <c r="BQ24" i="32" s="1"/>
  <c r="BK24" i="32" a="1"/>
  <c r="BK24" i="32" s="1"/>
  <c r="BN24" i="32" a="1"/>
  <c r="BN24" i="32" s="1"/>
  <c r="CE24" i="32" a="1"/>
  <c r="CE24" i="32" s="1"/>
  <c r="AC24" i="32" s="1"/>
  <c r="AW24" i="32" a="1"/>
  <c r="AW24" i="32" s="1"/>
  <c r="AU24" i="32" a="1"/>
  <c r="AU24" i="32" s="1"/>
  <c r="AT24" i="32" a="1"/>
  <c r="AT24" i="32" s="1"/>
  <c r="CR24" i="32"/>
  <c r="AG24" i="32" s="1"/>
  <c r="BE24" i="32"/>
  <c r="Y24" i="32" s="1"/>
  <c r="AN25" i="32"/>
  <c r="AO25" i="32" s="1"/>
  <c r="AP25" i="32" s="1"/>
  <c r="AQ25" i="32" s="1"/>
  <c r="AR25" i="32" s="1"/>
  <c r="AS25" i="32" s="1"/>
  <c r="AV25" i="32" s="1"/>
  <c r="CF24" i="32" a="1"/>
  <c r="CF24" i="32" s="1"/>
  <c r="CH24" i="32" a="1"/>
  <c r="CH24" i="32" s="1"/>
  <c r="BW24" i="32" a="1"/>
  <c r="BW24" i="32" s="1"/>
  <c r="BU24" i="32" a="1"/>
  <c r="BU24" i="32" s="1"/>
  <c r="BX24" i="32" s="1"/>
  <c r="AB24" i="32" s="1"/>
  <c r="AX24" i="32" l="1" a="1"/>
  <c r="AX24" i="32" s="1"/>
  <c r="W24" i="32" s="1"/>
  <c r="U23" i="32"/>
  <c r="CI24" i="32"/>
  <c r="AD24" i="32" s="1"/>
  <c r="AK23" i="32"/>
  <c r="V23" i="32"/>
  <c r="CP25" i="32" a="1"/>
  <c r="CP25" i="32" s="1"/>
  <c r="CT25" i="32" a="1"/>
  <c r="CT25" i="32" s="1"/>
  <c r="CM25" i="32" a="1"/>
  <c r="CM25" i="32" s="1"/>
  <c r="DD24" i="32"/>
  <c r="AJ24" i="32" s="1"/>
  <c r="CJ25" i="32" a="1"/>
  <c r="CJ25" i="32" s="1"/>
  <c r="CQ25" i="32" a="1"/>
  <c r="CQ25" i="32" s="1"/>
  <c r="AU25" i="32" a="1"/>
  <c r="AU25" i="32" s="1"/>
  <c r="AT25" i="32" a="1"/>
  <c r="AT25" i="32" s="1"/>
  <c r="AX25" i="32" s="1" a="1"/>
  <c r="AX25" i="32" s="1"/>
  <c r="W25" i="32" s="1"/>
  <c r="AW25" i="32" a="1"/>
  <c r="AW25" i="32" s="1"/>
  <c r="BR24" i="32" a="1"/>
  <c r="BR24" i="32" s="1"/>
  <c r="Z24" i="32" s="1"/>
  <c r="BP25" i="32"/>
  <c r="DB25" i="32"/>
  <c r="BV25" i="32"/>
  <c r="CN25" i="32" a="1"/>
  <c r="CN25" i="32" s="1"/>
  <c r="CV25" i="32" a="1"/>
  <c r="CV25" i="32" s="1"/>
  <c r="BD25" i="32"/>
  <c r="BC25" i="32" s="1" a="1"/>
  <c r="BC25" i="32" s="1"/>
  <c r="AZ25" i="32" a="1"/>
  <c r="AZ25" i="32" s="1"/>
  <c r="CG25" i="32"/>
  <c r="CK25" i="32" a="1"/>
  <c r="CK25" i="32" s="1"/>
  <c r="CB25" i="32"/>
  <c r="BS25" i="32" a="1"/>
  <c r="BS25" i="32" s="1"/>
  <c r="BT25" i="32" s="1"/>
  <c r="AA25" i="32" s="1"/>
  <c r="AY25" i="32" a="1"/>
  <c r="AY25" i="32" s="1"/>
  <c r="BA25" i="32" s="1"/>
  <c r="X25" i="32" s="1"/>
  <c r="M28" i="32"/>
  <c r="H28" i="32" s="1"/>
  <c r="E29" i="32" s="1" a="1"/>
  <c r="E29" i="32" s="1"/>
  <c r="F29" i="32" s="1" a="1"/>
  <c r="F29" i="32" s="1"/>
  <c r="AN26" i="32"/>
  <c r="AO26" i="32" s="1"/>
  <c r="AP26" i="32" s="1"/>
  <c r="AQ26" i="32" s="1"/>
  <c r="AR26" i="32" s="1"/>
  <c r="AS26" i="32" s="1"/>
  <c r="CT26" i="32" s="1" a="1"/>
  <c r="CT26" i="32" s="1"/>
  <c r="P27" i="32"/>
  <c r="N27" i="32"/>
  <c r="T27" i="32"/>
  <c r="Q27" i="32"/>
  <c r="CW25" i="32" a="1"/>
  <c r="CW25" i="32" s="1"/>
  <c r="BB25" i="32" a="1"/>
  <c r="BB25" i="32" s="1"/>
  <c r="CS25" i="32" a="1"/>
  <c r="CS25" i="32" s="1"/>
  <c r="CR25" i="32" l="1"/>
  <c r="AG25" i="32" s="1"/>
  <c r="CO25" i="32"/>
  <c r="AF25" i="32" s="1"/>
  <c r="CU25" i="32"/>
  <c r="AH25" i="32" s="1"/>
  <c r="AK24" i="32"/>
  <c r="BE25" i="32"/>
  <c r="Y25" i="32" s="1"/>
  <c r="CL25" i="32"/>
  <c r="AE25" i="32" s="1"/>
  <c r="M29" i="32"/>
  <c r="G29" i="32" s="1"/>
  <c r="O29" i="32" s="1"/>
  <c r="AY26" i="32" a="1"/>
  <c r="AY26" i="32" s="1"/>
  <c r="BA26" i="32" s="1"/>
  <c r="X26" i="32" s="1"/>
  <c r="CJ26" i="32" a="1"/>
  <c r="CJ26" i="32" s="1"/>
  <c r="BB26" i="32" a="1"/>
  <c r="BB26" i="32" s="1"/>
  <c r="BE26" i="32" s="1"/>
  <c r="Y26" i="32" s="1"/>
  <c r="CK26" i="32" a="1"/>
  <c r="CK26" i="32" s="1"/>
  <c r="U24" i="32"/>
  <c r="CW26" i="32" a="1"/>
  <c r="CW26" i="32" s="1"/>
  <c r="CF25" i="32" a="1"/>
  <c r="CF25" i="32" s="1"/>
  <c r="CH25" i="32" a="1"/>
  <c r="CH25" i="32" s="1"/>
  <c r="CN26" i="32" a="1"/>
  <c r="CN26" i="32" s="1"/>
  <c r="AZ26" i="32" a="1"/>
  <c r="AZ26" i="32" s="1"/>
  <c r="V24" i="32"/>
  <c r="CB26" i="32"/>
  <c r="CM26" i="32" a="1"/>
  <c r="CM26" i="32" s="1"/>
  <c r="CX25" i="32"/>
  <c r="AI25" i="32" s="1"/>
  <c r="CP26" i="32" a="1"/>
  <c r="CP26" i="32" s="1"/>
  <c r="AM27" i="32"/>
  <c r="BS26" i="32" a="1"/>
  <c r="BS26" i="32" s="1"/>
  <c r="BT26" i="32" s="1"/>
  <c r="AA26" i="32" s="1"/>
  <c r="CS26" i="32" a="1"/>
  <c r="CS26" i="32" s="1"/>
  <c r="CU26" i="32" s="1"/>
  <c r="AH26" i="32" s="1"/>
  <c r="I28" i="32"/>
  <c r="BU25" i="32" a="1"/>
  <c r="BU25" i="32" s="1"/>
  <c r="BW25" i="32" a="1"/>
  <c r="BW25" i="32" s="1"/>
  <c r="CG26" i="32"/>
  <c r="BP26" i="32"/>
  <c r="G28" i="32"/>
  <c r="O28" i="32" s="1"/>
  <c r="CZ25" i="32" a="1"/>
  <c r="CZ25" i="32" s="1"/>
  <c r="DA25" i="32" a="1"/>
  <c r="DA25" i="32" s="1"/>
  <c r="DC25" i="32" a="1"/>
  <c r="DC25" i="32" s="1"/>
  <c r="CY25" i="32" a="1"/>
  <c r="CY25" i="32" s="1"/>
  <c r="BV26" i="32"/>
  <c r="AV26" i="32"/>
  <c r="CV26" i="32" a="1"/>
  <c r="CV26" i="32" s="1"/>
  <c r="BH25" i="32" a="1"/>
  <c r="BH25" i="32" s="1"/>
  <c r="BK25" i="32" a="1"/>
  <c r="BK25" i="32" s="1"/>
  <c r="BM25" i="32" a="1"/>
  <c r="BM25" i="32" s="1"/>
  <c r="BJ25" i="32" a="1"/>
  <c r="BJ25" i="32" s="1"/>
  <c r="BG25" i="32" a="1"/>
  <c r="BG25" i="32" s="1"/>
  <c r="BI25" i="32" a="1"/>
  <c r="BI25" i="32" s="1"/>
  <c r="BN25" i="32" a="1"/>
  <c r="BN25" i="32" s="1"/>
  <c r="BO25" i="32" a="1"/>
  <c r="BO25" i="32" s="1"/>
  <c r="BF25" i="32" a="1"/>
  <c r="BF25" i="32" s="1"/>
  <c r="BL25" i="32" a="1"/>
  <c r="BL25" i="32" s="1"/>
  <c r="BQ25" i="32" a="1"/>
  <c r="BQ25" i="32" s="1"/>
  <c r="CQ26" i="32" a="1"/>
  <c r="CQ26" i="32" s="1"/>
  <c r="DB26" i="32"/>
  <c r="BD26" i="32"/>
  <c r="BC26" i="32" s="1" a="1"/>
  <c r="BC26" i="32" s="1"/>
  <c r="BY25" i="32" a="1"/>
  <c r="BY25" i="32" s="1"/>
  <c r="CA25" i="32" a="1"/>
  <c r="CA25" i="32" s="1"/>
  <c r="BZ25" i="32" a="1"/>
  <c r="BZ25" i="32" s="1"/>
  <c r="CD25" i="32"/>
  <c r="CC25" i="32" s="1" a="1"/>
  <c r="CC25" i="32" s="1"/>
  <c r="BX25" i="32" l="1"/>
  <c r="AB25" i="32" s="1"/>
  <c r="CX26" i="32"/>
  <c r="AI26" i="32" s="1"/>
  <c r="CI25" i="32"/>
  <c r="AD25" i="32" s="1"/>
  <c r="H29" i="32"/>
  <c r="E30" i="32" s="1" a="1"/>
  <c r="E30" i="32" s="1"/>
  <c r="F30" i="32" s="1" a="1"/>
  <c r="F30" i="32" s="1"/>
  <c r="M30" i="32" s="1"/>
  <c r="I30" i="32" s="1"/>
  <c r="T29" i="32"/>
  <c r="Q29" i="32"/>
  <c r="P29" i="32"/>
  <c r="N29" i="32"/>
  <c r="DA26" i="32" a="1"/>
  <c r="DA26" i="32" s="1"/>
  <c r="CZ26" i="32" a="1"/>
  <c r="CZ26" i="32" s="1"/>
  <c r="DC26" i="32" a="1"/>
  <c r="DC26" i="32" s="1"/>
  <c r="CY26" i="32" a="1"/>
  <c r="CY26" i="32" s="1"/>
  <c r="AN27" i="32"/>
  <c r="AO27" i="32" s="1"/>
  <c r="AP27" i="32" s="1"/>
  <c r="AQ27" i="32" s="1"/>
  <c r="AR27" i="32" s="1"/>
  <c r="AS27" i="32" s="1"/>
  <c r="BS27" i="32" s="1" a="1"/>
  <c r="BS27" i="32" s="1"/>
  <c r="BT27" i="32" s="1"/>
  <c r="AA27" i="32" s="1"/>
  <c r="CA26" i="32" a="1"/>
  <c r="CA26" i="32" s="1"/>
  <c r="CD26" i="32"/>
  <c r="CC26" i="32" s="1" a="1"/>
  <c r="CC26" i="32" s="1"/>
  <c r="BZ26" i="32" a="1"/>
  <c r="BZ26" i="32" s="1"/>
  <c r="BY26" i="32" a="1"/>
  <c r="BY26" i="32" s="1"/>
  <c r="BR25" i="32" a="1"/>
  <c r="BR25" i="32" s="1"/>
  <c r="Z25" i="32" s="1"/>
  <c r="T28" i="32"/>
  <c r="Q28" i="32"/>
  <c r="P28" i="32"/>
  <c r="N28" i="32"/>
  <c r="BH26" i="32" a="1"/>
  <c r="BH26" i="32" s="1"/>
  <c r="BQ26" i="32" a="1"/>
  <c r="BQ26" i="32" s="1"/>
  <c r="BL26" i="32" a="1"/>
  <c r="BL26" i="32" s="1"/>
  <c r="BK26" i="32" a="1"/>
  <c r="BK26" i="32" s="1"/>
  <c r="BF26" i="32" a="1"/>
  <c r="BF26" i="32" s="1"/>
  <c r="BJ26" i="32" a="1"/>
  <c r="BJ26" i="32" s="1"/>
  <c r="BN26" i="32" a="1"/>
  <c r="BN26" i="32" s="1"/>
  <c r="BO26" i="32" a="1"/>
  <c r="BO26" i="32" s="1"/>
  <c r="BG26" i="32" a="1"/>
  <c r="BG26" i="32" s="1"/>
  <c r="BM26" i="32" a="1"/>
  <c r="BM26" i="32" s="1"/>
  <c r="BI26" i="32" a="1"/>
  <c r="BI26" i="32" s="1"/>
  <c r="CH26" i="32" a="1"/>
  <c r="CH26" i="32" s="1"/>
  <c r="CF26" i="32" a="1"/>
  <c r="CF26" i="32" s="1"/>
  <c r="CL26" i="32"/>
  <c r="AE26" i="32" s="1"/>
  <c r="CE25" i="32" a="1"/>
  <c r="CE25" i="32" s="1"/>
  <c r="AC25" i="32" s="1"/>
  <c r="AW26" i="32" a="1"/>
  <c r="AW26" i="32" s="1"/>
  <c r="AT26" i="32" a="1"/>
  <c r="AT26" i="32" s="1"/>
  <c r="AU26" i="32" a="1"/>
  <c r="AU26" i="32" s="1"/>
  <c r="CR26" i="32"/>
  <c r="AG26" i="32" s="1"/>
  <c r="I29" i="32"/>
  <c r="BW26" i="32" a="1"/>
  <c r="BW26" i="32" s="1"/>
  <c r="BU26" i="32" a="1"/>
  <c r="BU26" i="32" s="1"/>
  <c r="DD25" i="32"/>
  <c r="AJ25" i="32" s="1"/>
  <c r="CO26" i="32"/>
  <c r="AF26" i="32" s="1"/>
  <c r="AX26" i="32" l="1" a="1"/>
  <c r="AX26" i="32" s="1"/>
  <c r="W26" i="32" s="1"/>
  <c r="BX26" i="32"/>
  <c r="AB26" i="32" s="1"/>
  <c r="CI26" i="32"/>
  <c r="AD26" i="32" s="1"/>
  <c r="DD26" i="32"/>
  <c r="AJ26" i="32" s="1"/>
  <c r="BD27" i="32"/>
  <c r="BC27" i="32" s="1" a="1"/>
  <c r="BC27" i="32" s="1"/>
  <c r="CT27" i="32" a="1"/>
  <c r="CT27" i="32" s="1"/>
  <c r="CK27" i="32" a="1"/>
  <c r="CK27" i="32" s="1"/>
  <c r="CJ27" i="32" a="1"/>
  <c r="CJ27" i="32" s="1"/>
  <c r="AZ27" i="32" a="1"/>
  <c r="AZ27" i="32" s="1"/>
  <c r="CE26" i="32" a="1"/>
  <c r="CE26" i="32" s="1"/>
  <c r="AC26" i="32" s="1"/>
  <c r="BR26" i="32" a="1"/>
  <c r="BR26" i="32" s="1"/>
  <c r="Z26" i="32" s="1"/>
  <c r="CG27" i="32"/>
  <c r="CB27" i="32"/>
  <c r="CQ27" i="32" a="1"/>
  <c r="CQ27" i="32" s="1"/>
  <c r="CN27" i="32" a="1"/>
  <c r="CN27" i="32" s="1"/>
  <c r="CW27" i="32" a="1"/>
  <c r="CW27" i="32" s="1"/>
  <c r="AM28" i="32"/>
  <c r="BB27" i="32" a="1"/>
  <c r="BB27" i="32" s="1"/>
  <c r="V25" i="32"/>
  <c r="AK25" i="32"/>
  <c r="U25" i="32"/>
  <c r="AY27" i="32" a="1"/>
  <c r="AY27" i="32" s="1"/>
  <c r="BA27" i="32" s="1"/>
  <c r="X27" i="32" s="1"/>
  <c r="CP27" i="32" a="1"/>
  <c r="CP27" i="32" s="1"/>
  <c r="CS27" i="32" a="1"/>
  <c r="CS27" i="32" s="1"/>
  <c r="AV27" i="32"/>
  <c r="CV27" i="32" a="1"/>
  <c r="CV27" i="32" s="1"/>
  <c r="BV27" i="32"/>
  <c r="CM27" i="32" a="1"/>
  <c r="CM27" i="32" s="1"/>
  <c r="G30" i="32"/>
  <c r="O30" i="32" s="1"/>
  <c r="DB27" i="32"/>
  <c r="BP27" i="32"/>
  <c r="H30" i="32"/>
  <c r="E31" i="32" s="1" a="1"/>
  <c r="E31" i="32" s="1"/>
  <c r="F31" i="32" s="1" a="1"/>
  <c r="F31" i="32" s="1"/>
  <c r="AM29" i="32"/>
  <c r="CX27" i="32" l="1"/>
  <c r="AI27" i="32" s="1"/>
  <c r="BE27" i="32"/>
  <c r="Y27" i="32" s="1"/>
  <c r="CO27" i="32"/>
  <c r="AF27" i="32" s="1"/>
  <c r="AK26" i="32"/>
  <c r="CR27" i="32"/>
  <c r="AG27" i="32" s="1"/>
  <c r="U26" i="32"/>
  <c r="V26" i="32"/>
  <c r="CU27" i="32"/>
  <c r="AH27" i="32" s="1"/>
  <c r="CL27" i="32"/>
  <c r="AE27" i="32" s="1"/>
  <c r="AN28" i="32"/>
  <c r="AO28" i="32" s="1"/>
  <c r="AP28" i="32" s="1"/>
  <c r="AQ28" i="32" s="1"/>
  <c r="AR28" i="32" s="1"/>
  <c r="AS28" i="32" s="1"/>
  <c r="CM28" i="32" s="1" a="1"/>
  <c r="CM28" i="32" s="1"/>
  <c r="M31" i="32"/>
  <c r="G31" i="32" s="1"/>
  <c r="O31" i="32" s="1"/>
  <c r="BU27" i="32" a="1"/>
  <c r="BU27" i="32" s="1"/>
  <c r="BW27" i="32" a="1"/>
  <c r="BW27" i="32" s="1"/>
  <c r="BL27" i="32" a="1"/>
  <c r="BL27" i="32" s="1"/>
  <c r="BN27" i="32" a="1"/>
  <c r="BN27" i="32" s="1"/>
  <c r="BG27" i="32" a="1"/>
  <c r="BG27" i="32" s="1"/>
  <c r="BQ27" i="32" a="1"/>
  <c r="BQ27" i="32" s="1"/>
  <c r="BK27" i="32" a="1"/>
  <c r="BK27" i="32" s="1"/>
  <c r="BM27" i="32" a="1"/>
  <c r="BM27" i="32" s="1"/>
  <c r="BO27" i="32" a="1"/>
  <c r="BO27" i="32" s="1"/>
  <c r="BF27" i="32" a="1"/>
  <c r="BF27" i="32" s="1"/>
  <c r="BI27" i="32" a="1"/>
  <c r="BI27" i="32" s="1"/>
  <c r="BH27" i="32" a="1"/>
  <c r="BH27" i="32" s="1"/>
  <c r="BJ27" i="32" a="1"/>
  <c r="BJ27" i="32" s="1"/>
  <c r="CZ27" i="32" a="1"/>
  <c r="CZ27" i="32" s="1"/>
  <c r="CY27" i="32" a="1"/>
  <c r="CY27" i="32" s="1"/>
  <c r="DA27" i="32" a="1"/>
  <c r="DA27" i="32" s="1"/>
  <c r="DC27" i="32" a="1"/>
  <c r="DC27" i="32" s="1"/>
  <c r="Q30" i="32"/>
  <c r="T30" i="32"/>
  <c r="P30" i="32"/>
  <c r="N30" i="32"/>
  <c r="CA27" i="32" a="1"/>
  <c r="CA27" i="32" s="1"/>
  <c r="BY27" i="32" a="1"/>
  <c r="BY27" i="32" s="1"/>
  <c r="CD27" i="32"/>
  <c r="CC27" i="32" s="1" a="1"/>
  <c r="CC27" i="32" s="1"/>
  <c r="BZ27" i="32" a="1"/>
  <c r="BZ27" i="32" s="1"/>
  <c r="AU27" i="32" a="1"/>
  <c r="AU27" i="32" s="1"/>
  <c r="AT27" i="32" a="1"/>
  <c r="AT27" i="32" s="1"/>
  <c r="AX27" i="32" s="1" a="1"/>
  <c r="AX27" i="32" s="1"/>
  <c r="W27" i="32" s="1"/>
  <c r="AW27" i="32" a="1"/>
  <c r="AW27" i="32" s="1"/>
  <c r="AN29" i="32"/>
  <c r="AO29" i="32" s="1"/>
  <c r="AP29" i="32" s="1"/>
  <c r="AQ29" i="32" s="1"/>
  <c r="AR29" i="32" s="1"/>
  <c r="AS29" i="32" s="1"/>
  <c r="CK29" i="32" s="1" a="1"/>
  <c r="CK29" i="32" s="1"/>
  <c r="CF27" i="32" a="1"/>
  <c r="CF27" i="32" s="1"/>
  <c r="CI27" i="32" s="1"/>
  <c r="AD27" i="32" s="1"/>
  <c r="CH27" i="32" a="1"/>
  <c r="CH27" i="32" s="1"/>
  <c r="BS29" i="32" l="1" a="1"/>
  <c r="BS29" i="32" s="1"/>
  <c r="BT29" i="32" s="1"/>
  <c r="AA29" i="32" s="1"/>
  <c r="CS29" i="32" a="1"/>
  <c r="CS29" i="32" s="1"/>
  <c r="DB29" i="32"/>
  <c r="DA29" i="32" s="1" a="1"/>
  <c r="DA29" i="32" s="1"/>
  <c r="CB29" i="32"/>
  <c r="BZ29" i="32" s="1" a="1"/>
  <c r="BZ29" i="32" s="1"/>
  <c r="BX27" i="32"/>
  <c r="AB27" i="32" s="1"/>
  <c r="AY29" i="32" a="1"/>
  <c r="AY29" i="32" s="1"/>
  <c r="BV29" i="32"/>
  <c r="BU29" i="32" s="1" a="1"/>
  <c r="BU29" i="32" s="1"/>
  <c r="CP29" i="32" a="1"/>
  <c r="CP29" i="32" s="1"/>
  <c r="CQ29" i="32" a="1"/>
  <c r="CQ29" i="32" s="1"/>
  <c r="CE27" i="32" a="1"/>
  <c r="CE27" i="32" s="1"/>
  <c r="AC27" i="32" s="1"/>
  <c r="N31" i="32"/>
  <c r="T31" i="32"/>
  <c r="P31" i="32"/>
  <c r="Q31" i="32"/>
  <c r="CT28" i="32" a="1"/>
  <c r="CT28" i="32" s="1"/>
  <c r="BR27" i="32" a="1"/>
  <c r="BR27" i="32" s="1"/>
  <c r="Z27" i="32" s="1"/>
  <c r="BS28" i="32" a="1"/>
  <c r="BS28" i="32" s="1"/>
  <c r="BT28" i="32" s="1"/>
  <c r="AA28" i="32" s="1"/>
  <c r="BD28" i="32"/>
  <c r="BC28" i="32" s="1" a="1"/>
  <c r="BC28" i="32" s="1"/>
  <c r="CP28" i="32" a="1"/>
  <c r="CP28" i="32" s="1"/>
  <c r="CW28" i="32" a="1"/>
  <c r="CW28" i="32" s="1"/>
  <c r="CJ28" i="32" a="1"/>
  <c r="CJ28" i="32" s="1"/>
  <c r="DB28" i="32"/>
  <c r="CK28" i="32" a="1"/>
  <c r="CK28" i="32" s="1"/>
  <c r="BV28" i="32"/>
  <c r="CS28" i="32" a="1"/>
  <c r="CS28" i="32" s="1"/>
  <c r="CV29" i="32" a="1"/>
  <c r="CV29" i="32" s="1"/>
  <c r="CM29" i="32" a="1"/>
  <c r="CM29" i="32" s="1"/>
  <c r="CG29" i="32"/>
  <c r="BP29" i="32"/>
  <c r="CW29" i="32" a="1"/>
  <c r="CW29" i="32" s="1"/>
  <c r="AZ29" i="32" a="1"/>
  <c r="AZ29" i="32" s="1"/>
  <c r="AM30" i="32"/>
  <c r="CN29" i="32" a="1"/>
  <c r="CN29" i="32" s="1"/>
  <c r="CT29" i="32" a="1"/>
  <c r="CT29" i="32" s="1"/>
  <c r="CU29" i="32" s="1"/>
  <c r="AH29" i="32" s="1"/>
  <c r="AV29" i="32"/>
  <c r="BD29" i="32"/>
  <c r="BC29" i="32" s="1" a="1"/>
  <c r="BC29" i="32" s="1"/>
  <c r="AY28" i="32" a="1"/>
  <c r="AY28" i="32" s="1"/>
  <c r="BB29" i="32" a="1"/>
  <c r="BB29" i="32" s="1"/>
  <c r="CZ29" i="32" a="1"/>
  <c r="CZ29" i="32" s="1"/>
  <c r="CJ29" i="32" a="1"/>
  <c r="CJ29" i="32" s="1"/>
  <c r="CL29" i="32" s="1"/>
  <c r="AE29" i="32" s="1"/>
  <c r="H31" i="32"/>
  <c r="E32" i="32" s="1" a="1"/>
  <c r="E32" i="32" s="1"/>
  <c r="F32" i="32" s="1" a="1"/>
  <c r="F32" i="32" s="1"/>
  <c r="AZ28" i="32" a="1"/>
  <c r="AZ28" i="32" s="1"/>
  <c r="CG28" i="32"/>
  <c r="DD27" i="32"/>
  <c r="AJ27" i="32" s="1"/>
  <c r="I31" i="32"/>
  <c r="CN28" i="32" a="1"/>
  <c r="CN28" i="32" s="1"/>
  <c r="CO28" i="32" s="1"/>
  <c r="AF28" i="32" s="1"/>
  <c r="AV28" i="32"/>
  <c r="CB28" i="32"/>
  <c r="BB28" i="32" a="1"/>
  <c r="BB28" i="32" s="1"/>
  <c r="CQ28" i="32" a="1"/>
  <c r="CQ28" i="32" s="1"/>
  <c r="BP28" i="32"/>
  <c r="CV28" i="32" a="1"/>
  <c r="CV28" i="32" s="1"/>
  <c r="AZ2" i="8"/>
  <c r="AY2" i="8"/>
  <c r="AX2" i="8"/>
  <c r="AW2" i="8"/>
  <c r="AV2" i="8"/>
  <c r="AU2" i="8"/>
  <c r="AT2" i="8"/>
  <c r="AS2" i="8"/>
  <c r="AR2" i="8"/>
  <c r="AQ2" i="8"/>
  <c r="AP2" i="8"/>
  <c r="AO2" i="8"/>
  <c r="AN2" i="8"/>
  <c r="AM2" i="8"/>
  <c r="AL2" i="8"/>
  <c r="AK2" i="8"/>
  <c r="AJ2" i="8"/>
  <c r="AI2" i="8"/>
  <c r="AH2" i="8"/>
  <c r="AG2" i="8"/>
  <c r="AF2" i="8"/>
  <c r="AE2" i="8"/>
  <c r="AD2" i="8"/>
  <c r="AC2" i="8"/>
  <c r="AB2" i="8"/>
  <c r="AA2" i="8"/>
  <c r="Z2" i="8"/>
  <c r="Y2" i="8"/>
  <c r="X2" i="8"/>
  <c r="W2" i="8"/>
  <c r="V2" i="8"/>
  <c r="U2" i="8"/>
  <c r="T2" i="8"/>
  <c r="S2" i="8"/>
  <c r="R2" i="8"/>
  <c r="Q2" i="8"/>
  <c r="P2" i="8"/>
  <c r="O2" i="8"/>
  <c r="N2" i="8"/>
  <c r="M2" i="8"/>
  <c r="L2" i="8"/>
  <c r="K2" i="8"/>
  <c r="J2" i="8"/>
  <c r="I2" i="8"/>
  <c r="H2" i="8"/>
  <c r="G2" i="8"/>
  <c r="F2" i="8"/>
  <c r="E2" i="8"/>
  <c r="D2" i="8"/>
  <c r="C2" i="8"/>
  <c r="CX28" i="32" l="1"/>
  <c r="AI28" i="32" s="1"/>
  <c r="CD29" i="32"/>
  <c r="CC29" i="32" s="1" a="1"/>
  <c r="CC29" i="32" s="1"/>
  <c r="BY29" i="32" a="1"/>
  <c r="BY29" i="32" s="1"/>
  <c r="CA29" i="32" a="1"/>
  <c r="CA29" i="32" s="1"/>
  <c r="DC29" i="32" a="1"/>
  <c r="DC29" i="32" s="1"/>
  <c r="BA28" i="32"/>
  <c r="X28" i="32" s="1"/>
  <c r="CY29" i="32" a="1"/>
  <c r="CY29" i="32" s="1"/>
  <c r="DD29" i="32" s="1"/>
  <c r="AJ29" i="32" s="1"/>
  <c r="BW29" i="32" a="1"/>
  <c r="BW29" i="32" s="1"/>
  <c r="BX29" i="32" s="1"/>
  <c r="AB29" i="32" s="1"/>
  <c r="CR29" i="32"/>
  <c r="AG29" i="32" s="1"/>
  <c r="BA29" i="32"/>
  <c r="X29" i="32" s="1"/>
  <c r="CX29" i="32"/>
  <c r="AI29" i="32" s="1"/>
  <c r="BE28" i="32"/>
  <c r="Y28" i="32" s="1"/>
  <c r="AK27" i="32"/>
  <c r="CF28" i="32" a="1"/>
  <c r="CF28" i="32" s="1"/>
  <c r="CI28" i="32" s="1"/>
  <c r="AD28" i="32" s="1"/>
  <c r="CH28" i="32" a="1"/>
  <c r="CH28" i="32" s="1"/>
  <c r="BN29" i="32" a="1"/>
  <c r="BN29" i="32" s="1"/>
  <c r="BL29" i="32" a="1"/>
  <c r="BL29" i="32" s="1"/>
  <c r="BQ29" i="32" a="1"/>
  <c r="BQ29" i="32" s="1"/>
  <c r="BK29" i="32" a="1"/>
  <c r="BK29" i="32" s="1"/>
  <c r="BO29" i="32" a="1"/>
  <c r="BO29" i="32" s="1"/>
  <c r="BI29" i="32" a="1"/>
  <c r="BI29" i="32" s="1"/>
  <c r="BF29" i="32" a="1"/>
  <c r="BF29" i="32" s="1"/>
  <c r="BG29" i="32" a="1"/>
  <c r="BG29" i="32" s="1"/>
  <c r="BH29" i="32" a="1"/>
  <c r="BH29" i="32" s="1"/>
  <c r="BJ29" i="32" a="1"/>
  <c r="BJ29" i="32" s="1"/>
  <c r="BM29" i="32" a="1"/>
  <c r="BM29" i="32" s="1"/>
  <c r="CF29" i="32" a="1"/>
  <c r="CF29" i="32" s="1"/>
  <c r="CH29" i="32" a="1"/>
  <c r="CH29" i="32" s="1"/>
  <c r="CO29" i="32"/>
  <c r="AF29" i="32" s="1"/>
  <c r="U27" i="32"/>
  <c r="V27" i="32"/>
  <c r="BE29" i="32"/>
  <c r="Y29" i="32" s="1"/>
  <c r="M32" i="32"/>
  <c r="H32" i="32" s="1"/>
  <c r="E33" i="32" s="1" a="1"/>
  <c r="E33" i="32" s="1"/>
  <c r="F33" i="32" s="1" a="1"/>
  <c r="F33" i="32" s="1"/>
  <c r="CU28" i="32"/>
  <c r="AH28" i="32" s="1"/>
  <c r="BU28" i="32" a="1"/>
  <c r="BU28" i="32" s="1"/>
  <c r="BW28" i="32" a="1"/>
  <c r="BW28" i="32" s="1"/>
  <c r="BF28" i="32" a="1"/>
  <c r="BF28" i="32" s="1"/>
  <c r="BG28" i="32" a="1"/>
  <c r="BG28" i="32" s="1"/>
  <c r="BJ28" i="32" a="1"/>
  <c r="BJ28" i="32" s="1"/>
  <c r="BI28" i="32" a="1"/>
  <c r="BI28" i="32" s="1"/>
  <c r="BK28" i="32" a="1"/>
  <c r="BK28" i="32" s="1"/>
  <c r="BL28" i="32" a="1"/>
  <c r="BL28" i="32" s="1"/>
  <c r="BO28" i="32" a="1"/>
  <c r="BO28" i="32" s="1"/>
  <c r="BH28" i="32" a="1"/>
  <c r="BH28" i="32" s="1"/>
  <c r="BM28" i="32" a="1"/>
  <c r="BM28" i="32" s="1"/>
  <c r="BN28" i="32" a="1"/>
  <c r="BN28" i="32" s="1"/>
  <c r="BQ28" i="32" a="1"/>
  <c r="BQ28" i="32" s="1"/>
  <c r="AT29" i="32" a="1"/>
  <c r="AT29" i="32" s="1"/>
  <c r="AU29" i="32" a="1"/>
  <c r="AU29" i="32" s="1"/>
  <c r="AW29" i="32" a="1"/>
  <c r="AW29" i="32" s="1"/>
  <c r="DA28" i="32" a="1"/>
  <c r="DA28" i="32" s="1"/>
  <c r="CZ28" i="32" a="1"/>
  <c r="CZ28" i="32" s="1"/>
  <c r="DC28" i="32" a="1"/>
  <c r="DC28" i="32" s="1"/>
  <c r="CY28" i="32" a="1"/>
  <c r="CY28" i="32" s="1"/>
  <c r="AM31" i="32"/>
  <c r="CL28" i="32"/>
  <c r="AE28" i="32" s="1"/>
  <c r="CE29" i="32" a="1"/>
  <c r="CE29" i="32" s="1"/>
  <c r="AC29" i="32" s="1"/>
  <c r="BZ28" i="32" a="1"/>
  <c r="BZ28" i="32" s="1"/>
  <c r="BY28" i="32" a="1"/>
  <c r="BY28" i="32" s="1"/>
  <c r="CD28" i="32"/>
  <c r="CC28" i="32" s="1" a="1"/>
  <c r="CC28" i="32" s="1"/>
  <c r="CA28" i="32" a="1"/>
  <c r="CA28" i="32" s="1"/>
  <c r="AN30" i="32"/>
  <c r="AO30" i="32" s="1"/>
  <c r="AP30" i="32" s="1"/>
  <c r="AQ30" i="32" s="1"/>
  <c r="AR30" i="32" s="1"/>
  <c r="AS30" i="32" s="1"/>
  <c r="DB30" i="32" s="1"/>
  <c r="AW28" i="32" a="1"/>
  <c r="AW28" i="32" s="1"/>
  <c r="AT28" i="32" a="1"/>
  <c r="AT28" i="32" s="1"/>
  <c r="AU28" i="32" a="1"/>
  <c r="AU28" i="32" s="1"/>
  <c r="CR28" i="32"/>
  <c r="AG28" i="32" s="1"/>
  <c r="A1" i="9"/>
  <c r="N1" i="9"/>
  <c r="O1" i="9"/>
  <c r="N6" i="9"/>
  <c r="N7" i="9" a="1"/>
  <c r="N7" i="9" s="1"/>
  <c r="M115" i="9"/>
  <c r="O115" i="9"/>
  <c r="A1" i="8"/>
  <c r="C1" i="8"/>
  <c r="D1" i="8"/>
  <c r="E1" i="8"/>
  <c r="F1" i="8"/>
  <c r="G1" i="8"/>
  <c r="H1" i="8"/>
  <c r="I1" i="8"/>
  <c r="J1" i="8"/>
  <c r="K1" i="8"/>
  <c r="L1" i="8"/>
  <c r="M1" i="8"/>
  <c r="N1" i="8"/>
  <c r="O1" i="8"/>
  <c r="P1" i="8"/>
  <c r="Q1" i="8"/>
  <c r="R1" i="8"/>
  <c r="S1" i="8"/>
  <c r="T1" i="8"/>
  <c r="V1" i="8"/>
  <c r="W1" i="8"/>
  <c r="X1" i="8"/>
  <c r="Y1" i="8"/>
  <c r="Z1" i="8"/>
  <c r="AA1" i="8"/>
  <c r="AB1" i="8"/>
  <c r="AC1" i="8"/>
  <c r="AD1" i="8"/>
  <c r="AE1" i="8"/>
  <c r="AF1" i="8"/>
  <c r="AG1" i="8"/>
  <c r="AH1" i="8"/>
  <c r="AI1" i="8"/>
  <c r="AJ1" i="8"/>
  <c r="AL1" i="8"/>
  <c r="AM1" i="8"/>
  <c r="AN1" i="8"/>
  <c r="AO1" i="8"/>
  <c r="AP1" i="8"/>
  <c r="AQ1" i="8"/>
  <c r="AR1" i="8"/>
  <c r="AS1" i="8"/>
  <c r="AT1" i="8"/>
  <c r="AU1" i="8"/>
  <c r="AV1" i="8"/>
  <c r="AW1" i="8"/>
  <c r="AX1" i="8"/>
  <c r="AY1" i="8"/>
  <c r="AZ1" i="8"/>
  <c r="BE1" i="8"/>
  <c r="BF1" i="8"/>
  <c r="D5" i="8"/>
  <c r="BE6" i="8"/>
  <c r="BE7" i="8"/>
  <c r="D29" i="8"/>
  <c r="B43" i="8"/>
  <c r="C43" i="8"/>
  <c r="D43" i="8"/>
  <c r="E43" i="8"/>
  <c r="AX28" i="32" l="1" a="1"/>
  <c r="AX28" i="32" s="1"/>
  <c r="W28" i="32" s="1"/>
  <c r="I32" i="32"/>
  <c r="DD28" i="32"/>
  <c r="AJ28" i="32" s="1"/>
  <c r="CI29" i="32"/>
  <c r="AD29" i="32" s="1"/>
  <c r="CV30" i="32" a="1"/>
  <c r="CV30" i="32" s="1"/>
  <c r="CW30" i="32" a="1"/>
  <c r="CW30" i="32" s="1"/>
  <c r="AV30" i="32"/>
  <c r="AW30" i="32" s="1" a="1"/>
  <c r="AW30" i="32" s="1"/>
  <c r="CS30" i="32" a="1"/>
  <c r="CS30" i="32" s="1"/>
  <c r="BX28" i="32"/>
  <c r="AB28" i="32" s="1"/>
  <c r="BB30" i="32" a="1"/>
  <c r="BB30" i="32" s="1"/>
  <c r="BP30" i="32"/>
  <c r="BM30" i="32" s="1" a="1"/>
  <c r="BM30" i="32" s="1"/>
  <c r="AX29" i="32" a="1"/>
  <c r="AX29" i="32" s="1"/>
  <c r="W29" i="32" s="1"/>
  <c r="G32" i="32"/>
  <c r="O32" i="32" s="1"/>
  <c r="P32" i="32" s="1"/>
  <c r="CE28" i="32" a="1"/>
  <c r="CE28" i="32" s="1"/>
  <c r="AC28" i="32" s="1"/>
  <c r="DC30" i="32" a="1"/>
  <c r="DC30" i="32" s="1"/>
  <c r="CZ30" i="32" a="1"/>
  <c r="CZ30" i="32" s="1"/>
  <c r="DA30" i="32" a="1"/>
  <c r="DA30" i="32" s="1"/>
  <c r="CY30" i="32" a="1"/>
  <c r="CY30" i="32" s="1"/>
  <c r="M33" i="32"/>
  <c r="G33" i="32" s="1"/>
  <c r="O33" i="32" s="1"/>
  <c r="AZ30" i="32" a="1"/>
  <c r="AZ30" i="32" s="1"/>
  <c r="CG30" i="32"/>
  <c r="AY30" i="32" a="1"/>
  <c r="AY30" i="32" s="1"/>
  <c r="BA30" i="32" s="1"/>
  <c r="X30" i="32" s="1"/>
  <c r="BN30" i="32" a="1"/>
  <c r="BN30" i="32" s="1"/>
  <c r="CQ30" i="32" a="1"/>
  <c r="CQ30" i="32" s="1"/>
  <c r="AN31" i="32"/>
  <c r="AO31" i="32" s="1"/>
  <c r="AP31" i="32" s="1"/>
  <c r="AQ31" i="32" s="1"/>
  <c r="AR31" i="32" s="1"/>
  <c r="AS31" i="32" s="1"/>
  <c r="CM31" i="32" s="1" a="1"/>
  <c r="CM31" i="32" s="1"/>
  <c r="CM30" i="32" a="1"/>
  <c r="CM30" i="32" s="1"/>
  <c r="CT30" i="32" a="1"/>
  <c r="CT30" i="32" s="1"/>
  <c r="CU30" i="32" s="1"/>
  <c r="AH30" i="32" s="1"/>
  <c r="CN30" i="32" a="1"/>
  <c r="CN30" i="32" s="1"/>
  <c r="BR28" i="32" a="1"/>
  <c r="BR28" i="32" s="1"/>
  <c r="Z28" i="32" s="1"/>
  <c r="BR29" i="32" a="1"/>
  <c r="BR29" i="32" s="1"/>
  <c r="Z29" i="32" s="1"/>
  <c r="CJ30" i="32" a="1"/>
  <c r="CJ30" i="32" s="1"/>
  <c r="BS30" i="32" a="1"/>
  <c r="BS30" i="32" s="1"/>
  <c r="BT30" i="32" s="1"/>
  <c r="AA30" i="32" s="1"/>
  <c r="CK30" i="32" a="1"/>
  <c r="CK30" i="32" s="1"/>
  <c r="CB30" i="32"/>
  <c r="BD30" i="32"/>
  <c r="BC30" i="32" s="1" a="1"/>
  <c r="BC30" i="32" s="1"/>
  <c r="BV30" i="32"/>
  <c r="CP30" i="32" a="1"/>
  <c r="CP30" i="32" s="1"/>
  <c r="N4" i="9"/>
  <c r="O3" i="9"/>
  <c r="N5" i="9"/>
  <c r="N3" i="9"/>
  <c r="C51" i="8"/>
  <c r="P51" i="8"/>
  <c r="P52" i="8"/>
  <c r="C54" i="8"/>
  <c r="O55" i="8"/>
  <c r="O56" i="8"/>
  <c r="C57" i="8"/>
  <c r="O57" i="8"/>
  <c r="O58" i="8"/>
  <c r="C60" i="8"/>
  <c r="C63" i="8"/>
  <c r="C66" i="8"/>
  <c r="E69" i="8"/>
  <c r="J69" i="8"/>
  <c r="K69" i="8"/>
  <c r="L69" i="8"/>
  <c r="M69" i="8"/>
  <c r="N69" i="8"/>
  <c r="O69" i="8"/>
  <c r="P69" i="8"/>
  <c r="C78" i="8"/>
  <c r="R79" i="8"/>
  <c r="C80" i="8"/>
  <c r="C82" i="8"/>
  <c r="O84" i="8"/>
  <c r="P84" i="8"/>
  <c r="Q84" i="8"/>
  <c r="R84" i="8"/>
  <c r="S84" i="8"/>
  <c r="I103" i="8"/>
  <c r="I106" i="8"/>
  <c r="G107" i="8"/>
  <c r="J107" i="8" s="1"/>
  <c r="I107" i="8"/>
  <c r="C108" i="8"/>
  <c r="I108" i="8"/>
  <c r="I109" i="8"/>
  <c r="I110" i="8"/>
  <c r="I111" i="8"/>
  <c r="G113" i="8"/>
  <c r="J113" i="8" s="1"/>
  <c r="I113" i="8"/>
  <c r="I114" i="8"/>
  <c r="F116" i="8"/>
  <c r="E114" i="8" s="1"/>
  <c r="I116" i="8"/>
  <c r="J104" i="8"/>
  <c r="K107" i="8"/>
  <c r="K110" i="8"/>
  <c r="K111" i="8"/>
  <c r="D66" i="8"/>
  <c r="D78" i="8"/>
  <c r="K109" i="8"/>
  <c r="D82" i="8"/>
  <c r="P57" i="8"/>
  <c r="D54" i="8"/>
  <c r="P56" i="8"/>
  <c r="D57" i="8"/>
  <c r="D60" i="8"/>
  <c r="K116" i="8"/>
  <c r="D63" i="8"/>
  <c r="K108" i="8"/>
  <c r="D51" i="8"/>
  <c r="P58" i="8"/>
  <c r="K114" i="8"/>
  <c r="J103" i="8"/>
  <c r="D80" i="8"/>
  <c r="Q51" i="8"/>
  <c r="Q52" i="8"/>
  <c r="K113" i="8"/>
  <c r="T32" i="32" l="1"/>
  <c r="AM32" i="32" s="1"/>
  <c r="N32" i="32"/>
  <c r="Q32" i="32"/>
  <c r="BQ30" i="32" a="1"/>
  <c r="BQ30" i="32" s="1"/>
  <c r="BF30" i="32" a="1"/>
  <c r="BF30" i="32" s="1"/>
  <c r="BJ30" i="32" a="1"/>
  <c r="BJ30" i="32" s="1"/>
  <c r="AU30" i="32" a="1"/>
  <c r="AU30" i="32" s="1"/>
  <c r="AK29" i="32"/>
  <c r="BH30" i="32" a="1"/>
  <c r="BH30" i="32" s="1"/>
  <c r="V28" i="32"/>
  <c r="CX30" i="32"/>
  <c r="AI30" i="32" s="1"/>
  <c r="DD30" i="32"/>
  <c r="AJ30" i="32" s="1"/>
  <c r="CR30" i="32"/>
  <c r="AG30" i="32" s="1"/>
  <c r="AT30" i="32" a="1"/>
  <c r="AT30" i="32" s="1"/>
  <c r="U29" i="32"/>
  <c r="V29" i="32"/>
  <c r="BE30" i="32"/>
  <c r="Y30" i="32" s="1"/>
  <c r="BB31" i="32" a="1"/>
  <c r="BB31" i="32" s="1"/>
  <c r="U28" i="32"/>
  <c r="AK28" i="32"/>
  <c r="CO30" i="32"/>
  <c r="AF30" i="32" s="1"/>
  <c r="BI30" i="32" a="1"/>
  <c r="BI30" i="32" s="1"/>
  <c r="BO30" i="32" a="1"/>
  <c r="BO30" i="32" s="1"/>
  <c r="BG30" i="32" a="1"/>
  <c r="BG30" i="32" s="1"/>
  <c r="BK30" i="32" a="1"/>
  <c r="BK30" i="32" s="1"/>
  <c r="BL30" i="32" a="1"/>
  <c r="BL30" i="32" s="1"/>
  <c r="N33" i="32"/>
  <c r="T33" i="32"/>
  <c r="Q33" i="32"/>
  <c r="P33" i="32"/>
  <c r="AV31" i="32"/>
  <c r="CV31" i="32" a="1"/>
  <c r="CV31" i="32" s="1"/>
  <c r="CF30" i="32" a="1"/>
  <c r="CF30" i="32" s="1"/>
  <c r="CH30" i="32" a="1"/>
  <c r="CH30" i="32" s="1"/>
  <c r="BS31" i="32" a="1"/>
  <c r="BS31" i="32" s="1"/>
  <c r="BT31" i="32" s="1"/>
  <c r="AA31" i="32" s="1"/>
  <c r="BU30" i="32" a="1"/>
  <c r="BU30" i="32" s="1"/>
  <c r="BW30" i="32" a="1"/>
  <c r="BW30" i="32" s="1"/>
  <c r="CT31" i="32" a="1"/>
  <c r="CT31" i="32" s="1"/>
  <c r="CQ31" i="32" a="1"/>
  <c r="CQ31" i="32" s="1"/>
  <c r="CS31" i="32" a="1"/>
  <c r="CS31" i="32" s="1"/>
  <c r="CK31" i="32" a="1"/>
  <c r="CK31" i="32" s="1"/>
  <c r="DB31" i="32"/>
  <c r="CL30" i="32"/>
  <c r="AE30" i="32" s="1"/>
  <c r="CB31" i="32"/>
  <c r="AY31" i="32" a="1"/>
  <c r="AY31" i="32" s="1"/>
  <c r="CW31" i="32" a="1"/>
  <c r="CW31" i="32" s="1"/>
  <c r="I33" i="32"/>
  <c r="CP31" i="32" a="1"/>
  <c r="CP31" i="32" s="1"/>
  <c r="H33" i="32"/>
  <c r="E34" i="32" s="1" a="1"/>
  <c r="E34" i="32" s="1"/>
  <c r="F34" i="32" s="1" a="1"/>
  <c r="F34" i="32" s="1"/>
  <c r="BP31" i="32"/>
  <c r="BY30" i="32" a="1"/>
  <c r="BY30" i="32" s="1"/>
  <c r="CD30" i="32"/>
  <c r="CC30" i="32" s="1" a="1"/>
  <c r="CC30" i="32" s="1"/>
  <c r="CA30" i="32" a="1"/>
  <c r="CA30" i="32" s="1"/>
  <c r="BZ30" i="32" a="1"/>
  <c r="BZ30" i="32" s="1"/>
  <c r="BD31" i="32"/>
  <c r="BC31" i="32" s="1" a="1"/>
  <c r="BC31" i="32" s="1"/>
  <c r="CN31" i="32" a="1"/>
  <c r="CN31" i="32" s="1"/>
  <c r="CO31" i="32" s="1"/>
  <c r="AF31" i="32" s="1"/>
  <c r="BV31" i="32"/>
  <c r="AZ31" i="32" a="1"/>
  <c r="AZ31" i="32" s="1"/>
  <c r="CJ31" i="32" a="1"/>
  <c r="CJ31" i="32" s="1"/>
  <c r="CG31" i="32"/>
  <c r="H116" i="8"/>
  <c r="H113" i="8" s="1"/>
  <c r="I104" i="8" s="1"/>
  <c r="G116" i="8"/>
  <c r="J116" i="8" s="1"/>
  <c r="H106" i="8"/>
  <c r="J114" i="8"/>
  <c r="E119" i="8"/>
  <c r="E109" i="8" s="1"/>
  <c r="F119" i="8"/>
  <c r="I119" i="8"/>
  <c r="K119" i="8"/>
  <c r="AX30" i="32" l="1" a="1"/>
  <c r="AX30" i="32" s="1"/>
  <c r="W30" i="32" s="1"/>
  <c r="BX30" i="32"/>
  <c r="AB30" i="32" s="1"/>
  <c r="BE31" i="32"/>
  <c r="Y31" i="32" s="1"/>
  <c r="BA31" i="32"/>
  <c r="X31" i="32" s="1"/>
  <c r="CI30" i="32"/>
  <c r="AD30" i="32" s="1"/>
  <c r="BR30" i="32" a="1"/>
  <c r="BR30" i="32" s="1"/>
  <c r="Z30" i="32" s="1"/>
  <c r="CR31" i="32"/>
  <c r="AG31" i="32" s="1"/>
  <c r="CL31" i="32"/>
  <c r="AE31" i="32" s="1"/>
  <c r="CE30" i="32" a="1"/>
  <c r="CE30" i="32" s="1"/>
  <c r="AC30" i="32" s="1"/>
  <c r="BN31" i="32" a="1"/>
  <c r="BN31" i="32" s="1"/>
  <c r="BQ31" i="32" a="1"/>
  <c r="BQ31" i="32" s="1"/>
  <c r="BM31" i="32" a="1"/>
  <c r="BM31" i="32" s="1"/>
  <c r="BG31" i="32" a="1"/>
  <c r="BG31" i="32" s="1"/>
  <c r="BH31" i="32" a="1"/>
  <c r="BH31" i="32" s="1"/>
  <c r="BJ31" i="32" a="1"/>
  <c r="BJ31" i="32" s="1"/>
  <c r="BI31" i="32" a="1"/>
  <c r="BI31" i="32" s="1"/>
  <c r="BF31" i="32" a="1"/>
  <c r="BF31" i="32" s="1"/>
  <c r="BO31" i="32" a="1"/>
  <c r="BO31" i="32" s="1"/>
  <c r="BK31" i="32" a="1"/>
  <c r="BK31" i="32" s="1"/>
  <c r="BL31" i="32" a="1"/>
  <c r="BL31" i="32" s="1"/>
  <c r="AN32" i="32"/>
  <c r="AO32" i="32" s="1"/>
  <c r="AP32" i="32" s="1"/>
  <c r="AQ32" i="32" s="1"/>
  <c r="AR32" i="32" s="1"/>
  <c r="AS32" i="32" s="1"/>
  <c r="CW32" i="32" s="1" a="1"/>
  <c r="CW32" i="32" s="1"/>
  <c r="CX31" i="32"/>
  <c r="AI31" i="32" s="1"/>
  <c r="AT31" i="32" a="1"/>
  <c r="AT31" i="32" s="1"/>
  <c r="AU31" i="32" a="1"/>
  <c r="AU31" i="32" s="1"/>
  <c r="AW31" i="32" a="1"/>
  <c r="AW31" i="32" s="1"/>
  <c r="M34" i="32"/>
  <c r="H34" i="32" s="1"/>
  <c r="E35" i="32" s="1" a="1"/>
  <c r="E35" i="32" s="1"/>
  <c r="F35" i="32" s="1" a="1"/>
  <c r="F35" i="32" s="1"/>
  <c r="CF31" i="32" a="1"/>
  <c r="CF31" i="32" s="1"/>
  <c r="CH31" i="32" a="1"/>
  <c r="CH31" i="32" s="1"/>
  <c r="CD31" i="32"/>
  <c r="CC31" i="32" s="1" a="1"/>
  <c r="CC31" i="32" s="1"/>
  <c r="BZ31" i="32" a="1"/>
  <c r="BZ31" i="32" s="1"/>
  <c r="BY31" i="32" a="1"/>
  <c r="BY31" i="32" s="1"/>
  <c r="CA31" i="32" a="1"/>
  <c r="CA31" i="32" s="1"/>
  <c r="BW31" i="32" a="1"/>
  <c r="BW31" i="32" s="1"/>
  <c r="BU31" i="32" a="1"/>
  <c r="BU31" i="32" s="1"/>
  <c r="DC31" i="32" a="1"/>
  <c r="DC31" i="32" s="1"/>
  <c r="CY31" i="32" a="1"/>
  <c r="CY31" i="32" s="1"/>
  <c r="CZ31" i="32" a="1"/>
  <c r="CZ31" i="32" s="1"/>
  <c r="DA31" i="32" a="1"/>
  <c r="DA31" i="32" s="1"/>
  <c r="AM33" i="32"/>
  <c r="CU31" i="32"/>
  <c r="AH31" i="32" s="1"/>
  <c r="J119" i="8"/>
  <c r="H119" i="8"/>
  <c r="G119" i="8"/>
  <c r="J108" i="8"/>
  <c r="E120" i="8"/>
  <c r="F109" i="8" s="1"/>
  <c r="G120" i="8"/>
  <c r="I120" i="8"/>
  <c r="K120" i="8"/>
  <c r="AX31" i="32" l="1" a="1"/>
  <c r="AX31" i="32" s="1"/>
  <c r="W31" i="32" s="1"/>
  <c r="V30" i="32"/>
  <c r="U30" i="32"/>
  <c r="G34" i="32"/>
  <c r="O34" i="32" s="1"/>
  <c r="I34" i="32"/>
  <c r="BX31" i="32"/>
  <c r="AB31" i="32" s="1"/>
  <c r="AV32" i="32"/>
  <c r="AT32" i="32" s="1" a="1"/>
  <c r="AT32" i="32" s="1"/>
  <c r="CI31" i="32"/>
  <c r="AD31" i="32" s="1"/>
  <c r="AY32" i="32" a="1"/>
  <c r="AY32" i="32" s="1"/>
  <c r="BV32" i="32"/>
  <c r="CE31" i="32" a="1"/>
  <c r="CE31" i="32" s="1"/>
  <c r="AC31" i="32" s="1"/>
  <c r="CS32" i="32" a="1"/>
  <c r="CS32" i="32" s="1"/>
  <c r="BD32" i="32"/>
  <c r="BC32" i="32" s="1" a="1"/>
  <c r="BC32" i="32" s="1"/>
  <c r="BB32" i="32" a="1"/>
  <c r="BB32" i="32" s="1"/>
  <c r="M35" i="32"/>
  <c r="G35" i="32" s="1"/>
  <c r="O35" i="32" s="1"/>
  <c r="CJ32" i="32" a="1"/>
  <c r="CJ32" i="32" s="1"/>
  <c r="DD31" i="32"/>
  <c r="AJ31" i="32" s="1"/>
  <c r="CK32" i="32" a="1"/>
  <c r="CK32" i="32" s="1"/>
  <c r="CP32" i="32" a="1"/>
  <c r="CP32" i="32" s="1"/>
  <c r="BR31" i="32" a="1"/>
  <c r="BR31" i="32" s="1"/>
  <c r="Z31" i="32" s="1"/>
  <c r="CN32" i="32" a="1"/>
  <c r="CN32" i="32" s="1"/>
  <c r="CM32" i="32" a="1"/>
  <c r="CM32" i="32" s="1"/>
  <c r="CT32" i="32" a="1"/>
  <c r="CT32" i="32" s="1"/>
  <c r="CQ32" i="32" a="1"/>
  <c r="CQ32" i="32" s="1"/>
  <c r="T34" i="32"/>
  <c r="Q34" i="32"/>
  <c r="P34" i="32"/>
  <c r="N34" i="32"/>
  <c r="CB32" i="32"/>
  <c r="AN33" i="32"/>
  <c r="AO33" i="32" s="1"/>
  <c r="AP33" i="32" s="1"/>
  <c r="AQ33" i="32" s="1"/>
  <c r="AR33" i="32" s="1"/>
  <c r="AS33" i="32" s="1"/>
  <c r="CB33" i="32" s="1"/>
  <c r="BS32" i="32" a="1"/>
  <c r="BS32" i="32" s="1"/>
  <c r="BT32" i="32" s="1"/>
  <c r="AA32" i="32" s="1"/>
  <c r="CV32" i="32" a="1"/>
  <c r="CV32" i="32" s="1"/>
  <c r="CX32" i="32" s="1"/>
  <c r="AI32" i="32" s="1"/>
  <c r="CG32" i="32"/>
  <c r="BP32" i="32"/>
  <c r="AK30" i="32"/>
  <c r="DB32" i="32"/>
  <c r="AZ32" i="32" a="1"/>
  <c r="AZ32" i="32" s="1"/>
  <c r="J120" i="8"/>
  <c r="H109" i="8"/>
  <c r="J111" i="8" s="1"/>
  <c r="J109" i="8"/>
  <c r="I121" i="8"/>
  <c r="J121" i="8"/>
  <c r="K121" i="8"/>
  <c r="CU32" i="32" l="1"/>
  <c r="AH32" i="32" s="1"/>
  <c r="CO32" i="32"/>
  <c r="AF32" i="32" s="1"/>
  <c r="AU32" i="32" a="1"/>
  <c r="AU32" i="32" s="1"/>
  <c r="H35" i="32"/>
  <c r="E36" i="32" s="1" a="1"/>
  <c r="E36" i="32" s="1"/>
  <c r="F36" i="32" s="1" a="1"/>
  <c r="F36" i="32" s="1"/>
  <c r="AW32" i="32" a="1"/>
  <c r="AW32" i="32" s="1"/>
  <c r="I35" i="32"/>
  <c r="BE32" i="32"/>
  <c r="Y32" i="32" s="1"/>
  <c r="U31" i="32"/>
  <c r="CM33" i="32" a="1"/>
  <c r="CM33" i="32" s="1"/>
  <c r="CP33" i="32" a="1"/>
  <c r="CP33" i="32" s="1"/>
  <c r="CW33" i="32" a="1"/>
  <c r="CW33" i="32" s="1"/>
  <c r="BA32" i="32"/>
  <c r="X32" i="32" s="1"/>
  <c r="AK31" i="32"/>
  <c r="BW32" i="32" a="1"/>
  <c r="BW32" i="32" s="1"/>
  <c r="BU32" i="32" a="1"/>
  <c r="BU32" i="32" s="1"/>
  <c r="BZ33" i="32" a="1"/>
  <c r="BZ33" i="32" s="1"/>
  <c r="BY33" i="32" a="1"/>
  <c r="BY33" i="32" s="1"/>
  <c r="CD33" i="32"/>
  <c r="CC33" i="32" s="1" a="1"/>
  <c r="CC33" i="32" s="1"/>
  <c r="CA33" i="32" a="1"/>
  <c r="CA33" i="32" s="1"/>
  <c r="N35" i="32"/>
  <c r="T35" i="32"/>
  <c r="Q35" i="32"/>
  <c r="P35" i="32"/>
  <c r="BS33" i="32" a="1"/>
  <c r="BS33" i="32" s="1"/>
  <c r="BT33" i="32" s="1"/>
  <c r="AA33" i="32" s="1"/>
  <c r="AY33" i="32" a="1"/>
  <c r="AY33" i="32" s="1"/>
  <c r="BG32" i="32" a="1"/>
  <c r="BG32" i="32" s="1"/>
  <c r="BN32" i="32" a="1"/>
  <c r="BN32" i="32" s="1"/>
  <c r="BH32" i="32" a="1"/>
  <c r="BH32" i="32" s="1"/>
  <c r="BF32" i="32" a="1"/>
  <c r="BF32" i="32" s="1"/>
  <c r="BO32" i="32" a="1"/>
  <c r="BO32" i="32" s="1"/>
  <c r="BJ32" i="32" a="1"/>
  <c r="BJ32" i="32" s="1"/>
  <c r="BQ32" i="32" a="1"/>
  <c r="BQ32" i="32" s="1"/>
  <c r="BI32" i="32" a="1"/>
  <c r="BI32" i="32" s="1"/>
  <c r="BK32" i="32" a="1"/>
  <c r="BK32" i="32" s="1"/>
  <c r="BM32" i="32" a="1"/>
  <c r="BM32" i="32" s="1"/>
  <c r="BL32" i="32" a="1"/>
  <c r="BL32" i="32" s="1"/>
  <c r="DB33" i="32"/>
  <c r="CF32" i="32" a="1"/>
  <c r="CF32" i="32" s="1"/>
  <c r="CH32" i="32" a="1"/>
  <c r="CH32" i="32" s="1"/>
  <c r="BP33" i="32"/>
  <c r="CL32" i="32"/>
  <c r="AE32" i="32" s="1"/>
  <c r="CK33" i="32" a="1"/>
  <c r="CK33" i="32" s="1"/>
  <c r="BZ32" i="32" a="1"/>
  <c r="BZ32" i="32" s="1"/>
  <c r="BY32" i="32" a="1"/>
  <c r="BY32" i="32" s="1"/>
  <c r="CD32" i="32"/>
  <c r="CC32" i="32" s="1" a="1"/>
  <c r="CC32" i="32" s="1"/>
  <c r="CA32" i="32" a="1"/>
  <c r="CA32" i="32" s="1"/>
  <c r="CT33" i="32" a="1"/>
  <c r="CT33" i="32" s="1"/>
  <c r="CJ33" i="32" a="1"/>
  <c r="CJ33" i="32" s="1"/>
  <c r="AZ33" i="32" a="1"/>
  <c r="AZ33" i="32" s="1"/>
  <c r="V31" i="32"/>
  <c r="BV33" i="32"/>
  <c r="CG33" i="32"/>
  <c r="BD33" i="32"/>
  <c r="BC33" i="32" s="1" a="1"/>
  <c r="BC33" i="32" s="1"/>
  <c r="AV33" i="32"/>
  <c r="CV33" i="32" a="1"/>
  <c r="CV33" i="32" s="1"/>
  <c r="CX33" i="32" s="1"/>
  <c r="AI33" i="32" s="1"/>
  <c r="AM34" i="32"/>
  <c r="M36" i="32"/>
  <c r="I36" i="32" s="1"/>
  <c r="H36" i="32"/>
  <c r="E37" i="32" s="1" a="1"/>
  <c r="E37" i="32" s="1"/>
  <c r="F37" i="32" s="1" a="1"/>
  <c r="F37" i="32" s="1"/>
  <c r="G36" i="32"/>
  <c r="O36" i="32" s="1"/>
  <c r="CN33" i="32" a="1"/>
  <c r="CN33" i="32" s="1"/>
  <c r="CO33" i="32" s="1"/>
  <c r="AF33" i="32" s="1"/>
  <c r="CR32" i="32"/>
  <c r="AG32" i="32" s="1"/>
  <c r="DA32" i="32" a="1"/>
  <c r="DA32" i="32" s="1"/>
  <c r="CZ32" i="32" a="1"/>
  <c r="CZ32" i="32" s="1"/>
  <c r="CY32" i="32" a="1"/>
  <c r="CY32" i="32" s="1"/>
  <c r="DC32" i="32" a="1"/>
  <c r="DC32" i="32" s="1"/>
  <c r="CQ33" i="32" a="1"/>
  <c r="CQ33" i="32" s="1"/>
  <c r="CR33" i="32" s="1"/>
  <c r="AG33" i="32" s="1"/>
  <c r="BB33" i="32" a="1"/>
  <c r="BB33" i="32" s="1"/>
  <c r="BE33" i="32" s="1"/>
  <c r="Y33" i="32" s="1"/>
  <c r="CS33" i="32" a="1"/>
  <c r="CS33" i="32" s="1"/>
  <c r="G109" i="8"/>
  <c r="J110" i="8" s="1"/>
  <c r="H131" i="8"/>
  <c r="C134" i="8"/>
  <c r="D134" i="8"/>
  <c r="E134" i="8"/>
  <c r="F134" i="8"/>
  <c r="G134" i="8"/>
  <c r="H134" i="8"/>
  <c r="H137" i="8"/>
  <c r="G138" i="8"/>
  <c r="J138" i="8" s="1"/>
  <c r="I138" i="8"/>
  <c r="C139" i="8"/>
  <c r="I139" i="8"/>
  <c r="I140" i="8"/>
  <c r="I141" i="8"/>
  <c r="I142" i="8"/>
  <c r="G144" i="8"/>
  <c r="J144" i="8" s="1"/>
  <c r="I144" i="8"/>
  <c r="G145" i="8"/>
  <c r="J145" i="8" s="1"/>
  <c r="H145" i="8"/>
  <c r="I145" i="8"/>
  <c r="F147" i="8"/>
  <c r="H147" i="8" s="1"/>
  <c r="H144" i="8" s="1"/>
  <c r="G147" i="8"/>
  <c r="J147" i="8" s="1"/>
  <c r="I147" i="8"/>
  <c r="I148" i="8"/>
  <c r="E150" i="8"/>
  <c r="E140" i="8" s="1"/>
  <c r="F150" i="8"/>
  <c r="I150" i="8"/>
  <c r="K148" i="8"/>
  <c r="K142" i="8"/>
  <c r="K144" i="8"/>
  <c r="K138" i="8"/>
  <c r="K150" i="8"/>
  <c r="K140" i="8"/>
  <c r="K145" i="8"/>
  <c r="K139" i="8"/>
  <c r="K141" i="8"/>
  <c r="K147" i="8"/>
  <c r="AX32" i="32" l="1" a="1"/>
  <c r="AX32" i="32" s="1"/>
  <c r="W32" i="32" s="1"/>
  <c r="CL33" i="32"/>
  <c r="AE33" i="32" s="1"/>
  <c r="CI32" i="32"/>
  <c r="AD32" i="32" s="1"/>
  <c r="BX32" i="32"/>
  <c r="AB32" i="32" s="1"/>
  <c r="CE33" i="32" a="1"/>
  <c r="CE33" i="32" s="1"/>
  <c r="AC33" i="32" s="1"/>
  <c r="DD32" i="32"/>
  <c r="AJ32" i="32" s="1"/>
  <c r="CE32" i="32" a="1"/>
  <c r="CE32" i="32" s="1"/>
  <c r="AC32" i="32" s="1"/>
  <c r="M37" i="32"/>
  <c r="I37" i="32" s="1"/>
  <c r="BA33" i="32"/>
  <c r="X33" i="32" s="1"/>
  <c r="BO33" i="32" a="1"/>
  <c r="BO33" i="32" s="1"/>
  <c r="BL33" i="32" a="1"/>
  <c r="BL33" i="32" s="1"/>
  <c r="BM33" i="32" a="1"/>
  <c r="BM33" i="32" s="1"/>
  <c r="BQ33" i="32" a="1"/>
  <c r="BQ33" i="32" s="1"/>
  <c r="BF33" i="32" a="1"/>
  <c r="BF33" i="32" s="1"/>
  <c r="BK33" i="32" a="1"/>
  <c r="BK33" i="32" s="1"/>
  <c r="BJ33" i="32" a="1"/>
  <c r="BJ33" i="32" s="1"/>
  <c r="BH33" i="32" a="1"/>
  <c r="BH33" i="32" s="1"/>
  <c r="BN33" i="32" a="1"/>
  <c r="BN33" i="32" s="1"/>
  <c r="BI33" i="32" a="1"/>
  <c r="BI33" i="32" s="1"/>
  <c r="BG33" i="32" a="1"/>
  <c r="BG33" i="32" s="1"/>
  <c r="CU33" i="32"/>
  <c r="AH33" i="32" s="1"/>
  <c r="AN34" i="32"/>
  <c r="AO34" i="32" s="1"/>
  <c r="AP34" i="32" s="1"/>
  <c r="AQ34" i="32" s="1"/>
  <c r="AR34" i="32" s="1"/>
  <c r="AS34" i="32" s="1"/>
  <c r="BD34" i="32" s="1"/>
  <c r="BC34" i="32" s="1" a="1"/>
  <c r="BC34" i="32" s="1"/>
  <c r="T36" i="32"/>
  <c r="Q36" i="32"/>
  <c r="P36" i="32"/>
  <c r="N36" i="32"/>
  <c r="BW33" i="32" a="1"/>
  <c r="BW33" i="32" s="1"/>
  <c r="BU33" i="32" a="1"/>
  <c r="BU33" i="32" s="1"/>
  <c r="BX33" i="32" s="1"/>
  <c r="AB33" i="32" s="1"/>
  <c r="AU33" i="32" a="1"/>
  <c r="AU33" i="32" s="1"/>
  <c r="AT33" i="32" a="1"/>
  <c r="AT33" i="32" s="1"/>
  <c r="AX33" i="32" s="1" a="1"/>
  <c r="AX33" i="32" s="1"/>
  <c r="W33" i="32" s="1"/>
  <c r="AW33" i="32" a="1"/>
  <c r="AW33" i="32" s="1"/>
  <c r="DC33" i="32" a="1"/>
  <c r="DC33" i="32" s="1"/>
  <c r="CY33" i="32" a="1"/>
  <c r="CY33" i="32" s="1"/>
  <c r="CZ33" i="32" a="1"/>
  <c r="CZ33" i="32" s="1"/>
  <c r="DA33" i="32" a="1"/>
  <c r="DA33" i="32" s="1"/>
  <c r="AM35" i="32"/>
  <c r="CH33" i="32" a="1"/>
  <c r="CH33" i="32" s="1"/>
  <c r="CF33" i="32" a="1"/>
  <c r="CF33" i="32" s="1"/>
  <c r="CI33" i="32" s="1"/>
  <c r="AD33" i="32" s="1"/>
  <c r="BR32" i="32" a="1"/>
  <c r="BR32" i="32" s="1"/>
  <c r="Z32" i="32" s="1"/>
  <c r="G150" i="8"/>
  <c r="H150" i="8"/>
  <c r="J148" i="8"/>
  <c r="J150" i="8"/>
  <c r="J139" i="8"/>
  <c r="M150" i="8"/>
  <c r="E151" i="8"/>
  <c r="F140" i="8" s="1"/>
  <c r="G151" i="8"/>
  <c r="I151" i="8"/>
  <c r="K151" i="8"/>
  <c r="N150" i="8"/>
  <c r="AY34" i="32" l="1" a="1"/>
  <c r="AY34" i="32" s="1"/>
  <c r="CT34" i="32" a="1"/>
  <c r="CT34" i="32" s="1"/>
  <c r="CN34" i="32" a="1"/>
  <c r="CN34" i="32" s="1"/>
  <c r="CM34" i="32" a="1"/>
  <c r="CM34" i="32" s="1"/>
  <c r="CK34" i="32" a="1"/>
  <c r="CK34" i="32" s="1"/>
  <c r="BP34" i="32"/>
  <c r="BG34" i="32" s="1" a="1"/>
  <c r="BG34" i="32" s="1"/>
  <c r="CJ34" i="32" a="1"/>
  <c r="CJ34" i="32" s="1"/>
  <c r="AN35" i="32"/>
  <c r="AO35" i="32" s="1"/>
  <c r="AP35" i="32" s="1"/>
  <c r="AQ35" i="32" s="1"/>
  <c r="AR35" i="32" s="1"/>
  <c r="AS35" i="32" s="1"/>
  <c r="CG35" i="32" s="1"/>
  <c r="BR33" i="32" a="1"/>
  <c r="BR33" i="32" s="1"/>
  <c r="Z33" i="32" s="1"/>
  <c r="DB34" i="32"/>
  <c r="CQ34" i="32" a="1"/>
  <c r="CQ34" i="32" s="1"/>
  <c r="CP34" i="32" a="1"/>
  <c r="CP34" i="32" s="1"/>
  <c r="DD33" i="32"/>
  <c r="AJ33" i="32" s="1"/>
  <c r="CG34" i="32"/>
  <c r="BV34" i="32"/>
  <c r="BS34" i="32" a="1"/>
  <c r="BS34" i="32" s="1"/>
  <c r="BT34" i="32" s="1"/>
  <c r="AA34" i="32" s="1"/>
  <c r="BB34" i="32" a="1"/>
  <c r="BB34" i="32" s="1"/>
  <c r="BE34" i="32" s="1"/>
  <c r="Y34" i="32" s="1"/>
  <c r="G37" i="32"/>
  <c r="O37" i="32" s="1"/>
  <c r="AZ34" i="32" a="1"/>
  <c r="AZ34" i="32" s="1"/>
  <c r="BH34" i="32" a="1"/>
  <c r="BH34" i="32" s="1"/>
  <c r="BM34" i="32" a="1"/>
  <c r="BM34" i="32" s="1"/>
  <c r="U32" i="32"/>
  <c r="AK32" i="32"/>
  <c r="V32" i="32"/>
  <c r="CV34" i="32" a="1"/>
  <c r="CV34" i="32" s="1"/>
  <c r="CS34" i="32" a="1"/>
  <c r="CS34" i="32" s="1"/>
  <c r="H37" i="32"/>
  <c r="E38" i="32" s="1" a="1"/>
  <c r="E38" i="32" s="1"/>
  <c r="F38" i="32" s="1" a="1"/>
  <c r="F38" i="32" s="1"/>
  <c r="AM36" i="32"/>
  <c r="AV34" i="32"/>
  <c r="CW34" i="32" a="1"/>
  <c r="CW34" i="32" s="1"/>
  <c r="CB34" i="32"/>
  <c r="J151" i="8"/>
  <c r="G140" i="8"/>
  <c r="J141" i="8" s="1"/>
  <c r="H140" i="8"/>
  <c r="J142" i="8" s="1"/>
  <c r="J140" i="8"/>
  <c r="I152" i="8"/>
  <c r="J152" i="8"/>
  <c r="H162" i="8"/>
  <c r="C165" i="8"/>
  <c r="D165" i="8"/>
  <c r="E165" i="8"/>
  <c r="F165" i="8"/>
  <c r="G165" i="8"/>
  <c r="H165" i="8"/>
  <c r="H167" i="8"/>
  <c r="G168" i="8"/>
  <c r="C169" i="8"/>
  <c r="F170" i="8"/>
  <c r="F177" i="8"/>
  <c r="E171" i="8" s="1"/>
  <c r="H171" i="8" s="1"/>
  <c r="F178" i="8"/>
  <c r="F185" i="8" s="1"/>
  <c r="D179" i="8"/>
  <c r="F182" i="8"/>
  <c r="G182" i="8"/>
  <c r="E185" i="8" s="1"/>
  <c r="F172" i="8" s="1"/>
  <c r="E184" i="8"/>
  <c r="D172" i="8" s="1"/>
  <c r="F184" i="8"/>
  <c r="C172" i="8" s="1"/>
  <c r="G187" i="8"/>
  <c r="E198" i="8"/>
  <c r="C201" i="8"/>
  <c r="D201" i="8"/>
  <c r="E201" i="8"/>
  <c r="F201" i="8"/>
  <c r="G201" i="8"/>
  <c r="H201" i="8"/>
  <c r="C204" i="8"/>
  <c r="E207" i="8"/>
  <c r="H207" i="8"/>
  <c r="K207" i="8"/>
  <c r="L207" i="8"/>
  <c r="K152" i="8"/>
  <c r="M207" i="8"/>
  <c r="CO34" i="32" l="1"/>
  <c r="AF34" i="32" s="1"/>
  <c r="BO34" i="32" a="1"/>
  <c r="BO34" i="32" s="1"/>
  <c r="BN34" i="32" a="1"/>
  <c r="BN34" i="32" s="1"/>
  <c r="BJ34" i="32" a="1"/>
  <c r="BJ34" i="32" s="1"/>
  <c r="BL34" i="32" a="1"/>
  <c r="BL34" i="32" s="1"/>
  <c r="BI34" i="32" a="1"/>
  <c r="BI34" i="32" s="1"/>
  <c r="BF34" i="32" a="1"/>
  <c r="BF34" i="32" s="1"/>
  <c r="BK34" i="32" a="1"/>
  <c r="BK34" i="32" s="1"/>
  <c r="V33" i="32"/>
  <c r="BA34" i="32"/>
  <c r="X34" i="32" s="1"/>
  <c r="BQ34" i="32" a="1"/>
  <c r="BQ34" i="32" s="1"/>
  <c r="CL34" i="32"/>
  <c r="AE34" i="32" s="1"/>
  <c r="CU34" i="32"/>
  <c r="AH34" i="32" s="1"/>
  <c r="BB35" i="32" a="1"/>
  <c r="BB35" i="32" s="1"/>
  <c r="CX34" i="32"/>
  <c r="AI34" i="32" s="1"/>
  <c r="CQ35" i="32" a="1"/>
  <c r="CQ35" i="32" s="1"/>
  <c r="DB35" i="32"/>
  <c r="CZ35" i="32" s="1" a="1"/>
  <c r="CZ35" i="32" s="1"/>
  <c r="CP35" i="32" a="1"/>
  <c r="CP35" i="32" s="1"/>
  <c r="CF35" i="32" a="1"/>
  <c r="CF35" i="32" s="1"/>
  <c r="CH35" i="32" a="1"/>
  <c r="CH35" i="32" s="1"/>
  <c r="CA34" i="32" a="1"/>
  <c r="CA34" i="32" s="1"/>
  <c r="BY34" i="32" a="1"/>
  <c r="BY34" i="32" s="1"/>
  <c r="BZ34" i="32" a="1"/>
  <c r="BZ34" i="32" s="1"/>
  <c r="CD34" i="32"/>
  <c r="CC34" i="32" s="1" a="1"/>
  <c r="CC34" i="32" s="1"/>
  <c r="BU34" i="32" a="1"/>
  <c r="BU34" i="32" s="1"/>
  <c r="BW34" i="32" a="1"/>
  <c r="BW34" i="32" s="1"/>
  <c r="AU34" i="32" a="1"/>
  <c r="AU34" i="32" s="1"/>
  <c r="AT34" i="32" a="1"/>
  <c r="AT34" i="32" s="1"/>
  <c r="AW34" i="32" a="1"/>
  <c r="AW34" i="32" s="1"/>
  <c r="CH34" i="32" a="1"/>
  <c r="CH34" i="32" s="1"/>
  <c r="CF34" i="32" a="1"/>
  <c r="CF34" i="32" s="1"/>
  <c r="CK35" i="32" a="1"/>
  <c r="CK35" i="32" s="1"/>
  <c r="BV35" i="32"/>
  <c r="CV35" i="32" a="1"/>
  <c r="CV35" i="32" s="1"/>
  <c r="M38" i="32"/>
  <c r="H38" i="32" s="1"/>
  <c r="E39" i="32" s="1" a="1"/>
  <c r="E39" i="32" s="1"/>
  <c r="F39" i="32" s="1" a="1"/>
  <c r="F39" i="32" s="1"/>
  <c r="I38" i="32"/>
  <c r="G38" i="32"/>
  <c r="O38" i="32" s="1"/>
  <c r="DC35" i="32" a="1"/>
  <c r="DC35" i="32" s="1"/>
  <c r="DA35" i="32" a="1"/>
  <c r="DA35" i="32" s="1"/>
  <c r="CR34" i="32"/>
  <c r="AG34" i="32" s="1"/>
  <c r="AV35" i="32"/>
  <c r="CS35" i="32" a="1"/>
  <c r="CS35" i="32" s="1"/>
  <c r="AN36" i="32"/>
  <c r="AO36" i="32" s="1"/>
  <c r="AP36" i="32" s="1"/>
  <c r="AQ36" i="32" s="1"/>
  <c r="AR36" i="32" s="1"/>
  <c r="AS36" i="32" s="1"/>
  <c r="DB36" i="32" s="1"/>
  <c r="CY34" i="32" a="1"/>
  <c r="CY34" i="32" s="1"/>
  <c r="DA34" i="32" a="1"/>
  <c r="DA34" i="32" s="1"/>
  <c r="DC34" i="32" a="1"/>
  <c r="DC34" i="32" s="1"/>
  <c r="CZ34" i="32" a="1"/>
  <c r="CZ34" i="32" s="1"/>
  <c r="BP35" i="32"/>
  <c r="CW35" i="32" a="1"/>
  <c r="CW35" i="32" s="1"/>
  <c r="BS35" i="32" a="1"/>
  <c r="BS35" i="32" s="1"/>
  <c r="BT35" i="32" s="1"/>
  <c r="AA35" i="32" s="1"/>
  <c r="CB35" i="32"/>
  <c r="AK33" i="32"/>
  <c r="CY35" i="32" a="1"/>
  <c r="CY35" i="32" s="1"/>
  <c r="CM35" i="32" a="1"/>
  <c r="CM35" i="32" s="1"/>
  <c r="U33" i="32"/>
  <c r="CN35" i="32" a="1"/>
  <c r="CN35" i="32" s="1"/>
  <c r="BD35" i="32"/>
  <c r="BC35" i="32" s="1" a="1"/>
  <c r="BC35" i="32" s="1"/>
  <c r="AY35" i="32" a="1"/>
  <c r="AY35" i="32" s="1"/>
  <c r="N37" i="32"/>
  <c r="P37" i="32"/>
  <c r="T37" i="32"/>
  <c r="Q37" i="32"/>
  <c r="CT35" i="32" a="1"/>
  <c r="CT35" i="32" s="1"/>
  <c r="AZ35" i="32" a="1"/>
  <c r="AZ35" i="32" s="1"/>
  <c r="CJ35" i="32" a="1"/>
  <c r="CJ35" i="32" s="1"/>
  <c r="C171" i="8"/>
  <c r="H182" i="8"/>
  <c r="E172" i="8" s="1"/>
  <c r="E170" i="8"/>
  <c r="H178" i="8"/>
  <c r="H183" i="8" s="1"/>
  <c r="G172" i="8" s="1"/>
  <c r="G178" i="8"/>
  <c r="G183" i="8" s="1"/>
  <c r="E186" i="8" s="1"/>
  <c r="H172" i="8" s="1"/>
  <c r="E208" i="8"/>
  <c r="H208" i="8"/>
  <c r="K208" i="8"/>
  <c r="L208" i="8"/>
  <c r="M208" i="8"/>
  <c r="BE35" i="32" l="1"/>
  <c r="Y35" i="32" s="1"/>
  <c r="BA35" i="32"/>
  <c r="X35" i="32" s="1"/>
  <c r="DD35" i="32"/>
  <c r="AJ35" i="32" s="1"/>
  <c r="BR34" i="32" a="1"/>
  <c r="BR34" i="32" s="1"/>
  <c r="Z34" i="32" s="1"/>
  <c r="CI35" i="32"/>
  <c r="AD35" i="32" s="1"/>
  <c r="BX34" i="32"/>
  <c r="AB34" i="32" s="1"/>
  <c r="CL35" i="32"/>
  <c r="AE35" i="32" s="1"/>
  <c r="CR35" i="32"/>
  <c r="AG35" i="32" s="1"/>
  <c r="CI34" i="32"/>
  <c r="AD34" i="32" s="1"/>
  <c r="AX34" i="32" a="1"/>
  <c r="AX34" i="32" s="1"/>
  <c r="W34" i="32" s="1"/>
  <c r="DD34" i="32"/>
  <c r="AJ34" i="32" s="1"/>
  <c r="CU35" i="32"/>
  <c r="AH35" i="32" s="1"/>
  <c r="DC36" i="32" a="1"/>
  <c r="DC36" i="32" s="1"/>
  <c r="DA36" i="32" a="1"/>
  <c r="DA36" i="32" s="1"/>
  <c r="CZ36" i="32" a="1"/>
  <c r="CZ36" i="32" s="1"/>
  <c r="CY36" i="32" a="1"/>
  <c r="CY36" i="32" s="1"/>
  <c r="AY36" i="32" a="1"/>
  <c r="AY36" i="32" s="1"/>
  <c r="BV36" i="32"/>
  <c r="BJ35" i="32" a="1"/>
  <c r="BJ35" i="32" s="1"/>
  <c r="BQ35" i="32" a="1"/>
  <c r="BQ35" i="32" s="1"/>
  <c r="BN35" i="32" a="1"/>
  <c r="BN35" i="32" s="1"/>
  <c r="BF35" i="32" a="1"/>
  <c r="BF35" i="32" s="1"/>
  <c r="BH35" i="32" a="1"/>
  <c r="BH35" i="32" s="1"/>
  <c r="BM35" i="32" a="1"/>
  <c r="BM35" i="32" s="1"/>
  <c r="BI35" i="32" a="1"/>
  <c r="BI35" i="32" s="1"/>
  <c r="BO35" i="32" a="1"/>
  <c r="BO35" i="32" s="1"/>
  <c r="BK35" i="32" a="1"/>
  <c r="BK35" i="32" s="1"/>
  <c r="BL35" i="32" a="1"/>
  <c r="BL35" i="32" s="1"/>
  <c r="BG35" i="32" a="1"/>
  <c r="BG35" i="32" s="1"/>
  <c r="AV36" i="32"/>
  <c r="BU35" i="32" a="1"/>
  <c r="BU35" i="32" s="1"/>
  <c r="BW35" i="32" a="1"/>
  <c r="BW35" i="32" s="1"/>
  <c r="CW36" i="32" a="1"/>
  <c r="CW36" i="32" s="1"/>
  <c r="CT36" i="32" a="1"/>
  <c r="CT36" i="32" s="1"/>
  <c r="BS36" i="32" a="1"/>
  <c r="BS36" i="32" s="1"/>
  <c r="BT36" i="32" s="1"/>
  <c r="AA36" i="32" s="1"/>
  <c r="CG36" i="32"/>
  <c r="CQ36" i="32" a="1"/>
  <c r="CQ36" i="32" s="1"/>
  <c r="CP36" i="32" a="1"/>
  <c r="CP36" i="32" s="1"/>
  <c r="CM36" i="32" a="1"/>
  <c r="CM36" i="32" s="1"/>
  <c r="AU35" i="32" a="1"/>
  <c r="AU35" i="32" s="1"/>
  <c r="AT35" i="32" a="1"/>
  <c r="AT35" i="32" s="1"/>
  <c r="AW35" i="32" a="1"/>
  <c r="AW35" i="32" s="1"/>
  <c r="CS36" i="32" a="1"/>
  <c r="CS36" i="32" s="1"/>
  <c r="AM37" i="32"/>
  <c r="CE34" i="32" a="1"/>
  <c r="CE34" i="32" s="1"/>
  <c r="AC34" i="32" s="1"/>
  <c r="AK34" i="32" s="1"/>
  <c r="CO35" i="32"/>
  <c r="AF35" i="32" s="1"/>
  <c r="BD36" i="32"/>
  <c r="BC36" i="32" s="1" a="1"/>
  <c r="BC36" i="32" s="1"/>
  <c r="AZ36" i="32" a="1"/>
  <c r="AZ36" i="32" s="1"/>
  <c r="Q38" i="32"/>
  <c r="P38" i="32"/>
  <c r="N38" i="32"/>
  <c r="T38" i="32"/>
  <c r="BP36" i="32"/>
  <c r="BY35" i="32" a="1"/>
  <c r="BY35" i="32" s="1"/>
  <c r="CA35" i="32" a="1"/>
  <c r="CA35" i="32" s="1"/>
  <c r="CD35" i="32"/>
  <c r="CC35" i="32" s="1" a="1"/>
  <c r="CC35" i="32" s="1"/>
  <c r="BZ35" i="32" a="1"/>
  <c r="BZ35" i="32" s="1"/>
  <c r="BB36" i="32" a="1"/>
  <c r="BB36" i="32" s="1"/>
  <c r="CN36" i="32" a="1"/>
  <c r="CN36" i="32" s="1"/>
  <c r="CB36" i="32"/>
  <c r="M39" i="32"/>
  <c r="G39" i="32" s="1"/>
  <c r="O39" i="32" s="1"/>
  <c r="CV36" i="32" a="1"/>
  <c r="CV36" i="32" s="1"/>
  <c r="CJ36" i="32" a="1"/>
  <c r="CJ36" i="32" s="1"/>
  <c r="CK36" i="32" a="1"/>
  <c r="CK36" i="32" s="1"/>
  <c r="CX35" i="32"/>
  <c r="AI35" i="32" s="1"/>
  <c r="F186" i="8"/>
  <c r="E187" i="8"/>
  <c r="D171" i="8"/>
  <c r="G171" i="8" s="1"/>
  <c r="F171" i="8" s="1"/>
  <c r="E212" i="8"/>
  <c r="E213" i="8" s="1"/>
  <c r="K212" i="8"/>
  <c r="K213" i="8" s="1"/>
  <c r="L212" i="8"/>
  <c r="H213" i="8"/>
  <c r="H212" i="8" s="1"/>
  <c r="L213" i="8"/>
  <c r="C216" i="8"/>
  <c r="D216" i="8"/>
  <c r="E216" i="8"/>
  <c r="F216" i="8"/>
  <c r="G216" i="8"/>
  <c r="H216" i="8"/>
  <c r="I216" i="8"/>
  <c r="J216" i="8"/>
  <c r="K216" i="8"/>
  <c r="C219" i="8"/>
  <c r="N219" i="8"/>
  <c r="E222" i="8"/>
  <c r="E223" i="8" s="1"/>
  <c r="H222" i="8"/>
  <c r="H223" i="8" s="1"/>
  <c r="O222" i="8"/>
  <c r="K223" i="8"/>
  <c r="K222" i="8" s="1"/>
  <c r="N225" i="8"/>
  <c r="T222" i="8" s="1"/>
  <c r="E226" i="8"/>
  <c r="E227" i="8" s="1"/>
  <c r="H226" i="8"/>
  <c r="K226" i="8"/>
  <c r="K227" i="8" s="1"/>
  <c r="R226" i="8"/>
  <c r="T226" i="8" s="1"/>
  <c r="H227" i="8"/>
  <c r="R227" i="8"/>
  <c r="T227" i="8" s="1"/>
  <c r="R228" i="8"/>
  <c r="T228" i="8" s="1"/>
  <c r="R229" i="8"/>
  <c r="T229" i="8" s="1"/>
  <c r="C230" i="8"/>
  <c r="D230" i="8"/>
  <c r="E230" i="8"/>
  <c r="F230" i="8"/>
  <c r="G230" i="8"/>
  <c r="H230" i="8"/>
  <c r="I230" i="8"/>
  <c r="J230" i="8"/>
  <c r="K230" i="8"/>
  <c r="R230" i="8"/>
  <c r="T230" i="8" s="1"/>
  <c r="R231" i="8"/>
  <c r="T231" i="8" s="1"/>
  <c r="R232" i="8"/>
  <c r="T232" i="8" s="1"/>
  <c r="C233" i="8"/>
  <c r="R233" i="8"/>
  <c r="T233" i="8" s="1"/>
  <c r="R234" i="8"/>
  <c r="T234" i="8" s="1"/>
  <c r="D235" i="8"/>
  <c r="G235" i="8"/>
  <c r="H235" i="8" s="1"/>
  <c r="R235" i="8"/>
  <c r="T235" i="8" s="1"/>
  <c r="G236" i="8"/>
  <c r="H236" i="8" s="1"/>
  <c r="G237" i="8"/>
  <c r="H237" i="8" s="1"/>
  <c r="G238" i="8"/>
  <c r="H238" i="8" s="1"/>
  <c r="G239" i="8"/>
  <c r="H239" i="8" s="1"/>
  <c r="N240" i="8"/>
  <c r="O240" i="8"/>
  <c r="P240" i="8"/>
  <c r="Q240" i="8"/>
  <c r="R240" i="8"/>
  <c r="S240" i="8"/>
  <c r="T240" i="8"/>
  <c r="C242" i="8"/>
  <c r="D242" i="8"/>
  <c r="E242" i="8"/>
  <c r="F242" i="8"/>
  <c r="G242" i="8"/>
  <c r="H242" i="8"/>
  <c r="BD256" i="8"/>
  <c r="M212" i="8"/>
  <c r="M213" i="8"/>
  <c r="H39" i="32" l="1"/>
  <c r="E40" i="32" s="1" a="1"/>
  <c r="E40" i="32" s="1"/>
  <c r="F40" i="32" s="1" a="1"/>
  <c r="F40" i="32" s="1"/>
  <c r="AX35" i="32" a="1"/>
  <c r="AX35" i="32" s="1"/>
  <c r="W35" i="32" s="1"/>
  <c r="CR36" i="32"/>
  <c r="AG36" i="32" s="1"/>
  <c r="CU36" i="32"/>
  <c r="AH36" i="32" s="1"/>
  <c r="DD36" i="32"/>
  <c r="AJ36" i="32" s="1"/>
  <c r="BE36" i="32"/>
  <c r="Y36" i="32" s="1"/>
  <c r="BA36" i="32"/>
  <c r="X36" i="32" s="1"/>
  <c r="I39" i="32"/>
  <c r="P39" i="32"/>
  <c r="N39" i="32"/>
  <c r="T39" i="32"/>
  <c r="Q39" i="32"/>
  <c r="BY36" i="32" a="1"/>
  <c r="BY36" i="32" s="1"/>
  <c r="BZ36" i="32" a="1"/>
  <c r="BZ36" i="32" s="1"/>
  <c r="CA36" i="32" a="1"/>
  <c r="CA36" i="32" s="1"/>
  <c r="CD36" i="32"/>
  <c r="CC36" i="32" s="1" a="1"/>
  <c r="CC36" i="32" s="1"/>
  <c r="CE35" i="32" a="1"/>
  <c r="CE35" i="32" s="1"/>
  <c r="AC35" i="32" s="1"/>
  <c r="CO36" i="32"/>
  <c r="AF36" i="32" s="1"/>
  <c r="AM38" i="32"/>
  <c r="U34" i="32"/>
  <c r="CL36" i="32"/>
  <c r="AE36" i="32" s="1"/>
  <c r="V34" i="32"/>
  <c r="BG36" i="32" a="1"/>
  <c r="BG36" i="32" s="1"/>
  <c r="BL36" i="32" a="1"/>
  <c r="BL36" i="32" s="1"/>
  <c r="BH36" i="32" a="1"/>
  <c r="BH36" i="32" s="1"/>
  <c r="BQ36" i="32" a="1"/>
  <c r="BQ36" i="32" s="1"/>
  <c r="BK36" i="32" a="1"/>
  <c r="BK36" i="32" s="1"/>
  <c r="BJ36" i="32" a="1"/>
  <c r="BJ36" i="32" s="1"/>
  <c r="BM36" i="32" a="1"/>
  <c r="BM36" i="32" s="1"/>
  <c r="BF36" i="32" a="1"/>
  <c r="BF36" i="32" s="1"/>
  <c r="BO36" i="32" a="1"/>
  <c r="BO36" i="32" s="1"/>
  <c r="BI36" i="32" a="1"/>
  <c r="BI36" i="32" s="1"/>
  <c r="BN36" i="32" a="1"/>
  <c r="BN36" i="32" s="1"/>
  <c r="CX36" i="32"/>
  <c r="AI36" i="32" s="1"/>
  <c r="BR35" i="32" a="1"/>
  <c r="BR35" i="32" s="1"/>
  <c r="Z35" i="32" s="1"/>
  <c r="CF36" i="32" a="1"/>
  <c r="CF36" i="32" s="1"/>
  <c r="CI36" i="32" s="1"/>
  <c r="AD36" i="32" s="1"/>
  <c r="CH36" i="32" a="1"/>
  <c r="CH36" i="32" s="1"/>
  <c r="M40" i="32"/>
  <c r="I40" i="32" s="1"/>
  <c r="BW36" i="32" a="1"/>
  <c r="BW36" i="32" s="1"/>
  <c r="BU36" i="32" a="1"/>
  <c r="BU36" i="32" s="1"/>
  <c r="BX36" i="32" s="1"/>
  <c r="AB36" i="32" s="1"/>
  <c r="AN37" i="32"/>
  <c r="AO37" i="32" s="1"/>
  <c r="AP37" i="32" s="1"/>
  <c r="AQ37" i="32" s="1"/>
  <c r="AR37" i="32" s="1"/>
  <c r="AS37" i="32" s="1"/>
  <c r="CT37" i="32" s="1" a="1"/>
  <c r="CT37" i="32" s="1"/>
  <c r="AU36" i="32" a="1"/>
  <c r="AU36" i="32" s="1"/>
  <c r="AT36" i="32" a="1"/>
  <c r="AT36" i="32" s="1"/>
  <c r="AW36" i="32" a="1"/>
  <c r="AW36" i="32" s="1"/>
  <c r="BX35" i="32"/>
  <c r="AB35" i="32" s="1"/>
  <c r="P222" i="8"/>
  <c r="T225" i="8"/>
  <c r="BF3" i="8"/>
  <c r="BC5" i="8"/>
  <c r="AX36" i="32" l="1" a="1"/>
  <c r="AX36" i="32" s="1"/>
  <c r="W36" i="32" s="1"/>
  <c r="AK35" i="32"/>
  <c r="CK37" i="32" a="1"/>
  <c r="CK37" i="32" s="1"/>
  <c r="CM37" i="32" a="1"/>
  <c r="CM37" i="32" s="1"/>
  <c r="BP37" i="32"/>
  <c r="BF37" i="32" s="1" a="1"/>
  <c r="BF37" i="32" s="1"/>
  <c r="BB37" i="32" a="1"/>
  <c r="BB37" i="32" s="1"/>
  <c r="CV37" i="32" a="1"/>
  <c r="CV37" i="32" s="1"/>
  <c r="CG37" i="32"/>
  <c r="CH37" i="32" s="1" a="1"/>
  <c r="CH37" i="32" s="1"/>
  <c r="CN37" i="32" a="1"/>
  <c r="CN37" i="32" s="1"/>
  <c r="G40" i="32"/>
  <c r="O40" i="32" s="1"/>
  <c r="N40" i="32" s="1"/>
  <c r="BD37" i="32"/>
  <c r="BC37" i="32" s="1" a="1"/>
  <c r="BC37" i="32" s="1"/>
  <c r="CQ37" i="32" a="1"/>
  <c r="CQ37" i="32" s="1"/>
  <c r="CS37" i="32" a="1"/>
  <c r="CS37" i="32" s="1"/>
  <c r="CU37" i="32" s="1"/>
  <c r="AH37" i="32" s="1"/>
  <c r="H40" i="32"/>
  <c r="E41" i="32" s="1" a="1"/>
  <c r="E41" i="32" s="1"/>
  <c r="F41" i="32" s="1" a="1"/>
  <c r="F41" i="32" s="1"/>
  <c r="AZ37" i="32" a="1"/>
  <c r="AZ37" i="32" s="1"/>
  <c r="CP37" i="32" a="1"/>
  <c r="CP37" i="32" s="1"/>
  <c r="CJ37" i="32" a="1"/>
  <c r="CJ37" i="32" s="1"/>
  <c r="BR36" i="32" a="1"/>
  <c r="BR36" i="32" s="1"/>
  <c r="Z36" i="32" s="1"/>
  <c r="AN38" i="32"/>
  <c r="AO38" i="32" s="1"/>
  <c r="AP38" i="32" s="1"/>
  <c r="AQ38" i="32" s="1"/>
  <c r="AR38" i="32" s="1"/>
  <c r="AS38" i="32" s="1"/>
  <c r="AY38" i="32" s="1" a="1"/>
  <c r="AY38" i="32" s="1"/>
  <c r="CE36" i="32" a="1"/>
  <c r="CE36" i="32" s="1"/>
  <c r="AC36" i="32" s="1"/>
  <c r="BH37" i="32" a="1"/>
  <c r="BH37" i="32" s="1"/>
  <c r="V35" i="32"/>
  <c r="DB37" i="32"/>
  <c r="U35" i="32"/>
  <c r="BM37" i="32" a="1"/>
  <c r="BM37" i="32" s="1"/>
  <c r="AV37" i="32"/>
  <c r="BV37" i="32"/>
  <c r="BJ37" i="32" a="1"/>
  <c r="BJ37" i="32" s="1"/>
  <c r="T40" i="32"/>
  <c r="AM39" i="32"/>
  <c r="BG37" i="32" a="1"/>
  <c r="BG37" i="32" s="1"/>
  <c r="AY37" i="32" a="1"/>
  <c r="AY37" i="32" s="1"/>
  <c r="BA37" i="32" s="1"/>
  <c r="X37" i="32" s="1"/>
  <c r="CW37" i="32" a="1"/>
  <c r="CW37" i="32" s="1"/>
  <c r="CB37" i="32"/>
  <c r="BS37" i="32" a="1"/>
  <c r="BS37" i="32" s="1"/>
  <c r="BT37" i="32" s="1"/>
  <c r="AA37" i="32" s="1"/>
  <c r="BE5" i="8"/>
  <c r="BE4" i="8"/>
  <c r="BE3" i="8"/>
  <c r="P40" i="32" l="1"/>
  <c r="Q40" i="32"/>
  <c r="BK37" i="32" a="1"/>
  <c r="BK37" i="32" s="1"/>
  <c r="BO37" i="32" a="1"/>
  <c r="BO37" i="32" s="1"/>
  <c r="BL37" i="32" a="1"/>
  <c r="BL37" i="32" s="1"/>
  <c r="CL37" i="32"/>
  <c r="AE37" i="32" s="1"/>
  <c r="BQ37" i="32" a="1"/>
  <c r="BQ37" i="32" s="1"/>
  <c r="CR37" i="32"/>
  <c r="AG37" i="32" s="1"/>
  <c r="AK36" i="32"/>
  <c r="CF37" i="32" a="1"/>
  <c r="CF37" i="32" s="1"/>
  <c r="CI37" i="32" s="1"/>
  <c r="AD37" i="32" s="1"/>
  <c r="CW38" i="32" a="1"/>
  <c r="CW38" i="32" s="1"/>
  <c r="CT38" i="32" a="1"/>
  <c r="CT38" i="32" s="1"/>
  <c r="CS38" i="32" a="1"/>
  <c r="CS38" i="32" s="1"/>
  <c r="DB38" i="32"/>
  <c r="DC38" i="32" s="1" a="1"/>
  <c r="DC38" i="32" s="1"/>
  <c r="BV38" i="32"/>
  <c r="BW38" i="32" s="1" a="1"/>
  <c r="BW38" i="32" s="1"/>
  <c r="CM38" i="32" a="1"/>
  <c r="CM38" i="32" s="1"/>
  <c r="BP38" i="32"/>
  <c r="BJ38" i="32" s="1" a="1"/>
  <c r="BJ38" i="32" s="1"/>
  <c r="CV38" i="32" a="1"/>
  <c r="CV38" i="32" s="1"/>
  <c r="CX38" i="32" s="1"/>
  <c r="AI38" i="32" s="1"/>
  <c r="CB38" i="32"/>
  <c r="BZ38" i="32" s="1" a="1"/>
  <c r="BZ38" i="32" s="1"/>
  <c r="AV38" i="32"/>
  <c r="AW38" i="32" s="1" a="1"/>
  <c r="AW38" i="32" s="1"/>
  <c r="CJ38" i="32" a="1"/>
  <c r="CJ38" i="32" s="1"/>
  <c r="CX37" i="32"/>
  <c r="AI37" i="32" s="1"/>
  <c r="AZ38" i="32" a="1"/>
  <c r="AZ38" i="32" s="1"/>
  <c r="BA38" i="32" s="1"/>
  <c r="X38" i="32" s="1"/>
  <c r="BB38" i="32" a="1"/>
  <c r="BB38" i="32" s="1"/>
  <c r="CO37" i="32"/>
  <c r="AF37" i="32" s="1"/>
  <c r="BE37" i="32"/>
  <c r="Y37" i="32" s="1"/>
  <c r="CQ38" i="32" a="1"/>
  <c r="CQ38" i="32" s="1"/>
  <c r="BN37" i="32" a="1"/>
  <c r="BN37" i="32" s="1"/>
  <c r="BI37" i="32" a="1"/>
  <c r="BI37" i="32" s="1"/>
  <c r="U36" i="32"/>
  <c r="CP38" i="32" a="1"/>
  <c r="CP38" i="32" s="1"/>
  <c r="DA38" i="32" a="1"/>
  <c r="DA38" i="32" s="1"/>
  <c r="BS38" i="32" a="1"/>
  <c r="BS38" i="32" s="1"/>
  <c r="BT38" i="32" s="1"/>
  <c r="AA38" i="32" s="1"/>
  <c r="BU37" i="32" a="1"/>
  <c r="BU37" i="32" s="1"/>
  <c r="BW37" i="32" a="1"/>
  <c r="BW37" i="32" s="1"/>
  <c r="AW37" i="32" a="1"/>
  <c r="AW37" i="32" s="1"/>
  <c r="AT37" i="32" a="1"/>
  <c r="AT37" i="32" s="1"/>
  <c r="AU37" i="32" a="1"/>
  <c r="AU37" i="32" s="1"/>
  <c r="BZ37" i="32" a="1"/>
  <c r="BZ37" i="32" s="1"/>
  <c r="CA37" i="32" a="1"/>
  <c r="CA37" i="32" s="1"/>
  <c r="BY37" i="32" a="1"/>
  <c r="BY37" i="32" s="1"/>
  <c r="CD37" i="32"/>
  <c r="CC37" i="32" s="1" a="1"/>
  <c r="CC37" i="32" s="1"/>
  <c r="DC37" i="32" a="1"/>
  <c r="DC37" i="32" s="1"/>
  <c r="CZ37" i="32" a="1"/>
  <c r="CZ37" i="32" s="1"/>
  <c r="DA37" i="32" a="1"/>
  <c r="DA37" i="32" s="1"/>
  <c r="CY37" i="32" a="1"/>
  <c r="CY37" i="32" s="1"/>
  <c r="CN38" i="32" a="1"/>
  <c r="CN38" i="32" s="1"/>
  <c r="CO38" i="32" s="1"/>
  <c r="AF38" i="32" s="1"/>
  <c r="CG38" i="32"/>
  <c r="M41" i="32"/>
  <c r="G41" i="32" s="1"/>
  <c r="O41" i="32" s="1"/>
  <c r="CY38" i="32" a="1"/>
  <c r="CY38" i="32" s="1"/>
  <c r="AM40" i="32"/>
  <c r="CZ38" i="32" a="1"/>
  <c r="CZ38" i="32" s="1"/>
  <c r="BD38" i="32"/>
  <c r="BC38" i="32" s="1" a="1"/>
  <c r="BC38" i="32" s="1"/>
  <c r="BE38" i="32" s="1"/>
  <c r="Y38" i="32" s="1"/>
  <c r="BI38" i="32" a="1"/>
  <c r="BI38" i="32" s="1"/>
  <c r="V36" i="32"/>
  <c r="AN39" i="32"/>
  <c r="AO39" i="32" s="1"/>
  <c r="AP39" i="32" s="1"/>
  <c r="AQ39" i="32" s="1"/>
  <c r="AR39" i="32" s="1"/>
  <c r="AS39" i="32" s="1"/>
  <c r="BQ38" i="32" a="1"/>
  <c r="BQ38" i="32" s="1"/>
  <c r="CK38" i="32" a="1"/>
  <c r="CK38" i="32" s="1"/>
  <c r="BU38" i="32" l="1" a="1"/>
  <c r="BU38" i="32" s="1"/>
  <c r="BX38" i="32" s="1"/>
  <c r="AB38" i="32" s="1"/>
  <c r="AU38" i="32" a="1"/>
  <c r="AU38" i="32" s="1"/>
  <c r="BG38" i="32" a="1"/>
  <c r="BG38" i="32" s="1"/>
  <c r="BH38" i="32" a="1"/>
  <c r="BH38" i="32" s="1"/>
  <c r="BN38" i="32" a="1"/>
  <c r="BN38" i="32" s="1"/>
  <c r="BK38" i="32" a="1"/>
  <c r="BK38" i="32" s="1"/>
  <c r="AT38" i="32" a="1"/>
  <c r="AT38" i="32" s="1"/>
  <c r="AX38" i="32" s="1" a="1"/>
  <c r="AX38" i="32" s="1"/>
  <c r="W38" i="32" s="1"/>
  <c r="CL38" i="32"/>
  <c r="AE38" i="32" s="1"/>
  <c r="BY38" i="32" a="1"/>
  <c r="BY38" i="32" s="1"/>
  <c r="CA38" i="32" a="1"/>
  <c r="CA38" i="32" s="1"/>
  <c r="AX37" i="32" a="1"/>
  <c r="AX37" i="32" s="1"/>
  <c r="W37" i="32" s="1"/>
  <c r="CD38" i="32"/>
  <c r="CC38" i="32" s="1" a="1"/>
  <c r="CC38" i="32" s="1"/>
  <c r="CR38" i="32"/>
  <c r="AG38" i="32" s="1"/>
  <c r="BL38" i="32" a="1"/>
  <c r="BL38" i="32" s="1"/>
  <c r="BO38" i="32" a="1"/>
  <c r="BO38" i="32" s="1"/>
  <c r="BF38" i="32" a="1"/>
  <c r="BF38" i="32" s="1"/>
  <c r="BM38" i="32" a="1"/>
  <c r="BM38" i="32" s="1"/>
  <c r="CU38" i="32"/>
  <c r="AH38" i="32" s="1"/>
  <c r="BX37" i="32"/>
  <c r="AB37" i="32" s="1"/>
  <c r="BR37" i="32" a="1"/>
  <c r="BR37" i="32" s="1"/>
  <c r="Z37" i="32" s="1"/>
  <c r="H41" i="32"/>
  <c r="E42" i="32" s="1" a="1"/>
  <c r="E42" i="32" s="1"/>
  <c r="F42" i="32" s="1" a="1"/>
  <c r="F42" i="32" s="1"/>
  <c r="M42" i="32" s="1"/>
  <c r="H42" i="32" s="1"/>
  <c r="E43" i="32" s="1" a="1"/>
  <c r="E43" i="32" s="1"/>
  <c r="F43" i="32" s="1" a="1"/>
  <c r="F43" i="32" s="1"/>
  <c r="I41" i="32"/>
  <c r="N41" i="32"/>
  <c r="T41" i="32"/>
  <c r="Q41" i="32"/>
  <c r="P41" i="32"/>
  <c r="DB39" i="32"/>
  <c r="CB39" i="32"/>
  <c r="CH38" i="32" a="1"/>
  <c r="CH38" i="32" s="1"/>
  <c r="CF38" i="32" a="1"/>
  <c r="CF38" i="32" s="1"/>
  <c r="CI38" i="32" s="1"/>
  <c r="AD38" i="32" s="1"/>
  <c r="DD37" i="32"/>
  <c r="AJ37" i="32" s="1"/>
  <c r="CE37" i="32" a="1"/>
  <c r="CE37" i="32" s="1"/>
  <c r="AC37" i="32" s="1"/>
  <c r="CW39" i="32" a="1"/>
  <c r="CW39" i="32" s="1"/>
  <c r="CN39" i="32" a="1"/>
  <c r="CN39" i="32" s="1"/>
  <c r="CJ39" i="32" a="1"/>
  <c r="CJ39" i="32" s="1"/>
  <c r="AZ39" i="32" a="1"/>
  <c r="AZ39" i="32" s="1"/>
  <c r="CK39" i="32" a="1"/>
  <c r="CK39" i="32" s="1"/>
  <c r="CG39" i="32"/>
  <c r="BD39" i="32"/>
  <c r="BC39" i="32" s="1" a="1"/>
  <c r="BC39" i="32" s="1"/>
  <c r="DD38" i="32"/>
  <c r="AJ38" i="32" s="1"/>
  <c r="CS39" i="32" a="1"/>
  <c r="CS39" i="32" s="1"/>
  <c r="CV39" i="32" a="1"/>
  <c r="CV39" i="32" s="1"/>
  <c r="BS39" i="32" a="1"/>
  <c r="BS39" i="32" s="1"/>
  <c r="BT39" i="32" s="1"/>
  <c r="AA39" i="32" s="1"/>
  <c r="BP39" i="32"/>
  <c r="BB39" i="32" a="1"/>
  <c r="BB39" i="32" s="1"/>
  <c r="CM39" i="32" a="1"/>
  <c r="CM39" i="32" s="1"/>
  <c r="BV39" i="32"/>
  <c r="AY39" i="32" a="1"/>
  <c r="AY39" i="32" s="1"/>
  <c r="BA39" i="32" s="1"/>
  <c r="X39" i="32" s="1"/>
  <c r="AV39" i="32"/>
  <c r="CP39" i="32" a="1"/>
  <c r="CP39" i="32" s="1"/>
  <c r="CQ39" i="32" a="1"/>
  <c r="CQ39" i="32" s="1"/>
  <c r="CT39" i="32" a="1"/>
  <c r="CT39" i="32" s="1"/>
  <c r="AN40" i="32"/>
  <c r="AO40" i="32" s="1"/>
  <c r="AP40" i="32" s="1"/>
  <c r="AQ40" i="32" s="1"/>
  <c r="AR40" i="32" s="1"/>
  <c r="AS40" i="32" s="1"/>
  <c r="CW40" i="32" s="1" a="1"/>
  <c r="CW40" i="32" s="1"/>
  <c r="BE39" i="32" l="1"/>
  <c r="Y39" i="32" s="1"/>
  <c r="CO39" i="32"/>
  <c r="AF39" i="32" s="1"/>
  <c r="CE38" i="32" a="1"/>
  <c r="CE38" i="32" s="1"/>
  <c r="AC38" i="32" s="1"/>
  <c r="CX39" i="32"/>
  <c r="AI39" i="32" s="1"/>
  <c r="BR38" i="32" a="1"/>
  <c r="BR38" i="32" s="1"/>
  <c r="Z38" i="32" s="1"/>
  <c r="AK37" i="32"/>
  <c r="CN40" i="32" a="1"/>
  <c r="CN40" i="32" s="1"/>
  <c r="CB40" i="32"/>
  <c r="BZ40" i="32" s="1" a="1"/>
  <c r="BZ40" i="32" s="1"/>
  <c r="BS40" i="32" a="1"/>
  <c r="BS40" i="32" s="1"/>
  <c r="BT40" i="32" s="1"/>
  <c r="AA40" i="32" s="1"/>
  <c r="CT40" i="32" a="1"/>
  <c r="CT40" i="32" s="1"/>
  <c r="CR39" i="32"/>
  <c r="AG39" i="32" s="1"/>
  <c r="CP40" i="32" a="1"/>
  <c r="CP40" i="32" s="1"/>
  <c r="AY40" i="32" a="1"/>
  <c r="AY40" i="32" s="1"/>
  <c r="CK40" i="32" a="1"/>
  <c r="CK40" i="32" s="1"/>
  <c r="CM40" i="32" a="1"/>
  <c r="CM40" i="32" s="1"/>
  <c r="CJ40" i="32" a="1"/>
  <c r="CJ40" i="32" s="1"/>
  <c r="I42" i="32"/>
  <c r="AZ40" i="32" a="1"/>
  <c r="AZ40" i="32" s="1"/>
  <c r="CV40" i="32" a="1"/>
  <c r="CV40" i="32" s="1"/>
  <c r="CX40" i="32" s="1"/>
  <c r="AI40" i="32" s="1"/>
  <c r="CS40" i="32" a="1"/>
  <c r="CS40" i="32" s="1"/>
  <c r="BD40" i="32"/>
  <c r="BC40" i="32" s="1" a="1"/>
  <c r="BC40" i="32" s="1"/>
  <c r="BV40" i="32"/>
  <c r="BW40" i="32" s="1" a="1"/>
  <c r="BW40" i="32" s="1"/>
  <c r="CG40" i="32"/>
  <c r="CH40" i="32" s="1" a="1"/>
  <c r="CH40" i="32" s="1"/>
  <c r="DB40" i="32"/>
  <c r="CY40" i="32" s="1" a="1"/>
  <c r="CY40" i="32" s="1"/>
  <c r="CQ40" i="32" a="1"/>
  <c r="CQ40" i="32" s="1"/>
  <c r="M43" i="32"/>
  <c r="I43" i="32" s="1"/>
  <c r="BW39" i="32" a="1"/>
  <c r="BW39" i="32" s="1"/>
  <c r="BU39" i="32" a="1"/>
  <c r="BU39" i="32" s="1"/>
  <c r="BP40" i="32"/>
  <c r="BQ39" i="32" a="1"/>
  <c r="BQ39" i="32" s="1"/>
  <c r="BJ39" i="32" a="1"/>
  <c r="BJ39" i="32" s="1"/>
  <c r="BH39" i="32" a="1"/>
  <c r="BH39" i="32" s="1"/>
  <c r="BM39" i="32" a="1"/>
  <c r="BM39" i="32" s="1"/>
  <c r="BI39" i="32" a="1"/>
  <c r="BI39" i="32" s="1"/>
  <c r="BL39" i="32" a="1"/>
  <c r="BL39" i="32" s="1"/>
  <c r="BO39" i="32" a="1"/>
  <c r="BO39" i="32" s="1"/>
  <c r="BG39" i="32" a="1"/>
  <c r="BG39" i="32" s="1"/>
  <c r="BF39" i="32" a="1"/>
  <c r="BF39" i="32" s="1"/>
  <c r="BN39" i="32" a="1"/>
  <c r="BN39" i="32" s="1"/>
  <c r="BK39" i="32" a="1"/>
  <c r="BK39" i="32" s="1"/>
  <c r="CA40" i="32" a="1"/>
  <c r="CA40" i="32" s="1"/>
  <c r="BU40" i="32" a="1"/>
  <c r="BU40" i="32" s="1"/>
  <c r="BX40" i="32" s="1"/>
  <c r="AB40" i="32" s="1"/>
  <c r="V38" i="32"/>
  <c r="CA39" i="32" a="1"/>
  <c r="CA39" i="32" s="1"/>
  <c r="BY39" i="32" a="1"/>
  <c r="BY39" i="32" s="1"/>
  <c r="CD39" i="32"/>
  <c r="CC39" i="32" s="1" a="1"/>
  <c r="CC39" i="32" s="1"/>
  <c r="BZ39" i="32" a="1"/>
  <c r="BZ39" i="32" s="1"/>
  <c r="DC39" i="32" a="1"/>
  <c r="DC39" i="32" s="1"/>
  <c r="CY39" i="32" a="1"/>
  <c r="CY39" i="32" s="1"/>
  <c r="CZ39" i="32" a="1"/>
  <c r="CZ39" i="32" s="1"/>
  <c r="DA39" i="32" a="1"/>
  <c r="DA39" i="32" s="1"/>
  <c r="U37" i="32"/>
  <c r="CD40" i="32"/>
  <c r="CC40" i="32" s="1" a="1"/>
  <c r="CC40" i="32" s="1"/>
  <c r="CU39" i="32"/>
  <c r="AH39" i="32" s="1"/>
  <c r="V37" i="32"/>
  <c r="BY40" i="32" a="1"/>
  <c r="BY40" i="32" s="1"/>
  <c r="AT39" i="32" a="1"/>
  <c r="AT39" i="32" s="1"/>
  <c r="AX39" i="32" s="1" a="1"/>
  <c r="AX39" i="32" s="1"/>
  <c r="W39" i="32" s="1"/>
  <c r="AU39" i="32" a="1"/>
  <c r="AU39" i="32" s="1"/>
  <c r="AW39" i="32" a="1"/>
  <c r="AW39" i="32" s="1"/>
  <c r="G42" i="32"/>
  <c r="O42" i="32" s="1"/>
  <c r="BB40" i="32" a="1"/>
  <c r="BB40" i="32" s="1"/>
  <c r="BE40" i="32" s="1"/>
  <c r="Y40" i="32" s="1"/>
  <c r="AV40" i="32"/>
  <c r="CF39" i="32" a="1"/>
  <c r="CF39" i="32" s="1"/>
  <c r="CH39" i="32" a="1"/>
  <c r="CH39" i="32" s="1"/>
  <c r="AM41" i="32"/>
  <c r="CL39" i="32"/>
  <c r="AE39" i="32" s="1"/>
  <c r="AK38" i="32" l="1"/>
  <c r="CR40" i="32"/>
  <c r="AG40" i="32" s="1"/>
  <c r="U38" i="32"/>
  <c r="CO40" i="32"/>
  <c r="AF40" i="32" s="1"/>
  <c r="CF40" i="32" a="1"/>
  <c r="CF40" i="32" s="1"/>
  <c r="CI40" i="32" s="1"/>
  <c r="AD40" i="32" s="1"/>
  <c r="DD39" i="32"/>
  <c r="AJ39" i="32" s="1"/>
  <c r="CU40" i="32"/>
  <c r="AH40" i="32" s="1"/>
  <c r="CL40" i="32"/>
  <c r="AE40" i="32" s="1"/>
  <c r="BX39" i="32"/>
  <c r="AB39" i="32" s="1"/>
  <c r="DC40" i="32" a="1"/>
  <c r="DC40" i="32" s="1"/>
  <c r="BA40" i="32"/>
  <c r="X40" i="32" s="1"/>
  <c r="DA40" i="32" a="1"/>
  <c r="DA40" i="32" s="1"/>
  <c r="CZ40" i="32" a="1"/>
  <c r="CZ40" i="32" s="1"/>
  <c r="DD40" i="32" s="1"/>
  <c r="AJ40" i="32" s="1"/>
  <c r="AU40" i="32" a="1"/>
  <c r="AU40" i="32" s="1"/>
  <c r="AW40" i="32" a="1"/>
  <c r="AW40" i="32" s="1"/>
  <c r="AT40" i="32" a="1"/>
  <c r="AT40" i="32" s="1"/>
  <c r="AX40" i="32" s="1" a="1"/>
  <c r="AX40" i="32" s="1"/>
  <c r="W40" i="32" s="1"/>
  <c r="CE39" i="32" a="1"/>
  <c r="CE39" i="32" s="1"/>
  <c r="AC39" i="32" s="1"/>
  <c r="Q42" i="32"/>
  <c r="T42" i="32"/>
  <c r="N42" i="32"/>
  <c r="P42" i="32"/>
  <c r="BN40" i="32" a="1"/>
  <c r="BN40" i="32" s="1"/>
  <c r="BF40" i="32" a="1"/>
  <c r="BF40" i="32" s="1"/>
  <c r="BH40" i="32" a="1"/>
  <c r="BH40" i="32" s="1"/>
  <c r="BJ40" i="32" a="1"/>
  <c r="BJ40" i="32" s="1"/>
  <c r="BQ40" i="32" a="1"/>
  <c r="BQ40" i="32" s="1"/>
  <c r="BO40" i="32" a="1"/>
  <c r="BO40" i="32" s="1"/>
  <c r="BG40" i="32" a="1"/>
  <c r="BG40" i="32" s="1"/>
  <c r="BI40" i="32" a="1"/>
  <c r="BI40" i="32" s="1"/>
  <c r="BK40" i="32" a="1"/>
  <c r="BK40" i="32" s="1"/>
  <c r="BL40" i="32" a="1"/>
  <c r="BL40" i="32" s="1"/>
  <c r="BM40" i="32" a="1"/>
  <c r="BM40" i="32" s="1"/>
  <c r="AN41" i="32"/>
  <c r="AO41" i="32" s="1"/>
  <c r="AP41" i="32" s="1"/>
  <c r="AQ41" i="32" s="1"/>
  <c r="AR41" i="32" s="1"/>
  <c r="AS41" i="32" s="1"/>
  <c r="BS41" i="32" s="1" a="1"/>
  <c r="BS41" i="32" s="1"/>
  <c r="BT41" i="32" s="1"/>
  <c r="AA41" i="32" s="1"/>
  <c r="CE40" i="32" a="1"/>
  <c r="CE40" i="32" s="1"/>
  <c r="AC40" i="32" s="1"/>
  <c r="BR39" i="32" a="1"/>
  <c r="BR39" i="32" s="1"/>
  <c r="Z39" i="32" s="1"/>
  <c r="G43" i="32"/>
  <c r="O43" i="32" s="1"/>
  <c r="H43" i="32"/>
  <c r="E44" i="32" s="1" a="1"/>
  <c r="E44" i="32" s="1"/>
  <c r="F44" i="32" s="1" a="1"/>
  <c r="F44" i="32" s="1"/>
  <c r="CI39" i="32"/>
  <c r="AD39" i="32" s="1"/>
  <c r="U39" i="32" l="1"/>
  <c r="BR40" i="32" a="1"/>
  <c r="BR40" i="32" s="1"/>
  <c r="Z40" i="32" s="1"/>
  <c r="V40" i="32" s="1"/>
  <c r="CP41" i="32" a="1"/>
  <c r="CP41" i="32" s="1"/>
  <c r="DB41" i="32"/>
  <c r="BP41" i="32"/>
  <c r="AY41" i="32" a="1"/>
  <c r="AY41" i="32" s="1"/>
  <c r="BA41" i="32" s="1"/>
  <c r="X41" i="32" s="1"/>
  <c r="CS41" i="32" a="1"/>
  <c r="CS41" i="32" s="1"/>
  <c r="BV41" i="32"/>
  <c r="CB41" i="32"/>
  <c r="P43" i="32"/>
  <c r="N43" i="32"/>
  <c r="T43" i="32"/>
  <c r="Q43" i="32"/>
  <c r="AV41" i="32"/>
  <c r="CT41" i="32" a="1"/>
  <c r="CT41" i="32" s="1"/>
  <c r="CW41" i="32" a="1"/>
  <c r="CW41" i="32" s="1"/>
  <c r="BD41" i="32"/>
  <c r="BC41" i="32" s="1" a="1"/>
  <c r="BC41" i="32" s="1"/>
  <c r="AK39" i="32"/>
  <c r="AM42" i="32"/>
  <c r="BB41" i="32" a="1"/>
  <c r="BB41" i="32" s="1"/>
  <c r="BE41" i="32" s="1"/>
  <c r="Y41" i="32" s="1"/>
  <c r="CN41" i="32" a="1"/>
  <c r="CN41" i="32" s="1"/>
  <c r="AZ41" i="32" a="1"/>
  <c r="AZ41" i="32" s="1"/>
  <c r="CM41" i="32" a="1"/>
  <c r="CM41" i="32" s="1"/>
  <c r="CG41" i="32"/>
  <c r="CV41" i="32" a="1"/>
  <c r="CV41" i="32" s="1"/>
  <c r="CX41" i="32" s="1"/>
  <c r="AI41" i="32" s="1"/>
  <c r="V39" i="32"/>
  <c r="CQ41" i="32" a="1"/>
  <c r="CQ41" i="32" s="1"/>
  <c r="CK41" i="32" a="1"/>
  <c r="CK41" i="32" s="1"/>
  <c r="CJ41" i="32" a="1"/>
  <c r="CJ41" i="32" s="1"/>
  <c r="M44" i="32"/>
  <c r="H44" i="32" s="1"/>
  <c r="E45" i="32" s="1" a="1"/>
  <c r="E45" i="32" s="1"/>
  <c r="F45" i="32" s="1" a="1"/>
  <c r="F45" i="32" s="1"/>
  <c r="U40" i="32" l="1"/>
  <c r="AK40" i="32"/>
  <c r="I44" i="32"/>
  <c r="CR41" i="32"/>
  <c r="AG41" i="32" s="1"/>
  <c r="G44" i="32"/>
  <c r="O44" i="32" s="1"/>
  <c r="N44" i="32" s="1"/>
  <c r="CO41" i="32"/>
  <c r="AF41" i="32" s="1"/>
  <c r="M45" i="32"/>
  <c r="G45" i="32" s="1"/>
  <c r="O45" i="32" s="1"/>
  <c r="AU41" i="32" a="1"/>
  <c r="AU41" i="32" s="1"/>
  <c r="AW41" i="32" a="1"/>
  <c r="AW41" i="32" s="1"/>
  <c r="AT41" i="32" a="1"/>
  <c r="AT41" i="32" s="1"/>
  <c r="AX41" i="32" s="1" a="1"/>
  <c r="AX41" i="32" s="1"/>
  <c r="W41" i="32" s="1"/>
  <c r="AM43" i="32"/>
  <c r="CL41" i="32"/>
  <c r="AE41" i="32" s="1"/>
  <c r="CH41" i="32" a="1"/>
  <c r="CH41" i="32" s="1"/>
  <c r="CF41" i="32" a="1"/>
  <c r="CF41" i="32" s="1"/>
  <c r="CA41" i="32" a="1"/>
  <c r="CA41" i="32" s="1"/>
  <c r="CD41" i="32"/>
  <c r="CC41" i="32" s="1" a="1"/>
  <c r="CC41" i="32" s="1"/>
  <c r="BZ41" i="32" a="1"/>
  <c r="BZ41" i="32" s="1"/>
  <c r="BY41" i="32" a="1"/>
  <c r="BY41" i="32" s="1"/>
  <c r="BU41" i="32" a="1"/>
  <c r="BU41" i="32" s="1"/>
  <c r="BW41" i="32" a="1"/>
  <c r="BW41" i="32" s="1"/>
  <c r="CU41" i="32"/>
  <c r="AH41" i="32" s="1"/>
  <c r="AN42" i="32"/>
  <c r="AO42" i="32" s="1"/>
  <c r="AP42" i="32" s="1"/>
  <c r="AQ42" i="32" s="1"/>
  <c r="AR42" i="32" s="1"/>
  <c r="AS42" i="32" s="1"/>
  <c r="AY42" i="32" s="1" a="1"/>
  <c r="AY42" i="32" s="1"/>
  <c r="BJ41" i="32" a="1"/>
  <c r="BJ41" i="32" s="1"/>
  <c r="BM41" i="32" a="1"/>
  <c r="BM41" i="32" s="1"/>
  <c r="BL41" i="32" a="1"/>
  <c r="BL41" i="32" s="1"/>
  <c r="BK41" i="32" a="1"/>
  <c r="BK41" i="32" s="1"/>
  <c r="BQ41" i="32" a="1"/>
  <c r="BQ41" i="32" s="1"/>
  <c r="BI41" i="32" a="1"/>
  <c r="BI41" i="32" s="1"/>
  <c r="BN41" i="32" a="1"/>
  <c r="BN41" i="32" s="1"/>
  <c r="BG41" i="32" a="1"/>
  <c r="BG41" i="32" s="1"/>
  <c r="BO41" i="32" a="1"/>
  <c r="BO41" i="32" s="1"/>
  <c r="BF41" i="32" a="1"/>
  <c r="BF41" i="32" s="1"/>
  <c r="BH41" i="32" a="1"/>
  <c r="BH41" i="32" s="1"/>
  <c r="DA41" i="32" a="1"/>
  <c r="DA41" i="32" s="1"/>
  <c r="DC41" i="32" a="1"/>
  <c r="DC41" i="32" s="1"/>
  <c r="CZ41" i="32" a="1"/>
  <c r="CZ41" i="32" s="1"/>
  <c r="CY41" i="32" a="1"/>
  <c r="CY41" i="32" s="1"/>
  <c r="BX41" i="32" l="1"/>
  <c r="AB41" i="32" s="1"/>
  <c r="CI41" i="32"/>
  <c r="AD41" i="32" s="1"/>
  <c r="P44" i="32"/>
  <c r="T44" i="32"/>
  <c r="AM44" i="32" s="1"/>
  <c r="Q44" i="32"/>
  <c r="CS42" i="32" a="1"/>
  <c r="CS42" i="32" s="1"/>
  <c r="BV42" i="32"/>
  <c r="BW42" i="32" s="1" a="1"/>
  <c r="BW42" i="32" s="1"/>
  <c r="CM42" i="32" a="1"/>
  <c r="CM42" i="32" s="1"/>
  <c r="BD42" i="32"/>
  <c r="BC42" i="32" s="1" a="1"/>
  <c r="BC42" i="32" s="1"/>
  <c r="CP42" i="32" a="1"/>
  <c r="CP42" i="32" s="1"/>
  <c r="CQ42" i="32" a="1"/>
  <c r="CQ42" i="32" s="1"/>
  <c r="CV42" i="32" a="1"/>
  <c r="CV42" i="32" s="1"/>
  <c r="BP42" i="32"/>
  <c r="BK42" i="32" s="1" a="1"/>
  <c r="BK42" i="32" s="1"/>
  <c r="BS42" i="32" a="1"/>
  <c r="BS42" i="32" s="1"/>
  <c r="BT42" i="32" s="1"/>
  <c r="AA42" i="32" s="1"/>
  <c r="CJ42" i="32" a="1"/>
  <c r="CJ42" i="32" s="1"/>
  <c r="DB42" i="32"/>
  <c r="CZ42" i="32" s="1" a="1"/>
  <c r="CZ42" i="32" s="1"/>
  <c r="CE41" i="32" a="1"/>
  <c r="CE41" i="32" s="1"/>
  <c r="AC41" i="32" s="1"/>
  <c r="AZ42" i="32" a="1"/>
  <c r="AZ42" i="32" s="1"/>
  <c r="BA42" i="32" s="1"/>
  <c r="X42" i="32" s="1"/>
  <c r="T45" i="32"/>
  <c r="Q45" i="32"/>
  <c r="P45" i="32"/>
  <c r="N45" i="32"/>
  <c r="BR41" i="32" a="1"/>
  <c r="BR41" i="32" s="1"/>
  <c r="Z41" i="32" s="1"/>
  <c r="AN43" i="32"/>
  <c r="AO43" i="32" s="1"/>
  <c r="AP43" i="32" s="1"/>
  <c r="AQ43" i="32" s="1"/>
  <c r="AR43" i="32" s="1"/>
  <c r="AS43" i="32" s="1"/>
  <c r="DB43" i="32" s="1"/>
  <c r="CB42" i="32"/>
  <c r="BJ42" i="32" a="1"/>
  <c r="BJ42" i="32" s="1"/>
  <c r="BN42" i="32" a="1"/>
  <c r="BN42" i="32" s="1"/>
  <c r="CK42" i="32" a="1"/>
  <c r="CK42" i="32" s="1"/>
  <c r="CN42" i="32" a="1"/>
  <c r="CN42" i="32" s="1"/>
  <c r="BB42" i="32" a="1"/>
  <c r="BB42" i="32" s="1"/>
  <c r="BE42" i="32" s="1"/>
  <c r="Y42" i="32" s="1"/>
  <c r="CW42" i="32" a="1"/>
  <c r="CW42" i="32" s="1"/>
  <c r="AV42" i="32"/>
  <c r="CG42" i="32"/>
  <c r="DD41" i="32"/>
  <c r="AJ41" i="32" s="1"/>
  <c r="CT42" i="32" a="1"/>
  <c r="CT42" i="32" s="1"/>
  <c r="CU42" i="32" s="1"/>
  <c r="AH42" i="32" s="1"/>
  <c r="I45" i="32"/>
  <c r="H45" i="32"/>
  <c r="E46" i="32" s="1" a="1"/>
  <c r="E46" i="32" s="1"/>
  <c r="F46" i="32" s="1" a="1"/>
  <c r="F46" i="32" s="1"/>
  <c r="BU42" i="32" l="1" a="1"/>
  <c r="BU42" i="32" s="1"/>
  <c r="BX42" i="32" s="1"/>
  <c r="AB42" i="32" s="1"/>
  <c r="CL42" i="32"/>
  <c r="AE42" i="32" s="1"/>
  <c r="DC42" i="32" a="1"/>
  <c r="DC42" i="32" s="1"/>
  <c r="BF42" i="32" a="1"/>
  <c r="BF42" i="32" s="1"/>
  <c r="U41" i="32"/>
  <c r="BO42" i="32" a="1"/>
  <c r="BO42" i="32" s="1"/>
  <c r="BQ42" i="32" a="1"/>
  <c r="BQ42" i="32" s="1"/>
  <c r="BI42" i="32" a="1"/>
  <c r="BI42" i="32" s="1"/>
  <c r="CR42" i="32"/>
  <c r="AG42" i="32" s="1"/>
  <c r="BM42" i="32" a="1"/>
  <c r="BM42" i="32" s="1"/>
  <c r="BL42" i="32" a="1"/>
  <c r="BL42" i="32" s="1"/>
  <c r="BG42" i="32" a="1"/>
  <c r="BG42" i="32" s="1"/>
  <c r="CO42" i="32"/>
  <c r="AF42" i="32" s="1"/>
  <c r="BH42" i="32" a="1"/>
  <c r="BH42" i="32" s="1"/>
  <c r="CX42" i="32"/>
  <c r="AI42" i="32" s="1"/>
  <c r="DA42" i="32" a="1"/>
  <c r="DA42" i="32" s="1"/>
  <c r="CY42" i="32" a="1"/>
  <c r="CY42" i="32" s="1"/>
  <c r="DC43" i="32" a="1"/>
  <c r="DC43" i="32" s="1"/>
  <c r="CY43" i="32" a="1"/>
  <c r="CY43" i="32" s="1"/>
  <c r="DA43" i="32" a="1"/>
  <c r="DA43" i="32" s="1"/>
  <c r="CZ43" i="32" a="1"/>
  <c r="CZ43" i="32" s="1"/>
  <c r="CB43" i="32"/>
  <c r="CP43" i="32" a="1"/>
  <c r="CP43" i="32" s="1"/>
  <c r="CS43" i="32" a="1"/>
  <c r="CS43" i="32" s="1"/>
  <c r="AY43" i="32" a="1"/>
  <c r="AY43" i="32" s="1"/>
  <c r="CF42" i="32" a="1"/>
  <c r="CF42" i="32" s="1"/>
  <c r="CI42" i="32" s="1"/>
  <c r="AD42" i="32" s="1"/>
  <c r="CH42" i="32" a="1"/>
  <c r="CH42" i="32" s="1"/>
  <c r="CD42" i="32"/>
  <c r="CC42" i="32" s="1" a="1"/>
  <c r="CC42" i="32" s="1"/>
  <c r="BY42" i="32" a="1"/>
  <c r="BY42" i="32" s="1"/>
  <c r="BZ42" i="32" a="1"/>
  <c r="BZ42" i="32" s="1"/>
  <c r="CA42" i="32" a="1"/>
  <c r="CA42" i="32" s="1"/>
  <c r="CT43" i="32" a="1"/>
  <c r="CT43" i="32" s="1"/>
  <c r="BS43" i="32" a="1"/>
  <c r="BS43" i="32" s="1"/>
  <c r="BT43" i="32" s="1"/>
  <c r="AA43" i="32" s="1"/>
  <c r="CJ43" i="32" a="1"/>
  <c r="CJ43" i="32" s="1"/>
  <c r="AZ43" i="32" a="1"/>
  <c r="AZ43" i="32" s="1"/>
  <c r="AN44" i="32"/>
  <c r="AO44" i="32" s="1"/>
  <c r="AP44" i="32" s="1"/>
  <c r="AQ44" i="32" s="1"/>
  <c r="AR44" i="32" s="1"/>
  <c r="AS44" i="32" s="1"/>
  <c r="BP44" i="32" s="1"/>
  <c r="BV43" i="32"/>
  <c r="CQ43" i="32" a="1"/>
  <c r="CQ43" i="32" s="1"/>
  <c r="CK43" i="32" a="1"/>
  <c r="CK43" i="32" s="1"/>
  <c r="CG43" i="32"/>
  <c r="BB43" i="32" a="1"/>
  <c r="BB43" i="32" s="1"/>
  <c r="AM45" i="32"/>
  <c r="V41" i="32"/>
  <c r="CW43" i="32" a="1"/>
  <c r="CW43" i="32" s="1"/>
  <c r="CM43" i="32" a="1"/>
  <c r="CM43" i="32" s="1"/>
  <c r="M46" i="32"/>
  <c r="I46" i="32" s="1"/>
  <c r="AK41" i="32"/>
  <c r="AV43" i="32"/>
  <c r="AW42" i="32" a="1"/>
  <c r="AW42" i="32" s="1"/>
  <c r="AT42" i="32" a="1"/>
  <c r="AT42" i="32" s="1"/>
  <c r="AU42" i="32" a="1"/>
  <c r="AU42" i="32" s="1"/>
  <c r="CV43" i="32" a="1"/>
  <c r="CV43" i="32" s="1"/>
  <c r="BD43" i="32"/>
  <c r="BC43" i="32" s="1" a="1"/>
  <c r="BC43" i="32" s="1"/>
  <c r="CN43" i="32" a="1"/>
  <c r="CN43" i="32" s="1"/>
  <c r="BP43" i="32"/>
  <c r="DD42" i="32" l="1"/>
  <c r="AJ42" i="32" s="1"/>
  <c r="BA43" i="32"/>
  <c r="X43" i="32" s="1"/>
  <c r="AX42" i="32" a="1"/>
  <c r="AX42" i="32" s="1"/>
  <c r="W42" i="32" s="1"/>
  <c r="CL43" i="32"/>
  <c r="AE43" i="32" s="1"/>
  <c r="H46" i="32"/>
  <c r="E47" i="32" s="1" a="1"/>
  <c r="E47" i="32" s="1"/>
  <c r="F47" i="32" s="1" a="1"/>
  <c r="F47" i="32" s="1"/>
  <c r="G46" i="32"/>
  <c r="O46" i="32" s="1"/>
  <c r="BR42" i="32" a="1"/>
  <c r="BR42" i="32" s="1"/>
  <c r="Z42" i="32" s="1"/>
  <c r="CX43" i="32"/>
  <c r="AI43" i="32" s="1"/>
  <c r="CE42" i="32" a="1"/>
  <c r="CE42" i="32" s="1"/>
  <c r="AC42" i="32" s="1"/>
  <c r="CR43" i="32"/>
  <c r="AG43" i="32" s="1"/>
  <c r="BG44" i="32" a="1"/>
  <c r="BG44" i="32" s="1"/>
  <c r="BK44" i="32" a="1"/>
  <c r="BK44" i="32" s="1"/>
  <c r="BN44" i="32" a="1"/>
  <c r="BN44" i="32" s="1"/>
  <c r="BI44" i="32" a="1"/>
  <c r="BI44" i="32" s="1"/>
  <c r="BQ44" i="32" a="1"/>
  <c r="BQ44" i="32" s="1"/>
  <c r="BJ44" i="32" a="1"/>
  <c r="BJ44" i="32" s="1"/>
  <c r="BF44" i="32" a="1"/>
  <c r="BF44" i="32" s="1"/>
  <c r="BL44" i="32" a="1"/>
  <c r="BL44" i="32" s="1"/>
  <c r="BH44" i="32" a="1"/>
  <c r="BH44" i="32" s="1"/>
  <c r="BM44" i="32" a="1"/>
  <c r="BM44" i="32" s="1"/>
  <c r="BO44" i="32" a="1"/>
  <c r="BO44" i="32" s="1"/>
  <c r="AT43" i="32" a="1"/>
  <c r="AT43" i="32" s="1"/>
  <c r="AX43" i="32" s="1" a="1"/>
  <c r="AX43" i="32" s="1"/>
  <c r="W43" i="32" s="1"/>
  <c r="AU43" i="32" a="1"/>
  <c r="AU43" i="32" s="1"/>
  <c r="AW43" i="32" a="1"/>
  <c r="AW43" i="32" s="1"/>
  <c r="CV44" i="32" a="1"/>
  <c r="CV44" i="32" s="1"/>
  <c r="CJ44" i="32" a="1"/>
  <c r="CJ44" i="32" s="1"/>
  <c r="CN44" i="32" a="1"/>
  <c r="CN44" i="32" s="1"/>
  <c r="CP44" i="32" a="1"/>
  <c r="CP44" i="32" s="1"/>
  <c r="M47" i="32"/>
  <c r="I47" i="32" s="1"/>
  <c r="Q46" i="32"/>
  <c r="N46" i="32"/>
  <c r="T46" i="32"/>
  <c r="P46" i="32"/>
  <c r="CQ44" i="32" a="1"/>
  <c r="CQ44" i="32" s="1"/>
  <c r="CO43" i="32"/>
  <c r="AF43" i="32" s="1"/>
  <c r="AZ44" i="32" a="1"/>
  <c r="AZ44" i="32" s="1"/>
  <c r="AY44" i="32" a="1"/>
  <c r="AY44" i="32" s="1"/>
  <c r="CM44" i="32" a="1"/>
  <c r="CM44" i="32" s="1"/>
  <c r="CG44" i="32"/>
  <c r="BI43" i="32" a="1"/>
  <c r="BI43" i="32" s="1"/>
  <c r="BN43" i="32" a="1"/>
  <c r="BN43" i="32" s="1"/>
  <c r="BH43" i="32" a="1"/>
  <c r="BH43" i="32" s="1"/>
  <c r="BM43" i="32" a="1"/>
  <c r="BM43" i="32" s="1"/>
  <c r="BO43" i="32" a="1"/>
  <c r="BO43" i="32" s="1"/>
  <c r="BK43" i="32" a="1"/>
  <c r="BK43" i="32" s="1"/>
  <c r="BJ43" i="32" a="1"/>
  <c r="BJ43" i="32" s="1"/>
  <c r="BG43" i="32" a="1"/>
  <c r="BG43" i="32" s="1"/>
  <c r="BQ43" i="32" a="1"/>
  <c r="BQ43" i="32" s="1"/>
  <c r="BF43" i="32" a="1"/>
  <c r="BF43" i="32" s="1"/>
  <c r="BL43" i="32" a="1"/>
  <c r="BL43" i="32" s="1"/>
  <c r="AN45" i="32"/>
  <c r="AO45" i="32" s="1"/>
  <c r="AP45" i="32" s="1"/>
  <c r="AQ45" i="32" s="1"/>
  <c r="AR45" i="32" s="1"/>
  <c r="AS45" i="32" s="1"/>
  <c r="CQ45" i="32" s="1" a="1"/>
  <c r="CQ45" i="32" s="1"/>
  <c r="BB44" i="32" a="1"/>
  <c r="BB44" i="32" s="1"/>
  <c r="BE43" i="32"/>
  <c r="Y43" i="32" s="1"/>
  <c r="CS44" i="32" a="1"/>
  <c r="CS44" i="32" s="1"/>
  <c r="BV44" i="32"/>
  <c r="CW44" i="32" a="1"/>
  <c r="CW44" i="32" s="1"/>
  <c r="CU43" i="32"/>
  <c r="AH43" i="32" s="1"/>
  <c r="CF43" i="32" a="1"/>
  <c r="CF43" i="32" s="1"/>
  <c r="CI43" i="32" s="1"/>
  <c r="AD43" i="32" s="1"/>
  <c r="CH43" i="32" a="1"/>
  <c r="CH43" i="32" s="1"/>
  <c r="CT44" i="32" a="1"/>
  <c r="CT44" i="32" s="1"/>
  <c r="CK44" i="32" a="1"/>
  <c r="CK44" i="32" s="1"/>
  <c r="CB44" i="32"/>
  <c r="AK42" i="32"/>
  <c r="V42" i="32"/>
  <c r="U42" i="32"/>
  <c r="DB44" i="32"/>
  <c r="BS44" i="32" a="1"/>
  <c r="BS44" i="32" s="1"/>
  <c r="BT44" i="32" s="1"/>
  <c r="AA44" i="32" s="1"/>
  <c r="BZ43" i="32" a="1"/>
  <c r="BZ43" i="32" s="1"/>
  <c r="BY43" i="32" a="1"/>
  <c r="BY43" i="32" s="1"/>
  <c r="CA43" i="32" a="1"/>
  <c r="CA43" i="32" s="1"/>
  <c r="CD43" i="32"/>
  <c r="CC43" i="32" s="1" a="1"/>
  <c r="CC43" i="32" s="1"/>
  <c r="DD43" i="32"/>
  <c r="AJ43" i="32" s="1"/>
  <c r="BU43" i="32" a="1"/>
  <c r="BU43" i="32" s="1"/>
  <c r="BW43" i="32" a="1"/>
  <c r="BW43" i="32" s="1"/>
  <c r="BD44" i="32"/>
  <c r="BC44" i="32" s="1" a="1"/>
  <c r="BC44" i="32" s="1"/>
  <c r="AV44" i="32"/>
  <c r="BA44" i="32" l="1"/>
  <c r="X44" i="32" s="1"/>
  <c r="CT45" i="32" a="1"/>
  <c r="CT45" i="32" s="1"/>
  <c r="AY45" i="32" a="1"/>
  <c r="AY45" i="32" s="1"/>
  <c r="BA45" i="32" s="1"/>
  <c r="X45" i="32" s="1"/>
  <c r="CK45" i="32" a="1"/>
  <c r="CK45" i="32" s="1"/>
  <c r="AZ45" i="32" a="1"/>
  <c r="AZ45" i="32" s="1"/>
  <c r="BB45" i="32" a="1"/>
  <c r="BB45" i="32" s="1"/>
  <c r="G47" i="32"/>
  <c r="O47" i="32" s="1"/>
  <c r="Q47" i="32" s="1"/>
  <c r="BW44" i="32" a="1"/>
  <c r="BW44" i="32" s="1"/>
  <c r="BU44" i="32" a="1"/>
  <c r="BU44" i="32" s="1"/>
  <c r="CW45" i="32" a="1"/>
  <c r="CW45" i="32" s="1"/>
  <c r="BV45" i="32"/>
  <c r="AV45" i="32"/>
  <c r="CO44" i="32"/>
  <c r="AF44" i="32" s="1"/>
  <c r="CL44" i="32"/>
  <c r="AE44" i="32" s="1"/>
  <c r="CU44" i="32"/>
  <c r="AH44" i="32" s="1"/>
  <c r="CX44" i="32"/>
  <c r="AI44" i="32" s="1"/>
  <c r="CE43" i="32" a="1"/>
  <c r="CE43" i="32" s="1"/>
  <c r="AC43" i="32" s="1"/>
  <c r="BP45" i="32"/>
  <c r="CS45" i="32" a="1"/>
  <c r="CS45" i="32" s="1"/>
  <c r="BE44" i="32"/>
  <c r="Y44" i="32" s="1"/>
  <c r="CB45" i="32"/>
  <c r="DB45" i="32"/>
  <c r="BR43" i="32" a="1"/>
  <c r="BR43" i="32" s="1"/>
  <c r="Z43" i="32" s="1"/>
  <c r="CY44" i="32" a="1"/>
  <c r="CY44" i="32" s="1"/>
  <c r="DA44" i="32" a="1"/>
  <c r="DA44" i="32" s="1"/>
  <c r="CZ44" i="32" a="1"/>
  <c r="CZ44" i="32" s="1"/>
  <c r="DC44" i="32" a="1"/>
  <c r="DC44" i="32" s="1"/>
  <c r="CG45" i="32"/>
  <c r="AM46" i="32"/>
  <c r="BR44" i="32" a="1"/>
  <c r="BR44" i="32" s="1"/>
  <c r="Z44" i="32" s="1"/>
  <c r="CJ45" i="32" a="1"/>
  <c r="CJ45" i="32" s="1"/>
  <c r="BD45" i="32"/>
  <c r="BC45" i="32" s="1" a="1"/>
  <c r="BC45" i="32" s="1"/>
  <c r="CP45" i="32" a="1"/>
  <c r="CP45" i="32" s="1"/>
  <c r="CR45" i="32" s="1"/>
  <c r="AG45" i="32" s="1"/>
  <c r="CN45" i="32" a="1"/>
  <c r="CN45" i="32" s="1"/>
  <c r="BY44" i="32" a="1"/>
  <c r="BY44" i="32" s="1"/>
  <c r="CD44" i="32"/>
  <c r="CC44" i="32" s="1" a="1"/>
  <c r="CC44" i="32" s="1"/>
  <c r="CA44" i="32" a="1"/>
  <c r="CA44" i="32" s="1"/>
  <c r="BZ44" i="32" a="1"/>
  <c r="BZ44" i="32" s="1"/>
  <c r="BS45" i="32" a="1"/>
  <c r="BS45" i="32" s="1"/>
  <c r="BT45" i="32" s="1"/>
  <c r="AA45" i="32" s="1"/>
  <c r="H47" i="32"/>
  <c r="E48" i="32" s="1" a="1"/>
  <c r="E48" i="32" s="1"/>
  <c r="F48" i="32" s="1" a="1"/>
  <c r="F48" i="32" s="1"/>
  <c r="AW44" i="32" a="1"/>
  <c r="AW44" i="32" s="1"/>
  <c r="AT44" i="32" a="1"/>
  <c r="AT44" i="32" s="1"/>
  <c r="AX44" i="32" s="1" a="1"/>
  <c r="AX44" i="32" s="1"/>
  <c r="W44" i="32" s="1"/>
  <c r="AU44" i="32" a="1"/>
  <c r="AU44" i="32" s="1"/>
  <c r="CR44" i="32"/>
  <c r="AG44" i="32" s="1"/>
  <c r="BX43" i="32"/>
  <c r="AB43" i="32" s="1"/>
  <c r="CV45" i="32" a="1"/>
  <c r="CV45" i="32" s="1"/>
  <c r="CM45" i="32" a="1"/>
  <c r="CM45" i="32" s="1"/>
  <c r="CH44" i="32" a="1"/>
  <c r="CH44" i="32" s="1"/>
  <c r="CF44" i="32" a="1"/>
  <c r="CF44" i="32" s="1"/>
  <c r="CI44" i="32" s="1"/>
  <c r="AD44" i="32" s="1"/>
  <c r="V43" i="32" l="1"/>
  <c r="CL45" i="32"/>
  <c r="AE45" i="32" s="1"/>
  <c r="BX44" i="32"/>
  <c r="AB44" i="32" s="1"/>
  <c r="CX45" i="32"/>
  <c r="AI45" i="32" s="1"/>
  <c r="CO45" i="32"/>
  <c r="AF45" i="32" s="1"/>
  <c r="N47" i="32"/>
  <c r="P47" i="32"/>
  <c r="T47" i="32"/>
  <c r="AM47" i="32" s="1"/>
  <c r="CU45" i="32"/>
  <c r="AH45" i="32" s="1"/>
  <c r="DD44" i="32"/>
  <c r="AJ44" i="32" s="1"/>
  <c r="BE45" i="32"/>
  <c r="Y45" i="32" s="1"/>
  <c r="U43" i="32"/>
  <c r="CZ45" i="32" a="1"/>
  <c r="CZ45" i="32" s="1"/>
  <c r="CY45" i="32" a="1"/>
  <c r="CY45" i="32" s="1"/>
  <c r="DA45" i="32" a="1"/>
  <c r="DA45" i="32" s="1"/>
  <c r="DC45" i="32" a="1"/>
  <c r="DC45" i="32" s="1"/>
  <c r="AN46" i="32"/>
  <c r="AO46" i="32" s="1"/>
  <c r="AP46" i="32" s="1"/>
  <c r="AQ46" i="32" s="1"/>
  <c r="AR46" i="32" s="1"/>
  <c r="AS46" i="32" s="1"/>
  <c r="CB46" i="32" s="1"/>
  <c r="BZ45" i="32" a="1"/>
  <c r="BZ45" i="32" s="1"/>
  <c r="CD45" i="32"/>
  <c r="CC45" i="32" s="1" a="1"/>
  <c r="CC45" i="32" s="1"/>
  <c r="BY45" i="32" a="1"/>
  <c r="BY45" i="32" s="1"/>
  <c r="CA45" i="32" a="1"/>
  <c r="CA45" i="32" s="1"/>
  <c r="BI45" i="32" a="1"/>
  <c r="BI45" i="32" s="1"/>
  <c r="BF45" i="32" a="1"/>
  <c r="BF45" i="32" s="1"/>
  <c r="BK45" i="32" a="1"/>
  <c r="BK45" i="32" s="1"/>
  <c r="BN45" i="32" a="1"/>
  <c r="BN45" i="32" s="1"/>
  <c r="BL45" i="32" a="1"/>
  <c r="BL45" i="32" s="1"/>
  <c r="BM45" i="32" a="1"/>
  <c r="BM45" i="32" s="1"/>
  <c r="BH45" i="32" a="1"/>
  <c r="BH45" i="32" s="1"/>
  <c r="BJ45" i="32" a="1"/>
  <c r="BJ45" i="32" s="1"/>
  <c r="BQ45" i="32" a="1"/>
  <c r="BQ45" i="32" s="1"/>
  <c r="BG45" i="32" a="1"/>
  <c r="BG45" i="32" s="1"/>
  <c r="BO45" i="32" a="1"/>
  <c r="BO45" i="32" s="1"/>
  <c r="CF45" i="32" a="1"/>
  <c r="CF45" i="32" s="1"/>
  <c r="CI45" i="32" s="1"/>
  <c r="AD45" i="32" s="1"/>
  <c r="CH45" i="32" a="1"/>
  <c r="CH45" i="32" s="1"/>
  <c r="M48" i="32"/>
  <c r="G48" i="32" s="1"/>
  <c r="O48" i="32" s="1"/>
  <c r="AU45" i="32" a="1"/>
  <c r="AU45" i="32" s="1"/>
  <c r="AW45" i="32" a="1"/>
  <c r="AW45" i="32" s="1"/>
  <c r="AT45" i="32" a="1"/>
  <c r="AT45" i="32" s="1"/>
  <c r="AX45" i="32" s="1" a="1"/>
  <c r="AX45" i="32" s="1"/>
  <c r="W45" i="32" s="1"/>
  <c r="BW45" i="32" a="1"/>
  <c r="BW45" i="32" s="1"/>
  <c r="BU45" i="32" a="1"/>
  <c r="BU45" i="32" s="1"/>
  <c r="CE44" i="32" a="1"/>
  <c r="CE44" i="32" s="1"/>
  <c r="AC44" i="32" s="1"/>
  <c r="U44" i="32" s="1"/>
  <c r="AK43" i="32"/>
  <c r="BX45" i="32" l="1"/>
  <c r="AB45" i="32" s="1"/>
  <c r="AK44" i="32"/>
  <c r="BS46" i="32" a="1"/>
  <c r="BS46" i="32" s="1"/>
  <c r="BT46" i="32" s="1"/>
  <c r="AA46" i="32" s="1"/>
  <c r="CW46" i="32" a="1"/>
  <c r="CW46" i="32" s="1"/>
  <c r="V44" i="32"/>
  <c r="AY46" i="32" a="1"/>
  <c r="AY46" i="32" s="1"/>
  <c r="CS46" i="32" a="1"/>
  <c r="CS46" i="32" s="1"/>
  <c r="CK46" i="32" a="1"/>
  <c r="CK46" i="32" s="1"/>
  <c r="CV46" i="32" a="1"/>
  <c r="CV46" i="32" s="1"/>
  <c r="CX46" i="32" s="1"/>
  <c r="AI46" i="32" s="1"/>
  <c r="DD45" i="32"/>
  <c r="AJ45" i="32" s="1"/>
  <c r="BZ46" i="32" a="1"/>
  <c r="BZ46" i="32" s="1"/>
  <c r="BY46" i="32" a="1"/>
  <c r="BY46" i="32" s="1"/>
  <c r="CA46" i="32" a="1"/>
  <c r="CA46" i="32" s="1"/>
  <c r="CD46" i="32"/>
  <c r="CC46" i="32" s="1" a="1"/>
  <c r="CC46" i="32" s="1"/>
  <c r="T48" i="32"/>
  <c r="Q48" i="32"/>
  <c r="P48" i="32"/>
  <c r="N48" i="32"/>
  <c r="AZ46" i="32" a="1"/>
  <c r="AZ46" i="32" s="1"/>
  <c r="CQ46" i="32" a="1"/>
  <c r="CQ46" i="32" s="1"/>
  <c r="CT46" i="32" a="1"/>
  <c r="CT46" i="32" s="1"/>
  <c r="CU46" i="32" s="1"/>
  <c r="AH46" i="32" s="1"/>
  <c r="CM46" i="32" a="1"/>
  <c r="CM46" i="32" s="1"/>
  <c r="BR45" i="32" a="1"/>
  <c r="BR45" i="32" s="1"/>
  <c r="Z45" i="32" s="1"/>
  <c r="U45" i="32" s="1"/>
  <c r="CG46" i="32"/>
  <c r="DB46" i="32"/>
  <c r="BB46" i="32" a="1"/>
  <c r="BB46" i="32" s="1"/>
  <c r="BD46" i="32"/>
  <c r="BC46" i="32" s="1" a="1"/>
  <c r="BC46" i="32" s="1"/>
  <c r="H48" i="32"/>
  <c r="E49" i="32" s="1" a="1"/>
  <c r="E49" i="32" s="1"/>
  <c r="F49" i="32" s="1" a="1"/>
  <c r="F49" i="32" s="1"/>
  <c r="I48" i="32"/>
  <c r="CJ46" i="32" a="1"/>
  <c r="CJ46" i="32" s="1"/>
  <c r="CL46" i="32" s="1"/>
  <c r="AE46" i="32" s="1"/>
  <c r="AV46" i="32"/>
  <c r="BP46" i="32"/>
  <c r="CE45" i="32" a="1"/>
  <c r="CE45" i="32" s="1"/>
  <c r="AC45" i="32" s="1"/>
  <c r="BV46" i="32"/>
  <c r="CN46" i="32" a="1"/>
  <c r="CN46" i="32" s="1"/>
  <c r="CP46" i="32" a="1"/>
  <c r="CP46" i="32" s="1"/>
  <c r="AN47" i="32"/>
  <c r="AO47" i="32" s="1"/>
  <c r="AP47" i="32" s="1"/>
  <c r="AQ47" i="32" s="1"/>
  <c r="AR47" i="32" s="1"/>
  <c r="AS47" i="32" s="1"/>
  <c r="DB47" i="32" s="1"/>
  <c r="CZ47" i="32" s="1" a="1"/>
  <c r="CZ47" i="32" s="1"/>
  <c r="CS47" i="32" l="1" a="1"/>
  <c r="CS47" i="32" s="1"/>
  <c r="CT47" i="32" a="1"/>
  <c r="CT47" i="32" s="1"/>
  <c r="CW47" i="32" a="1"/>
  <c r="CW47" i="32" s="1"/>
  <c r="BD47" i="32"/>
  <c r="BC47" i="32" s="1" a="1"/>
  <c r="BC47" i="32" s="1"/>
  <c r="CK47" i="32" a="1"/>
  <c r="CK47" i="32" s="1"/>
  <c r="AV47" i="32"/>
  <c r="CV47" i="32" a="1"/>
  <c r="CV47" i="32" s="1"/>
  <c r="CX47" i="32" s="1"/>
  <c r="AI47" i="32" s="1"/>
  <c r="CP47" i="32" a="1"/>
  <c r="CP47" i="32" s="1"/>
  <c r="CR46" i="32"/>
  <c r="AG46" i="32" s="1"/>
  <c r="BE46" i="32"/>
  <c r="Y46" i="32" s="1"/>
  <c r="BA46" i="32"/>
  <c r="X46" i="32" s="1"/>
  <c r="AK45" i="32"/>
  <c r="CO46" i="32"/>
  <c r="AF46" i="32" s="1"/>
  <c r="BW46" i="32" a="1"/>
  <c r="BW46" i="32" s="1"/>
  <c r="BU46" i="32" a="1"/>
  <c r="BU46" i="32" s="1"/>
  <c r="DC47" i="32" a="1"/>
  <c r="DC47" i="32" s="1"/>
  <c r="BK46" i="32" a="1"/>
  <c r="BK46" i="32" s="1"/>
  <c r="BH46" i="32" a="1"/>
  <c r="BH46" i="32" s="1"/>
  <c r="BL46" i="32" a="1"/>
  <c r="BL46" i="32" s="1"/>
  <c r="BI46" i="32" a="1"/>
  <c r="BI46" i="32" s="1"/>
  <c r="BF46" i="32" a="1"/>
  <c r="BF46" i="32" s="1"/>
  <c r="BJ46" i="32" a="1"/>
  <c r="BJ46" i="32" s="1"/>
  <c r="BM46" i="32" a="1"/>
  <c r="BM46" i="32" s="1"/>
  <c r="BO46" i="32" a="1"/>
  <c r="BO46" i="32" s="1"/>
  <c r="BN46" i="32" a="1"/>
  <c r="BN46" i="32" s="1"/>
  <c r="BG46" i="32" a="1"/>
  <c r="BG46" i="32" s="1"/>
  <c r="BQ46" i="32" a="1"/>
  <c r="BQ46" i="32" s="1"/>
  <c r="DA47" i="32" a="1"/>
  <c r="DA47" i="32" s="1"/>
  <c r="BP47" i="32"/>
  <c r="AY47" i="32" a="1"/>
  <c r="AY47" i="32" s="1"/>
  <c r="AW46" i="32" a="1"/>
  <c r="AW46" i="32" s="1"/>
  <c r="AT46" i="32" a="1"/>
  <c r="AT46" i="32" s="1"/>
  <c r="AU46" i="32" a="1"/>
  <c r="AU46" i="32" s="1"/>
  <c r="BB47" i="32" a="1"/>
  <c r="BB47" i="32" s="1"/>
  <c r="BE47" i="32" s="1"/>
  <c r="Y47" i="32" s="1"/>
  <c r="CQ47" i="32" a="1"/>
  <c r="CQ47" i="32" s="1"/>
  <c r="AZ47" i="32" a="1"/>
  <c r="AZ47" i="32" s="1"/>
  <c r="CJ47" i="32" a="1"/>
  <c r="CJ47" i="32" s="1"/>
  <c r="CL47" i="32" s="1"/>
  <c r="AE47" i="32" s="1"/>
  <c r="CG47" i="32"/>
  <c r="CB47" i="32"/>
  <c r="M49" i="32"/>
  <c r="G49" i="32" s="1"/>
  <c r="O49" i="32" s="1"/>
  <c r="AM48" i="32"/>
  <c r="CE46" i="32" a="1"/>
  <c r="CE46" i="32" s="1"/>
  <c r="AC46" i="32" s="1"/>
  <c r="DA46" i="32" a="1"/>
  <c r="DA46" i="32" s="1"/>
  <c r="DC46" i="32" a="1"/>
  <c r="DC46" i="32" s="1"/>
  <c r="CZ46" i="32" a="1"/>
  <c r="CZ46" i="32" s="1"/>
  <c r="CY46" i="32" a="1"/>
  <c r="CY46" i="32" s="1"/>
  <c r="BV47" i="32"/>
  <c r="AW47" i="32" a="1"/>
  <c r="AW47" i="32" s="1"/>
  <c r="V45" i="32"/>
  <c r="CY47" i="32" a="1"/>
  <c r="CY47" i="32" s="1"/>
  <c r="DD47" i="32" s="1"/>
  <c r="AJ47" i="32" s="1"/>
  <c r="CF46" i="32" a="1"/>
  <c r="CF46" i="32" s="1"/>
  <c r="CI46" i="32" s="1"/>
  <c r="AD46" i="32" s="1"/>
  <c r="CH46" i="32" a="1"/>
  <c r="CH46" i="32" s="1"/>
  <c r="CN47" i="32" a="1"/>
  <c r="CN47" i="32" s="1"/>
  <c r="BS47" i="32" a="1"/>
  <c r="BS47" i="32" s="1"/>
  <c r="BT47" i="32" s="1"/>
  <c r="AA47" i="32" s="1"/>
  <c r="CM47" i="32" a="1"/>
  <c r="CM47" i="32" s="1"/>
  <c r="CR47" i="32" l="1"/>
  <c r="AG47" i="32" s="1"/>
  <c r="CU47" i="32"/>
  <c r="AH47" i="32" s="1"/>
  <c r="BX46" i="32"/>
  <c r="AB46" i="32" s="1"/>
  <c r="AT47" i="32" a="1"/>
  <c r="AT47" i="32" s="1"/>
  <c r="AX47" i="32" s="1" a="1"/>
  <c r="AX47" i="32" s="1"/>
  <c r="W47" i="32" s="1"/>
  <c r="AU47" i="32" a="1"/>
  <c r="AU47" i="32" s="1"/>
  <c r="AX46" i="32" a="1"/>
  <c r="AX46" i="32" s="1"/>
  <c r="W46" i="32" s="1"/>
  <c r="H49" i="32"/>
  <c r="E50" i="32" s="1" a="1"/>
  <c r="E50" i="32" s="1"/>
  <c r="F50" i="32" s="1" a="1"/>
  <c r="F50" i="32" s="1"/>
  <c r="M50" i="32" s="1"/>
  <c r="I49" i="32"/>
  <c r="N49" i="32"/>
  <c r="T49" i="32"/>
  <c r="Q49" i="32"/>
  <c r="P49" i="32"/>
  <c r="BW47" i="32" a="1"/>
  <c r="BW47" i="32" s="1"/>
  <c r="BU47" i="32" a="1"/>
  <c r="BU47" i="32" s="1"/>
  <c r="BY47" i="32" a="1"/>
  <c r="BY47" i="32" s="1"/>
  <c r="CA47" i="32" a="1"/>
  <c r="CA47" i="32" s="1"/>
  <c r="CD47" i="32"/>
  <c r="CC47" i="32" s="1" a="1"/>
  <c r="CC47" i="32" s="1"/>
  <c r="BZ47" i="32" a="1"/>
  <c r="BZ47" i="32" s="1"/>
  <c r="CF47" i="32" a="1"/>
  <c r="CF47" i="32" s="1"/>
  <c r="CH47" i="32" a="1"/>
  <c r="CH47" i="32" s="1"/>
  <c r="BR46" i="32" a="1"/>
  <c r="BR46" i="32" s="1"/>
  <c r="Z46" i="32" s="1"/>
  <c r="BA47" i="32"/>
  <c r="X47" i="32" s="1"/>
  <c r="BJ47" i="32" a="1"/>
  <c r="BJ47" i="32" s="1"/>
  <c r="BG47" i="32" a="1"/>
  <c r="BG47" i="32" s="1"/>
  <c r="BQ47" i="32" a="1"/>
  <c r="BQ47" i="32" s="1"/>
  <c r="BN47" i="32" a="1"/>
  <c r="BN47" i="32" s="1"/>
  <c r="BK47" i="32" a="1"/>
  <c r="BK47" i="32" s="1"/>
  <c r="BI47" i="32" a="1"/>
  <c r="BI47" i="32" s="1"/>
  <c r="BL47" i="32" a="1"/>
  <c r="BL47" i="32" s="1"/>
  <c r="BH47" i="32" a="1"/>
  <c r="BH47" i="32" s="1"/>
  <c r="BM47" i="32" a="1"/>
  <c r="BM47" i="32" s="1"/>
  <c r="BO47" i="32" a="1"/>
  <c r="BO47" i="32" s="1"/>
  <c r="BF47" i="32" a="1"/>
  <c r="BF47" i="32" s="1"/>
  <c r="DD46" i="32"/>
  <c r="AJ46" i="32" s="1"/>
  <c r="CO47" i="32"/>
  <c r="AF47" i="32" s="1"/>
  <c r="AN48" i="32"/>
  <c r="AO48" i="32" s="1"/>
  <c r="AP48" i="32" s="1"/>
  <c r="AQ48" i="32" s="1"/>
  <c r="AR48" i="32" s="1"/>
  <c r="AS48" i="32" s="1"/>
  <c r="CV48" i="32" s="1" a="1"/>
  <c r="CV48" i="32" s="1"/>
  <c r="CP48" i="32" l="1" a="1"/>
  <c r="CP48" i="32" s="1"/>
  <c r="BX47" i="32"/>
  <c r="AB47" i="32" s="1"/>
  <c r="CI47" i="32"/>
  <c r="AD47" i="32" s="1"/>
  <c r="H50" i="32"/>
  <c r="E51" i="32" s="1" a="1"/>
  <c r="E51" i="32" s="1"/>
  <c r="F51" i="32" s="1" a="1"/>
  <c r="F51" i="32" s="1"/>
  <c r="M51" i="32" s="1"/>
  <c r="G51" i="32" s="1"/>
  <c r="O51" i="32" s="1"/>
  <c r="I50" i="32"/>
  <c r="G50" i="32"/>
  <c r="O50" i="32" s="1"/>
  <c r="N50" i="32" s="1"/>
  <c r="BR47" i="32" a="1"/>
  <c r="BR47" i="32" s="1"/>
  <c r="Z47" i="32" s="1"/>
  <c r="CM48" i="32" a="1"/>
  <c r="CM48" i="32" s="1"/>
  <c r="BD48" i="32"/>
  <c r="BC48" i="32" s="1" a="1"/>
  <c r="BC48" i="32" s="1"/>
  <c r="CW48" i="32" a="1"/>
  <c r="CW48" i="32" s="1"/>
  <c r="CX48" i="32" s="1"/>
  <c r="AI48" i="32" s="1"/>
  <c r="BS48" i="32" a="1"/>
  <c r="BS48" i="32" s="1"/>
  <c r="BT48" i="32" s="1"/>
  <c r="AA48" i="32" s="1"/>
  <c r="CT48" i="32" a="1"/>
  <c r="CT48" i="32" s="1"/>
  <c r="CG48" i="32"/>
  <c r="AV48" i="32"/>
  <c r="AU48" i="32" s="1" a="1"/>
  <c r="AU48" i="32" s="1"/>
  <c r="AY48" i="32" a="1"/>
  <c r="AY48" i="32" s="1"/>
  <c r="V46" i="32"/>
  <c r="BV48" i="32"/>
  <c r="CE47" i="32" a="1"/>
  <c r="CE47" i="32" s="1"/>
  <c r="AC47" i="32" s="1"/>
  <c r="CB48" i="32"/>
  <c r="CK48" i="32" a="1"/>
  <c r="CK48" i="32" s="1"/>
  <c r="BP48" i="32"/>
  <c r="DB48" i="32"/>
  <c r="CJ48" i="32" a="1"/>
  <c r="CJ48" i="32" s="1"/>
  <c r="AK46" i="32"/>
  <c r="CN48" i="32" a="1"/>
  <c r="CN48" i="32" s="1"/>
  <c r="CS48" i="32" a="1"/>
  <c r="CS48" i="32" s="1"/>
  <c r="BB48" i="32" a="1"/>
  <c r="BB48" i="32" s="1"/>
  <c r="U46" i="32"/>
  <c r="AM49" i="32"/>
  <c r="CQ48" i="32" a="1"/>
  <c r="CQ48" i="32" s="1"/>
  <c r="AZ48" i="32" a="1"/>
  <c r="AZ48" i="32" s="1"/>
  <c r="P50" i="32" l="1"/>
  <c r="Q50" i="32"/>
  <c r="T50" i="32"/>
  <c r="AM50" i="32" s="1"/>
  <c r="CR48" i="32"/>
  <c r="AG48" i="32" s="1"/>
  <c r="BE48" i="32"/>
  <c r="Y48" i="32" s="1"/>
  <c r="AK47" i="32"/>
  <c r="CO48" i="32"/>
  <c r="AF48" i="32" s="1"/>
  <c r="CU48" i="32"/>
  <c r="AH48" i="32" s="1"/>
  <c r="CL48" i="32"/>
  <c r="AE48" i="32" s="1"/>
  <c r="BA48" i="32"/>
  <c r="X48" i="32" s="1"/>
  <c r="I51" i="32"/>
  <c r="AW48" i="32" a="1"/>
  <c r="AW48" i="32" s="1"/>
  <c r="AT48" i="32" a="1"/>
  <c r="AT48" i="32" s="1"/>
  <c r="AX48" i="32" s="1" a="1"/>
  <c r="AX48" i="32" s="1"/>
  <c r="W48" i="32" s="1"/>
  <c r="CF48" i="32" a="1"/>
  <c r="CF48" i="32" s="1"/>
  <c r="CH48" i="32" a="1"/>
  <c r="CH48" i="32" s="1"/>
  <c r="P51" i="32"/>
  <c r="N51" i="32"/>
  <c r="T51" i="32"/>
  <c r="Q51" i="32"/>
  <c r="BZ48" i="32" a="1"/>
  <c r="BZ48" i="32" s="1"/>
  <c r="CA48" i="32" a="1"/>
  <c r="CA48" i="32" s="1"/>
  <c r="CD48" i="32"/>
  <c r="CC48" i="32" s="1" a="1"/>
  <c r="CC48" i="32" s="1"/>
  <c r="BY48" i="32" a="1"/>
  <c r="BY48" i="32" s="1"/>
  <c r="AN49" i="32"/>
  <c r="AO49" i="32" s="1"/>
  <c r="AP49" i="32" s="1"/>
  <c r="AQ49" i="32" s="1"/>
  <c r="AR49" i="32" s="1"/>
  <c r="AS49" i="32" s="1"/>
  <c r="CB49" i="32" s="1"/>
  <c r="V47" i="32"/>
  <c r="BU48" i="32" a="1"/>
  <c r="BU48" i="32" s="1"/>
  <c r="BW48" i="32" a="1"/>
  <c r="BW48" i="32" s="1"/>
  <c r="U47" i="32"/>
  <c r="H51" i="32"/>
  <c r="E52" i="32" s="1" a="1"/>
  <c r="E52" i="32" s="1"/>
  <c r="F52" i="32" s="1" a="1"/>
  <c r="F52" i="32" s="1"/>
  <c r="DC48" i="32" a="1"/>
  <c r="DC48" i="32" s="1"/>
  <c r="CZ48" i="32" a="1"/>
  <c r="CZ48" i="32" s="1"/>
  <c r="CY48" i="32" a="1"/>
  <c r="CY48" i="32" s="1"/>
  <c r="DA48" i="32" a="1"/>
  <c r="DA48" i="32" s="1"/>
  <c r="BL48" i="32" a="1"/>
  <c r="BL48" i="32" s="1"/>
  <c r="BG48" i="32" a="1"/>
  <c r="BG48" i="32" s="1"/>
  <c r="BQ48" i="32" a="1"/>
  <c r="BQ48" i="32" s="1"/>
  <c r="BH48" i="32" a="1"/>
  <c r="BH48" i="32" s="1"/>
  <c r="BM48" i="32" a="1"/>
  <c r="BM48" i="32" s="1"/>
  <c r="BN48" i="32" a="1"/>
  <c r="BN48" i="32" s="1"/>
  <c r="BJ48" i="32" a="1"/>
  <c r="BJ48" i="32" s="1"/>
  <c r="BF48" i="32" a="1"/>
  <c r="BF48" i="32" s="1"/>
  <c r="BK48" i="32" a="1"/>
  <c r="BK48" i="32" s="1"/>
  <c r="BI48" i="32" a="1"/>
  <c r="BI48" i="32" s="1"/>
  <c r="BO48" i="32" a="1"/>
  <c r="BO48" i="32" s="1"/>
  <c r="CI48" i="32" l="1"/>
  <c r="AD48" i="32" s="1"/>
  <c r="BX48" i="32"/>
  <c r="AB48" i="32" s="1"/>
  <c r="DD48" i="32"/>
  <c r="AJ48" i="32" s="1"/>
  <c r="AV49" i="32"/>
  <c r="AT49" i="32" s="1" a="1"/>
  <c r="AT49" i="32" s="1"/>
  <c r="CJ49" i="32" a="1"/>
  <c r="CJ49" i="32" s="1"/>
  <c r="CG49" i="32"/>
  <c r="CH49" i="32" s="1" a="1"/>
  <c r="CH49" i="32" s="1"/>
  <c r="CV49" i="32" a="1"/>
  <c r="CV49" i="32" s="1"/>
  <c r="CE48" i="32" a="1"/>
  <c r="CE48" i="32" s="1"/>
  <c r="AC48" i="32" s="1"/>
  <c r="CM49" i="32" a="1"/>
  <c r="CM49" i="32" s="1"/>
  <c r="BD49" i="32"/>
  <c r="BC49" i="32" s="1" a="1"/>
  <c r="BC49" i="32" s="1"/>
  <c r="CW49" i="32" a="1"/>
  <c r="CW49" i="32" s="1"/>
  <c r="BS49" i="32" a="1"/>
  <c r="BS49" i="32" s="1"/>
  <c r="BT49" i="32" s="1"/>
  <c r="AA49" i="32" s="1"/>
  <c r="AZ49" i="32" a="1"/>
  <c r="AZ49" i="32" s="1"/>
  <c r="CQ49" i="32" a="1"/>
  <c r="CQ49" i="32" s="1"/>
  <c r="BZ49" i="32" a="1"/>
  <c r="BZ49" i="32" s="1"/>
  <c r="CD49" i="32"/>
  <c r="CC49" i="32" s="1" a="1"/>
  <c r="CC49" i="32" s="1"/>
  <c r="BY49" i="32" a="1"/>
  <c r="BY49" i="32" s="1"/>
  <c r="CA49" i="32" a="1"/>
  <c r="CA49" i="32" s="1"/>
  <c r="BR48" i="32" a="1"/>
  <c r="BR48" i="32" s="1"/>
  <c r="Z48" i="32" s="1"/>
  <c r="BP49" i="32"/>
  <c r="CP49" i="32" a="1"/>
  <c r="CP49" i="32" s="1"/>
  <c r="BV49" i="32"/>
  <c r="CN49" i="32" a="1"/>
  <c r="CN49" i="32" s="1"/>
  <c r="AM51" i="32"/>
  <c r="CK49" i="32" a="1"/>
  <c r="CK49" i="32" s="1"/>
  <c r="AN50" i="32"/>
  <c r="AO50" i="32" s="1"/>
  <c r="AP50" i="32" s="1"/>
  <c r="AQ50" i="32" s="1"/>
  <c r="AR50" i="32" s="1"/>
  <c r="AS50" i="32" s="1"/>
  <c r="CK50" i="32" s="1" a="1"/>
  <c r="CK50" i="32" s="1"/>
  <c r="M52" i="32"/>
  <c r="G52" i="32" s="1"/>
  <c r="O52" i="32" s="1"/>
  <c r="AY49" i="32" a="1"/>
  <c r="AY49" i="32" s="1"/>
  <c r="BA49" i="32" s="1"/>
  <c r="X49" i="32" s="1"/>
  <c r="BB49" i="32" a="1"/>
  <c r="BB49" i="32" s="1"/>
  <c r="CS49" i="32" a="1"/>
  <c r="CS49" i="32" s="1"/>
  <c r="CT49" i="32" a="1"/>
  <c r="CT49" i="32" s="1"/>
  <c r="DB49" i="32"/>
  <c r="CL49" i="32" l="1"/>
  <c r="AE49" i="32" s="1"/>
  <c r="CF49" i="32" a="1"/>
  <c r="CF49" i="32" s="1"/>
  <c r="CI49" i="32" s="1"/>
  <c r="AD49" i="32" s="1"/>
  <c r="CO49" i="32"/>
  <c r="AF49" i="32" s="1"/>
  <c r="BE49" i="32"/>
  <c r="Y49" i="32" s="1"/>
  <c r="CX49" i="32"/>
  <c r="AI49" i="32" s="1"/>
  <c r="AW49" i="32" a="1"/>
  <c r="AW49" i="32" s="1"/>
  <c r="AU49" i="32" a="1"/>
  <c r="AU49" i="32" s="1"/>
  <c r="I52" i="32"/>
  <c r="DB50" i="32"/>
  <c r="DA50" i="32" s="1" a="1"/>
  <c r="DA50" i="32" s="1"/>
  <c r="CN50" i="32" a="1"/>
  <c r="CN50" i="32" s="1"/>
  <c r="CB50" i="32"/>
  <c r="BY50" i="32" s="1" a="1"/>
  <c r="BY50" i="32" s="1"/>
  <c r="BS50" i="32" a="1"/>
  <c r="BS50" i="32" s="1"/>
  <c r="BT50" i="32" s="1"/>
  <c r="AA50" i="32" s="1"/>
  <c r="CT50" i="32" a="1"/>
  <c r="CT50" i="32" s="1"/>
  <c r="CR49" i="32"/>
  <c r="AG49" i="32" s="1"/>
  <c r="CE49" i="32" a="1"/>
  <c r="CE49" i="32" s="1"/>
  <c r="AC49" i="32" s="1"/>
  <c r="CP50" i="32" a="1"/>
  <c r="CP50" i="32" s="1"/>
  <c r="BB50" i="32" a="1"/>
  <c r="BB50" i="32" s="1"/>
  <c r="CW50" i="32" a="1"/>
  <c r="CW50" i="32" s="1"/>
  <c r="AY50" i="32" a="1"/>
  <c r="AY50" i="32" s="1"/>
  <c r="BA50" i="32" s="1"/>
  <c r="X50" i="32" s="1"/>
  <c r="BD50" i="32"/>
  <c r="BC50" i="32" s="1" a="1"/>
  <c r="BC50" i="32" s="1"/>
  <c r="BV50" i="32"/>
  <c r="BW50" i="32" s="1" a="1"/>
  <c r="BW50" i="32" s="1"/>
  <c r="AZ50" i="32" a="1"/>
  <c r="AZ50" i="32" s="1"/>
  <c r="T52" i="32"/>
  <c r="Q52" i="32"/>
  <c r="P52" i="32"/>
  <c r="N52" i="32"/>
  <c r="CD50" i="32"/>
  <c r="CC50" i="32" s="1" a="1"/>
  <c r="CC50" i="32" s="1"/>
  <c r="CS50" i="32" a="1"/>
  <c r="CS50" i="32" s="1"/>
  <c r="AV50" i="32"/>
  <c r="AN51" i="32"/>
  <c r="AO51" i="32" s="1"/>
  <c r="AP51" i="32" s="1"/>
  <c r="AQ51" i="32" s="1"/>
  <c r="AR51" i="32" s="1"/>
  <c r="AS51" i="32" s="1"/>
  <c r="AY51" i="32" s="1" a="1"/>
  <c r="AY51" i="32" s="1"/>
  <c r="H52" i="32"/>
  <c r="E53" i="32" s="1" a="1"/>
  <c r="E53" i="32" s="1"/>
  <c r="F53" i="32" s="1" a="1"/>
  <c r="F53" i="32" s="1"/>
  <c r="CM50" i="32" a="1"/>
  <c r="CM50" i="32" s="1"/>
  <c r="CJ50" i="32" a="1"/>
  <c r="CJ50" i="32" s="1"/>
  <c r="CL50" i="32" s="1"/>
  <c r="AE50" i="32" s="1"/>
  <c r="BP50" i="32"/>
  <c r="BZ50" i="32" a="1"/>
  <c r="BZ50" i="32" s="1"/>
  <c r="BU49" i="32" a="1"/>
  <c r="BU49" i="32" s="1"/>
  <c r="BW49" i="32" a="1"/>
  <c r="BW49" i="32" s="1"/>
  <c r="CU49" i="32"/>
  <c r="AH49" i="32" s="1"/>
  <c r="CQ50" i="32" a="1"/>
  <c r="CQ50" i="32" s="1"/>
  <c r="CG50" i="32"/>
  <c r="BN49" i="32" a="1"/>
  <c r="BN49" i="32" s="1"/>
  <c r="BL49" i="32" a="1"/>
  <c r="BL49" i="32" s="1"/>
  <c r="BF49" i="32" a="1"/>
  <c r="BF49" i="32" s="1"/>
  <c r="BQ49" i="32" a="1"/>
  <c r="BQ49" i="32" s="1"/>
  <c r="BM49" i="32" a="1"/>
  <c r="BM49" i="32" s="1"/>
  <c r="BG49" i="32" a="1"/>
  <c r="BG49" i="32" s="1"/>
  <c r="BI49" i="32" a="1"/>
  <c r="BI49" i="32" s="1"/>
  <c r="BH49" i="32" a="1"/>
  <c r="BH49" i="32" s="1"/>
  <c r="BK49" i="32" a="1"/>
  <c r="BK49" i="32" s="1"/>
  <c r="BJ49" i="32" a="1"/>
  <c r="BJ49" i="32" s="1"/>
  <c r="BO49" i="32" a="1"/>
  <c r="BO49" i="32" s="1"/>
  <c r="AK48" i="32"/>
  <c r="U48" i="32"/>
  <c r="V48" i="32"/>
  <c r="CV50" i="32" a="1"/>
  <c r="CV50" i="32" s="1"/>
  <c r="DC49" i="32" a="1"/>
  <c r="DC49" i="32" s="1"/>
  <c r="CY49" i="32" a="1"/>
  <c r="CY49" i="32" s="1"/>
  <c r="DA49" i="32" a="1"/>
  <c r="DA49" i="32" s="1"/>
  <c r="CZ49" i="32" a="1"/>
  <c r="CZ49" i="32" s="1"/>
  <c r="CO50" i="32" l="1"/>
  <c r="AF50" i="32" s="1"/>
  <c r="BE50" i="32"/>
  <c r="Y50" i="32" s="1"/>
  <c r="CU50" i="32"/>
  <c r="AH50" i="32" s="1"/>
  <c r="CX50" i="32"/>
  <c r="AI50" i="32" s="1"/>
  <c r="AZ51" i="32" a="1"/>
  <c r="AZ51" i="32" s="1"/>
  <c r="BA51" i="32" s="1"/>
  <c r="X51" i="32" s="1"/>
  <c r="CS51" i="32" a="1"/>
  <c r="CS51" i="32" s="1"/>
  <c r="CR50" i="32"/>
  <c r="AG50" i="32" s="1"/>
  <c r="CZ50" i="32" a="1"/>
  <c r="CZ50" i="32" s="1"/>
  <c r="BU50" i="32" a="1"/>
  <c r="BU50" i="32" s="1"/>
  <c r="BX50" i="32" s="1"/>
  <c r="AB50" i="32" s="1"/>
  <c r="AX49" i="32" a="1"/>
  <c r="AX49" i="32" s="1"/>
  <c r="W49" i="32" s="1"/>
  <c r="CA50" i="32" a="1"/>
  <c r="CA50" i="32" s="1"/>
  <c r="CE50" i="32" s="1" a="1"/>
  <c r="CE50" i="32" s="1"/>
  <c r="AC50" i="32" s="1"/>
  <c r="CY50" i="32" a="1"/>
  <c r="CY50" i="32" s="1"/>
  <c r="DC50" i="32" a="1"/>
  <c r="DC50" i="32" s="1"/>
  <c r="BX49" i="32"/>
  <c r="AB49" i="32" s="1"/>
  <c r="CW51" i="32" a="1"/>
  <c r="CW51" i="32" s="1"/>
  <c r="BS51" i="32" a="1"/>
  <c r="BS51" i="32" s="1"/>
  <c r="BT51" i="32" s="1"/>
  <c r="AA51" i="32" s="1"/>
  <c r="BO50" i="32" a="1"/>
  <c r="BO50" i="32" s="1"/>
  <c r="BN50" i="32" a="1"/>
  <c r="BN50" i="32" s="1"/>
  <c r="BM50" i="32" a="1"/>
  <c r="BM50" i="32" s="1"/>
  <c r="BF50" i="32" a="1"/>
  <c r="BF50" i="32" s="1"/>
  <c r="BI50" i="32" a="1"/>
  <c r="BI50" i="32" s="1"/>
  <c r="BG50" i="32" a="1"/>
  <c r="BG50" i="32" s="1"/>
  <c r="BK50" i="32" a="1"/>
  <c r="BK50" i="32" s="1"/>
  <c r="BL50" i="32" a="1"/>
  <c r="BL50" i="32" s="1"/>
  <c r="BQ50" i="32" a="1"/>
  <c r="BQ50" i="32" s="1"/>
  <c r="BH50" i="32" a="1"/>
  <c r="BH50" i="32" s="1"/>
  <c r="BJ50" i="32" a="1"/>
  <c r="BJ50" i="32" s="1"/>
  <c r="BR49" i="32" a="1"/>
  <c r="BR49" i="32" s="1"/>
  <c r="Z49" i="32" s="1"/>
  <c r="BV51" i="32"/>
  <c r="CM51" i="32" a="1"/>
  <c r="CM51" i="32" s="1"/>
  <c r="CG51" i="32"/>
  <c r="M53" i="32"/>
  <c r="I53" i="32" s="1"/>
  <c r="AV51" i="32"/>
  <c r="DB51" i="32"/>
  <c r="BD51" i="32"/>
  <c r="BC51" i="32" s="1" a="1"/>
  <c r="BC51" i="32" s="1"/>
  <c r="CT51" i="32" a="1"/>
  <c r="CT51" i="32" s="1"/>
  <c r="CU51" i="32" s="1"/>
  <c r="AH51" i="32" s="1"/>
  <c r="BP51" i="32"/>
  <c r="AU50" i="32" a="1"/>
  <c r="AU50" i="32" s="1"/>
  <c r="AW50" i="32" a="1"/>
  <c r="AW50" i="32" s="1"/>
  <c r="AT50" i="32" a="1"/>
  <c r="AT50" i="32" s="1"/>
  <c r="AX50" i="32" s="1" a="1"/>
  <c r="AX50" i="32" s="1"/>
  <c r="W50" i="32" s="1"/>
  <c r="CB51" i="32"/>
  <c r="DD49" i="32"/>
  <c r="AJ49" i="32" s="1"/>
  <c r="CH50" i="32" a="1"/>
  <c r="CH50" i="32" s="1"/>
  <c r="CF50" i="32" a="1"/>
  <c r="CF50" i="32" s="1"/>
  <c r="CI50" i="32" s="1"/>
  <c r="AD50" i="32" s="1"/>
  <c r="CJ51" i="32" a="1"/>
  <c r="CJ51" i="32" s="1"/>
  <c r="CN51" i="32" a="1"/>
  <c r="CN51" i="32" s="1"/>
  <c r="CP51" i="32" a="1"/>
  <c r="CP51" i="32" s="1"/>
  <c r="CK51" i="32" a="1"/>
  <c r="CK51" i="32" s="1"/>
  <c r="CQ51" i="32" a="1"/>
  <c r="CQ51" i="32" s="1"/>
  <c r="CV51" i="32" a="1"/>
  <c r="CV51" i="32" s="1"/>
  <c r="AM52" i="32"/>
  <c r="BB51" i="32" a="1"/>
  <c r="BB51" i="32" s="1"/>
  <c r="CX51" i="32" l="1"/>
  <c r="AI51" i="32" s="1"/>
  <c r="H53" i="32"/>
  <c r="E54" i="32" s="1" a="1"/>
  <c r="E54" i="32" s="1"/>
  <c r="F54" i="32" s="1" a="1"/>
  <c r="F54" i="32" s="1"/>
  <c r="M54" i="32" s="1"/>
  <c r="H54" i="32" s="1"/>
  <c r="E55" i="32" s="1" a="1"/>
  <c r="E55" i="32" s="1"/>
  <c r="F55" i="32" s="1" a="1"/>
  <c r="F55" i="32" s="1"/>
  <c r="G53" i="32"/>
  <c r="O53" i="32" s="1"/>
  <c r="N53" i="32" s="1"/>
  <c r="DD50" i="32"/>
  <c r="AJ50" i="32" s="1"/>
  <c r="DA51" i="32" a="1"/>
  <c r="DA51" i="32" s="1"/>
  <c r="CY51" i="32" a="1"/>
  <c r="CY51" i="32" s="1"/>
  <c r="DC51" i="32" a="1"/>
  <c r="DC51" i="32" s="1"/>
  <c r="CZ51" i="32" a="1"/>
  <c r="CZ51" i="32" s="1"/>
  <c r="T53" i="32"/>
  <c r="P53" i="32"/>
  <c r="BY51" i="32" a="1"/>
  <c r="BY51" i="32" s="1"/>
  <c r="CD51" i="32"/>
  <c r="CC51" i="32" s="1" a="1"/>
  <c r="CC51" i="32" s="1"/>
  <c r="CA51" i="32" a="1"/>
  <c r="CA51" i="32" s="1"/>
  <c r="BZ51" i="32" a="1"/>
  <c r="BZ51" i="32" s="1"/>
  <c r="BW51" i="32" a="1"/>
  <c r="BW51" i="32" s="1"/>
  <c r="BU51" i="32" a="1"/>
  <c r="BU51" i="32" s="1"/>
  <c r="U49" i="32"/>
  <c r="AK49" i="32"/>
  <c r="V49" i="32"/>
  <c r="BE51" i="32"/>
  <c r="Y51" i="32" s="1"/>
  <c r="BH51" i="32" a="1"/>
  <c r="BH51" i="32" s="1"/>
  <c r="BO51" i="32" a="1"/>
  <c r="BO51" i="32" s="1"/>
  <c r="BN51" i="32" a="1"/>
  <c r="BN51" i="32" s="1"/>
  <c r="BM51" i="32" a="1"/>
  <c r="BM51" i="32" s="1"/>
  <c r="BF51" i="32" a="1"/>
  <c r="BF51" i="32" s="1"/>
  <c r="BK51" i="32" a="1"/>
  <c r="BK51" i="32" s="1"/>
  <c r="BG51" i="32" a="1"/>
  <c r="BG51" i="32" s="1"/>
  <c r="BQ51" i="32" a="1"/>
  <c r="BQ51" i="32" s="1"/>
  <c r="BI51" i="32" a="1"/>
  <c r="BI51" i="32" s="1"/>
  <c r="BJ51" i="32" a="1"/>
  <c r="BJ51" i="32" s="1"/>
  <c r="BL51" i="32" a="1"/>
  <c r="BL51" i="32" s="1"/>
  <c r="BR50" i="32" a="1"/>
  <c r="BR50" i="32" s="1"/>
  <c r="Z50" i="32" s="1"/>
  <c r="AK50" i="32" s="1"/>
  <c r="CR51" i="32"/>
  <c r="AG51" i="32" s="1"/>
  <c r="CF51" i="32" a="1"/>
  <c r="CF51" i="32" s="1"/>
  <c r="CH51" i="32" a="1"/>
  <c r="CH51" i="32" s="1"/>
  <c r="AU51" i="32" a="1"/>
  <c r="AU51" i="32" s="1"/>
  <c r="AW51" i="32" a="1"/>
  <c r="AW51" i="32" s="1"/>
  <c r="AT51" i="32" a="1"/>
  <c r="AT51" i="32" s="1"/>
  <c r="AN52" i="32"/>
  <c r="AO52" i="32" s="1"/>
  <c r="AP52" i="32" s="1"/>
  <c r="AQ52" i="32" s="1"/>
  <c r="AR52" i="32" s="1"/>
  <c r="AS52" i="32" s="1"/>
  <c r="BD52" i="32" s="1"/>
  <c r="BC52" i="32" s="1" a="1"/>
  <c r="BC52" i="32" s="1"/>
  <c r="CL51" i="32"/>
  <c r="AE51" i="32" s="1"/>
  <c r="CO51" i="32"/>
  <c r="AF51" i="32" s="1"/>
  <c r="CI51" i="32" l="1"/>
  <c r="AD51" i="32" s="1"/>
  <c r="Q53" i="32"/>
  <c r="BX51" i="32"/>
  <c r="AB51" i="32" s="1"/>
  <c r="AX51" i="32" a="1"/>
  <c r="AX51" i="32" s="1"/>
  <c r="W51" i="32" s="1"/>
  <c r="CJ52" i="32" a="1"/>
  <c r="CJ52" i="32" s="1"/>
  <c r="AV52" i="32"/>
  <c r="AT52" i="32" s="1" a="1"/>
  <c r="AT52" i="32" s="1"/>
  <c r="CQ52" i="32" a="1"/>
  <c r="CQ52" i="32" s="1"/>
  <c r="DB52" i="32"/>
  <c r="DC52" i="32" s="1" a="1"/>
  <c r="DC52" i="32" s="1"/>
  <c r="CV52" i="32" a="1"/>
  <c r="CV52" i="32" s="1"/>
  <c r="CK52" i="32" a="1"/>
  <c r="CK52" i="32" s="1"/>
  <c r="CW52" i="32" a="1"/>
  <c r="CW52" i="32" s="1"/>
  <c r="AY52" i="32" a="1"/>
  <c r="AY52" i="32" s="1"/>
  <c r="CB52" i="32"/>
  <c r="CD52" i="32" s="1"/>
  <c r="CC52" i="32" s="1" a="1"/>
  <c r="CC52" i="32" s="1"/>
  <c r="G54" i="32"/>
  <c r="O54" i="32" s="1"/>
  <c r="N54" i="32" s="1"/>
  <c r="BS52" i="32" a="1"/>
  <c r="BS52" i="32" s="1"/>
  <c r="BT52" i="32" s="1"/>
  <c r="AA52" i="32" s="1"/>
  <c r="CN52" i="32" a="1"/>
  <c r="CN52" i="32" s="1"/>
  <c r="M55" i="32"/>
  <c r="I55" i="32" s="1"/>
  <c r="U50" i="32"/>
  <c r="V50" i="32"/>
  <c r="CG52" i="32"/>
  <c r="CE51" i="32" a="1"/>
  <c r="CE51" i="32" s="1"/>
  <c r="AC51" i="32" s="1"/>
  <c r="AM53" i="32"/>
  <c r="AZ52" i="32" a="1"/>
  <c r="AZ52" i="32" s="1"/>
  <c r="CM52" i="32" a="1"/>
  <c r="CM52" i="32" s="1"/>
  <c r="BB52" i="32" a="1"/>
  <c r="BB52" i="32" s="1"/>
  <c r="BE52" i="32" s="1"/>
  <c r="Y52" i="32" s="1"/>
  <c r="I54" i="32"/>
  <c r="CS52" i="32" a="1"/>
  <c r="CS52" i="32" s="1"/>
  <c r="CP52" i="32" a="1"/>
  <c r="CP52" i="32" s="1"/>
  <c r="BV52" i="32"/>
  <c r="BP52" i="32"/>
  <c r="CT52" i="32" a="1"/>
  <c r="CT52" i="32" s="1"/>
  <c r="DD51" i="32"/>
  <c r="AJ51" i="32" s="1"/>
  <c r="BR51" i="32" a="1"/>
  <c r="BR51" i="32" s="1"/>
  <c r="Z51" i="32" s="1"/>
  <c r="CR52" i="32" l="1"/>
  <c r="AG52" i="32" s="1"/>
  <c r="DA52" i="32" a="1"/>
  <c r="DA52" i="32" s="1"/>
  <c r="AW52" i="32" a="1"/>
  <c r="AW52" i="32" s="1"/>
  <c r="CZ52" i="32" a="1"/>
  <c r="CZ52" i="32" s="1"/>
  <c r="Q54" i="32"/>
  <c r="CO52" i="32"/>
  <c r="AF52" i="32" s="1"/>
  <c r="AU52" i="32" a="1"/>
  <c r="AU52" i="32" s="1"/>
  <c r="AX52" i="32" s="1" a="1"/>
  <c r="AX52" i="32" s="1"/>
  <c r="W52" i="32" s="1"/>
  <c r="AK51" i="32"/>
  <c r="CY52" i="32" a="1"/>
  <c r="CY52" i="32" s="1"/>
  <c r="CX52" i="32"/>
  <c r="AI52" i="32" s="1"/>
  <c r="T54" i="32"/>
  <c r="AM54" i="32" s="1"/>
  <c r="P54" i="32"/>
  <c r="BY52" i="32" a="1"/>
  <c r="BY52" i="32" s="1"/>
  <c r="BZ52" i="32" a="1"/>
  <c r="BZ52" i="32" s="1"/>
  <c r="CA52" i="32" a="1"/>
  <c r="CA52" i="32" s="1"/>
  <c r="CL52" i="32"/>
  <c r="AE52" i="32" s="1"/>
  <c r="BA52" i="32"/>
  <c r="X52" i="32" s="1"/>
  <c r="V51" i="32"/>
  <c r="CU52" i="32"/>
  <c r="AH52" i="32" s="1"/>
  <c r="U51" i="32"/>
  <c r="CF52" i="32" a="1"/>
  <c r="CF52" i="32" s="1"/>
  <c r="CI52" i="32" s="1"/>
  <c r="AD52" i="32" s="1"/>
  <c r="CH52" i="32" a="1"/>
  <c r="CH52" i="32" s="1"/>
  <c r="AN53" i="32"/>
  <c r="AO53" i="32" s="1"/>
  <c r="AP53" i="32" s="1"/>
  <c r="AQ53" i="32" s="1"/>
  <c r="AR53" i="32" s="1"/>
  <c r="AS53" i="32" s="1"/>
  <c r="CW53" i="32" s="1" a="1"/>
  <c r="CW53" i="32" s="1"/>
  <c r="BW52" i="32" a="1"/>
  <c r="BW52" i="32" s="1"/>
  <c r="BU52" i="32" a="1"/>
  <c r="BU52" i="32" s="1"/>
  <c r="G55" i="32"/>
  <c r="O55" i="32" s="1"/>
  <c r="H55" i="32"/>
  <c r="E56" i="32" s="1" a="1"/>
  <c r="E56" i="32" s="1"/>
  <c r="F56" i="32" s="1" a="1"/>
  <c r="F56" i="32" s="1"/>
  <c r="BQ52" i="32" a="1"/>
  <c r="BQ52" i="32" s="1"/>
  <c r="BK52" i="32" a="1"/>
  <c r="BK52" i="32" s="1"/>
  <c r="BJ52" i="32" a="1"/>
  <c r="BJ52" i="32" s="1"/>
  <c r="BH52" i="32" a="1"/>
  <c r="BH52" i="32" s="1"/>
  <c r="BL52" i="32" a="1"/>
  <c r="BL52" i="32" s="1"/>
  <c r="BM52" i="32" a="1"/>
  <c r="BM52" i="32" s="1"/>
  <c r="BI52" i="32" a="1"/>
  <c r="BI52" i="32" s="1"/>
  <c r="BN52" i="32" a="1"/>
  <c r="BN52" i="32" s="1"/>
  <c r="BO52" i="32" a="1"/>
  <c r="BO52" i="32" s="1"/>
  <c r="BG52" i="32" a="1"/>
  <c r="BG52" i="32" s="1"/>
  <c r="BF52" i="32" a="1"/>
  <c r="BF52" i="32" s="1"/>
  <c r="DD52" i="32" l="1"/>
  <c r="AJ52" i="32" s="1"/>
  <c r="BX52" i="32"/>
  <c r="AB52" i="32" s="1"/>
  <c r="CE52" i="32" a="1"/>
  <c r="CE52" i="32" s="1"/>
  <c r="AC52" i="32" s="1"/>
  <c r="CG53" i="32"/>
  <c r="N55" i="32"/>
  <c r="T55" i="32"/>
  <c r="Q55" i="32"/>
  <c r="P55" i="32"/>
  <c r="BS53" i="32" a="1"/>
  <c r="BS53" i="32" s="1"/>
  <c r="BT53" i="32" s="1"/>
  <c r="AA53" i="32" s="1"/>
  <c r="CV53" i="32" a="1"/>
  <c r="CV53" i="32" s="1"/>
  <c r="CX53" i="32" s="1"/>
  <c r="AI53" i="32" s="1"/>
  <c r="M56" i="32"/>
  <c r="H56" i="32" s="1"/>
  <c r="E57" i="32" s="1" a="1"/>
  <c r="E57" i="32" s="1"/>
  <c r="F57" i="32" s="1" a="1"/>
  <c r="F57" i="32" s="1"/>
  <c r="CQ53" i="32" a="1"/>
  <c r="CQ53" i="32" s="1"/>
  <c r="AY53" i="32" a="1"/>
  <c r="AY53" i="32" s="1"/>
  <c r="BA53" i="32" s="1"/>
  <c r="X53" i="32" s="1"/>
  <c r="CS53" i="32" a="1"/>
  <c r="CS53" i="32" s="1"/>
  <c r="BD53" i="32"/>
  <c r="BC53" i="32" s="1" a="1"/>
  <c r="BC53" i="32" s="1"/>
  <c r="BR52" i="32" a="1"/>
  <c r="BR52" i="32" s="1"/>
  <c r="Z52" i="32" s="1"/>
  <c r="CB53" i="32"/>
  <c r="CK53" i="32" a="1"/>
  <c r="CK53" i="32" s="1"/>
  <c r="CM53" i="32" a="1"/>
  <c r="CM53" i="32" s="1"/>
  <c r="BP53" i="32"/>
  <c r="AZ53" i="32" a="1"/>
  <c r="AZ53" i="32" s="1"/>
  <c r="AN54" i="32"/>
  <c r="AO54" i="32" s="1"/>
  <c r="AP54" i="32" s="1"/>
  <c r="AQ54" i="32" s="1"/>
  <c r="AR54" i="32" s="1"/>
  <c r="AS54" i="32" s="1"/>
  <c r="CQ54" i="32" s="1" a="1"/>
  <c r="CQ54" i="32" s="1"/>
  <c r="CJ53" i="32" a="1"/>
  <c r="CJ53" i="32" s="1"/>
  <c r="BB53" i="32" a="1"/>
  <c r="BB53" i="32" s="1"/>
  <c r="BV53" i="32"/>
  <c r="CN53" i="32" a="1"/>
  <c r="CN53" i="32" s="1"/>
  <c r="CT53" i="32" a="1"/>
  <c r="CT53" i="32" s="1"/>
  <c r="CP53" i="32" a="1"/>
  <c r="CP53" i="32" s="1"/>
  <c r="DB53" i="32"/>
  <c r="AV53" i="32"/>
  <c r="CR53" i="32" l="1"/>
  <c r="AG53" i="32" s="1"/>
  <c r="BE53" i="32"/>
  <c r="Y53" i="32" s="1"/>
  <c r="DB54" i="32"/>
  <c r="DC54" i="32" s="1" a="1"/>
  <c r="DC54" i="32" s="1"/>
  <c r="CB54" i="32"/>
  <c r="CD54" i="32" s="1"/>
  <c r="CC54" i="32" s="1" a="1"/>
  <c r="CC54" i="32" s="1"/>
  <c r="CL53" i="32"/>
  <c r="AE53" i="32" s="1"/>
  <c r="CM54" i="32" a="1"/>
  <c r="CM54" i="32" s="1"/>
  <c r="CT54" i="32" a="1"/>
  <c r="CT54" i="32" s="1"/>
  <c r="CV54" i="32" a="1"/>
  <c r="CV54" i="32" s="1"/>
  <c r="M57" i="32"/>
  <c r="G57" i="32" s="1"/>
  <c r="O57" i="32" s="1"/>
  <c r="BS54" i="32" a="1"/>
  <c r="BS54" i="32" s="1"/>
  <c r="BT54" i="32" s="1"/>
  <c r="AA54" i="32" s="1"/>
  <c r="CS54" i="32" a="1"/>
  <c r="CS54" i="32" s="1"/>
  <c r="AK52" i="32"/>
  <c r="V52" i="32"/>
  <c r="U52" i="32"/>
  <c r="CU53" i="32"/>
  <c r="AH53" i="32" s="1"/>
  <c r="BD54" i="32"/>
  <c r="BC54" i="32" s="1" a="1"/>
  <c r="BC54" i="32" s="1"/>
  <c r="G56" i="32"/>
  <c r="O56" i="32" s="1"/>
  <c r="AY54" i="32" a="1"/>
  <c r="AY54" i="32" s="1"/>
  <c r="CW54" i="32" a="1"/>
  <c r="CW54" i="32" s="1"/>
  <c r="BP54" i="32"/>
  <c r="I56" i="32"/>
  <c r="BW53" i="32" a="1"/>
  <c r="BW53" i="32" s="1"/>
  <c r="BU53" i="32" a="1"/>
  <c r="BU53" i="32" s="1"/>
  <c r="CY54" i="32" a="1"/>
  <c r="CY54" i="32" s="1"/>
  <c r="CN54" i="32" a="1"/>
  <c r="CN54" i="32" s="1"/>
  <c r="CG54" i="32"/>
  <c r="CZ54" i="32" a="1"/>
  <c r="CZ54" i="32" s="1"/>
  <c r="CJ54" i="32" a="1"/>
  <c r="CJ54" i="32" s="1"/>
  <c r="BB54" i="32" a="1"/>
  <c r="BB54" i="32" s="1"/>
  <c r="DA54" i="32" a="1"/>
  <c r="DA54" i="32" s="1"/>
  <c r="CK54" i="32" a="1"/>
  <c r="CK54" i="32" s="1"/>
  <c r="AZ54" i="32" a="1"/>
  <c r="AZ54" i="32" s="1"/>
  <c r="AV54" i="32"/>
  <c r="BV54" i="32"/>
  <c r="BM53" i="32" a="1"/>
  <c r="BM53" i="32" s="1"/>
  <c r="BL53" i="32" a="1"/>
  <c r="BL53" i="32" s="1"/>
  <c r="BH53" i="32" a="1"/>
  <c r="BH53" i="32" s="1"/>
  <c r="BQ53" i="32" a="1"/>
  <c r="BQ53" i="32" s="1"/>
  <c r="BI53" i="32" a="1"/>
  <c r="BI53" i="32" s="1"/>
  <c r="BO53" i="32" a="1"/>
  <c r="BO53" i="32" s="1"/>
  <c r="BG53" i="32" a="1"/>
  <c r="BG53" i="32" s="1"/>
  <c r="BK53" i="32" a="1"/>
  <c r="BK53" i="32" s="1"/>
  <c r="BF53" i="32" a="1"/>
  <c r="BF53" i="32" s="1"/>
  <c r="BN53" i="32" a="1"/>
  <c r="BN53" i="32" s="1"/>
  <c r="BJ53" i="32" a="1"/>
  <c r="BJ53" i="32" s="1"/>
  <c r="CO53" i="32"/>
  <c r="AF53" i="32" s="1"/>
  <c r="AM55" i="32"/>
  <c r="AU53" i="32" a="1"/>
  <c r="AU53" i="32" s="1"/>
  <c r="AT53" i="32" a="1"/>
  <c r="AT53" i="32" s="1"/>
  <c r="AX53" i="32" s="1" a="1"/>
  <c r="AX53" i="32" s="1"/>
  <c r="W53" i="32" s="1"/>
  <c r="AW53" i="32" a="1"/>
  <c r="AW53" i="32" s="1"/>
  <c r="DA53" i="32" a="1"/>
  <c r="DA53" i="32" s="1"/>
  <c r="DC53" i="32" a="1"/>
  <c r="DC53" i="32" s="1"/>
  <c r="CZ53" i="32" a="1"/>
  <c r="CZ53" i="32" s="1"/>
  <c r="CY53" i="32" a="1"/>
  <c r="CY53" i="32" s="1"/>
  <c r="CP54" i="32" a="1"/>
  <c r="CP54" i="32" s="1"/>
  <c r="CR54" i="32" s="1"/>
  <c r="AG54" i="32" s="1"/>
  <c r="CD53" i="32"/>
  <c r="CC53" i="32" s="1" a="1"/>
  <c r="CC53" i="32" s="1"/>
  <c r="BZ53" i="32" a="1"/>
  <c r="BZ53" i="32" s="1"/>
  <c r="BY53" i="32" a="1"/>
  <c r="BY53" i="32" s="1"/>
  <c r="CA53" i="32" a="1"/>
  <c r="CA53" i="32" s="1"/>
  <c r="CH53" i="32" a="1"/>
  <c r="CH53" i="32" s="1"/>
  <c r="CF53" i="32" a="1"/>
  <c r="CF53" i="32" s="1"/>
  <c r="CI53" i="32" s="1"/>
  <c r="AD53" i="32" s="1"/>
  <c r="BZ54" i="32" l="1" a="1"/>
  <c r="BZ54" i="32" s="1"/>
  <c r="BY54" i="32" a="1"/>
  <c r="BY54" i="32" s="1"/>
  <c r="CO54" i="32"/>
  <c r="AF54" i="32" s="1"/>
  <c r="DD54" i="32"/>
  <c r="AJ54" i="32" s="1"/>
  <c r="BX53" i="32"/>
  <c r="AB53" i="32" s="1"/>
  <c r="BE54" i="32"/>
  <c r="Y54" i="32" s="1"/>
  <c r="CU54" i="32"/>
  <c r="AH54" i="32" s="1"/>
  <c r="CA54" i="32" a="1"/>
  <c r="CA54" i="32" s="1"/>
  <c r="CX54" i="32"/>
  <c r="AI54" i="32" s="1"/>
  <c r="Q57" i="32"/>
  <c r="N57" i="32"/>
  <c r="T57" i="32"/>
  <c r="P57" i="32"/>
  <c r="BA54" i="32"/>
  <c r="X54" i="32" s="1"/>
  <c r="CE53" i="32" a="1"/>
  <c r="CE53" i="32" s="1"/>
  <c r="AC53" i="32" s="1"/>
  <c r="AN55" i="32"/>
  <c r="AO55" i="32" s="1"/>
  <c r="AP55" i="32" s="1"/>
  <c r="AQ55" i="32" s="1"/>
  <c r="AR55" i="32" s="1"/>
  <c r="AS55" i="32" s="1"/>
  <c r="CJ55" i="32" s="1" a="1"/>
  <c r="CJ55" i="32" s="1"/>
  <c r="P56" i="32"/>
  <c r="Q56" i="32"/>
  <c r="T56" i="32"/>
  <c r="N56" i="32"/>
  <c r="CL54" i="32"/>
  <c r="AE54" i="32" s="1"/>
  <c r="BR53" i="32" a="1"/>
  <c r="BR53" i="32" s="1"/>
  <c r="Z53" i="32" s="1"/>
  <c r="CH54" i="32" a="1"/>
  <c r="CH54" i="32" s="1"/>
  <c r="CF54" i="32" a="1"/>
  <c r="CF54" i="32" s="1"/>
  <c r="I57" i="32"/>
  <c r="H57" i="32"/>
  <c r="E58" i="32" s="1" a="1"/>
  <c r="E58" i="32" s="1"/>
  <c r="F58" i="32" s="1" a="1"/>
  <c r="F58" i="32" s="1"/>
  <c r="BI54" i="32" a="1"/>
  <c r="BI54" i="32" s="1"/>
  <c r="BG54" i="32" a="1"/>
  <c r="BG54" i="32" s="1"/>
  <c r="BK54" i="32" a="1"/>
  <c r="BK54" i="32" s="1"/>
  <c r="BF54" i="32" a="1"/>
  <c r="BF54" i="32" s="1"/>
  <c r="BO54" i="32" a="1"/>
  <c r="BO54" i="32" s="1"/>
  <c r="BQ54" i="32" a="1"/>
  <c r="BQ54" i="32" s="1"/>
  <c r="BJ54" i="32" a="1"/>
  <c r="BJ54" i="32" s="1"/>
  <c r="BL54" i="32" a="1"/>
  <c r="BL54" i="32" s="1"/>
  <c r="BN54" i="32" a="1"/>
  <c r="BN54" i="32" s="1"/>
  <c r="BH54" i="32" a="1"/>
  <c r="BH54" i="32" s="1"/>
  <c r="BM54" i="32" a="1"/>
  <c r="BM54" i="32" s="1"/>
  <c r="BW54" i="32" a="1"/>
  <c r="BW54" i="32" s="1"/>
  <c r="BU54" i="32" a="1"/>
  <c r="BU54" i="32" s="1"/>
  <c r="DD53" i="32"/>
  <c r="AJ53" i="32" s="1"/>
  <c r="AU54" i="32" a="1"/>
  <c r="AU54" i="32" s="1"/>
  <c r="AT54" i="32" a="1"/>
  <c r="AT54" i="32" s="1"/>
  <c r="AW54" i="32" a="1"/>
  <c r="AW54" i="32" s="1"/>
  <c r="CE54" i="32" l="1" a="1"/>
  <c r="CE54" i="32" s="1"/>
  <c r="AC54" i="32" s="1"/>
  <c r="U53" i="32"/>
  <c r="V53" i="32"/>
  <c r="CI54" i="32"/>
  <c r="AD54" i="32" s="1"/>
  <c r="CQ55" i="32" a="1"/>
  <c r="CQ55" i="32" s="1"/>
  <c r="CT55" i="32" a="1"/>
  <c r="CT55" i="32" s="1"/>
  <c r="CK55" i="32" a="1"/>
  <c r="CK55" i="32" s="1"/>
  <c r="CL55" i="32" s="1"/>
  <c r="AE55" i="32" s="1"/>
  <c r="CV55" i="32" a="1"/>
  <c r="CV55" i="32" s="1"/>
  <c r="BB55" i="32" a="1"/>
  <c r="BB55" i="32" s="1"/>
  <c r="CN55" i="32" a="1"/>
  <c r="CN55" i="32" s="1"/>
  <c r="AX54" i="32" a="1"/>
  <c r="AX54" i="32" s="1"/>
  <c r="W54" i="32" s="1"/>
  <c r="BX54" i="32"/>
  <c r="AB54" i="32" s="1"/>
  <c r="BP55" i="32"/>
  <c r="BK55" i="32" s="1" a="1"/>
  <c r="BK55" i="32" s="1"/>
  <c r="CB55" i="32"/>
  <c r="CD55" i="32" s="1"/>
  <c r="CC55" i="32" s="1" a="1"/>
  <c r="CC55" i="32" s="1"/>
  <c r="AK53" i="32"/>
  <c r="BV55" i="32"/>
  <c r="BU55" i="32" s="1" a="1"/>
  <c r="BU55" i="32" s="1"/>
  <c r="CW55" i="32" a="1"/>
  <c r="CW55" i="32" s="1"/>
  <c r="AV55" i="32"/>
  <c r="AZ55" i="32" a="1"/>
  <c r="AZ55" i="32" s="1"/>
  <c r="M58" i="32"/>
  <c r="I58" i="32" s="1"/>
  <c r="CS55" i="32" a="1"/>
  <c r="CS55" i="32" s="1"/>
  <c r="AY55" i="32" a="1"/>
  <c r="AY55" i="32" s="1"/>
  <c r="BA55" i="32" s="1"/>
  <c r="X55" i="32" s="1"/>
  <c r="CG55" i="32"/>
  <c r="DB55" i="32"/>
  <c r="AM56" i="32"/>
  <c r="BS55" i="32" a="1"/>
  <c r="BS55" i="32" s="1"/>
  <c r="BT55" i="32" s="1"/>
  <c r="AA55" i="32" s="1"/>
  <c r="CM55" i="32" a="1"/>
  <c r="CM55" i="32" s="1"/>
  <c r="BR54" i="32" a="1"/>
  <c r="BR54" i="32" s="1"/>
  <c r="Z54" i="32" s="1"/>
  <c r="BI55" i="32" a="1"/>
  <c r="BI55" i="32" s="1"/>
  <c r="AM57" i="32"/>
  <c r="CP55" i="32" a="1"/>
  <c r="CP55" i="32" s="1"/>
  <c r="CR55" i="32" s="1"/>
  <c r="AG55" i="32" s="1"/>
  <c r="BD55" i="32"/>
  <c r="BC55" i="32" s="1" a="1"/>
  <c r="BC55" i="32" s="1"/>
  <c r="CO55" i="32" l="1"/>
  <c r="AF55" i="32" s="1"/>
  <c r="U54" i="32"/>
  <c r="BJ55" i="32" a="1"/>
  <c r="BJ55" i="32" s="1"/>
  <c r="BM55" i="32" a="1"/>
  <c r="BM55" i="32" s="1"/>
  <c r="BG55" i="32" a="1"/>
  <c r="BG55" i="32" s="1"/>
  <c r="BF55" i="32" a="1"/>
  <c r="BF55" i="32" s="1"/>
  <c r="BW55" i="32" a="1"/>
  <c r="BW55" i="32" s="1"/>
  <c r="BX55" i="32" s="1"/>
  <c r="AB55" i="32" s="1"/>
  <c r="BZ55" i="32" a="1"/>
  <c r="BZ55" i="32" s="1"/>
  <c r="BO55" i="32" a="1"/>
  <c r="BO55" i="32" s="1"/>
  <c r="BY55" i="32" a="1"/>
  <c r="BY55" i="32" s="1"/>
  <c r="V54" i="32"/>
  <c r="BH55" i="32" a="1"/>
  <c r="BH55" i="32" s="1"/>
  <c r="BL55" i="32" a="1"/>
  <c r="BL55" i="32" s="1"/>
  <c r="BN55" i="32" a="1"/>
  <c r="BN55" i="32" s="1"/>
  <c r="CA55" i="32" a="1"/>
  <c r="CA55" i="32" s="1"/>
  <c r="CX55" i="32"/>
  <c r="AI55" i="32" s="1"/>
  <c r="BE55" i="32"/>
  <c r="Y55" i="32" s="1"/>
  <c r="BQ55" i="32" a="1"/>
  <c r="BQ55" i="32" s="1"/>
  <c r="AK54" i="32"/>
  <c r="CU55" i="32"/>
  <c r="AH55" i="32" s="1"/>
  <c r="AN57" i="32"/>
  <c r="AO57" i="32" s="1"/>
  <c r="AP57" i="32" s="1"/>
  <c r="AQ57" i="32" s="1"/>
  <c r="AR57" i="32" s="1"/>
  <c r="AS57" i="32" s="1"/>
  <c r="CS57" i="32" s="1" a="1"/>
  <c r="CS57" i="32" s="1"/>
  <c r="G58" i="32"/>
  <c r="O58" i="32" s="1"/>
  <c r="H58" i="32"/>
  <c r="E59" i="32" s="1" a="1"/>
  <c r="E59" i="32" s="1"/>
  <c r="F59" i="32" s="1" a="1"/>
  <c r="F59" i="32" s="1"/>
  <c r="AT55" i="32" a="1"/>
  <c r="AT55" i="32" s="1"/>
  <c r="AX55" i="32" s="1" a="1"/>
  <c r="AX55" i="32" s="1"/>
  <c r="W55" i="32" s="1"/>
  <c r="AU55" i="32" a="1"/>
  <c r="AU55" i="32" s="1"/>
  <c r="AW55" i="32" a="1"/>
  <c r="AW55" i="32" s="1"/>
  <c r="CY55" i="32" a="1"/>
  <c r="CY55" i="32" s="1"/>
  <c r="CZ55" i="32" a="1"/>
  <c r="CZ55" i="32" s="1"/>
  <c r="DC55" i="32" a="1"/>
  <c r="DC55" i="32" s="1"/>
  <c r="DA55" i="32" a="1"/>
  <c r="DA55" i="32" s="1"/>
  <c r="AN56" i="32"/>
  <c r="AO56" i="32" s="1"/>
  <c r="AP56" i="32" s="1"/>
  <c r="AQ56" i="32" s="1"/>
  <c r="AR56" i="32" s="1"/>
  <c r="AS56" i="32" s="1"/>
  <c r="CW56" i="32" s="1" a="1"/>
  <c r="CW56" i="32" s="1"/>
  <c r="CH55" i="32" a="1"/>
  <c r="CH55" i="32" s="1"/>
  <c r="CF55" i="32" a="1"/>
  <c r="CF55" i="32" s="1"/>
  <c r="CI55" i="32" l="1"/>
  <c r="AD55" i="32" s="1"/>
  <c r="CE55" i="32" a="1"/>
  <c r="CE55" i="32" s="1"/>
  <c r="AC55" i="32" s="1"/>
  <c r="BR55" i="32" a="1"/>
  <c r="BR55" i="32" s="1"/>
  <c r="Z55" i="32" s="1"/>
  <c r="AK55" i="32" s="1"/>
  <c r="CT56" i="32" a="1"/>
  <c r="CT56" i="32" s="1"/>
  <c r="CQ56" i="32" a="1"/>
  <c r="CQ56" i="32" s="1"/>
  <c r="AV56" i="32"/>
  <c r="AU56" i="32" s="1" a="1"/>
  <c r="AU56" i="32" s="1"/>
  <c r="CJ57" i="32" a="1"/>
  <c r="CJ57" i="32" s="1"/>
  <c r="BS56" i="32" a="1"/>
  <c r="BS56" i="32" s="1"/>
  <c r="BT56" i="32" s="1"/>
  <c r="AA56" i="32" s="1"/>
  <c r="CB56" i="32"/>
  <c r="CS56" i="32" a="1"/>
  <c r="CS56" i="32" s="1"/>
  <c r="AY56" i="32" a="1"/>
  <c r="AY56" i="32" s="1"/>
  <c r="DD55" i="32"/>
  <c r="AJ55" i="32" s="1"/>
  <c r="CK56" i="32" a="1"/>
  <c r="CK56" i="32" s="1"/>
  <c r="CM56" i="32" a="1"/>
  <c r="CM56" i="32" s="1"/>
  <c r="N58" i="32"/>
  <c r="T58" i="32"/>
  <c r="Q58" i="32"/>
  <c r="P58" i="32"/>
  <c r="BV56" i="32"/>
  <c r="BV57" i="32"/>
  <c r="CG56" i="32"/>
  <c r="BP56" i="32"/>
  <c r="CJ56" i="32" a="1"/>
  <c r="CJ56" i="32" s="1"/>
  <c r="CL56" i="32" s="1"/>
  <c r="AE56" i="32" s="1"/>
  <c r="AV57" i="32"/>
  <c r="BZ56" i="32" a="1"/>
  <c r="BZ56" i="32" s="1"/>
  <c r="DB56" i="32"/>
  <c r="CN56" i="32" a="1"/>
  <c r="CN56" i="32" s="1"/>
  <c r="CV56" i="32" a="1"/>
  <c r="CV56" i="32" s="1"/>
  <c r="CX56" i="32" s="1"/>
  <c r="AI56" i="32" s="1"/>
  <c r="CP56" i="32" a="1"/>
  <c r="CP56" i="32" s="1"/>
  <c r="CR56" i="32" s="1"/>
  <c r="AG56" i="32" s="1"/>
  <c r="CW57" i="32" a="1"/>
  <c r="CW57" i="32" s="1"/>
  <c r="DB57" i="32"/>
  <c r="AZ57" i="32" a="1"/>
  <c r="AZ57" i="32" s="1"/>
  <c r="BB56" i="32" a="1"/>
  <c r="BB56" i="32" s="1"/>
  <c r="BP57" i="32"/>
  <c r="CQ57" i="32" a="1"/>
  <c r="CQ57" i="32" s="1"/>
  <c r="CG57" i="32"/>
  <c r="CK57" i="32" a="1"/>
  <c r="CK57" i="32" s="1"/>
  <c r="CL57" i="32" s="1"/>
  <c r="AE57" i="32" s="1"/>
  <c r="CP57" i="32" a="1"/>
  <c r="CP57" i="32" s="1"/>
  <c r="CR57" i="32" s="1"/>
  <c r="AG57" i="32" s="1"/>
  <c r="BB57" i="32" a="1"/>
  <c r="BB57" i="32" s="1"/>
  <c r="BD57" i="32"/>
  <c r="BC57" i="32" s="1" a="1"/>
  <c r="BC57" i="32" s="1"/>
  <c r="BS57" i="32" a="1"/>
  <c r="BS57" i="32" s="1"/>
  <c r="BT57" i="32" s="1"/>
  <c r="AA57" i="32" s="1"/>
  <c r="CN57" i="32" a="1"/>
  <c r="CN57" i="32" s="1"/>
  <c r="CM57" i="32" a="1"/>
  <c r="CM57" i="32" s="1"/>
  <c r="CB57" i="32"/>
  <c r="AY57" i="32" a="1"/>
  <c r="AY57" i="32" s="1"/>
  <c r="BA57" i="32" s="1"/>
  <c r="X57" i="32" s="1"/>
  <c r="CD56" i="32"/>
  <c r="CC56" i="32" s="1" a="1"/>
  <c r="CC56" i="32" s="1"/>
  <c r="AZ56" i="32" a="1"/>
  <c r="AZ56" i="32" s="1"/>
  <c r="BD56" i="32"/>
  <c r="BC56" i="32" s="1" a="1"/>
  <c r="BC56" i="32" s="1"/>
  <c r="M59" i="32"/>
  <c r="H59" i="32" s="1"/>
  <c r="E60" i="32" s="1" a="1"/>
  <c r="E60" i="32" s="1"/>
  <c r="F60" i="32" s="1" a="1"/>
  <c r="F60" i="32" s="1"/>
  <c r="CV57" i="32" a="1"/>
  <c r="CV57" i="32" s="1"/>
  <c r="CT57" i="32" a="1"/>
  <c r="CT57" i="32" s="1"/>
  <c r="CU57" i="32" s="1"/>
  <c r="AH57" i="32" s="1"/>
  <c r="U55" i="32" l="1"/>
  <c r="V55" i="32"/>
  <c r="CX57" i="32"/>
  <c r="AI57" i="32" s="1"/>
  <c r="AT56" i="32" a="1"/>
  <c r="AT56" i="32" s="1"/>
  <c r="AW56" i="32" a="1"/>
  <c r="AW56" i="32" s="1"/>
  <c r="BE56" i="32"/>
  <c r="Y56" i="32" s="1"/>
  <c r="CO56" i="32"/>
  <c r="AF56" i="32" s="1"/>
  <c r="BA56" i="32"/>
  <c r="X56" i="32" s="1"/>
  <c r="CU56" i="32"/>
  <c r="AH56" i="32" s="1"/>
  <c r="BY56" i="32" a="1"/>
  <c r="BY56" i="32" s="1"/>
  <c r="CA56" i="32" a="1"/>
  <c r="CA56" i="32" s="1"/>
  <c r="BE57" i="32"/>
  <c r="Y57" i="32" s="1"/>
  <c r="M60" i="32"/>
  <c r="H60" i="32" s="1"/>
  <c r="E61" i="32" s="1" a="1"/>
  <c r="E61" i="32" s="1"/>
  <c r="F61" i="32" s="1" a="1"/>
  <c r="F61" i="32" s="1"/>
  <c r="AW57" i="32" a="1"/>
  <c r="AW57" i="32" s="1"/>
  <c r="AU57" i="32" a="1"/>
  <c r="AU57" i="32" s="1"/>
  <c r="AT57" i="32" a="1"/>
  <c r="AT57" i="32" s="1"/>
  <c r="BO56" i="32" a="1"/>
  <c r="BO56" i="32" s="1"/>
  <c r="BI56" i="32" a="1"/>
  <c r="BI56" i="32" s="1"/>
  <c r="BL56" i="32" a="1"/>
  <c r="BL56" i="32" s="1"/>
  <c r="BJ56" i="32" a="1"/>
  <c r="BJ56" i="32" s="1"/>
  <c r="BK56" i="32" a="1"/>
  <c r="BK56" i="32" s="1"/>
  <c r="BF56" i="32" a="1"/>
  <c r="BF56" i="32" s="1"/>
  <c r="BN56" i="32" a="1"/>
  <c r="BN56" i="32" s="1"/>
  <c r="BG56" i="32" a="1"/>
  <c r="BG56" i="32" s="1"/>
  <c r="BM56" i="32" a="1"/>
  <c r="BM56" i="32" s="1"/>
  <c r="BH56" i="32" a="1"/>
  <c r="BH56" i="32" s="1"/>
  <c r="BQ56" i="32" a="1"/>
  <c r="BQ56" i="32" s="1"/>
  <c r="CH57" i="32" a="1"/>
  <c r="CH57" i="32" s="1"/>
  <c r="CF57" i="32" a="1"/>
  <c r="CF57" i="32" s="1"/>
  <c r="CI57" i="32" s="1"/>
  <c r="AD57" i="32" s="1"/>
  <c r="CH56" i="32" a="1"/>
  <c r="CH56" i="32" s="1"/>
  <c r="CF56" i="32" a="1"/>
  <c r="CF56" i="32" s="1"/>
  <c r="CI56" i="32" s="1"/>
  <c r="AD56" i="32" s="1"/>
  <c r="G59" i="32"/>
  <c r="O59" i="32" s="1"/>
  <c r="I59" i="32"/>
  <c r="BW57" i="32" a="1"/>
  <c r="BW57" i="32" s="1"/>
  <c r="BU57" i="32" a="1"/>
  <c r="BU57" i="32" s="1"/>
  <c r="BJ57" i="32" a="1"/>
  <c r="BJ57" i="32" s="1"/>
  <c r="BQ57" i="32" a="1"/>
  <c r="BQ57" i="32" s="1"/>
  <c r="BI57" i="32" a="1"/>
  <c r="BI57" i="32" s="1"/>
  <c r="BG57" i="32" a="1"/>
  <c r="BG57" i="32" s="1"/>
  <c r="BM57" i="32" a="1"/>
  <c r="BM57" i="32" s="1"/>
  <c r="BH57" i="32" a="1"/>
  <c r="BH57" i="32" s="1"/>
  <c r="BN57" i="32" a="1"/>
  <c r="BN57" i="32" s="1"/>
  <c r="BK57" i="32" a="1"/>
  <c r="BK57" i="32" s="1"/>
  <c r="BF57" i="32" a="1"/>
  <c r="BF57" i="32" s="1"/>
  <c r="BL57" i="32" a="1"/>
  <c r="BL57" i="32" s="1"/>
  <c r="BO57" i="32" a="1"/>
  <c r="BO57" i="32" s="1"/>
  <c r="BW56" i="32" a="1"/>
  <c r="BW56" i="32" s="1"/>
  <c r="BU56" i="32" a="1"/>
  <c r="BU56" i="32" s="1"/>
  <c r="AM58" i="32"/>
  <c r="CA57" i="32" a="1"/>
  <c r="CA57" i="32" s="1"/>
  <c r="BZ57" i="32" a="1"/>
  <c r="BZ57" i="32" s="1"/>
  <c r="BY57" i="32" a="1"/>
  <c r="BY57" i="32" s="1"/>
  <c r="CD57" i="32"/>
  <c r="CC57" i="32" s="1" a="1"/>
  <c r="CC57" i="32" s="1"/>
  <c r="CO57" i="32"/>
  <c r="AF57" i="32" s="1"/>
  <c r="DC57" i="32" a="1"/>
  <c r="DC57" i="32" s="1"/>
  <c r="CY57" i="32" a="1"/>
  <c r="CY57" i="32" s="1"/>
  <c r="DA57" i="32" a="1"/>
  <c r="DA57" i="32" s="1"/>
  <c r="CZ57" i="32" a="1"/>
  <c r="CZ57" i="32" s="1"/>
  <c r="DA56" i="32" a="1"/>
  <c r="DA56" i="32" s="1"/>
  <c r="CY56" i="32" a="1"/>
  <c r="CY56" i="32" s="1"/>
  <c r="CZ56" i="32" a="1"/>
  <c r="CZ56" i="32" s="1"/>
  <c r="DC56" i="32" a="1"/>
  <c r="DC56" i="32" s="1"/>
  <c r="BX56" i="32" l="1"/>
  <c r="AB56" i="32" s="1"/>
  <c r="BX57" i="32"/>
  <c r="AB57" i="32" s="1"/>
  <c r="AX57" i="32" a="1"/>
  <c r="AX57" i="32" s="1"/>
  <c r="W57" i="32" s="1"/>
  <c r="CE56" i="32" a="1"/>
  <c r="CE56" i="32" s="1"/>
  <c r="AC56" i="32" s="1"/>
  <c r="AX56" i="32" a="1"/>
  <c r="AX56" i="32" s="1"/>
  <c r="W56" i="32" s="1"/>
  <c r="CE57" i="32" a="1"/>
  <c r="CE57" i="32" s="1"/>
  <c r="AC57" i="32" s="1"/>
  <c r="DD56" i="32"/>
  <c r="AJ56" i="32" s="1"/>
  <c r="BR56" i="32" a="1"/>
  <c r="BR56" i="32" s="1"/>
  <c r="Z56" i="32" s="1"/>
  <c r="M61" i="32"/>
  <c r="G61" i="32" s="1"/>
  <c r="O61" i="32" s="1"/>
  <c r="AN58" i="32"/>
  <c r="AO58" i="32" s="1"/>
  <c r="AP58" i="32" s="1"/>
  <c r="AQ58" i="32" s="1"/>
  <c r="AR58" i="32" s="1"/>
  <c r="AS58" i="32" s="1"/>
  <c r="BD58" i="32" s="1"/>
  <c r="BC58" i="32" s="1" a="1"/>
  <c r="BC58" i="32" s="1"/>
  <c r="N59" i="32"/>
  <c r="T59" i="32"/>
  <c r="Q59" i="32"/>
  <c r="P59" i="32"/>
  <c r="BR57" i="32" a="1"/>
  <c r="BR57" i="32" s="1"/>
  <c r="Z57" i="32" s="1"/>
  <c r="DD57" i="32"/>
  <c r="AJ57" i="32" s="1"/>
  <c r="G60" i="32"/>
  <c r="O60" i="32" s="1"/>
  <c r="I60" i="32"/>
  <c r="V57" i="32" l="1"/>
  <c r="AK56" i="32"/>
  <c r="BB58" i="32" a="1"/>
  <c r="BB58" i="32" s="1"/>
  <c r="BE58" i="32" s="1"/>
  <c r="Y58" i="32" s="1"/>
  <c r="CT58" i="32" a="1"/>
  <c r="CT58" i="32" s="1"/>
  <c r="CP58" i="32" a="1"/>
  <c r="CP58" i="32" s="1"/>
  <c r="CB58" i="32"/>
  <c r="BY58" i="32" s="1" a="1"/>
  <c r="BY58" i="32" s="1"/>
  <c r="V56" i="32"/>
  <c r="U56" i="32"/>
  <c r="P61" i="32"/>
  <c r="Q61" i="32"/>
  <c r="T61" i="32"/>
  <c r="N61" i="32"/>
  <c r="BP58" i="32"/>
  <c r="AK57" i="32"/>
  <c r="CN58" i="32" a="1"/>
  <c r="CN58" i="32" s="1"/>
  <c r="CS58" i="32" a="1"/>
  <c r="CS58" i="32" s="1"/>
  <c r="CJ58" i="32" a="1"/>
  <c r="CJ58" i="32" s="1"/>
  <c r="AV58" i="32"/>
  <c r="AY58" i="32" a="1"/>
  <c r="AY58" i="32" s="1"/>
  <c r="BA58" i="32" s="1"/>
  <c r="X58" i="32" s="1"/>
  <c r="CG58" i="32"/>
  <c r="BS58" i="32" a="1"/>
  <c r="BS58" i="32" s="1"/>
  <c r="BT58" i="32" s="1"/>
  <c r="AA58" i="32" s="1"/>
  <c r="CQ58" i="32" a="1"/>
  <c r="CQ58" i="32" s="1"/>
  <c r="CW58" i="32" a="1"/>
  <c r="CW58" i="32" s="1"/>
  <c r="T60" i="32"/>
  <c r="Q60" i="32"/>
  <c r="N60" i="32"/>
  <c r="P60" i="32"/>
  <c r="U57" i="32"/>
  <c r="DB58" i="32"/>
  <c r="BV58" i="32"/>
  <c r="H61" i="32"/>
  <c r="E62" i="32" s="1" a="1"/>
  <c r="E62" i="32" s="1"/>
  <c r="F62" i="32" s="1" a="1"/>
  <c r="F62" i="32" s="1"/>
  <c r="CV58" i="32" a="1"/>
  <c r="CV58" i="32" s="1"/>
  <c r="I61" i="32"/>
  <c r="AM59" i="32"/>
  <c r="CK58" i="32" a="1"/>
  <c r="CK58" i="32" s="1"/>
  <c r="AZ58" i="32" a="1"/>
  <c r="AZ58" i="32" s="1"/>
  <c r="CM58" i="32" a="1"/>
  <c r="CM58" i="32" s="1"/>
  <c r="CX58" i="32" l="1"/>
  <c r="AI58" i="32" s="1"/>
  <c r="CO58" i="32"/>
  <c r="AF58" i="32" s="1"/>
  <c r="BZ58" i="32" a="1"/>
  <c r="BZ58" i="32" s="1"/>
  <c r="CA58" i="32" a="1"/>
  <c r="CA58" i="32" s="1"/>
  <c r="CU58" i="32"/>
  <c r="AH58" i="32" s="1"/>
  <c r="CD58" i="32"/>
  <c r="CC58" i="32" s="1" a="1"/>
  <c r="CC58" i="32" s="1"/>
  <c r="CR58" i="32"/>
  <c r="AG58" i="32" s="1"/>
  <c r="AT58" i="32" a="1"/>
  <c r="AT58" i="32" s="1"/>
  <c r="AW58" i="32" a="1"/>
  <c r="AW58" i="32" s="1"/>
  <c r="AU58" i="32" a="1"/>
  <c r="AU58" i="32" s="1"/>
  <c r="CL58" i="32"/>
  <c r="AE58" i="32" s="1"/>
  <c r="AN59" i="32"/>
  <c r="AO59" i="32" s="1"/>
  <c r="AP59" i="32" s="1"/>
  <c r="AQ59" i="32" s="1"/>
  <c r="AR59" i="32" s="1"/>
  <c r="AS59" i="32" s="1"/>
  <c r="CG59" i="32" s="1"/>
  <c r="M62" i="32"/>
  <c r="H62" i="32" s="1"/>
  <c r="E63" i="32" s="1" a="1"/>
  <c r="E63" i="32" s="1"/>
  <c r="F63" i="32" s="1" a="1"/>
  <c r="F63" i="32" s="1"/>
  <c r="CZ58" i="32" a="1"/>
  <c r="CZ58" i="32" s="1"/>
  <c r="DA58" i="32" a="1"/>
  <c r="DA58" i="32" s="1"/>
  <c r="CY58" i="32" a="1"/>
  <c r="CY58" i="32" s="1"/>
  <c r="DC58" i="32" a="1"/>
  <c r="DC58" i="32" s="1"/>
  <c r="BU58" i="32" a="1"/>
  <c r="BU58" i="32" s="1"/>
  <c r="BW58" i="32" a="1"/>
  <c r="BW58" i="32" s="1"/>
  <c r="BQ58" i="32" a="1"/>
  <c r="BQ58" i="32" s="1"/>
  <c r="BG58" i="32" a="1"/>
  <c r="BG58" i="32" s="1"/>
  <c r="BM58" i="32" a="1"/>
  <c r="BM58" i="32" s="1"/>
  <c r="BK58" i="32" a="1"/>
  <c r="BK58" i="32" s="1"/>
  <c r="BO58" i="32" a="1"/>
  <c r="BO58" i="32" s="1"/>
  <c r="BN58" i="32" a="1"/>
  <c r="BN58" i="32" s="1"/>
  <c r="BF58" i="32" a="1"/>
  <c r="BF58" i="32" s="1"/>
  <c r="BI58" i="32" a="1"/>
  <c r="BI58" i="32" s="1"/>
  <c r="BL58" i="32" a="1"/>
  <c r="BL58" i="32" s="1"/>
  <c r="BH58" i="32" a="1"/>
  <c r="BH58" i="32" s="1"/>
  <c r="BJ58" i="32" a="1"/>
  <c r="BJ58" i="32" s="1"/>
  <c r="AM60" i="32"/>
  <c r="AM61" i="32"/>
  <c r="CH58" i="32" a="1"/>
  <c r="CH58" i="32" s="1"/>
  <c r="CF58" i="32" a="1"/>
  <c r="CF58" i="32" s="1"/>
  <c r="AX58" i="32" l="1" a="1"/>
  <c r="AX58" i="32" s="1"/>
  <c r="W58" i="32" s="1"/>
  <c r="I62" i="32"/>
  <c r="G62" i="32"/>
  <c r="O62" i="32" s="1"/>
  <c r="Q62" i="32" s="1"/>
  <c r="CI58" i="32"/>
  <c r="AD58" i="32" s="1"/>
  <c r="CE58" i="32" a="1"/>
  <c r="CE58" i="32" s="1"/>
  <c r="AC58" i="32" s="1"/>
  <c r="BX58" i="32"/>
  <c r="AB58" i="32" s="1"/>
  <c r="DD58" i="32"/>
  <c r="AJ58" i="32" s="1"/>
  <c r="CH59" i="32" a="1"/>
  <c r="CH59" i="32" s="1"/>
  <c r="CF59" i="32" a="1"/>
  <c r="CF59" i="32" s="1"/>
  <c r="CI59" i="32" s="1"/>
  <c r="AD59" i="32" s="1"/>
  <c r="CP59" i="32" a="1"/>
  <c r="CP59" i="32" s="1"/>
  <c r="CB59" i="32"/>
  <c r="AV59" i="32"/>
  <c r="AN61" i="32"/>
  <c r="AO61" i="32" s="1"/>
  <c r="AP61" i="32" s="1"/>
  <c r="AQ61" i="32" s="1"/>
  <c r="AR61" i="32" s="1"/>
  <c r="AS61" i="32" s="1"/>
  <c r="CS61" i="32" s="1" a="1"/>
  <c r="CS61" i="32" s="1"/>
  <c r="BD59" i="32"/>
  <c r="BC59" i="32" s="1" a="1"/>
  <c r="BC59" i="32" s="1"/>
  <c r="CK59" i="32" a="1"/>
  <c r="CK59" i="32" s="1"/>
  <c r="CW59" i="32" a="1"/>
  <c r="CW59" i="32" s="1"/>
  <c r="AY59" i="32" a="1"/>
  <c r="AY59" i="32" s="1"/>
  <c r="BA59" i="32" s="1"/>
  <c r="X59" i="32" s="1"/>
  <c r="CV59" i="32" a="1"/>
  <c r="CV59" i="32" s="1"/>
  <c r="AN60" i="32"/>
  <c r="AO60" i="32" s="1"/>
  <c r="AP60" i="32" s="1"/>
  <c r="AQ60" i="32" s="1"/>
  <c r="AR60" i="32" s="1"/>
  <c r="AS60" i="32" s="1"/>
  <c r="AZ60" i="32" s="1" a="1"/>
  <c r="AZ60" i="32" s="1"/>
  <c r="CT59" i="32" a="1"/>
  <c r="CT59" i="32" s="1"/>
  <c r="CJ59" i="32" a="1"/>
  <c r="CJ59" i="32" s="1"/>
  <c r="CQ59" i="32" a="1"/>
  <c r="CQ59" i="32" s="1"/>
  <c r="BS59" i="32" a="1"/>
  <c r="BS59" i="32" s="1"/>
  <c r="BT59" i="32" s="1"/>
  <c r="AA59" i="32" s="1"/>
  <c r="AZ59" i="32" a="1"/>
  <c r="AZ59" i="32" s="1"/>
  <c r="M63" i="32"/>
  <c r="I63" i="32" s="1"/>
  <c r="BP59" i="32"/>
  <c r="BR58" i="32" a="1"/>
  <c r="BR58" i="32" s="1"/>
  <c r="Z58" i="32" s="1"/>
  <c r="BB59" i="32" a="1"/>
  <c r="BB59" i="32" s="1"/>
  <c r="DB59" i="32"/>
  <c r="CN59" i="32" a="1"/>
  <c r="CN59" i="32" s="1"/>
  <c r="CS59" i="32" a="1"/>
  <c r="CS59" i="32" s="1"/>
  <c r="CM59" i="32" a="1"/>
  <c r="CM59" i="32" s="1"/>
  <c r="BV59" i="32"/>
  <c r="P62" i="32" l="1"/>
  <c r="N62" i="32"/>
  <c r="T62" i="32"/>
  <c r="AK58" i="32"/>
  <c r="CX59" i="32"/>
  <c r="AI59" i="32" s="1"/>
  <c r="U58" i="32"/>
  <c r="BE59" i="32"/>
  <c r="Y59" i="32" s="1"/>
  <c r="CV60" i="32" a="1"/>
  <c r="CV60" i="32" s="1"/>
  <c r="CJ60" i="32" a="1"/>
  <c r="CJ60" i="32" s="1"/>
  <c r="CJ61" i="32" a="1"/>
  <c r="CJ61" i="32" s="1"/>
  <c r="AV60" i="32"/>
  <c r="AZ61" i="32" a="1"/>
  <c r="AZ61" i="32" s="1"/>
  <c r="CM60" i="32" a="1"/>
  <c r="CM60" i="32" s="1"/>
  <c r="BV60" i="32"/>
  <c r="BS60" i="32" a="1"/>
  <c r="BS60" i="32" s="1"/>
  <c r="BT60" i="32" s="1"/>
  <c r="AA60" i="32" s="1"/>
  <c r="BS61" i="32" a="1"/>
  <c r="BS61" i="32" s="1"/>
  <c r="BT61" i="32" s="1"/>
  <c r="AA61" i="32" s="1"/>
  <c r="AY60" i="32" a="1"/>
  <c r="AY60" i="32" s="1"/>
  <c r="BA60" i="32" s="1"/>
  <c r="X60" i="32" s="1"/>
  <c r="CG60" i="32"/>
  <c r="CN60" i="32" a="1"/>
  <c r="CN60" i="32" s="1"/>
  <c r="G63" i="32"/>
  <c r="O63" i="32" s="1"/>
  <c r="P63" i="32" s="1"/>
  <c r="BD60" i="32"/>
  <c r="BC60" i="32" s="1" a="1"/>
  <c r="BC60" i="32" s="1"/>
  <c r="DB61" i="32"/>
  <c r="CY61" i="32" s="1" a="1"/>
  <c r="CY61" i="32" s="1"/>
  <c r="CQ60" i="32" a="1"/>
  <c r="CQ60" i="32" s="1"/>
  <c r="CB60" i="32"/>
  <c r="BP60" i="32"/>
  <c r="BO60" i="32" s="1" a="1"/>
  <c r="BO60" i="32" s="1"/>
  <c r="BB61" i="32" a="1"/>
  <c r="BB61" i="32" s="1"/>
  <c r="CS60" i="32" a="1"/>
  <c r="CS60" i="32" s="1"/>
  <c r="CP60" i="32" a="1"/>
  <c r="CP60" i="32" s="1"/>
  <c r="CR60" i="32" s="1"/>
  <c r="AG60" i="32" s="1"/>
  <c r="BV61" i="32"/>
  <c r="BB60" i="32" a="1"/>
  <c r="BB60" i="32" s="1"/>
  <c r="CW60" i="32" a="1"/>
  <c r="CW60" i="32" s="1"/>
  <c r="V58" i="32"/>
  <c r="BW59" i="32" a="1"/>
  <c r="BW59" i="32" s="1"/>
  <c r="BU59" i="32" a="1"/>
  <c r="BU59" i="32" s="1"/>
  <c r="AM62" i="32"/>
  <c r="CQ61" i="32" a="1"/>
  <c r="CQ61" i="32" s="1"/>
  <c r="CG61" i="32"/>
  <c r="CO59" i="32"/>
  <c r="AF59" i="32" s="1"/>
  <c r="DB60" i="32"/>
  <c r="CU59" i="32"/>
  <c r="AH59" i="32" s="1"/>
  <c r="BL60" i="32" a="1"/>
  <c r="BL60" i="32" s="1"/>
  <c r="BK60" i="32" a="1"/>
  <c r="BK60" i="32" s="1"/>
  <c r="CL59" i="32"/>
  <c r="AE59" i="32" s="1"/>
  <c r="BF60" i="32" a="1"/>
  <c r="BF60" i="32" s="1"/>
  <c r="CK60" i="32" a="1"/>
  <c r="CK60" i="32" s="1"/>
  <c r="CL60" i="32" s="1"/>
  <c r="AE60" i="32" s="1"/>
  <c r="BP61" i="32"/>
  <c r="AY61" i="32" a="1"/>
  <c r="AY61" i="32" s="1"/>
  <c r="BA61" i="32" s="1"/>
  <c r="X61" i="32" s="1"/>
  <c r="DC59" i="32" a="1"/>
  <c r="DC59" i="32" s="1"/>
  <c r="CZ59" i="32" a="1"/>
  <c r="CZ59" i="32" s="1"/>
  <c r="DA59" i="32" a="1"/>
  <c r="DA59" i="32" s="1"/>
  <c r="CY59" i="32" a="1"/>
  <c r="CY59" i="32" s="1"/>
  <c r="CT61" i="32" a="1"/>
  <c r="CT61" i="32" s="1"/>
  <c r="CU61" i="32" s="1"/>
  <c r="AH61" i="32" s="1"/>
  <c r="CW61" i="32" a="1"/>
  <c r="CW61" i="32" s="1"/>
  <c r="CN61" i="32" a="1"/>
  <c r="CN61" i="32" s="1"/>
  <c r="BH59" i="32" a="1"/>
  <c r="BH59" i="32" s="1"/>
  <c r="BK59" i="32" a="1"/>
  <c r="BK59" i="32" s="1"/>
  <c r="BG59" i="32" a="1"/>
  <c r="BG59" i="32" s="1"/>
  <c r="BQ59" i="32" a="1"/>
  <c r="BQ59" i="32" s="1"/>
  <c r="BN59" i="32" a="1"/>
  <c r="BN59" i="32" s="1"/>
  <c r="BJ59" i="32" a="1"/>
  <c r="BJ59" i="32" s="1"/>
  <c r="BO59" i="32" a="1"/>
  <c r="BO59" i="32" s="1"/>
  <c r="BM59" i="32" a="1"/>
  <c r="BM59" i="32" s="1"/>
  <c r="BF59" i="32" a="1"/>
  <c r="BF59" i="32" s="1"/>
  <c r="BI59" i="32" a="1"/>
  <c r="BI59" i="32" s="1"/>
  <c r="BL59" i="32" a="1"/>
  <c r="BL59" i="32" s="1"/>
  <c r="AV61" i="32"/>
  <c r="CZ61" i="32" a="1"/>
  <c r="CZ61" i="32" s="1"/>
  <c r="CB61" i="32"/>
  <c r="BD61" i="32"/>
  <c r="BC61" i="32" s="1" a="1"/>
  <c r="BC61" i="32" s="1"/>
  <c r="H63" i="32"/>
  <c r="E64" i="32" s="1" a="1"/>
  <c r="E64" i="32" s="1"/>
  <c r="F64" i="32" s="1" a="1"/>
  <c r="F64" i="32" s="1"/>
  <c r="CK61" i="32" a="1"/>
  <c r="CK61" i="32" s="1"/>
  <c r="CL61" i="32" s="1"/>
  <c r="AE61" i="32" s="1"/>
  <c r="AT59" i="32" a="1"/>
  <c r="AT59" i="32" s="1"/>
  <c r="AU59" i="32" a="1"/>
  <c r="AU59" i="32" s="1"/>
  <c r="AW59" i="32" a="1"/>
  <c r="AW59" i="32" s="1"/>
  <c r="BM60" i="32" a="1"/>
  <c r="BM60" i="32" s="1"/>
  <c r="BN60" i="32" a="1"/>
  <c r="BN60" i="32" s="1"/>
  <c r="BQ60" i="32" a="1"/>
  <c r="BQ60" i="32" s="1"/>
  <c r="CT60" i="32" a="1"/>
  <c r="CT60" i="32" s="1"/>
  <c r="CU60" i="32" s="1"/>
  <c r="AH60" i="32" s="1"/>
  <c r="CM61" i="32" a="1"/>
  <c r="CM61" i="32" s="1"/>
  <c r="CP61" i="32" a="1"/>
  <c r="CP61" i="32" s="1"/>
  <c r="CV61" i="32" a="1"/>
  <c r="CV61" i="32" s="1"/>
  <c r="BY59" i="32" a="1"/>
  <c r="BY59" i="32" s="1"/>
  <c r="CD59" i="32"/>
  <c r="CC59" i="32" s="1" a="1"/>
  <c r="CC59" i="32" s="1"/>
  <c r="BZ59" i="32" a="1"/>
  <c r="BZ59" i="32" s="1"/>
  <c r="CA59" i="32" a="1"/>
  <c r="CA59" i="32" s="1"/>
  <c r="CR59" i="32"/>
  <c r="AG59" i="32" s="1"/>
  <c r="CR61" i="32" l="1"/>
  <c r="AG61" i="32" s="1"/>
  <c r="BE61" i="32"/>
  <c r="Y61" i="32" s="1"/>
  <c r="BG60" i="32" a="1"/>
  <c r="BG60" i="32" s="1"/>
  <c r="N63" i="32"/>
  <c r="T63" i="32"/>
  <c r="Q63" i="32"/>
  <c r="CO60" i="32"/>
  <c r="AF60" i="32" s="1"/>
  <c r="BE60" i="32"/>
  <c r="Y60" i="32" s="1"/>
  <c r="BI60" i="32" a="1"/>
  <c r="BI60" i="32" s="1"/>
  <c r="DD59" i="32"/>
  <c r="AJ59" i="32" s="1"/>
  <c r="DA61" i="32" a="1"/>
  <c r="DA61" i="32" s="1"/>
  <c r="DD61" i="32" s="1"/>
  <c r="AJ61" i="32" s="1"/>
  <c r="DC61" i="32" a="1"/>
  <c r="DC61" i="32" s="1"/>
  <c r="CO61" i="32"/>
  <c r="AF61" i="32" s="1"/>
  <c r="BX59" i="32"/>
  <c r="AB59" i="32" s="1"/>
  <c r="CF60" i="32" a="1"/>
  <c r="CF60" i="32" s="1"/>
  <c r="CH60" i="32" a="1"/>
  <c r="CH60" i="32" s="1"/>
  <c r="CX61" i="32"/>
  <c r="AI61" i="32" s="1"/>
  <c r="BW60" i="32" a="1"/>
  <c r="BW60" i="32" s="1"/>
  <c r="BU60" i="32" a="1"/>
  <c r="BU60" i="32" s="1"/>
  <c r="BU61" i="32" a="1"/>
  <c r="BU61" i="32" s="1"/>
  <c r="BW61" i="32" a="1"/>
  <c r="BW61" i="32" s="1"/>
  <c r="AU60" i="32" a="1"/>
  <c r="AU60" i="32" s="1"/>
  <c r="AT60" i="32" a="1"/>
  <c r="AT60" i="32" s="1"/>
  <c r="AW60" i="32" a="1"/>
  <c r="AW60" i="32" s="1"/>
  <c r="BH60" i="32" a="1"/>
  <c r="BH60" i="32" s="1"/>
  <c r="BJ60" i="32" a="1"/>
  <c r="BJ60" i="32" s="1"/>
  <c r="CA60" i="32" a="1"/>
  <c r="CA60" i="32" s="1"/>
  <c r="BZ60" i="32" a="1"/>
  <c r="BZ60" i="32" s="1"/>
  <c r="BY60" i="32" a="1"/>
  <c r="BY60" i="32" s="1"/>
  <c r="CD60" i="32"/>
  <c r="CC60" i="32" s="1" a="1"/>
  <c r="CC60" i="32" s="1"/>
  <c r="CX60" i="32"/>
  <c r="AI60" i="32" s="1"/>
  <c r="AX59" i="32" a="1"/>
  <c r="AX59" i="32" s="1"/>
  <c r="W59" i="32" s="1"/>
  <c r="BF61" i="32" a="1"/>
  <c r="BF61" i="32" s="1"/>
  <c r="BN61" i="32" a="1"/>
  <c r="BN61" i="32" s="1"/>
  <c r="BM61" i="32" a="1"/>
  <c r="BM61" i="32" s="1"/>
  <c r="BK61" i="32" a="1"/>
  <c r="BK61" i="32" s="1"/>
  <c r="BO61" i="32" a="1"/>
  <c r="BO61" i="32" s="1"/>
  <c r="BQ61" i="32" a="1"/>
  <c r="BQ61" i="32" s="1"/>
  <c r="BJ61" i="32" a="1"/>
  <c r="BJ61" i="32" s="1"/>
  <c r="BI61" i="32" a="1"/>
  <c r="BI61" i="32" s="1"/>
  <c r="BH61" i="32" a="1"/>
  <c r="BH61" i="32" s="1"/>
  <c r="BL61" i="32" a="1"/>
  <c r="BL61" i="32" s="1"/>
  <c r="BG61" i="32" a="1"/>
  <c r="BG61" i="32" s="1"/>
  <c r="M64" i="32"/>
  <c r="I64" i="32" s="1"/>
  <c r="BZ61" i="32" a="1"/>
  <c r="BZ61" i="32" s="1"/>
  <c r="BY61" i="32" a="1"/>
  <c r="BY61" i="32" s="1"/>
  <c r="CA61" i="32" a="1"/>
  <c r="CA61" i="32" s="1"/>
  <c r="CD61" i="32"/>
  <c r="CC61" i="32" s="1" a="1"/>
  <c r="CC61" i="32" s="1"/>
  <c r="CE59" i="32" a="1"/>
  <c r="CE59" i="32" s="1"/>
  <c r="AC59" i="32" s="1"/>
  <c r="AM63" i="32"/>
  <c r="AN62" i="32"/>
  <c r="AO62" i="32" s="1"/>
  <c r="AP62" i="32" s="1"/>
  <c r="AQ62" i="32" s="1"/>
  <c r="AR62" i="32" s="1"/>
  <c r="AS62" i="32" s="1"/>
  <c r="CV62" i="32" s="1" a="1"/>
  <c r="CV62" i="32" s="1"/>
  <c r="AT61" i="32" a="1"/>
  <c r="AT61" i="32" s="1"/>
  <c r="AX61" i="32" s="1" a="1"/>
  <c r="AX61" i="32" s="1"/>
  <c r="W61" i="32" s="1"/>
  <c r="AU61" i="32" a="1"/>
  <c r="AU61" i="32" s="1"/>
  <c r="AW61" i="32" a="1"/>
  <c r="AW61" i="32" s="1"/>
  <c r="CZ60" i="32" a="1"/>
  <c r="CZ60" i="32" s="1"/>
  <c r="DA60" i="32" a="1"/>
  <c r="DA60" i="32" s="1"/>
  <c r="DC60" i="32" a="1"/>
  <c r="DC60" i="32" s="1"/>
  <c r="CY60" i="32" a="1"/>
  <c r="CY60" i="32" s="1"/>
  <c r="CH61" i="32" a="1"/>
  <c r="CH61" i="32" s="1"/>
  <c r="CF61" i="32" a="1"/>
  <c r="CF61" i="32" s="1"/>
  <c r="BR59" i="32" a="1"/>
  <c r="BR59" i="32" s="1"/>
  <c r="Z59" i="32" s="1"/>
  <c r="AX60" i="32" l="1" a="1"/>
  <c r="AX60" i="32" s="1"/>
  <c r="W60" i="32" s="1"/>
  <c r="CI60" i="32"/>
  <c r="AD60" i="32" s="1"/>
  <c r="CI61" i="32"/>
  <c r="AD61" i="32" s="1"/>
  <c r="BX60" i="32"/>
  <c r="AB60" i="32" s="1"/>
  <c r="BX61" i="32"/>
  <c r="AB61" i="32" s="1"/>
  <c r="BR60" i="32" a="1"/>
  <c r="BR60" i="32" s="1"/>
  <c r="Z60" i="32" s="1"/>
  <c r="CP62" i="32" a="1"/>
  <c r="CP62" i="32" s="1"/>
  <c r="CE60" i="32" a="1"/>
  <c r="CE60" i="32" s="1"/>
  <c r="AC60" i="32" s="1"/>
  <c r="AY62" i="32" a="1"/>
  <c r="AY62" i="32" s="1"/>
  <c r="AZ62" i="32" a="1"/>
  <c r="AZ62" i="32" s="1"/>
  <c r="BV62" i="32"/>
  <c r="CK62" i="32" a="1"/>
  <c r="CK62" i="32" s="1"/>
  <c r="CT62" i="32" a="1"/>
  <c r="CT62" i="32" s="1"/>
  <c r="CW62" i="32" a="1"/>
  <c r="CW62" i="32" s="1"/>
  <c r="CX62" i="32" s="1"/>
  <c r="AI62" i="32" s="1"/>
  <c r="BB62" i="32" a="1"/>
  <c r="BB62" i="32" s="1"/>
  <c r="BP62" i="32"/>
  <c r="BH62" i="32" s="1" a="1"/>
  <c r="BH62" i="32" s="1"/>
  <c r="DB62" i="32"/>
  <c r="CZ62" i="32" s="1" a="1"/>
  <c r="CZ62" i="32" s="1"/>
  <c r="AV62" i="32"/>
  <c r="CJ62" i="32" a="1"/>
  <c r="CJ62" i="32" s="1"/>
  <c r="BS62" i="32" a="1"/>
  <c r="BS62" i="32" s="1"/>
  <c r="BT62" i="32" s="1"/>
  <c r="AA62" i="32" s="1"/>
  <c r="CM62" i="32" a="1"/>
  <c r="CM62" i="32" s="1"/>
  <c r="CB62" i="32"/>
  <c r="CG62" i="32"/>
  <c r="G64" i="32"/>
  <c r="O64" i="32" s="1"/>
  <c r="DD60" i="32"/>
  <c r="AJ60" i="32" s="1"/>
  <c r="BD62" i="32"/>
  <c r="BC62" i="32" s="1" a="1"/>
  <c r="BC62" i="32" s="1"/>
  <c r="CQ62" i="32" a="1"/>
  <c r="CQ62" i="32" s="1"/>
  <c r="H64" i="32"/>
  <c r="E65" i="32" s="1" a="1"/>
  <c r="E65" i="32" s="1"/>
  <c r="F65" i="32" s="1" a="1"/>
  <c r="F65" i="32" s="1"/>
  <c r="CS62" i="32" a="1"/>
  <c r="CS62" i="32" s="1"/>
  <c r="CN62" i="32" a="1"/>
  <c r="CN62" i="32" s="1"/>
  <c r="BM62" i="32" a="1"/>
  <c r="BM62" i="32" s="1"/>
  <c r="AN63" i="32"/>
  <c r="AO63" i="32" s="1"/>
  <c r="AP63" i="32" s="1"/>
  <c r="AQ63" i="32" s="1"/>
  <c r="AR63" i="32" s="1"/>
  <c r="AS63" i="32" s="1"/>
  <c r="BP63" i="32" s="1"/>
  <c r="BR61" i="32" a="1"/>
  <c r="BR61" i="32" s="1"/>
  <c r="Z61" i="32" s="1"/>
  <c r="CE61" i="32" a="1"/>
  <c r="CE61" i="32" s="1"/>
  <c r="AC61" i="32" s="1"/>
  <c r="AK59" i="32"/>
  <c r="U59" i="32"/>
  <c r="V59" i="32"/>
  <c r="BF62" i="32" l="1" a="1"/>
  <c r="BF62" i="32" s="1"/>
  <c r="BO62" i="32" a="1"/>
  <c r="BO62" i="32" s="1"/>
  <c r="CR62" i="32"/>
  <c r="AG62" i="32" s="1"/>
  <c r="CQ63" i="32" a="1"/>
  <c r="CQ63" i="32" s="1"/>
  <c r="CO62" i="32"/>
  <c r="AF62" i="32" s="1"/>
  <c r="BB63" i="32" a="1"/>
  <c r="BB63" i="32" s="1"/>
  <c r="BI62" i="32" a="1"/>
  <c r="BI62" i="32" s="1"/>
  <c r="CL62" i="32"/>
  <c r="AE62" i="32" s="1"/>
  <c r="U60" i="32"/>
  <c r="BO63" i="32" a="1"/>
  <c r="BO63" i="32" s="1"/>
  <c r="BM63" i="32" a="1"/>
  <c r="BM63" i="32" s="1"/>
  <c r="BJ63" i="32" a="1"/>
  <c r="BJ63" i="32" s="1"/>
  <c r="BI63" i="32" a="1"/>
  <c r="BI63" i="32" s="1"/>
  <c r="CB63" i="32"/>
  <c r="CD63" i="32" s="1"/>
  <c r="CC63" i="32" s="1" a="1"/>
  <c r="CC63" i="32" s="1"/>
  <c r="BV63" i="32"/>
  <c r="CT63" i="32" a="1"/>
  <c r="CT63" i="32" s="1"/>
  <c r="CV63" i="32" a="1"/>
  <c r="CV63" i="32" s="1"/>
  <c r="DB63" i="32"/>
  <c r="DA63" i="32" s="1" a="1"/>
  <c r="DA63" i="32" s="1"/>
  <c r="AV63" i="32"/>
  <c r="AW63" i="32" s="1" a="1"/>
  <c r="AW63" i="32" s="1"/>
  <c r="BS63" i="32" a="1"/>
  <c r="BS63" i="32" s="1"/>
  <c r="BT63" i="32" s="1"/>
  <c r="AA63" i="32" s="1"/>
  <c r="CN63" i="32" a="1"/>
  <c r="CN63" i="32" s="1"/>
  <c r="CM63" i="32" a="1"/>
  <c r="CM63" i="32" s="1"/>
  <c r="CO63" i="32" s="1"/>
  <c r="AF63" i="32" s="1"/>
  <c r="AT62" i="32" a="1"/>
  <c r="AT62" i="32" s="1"/>
  <c r="AX62" i="32" s="1" a="1"/>
  <c r="AX62" i="32" s="1"/>
  <c r="W62" i="32" s="1"/>
  <c r="AU62" i="32" a="1"/>
  <c r="AU62" i="32" s="1"/>
  <c r="AW62" i="32" a="1"/>
  <c r="AW62" i="32" s="1"/>
  <c r="CJ63" i="32" a="1"/>
  <c r="CJ63" i="32" s="1"/>
  <c r="DA62" i="32" a="1"/>
  <c r="DA62" i="32" s="1"/>
  <c r="CY62" i="32" a="1"/>
  <c r="CY62" i="32" s="1"/>
  <c r="DC62" i="32" a="1"/>
  <c r="DC62" i="32" s="1"/>
  <c r="CU62" i="32"/>
  <c r="AH62" i="32" s="1"/>
  <c r="BN62" i="32" a="1"/>
  <c r="BN62" i="32" s="1"/>
  <c r="BK62" i="32" a="1"/>
  <c r="BK62" i="32" s="1"/>
  <c r="BL62" i="32" a="1"/>
  <c r="BL62" i="32" s="1"/>
  <c r="BQ62" i="32" a="1"/>
  <c r="BQ62" i="32" s="1"/>
  <c r="BJ62" i="32" a="1"/>
  <c r="BJ62" i="32" s="1"/>
  <c r="BG62" i="32" a="1"/>
  <c r="BG62" i="32" s="1"/>
  <c r="CS63" i="32" a="1"/>
  <c r="CS63" i="32" s="1"/>
  <c r="AY63" i="32" a="1"/>
  <c r="AY63" i="32" s="1"/>
  <c r="BE62" i="32"/>
  <c r="Y62" i="32" s="1"/>
  <c r="CG63" i="32"/>
  <c r="CP63" i="32" a="1"/>
  <c r="CP63" i="32" s="1"/>
  <c r="CR63" i="32" s="1"/>
  <c r="AG63" i="32" s="1"/>
  <c r="BU62" i="32" a="1"/>
  <c r="BU62" i="32" s="1"/>
  <c r="BW62" i="32" a="1"/>
  <c r="BW62" i="32" s="1"/>
  <c r="BA62" i="32"/>
  <c r="X62" i="32" s="1"/>
  <c r="CK63" i="32" a="1"/>
  <c r="CK63" i="32" s="1"/>
  <c r="AZ63" i="32" a="1"/>
  <c r="AZ63" i="32" s="1"/>
  <c r="U61" i="32"/>
  <c r="BL63" i="32" a="1"/>
  <c r="BL63" i="32" s="1"/>
  <c r="BK63" i="32" a="1"/>
  <c r="BK63" i="32" s="1"/>
  <c r="M65" i="32"/>
  <c r="H65" i="32" s="1"/>
  <c r="E66" i="32" s="1" a="1"/>
  <c r="E66" i="32" s="1"/>
  <c r="F66" i="32" s="1" a="1"/>
  <c r="F66" i="32" s="1"/>
  <c r="BN63" i="32" a="1"/>
  <c r="BN63" i="32" s="1"/>
  <c r="Q64" i="32"/>
  <c r="P64" i="32"/>
  <c r="N64" i="32"/>
  <c r="T64" i="32"/>
  <c r="CH62" i="32" a="1"/>
  <c r="CH62" i="32" s="1"/>
  <c r="CF62" i="32" a="1"/>
  <c r="CF62" i="32" s="1"/>
  <c r="BF63" i="32" a="1"/>
  <c r="BF63" i="32" s="1"/>
  <c r="BQ63" i="32" a="1"/>
  <c r="BQ63" i="32" s="1"/>
  <c r="BZ62" i="32" a="1"/>
  <c r="BZ62" i="32" s="1"/>
  <c r="BY62" i="32" a="1"/>
  <c r="BY62" i="32" s="1"/>
  <c r="CD62" i="32"/>
  <c r="CC62" i="32" s="1" a="1"/>
  <c r="CC62" i="32" s="1"/>
  <c r="CA62" i="32" a="1"/>
  <c r="CA62" i="32" s="1"/>
  <c r="BG63" i="32" a="1"/>
  <c r="BG63" i="32" s="1"/>
  <c r="V61" i="32"/>
  <c r="V60" i="32"/>
  <c r="AK61" i="32"/>
  <c r="BH63" i="32" a="1"/>
  <c r="BH63" i="32" s="1"/>
  <c r="CW63" i="32" a="1"/>
  <c r="CW63" i="32" s="1"/>
  <c r="BD63" i="32"/>
  <c r="BC63" i="32" s="1" a="1"/>
  <c r="BC63" i="32" s="1"/>
  <c r="BE63" i="32" s="1"/>
  <c r="Y63" i="32" s="1"/>
  <c r="AK60" i="32"/>
  <c r="DD62" i="32" l="1"/>
  <c r="AJ62" i="32" s="1"/>
  <c r="DC63" i="32" a="1"/>
  <c r="DC63" i="32" s="1"/>
  <c r="I65" i="32"/>
  <c r="CX63" i="32"/>
  <c r="AI63" i="32" s="1"/>
  <c r="BZ63" i="32" a="1"/>
  <c r="BZ63" i="32" s="1"/>
  <c r="CA63" i="32" a="1"/>
  <c r="CA63" i="32" s="1"/>
  <c r="BY63" i="32" a="1"/>
  <c r="BY63" i="32" s="1"/>
  <c r="CY63" i="32" a="1"/>
  <c r="CY63" i="32" s="1"/>
  <c r="AT63" i="32" a="1"/>
  <c r="AT63" i="32" s="1"/>
  <c r="CI62" i="32"/>
  <c r="AD62" i="32" s="1"/>
  <c r="CZ63" i="32" a="1"/>
  <c r="CZ63" i="32" s="1"/>
  <c r="AU63" i="32" a="1"/>
  <c r="AU63" i="32" s="1"/>
  <c r="BR62" i="32" a="1"/>
  <c r="BR62" i="32" s="1"/>
  <c r="Z62" i="32" s="1"/>
  <c r="CH63" i="32" a="1"/>
  <c r="CH63" i="32" s="1"/>
  <c r="CF63" i="32" a="1"/>
  <c r="CF63" i="32" s="1"/>
  <c r="BA63" i="32"/>
  <c r="X63" i="32" s="1"/>
  <c r="CU63" i="32"/>
  <c r="AH63" i="32" s="1"/>
  <c r="BU63" i="32" a="1"/>
  <c r="BU63" i="32" s="1"/>
  <c r="BW63" i="32" a="1"/>
  <c r="BW63" i="32" s="1"/>
  <c r="BX62" i="32"/>
  <c r="AB62" i="32" s="1"/>
  <c r="CL63" i="32"/>
  <c r="AE63" i="32" s="1"/>
  <c r="M66" i="32"/>
  <c r="H66" i="32" s="1"/>
  <c r="E67" i="32" s="1" a="1"/>
  <c r="E67" i="32" s="1"/>
  <c r="F67" i="32" s="1" a="1"/>
  <c r="F67" i="32" s="1"/>
  <c r="BR63" i="32" a="1"/>
  <c r="BR63" i="32" s="1"/>
  <c r="Z63" i="32" s="1"/>
  <c r="CE62" i="32" a="1"/>
  <c r="CE62" i="32" s="1"/>
  <c r="AC62" i="32" s="1"/>
  <c r="G65" i="32"/>
  <c r="O65" i="32" s="1"/>
  <c r="AM64" i="32"/>
  <c r="CI63" i="32" l="1"/>
  <c r="AD63" i="32" s="1"/>
  <c r="CE63" i="32" a="1"/>
  <c r="CE63" i="32" s="1"/>
  <c r="AC63" i="32" s="1"/>
  <c r="DD63" i="32"/>
  <c r="AJ63" i="32" s="1"/>
  <c r="AX63" i="32" a="1"/>
  <c r="AX63" i="32" s="1"/>
  <c r="W63" i="32" s="1"/>
  <c r="BX63" i="32"/>
  <c r="AB63" i="32" s="1"/>
  <c r="G66" i="32"/>
  <c r="O66" i="32" s="1"/>
  <c r="T66" i="32" s="1"/>
  <c r="M67" i="32"/>
  <c r="G67" i="32" s="1"/>
  <c r="O67" i="32" s="1"/>
  <c r="AN64" i="32"/>
  <c r="AO64" i="32" s="1"/>
  <c r="AP64" i="32" s="1"/>
  <c r="AQ64" i="32" s="1"/>
  <c r="AR64" i="32" s="1"/>
  <c r="AS64" i="32" s="1"/>
  <c r="AV64" i="32" s="1"/>
  <c r="N65" i="32"/>
  <c r="T65" i="32"/>
  <c r="Q65" i="32"/>
  <c r="P65" i="32"/>
  <c r="V62" i="32"/>
  <c r="AK62" i="32"/>
  <c r="I66" i="32"/>
  <c r="U62" i="32"/>
  <c r="P66" i="32" l="1"/>
  <c r="V63" i="32"/>
  <c r="U63" i="32"/>
  <c r="AK63" i="32"/>
  <c r="N66" i="32"/>
  <c r="Q66" i="32"/>
  <c r="BD64" i="32"/>
  <c r="BC64" i="32" s="1" a="1"/>
  <c r="BC64" i="32" s="1"/>
  <c r="CT64" i="32" a="1"/>
  <c r="CT64" i="32" s="1"/>
  <c r="CK64" i="32" a="1"/>
  <c r="CK64" i="32" s="1"/>
  <c r="AY64" i="32" a="1"/>
  <c r="AY64" i="32" s="1"/>
  <c r="AW64" i="32" a="1"/>
  <c r="AW64" i="32" s="1"/>
  <c r="AT64" i="32" a="1"/>
  <c r="AT64" i="32" s="1"/>
  <c r="AU64" i="32" a="1"/>
  <c r="AU64" i="32" s="1"/>
  <c r="T67" i="32"/>
  <c r="P67" i="32"/>
  <c r="N67" i="32"/>
  <c r="Q67" i="32"/>
  <c r="AM66" i="32"/>
  <c r="CW64" i="32" a="1"/>
  <c r="CW64" i="32" s="1"/>
  <c r="CP64" i="32" a="1"/>
  <c r="CP64" i="32" s="1"/>
  <c r="CB64" i="32"/>
  <c r="CV64" i="32" a="1"/>
  <c r="CV64" i="32" s="1"/>
  <c r="CM64" i="32" a="1"/>
  <c r="CM64" i="32" s="1"/>
  <c r="BS64" i="32" a="1"/>
  <c r="BS64" i="32" s="1"/>
  <c r="BT64" i="32" s="1"/>
  <c r="AA64" i="32" s="1"/>
  <c r="BP64" i="32"/>
  <c r="AM65" i="32"/>
  <c r="CS64" i="32" a="1"/>
  <c r="CS64" i="32" s="1"/>
  <c r="CJ64" i="32" a="1"/>
  <c r="CJ64" i="32" s="1"/>
  <c r="BB64" i="32" a="1"/>
  <c r="BB64" i="32" s="1"/>
  <c r="CQ64" i="32" a="1"/>
  <c r="CQ64" i="32" s="1"/>
  <c r="AZ64" i="32" a="1"/>
  <c r="AZ64" i="32" s="1"/>
  <c r="CN64" i="32" a="1"/>
  <c r="CN64" i="32" s="1"/>
  <c r="BV64" i="32"/>
  <c r="H67" i="32"/>
  <c r="E68" i="32" s="1" a="1"/>
  <c r="E68" i="32" s="1"/>
  <c r="F68" i="32" s="1" a="1"/>
  <c r="F68" i="32" s="1"/>
  <c r="CG64" i="32"/>
  <c r="I67" i="32"/>
  <c r="DB64" i="32"/>
  <c r="AX64" i="32" l="1" a="1"/>
  <c r="AX64" i="32" s="1"/>
  <c r="W64" i="32" s="1"/>
  <c r="BE64" i="32"/>
  <c r="Y64" i="32" s="1"/>
  <c r="CL64" i="32"/>
  <c r="AE64" i="32" s="1"/>
  <c r="CX64" i="32"/>
  <c r="AI64" i="32" s="1"/>
  <c r="CR64" i="32"/>
  <c r="AG64" i="32" s="1"/>
  <c r="CU64" i="32"/>
  <c r="AH64" i="32" s="1"/>
  <c r="CO64" i="32"/>
  <c r="AF64" i="32" s="1"/>
  <c r="BA64" i="32"/>
  <c r="X64" i="32" s="1"/>
  <c r="BY64" i="32" a="1"/>
  <c r="BY64" i="32" s="1"/>
  <c r="BZ64" i="32" a="1"/>
  <c r="BZ64" i="32" s="1"/>
  <c r="CA64" i="32" a="1"/>
  <c r="CA64" i="32" s="1"/>
  <c r="CD64" i="32"/>
  <c r="CC64" i="32" s="1" a="1"/>
  <c r="CC64" i="32" s="1"/>
  <c r="M68" i="32"/>
  <c r="H68" i="32" s="1"/>
  <c r="E69" i="32" s="1" a="1"/>
  <c r="E69" i="32" s="1"/>
  <c r="F69" i="32" s="1" a="1"/>
  <c r="F69" i="32" s="1"/>
  <c r="BU64" i="32" a="1"/>
  <c r="BU64" i="32" s="1"/>
  <c r="BW64" i="32" a="1"/>
  <c r="BW64" i="32" s="1"/>
  <c r="CZ64" i="32" a="1"/>
  <c r="CZ64" i="32" s="1"/>
  <c r="DC64" i="32" a="1"/>
  <c r="DC64" i="32" s="1"/>
  <c r="CY64" i="32" a="1"/>
  <c r="CY64" i="32" s="1"/>
  <c r="DA64" i="32" a="1"/>
  <c r="DA64" i="32" s="1"/>
  <c r="CF64" i="32" a="1"/>
  <c r="CF64" i="32" s="1"/>
  <c r="CH64" i="32" a="1"/>
  <c r="CH64" i="32" s="1"/>
  <c r="AN65" i="32"/>
  <c r="AO65" i="32" s="1"/>
  <c r="AP65" i="32" s="1"/>
  <c r="AQ65" i="32" s="1"/>
  <c r="AR65" i="32" s="1"/>
  <c r="AS65" i="32" s="1"/>
  <c r="CP65" i="32" s="1" a="1"/>
  <c r="CP65" i="32" s="1"/>
  <c r="AM67" i="32"/>
  <c r="BM64" i="32" a="1"/>
  <c r="BM64" i="32" s="1"/>
  <c r="BG64" i="32" a="1"/>
  <c r="BG64" i="32" s="1"/>
  <c r="BF64" i="32" a="1"/>
  <c r="BF64" i="32" s="1"/>
  <c r="BL64" i="32" a="1"/>
  <c r="BL64" i="32" s="1"/>
  <c r="BQ64" i="32" a="1"/>
  <c r="BQ64" i="32" s="1"/>
  <c r="BH64" i="32" a="1"/>
  <c r="BH64" i="32" s="1"/>
  <c r="BO64" i="32" a="1"/>
  <c r="BO64" i="32" s="1"/>
  <c r="BK64" i="32" a="1"/>
  <c r="BK64" i="32" s="1"/>
  <c r="BI64" i="32" a="1"/>
  <c r="BI64" i="32" s="1"/>
  <c r="BJ64" i="32" a="1"/>
  <c r="BJ64" i="32" s="1"/>
  <c r="BN64" i="32" a="1"/>
  <c r="BN64" i="32" s="1"/>
  <c r="AN66" i="32"/>
  <c r="AO66" i="32" s="1"/>
  <c r="AP66" i="32" s="1"/>
  <c r="AQ66" i="32" s="1"/>
  <c r="AR66" i="32" s="1"/>
  <c r="AS66" i="32" s="1"/>
  <c r="BV66" i="32" s="1"/>
  <c r="BX64" i="32" l="1"/>
  <c r="AB64" i="32" s="1"/>
  <c r="CI64" i="32"/>
  <c r="AD64" i="32" s="1"/>
  <c r="AY65" i="32" a="1"/>
  <c r="AY65" i="32" s="1"/>
  <c r="BA65" i="32" s="1"/>
  <c r="X65" i="32" s="1"/>
  <c r="AZ65" i="32" a="1"/>
  <c r="AZ65" i="32" s="1"/>
  <c r="BP65" i="32"/>
  <c r="DB65" i="32"/>
  <c r="DC65" i="32" s="1" a="1"/>
  <c r="DC65" i="32" s="1"/>
  <c r="BS65" i="32" a="1"/>
  <c r="BS65" i="32" s="1"/>
  <c r="BT65" i="32" s="1"/>
  <c r="AA65" i="32" s="1"/>
  <c r="CK66" i="32" a="1"/>
  <c r="CK66" i="32" s="1"/>
  <c r="CV66" i="32" a="1"/>
  <c r="CV66" i="32" s="1"/>
  <c r="CB65" i="32"/>
  <c r="BZ65" i="32" s="1" a="1"/>
  <c r="BZ65" i="32" s="1"/>
  <c r="DD64" i="32"/>
  <c r="AJ64" i="32" s="1"/>
  <c r="BS66" i="32" a="1"/>
  <c r="BS66" i="32" s="1"/>
  <c r="BT66" i="32" s="1"/>
  <c r="AA66" i="32" s="1"/>
  <c r="CB66" i="32"/>
  <c r="BV65" i="32"/>
  <c r="CG66" i="32"/>
  <c r="CF66" i="32" s="1" a="1"/>
  <c r="CF66" i="32" s="1"/>
  <c r="CJ66" i="32" a="1"/>
  <c r="CJ66" i="32" s="1"/>
  <c r="CN66" i="32" a="1"/>
  <c r="CN66" i="32" s="1"/>
  <c r="BB65" i="32" a="1"/>
  <c r="BB65" i="32" s="1"/>
  <c r="CG65" i="32"/>
  <c r="CH65" i="32" s="1" a="1"/>
  <c r="CH65" i="32" s="1"/>
  <c r="CM66" i="32" a="1"/>
  <c r="CM66" i="32" s="1"/>
  <c r="AV66" i="32"/>
  <c r="CQ66" i="32" a="1"/>
  <c r="CQ66" i="32" s="1"/>
  <c r="CP66" i="32" a="1"/>
  <c r="CP66" i="32" s="1"/>
  <c r="CW65" i="32" a="1"/>
  <c r="CW65" i="32" s="1"/>
  <c r="CT65" i="32" a="1"/>
  <c r="CT65" i="32" s="1"/>
  <c r="AZ66" i="32" a="1"/>
  <c r="AZ66" i="32" s="1"/>
  <c r="BB66" i="32" a="1"/>
  <c r="BB66" i="32" s="1"/>
  <c r="CM65" i="32" a="1"/>
  <c r="CM65" i="32" s="1"/>
  <c r="BU66" i="32" a="1"/>
  <c r="BU66" i="32" s="1"/>
  <c r="BW66" i="32" a="1"/>
  <c r="BW66" i="32" s="1"/>
  <c r="M69" i="32"/>
  <c r="I69" i="32" s="1"/>
  <c r="BH65" i="32" a="1"/>
  <c r="BH65" i="32" s="1"/>
  <c r="CT66" i="32" a="1"/>
  <c r="CT66" i="32" s="1"/>
  <c r="BP66" i="32"/>
  <c r="CK65" i="32" a="1"/>
  <c r="CK65" i="32" s="1"/>
  <c r="CQ65" i="32" a="1"/>
  <c r="CQ65" i="32" s="1"/>
  <c r="CR65" i="32" s="1"/>
  <c r="AG65" i="32" s="1"/>
  <c r="CN65" i="32" a="1"/>
  <c r="CN65" i="32" s="1"/>
  <c r="AY66" i="32" a="1"/>
  <c r="AY66" i="32" s="1"/>
  <c r="DB66" i="32"/>
  <c r="BD66" i="32"/>
  <c r="BC66" i="32" s="1" a="1"/>
  <c r="BC66" i="32" s="1"/>
  <c r="BR64" i="32" a="1"/>
  <c r="BR64" i="32" s="1"/>
  <c r="Z64" i="32" s="1"/>
  <c r="BD65" i="32"/>
  <c r="BC65" i="32" s="1" a="1"/>
  <c r="BC65" i="32" s="1"/>
  <c r="CY65" i="32" a="1"/>
  <c r="CY65" i="32" s="1"/>
  <c r="I68" i="32"/>
  <c r="BK65" i="32" a="1"/>
  <c r="BK65" i="32" s="1"/>
  <c r="BM65" i="32" a="1"/>
  <c r="BM65" i="32" s="1"/>
  <c r="G68" i="32"/>
  <c r="O68" i="32" s="1"/>
  <c r="CJ65" i="32" a="1"/>
  <c r="CJ65" i="32" s="1"/>
  <c r="CV65" i="32" a="1"/>
  <c r="CV65" i="32" s="1"/>
  <c r="CS66" i="32" a="1"/>
  <c r="CS66" i="32" s="1"/>
  <c r="AV65" i="32"/>
  <c r="CS65" i="32" a="1"/>
  <c r="CS65" i="32" s="1"/>
  <c r="CW66" i="32" a="1"/>
  <c r="CW66" i="32" s="1"/>
  <c r="AN67" i="32"/>
  <c r="AO67" i="32" s="1"/>
  <c r="AP67" i="32" s="1"/>
  <c r="AQ67" i="32" s="1"/>
  <c r="AR67" i="32" s="1"/>
  <c r="AS67" i="32" s="1"/>
  <c r="DB67" i="32" s="1"/>
  <c r="CE64" i="32" a="1"/>
  <c r="CE64" i="32" s="1"/>
  <c r="AC64" i="32" s="1"/>
  <c r="CR66" i="32" l="1"/>
  <c r="AG66" i="32" s="1"/>
  <c r="BX66" i="32"/>
  <c r="AB66" i="32" s="1"/>
  <c r="BA66" i="32"/>
  <c r="X66" i="32" s="1"/>
  <c r="CH66" i="32" a="1"/>
  <c r="CH66" i="32" s="1"/>
  <c r="CI66" i="32" s="1"/>
  <c r="AD66" i="32" s="1"/>
  <c r="CX65" i="32"/>
  <c r="AI65" i="32" s="1"/>
  <c r="CL65" i="32"/>
  <c r="AE65" i="32" s="1"/>
  <c r="CO65" i="32"/>
  <c r="AF65" i="32" s="1"/>
  <c r="CX66" i="32"/>
  <c r="AI66" i="32" s="1"/>
  <c r="BE66" i="32"/>
  <c r="Y66" i="32" s="1"/>
  <c r="CD65" i="32"/>
  <c r="CC65" i="32" s="1" a="1"/>
  <c r="CC65" i="32" s="1"/>
  <c r="BY65" i="32" a="1"/>
  <c r="BY65" i="32" s="1"/>
  <c r="CA65" i="32" a="1"/>
  <c r="CA65" i="32" s="1"/>
  <c r="CL66" i="32"/>
  <c r="AE66" i="32" s="1"/>
  <c r="BE65" i="32"/>
  <c r="Y65" i="32" s="1"/>
  <c r="G69" i="32"/>
  <c r="O69" i="32" s="1"/>
  <c r="T69" i="32" s="1"/>
  <c r="CU66" i="32"/>
  <c r="AH66" i="32" s="1"/>
  <c r="BD67" i="32"/>
  <c r="BC67" i="32" s="1" a="1"/>
  <c r="BC67" i="32" s="1"/>
  <c r="BV67" i="32"/>
  <c r="BW67" i="32" s="1" a="1"/>
  <c r="BW67" i="32" s="1"/>
  <c r="CW67" i="32" a="1"/>
  <c r="CW67" i="32" s="1"/>
  <c r="CU65" i="32"/>
  <c r="AH65" i="32" s="1"/>
  <c r="BW65" i="32" a="1"/>
  <c r="BW65" i="32" s="1"/>
  <c r="BU65" i="32" a="1"/>
  <c r="BU65" i="32" s="1"/>
  <c r="CM67" i="32" a="1"/>
  <c r="CM67" i="32" s="1"/>
  <c r="CF65" i="32" a="1"/>
  <c r="CF65" i="32" s="1"/>
  <c r="CI65" i="32" s="1"/>
  <c r="AD65" i="32" s="1"/>
  <c r="BY66" i="32" a="1"/>
  <c r="BY66" i="32" s="1"/>
  <c r="CA66" i="32" a="1"/>
  <c r="CA66" i="32" s="1"/>
  <c r="CD66" i="32"/>
  <c r="CC66" i="32" s="1" a="1"/>
  <c r="CC66" i="32" s="1"/>
  <c r="BZ66" i="32" a="1"/>
  <c r="BZ66" i="32" s="1"/>
  <c r="CZ65" i="32" a="1"/>
  <c r="CZ65" i="32" s="1"/>
  <c r="DA65" i="32" a="1"/>
  <c r="DA65" i="32" s="1"/>
  <c r="AU66" i="32" a="1"/>
  <c r="AU66" i="32" s="1"/>
  <c r="AW66" i="32" a="1"/>
  <c r="AW66" i="32" s="1"/>
  <c r="AT66" i="32" a="1"/>
  <c r="AT66" i="32" s="1"/>
  <c r="BF65" i="32" a="1"/>
  <c r="BF65" i="32" s="1"/>
  <c r="BQ65" i="32" a="1"/>
  <c r="BQ65" i="32" s="1"/>
  <c r="BO65" i="32" a="1"/>
  <c r="BO65" i="32" s="1"/>
  <c r="BI65" i="32" a="1"/>
  <c r="BI65" i="32" s="1"/>
  <c r="BJ65" i="32" a="1"/>
  <c r="BJ65" i="32" s="1"/>
  <c r="BN65" i="32" a="1"/>
  <c r="BN65" i="32" s="1"/>
  <c r="BG65" i="32" a="1"/>
  <c r="BG65" i="32" s="1"/>
  <c r="BL65" i="32" a="1"/>
  <c r="BL65" i="32" s="1"/>
  <c r="CO66" i="32"/>
  <c r="AF66" i="32" s="1"/>
  <c r="DA67" i="32" a="1"/>
  <c r="DA67" i="32" s="1"/>
  <c r="CY67" i="32" a="1"/>
  <c r="CY67" i="32" s="1"/>
  <c r="DC67" i="32" a="1"/>
  <c r="DC67" i="32" s="1"/>
  <c r="CZ67" i="32" a="1"/>
  <c r="CZ67" i="32" s="1"/>
  <c r="CT67" i="32" a="1"/>
  <c r="CT67" i="32" s="1"/>
  <c r="CZ66" i="32" a="1"/>
  <c r="CZ66" i="32" s="1"/>
  <c r="DC66" i="32" a="1"/>
  <c r="DC66" i="32" s="1"/>
  <c r="DA66" i="32" a="1"/>
  <c r="DA66" i="32" s="1"/>
  <c r="CY66" i="32" a="1"/>
  <c r="CY66" i="32" s="1"/>
  <c r="BB67" i="32" a="1"/>
  <c r="BB67" i="32" s="1"/>
  <c r="CG67" i="32"/>
  <c r="CJ67" i="32" a="1"/>
  <c r="CJ67" i="32" s="1"/>
  <c r="AV67" i="32"/>
  <c r="AZ67" i="32" a="1"/>
  <c r="AZ67" i="32" s="1"/>
  <c r="CB67" i="32"/>
  <c r="AU65" i="32" a="1"/>
  <c r="AU65" i="32" s="1"/>
  <c r="AW65" i="32" a="1"/>
  <c r="AW65" i="32" s="1"/>
  <c r="AT65" i="32" a="1"/>
  <c r="AT65" i="32" s="1"/>
  <c r="H69" i="32"/>
  <c r="E70" i="32" s="1" a="1"/>
  <c r="E70" i="32" s="1"/>
  <c r="F70" i="32" s="1" a="1"/>
  <c r="F70" i="32" s="1"/>
  <c r="CQ67" i="32" a="1"/>
  <c r="CQ67" i="32" s="1"/>
  <c r="CN67" i="32" a="1"/>
  <c r="CN67" i="32" s="1"/>
  <c r="CK67" i="32" a="1"/>
  <c r="CK67" i="32" s="1"/>
  <c r="Q68" i="32"/>
  <c r="T68" i="32"/>
  <c r="P68" i="32"/>
  <c r="N68" i="32"/>
  <c r="CS67" i="32" a="1"/>
  <c r="CS67" i="32" s="1"/>
  <c r="BP67" i="32"/>
  <c r="CV67" i="32" a="1"/>
  <c r="CV67" i="32" s="1"/>
  <c r="BI66" i="32" a="1"/>
  <c r="BI66" i="32" s="1"/>
  <c r="BK66" i="32" a="1"/>
  <c r="BK66" i="32" s="1"/>
  <c r="BO66" i="32" a="1"/>
  <c r="BO66" i="32" s="1"/>
  <c r="BL66" i="32" a="1"/>
  <c r="BL66" i="32" s="1"/>
  <c r="BM66" i="32" a="1"/>
  <c r="BM66" i="32" s="1"/>
  <c r="BH66" i="32" a="1"/>
  <c r="BH66" i="32" s="1"/>
  <c r="BN66" i="32" a="1"/>
  <c r="BN66" i="32" s="1"/>
  <c r="BJ66" i="32" a="1"/>
  <c r="BJ66" i="32" s="1"/>
  <c r="BG66" i="32" a="1"/>
  <c r="BG66" i="32" s="1"/>
  <c r="BF66" i="32" a="1"/>
  <c r="BF66" i="32" s="1"/>
  <c r="BQ66" i="32" a="1"/>
  <c r="BQ66" i="32" s="1"/>
  <c r="BS67" i="32" a="1"/>
  <c r="BS67" i="32" s="1"/>
  <c r="BT67" i="32" s="1"/>
  <c r="AA67" i="32" s="1"/>
  <c r="CP67" i="32" a="1"/>
  <c r="CP67" i="32" s="1"/>
  <c r="AY67" i="32" a="1"/>
  <c r="AY67" i="32" s="1"/>
  <c r="V64" i="32"/>
  <c r="U64" i="32"/>
  <c r="AK64" i="32"/>
  <c r="P69" i="32" l="1"/>
  <c r="N69" i="32"/>
  <c r="BU67" i="32" a="1"/>
  <c r="BU67" i="32" s="1"/>
  <c r="BX67" i="32" s="1"/>
  <c r="AB67" i="32" s="1"/>
  <c r="CX67" i="32"/>
  <c r="AI67" i="32" s="1"/>
  <c r="BX65" i="32"/>
  <c r="AB65" i="32" s="1"/>
  <c r="DD65" i="32"/>
  <c r="AJ65" i="32" s="1"/>
  <c r="AX65" i="32" a="1"/>
  <c r="AX65" i="32" s="1"/>
  <c r="W65" i="32" s="1"/>
  <c r="AX66" i="32" a="1"/>
  <c r="AX66" i="32" s="1"/>
  <c r="W66" i="32" s="1"/>
  <c r="Q69" i="32"/>
  <c r="CO67" i="32"/>
  <c r="AF67" i="32" s="1"/>
  <c r="BE67" i="32"/>
  <c r="Y67" i="32" s="1"/>
  <c r="CE65" i="32" a="1"/>
  <c r="CE65" i="32" s="1"/>
  <c r="AC65" i="32" s="1"/>
  <c r="BA67" i="32"/>
  <c r="X67" i="32" s="1"/>
  <c r="BR65" i="32" a="1"/>
  <c r="BR65" i="32" s="1"/>
  <c r="Z65" i="32" s="1"/>
  <c r="CL67" i="32"/>
  <c r="AE67" i="32" s="1"/>
  <c r="CE66" i="32" a="1"/>
  <c r="CE66" i="32" s="1"/>
  <c r="AC66" i="32" s="1"/>
  <c r="CR67" i="32"/>
  <c r="AG67" i="32" s="1"/>
  <c r="BG67" i="32" a="1"/>
  <c r="BG67" i="32" s="1"/>
  <c r="BK67" i="32" a="1"/>
  <c r="BK67" i="32" s="1"/>
  <c r="BO67" i="32" a="1"/>
  <c r="BO67" i="32" s="1"/>
  <c r="BF67" i="32" a="1"/>
  <c r="BF67" i="32" s="1"/>
  <c r="BN67" i="32" a="1"/>
  <c r="BN67" i="32" s="1"/>
  <c r="BQ67" i="32" a="1"/>
  <c r="BQ67" i="32" s="1"/>
  <c r="BI67" i="32" a="1"/>
  <c r="BI67" i="32" s="1"/>
  <c r="BH67" i="32" a="1"/>
  <c r="BH67" i="32" s="1"/>
  <c r="BL67" i="32" a="1"/>
  <c r="BL67" i="32" s="1"/>
  <c r="BJ67" i="32" a="1"/>
  <c r="BJ67" i="32" s="1"/>
  <c r="BM67" i="32" a="1"/>
  <c r="BM67" i="32" s="1"/>
  <c r="AM68" i="32"/>
  <c r="AM69" i="32"/>
  <c r="BR66" i="32" a="1"/>
  <c r="BR66" i="32" s="1"/>
  <c r="Z66" i="32" s="1"/>
  <c r="DD66" i="32"/>
  <c r="AJ66" i="32" s="1"/>
  <c r="M70" i="32"/>
  <c r="H70" i="32" s="1"/>
  <c r="E71" i="32" s="1" a="1"/>
  <c r="E71" i="32" s="1"/>
  <c r="F71" i="32" s="1" a="1"/>
  <c r="F71" i="32" s="1"/>
  <c r="CA67" i="32" a="1"/>
  <c r="CA67" i="32" s="1"/>
  <c r="BZ67" i="32" a="1"/>
  <c r="BZ67" i="32" s="1"/>
  <c r="CD67" i="32"/>
  <c r="CC67" i="32" s="1" a="1"/>
  <c r="CC67" i="32" s="1"/>
  <c r="BY67" i="32" a="1"/>
  <c r="BY67" i="32" s="1"/>
  <c r="AU67" i="32" a="1"/>
  <c r="AU67" i="32" s="1"/>
  <c r="AW67" i="32" a="1"/>
  <c r="AW67" i="32" s="1"/>
  <c r="AT67" i="32" a="1"/>
  <c r="AT67" i="32" s="1"/>
  <c r="DD67" i="32"/>
  <c r="AJ67" i="32" s="1"/>
  <c r="CU67" i="32"/>
  <c r="AH67" i="32" s="1"/>
  <c r="CH67" i="32" a="1"/>
  <c r="CH67" i="32" s="1"/>
  <c r="CF67" i="32" a="1"/>
  <c r="CF67" i="32" s="1"/>
  <c r="V65" i="32" l="1"/>
  <c r="AX67" i="32" a="1"/>
  <c r="AX67" i="32" s="1"/>
  <c r="W67" i="32" s="1"/>
  <c r="I70" i="32"/>
  <c r="CI67" i="32"/>
  <c r="AD67" i="32" s="1"/>
  <c r="AK65" i="32"/>
  <c r="U65" i="32"/>
  <c r="M71" i="32"/>
  <c r="G71" i="32" s="1"/>
  <c r="O71" i="32" s="1"/>
  <c r="AN68" i="32"/>
  <c r="AO68" i="32" s="1"/>
  <c r="AP68" i="32" s="1"/>
  <c r="AQ68" i="32" s="1"/>
  <c r="AR68" i="32" s="1"/>
  <c r="AS68" i="32" s="1"/>
  <c r="AY68" i="32" s="1" a="1"/>
  <c r="AY68" i="32" s="1"/>
  <c r="CE67" i="32" a="1"/>
  <c r="CE67" i="32" s="1"/>
  <c r="AC67" i="32" s="1"/>
  <c r="BR67" i="32" a="1"/>
  <c r="BR67" i="32" s="1"/>
  <c r="Z67" i="32" s="1"/>
  <c r="G70" i="32"/>
  <c r="O70" i="32" s="1"/>
  <c r="AN69" i="32"/>
  <c r="AO69" i="32" s="1"/>
  <c r="AP69" i="32" s="1"/>
  <c r="AQ69" i="32" s="1"/>
  <c r="AR69" i="32" s="1"/>
  <c r="AS69" i="32" s="1"/>
  <c r="BV69" i="32" s="1"/>
  <c r="V66" i="32"/>
  <c r="U66" i="32"/>
  <c r="AK66" i="32"/>
  <c r="V67" i="32" l="1"/>
  <c r="AY69" i="32" a="1"/>
  <c r="AY69" i="32" s="1"/>
  <c r="CM69" i="32" a="1"/>
  <c r="CM69" i="32" s="1"/>
  <c r="CP69" i="32" a="1"/>
  <c r="CP69" i="32" s="1"/>
  <c r="BB69" i="32" a="1"/>
  <c r="BB69" i="32" s="1"/>
  <c r="CV69" i="32" a="1"/>
  <c r="CV69" i="32" s="1"/>
  <c r="CT69" i="32" a="1"/>
  <c r="CT69" i="32" s="1"/>
  <c r="CS69" i="32" a="1"/>
  <c r="CS69" i="32" s="1"/>
  <c r="CN69" i="32" a="1"/>
  <c r="CN69" i="32" s="1"/>
  <c r="CB69" i="32"/>
  <c r="CD69" i="32" s="1"/>
  <c r="CC69" i="32" s="1" a="1"/>
  <c r="CC69" i="32" s="1"/>
  <c r="AV69" i="32"/>
  <c r="AT69" i="32" s="1" a="1"/>
  <c r="AT69" i="32" s="1"/>
  <c r="BD69" i="32"/>
  <c r="BC69" i="32" s="1" a="1"/>
  <c r="BC69" i="32" s="1"/>
  <c r="DB69" i="32"/>
  <c r="CZ69" i="32" s="1" a="1"/>
  <c r="CZ69" i="32" s="1"/>
  <c r="AZ69" i="32" a="1"/>
  <c r="AZ69" i="32" s="1"/>
  <c r="CQ69" i="32" a="1"/>
  <c r="CQ69" i="32" s="1"/>
  <c r="DB68" i="32"/>
  <c r="DA68" i="32" s="1" a="1"/>
  <c r="DA68" i="32" s="1"/>
  <c r="BS69" i="32" a="1"/>
  <c r="BS69" i="32" s="1"/>
  <c r="BT69" i="32" s="1"/>
  <c r="AA69" i="32" s="1"/>
  <c r="CB68" i="32"/>
  <c r="BY68" i="32" s="1" a="1"/>
  <c r="BY68" i="32" s="1"/>
  <c r="CW69" i="32" a="1"/>
  <c r="CW69" i="32" s="1"/>
  <c r="BB68" i="32" a="1"/>
  <c r="BB68" i="32" s="1"/>
  <c r="CG69" i="32"/>
  <c r="CH69" i="32" s="1" a="1"/>
  <c r="CH69" i="32" s="1"/>
  <c r="CJ69" i="32" a="1"/>
  <c r="CJ69" i="32" s="1"/>
  <c r="BP68" i="32"/>
  <c r="BH68" i="32" s="1" a="1"/>
  <c r="BH68" i="32" s="1"/>
  <c r="BU69" i="32" a="1"/>
  <c r="BU69" i="32" s="1"/>
  <c r="BW69" i="32" a="1"/>
  <c r="BW69" i="32" s="1"/>
  <c r="P71" i="32"/>
  <c r="N71" i="32"/>
  <c r="Q71" i="32"/>
  <c r="T71" i="32"/>
  <c r="CS68" i="32" a="1"/>
  <c r="CS68" i="32" s="1"/>
  <c r="CN68" i="32" a="1"/>
  <c r="CN68" i="32" s="1"/>
  <c r="CJ68" i="32" a="1"/>
  <c r="CJ68" i="32" s="1"/>
  <c r="CT68" i="32" a="1"/>
  <c r="CT68" i="32" s="1"/>
  <c r="AZ68" i="32" a="1"/>
  <c r="AZ68" i="32" s="1"/>
  <c r="BA68" i="32" s="1"/>
  <c r="X68" i="32" s="1"/>
  <c r="AV68" i="32"/>
  <c r="Q70" i="32"/>
  <c r="N70" i="32"/>
  <c r="T70" i="32"/>
  <c r="P70" i="32"/>
  <c r="CP68" i="32" a="1"/>
  <c r="CP68" i="32" s="1"/>
  <c r="CK68" i="32" a="1"/>
  <c r="CK68" i="32" s="1"/>
  <c r="CV68" i="32" a="1"/>
  <c r="CV68" i="32" s="1"/>
  <c r="BD68" i="32"/>
  <c r="BC68" i="32" s="1" a="1"/>
  <c r="BC68" i="32" s="1"/>
  <c r="CG68" i="32"/>
  <c r="CQ68" i="32" a="1"/>
  <c r="CQ68" i="32" s="1"/>
  <c r="CY68" i="32" a="1"/>
  <c r="CY68" i="32" s="1"/>
  <c r="U67" i="32"/>
  <c r="BV68" i="32"/>
  <c r="CW68" i="32" a="1"/>
  <c r="CW68" i="32" s="1"/>
  <c r="AK67" i="32"/>
  <c r="CM68" i="32" a="1"/>
  <c r="CM68" i="32" s="1"/>
  <c r="CK69" i="32" a="1"/>
  <c r="CK69" i="32" s="1"/>
  <c r="BP69" i="32"/>
  <c r="H71" i="32"/>
  <c r="E72" i="32" s="1" a="1"/>
  <c r="E72" i="32" s="1"/>
  <c r="F72" i="32" s="1" a="1"/>
  <c r="F72" i="32" s="1"/>
  <c r="I71" i="32"/>
  <c r="BS68" i="32" a="1"/>
  <c r="BS68" i="32" s="1"/>
  <c r="BT68" i="32" s="1"/>
  <c r="AA68" i="32" s="1"/>
  <c r="CY69" i="32" l="1" a="1"/>
  <c r="CY69" i="32" s="1"/>
  <c r="BJ68" i="32" a="1"/>
  <c r="BJ68" i="32" s="1"/>
  <c r="CX69" i="32"/>
  <c r="AI69" i="32" s="1"/>
  <c r="CA68" i="32" a="1"/>
  <c r="CA68" i="32" s="1"/>
  <c r="CF69" i="32" a="1"/>
  <c r="CF69" i="32" s="1"/>
  <c r="CI69" i="32" s="1"/>
  <c r="AD69" i="32" s="1"/>
  <c r="BF68" i="32" a="1"/>
  <c r="BF68" i="32" s="1"/>
  <c r="CR69" i="32"/>
  <c r="AG69" i="32" s="1"/>
  <c r="BO68" i="32" a="1"/>
  <c r="BO68" i="32" s="1"/>
  <c r="BE68" i="32"/>
  <c r="Y68" i="32" s="1"/>
  <c r="BN68" i="32" a="1"/>
  <c r="BN68" i="32" s="1"/>
  <c r="BM68" i="32" a="1"/>
  <c r="BM68" i="32" s="1"/>
  <c r="CL69" i="32"/>
  <c r="AE69" i="32" s="1"/>
  <c r="BL68" i="32" a="1"/>
  <c r="BL68" i="32" s="1"/>
  <c r="BZ69" i="32" a="1"/>
  <c r="BZ69" i="32" s="1"/>
  <c r="BQ68" i="32" a="1"/>
  <c r="BQ68" i="32" s="1"/>
  <c r="BI68" i="32" a="1"/>
  <c r="BI68" i="32" s="1"/>
  <c r="BK68" i="32" a="1"/>
  <c r="BK68" i="32" s="1"/>
  <c r="CU69" i="32"/>
  <c r="AH69" i="32" s="1"/>
  <c r="BA69" i="32"/>
  <c r="X69" i="32" s="1"/>
  <c r="DC68" i="32" a="1"/>
  <c r="DC68" i="32" s="1"/>
  <c r="CZ68" i="32" a="1"/>
  <c r="CZ68" i="32" s="1"/>
  <c r="DD68" i="32" s="1"/>
  <c r="AJ68" i="32" s="1"/>
  <c r="BE69" i="32"/>
  <c r="Y69" i="32" s="1"/>
  <c r="DA69" i="32" a="1"/>
  <c r="DA69" i="32" s="1"/>
  <c r="DC69" i="32" a="1"/>
  <c r="DC69" i="32" s="1"/>
  <c r="AW69" i="32" a="1"/>
  <c r="AW69" i="32" s="1"/>
  <c r="AU69" i="32" a="1"/>
  <c r="AU69" i="32" s="1"/>
  <c r="CO68" i="32"/>
  <c r="AF68" i="32" s="1"/>
  <c r="CA69" i="32" a="1"/>
  <c r="CA69" i="32" s="1"/>
  <c r="BZ68" i="32" a="1"/>
  <c r="BZ68" i="32" s="1"/>
  <c r="CD68" i="32"/>
  <c r="CC68" i="32" s="1" a="1"/>
  <c r="CC68" i="32" s="1"/>
  <c r="BY69" i="32" a="1"/>
  <c r="BY69" i="32" s="1"/>
  <c r="CO69" i="32"/>
  <c r="AF69" i="32" s="1"/>
  <c r="CR68" i="32"/>
  <c r="AG68" i="32" s="1"/>
  <c r="CU68" i="32"/>
  <c r="AH68" i="32" s="1"/>
  <c r="BG68" i="32" a="1"/>
  <c r="BG68" i="32" s="1"/>
  <c r="BX69" i="32"/>
  <c r="AB69" i="32" s="1"/>
  <c r="AM70" i="32"/>
  <c r="BW68" i="32" a="1"/>
  <c r="BW68" i="32" s="1"/>
  <c r="BU68" i="32" a="1"/>
  <c r="BU68" i="32" s="1"/>
  <c r="AM71" i="32"/>
  <c r="AT68" i="32" a="1"/>
  <c r="AT68" i="32" s="1"/>
  <c r="AW68" i="32" a="1"/>
  <c r="AW68" i="32" s="1"/>
  <c r="AU68" i="32" a="1"/>
  <c r="AU68" i="32" s="1"/>
  <c r="BF69" i="32" a="1"/>
  <c r="BF69" i="32" s="1"/>
  <c r="BG69" i="32" a="1"/>
  <c r="BG69" i="32" s="1"/>
  <c r="BQ69" i="32" a="1"/>
  <c r="BQ69" i="32" s="1"/>
  <c r="BL69" i="32" a="1"/>
  <c r="BL69" i="32" s="1"/>
  <c r="BH69" i="32" a="1"/>
  <c r="BH69" i="32" s="1"/>
  <c r="BO69" i="32" a="1"/>
  <c r="BO69" i="32" s="1"/>
  <c r="BN69" i="32" a="1"/>
  <c r="BN69" i="32" s="1"/>
  <c r="BJ69" i="32" a="1"/>
  <c r="BJ69" i="32" s="1"/>
  <c r="BI69" i="32" a="1"/>
  <c r="BI69" i="32" s="1"/>
  <c r="BK69" i="32" a="1"/>
  <c r="BK69" i="32" s="1"/>
  <c r="BM69" i="32" a="1"/>
  <c r="BM69" i="32" s="1"/>
  <c r="CH68" i="32" a="1"/>
  <c r="CH68" i="32" s="1"/>
  <c r="CF68" i="32" a="1"/>
  <c r="CF68" i="32" s="1"/>
  <c r="CX68" i="32"/>
  <c r="AI68" i="32" s="1"/>
  <c r="M72" i="32"/>
  <c r="I72" i="32" s="1"/>
  <c r="CL68" i="32"/>
  <c r="AE68" i="32" s="1"/>
  <c r="AX69" i="32" l="1" a="1"/>
  <c r="AX69" i="32" s="1"/>
  <c r="W69" i="32" s="1"/>
  <c r="BX68" i="32"/>
  <c r="AB68" i="32" s="1"/>
  <c r="BR68" i="32" a="1"/>
  <c r="BR68" i="32" s="1"/>
  <c r="Z68" i="32" s="1"/>
  <c r="DD69" i="32"/>
  <c r="AJ69" i="32" s="1"/>
  <c r="CE69" i="32" a="1"/>
  <c r="CE69" i="32" s="1"/>
  <c r="AC69" i="32" s="1"/>
  <c r="G72" i="32"/>
  <c r="O72" i="32" s="1"/>
  <c r="T72" i="32" s="1"/>
  <c r="H72" i="32"/>
  <c r="E73" i="32" s="1" a="1"/>
  <c r="E73" i="32" s="1"/>
  <c r="F73" i="32" s="1" a="1"/>
  <c r="F73" i="32" s="1"/>
  <c r="M73" i="32" s="1"/>
  <c r="I73" i="32" s="1"/>
  <c r="CE68" i="32" a="1"/>
  <c r="CE68" i="32" s="1"/>
  <c r="AC68" i="32" s="1"/>
  <c r="AX68" i="32" a="1"/>
  <c r="AX68" i="32" s="1"/>
  <c r="W68" i="32" s="1"/>
  <c r="CI68" i="32"/>
  <c r="AD68" i="32" s="1"/>
  <c r="BR69" i="32" a="1"/>
  <c r="BR69" i="32" s="1"/>
  <c r="Z69" i="32" s="1"/>
  <c r="AN70" i="32"/>
  <c r="AO70" i="32" s="1"/>
  <c r="AP70" i="32" s="1"/>
  <c r="AQ70" i="32" s="1"/>
  <c r="AR70" i="32" s="1"/>
  <c r="AS70" i="32" s="1"/>
  <c r="CW70" i="32" s="1" a="1"/>
  <c r="CW70" i="32" s="1"/>
  <c r="AN71" i="32"/>
  <c r="AO71" i="32" s="1"/>
  <c r="AP71" i="32" s="1"/>
  <c r="AQ71" i="32" s="1"/>
  <c r="AR71" i="32" s="1"/>
  <c r="AS71" i="32" s="1"/>
  <c r="CQ71" i="32" s="1" a="1"/>
  <c r="CQ71" i="32" s="1"/>
  <c r="N72" i="32" l="1"/>
  <c r="Q72" i="32"/>
  <c r="P72" i="32"/>
  <c r="AK68" i="32"/>
  <c r="U68" i="32"/>
  <c r="V68" i="32"/>
  <c r="AY70" i="32" a="1"/>
  <c r="AY70" i="32" s="1"/>
  <c r="CS71" i="32" a="1"/>
  <c r="CS71" i="32" s="1"/>
  <c r="BB71" i="32" a="1"/>
  <c r="BB71" i="32" s="1"/>
  <c r="CM71" i="32" a="1"/>
  <c r="CM71" i="32" s="1"/>
  <c r="AV70" i="32"/>
  <c r="AT70" i="32" s="1" a="1"/>
  <c r="AT70" i="32" s="1"/>
  <c r="BP71" i="32"/>
  <c r="CP70" i="32" a="1"/>
  <c r="CP70" i="32" s="1"/>
  <c r="CB71" i="32"/>
  <c r="CN71" i="32" a="1"/>
  <c r="CN71" i="32" s="1"/>
  <c r="BD71" i="32"/>
  <c r="BC71" i="32" s="1" a="1"/>
  <c r="BC71" i="32" s="1"/>
  <c r="CW71" i="32" a="1"/>
  <c r="CW71" i="32" s="1"/>
  <c r="DB71" i="32"/>
  <c r="CN70" i="32" a="1"/>
  <c r="CN70" i="32" s="1"/>
  <c r="CM70" i="32" a="1"/>
  <c r="CM70" i="32" s="1"/>
  <c r="CK70" i="32" a="1"/>
  <c r="CK70" i="32" s="1"/>
  <c r="BS70" i="32" a="1"/>
  <c r="BS70" i="32" s="1"/>
  <c r="BT70" i="32" s="1"/>
  <c r="AA70" i="32" s="1"/>
  <c r="CG70" i="32"/>
  <c r="H73" i="32"/>
  <c r="E74" i="32" s="1" a="1"/>
  <c r="E74" i="32" s="1"/>
  <c r="F74" i="32" s="1" a="1"/>
  <c r="F74" i="32" s="1"/>
  <c r="CV71" i="32" a="1"/>
  <c r="CV71" i="32" s="1"/>
  <c r="BV71" i="32"/>
  <c r="CT70" i="32" a="1"/>
  <c r="CT70" i="32" s="1"/>
  <c r="CK71" i="32" a="1"/>
  <c r="CK71" i="32" s="1"/>
  <c r="BS71" i="32" a="1"/>
  <c r="BS71" i="32" s="1"/>
  <c r="BT71" i="32" s="1"/>
  <c r="AA71" i="32" s="1"/>
  <c r="BV70" i="32"/>
  <c r="G73" i="32"/>
  <c r="O73" i="32" s="1"/>
  <c r="CB70" i="32"/>
  <c r="BD70" i="32"/>
  <c r="BC70" i="32" s="1" a="1"/>
  <c r="BC70" i="32" s="1"/>
  <c r="BP70" i="32"/>
  <c r="AZ70" i="32" a="1"/>
  <c r="AZ70" i="32" s="1"/>
  <c r="AV71" i="32"/>
  <c r="CP71" i="32" a="1"/>
  <c r="CP71" i="32" s="1"/>
  <c r="CR71" i="32" s="1"/>
  <c r="AG71" i="32" s="1"/>
  <c r="CG71" i="32"/>
  <c r="AY71" i="32" a="1"/>
  <c r="AY71" i="32" s="1"/>
  <c r="BA71" i="32" s="1"/>
  <c r="X71" i="32" s="1"/>
  <c r="CV70" i="32" a="1"/>
  <c r="CV70" i="32" s="1"/>
  <c r="CX70" i="32" s="1"/>
  <c r="AI70" i="32" s="1"/>
  <c r="DB70" i="32"/>
  <c r="CS70" i="32" a="1"/>
  <c r="CS70" i="32" s="1"/>
  <c r="AM72" i="32"/>
  <c r="CJ71" i="32" a="1"/>
  <c r="CJ71" i="32" s="1"/>
  <c r="AZ71" i="32" a="1"/>
  <c r="AZ71" i="32" s="1"/>
  <c r="CJ70" i="32" a="1"/>
  <c r="CJ70" i="32" s="1"/>
  <c r="CQ70" i="32" a="1"/>
  <c r="CQ70" i="32" s="1"/>
  <c r="CT71" i="32" a="1"/>
  <c r="CT71" i="32" s="1"/>
  <c r="CU71" i="32" s="1"/>
  <c r="AH71" i="32" s="1"/>
  <c r="BB70" i="32" a="1"/>
  <c r="BB70" i="32" s="1"/>
  <c r="AK69" i="32"/>
  <c r="V69" i="32"/>
  <c r="U69" i="32"/>
  <c r="CL71" i="32" l="1"/>
  <c r="AE71" i="32" s="1"/>
  <c r="BE70" i="32"/>
  <c r="Y70" i="32" s="1"/>
  <c r="CO70" i="32"/>
  <c r="AF70" i="32" s="1"/>
  <c r="BE71" i="32"/>
  <c r="Y71" i="32" s="1"/>
  <c r="CO71" i="32"/>
  <c r="AF71" i="32" s="1"/>
  <c r="BA70" i="32"/>
  <c r="X70" i="32" s="1"/>
  <c r="AW70" i="32" a="1"/>
  <c r="AW70" i="32" s="1"/>
  <c r="CL70" i="32"/>
  <c r="AE70" i="32" s="1"/>
  <c r="AU70" i="32" a="1"/>
  <c r="AU70" i="32" s="1"/>
  <c r="BY70" i="32" a="1"/>
  <c r="BY70" i="32" s="1"/>
  <c r="CD70" i="32"/>
  <c r="CC70" i="32" s="1" a="1"/>
  <c r="CC70" i="32" s="1"/>
  <c r="CA70" i="32" a="1"/>
  <c r="CA70" i="32" s="1"/>
  <c r="BZ70" i="32" a="1"/>
  <c r="BZ70" i="32" s="1"/>
  <c r="P73" i="32"/>
  <c r="T73" i="32"/>
  <c r="Q73" i="32"/>
  <c r="N73" i="32"/>
  <c r="CY71" i="32" a="1"/>
  <c r="CY71" i="32" s="1"/>
  <c r="CZ71" i="32" a="1"/>
  <c r="CZ71" i="32" s="1"/>
  <c r="DC71" i="32" a="1"/>
  <c r="DC71" i="32" s="1"/>
  <c r="DA71" i="32" a="1"/>
  <c r="DA71" i="32" s="1"/>
  <c r="BU70" i="32" a="1"/>
  <c r="BU70" i="32" s="1"/>
  <c r="BW70" i="32" a="1"/>
  <c r="BW70" i="32" s="1"/>
  <c r="BF70" i="32" a="1"/>
  <c r="BF70" i="32" s="1"/>
  <c r="BJ70" i="32" a="1"/>
  <c r="BJ70" i="32" s="1"/>
  <c r="BM70" i="32" a="1"/>
  <c r="BM70" i="32" s="1"/>
  <c r="BH70" i="32" a="1"/>
  <c r="BH70" i="32" s="1"/>
  <c r="BI70" i="32" a="1"/>
  <c r="BI70" i="32" s="1"/>
  <c r="BL70" i="32" a="1"/>
  <c r="BL70" i="32" s="1"/>
  <c r="BQ70" i="32" a="1"/>
  <c r="BQ70" i="32" s="1"/>
  <c r="BK70" i="32" a="1"/>
  <c r="BK70" i="32" s="1"/>
  <c r="BN70" i="32" a="1"/>
  <c r="BN70" i="32" s="1"/>
  <c r="BO70" i="32" a="1"/>
  <c r="BO70" i="32" s="1"/>
  <c r="BG70" i="32" a="1"/>
  <c r="BG70" i="32" s="1"/>
  <c r="AN72" i="32"/>
  <c r="AO72" i="32" s="1"/>
  <c r="AP72" i="32" s="1"/>
  <c r="AQ72" i="32" s="1"/>
  <c r="AR72" i="32" s="1"/>
  <c r="AS72" i="32" s="1"/>
  <c r="BS72" i="32" s="1" a="1"/>
  <c r="BS72" i="32" s="1"/>
  <c r="BT72" i="32" s="1"/>
  <c r="AA72" i="32" s="1"/>
  <c r="CA71" i="32" a="1"/>
  <c r="CA71" i="32" s="1"/>
  <c r="CD71" i="32"/>
  <c r="CC71" i="32" s="1" a="1"/>
  <c r="CC71" i="32" s="1"/>
  <c r="BY71" i="32" a="1"/>
  <c r="BY71" i="32" s="1"/>
  <c r="BZ71" i="32" a="1"/>
  <c r="BZ71" i="32" s="1"/>
  <c r="CU70" i="32"/>
  <c r="AH70" i="32" s="1"/>
  <c r="BU71" i="32" a="1"/>
  <c r="BU71" i="32" s="1"/>
  <c r="BW71" i="32" a="1"/>
  <c r="BW71" i="32" s="1"/>
  <c r="CX71" i="32"/>
  <c r="AI71" i="32" s="1"/>
  <c r="CR70" i="32"/>
  <c r="AG70" i="32" s="1"/>
  <c r="M74" i="32"/>
  <c r="G74" i="32" s="1"/>
  <c r="O74" i="32" s="1"/>
  <c r="BJ71" i="32" a="1"/>
  <c r="BJ71" i="32" s="1"/>
  <c r="BN71" i="32" a="1"/>
  <c r="BN71" i="32" s="1"/>
  <c r="BQ71" i="32" a="1"/>
  <c r="BQ71" i="32" s="1"/>
  <c r="BO71" i="32" a="1"/>
  <c r="BO71" i="32" s="1"/>
  <c r="BL71" i="32" a="1"/>
  <c r="BL71" i="32" s="1"/>
  <c r="BI71" i="32" a="1"/>
  <c r="BI71" i="32" s="1"/>
  <c r="BM71" i="32" a="1"/>
  <c r="BM71" i="32" s="1"/>
  <c r="BF71" i="32" a="1"/>
  <c r="BF71" i="32" s="1"/>
  <c r="BK71" i="32" a="1"/>
  <c r="BK71" i="32" s="1"/>
  <c r="BH71" i="32" a="1"/>
  <c r="BH71" i="32" s="1"/>
  <c r="BG71" i="32" a="1"/>
  <c r="BG71" i="32" s="1"/>
  <c r="CF70" i="32" a="1"/>
  <c r="CF70" i="32" s="1"/>
  <c r="CH70" i="32" a="1"/>
  <c r="CH70" i="32" s="1"/>
  <c r="CH71" i="32" a="1"/>
  <c r="CH71" i="32" s="1"/>
  <c r="CF71" i="32" a="1"/>
  <c r="CF71" i="32" s="1"/>
  <c r="AU71" i="32" a="1"/>
  <c r="AU71" i="32" s="1"/>
  <c r="AT71" i="32" a="1"/>
  <c r="AT71" i="32" s="1"/>
  <c r="AW71" i="32" a="1"/>
  <c r="AW71" i="32" s="1"/>
  <c r="DC70" i="32" a="1"/>
  <c r="DC70" i="32" s="1"/>
  <c r="CZ70" i="32" a="1"/>
  <c r="CZ70" i="32" s="1"/>
  <c r="CY70" i="32" a="1"/>
  <c r="CY70" i="32" s="1"/>
  <c r="DA70" i="32" a="1"/>
  <c r="DA70" i="32" s="1"/>
  <c r="AX70" i="32" l="1" a="1"/>
  <c r="AX70" i="32" s="1"/>
  <c r="W70" i="32" s="1"/>
  <c r="BX70" i="32"/>
  <c r="AB70" i="32" s="1"/>
  <c r="CN72" i="32" a="1"/>
  <c r="CN72" i="32" s="1"/>
  <c r="BX71" i="32"/>
  <c r="AB71" i="32" s="1"/>
  <c r="AY72" i="32" a="1"/>
  <c r="AY72" i="32" s="1"/>
  <c r="BA72" i="32" s="1"/>
  <c r="X72" i="32" s="1"/>
  <c r="CP72" i="32" a="1"/>
  <c r="CP72" i="32" s="1"/>
  <c r="AV72" i="32"/>
  <c r="AW72" i="32" s="1" a="1"/>
  <c r="AW72" i="32" s="1"/>
  <c r="CG72" i="32"/>
  <c r="CF72" i="32" s="1" a="1"/>
  <c r="CF72" i="32" s="1"/>
  <c r="AZ72" i="32" a="1"/>
  <c r="AZ72" i="32" s="1"/>
  <c r="BV72" i="32"/>
  <c r="CB72" i="32"/>
  <c r="CA72" i="32" s="1" a="1"/>
  <c r="CA72" i="32" s="1"/>
  <c r="I74" i="32"/>
  <c r="CS72" i="32" a="1"/>
  <c r="CS72" i="32" s="1"/>
  <c r="H74" i="32"/>
  <c r="E75" i="32" s="1" a="1"/>
  <c r="E75" i="32" s="1"/>
  <c r="F75" i="32" s="1" a="1"/>
  <c r="F75" i="32" s="1"/>
  <c r="BD72" i="32"/>
  <c r="BC72" i="32" s="1" a="1"/>
  <c r="BC72" i="32" s="1"/>
  <c r="CK72" i="32" a="1"/>
  <c r="CK72" i="32" s="1"/>
  <c r="CE70" i="32" a="1"/>
  <c r="CE70" i="32" s="1"/>
  <c r="AC70" i="32" s="1"/>
  <c r="CI70" i="32"/>
  <c r="AD70" i="32" s="1"/>
  <c r="CT72" i="32" a="1"/>
  <c r="CT72" i="32" s="1"/>
  <c r="Q74" i="32"/>
  <c r="P74" i="32"/>
  <c r="N74" i="32"/>
  <c r="T74" i="32"/>
  <c r="CE71" i="32" a="1"/>
  <c r="CE71" i="32" s="1"/>
  <c r="AC71" i="32" s="1"/>
  <c r="DD70" i="32"/>
  <c r="AJ70" i="32" s="1"/>
  <c r="CV72" i="32" a="1"/>
  <c r="CV72" i="32" s="1"/>
  <c r="DD71" i="32"/>
  <c r="AJ71" i="32" s="1"/>
  <c r="CJ72" i="32" a="1"/>
  <c r="CJ72" i="32" s="1"/>
  <c r="DB72" i="32"/>
  <c r="BB72" i="32" a="1"/>
  <c r="BB72" i="32" s="1"/>
  <c r="BP72" i="32"/>
  <c r="AM73" i="32"/>
  <c r="AX71" i="32" a="1"/>
  <c r="AX71" i="32" s="1"/>
  <c r="W71" i="32" s="1"/>
  <c r="CI71" i="32"/>
  <c r="AD71" i="32" s="1"/>
  <c r="CM72" i="32" a="1"/>
  <c r="CM72" i="32" s="1"/>
  <c r="CO72" i="32" s="1"/>
  <c r="AF72" i="32" s="1"/>
  <c r="CQ72" i="32" a="1"/>
  <c r="CQ72" i="32" s="1"/>
  <c r="BR70" i="32" a="1"/>
  <c r="BR70" i="32" s="1"/>
  <c r="Z70" i="32" s="1"/>
  <c r="BR71" i="32" a="1"/>
  <c r="BR71" i="32" s="1"/>
  <c r="Z71" i="32" s="1"/>
  <c r="CW72" i="32" a="1"/>
  <c r="CW72" i="32" s="1"/>
  <c r="CR72" i="32" l="1"/>
  <c r="AG72" i="32" s="1"/>
  <c r="BE72" i="32"/>
  <c r="Y72" i="32" s="1"/>
  <c r="BZ72" i="32" a="1"/>
  <c r="BZ72" i="32" s="1"/>
  <c r="CL72" i="32"/>
  <c r="AE72" i="32" s="1"/>
  <c r="CD72" i="32"/>
  <c r="CC72" i="32" s="1" a="1"/>
  <c r="CC72" i="32" s="1"/>
  <c r="BY72" i="32" a="1"/>
  <c r="BY72" i="32" s="1"/>
  <c r="CU72" i="32"/>
  <c r="AH72" i="32" s="1"/>
  <c r="M75" i="32"/>
  <c r="H75" i="32" s="1"/>
  <c r="E76" i="32" s="1" a="1"/>
  <c r="E76" i="32" s="1"/>
  <c r="F76" i="32" s="1" a="1"/>
  <c r="F76" i="32" s="1"/>
  <c r="M76" i="32" s="1"/>
  <c r="I76" i="32" s="1"/>
  <c r="CX72" i="32"/>
  <c r="AI72" i="32" s="1"/>
  <c r="BW72" i="32" a="1"/>
  <c r="BW72" i="32" s="1"/>
  <c r="BU72" i="32" a="1"/>
  <c r="BU72" i="32" s="1"/>
  <c r="BX72" i="32" s="1"/>
  <c r="AB72" i="32" s="1"/>
  <c r="AT72" i="32" a="1"/>
  <c r="AT72" i="32" s="1"/>
  <c r="AU72" i="32" a="1"/>
  <c r="AU72" i="32" s="1"/>
  <c r="CH72" i="32" a="1"/>
  <c r="CH72" i="32" s="1"/>
  <c r="CI72" i="32" s="1"/>
  <c r="AD72" i="32" s="1"/>
  <c r="CY72" i="32" a="1"/>
  <c r="CY72" i="32" s="1"/>
  <c r="DA72" i="32" a="1"/>
  <c r="DA72" i="32" s="1"/>
  <c r="DC72" i="32" a="1"/>
  <c r="DC72" i="32" s="1"/>
  <c r="CZ72" i="32" a="1"/>
  <c r="CZ72" i="32" s="1"/>
  <c r="AM74" i="32"/>
  <c r="V71" i="32"/>
  <c r="U71" i="32"/>
  <c r="AK71" i="32"/>
  <c r="AN73" i="32"/>
  <c r="AO73" i="32" s="1"/>
  <c r="AP73" i="32" s="1"/>
  <c r="AQ73" i="32" s="1"/>
  <c r="AR73" i="32" s="1"/>
  <c r="AS73" i="32" s="1"/>
  <c r="AV73" i="32" s="1"/>
  <c r="AK70" i="32"/>
  <c r="V70" i="32"/>
  <c r="U70" i="32"/>
  <c r="BJ72" i="32" a="1"/>
  <c r="BJ72" i="32" s="1"/>
  <c r="BO72" i="32" a="1"/>
  <c r="BO72" i="32" s="1"/>
  <c r="BI72" i="32" a="1"/>
  <c r="BI72" i="32" s="1"/>
  <c r="BN72" i="32" a="1"/>
  <c r="BN72" i="32" s="1"/>
  <c r="BF72" i="32" a="1"/>
  <c r="BF72" i="32" s="1"/>
  <c r="BG72" i="32" a="1"/>
  <c r="BG72" i="32" s="1"/>
  <c r="BQ72" i="32" a="1"/>
  <c r="BQ72" i="32" s="1"/>
  <c r="BM72" i="32" a="1"/>
  <c r="BM72" i="32" s="1"/>
  <c r="BK72" i="32" a="1"/>
  <c r="BK72" i="32" s="1"/>
  <c r="BH72" i="32" a="1"/>
  <c r="BH72" i="32" s="1"/>
  <c r="BL72" i="32" a="1"/>
  <c r="BL72" i="32" s="1"/>
  <c r="AX72" i="32" l="1" a="1"/>
  <c r="AX72" i="32" s="1"/>
  <c r="W72" i="32" s="1"/>
  <c r="CE72" i="32" a="1"/>
  <c r="CE72" i="32" s="1"/>
  <c r="AC72" i="32" s="1"/>
  <c r="G75" i="32"/>
  <c r="O75" i="32" s="1"/>
  <c r="I75" i="32"/>
  <c r="CM73" i="32" a="1"/>
  <c r="CM73" i="32" s="1"/>
  <c r="CN73" i="32" a="1"/>
  <c r="CN73" i="32" s="1"/>
  <c r="AZ73" i="32" a="1"/>
  <c r="AZ73" i="32" s="1"/>
  <c r="AT73" i="32" a="1"/>
  <c r="AT73" i="32" s="1"/>
  <c r="AW73" i="32" a="1"/>
  <c r="AW73" i="32" s="1"/>
  <c r="AU73" i="32" a="1"/>
  <c r="AU73" i="32" s="1"/>
  <c r="CW73" i="32" a="1"/>
  <c r="CW73" i="32" s="1"/>
  <c r="BD73" i="32"/>
  <c r="BC73" i="32" s="1" a="1"/>
  <c r="BC73" i="32" s="1"/>
  <c r="CB73" i="32"/>
  <c r="BR72" i="32" a="1"/>
  <c r="BR72" i="32" s="1"/>
  <c r="Z72" i="32" s="1"/>
  <c r="CS73" i="32" a="1"/>
  <c r="CS73" i="32" s="1"/>
  <c r="CJ73" i="32" a="1"/>
  <c r="CJ73" i="32" s="1"/>
  <c r="G76" i="32"/>
  <c r="O76" i="32" s="1"/>
  <c r="AY73" i="32" a="1"/>
  <c r="AY73" i="32" s="1"/>
  <c r="BA73" i="32" s="1"/>
  <c r="X73" i="32" s="1"/>
  <c r="H76" i="32"/>
  <c r="E77" i="32" s="1" a="1"/>
  <c r="E77" i="32" s="1"/>
  <c r="F77" i="32" s="1" a="1"/>
  <c r="F77" i="32" s="1"/>
  <c r="BS73" i="32" a="1"/>
  <c r="BS73" i="32" s="1"/>
  <c r="BT73" i="32" s="1"/>
  <c r="AA73" i="32" s="1"/>
  <c r="CP73" i="32" a="1"/>
  <c r="CP73" i="32" s="1"/>
  <c r="CK73" i="32" a="1"/>
  <c r="CK73" i="32" s="1"/>
  <c r="AN74" i="32"/>
  <c r="AO74" i="32" s="1"/>
  <c r="AP74" i="32" s="1"/>
  <c r="AQ74" i="32" s="1"/>
  <c r="AR74" i="32" s="1"/>
  <c r="AS74" i="32" s="1"/>
  <c r="CT74" i="32" s="1" a="1"/>
  <c r="CT74" i="32" s="1"/>
  <c r="BV73" i="32"/>
  <c r="CQ73" i="32" a="1"/>
  <c r="CQ73" i="32" s="1"/>
  <c r="DD72" i="32"/>
  <c r="AJ72" i="32" s="1"/>
  <c r="CT73" i="32" a="1"/>
  <c r="CT73" i="32" s="1"/>
  <c r="BP73" i="32"/>
  <c r="DB73" i="32"/>
  <c r="CG73" i="32"/>
  <c r="CV73" i="32" a="1"/>
  <c r="CV73" i="32" s="1"/>
  <c r="CX73" i="32" s="1"/>
  <c r="AI73" i="32" s="1"/>
  <c r="BB73" i="32" a="1"/>
  <c r="BB73" i="32" s="1"/>
  <c r="AX73" i="32" l="1" a="1"/>
  <c r="AX73" i="32" s="1"/>
  <c r="W73" i="32" s="1"/>
  <c r="CO73" i="32"/>
  <c r="AF73" i="32" s="1"/>
  <c r="P75" i="32"/>
  <c r="Q75" i="32"/>
  <c r="T75" i="32"/>
  <c r="AM75" i="32" s="1"/>
  <c r="AN75" i="32" s="1"/>
  <c r="AO75" i="32" s="1"/>
  <c r="AP75" i="32" s="1"/>
  <c r="AQ75" i="32" s="1"/>
  <c r="AR75" i="32" s="1"/>
  <c r="AS75" i="32" s="1"/>
  <c r="CG75" i="32" s="1"/>
  <c r="N75" i="32"/>
  <c r="BE73" i="32"/>
  <c r="Y73" i="32" s="1"/>
  <c r="BS74" i="32" a="1"/>
  <c r="BS74" i="32" s="1"/>
  <c r="BT74" i="32" s="1"/>
  <c r="AA74" i="32" s="1"/>
  <c r="CN74" i="32" a="1"/>
  <c r="CN74" i="32" s="1"/>
  <c r="BB74" i="32" a="1"/>
  <c r="BB74" i="32" s="1"/>
  <c r="BD74" i="32"/>
  <c r="BC74" i="32" s="1" a="1"/>
  <c r="BC74" i="32" s="1"/>
  <c r="CS74" i="32" a="1"/>
  <c r="CS74" i="32" s="1"/>
  <c r="CU74" i="32" s="1"/>
  <c r="AH74" i="32" s="1"/>
  <c r="BP74" i="32"/>
  <c r="BI74" i="32" s="1" a="1"/>
  <c r="BI74" i="32" s="1"/>
  <c r="CM74" i="32" a="1"/>
  <c r="CM74" i="32" s="1"/>
  <c r="CQ74" i="32" a="1"/>
  <c r="CQ74" i="32" s="1"/>
  <c r="DB74" i="32"/>
  <c r="CZ74" i="32" s="1" a="1"/>
  <c r="CZ74" i="32" s="1"/>
  <c r="CV74" i="32" a="1"/>
  <c r="CV74" i="32" s="1"/>
  <c r="BV74" i="32"/>
  <c r="CW74" i="32" a="1"/>
  <c r="CW74" i="32" s="1"/>
  <c r="CP74" i="32" a="1"/>
  <c r="CP74" i="32" s="1"/>
  <c r="AY74" i="32" a="1"/>
  <c r="AY74" i="32" s="1"/>
  <c r="CR73" i="32"/>
  <c r="AG73" i="32" s="1"/>
  <c r="CB74" i="32"/>
  <c r="M77" i="32"/>
  <c r="I77" i="32" s="1"/>
  <c r="CG74" i="32"/>
  <c r="T76" i="32"/>
  <c r="Q76" i="32"/>
  <c r="P76" i="32"/>
  <c r="N76" i="32"/>
  <c r="CL73" i="32"/>
  <c r="AE73" i="32" s="1"/>
  <c r="CU73" i="32"/>
  <c r="AH73" i="32" s="1"/>
  <c r="V72" i="32"/>
  <c r="AK72" i="32"/>
  <c r="U72" i="32"/>
  <c r="DC73" i="32" a="1"/>
  <c r="DC73" i="32" s="1"/>
  <c r="CY73" i="32" a="1"/>
  <c r="CY73" i="32" s="1"/>
  <c r="DA73" i="32" a="1"/>
  <c r="DA73" i="32" s="1"/>
  <c r="CZ73" i="32" a="1"/>
  <c r="CZ73" i="32" s="1"/>
  <c r="CK74" i="32" a="1"/>
  <c r="CK74" i="32" s="1"/>
  <c r="CD73" i="32"/>
  <c r="CC73" i="32" s="1" a="1"/>
  <c r="CC73" i="32" s="1"/>
  <c r="CA73" i="32" a="1"/>
  <c r="CA73" i="32" s="1"/>
  <c r="BZ73" i="32" a="1"/>
  <c r="BZ73" i="32" s="1"/>
  <c r="BY73" i="32" a="1"/>
  <c r="BY73" i="32" s="1"/>
  <c r="CH73" i="32" a="1"/>
  <c r="CH73" i="32" s="1"/>
  <c r="CF73" i="32" a="1"/>
  <c r="CF73" i="32" s="1"/>
  <c r="BG73" i="32" a="1"/>
  <c r="BG73" i="32" s="1"/>
  <c r="BK73" i="32" a="1"/>
  <c r="BK73" i="32" s="1"/>
  <c r="BJ73" i="32" a="1"/>
  <c r="BJ73" i="32" s="1"/>
  <c r="BI73" i="32" a="1"/>
  <c r="BI73" i="32" s="1"/>
  <c r="BM73" i="32" a="1"/>
  <c r="BM73" i="32" s="1"/>
  <c r="BO73" i="32" a="1"/>
  <c r="BO73" i="32" s="1"/>
  <c r="BF73" i="32" a="1"/>
  <c r="BF73" i="32" s="1"/>
  <c r="BQ73" i="32" a="1"/>
  <c r="BQ73" i="32" s="1"/>
  <c r="BN73" i="32" a="1"/>
  <c r="BN73" i="32" s="1"/>
  <c r="BL73" i="32" a="1"/>
  <c r="BL73" i="32" s="1"/>
  <c r="BH73" i="32" a="1"/>
  <c r="BH73" i="32" s="1"/>
  <c r="AV74" i="32"/>
  <c r="CJ74" i="32" a="1"/>
  <c r="CJ74" i="32" s="1"/>
  <c r="BU73" i="32" a="1"/>
  <c r="BU73" i="32" s="1"/>
  <c r="BW73" i="32" a="1"/>
  <c r="BW73" i="32" s="1"/>
  <c r="AZ74" i="32" a="1"/>
  <c r="AZ74" i="32" s="1"/>
  <c r="BG74" i="32" l="1" a="1"/>
  <c r="BG74" i="32" s="1"/>
  <c r="CO74" i="32"/>
  <c r="AF74" i="32" s="1"/>
  <c r="BN74" i="32" a="1"/>
  <c r="BN74" i="32" s="1"/>
  <c r="BK74" i="32" a="1"/>
  <c r="BK74" i="32" s="1"/>
  <c r="BQ74" i="32" a="1"/>
  <c r="BQ74" i="32" s="1"/>
  <c r="CY74" i="32" a="1"/>
  <c r="CY74" i="32" s="1"/>
  <c r="CI73" i="32"/>
  <c r="AD73" i="32" s="1"/>
  <c r="CR74" i="32"/>
  <c r="AG74" i="32" s="1"/>
  <c r="BA74" i="32"/>
  <c r="X74" i="32" s="1"/>
  <c r="BE74" i="32"/>
  <c r="Y74" i="32" s="1"/>
  <c r="AY75" i="32" a="1"/>
  <c r="AY75" i="32" s="1"/>
  <c r="CX74" i="32"/>
  <c r="AI74" i="32" s="1"/>
  <c r="DD73" i="32"/>
  <c r="AJ73" i="32" s="1"/>
  <c r="DC74" i="32" a="1"/>
  <c r="DC74" i="32" s="1"/>
  <c r="DA74" i="32" a="1"/>
  <c r="DA74" i="32" s="1"/>
  <c r="CB75" i="32"/>
  <c r="BY75" i="32" s="1" a="1"/>
  <c r="BY75" i="32" s="1"/>
  <c r="DB75" i="32"/>
  <c r="CY75" i="32" s="1" a="1"/>
  <c r="CY75" i="32" s="1"/>
  <c r="CV75" i="32" a="1"/>
  <c r="CV75" i="32" s="1"/>
  <c r="BD75" i="32"/>
  <c r="BC75" i="32" s="1" a="1"/>
  <c r="BC75" i="32" s="1"/>
  <c r="BP75" i="32"/>
  <c r="BL75" i="32" s="1" a="1"/>
  <c r="BL75" i="32" s="1"/>
  <c r="CN75" i="32" a="1"/>
  <c r="CN75" i="32" s="1"/>
  <c r="CQ75" i="32" a="1"/>
  <c r="CQ75" i="32" s="1"/>
  <c r="CM75" i="32" a="1"/>
  <c r="CM75" i="32" s="1"/>
  <c r="CP75" i="32" a="1"/>
  <c r="CP75" i="32" s="1"/>
  <c r="CT75" i="32" a="1"/>
  <c r="CT75" i="32" s="1"/>
  <c r="CJ75" i="32" a="1"/>
  <c r="CJ75" i="32" s="1"/>
  <c r="CH75" i="32" a="1"/>
  <c r="CH75" i="32" s="1"/>
  <c r="CF75" i="32" a="1"/>
  <c r="CF75" i="32" s="1"/>
  <c r="CK75" i="32" a="1"/>
  <c r="CK75" i="32" s="1"/>
  <c r="BS75" i="32" a="1"/>
  <c r="BS75" i="32" s="1"/>
  <c r="BT75" i="32" s="1"/>
  <c r="AA75" i="32" s="1"/>
  <c r="BB75" i="32" a="1"/>
  <c r="BB75" i="32" s="1"/>
  <c r="CS75" i="32" a="1"/>
  <c r="CS75" i="32" s="1"/>
  <c r="BW74" i="32" a="1"/>
  <c r="BW74" i="32" s="1"/>
  <c r="BU74" i="32" a="1"/>
  <c r="BU74" i="32" s="1"/>
  <c r="BV75" i="32"/>
  <c r="AV75" i="32"/>
  <c r="BR73" i="32" a="1"/>
  <c r="BR73" i="32" s="1"/>
  <c r="Z73" i="32" s="1"/>
  <c r="AZ75" i="32" a="1"/>
  <c r="AZ75" i="32" s="1"/>
  <c r="CW75" i="32" a="1"/>
  <c r="CW75" i="32" s="1"/>
  <c r="BO74" i="32" a="1"/>
  <c r="BO74" i="32" s="1"/>
  <c r="BM74" i="32" a="1"/>
  <c r="BM74" i="32" s="1"/>
  <c r="BF74" i="32" a="1"/>
  <c r="BF74" i="32" s="1"/>
  <c r="BL74" i="32" a="1"/>
  <c r="BL74" i="32" s="1"/>
  <c r="BH74" i="32" a="1"/>
  <c r="BH74" i="32" s="1"/>
  <c r="BJ74" i="32" a="1"/>
  <c r="BJ74" i="32" s="1"/>
  <c r="AM76" i="32"/>
  <c r="AU74" i="32" a="1"/>
  <c r="AU74" i="32" s="1"/>
  <c r="AW74" i="32" a="1"/>
  <c r="AW74" i="32" s="1"/>
  <c r="AT74" i="32" a="1"/>
  <c r="AT74" i="32" s="1"/>
  <c r="CH74" i="32" a="1"/>
  <c r="CH74" i="32" s="1"/>
  <c r="CF74" i="32" a="1"/>
  <c r="CF74" i="32" s="1"/>
  <c r="G77" i="32"/>
  <c r="O77" i="32" s="1"/>
  <c r="H77" i="32"/>
  <c r="E78" i="32" s="1" a="1"/>
  <c r="E78" i="32" s="1"/>
  <c r="F78" i="32" s="1" a="1"/>
  <c r="F78" i="32" s="1"/>
  <c r="BY74" i="32" a="1"/>
  <c r="BY74" i="32" s="1"/>
  <c r="BZ74" i="32" a="1"/>
  <c r="BZ74" i="32" s="1"/>
  <c r="CD74" i="32"/>
  <c r="CC74" i="32" s="1" a="1"/>
  <c r="CC74" i="32" s="1"/>
  <c r="CA74" i="32" a="1"/>
  <c r="CA74" i="32" s="1"/>
  <c r="CE73" i="32" a="1"/>
  <c r="CE73" i="32" s="1"/>
  <c r="AC73" i="32" s="1"/>
  <c r="BX73" i="32"/>
  <c r="AB73" i="32" s="1"/>
  <c r="CL74" i="32"/>
  <c r="AE74" i="32" s="1"/>
  <c r="BZ75" i="32" l="1" a="1"/>
  <c r="BZ75" i="32" s="1"/>
  <c r="BF75" i="32" a="1"/>
  <c r="BF75" i="32" s="1"/>
  <c r="DC75" i="32" a="1"/>
  <c r="DC75" i="32" s="1"/>
  <c r="CA75" i="32" a="1"/>
  <c r="CA75" i="32" s="1"/>
  <c r="BE75" i="32"/>
  <c r="Y75" i="32" s="1"/>
  <c r="BJ75" i="32" a="1"/>
  <c r="BJ75" i="32" s="1"/>
  <c r="BO75" i="32" a="1"/>
  <c r="BO75" i="32" s="1"/>
  <c r="DA75" i="32" a="1"/>
  <c r="DA75" i="32" s="1"/>
  <c r="CL75" i="32"/>
  <c r="AE75" i="32" s="1"/>
  <c r="DD74" i="32"/>
  <c r="AJ74" i="32" s="1"/>
  <c r="BQ75" i="32" a="1"/>
  <c r="BQ75" i="32" s="1"/>
  <c r="BI75" i="32" a="1"/>
  <c r="BI75" i="32" s="1"/>
  <c r="CO75" i="32"/>
  <c r="AF75" i="32" s="1"/>
  <c r="CR75" i="32"/>
  <c r="AG75" i="32" s="1"/>
  <c r="BA75" i="32"/>
  <c r="X75" i="32" s="1"/>
  <c r="AX74" i="32" a="1"/>
  <c r="AX74" i="32" s="1"/>
  <c r="W74" i="32" s="1"/>
  <c r="CZ75" i="32" a="1"/>
  <c r="CZ75" i="32" s="1"/>
  <c r="DD75" i="32" s="1"/>
  <c r="AJ75" i="32" s="1"/>
  <c r="BK75" i="32" a="1"/>
  <c r="BK75" i="32" s="1"/>
  <c r="V73" i="32"/>
  <c r="CD75" i="32"/>
  <c r="CC75" i="32" s="1" a="1"/>
  <c r="CC75" i="32" s="1"/>
  <c r="BR74" i="32" a="1"/>
  <c r="BR74" i="32" s="1"/>
  <c r="Z74" i="32" s="1"/>
  <c r="CX75" i="32"/>
  <c r="AI75" i="32" s="1"/>
  <c r="CI74" i="32"/>
  <c r="AD74" i="32" s="1"/>
  <c r="U73" i="32"/>
  <c r="BX74" i="32"/>
  <c r="AB74" i="32" s="1"/>
  <c r="BN75" i="32" a="1"/>
  <c r="BN75" i="32" s="1"/>
  <c r="BM75" i="32" a="1"/>
  <c r="BM75" i="32" s="1"/>
  <c r="BH75" i="32" a="1"/>
  <c r="BH75" i="32" s="1"/>
  <c r="BG75" i="32" a="1"/>
  <c r="BG75" i="32" s="1"/>
  <c r="CU75" i="32"/>
  <c r="AH75" i="32" s="1"/>
  <c r="AW75" i="32" a="1"/>
  <c r="AW75" i="32" s="1"/>
  <c r="AU75" i="32" a="1"/>
  <c r="AU75" i="32" s="1"/>
  <c r="AT75" i="32" a="1"/>
  <c r="AT75" i="32" s="1"/>
  <c r="AX75" i="32" s="1" a="1"/>
  <c r="AX75" i="32" s="1"/>
  <c r="W75" i="32" s="1"/>
  <c r="BU75" i="32" a="1"/>
  <c r="BU75" i="32" s="1"/>
  <c r="BW75" i="32" a="1"/>
  <c r="BW75" i="32" s="1"/>
  <c r="CI75" i="32"/>
  <c r="AD75" i="32" s="1"/>
  <c r="CE74" i="32" a="1"/>
  <c r="CE74" i="32" s="1"/>
  <c r="AC74" i="32" s="1"/>
  <c r="AK73" i="32"/>
  <c r="AN76" i="32"/>
  <c r="AO76" i="32" s="1"/>
  <c r="AP76" i="32" s="1"/>
  <c r="AQ76" i="32" s="1"/>
  <c r="AR76" i="32" s="1"/>
  <c r="AS76" i="32" s="1"/>
  <c r="BB76" i="32" s="1" a="1"/>
  <c r="BB76" i="32" s="1"/>
  <c r="M78" i="32"/>
  <c r="G78" i="32" s="1"/>
  <c r="O78" i="32" s="1"/>
  <c r="T77" i="32"/>
  <c r="P77" i="32"/>
  <c r="Q77" i="32"/>
  <c r="N77" i="32"/>
  <c r="CE75" i="32" l="1" a="1"/>
  <c r="CE75" i="32" s="1"/>
  <c r="AC75" i="32" s="1"/>
  <c r="BR75" i="32" a="1"/>
  <c r="BR75" i="32" s="1"/>
  <c r="Z75" i="32" s="1"/>
  <c r="V74" i="32"/>
  <c r="BX75" i="32"/>
  <c r="AB75" i="32" s="1"/>
  <c r="AZ76" i="32" a="1"/>
  <c r="AZ76" i="32" s="1"/>
  <c r="Q78" i="32"/>
  <c r="P78" i="32"/>
  <c r="N78" i="32"/>
  <c r="CK76" i="32" a="1"/>
  <c r="CK76" i="32" s="1"/>
  <c r="AM77" i="32"/>
  <c r="CT76" i="32" a="1"/>
  <c r="CT76" i="32" s="1"/>
  <c r="BP76" i="32"/>
  <c r="CS76" i="32" a="1"/>
  <c r="CS76" i="32" s="1"/>
  <c r="I78" i="32"/>
  <c r="CW76" i="32" a="1"/>
  <c r="CW76" i="32" s="1"/>
  <c r="CB76" i="32"/>
  <c r="H78" i="32"/>
  <c r="E79" i="32" s="1" a="1"/>
  <c r="E79" i="32" s="1"/>
  <c r="F79" i="32" s="1" a="1"/>
  <c r="F79" i="32" s="1"/>
  <c r="BD76" i="32"/>
  <c r="BC76" i="32" s="1" a="1"/>
  <c r="BC76" i="32" s="1"/>
  <c r="BE76" i="32" s="1"/>
  <c r="Y76" i="32" s="1"/>
  <c r="AY76" i="32" a="1"/>
  <c r="AY76" i="32" s="1"/>
  <c r="BA76" i="32" s="1"/>
  <c r="X76" i="32" s="1"/>
  <c r="BV76" i="32"/>
  <c r="CG76" i="32"/>
  <c r="CV76" i="32" a="1"/>
  <c r="CV76" i="32" s="1"/>
  <c r="CQ76" i="32" a="1"/>
  <c r="CQ76" i="32" s="1"/>
  <c r="CJ76" i="32" a="1"/>
  <c r="CJ76" i="32" s="1"/>
  <c r="CM76" i="32" a="1"/>
  <c r="CM76" i="32" s="1"/>
  <c r="BS76" i="32" a="1"/>
  <c r="BS76" i="32" s="1"/>
  <c r="BT76" i="32" s="1"/>
  <c r="AA76" i="32" s="1"/>
  <c r="AV76" i="32"/>
  <c r="CN76" i="32" a="1"/>
  <c r="CN76" i="32" s="1"/>
  <c r="CP76" i="32" a="1"/>
  <c r="CP76" i="32" s="1"/>
  <c r="U74" i="32"/>
  <c r="AK74" i="32"/>
  <c r="DB76" i="32"/>
  <c r="CR76" i="32" l="1"/>
  <c r="AG76" i="32" s="1"/>
  <c r="AK75" i="32"/>
  <c r="CL76" i="32"/>
  <c r="AE76" i="32" s="1"/>
  <c r="U75" i="32"/>
  <c r="V75" i="32"/>
  <c r="M79" i="32"/>
  <c r="H79" i="32" s="1"/>
  <c r="E80" i="32" s="1" a="1"/>
  <c r="E80" i="32" s="1"/>
  <c r="F80" i="32" s="1" a="1"/>
  <c r="F80" i="32" s="1"/>
  <c r="AN77" i="32"/>
  <c r="AO77" i="32" s="1"/>
  <c r="AP77" i="32" s="1"/>
  <c r="AQ77" i="32" s="1"/>
  <c r="AR77" i="32" s="1"/>
  <c r="AS77" i="32" s="1"/>
  <c r="CJ77" i="32" s="1" a="1"/>
  <c r="CJ77" i="32" s="1"/>
  <c r="CD76" i="32"/>
  <c r="CC76" i="32" s="1" a="1"/>
  <c r="CC76" i="32" s="1"/>
  <c r="BZ76" i="32" a="1"/>
  <c r="BZ76" i="32" s="1"/>
  <c r="CA76" i="32" a="1"/>
  <c r="CA76" i="32" s="1"/>
  <c r="BY76" i="32" a="1"/>
  <c r="BY76" i="32" s="1"/>
  <c r="CU76" i="32"/>
  <c r="AH76" i="32" s="1"/>
  <c r="CZ76" i="32" a="1"/>
  <c r="CZ76" i="32" s="1"/>
  <c r="DA76" i="32" a="1"/>
  <c r="DA76" i="32" s="1"/>
  <c r="DC76" i="32" a="1"/>
  <c r="DC76" i="32" s="1"/>
  <c r="CY76" i="32" a="1"/>
  <c r="CY76" i="32" s="1"/>
  <c r="AT76" i="32" a="1"/>
  <c r="AT76" i="32" s="1"/>
  <c r="AU76" i="32" a="1"/>
  <c r="AU76" i="32" s="1"/>
  <c r="AW76" i="32" a="1"/>
  <c r="AW76" i="32" s="1"/>
  <c r="BG76" i="32" a="1"/>
  <c r="BG76" i="32" s="1"/>
  <c r="BQ76" i="32" a="1"/>
  <c r="BQ76" i="32" s="1"/>
  <c r="BO76" i="32" a="1"/>
  <c r="BO76" i="32" s="1"/>
  <c r="BK76" i="32" a="1"/>
  <c r="BK76" i="32" s="1"/>
  <c r="BF76" i="32" a="1"/>
  <c r="BF76" i="32" s="1"/>
  <c r="BL76" i="32" a="1"/>
  <c r="BL76" i="32" s="1"/>
  <c r="BH76" i="32" a="1"/>
  <c r="BH76" i="32" s="1"/>
  <c r="BI76" i="32" a="1"/>
  <c r="BI76" i="32" s="1"/>
  <c r="BN76" i="32" a="1"/>
  <c r="BN76" i="32" s="1"/>
  <c r="BM76" i="32" a="1"/>
  <c r="BM76" i="32" s="1"/>
  <c r="BJ76" i="32" a="1"/>
  <c r="BJ76" i="32" s="1"/>
  <c r="CO76" i="32"/>
  <c r="AF76" i="32" s="1"/>
  <c r="CX76" i="32"/>
  <c r="AI76" i="32" s="1"/>
  <c r="CH76" i="32" a="1"/>
  <c r="CH76" i="32" s="1"/>
  <c r="CF76" i="32" a="1"/>
  <c r="CF76" i="32" s="1"/>
  <c r="BW76" i="32" a="1"/>
  <c r="BW76" i="32" s="1"/>
  <c r="BU76" i="32" a="1"/>
  <c r="BU76" i="32" s="1"/>
  <c r="CI76" i="32" l="1"/>
  <c r="AD76" i="32" s="1"/>
  <c r="DD76" i="32"/>
  <c r="AJ76" i="32" s="1"/>
  <c r="G79" i="32"/>
  <c r="O79" i="32" s="1"/>
  <c r="CG77" i="32"/>
  <c r="CF77" i="32" s="1" a="1"/>
  <c r="CF77" i="32" s="1"/>
  <c r="BS77" i="32" a="1"/>
  <c r="BS77" i="32" s="1"/>
  <c r="BT77" i="32" s="1"/>
  <c r="AA77" i="32" s="1"/>
  <c r="AA16" i="32" s="1"/>
  <c r="M80" i="32"/>
  <c r="H80" i="32" s="1"/>
  <c r="E81" i="32" s="1" a="1"/>
  <c r="E81" i="32" s="1"/>
  <c r="F81" i="32" s="1" a="1"/>
  <c r="F81" i="32" s="1"/>
  <c r="AX76" i="32" a="1"/>
  <c r="AX76" i="32" s="1"/>
  <c r="W76" i="32" s="1"/>
  <c r="CT77" i="32" a="1"/>
  <c r="CT77" i="32" s="1"/>
  <c r="CN77" i="32" a="1"/>
  <c r="CN77" i="32" s="1"/>
  <c r="CQ77" i="32" a="1"/>
  <c r="CQ77" i="32" s="1"/>
  <c r="AZ77" i="32" a="1"/>
  <c r="AZ77" i="32" s="1"/>
  <c r="AV77" i="32"/>
  <c r="BD77" i="32"/>
  <c r="BC77" i="32" s="1" a="1"/>
  <c r="BC77" i="32" s="1"/>
  <c r="BV77" i="32"/>
  <c r="CE76" i="32" a="1"/>
  <c r="CE76" i="32" s="1"/>
  <c r="AC76" i="32" s="1"/>
  <c r="CK77" i="32" a="1"/>
  <c r="CK77" i="32" s="1"/>
  <c r="CL77" i="32" s="1"/>
  <c r="AE77" i="32" s="1"/>
  <c r="AE16" i="32" s="1"/>
  <c r="CB77" i="32"/>
  <c r="BB77" i="32" a="1"/>
  <c r="BB77" i="32" s="1"/>
  <c r="CV77" i="32" a="1"/>
  <c r="CV77" i="32" s="1"/>
  <c r="CS77" i="32" a="1"/>
  <c r="CS77" i="32" s="1"/>
  <c r="CM77" i="32" a="1"/>
  <c r="CM77" i="32" s="1"/>
  <c r="BP77" i="32"/>
  <c r="DB77" i="32"/>
  <c r="AY77" i="32" a="1"/>
  <c r="AY77" i="32" s="1"/>
  <c r="BA77" i="32" s="1"/>
  <c r="X77" i="32" s="1"/>
  <c r="X16" i="32" s="1"/>
  <c r="CP77" i="32" a="1"/>
  <c r="CP77" i="32" s="1"/>
  <c r="P79" i="32"/>
  <c r="Q79" i="32"/>
  <c r="N79" i="32"/>
  <c r="BR76" i="32" a="1"/>
  <c r="BR76" i="32" s="1"/>
  <c r="Z76" i="32" s="1"/>
  <c r="I79" i="32"/>
  <c r="BX76" i="32"/>
  <c r="AB76" i="32" s="1"/>
  <c r="CW77" i="32" a="1"/>
  <c r="CW77" i="32" s="1"/>
  <c r="CH77" i="32" l="1" a="1"/>
  <c r="CH77" i="32" s="1"/>
  <c r="CI77" i="32" s="1"/>
  <c r="AD77" i="32" s="1"/>
  <c r="AD16" i="32" s="1"/>
  <c r="CR77" i="32"/>
  <c r="AG77" i="32" s="1"/>
  <c r="AG16" i="32" s="1"/>
  <c r="G80" i="32"/>
  <c r="O80" i="32" s="1"/>
  <c r="CO77" i="32"/>
  <c r="AF77" i="32" s="1"/>
  <c r="AF16" i="32" s="1"/>
  <c r="I80" i="32"/>
  <c r="M81" i="32"/>
  <c r="I81" i="32" s="1"/>
  <c r="BU77" i="32" a="1"/>
  <c r="BU77" i="32" s="1"/>
  <c r="BW77" i="32" a="1"/>
  <c r="BW77" i="32" s="1"/>
  <c r="AW77" i="32" a="1"/>
  <c r="AW77" i="32" s="1"/>
  <c r="AU77" i="32" a="1"/>
  <c r="AU77" i="32" s="1"/>
  <c r="AT77" i="32" a="1"/>
  <c r="AT77" i="32" s="1"/>
  <c r="DA77" i="32" a="1"/>
  <c r="DA77" i="32" s="1"/>
  <c r="DC77" i="32" a="1"/>
  <c r="DC77" i="32" s="1"/>
  <c r="CZ77" i="32" a="1"/>
  <c r="CZ77" i="32" s="1"/>
  <c r="CY77" i="32" a="1"/>
  <c r="CY77" i="32" s="1"/>
  <c r="BF77" i="32" a="1"/>
  <c r="BF77" i="32" s="1"/>
  <c r="BO77" i="32" a="1"/>
  <c r="BO77" i="32" s="1"/>
  <c r="BL77" i="32" a="1"/>
  <c r="BL77" i="32" s="1"/>
  <c r="BK77" i="32" a="1"/>
  <c r="BK77" i="32" s="1"/>
  <c r="BJ77" i="32" a="1"/>
  <c r="BJ77" i="32" s="1"/>
  <c r="BN77" i="32" a="1"/>
  <c r="BN77" i="32" s="1"/>
  <c r="BQ77" i="32" a="1"/>
  <c r="BQ77" i="32" s="1"/>
  <c r="BI77" i="32" a="1"/>
  <c r="BI77" i="32" s="1"/>
  <c r="BG77" i="32" a="1"/>
  <c r="BG77" i="32" s="1"/>
  <c r="BH77" i="32" a="1"/>
  <c r="BH77" i="32" s="1"/>
  <c r="BM77" i="32" a="1"/>
  <c r="BM77" i="32" s="1"/>
  <c r="AK76" i="32"/>
  <c r="V76" i="32"/>
  <c r="U76" i="32"/>
  <c r="Q80" i="32"/>
  <c r="P80" i="32"/>
  <c r="N80" i="32"/>
  <c r="CU77" i="32"/>
  <c r="AH77" i="32" s="1"/>
  <c r="AH16" i="32" s="1"/>
  <c r="CX77" i="32"/>
  <c r="AI77" i="32" s="1"/>
  <c r="AI16" i="32" s="1"/>
  <c r="BE77" i="32"/>
  <c r="Y77" i="32" s="1"/>
  <c r="Y16" i="32" s="1"/>
  <c r="BZ77" i="32" a="1"/>
  <c r="BZ77" i="32" s="1"/>
  <c r="CA77" i="32" a="1"/>
  <c r="CA77" i="32" s="1"/>
  <c r="BY77" i="32" a="1"/>
  <c r="BY77" i="32" s="1"/>
  <c r="CD77" i="32"/>
  <c r="CC77" i="32" s="1" a="1"/>
  <c r="CC77" i="32" s="1"/>
  <c r="AX77" i="32" l="1" a="1"/>
  <c r="AX77" i="32" s="1"/>
  <c r="W77" i="32" s="1"/>
  <c r="W16" i="32" s="1"/>
  <c r="BX77" i="32"/>
  <c r="AB77" i="32" s="1"/>
  <c r="AB16" i="32" s="1"/>
  <c r="DD77" i="32"/>
  <c r="AJ77" i="32" s="1"/>
  <c r="AJ16" i="32" s="1"/>
  <c r="BR77" i="32" a="1"/>
  <c r="BR77" i="32" s="1"/>
  <c r="Z77" i="32" s="1"/>
  <c r="Z16" i="32" s="1"/>
  <c r="CE77" i="32" a="1"/>
  <c r="CE77" i="32" s="1"/>
  <c r="AC77" i="32" s="1"/>
  <c r="AC16" i="32" s="1"/>
  <c r="G81" i="32"/>
  <c r="O81" i="32" s="1"/>
  <c r="H81" i="32"/>
  <c r="E82" i="32" s="1" a="1"/>
  <c r="E82" i="32" s="1"/>
  <c r="F82" i="32" s="1" a="1"/>
  <c r="F82" i="32" s="1"/>
  <c r="U77" i="32" l="1"/>
  <c r="AK77" i="32"/>
  <c r="M82" i="32"/>
  <c r="H82" i="32" s="1"/>
  <c r="E83" i="32" s="1" a="1"/>
  <c r="E83" i="32" s="1"/>
  <c r="F83" i="32" s="1" a="1"/>
  <c r="F83" i="32" s="1"/>
  <c r="N81" i="32"/>
  <c r="Q81" i="32"/>
  <c r="P81" i="32"/>
  <c r="V77" i="32"/>
  <c r="G82" i="32" l="1"/>
  <c r="O82" i="32" s="1"/>
  <c r="P82" i="32" s="1"/>
  <c r="I82" i="32"/>
  <c r="M83" i="32"/>
  <c r="G83" i="32" s="1"/>
  <c r="O83" i="32" s="1"/>
  <c r="Q82" i="32" l="1"/>
  <c r="N82" i="32"/>
  <c r="P83" i="32"/>
  <c r="N83" i="32"/>
  <c r="Q83" i="32"/>
  <c r="H83" i="32"/>
  <c r="E84" i="32" s="1" a="1"/>
  <c r="E84" i="32" s="1"/>
  <c r="F84" i="32" s="1" a="1"/>
  <c r="F84" i="32" s="1"/>
  <c r="I83" i="32"/>
  <c r="M84" i="32" l="1"/>
  <c r="I84" i="32" s="1"/>
  <c r="G84" i="32" l="1"/>
  <c r="O84" i="32" s="1"/>
  <c r="P84" i="32" s="1"/>
  <c r="H84" i="32"/>
  <c r="E85" i="32" s="1" a="1"/>
  <c r="E85" i="32" s="1"/>
  <c r="F85" i="32" s="1" a="1"/>
  <c r="F85" i="32" s="1"/>
  <c r="Q84" i="32" l="1"/>
  <c r="N84" i="32"/>
  <c r="M85" i="32"/>
  <c r="I85" i="32" s="1"/>
  <c r="G85" i="32" l="1"/>
  <c r="O85" i="32" s="1"/>
  <c r="Q85" i="32" s="1"/>
  <c r="H85" i="32"/>
  <c r="E86" i="32" s="1" a="1"/>
  <c r="E86" i="32" s="1"/>
  <c r="F86" i="32" s="1" a="1"/>
  <c r="F86" i="32" s="1"/>
  <c r="P85" i="32" l="1"/>
  <c r="N85" i="32"/>
  <c r="M86" i="32"/>
  <c r="H86" i="32" s="1"/>
  <c r="E87" i="32" s="1" a="1"/>
  <c r="E87" i="32" s="1"/>
  <c r="F87" i="32" s="1" a="1"/>
  <c r="F87" i="32" s="1"/>
  <c r="M87" i="32" l="1"/>
  <c r="G87" i="32" s="1"/>
  <c r="O87" i="32" s="1"/>
  <c r="I86" i="32"/>
  <c r="G86" i="32"/>
  <c r="O86" i="32" s="1"/>
  <c r="H87" i="32" l="1"/>
  <c r="E88" i="32" s="1" a="1"/>
  <c r="E88" i="32" s="1"/>
  <c r="F88" i="32" s="1" a="1"/>
  <c r="F88" i="32" s="1"/>
  <c r="M88" i="32" s="1"/>
  <c r="H88" i="32" s="1"/>
  <c r="E89" i="32" s="1" a="1"/>
  <c r="E89" i="32" s="1"/>
  <c r="F89" i="32" s="1" a="1"/>
  <c r="F89" i="32" s="1"/>
  <c r="I87" i="32"/>
  <c r="N87" i="32"/>
  <c r="P87" i="32"/>
  <c r="Q87" i="32"/>
  <c r="N86" i="32"/>
  <c r="Q86" i="32"/>
  <c r="P86" i="32"/>
  <c r="M89" i="32" l="1"/>
  <c r="G89" i="32" s="1"/>
  <c r="O89" i="32" s="1"/>
  <c r="I88" i="32"/>
  <c r="G88" i="32"/>
  <c r="O88" i="32" s="1"/>
  <c r="H89" i="32" l="1"/>
  <c r="E90" i="32" s="1" a="1"/>
  <c r="E90" i="32" s="1"/>
  <c r="F90" i="32" s="1" a="1"/>
  <c r="F90" i="32" s="1"/>
  <c r="M90" i="32" s="1"/>
  <c r="H90" i="32" s="1"/>
  <c r="E91" i="32" s="1" a="1"/>
  <c r="E91" i="32" s="1"/>
  <c r="F91" i="32" s="1" a="1"/>
  <c r="F91" i="32" s="1"/>
  <c r="I89" i="32"/>
  <c r="Q89" i="32"/>
  <c r="P89" i="32"/>
  <c r="N89" i="32"/>
  <c r="P88" i="32"/>
  <c r="N88" i="32"/>
  <c r="Q88" i="32"/>
  <c r="M91" i="32" l="1"/>
  <c r="G91" i="32" s="1"/>
  <c r="O91" i="32" s="1"/>
  <c r="G90" i="32"/>
  <c r="O90" i="32" s="1"/>
  <c r="I90" i="32"/>
  <c r="P91" i="32" l="1"/>
  <c r="Q91" i="32"/>
  <c r="N91" i="32"/>
  <c r="H91" i="32"/>
  <c r="E92" i="32" s="1" a="1"/>
  <c r="E92" i="32" s="1"/>
  <c r="F92" i="32" s="1" a="1"/>
  <c r="F92" i="32" s="1"/>
  <c r="I91" i="32"/>
  <c r="Q90" i="32"/>
  <c r="N90" i="32"/>
  <c r="P90" i="32"/>
  <c r="M92" i="32" l="1"/>
  <c r="I92" i="32" s="1"/>
  <c r="G92" i="32" l="1"/>
  <c r="O92" i="32" s="1"/>
  <c r="P92" i="32" s="1"/>
  <c r="H92" i="32"/>
  <c r="E93" i="32" s="1" a="1"/>
  <c r="E93" i="32" s="1"/>
  <c r="F93" i="32" s="1" a="1"/>
  <c r="F93" i="32" s="1"/>
  <c r="M93" i="32" s="1"/>
  <c r="I93" i="32" s="1"/>
  <c r="N92" i="32" l="1"/>
  <c r="Q92" i="32"/>
  <c r="H93" i="32"/>
  <c r="E94" i="32" s="1" a="1"/>
  <c r="E94" i="32" s="1"/>
  <c r="F94" i="32" s="1" a="1"/>
  <c r="F94" i="32" s="1"/>
  <c r="M94" i="32" s="1"/>
  <c r="G94" i="32" s="1"/>
  <c r="O94" i="32" s="1"/>
  <c r="G93" i="32"/>
  <c r="O93" i="32" s="1"/>
  <c r="H94" i="32" l="1"/>
  <c r="E95" i="32" s="1" a="1"/>
  <c r="E95" i="32" s="1"/>
  <c r="F95" i="32" s="1" a="1"/>
  <c r="F95" i="32" s="1"/>
  <c r="M95" i="32" s="1"/>
  <c r="G95" i="32" s="1"/>
  <c r="O95" i="32" s="1"/>
  <c r="I94" i="32"/>
  <c r="Q94" i="32"/>
  <c r="P94" i="32"/>
  <c r="N94" i="32"/>
  <c r="N93" i="32"/>
  <c r="P93" i="32"/>
  <c r="Q93" i="32"/>
  <c r="P95" i="32" l="1"/>
  <c r="Q95" i="32"/>
  <c r="N95" i="32"/>
  <c r="I95" i="32"/>
  <c r="H95" i="32"/>
  <c r="E96" i="32" s="1" a="1"/>
  <c r="E96" i="32" s="1"/>
  <c r="F96" i="32" s="1" a="1"/>
  <c r="F96" i="32" s="1"/>
  <c r="M96" i="32" l="1"/>
  <c r="H96" i="32" s="1"/>
  <c r="E97" i="32" s="1" a="1"/>
  <c r="E97" i="32" s="1"/>
  <c r="F97" i="32" s="1" a="1"/>
  <c r="F97" i="32" s="1"/>
  <c r="I96" i="32" l="1"/>
  <c r="M97" i="32"/>
  <c r="I97" i="32" s="1"/>
  <c r="G96" i="32"/>
  <c r="O96" i="32" s="1"/>
  <c r="G97" i="32" l="1"/>
  <c r="O97" i="32" s="1"/>
  <c r="N97" i="32" s="1"/>
  <c r="Q96" i="32"/>
  <c r="P96" i="32"/>
  <c r="N96" i="32"/>
  <c r="H97" i="32"/>
  <c r="E98" i="32" s="1" a="1"/>
  <c r="E98" i="32" s="1"/>
  <c r="F98" i="32" s="1" a="1"/>
  <c r="F98" i="32" s="1"/>
  <c r="P97" i="32" l="1"/>
  <c r="Q97" i="32"/>
  <c r="M98" i="32"/>
  <c r="H98" i="32" s="1"/>
  <c r="E99" i="32" s="1" a="1"/>
  <c r="E99" i="32" s="1"/>
  <c r="F99" i="32" s="1" a="1"/>
  <c r="F99" i="32" s="1"/>
  <c r="G98" i="32" l="1"/>
  <c r="O98" i="32" s="1"/>
  <c r="P98" i="32" s="1"/>
  <c r="I98" i="32"/>
  <c r="M99" i="32"/>
  <c r="G99" i="32" s="1"/>
  <c r="O99" i="32" s="1"/>
  <c r="Q98" i="32" l="1"/>
  <c r="N98" i="32"/>
  <c r="P99" i="32"/>
  <c r="N99" i="32"/>
  <c r="Q99" i="32"/>
  <c r="I99" i="32"/>
  <c r="H99" i="32"/>
  <c r="E100" i="32" s="1" a="1"/>
  <c r="E100" i="32" s="1"/>
  <c r="F100" i="32" s="1" a="1"/>
  <c r="F100" i="32" s="1"/>
  <c r="M100" i="32" l="1"/>
  <c r="G100" i="32" s="1"/>
  <c r="O100" i="32" s="1"/>
  <c r="Q100" i="32" l="1"/>
  <c r="P100" i="32"/>
  <c r="N100" i="32"/>
  <c r="I100" i="32"/>
  <c r="H100" i="32"/>
  <c r="E101" i="32" s="1" a="1"/>
  <c r="E101" i="32" s="1"/>
  <c r="F101" i="32" s="1" a="1"/>
  <c r="F101" i="32" s="1"/>
  <c r="M101" i="32" l="1"/>
  <c r="I101" i="32" s="1"/>
  <c r="H101" i="32" l="1"/>
  <c r="E102" i="32" s="1" a="1"/>
  <c r="E102" i="32" s="1"/>
  <c r="F102" i="32" s="1" a="1"/>
  <c r="F102" i="32" s="1"/>
  <c r="M102" i="32" s="1"/>
  <c r="H102" i="32" s="1"/>
  <c r="E103" i="32" s="1" a="1"/>
  <c r="E103" i="32" s="1"/>
  <c r="F103" i="32" s="1" a="1"/>
  <c r="F103" i="32" s="1"/>
  <c r="G101" i="32"/>
  <c r="O101" i="32" s="1"/>
  <c r="M103" i="32" l="1"/>
  <c r="G103" i="32" s="1"/>
  <c r="O103" i="32" s="1"/>
  <c r="N101" i="32"/>
  <c r="P101" i="32"/>
  <c r="Q101" i="32"/>
  <c r="G102" i="32"/>
  <c r="O102" i="32" s="1"/>
  <c r="I102" i="32"/>
  <c r="H103" i="32" l="1"/>
  <c r="E104" i="32" s="1" a="1"/>
  <c r="E104" i="32" s="1"/>
  <c r="F104" i="32" s="1" a="1"/>
  <c r="F104" i="32" s="1"/>
  <c r="M104" i="32" s="1"/>
  <c r="H104" i="32" s="1"/>
  <c r="E105" i="32" s="1" a="1"/>
  <c r="E105" i="32" s="1"/>
  <c r="F105" i="32" s="1" a="1"/>
  <c r="F105" i="32" s="1"/>
  <c r="N103" i="32"/>
  <c r="Q103" i="32"/>
  <c r="P103" i="32"/>
  <c r="N102" i="32"/>
  <c r="Q102" i="32"/>
  <c r="P102" i="32"/>
  <c r="I103" i="32"/>
  <c r="M105" i="32" l="1"/>
  <c r="I105" i="32" s="1"/>
  <c r="G104" i="32"/>
  <c r="O104" i="32" s="1"/>
  <c r="I104" i="32"/>
  <c r="H105" i="32" l="1"/>
  <c r="E106" i="32" s="1" a="1"/>
  <c r="E106" i="32" s="1"/>
  <c r="F106" i="32" s="1" a="1"/>
  <c r="F106" i="32" s="1"/>
  <c r="M106" i="32" s="1"/>
  <c r="I106" i="32" s="1"/>
  <c r="G105" i="32"/>
  <c r="O105" i="32" s="1"/>
  <c r="P105" i="32" s="1"/>
  <c r="P104" i="32"/>
  <c r="N104" i="32"/>
  <c r="Q104" i="32"/>
  <c r="N105" i="32" l="1"/>
  <c r="Q105" i="32"/>
  <c r="G106" i="32"/>
  <c r="O106" i="32" s="1"/>
  <c r="Q106" i="32" s="1"/>
  <c r="H106" i="32"/>
  <c r="E107" i="32" s="1" a="1"/>
  <c r="E107" i="32" s="1"/>
  <c r="F107" i="32" s="1" a="1"/>
  <c r="F107" i="32" s="1"/>
  <c r="M107" i="32" s="1"/>
  <c r="I107" i="32" s="1"/>
  <c r="P106" i="32" l="1"/>
  <c r="N106" i="32"/>
  <c r="H107" i="32"/>
  <c r="E108" i="32" s="1" a="1"/>
  <c r="E108" i="32" s="1"/>
  <c r="F108" i="32" s="1" a="1"/>
  <c r="F108" i="32" s="1"/>
  <c r="G107" i="32"/>
  <c r="O107" i="32" s="1"/>
  <c r="P107" i="32" l="1"/>
  <c r="N107" i="32"/>
  <c r="Q107" i="32"/>
  <c r="M108" i="32"/>
  <c r="I108" i="32" s="1"/>
  <c r="G108" i="32" l="1"/>
  <c r="O108" i="32" s="1"/>
  <c r="P108" i="32" s="1"/>
  <c r="H108" i="32"/>
  <c r="E109" i="32" s="1" a="1"/>
  <c r="E109" i="32" s="1"/>
  <c r="F109" i="32" s="1" a="1"/>
  <c r="F109" i="32" s="1"/>
  <c r="M109" i="32" s="1"/>
  <c r="I109" i="32" s="1"/>
  <c r="N108" i="32" l="1"/>
  <c r="Q108" i="32"/>
  <c r="G109" i="32"/>
  <c r="O109" i="32" s="1"/>
  <c r="H109" i="32"/>
  <c r="E110" i="32" s="1" a="1"/>
  <c r="E110" i="32" s="1"/>
  <c r="F110" i="32" s="1" a="1"/>
  <c r="F110" i="32" s="1"/>
  <c r="M110" i="32" l="1"/>
  <c r="G110" i="32" s="1"/>
  <c r="O110" i="32" s="1"/>
  <c r="N109" i="32"/>
  <c r="Q109" i="32"/>
  <c r="P109" i="32"/>
  <c r="H110" i="32" l="1"/>
  <c r="E111" i="32" s="1" a="1"/>
  <c r="E111" i="32" s="1"/>
  <c r="F111" i="32" s="1" a="1"/>
  <c r="F111" i="32" s="1"/>
  <c r="M111" i="32" s="1"/>
  <c r="I111" i="32" s="1"/>
  <c r="I110" i="32"/>
  <c r="Q110" i="32"/>
  <c r="P110" i="32"/>
  <c r="N110" i="32"/>
  <c r="G111" i="32" l="1"/>
  <c r="O111" i="32" s="1"/>
  <c r="H111" i="32"/>
  <c r="E112" i="32" s="1" a="1"/>
  <c r="E112" i="32" s="1"/>
  <c r="F112" i="32" s="1" a="1"/>
  <c r="F112" i="32" s="1"/>
  <c r="M112" i="32" l="1"/>
  <c r="I112" i="32" s="1"/>
  <c r="P111" i="32"/>
  <c r="N111" i="32"/>
  <c r="Q111" i="32"/>
  <c r="G112" i="32" l="1"/>
  <c r="O112" i="32" s="1"/>
  <c r="H112" i="32"/>
  <c r="E113" i="32" s="1" a="1"/>
  <c r="E113" i="32" s="1"/>
  <c r="F113" i="32" s="1" a="1"/>
  <c r="F113" i="32" s="1"/>
  <c r="M113" i="32" l="1"/>
  <c r="I113" i="32" s="1"/>
  <c r="P112" i="32"/>
  <c r="N112" i="32"/>
  <c r="Q112" i="32"/>
  <c r="G113" i="32" l="1"/>
  <c r="O113" i="32" s="1"/>
  <c r="N113" i="32" s="1"/>
  <c r="H113" i="32"/>
  <c r="E114" i="32" s="1" a="1"/>
  <c r="E114" i="32" s="1"/>
  <c r="F114" i="32" s="1" a="1"/>
  <c r="F114" i="32" s="1"/>
  <c r="P113" i="32" l="1"/>
  <c r="Q113" i="32"/>
  <c r="M114" i="32"/>
  <c r="H114" i="32" s="1"/>
  <c r="E115" i="32" s="1" a="1"/>
  <c r="E115" i="32" s="1"/>
  <c r="F115" i="32" s="1" a="1"/>
  <c r="F115" i="32" s="1"/>
  <c r="G114" i="32" l="1"/>
  <c r="O114" i="32" s="1"/>
  <c r="Q114" i="32" s="1"/>
  <c r="M115" i="32"/>
  <c r="G115" i="32" s="1"/>
  <c r="O115" i="32" s="1"/>
  <c r="I114" i="32"/>
  <c r="N114" i="32" l="1"/>
  <c r="P114" i="32"/>
  <c r="N115" i="32"/>
  <c r="Q115" i="32"/>
  <c r="P115" i="32"/>
  <c r="H115" i="32"/>
  <c r="E116" i="32" s="1" a="1"/>
  <c r="E116" i="32" s="1"/>
  <c r="F116" i="32" s="1" a="1"/>
  <c r="F116" i="32" s="1"/>
  <c r="I115" i="32"/>
  <c r="M116" i="32" l="1"/>
  <c r="G116" i="32" s="1"/>
  <c r="O116" i="32" s="1"/>
  <c r="N116" i="32" l="1"/>
  <c r="Q116" i="32"/>
  <c r="P116" i="32"/>
  <c r="I116" i="32"/>
  <c r="H116" i="32"/>
  <c r="E117" i="32" s="1" a="1"/>
  <c r="E117" i="32" s="1"/>
  <c r="F117" i="32" s="1" a="1"/>
  <c r="F117" i="32" s="1"/>
  <c r="M117" i="32" l="1"/>
  <c r="I117" i="32" s="1"/>
  <c r="H117" i="32" l="1"/>
  <c r="E118" i="32" s="1" a="1"/>
  <c r="E118" i="32" s="1"/>
  <c r="F118" i="32" s="1" a="1"/>
  <c r="F118" i="32" s="1"/>
  <c r="M118" i="32" s="1"/>
  <c r="H118" i="32" s="1"/>
  <c r="E119" i="32" s="1" a="1"/>
  <c r="E119" i="32" s="1"/>
  <c r="F119" i="32" s="1" a="1"/>
  <c r="F119" i="32" s="1"/>
  <c r="G117" i="32"/>
  <c r="O117" i="32" s="1"/>
  <c r="M119" i="32" l="1"/>
  <c r="G119" i="32" s="1"/>
  <c r="O119" i="32" s="1"/>
  <c r="G118" i="32"/>
  <c r="O118" i="32" s="1"/>
  <c r="I118" i="32"/>
  <c r="N117" i="32"/>
  <c r="Q117" i="32"/>
  <c r="P117" i="32"/>
  <c r="H119" i="32" l="1"/>
  <c r="E120" i="32" s="1" a="1"/>
  <c r="E120" i="32" s="1"/>
  <c r="F120" i="32" s="1" a="1"/>
  <c r="F120" i="32" s="1"/>
  <c r="M120" i="32" s="1"/>
  <c r="G120" i="32" s="1"/>
  <c r="O120" i="32" s="1"/>
  <c r="I119" i="32"/>
  <c r="Q119" i="32"/>
  <c r="P119" i="32"/>
  <c r="N119" i="32"/>
  <c r="N118" i="32"/>
  <c r="Q118" i="32"/>
  <c r="P118" i="32"/>
  <c r="I120" i="32" l="1"/>
  <c r="H120" i="32"/>
  <c r="E121" i="32" s="1" a="1"/>
  <c r="E121" i="32" s="1"/>
  <c r="F121" i="32" s="1" a="1"/>
  <c r="F121" i="32" s="1"/>
  <c r="N120" i="32"/>
  <c r="Q120" i="32"/>
  <c r="P120" i="32"/>
  <c r="M121" i="32" l="1"/>
  <c r="H121" i="32" s="1"/>
  <c r="E122" i="32" s="1" a="1"/>
  <c r="E122" i="32" s="1"/>
  <c r="F122" i="32" s="1" a="1"/>
  <c r="F122" i="32" s="1"/>
  <c r="M122" i="32" s="1"/>
  <c r="H122" i="32" s="1"/>
  <c r="E123" i="32" s="1" a="1"/>
  <c r="E123" i="32" s="1"/>
  <c r="F123" i="32" s="1" a="1"/>
  <c r="F123" i="32" s="1"/>
  <c r="G122" i="32" l="1"/>
  <c r="O122" i="32" s="1"/>
  <c r="N122" i="32" s="1"/>
  <c r="G121" i="32"/>
  <c r="O121" i="32" s="1"/>
  <c r="I121" i="32"/>
  <c r="M123" i="32"/>
  <c r="I123" i="32" s="1"/>
  <c r="I122" i="32"/>
  <c r="Q122" i="32" l="1"/>
  <c r="P122" i="32"/>
  <c r="Q121" i="32"/>
  <c r="P121" i="32"/>
  <c r="N121" i="32"/>
  <c r="G123" i="32"/>
  <c r="O123" i="32" s="1"/>
  <c r="H123" i="32"/>
  <c r="E124" i="32" s="1" a="1"/>
  <c r="E124" i="32" s="1"/>
  <c r="F124" i="32" s="1" a="1"/>
  <c r="F124" i="32" s="1"/>
  <c r="M124" i="32" l="1"/>
  <c r="G124" i="32" s="1"/>
  <c r="O124" i="32" s="1"/>
  <c r="P123" i="32"/>
  <c r="N123" i="32"/>
  <c r="Q123" i="32"/>
  <c r="P124" i="32" l="1"/>
  <c r="Q124" i="32"/>
  <c r="N124" i="32"/>
  <c r="H124" i="32"/>
  <c r="E125" i="32" s="1" a="1"/>
  <c r="E125" i="32" s="1"/>
  <c r="F125" i="32" s="1" a="1"/>
  <c r="F125" i="32" s="1"/>
  <c r="I124" i="32"/>
  <c r="M125" i="32" l="1"/>
  <c r="I125" i="32" s="1"/>
  <c r="G125" i="32" l="1"/>
  <c r="O125" i="32" s="1"/>
  <c r="H125" i="32"/>
  <c r="E126" i="32" s="1" a="1"/>
  <c r="E126" i="32" s="1"/>
  <c r="F126" i="32" s="1" a="1"/>
  <c r="F126" i="32" s="1"/>
  <c r="M126" i="32" l="1"/>
  <c r="I126" i="32" s="1"/>
  <c r="N125" i="32"/>
  <c r="Q125" i="32"/>
  <c r="P125" i="32"/>
  <c r="G126" i="32" l="1"/>
  <c r="O126" i="32" s="1"/>
  <c r="Q126" i="32" s="1"/>
  <c r="H126" i="32"/>
  <c r="E127" i="32" s="1" a="1"/>
  <c r="E127" i="32" s="1"/>
  <c r="F127" i="32" s="1" a="1"/>
  <c r="F127" i="32" s="1"/>
  <c r="M127" i="32" s="1"/>
  <c r="I127" i="32" s="1"/>
  <c r="N126" i="32" l="1"/>
  <c r="P126" i="32"/>
  <c r="G127" i="32"/>
  <c r="O127" i="32" s="1"/>
  <c r="P127" i="32" s="1"/>
  <c r="H127" i="32"/>
  <c r="E128" i="32" s="1" a="1"/>
  <c r="E128" i="32" s="1"/>
  <c r="F128" i="32" s="1" a="1"/>
  <c r="F128" i="32" s="1"/>
  <c r="M128" i="32" s="1"/>
  <c r="G128" i="32" s="1"/>
  <c r="O128" i="32" s="1"/>
  <c r="N127" i="32" l="1"/>
  <c r="Q127" i="32"/>
  <c r="H128" i="32"/>
  <c r="E129" i="32" s="1" a="1"/>
  <c r="E129" i="32" s="1"/>
  <c r="F129" i="32" s="1" a="1"/>
  <c r="F129" i="32" s="1"/>
  <c r="M129" i="32" s="1"/>
  <c r="G129" i="32" s="1"/>
  <c r="O129" i="32" s="1"/>
  <c r="I128" i="32"/>
  <c r="N128" i="32"/>
  <c r="Q128" i="32"/>
  <c r="P128" i="32"/>
  <c r="N129" i="32" l="1"/>
  <c r="Q129" i="32"/>
  <c r="P129" i="32"/>
  <c r="H129" i="32"/>
  <c r="E130" i="32" s="1" a="1"/>
  <c r="E130" i="32" s="1"/>
  <c r="F130" i="32" s="1" a="1"/>
  <c r="F130" i="32" s="1"/>
  <c r="I129" i="32"/>
  <c r="M130" i="32" l="1"/>
  <c r="H130" i="32" s="1"/>
  <c r="E131" i="32" s="1" a="1"/>
  <c r="E131" i="32" s="1"/>
  <c r="F131" i="32" s="1" a="1"/>
  <c r="F131" i="32" s="1"/>
  <c r="G130" i="32" l="1"/>
  <c r="O130" i="32" s="1"/>
  <c r="P130" i="32" s="1"/>
  <c r="M131" i="32"/>
  <c r="G131" i="32" s="1"/>
  <c r="O131" i="32" s="1"/>
  <c r="I130" i="32"/>
  <c r="Q130" i="32" l="1"/>
  <c r="N130" i="32"/>
  <c r="P131" i="32"/>
  <c r="N131" i="32"/>
  <c r="Q131" i="32"/>
  <c r="I131" i="32"/>
  <c r="H131" i="32"/>
  <c r="E132" i="32" s="1" a="1"/>
  <c r="E132" i="32" s="1"/>
  <c r="F132" i="32" s="1" a="1"/>
  <c r="F132" i="32" s="1"/>
  <c r="M132" i="32" l="1"/>
  <c r="I132" i="32" s="1"/>
  <c r="H132" i="32" l="1"/>
  <c r="E133" i="32" s="1" a="1"/>
  <c r="E133" i="32" s="1"/>
  <c r="F133" i="32" s="1" a="1"/>
  <c r="F133" i="32" s="1"/>
  <c r="M133" i="32" s="1"/>
  <c r="I133" i="32" s="1"/>
  <c r="G132" i="32"/>
  <c r="O132" i="32" s="1"/>
  <c r="P132" i="32" l="1"/>
  <c r="Q132" i="32"/>
  <c r="N132" i="32"/>
  <c r="G133" i="32"/>
  <c r="O133" i="32" s="1"/>
  <c r="H133" i="32"/>
  <c r="E134" i="32" s="1" a="1"/>
  <c r="E134" i="32" s="1"/>
  <c r="F134" i="32" s="1" a="1"/>
  <c r="F134" i="32" s="1"/>
  <c r="M134" i="32" l="1"/>
  <c r="H134" i="32" s="1"/>
  <c r="E135" i="32" s="1" a="1"/>
  <c r="E135" i="32" s="1"/>
  <c r="F135" i="32" s="1" a="1"/>
  <c r="F135" i="32" s="1"/>
  <c r="Q133" i="32"/>
  <c r="N133" i="32"/>
  <c r="P133" i="32"/>
  <c r="G134" i="32" l="1"/>
  <c r="O134" i="32" s="1"/>
  <c r="Q134" i="32" s="1"/>
  <c r="I134" i="32"/>
  <c r="M135" i="32"/>
  <c r="G135" i="32" s="1"/>
  <c r="O135" i="32" s="1"/>
  <c r="P134" i="32" l="1"/>
  <c r="N134" i="32"/>
  <c r="H135" i="32"/>
  <c r="E136" i="32" s="1" a="1"/>
  <c r="E136" i="32" s="1"/>
  <c r="F136" i="32" s="1" a="1"/>
  <c r="F136" i="32" s="1"/>
  <c r="N135" i="32"/>
  <c r="Q135" i="32"/>
  <c r="P135" i="32"/>
  <c r="I135" i="32"/>
  <c r="M136" i="32" l="1"/>
  <c r="G136" i="32" s="1"/>
  <c r="O136" i="32" s="1"/>
  <c r="Q136" i="32" s="1"/>
  <c r="P136" i="32" l="1"/>
  <c r="N136" i="32"/>
  <c r="H136" i="32"/>
  <c r="E137" i="32" s="1" a="1"/>
  <c r="E137" i="32" s="1"/>
  <c r="F137" i="32" s="1" a="1"/>
  <c r="F137" i="32" s="1"/>
  <c r="M137" i="32" s="1"/>
  <c r="H137" i="32" s="1"/>
  <c r="E138" i="32" s="1" a="1"/>
  <c r="E138" i="32" s="1"/>
  <c r="F138" i="32" s="1" a="1"/>
  <c r="F138" i="32" s="1"/>
  <c r="M138" i="32" s="1"/>
  <c r="H138" i="32" s="1"/>
  <c r="E139" i="32" s="1" a="1"/>
  <c r="E139" i="32" s="1"/>
  <c r="F139" i="32" s="1" a="1"/>
  <c r="F139" i="32" s="1"/>
  <c r="I136" i="32"/>
  <c r="G137" i="32" l="1"/>
  <c r="O137" i="32" s="1"/>
  <c r="Q137" i="32" s="1"/>
  <c r="I137" i="32"/>
  <c r="M139" i="32"/>
  <c r="I139" i="32" s="1"/>
  <c r="G138" i="32"/>
  <c r="O138" i="32" s="1"/>
  <c r="I138" i="32"/>
  <c r="P137" i="32" l="1"/>
  <c r="N137" i="32"/>
  <c r="Q138" i="32"/>
  <c r="N138" i="32"/>
  <c r="P138" i="32"/>
  <c r="G139" i="32"/>
  <c r="O139" i="32" s="1"/>
  <c r="H139" i="32"/>
  <c r="E140" i="32" s="1" a="1"/>
  <c r="E140" i="32" s="1"/>
  <c r="F140" i="32" s="1" a="1"/>
  <c r="F140" i="32" s="1"/>
  <c r="M140" i="32" l="1"/>
  <c r="I140" i="32" s="1"/>
  <c r="P139" i="32"/>
  <c r="N139" i="32"/>
  <c r="Q139" i="32"/>
  <c r="G140" i="32" l="1"/>
  <c r="O140" i="32" s="1"/>
  <c r="H140" i="32"/>
  <c r="E141" i="32" s="1" a="1"/>
  <c r="E141" i="32" s="1"/>
  <c r="F141" i="32" s="1" a="1"/>
  <c r="F141" i="32" s="1"/>
  <c r="M141" i="32" l="1"/>
  <c r="G141" i="32" s="1"/>
  <c r="O141" i="32" s="1"/>
  <c r="Q140" i="32"/>
  <c r="P140" i="32"/>
  <c r="N140" i="32"/>
  <c r="I141" i="32" l="1"/>
  <c r="N141" i="32"/>
  <c r="Q141" i="32"/>
  <c r="P141" i="32"/>
  <c r="H141" i="32"/>
  <c r="E142" i="32" s="1" a="1"/>
  <c r="E142" i="32" s="1"/>
  <c r="F142" i="32" s="1" a="1"/>
  <c r="F142" i="32" s="1"/>
  <c r="M142" i="32" l="1"/>
  <c r="G142" i="32" s="1"/>
  <c r="O142" i="32" s="1"/>
  <c r="H142" i="32" l="1"/>
  <c r="E143" i="32" s="1" a="1"/>
  <c r="E143" i="32" s="1"/>
  <c r="F143" i="32" s="1" a="1"/>
  <c r="F143" i="32" s="1"/>
  <c r="M143" i="32" s="1"/>
  <c r="H143" i="32" s="1"/>
  <c r="E144" i="32" s="1" a="1"/>
  <c r="E144" i="32" s="1"/>
  <c r="F144" i="32" s="1" a="1"/>
  <c r="F144" i="32" s="1"/>
  <c r="I142" i="32"/>
  <c r="Q142" i="32"/>
  <c r="P142" i="32"/>
  <c r="N142" i="32"/>
  <c r="G143" i="32" l="1"/>
  <c r="O143" i="32" s="1"/>
  <c r="P143" i="32" s="1"/>
  <c r="M144" i="32"/>
  <c r="H144" i="32" s="1"/>
  <c r="E145" i="32" s="1" a="1"/>
  <c r="E145" i="32" s="1"/>
  <c r="F145" i="32" s="1" a="1"/>
  <c r="F145" i="32" s="1"/>
  <c r="I143" i="32"/>
  <c r="Q143" i="32" l="1"/>
  <c r="N143" i="32"/>
  <c r="G144" i="32"/>
  <c r="O144" i="32" s="1"/>
  <c r="Q144" i="32" s="1"/>
  <c r="M145" i="32"/>
  <c r="I145" i="32" s="1"/>
  <c r="I144" i="32"/>
  <c r="N144" i="32" l="1"/>
  <c r="P144" i="32"/>
  <c r="G145" i="32"/>
  <c r="O145" i="32" s="1"/>
  <c r="H145" i="32"/>
  <c r="E146" i="32" s="1" a="1"/>
  <c r="E146" i="32" s="1"/>
  <c r="F146" i="32" s="1" a="1"/>
  <c r="F146" i="32" s="1"/>
  <c r="M146" i="32" l="1"/>
  <c r="H146" i="32" s="1"/>
  <c r="E147" i="32" s="1" a="1"/>
  <c r="E147" i="32" s="1"/>
  <c r="F147" i="32" s="1" a="1"/>
  <c r="F147" i="32" s="1"/>
  <c r="N145" i="32"/>
  <c r="P145" i="32"/>
  <c r="Q145" i="32"/>
  <c r="G146" i="32" l="1"/>
  <c r="O146" i="32" s="1"/>
  <c r="Q146" i="32" s="1"/>
  <c r="M147" i="32"/>
  <c r="G147" i="32" s="1"/>
  <c r="O147" i="32" s="1"/>
  <c r="I146" i="32"/>
  <c r="N146" i="32" l="1"/>
  <c r="P146" i="32"/>
  <c r="P147" i="32"/>
  <c r="N147" i="32"/>
  <c r="Q147" i="32"/>
  <c r="H147" i="32"/>
  <c r="E148" i="32" s="1" a="1"/>
  <c r="E148" i="32" s="1"/>
  <c r="F148" i="32" s="1" a="1"/>
  <c r="F148" i="32" s="1"/>
  <c r="I147" i="32"/>
  <c r="M148" i="32" l="1"/>
  <c r="I148" i="32" s="1"/>
  <c r="G148" i="32" l="1"/>
  <c r="O148" i="32" s="1"/>
  <c r="H148" i="32"/>
  <c r="E149" i="32" s="1" a="1"/>
  <c r="E149" i="32" s="1"/>
  <c r="F149" i="32" s="1" a="1"/>
  <c r="F149" i="32" s="1"/>
  <c r="M149" i="32" l="1"/>
  <c r="I149" i="32" s="1"/>
  <c r="P148" i="32"/>
  <c r="N148" i="32"/>
  <c r="Q148" i="32"/>
  <c r="G149" i="32" l="1"/>
  <c r="O149" i="32" s="1"/>
  <c r="Q149" i="32" s="1"/>
  <c r="H149" i="32"/>
  <c r="E150" i="32" s="1" a="1"/>
  <c r="E150" i="32" s="1"/>
  <c r="F150" i="32" s="1" a="1"/>
  <c r="F150" i="32" s="1"/>
  <c r="M150" i="32" s="1"/>
  <c r="H150" i="32" s="1"/>
  <c r="E151" i="32" s="1" a="1"/>
  <c r="E151" i="32" s="1"/>
  <c r="F151" i="32" s="1" a="1"/>
  <c r="F151" i="32" s="1"/>
  <c r="P149" i="32" l="1"/>
  <c r="N149" i="32"/>
  <c r="I150" i="32"/>
  <c r="G150" i="32"/>
  <c r="O150" i="32" s="1"/>
  <c r="N150" i="32" s="1"/>
  <c r="M151" i="32"/>
  <c r="G151" i="32" s="1"/>
  <c r="O151" i="32" s="1"/>
  <c r="Q150" i="32" l="1"/>
  <c r="P150" i="32"/>
  <c r="P151" i="32"/>
  <c r="N151" i="32"/>
  <c r="Q151" i="32"/>
  <c r="I151" i="32"/>
  <c r="H151" i="32"/>
  <c r="E152" i="32" s="1" a="1"/>
  <c r="E152" i="32" s="1"/>
  <c r="F152" i="32" s="1" a="1"/>
  <c r="F152" i="32" s="1"/>
  <c r="M152" i="32" l="1"/>
  <c r="H152" i="32" s="1"/>
  <c r="E153" i="32" s="1" a="1"/>
  <c r="E153" i="32" s="1"/>
  <c r="F153" i="32" s="1" a="1"/>
  <c r="F153" i="32" s="1"/>
  <c r="M153" i="32" l="1"/>
  <c r="G153" i="32" s="1"/>
  <c r="O153" i="32" s="1"/>
  <c r="I152" i="32"/>
  <c r="G152" i="32"/>
  <c r="O152" i="32" s="1"/>
  <c r="Q153" i="32" l="1"/>
  <c r="N153" i="32"/>
  <c r="P153" i="32"/>
  <c r="P152" i="32"/>
  <c r="N152" i="32"/>
  <c r="Q152" i="32"/>
  <c r="H153" i="32"/>
  <c r="E154" i="32" s="1" a="1"/>
  <c r="E154" i="32" s="1"/>
  <c r="F154" i="32" s="1" a="1"/>
  <c r="F154" i="32" s="1"/>
  <c r="I153" i="32"/>
  <c r="M154" i="32" l="1"/>
  <c r="I154" i="32" s="1"/>
  <c r="G154" i="32" l="1"/>
  <c r="O154" i="32" s="1"/>
  <c r="H154" i="32"/>
  <c r="E155" i="32" s="1" a="1"/>
  <c r="E155" i="32" s="1"/>
  <c r="F155" i="32" s="1" a="1"/>
  <c r="F155" i="32" s="1"/>
  <c r="M155" i="32" l="1"/>
  <c r="I155" i="32" s="1"/>
  <c r="Q154" i="32"/>
  <c r="N154" i="32"/>
  <c r="P154" i="32"/>
  <c r="G155" i="32" l="1"/>
  <c r="O155" i="32" s="1"/>
  <c r="H155" i="32"/>
  <c r="E156" i="32" s="1" a="1"/>
  <c r="E156" i="32" s="1"/>
  <c r="F156" i="32" s="1" a="1"/>
  <c r="F156" i="32" s="1"/>
  <c r="M156" i="32" l="1"/>
  <c r="I156" i="32" s="1"/>
  <c r="P155" i="32"/>
  <c r="Q155" i="32"/>
  <c r="N155" i="32"/>
  <c r="G156" i="32" l="1"/>
  <c r="O156" i="32" s="1"/>
  <c r="H156" i="32"/>
  <c r="E157" i="32" s="1" a="1"/>
  <c r="E157" i="32" s="1"/>
  <c r="F157" i="32" s="1" a="1"/>
  <c r="F157" i="32" s="1"/>
  <c r="M157" i="32" l="1"/>
  <c r="G157" i="32" s="1"/>
  <c r="O157" i="32" s="1"/>
  <c r="P156" i="32"/>
  <c r="N156" i="32"/>
  <c r="Q156" i="32"/>
  <c r="N157" i="32" l="1"/>
  <c r="P157" i="32"/>
  <c r="Q157" i="32"/>
  <c r="H157" i="32"/>
  <c r="E158" i="32" s="1" a="1"/>
  <c r="E158" i="32" s="1"/>
  <c r="F158" i="32" s="1" a="1"/>
  <c r="F158" i="32" s="1"/>
  <c r="I157" i="32"/>
  <c r="M158" i="32" l="1"/>
  <c r="G158" i="32" s="1"/>
  <c r="O158" i="32" s="1"/>
  <c r="H158" i="32" l="1"/>
  <c r="E159" i="32" s="1" a="1"/>
  <c r="E159" i="32" s="1"/>
  <c r="F159" i="32" s="1" a="1"/>
  <c r="F159" i="32" s="1"/>
  <c r="M159" i="32" s="1"/>
  <c r="H159" i="32" s="1"/>
  <c r="E160" i="32" s="1" a="1"/>
  <c r="E160" i="32" s="1"/>
  <c r="F160" i="32" s="1" a="1"/>
  <c r="F160" i="32" s="1"/>
  <c r="I158" i="32"/>
  <c r="Q158" i="32"/>
  <c r="P158" i="32"/>
  <c r="N158" i="32"/>
  <c r="M160" i="32" l="1"/>
  <c r="H160" i="32" s="1"/>
  <c r="E161" i="32" s="1" a="1"/>
  <c r="E161" i="32" s="1"/>
  <c r="F161" i="32" s="1" a="1"/>
  <c r="F161" i="32" s="1"/>
  <c r="G159" i="32"/>
  <c r="O159" i="32" s="1"/>
  <c r="I159" i="32"/>
  <c r="I160" i="32" l="1"/>
  <c r="M161" i="32"/>
  <c r="I161" i="32" s="1"/>
  <c r="P159" i="32"/>
  <c r="Q159" i="32"/>
  <c r="N159" i="32"/>
  <c r="G160" i="32"/>
  <c r="O160" i="32" s="1"/>
  <c r="G161" i="32" l="1"/>
  <c r="O161" i="32" s="1"/>
  <c r="Q160" i="32"/>
  <c r="P160" i="32"/>
  <c r="N160" i="32"/>
  <c r="H161" i="32"/>
  <c r="E162" i="32" s="1" a="1"/>
  <c r="E162" i="32" s="1"/>
  <c r="F162" i="32" s="1" a="1"/>
  <c r="F162" i="32" s="1"/>
  <c r="M162" i="32" l="1"/>
  <c r="H162" i="32" s="1"/>
  <c r="E163" i="32" s="1" a="1"/>
  <c r="E163" i="32" s="1"/>
  <c r="F163" i="32" s="1" a="1"/>
  <c r="F163" i="32" s="1"/>
  <c r="N161" i="32"/>
  <c r="Q161" i="32"/>
  <c r="P161" i="32"/>
  <c r="I162" i="32" l="1"/>
  <c r="M163" i="32"/>
  <c r="G163" i="32" s="1"/>
  <c r="O163" i="32" s="1"/>
  <c r="G162" i="32"/>
  <c r="O162" i="32" s="1"/>
  <c r="I163" i="32" l="1"/>
  <c r="P163" i="32"/>
  <c r="N163" i="32"/>
  <c r="Q163" i="32"/>
  <c r="N162" i="32"/>
  <c r="P162" i="32"/>
  <c r="Q162" i="32"/>
  <c r="H163" i="32"/>
  <c r="E164" i="32" s="1" a="1"/>
  <c r="E164" i="32" s="1"/>
  <c r="F164" i="32" s="1" a="1"/>
  <c r="F164" i="32" s="1"/>
  <c r="M164" i="32" l="1"/>
  <c r="G164" i="32" s="1"/>
  <c r="O164" i="32" s="1"/>
  <c r="Q164" i="32" l="1"/>
  <c r="P164" i="32"/>
  <c r="N164" i="32"/>
  <c r="H164" i="32"/>
  <c r="E165" i="32" s="1" a="1"/>
  <c r="E165" i="32" s="1"/>
  <c r="F165" i="32" s="1" a="1"/>
  <c r="F165" i="32" s="1"/>
  <c r="I164" i="32"/>
  <c r="M165" i="32" l="1"/>
  <c r="I165" i="32" s="1"/>
  <c r="H165" i="32" l="1"/>
  <c r="E166" i="32" s="1" a="1"/>
  <c r="E166" i="32" s="1"/>
  <c r="F166" i="32" s="1" a="1"/>
  <c r="F166" i="32" s="1"/>
  <c r="G165" i="32"/>
  <c r="O165" i="32" s="1"/>
  <c r="N165" i="32" l="1"/>
  <c r="Q165" i="32"/>
  <c r="P165" i="32"/>
  <c r="M166" i="32"/>
  <c r="H166" i="32" s="1"/>
  <c r="E167" i="32" s="1" a="1"/>
  <c r="E167" i="32" s="1"/>
  <c r="F167" i="32" s="1" a="1"/>
  <c r="F167" i="32" s="1"/>
  <c r="M167" i="32" l="1"/>
  <c r="G167" i="32" s="1"/>
  <c r="O167" i="32" s="1"/>
  <c r="G166" i="32"/>
  <c r="O166" i="32" s="1"/>
  <c r="I166" i="32"/>
  <c r="Q167" i="32" l="1"/>
  <c r="P167" i="32"/>
  <c r="N167" i="32"/>
  <c r="N166" i="32"/>
  <c r="Q166" i="32"/>
  <c r="P166" i="32"/>
  <c r="H167" i="32"/>
  <c r="E168" i="32" s="1" a="1"/>
  <c r="E168" i="32" s="1"/>
  <c r="F168" i="32" s="1" a="1"/>
  <c r="F168" i="32" s="1"/>
  <c r="I167" i="32"/>
  <c r="M168" i="32" l="1"/>
  <c r="I168" i="32" s="1"/>
  <c r="G168" i="32" l="1"/>
  <c r="O168" i="32" s="1"/>
  <c r="P168" i="32" s="1"/>
  <c r="H168" i="32"/>
  <c r="E169" i="32" s="1" a="1"/>
  <c r="E169" i="32" s="1"/>
  <c r="F169" i="32" s="1" a="1"/>
  <c r="F169" i="32" s="1"/>
  <c r="Q168" i="32" l="1"/>
  <c r="N168" i="32"/>
  <c r="M169" i="32"/>
  <c r="H169" i="32" s="1"/>
  <c r="E170" i="32" s="1" a="1"/>
  <c r="E170" i="32" s="1"/>
  <c r="F170" i="32" s="1" a="1"/>
  <c r="F170" i="32" s="1"/>
  <c r="I169" i="32" l="1"/>
  <c r="G169" i="32"/>
  <c r="O169" i="32" s="1"/>
  <c r="Q169" i="32" s="1"/>
  <c r="M170" i="32"/>
  <c r="G170" i="32" s="1"/>
  <c r="O170" i="32" s="1"/>
  <c r="N169" i="32" l="1"/>
  <c r="P169" i="32"/>
  <c r="I170" i="32"/>
  <c r="H170" i="32"/>
  <c r="E171" i="32" s="1" a="1"/>
  <c r="E171" i="32" s="1"/>
  <c r="F171" i="32" s="1" a="1"/>
  <c r="F171" i="32" s="1"/>
  <c r="M171" i="32" s="1"/>
  <c r="G171" i="32" s="1"/>
  <c r="O171" i="32" s="1"/>
  <c r="Q170" i="32"/>
  <c r="N170" i="32"/>
  <c r="P170" i="32"/>
  <c r="P171" i="32" l="1"/>
  <c r="N171" i="32"/>
  <c r="Q171" i="32"/>
  <c r="H171" i="32"/>
  <c r="E172" i="32" s="1" a="1"/>
  <c r="E172" i="32" s="1"/>
  <c r="F172" i="32" s="1" a="1"/>
  <c r="F172" i="32" s="1"/>
  <c r="I171" i="32"/>
  <c r="M172" i="32" l="1"/>
  <c r="H172" i="32" s="1"/>
  <c r="E173" i="32" s="1" a="1"/>
  <c r="E173" i="32" s="1"/>
  <c r="F173" i="32" s="1" a="1"/>
  <c r="F173" i="32" s="1"/>
  <c r="M173" i="32" l="1"/>
  <c r="I173" i="32" s="1"/>
  <c r="I172" i="32"/>
  <c r="G172" i="32"/>
  <c r="O172" i="32" s="1"/>
  <c r="P172" i="32" l="1"/>
  <c r="Q172" i="32"/>
  <c r="N172" i="32"/>
  <c r="G173" i="32"/>
  <c r="O173" i="32" s="1"/>
  <c r="H173" i="32"/>
  <c r="E174" i="32" s="1" a="1"/>
  <c r="E174" i="32" s="1"/>
  <c r="F174" i="32" s="1" a="1"/>
  <c r="F174" i="32" s="1"/>
  <c r="M174" i="32" l="1"/>
  <c r="G174" i="32" s="1"/>
  <c r="O174" i="32" s="1"/>
  <c r="N173" i="32"/>
  <c r="Q173" i="32"/>
  <c r="P173" i="32"/>
  <c r="I174" i="32" l="1"/>
  <c r="H174" i="32"/>
  <c r="E175" i="32" s="1" a="1"/>
  <c r="E175" i="32" s="1"/>
  <c r="F175" i="32" s="1" a="1"/>
  <c r="F175" i="32" s="1"/>
  <c r="M175" i="32" s="1"/>
  <c r="I175" i="32" s="1"/>
  <c r="Q174" i="32"/>
  <c r="P174" i="32"/>
  <c r="N174" i="32"/>
  <c r="G175" i="32" l="1"/>
  <c r="O175" i="32" s="1"/>
  <c r="H175" i="32"/>
  <c r="E176" i="32" s="1" a="1"/>
  <c r="E176" i="32" s="1"/>
  <c r="F176" i="32" s="1" a="1"/>
  <c r="F176" i="32" s="1"/>
  <c r="M176" i="32" l="1"/>
  <c r="I176" i="32" s="1"/>
  <c r="P175" i="32"/>
  <c r="N175" i="32"/>
  <c r="Q175" i="32"/>
  <c r="G176" i="32" l="1"/>
  <c r="O176" i="32" s="1"/>
  <c r="P176" i="32" s="1"/>
  <c r="H176" i="32"/>
  <c r="E177" i="32" s="1" a="1"/>
  <c r="E177" i="32" s="1"/>
  <c r="F177" i="32" s="1" a="1"/>
  <c r="F177" i="32" s="1"/>
  <c r="Q176" i="32" l="1"/>
  <c r="N176" i="32"/>
  <c r="M177" i="32"/>
  <c r="I177" i="32" s="1"/>
  <c r="G177" i="32" l="1"/>
  <c r="O177" i="32" s="1"/>
  <c r="N177" i="32" s="1"/>
  <c r="H177" i="32"/>
  <c r="E178" i="32" s="1" a="1"/>
  <c r="E178" i="32" s="1"/>
  <c r="F178" i="32" s="1" a="1"/>
  <c r="F178" i="32" s="1"/>
  <c r="P177" i="32" l="1"/>
  <c r="Q177" i="32"/>
  <c r="M178" i="32"/>
  <c r="H178" i="32" s="1"/>
  <c r="E179" i="32" s="1" a="1"/>
  <c r="E179" i="32" s="1"/>
  <c r="F179" i="32" s="1" a="1"/>
  <c r="F179" i="32" s="1"/>
  <c r="I178" i="32" l="1"/>
  <c r="M179" i="32"/>
  <c r="G179" i="32" s="1"/>
  <c r="O179" i="32" s="1"/>
  <c r="G178" i="32"/>
  <c r="O178" i="32" s="1"/>
  <c r="H179" i="32" l="1"/>
  <c r="E180" i="32" s="1" a="1"/>
  <c r="E180" i="32" s="1"/>
  <c r="F180" i="32" s="1" a="1"/>
  <c r="F180" i="32" s="1"/>
  <c r="M180" i="32" s="1"/>
  <c r="H180" i="32" s="1"/>
  <c r="E181" i="32" s="1" a="1"/>
  <c r="E181" i="32" s="1"/>
  <c r="F181" i="32" s="1" a="1"/>
  <c r="F181" i="32" s="1"/>
  <c r="I179" i="32"/>
  <c r="P179" i="32"/>
  <c r="Q179" i="32"/>
  <c r="N179" i="32"/>
  <c r="Q178" i="32"/>
  <c r="P178" i="32"/>
  <c r="N178" i="32"/>
  <c r="M181" i="32" l="1"/>
  <c r="I181" i="32" s="1"/>
  <c r="G180" i="32"/>
  <c r="O180" i="32" s="1"/>
  <c r="I180" i="32"/>
  <c r="Q180" i="32" l="1"/>
  <c r="P180" i="32"/>
  <c r="N180" i="32"/>
  <c r="H181" i="32"/>
  <c r="E182" i="32" s="1" a="1"/>
  <c r="E182" i="32" s="1"/>
  <c r="F182" i="32" s="1" a="1"/>
  <c r="F182" i="32" s="1"/>
  <c r="G181" i="32"/>
  <c r="O181" i="32" s="1"/>
  <c r="Q181" i="32" l="1"/>
  <c r="P181" i="32"/>
  <c r="N181" i="32"/>
  <c r="M182" i="32"/>
  <c r="G182" i="32" s="1"/>
  <c r="O182" i="32" s="1"/>
  <c r="N182" i="32" l="1"/>
  <c r="P182" i="32"/>
  <c r="Q182" i="32"/>
  <c r="I182" i="32"/>
  <c r="H182" i="32"/>
  <c r="E183" i="32" s="1" a="1"/>
  <c r="E183" i="32" s="1"/>
  <c r="F183" i="32" s="1" a="1"/>
  <c r="F183" i="32" s="1"/>
  <c r="M183" i="32" l="1"/>
  <c r="G183" i="32" s="1"/>
  <c r="O183" i="32" s="1"/>
  <c r="I183" i="32" l="1"/>
  <c r="Q183" i="32"/>
  <c r="P183" i="32"/>
  <c r="N183" i="32"/>
  <c r="H183" i="32"/>
  <c r="E184" i="32" s="1" a="1"/>
  <c r="E184" i="32" s="1"/>
  <c r="F184" i="32" s="1" a="1"/>
  <c r="F184" i="32" s="1"/>
  <c r="M184" i="32" l="1"/>
  <c r="G184" i="32" s="1"/>
  <c r="O184" i="32" s="1"/>
  <c r="N184" i="32" l="1"/>
  <c r="Q184" i="32"/>
  <c r="P184" i="32"/>
  <c r="H184" i="32"/>
  <c r="E185" i="32" s="1" a="1"/>
  <c r="E185" i="32" s="1"/>
  <c r="F185" i="32" s="1" a="1"/>
  <c r="F185" i="32" s="1"/>
  <c r="I184" i="32"/>
  <c r="M185" i="32" l="1"/>
  <c r="H185" i="32" s="1"/>
  <c r="E186" i="32" s="1" a="1"/>
  <c r="E186" i="32" s="1"/>
  <c r="F186" i="32" s="1" a="1"/>
  <c r="F186" i="32" s="1"/>
  <c r="I185" i="32" l="1"/>
  <c r="G185" i="32"/>
  <c r="O185" i="32" s="1"/>
  <c r="Q185" i="32" s="1"/>
  <c r="M186" i="32"/>
  <c r="H186" i="32" s="1"/>
  <c r="E187" i="32" s="1" a="1"/>
  <c r="E187" i="32" s="1"/>
  <c r="F187" i="32" s="1" a="1"/>
  <c r="F187" i="32" s="1"/>
  <c r="N185" i="32" l="1"/>
  <c r="P185" i="32"/>
  <c r="G186" i="32"/>
  <c r="O186" i="32" s="1"/>
  <c r="Q186" i="32" s="1"/>
  <c r="I186" i="32"/>
  <c r="M187" i="32"/>
  <c r="I187" i="32" s="1"/>
  <c r="P186" i="32" l="1"/>
  <c r="N186" i="32"/>
  <c r="G187" i="32"/>
  <c r="O187" i="32" s="1"/>
  <c r="H187" i="32"/>
  <c r="E188" i="32" s="1" a="1"/>
  <c r="E188" i="32" s="1"/>
  <c r="F188" i="32" s="1" a="1"/>
  <c r="F188" i="32" s="1"/>
  <c r="M188" i="32" l="1"/>
  <c r="G188" i="32" s="1"/>
  <c r="O188" i="32" s="1"/>
  <c r="P187" i="32"/>
  <c r="N187" i="32"/>
  <c r="Q187" i="32"/>
  <c r="H188" i="32" l="1"/>
  <c r="E189" i="32" s="1" a="1"/>
  <c r="E189" i="32" s="1"/>
  <c r="F189" i="32" s="1" a="1"/>
  <c r="F189" i="32" s="1"/>
  <c r="M189" i="32" s="1"/>
  <c r="I189" i="32" s="1"/>
  <c r="P188" i="32"/>
  <c r="Q188" i="32"/>
  <c r="N188" i="32"/>
  <c r="I188" i="32"/>
  <c r="G189" i="32" l="1"/>
  <c r="O189" i="32" s="1"/>
  <c r="N189" i="32" s="1"/>
  <c r="H189" i="32"/>
  <c r="E190" i="32" s="1" a="1"/>
  <c r="E190" i="32" s="1"/>
  <c r="F190" i="32" s="1" a="1"/>
  <c r="F190" i="32" s="1"/>
  <c r="P189" i="32" l="1"/>
  <c r="Q189" i="32"/>
  <c r="M190" i="32"/>
  <c r="I190" i="32" s="1"/>
  <c r="H190" i="32" l="1"/>
  <c r="E191" i="32" s="1" a="1"/>
  <c r="E191" i="32" s="1"/>
  <c r="F191" i="32" s="1" a="1"/>
  <c r="F191" i="32" s="1"/>
  <c r="M191" i="32" s="1"/>
  <c r="G190" i="32"/>
  <c r="O190" i="32" s="1"/>
  <c r="Q190" i="32" s="1"/>
  <c r="N190" i="32" l="1"/>
  <c r="P190" i="32"/>
  <c r="H191" i="32"/>
  <c r="E192" i="32" s="1" a="1"/>
  <c r="E192" i="32" s="1"/>
  <c r="F192" i="32" s="1" a="1"/>
  <c r="F192" i="32" s="1"/>
  <c r="M192" i="32" s="1"/>
  <c r="H192" i="32" s="1"/>
  <c r="E193" i="32" s="1" a="1"/>
  <c r="E193" i="32" s="1"/>
  <c r="F193" i="32" s="1" a="1"/>
  <c r="F193" i="32" s="1"/>
  <c r="G191" i="32"/>
  <c r="O191" i="32" s="1"/>
  <c r="P191" i="32" s="1"/>
  <c r="I191" i="32"/>
  <c r="N191" i="32" l="1"/>
  <c r="Q191" i="32"/>
  <c r="I192" i="32"/>
  <c r="G192" i="32"/>
  <c r="O192" i="32" s="1"/>
  <c r="N192" i="32" s="1"/>
  <c r="M193" i="32"/>
  <c r="I193" i="32" s="1"/>
  <c r="P192" i="32" l="1"/>
  <c r="Q192" i="32"/>
  <c r="G193" i="32"/>
  <c r="O193" i="32" s="1"/>
  <c r="H193" i="32"/>
  <c r="E194" i="32" s="1" a="1"/>
  <c r="E194" i="32" s="1"/>
  <c r="F194" i="32" s="1" a="1"/>
  <c r="F194" i="32" s="1"/>
  <c r="M194" i="32" l="1"/>
  <c r="H194" i="32" s="1"/>
  <c r="E195" i="32" s="1" a="1"/>
  <c r="E195" i="32" s="1"/>
  <c r="F195" i="32" s="1" a="1"/>
  <c r="F195" i="32" s="1"/>
  <c r="N193" i="32"/>
  <c r="Q193" i="32"/>
  <c r="P193" i="32"/>
  <c r="G194" i="32" l="1"/>
  <c r="O194" i="32" s="1"/>
  <c r="P194" i="32" s="1"/>
  <c r="M195" i="32"/>
  <c r="G195" i="32" s="1"/>
  <c r="O195" i="32" s="1"/>
  <c r="I194" i="32"/>
  <c r="N194" i="32" l="1"/>
  <c r="Q194" i="32"/>
  <c r="P195" i="32"/>
  <c r="N195" i="32"/>
  <c r="Q195" i="32"/>
  <c r="I195" i="32"/>
  <c r="H195" i="32"/>
  <c r="E196" i="32" s="1" a="1"/>
  <c r="E196" i="32" s="1"/>
  <c r="F196" i="32" s="1" a="1"/>
  <c r="F196" i="32" s="1"/>
  <c r="M196" i="32" l="1"/>
  <c r="I196" i="32" s="1"/>
  <c r="G196" i="32" l="1"/>
  <c r="O196" i="32" s="1"/>
  <c r="P196" i="32" s="1"/>
  <c r="H196" i="32"/>
  <c r="E197" i="32" s="1" a="1"/>
  <c r="E197" i="32" s="1"/>
  <c r="F197" i="32" s="1" a="1"/>
  <c r="F197" i="32" s="1"/>
  <c r="Q196" i="32" l="1"/>
  <c r="N196" i="32"/>
  <c r="M197" i="32"/>
  <c r="I197" i="32" s="1"/>
  <c r="G197" i="32" l="1"/>
  <c r="O197" i="32" s="1"/>
  <c r="H197" i="32"/>
  <c r="E198" i="32" s="1" a="1"/>
  <c r="E198" i="32" s="1"/>
  <c r="F198" i="32" s="1" a="1"/>
  <c r="F198" i="32" s="1"/>
  <c r="M198" i="32" l="1"/>
  <c r="H198" i="32" s="1"/>
  <c r="E199" i="32" s="1" a="1"/>
  <c r="E199" i="32" s="1"/>
  <c r="F199" i="32" s="1" a="1"/>
  <c r="F199" i="32" s="1"/>
  <c r="Q197" i="32"/>
  <c r="N197" i="32"/>
  <c r="P197" i="32"/>
  <c r="I198" i="32" l="1"/>
  <c r="G198" i="32"/>
  <c r="O198" i="32" s="1"/>
  <c r="Q198" i="32" s="1"/>
  <c r="M199" i="32"/>
  <c r="G199" i="32" s="1"/>
  <c r="O199" i="32" s="1"/>
  <c r="N198" i="32" l="1"/>
  <c r="P198" i="32"/>
  <c r="N199" i="32"/>
  <c r="P199" i="32"/>
  <c r="Q199" i="32"/>
  <c r="H199" i="32"/>
  <c r="E200" i="32" s="1" a="1"/>
  <c r="E200" i="32" s="1"/>
  <c r="F200" i="32" s="1" a="1"/>
  <c r="F200" i="32" s="1"/>
  <c r="I199" i="32"/>
  <c r="M200" i="32" l="1"/>
  <c r="G200" i="32" s="1"/>
  <c r="O200" i="32" s="1"/>
  <c r="Q200" i="32" l="1"/>
  <c r="P200" i="32"/>
  <c r="N200" i="32"/>
  <c r="H200" i="32"/>
  <c r="E201" i="32" s="1" a="1"/>
  <c r="E201" i="32" s="1"/>
  <c r="F201" i="32" s="1" a="1"/>
  <c r="F201" i="32" s="1"/>
  <c r="I200" i="32"/>
  <c r="M201" i="32" l="1"/>
  <c r="H201" i="32" s="1"/>
  <c r="E202" i="32" s="1" a="1"/>
  <c r="E202" i="32" s="1"/>
  <c r="F202" i="32" s="1" a="1"/>
  <c r="F202" i="32" s="1"/>
  <c r="M202" i="32" l="1"/>
  <c r="H202" i="32" s="1"/>
  <c r="E203" i="32" s="1" a="1"/>
  <c r="E203" i="32" s="1"/>
  <c r="F203" i="32" s="1" a="1"/>
  <c r="F203" i="32" s="1"/>
  <c r="I201" i="32"/>
  <c r="G201" i="32"/>
  <c r="O201" i="32" s="1"/>
  <c r="M203" i="32" l="1"/>
  <c r="I203" i="32" s="1"/>
  <c r="G202" i="32"/>
  <c r="O202" i="32" s="1"/>
  <c r="I202" i="32"/>
  <c r="Q201" i="32"/>
  <c r="P201" i="32"/>
  <c r="N201" i="32"/>
  <c r="Q202" i="32" l="1"/>
  <c r="N202" i="32"/>
  <c r="P202" i="32"/>
  <c r="G203" i="32"/>
  <c r="O203" i="32" s="1"/>
  <c r="H203" i="32"/>
  <c r="E204" i="32" s="1" a="1"/>
  <c r="E204" i="32" s="1"/>
  <c r="F204" i="32" s="1" a="1"/>
  <c r="F204" i="32" s="1"/>
  <c r="M204" i="32" l="1"/>
  <c r="I204" i="32" s="1"/>
  <c r="P203" i="32"/>
  <c r="N203" i="32"/>
  <c r="Q203" i="32"/>
  <c r="G204" i="32" l="1"/>
  <c r="O204" i="32" s="1"/>
  <c r="H204" i="32"/>
  <c r="E205" i="32" s="1" a="1"/>
  <c r="E205" i="32" s="1"/>
  <c r="F205" i="32" s="1" a="1"/>
  <c r="F205" i="32" s="1"/>
  <c r="M205" i="32" l="1"/>
  <c r="I205" i="32" s="1"/>
  <c r="P204" i="32"/>
  <c r="Q204" i="32"/>
  <c r="N204" i="32"/>
  <c r="G205" i="32" l="1"/>
  <c r="O205" i="32" s="1"/>
  <c r="H205" i="32"/>
  <c r="E206" i="32" s="1" a="1"/>
  <c r="E206" i="32" s="1"/>
  <c r="F206" i="32" s="1" a="1"/>
  <c r="F206" i="32" s="1"/>
  <c r="M206" i="32" l="1"/>
  <c r="I206" i="32" s="1"/>
  <c r="P205" i="32"/>
  <c r="N205" i="32"/>
  <c r="Q205" i="32"/>
  <c r="H206" i="32" l="1"/>
  <c r="E207" i="32" s="1" a="1"/>
  <c r="E207" i="32" s="1"/>
  <c r="F207" i="32" s="1" a="1"/>
  <c r="F207" i="32" s="1"/>
  <c r="G206" i="32"/>
  <c r="O206" i="32" s="1"/>
  <c r="P206" i="32" l="1"/>
  <c r="N206" i="32"/>
  <c r="Q206" i="32"/>
  <c r="M207" i="32"/>
  <c r="I207" i="32" s="1"/>
  <c r="G207" i="32" l="1"/>
  <c r="O207" i="32" s="1"/>
  <c r="P207" i="32" s="1"/>
  <c r="H207" i="32"/>
  <c r="E208" i="32" s="1" a="1"/>
  <c r="E208" i="32" s="1"/>
  <c r="F208" i="32" s="1" a="1"/>
  <c r="F208" i="32" s="1"/>
  <c r="M208" i="32" s="1"/>
  <c r="I208" i="32" s="1"/>
  <c r="N207" i="32" l="1"/>
  <c r="Q207" i="32"/>
  <c r="G208" i="32"/>
  <c r="O208" i="32" s="1"/>
  <c r="P208" i="32" s="1"/>
  <c r="H208" i="32"/>
  <c r="E209" i="32" s="1" a="1"/>
  <c r="E209" i="32" s="1"/>
  <c r="F209" i="32" s="1" a="1"/>
  <c r="F209" i="32" s="1"/>
  <c r="N208" i="32" l="1"/>
  <c r="Q208" i="32"/>
  <c r="M209" i="32"/>
  <c r="I209" i="32" s="1"/>
  <c r="G209" i="32" l="1"/>
  <c r="O209" i="32" s="1"/>
  <c r="Q209" i="32" s="1"/>
  <c r="H209" i="32"/>
  <c r="E210" i="32" s="1" a="1"/>
  <c r="E210" i="32" s="1"/>
  <c r="F210" i="32" s="1" a="1"/>
  <c r="F210" i="32" s="1"/>
  <c r="P209" i="32" l="1"/>
  <c r="N209" i="32"/>
  <c r="M210" i="32"/>
  <c r="I210" i="32" s="1"/>
  <c r="G210" i="32" l="1"/>
  <c r="O210" i="32" s="1"/>
  <c r="P210" i="32" s="1"/>
  <c r="H210" i="32"/>
  <c r="E211" i="32" s="1" a="1"/>
  <c r="E211" i="32" s="1"/>
  <c r="F211" i="32" s="1" a="1"/>
  <c r="F211" i="32" s="1"/>
  <c r="Q210" i="32" l="1"/>
  <c r="N210" i="32"/>
  <c r="M211" i="32"/>
  <c r="H211" i="32" s="1"/>
  <c r="E212" i="32" s="1" a="1"/>
  <c r="E212" i="32" s="1"/>
  <c r="F212" i="32" s="1" a="1"/>
  <c r="F212" i="32" s="1"/>
  <c r="M212" i="32" l="1"/>
  <c r="I212" i="32" s="1"/>
  <c r="I211" i="32"/>
  <c r="G211" i="32"/>
  <c r="O211" i="32" s="1"/>
  <c r="P211" i="32" l="1"/>
  <c r="Q211" i="32"/>
  <c r="N211" i="32"/>
  <c r="G212" i="32"/>
  <c r="O212" i="32" s="1"/>
  <c r="H212" i="32"/>
  <c r="E213" i="32" s="1" a="1"/>
  <c r="E213" i="32" s="1"/>
  <c r="F213" i="32" s="1" a="1"/>
  <c r="F213" i="32" s="1"/>
  <c r="M213" i="32" l="1"/>
  <c r="I213" i="32" s="1"/>
  <c r="P212" i="32"/>
  <c r="N212" i="32"/>
  <c r="Q212" i="32"/>
  <c r="G213" i="32" l="1"/>
  <c r="O213" i="32" s="1"/>
  <c r="N213" i="32" s="1"/>
  <c r="H213" i="32"/>
  <c r="E214" i="32" s="1" a="1"/>
  <c r="E214" i="32" s="1"/>
  <c r="F214" i="32" s="1" a="1"/>
  <c r="F214" i="32" s="1"/>
  <c r="Q213" i="32" l="1"/>
  <c r="P213" i="32"/>
  <c r="M214" i="32"/>
  <c r="I214" i="32" s="1"/>
  <c r="H214" i="32" l="1"/>
  <c r="E215" i="32" s="1" a="1"/>
  <c r="E215" i="32" s="1"/>
  <c r="F215" i="32" s="1" a="1"/>
  <c r="F215" i="32" s="1"/>
  <c r="G214" i="32"/>
  <c r="O214" i="32" s="1"/>
  <c r="P214" i="32" l="1"/>
  <c r="Q214" i="32"/>
  <c r="N214" i="32"/>
  <c r="M215" i="32"/>
  <c r="G215" i="32" s="1"/>
  <c r="O215" i="32" s="1"/>
  <c r="P215" i="32" l="1"/>
  <c r="Q215" i="32"/>
  <c r="N215" i="32"/>
  <c r="H215" i="32"/>
  <c r="E216" i="32" s="1" a="1"/>
  <c r="E216" i="32" s="1"/>
  <c r="F216" i="32" s="1" a="1"/>
  <c r="F216" i="32" s="1"/>
  <c r="I215" i="32"/>
  <c r="M216" i="32" l="1"/>
  <c r="I216" i="32" s="1"/>
  <c r="G216" i="32" l="1"/>
  <c r="O216" i="32" s="1"/>
  <c r="H216" i="32"/>
  <c r="E217" i="32" s="1" a="1"/>
  <c r="E217" i="32" s="1"/>
  <c r="F217" i="32" s="1" a="1"/>
  <c r="F217" i="32" s="1"/>
  <c r="M217" i="32" l="1"/>
  <c r="I217" i="32" s="1"/>
  <c r="N216" i="32"/>
  <c r="Q216" i="32"/>
  <c r="P216" i="32"/>
  <c r="G217" i="32" l="1"/>
  <c r="O217" i="32" s="1"/>
  <c r="N217" i="32" s="1"/>
  <c r="H217" i="32"/>
  <c r="E218" i="32" s="1" a="1"/>
  <c r="E218" i="32" s="1"/>
  <c r="F218" i="32" s="1" a="1"/>
  <c r="F218" i="32" s="1"/>
  <c r="P217" i="32" l="1"/>
  <c r="Q217" i="32"/>
  <c r="M218" i="32"/>
  <c r="I218" i="32" s="1"/>
  <c r="H218" i="32" l="1"/>
  <c r="E219" i="32" s="1" a="1"/>
  <c r="E219" i="32" s="1"/>
  <c r="F219" i="32" s="1" a="1"/>
  <c r="F219" i="32" s="1"/>
  <c r="M219" i="32" s="1"/>
  <c r="G219" i="32" s="1"/>
  <c r="O219" i="32" s="1"/>
  <c r="G218" i="32"/>
  <c r="O218" i="32" s="1"/>
  <c r="P218" i="32" s="1"/>
  <c r="N218" i="32" l="1"/>
  <c r="Q218" i="32"/>
  <c r="H219" i="32"/>
  <c r="E220" i="32" s="1" a="1"/>
  <c r="E220" i="32" s="1"/>
  <c r="F220" i="32" s="1" a="1"/>
  <c r="F220" i="32" s="1"/>
  <c r="M220" i="32" s="1"/>
  <c r="I220" i="32" s="1"/>
  <c r="I219" i="32"/>
  <c r="P219" i="32"/>
  <c r="N219" i="32"/>
  <c r="Q219" i="32"/>
  <c r="H220" i="32" l="1"/>
  <c r="E221" i="32" s="1" a="1"/>
  <c r="E221" i="32" s="1"/>
  <c r="F221" i="32" s="1" a="1"/>
  <c r="F221" i="32" s="1"/>
  <c r="M221" i="32" s="1"/>
  <c r="I221" i="32" s="1"/>
  <c r="G220" i="32"/>
  <c r="O220" i="32" s="1"/>
  <c r="N220" i="32" s="1"/>
  <c r="P220" i="32" l="1"/>
  <c r="Q220" i="32"/>
  <c r="H221" i="32"/>
  <c r="E222" i="32" s="1" a="1"/>
  <c r="E222" i="32" s="1"/>
  <c r="F222" i="32" s="1" a="1"/>
  <c r="F222" i="32" s="1"/>
  <c r="G221" i="32"/>
  <c r="O221" i="32" s="1"/>
  <c r="N221" i="32" l="1"/>
  <c r="Q221" i="32"/>
  <c r="P221" i="32"/>
  <c r="M222" i="32"/>
  <c r="H222" i="32" s="1"/>
  <c r="E223" i="32" s="1" a="1"/>
  <c r="E223" i="32" s="1"/>
  <c r="F223" i="32" s="1" a="1"/>
  <c r="F223" i="32" s="1"/>
  <c r="M223" i="32" l="1"/>
  <c r="I223" i="32" s="1"/>
  <c r="G222" i="32"/>
  <c r="O222" i="32" s="1"/>
  <c r="I222" i="32"/>
  <c r="G223" i="32" l="1"/>
  <c r="O223" i="32" s="1"/>
  <c r="P223" i="32" s="1"/>
  <c r="P222" i="32"/>
  <c r="Q222" i="32"/>
  <c r="N222" i="32"/>
  <c r="H223" i="32"/>
  <c r="E224" i="32" s="1" a="1"/>
  <c r="E224" i="32" s="1"/>
  <c r="F224" i="32" s="1" a="1"/>
  <c r="F224" i="32" s="1"/>
  <c r="Q223" i="32" l="1"/>
  <c r="N223" i="32"/>
  <c r="M224" i="32"/>
  <c r="G224" i="32" s="1"/>
  <c r="O224" i="32" s="1"/>
  <c r="H224" i="32" l="1"/>
  <c r="E225" i="32" s="1" a="1"/>
  <c r="E225" i="32" s="1"/>
  <c r="F225" i="32" s="1" a="1"/>
  <c r="F225" i="32" s="1"/>
  <c r="M225" i="32" s="1"/>
  <c r="I225" i="32" s="1"/>
  <c r="N224" i="32"/>
  <c r="Q224" i="32"/>
  <c r="P224" i="32"/>
  <c r="I224" i="32"/>
  <c r="G225" i="32" l="1"/>
  <c r="O225" i="32" s="1"/>
  <c r="H225" i="32"/>
  <c r="E226" i="32" s="1" a="1"/>
  <c r="E226" i="32" s="1"/>
  <c r="F226" i="32" s="1" a="1"/>
  <c r="F226" i="32" s="1"/>
  <c r="M226" i="32" l="1"/>
  <c r="I226" i="32" s="1"/>
  <c r="P225" i="32"/>
  <c r="Q225" i="32"/>
  <c r="N225" i="32"/>
  <c r="H226" i="32" l="1"/>
  <c r="E227" i="32" s="1" a="1"/>
  <c r="E227" i="32" s="1"/>
  <c r="F227" i="32" s="1" a="1"/>
  <c r="F227" i="32" s="1"/>
  <c r="G226" i="32"/>
  <c r="O226" i="32" s="1"/>
  <c r="P226" i="32" l="1"/>
  <c r="Q226" i="32"/>
  <c r="N226" i="32"/>
  <c r="M227" i="32"/>
  <c r="G227" i="32" s="1"/>
  <c r="O227" i="32" s="1"/>
  <c r="H227" i="32" l="1"/>
  <c r="E228" i="32" s="1" a="1"/>
  <c r="E228" i="32" s="1"/>
  <c r="F228" i="32" s="1" a="1"/>
  <c r="F228" i="32" s="1"/>
  <c r="M228" i="32" s="1"/>
  <c r="G228" i="32" s="1"/>
  <c r="O228" i="32" s="1"/>
  <c r="I227" i="32"/>
  <c r="P227" i="32"/>
  <c r="N227" i="32"/>
  <c r="Q227" i="32"/>
  <c r="I228" i="32" l="1"/>
  <c r="P228" i="32"/>
  <c r="Q228" i="32"/>
  <c r="N228" i="32"/>
  <c r="H228" i="32"/>
  <c r="E229" i="32" s="1" a="1"/>
  <c r="E229" i="32" s="1"/>
  <c r="F229" i="32" s="1" a="1"/>
  <c r="F229" i="32" s="1"/>
  <c r="M229" i="32" l="1"/>
  <c r="I229" i="32" s="1"/>
  <c r="G229" i="32" l="1"/>
  <c r="O229" i="32" s="1"/>
  <c r="H229" i="32"/>
  <c r="E230" i="32" s="1" a="1"/>
  <c r="E230" i="32" s="1"/>
  <c r="F230" i="32" s="1" a="1"/>
  <c r="F230" i="32" s="1"/>
  <c r="M230" i="32" l="1"/>
  <c r="I230" i="32" s="1"/>
  <c r="P229" i="32"/>
  <c r="N229" i="32"/>
  <c r="Q229" i="32"/>
  <c r="H230" i="32" l="1"/>
  <c r="E231" i="32" s="1" a="1"/>
  <c r="E231" i="32" s="1"/>
  <c r="F231" i="32" s="1" a="1"/>
  <c r="F231" i="32" s="1"/>
  <c r="G230" i="32"/>
  <c r="O230" i="32" s="1"/>
  <c r="P230" i="32" l="1"/>
  <c r="N230" i="32"/>
  <c r="Q230" i="32"/>
  <c r="M231" i="32"/>
  <c r="H231" i="32" s="1"/>
  <c r="E232" i="32" s="1" a="1"/>
  <c r="E232" i="32" s="1"/>
  <c r="F232" i="32" s="1" a="1"/>
  <c r="F232" i="32" s="1"/>
  <c r="M232" i="32" l="1"/>
  <c r="G232" i="32" s="1"/>
  <c r="O232" i="32" s="1"/>
  <c r="G231" i="32"/>
  <c r="O231" i="32" s="1"/>
  <c r="I231" i="32"/>
  <c r="P232" i="32" l="1"/>
  <c r="N232" i="32"/>
  <c r="Q232" i="32"/>
  <c r="P231" i="32"/>
  <c r="Q231" i="32"/>
  <c r="N231" i="32"/>
  <c r="I232" i="32"/>
  <c r="H232" i="32"/>
  <c r="E233" i="32" s="1" a="1"/>
  <c r="E233" i="32" s="1"/>
  <c r="F233" i="32" s="1" a="1"/>
  <c r="F233" i="32" s="1"/>
  <c r="M233" i="32" l="1"/>
  <c r="I233" i="32" s="1"/>
  <c r="G233" i="32" l="1"/>
  <c r="O233" i="32" s="1"/>
  <c r="P233" i="32" s="1"/>
  <c r="H233" i="32"/>
  <c r="E234" i="32" s="1" a="1"/>
  <c r="E234" i="32" s="1"/>
  <c r="F234" i="32" s="1" a="1"/>
  <c r="F234" i="32" s="1"/>
  <c r="N233" i="32" l="1"/>
  <c r="Q233" i="32"/>
  <c r="M234" i="32"/>
  <c r="I234" i="32" s="1"/>
  <c r="G234" i="32" l="1"/>
  <c r="O234" i="32" s="1"/>
  <c r="P234" i="32" s="1"/>
  <c r="H234" i="32"/>
  <c r="E235" i="32" s="1" a="1"/>
  <c r="E235" i="32" s="1"/>
  <c r="F235" i="32" s="1" a="1"/>
  <c r="F235" i="32" s="1"/>
  <c r="N234" i="32" l="1"/>
  <c r="Q234" i="32"/>
  <c r="M235" i="32"/>
  <c r="G235" i="32" s="1"/>
  <c r="O235" i="32" s="1"/>
  <c r="P235" i="32" s="1"/>
  <c r="Q235" i="32" l="1"/>
  <c r="I235" i="32"/>
  <c r="N235" i="32"/>
  <c r="H235" i="32"/>
  <c r="E236" i="32" s="1" a="1"/>
  <c r="E236" i="32" s="1"/>
  <c r="F236" i="32" s="1" a="1"/>
  <c r="F236" i="32" s="1"/>
  <c r="M236" i="32" s="1"/>
  <c r="H236" i="32" s="1"/>
  <c r="E237" i="32" s="1" a="1"/>
  <c r="E237" i="32" s="1"/>
  <c r="F237" i="32" s="1" a="1"/>
  <c r="F237" i="32" s="1"/>
  <c r="M237" i="32" s="1"/>
  <c r="I237" i="32" s="1"/>
  <c r="G236" i="32" l="1"/>
  <c r="O236" i="32" s="1"/>
  <c r="N236" i="32" s="1"/>
  <c r="G237" i="32"/>
  <c r="O237" i="32" s="1"/>
  <c r="Q237" i="32" s="1"/>
  <c r="H237" i="32"/>
  <c r="E238" i="32" s="1" a="1"/>
  <c r="E238" i="32" s="1"/>
  <c r="F238" i="32" s="1" a="1"/>
  <c r="F238" i="32" s="1"/>
  <c r="M238" i="32" s="1"/>
  <c r="I238" i="32" s="1"/>
  <c r="I236" i="32"/>
  <c r="Q236" i="32" l="1"/>
  <c r="P236" i="32"/>
  <c r="P237" i="32"/>
  <c r="N237" i="32"/>
  <c r="G238" i="32"/>
  <c r="O238" i="32" s="1"/>
  <c r="H238" i="32"/>
  <c r="E239" i="32" s="1" a="1"/>
  <c r="E239" i="32" s="1"/>
  <c r="F239" i="32" s="1" a="1"/>
  <c r="F239" i="32" s="1"/>
  <c r="M239" i="32" l="1"/>
  <c r="I239" i="32" s="1"/>
  <c r="P238" i="32"/>
  <c r="Q238" i="32"/>
  <c r="N238" i="32"/>
  <c r="G239" i="32" l="1"/>
  <c r="O239" i="32" s="1"/>
  <c r="P239" i="32" s="1"/>
  <c r="H239" i="32"/>
  <c r="E240" i="32" s="1" a="1"/>
  <c r="E240" i="32" s="1"/>
  <c r="F240" i="32" s="1" a="1"/>
  <c r="F240" i="32" s="1"/>
  <c r="N239" i="32" l="1"/>
  <c r="Q239" i="32"/>
  <c r="M240" i="32"/>
  <c r="G240" i="32" s="1"/>
  <c r="O240" i="32" s="1"/>
  <c r="H240" i="32" l="1"/>
  <c r="E241" i="32" s="1" a="1"/>
  <c r="E241" i="32" s="1"/>
  <c r="F241" i="32" s="1" a="1"/>
  <c r="F241" i="32" s="1"/>
  <c r="M241" i="32" s="1"/>
  <c r="I241" i="32" s="1"/>
  <c r="I240" i="32"/>
  <c r="Q240" i="32"/>
  <c r="P240" i="32"/>
  <c r="N240" i="32"/>
  <c r="G241" i="32" l="1"/>
  <c r="O241" i="32" s="1"/>
  <c r="H241" i="32"/>
  <c r="E242" i="32" s="1" a="1"/>
  <c r="E242" i="32" s="1"/>
  <c r="F242" i="32" s="1" a="1"/>
  <c r="F242" i="32" s="1"/>
  <c r="M242" i="32" l="1"/>
  <c r="I242" i="32" s="1"/>
  <c r="N241" i="32"/>
  <c r="Q241" i="32"/>
  <c r="P241" i="32"/>
  <c r="H242" i="32" l="1"/>
  <c r="E243" i="32" s="1" a="1"/>
  <c r="E243" i="32" s="1"/>
  <c r="F243" i="32" s="1" a="1"/>
  <c r="F243" i="32" s="1"/>
  <c r="M243" i="32" s="1"/>
  <c r="G243" i="32" s="1"/>
  <c r="O243" i="32" s="1"/>
  <c r="G242" i="32"/>
  <c r="O242" i="32" s="1"/>
  <c r="I243" i="32" l="1"/>
  <c r="H243" i="32"/>
  <c r="E244" i="32" s="1" a="1"/>
  <c r="E244" i="32" s="1"/>
  <c r="F244" i="32" s="1" a="1"/>
  <c r="F244" i="32" s="1"/>
  <c r="M244" i="32" s="1"/>
  <c r="I244" i="32" s="1"/>
  <c r="P243" i="32"/>
  <c r="N243" i="32"/>
  <c r="Q243" i="32"/>
  <c r="P242" i="32"/>
  <c r="N242" i="32"/>
  <c r="Q242" i="32"/>
  <c r="G244" i="32" l="1"/>
  <c r="O244" i="32" s="1"/>
  <c r="Q244" i="32" s="1"/>
  <c r="H244" i="32"/>
  <c r="E245" i="32" s="1" a="1"/>
  <c r="E245" i="32" s="1"/>
  <c r="F245" i="32" s="1" a="1"/>
  <c r="F245" i="32" s="1"/>
  <c r="N244" i="32" l="1"/>
  <c r="P244" i="32"/>
  <c r="M245" i="32"/>
  <c r="I245" i="32" s="1"/>
  <c r="H245" i="32" l="1"/>
  <c r="E246" i="32" s="1" a="1"/>
  <c r="E246" i="32" s="1"/>
  <c r="F246" i="32" s="1" a="1"/>
  <c r="F246" i="32" s="1"/>
  <c r="M246" i="32" s="1"/>
  <c r="I246" i="32" s="1"/>
  <c r="G245" i="32"/>
  <c r="O245" i="32" s="1"/>
  <c r="H246" i="32" l="1"/>
  <c r="E247" i="32" s="1" a="1"/>
  <c r="E247" i="32" s="1"/>
  <c r="F247" i="32" s="1" a="1"/>
  <c r="F247" i="32" s="1"/>
  <c r="P245" i="32"/>
  <c r="Q245" i="32"/>
  <c r="N245" i="32"/>
  <c r="G246" i="32"/>
  <c r="O246" i="32" s="1"/>
  <c r="M247" i="32" l="1"/>
  <c r="I247" i="32" s="1"/>
  <c r="P246" i="32"/>
  <c r="N246" i="32"/>
  <c r="Q246" i="32"/>
  <c r="G247" i="32" l="1"/>
  <c r="O247" i="32" s="1"/>
  <c r="H247" i="32"/>
  <c r="E248" i="32" s="1" a="1"/>
  <c r="E248" i="32" s="1"/>
  <c r="F248" i="32" s="1" a="1"/>
  <c r="F248" i="32" s="1"/>
  <c r="M248" i="32" s="1"/>
  <c r="I248" i="32" s="1"/>
  <c r="P247" i="32" l="1"/>
  <c r="Q247" i="32"/>
  <c r="N247" i="32"/>
  <c r="H248" i="32"/>
  <c r="E249" i="32" s="1" a="1"/>
  <c r="E249" i="32" s="1"/>
  <c r="F249" i="32" s="1" a="1"/>
  <c r="F249" i="32" s="1"/>
  <c r="M249" i="32" s="1"/>
  <c r="I249" i="32" s="1"/>
  <c r="G248" i="32"/>
  <c r="O248" i="32" s="1"/>
  <c r="N248" i="32" s="1"/>
  <c r="P248" i="32" l="1"/>
  <c r="Q248" i="32"/>
  <c r="G249" i="32"/>
  <c r="O249" i="32" s="1"/>
  <c r="H249" i="32"/>
  <c r="E250" i="32" s="1" a="1"/>
  <c r="E250" i="32" s="1"/>
  <c r="F250" i="32" s="1" a="1"/>
  <c r="F250" i="32" s="1"/>
  <c r="M250" i="32" l="1"/>
  <c r="I250" i="32" s="1"/>
  <c r="N249" i="32"/>
  <c r="Q249" i="32"/>
  <c r="P249" i="32"/>
  <c r="H250" i="32" l="1"/>
  <c r="E251" i="32" s="1" a="1"/>
  <c r="E251" i="32" s="1"/>
  <c r="F251" i="32" s="1" a="1"/>
  <c r="F251" i="32" s="1"/>
  <c r="M251" i="32" s="1"/>
  <c r="G251" i="32" s="1"/>
  <c r="O251" i="32" s="1"/>
  <c r="G250" i="32"/>
  <c r="O250" i="32" s="1"/>
  <c r="H251" i="32" l="1"/>
  <c r="E252" i="32" s="1" a="1"/>
  <c r="E252" i="32" s="1"/>
  <c r="F252" i="32" s="1" a="1"/>
  <c r="F252" i="32" s="1"/>
  <c r="I251" i="32"/>
  <c r="P251" i="32"/>
  <c r="N251" i="32"/>
  <c r="Q251" i="32"/>
  <c r="P250" i="32"/>
  <c r="N250" i="32"/>
  <c r="Q250" i="32"/>
  <c r="M252" i="32" l="1"/>
  <c r="H252" i="32" s="1"/>
  <c r="E253" i="32" s="1" a="1"/>
  <c r="E253" i="32" s="1"/>
  <c r="F253" i="32" s="1" a="1"/>
  <c r="F253" i="32" s="1"/>
  <c r="M253" i="32" s="1"/>
  <c r="I253" i="32" s="1"/>
  <c r="G252" i="32" l="1"/>
  <c r="O252" i="32" s="1"/>
  <c r="N252" i="32" s="1"/>
  <c r="I252" i="32"/>
  <c r="G253" i="32"/>
  <c r="O253" i="32" s="1"/>
  <c r="H253" i="32"/>
  <c r="E254" i="32" s="1" a="1"/>
  <c r="E254" i="32" s="1"/>
  <c r="F254" i="32" s="1" a="1"/>
  <c r="F254" i="32" s="1"/>
  <c r="Q252" i="32" l="1"/>
  <c r="P252" i="32"/>
  <c r="M254" i="32"/>
  <c r="I254" i="32" s="1"/>
  <c r="N253" i="32"/>
  <c r="P253" i="32"/>
  <c r="Q253" i="32"/>
  <c r="H254" i="32" l="1"/>
  <c r="E255" i="32" s="1" a="1"/>
  <c r="E255" i="32" s="1"/>
  <c r="F255" i="32" s="1" a="1"/>
  <c r="F255" i="32" s="1"/>
  <c r="G254" i="32"/>
  <c r="O254" i="32" s="1"/>
  <c r="P254" i="32" l="1"/>
  <c r="Q254" i="32"/>
  <c r="N254" i="32"/>
  <c r="M255" i="32"/>
  <c r="I255" i="32" s="1"/>
  <c r="G255" i="32" l="1"/>
  <c r="O255" i="32" s="1"/>
  <c r="P255" i="32" s="1"/>
  <c r="H255" i="32"/>
  <c r="E256" i="32" s="1" a="1"/>
  <c r="E256" i="32" s="1"/>
  <c r="F256" i="32" s="1" a="1"/>
  <c r="F256" i="32" s="1"/>
  <c r="Q255" i="32" l="1"/>
  <c r="N255" i="32"/>
  <c r="M256" i="32"/>
  <c r="G256" i="32" s="1"/>
  <c r="O256" i="32" s="1"/>
  <c r="I256" i="32" l="1"/>
  <c r="N256" i="32"/>
  <c r="Q256" i="32"/>
  <c r="P256" i="32"/>
  <c r="H256" i="32"/>
  <c r="E257" i="32" s="1" a="1"/>
  <c r="E257" i="32" s="1"/>
  <c r="F257" i="32" s="1" a="1"/>
  <c r="F257" i="32" s="1"/>
  <c r="M257" i="32" l="1"/>
  <c r="I257" i="32" s="1"/>
  <c r="H257" i="32" l="1"/>
  <c r="E258" i="32" s="1" a="1"/>
  <c r="E258" i="32" s="1"/>
  <c r="F258" i="32" s="1" a="1"/>
  <c r="F258" i="32" s="1"/>
  <c r="M258" i="32" s="1"/>
  <c r="I258" i="32" s="1"/>
  <c r="G257" i="32"/>
  <c r="O257" i="32" s="1"/>
  <c r="G258" i="32" l="1"/>
  <c r="O258" i="32" s="1"/>
  <c r="P258" i="32" s="1"/>
  <c r="P257" i="32"/>
  <c r="N257" i="32"/>
  <c r="Q257" i="32"/>
  <c r="H258" i="32"/>
  <c r="E259" i="32" s="1" a="1"/>
  <c r="E259" i="32" s="1"/>
  <c r="F259" i="32" s="1" a="1"/>
  <c r="F259" i="32" s="1"/>
  <c r="N258" i="32" l="1"/>
  <c r="Q258" i="32"/>
  <c r="M259" i="32"/>
  <c r="G259" i="32" s="1"/>
  <c r="O259" i="32" s="1"/>
  <c r="P259" i="32" l="1"/>
  <c r="N259" i="32"/>
  <c r="Q259" i="32"/>
  <c r="I259" i="32"/>
  <c r="H259" i="32"/>
  <c r="E260" i="32" s="1" a="1"/>
  <c r="E260" i="32" s="1"/>
  <c r="F260" i="32" s="1" a="1"/>
  <c r="F260" i="32" s="1"/>
  <c r="M260" i="32" l="1"/>
  <c r="I260" i="32" s="1"/>
  <c r="G260" i="32" l="1"/>
  <c r="O260" i="32" s="1"/>
  <c r="P260" i="32" s="1"/>
  <c r="H260" i="32"/>
  <c r="E261" i="32" s="1" a="1"/>
  <c r="E261" i="32" s="1"/>
  <c r="F261" i="32" s="1" a="1"/>
  <c r="F261" i="32" s="1"/>
  <c r="M261" i="32" s="1"/>
  <c r="I261" i="32" s="1"/>
  <c r="Q260" i="32" l="1"/>
  <c r="N260" i="32"/>
  <c r="H261" i="32"/>
  <c r="E262" i="32" s="1" a="1"/>
  <c r="E262" i="32" s="1"/>
  <c r="F262" i="32" s="1" a="1"/>
  <c r="F262" i="32" s="1"/>
  <c r="M262" i="32" s="1"/>
  <c r="I262" i="32" s="1"/>
  <c r="G261" i="32"/>
  <c r="O261" i="32" s="1"/>
  <c r="Q261" i="32" s="1"/>
  <c r="N261" i="32" l="1"/>
  <c r="P261" i="32"/>
  <c r="H262" i="32"/>
  <c r="E263" i="32" s="1" a="1"/>
  <c r="E263" i="32" s="1"/>
  <c r="F263" i="32" s="1" a="1"/>
  <c r="F263" i="32" s="1"/>
  <c r="G262" i="32"/>
  <c r="O262" i="32" s="1"/>
  <c r="P262" i="32" l="1"/>
  <c r="Q262" i="32"/>
  <c r="N262" i="32"/>
  <c r="M263" i="32"/>
  <c r="I263" i="32" s="1"/>
  <c r="G263" i="32" l="1"/>
  <c r="O263" i="32" s="1"/>
  <c r="H263" i="32"/>
  <c r="E264" i="32" s="1" a="1"/>
  <c r="E264" i="32" s="1"/>
  <c r="F264" i="32" s="1" a="1"/>
  <c r="F264" i="32" s="1"/>
  <c r="M264" i="32" l="1"/>
  <c r="G264" i="32" s="1"/>
  <c r="O264" i="32" s="1"/>
  <c r="P263" i="32"/>
  <c r="Q263" i="32"/>
  <c r="N263" i="32"/>
  <c r="I264" i="32" l="1"/>
  <c r="N264" i="32"/>
  <c r="Q264" i="32"/>
  <c r="P264" i="32"/>
  <c r="H264" i="32"/>
  <c r="E265" i="32" s="1" a="1"/>
  <c r="E265" i="32" s="1"/>
  <c r="F265" i="32" s="1" a="1"/>
  <c r="F265" i="32" s="1"/>
  <c r="M265" i="32" l="1"/>
  <c r="I265" i="32" s="1"/>
  <c r="G265" i="32" l="1"/>
  <c r="O265" i="32" s="1"/>
  <c r="H265" i="32"/>
  <c r="E266" i="32" s="1" a="1"/>
  <c r="E266" i="32" s="1"/>
  <c r="F266" i="32" s="1" a="1"/>
  <c r="F266" i="32" s="1"/>
  <c r="M266" i="32" l="1"/>
  <c r="I266" i="32" s="1"/>
  <c r="P265" i="32"/>
  <c r="Q265" i="32"/>
  <c r="N265" i="32"/>
  <c r="H266" i="32" l="1"/>
  <c r="E267" i="32" s="1" a="1"/>
  <c r="E267" i="32" s="1"/>
  <c r="F267" i="32" s="1" a="1"/>
  <c r="F267" i="32" s="1"/>
  <c r="G266" i="32"/>
  <c r="O266" i="32" s="1"/>
  <c r="P266" i="32" l="1"/>
  <c r="N266" i="32"/>
  <c r="Q266" i="32"/>
  <c r="M267" i="32"/>
  <c r="G267" i="32" s="1"/>
  <c r="O267" i="32" s="1"/>
  <c r="H267" i="32" l="1"/>
  <c r="E268" i="32" s="1" a="1"/>
  <c r="E268" i="32" s="1"/>
  <c r="F268" i="32" s="1" a="1"/>
  <c r="F268" i="32" s="1"/>
  <c r="M268" i="32" s="1"/>
  <c r="I268" i="32" s="1"/>
  <c r="I267" i="32"/>
  <c r="P267" i="32"/>
  <c r="N267" i="32"/>
  <c r="Q267" i="32"/>
  <c r="G268" i="32" l="1"/>
  <c r="O268" i="32" s="1"/>
  <c r="P268" i="32" s="1"/>
  <c r="H268" i="32"/>
  <c r="E269" i="32" s="1" a="1"/>
  <c r="E269" i="32" s="1"/>
  <c r="F269" i="32" s="1" a="1"/>
  <c r="F269" i="32" s="1"/>
  <c r="M269" i="32" s="1"/>
  <c r="G269" i="32" s="1"/>
  <c r="O269" i="32" s="1"/>
  <c r="N268" i="32" l="1"/>
  <c r="Q268" i="32"/>
  <c r="P269" i="32"/>
  <c r="Q269" i="32"/>
  <c r="N269" i="32"/>
  <c r="H269" i="32"/>
  <c r="E270" i="32" s="1" a="1"/>
  <c r="E270" i="32" s="1"/>
  <c r="F270" i="32" s="1" a="1"/>
  <c r="F270" i="32" s="1"/>
  <c r="I269" i="32"/>
  <c r="M270" i="32" l="1"/>
  <c r="I270" i="32" s="1"/>
  <c r="H270" i="32" l="1"/>
  <c r="E271" i="32" s="1" a="1"/>
  <c r="E271" i="32" s="1"/>
  <c r="F271" i="32" s="1" a="1"/>
  <c r="F271" i="32" s="1"/>
  <c r="G270" i="32"/>
  <c r="O270" i="32" s="1"/>
  <c r="P270" i="32" l="1"/>
  <c r="Q270" i="32"/>
  <c r="N270" i="32"/>
  <c r="M271" i="32"/>
  <c r="I271" i="32" s="1"/>
  <c r="G271" i="32" l="1"/>
  <c r="O271" i="32" s="1"/>
  <c r="Q271" i="32" s="1"/>
  <c r="H271" i="32"/>
  <c r="E272" i="32" s="1" a="1"/>
  <c r="E272" i="32" s="1"/>
  <c r="F272" i="32" s="1" a="1"/>
  <c r="F272" i="32" s="1"/>
  <c r="N271" i="32" l="1"/>
  <c r="P271" i="32"/>
  <c r="M272" i="32"/>
  <c r="I272" i="32" s="1"/>
  <c r="H272" i="32" l="1"/>
  <c r="E273" i="32" s="1" a="1"/>
  <c r="E273" i="32" s="1"/>
  <c r="F273" i="32" s="1" a="1"/>
  <c r="F273" i="32" s="1"/>
  <c r="M273" i="32" s="1"/>
  <c r="I273" i="32" s="1"/>
  <c r="G272" i="32"/>
  <c r="O272" i="32" s="1"/>
  <c r="P272" i="32" s="1"/>
  <c r="G273" i="32" l="1"/>
  <c r="O273" i="32" s="1"/>
  <c r="N273" i="32" s="1"/>
  <c r="H273" i="32"/>
  <c r="E274" i="32" s="1" a="1"/>
  <c r="E274" i="32" s="1"/>
  <c r="F274" i="32" s="1" a="1"/>
  <c r="F274" i="32" s="1"/>
  <c r="M274" i="32" s="1"/>
  <c r="I274" i="32" s="1"/>
  <c r="N272" i="32"/>
  <c r="Q272" i="32"/>
  <c r="P273" i="32" l="1"/>
  <c r="Q273" i="32"/>
  <c r="G274" i="32"/>
  <c r="O274" i="32" s="1"/>
  <c r="P274" i="32" s="1"/>
  <c r="H274" i="32"/>
  <c r="E275" i="32" s="1" a="1"/>
  <c r="E275" i="32" s="1"/>
  <c r="F275" i="32" s="1" a="1"/>
  <c r="F275" i="32" s="1"/>
  <c r="Q274" i="32" l="1"/>
  <c r="N274" i="32"/>
  <c r="M275" i="32"/>
  <c r="I275" i="32" s="1"/>
  <c r="G275" i="32" l="1"/>
  <c r="O275" i="32" s="1"/>
  <c r="P275" i="32" s="1"/>
  <c r="H275" i="32"/>
  <c r="E276" i="32" s="1" a="1"/>
  <c r="E276" i="32" s="1"/>
  <c r="F276" i="32" s="1" a="1"/>
  <c r="F276" i="32" s="1"/>
  <c r="M276" i="32" s="1"/>
  <c r="G276" i="32" s="1"/>
  <c r="O276" i="32" s="1"/>
  <c r="Q275" i="32" l="1"/>
  <c r="N275" i="32"/>
  <c r="P276" i="32"/>
  <c r="Q276" i="32"/>
  <c r="N276" i="32"/>
  <c r="H276" i="32"/>
  <c r="E277" i="32" s="1" a="1"/>
  <c r="E277" i="32" s="1"/>
  <c r="F277" i="32" s="1" a="1"/>
  <c r="F277" i="32" s="1"/>
  <c r="I276" i="32"/>
  <c r="M277" i="32" l="1"/>
  <c r="I277" i="32" s="1"/>
  <c r="G277" i="32" l="1"/>
  <c r="O277" i="32" s="1"/>
  <c r="H277" i="32"/>
  <c r="E278" i="32" s="1" a="1"/>
  <c r="E278" i="32" s="1"/>
  <c r="F278" i="32" s="1" a="1"/>
  <c r="F278" i="32" s="1"/>
  <c r="M278" i="32" l="1"/>
  <c r="I278" i="32" s="1"/>
  <c r="N277" i="32"/>
  <c r="Q277" i="32"/>
  <c r="P277" i="32"/>
  <c r="G278" i="32" l="1"/>
  <c r="O278" i="32" s="1"/>
  <c r="P278" i="32" s="1"/>
  <c r="H278" i="32"/>
  <c r="E279" i="32" s="1" a="1"/>
  <c r="E279" i="32" s="1"/>
  <c r="F279" i="32" s="1" a="1"/>
  <c r="F279" i="32" s="1"/>
  <c r="N278" i="32" l="1"/>
  <c r="Q278" i="32"/>
  <c r="M279" i="32"/>
  <c r="I279" i="32" s="1"/>
  <c r="G279" i="32" l="1"/>
  <c r="O279" i="32" s="1"/>
  <c r="P279" i="32" s="1"/>
  <c r="H279" i="32"/>
  <c r="E280" i="32" s="1" a="1"/>
  <c r="E280" i="32" s="1"/>
  <c r="F280" i="32" s="1" a="1"/>
  <c r="F280" i="32" s="1"/>
  <c r="M280" i="32" s="1"/>
  <c r="G280" i="32" s="1"/>
  <c r="O280" i="32" s="1"/>
  <c r="N279" i="32" l="1"/>
  <c r="Q279" i="32"/>
  <c r="I280" i="32"/>
  <c r="H280" i="32"/>
  <c r="E281" i="32" s="1" a="1"/>
  <c r="E281" i="32" s="1"/>
  <c r="F281" i="32" s="1" a="1"/>
  <c r="F281" i="32" s="1"/>
  <c r="M281" i="32" s="1"/>
  <c r="I281" i="32" s="1"/>
  <c r="N280" i="32"/>
  <c r="Q280" i="32"/>
  <c r="P280" i="32"/>
  <c r="H281" i="32" l="1"/>
  <c r="E282" i="32" s="1" a="1"/>
  <c r="E282" i="32" s="1"/>
  <c r="F282" i="32" s="1" a="1"/>
  <c r="F282" i="32" s="1"/>
  <c r="M282" i="32" s="1"/>
  <c r="I282" i="32" s="1"/>
  <c r="G281" i="32"/>
  <c r="O281" i="32" s="1"/>
  <c r="N281" i="32" s="1"/>
  <c r="P281" i="32" l="1"/>
  <c r="Q281" i="32"/>
  <c r="G282" i="32"/>
  <c r="O282" i="32" s="1"/>
  <c r="P282" i="32" s="1"/>
  <c r="H282" i="32"/>
  <c r="E283" i="32" s="1" a="1"/>
  <c r="E283" i="32" s="1"/>
  <c r="F283" i="32" s="1" a="1"/>
  <c r="F283" i="32" s="1"/>
  <c r="M283" i="32" s="1"/>
  <c r="G283" i="32" s="1"/>
  <c r="O283" i="32" s="1"/>
  <c r="N282" i="32" l="1"/>
  <c r="Q282" i="32"/>
  <c r="I283" i="32"/>
  <c r="H283" i="32"/>
  <c r="E284" i="32" s="1" a="1"/>
  <c r="E284" i="32" s="1"/>
  <c r="F284" i="32" s="1" a="1"/>
  <c r="F284" i="32" s="1"/>
  <c r="M284" i="32" s="1"/>
  <c r="I284" i="32" s="1"/>
  <c r="P283" i="32"/>
  <c r="N283" i="32"/>
  <c r="Q283" i="32"/>
  <c r="H284" i="32" l="1"/>
  <c r="E285" i="32" s="1" a="1"/>
  <c r="E285" i="32" s="1"/>
  <c r="F285" i="32" s="1" a="1"/>
  <c r="F285" i="32" s="1"/>
  <c r="G284" i="32"/>
  <c r="O284" i="32" s="1"/>
  <c r="Q284" i="32" l="1"/>
  <c r="P284" i="32"/>
  <c r="N284" i="32"/>
  <c r="M285" i="32"/>
  <c r="I285" i="32" s="1"/>
  <c r="G285" i="32" l="1"/>
  <c r="O285" i="32" s="1"/>
  <c r="N285" i="32" s="1"/>
  <c r="H285" i="32"/>
  <c r="E286" i="32" s="1" a="1"/>
  <c r="E286" i="32" s="1"/>
  <c r="F286" i="32" s="1" a="1"/>
  <c r="F286" i="32" s="1"/>
  <c r="P285" i="32" l="1"/>
  <c r="Q285" i="32"/>
  <c r="M286" i="32"/>
  <c r="I286" i="32" s="1"/>
  <c r="G286" i="32" l="1"/>
  <c r="O286" i="32" s="1"/>
  <c r="P286" i="32" s="1"/>
  <c r="H286" i="32"/>
  <c r="E287" i="32" s="1" a="1"/>
  <c r="E287" i="32" s="1"/>
  <c r="F287" i="32" s="1" a="1"/>
  <c r="F287" i="32" s="1"/>
  <c r="N286" i="32" l="1"/>
  <c r="Q286" i="32"/>
  <c r="M287" i="32"/>
  <c r="G287" i="32" s="1"/>
  <c r="O287" i="32" s="1"/>
  <c r="H287" i="32" l="1"/>
  <c r="E288" i="32" s="1" a="1"/>
  <c r="E288" i="32" s="1"/>
  <c r="F288" i="32" s="1" a="1"/>
  <c r="F288" i="32" s="1"/>
  <c r="P287" i="32"/>
  <c r="Q287" i="32"/>
  <c r="N287" i="32"/>
  <c r="I287" i="32"/>
  <c r="M288" i="32" l="1"/>
  <c r="G288" i="32" s="1"/>
  <c r="O288" i="32" s="1"/>
  <c r="H288" i="32" l="1"/>
  <c r="E289" i="32" s="1" a="1"/>
  <c r="E289" i="32" s="1"/>
  <c r="F289" i="32" s="1" a="1"/>
  <c r="F289" i="32" s="1"/>
  <c r="M289" i="32" s="1"/>
  <c r="I289" i="32" s="1"/>
  <c r="P288" i="32"/>
  <c r="N288" i="32"/>
  <c r="Q288" i="32"/>
  <c r="I288" i="32"/>
  <c r="H289" i="32" l="1"/>
  <c r="E290" i="32" s="1" a="1"/>
  <c r="E290" i="32" s="1"/>
  <c r="F290" i="32" s="1" a="1"/>
  <c r="F290" i="32" s="1"/>
  <c r="G289" i="32"/>
  <c r="O289" i="32" s="1"/>
  <c r="P289" i="32" l="1"/>
  <c r="Q289" i="32"/>
  <c r="N289" i="32"/>
  <c r="M290" i="32"/>
  <c r="H290" i="32" s="1"/>
  <c r="E291" i="32" s="1" a="1"/>
  <c r="E291" i="32" s="1"/>
  <c r="F291" i="32" s="1" a="1"/>
  <c r="F291" i="32" s="1"/>
  <c r="G290" i="32" l="1"/>
  <c r="O290" i="32" s="1"/>
  <c r="P290" i="32" s="1"/>
  <c r="I290" i="32"/>
  <c r="M291" i="32"/>
  <c r="G291" i="32" s="1"/>
  <c r="O291" i="32" s="1"/>
  <c r="N290" i="32" l="1"/>
  <c r="Q290" i="32"/>
  <c r="H291" i="32"/>
  <c r="E292" i="32" s="1" a="1"/>
  <c r="E292" i="32" s="1"/>
  <c r="F292" i="32" s="1" a="1"/>
  <c r="F292" i="32" s="1"/>
  <c r="I291" i="32"/>
  <c r="Q291" i="32"/>
  <c r="P291" i="32"/>
  <c r="N291" i="32"/>
  <c r="M292" i="32" l="1"/>
  <c r="I292" i="32" s="1"/>
  <c r="H292" i="32" l="1"/>
  <c r="E293" i="32" s="1" a="1"/>
  <c r="E293" i="32" s="1"/>
  <c r="F293" i="32" s="1" a="1"/>
  <c r="F293" i="32" s="1"/>
  <c r="M293" i="32" s="1"/>
  <c r="I293" i="32" s="1"/>
  <c r="G292" i="32"/>
  <c r="O292" i="32" s="1"/>
  <c r="G293" i="32" l="1"/>
  <c r="O293" i="32" s="1"/>
  <c r="N293" i="32" s="1"/>
  <c r="H293" i="32"/>
  <c r="E294" i="32" s="1" a="1"/>
  <c r="E294" i="32" s="1"/>
  <c r="F294" i="32" s="1" a="1"/>
  <c r="F294" i="32" s="1"/>
  <c r="M294" i="32" s="1"/>
  <c r="I294" i="32" s="1"/>
  <c r="N292" i="32"/>
  <c r="Q292" i="32"/>
  <c r="P292" i="32"/>
  <c r="Q293" i="32" l="1"/>
  <c r="P293" i="32"/>
  <c r="H294" i="32"/>
  <c r="E295" i="32" s="1" a="1"/>
  <c r="E295" i="32" s="1"/>
  <c r="F295" i="32" s="1" a="1"/>
  <c r="F295" i="32" s="1"/>
  <c r="M295" i="32" s="1"/>
  <c r="G295" i="32" s="1"/>
  <c r="O295" i="32" s="1"/>
  <c r="P295" i="32" s="1"/>
  <c r="G294" i="32"/>
  <c r="O294" i="32" s="1"/>
  <c r="N294" i="32" s="1"/>
  <c r="Q294" i="32" l="1"/>
  <c r="Q295" i="32"/>
  <c r="H295" i="32"/>
  <c r="E296" i="32" s="1" a="1"/>
  <c r="E296" i="32" s="1"/>
  <c r="F296" i="32" s="1" a="1"/>
  <c r="F296" i="32" s="1"/>
  <c r="M296" i="32" s="1"/>
  <c r="G296" i="32" s="1"/>
  <c r="O296" i="32" s="1"/>
  <c r="P294" i="32"/>
  <c r="I295" i="32"/>
  <c r="N295" i="32"/>
  <c r="H296" i="32" l="1"/>
  <c r="E297" i="32" s="1" a="1"/>
  <c r="E297" i="32" s="1"/>
  <c r="F297" i="32" s="1" a="1"/>
  <c r="F297" i="32" s="1"/>
  <c r="M297" i="32" s="1"/>
  <c r="I297" i="32" s="1"/>
  <c r="I296" i="32"/>
  <c r="N296" i="32"/>
  <c r="Q296" i="32"/>
  <c r="P296" i="32"/>
  <c r="G297" i="32" l="1"/>
  <c r="O297" i="32" s="1"/>
  <c r="H297" i="32"/>
  <c r="E298" i="32" s="1" a="1"/>
  <c r="E298" i="32" s="1"/>
  <c r="F298" i="32" s="1" a="1"/>
  <c r="F298" i="32" s="1"/>
  <c r="M298" i="32" l="1"/>
  <c r="I298" i="32" s="1"/>
  <c r="P297" i="32"/>
  <c r="N297" i="32"/>
  <c r="Q297" i="32"/>
  <c r="G298" i="32" l="1"/>
  <c r="O298" i="32" s="1"/>
  <c r="P298" i="32" s="1"/>
  <c r="H298" i="32"/>
  <c r="E299" i="32" s="1" a="1"/>
  <c r="E299" i="32" s="1"/>
  <c r="F299" i="32" s="1" a="1"/>
  <c r="F299" i="32" s="1"/>
  <c r="M299" i="32" s="1"/>
  <c r="H299" i="32" s="1"/>
  <c r="E300" i="32" s="1" a="1"/>
  <c r="E300" i="32" s="1"/>
  <c r="F300" i="32" s="1" a="1"/>
  <c r="F300" i="32" s="1"/>
  <c r="N298" i="32" l="1"/>
  <c r="Q298" i="32"/>
  <c r="M300" i="32"/>
  <c r="I300" i="32" s="1"/>
  <c r="I299" i="32"/>
  <c r="G299" i="32"/>
  <c r="O299" i="32" s="1"/>
  <c r="G300" i="32" l="1"/>
  <c r="O300" i="32" s="1"/>
  <c r="P300" i="32" s="1"/>
  <c r="P299" i="32"/>
  <c r="N299" i="32"/>
  <c r="Q299" i="32"/>
  <c r="H300" i="32"/>
  <c r="E301" i="32" s="1" a="1"/>
  <c r="E301" i="32" s="1"/>
  <c r="F301" i="32" s="1" a="1"/>
  <c r="F301" i="32" s="1"/>
  <c r="Q300" i="32" l="1"/>
  <c r="N300" i="32"/>
  <c r="M301" i="32"/>
  <c r="I301" i="32" s="1"/>
  <c r="G301" i="32" l="1"/>
  <c r="O301" i="32" s="1"/>
  <c r="Q301" i="32" s="1"/>
  <c r="H301" i="32"/>
  <c r="E302" i="32" s="1" a="1"/>
  <c r="E302" i="32" s="1"/>
  <c r="F302" i="32" s="1" a="1"/>
  <c r="F302" i="32" s="1"/>
  <c r="M302" i="32" s="1"/>
  <c r="I302" i="32" s="1"/>
  <c r="N301" i="32" l="1"/>
  <c r="P301" i="32"/>
  <c r="H302" i="32"/>
  <c r="E303" i="32" s="1" a="1"/>
  <c r="E303" i="32" s="1"/>
  <c r="F303" i="32" s="1" a="1"/>
  <c r="F303" i="32" s="1"/>
  <c r="M303" i="32" s="1"/>
  <c r="I303" i="32" s="1"/>
  <c r="G302" i="32"/>
  <c r="O302" i="32" s="1"/>
  <c r="G303" i="32" l="1"/>
  <c r="O303" i="32" s="1"/>
  <c r="P303" i="32" s="1"/>
  <c r="P302" i="32"/>
  <c r="Q302" i="32"/>
  <c r="N302" i="32"/>
  <c r="H303" i="32"/>
  <c r="E304" i="32" s="1" a="1"/>
  <c r="E304" i="32" s="1"/>
  <c r="F304" i="32" s="1" a="1"/>
  <c r="F304" i="32" s="1"/>
  <c r="N303" i="32" l="1"/>
  <c r="Q303" i="32"/>
  <c r="M304" i="32"/>
  <c r="G304" i="32" s="1"/>
  <c r="O304" i="32" s="1"/>
  <c r="I304" i="32" l="1"/>
  <c r="N304" i="32"/>
  <c r="Q304" i="32"/>
  <c r="P304" i="32"/>
  <c r="H304" i="32"/>
  <c r="E305" i="32" s="1" a="1"/>
  <c r="E305" i="32" s="1"/>
  <c r="F305" i="32" s="1" a="1"/>
  <c r="F305" i="32" s="1"/>
  <c r="M305" i="32" l="1"/>
  <c r="I305" i="32" s="1"/>
  <c r="G305" i="32" l="1"/>
  <c r="O305" i="32" s="1"/>
  <c r="H305" i="32"/>
  <c r="E306" i="32" s="1" a="1"/>
  <c r="E306" i="32" s="1"/>
  <c r="F306" i="32" s="1" a="1"/>
  <c r="F306" i="32" s="1"/>
  <c r="M306" i="32" l="1"/>
  <c r="I306" i="32" s="1"/>
  <c r="Q305" i="32"/>
  <c r="P305" i="32"/>
  <c r="N305" i="32"/>
  <c r="H306" i="32" l="1"/>
  <c r="E307" i="32" s="1" a="1"/>
  <c r="E307" i="32" s="1"/>
  <c r="F307" i="32" s="1" a="1"/>
  <c r="F307" i="32" s="1"/>
  <c r="M307" i="32" s="1"/>
  <c r="G306" i="32"/>
  <c r="O306" i="32" s="1"/>
  <c r="G307" i="32" l="1"/>
  <c r="O307" i="32" s="1"/>
  <c r="P307" i="32" s="1"/>
  <c r="H307" i="32"/>
  <c r="E308" i="32" s="1" a="1"/>
  <c r="E308" i="32" s="1"/>
  <c r="F308" i="32" s="1" a="1"/>
  <c r="F308" i="32" s="1"/>
  <c r="M308" i="32" s="1"/>
  <c r="I308" i="32" s="1"/>
  <c r="I307" i="32"/>
  <c r="P306" i="32"/>
  <c r="N306" i="32"/>
  <c r="Q306" i="32"/>
  <c r="N307" i="32" l="1"/>
  <c r="Q307" i="32"/>
  <c r="H308" i="32"/>
  <c r="E309" i="32" s="1" a="1"/>
  <c r="E309" i="32" s="1"/>
  <c r="F309" i="32" s="1" a="1"/>
  <c r="F309" i="32" s="1"/>
  <c r="M309" i="32" s="1"/>
  <c r="I309" i="32" s="1"/>
  <c r="G308" i="32"/>
  <c r="O308" i="32" s="1"/>
  <c r="G309" i="32" l="1"/>
  <c r="O309" i="32" s="1"/>
  <c r="H309" i="32"/>
  <c r="E310" i="32" s="1" a="1"/>
  <c r="E310" i="32" s="1"/>
  <c r="F310" i="32" s="1" a="1"/>
  <c r="F310" i="32" s="1"/>
  <c r="Q308" i="32"/>
  <c r="P308" i="32"/>
  <c r="N308" i="32"/>
  <c r="M310" i="32" l="1"/>
  <c r="I310" i="32" s="1"/>
  <c r="N309" i="32"/>
  <c r="Q309" i="32"/>
  <c r="P309" i="32"/>
  <c r="G310" i="32" l="1"/>
  <c r="O310" i="32" s="1"/>
  <c r="P310" i="32" s="1"/>
  <c r="H310" i="32"/>
  <c r="E311" i="32" s="1" a="1"/>
  <c r="E311" i="32" s="1"/>
  <c r="F311" i="32" s="1" a="1"/>
  <c r="F311" i="32" s="1"/>
  <c r="M311" i="32" s="1"/>
  <c r="I311" i="32" s="1"/>
  <c r="Q310" i="32" l="1"/>
  <c r="N310" i="32"/>
  <c r="G311" i="32"/>
  <c r="O311" i="32" s="1"/>
  <c r="N311" i="32" s="1"/>
  <c r="H311" i="32"/>
  <c r="E312" i="32" s="1" a="1"/>
  <c r="E312" i="32" s="1"/>
  <c r="F312" i="32" s="1" a="1"/>
  <c r="F312" i="32" s="1"/>
  <c r="Q311" i="32" l="1"/>
  <c r="P311" i="32"/>
  <c r="M312" i="32"/>
  <c r="H312" i="32" s="1"/>
  <c r="E313" i="32" s="1" a="1"/>
  <c r="E313" i="32" s="1"/>
  <c r="F313" i="32" s="1" a="1"/>
  <c r="F313" i="32" s="1"/>
  <c r="M313" i="32" s="1"/>
  <c r="G313" i="32" s="1"/>
  <c r="O313" i="32" s="1"/>
  <c r="G312" i="32" l="1"/>
  <c r="O312" i="32" s="1"/>
  <c r="I312" i="32"/>
  <c r="N313" i="32"/>
  <c r="Q313" i="32"/>
  <c r="P313" i="32"/>
  <c r="H313" i="32"/>
  <c r="E314" i="32" s="1" a="1"/>
  <c r="E314" i="32" s="1"/>
  <c r="F314" i="32" s="1" a="1"/>
  <c r="F314" i="32" s="1"/>
  <c r="I313" i="32"/>
  <c r="Q312" i="32" l="1"/>
  <c r="P312" i="32"/>
  <c r="N312" i="32"/>
  <c r="M314" i="32"/>
  <c r="I314" i="32" s="1"/>
  <c r="G314" i="32" l="1"/>
  <c r="O314" i="32" s="1"/>
  <c r="P314" i="32" s="1"/>
  <c r="H314" i="32"/>
  <c r="E315" i="32" s="1" a="1"/>
  <c r="E315" i="32" s="1"/>
  <c r="F315" i="32" s="1" a="1"/>
  <c r="F315" i="32" s="1"/>
  <c r="Q314" i="32" l="1"/>
  <c r="N314" i="32"/>
  <c r="M315" i="32"/>
  <c r="H315" i="32" s="1"/>
  <c r="E316" i="32" s="1" a="1"/>
  <c r="E316" i="32" s="1"/>
  <c r="F316" i="32" s="1" a="1"/>
  <c r="F316" i="32" s="1"/>
  <c r="M316" i="32" l="1"/>
  <c r="I316" i="32" s="1"/>
  <c r="I315" i="32"/>
  <c r="G315" i="32"/>
  <c r="O315" i="32" s="1"/>
  <c r="P315" i="32" l="1"/>
  <c r="N315" i="32"/>
  <c r="Q315" i="32"/>
  <c r="G316" i="32"/>
  <c r="O316" i="32" s="1"/>
  <c r="H316" i="32"/>
  <c r="E317" i="32" s="1" a="1"/>
  <c r="E317" i="32" s="1"/>
  <c r="F317" i="32" s="1" a="1"/>
  <c r="F317" i="32" s="1"/>
  <c r="M317" i="32" l="1"/>
  <c r="I317" i="32" s="1"/>
  <c r="P316" i="32"/>
  <c r="N316" i="32"/>
  <c r="Q316" i="32"/>
  <c r="G317" i="32" l="1"/>
  <c r="O317" i="32" s="1"/>
  <c r="N317" i="32" s="1"/>
  <c r="H317" i="32"/>
  <c r="E318" i="32" s="1" a="1"/>
  <c r="E318" i="32" s="1"/>
  <c r="F318" i="32" s="1" a="1"/>
  <c r="F318" i="32" s="1"/>
  <c r="P317" i="32" l="1"/>
  <c r="Q317" i="32"/>
  <c r="M318" i="32"/>
  <c r="I318" i="32" s="1"/>
  <c r="H318" i="32" l="1"/>
  <c r="E319" i="32" s="1" a="1"/>
  <c r="E319" i="32" s="1"/>
  <c r="F319" i="32" s="1" a="1"/>
  <c r="F319" i="32" s="1"/>
  <c r="G318" i="32"/>
  <c r="O318" i="32" s="1"/>
  <c r="P318" i="32" l="1"/>
  <c r="Q318" i="32"/>
  <c r="N318" i="32"/>
  <c r="M319" i="32"/>
  <c r="G319" i="32" s="1"/>
  <c r="O319" i="32" s="1"/>
  <c r="P319" i="32" l="1"/>
  <c r="Q319" i="32"/>
  <c r="N319" i="32"/>
  <c r="H319" i="32"/>
  <c r="E320" i="32" s="1" a="1"/>
  <c r="E320" i="32" s="1"/>
  <c r="F320" i="32" s="1" a="1"/>
  <c r="F320" i="32" s="1"/>
  <c r="I319" i="32"/>
  <c r="M320" i="32" l="1"/>
  <c r="H320" i="32" s="1"/>
  <c r="E321" i="32" s="1" a="1"/>
  <c r="E321" i="32" s="1"/>
  <c r="F321" i="32" s="1" a="1"/>
  <c r="F321" i="32" s="1"/>
  <c r="G320" i="32" l="1"/>
  <c r="O320" i="32" s="1"/>
  <c r="N320" i="32" s="1"/>
  <c r="I320" i="32"/>
  <c r="M321" i="32"/>
  <c r="I321" i="32" s="1"/>
  <c r="P320" i="32" l="1"/>
  <c r="Q320" i="32"/>
  <c r="H321" i="32"/>
  <c r="E322" i="32" s="1" a="1"/>
  <c r="E322" i="32" s="1"/>
  <c r="F322" i="32" s="1" a="1"/>
  <c r="F322" i="32" s="1"/>
  <c r="M322" i="32" s="1"/>
  <c r="I322" i="32" s="1"/>
  <c r="G321" i="32"/>
  <c r="O321" i="32" s="1"/>
  <c r="P321" i="32" s="1"/>
  <c r="Q321" i="32" l="1"/>
  <c r="N321" i="32"/>
  <c r="G322" i="32"/>
  <c r="O322" i="32" s="1"/>
  <c r="P322" i="32" s="1"/>
  <c r="H322" i="32"/>
  <c r="E323" i="32" s="1" a="1"/>
  <c r="E323" i="32" s="1"/>
  <c r="F323" i="32" s="1" a="1"/>
  <c r="F323" i="32" s="1"/>
  <c r="M323" i="32" s="1"/>
  <c r="G323" i="32" s="1"/>
  <c r="O323" i="32" s="1"/>
  <c r="P323" i="32" s="1"/>
  <c r="Q322" i="32" l="1"/>
  <c r="N322" i="32"/>
  <c r="H323" i="32"/>
  <c r="E324" i="32" s="1" a="1"/>
  <c r="E324" i="32" s="1"/>
  <c r="F324" i="32" s="1" a="1"/>
  <c r="F324" i="32" s="1"/>
  <c r="M324" i="32" s="1"/>
  <c r="I324" i="32" s="1"/>
  <c r="N323" i="32"/>
  <c r="I323" i="32"/>
  <c r="Q323" i="32"/>
  <c r="H324" i="32" l="1"/>
  <c r="E325" i="32" s="1" a="1"/>
  <c r="E325" i="32" s="1"/>
  <c r="F325" i="32" s="1" a="1"/>
  <c r="F325" i="32" s="1"/>
  <c r="G324" i="32"/>
  <c r="O324" i="32" s="1"/>
  <c r="P324" i="32" s="1"/>
  <c r="N324" i="32" l="1"/>
  <c r="Q324" i="32"/>
  <c r="M325" i="32"/>
  <c r="I325" i="32" s="1"/>
  <c r="H325" i="32" l="1"/>
  <c r="E326" i="32" s="1" a="1"/>
  <c r="E326" i="32" s="1"/>
  <c r="F326" i="32" s="1" a="1"/>
  <c r="F326" i="32" s="1"/>
  <c r="M326" i="32" s="1"/>
  <c r="I326" i="32" s="1"/>
  <c r="G325" i="32"/>
  <c r="O325" i="32" s="1"/>
  <c r="H326" i="32" l="1"/>
  <c r="E327" i="32" s="1" a="1"/>
  <c r="E327" i="32" s="1"/>
  <c r="F327" i="32" s="1" a="1"/>
  <c r="F327" i="32" s="1"/>
  <c r="M327" i="32" s="1"/>
  <c r="G327" i="32" s="1"/>
  <c r="O327" i="32" s="1"/>
  <c r="G326" i="32"/>
  <c r="O326" i="32" s="1"/>
  <c r="Q326" i="32" s="1"/>
  <c r="N325" i="32"/>
  <c r="P325" i="32"/>
  <c r="Q325" i="32"/>
  <c r="N326" i="32" l="1"/>
  <c r="P326" i="32"/>
  <c r="I327" i="32"/>
  <c r="H327" i="32"/>
  <c r="E328" i="32" s="1" a="1"/>
  <c r="E328" i="32" s="1"/>
  <c r="F328" i="32" s="1" a="1"/>
  <c r="F328" i="32" s="1"/>
  <c r="P327" i="32"/>
  <c r="Q327" i="32"/>
  <c r="N327" i="32"/>
  <c r="M328" i="32" l="1"/>
  <c r="G328" i="32" s="1"/>
  <c r="O328" i="32" s="1"/>
  <c r="N328" i="32" s="1"/>
  <c r="P328" i="32" l="1"/>
  <c r="Q328" i="32"/>
  <c r="H328" i="32"/>
  <c r="E329" i="32" s="1" a="1"/>
  <c r="E329" i="32" s="1"/>
  <c r="F329" i="32" s="1" a="1"/>
  <c r="F329" i="32" s="1"/>
  <c r="M329" i="32" s="1"/>
  <c r="G329" i="32" s="1"/>
  <c r="O329" i="32" s="1"/>
  <c r="P329" i="32" s="1"/>
  <c r="I328" i="32"/>
  <c r="I329" i="32" l="1"/>
  <c r="N329" i="32"/>
  <c r="Q329" i="32"/>
  <c r="H329" i="32"/>
  <c r="E330" i="32" s="1" a="1"/>
  <c r="E330" i="32" s="1"/>
  <c r="F330" i="32" s="1" a="1"/>
  <c r="F330" i="32" s="1"/>
  <c r="M330" i="32" s="1"/>
  <c r="I330" i="32" s="1"/>
  <c r="H330" i="32" l="1"/>
  <c r="E331" i="32" s="1" a="1"/>
  <c r="E331" i="32" s="1"/>
  <c r="F331" i="32" s="1" a="1"/>
  <c r="F331" i="32" s="1"/>
  <c r="G330" i="32"/>
  <c r="O330" i="32" s="1"/>
  <c r="P330" i="32" l="1"/>
  <c r="N330" i="32"/>
  <c r="Q330" i="32"/>
  <c r="M331" i="32"/>
  <c r="G331" i="32" s="1"/>
  <c r="O331" i="32" s="1"/>
  <c r="H331" i="32" l="1"/>
  <c r="E332" i="32" s="1" a="1"/>
  <c r="E332" i="32" s="1"/>
  <c r="F332" i="32" s="1" a="1"/>
  <c r="F332" i="32" s="1"/>
  <c r="M332" i="32" s="1"/>
  <c r="I332" i="32" s="1"/>
  <c r="I331" i="32"/>
  <c r="P331" i="32"/>
  <c r="Q331" i="32"/>
  <c r="N331" i="32"/>
  <c r="H332" i="32" l="1"/>
  <c r="E333" i="32" s="1" a="1"/>
  <c r="E333" i="32" s="1"/>
  <c r="F333" i="32" s="1" a="1"/>
  <c r="F333" i="32" s="1"/>
  <c r="M333" i="32" s="1"/>
  <c r="I333" i="32" s="1"/>
  <c r="G332" i="32"/>
  <c r="O332" i="32" s="1"/>
  <c r="P332" i="32" s="1"/>
  <c r="N332" i="32" l="1"/>
  <c r="Q332" i="32"/>
  <c r="H333" i="32"/>
  <c r="E334" i="32" s="1" a="1"/>
  <c r="E334" i="32" s="1"/>
  <c r="F334" i="32" s="1" a="1"/>
  <c r="F334" i="32" s="1"/>
  <c r="M334" i="32" s="1"/>
  <c r="I334" i="32" s="1"/>
  <c r="G333" i="32"/>
  <c r="O333" i="32" s="1"/>
  <c r="P333" i="32" s="1"/>
  <c r="N333" i="32" l="1"/>
  <c r="Q333" i="32"/>
  <c r="H334" i="32"/>
  <c r="E335" i="32" s="1" a="1"/>
  <c r="E335" i="32" s="1"/>
  <c r="F335" i="32" s="1" a="1"/>
  <c r="F335" i="32" s="1"/>
  <c r="G334" i="32"/>
  <c r="O334" i="32" s="1"/>
  <c r="P334" i="32" l="1"/>
  <c r="N334" i="32"/>
  <c r="Q334" i="32"/>
  <c r="M335" i="32"/>
  <c r="I335" i="32" s="1"/>
  <c r="G335" i="32" l="1"/>
  <c r="O335" i="32" s="1"/>
  <c r="P335" i="32" s="1"/>
  <c r="H335" i="32"/>
  <c r="E336" i="32" s="1" a="1"/>
  <c r="E336" i="32" s="1"/>
  <c r="F336" i="32" s="1" a="1"/>
  <c r="F336" i="32" s="1"/>
  <c r="M336" i="32" s="1"/>
  <c r="H336" i="32" s="1"/>
  <c r="E337" i="32" s="1" a="1"/>
  <c r="E337" i="32" s="1"/>
  <c r="F337" i="32" s="1" a="1"/>
  <c r="F337" i="32" s="1"/>
  <c r="N335" i="32" l="1"/>
  <c r="Q335" i="32"/>
  <c r="I336" i="32"/>
  <c r="M337" i="32"/>
  <c r="I337" i="32" s="1"/>
  <c r="G336" i="32"/>
  <c r="O336" i="32" s="1"/>
  <c r="N336" i="32" l="1"/>
  <c r="P336" i="32"/>
  <c r="Q336" i="32"/>
  <c r="G337" i="32"/>
  <c r="O337" i="32" s="1"/>
  <c r="H337" i="32"/>
  <c r="E338" i="32" s="1" a="1"/>
  <c r="E338" i="32" s="1"/>
  <c r="F338" i="32" s="1" a="1"/>
  <c r="F338" i="32" s="1"/>
  <c r="M338" i="32" l="1"/>
  <c r="I338" i="32" s="1"/>
  <c r="P337" i="32"/>
  <c r="Q337" i="32"/>
  <c r="N337" i="32"/>
  <c r="G338" i="32" l="1"/>
  <c r="O338" i="32" s="1"/>
  <c r="P338" i="32" s="1"/>
  <c r="H338" i="32"/>
  <c r="E339" i="32" s="1" a="1"/>
  <c r="E339" i="32" s="1"/>
  <c r="F339" i="32" s="1" a="1"/>
  <c r="F339" i="32" s="1"/>
  <c r="N338" i="32" l="1"/>
  <c r="Q338" i="32"/>
  <c r="M339" i="32"/>
  <c r="I339" i="32" s="1"/>
  <c r="G339" i="32" l="1"/>
  <c r="O339" i="32" s="1"/>
  <c r="H339" i="32"/>
  <c r="E340" i="32" s="1" a="1"/>
  <c r="E340" i="32" s="1"/>
  <c r="F340" i="32" s="1" a="1"/>
  <c r="F340" i="32" s="1"/>
  <c r="M340" i="32" l="1"/>
  <c r="I340" i="32" s="1"/>
  <c r="P339" i="32"/>
  <c r="Q339" i="32"/>
  <c r="N339" i="32"/>
  <c r="G340" i="32" l="1"/>
  <c r="O340" i="32" s="1"/>
  <c r="P340" i="32" s="1"/>
  <c r="H340" i="32"/>
  <c r="E341" i="32" s="1" a="1"/>
  <c r="E341" i="32" s="1"/>
  <c r="F341" i="32" s="1" a="1"/>
  <c r="F341" i="32" s="1"/>
  <c r="N340" i="32" l="1"/>
  <c r="Q340" i="32"/>
  <c r="M341" i="32"/>
  <c r="I341" i="32" s="1"/>
  <c r="G341" i="32" l="1"/>
  <c r="O341" i="32" s="1"/>
  <c r="N341" i="32" s="1"/>
  <c r="H341" i="32"/>
  <c r="E342" i="32" s="1" a="1"/>
  <c r="E342" i="32" s="1"/>
  <c r="F342" i="32" s="1" a="1"/>
  <c r="F342" i="32" s="1"/>
  <c r="M342" i="32" s="1"/>
  <c r="I342" i="32" s="1"/>
  <c r="Q341" i="32" l="1"/>
  <c r="P341" i="32"/>
  <c r="G342" i="32"/>
  <c r="O342" i="32" s="1"/>
  <c r="P342" i="32" s="1"/>
  <c r="H342" i="32"/>
  <c r="E343" i="32" s="1" a="1"/>
  <c r="E343" i="32" s="1"/>
  <c r="F343" i="32" s="1" a="1"/>
  <c r="F343" i="32" s="1"/>
  <c r="M343" i="32" s="1"/>
  <c r="I343" i="32" s="1"/>
  <c r="N342" i="32" l="1"/>
  <c r="Q342" i="32"/>
  <c r="H343" i="32"/>
  <c r="E344" i="32" s="1" a="1"/>
  <c r="E344" i="32" s="1"/>
  <c r="F344" i="32" s="1" a="1"/>
  <c r="F344" i="32" s="1"/>
  <c r="G343" i="32"/>
  <c r="O343" i="32" s="1"/>
  <c r="P343" i="32" l="1"/>
  <c r="N343" i="32"/>
  <c r="Q343" i="32"/>
  <c r="M344" i="32"/>
  <c r="G344" i="32" s="1"/>
  <c r="O344" i="32" s="1"/>
  <c r="H344" i="32" l="1"/>
  <c r="E345" i="32" s="1" a="1"/>
  <c r="E345" i="32" s="1"/>
  <c r="F345" i="32" s="1" a="1"/>
  <c r="F345" i="32" s="1"/>
  <c r="M345" i="32" s="1"/>
  <c r="I345" i="32" s="1"/>
  <c r="I344" i="32"/>
  <c r="N344" i="32"/>
  <c r="Q344" i="32"/>
  <c r="P344" i="32"/>
  <c r="G345" i="32" l="1"/>
  <c r="O345" i="32" s="1"/>
  <c r="Q345" i="32" s="1"/>
  <c r="H345" i="32"/>
  <c r="E346" i="32" s="1" a="1"/>
  <c r="E346" i="32" s="1"/>
  <c r="F346" i="32" s="1" a="1"/>
  <c r="F346" i="32" s="1"/>
  <c r="N345" i="32" l="1"/>
  <c r="P345" i="32"/>
  <c r="M346" i="32"/>
  <c r="I346" i="32" s="1"/>
  <c r="H346" i="32" l="1"/>
  <c r="E347" i="32" s="1" a="1"/>
  <c r="E347" i="32" s="1"/>
  <c r="F347" i="32" s="1" a="1"/>
  <c r="F347" i="32" s="1"/>
  <c r="G346" i="32"/>
  <c r="O346" i="32" s="1"/>
  <c r="Q346" i="32" l="1"/>
  <c r="P346" i="32"/>
  <c r="N346" i="32"/>
  <c r="M347" i="32"/>
  <c r="G347" i="32" s="1"/>
  <c r="O347" i="32" s="1"/>
  <c r="H347" i="32" l="1"/>
  <c r="E348" i="32" s="1" a="1"/>
  <c r="E348" i="32" s="1"/>
  <c r="F348" i="32" s="1" a="1"/>
  <c r="F348" i="32" s="1"/>
  <c r="M348" i="32" s="1"/>
  <c r="G348" i="32" s="1"/>
  <c r="O348" i="32" s="1"/>
  <c r="N347" i="32"/>
  <c r="P347" i="32"/>
  <c r="Q347" i="32"/>
  <c r="I347" i="32"/>
  <c r="Q348" i="32" l="1"/>
  <c r="N348" i="32"/>
  <c r="P348" i="32"/>
  <c r="I348" i="32"/>
  <c r="H348" i="32"/>
  <c r="E349" i="32" s="1" a="1"/>
  <c r="E349" i="32" s="1"/>
  <c r="F349" i="32" s="1" a="1"/>
  <c r="F349" i="32" s="1"/>
  <c r="M349" i="32" l="1"/>
  <c r="I349" i="32" s="1"/>
  <c r="H349" i="32" l="1"/>
  <c r="E350" i="32" s="1" a="1"/>
  <c r="E350" i="32" s="1"/>
  <c r="F350" i="32" s="1" a="1"/>
  <c r="F350" i="32" s="1"/>
  <c r="M350" i="32" s="1"/>
  <c r="I350" i="32" s="1"/>
  <c r="G349" i="32"/>
  <c r="O349" i="32" s="1"/>
  <c r="Q349" i="32" s="1"/>
  <c r="P349" i="32" l="1"/>
  <c r="N349" i="32"/>
  <c r="H350" i="32"/>
  <c r="E351" i="32" s="1" a="1"/>
  <c r="E351" i="32" s="1"/>
  <c r="F351" i="32" s="1" a="1"/>
  <c r="F351" i="32" s="1"/>
  <c r="G350" i="32"/>
  <c r="O350" i="32" s="1"/>
  <c r="N350" i="32" l="1"/>
  <c r="P350" i="32"/>
  <c r="Q350" i="32"/>
  <c r="M351" i="32"/>
  <c r="G351" i="32" s="1"/>
  <c r="O351" i="32" s="1"/>
  <c r="H351" i="32" l="1"/>
  <c r="E352" i="32" s="1" a="1"/>
  <c r="E352" i="32" s="1"/>
  <c r="F352" i="32" s="1" a="1"/>
  <c r="F352" i="32" s="1"/>
  <c r="I351" i="32"/>
  <c r="Q351" i="32"/>
  <c r="P351" i="32"/>
  <c r="N351" i="32"/>
  <c r="M352" i="32" l="1"/>
  <c r="G352" i="32" s="1"/>
  <c r="O352" i="32" s="1"/>
  <c r="I352" i="32" l="1"/>
  <c r="H352" i="32"/>
  <c r="E353" i="32" s="1" a="1"/>
  <c r="E353" i="32" s="1"/>
  <c r="F353" i="32" s="1" a="1"/>
  <c r="F353" i="32" s="1"/>
  <c r="M353" i="32" s="1"/>
  <c r="I353" i="32" s="1"/>
  <c r="Q352" i="32"/>
  <c r="P352" i="32"/>
  <c r="N352" i="32"/>
  <c r="H353" i="32" l="1"/>
  <c r="E354" i="32" s="1" a="1"/>
  <c r="E354" i="32" s="1"/>
  <c r="F354" i="32" s="1" a="1"/>
  <c r="F354" i="32" s="1"/>
  <c r="M354" i="32" s="1"/>
  <c r="I354" i="32" s="1"/>
  <c r="G353" i="32"/>
  <c r="O353" i="32" s="1"/>
  <c r="G354" i="32" l="1"/>
  <c r="O354" i="32" s="1"/>
  <c r="P354" i="32" s="1"/>
  <c r="H354" i="32"/>
  <c r="E355" i="32" s="1" a="1"/>
  <c r="E355" i="32" s="1"/>
  <c r="F355" i="32" s="1" a="1"/>
  <c r="F355" i="32" s="1"/>
  <c r="M355" i="32" s="1"/>
  <c r="G355" i="32" s="1"/>
  <c r="O355" i="32" s="1"/>
  <c r="Q353" i="32"/>
  <c r="P353" i="32"/>
  <c r="N353" i="32"/>
  <c r="Q354" i="32" l="1"/>
  <c r="N354" i="32"/>
  <c r="I355" i="32"/>
  <c r="H355" i="32"/>
  <c r="E356" i="32" s="1" a="1"/>
  <c r="E356" i="32" s="1"/>
  <c r="F356" i="32" s="1" a="1"/>
  <c r="F356" i="32" s="1"/>
  <c r="N355" i="32"/>
  <c r="P355" i="32"/>
  <c r="Q355" i="32"/>
  <c r="M356" i="32" l="1"/>
  <c r="I356" i="32" s="1"/>
  <c r="H356" i="32" l="1"/>
  <c r="E357" i="32" s="1" a="1"/>
  <c r="E357" i="32" s="1"/>
  <c r="F357" i="32" s="1" a="1"/>
  <c r="F357" i="32" s="1"/>
  <c r="M357" i="32" s="1"/>
  <c r="I357" i="32" s="1"/>
  <c r="G356" i="32"/>
  <c r="O356" i="32" s="1"/>
  <c r="P356" i="32" s="1"/>
  <c r="Q356" i="32" l="1"/>
  <c r="N356" i="32"/>
  <c r="H357" i="32"/>
  <c r="E358" i="32" s="1" a="1"/>
  <c r="E358" i="32" s="1"/>
  <c r="F358" i="32" s="1" a="1"/>
  <c r="F358" i="32" s="1"/>
  <c r="M358" i="32" s="1"/>
  <c r="I358" i="32" s="1"/>
  <c r="G357" i="32"/>
  <c r="O357" i="32" s="1"/>
  <c r="Q357" i="32" s="1"/>
  <c r="P357" i="32" l="1"/>
  <c r="N357" i="32"/>
  <c r="G358" i="32"/>
  <c r="O358" i="32" s="1"/>
  <c r="P358" i="32" s="1"/>
  <c r="H358" i="32"/>
  <c r="E359" i="32" s="1" a="1"/>
  <c r="E359" i="32" s="1"/>
  <c r="F359" i="32" s="1" a="1"/>
  <c r="F359" i="32" s="1"/>
  <c r="M359" i="32" s="1"/>
  <c r="I359" i="32" s="1"/>
  <c r="Q358" i="32" l="1"/>
  <c r="N358" i="32"/>
  <c r="G359" i="32"/>
  <c r="O359" i="32" s="1"/>
  <c r="H359" i="32"/>
  <c r="E360" i="32" s="1" a="1"/>
  <c r="E360" i="32" s="1"/>
  <c r="F360" i="32" s="1" a="1"/>
  <c r="F360" i="32" s="1"/>
  <c r="M360" i="32" l="1"/>
  <c r="G360" i="32" s="1"/>
  <c r="O360" i="32" s="1"/>
  <c r="P359" i="32"/>
  <c r="Q359" i="32"/>
  <c r="N359" i="32"/>
  <c r="Q360" i="32" l="1"/>
  <c r="P360" i="32"/>
  <c r="N360" i="32"/>
  <c r="H360" i="32"/>
  <c r="E361" i="32" s="1" a="1"/>
  <c r="E361" i="32" s="1"/>
  <c r="F361" i="32" s="1" a="1"/>
  <c r="F361" i="32" s="1"/>
  <c r="I360" i="32"/>
  <c r="M361" i="32" l="1"/>
  <c r="I361" i="32" s="1"/>
  <c r="G361" i="32" l="1"/>
  <c r="O361" i="32" s="1"/>
  <c r="H361" i="32"/>
  <c r="E362" i="32" s="1" a="1"/>
  <c r="E362" i="32" s="1"/>
  <c r="F362" i="32" s="1" a="1"/>
  <c r="F362" i="32" s="1"/>
  <c r="M362" i="32" l="1"/>
  <c r="I362" i="32" s="1"/>
  <c r="P361" i="32"/>
  <c r="N361" i="32"/>
  <c r="Q361" i="32"/>
  <c r="G362" i="32" l="1"/>
  <c r="O362" i="32" s="1"/>
  <c r="H362" i="32"/>
  <c r="E363" i="32" s="1" a="1"/>
  <c r="E363" i="32" s="1"/>
  <c r="F363" i="32" s="1" a="1"/>
  <c r="F363" i="32" s="1"/>
  <c r="M363" i="32" l="1"/>
  <c r="G363" i="32" s="1"/>
  <c r="O363" i="32" s="1"/>
  <c r="P362" i="32"/>
  <c r="N362" i="32"/>
  <c r="Q362" i="32"/>
  <c r="P363" i="32" l="1"/>
  <c r="Q363" i="32"/>
  <c r="N363" i="32"/>
  <c r="H363" i="32"/>
  <c r="E364" i="32" s="1" a="1"/>
  <c r="E364" i="32" s="1"/>
  <c r="F364" i="32" s="1" a="1"/>
  <c r="F364" i="32" s="1"/>
  <c r="I363" i="32"/>
  <c r="M364" i="32" l="1"/>
  <c r="I364" i="32" s="1"/>
  <c r="G364" i="32" l="1"/>
  <c r="O364" i="32" s="1"/>
  <c r="P364" i="32" s="1"/>
  <c r="H364" i="32"/>
  <c r="E365" i="32" s="1" a="1"/>
  <c r="E365" i="32" s="1"/>
  <c r="F365" i="32" s="1" a="1"/>
  <c r="F365" i="32" s="1"/>
  <c r="Q364" i="32" l="1"/>
  <c r="N364" i="32"/>
  <c r="M365" i="32"/>
  <c r="I365" i="32" s="1"/>
  <c r="G365" i="32" l="1"/>
  <c r="O365" i="32" s="1"/>
  <c r="N365" i="32" s="1"/>
  <c r="H365" i="32"/>
  <c r="E366" i="32" s="1" a="1"/>
  <c r="E366" i="32" s="1"/>
  <c r="F366" i="32" s="1" a="1"/>
  <c r="F366" i="32" s="1"/>
  <c r="M366" i="32" s="1"/>
  <c r="H366" i="32" s="1"/>
  <c r="E367" i="32" s="1" a="1"/>
  <c r="E367" i="32" s="1"/>
  <c r="F367" i="32" s="1" a="1"/>
  <c r="F367" i="32" s="1"/>
  <c r="Q365" i="32" l="1"/>
  <c r="P365" i="32"/>
  <c r="M367" i="32"/>
  <c r="I367" i="32" s="1"/>
  <c r="G366" i="32"/>
  <c r="O366" i="32" s="1"/>
  <c r="I366" i="32"/>
  <c r="P366" i="32" l="1"/>
  <c r="Q366" i="32"/>
  <c r="N366" i="32"/>
  <c r="H367" i="32"/>
  <c r="E368" i="32" s="1" a="1"/>
  <c r="E368" i="32" s="1"/>
  <c r="F368" i="32" s="1" a="1"/>
  <c r="F368" i="32" s="1"/>
  <c r="G367" i="32"/>
  <c r="O367" i="32" s="1"/>
  <c r="P367" i="32" l="1"/>
  <c r="Q367" i="32"/>
  <c r="N367" i="32"/>
  <c r="M368" i="32"/>
  <c r="I368" i="32" s="1"/>
  <c r="G368" i="32" l="1"/>
  <c r="O368" i="32" s="1"/>
  <c r="N368" i="32" s="1"/>
  <c r="H368" i="32"/>
  <c r="E369" i="32" s="1" a="1"/>
  <c r="E369" i="32" s="1"/>
  <c r="F369" i="32" s="1" a="1"/>
  <c r="F369" i="32" s="1"/>
  <c r="M369" i="32" s="1"/>
  <c r="I369" i="32" s="1"/>
  <c r="P368" i="32" l="1"/>
  <c r="Q368" i="32"/>
  <c r="G369" i="32"/>
  <c r="O369" i="32" s="1"/>
  <c r="H369" i="32"/>
  <c r="E370" i="32" s="1" a="1"/>
  <c r="E370" i="32" s="1"/>
  <c r="F370" i="32" s="1" a="1"/>
  <c r="F370" i="32" s="1"/>
  <c r="M370" i="32" l="1"/>
  <c r="I370" i="32" s="1"/>
  <c r="P369" i="32"/>
  <c r="N369" i="32"/>
  <c r="Q369" i="32"/>
  <c r="H370" i="32" l="1"/>
  <c r="E371" i="32" s="1" a="1"/>
  <c r="E371" i="32" s="1"/>
  <c r="F371" i="32" s="1" a="1"/>
  <c r="F371" i="32" s="1"/>
  <c r="M371" i="32" s="1"/>
  <c r="I371" i="32" s="1"/>
  <c r="G370" i="32"/>
  <c r="O370" i="32" s="1"/>
  <c r="P370" i="32" s="1"/>
  <c r="N370" i="32" l="1"/>
  <c r="Q370" i="32"/>
  <c r="G371" i="32"/>
  <c r="O371" i="32" s="1"/>
  <c r="P371" i="32" s="1"/>
  <c r="H371" i="32"/>
  <c r="E372" i="32" s="1" a="1"/>
  <c r="E372" i="32" s="1"/>
  <c r="F372" i="32" s="1" a="1"/>
  <c r="F372" i="32" s="1"/>
  <c r="M372" i="32" s="1"/>
  <c r="I372" i="32" s="1"/>
  <c r="N371" i="32" l="1"/>
  <c r="Q371" i="32"/>
  <c r="G372" i="32"/>
  <c r="O372" i="32" s="1"/>
  <c r="N372" i="32" s="1"/>
  <c r="H372" i="32"/>
  <c r="E373" i="32" s="1" a="1"/>
  <c r="E373" i="32" s="1"/>
  <c r="F373" i="32" s="1" a="1"/>
  <c r="F373" i="32" s="1"/>
  <c r="M373" i="32" s="1"/>
  <c r="I373" i="32" s="1"/>
  <c r="P372" i="32" l="1"/>
  <c r="Q372" i="32"/>
  <c r="H373" i="32"/>
  <c r="E374" i="32" s="1" a="1"/>
  <c r="E374" i="32" s="1"/>
  <c r="F374" i="32" s="1" a="1"/>
  <c r="F374" i="32" s="1"/>
  <c r="M374" i="32" s="1"/>
  <c r="I374" i="32" s="1"/>
  <c r="G373" i="32"/>
  <c r="O373" i="32" s="1"/>
  <c r="H374" i="32" l="1"/>
  <c r="E375" i="32" s="1" a="1"/>
  <c r="E375" i="32" s="1"/>
  <c r="F375" i="32" s="1" a="1"/>
  <c r="F375" i="32" s="1"/>
  <c r="G374" i="32"/>
  <c r="O374" i="32" s="1"/>
  <c r="N373" i="32"/>
  <c r="Q373" i="32"/>
  <c r="P373" i="32"/>
  <c r="P374" i="32" l="1"/>
  <c r="Q374" i="32"/>
  <c r="N374" i="32"/>
  <c r="M375" i="32"/>
  <c r="I375" i="32" s="1"/>
  <c r="G375" i="32" l="1"/>
  <c r="O375" i="32" s="1"/>
  <c r="P375" i="32" s="1"/>
  <c r="H375" i="32"/>
  <c r="E376" i="32" s="1" a="1"/>
  <c r="E376" i="32" s="1"/>
  <c r="F376" i="32" s="1" a="1"/>
  <c r="F376" i="32" s="1"/>
  <c r="M376" i="32" s="1"/>
  <c r="H376" i="32" s="1"/>
  <c r="E377" i="32" s="1" a="1"/>
  <c r="E377" i="32" s="1"/>
  <c r="F377" i="32" s="1" a="1"/>
  <c r="F377" i="32" s="1"/>
  <c r="N375" i="32" l="1"/>
  <c r="Q375" i="32"/>
  <c r="M377" i="32"/>
  <c r="I377" i="32" s="1"/>
  <c r="I376" i="32"/>
  <c r="G376" i="32"/>
  <c r="O376" i="32" s="1"/>
  <c r="N376" i="32" l="1"/>
  <c r="P376" i="32"/>
  <c r="Q376" i="32"/>
  <c r="G377" i="32"/>
  <c r="O377" i="32" s="1"/>
  <c r="H377" i="32"/>
  <c r="E378" i="32" s="1" a="1"/>
  <c r="E378" i="32" s="1"/>
  <c r="F378" i="32" s="1" a="1"/>
  <c r="F378" i="32" s="1"/>
  <c r="M378" i="32" l="1"/>
  <c r="I378" i="32" s="1"/>
  <c r="P377" i="32"/>
  <c r="Q377" i="32"/>
  <c r="N377" i="32"/>
  <c r="G378" i="32" l="1"/>
  <c r="O378" i="32" s="1"/>
  <c r="P378" i="32" s="1"/>
  <c r="H378" i="32"/>
  <c r="E379" i="32" s="1" a="1"/>
  <c r="E379" i="32" s="1"/>
  <c r="F379" i="32" s="1" a="1"/>
  <c r="F379" i="32" s="1"/>
  <c r="Q378" i="32" l="1"/>
  <c r="N378" i="32"/>
  <c r="M379" i="32"/>
  <c r="I379" i="32" s="1"/>
  <c r="G379" i="32" l="1"/>
  <c r="O379" i="32" s="1"/>
  <c r="H379" i="32"/>
  <c r="E380" i="32" s="1" a="1"/>
  <c r="E380" i="32" s="1"/>
  <c r="F380" i="32" s="1" a="1"/>
  <c r="F380" i="32" s="1"/>
  <c r="M380" i="32" l="1"/>
  <c r="H380" i="32" s="1"/>
  <c r="E381" i="32" s="1" a="1"/>
  <c r="E381" i="32" s="1"/>
  <c r="F381" i="32" s="1" a="1"/>
  <c r="F381" i="32" s="1"/>
  <c r="P379" i="32"/>
  <c r="N379" i="32"/>
  <c r="Q379" i="32"/>
  <c r="M381" i="32" l="1"/>
  <c r="I381" i="32" s="1"/>
  <c r="I380" i="32"/>
  <c r="G380" i="32"/>
  <c r="O380" i="32" s="1"/>
  <c r="H381" i="32" l="1"/>
  <c r="E382" i="32" s="1" a="1"/>
  <c r="E382" i="32" s="1"/>
  <c r="F382" i="32" s="1" a="1"/>
  <c r="F382" i="32" s="1"/>
  <c r="M382" i="32" s="1"/>
  <c r="I382" i="32" s="1"/>
  <c r="G381" i="32"/>
  <c r="O381" i="32" s="1"/>
  <c r="P380" i="32"/>
  <c r="Q380" i="32"/>
  <c r="N380" i="32"/>
  <c r="G382" i="32" l="1"/>
  <c r="O382" i="32" s="1"/>
  <c r="P382" i="32" s="1"/>
  <c r="N381" i="32"/>
  <c r="Q381" i="32"/>
  <c r="P381" i="32"/>
  <c r="H382" i="32"/>
  <c r="E383" i="32" s="1" a="1"/>
  <c r="E383" i="32" s="1"/>
  <c r="F383" i="32" s="1" a="1"/>
  <c r="F383" i="32" s="1"/>
  <c r="Q382" i="32" l="1"/>
  <c r="N382" i="32"/>
  <c r="M383" i="32"/>
  <c r="H383" i="32" s="1"/>
  <c r="E384" i="32" s="1" a="1"/>
  <c r="E384" i="32" s="1"/>
  <c r="F384" i="32" s="1" a="1"/>
  <c r="F384" i="32" s="1"/>
  <c r="I383" i="32" l="1"/>
  <c r="M384" i="32"/>
  <c r="G384" i="32" s="1"/>
  <c r="O384" i="32" s="1"/>
  <c r="G383" i="32"/>
  <c r="O383" i="32" s="1"/>
  <c r="N384" i="32" l="1"/>
  <c r="P384" i="32"/>
  <c r="Q384" i="32"/>
  <c r="P383" i="32"/>
  <c r="N383" i="32"/>
  <c r="Q383" i="32"/>
  <c r="I384" i="32"/>
  <c r="H384" i="32"/>
  <c r="E385" i="32" s="1" a="1"/>
  <c r="E385" i="32" s="1"/>
  <c r="F385" i="32" s="1" a="1"/>
  <c r="F385" i="32" s="1"/>
  <c r="M385" i="32" l="1"/>
  <c r="G385" i="32" s="1"/>
  <c r="O385" i="32" s="1"/>
  <c r="H385" i="32" l="1"/>
  <c r="E386" i="32" s="1" a="1"/>
  <c r="E386" i="32" s="1"/>
  <c r="F386" i="32" s="1" a="1"/>
  <c r="F386" i="32" s="1"/>
  <c r="M386" i="32" s="1"/>
  <c r="I386" i="32" s="1"/>
  <c r="Q385" i="32"/>
  <c r="N385" i="32"/>
  <c r="P385" i="32"/>
  <c r="I385" i="32"/>
  <c r="H386" i="32" l="1"/>
  <c r="E387" i="32" s="1" a="1"/>
  <c r="E387" i="32" s="1"/>
  <c r="F387" i="32" s="1" a="1"/>
  <c r="F387" i="32" s="1"/>
  <c r="M387" i="32" s="1"/>
  <c r="I387" i="32" s="1"/>
  <c r="G386" i="32"/>
  <c r="O386" i="32" s="1"/>
  <c r="N386" i="32" s="1"/>
  <c r="P386" i="32" l="1"/>
  <c r="Q386" i="32"/>
  <c r="G387" i="32"/>
  <c r="O387" i="32" s="1"/>
  <c r="H387" i="32"/>
  <c r="E388" i="32" s="1" a="1"/>
  <c r="E388" i="32" s="1"/>
  <c r="F388" i="32" s="1" a="1"/>
  <c r="F388" i="32" s="1"/>
  <c r="M388" i="32" l="1"/>
  <c r="H388" i="32" s="1"/>
  <c r="E389" i="32" s="1" a="1"/>
  <c r="E389" i="32" s="1"/>
  <c r="F389" i="32" s="1" a="1"/>
  <c r="F389" i="32" s="1"/>
  <c r="P387" i="32"/>
  <c r="Q387" i="32"/>
  <c r="N387" i="32"/>
  <c r="G388" i="32" l="1"/>
  <c r="O388" i="32" s="1"/>
  <c r="Q388" i="32" s="1"/>
  <c r="I388" i="32"/>
  <c r="M389" i="32"/>
  <c r="G389" i="32" s="1"/>
  <c r="O389" i="32" s="1"/>
  <c r="P388" i="32" l="1"/>
  <c r="N388" i="32"/>
  <c r="H389" i="32"/>
  <c r="E390" i="32" s="1" a="1"/>
  <c r="E390" i="32" s="1"/>
  <c r="F390" i="32" s="1" a="1"/>
  <c r="F390" i="32" s="1"/>
  <c r="M390" i="32" s="1"/>
  <c r="G390" i="32" s="1"/>
  <c r="O390" i="32" s="1"/>
  <c r="P389" i="32"/>
  <c r="Q389" i="32"/>
  <c r="N389" i="32"/>
  <c r="I389" i="32"/>
  <c r="I390" i="32" l="1"/>
  <c r="H390" i="32"/>
  <c r="E391" i="32" s="1" a="1"/>
  <c r="E391" i="32" s="1"/>
  <c r="F391" i="32" s="1" a="1"/>
  <c r="F391" i="32" s="1"/>
  <c r="M391" i="32" s="1"/>
  <c r="H391" i="32" s="1"/>
  <c r="E392" i="32" s="1" a="1"/>
  <c r="E392" i="32" s="1"/>
  <c r="F392" i="32" s="1" a="1"/>
  <c r="F392" i="32" s="1"/>
  <c r="N390" i="32"/>
  <c r="Q390" i="32"/>
  <c r="P390" i="32"/>
  <c r="M392" i="32" l="1"/>
  <c r="G392" i="32" s="1"/>
  <c r="O392" i="32" s="1"/>
  <c r="I391" i="32"/>
  <c r="G391" i="32"/>
  <c r="O391" i="32" s="1"/>
  <c r="N392" i="32" l="1"/>
  <c r="P392" i="32"/>
  <c r="Q392" i="32"/>
  <c r="I392" i="32"/>
  <c r="H392" i="32"/>
  <c r="E393" i="32" s="1" a="1"/>
  <c r="E393" i="32" s="1"/>
  <c r="F393" i="32" s="1" a="1"/>
  <c r="F393" i="32" s="1"/>
  <c r="N391" i="32"/>
  <c r="Q391" i="32"/>
  <c r="P391" i="32"/>
  <c r="M393" i="32" l="1"/>
  <c r="G393" i="32" s="1"/>
  <c r="O393" i="32" s="1"/>
  <c r="H393" i="32" l="1"/>
  <c r="E394" i="32" s="1" a="1"/>
  <c r="E394" i="32" s="1"/>
  <c r="F394" i="32" s="1" a="1"/>
  <c r="F394" i="32" s="1"/>
  <c r="M394" i="32" s="1"/>
  <c r="G394" i="32" s="1"/>
  <c r="O394" i="32" s="1"/>
  <c r="I393" i="32"/>
  <c r="Q393" i="32"/>
  <c r="P393" i="32"/>
  <c r="N393" i="32"/>
  <c r="I394" i="32" l="1"/>
  <c r="H394" i="32"/>
  <c r="E395" i="32" s="1" a="1"/>
  <c r="E395" i="32" s="1"/>
  <c r="F395" i="32" s="1" a="1"/>
  <c r="F395" i="32" s="1"/>
  <c r="M395" i="32" s="1"/>
  <c r="I395" i="32" s="1"/>
  <c r="N394" i="32"/>
  <c r="Q394" i="32"/>
  <c r="P394" i="32"/>
  <c r="G395" i="32" l="1"/>
  <c r="O395" i="32" s="1"/>
  <c r="N395" i="32" s="1"/>
  <c r="H395" i="32"/>
  <c r="E396" i="32" s="1" a="1"/>
  <c r="E396" i="32" s="1"/>
  <c r="F396" i="32" s="1" a="1"/>
  <c r="F396" i="32" s="1"/>
  <c r="P395" i="32" l="1"/>
  <c r="Q395" i="32"/>
  <c r="M396" i="32"/>
  <c r="I396" i="32" s="1"/>
  <c r="G396" i="32" l="1"/>
  <c r="O396" i="32" s="1"/>
  <c r="Q396" i="32" s="1"/>
  <c r="H396" i="32"/>
  <c r="E397" i="32" s="1" a="1"/>
  <c r="E397" i="32" s="1"/>
  <c r="F397" i="32" s="1" a="1"/>
  <c r="F397" i="32" s="1"/>
  <c r="M397" i="32" s="1"/>
  <c r="G397" i="32" s="1"/>
  <c r="O397" i="32" s="1"/>
  <c r="N396" i="32" l="1"/>
  <c r="P396" i="32"/>
  <c r="I397" i="32"/>
  <c r="N397" i="32"/>
  <c r="P397" i="32"/>
  <c r="Q397" i="32"/>
  <c r="H397" i="32"/>
  <c r="E398" i="32" s="1" a="1"/>
  <c r="E398" i="32" s="1"/>
  <c r="F398" i="32" s="1" a="1"/>
  <c r="F398" i="32" s="1"/>
  <c r="M398" i="32" l="1"/>
  <c r="G398" i="32" s="1"/>
  <c r="O398" i="32" s="1"/>
  <c r="H398" i="32" l="1"/>
  <c r="E399" i="32" s="1" a="1"/>
  <c r="E399" i="32" s="1"/>
  <c r="F399" i="32" s="1" a="1"/>
  <c r="F399" i="32" s="1"/>
  <c r="M399" i="32" s="1"/>
  <c r="I399" i="32" s="1"/>
  <c r="N398" i="32"/>
  <c r="Q398" i="32"/>
  <c r="P398" i="32"/>
  <c r="I398" i="32"/>
  <c r="G399" i="32" l="1"/>
  <c r="O399" i="32" s="1"/>
  <c r="H399" i="32"/>
  <c r="E400" i="32" s="1" a="1"/>
  <c r="E400" i="32" s="1"/>
  <c r="F400" i="32" s="1" a="1"/>
  <c r="F400" i="32" s="1"/>
  <c r="M400" i="32" l="1"/>
  <c r="I400" i="32" s="1"/>
  <c r="N399" i="32"/>
  <c r="Q399" i="32"/>
  <c r="P399" i="32"/>
  <c r="G400" i="32" l="1"/>
  <c r="O400" i="32" s="1"/>
  <c r="H400" i="32"/>
  <c r="E401" i="32" s="1" a="1"/>
  <c r="E401" i="32" s="1"/>
  <c r="F401" i="32" s="1" a="1"/>
  <c r="F401" i="32" s="1"/>
  <c r="M401" i="32" l="1"/>
  <c r="G401" i="32" s="1"/>
  <c r="O401" i="32" s="1"/>
  <c r="P400" i="32"/>
  <c r="Q400" i="32"/>
  <c r="N400" i="32"/>
  <c r="H401" i="32" l="1"/>
  <c r="E402" i="32" s="1" a="1"/>
  <c r="E402" i="32" s="1"/>
  <c r="F402" i="32" s="1" a="1"/>
  <c r="F402" i="32" s="1"/>
  <c r="M402" i="32" s="1"/>
  <c r="G402" i="32" s="1"/>
  <c r="O402" i="32" s="1"/>
  <c r="N401" i="32"/>
  <c r="Q401" i="32"/>
  <c r="P401" i="32"/>
  <c r="I401" i="32"/>
  <c r="H402" i="32" l="1"/>
  <c r="E403" i="32" s="1" a="1"/>
  <c r="E403" i="32" s="1"/>
  <c r="F403" i="32" s="1" a="1"/>
  <c r="F403" i="32" s="1"/>
  <c r="M403" i="32" s="1"/>
  <c r="G403" i="32" s="1"/>
  <c r="O403" i="32" s="1"/>
  <c r="I402" i="32"/>
  <c r="N402" i="32"/>
  <c r="Q402" i="32"/>
  <c r="P402" i="32"/>
  <c r="I403" i="32" l="1"/>
  <c r="H403" i="32"/>
  <c r="E404" i="32" s="1" a="1"/>
  <c r="E404" i="32" s="1"/>
  <c r="F404" i="32" s="1" a="1"/>
  <c r="F404" i="32" s="1"/>
  <c r="N403" i="32"/>
  <c r="Q403" i="32"/>
  <c r="P403" i="32"/>
  <c r="M404" i="32" l="1"/>
  <c r="I404" i="32" s="1"/>
  <c r="H404" i="32" l="1"/>
  <c r="E405" i="32" s="1" a="1"/>
  <c r="E405" i="32" s="1"/>
  <c r="F405" i="32" s="1" a="1"/>
  <c r="F405" i="32" s="1"/>
  <c r="M405" i="32" s="1"/>
  <c r="H405" i="32" s="1"/>
  <c r="E406" i="32" s="1" a="1"/>
  <c r="E406" i="32" s="1"/>
  <c r="F406" i="32" s="1" a="1"/>
  <c r="F406" i="32" s="1"/>
  <c r="G404" i="32"/>
  <c r="O404" i="32" s="1"/>
  <c r="G405" i="32" l="1"/>
  <c r="O405" i="32" s="1"/>
  <c r="N405" i="32" s="1"/>
  <c r="M406" i="32"/>
  <c r="I406" i="32" s="1"/>
  <c r="I405" i="32"/>
  <c r="N404" i="32"/>
  <c r="P404" i="32"/>
  <c r="Q404" i="32"/>
  <c r="Q405" i="32" l="1"/>
  <c r="P405" i="32"/>
  <c r="G406" i="32"/>
  <c r="O406" i="32" s="1"/>
  <c r="H406" i="32"/>
  <c r="E407" i="32" s="1" a="1"/>
  <c r="E407" i="32" s="1"/>
  <c r="F407" i="32" s="1" a="1"/>
  <c r="F407" i="32" s="1"/>
  <c r="M407" i="32" s="1"/>
  <c r="G407" i="32" s="1"/>
  <c r="O407" i="32" s="1"/>
  <c r="Q407" i="32" s="1"/>
  <c r="H407" i="32" l="1"/>
  <c r="E408" i="32" s="1" a="1"/>
  <c r="E408" i="32" s="1"/>
  <c r="F408" i="32" s="1" a="1"/>
  <c r="F408" i="32" s="1"/>
  <c r="M408" i="32" s="1"/>
  <c r="G408" i="32" s="1"/>
  <c r="O408" i="32" s="1"/>
  <c r="I407" i="32"/>
  <c r="N407" i="32"/>
  <c r="P407" i="32"/>
  <c r="N406" i="32"/>
  <c r="P406" i="32"/>
  <c r="Q406" i="32"/>
  <c r="N408" i="32" l="1"/>
  <c r="Q408" i="32"/>
  <c r="P408" i="32"/>
  <c r="H408" i="32"/>
  <c r="E409" i="32" s="1" a="1"/>
  <c r="E409" i="32" s="1"/>
  <c r="F409" i="32" s="1" a="1"/>
  <c r="F409" i="32" s="1"/>
  <c r="I408" i="32"/>
  <c r="M409" i="32" l="1"/>
  <c r="G409" i="32" s="1"/>
  <c r="O409" i="32" s="1"/>
  <c r="P409" i="32" l="1"/>
  <c r="N409" i="32"/>
  <c r="Q409" i="32"/>
  <c r="I409" i="32"/>
  <c r="H409" i="32"/>
  <c r="E410" i="32" s="1" a="1"/>
  <c r="E410" i="32" s="1"/>
  <c r="F410" i="32" s="1" a="1"/>
  <c r="F410" i="32" s="1"/>
  <c r="M410" i="32" l="1"/>
  <c r="G410" i="32" s="1"/>
  <c r="O410" i="32" s="1"/>
  <c r="I410" i="32" l="1"/>
  <c r="H410" i="32"/>
  <c r="E411" i="32" s="1" a="1"/>
  <c r="E411" i="32" s="1"/>
  <c r="F411" i="32" s="1" a="1"/>
  <c r="F411" i="32" s="1"/>
  <c r="M411" i="32" s="1"/>
  <c r="G411" i="32" s="1"/>
  <c r="O411" i="32" s="1"/>
  <c r="N410" i="32"/>
  <c r="P410" i="32"/>
  <c r="Q410" i="32"/>
  <c r="H411" i="32" l="1"/>
  <c r="E412" i="32" s="1" a="1"/>
  <c r="E412" i="32" s="1"/>
  <c r="F412" i="32" s="1" a="1"/>
  <c r="F412" i="32" s="1"/>
  <c r="M412" i="32" s="1"/>
  <c r="G412" i="32" s="1"/>
  <c r="O412" i="32" s="1"/>
  <c r="I411" i="32"/>
  <c r="P411" i="32"/>
  <c r="Q411" i="32"/>
  <c r="N411" i="32"/>
  <c r="H412" i="32" l="1"/>
  <c r="E413" i="32" s="1" a="1"/>
  <c r="E413" i="32" s="1"/>
  <c r="F413" i="32" s="1" a="1"/>
  <c r="F413" i="32" s="1"/>
  <c r="M413" i="32" s="1"/>
  <c r="G413" i="32" s="1"/>
  <c r="O413" i="32" s="1"/>
  <c r="I412" i="32"/>
  <c r="N412" i="32"/>
  <c r="Q412" i="32"/>
  <c r="P412" i="32"/>
  <c r="N413" i="32" l="1"/>
  <c r="Q413" i="32"/>
  <c r="P413" i="32"/>
  <c r="H413" i="32"/>
  <c r="E414" i="32" s="1" a="1"/>
  <c r="E414" i="32" s="1"/>
  <c r="F414" i="32" s="1" a="1"/>
  <c r="F414" i="32" s="1"/>
  <c r="I413" i="32"/>
  <c r="M414" i="32" l="1"/>
  <c r="I414" i="32" s="1"/>
  <c r="G414" i="32" l="1"/>
  <c r="O414" i="32" s="1"/>
  <c r="H414" i="32"/>
  <c r="E415" i="32" s="1" a="1"/>
  <c r="E415" i="32" s="1"/>
  <c r="F415" i="32" s="1" a="1"/>
  <c r="F415" i="32" s="1"/>
  <c r="M415" i="32" l="1"/>
  <c r="H415" i="32" s="1"/>
  <c r="E416" i="32" s="1" a="1"/>
  <c r="E416" i="32" s="1"/>
  <c r="F416" i="32" s="1" a="1"/>
  <c r="F416" i="32" s="1"/>
  <c r="N414" i="32"/>
  <c r="P414" i="32"/>
  <c r="Q414" i="32"/>
  <c r="I415" i="32" l="1"/>
  <c r="G415" i="32"/>
  <c r="O415" i="32" s="1"/>
  <c r="Q415" i="32" s="1"/>
  <c r="M416" i="32"/>
  <c r="I416" i="32" s="1"/>
  <c r="N415" i="32" l="1"/>
  <c r="P415" i="32"/>
  <c r="H416" i="32"/>
  <c r="E417" i="32" s="1" a="1"/>
  <c r="E417" i="32" s="1"/>
  <c r="F417" i="32" s="1" a="1"/>
  <c r="F417" i="32" s="1"/>
  <c r="M417" i="32" s="1"/>
  <c r="G417" i="32" s="1"/>
  <c r="O417" i="32" s="1"/>
  <c r="G416" i="32"/>
  <c r="O416" i="32" s="1"/>
  <c r="I417" i="32" l="1"/>
  <c r="Q417" i="32"/>
  <c r="N417" i="32"/>
  <c r="P417" i="32"/>
  <c r="P416" i="32"/>
  <c r="Q416" i="32"/>
  <c r="N416" i="32"/>
  <c r="H417" i="32"/>
  <c r="E418" i="32" s="1" a="1"/>
  <c r="E418" i="32" s="1"/>
  <c r="F418" i="32" s="1" a="1"/>
  <c r="F418" i="32" s="1"/>
  <c r="M418" i="32" l="1"/>
  <c r="H418" i="32" s="1"/>
  <c r="E419" i="32" s="1" a="1"/>
  <c r="E419" i="32" s="1"/>
  <c r="F419" i="32" s="1" a="1"/>
  <c r="F419" i="32" s="1"/>
  <c r="G418" i="32" l="1"/>
  <c r="O418" i="32" s="1"/>
  <c r="N418" i="32" s="1"/>
  <c r="I418" i="32"/>
  <c r="M419" i="32"/>
  <c r="G419" i="32" s="1"/>
  <c r="O419" i="32" s="1"/>
  <c r="Q418" i="32" l="1"/>
  <c r="P418" i="32"/>
  <c r="H419" i="32"/>
  <c r="E420" i="32" s="1" a="1"/>
  <c r="E420" i="32" s="1"/>
  <c r="F420" i="32" s="1" a="1"/>
  <c r="F420" i="32" s="1"/>
  <c r="M420" i="32" s="1"/>
  <c r="G420" i="32" s="1"/>
  <c r="O420" i="32" s="1"/>
  <c r="N419" i="32"/>
  <c r="Q419" i="32"/>
  <c r="P419" i="32"/>
  <c r="I419" i="32"/>
  <c r="P420" i="32" l="1"/>
  <c r="N420" i="32"/>
  <c r="Q420" i="32"/>
  <c r="I420" i="32"/>
  <c r="H420" i="32"/>
  <c r="E421" i="32" s="1" a="1"/>
  <c r="E421" i="32" s="1"/>
  <c r="F421" i="32" s="1" a="1"/>
  <c r="F421" i="32" s="1"/>
  <c r="M421" i="32" l="1"/>
  <c r="G421" i="32" s="1"/>
  <c r="O421" i="32" s="1"/>
  <c r="N421" i="32" l="1"/>
  <c r="Q421" i="32"/>
  <c r="P421" i="32"/>
  <c r="H421" i="32"/>
  <c r="E422" i="32" s="1" a="1"/>
  <c r="E422" i="32" s="1"/>
  <c r="F422" i="32" s="1" a="1"/>
  <c r="F422" i="32" s="1"/>
  <c r="I421" i="32"/>
  <c r="M422" i="32" l="1"/>
  <c r="I422" i="32" s="1"/>
  <c r="H422" i="32" l="1"/>
  <c r="E423" i="32" s="1" a="1"/>
  <c r="E423" i="32" s="1"/>
  <c r="F423" i="32" s="1" a="1"/>
  <c r="F423" i="32" s="1"/>
  <c r="G422" i="32"/>
  <c r="O422" i="32" s="1"/>
  <c r="N422" i="32" l="1"/>
  <c r="P422" i="32"/>
  <c r="Q422" i="32"/>
  <c r="M423" i="32"/>
  <c r="G423" i="32" s="1"/>
  <c r="O423" i="32" s="1"/>
  <c r="H423" i="32" l="1"/>
  <c r="E424" i="32" s="1" a="1"/>
  <c r="E424" i="32" s="1"/>
  <c r="F424" i="32" s="1" a="1"/>
  <c r="F424" i="32" s="1"/>
  <c r="M424" i="32" s="1"/>
  <c r="G424" i="32" s="1"/>
  <c r="O424" i="32" s="1"/>
  <c r="I423" i="32"/>
  <c r="Q423" i="32"/>
  <c r="N423" i="32"/>
  <c r="P423" i="32"/>
  <c r="I424" i="32" l="1"/>
  <c r="H424" i="32"/>
  <c r="E425" i="32" s="1" a="1"/>
  <c r="E425" i="32" s="1"/>
  <c r="F425" i="32" s="1" a="1"/>
  <c r="F425" i="32" s="1"/>
  <c r="M425" i="32" s="1"/>
  <c r="G425" i="32" s="1"/>
  <c r="O425" i="32" s="1"/>
  <c r="P424" i="32"/>
  <c r="Q424" i="32"/>
  <c r="N424" i="32"/>
  <c r="N425" i="32" l="1"/>
  <c r="P425" i="32"/>
  <c r="Q425" i="32"/>
  <c r="I425" i="32"/>
  <c r="H425" i="32"/>
  <c r="E426" i="32" s="1" a="1"/>
  <c r="E426" i="32" s="1"/>
  <c r="F426" i="32" s="1" a="1"/>
  <c r="F426" i="32" s="1"/>
  <c r="M426" i="32" l="1"/>
  <c r="H426" i="32" s="1"/>
  <c r="E427" i="32" s="1" a="1"/>
  <c r="E427" i="32" s="1"/>
  <c r="F427" i="32" s="1" a="1"/>
  <c r="F427" i="32" s="1"/>
  <c r="G426" i="32" l="1"/>
  <c r="O426" i="32" s="1"/>
  <c r="P426" i="32" s="1"/>
  <c r="M427" i="32"/>
  <c r="I427" i="32" s="1"/>
  <c r="I426" i="32"/>
  <c r="Q426" i="32" l="1"/>
  <c r="N426" i="32"/>
  <c r="G427" i="32"/>
  <c r="O427" i="32" s="1"/>
  <c r="H427" i="32"/>
  <c r="E428" i="32" s="1" a="1"/>
  <c r="E428" i="32" s="1"/>
  <c r="F428" i="32" s="1" a="1"/>
  <c r="F428" i="32" s="1"/>
  <c r="M428" i="32" l="1"/>
  <c r="G428" i="32" s="1"/>
  <c r="O428" i="32" s="1"/>
  <c r="P427" i="32"/>
  <c r="N427" i="32"/>
  <c r="Q427" i="32"/>
  <c r="H428" i="32" l="1"/>
  <c r="E429" i="32" s="1" a="1"/>
  <c r="E429" i="32" s="1"/>
  <c r="F429" i="32" s="1" a="1"/>
  <c r="F429" i="32" s="1"/>
  <c r="M429" i="32" s="1"/>
  <c r="G429" i="32" s="1"/>
  <c r="O429" i="32" s="1"/>
  <c r="I428" i="32"/>
  <c r="Q428" i="32"/>
  <c r="P428" i="32"/>
  <c r="N428" i="32"/>
  <c r="I429" i="32" l="1"/>
  <c r="N429" i="32"/>
  <c r="P429" i="32"/>
  <c r="Q429" i="32"/>
  <c r="H429" i="32"/>
  <c r="E430" i="32" s="1" a="1"/>
  <c r="E430" i="32" s="1"/>
  <c r="F430" i="32" s="1" a="1"/>
  <c r="F430" i="32" s="1"/>
  <c r="M430" i="32" l="1"/>
  <c r="I430" i="32" s="1"/>
  <c r="G430" i="32" l="1"/>
  <c r="O430" i="32" s="1"/>
  <c r="N430" i="32" s="1"/>
  <c r="H430" i="32"/>
  <c r="E431" i="32" s="1" a="1"/>
  <c r="E431" i="32" s="1"/>
  <c r="F431" i="32" s="1" a="1"/>
  <c r="F431" i="32" s="1"/>
  <c r="M431" i="32" s="1"/>
  <c r="H431" i="32" s="1"/>
  <c r="E432" i="32" s="1" a="1"/>
  <c r="E432" i="32" s="1"/>
  <c r="F432" i="32" s="1" a="1"/>
  <c r="F432" i="32" s="1"/>
  <c r="Q430" i="32" l="1"/>
  <c r="P430" i="32"/>
  <c r="G431" i="32"/>
  <c r="O431" i="32" s="1"/>
  <c r="Q431" i="32" s="1"/>
  <c r="I431" i="32"/>
  <c r="M432" i="32"/>
  <c r="I432" i="32" s="1"/>
  <c r="P431" i="32" l="1"/>
  <c r="N431" i="32"/>
  <c r="G432" i="32"/>
  <c r="O432" i="32" s="1"/>
  <c r="H432" i="32"/>
  <c r="E433" i="32" s="1" a="1"/>
  <c r="E433" i="32" s="1"/>
  <c r="F433" i="32" s="1" a="1"/>
  <c r="F433" i="32" s="1"/>
  <c r="M433" i="32" l="1"/>
  <c r="G433" i="32" s="1"/>
  <c r="O433" i="32" s="1"/>
  <c r="N432" i="32"/>
  <c r="Q432" i="32"/>
  <c r="P432" i="32"/>
  <c r="I433" i="32" l="1"/>
  <c r="Q433" i="32"/>
  <c r="P433" i="32"/>
  <c r="N433" i="32"/>
  <c r="H433" i="32"/>
  <c r="E434" i="32" s="1" a="1"/>
  <c r="E434" i="32" s="1"/>
  <c r="F434" i="32" s="1" a="1"/>
  <c r="F434" i="32" s="1"/>
  <c r="M434" i="32" l="1"/>
  <c r="H434" i="32" s="1"/>
  <c r="E435" i="32" s="1" a="1"/>
  <c r="E435" i="32" s="1"/>
  <c r="F435" i="32" s="1" a="1"/>
  <c r="F435" i="32" s="1"/>
  <c r="I434" i="32" l="1"/>
  <c r="G434" i="32"/>
  <c r="O434" i="32" s="1"/>
  <c r="N434" i="32" s="1"/>
  <c r="M435" i="32"/>
  <c r="G435" i="32" s="1"/>
  <c r="O435" i="32" s="1"/>
  <c r="P434" i="32" l="1"/>
  <c r="Q434" i="32"/>
  <c r="N435" i="32"/>
  <c r="Q435" i="32"/>
  <c r="P435" i="32"/>
  <c r="I435" i="32"/>
  <c r="H435" i="32"/>
  <c r="E436" i="32" s="1" a="1"/>
  <c r="E436" i="32" s="1"/>
  <c r="F436" i="32" s="1" a="1"/>
  <c r="F436" i="32" s="1"/>
  <c r="M436" i="32" l="1"/>
  <c r="H436" i="32" s="1"/>
  <c r="E437" i="32" s="1" a="1"/>
  <c r="E437" i="32" s="1"/>
  <c r="F437" i="32" s="1" a="1"/>
  <c r="F437" i="32" s="1"/>
  <c r="M437" i="32" l="1"/>
  <c r="G437" i="32" s="1"/>
  <c r="O437" i="32" s="1"/>
  <c r="I436" i="32"/>
  <c r="G436" i="32"/>
  <c r="O436" i="32" s="1"/>
  <c r="H437" i="32" l="1"/>
  <c r="E438" i="32" s="1" a="1"/>
  <c r="E438" i="32" s="1"/>
  <c r="F438" i="32" s="1" a="1"/>
  <c r="F438" i="32" s="1"/>
  <c r="M438" i="32" s="1"/>
  <c r="G438" i="32" s="1"/>
  <c r="O438" i="32" s="1"/>
  <c r="P437" i="32"/>
  <c r="Q437" i="32"/>
  <c r="N437" i="32"/>
  <c r="N436" i="32"/>
  <c r="Q436" i="32"/>
  <c r="P436" i="32"/>
  <c r="I437" i="32"/>
  <c r="N438" i="32" l="1"/>
  <c r="Q438" i="32"/>
  <c r="P438" i="32"/>
  <c r="H438" i="32"/>
  <c r="E439" i="32" s="1" a="1"/>
  <c r="E439" i="32" s="1"/>
  <c r="F439" i="32" s="1" a="1"/>
  <c r="F439" i="32" s="1"/>
  <c r="I438" i="32"/>
  <c r="M439" i="32" l="1"/>
  <c r="G439" i="32" s="1"/>
  <c r="O439" i="32" s="1"/>
  <c r="H439" i="32" l="1"/>
  <c r="E440" i="32" s="1" a="1"/>
  <c r="E440" i="32" s="1"/>
  <c r="F440" i="32" s="1" a="1"/>
  <c r="F440" i="32" s="1"/>
  <c r="M440" i="32" s="1"/>
  <c r="G440" i="32" s="1"/>
  <c r="O440" i="32" s="1"/>
  <c r="N439" i="32"/>
  <c r="Q439" i="32"/>
  <c r="P439" i="32"/>
  <c r="I439" i="32"/>
  <c r="I440" i="32" l="1"/>
  <c r="H440" i="32"/>
  <c r="E441" i="32" s="1" a="1"/>
  <c r="E441" i="32" s="1"/>
  <c r="F441" i="32" s="1" a="1"/>
  <c r="F441" i="32" s="1"/>
  <c r="M441" i="32" s="1"/>
  <c r="G441" i="32" s="1"/>
  <c r="O441" i="32" s="1"/>
  <c r="P440" i="32"/>
  <c r="N440" i="32"/>
  <c r="Q440" i="32"/>
  <c r="N441" i="32" l="1"/>
  <c r="P441" i="32"/>
  <c r="Q441" i="32"/>
  <c r="I441" i="32"/>
  <c r="H441" i="32"/>
  <c r="E442" i="32" s="1" a="1"/>
  <c r="E442" i="32" s="1"/>
  <c r="F442" i="32" s="1" a="1"/>
  <c r="F442" i="32" s="1"/>
  <c r="M442" i="32" l="1"/>
  <c r="G442" i="32" s="1"/>
  <c r="O442" i="32" s="1"/>
  <c r="H442" i="32" l="1"/>
  <c r="E443" i="32" s="1" a="1"/>
  <c r="E443" i="32" s="1"/>
  <c r="F443" i="32" s="1" a="1"/>
  <c r="F443" i="32" s="1"/>
  <c r="M443" i="32" s="1"/>
  <c r="I443" i="32" s="1"/>
  <c r="N442" i="32"/>
  <c r="Q442" i="32"/>
  <c r="P442" i="32"/>
  <c r="I442" i="32"/>
  <c r="G443" i="32" l="1"/>
  <c r="O443" i="32" s="1"/>
  <c r="H443" i="32"/>
  <c r="E444" i="32" s="1" a="1"/>
  <c r="E444" i="32" s="1"/>
  <c r="F444" i="32" s="1" a="1"/>
  <c r="F444" i="32" s="1"/>
  <c r="M444" i="32" l="1"/>
  <c r="G444" i="32" s="1"/>
  <c r="O444" i="32" s="1"/>
  <c r="P443" i="32"/>
  <c r="Q443" i="32"/>
  <c r="N443" i="32"/>
  <c r="H444" i="32" l="1"/>
  <c r="E445" i="32" s="1" a="1"/>
  <c r="E445" i="32" s="1"/>
  <c r="F445" i="32" s="1" a="1"/>
  <c r="F445" i="32" s="1"/>
  <c r="M445" i="32" s="1"/>
  <c r="H445" i="32" s="1"/>
  <c r="E446" i="32" s="1" a="1"/>
  <c r="E446" i="32" s="1"/>
  <c r="F446" i="32" s="1" a="1"/>
  <c r="F446" i="32" s="1"/>
  <c r="P444" i="32"/>
  <c r="Q444" i="32"/>
  <c r="N444" i="32"/>
  <c r="I444" i="32"/>
  <c r="M446" i="32" l="1"/>
  <c r="G446" i="32" s="1"/>
  <c r="O446" i="32" s="1"/>
  <c r="G445" i="32"/>
  <c r="O445" i="32" s="1"/>
  <c r="I445" i="32"/>
  <c r="H446" i="32" l="1"/>
  <c r="E447" i="32" s="1" a="1"/>
  <c r="E447" i="32" s="1"/>
  <c r="F447" i="32" s="1" a="1"/>
  <c r="F447" i="32" s="1"/>
  <c r="M447" i="32" s="1"/>
  <c r="I447" i="32" s="1"/>
  <c r="P446" i="32"/>
  <c r="N446" i="32"/>
  <c r="Q446" i="32"/>
  <c r="Q445" i="32"/>
  <c r="N445" i="32"/>
  <c r="P445" i="32"/>
  <c r="I446" i="32"/>
  <c r="G447" i="32" l="1"/>
  <c r="O447" i="32" s="1"/>
  <c r="P447" i="32" s="1"/>
  <c r="H447" i="32"/>
  <c r="E448" i="32" s="1" a="1"/>
  <c r="E448" i="32" s="1"/>
  <c r="F448" i="32" s="1" a="1"/>
  <c r="F448" i="32" s="1"/>
  <c r="N447" i="32" l="1"/>
  <c r="Q447" i="32"/>
  <c r="M448" i="32"/>
  <c r="I448" i="32" s="1"/>
  <c r="H448" i="32" l="1"/>
  <c r="E449" i="32" s="1" a="1"/>
  <c r="E449" i="32" s="1"/>
  <c r="F449" i="32" s="1" a="1"/>
  <c r="F449" i="32" s="1"/>
  <c r="M449" i="32" s="1"/>
  <c r="G449" i="32" s="1"/>
  <c r="O449" i="32" s="1"/>
  <c r="G448" i="32"/>
  <c r="O448" i="32" s="1"/>
  <c r="P448" i="32" s="1"/>
  <c r="N448" i="32" l="1"/>
  <c r="Q448" i="32"/>
  <c r="N449" i="32"/>
  <c r="Q449" i="32"/>
  <c r="P449" i="32"/>
  <c r="H449" i="32"/>
  <c r="E450" i="32" s="1" a="1"/>
  <c r="E450" i="32" s="1"/>
  <c r="F450" i="32" s="1" a="1"/>
  <c r="F450" i="32" s="1"/>
  <c r="I449" i="32"/>
  <c r="M450" i="32" l="1"/>
  <c r="H450" i="32" s="1"/>
  <c r="E451" i="32" s="1" a="1"/>
  <c r="E451" i="32" s="1"/>
  <c r="F451" i="32" s="1" a="1"/>
  <c r="F451" i="32" s="1"/>
  <c r="G450" i="32" l="1"/>
  <c r="O450" i="32" s="1"/>
  <c r="Q450" i="32" s="1"/>
  <c r="M451" i="32"/>
  <c r="I451" i="32" s="1"/>
  <c r="I450" i="32"/>
  <c r="P450" i="32" l="1"/>
  <c r="N450" i="32"/>
  <c r="G451" i="32"/>
  <c r="O451" i="32" s="1"/>
  <c r="H451" i="32"/>
  <c r="E452" i="32" s="1" a="1"/>
  <c r="E452" i="32" s="1"/>
  <c r="F452" i="32" s="1" a="1"/>
  <c r="F452" i="32" s="1"/>
  <c r="M452" i="32" l="1"/>
  <c r="I452" i="32" s="1"/>
  <c r="P451" i="32"/>
  <c r="Q451" i="32"/>
  <c r="N451" i="32"/>
  <c r="H452" i="32" l="1"/>
  <c r="E453" i="32" s="1" a="1"/>
  <c r="E453" i="32" s="1"/>
  <c r="F453" i="32" s="1" a="1"/>
  <c r="F453" i="32" s="1"/>
  <c r="G452" i="32"/>
  <c r="O452" i="32" s="1"/>
  <c r="P452" i="32" l="1"/>
  <c r="Q452" i="32"/>
  <c r="N452" i="32"/>
  <c r="M453" i="32"/>
  <c r="I453" i="32" s="1"/>
  <c r="G453" i="32" l="1"/>
  <c r="O453" i="32" s="1"/>
  <c r="Q453" i="32" s="1"/>
  <c r="H453" i="32"/>
  <c r="E454" i="32" s="1" a="1"/>
  <c r="E454" i="32" s="1"/>
  <c r="F454" i="32" s="1" a="1"/>
  <c r="F454" i="32" s="1"/>
  <c r="M454" i="32" s="1"/>
  <c r="G454" i="32" s="1"/>
  <c r="O454" i="32" s="1"/>
  <c r="N453" i="32" l="1"/>
  <c r="P453" i="32"/>
  <c r="H454" i="32"/>
  <c r="E455" i="32" s="1" a="1"/>
  <c r="E455" i="32" s="1"/>
  <c r="F455" i="32" s="1" a="1"/>
  <c r="F455" i="32" s="1"/>
  <c r="M455" i="32" s="1"/>
  <c r="I455" i="32" s="1"/>
  <c r="I454" i="32"/>
  <c r="N454" i="32"/>
  <c r="P454" i="32"/>
  <c r="Q454" i="32"/>
  <c r="H455" i="32" l="1"/>
  <c r="E456" i="32" s="1" a="1"/>
  <c r="E456" i="32" s="1"/>
  <c r="F456" i="32" s="1" a="1"/>
  <c r="F456" i="32" s="1"/>
  <c r="G455" i="32"/>
  <c r="O455" i="32" s="1"/>
  <c r="N455" i="32" l="1"/>
  <c r="Q455" i="32"/>
  <c r="P455" i="32"/>
  <c r="M456" i="32"/>
  <c r="H456" i="32" s="1"/>
  <c r="E457" i="32" s="1" a="1"/>
  <c r="E457" i="32" s="1"/>
  <c r="F457" i="32" s="1" a="1"/>
  <c r="F457" i="32" s="1"/>
  <c r="I456" i="32" l="1"/>
  <c r="M457" i="32"/>
  <c r="G457" i="32" s="1"/>
  <c r="O457" i="32" s="1"/>
  <c r="G456" i="32"/>
  <c r="O456" i="32" s="1"/>
  <c r="P457" i="32" l="1"/>
  <c r="N457" i="32"/>
  <c r="Q457" i="32"/>
  <c r="P456" i="32"/>
  <c r="Q456" i="32"/>
  <c r="N456" i="32"/>
  <c r="H457" i="32"/>
  <c r="E458" i="32" s="1" a="1"/>
  <c r="E458" i="32" s="1"/>
  <c r="F458" i="32" s="1" a="1"/>
  <c r="F458" i="32" s="1"/>
  <c r="I457" i="32"/>
  <c r="M458" i="32" l="1"/>
  <c r="I458" i="32" s="1"/>
  <c r="H458" i="32" l="1"/>
  <c r="E459" i="32" s="1" a="1"/>
  <c r="E459" i="32" s="1"/>
  <c r="F459" i="32" s="1" a="1"/>
  <c r="F459" i="32" s="1"/>
  <c r="M459" i="32" s="1"/>
  <c r="I459" i="32" s="1"/>
  <c r="G458" i="32"/>
  <c r="O458" i="32" s="1"/>
  <c r="Q458" i="32" s="1"/>
  <c r="N458" i="32" l="1"/>
  <c r="P458" i="32"/>
  <c r="G459" i="32"/>
  <c r="O459" i="32" s="1"/>
  <c r="H459" i="32"/>
  <c r="E460" i="32" s="1" a="1"/>
  <c r="E460" i="32" s="1"/>
  <c r="F460" i="32" s="1" a="1"/>
  <c r="F460" i="32" s="1"/>
  <c r="M460" i="32" l="1"/>
  <c r="I460" i="32" s="1"/>
  <c r="N459" i="32"/>
  <c r="Q459" i="32"/>
  <c r="P459" i="32"/>
  <c r="G460" i="32" l="1"/>
  <c r="O460" i="32" s="1"/>
  <c r="P460" i="32" s="1"/>
  <c r="H460" i="32"/>
  <c r="E461" i="32" s="1" a="1"/>
  <c r="E461" i="32" s="1"/>
  <c r="F461" i="32" s="1" a="1"/>
  <c r="F461" i="32" s="1"/>
  <c r="Q460" i="32" l="1"/>
  <c r="N460" i="32"/>
  <c r="M461" i="32"/>
  <c r="H461" i="32" s="1"/>
  <c r="E462" i="32" s="1" a="1"/>
  <c r="E462" i="32" s="1"/>
  <c r="F462" i="32" s="1" a="1"/>
  <c r="F462" i="32" s="1"/>
  <c r="G461" i="32" l="1"/>
  <c r="O461" i="32" s="1"/>
  <c r="N461" i="32" s="1"/>
  <c r="M462" i="32"/>
  <c r="I462" i="32" s="1"/>
  <c r="I461" i="32"/>
  <c r="P461" i="32" l="1"/>
  <c r="Q461" i="32"/>
  <c r="G462" i="32"/>
  <c r="O462" i="32" s="1"/>
  <c r="P462" i="32" s="1"/>
  <c r="H462" i="32"/>
  <c r="E463" i="32" s="1" a="1"/>
  <c r="E463" i="32" s="1"/>
  <c r="F463" i="32" s="1" a="1"/>
  <c r="F463" i="32" s="1"/>
  <c r="Q462" i="32" l="1"/>
  <c r="N462" i="32"/>
  <c r="M463" i="32"/>
  <c r="I463" i="32" s="1"/>
  <c r="H463" i="32" l="1"/>
  <c r="E464" i="32" s="1" a="1"/>
  <c r="E464" i="32" s="1"/>
  <c r="F464" i="32" s="1" a="1"/>
  <c r="F464" i="32" s="1"/>
  <c r="G463" i="32"/>
  <c r="O463" i="32" s="1"/>
  <c r="Q463" i="32" l="1"/>
  <c r="P463" i="32"/>
  <c r="N463" i="32"/>
  <c r="M464" i="32"/>
  <c r="I464" i="32" s="1"/>
  <c r="H464" i="32" l="1"/>
  <c r="E465" i="32" s="1" a="1"/>
  <c r="E465" i="32" s="1"/>
  <c r="F465" i="32" s="1" a="1"/>
  <c r="F465" i="32" s="1"/>
  <c r="G464" i="32"/>
  <c r="O464" i="32" s="1"/>
  <c r="P464" i="32" l="1"/>
  <c r="N464" i="32"/>
  <c r="Q464" i="32"/>
  <c r="M465" i="32"/>
  <c r="G465" i="32" s="1"/>
  <c r="O465" i="32" s="1"/>
  <c r="N465" i="32" l="1"/>
  <c r="P465" i="32"/>
  <c r="Q465" i="32"/>
  <c r="I465" i="32"/>
  <c r="H465" i="32"/>
  <c r="E466" i="32" s="1" a="1"/>
  <c r="E466" i="32" s="1"/>
  <c r="F466" i="32" s="1" a="1"/>
  <c r="F466" i="32" s="1"/>
  <c r="M466" i="32" l="1"/>
  <c r="I466" i="32" s="1"/>
  <c r="G466" i="32" l="1"/>
  <c r="O466" i="32" s="1"/>
  <c r="N466" i="32" s="1"/>
  <c r="H466" i="32"/>
  <c r="E467" i="32" s="1" a="1"/>
  <c r="E467" i="32" s="1"/>
  <c r="F467" i="32" s="1" a="1"/>
  <c r="F467" i="32" s="1"/>
  <c r="M467" i="32" s="1"/>
  <c r="I467" i="32" s="1"/>
  <c r="P466" i="32" l="1"/>
  <c r="Q466" i="32"/>
  <c r="G467" i="32"/>
  <c r="O467" i="32" s="1"/>
  <c r="N467" i="32" s="1"/>
  <c r="H467" i="32"/>
  <c r="E468" i="32" s="1" a="1"/>
  <c r="E468" i="32" s="1"/>
  <c r="F468" i="32" s="1" a="1"/>
  <c r="F468" i="32" s="1"/>
  <c r="M468" i="32" s="1"/>
  <c r="I468" i="32" s="1"/>
  <c r="P467" i="32" l="1"/>
  <c r="Q467" i="32"/>
  <c r="G468" i="32"/>
  <c r="O468" i="32" s="1"/>
  <c r="H468" i="32"/>
  <c r="E469" i="32" s="1" a="1"/>
  <c r="E469" i="32" s="1"/>
  <c r="F469" i="32" s="1" a="1"/>
  <c r="F469" i="32" s="1"/>
  <c r="M469" i="32" l="1"/>
  <c r="H469" i="32" s="1"/>
  <c r="E470" i="32" s="1" a="1"/>
  <c r="E470" i="32" s="1"/>
  <c r="F470" i="32" s="1" a="1"/>
  <c r="F470" i="32" s="1"/>
  <c r="P468" i="32"/>
  <c r="N468" i="32"/>
  <c r="Q468" i="32"/>
  <c r="G469" i="32" l="1"/>
  <c r="O469" i="32" s="1"/>
  <c r="Q469" i="32" s="1"/>
  <c r="I469" i="32"/>
  <c r="M470" i="32"/>
  <c r="G470" i="32" s="1"/>
  <c r="O470" i="32" s="1"/>
  <c r="N469" i="32" l="1"/>
  <c r="P469" i="32"/>
  <c r="H470" i="32"/>
  <c r="E471" i="32" s="1" a="1"/>
  <c r="E471" i="32" s="1"/>
  <c r="F471" i="32" s="1" a="1"/>
  <c r="F471" i="32" s="1"/>
  <c r="M471" i="32" s="1"/>
  <c r="I471" i="32" s="1"/>
  <c r="I470" i="32"/>
  <c r="P470" i="32"/>
  <c r="Q470" i="32"/>
  <c r="N470" i="32"/>
  <c r="H471" i="32" l="1"/>
  <c r="E472" i="32" s="1" a="1"/>
  <c r="E472" i="32" s="1"/>
  <c r="F472" i="32" s="1" a="1"/>
  <c r="F472" i="32" s="1"/>
  <c r="G471" i="32"/>
  <c r="O471" i="32" s="1"/>
  <c r="Q471" i="32" l="1"/>
  <c r="P471" i="32"/>
  <c r="N471" i="32"/>
  <c r="M472" i="32"/>
  <c r="H472" i="32" s="1"/>
  <c r="E473" i="32" s="1" a="1"/>
  <c r="E473" i="32" s="1"/>
  <c r="F473" i="32" s="1" a="1"/>
  <c r="F473" i="32" s="1"/>
  <c r="G472" i="32" l="1"/>
  <c r="O472" i="32" s="1"/>
  <c r="P472" i="32" s="1"/>
  <c r="I472" i="32"/>
  <c r="M473" i="32"/>
  <c r="I473" i="32" s="1"/>
  <c r="Q472" i="32" l="1"/>
  <c r="N472" i="32"/>
  <c r="H473" i="32"/>
  <c r="E474" i="32" s="1" a="1"/>
  <c r="E474" i="32" s="1"/>
  <c r="F474" i="32" s="1" a="1"/>
  <c r="F474" i="32" s="1"/>
  <c r="G473" i="32"/>
  <c r="O473" i="32" s="1"/>
  <c r="P473" i="32" l="1"/>
  <c r="Q473" i="32"/>
  <c r="N473" i="32"/>
  <c r="M474" i="32"/>
  <c r="H474" i="32" s="1"/>
  <c r="E475" i="32" s="1" a="1"/>
  <c r="E475" i="32" s="1"/>
  <c r="F475" i="32" s="1" a="1"/>
  <c r="F475" i="32" s="1"/>
  <c r="I474" i="32" l="1"/>
  <c r="G474" i="32"/>
  <c r="O474" i="32" s="1"/>
  <c r="N474" i="32" s="1"/>
  <c r="M475" i="32"/>
  <c r="I475" i="32" s="1"/>
  <c r="P474" i="32" l="1"/>
  <c r="Q474" i="32"/>
  <c r="G475" i="32"/>
  <c r="O475" i="32" s="1"/>
  <c r="N475" i="32" s="1"/>
  <c r="H475" i="32"/>
  <c r="E476" i="32" s="1" a="1"/>
  <c r="E476" i="32" s="1"/>
  <c r="F476" i="32" s="1" a="1"/>
  <c r="F476" i="32" s="1"/>
  <c r="M476" i="32" s="1"/>
  <c r="G476" i="32" s="1"/>
  <c r="O476" i="32" s="1"/>
  <c r="P475" i="32" l="1"/>
  <c r="Q475" i="32"/>
  <c r="P476" i="32"/>
  <c r="N476" i="32"/>
  <c r="Q476" i="32"/>
  <c r="H476" i="32"/>
  <c r="E477" i="32" s="1" a="1"/>
  <c r="E477" i="32" s="1"/>
  <c r="F477" i="32" s="1" a="1"/>
  <c r="F477" i="32" s="1"/>
  <c r="I476" i="32"/>
  <c r="M477" i="32" l="1"/>
  <c r="I477" i="32" s="1"/>
  <c r="G477" i="32" l="1"/>
  <c r="O477" i="32" s="1"/>
  <c r="Q477" i="32" s="1"/>
  <c r="H477" i="32"/>
  <c r="E478" i="32" s="1" a="1"/>
  <c r="E478" i="32" s="1"/>
  <c r="F478" i="32" s="1" a="1"/>
  <c r="F478" i="32" s="1"/>
  <c r="M478" i="32" s="1"/>
  <c r="I478" i="32" s="1"/>
  <c r="N477" i="32" l="1"/>
  <c r="P477" i="32"/>
  <c r="G478" i="32"/>
  <c r="O478" i="32" s="1"/>
  <c r="H478" i="32"/>
  <c r="E479" i="32" s="1" a="1"/>
  <c r="E479" i="32" s="1"/>
  <c r="F479" i="32" s="1" a="1"/>
  <c r="F479" i="32" s="1"/>
  <c r="M479" i="32" l="1"/>
  <c r="I479" i="32" s="1"/>
  <c r="P478" i="32"/>
  <c r="N478" i="32"/>
  <c r="Q478" i="32"/>
  <c r="G479" i="32" l="1"/>
  <c r="O479" i="32" s="1"/>
  <c r="Q479" i="32" s="1"/>
  <c r="H479" i="32"/>
  <c r="E480" i="32" s="1" a="1"/>
  <c r="E480" i="32" s="1"/>
  <c r="F480" i="32" s="1" a="1"/>
  <c r="F480" i="32" s="1"/>
  <c r="P479" i="32" l="1"/>
  <c r="N479" i="32"/>
  <c r="M480" i="32"/>
  <c r="G480" i="32" s="1"/>
  <c r="O480" i="32" s="1"/>
  <c r="I480" i="32" l="1"/>
  <c r="H480" i="32"/>
  <c r="E481" i="32" s="1" a="1"/>
  <c r="E481" i="32" s="1"/>
  <c r="F481" i="32" s="1" a="1"/>
  <c r="F481" i="32" s="1"/>
  <c r="M481" i="32" s="1"/>
  <c r="G481" i="32" s="1"/>
  <c r="O481" i="32" s="1"/>
  <c r="P480" i="32"/>
  <c r="N480" i="32"/>
  <c r="Q480" i="32"/>
  <c r="N481" i="32" l="1"/>
  <c r="P481" i="32"/>
  <c r="Q481" i="32"/>
  <c r="H481" i="32"/>
  <c r="E482" i="32" s="1" a="1"/>
  <c r="E482" i="32" s="1"/>
  <c r="F482" i="32" s="1" a="1"/>
  <c r="F482" i="32" s="1"/>
  <c r="I481" i="32"/>
  <c r="M482" i="32" l="1"/>
  <c r="H482" i="32" s="1"/>
  <c r="E483" i="32" s="1" a="1"/>
  <c r="E483" i="32" s="1"/>
  <c r="F483" i="32" s="1" a="1"/>
  <c r="F483" i="32" s="1"/>
  <c r="M483" i="32" l="1"/>
  <c r="I483" i="32" s="1"/>
  <c r="G482" i="32"/>
  <c r="O482" i="32" s="1"/>
  <c r="I482" i="32"/>
  <c r="Q482" i="32" l="1"/>
  <c r="P482" i="32"/>
  <c r="N482" i="32"/>
  <c r="G483" i="32"/>
  <c r="O483" i="32" s="1"/>
  <c r="H483" i="32"/>
  <c r="E484" i="32" s="1" a="1"/>
  <c r="E484" i="32" s="1"/>
  <c r="F484" i="32" s="1" a="1"/>
  <c r="F484" i="32" s="1"/>
  <c r="M484" i="32" l="1"/>
  <c r="I484" i="32" s="1"/>
  <c r="P483" i="32"/>
  <c r="Q483" i="32"/>
  <c r="N483" i="32"/>
  <c r="H484" i="32" l="1"/>
  <c r="E485" i="32" s="1" a="1"/>
  <c r="E485" i="32" s="1"/>
  <c r="F485" i="32" s="1" a="1"/>
  <c r="F485" i="32" s="1"/>
  <c r="G484" i="32"/>
  <c r="O484" i="32" s="1"/>
  <c r="P484" i="32" l="1"/>
  <c r="Q484" i="32"/>
  <c r="N484" i="32"/>
  <c r="M485" i="32"/>
  <c r="G485" i="32" s="1"/>
  <c r="O485" i="32" s="1"/>
  <c r="N485" i="32" l="1"/>
  <c r="P485" i="32"/>
  <c r="Q485" i="32"/>
  <c r="H485" i="32"/>
  <c r="E486" i="32" s="1" a="1"/>
  <c r="E486" i="32" s="1"/>
  <c r="F486" i="32" s="1" a="1"/>
  <c r="F486" i="32" s="1"/>
  <c r="I485" i="32"/>
  <c r="M486" i="32" l="1"/>
  <c r="I486" i="32" s="1"/>
  <c r="H486" i="32" l="1"/>
  <c r="E487" i="32" s="1" a="1"/>
  <c r="E487" i="32" s="1"/>
  <c r="F487" i="32" s="1" a="1"/>
  <c r="F487" i="32" s="1"/>
  <c r="G486" i="32"/>
  <c r="O486" i="32" s="1"/>
  <c r="P486" i="32" l="1"/>
  <c r="N486" i="32"/>
  <c r="Q486" i="32"/>
  <c r="M487" i="32"/>
  <c r="G487" i="32" s="1"/>
  <c r="O487" i="32" s="1"/>
  <c r="H487" i="32" l="1"/>
  <c r="E488" i="32" s="1" a="1"/>
  <c r="E488" i="32" s="1"/>
  <c r="F488" i="32" s="1" a="1"/>
  <c r="F488" i="32" s="1"/>
  <c r="M488" i="32" s="1"/>
  <c r="G488" i="32" s="1"/>
  <c r="O488" i="32" s="1"/>
  <c r="I487" i="32"/>
  <c r="P487" i="32"/>
  <c r="N487" i="32"/>
  <c r="Q487" i="32"/>
  <c r="N488" i="32" l="1"/>
  <c r="Q488" i="32"/>
  <c r="P488" i="32"/>
  <c r="I488" i="32"/>
  <c r="H488" i="32"/>
  <c r="E489" i="32" s="1" a="1"/>
  <c r="E489" i="32" s="1"/>
  <c r="F489" i="32" s="1" a="1"/>
  <c r="F489" i="32" s="1"/>
  <c r="M489" i="32" l="1"/>
  <c r="I489" i="32" s="1"/>
  <c r="G489" i="32" l="1"/>
  <c r="O489" i="32" s="1"/>
  <c r="P489" i="32" s="1"/>
  <c r="H489" i="32"/>
  <c r="E490" i="32" s="1" a="1"/>
  <c r="E490" i="32" s="1"/>
  <c r="F490" i="32" s="1" a="1"/>
  <c r="F490" i="32" s="1"/>
  <c r="N489" i="32" l="1"/>
  <c r="Q489" i="32"/>
  <c r="M490" i="32"/>
  <c r="I490" i="32" s="1"/>
  <c r="H490" i="32" l="1"/>
  <c r="E491" i="32" s="1" a="1"/>
  <c r="E491" i="32" s="1"/>
  <c r="F491" i="32" s="1" a="1"/>
  <c r="F491" i="32" s="1"/>
  <c r="M491" i="32" s="1"/>
  <c r="G491" i="32" s="1"/>
  <c r="O491" i="32" s="1"/>
  <c r="G490" i="32"/>
  <c r="O490" i="32" s="1"/>
  <c r="N490" i="32" s="1"/>
  <c r="Q490" i="32" l="1"/>
  <c r="P490" i="32"/>
  <c r="I491" i="32"/>
  <c r="P491" i="32"/>
  <c r="N491" i="32"/>
  <c r="Q491" i="32"/>
  <c r="H491" i="32"/>
  <c r="E492" i="32" s="1" a="1"/>
  <c r="E492" i="32" s="1"/>
  <c r="F492" i="32" s="1" a="1"/>
  <c r="F492" i="32" s="1"/>
  <c r="M492" i="32" l="1"/>
  <c r="G492" i="32" s="1"/>
  <c r="O492" i="32" s="1"/>
  <c r="P492" i="32" l="1"/>
  <c r="Q492" i="32"/>
  <c r="N492" i="32"/>
  <c r="H492" i="32"/>
  <c r="E493" i="32" s="1" a="1"/>
  <c r="E493" i="32" s="1"/>
  <c r="F493" i="32" s="1" a="1"/>
  <c r="F493" i="32" s="1"/>
  <c r="I492" i="32"/>
  <c r="M493" i="32" l="1"/>
  <c r="H493" i="32" s="1"/>
  <c r="E494" i="32" s="1" a="1"/>
  <c r="E494" i="32" s="1"/>
  <c r="F494" i="32" s="1" a="1"/>
  <c r="F494" i="32" s="1"/>
  <c r="G493" i="32" l="1"/>
  <c r="O493" i="32" s="1"/>
  <c r="N493" i="32" s="1"/>
  <c r="I493" i="32"/>
  <c r="M494" i="32"/>
  <c r="I494" i="32" s="1"/>
  <c r="P493" i="32" l="1"/>
  <c r="Q493" i="32"/>
  <c r="H494" i="32"/>
  <c r="E495" i="32" s="1" a="1"/>
  <c r="E495" i="32" s="1"/>
  <c r="F495" i="32" s="1" a="1"/>
  <c r="F495" i="32" s="1"/>
  <c r="M495" i="32" s="1"/>
  <c r="G495" i="32" s="1"/>
  <c r="O495" i="32" s="1"/>
  <c r="G494" i="32"/>
  <c r="O494" i="32" s="1"/>
  <c r="H495" i="32" l="1"/>
  <c r="E496" i="32" s="1" a="1"/>
  <c r="E496" i="32" s="1"/>
  <c r="F496" i="32" s="1" a="1"/>
  <c r="F496" i="32" s="1"/>
  <c r="M496" i="32" s="1"/>
  <c r="G496" i="32" s="1"/>
  <c r="O496" i="32" s="1"/>
  <c r="I495" i="32"/>
  <c r="P495" i="32"/>
  <c r="Q495" i="32"/>
  <c r="N495" i="32"/>
  <c r="P494" i="32"/>
  <c r="Q494" i="32"/>
  <c r="N494" i="32"/>
  <c r="N496" i="32" l="1"/>
  <c r="P496" i="32"/>
  <c r="Q496" i="32"/>
  <c r="I496" i="32"/>
  <c r="H496" i="32"/>
  <c r="E497" i="32" s="1" a="1"/>
  <c r="E497" i="32" s="1"/>
  <c r="F497" i="32" s="1" a="1"/>
  <c r="F497" i="32" s="1"/>
  <c r="M497" i="32" l="1"/>
  <c r="H497" i="32" s="1"/>
  <c r="E498" i="32" s="1" a="1"/>
  <c r="E498" i="32" s="1"/>
  <c r="F498" i="32" s="1" a="1"/>
  <c r="F498" i="32" s="1"/>
  <c r="M498" i="32" l="1"/>
  <c r="I498" i="32" s="1"/>
  <c r="I497" i="32"/>
  <c r="G497" i="32"/>
  <c r="O497" i="32" s="1"/>
  <c r="H498" i="32" l="1"/>
  <c r="E499" i="32" s="1" a="1"/>
  <c r="E499" i="32" s="1"/>
  <c r="F499" i="32" s="1" a="1"/>
  <c r="F499" i="32" s="1"/>
  <c r="M499" i="32" s="1"/>
  <c r="G499" i="32" s="1"/>
  <c r="O499" i="32" s="1"/>
  <c r="N497" i="32"/>
  <c r="P497" i="32"/>
  <c r="Q497" i="32"/>
  <c r="G498" i="32"/>
  <c r="O498" i="32" s="1"/>
  <c r="P499" i="32" l="1"/>
  <c r="N499" i="32"/>
  <c r="Q499" i="32"/>
  <c r="H499" i="32"/>
  <c r="E500" i="32" s="1" a="1"/>
  <c r="E500" i="32" s="1"/>
  <c r="F500" i="32" s="1" a="1"/>
  <c r="F500" i="32" s="1"/>
  <c r="I499" i="32"/>
  <c r="Q498" i="32"/>
  <c r="N498" i="32"/>
  <c r="P498" i="32"/>
  <c r="M500" i="32" l="1"/>
  <c r="I500" i="32" s="1"/>
  <c r="G500" i="32" l="1"/>
  <c r="O500" i="32" s="1"/>
  <c r="P500" i="32" s="1"/>
  <c r="H500" i="32"/>
  <c r="E501" i="32" s="1" a="1"/>
  <c r="E501" i="32" s="1"/>
  <c r="F501" i="32" s="1" a="1"/>
  <c r="F501" i="32" s="1"/>
  <c r="N500" i="32" l="1"/>
  <c r="Q500" i="32"/>
  <c r="M501" i="32"/>
  <c r="I501" i="32" s="1"/>
  <c r="G501" i="32" l="1"/>
  <c r="O501" i="32" s="1"/>
  <c r="Q501" i="32" s="1"/>
  <c r="H501" i="32"/>
  <c r="E502" i="32" s="1" a="1"/>
  <c r="E502" i="32" s="1"/>
  <c r="F502" i="32" s="1" a="1"/>
  <c r="F502" i="32" s="1"/>
  <c r="M502" i="32" s="1"/>
  <c r="I502" i="32" s="1"/>
  <c r="P501" i="32" l="1"/>
  <c r="N501" i="32"/>
  <c r="H502" i="32"/>
  <c r="E503" i="32" s="1" a="1"/>
  <c r="E503" i="32" s="1"/>
  <c r="F503" i="32" s="1" a="1"/>
  <c r="F503" i="32" s="1"/>
  <c r="G502" i="32"/>
  <c r="O502" i="32" s="1"/>
  <c r="N502" i="32" l="1"/>
  <c r="P502" i="32"/>
  <c r="Q502" i="32"/>
  <c r="M503" i="32"/>
  <c r="G503" i="32" s="1"/>
  <c r="O503" i="32" s="1"/>
  <c r="H503" i="32" l="1"/>
  <c r="E504" i="32" s="1" a="1"/>
  <c r="E504" i="32" s="1"/>
  <c r="F504" i="32" s="1" a="1"/>
  <c r="F504" i="32" s="1"/>
  <c r="M504" i="32" s="1"/>
  <c r="H504" i="32" s="1"/>
  <c r="E505" i="32" s="1" a="1"/>
  <c r="E505" i="32" s="1"/>
  <c r="F505" i="32" s="1" a="1"/>
  <c r="F505" i="32" s="1"/>
  <c r="P503" i="32"/>
  <c r="Q503" i="32"/>
  <c r="N503" i="32"/>
  <c r="I503" i="32"/>
  <c r="G504" i="32" l="1"/>
  <c r="O504" i="32" s="1"/>
  <c r="P504" i="32" s="1"/>
  <c r="I504" i="32"/>
  <c r="M505" i="32"/>
  <c r="H505" i="32" s="1"/>
  <c r="E506" i="32" s="1" a="1"/>
  <c r="E506" i="32" s="1"/>
  <c r="F506" i="32" s="1" a="1"/>
  <c r="F506" i="32" s="1"/>
  <c r="Q504" i="32" l="1"/>
  <c r="N504" i="32"/>
  <c r="M506" i="32"/>
  <c r="I506" i="32" s="1"/>
  <c r="G505" i="32"/>
  <c r="O505" i="32" s="1"/>
  <c r="I505" i="32"/>
  <c r="G506" i="32" l="1"/>
  <c r="O506" i="32" s="1"/>
  <c r="P506" i="32" s="1"/>
  <c r="H506" i="32"/>
  <c r="E507" i="32" s="1" a="1"/>
  <c r="E507" i="32" s="1"/>
  <c r="F507" i="32" s="1" a="1"/>
  <c r="F507" i="32" s="1"/>
  <c r="M507" i="32" s="1"/>
  <c r="H507" i="32" s="1"/>
  <c r="E508" i="32" s="1" a="1"/>
  <c r="E508" i="32" s="1"/>
  <c r="F508" i="32" s="1" a="1"/>
  <c r="F508" i="32" s="1"/>
  <c r="N505" i="32"/>
  <c r="Q505" i="32"/>
  <c r="P505" i="32"/>
  <c r="N506" i="32" l="1"/>
  <c r="Q506" i="32"/>
  <c r="M508" i="32"/>
  <c r="H508" i="32" s="1"/>
  <c r="E509" i="32" s="1" a="1"/>
  <c r="E509" i="32" s="1"/>
  <c r="F509" i="32" s="1" a="1"/>
  <c r="F509" i="32" s="1"/>
  <c r="I507" i="32"/>
  <c r="G507" i="32"/>
  <c r="O507" i="32" s="1"/>
  <c r="G508" i="32" l="1"/>
  <c r="O508" i="32" s="1"/>
  <c r="N508" i="32" s="1"/>
  <c r="I508" i="32"/>
  <c r="M509" i="32"/>
  <c r="H509" i="32" s="1"/>
  <c r="E510" i="32" s="1" a="1"/>
  <c r="E510" i="32" s="1"/>
  <c r="F510" i="32" s="1" a="1"/>
  <c r="F510" i="32" s="1"/>
  <c r="P507" i="32"/>
  <c r="N507" i="32"/>
  <c r="Q507" i="32"/>
  <c r="I509" i="32" l="1"/>
  <c r="G509" i="32"/>
  <c r="O509" i="32" s="1"/>
  <c r="Q509" i="32" s="1"/>
  <c r="Q508" i="32"/>
  <c r="P508" i="32"/>
  <c r="M510" i="32"/>
  <c r="I510" i="32" s="1"/>
  <c r="P509" i="32" l="1"/>
  <c r="N509" i="32"/>
  <c r="G510" i="32"/>
  <c r="O510" i="32" s="1"/>
  <c r="H510" i="32"/>
  <c r="E511" i="32" s="1" a="1"/>
  <c r="E511" i="32" s="1"/>
  <c r="F511" i="32" s="1" a="1"/>
  <c r="F511" i="32" s="1"/>
  <c r="M511" i="32" l="1"/>
  <c r="H511" i="32" s="1"/>
  <c r="E512" i="32" s="1" a="1"/>
  <c r="E512" i="32" s="1"/>
  <c r="F512" i="32" s="1" a="1"/>
  <c r="F512" i="32" s="1"/>
  <c r="Q510" i="32"/>
  <c r="P510" i="32"/>
  <c r="N510" i="32"/>
  <c r="G511" i="32" l="1"/>
  <c r="O511" i="32" s="1"/>
  <c r="P511" i="32" s="1"/>
  <c r="M512" i="32"/>
  <c r="G512" i="32" s="1"/>
  <c r="O512" i="32" s="1"/>
  <c r="I511" i="32"/>
  <c r="N511" i="32" l="1"/>
  <c r="Q511" i="32"/>
  <c r="H512" i="32"/>
  <c r="E513" i="32" s="1" a="1"/>
  <c r="E513" i="32" s="1"/>
  <c r="F513" i="32" s="1" a="1"/>
  <c r="F513" i="32" s="1"/>
  <c r="I512" i="32"/>
  <c r="Q512" i="32"/>
  <c r="N512" i="32"/>
  <c r="P512" i="32"/>
  <c r="M513" i="32" l="1"/>
  <c r="G513" i="32" s="1"/>
  <c r="O513" i="32" s="1"/>
  <c r="P513" i="32" s="1"/>
  <c r="Q513" i="32" l="1"/>
  <c r="I513" i="32"/>
  <c r="N513" i="32"/>
  <c r="H513" i="32"/>
  <c r="E514" i="32" s="1" a="1"/>
  <c r="E514" i="32" s="1"/>
  <c r="F514" i="32" s="1" a="1"/>
  <c r="F514" i="32" s="1"/>
  <c r="M514" i="32" s="1"/>
  <c r="I514" i="32" s="1"/>
  <c r="H514" i="32" l="1"/>
  <c r="E515" i="32" s="1" a="1"/>
  <c r="E515" i="32" s="1"/>
  <c r="F515" i="32" s="1" a="1"/>
  <c r="F515" i="32" s="1"/>
  <c r="G514" i="32"/>
  <c r="O514" i="32" s="1"/>
  <c r="N514" i="32" s="1"/>
  <c r="P514" i="32" l="1"/>
  <c r="Q514" i="32"/>
  <c r="M515" i="32"/>
  <c r="H515" i="32" s="1"/>
  <c r="E516" i="32" s="1" a="1"/>
  <c r="E516" i="32" s="1"/>
  <c r="F516" i="32" s="1" a="1"/>
  <c r="F516" i="32" s="1"/>
  <c r="M516" i="32" s="1"/>
  <c r="H516" i="32" s="1"/>
  <c r="E517" i="32" s="1" a="1"/>
  <c r="E517" i="32" s="1"/>
  <c r="F517" i="32" s="1" a="1"/>
  <c r="F517" i="32" s="1"/>
  <c r="I516" i="32" l="1"/>
  <c r="G515" i="32"/>
  <c r="O515" i="32" s="1"/>
  <c r="I515" i="32"/>
  <c r="M517" i="32"/>
  <c r="I517" i="32" s="1"/>
  <c r="G516" i="32"/>
  <c r="O516" i="32" s="1"/>
  <c r="H517" i="32" l="1"/>
  <c r="E518" i="32" s="1" a="1"/>
  <c r="E518" i="32" s="1"/>
  <c r="F518" i="32" s="1" a="1"/>
  <c r="F518" i="32" s="1"/>
  <c r="M518" i="32" s="1"/>
  <c r="I518" i="32" s="1"/>
  <c r="G517" i="32"/>
  <c r="O517" i="32" s="1"/>
  <c r="N517" i="32" s="1"/>
  <c r="P515" i="32"/>
  <c r="N515" i="32"/>
  <c r="Q515" i="32"/>
  <c r="N516" i="32"/>
  <c r="P516" i="32"/>
  <c r="Q516" i="32"/>
  <c r="P517" i="32" l="1"/>
  <c r="Q517" i="32"/>
  <c r="G518" i="32"/>
  <c r="O518" i="32" s="1"/>
  <c r="H518" i="32"/>
  <c r="E519" i="32" s="1" a="1"/>
  <c r="E519" i="32" s="1"/>
  <c r="F519" i="32" s="1" a="1"/>
  <c r="F519" i="32" s="1"/>
  <c r="M519" i="32" l="1"/>
  <c r="I519" i="32" s="1"/>
  <c r="N518" i="32"/>
  <c r="Q518" i="32"/>
  <c r="P518" i="32"/>
  <c r="G519" i="32" l="1"/>
  <c r="O519" i="32" s="1"/>
  <c r="P519" i="32" s="1"/>
  <c r="H519" i="32"/>
  <c r="E520" i="32" s="1" a="1"/>
  <c r="E520" i="32" s="1"/>
  <c r="F520" i="32" s="1" a="1"/>
  <c r="F520" i="32" s="1"/>
  <c r="M520" i="32" s="1"/>
  <c r="H520" i="32" s="1"/>
  <c r="E521" i="32" s="1" a="1"/>
  <c r="E521" i="32" s="1"/>
  <c r="F521" i="32" s="1" a="1"/>
  <c r="F521" i="32" s="1"/>
  <c r="N519" i="32" l="1"/>
  <c r="Q519" i="32"/>
  <c r="G520" i="32"/>
  <c r="O520" i="32" s="1"/>
  <c r="Q520" i="32" s="1"/>
  <c r="I520" i="32"/>
  <c r="M521" i="32"/>
  <c r="G521" i="32" s="1"/>
  <c r="O521" i="32" s="1"/>
  <c r="P520" i="32" l="1"/>
  <c r="N520" i="32"/>
  <c r="H521" i="32"/>
  <c r="E522" i="32" s="1" a="1"/>
  <c r="E522" i="32" s="1"/>
  <c r="F522" i="32" s="1" a="1"/>
  <c r="F522" i="32" s="1"/>
  <c r="M522" i="32" s="1"/>
  <c r="I522" i="32" s="1"/>
  <c r="P521" i="32"/>
  <c r="N521" i="32"/>
  <c r="Q521" i="32"/>
  <c r="I521" i="32"/>
  <c r="H522" i="32" l="1"/>
  <c r="E523" i="32" s="1" a="1"/>
  <c r="E523" i="32" s="1"/>
  <c r="F523" i="32" s="1" a="1"/>
  <c r="F523" i="32" s="1"/>
  <c r="G522" i="32"/>
  <c r="O522" i="32" s="1"/>
  <c r="N522" i="32" l="1"/>
  <c r="Q522" i="32"/>
  <c r="P522" i="32"/>
  <c r="M523" i="32"/>
  <c r="I523" i="32" s="1"/>
  <c r="G523" i="32" l="1"/>
  <c r="O523" i="32" s="1"/>
  <c r="H523" i="32"/>
  <c r="E524" i="32" s="1" a="1"/>
  <c r="E524" i="32" s="1"/>
  <c r="F524" i="32" s="1" a="1"/>
  <c r="F524" i="32" s="1"/>
  <c r="M524" i="32" l="1"/>
  <c r="G524" i="32" s="1"/>
  <c r="O524" i="32" s="1"/>
  <c r="P523" i="32"/>
  <c r="N523" i="32"/>
  <c r="Q523" i="32"/>
  <c r="N524" i="32" l="1"/>
  <c r="P524" i="32"/>
  <c r="Q524" i="32"/>
  <c r="H524" i="32"/>
  <c r="E525" i="32" s="1" a="1"/>
  <c r="E525" i="32" s="1"/>
  <c r="F525" i="32" s="1" a="1"/>
  <c r="F525" i="32" s="1"/>
  <c r="I524" i="32"/>
  <c r="M525" i="32" l="1"/>
  <c r="I525" i="32" s="1"/>
  <c r="H525" i="32" l="1"/>
  <c r="E526" i="32" s="1" a="1"/>
  <c r="E526" i="32" s="1"/>
  <c r="F526" i="32" s="1" a="1"/>
  <c r="F526" i="32" s="1"/>
  <c r="M526" i="32" s="1"/>
  <c r="I526" i="32" s="1"/>
  <c r="G525" i="32"/>
  <c r="O525" i="32" s="1"/>
  <c r="G526" i="32" l="1"/>
  <c r="O526" i="32" s="1"/>
  <c r="Q526" i="32" s="1"/>
  <c r="P525" i="32"/>
  <c r="N525" i="32"/>
  <c r="Q525" i="32"/>
  <c r="H526" i="32"/>
  <c r="E527" i="32" s="1" a="1"/>
  <c r="E527" i="32" s="1"/>
  <c r="F527" i="32" s="1" a="1"/>
  <c r="F527" i="32" s="1"/>
  <c r="P526" i="32" l="1"/>
  <c r="N526" i="32"/>
  <c r="M527" i="32"/>
  <c r="I527" i="32" s="1"/>
  <c r="H527" i="32" l="1"/>
  <c r="E528" i="32" s="1" a="1"/>
  <c r="E528" i="32" s="1"/>
  <c r="F528" i="32" s="1" a="1"/>
  <c r="F528" i="32" s="1"/>
  <c r="G527" i="32"/>
  <c r="O527" i="32" s="1"/>
  <c r="P527" i="32" l="1"/>
  <c r="Q527" i="32"/>
  <c r="N527" i="32"/>
  <c r="M528" i="32"/>
  <c r="G528" i="32" s="1"/>
  <c r="O528" i="32" s="1"/>
  <c r="H528" i="32" l="1"/>
  <c r="E529" i="32" s="1" a="1"/>
  <c r="E529" i="32" s="1"/>
  <c r="F529" i="32" s="1" a="1"/>
  <c r="F529" i="32" s="1"/>
  <c r="M529" i="32" s="1"/>
  <c r="G529" i="32" s="1"/>
  <c r="O529" i="32" s="1"/>
  <c r="I528" i="32"/>
  <c r="Q528" i="32"/>
  <c r="P528" i="32"/>
  <c r="N528" i="32"/>
  <c r="I529" i="32" l="1"/>
  <c r="N529" i="32"/>
  <c r="Q529" i="32"/>
  <c r="P529" i="32"/>
  <c r="H529" i="32"/>
  <c r="E530" i="32" s="1" a="1"/>
  <c r="E530" i="32" s="1"/>
  <c r="F530" i="32" s="1" a="1"/>
  <c r="F530" i="32" s="1"/>
  <c r="M530" i="32" l="1"/>
  <c r="I530" i="32" s="1"/>
  <c r="H530" i="32" l="1"/>
  <c r="E531" i="32" s="1" a="1"/>
  <c r="E531" i="32" s="1"/>
  <c r="F531" i="32" s="1" a="1"/>
  <c r="F531" i="32" s="1"/>
  <c r="G530" i="32"/>
  <c r="O530" i="32" s="1"/>
  <c r="P530" i="32" l="1"/>
  <c r="N530" i="32"/>
  <c r="Q530" i="32"/>
  <c r="M531" i="32"/>
  <c r="G531" i="32" s="1"/>
  <c r="O531" i="32" s="1"/>
  <c r="I531" i="32" l="1"/>
  <c r="P531" i="32"/>
  <c r="N531" i="32"/>
  <c r="Q531" i="32"/>
  <c r="H531" i="32"/>
  <c r="E532" i="32" s="1" a="1"/>
  <c r="E532" i="32" s="1"/>
  <c r="F532" i="32" s="1" a="1"/>
  <c r="F532" i="32" s="1"/>
  <c r="M532" i="32" l="1"/>
  <c r="G532" i="32" s="1"/>
  <c r="O532" i="32" s="1"/>
  <c r="H532" i="32" l="1"/>
  <c r="E533" i="32" s="1" a="1"/>
  <c r="E533" i="32" s="1"/>
  <c r="F533" i="32" s="1" a="1"/>
  <c r="F533" i="32" s="1"/>
  <c r="M533" i="32" s="1"/>
  <c r="H533" i="32" s="1"/>
  <c r="E534" i="32" s="1" a="1"/>
  <c r="E534" i="32" s="1"/>
  <c r="F534" i="32" s="1" a="1"/>
  <c r="F534" i="32" s="1"/>
  <c r="I532" i="32"/>
  <c r="N532" i="32"/>
  <c r="Q532" i="32"/>
  <c r="P532" i="32"/>
  <c r="G533" i="32" l="1"/>
  <c r="O533" i="32" s="1"/>
  <c r="P533" i="32" s="1"/>
  <c r="M534" i="32"/>
  <c r="I534" i="32" s="1"/>
  <c r="I533" i="32"/>
  <c r="N533" i="32" l="1"/>
  <c r="Q533" i="32"/>
  <c r="H534" i="32"/>
  <c r="E535" i="32" s="1" a="1"/>
  <c r="E535" i="32" s="1"/>
  <c r="F535" i="32" s="1" a="1"/>
  <c r="F535" i="32" s="1"/>
  <c r="M535" i="32" s="1"/>
  <c r="G535" i="32" s="1"/>
  <c r="O535" i="32" s="1"/>
  <c r="G534" i="32"/>
  <c r="O534" i="32" s="1"/>
  <c r="P535" i="32" l="1"/>
  <c r="N535" i="32"/>
  <c r="Q535" i="32"/>
  <c r="N534" i="32"/>
  <c r="P534" i="32"/>
  <c r="Q534" i="32"/>
  <c r="I535" i="32"/>
  <c r="H535" i="32"/>
  <c r="E536" i="32" s="1" a="1"/>
  <c r="E536" i="32" s="1"/>
  <c r="F536" i="32" s="1" a="1"/>
  <c r="F536" i="32" s="1"/>
  <c r="M536" i="32" l="1"/>
  <c r="I536" i="32" s="1"/>
  <c r="G536" i="32" l="1"/>
  <c r="O536" i="32" s="1"/>
  <c r="P536" i="32" s="1"/>
  <c r="H536" i="32"/>
  <c r="E537" i="32" s="1" a="1"/>
  <c r="E537" i="32" s="1"/>
  <c r="F537" i="32" s="1" a="1"/>
  <c r="F537" i="32" s="1"/>
  <c r="M537" i="32" s="1"/>
  <c r="I537" i="32" s="1"/>
  <c r="N536" i="32" l="1"/>
  <c r="Q536" i="32"/>
  <c r="G537" i="32"/>
  <c r="O537" i="32" s="1"/>
  <c r="H537" i="32"/>
  <c r="E538" i="32" s="1" a="1"/>
  <c r="E538" i="32" s="1"/>
  <c r="F538" i="32" s="1" a="1"/>
  <c r="F538" i="32" s="1"/>
  <c r="M538" i="32" l="1"/>
  <c r="I538" i="32" s="1"/>
  <c r="P537" i="32"/>
  <c r="Q537" i="32"/>
  <c r="N537" i="32"/>
  <c r="H538" i="32" l="1"/>
  <c r="E539" i="32" s="1" a="1"/>
  <c r="E539" i="32" s="1"/>
  <c r="F539" i="32" s="1" a="1"/>
  <c r="F539" i="32" s="1"/>
  <c r="M539" i="32" s="1"/>
  <c r="G539" i="32" s="1"/>
  <c r="O539" i="32" s="1"/>
  <c r="G538" i="32"/>
  <c r="O538" i="32" s="1"/>
  <c r="P539" i="32" l="1"/>
  <c r="Q539" i="32"/>
  <c r="N539" i="32"/>
  <c r="I539" i="32"/>
  <c r="Q538" i="32"/>
  <c r="N538" i="32"/>
  <c r="P538" i="32"/>
  <c r="H539" i="32"/>
  <c r="E540" i="32" s="1" a="1"/>
  <c r="E540" i="32" s="1"/>
  <c r="F540" i="32" s="1" a="1"/>
  <c r="F540" i="32" s="1"/>
  <c r="M540" i="32" l="1"/>
  <c r="G540" i="32" s="1"/>
  <c r="O540" i="32" s="1"/>
  <c r="Q540" i="32" l="1"/>
  <c r="P540" i="32"/>
  <c r="N540" i="32"/>
  <c r="H540" i="32"/>
  <c r="E541" i="32" s="1" a="1"/>
  <c r="E541" i="32" s="1"/>
  <c r="F541" i="32" s="1" a="1"/>
  <c r="F541" i="32" s="1"/>
  <c r="I540" i="32"/>
  <c r="M541" i="32" l="1"/>
  <c r="H541" i="32" s="1"/>
  <c r="E542" i="32" s="1" a="1"/>
  <c r="E542" i="32" s="1"/>
  <c r="F542" i="32" s="1" a="1"/>
  <c r="F542" i="32" s="1"/>
  <c r="G541" i="32" l="1"/>
  <c r="O541" i="32" s="1"/>
  <c r="P541" i="32" s="1"/>
  <c r="I541" i="32"/>
  <c r="M542" i="32"/>
  <c r="I542" i="32" s="1"/>
  <c r="Q541" i="32" l="1"/>
  <c r="N541" i="32"/>
  <c r="H542" i="32"/>
  <c r="E543" i="32" s="1" a="1"/>
  <c r="E543" i="32" s="1"/>
  <c r="F543" i="32" s="1" a="1"/>
  <c r="F543" i="32" s="1"/>
  <c r="M543" i="32" s="1"/>
  <c r="I543" i="32" s="1"/>
  <c r="G542" i="32"/>
  <c r="O542" i="32" s="1"/>
  <c r="G543" i="32" l="1"/>
  <c r="O543" i="32" s="1"/>
  <c r="H543" i="32"/>
  <c r="E544" i="32" s="1" a="1"/>
  <c r="E544" i="32" s="1"/>
  <c r="F544" i="32" s="1" a="1"/>
  <c r="F544" i="32" s="1"/>
  <c r="Q542" i="32"/>
  <c r="N542" i="32"/>
  <c r="P542" i="32"/>
  <c r="M544" i="32" l="1"/>
  <c r="H544" i="32" s="1"/>
  <c r="E545" i="32" s="1" a="1"/>
  <c r="E545" i="32" s="1"/>
  <c r="F545" i="32" s="1" a="1"/>
  <c r="F545" i="32" s="1"/>
  <c r="P543" i="32"/>
  <c r="Q543" i="32"/>
  <c r="N543" i="32"/>
  <c r="G544" i="32" l="1"/>
  <c r="O544" i="32" s="1"/>
  <c r="P544" i="32" s="1"/>
  <c r="I544" i="32"/>
  <c r="M545" i="32"/>
  <c r="I545" i="32" s="1"/>
  <c r="Q544" i="32" l="1"/>
  <c r="N544" i="32"/>
  <c r="H545" i="32"/>
  <c r="E546" i="32" s="1" a="1"/>
  <c r="E546" i="32" s="1"/>
  <c r="F546" i="32" s="1" a="1"/>
  <c r="F546" i="32" s="1"/>
  <c r="M546" i="32" s="1"/>
  <c r="I546" i="32" s="1"/>
  <c r="G545" i="32"/>
  <c r="O545" i="32" s="1"/>
  <c r="Q545" i="32" s="1"/>
  <c r="P545" i="32" l="1"/>
  <c r="N545" i="32"/>
  <c r="H546" i="32"/>
  <c r="E547" i="32" s="1" a="1"/>
  <c r="E547" i="32" s="1"/>
  <c r="F547" i="32" s="1" a="1"/>
  <c r="F547" i="32" s="1"/>
  <c r="M547" i="32" s="1"/>
  <c r="H547" i="32" s="1"/>
  <c r="E548" i="32" s="1" a="1"/>
  <c r="E548" i="32" s="1"/>
  <c r="F548" i="32" s="1" a="1"/>
  <c r="F548" i="32" s="1"/>
  <c r="G546" i="32"/>
  <c r="O546" i="32" s="1"/>
  <c r="G547" i="32" l="1"/>
  <c r="O547" i="32" s="1"/>
  <c r="P547" i="32" s="1"/>
  <c r="M548" i="32"/>
  <c r="G548" i="32" s="1"/>
  <c r="O548" i="32" s="1"/>
  <c r="Q546" i="32"/>
  <c r="P546" i="32"/>
  <c r="N546" i="32"/>
  <c r="I547" i="32"/>
  <c r="N547" i="32" l="1"/>
  <c r="Q547" i="32"/>
  <c r="H548" i="32"/>
  <c r="E549" i="32" s="1" a="1"/>
  <c r="E549" i="32" s="1"/>
  <c r="F549" i="32" s="1" a="1"/>
  <c r="F549" i="32" s="1"/>
  <c r="M549" i="32" s="1"/>
  <c r="H549" i="32" s="1"/>
  <c r="E550" i="32" s="1" a="1"/>
  <c r="E550" i="32" s="1"/>
  <c r="F550" i="32" s="1" a="1"/>
  <c r="F550" i="32" s="1"/>
  <c r="I548" i="32"/>
  <c r="P548" i="32"/>
  <c r="N548" i="32"/>
  <c r="Q548" i="32"/>
  <c r="M550" i="32" l="1"/>
  <c r="I550" i="32" s="1"/>
  <c r="I549" i="32"/>
  <c r="G549" i="32"/>
  <c r="O549" i="32" s="1"/>
  <c r="H550" i="32" l="1"/>
  <c r="E551" i="32" s="1" a="1"/>
  <c r="E551" i="32" s="1"/>
  <c r="F551" i="32" s="1" a="1"/>
  <c r="F551" i="32" s="1"/>
  <c r="M551" i="32" s="1"/>
  <c r="I551" i="32" s="1"/>
  <c r="G550" i="32"/>
  <c r="O550" i="32" s="1"/>
  <c r="Q550" i="32" s="1"/>
  <c r="Q549" i="32"/>
  <c r="P549" i="32"/>
  <c r="N549" i="32"/>
  <c r="N550" i="32" l="1"/>
  <c r="P550" i="32"/>
  <c r="H551" i="32"/>
  <c r="E552" i="32" s="1" a="1"/>
  <c r="E552" i="32" s="1"/>
  <c r="F552" i="32" s="1" a="1"/>
  <c r="F552" i="32" s="1"/>
  <c r="G551" i="32"/>
  <c r="O551" i="32" s="1"/>
  <c r="P551" i="32" l="1"/>
  <c r="N551" i="32"/>
  <c r="Q551" i="32"/>
  <c r="M552" i="32"/>
  <c r="H552" i="32" s="1"/>
  <c r="E553" i="32" s="1" a="1"/>
  <c r="E553" i="32" s="1"/>
  <c r="F553" i="32" s="1" a="1"/>
  <c r="F553" i="32" s="1"/>
  <c r="I552" i="32" l="1"/>
  <c r="G552" i="32"/>
  <c r="O552" i="32" s="1"/>
  <c r="P552" i="32" s="1"/>
  <c r="M553" i="32"/>
  <c r="I553" i="32" s="1"/>
  <c r="N552" i="32" l="1"/>
  <c r="Q552" i="32"/>
  <c r="G553" i="32"/>
  <c r="O553" i="32" s="1"/>
  <c r="Q553" i="32" s="1"/>
  <c r="H553" i="32"/>
  <c r="E554" i="32" s="1" a="1"/>
  <c r="E554" i="32" s="1"/>
  <c r="F554" i="32" s="1" a="1"/>
  <c r="F554" i="32" s="1"/>
  <c r="M554" i="32" s="1"/>
  <c r="I554" i="32" s="1"/>
  <c r="N553" i="32" l="1"/>
  <c r="P553" i="32"/>
  <c r="G554" i="32"/>
  <c r="O554" i="32" s="1"/>
  <c r="N554" i="32" s="1"/>
  <c r="H554" i="32"/>
  <c r="E555" i="32" s="1" a="1"/>
  <c r="E555" i="32" s="1"/>
  <c r="F555" i="32" s="1" a="1"/>
  <c r="F555" i="32" s="1"/>
  <c r="Q554" i="32" l="1"/>
  <c r="P554" i="32"/>
  <c r="M555" i="32"/>
  <c r="H555" i="32" s="1"/>
  <c r="E556" i="32" s="1" a="1"/>
  <c r="E556" i="32" s="1"/>
  <c r="F556" i="32" s="1" a="1"/>
  <c r="F556" i="32" s="1"/>
  <c r="G555" i="32" l="1"/>
  <c r="O555" i="32" s="1"/>
  <c r="M556" i="32"/>
  <c r="I556" i="32" s="1"/>
  <c r="I555" i="32"/>
  <c r="P555" i="32" l="1"/>
  <c r="N555" i="32"/>
  <c r="Q555" i="32"/>
  <c r="H556" i="32"/>
  <c r="E557" i="32" s="1" a="1"/>
  <c r="E557" i="32" s="1"/>
  <c r="F557" i="32" s="1" a="1"/>
  <c r="F557" i="32" s="1"/>
  <c r="G556" i="32"/>
  <c r="O556" i="32" s="1"/>
  <c r="Q556" i="32" l="1"/>
  <c r="P556" i="32"/>
  <c r="N556" i="32"/>
  <c r="M557" i="32"/>
  <c r="H557" i="32" s="1"/>
  <c r="E558" i="32" s="1" a="1"/>
  <c r="E558" i="32" s="1"/>
  <c r="F558" i="32" s="1" a="1"/>
  <c r="F558" i="32" s="1"/>
  <c r="M558" i="32" s="1"/>
  <c r="I558" i="32" s="1"/>
  <c r="I557" i="32" l="1"/>
  <c r="H558" i="32"/>
  <c r="E559" i="32" s="1" a="1"/>
  <c r="E559" i="32" s="1"/>
  <c r="F559" i="32" s="1" a="1"/>
  <c r="F559" i="32" s="1"/>
  <c r="M559" i="32" s="1"/>
  <c r="I559" i="32" s="1"/>
  <c r="G558" i="32"/>
  <c r="O558" i="32" s="1"/>
  <c r="N558" i="32" s="1"/>
  <c r="G557" i="32"/>
  <c r="O557" i="32" s="1"/>
  <c r="Q558" i="32" l="1"/>
  <c r="P558" i="32"/>
  <c r="Q557" i="32"/>
  <c r="P557" i="32"/>
  <c r="N557" i="32"/>
  <c r="G559" i="32"/>
  <c r="O559" i="32" s="1"/>
  <c r="P559" i="32" s="1"/>
  <c r="H559" i="32"/>
  <c r="E560" i="32" s="1" a="1"/>
  <c r="E560" i="32" s="1"/>
  <c r="F560" i="32" s="1" a="1"/>
  <c r="F560" i="32" s="1"/>
  <c r="M560" i="32" s="1"/>
  <c r="G560" i="32" s="1"/>
  <c r="O560" i="32" s="1"/>
  <c r="N559" i="32" l="1"/>
  <c r="Q559" i="32"/>
  <c r="I560" i="32"/>
  <c r="N560" i="32"/>
  <c r="Q560" i="32"/>
  <c r="P560" i="32"/>
  <c r="H560" i="32"/>
  <c r="E561" i="32" s="1" a="1"/>
  <c r="E561" i="32" s="1"/>
  <c r="F561" i="32" s="1" a="1"/>
  <c r="F561" i="32" s="1"/>
  <c r="M561" i="32" l="1"/>
  <c r="I561" i="32" s="1"/>
  <c r="G561" i="32" l="1"/>
  <c r="O561" i="32" s="1"/>
  <c r="N561" i="32" s="1"/>
  <c r="H561" i="32"/>
  <c r="E562" i="32" s="1" a="1"/>
  <c r="E562" i="32" s="1"/>
  <c r="F562" i="32" s="1" a="1"/>
  <c r="F562" i="32" s="1"/>
  <c r="M562" i="32" s="1"/>
  <c r="I562" i="32" s="1"/>
  <c r="P561" i="32" l="1"/>
  <c r="Q561" i="32"/>
  <c r="G562" i="32"/>
  <c r="O562" i="32" s="1"/>
  <c r="H562" i="32"/>
  <c r="E563" i="32" s="1" a="1"/>
  <c r="E563" i="32" s="1"/>
  <c r="F563" i="32" s="1" a="1"/>
  <c r="F563" i="32" s="1"/>
  <c r="M563" i="32" l="1"/>
  <c r="I563" i="32" s="1"/>
  <c r="N562" i="32"/>
  <c r="Q562" i="32"/>
  <c r="P562" i="32"/>
  <c r="G563" i="32" l="1"/>
  <c r="O563" i="32" s="1"/>
  <c r="P563" i="32" s="1"/>
  <c r="H563" i="32"/>
  <c r="E564" i="32" s="1" a="1"/>
  <c r="E564" i="32" s="1"/>
  <c r="F564" i="32" s="1" a="1"/>
  <c r="F564" i="32" s="1"/>
  <c r="M564" i="32" s="1"/>
  <c r="I564" i="32" s="1"/>
  <c r="N563" i="32" l="1"/>
  <c r="Q563" i="32"/>
  <c r="H564" i="32"/>
  <c r="E565" i="32" s="1" a="1"/>
  <c r="E565" i="32" s="1"/>
  <c r="F565" i="32" s="1" a="1"/>
  <c r="F565" i="32" s="1"/>
  <c r="M565" i="32" s="1"/>
  <c r="I565" i="32" s="1"/>
  <c r="G564" i="32"/>
  <c r="O564" i="32" s="1"/>
  <c r="Q564" i="32" s="1"/>
  <c r="N564" i="32" l="1"/>
  <c r="P564" i="32"/>
  <c r="G565" i="32"/>
  <c r="O565" i="32" s="1"/>
  <c r="Q565" i="32" s="1"/>
  <c r="H565" i="32"/>
  <c r="E566" i="32" s="1" a="1"/>
  <c r="E566" i="32" s="1"/>
  <c r="F566" i="32" s="1" a="1"/>
  <c r="F566" i="32" s="1"/>
  <c r="M566" i="32" s="1"/>
  <c r="H566" i="32" s="1"/>
  <c r="E567" i="32" s="1" a="1"/>
  <c r="E567" i="32" s="1"/>
  <c r="F567" i="32" s="1" a="1"/>
  <c r="F567" i="32" s="1"/>
  <c r="P565" i="32" l="1"/>
  <c r="N565" i="32"/>
  <c r="M567" i="32"/>
  <c r="G567" i="32" s="1"/>
  <c r="O567" i="32" s="1"/>
  <c r="I566" i="32"/>
  <c r="G566" i="32"/>
  <c r="O566" i="32" s="1"/>
  <c r="H567" i="32" l="1"/>
  <c r="E568" i="32" s="1" a="1"/>
  <c r="E568" i="32" s="1"/>
  <c r="F568" i="32" s="1" a="1"/>
  <c r="F568" i="32" s="1"/>
  <c r="M568" i="32" s="1"/>
  <c r="G568" i="32" s="1"/>
  <c r="O568" i="32" s="1"/>
  <c r="I567" i="32"/>
  <c r="P567" i="32"/>
  <c r="Q567" i="32"/>
  <c r="N567" i="32"/>
  <c r="N566" i="32"/>
  <c r="Q566" i="32"/>
  <c r="P566" i="32"/>
  <c r="N568" i="32" l="1"/>
  <c r="P568" i="32"/>
  <c r="Q568" i="32"/>
  <c r="H568" i="32"/>
  <c r="E569" i="32" s="1" a="1"/>
  <c r="E569" i="32" s="1"/>
  <c r="F569" i="32" s="1" a="1"/>
  <c r="F569" i="32" s="1"/>
  <c r="I568" i="32"/>
  <c r="M569" i="32" l="1"/>
  <c r="I569" i="32" s="1"/>
  <c r="H569" i="32" l="1"/>
  <c r="E570" i="32" s="1" a="1"/>
  <c r="E570" i="32" s="1"/>
  <c r="F570" i="32" s="1" a="1"/>
  <c r="F570" i="32" s="1"/>
  <c r="M570" i="32" s="1"/>
  <c r="I570" i="32" s="1"/>
  <c r="G569" i="32"/>
  <c r="O569" i="32" s="1"/>
  <c r="P569" i="32" s="1"/>
  <c r="Q569" i="32" l="1"/>
  <c r="N569" i="32"/>
  <c r="G570" i="32"/>
  <c r="O570" i="32" s="1"/>
  <c r="N570" i="32" s="1"/>
  <c r="H570" i="32"/>
  <c r="E571" i="32" s="1" a="1"/>
  <c r="E571" i="32" s="1"/>
  <c r="F571" i="32" s="1" a="1"/>
  <c r="F571" i="32" s="1"/>
  <c r="M571" i="32" s="1"/>
  <c r="P570" i="32" l="1"/>
  <c r="Q570" i="32"/>
  <c r="I571" i="32"/>
  <c r="G571" i="32"/>
  <c r="O571" i="32" s="1"/>
  <c r="P571" i="32" s="1"/>
  <c r="H571" i="32"/>
  <c r="E572" i="32" s="1" a="1"/>
  <c r="E572" i="32" s="1"/>
  <c r="F572" i="32" s="1" a="1"/>
  <c r="F572" i="32" s="1"/>
  <c r="M572" i="32" s="1"/>
  <c r="Q571" i="32" l="1"/>
  <c r="N571" i="32"/>
  <c r="G572" i="32"/>
  <c r="O572" i="32" s="1"/>
  <c r="P572" i="32" s="1"/>
  <c r="H572" i="32"/>
  <c r="E573" i="32" s="1" a="1"/>
  <c r="E573" i="32" s="1"/>
  <c r="F573" i="32" s="1" a="1"/>
  <c r="F573" i="32" s="1"/>
  <c r="M573" i="32" s="1"/>
  <c r="G573" i="32" s="1"/>
  <c r="O573" i="32" s="1"/>
  <c r="I572" i="32"/>
  <c r="Q572" i="32" l="1"/>
  <c r="N572" i="32"/>
  <c r="N573" i="32"/>
  <c r="Q573" i="32"/>
  <c r="P573" i="32"/>
  <c r="I573" i="32"/>
  <c r="H573" i="32"/>
  <c r="E574" i="32" s="1" a="1"/>
  <c r="E574" i="32" s="1"/>
  <c r="F574" i="32" s="1" a="1"/>
  <c r="F574" i="32" s="1"/>
  <c r="M574" i="32" l="1"/>
  <c r="I574" i="32" s="1"/>
  <c r="G574" i="32" l="1"/>
  <c r="O574" i="32" s="1"/>
  <c r="P574" i="32" s="1"/>
  <c r="H574" i="32"/>
  <c r="E575" i="32" s="1" a="1"/>
  <c r="E575" i="32" s="1"/>
  <c r="F575" i="32" s="1" a="1"/>
  <c r="F575" i="32" s="1"/>
  <c r="Q574" i="32" l="1"/>
  <c r="N574" i="32"/>
  <c r="M575" i="32"/>
  <c r="I575" i="32" s="1"/>
  <c r="H575" i="32" l="1"/>
  <c r="E576" i="32" s="1" a="1"/>
  <c r="E576" i="32" s="1"/>
  <c r="F576" i="32" s="1" a="1"/>
  <c r="F576" i="32" s="1"/>
  <c r="M576" i="32" s="1"/>
  <c r="G576" i="32" s="1"/>
  <c r="O576" i="32" s="1"/>
  <c r="G575" i="32"/>
  <c r="O575" i="32" s="1"/>
  <c r="P575" i="32" s="1"/>
  <c r="N575" i="32" l="1"/>
  <c r="Q575" i="32"/>
  <c r="N576" i="32"/>
  <c r="P576" i="32"/>
  <c r="Q576" i="32"/>
  <c r="H576" i="32"/>
  <c r="E577" i="32" s="1" a="1"/>
  <c r="E577" i="32" s="1"/>
  <c r="F577" i="32" s="1" a="1"/>
  <c r="F577" i="32" s="1"/>
  <c r="I576" i="32"/>
  <c r="M577" i="32" l="1"/>
  <c r="G577" i="32" s="1"/>
  <c r="O577" i="32" s="1"/>
  <c r="P577" i="32" l="1"/>
  <c r="Q577" i="32"/>
  <c r="N577" i="32"/>
  <c r="H577" i="32"/>
  <c r="E578" i="32" s="1" a="1"/>
  <c r="E578" i="32" s="1"/>
  <c r="F578" i="32" s="1" a="1"/>
  <c r="F578" i="32" s="1"/>
  <c r="I577" i="32"/>
  <c r="M578" i="32" l="1"/>
  <c r="I578" i="32" s="1"/>
  <c r="H578" i="32" l="1"/>
  <c r="E579" i="32" s="1" a="1"/>
  <c r="E579" i="32" s="1"/>
  <c r="F579" i="32" s="1" a="1"/>
  <c r="F579" i="32" s="1"/>
  <c r="M579" i="32" s="1"/>
  <c r="G579" i="32" s="1"/>
  <c r="O579" i="32" s="1"/>
  <c r="G578" i="32"/>
  <c r="O578" i="32" s="1"/>
  <c r="Q578" i="32" s="1"/>
  <c r="N578" i="32" l="1"/>
  <c r="P578" i="32"/>
  <c r="I579" i="32"/>
  <c r="P579" i="32"/>
  <c r="N579" i="32"/>
  <c r="Q579" i="32"/>
  <c r="H579" i="32"/>
  <c r="E580" i="32" s="1" a="1"/>
  <c r="E580" i="32" s="1"/>
  <c r="F580" i="32" s="1" a="1"/>
  <c r="F580" i="32" s="1"/>
  <c r="M580" i="32" l="1"/>
  <c r="G580" i="32" s="1"/>
  <c r="O580" i="32" s="1"/>
  <c r="I580" i="32" l="1"/>
  <c r="P580" i="32"/>
  <c r="Q580" i="32"/>
  <c r="N580" i="32"/>
  <c r="H580" i="32"/>
  <c r="E581" i="32" s="1" a="1"/>
  <c r="E581" i="32" s="1"/>
  <c r="F581" i="32" s="1" a="1"/>
  <c r="F581" i="32" s="1"/>
  <c r="M581" i="32" l="1"/>
  <c r="H581" i="32" s="1"/>
  <c r="E582" i="32" s="1" a="1"/>
  <c r="E582" i="32" s="1"/>
  <c r="F582" i="32" s="1" a="1"/>
  <c r="F582" i="32" s="1"/>
  <c r="G581" i="32" l="1"/>
  <c r="O581" i="32" s="1"/>
  <c r="Q581" i="32" s="1"/>
  <c r="I581" i="32"/>
  <c r="M582" i="32"/>
  <c r="I582" i="32" s="1"/>
  <c r="P581" i="32" l="1"/>
  <c r="N581" i="32"/>
  <c r="H582" i="32"/>
  <c r="E583" i="32" s="1" a="1"/>
  <c r="E583" i="32" s="1"/>
  <c r="F583" i="32" s="1" a="1"/>
  <c r="F583" i="32" s="1"/>
  <c r="G582" i="32"/>
  <c r="O582" i="32" s="1"/>
  <c r="Q582" i="32" l="1"/>
  <c r="N582" i="32"/>
  <c r="P582" i="32"/>
  <c r="M583" i="32"/>
  <c r="H583" i="32" s="1"/>
  <c r="E584" i="32" s="1" a="1"/>
  <c r="E584" i="32" s="1"/>
  <c r="F584" i="32" s="1" a="1"/>
  <c r="F584" i="32" s="1"/>
  <c r="I583" i="32" l="1"/>
  <c r="M584" i="32"/>
  <c r="H584" i="32" s="1"/>
  <c r="E585" i="32" s="1" a="1"/>
  <c r="E585" i="32" s="1"/>
  <c r="F585" i="32" s="1" a="1"/>
  <c r="F585" i="32" s="1"/>
  <c r="G583" i="32"/>
  <c r="O583" i="32" s="1"/>
  <c r="I584" i="32" l="1"/>
  <c r="G584" i="32"/>
  <c r="O584" i="32" s="1"/>
  <c r="P584" i="32" s="1"/>
  <c r="M585" i="32"/>
  <c r="H585" i="32" s="1"/>
  <c r="E586" i="32" s="1" a="1"/>
  <c r="E586" i="32" s="1"/>
  <c r="F586" i="32" s="1" a="1"/>
  <c r="F586" i="32" s="1"/>
  <c r="P583" i="32"/>
  <c r="Q583" i="32"/>
  <c r="N583" i="32"/>
  <c r="Q584" i="32" l="1"/>
  <c r="N584" i="32"/>
  <c r="M586" i="32"/>
  <c r="I586" i="32" s="1"/>
  <c r="G585" i="32"/>
  <c r="O585" i="32" s="1"/>
  <c r="I585" i="32"/>
  <c r="P585" i="32" l="1"/>
  <c r="Q585" i="32"/>
  <c r="N585" i="32"/>
  <c r="H586" i="32"/>
  <c r="E587" i="32" s="1" a="1"/>
  <c r="E587" i="32" s="1"/>
  <c r="F587" i="32" s="1" a="1"/>
  <c r="F587" i="32" s="1"/>
  <c r="G586" i="32"/>
  <c r="O586" i="32" s="1"/>
  <c r="Q586" i="32" l="1"/>
  <c r="P586" i="32"/>
  <c r="N586" i="32"/>
  <c r="M587" i="32"/>
  <c r="G587" i="32" s="1"/>
  <c r="O587" i="32" s="1"/>
  <c r="H587" i="32" l="1"/>
  <c r="E588" i="32" s="1" a="1"/>
  <c r="E588" i="32" s="1"/>
  <c r="F588" i="32" s="1" a="1"/>
  <c r="F588" i="32" s="1"/>
  <c r="M588" i="32" s="1"/>
  <c r="H588" i="32" s="1"/>
  <c r="E589" i="32" s="1" a="1"/>
  <c r="E589" i="32" s="1"/>
  <c r="F589" i="32" s="1" a="1"/>
  <c r="F589" i="32" s="1"/>
  <c r="P587" i="32"/>
  <c r="Q587" i="32"/>
  <c r="N587" i="32"/>
  <c r="I587" i="32"/>
  <c r="M589" i="32" l="1"/>
  <c r="H589" i="32" s="1"/>
  <c r="E590" i="32" s="1" a="1"/>
  <c r="E590" i="32" s="1"/>
  <c r="F590" i="32" s="1" a="1"/>
  <c r="F590" i="32" s="1"/>
  <c r="G588" i="32"/>
  <c r="O588" i="32" s="1"/>
  <c r="I588" i="32"/>
  <c r="I589" i="32" l="1"/>
  <c r="M590" i="32"/>
  <c r="I590" i="32" s="1"/>
  <c r="N588" i="32"/>
  <c r="P588" i="32"/>
  <c r="Q588" i="32"/>
  <c r="G589" i="32"/>
  <c r="O589" i="32" s="1"/>
  <c r="Q589" i="32" l="1"/>
  <c r="P589" i="32"/>
  <c r="N589" i="32"/>
  <c r="H590" i="32"/>
  <c r="E591" i="32" s="1" a="1"/>
  <c r="E591" i="32" s="1"/>
  <c r="F591" i="32" s="1" a="1"/>
  <c r="F591" i="32" s="1"/>
  <c r="G590" i="32"/>
  <c r="O590" i="32" s="1"/>
  <c r="Q590" i="32" l="1"/>
  <c r="P590" i="32"/>
  <c r="N590" i="32"/>
  <c r="M591" i="32"/>
  <c r="I591" i="32" s="1"/>
  <c r="G591" i="32" l="1"/>
  <c r="O591" i="32" s="1"/>
  <c r="P591" i="32" s="1"/>
  <c r="H591" i="32"/>
  <c r="E592" i="32" s="1" a="1"/>
  <c r="E592" i="32" s="1"/>
  <c r="F592" i="32" s="1" a="1"/>
  <c r="F592" i="32" s="1"/>
  <c r="N591" i="32" l="1"/>
  <c r="Q591" i="32"/>
  <c r="M592" i="32"/>
  <c r="H592" i="32" s="1"/>
  <c r="E593" i="32" s="1" a="1"/>
  <c r="E593" i="32" s="1"/>
  <c r="F593" i="32" s="1" a="1"/>
  <c r="F593" i="32" s="1"/>
  <c r="I592" i="32" l="1"/>
  <c r="M593" i="32"/>
  <c r="H593" i="32" s="1"/>
  <c r="E594" i="32" s="1" a="1"/>
  <c r="E594" i="32" s="1"/>
  <c r="F594" i="32" s="1" a="1"/>
  <c r="F594" i="32" s="1"/>
  <c r="G592" i="32"/>
  <c r="O592" i="32" s="1"/>
  <c r="M594" i="32" l="1"/>
  <c r="I594" i="32" s="1"/>
  <c r="Q592" i="32"/>
  <c r="P592" i="32"/>
  <c r="N592" i="32"/>
  <c r="I593" i="32"/>
  <c r="G593" i="32"/>
  <c r="O593" i="32" s="1"/>
  <c r="H594" i="32" l="1"/>
  <c r="E595" i="32" s="1" a="1"/>
  <c r="E595" i="32" s="1"/>
  <c r="F595" i="32" s="1" a="1"/>
  <c r="F595" i="32" s="1"/>
  <c r="P593" i="32"/>
  <c r="N593" i="32"/>
  <c r="Q593" i="32"/>
  <c r="G594" i="32"/>
  <c r="O594" i="32" s="1"/>
  <c r="Q594" i="32" l="1"/>
  <c r="P594" i="32"/>
  <c r="N594" i="32"/>
  <c r="M595" i="32"/>
  <c r="H595" i="32" s="1"/>
  <c r="E596" i="32" s="1" a="1"/>
  <c r="E596" i="32" s="1"/>
  <c r="F596" i="32" s="1" a="1"/>
  <c r="F596" i="32" s="1"/>
  <c r="M596" i="32" l="1"/>
  <c r="H596" i="32" s="1"/>
  <c r="E597" i="32" s="1" a="1"/>
  <c r="E597" i="32" s="1"/>
  <c r="F597" i="32" s="1" a="1"/>
  <c r="F597" i="32" s="1"/>
  <c r="G595" i="32"/>
  <c r="O595" i="32" s="1"/>
  <c r="I595" i="32"/>
  <c r="M597" i="32" l="1"/>
  <c r="G597" i="32" s="1"/>
  <c r="O597" i="32" s="1"/>
  <c r="P595" i="32"/>
  <c r="Q595" i="32"/>
  <c r="N595" i="32"/>
  <c r="G596" i="32"/>
  <c r="O596" i="32" s="1"/>
  <c r="I596" i="32"/>
  <c r="H597" i="32" l="1"/>
  <c r="E598" i="32" s="1" a="1"/>
  <c r="E598" i="32" s="1"/>
  <c r="F598" i="32" s="1" a="1"/>
  <c r="F598" i="32" s="1"/>
  <c r="M598" i="32" s="1"/>
  <c r="H598" i="32" s="1"/>
  <c r="E599" i="32" s="1" a="1"/>
  <c r="E599" i="32" s="1"/>
  <c r="F599" i="32" s="1" a="1"/>
  <c r="F599" i="32" s="1"/>
  <c r="I597" i="32"/>
  <c r="Q596" i="32"/>
  <c r="P596" i="32"/>
  <c r="N596" i="32"/>
  <c r="Q597" i="32"/>
  <c r="N597" i="32"/>
  <c r="P597" i="32"/>
  <c r="M599" i="32" l="1"/>
  <c r="H599" i="32" s="1"/>
  <c r="E600" i="32" s="1" a="1"/>
  <c r="E600" i="32" s="1"/>
  <c r="F600" i="32" s="1" a="1"/>
  <c r="F600" i="32" s="1"/>
  <c r="I598" i="32"/>
  <c r="G598" i="32"/>
  <c r="O598" i="32" s="1"/>
  <c r="M600" i="32" l="1"/>
  <c r="H600" i="32" s="1"/>
  <c r="E601" i="32" s="1" a="1"/>
  <c r="E601" i="32" s="1"/>
  <c r="F601" i="32" s="1" a="1"/>
  <c r="F601" i="32" s="1"/>
  <c r="N598" i="32"/>
  <c r="Q598" i="32"/>
  <c r="P598" i="32"/>
  <c r="I599" i="32"/>
  <c r="G599" i="32"/>
  <c r="O599" i="32" s="1"/>
  <c r="I600" i="32" l="1"/>
  <c r="G600" i="32"/>
  <c r="O600" i="32" s="1"/>
  <c r="Q600" i="32" s="1"/>
  <c r="M601" i="32"/>
  <c r="I601" i="32" s="1"/>
  <c r="P599" i="32"/>
  <c r="Q599" i="32"/>
  <c r="N599" i="32"/>
  <c r="P600" i="32" l="1"/>
  <c r="N600" i="32"/>
  <c r="H601" i="32"/>
  <c r="E602" i="32" s="1" a="1"/>
  <c r="E602" i="32" s="1"/>
  <c r="F602" i="32" s="1" a="1"/>
  <c r="F602" i="32" s="1"/>
  <c r="G601" i="32"/>
  <c r="O601" i="32" s="1"/>
  <c r="Q601" i="32" l="1"/>
  <c r="P601" i="32"/>
  <c r="N601" i="32"/>
  <c r="M602" i="32"/>
  <c r="I602" i="32" s="1"/>
  <c r="G602" i="32" l="1"/>
  <c r="O602" i="32" s="1"/>
  <c r="H602" i="32"/>
  <c r="E603" i="32" s="1" a="1"/>
  <c r="E603" i="32" s="1"/>
  <c r="F603" i="32" s="1" a="1"/>
  <c r="F603" i="32" s="1"/>
  <c r="M603" i="32" l="1"/>
  <c r="G603" i="32" s="1"/>
  <c r="O603" i="32" s="1"/>
  <c r="Q602" i="32"/>
  <c r="P602" i="32"/>
  <c r="N602" i="32"/>
  <c r="H603" i="32" l="1"/>
  <c r="E604" i="32" s="1" a="1"/>
  <c r="E604" i="32" s="1"/>
  <c r="F604" i="32" s="1" a="1"/>
  <c r="F604" i="32" s="1"/>
  <c r="M604" i="32" s="1"/>
  <c r="I604" i="32" s="1"/>
  <c r="P603" i="32"/>
  <c r="Q603" i="32"/>
  <c r="N603" i="32"/>
  <c r="I603" i="32"/>
  <c r="H604" i="32" l="1"/>
  <c r="E605" i="32" s="1" a="1"/>
  <c r="E605" i="32" s="1"/>
  <c r="F605" i="32" s="1" a="1"/>
  <c r="F605" i="32" s="1"/>
  <c r="G604" i="32"/>
  <c r="O604" i="32" s="1"/>
  <c r="Q604" i="32" l="1"/>
  <c r="N604" i="32"/>
  <c r="P604" i="32"/>
  <c r="M605" i="32"/>
  <c r="I605" i="32" s="1"/>
  <c r="G605" i="32" l="1"/>
  <c r="O605" i="32" s="1"/>
  <c r="Q605" i="32" s="1"/>
  <c r="H605" i="32"/>
  <c r="E606" i="32" s="1" a="1"/>
  <c r="E606" i="32" s="1"/>
  <c r="F606" i="32" s="1" a="1"/>
  <c r="F606" i="32" s="1"/>
  <c r="P605" i="32" l="1"/>
  <c r="N605" i="32"/>
  <c r="M606" i="32"/>
  <c r="I606" i="32" s="1"/>
  <c r="G606" i="32" l="1"/>
  <c r="O606" i="32" s="1"/>
  <c r="H606" i="32"/>
  <c r="E607" i="32" s="1" a="1"/>
  <c r="E607" i="32" s="1"/>
  <c r="F607" i="32" s="1" a="1"/>
  <c r="F607" i="32" s="1"/>
  <c r="N606" i="32" l="1"/>
  <c r="P606" i="32"/>
  <c r="Q606" i="32"/>
  <c r="M607" i="32"/>
  <c r="G607" i="32" s="1"/>
  <c r="O607" i="32" s="1"/>
  <c r="H607" i="32" l="1"/>
  <c r="E608" i="32" s="1" a="1"/>
  <c r="E608" i="32" s="1"/>
  <c r="F608" i="32" s="1" a="1"/>
  <c r="F608" i="32" s="1"/>
  <c r="M608" i="32" s="1"/>
  <c r="I608" i="32" s="1"/>
  <c r="I607" i="32"/>
  <c r="P607" i="32"/>
  <c r="Q607" i="32"/>
  <c r="N607" i="32"/>
  <c r="H608" i="32" l="1"/>
  <c r="E609" i="32" s="1" a="1"/>
  <c r="E609" i="32" s="1"/>
  <c r="F609" i="32" s="1" a="1"/>
  <c r="F609" i="32" s="1"/>
  <c r="M609" i="32" s="1"/>
  <c r="G609" i="32" s="1"/>
  <c r="O609" i="32" s="1"/>
  <c r="G608" i="32"/>
  <c r="O608" i="32" s="1"/>
  <c r="Q608" i="32" s="1"/>
  <c r="P608" i="32" l="1"/>
  <c r="N608" i="32"/>
  <c r="N609" i="32"/>
  <c r="P609" i="32"/>
  <c r="Q609" i="32"/>
  <c r="I609" i="32"/>
  <c r="H609" i="32"/>
  <c r="E610" i="32" s="1" a="1"/>
  <c r="E610" i="32" s="1"/>
  <c r="F610" i="32" s="1" a="1"/>
  <c r="F610" i="32" s="1"/>
  <c r="M610" i="32" l="1"/>
  <c r="I610" i="32" s="1"/>
  <c r="H610" i="32" l="1"/>
  <c r="E611" i="32" s="1" a="1"/>
  <c r="E611" i="32" s="1"/>
  <c r="F611" i="32" s="1" a="1"/>
  <c r="F611" i="32" s="1"/>
  <c r="M611" i="32" s="1"/>
  <c r="H611" i="32" s="1"/>
  <c r="E612" i="32" s="1" a="1"/>
  <c r="E612" i="32" s="1"/>
  <c r="F612" i="32" s="1" a="1"/>
  <c r="F612" i="32" s="1"/>
  <c r="M612" i="32" s="1"/>
  <c r="I612" i="32" s="1"/>
  <c r="G610" i="32"/>
  <c r="O610" i="32" s="1"/>
  <c r="Q610" i="32" s="1"/>
  <c r="N610" i="32" l="1"/>
  <c r="P610" i="32"/>
  <c r="I611" i="32"/>
  <c r="G612" i="32"/>
  <c r="O612" i="32" s="1"/>
  <c r="P612" i="32" s="1"/>
  <c r="H612" i="32"/>
  <c r="E613" i="32" s="1" a="1"/>
  <c r="E613" i="32" s="1"/>
  <c r="F613" i="32" s="1" a="1"/>
  <c r="F613" i="32" s="1"/>
  <c r="M613" i="32" s="1"/>
  <c r="G613" i="32" s="1"/>
  <c r="O613" i="32" s="1"/>
  <c r="N613" i="32" s="1"/>
  <c r="G611" i="32"/>
  <c r="O611" i="32" s="1"/>
  <c r="P611" i="32" s="1"/>
  <c r="N612" i="32" l="1"/>
  <c r="Q612" i="32"/>
  <c r="P613" i="32"/>
  <c r="Q613" i="32"/>
  <c r="H613" i="32"/>
  <c r="E614" i="32" s="1" a="1"/>
  <c r="E614" i="32" s="1"/>
  <c r="F614" i="32" s="1" a="1"/>
  <c r="F614" i="32" s="1"/>
  <c r="M614" i="32" s="1"/>
  <c r="I614" i="32" s="1"/>
  <c r="Q611" i="32"/>
  <c r="N611" i="32"/>
  <c r="I613" i="32"/>
  <c r="G614" i="32" l="1"/>
  <c r="O614" i="32" s="1"/>
  <c r="N614" i="32" s="1"/>
  <c r="H614" i="32"/>
  <c r="E615" i="32" s="1" a="1"/>
  <c r="E615" i="32" s="1"/>
  <c r="F615" i="32" s="1" a="1"/>
  <c r="F615" i="32" s="1"/>
  <c r="M615" i="32" s="1"/>
  <c r="G615" i="32" s="1"/>
  <c r="O615" i="32" s="1"/>
  <c r="Q614" i="32" l="1"/>
  <c r="P614" i="32"/>
  <c r="H615" i="32"/>
  <c r="E616" i="32" s="1" a="1"/>
  <c r="E616" i="32" s="1"/>
  <c r="F616" i="32" s="1" a="1"/>
  <c r="F616" i="32" s="1"/>
  <c r="M616" i="32" s="1"/>
  <c r="G616" i="32" s="1"/>
  <c r="O616" i="32" s="1"/>
  <c r="I615" i="32"/>
  <c r="P615" i="32"/>
  <c r="N615" i="32"/>
  <c r="Q615" i="32"/>
  <c r="I616" i="32" l="1"/>
  <c r="H616" i="32"/>
  <c r="E617" i="32" s="1" a="1"/>
  <c r="E617" i="32" s="1"/>
  <c r="F617" i="32" s="1" a="1"/>
  <c r="F617" i="32" s="1"/>
  <c r="M617" i="32" s="1"/>
  <c r="G617" i="32" s="1"/>
  <c r="O617" i="32" s="1"/>
  <c r="N616" i="32"/>
  <c r="Q616" i="32"/>
  <c r="P616" i="32"/>
  <c r="N617" i="32" l="1"/>
  <c r="Q617" i="32"/>
  <c r="P617" i="32"/>
  <c r="H617" i="32"/>
  <c r="E618" i="32" s="1" a="1"/>
  <c r="E618" i="32" s="1"/>
  <c r="F618" i="32" s="1" a="1"/>
  <c r="F618" i="32" s="1"/>
  <c r="I617" i="32"/>
  <c r="M618" i="32" l="1"/>
  <c r="I618" i="32" s="1"/>
  <c r="H618" i="32" l="1"/>
  <c r="E619" i="32" s="1" a="1"/>
  <c r="E619" i="32" s="1"/>
  <c r="F619" i="32" s="1" a="1"/>
  <c r="F619" i="32" s="1"/>
  <c r="M619" i="32" s="1"/>
  <c r="H619" i="32" s="1"/>
  <c r="E620" i="32" s="1" a="1"/>
  <c r="E620" i="32" s="1"/>
  <c r="F620" i="32" s="1" a="1"/>
  <c r="F620" i="32" s="1"/>
  <c r="G618" i="32"/>
  <c r="O618" i="32" s="1"/>
  <c r="P618" i="32" s="1"/>
  <c r="Q618" i="32" l="1"/>
  <c r="N618" i="32"/>
  <c r="G619" i="32"/>
  <c r="O619" i="32" s="1"/>
  <c r="P619" i="32" s="1"/>
  <c r="I619" i="32"/>
  <c r="M620" i="32"/>
  <c r="G620" i="32" s="1"/>
  <c r="O620" i="32" s="1"/>
  <c r="Q619" i="32" l="1"/>
  <c r="N619" i="32"/>
  <c r="N620" i="32"/>
  <c r="Q620" i="32"/>
  <c r="P620" i="32"/>
  <c r="I620" i="32"/>
  <c r="H620" i="32"/>
  <c r="E621" i="32" s="1" a="1"/>
  <c r="E621" i="32" s="1"/>
  <c r="F621" i="32" s="1" a="1"/>
  <c r="F621" i="32" s="1"/>
  <c r="M621" i="32" l="1"/>
  <c r="H621" i="32" s="1"/>
  <c r="E622" i="32" s="1" a="1"/>
  <c r="E622" i="32" s="1"/>
  <c r="F622" i="32" s="1" a="1"/>
  <c r="F622" i="32" s="1"/>
  <c r="M622" i="32" l="1"/>
  <c r="I622" i="32" s="1"/>
  <c r="G621" i="32"/>
  <c r="O621" i="32" s="1"/>
  <c r="I621" i="32"/>
  <c r="G622" i="32" l="1"/>
  <c r="O622" i="32" s="1"/>
  <c r="P622" i="32" s="1"/>
  <c r="H622" i="32"/>
  <c r="E623" i="32" s="1" a="1"/>
  <c r="E623" i="32" s="1"/>
  <c r="F623" i="32" s="1" a="1"/>
  <c r="F623" i="32" s="1"/>
  <c r="M623" i="32" s="1"/>
  <c r="G623" i="32" s="1"/>
  <c r="O623" i="32" s="1"/>
  <c r="P621" i="32"/>
  <c r="Q621" i="32"/>
  <c r="N621" i="32"/>
  <c r="N622" i="32" l="1"/>
  <c r="Q622" i="32"/>
  <c r="H623" i="32"/>
  <c r="E624" i="32" s="1" a="1"/>
  <c r="E624" i="32" s="1"/>
  <c r="F624" i="32" s="1" a="1"/>
  <c r="F624" i="32" s="1"/>
  <c r="I623" i="32"/>
  <c r="P623" i="32"/>
  <c r="N623" i="32"/>
  <c r="Q623" i="32"/>
  <c r="M624" i="32" l="1"/>
  <c r="I624" i="32" s="1"/>
  <c r="G624" i="32" l="1"/>
  <c r="O624" i="32" s="1"/>
  <c r="H624" i="32"/>
  <c r="E625" i="32" s="1" a="1"/>
  <c r="E625" i="32" s="1"/>
  <c r="F625" i="32" s="1" a="1"/>
  <c r="F625" i="32" s="1"/>
  <c r="M625" i="32" l="1"/>
  <c r="H625" i="32" s="1"/>
  <c r="E626" i="32" s="1" a="1"/>
  <c r="E626" i="32" s="1"/>
  <c r="F626" i="32" s="1" a="1"/>
  <c r="F626" i="32" s="1"/>
  <c r="M626" i="32" s="1"/>
  <c r="I626" i="32" s="1"/>
  <c r="P624" i="32"/>
  <c r="Q624" i="32"/>
  <c r="N624" i="32"/>
  <c r="G625" i="32" l="1"/>
  <c r="O625" i="32" s="1"/>
  <c r="P625" i="32" s="1"/>
  <c r="I625" i="32"/>
  <c r="H626" i="32"/>
  <c r="E627" i="32" s="1" a="1"/>
  <c r="E627" i="32" s="1"/>
  <c r="F627" i="32" s="1" a="1"/>
  <c r="F627" i="32" s="1"/>
  <c r="M627" i="32" s="1"/>
  <c r="G627" i="32" s="1"/>
  <c r="O627" i="32" s="1"/>
  <c r="G626" i="32"/>
  <c r="O626" i="32" s="1"/>
  <c r="N626" i="32" s="1"/>
  <c r="Q625" i="32" l="1"/>
  <c r="N625" i="32"/>
  <c r="Q626" i="32"/>
  <c r="I627" i="32"/>
  <c r="H627" i="32"/>
  <c r="E628" i="32" s="1" a="1"/>
  <c r="E628" i="32" s="1"/>
  <c r="F628" i="32" s="1" a="1"/>
  <c r="F628" i="32" s="1"/>
  <c r="M628" i="32" s="1"/>
  <c r="I628" i="32" s="1"/>
  <c r="P626" i="32"/>
  <c r="P627" i="32"/>
  <c r="Q627" i="32"/>
  <c r="N627" i="32"/>
  <c r="G628" i="32" l="1"/>
  <c r="O628" i="32" s="1"/>
  <c r="P628" i="32" s="1"/>
  <c r="H628" i="32"/>
  <c r="E629" i="32" s="1" a="1"/>
  <c r="E629" i="32" s="1"/>
  <c r="F629" i="32" s="1" a="1"/>
  <c r="F629" i="32" s="1"/>
  <c r="N628" i="32" l="1"/>
  <c r="Q628" i="32"/>
  <c r="M629" i="32"/>
  <c r="H629" i="32" s="1"/>
  <c r="E630" i="32" s="1" a="1"/>
  <c r="E630" i="32" s="1"/>
  <c r="F630" i="32" s="1" a="1"/>
  <c r="F630" i="32" s="1"/>
  <c r="M630" i="32" l="1"/>
  <c r="I630" i="32" s="1"/>
  <c r="G629" i="32"/>
  <c r="O629" i="32" s="1"/>
  <c r="I629" i="32"/>
  <c r="G630" i="32" l="1"/>
  <c r="O630" i="32" s="1"/>
  <c r="Q630" i="32" s="1"/>
  <c r="H630" i="32"/>
  <c r="E631" i="32" s="1" a="1"/>
  <c r="E631" i="32" s="1"/>
  <c r="F631" i="32" s="1" a="1"/>
  <c r="F631" i="32" s="1"/>
  <c r="M631" i="32" s="1"/>
  <c r="G631" i="32" s="1"/>
  <c r="O631" i="32" s="1"/>
  <c r="Q629" i="32"/>
  <c r="P629" i="32"/>
  <c r="N629" i="32"/>
  <c r="P630" i="32" l="1"/>
  <c r="N630" i="32"/>
  <c r="H631" i="32"/>
  <c r="E632" i="32" s="1" a="1"/>
  <c r="E632" i="32" s="1"/>
  <c r="F632" i="32" s="1" a="1"/>
  <c r="F632" i="32" s="1"/>
  <c r="M632" i="32" s="1"/>
  <c r="I632" i="32" s="1"/>
  <c r="P631" i="32"/>
  <c r="Q631" i="32"/>
  <c r="N631" i="32"/>
  <c r="I631" i="32"/>
  <c r="H632" i="32" l="1"/>
  <c r="E633" i="32" s="1" a="1"/>
  <c r="E633" i="32" s="1"/>
  <c r="F633" i="32" s="1" a="1"/>
  <c r="F633" i="32" s="1"/>
  <c r="M633" i="32" s="1"/>
  <c r="G632" i="32"/>
  <c r="O632" i="32" s="1"/>
  <c r="G633" i="32" l="1"/>
  <c r="O633" i="32" s="1"/>
  <c r="Q633" i="32" s="1"/>
  <c r="H633" i="32"/>
  <c r="E634" i="32" s="1" a="1"/>
  <c r="E634" i="32" s="1"/>
  <c r="F634" i="32" s="1" a="1"/>
  <c r="F634" i="32" s="1"/>
  <c r="M634" i="32" s="1"/>
  <c r="I634" i="32" s="1"/>
  <c r="I633" i="32"/>
  <c r="P632" i="32"/>
  <c r="N632" i="32"/>
  <c r="Q632" i="32"/>
  <c r="N633" i="32" l="1"/>
  <c r="P633" i="32"/>
  <c r="H634" i="32"/>
  <c r="E635" i="32" s="1" a="1"/>
  <c r="E635" i="32" s="1"/>
  <c r="F635" i="32" s="1" a="1"/>
  <c r="F635" i="32" s="1"/>
  <c r="G634" i="32"/>
  <c r="O634" i="32" s="1"/>
  <c r="Q634" i="32" l="1"/>
  <c r="N634" i="32"/>
  <c r="P634" i="32"/>
  <c r="M635" i="32"/>
  <c r="H635" i="32" s="1"/>
  <c r="E636" i="32" s="1" a="1"/>
  <c r="E636" i="32" s="1"/>
  <c r="F636" i="32" s="1" a="1"/>
  <c r="F636" i="32" s="1"/>
  <c r="G635" i="32" l="1"/>
  <c r="O635" i="32" s="1"/>
  <c r="P635" i="32" s="1"/>
  <c r="I635" i="32"/>
  <c r="M636" i="32"/>
  <c r="H636" i="32" s="1"/>
  <c r="E637" i="32" s="1" a="1"/>
  <c r="E637" i="32" s="1"/>
  <c r="F637" i="32" s="1" a="1"/>
  <c r="F637" i="32" s="1"/>
  <c r="N635" i="32" l="1"/>
  <c r="Q635" i="32"/>
  <c r="I636" i="32"/>
  <c r="M637" i="32"/>
  <c r="H637" i="32" s="1"/>
  <c r="E638" i="32" s="1" a="1"/>
  <c r="E638" i="32" s="1"/>
  <c r="F638" i="32" s="1" a="1"/>
  <c r="F638" i="32" s="1"/>
  <c r="G636" i="32"/>
  <c r="O636" i="32" s="1"/>
  <c r="G637" i="32" l="1"/>
  <c r="O637" i="32" s="1"/>
  <c r="P637" i="32" s="1"/>
  <c r="I637" i="32"/>
  <c r="M638" i="32"/>
  <c r="I638" i="32" s="1"/>
  <c r="Q636" i="32"/>
  <c r="N636" i="32"/>
  <c r="P636" i="32"/>
  <c r="N637" i="32" l="1"/>
  <c r="Q637" i="32"/>
  <c r="G638" i="32"/>
  <c r="O638" i="32" s="1"/>
  <c r="Q638" i="32" s="1"/>
  <c r="H638" i="32"/>
  <c r="E639" i="32" s="1" a="1"/>
  <c r="E639" i="32" s="1"/>
  <c r="F639" i="32" s="1" a="1"/>
  <c r="F639" i="32" s="1"/>
  <c r="N638" i="32" l="1"/>
  <c r="P638" i="32"/>
  <c r="M639" i="32"/>
  <c r="I639" i="32" s="1"/>
  <c r="G639" i="32" l="1"/>
  <c r="O639" i="32" s="1"/>
  <c r="P639" i="32" s="1"/>
  <c r="H639" i="32"/>
  <c r="E640" i="32" s="1" a="1"/>
  <c r="E640" i="32" s="1"/>
  <c r="F640" i="32" s="1" a="1"/>
  <c r="F640" i="32" s="1"/>
  <c r="N639" i="32" l="1"/>
  <c r="Q639" i="32"/>
  <c r="M640" i="32"/>
  <c r="H640" i="32" s="1"/>
  <c r="E641" i="32" s="1" a="1"/>
  <c r="E641" i="32" s="1"/>
  <c r="F641" i="32" s="1" a="1"/>
  <c r="F641" i="32" s="1"/>
  <c r="I640" i="32" l="1"/>
  <c r="G640" i="32"/>
  <c r="O640" i="32" s="1"/>
  <c r="P640" i="32" s="1"/>
  <c r="M641" i="32"/>
  <c r="G641" i="32" s="1"/>
  <c r="O641" i="32" s="1"/>
  <c r="Q640" i="32" l="1"/>
  <c r="N640" i="32"/>
  <c r="I641" i="32"/>
  <c r="H641" i="32"/>
  <c r="E642" i="32" s="1" a="1"/>
  <c r="E642" i="32" s="1"/>
  <c r="F642" i="32" s="1" a="1"/>
  <c r="F642" i="32" s="1"/>
  <c r="M642" i="32" s="1"/>
  <c r="I642" i="32" s="1"/>
  <c r="Q641" i="32"/>
  <c r="N641" i="32"/>
  <c r="P641" i="32"/>
  <c r="H642" i="32" l="1"/>
  <c r="E643" i="32" s="1" a="1"/>
  <c r="E643" i="32" s="1"/>
  <c r="F643" i="32" s="1" a="1"/>
  <c r="F643" i="32" s="1"/>
  <c r="G642" i="32"/>
  <c r="O642" i="32" s="1"/>
  <c r="N642" i="32" l="1"/>
  <c r="Q642" i="32"/>
  <c r="P642" i="32"/>
  <c r="M643" i="32"/>
  <c r="H643" i="32" s="1"/>
  <c r="E644" i="32" s="1" a="1"/>
  <c r="E644" i="32" s="1"/>
  <c r="F644" i="32" s="1" a="1"/>
  <c r="F644" i="32" s="1"/>
  <c r="G643" i="32" l="1"/>
  <c r="O643" i="32" s="1"/>
  <c r="P643" i="32" s="1"/>
  <c r="I643" i="32"/>
  <c r="M644" i="32"/>
  <c r="H644" i="32" s="1"/>
  <c r="E645" i="32" s="1" a="1"/>
  <c r="E645" i="32" s="1"/>
  <c r="F645" i="32" s="1" a="1"/>
  <c r="F645" i="32" s="1"/>
  <c r="N643" i="32"/>
  <c r="Q643" i="32" l="1"/>
  <c r="G644" i="32"/>
  <c r="O644" i="32" s="1"/>
  <c r="Q644" i="32" s="1"/>
  <c r="I644" i="32"/>
  <c r="M645" i="32"/>
  <c r="G645" i="32" s="1"/>
  <c r="O645" i="32" s="1"/>
  <c r="N644" i="32" l="1"/>
  <c r="P644" i="32"/>
  <c r="I645" i="32"/>
  <c r="H645" i="32"/>
  <c r="E646" i="32" s="1" a="1"/>
  <c r="E646" i="32" s="1"/>
  <c r="F646" i="32" s="1" a="1"/>
  <c r="F646" i="32" s="1"/>
  <c r="M646" i="32" s="1"/>
  <c r="I646" i="32" s="1"/>
  <c r="P645" i="32"/>
  <c r="N645" i="32"/>
  <c r="Q645" i="32"/>
  <c r="G646" i="32" l="1"/>
  <c r="O646" i="32" s="1"/>
  <c r="H646" i="32"/>
  <c r="E647" i="32" s="1" a="1"/>
  <c r="E647" i="32" s="1"/>
  <c r="F647" i="32" s="1" a="1"/>
  <c r="F647" i="32" s="1"/>
  <c r="M647" i="32" l="1"/>
  <c r="H647" i="32" s="1"/>
  <c r="E648" i="32" s="1" a="1"/>
  <c r="E648" i="32" s="1"/>
  <c r="F648" i="32" s="1" a="1"/>
  <c r="F648" i="32" s="1"/>
  <c r="P646" i="32"/>
  <c r="N646" i="32"/>
  <c r="Q646" i="32"/>
  <c r="G647" i="32" l="1"/>
  <c r="O647" i="32" s="1"/>
  <c r="P647" i="32" s="1"/>
  <c r="I647" i="32"/>
  <c r="M648" i="32"/>
  <c r="H648" i="32" s="1"/>
  <c r="E649" i="32" s="1" a="1"/>
  <c r="E649" i="32" s="1"/>
  <c r="F649" i="32" s="1" a="1"/>
  <c r="F649" i="32" s="1"/>
  <c r="Q647" i="32" l="1"/>
  <c r="N647" i="32"/>
  <c r="M649" i="32"/>
  <c r="I649" i="32" s="1"/>
  <c r="I648" i="32"/>
  <c r="G648" i="32"/>
  <c r="O648" i="32" s="1"/>
  <c r="H649" i="32" l="1"/>
  <c r="E650" i="32" s="1" a="1"/>
  <c r="E650" i="32" s="1"/>
  <c r="F650" i="32" s="1" a="1"/>
  <c r="F650" i="32" s="1"/>
  <c r="M650" i="32" s="1"/>
  <c r="I650" i="32" s="1"/>
  <c r="Q648" i="32"/>
  <c r="P648" i="32"/>
  <c r="N648" i="32"/>
  <c r="G649" i="32"/>
  <c r="O649" i="32" s="1"/>
  <c r="H650" i="32" l="1"/>
  <c r="E651" i="32" s="1" a="1"/>
  <c r="E651" i="32" s="1"/>
  <c r="F651" i="32" s="1" a="1"/>
  <c r="F651" i="32" s="1"/>
  <c r="M651" i="32" s="1"/>
  <c r="H651" i="32" s="1"/>
  <c r="E652" i="32" s="1" a="1"/>
  <c r="E652" i="32" s="1"/>
  <c r="F652" i="32" s="1" a="1"/>
  <c r="F652" i="32" s="1"/>
  <c r="P649" i="32"/>
  <c r="N649" i="32"/>
  <c r="Q649" i="32"/>
  <c r="G650" i="32"/>
  <c r="O650" i="32" s="1"/>
  <c r="M652" i="32" l="1"/>
  <c r="I652" i="32" s="1"/>
  <c r="N650" i="32"/>
  <c r="Q650" i="32"/>
  <c r="P650" i="32"/>
  <c r="G651" i="32"/>
  <c r="O651" i="32" s="1"/>
  <c r="I651" i="32"/>
  <c r="G652" i="32" l="1"/>
  <c r="O652" i="32" s="1"/>
  <c r="N652" i="32" s="1"/>
  <c r="H652" i="32"/>
  <c r="E653" i="32" s="1" a="1"/>
  <c r="E653" i="32" s="1"/>
  <c r="F653" i="32" s="1" a="1"/>
  <c r="F653" i="32" s="1"/>
  <c r="M653" i="32" s="1"/>
  <c r="I653" i="32" s="1"/>
  <c r="P651" i="32"/>
  <c r="Q651" i="32"/>
  <c r="N651" i="32"/>
  <c r="Q652" i="32" l="1"/>
  <c r="P652" i="32"/>
  <c r="H653" i="32"/>
  <c r="E654" i="32" s="1" a="1"/>
  <c r="E654" i="32" s="1"/>
  <c r="F654" i="32" s="1" a="1"/>
  <c r="F654" i="32" s="1"/>
  <c r="M654" i="32" s="1"/>
  <c r="I654" i="32" s="1"/>
  <c r="G653" i="32"/>
  <c r="O653" i="32" s="1"/>
  <c r="N653" i="32" s="1"/>
  <c r="P653" i="32" l="1"/>
  <c r="Q653" i="32"/>
  <c r="H654" i="32"/>
  <c r="E655" i="32" s="1" a="1"/>
  <c r="E655" i="32" s="1"/>
  <c r="F655" i="32" s="1" a="1"/>
  <c r="F655" i="32" s="1"/>
  <c r="G654" i="32"/>
  <c r="O654" i="32" s="1"/>
  <c r="P654" i="32" l="1"/>
  <c r="Q654" i="32"/>
  <c r="N654" i="32"/>
  <c r="M655" i="32"/>
  <c r="I655" i="32" s="1"/>
  <c r="G655" i="32" l="1"/>
  <c r="O655" i="32" s="1"/>
  <c r="P655" i="32" s="1"/>
  <c r="H655" i="32"/>
  <c r="E656" i="32" s="1" a="1"/>
  <c r="E656" i="32" s="1"/>
  <c r="F656" i="32" s="1" a="1"/>
  <c r="F656" i="32" s="1"/>
  <c r="M656" i="32" s="1"/>
  <c r="I656" i="32" s="1"/>
  <c r="Q655" i="32" l="1"/>
  <c r="N655" i="32"/>
  <c r="H656" i="32"/>
  <c r="E657" i="32" s="1" a="1"/>
  <c r="E657" i="32" s="1"/>
  <c r="F657" i="32" s="1" a="1"/>
  <c r="F657" i="32" s="1"/>
  <c r="G656" i="32"/>
  <c r="O656" i="32" s="1"/>
  <c r="Q656" i="32" s="1"/>
  <c r="P656" i="32" l="1"/>
  <c r="N656" i="32"/>
  <c r="M657" i="32"/>
  <c r="G657" i="32" s="1"/>
  <c r="O657" i="32" s="1"/>
  <c r="P657" i="32" s="1"/>
  <c r="Q657" i="32" l="1"/>
  <c r="N657" i="32"/>
  <c r="H657" i="32"/>
  <c r="E658" i="32" s="1" a="1"/>
  <c r="E658" i="32" s="1"/>
  <c r="F658" i="32" s="1" a="1"/>
  <c r="F658" i="32" s="1"/>
  <c r="I657" i="32"/>
  <c r="M658" i="32" l="1"/>
  <c r="I658" i="32" s="1"/>
  <c r="H658" i="32" l="1"/>
  <c r="E659" i="32" s="1" a="1"/>
  <c r="E659" i="32" s="1"/>
  <c r="F659" i="32" s="1" a="1"/>
  <c r="F659" i="32" s="1"/>
  <c r="M659" i="32" s="1"/>
  <c r="I659" i="32" s="1"/>
  <c r="G658" i="32"/>
  <c r="O658" i="32" s="1"/>
  <c r="G659" i="32" l="1"/>
  <c r="O659" i="32" s="1"/>
  <c r="P659" i="32" s="1"/>
  <c r="N658" i="32"/>
  <c r="Q658" i="32"/>
  <c r="P658" i="32"/>
  <c r="H659" i="32"/>
  <c r="E660" i="32" s="1" a="1"/>
  <c r="E660" i="32" s="1"/>
  <c r="F660" i="32" s="1" a="1"/>
  <c r="F660" i="32" s="1"/>
  <c r="N659" i="32" l="1"/>
  <c r="Q659" i="32"/>
  <c r="M660" i="32"/>
  <c r="G660" i="32" s="1"/>
  <c r="O660" i="32" s="1"/>
  <c r="H660" i="32" l="1"/>
  <c r="E661" i="32" s="1" a="1"/>
  <c r="E661" i="32" s="1"/>
  <c r="F661" i="32" s="1" a="1"/>
  <c r="F661" i="32" s="1"/>
  <c r="M661" i="32" s="1"/>
  <c r="G661" i="32" s="1"/>
  <c r="O661" i="32" s="1"/>
  <c r="I660" i="32"/>
  <c r="P660" i="32"/>
  <c r="Q660" i="32"/>
  <c r="N660" i="32"/>
  <c r="N661" i="32" l="1"/>
  <c r="P661" i="32"/>
  <c r="Q661" i="32"/>
  <c r="H661" i="32"/>
  <c r="E662" i="32" s="1" a="1"/>
  <c r="E662" i="32" s="1"/>
  <c r="F662" i="32" s="1" a="1"/>
  <c r="F662" i="32" s="1"/>
  <c r="I661" i="32"/>
  <c r="M662" i="32" l="1"/>
  <c r="I662" i="32" s="1"/>
  <c r="G662" i="32" l="1"/>
  <c r="O662" i="32" s="1"/>
  <c r="P662" i="32" s="1"/>
  <c r="H662" i="32"/>
  <c r="E663" i="32" s="1" a="1"/>
  <c r="E663" i="32" s="1"/>
  <c r="F663" i="32" s="1" a="1"/>
  <c r="F663" i="32" s="1"/>
  <c r="M663" i="32" s="1"/>
  <c r="H663" i="32" s="1"/>
  <c r="E664" i="32" s="1" a="1"/>
  <c r="E664" i="32" s="1"/>
  <c r="F664" i="32" s="1" a="1"/>
  <c r="F664" i="32" s="1"/>
  <c r="Q662" i="32" l="1"/>
  <c r="N662" i="32"/>
  <c r="I663" i="32"/>
  <c r="G663" i="32"/>
  <c r="O663" i="32" s="1"/>
  <c r="N663" i="32" s="1"/>
  <c r="M664" i="32"/>
  <c r="I664" i="32" s="1"/>
  <c r="P663" i="32" l="1"/>
  <c r="Q663" i="32"/>
  <c r="G664" i="32"/>
  <c r="O664" i="32" s="1"/>
  <c r="H664" i="32"/>
  <c r="E665" i="32" s="1" a="1"/>
  <c r="E665" i="32" s="1"/>
  <c r="F665" i="32" s="1" a="1"/>
  <c r="F665" i="32" s="1"/>
  <c r="M665" i="32" s="1"/>
  <c r="I665" i="32" s="1"/>
  <c r="P664" i="32" l="1"/>
  <c r="N664" i="32"/>
  <c r="Q664" i="32"/>
  <c r="G665" i="32"/>
  <c r="O665" i="32" s="1"/>
  <c r="H665" i="32"/>
  <c r="E666" i="32" s="1" a="1"/>
  <c r="E666" i="32" s="1"/>
  <c r="F666" i="32" s="1" a="1"/>
  <c r="F666" i="32" s="1"/>
  <c r="M666" i="32" l="1"/>
  <c r="I666" i="32" s="1"/>
  <c r="Q665" i="32"/>
  <c r="P665" i="32"/>
  <c r="N665" i="32"/>
  <c r="H666" i="32" l="1"/>
  <c r="E667" i="32" s="1" a="1"/>
  <c r="E667" i="32" s="1"/>
  <c r="F667" i="32" s="1" a="1"/>
  <c r="F667" i="32" s="1"/>
  <c r="M667" i="32" s="1"/>
  <c r="G667" i="32" s="1"/>
  <c r="O667" i="32" s="1"/>
  <c r="P667" i="32" s="1"/>
  <c r="G666" i="32"/>
  <c r="O666" i="32" s="1"/>
  <c r="Q667" i="32" l="1"/>
  <c r="H667" i="32"/>
  <c r="E668" i="32" s="1" a="1"/>
  <c r="E668" i="32" s="1"/>
  <c r="F668" i="32" s="1" a="1"/>
  <c r="F668" i="32" s="1"/>
  <c r="M668" i="32" s="1"/>
  <c r="G668" i="32" s="1"/>
  <c r="O668" i="32" s="1"/>
  <c r="N668" i="32" s="1"/>
  <c r="I667" i="32"/>
  <c r="N667" i="32"/>
  <c r="N666" i="32"/>
  <c r="P666" i="32"/>
  <c r="Q666" i="32"/>
  <c r="P668" i="32" l="1"/>
  <c r="Q668" i="32"/>
  <c r="I668" i="32"/>
  <c r="H668" i="32"/>
  <c r="E669" i="32" s="1" a="1"/>
  <c r="E669" i="32" s="1"/>
  <c r="F669" i="32" s="1" a="1"/>
  <c r="F669" i="32" s="1"/>
  <c r="M669" i="32" l="1"/>
  <c r="G669" i="32" s="1"/>
  <c r="O669" i="32" s="1"/>
  <c r="H669" i="32" l="1"/>
  <c r="E670" i="32" s="1" a="1"/>
  <c r="E670" i="32" s="1"/>
  <c r="F670" i="32" s="1" a="1"/>
  <c r="F670" i="32" s="1"/>
  <c r="M670" i="32" s="1"/>
  <c r="I670" i="32" s="1"/>
  <c r="N669" i="32"/>
  <c r="P669" i="32"/>
  <c r="Q669" i="32"/>
  <c r="I669" i="32"/>
  <c r="G670" i="32" l="1"/>
  <c r="O670" i="32" s="1"/>
  <c r="H670" i="32"/>
  <c r="E671" i="32" s="1" a="1"/>
  <c r="E671" i="32" s="1"/>
  <c r="F671" i="32" s="1" a="1"/>
  <c r="F671" i="32" s="1"/>
  <c r="M671" i="32" l="1"/>
  <c r="H671" i="32" s="1"/>
  <c r="E672" i="32" s="1" a="1"/>
  <c r="E672" i="32" s="1"/>
  <c r="F672" i="32" s="1" a="1"/>
  <c r="F672" i="32" s="1"/>
  <c r="Q670" i="32"/>
  <c r="N670" i="32"/>
  <c r="P670" i="32"/>
  <c r="G671" i="32" l="1"/>
  <c r="O671" i="32" s="1"/>
  <c r="N671" i="32" s="1"/>
  <c r="I671" i="32"/>
  <c r="M672" i="32"/>
  <c r="G672" i="32" s="1"/>
  <c r="O672" i="32" s="1"/>
  <c r="P671" i="32" l="1"/>
  <c r="Q671" i="32"/>
  <c r="H672" i="32"/>
  <c r="E673" i="32" s="1" a="1"/>
  <c r="E673" i="32" s="1"/>
  <c r="F673" i="32" s="1" a="1"/>
  <c r="F673" i="32" s="1"/>
  <c r="M673" i="32" s="1"/>
  <c r="H673" i="32" s="1"/>
  <c r="E674" i="32" s="1" a="1"/>
  <c r="E674" i="32" s="1"/>
  <c r="F674" i="32" s="1" a="1"/>
  <c r="F674" i="32" s="1"/>
  <c r="I672" i="32"/>
  <c r="Q672" i="32"/>
  <c r="P672" i="32"/>
  <c r="N672" i="32"/>
  <c r="G673" i="32" l="1"/>
  <c r="O673" i="32" s="1"/>
  <c r="N673" i="32" s="1"/>
  <c r="I673" i="32"/>
  <c r="M674" i="32"/>
  <c r="I674" i="32" s="1"/>
  <c r="Q673" i="32" l="1"/>
  <c r="P673" i="32"/>
  <c r="G674" i="32"/>
  <c r="O674" i="32" s="1"/>
  <c r="N674" i="32" s="1"/>
  <c r="H674" i="32"/>
  <c r="E675" i="32" s="1" a="1"/>
  <c r="E675" i="32" s="1"/>
  <c r="F675" i="32" s="1" a="1"/>
  <c r="F675" i="32" s="1"/>
  <c r="M675" i="32" s="1"/>
  <c r="H675" i="32" s="1"/>
  <c r="E676" i="32" s="1" a="1"/>
  <c r="E676" i="32" s="1"/>
  <c r="F676" i="32" s="1" a="1"/>
  <c r="F676" i="32" s="1"/>
  <c r="Q674" i="32" l="1"/>
  <c r="P674" i="32"/>
  <c r="G675" i="32"/>
  <c r="O675" i="32" s="1"/>
  <c r="P675" i="32" s="1"/>
  <c r="I675" i="32"/>
  <c r="M676" i="32"/>
  <c r="G676" i="32" s="1"/>
  <c r="O676" i="32" s="1"/>
  <c r="N675" i="32" l="1"/>
  <c r="Q675" i="32"/>
  <c r="Q676" i="32"/>
  <c r="P676" i="32"/>
  <c r="N676" i="32"/>
  <c r="H676" i="32"/>
  <c r="E677" i="32" s="1" a="1"/>
  <c r="E677" i="32" s="1"/>
  <c r="F677" i="32" s="1" a="1"/>
  <c r="F677" i="32" s="1"/>
  <c r="I676" i="32"/>
  <c r="M677" i="32" l="1"/>
  <c r="G677" i="32" s="1"/>
  <c r="O677" i="32" s="1"/>
  <c r="I677" i="32" l="1"/>
  <c r="N677" i="32"/>
  <c r="Q677" i="32"/>
  <c r="P677" i="32"/>
  <c r="H677" i="32"/>
  <c r="E678" i="32" s="1" a="1"/>
  <c r="E678" i="32" s="1"/>
  <c r="F678" i="32" s="1" a="1"/>
  <c r="F678" i="32" s="1"/>
  <c r="M678" i="32" l="1"/>
  <c r="I678" i="32" s="1"/>
  <c r="G678" i="32" l="1"/>
  <c r="O678" i="32" s="1"/>
  <c r="N678" i="32" s="1"/>
  <c r="H678" i="32"/>
  <c r="E679" i="32" s="1" a="1"/>
  <c r="E679" i="32" s="1"/>
  <c r="F679" i="32" s="1" a="1"/>
  <c r="F679" i="32" s="1"/>
  <c r="M679" i="32" s="1"/>
  <c r="H679" i="32" s="1"/>
  <c r="E680" i="32" s="1" a="1"/>
  <c r="E680" i="32" s="1"/>
  <c r="F680" i="32" s="1" a="1"/>
  <c r="F680" i="32" s="1"/>
  <c r="P678" i="32" l="1"/>
  <c r="Q678" i="32"/>
  <c r="G679" i="32"/>
  <c r="O679" i="32" s="1"/>
  <c r="P679" i="32" s="1"/>
  <c r="I679" i="32"/>
  <c r="M680" i="32"/>
  <c r="G680" i="32" s="1"/>
  <c r="O680" i="32" s="1"/>
  <c r="Q679" i="32" l="1"/>
  <c r="N679" i="32"/>
  <c r="I680" i="32"/>
  <c r="H680" i="32"/>
  <c r="E681" i="32" s="1" a="1"/>
  <c r="E681" i="32" s="1"/>
  <c r="F681" i="32" s="1" a="1"/>
  <c r="F681" i="32" s="1"/>
  <c r="M681" i="32" s="1"/>
  <c r="G681" i="32" s="1"/>
  <c r="O681" i="32" s="1"/>
  <c r="Q680" i="32"/>
  <c r="P680" i="32"/>
  <c r="N680" i="32"/>
  <c r="N681" i="32" l="1"/>
  <c r="P681" i="32"/>
  <c r="Q681" i="32"/>
  <c r="I681" i="32"/>
  <c r="H681" i="32"/>
  <c r="E682" i="32" s="1" a="1"/>
  <c r="E682" i="32" s="1"/>
  <c r="F682" i="32" s="1" a="1"/>
  <c r="F682" i="32" s="1"/>
  <c r="M682" i="32" l="1"/>
  <c r="I682" i="32" s="1"/>
  <c r="H682" i="32" l="1"/>
  <c r="E683" i="32" s="1" a="1"/>
  <c r="E683" i="32" s="1"/>
  <c r="F683" i="32" s="1" a="1"/>
  <c r="F683" i="32" s="1"/>
  <c r="M683" i="32" s="1"/>
  <c r="G683" i="32" s="1"/>
  <c r="O683" i="32" s="1"/>
  <c r="G682" i="32"/>
  <c r="O682" i="32" s="1"/>
  <c r="Q682" i="32" s="1"/>
  <c r="N682" i="32" l="1"/>
  <c r="P682" i="32"/>
  <c r="I683" i="32"/>
  <c r="H683" i="32"/>
  <c r="E684" i="32" s="1" a="1"/>
  <c r="E684" i="32" s="1"/>
  <c r="F684" i="32" s="1" a="1"/>
  <c r="F684" i="32" s="1"/>
  <c r="M684" i="32" s="1"/>
  <c r="G684" i="32" s="1"/>
  <c r="O684" i="32" s="1"/>
  <c r="P683" i="32"/>
  <c r="Q683" i="32"/>
  <c r="N683" i="32"/>
  <c r="H684" i="32" l="1"/>
  <c r="E685" i="32" s="1" a="1"/>
  <c r="E685" i="32" s="1"/>
  <c r="F685" i="32" s="1" a="1"/>
  <c r="F685" i="32" s="1"/>
  <c r="I684" i="32"/>
  <c r="P684" i="32"/>
  <c r="Q684" i="32"/>
  <c r="N684" i="32"/>
  <c r="M685" i="32" l="1"/>
  <c r="H685" i="32" s="1"/>
  <c r="E686" i="32" s="1" a="1"/>
  <c r="E686" i="32" s="1"/>
  <c r="F686" i="32" s="1" a="1"/>
  <c r="F686" i="32" s="1"/>
  <c r="M686" i="32" s="1"/>
  <c r="I686" i="32" s="1"/>
  <c r="G686" i="32" l="1"/>
  <c r="O686" i="32" s="1"/>
  <c r="H686" i="32"/>
  <c r="E687" i="32" s="1" a="1"/>
  <c r="E687" i="32" s="1"/>
  <c r="F687" i="32" s="1" a="1"/>
  <c r="F687" i="32" s="1"/>
  <c r="M687" i="32" s="1"/>
  <c r="I687" i="32" s="1"/>
  <c r="G685" i="32"/>
  <c r="O685" i="32" s="1"/>
  <c r="I685" i="32"/>
  <c r="P685" i="32" l="1"/>
  <c r="N685" i="32"/>
  <c r="Q685" i="32"/>
  <c r="P686" i="32"/>
  <c r="Q686" i="32"/>
  <c r="N686" i="32"/>
  <c r="G687" i="32"/>
  <c r="O687" i="32" s="1"/>
  <c r="H687" i="32"/>
  <c r="E688" i="32" s="1" a="1"/>
  <c r="E688" i="32" s="1"/>
  <c r="F688" i="32" s="1" a="1"/>
  <c r="F688" i="32" s="1"/>
  <c r="M688" i="32" l="1"/>
  <c r="H688" i="32" s="1"/>
  <c r="E689" i="32" s="1" a="1"/>
  <c r="E689" i="32" s="1"/>
  <c r="F689" i="32" s="1" a="1"/>
  <c r="F689" i="32" s="1"/>
  <c r="Q687" i="32"/>
  <c r="P687" i="32"/>
  <c r="N687" i="32"/>
  <c r="G688" i="32" l="1"/>
  <c r="O688" i="32" s="1"/>
  <c r="P688" i="32" s="1"/>
  <c r="I688" i="32"/>
  <c r="M689" i="32"/>
  <c r="H689" i="32" s="1"/>
  <c r="E690" i="32" s="1" a="1"/>
  <c r="E690" i="32" s="1"/>
  <c r="F690" i="32" s="1" a="1"/>
  <c r="F690" i="32" s="1"/>
  <c r="G689" i="32" l="1"/>
  <c r="O689" i="32" s="1"/>
  <c r="N689" i="32" s="1"/>
  <c r="I689" i="32"/>
  <c r="N688" i="32"/>
  <c r="Q688" i="32"/>
  <c r="M690" i="32"/>
  <c r="I690" i="32" s="1"/>
  <c r="Q689" i="32" l="1"/>
  <c r="P689" i="32"/>
  <c r="H690" i="32"/>
  <c r="E691" i="32" s="1" a="1"/>
  <c r="E691" i="32" s="1"/>
  <c r="F691" i="32" s="1" a="1"/>
  <c r="F691" i="32" s="1"/>
  <c r="M691" i="32" s="1"/>
  <c r="H691" i="32" s="1"/>
  <c r="E692" i="32" s="1" a="1"/>
  <c r="E692" i="32" s="1"/>
  <c r="F692" i="32" s="1" a="1"/>
  <c r="F692" i="32" s="1"/>
  <c r="M692" i="32" s="1"/>
  <c r="I692" i="32" s="1"/>
  <c r="G690" i="32"/>
  <c r="O690" i="32" s="1"/>
  <c r="H692" i="32" l="1"/>
  <c r="E693" i="32" s="1" a="1"/>
  <c r="E693" i="32" s="1"/>
  <c r="F693" i="32" s="1" a="1"/>
  <c r="F693" i="32" s="1"/>
  <c r="M693" i="32" s="1"/>
  <c r="H693" i="32" s="1"/>
  <c r="E694" i="32" s="1" a="1"/>
  <c r="E694" i="32" s="1"/>
  <c r="F694" i="32" s="1" a="1"/>
  <c r="F694" i="32" s="1"/>
  <c r="G692" i="32"/>
  <c r="O692" i="32" s="1"/>
  <c r="P692" i="32" s="1"/>
  <c r="Q690" i="32"/>
  <c r="N690" i="32"/>
  <c r="P690" i="32"/>
  <c r="G691" i="32"/>
  <c r="O691" i="32" s="1"/>
  <c r="I691" i="32"/>
  <c r="Q692" i="32" l="1"/>
  <c r="N692" i="32"/>
  <c r="G693" i="32"/>
  <c r="O693" i="32" s="1"/>
  <c r="N691" i="32"/>
  <c r="P691" i="32"/>
  <c r="Q691" i="32"/>
  <c r="I693" i="32"/>
  <c r="M694" i="32"/>
  <c r="I694" i="32" s="1"/>
  <c r="Q693" i="32"/>
  <c r="P693" i="32"/>
  <c r="N693" i="32"/>
  <c r="G694" i="32" l="1"/>
  <c r="O694" i="32" s="1"/>
  <c r="N694" i="32" s="1"/>
  <c r="H694" i="32"/>
  <c r="E695" i="32" s="1" a="1"/>
  <c r="E695" i="32" s="1"/>
  <c r="F695" i="32" s="1" a="1"/>
  <c r="F695" i="32" s="1"/>
  <c r="P694" i="32" l="1"/>
  <c r="Q694" i="32"/>
  <c r="M695" i="32"/>
  <c r="G695" i="32" s="1"/>
  <c r="O695" i="32" s="1"/>
  <c r="P695" i="32" l="1"/>
  <c r="N695" i="32"/>
  <c r="Q695" i="32"/>
  <c r="H695" i="32"/>
  <c r="E696" i="32" s="1" a="1"/>
  <c r="E696" i="32" s="1"/>
  <c r="F696" i="32" s="1" a="1"/>
  <c r="F696" i="32" s="1"/>
  <c r="I695" i="32"/>
  <c r="M696" i="32" l="1"/>
  <c r="H696" i="32" s="1"/>
  <c r="E697" i="32" s="1" a="1"/>
  <c r="E697" i="32" s="1"/>
  <c r="F697" i="32" s="1" a="1"/>
  <c r="F697" i="32" s="1"/>
  <c r="G696" i="32" l="1"/>
  <c r="O696" i="32" s="1"/>
  <c r="P696" i="32" s="1"/>
  <c r="M697" i="32"/>
  <c r="G697" i="32" s="1"/>
  <c r="O697" i="32" s="1"/>
  <c r="I696" i="32"/>
  <c r="N696" i="32" l="1"/>
  <c r="Q696" i="32"/>
  <c r="P697" i="32"/>
  <c r="N697" i="32"/>
  <c r="Q697" i="32"/>
  <c r="H697" i="32"/>
  <c r="E698" i="32" s="1" a="1"/>
  <c r="E698" i="32" s="1"/>
  <c r="F698" i="32" s="1" a="1"/>
  <c r="F698" i="32" s="1"/>
  <c r="I697" i="32"/>
  <c r="M698" i="32" l="1"/>
  <c r="I698" i="32" s="1"/>
  <c r="G698" i="32" l="1"/>
  <c r="O698" i="32" s="1"/>
  <c r="Q698" i="32" s="1"/>
  <c r="H698" i="32"/>
  <c r="E699" i="32" s="1" a="1"/>
  <c r="E699" i="32" s="1"/>
  <c r="F699" i="32" s="1" a="1"/>
  <c r="F699" i="32" s="1"/>
  <c r="M699" i="32" s="1"/>
  <c r="I699" i="32" s="1"/>
  <c r="N698" i="32" l="1"/>
  <c r="P698" i="32"/>
  <c r="G699" i="32"/>
  <c r="O699" i="32" s="1"/>
  <c r="P699" i="32" s="1"/>
  <c r="H699" i="32"/>
  <c r="E700" i="32" s="1" a="1"/>
  <c r="E700" i="32" s="1"/>
  <c r="F700" i="32" s="1" a="1"/>
  <c r="F700" i="32" s="1"/>
  <c r="M700" i="32" s="1"/>
  <c r="I700" i="32" s="1"/>
  <c r="Q699" i="32" l="1"/>
  <c r="N699" i="32"/>
  <c r="H700" i="32"/>
  <c r="E701" i="32" s="1" a="1"/>
  <c r="E701" i="32" s="1"/>
  <c r="F701" i="32" s="1" a="1"/>
  <c r="F701" i="32" s="1"/>
  <c r="G700" i="32"/>
  <c r="O700" i="32" s="1"/>
  <c r="N700" i="32" l="1"/>
  <c r="P700" i="32"/>
  <c r="Q700" i="32"/>
  <c r="M701" i="32"/>
  <c r="H701" i="32" s="1"/>
  <c r="E702" i="32" s="1" a="1"/>
  <c r="E702" i="32" s="1"/>
  <c r="F702" i="32" s="1" a="1"/>
  <c r="F702" i="32" s="1"/>
  <c r="I701" i="32" l="1"/>
  <c r="G701" i="32"/>
  <c r="O701" i="32" s="1"/>
  <c r="Q701" i="32" s="1"/>
  <c r="M702" i="32"/>
  <c r="I702" i="32" s="1"/>
  <c r="P701" i="32" l="1"/>
  <c r="N701" i="32"/>
  <c r="G702" i="32"/>
  <c r="O702" i="32" s="1"/>
  <c r="Q702" i="32" s="1"/>
  <c r="H702" i="32"/>
  <c r="E703" i="32" s="1" a="1"/>
  <c r="E703" i="32" s="1"/>
  <c r="F703" i="32" s="1" a="1"/>
  <c r="F703" i="32" s="1"/>
  <c r="N702" i="32" l="1"/>
  <c r="P702" i="32"/>
  <c r="M703" i="32"/>
  <c r="G703" i="32" s="1"/>
  <c r="O703" i="32" s="1"/>
  <c r="H703" i="32" l="1"/>
  <c r="E704" i="32" s="1" a="1"/>
  <c r="E704" i="32" s="1"/>
  <c r="F704" i="32" s="1" a="1"/>
  <c r="F704" i="32" s="1"/>
  <c r="M704" i="32" s="1"/>
  <c r="I703" i="32"/>
  <c r="P703" i="32"/>
  <c r="Q703" i="32"/>
  <c r="N703" i="32"/>
  <c r="H704" i="32" l="1"/>
  <c r="E705" i="32" s="1" a="1"/>
  <c r="E705" i="32" s="1"/>
  <c r="F705" i="32" s="1" a="1"/>
  <c r="F705" i="32" s="1"/>
  <c r="M705" i="32" s="1"/>
  <c r="G705" i="32" s="1"/>
  <c r="O705" i="32" s="1"/>
  <c r="I704" i="32"/>
  <c r="G704" i="32"/>
  <c r="O704" i="32" s="1"/>
  <c r="Q704" i="32" s="1"/>
  <c r="P704" i="32" l="1"/>
  <c r="N704" i="32"/>
  <c r="N705" i="32"/>
  <c r="Q705" i="32"/>
  <c r="P705" i="32"/>
  <c r="I705" i="32"/>
  <c r="H705" i="32"/>
  <c r="E706" i="32" s="1" a="1"/>
  <c r="E706" i="32" s="1"/>
  <c r="F706" i="32" s="1" a="1"/>
  <c r="F706" i="32" s="1"/>
  <c r="M706" i="32" l="1"/>
  <c r="I706" i="32" s="1"/>
  <c r="G706" i="32" l="1"/>
  <c r="O706" i="32" s="1"/>
  <c r="N706" i="32" s="1"/>
  <c r="H706" i="32"/>
  <c r="E707" i="32" s="1" a="1"/>
  <c r="E707" i="32" s="1"/>
  <c r="F707" i="32" s="1" a="1"/>
  <c r="F707" i="32" s="1"/>
  <c r="M707" i="32" s="1"/>
  <c r="I707" i="32" s="1"/>
  <c r="P706" i="32" l="1"/>
  <c r="Q706" i="32"/>
  <c r="G707" i="32"/>
  <c r="O707" i="32" s="1"/>
  <c r="P707" i="32" s="1"/>
  <c r="H707" i="32"/>
  <c r="E708" i="32" s="1" a="1"/>
  <c r="E708" i="32" s="1"/>
  <c r="F708" i="32" s="1" a="1"/>
  <c r="F708" i="32" s="1"/>
  <c r="M708" i="32" s="1"/>
  <c r="N707" i="32" l="1"/>
  <c r="Q707" i="32"/>
  <c r="I708" i="32"/>
  <c r="G708" i="32"/>
  <c r="O708" i="32" s="1"/>
  <c r="Q708" i="32" s="1"/>
  <c r="H708" i="32"/>
  <c r="E709" i="32" s="1" a="1"/>
  <c r="E709" i="32" s="1"/>
  <c r="F709" i="32" s="1" a="1"/>
  <c r="F709" i="32" s="1"/>
  <c r="M709" i="32" s="1"/>
  <c r="I709" i="32" s="1"/>
  <c r="P708" i="32" l="1"/>
  <c r="N708" i="32"/>
  <c r="H709" i="32"/>
  <c r="E710" i="32" s="1" a="1"/>
  <c r="E710" i="32" s="1"/>
  <c r="F710" i="32" s="1" a="1"/>
  <c r="F710" i="32" s="1"/>
  <c r="G709" i="32"/>
  <c r="O709" i="32" s="1"/>
  <c r="P709" i="32" l="1"/>
  <c r="Q709" i="32"/>
  <c r="N709" i="32"/>
  <c r="M710" i="32"/>
  <c r="I710" i="32" s="1"/>
  <c r="H710" i="32" l="1"/>
  <c r="E711" i="32" s="1" a="1"/>
  <c r="E711" i="32" s="1"/>
  <c r="F711" i="32" s="1" a="1"/>
  <c r="F711" i="32" s="1"/>
  <c r="M711" i="32" s="1"/>
  <c r="H711" i="32" s="1"/>
  <c r="E712" i="32" s="1" a="1"/>
  <c r="E712" i="32" s="1"/>
  <c r="F712" i="32" s="1" a="1"/>
  <c r="F712" i="32" s="1"/>
  <c r="G710" i="32"/>
  <c r="O710" i="32" s="1"/>
  <c r="I711" i="32" l="1"/>
  <c r="M712" i="32"/>
  <c r="H712" i="32" s="1"/>
  <c r="E713" i="32" s="1" a="1"/>
  <c r="E713" i="32" s="1"/>
  <c r="F713" i="32" s="1" a="1"/>
  <c r="F713" i="32" s="1"/>
  <c r="N710" i="32"/>
  <c r="P710" i="32"/>
  <c r="Q710" i="32"/>
  <c r="G711" i="32"/>
  <c r="O711" i="32" s="1"/>
  <c r="M713" i="32" l="1"/>
  <c r="H713" i="32" s="1"/>
  <c r="E714" i="32" s="1" a="1"/>
  <c r="E714" i="32" s="1"/>
  <c r="F714" i="32" s="1" a="1"/>
  <c r="F714" i="32" s="1"/>
  <c r="P711" i="32"/>
  <c r="N711" i="32"/>
  <c r="Q711" i="32"/>
  <c r="G712" i="32"/>
  <c r="O712" i="32" s="1"/>
  <c r="I712" i="32"/>
  <c r="M714" i="32" l="1"/>
  <c r="I714" i="32" s="1"/>
  <c r="G713" i="32"/>
  <c r="O713" i="32" s="1"/>
  <c r="I713" i="32"/>
  <c r="P712" i="32"/>
  <c r="Q712" i="32"/>
  <c r="N712" i="32"/>
  <c r="P713" i="32" l="1"/>
  <c r="N713" i="32"/>
  <c r="Q713" i="32"/>
  <c r="H714" i="32"/>
  <c r="E715" i="32" s="1" a="1"/>
  <c r="E715" i="32" s="1"/>
  <c r="F715" i="32" s="1" a="1"/>
  <c r="F715" i="32" s="1"/>
  <c r="G714" i="32"/>
  <c r="O714" i="32" s="1"/>
  <c r="N714" i="32" l="1"/>
  <c r="Q714" i="32"/>
  <c r="P714" i="32"/>
  <c r="M715" i="32"/>
  <c r="H715" i="32" s="1"/>
  <c r="E716" i="32" s="1" a="1"/>
  <c r="E716" i="32" s="1"/>
  <c r="F716" i="32" s="1" a="1"/>
  <c r="F716" i="32" s="1"/>
  <c r="M716" i="32" l="1"/>
  <c r="I716" i="32" s="1"/>
  <c r="I715" i="32"/>
  <c r="G715" i="32"/>
  <c r="O715" i="32" s="1"/>
  <c r="G716" i="32" l="1"/>
  <c r="O716" i="32" s="1"/>
  <c r="N716" i="32" s="1"/>
  <c r="H716" i="32"/>
  <c r="E717" i="32" s="1" a="1"/>
  <c r="E717" i="32" s="1"/>
  <c r="F717" i="32" s="1" a="1"/>
  <c r="F717" i="32" s="1"/>
  <c r="P715" i="32"/>
  <c r="N715" i="32"/>
  <c r="Q715" i="32"/>
  <c r="P716" i="32" l="1"/>
  <c r="Q716" i="32"/>
  <c r="M717" i="32"/>
  <c r="H717" i="32" s="1"/>
  <c r="E718" i="32" s="1" a="1"/>
  <c r="E718" i="32" s="1"/>
  <c r="F718" i="32" s="1" a="1"/>
  <c r="F718" i="32" s="1"/>
  <c r="M718" i="32" s="1"/>
  <c r="I718" i="32" s="1"/>
  <c r="I717" i="32" l="1"/>
  <c r="G717" i="32"/>
  <c r="O717" i="32" s="1"/>
  <c r="H718" i="32"/>
  <c r="E719" i="32" s="1" a="1"/>
  <c r="E719" i="32" s="1"/>
  <c r="F719" i="32" s="1" a="1"/>
  <c r="F719" i="32" s="1"/>
  <c r="G718" i="32"/>
  <c r="O718" i="32" s="1"/>
  <c r="P717" i="32" l="1"/>
  <c r="Q717" i="32"/>
  <c r="N717" i="32"/>
  <c r="Q718" i="32"/>
  <c r="P718" i="32"/>
  <c r="N718" i="32"/>
  <c r="M719" i="32"/>
  <c r="I719" i="32" s="1"/>
  <c r="G719" i="32" l="1"/>
  <c r="O719" i="32" s="1"/>
  <c r="P719" i="32" s="1"/>
  <c r="H719" i="32"/>
  <c r="E720" i="32" s="1" a="1"/>
  <c r="E720" i="32" s="1"/>
  <c r="F720" i="32" s="1" a="1"/>
  <c r="F720" i="32" s="1"/>
  <c r="N719" i="32" l="1"/>
  <c r="Q719" i="32"/>
  <c r="M720" i="32"/>
  <c r="I720" i="32" s="1"/>
  <c r="G720" i="32" l="1"/>
  <c r="O720" i="32" s="1"/>
  <c r="Q720" i="32" s="1"/>
  <c r="H720" i="32"/>
  <c r="E721" i="32" s="1" a="1"/>
  <c r="E721" i="32" s="1"/>
  <c r="F721" i="32" s="1" a="1"/>
  <c r="F721" i="32" s="1"/>
  <c r="M721" i="32" s="1"/>
  <c r="G721" i="32" s="1"/>
  <c r="O721" i="32" s="1"/>
  <c r="P720" i="32" l="1"/>
  <c r="N720" i="32"/>
  <c r="H721" i="32"/>
  <c r="E722" i="32" s="1" a="1"/>
  <c r="E722" i="32" s="1"/>
  <c r="F722" i="32" s="1" a="1"/>
  <c r="F722" i="32" s="1"/>
  <c r="M722" i="32" s="1"/>
  <c r="I722" i="32" s="1"/>
  <c r="Q721" i="32"/>
  <c r="N721" i="32"/>
  <c r="P721" i="32"/>
  <c r="I721" i="32"/>
  <c r="H722" i="32" l="1"/>
  <c r="E723" i="32" s="1" a="1"/>
  <c r="E723" i="32" s="1"/>
  <c r="F723" i="32" s="1" a="1"/>
  <c r="F723" i="32" s="1"/>
  <c r="M723" i="32" s="1"/>
  <c r="I723" i="32" s="1"/>
  <c r="G722" i="32"/>
  <c r="O722" i="32" s="1"/>
  <c r="P722" i="32" s="1"/>
  <c r="N722" i="32" l="1"/>
  <c r="G723" i="32"/>
  <c r="O723" i="32" s="1"/>
  <c r="P723" i="32" s="1"/>
  <c r="H723" i="32"/>
  <c r="E724" i="32" s="1" a="1"/>
  <c r="E724" i="32" s="1"/>
  <c r="F724" i="32" s="1" a="1"/>
  <c r="F724" i="32" s="1"/>
  <c r="M724" i="32" s="1"/>
  <c r="G724" i="32" s="1"/>
  <c r="O724" i="32" s="1"/>
  <c r="Q722" i="32"/>
  <c r="N723" i="32" l="1"/>
  <c r="Q723" i="32"/>
  <c r="I724" i="32"/>
  <c r="N724" i="32"/>
  <c r="Q724" i="32"/>
  <c r="P724" i="32"/>
  <c r="H724" i="32"/>
  <c r="E725" i="32" s="1" a="1"/>
  <c r="E725" i="32" s="1"/>
  <c r="F725" i="32" s="1" a="1"/>
  <c r="F725" i="32" s="1"/>
  <c r="M725" i="32" l="1"/>
  <c r="I725" i="32" s="1"/>
  <c r="G725" i="32" l="1"/>
  <c r="O725" i="32" s="1"/>
  <c r="P725" i="32" s="1"/>
  <c r="H725" i="32"/>
  <c r="E726" i="32" s="1" a="1"/>
  <c r="E726" i="32" s="1"/>
  <c r="F726" i="32" s="1" a="1"/>
  <c r="F726" i="32" s="1"/>
  <c r="M726" i="32" s="1"/>
  <c r="I726" i="32" s="1"/>
  <c r="Q725" i="32" l="1"/>
  <c r="N725" i="32"/>
  <c r="H726" i="32"/>
  <c r="E727" i="32" s="1" a="1"/>
  <c r="E727" i="32" s="1"/>
  <c r="F727" i="32" s="1" a="1"/>
  <c r="F727" i="32" s="1"/>
  <c r="M727" i="32" s="1"/>
  <c r="G727" i="32" s="1"/>
  <c r="O727" i="32" s="1"/>
  <c r="G726" i="32"/>
  <c r="O726" i="32" s="1"/>
  <c r="H727" i="32" l="1"/>
  <c r="E728" i="32" s="1" a="1"/>
  <c r="E728" i="32" s="1"/>
  <c r="F728" i="32" s="1" a="1"/>
  <c r="F728" i="32" s="1"/>
  <c r="M728" i="32" s="1"/>
  <c r="I728" i="32" s="1"/>
  <c r="I727" i="32"/>
  <c r="P727" i="32"/>
  <c r="N727" i="32"/>
  <c r="Q727" i="32"/>
  <c r="N726" i="32"/>
  <c r="Q726" i="32"/>
  <c r="P726" i="32"/>
  <c r="G728" i="32" l="1"/>
  <c r="O728" i="32" s="1"/>
  <c r="H728" i="32"/>
  <c r="E729" i="32" s="1" a="1"/>
  <c r="E729" i="32" s="1"/>
  <c r="F729" i="32" s="1" a="1"/>
  <c r="F729" i="32" s="1"/>
  <c r="M729" i="32" l="1"/>
  <c r="I729" i="32" s="1"/>
  <c r="P728" i="32"/>
  <c r="Q728" i="32"/>
  <c r="N728" i="32"/>
  <c r="G729" i="32" l="1"/>
  <c r="O729" i="32" s="1"/>
  <c r="H729" i="32"/>
  <c r="E730" i="32" s="1" a="1"/>
  <c r="E730" i="32" s="1"/>
  <c r="F730" i="32" s="1" a="1"/>
  <c r="F730" i="32" s="1"/>
  <c r="M730" i="32" l="1"/>
  <c r="I730" i="32" s="1"/>
  <c r="P729" i="32"/>
  <c r="N729" i="32"/>
  <c r="Q729" i="32"/>
  <c r="G730" i="32" l="1"/>
  <c r="O730" i="32" s="1"/>
  <c r="H730" i="32"/>
  <c r="E731" i="32" s="1" a="1"/>
  <c r="E731" i="32" s="1"/>
  <c r="F731" i="32" s="1" a="1"/>
  <c r="F731" i="32" s="1"/>
  <c r="M731" i="32" l="1"/>
  <c r="I731" i="32" s="1"/>
  <c r="Q730" i="32"/>
  <c r="N730" i="32"/>
  <c r="P730" i="32"/>
  <c r="H731" i="32" l="1"/>
  <c r="E732" i="32" s="1" a="1"/>
  <c r="E732" i="32" s="1"/>
  <c r="F732" i="32" s="1" a="1"/>
  <c r="F732" i="32" s="1"/>
  <c r="G731" i="32"/>
  <c r="O731" i="32" s="1"/>
  <c r="P731" i="32" l="1"/>
  <c r="Q731" i="32"/>
  <c r="N731" i="32"/>
  <c r="M732" i="32"/>
  <c r="G732" i="32" s="1"/>
  <c r="O732" i="32" s="1"/>
  <c r="P732" i="32" l="1"/>
  <c r="Q732" i="32"/>
  <c r="N732" i="32"/>
  <c r="H732" i="32"/>
  <c r="E733" i="32" s="1" a="1"/>
  <c r="E733" i="32" s="1"/>
  <c r="F733" i="32" s="1" a="1"/>
  <c r="F733" i="32" s="1"/>
  <c r="I732" i="32"/>
  <c r="M733" i="32" l="1"/>
  <c r="H733" i="32" s="1"/>
  <c r="E734" i="32" s="1" a="1"/>
  <c r="E734" i="32" s="1"/>
  <c r="F734" i="32" s="1" a="1"/>
  <c r="F734" i="32" s="1"/>
  <c r="M734" i="32" l="1"/>
  <c r="I734" i="32" s="1"/>
  <c r="G733" i="32"/>
  <c r="O733" i="32" s="1"/>
  <c r="I733" i="32"/>
  <c r="G734" i="32" l="1"/>
  <c r="O734" i="32" s="1"/>
  <c r="N734" i="32" s="1"/>
  <c r="P733" i="32"/>
  <c r="Q733" i="32"/>
  <c r="N733" i="32"/>
  <c r="H734" i="32"/>
  <c r="E735" i="32" s="1" a="1"/>
  <c r="E735" i="32" s="1"/>
  <c r="F735" i="32" s="1" a="1"/>
  <c r="F735" i="32" s="1"/>
  <c r="Q734" i="32" l="1"/>
  <c r="P734" i="32"/>
  <c r="M735" i="32"/>
  <c r="I735" i="32" s="1"/>
  <c r="G735" i="32" l="1"/>
  <c r="O735" i="32" s="1"/>
  <c r="H735" i="32"/>
  <c r="E736" i="32" s="1" a="1"/>
  <c r="E736" i="32" s="1"/>
  <c r="F736" i="32" s="1" a="1"/>
  <c r="F736" i="32" s="1"/>
  <c r="M736" i="32" l="1"/>
  <c r="H736" i="32" s="1"/>
  <c r="E737" i="32" s="1" a="1"/>
  <c r="E737" i="32" s="1"/>
  <c r="F737" i="32" s="1" a="1"/>
  <c r="F737" i="32" s="1"/>
  <c r="P735" i="32"/>
  <c r="N735" i="32"/>
  <c r="Q735" i="32"/>
  <c r="G736" i="32" l="1"/>
  <c r="O736" i="32" s="1"/>
  <c r="P736" i="32" s="1"/>
  <c r="I736" i="32"/>
  <c r="M737" i="32"/>
  <c r="G737" i="32" s="1"/>
  <c r="O737" i="32" s="1"/>
  <c r="N736" i="32" l="1"/>
  <c r="Q736" i="32"/>
  <c r="H737" i="32"/>
  <c r="E738" i="32" s="1" a="1"/>
  <c r="E738" i="32" s="1"/>
  <c r="F738" i="32" s="1" a="1"/>
  <c r="F738" i="32" s="1"/>
  <c r="M738" i="32" s="1"/>
  <c r="I738" i="32" s="1"/>
  <c r="I737" i="32"/>
  <c r="N737" i="32"/>
  <c r="Q737" i="32"/>
  <c r="P737" i="32"/>
  <c r="H738" i="32" l="1"/>
  <c r="E739" i="32" s="1" a="1"/>
  <c r="E739" i="32" s="1"/>
  <c r="F739" i="32" s="1" a="1"/>
  <c r="F739" i="32" s="1"/>
  <c r="G738" i="32"/>
  <c r="O738" i="32" s="1"/>
  <c r="Q738" i="32" l="1"/>
  <c r="P738" i="32"/>
  <c r="N738" i="32"/>
  <c r="M739" i="32"/>
  <c r="I739" i="32" s="1"/>
  <c r="G739" i="32" l="1"/>
  <c r="O739" i="32" s="1"/>
  <c r="P739" i="32" s="1"/>
  <c r="H739" i="32"/>
  <c r="E740" i="32" s="1" a="1"/>
  <c r="E740" i="32" s="1"/>
  <c r="F740" i="32" s="1" a="1"/>
  <c r="F740" i="32" s="1"/>
  <c r="N739" i="32" l="1"/>
  <c r="Q739" i="32"/>
  <c r="M740" i="32"/>
  <c r="G740" i="32" s="1"/>
  <c r="O740" i="32" s="1"/>
  <c r="P740" i="32" l="1"/>
  <c r="N740" i="32"/>
  <c r="Q740" i="32"/>
  <c r="I740" i="32"/>
  <c r="H740" i="32"/>
  <c r="E741" i="32" s="1" a="1"/>
  <c r="E741" i="32" s="1"/>
  <c r="F741" i="32" s="1" a="1"/>
  <c r="F741" i="32" s="1"/>
  <c r="M741" i="32" l="1"/>
  <c r="H741" i="32" s="1"/>
  <c r="E742" i="32" s="1" a="1"/>
  <c r="E742" i="32" s="1"/>
  <c r="F742" i="32" s="1" a="1"/>
  <c r="F742" i="32" s="1"/>
  <c r="G741" i="32" l="1"/>
  <c r="O741" i="32" s="1"/>
  <c r="N741" i="32" s="1"/>
  <c r="I741" i="32"/>
  <c r="M742" i="32"/>
  <c r="I742" i="32" s="1"/>
  <c r="P741" i="32" l="1"/>
  <c r="Q741" i="32"/>
  <c r="G742" i="32"/>
  <c r="O742" i="32" s="1"/>
  <c r="N742" i="32" s="1"/>
  <c r="H742" i="32"/>
  <c r="E743" i="32" s="1" a="1"/>
  <c r="E743" i="32" s="1"/>
  <c r="F743" i="32" s="1" a="1"/>
  <c r="F743" i="32" s="1"/>
  <c r="M743" i="32" s="1"/>
  <c r="G743" i="32" s="1"/>
  <c r="O743" i="32" s="1"/>
  <c r="Q742" i="32" l="1"/>
  <c r="P742" i="32"/>
  <c r="N743" i="32"/>
  <c r="Q743" i="32"/>
  <c r="P743" i="32"/>
  <c r="I743" i="32"/>
  <c r="H743" i="32"/>
  <c r="E744" i="32" s="1" a="1"/>
  <c r="E744" i="32" s="1"/>
  <c r="F744" i="32" s="1" a="1"/>
  <c r="F744" i="32" s="1"/>
  <c r="M744" i="32" l="1"/>
  <c r="G744" i="32" s="1"/>
  <c r="O744" i="32" s="1"/>
  <c r="H744" i="32" l="1"/>
  <c r="E745" i="32" s="1" a="1"/>
  <c r="E745" i="32" s="1"/>
  <c r="F745" i="32" s="1" a="1"/>
  <c r="F745" i="32" s="1"/>
  <c r="M745" i="32" s="1"/>
  <c r="H745" i="32" s="1"/>
  <c r="E746" i="32" s="1" a="1"/>
  <c r="E746" i="32" s="1"/>
  <c r="F746" i="32" s="1" a="1"/>
  <c r="F746" i="32" s="1"/>
  <c r="I744" i="32"/>
  <c r="N744" i="32"/>
  <c r="P744" i="32"/>
  <c r="Q744" i="32"/>
  <c r="M746" i="32" l="1"/>
  <c r="I746" i="32" s="1"/>
  <c r="G745" i="32"/>
  <c r="O745" i="32" s="1"/>
  <c r="I745" i="32"/>
  <c r="G746" i="32" l="1"/>
  <c r="O746" i="32" s="1"/>
  <c r="P746" i="32" s="1"/>
  <c r="H746" i="32"/>
  <c r="E747" i="32" s="1" a="1"/>
  <c r="E747" i="32" s="1"/>
  <c r="F747" i="32" s="1" a="1"/>
  <c r="F747" i="32" s="1"/>
  <c r="M747" i="32" s="1"/>
  <c r="G747" i="32" s="1"/>
  <c r="O747" i="32" s="1"/>
  <c r="N745" i="32"/>
  <c r="P745" i="32"/>
  <c r="Q745" i="32"/>
  <c r="N746" i="32" l="1"/>
  <c r="Q746" i="32"/>
  <c r="I747" i="32"/>
  <c r="H747" i="32"/>
  <c r="E748" i="32" s="1" a="1"/>
  <c r="E748" i="32" s="1"/>
  <c r="F748" i="32" s="1" a="1"/>
  <c r="F748" i="32" s="1"/>
  <c r="M748" i="32" s="1"/>
  <c r="G748" i="32" s="1"/>
  <c r="O748" i="32" s="1"/>
  <c r="Q747" i="32"/>
  <c r="P747" i="32"/>
  <c r="N747" i="32"/>
  <c r="H748" i="32" l="1"/>
  <c r="E749" i="32" s="1" a="1"/>
  <c r="E749" i="32" s="1"/>
  <c r="F749" i="32" s="1" a="1"/>
  <c r="F749" i="32" s="1"/>
  <c r="M749" i="32" s="1"/>
  <c r="I749" i="32" s="1"/>
  <c r="Q748" i="32"/>
  <c r="N748" i="32"/>
  <c r="P748" i="32"/>
  <c r="I748" i="32"/>
  <c r="G749" i="32" l="1"/>
  <c r="O749" i="32" s="1"/>
  <c r="H749" i="32"/>
  <c r="E750" i="32" s="1" a="1"/>
  <c r="E750" i="32" s="1"/>
  <c r="F750" i="32" s="1" a="1"/>
  <c r="F750" i="32" s="1"/>
  <c r="M750" i="32" l="1"/>
  <c r="I750" i="32" s="1"/>
  <c r="N749" i="32"/>
  <c r="Q749" i="32"/>
  <c r="P749" i="32"/>
  <c r="G750" i="32" l="1"/>
  <c r="O750" i="32" s="1"/>
  <c r="N750" i="32" s="1"/>
  <c r="H750" i="32"/>
  <c r="E751" i="32" s="1" a="1"/>
  <c r="E751" i="32" s="1"/>
  <c r="F751" i="32" s="1" a="1"/>
  <c r="F751" i="32" s="1"/>
  <c r="M751" i="32" s="1"/>
  <c r="P750" i="32" l="1"/>
  <c r="Q750" i="32"/>
  <c r="H751" i="32"/>
  <c r="E752" i="32" s="1" a="1"/>
  <c r="E752" i="32" s="1"/>
  <c r="F752" i="32" s="1" a="1"/>
  <c r="F752" i="32" s="1"/>
  <c r="M752" i="32" s="1"/>
  <c r="H752" i="32" s="1"/>
  <c r="E753" i="32" s="1" a="1"/>
  <c r="E753" i="32" s="1"/>
  <c r="F753" i="32" s="1" a="1"/>
  <c r="F753" i="32" s="1"/>
  <c r="I751" i="32"/>
  <c r="G751" i="32"/>
  <c r="O751" i="32" s="1"/>
  <c r="Q751" i="32" s="1"/>
  <c r="P751" i="32" l="1"/>
  <c r="N751" i="32"/>
  <c r="M753" i="32"/>
  <c r="H753" i="32" s="1"/>
  <c r="E754" i="32" s="1" a="1"/>
  <c r="E754" i="32" s="1"/>
  <c r="F754" i="32" s="1" a="1"/>
  <c r="F754" i="32" s="1"/>
  <c r="I752" i="32"/>
  <c r="G752" i="32"/>
  <c r="O752" i="32" s="1"/>
  <c r="I753" i="32" l="1"/>
  <c r="M754" i="32"/>
  <c r="G754" i="32" s="1"/>
  <c r="O754" i="32" s="1"/>
  <c r="N752" i="32"/>
  <c r="Q752" i="32"/>
  <c r="P752" i="32"/>
  <c r="G753" i="32"/>
  <c r="O753" i="32" s="1"/>
  <c r="I754" i="32" l="1"/>
  <c r="H754" i="32"/>
  <c r="E755" i="32" s="1" a="1"/>
  <c r="E755" i="32" s="1"/>
  <c r="F755" i="32" s="1" a="1"/>
  <c r="F755" i="32" s="1"/>
  <c r="M755" i="32" s="1"/>
  <c r="H755" i="32" s="1"/>
  <c r="E756" i="32" s="1" a="1"/>
  <c r="E756" i="32" s="1"/>
  <c r="F756" i="32" s="1" a="1"/>
  <c r="F756" i="32" s="1"/>
  <c r="N753" i="32"/>
  <c r="P753" i="32"/>
  <c r="Q753" i="32"/>
  <c r="N754" i="32"/>
  <c r="P754" i="32"/>
  <c r="Q754" i="32"/>
  <c r="M756" i="32" l="1"/>
  <c r="H756" i="32" s="1"/>
  <c r="E757" i="32" s="1" a="1"/>
  <c r="E757" i="32" s="1"/>
  <c r="F757" i="32" s="1" a="1"/>
  <c r="F757" i="32" s="1"/>
  <c r="G755" i="32"/>
  <c r="O755" i="32" s="1"/>
  <c r="I755" i="32"/>
  <c r="M757" i="32" l="1"/>
  <c r="I757" i="32" s="1"/>
  <c r="N755" i="32"/>
  <c r="P755" i="32"/>
  <c r="Q755" i="32"/>
  <c r="I756" i="32"/>
  <c r="G756" i="32"/>
  <c r="O756" i="32" s="1"/>
  <c r="G757" i="32" l="1"/>
  <c r="O757" i="32" s="1"/>
  <c r="N757" i="32" s="1"/>
  <c r="H757" i="32"/>
  <c r="E758" i="32" s="1" a="1"/>
  <c r="E758" i="32" s="1"/>
  <c r="F758" i="32" s="1" a="1"/>
  <c r="F758" i="32" s="1"/>
  <c r="M758" i="32" s="1"/>
  <c r="G758" i="32" s="1"/>
  <c r="O758" i="32" s="1"/>
  <c r="P756" i="32"/>
  <c r="Q756" i="32"/>
  <c r="N756" i="32"/>
  <c r="Q757" i="32" l="1"/>
  <c r="P757" i="32"/>
  <c r="N758" i="32"/>
  <c r="Q758" i="32"/>
  <c r="P758" i="32"/>
  <c r="I758" i="32"/>
  <c r="H758" i="32"/>
  <c r="E759" i="32" s="1" a="1"/>
  <c r="E759" i="32" s="1"/>
  <c r="F759" i="32" s="1" a="1"/>
  <c r="F759" i="32" s="1"/>
  <c r="M759" i="32" l="1"/>
  <c r="H759" i="32" s="1"/>
  <c r="E760" i="32" s="1" a="1"/>
  <c r="E760" i="32" s="1"/>
  <c r="F760" i="32" s="1" a="1"/>
  <c r="F760" i="32" s="1"/>
  <c r="G759" i="32" l="1"/>
  <c r="O759" i="32" s="1"/>
  <c r="P759" i="32" s="1"/>
  <c r="M760" i="32"/>
  <c r="H760" i="32" s="1"/>
  <c r="E761" i="32" s="1" a="1"/>
  <c r="E761" i="32" s="1"/>
  <c r="F761" i="32" s="1" a="1"/>
  <c r="F761" i="32" s="1"/>
  <c r="I759" i="32"/>
  <c r="Q759" i="32" l="1"/>
  <c r="N759" i="32"/>
  <c r="M761" i="32"/>
  <c r="G761" i="32" s="1"/>
  <c r="O761" i="32" s="1"/>
  <c r="I760" i="32"/>
  <c r="G760" i="32"/>
  <c r="O760" i="32" s="1"/>
  <c r="N761" i="32" l="1"/>
  <c r="P761" i="32"/>
  <c r="Q761" i="32"/>
  <c r="N760" i="32"/>
  <c r="P760" i="32"/>
  <c r="Q760" i="32"/>
  <c r="H761" i="32"/>
  <c r="E762" i="32" s="1" a="1"/>
  <c r="E762" i="32" s="1"/>
  <c r="F762" i="32" s="1" a="1"/>
  <c r="F762" i="32" s="1"/>
  <c r="I761" i="32"/>
  <c r="M762" i="32" l="1"/>
  <c r="H762" i="32" s="1"/>
  <c r="E763" i="32" s="1" a="1"/>
  <c r="E763" i="32" s="1"/>
  <c r="F763" i="32" s="1" a="1"/>
  <c r="F763" i="32" s="1"/>
  <c r="I762" i="32" l="1"/>
  <c r="M763" i="32"/>
  <c r="G763" i="32" s="1"/>
  <c r="O763" i="32" s="1"/>
  <c r="G762" i="32"/>
  <c r="O762" i="32" s="1"/>
  <c r="H763" i="32" l="1"/>
  <c r="E764" i="32" s="1" a="1"/>
  <c r="E764" i="32" s="1"/>
  <c r="F764" i="32" s="1" a="1"/>
  <c r="F764" i="32" s="1"/>
  <c r="M764" i="32" s="1"/>
  <c r="I764" i="32" s="1"/>
  <c r="P763" i="32"/>
  <c r="Q763" i="32"/>
  <c r="N763" i="32"/>
  <c r="Q762" i="32"/>
  <c r="N762" i="32"/>
  <c r="P762" i="32"/>
  <c r="I763" i="32"/>
  <c r="H764" i="32" l="1"/>
  <c r="E765" i="32" s="1" a="1"/>
  <c r="E765" i="32" s="1"/>
  <c r="F765" i="32" s="1" a="1"/>
  <c r="F765" i="32" s="1"/>
  <c r="M765" i="32" s="1"/>
  <c r="G765" i="32" s="1"/>
  <c r="O765" i="32" s="1"/>
  <c r="G764" i="32"/>
  <c r="O764" i="32" s="1"/>
  <c r="N764" i="32" s="1"/>
  <c r="P764" i="32" l="1"/>
  <c r="Q764" i="32"/>
  <c r="H765" i="32"/>
  <c r="E766" i="32" s="1" a="1"/>
  <c r="E766" i="32" s="1"/>
  <c r="F766" i="32" s="1" a="1"/>
  <c r="F766" i="32" s="1"/>
  <c r="M766" i="32" s="1"/>
  <c r="I766" i="32" s="1"/>
  <c r="I765" i="32"/>
  <c r="Q765" i="32"/>
  <c r="N765" i="32"/>
  <c r="P765" i="32"/>
  <c r="H766" i="32" l="1"/>
  <c r="E767" i="32" s="1" a="1"/>
  <c r="E767" i="32" s="1"/>
  <c r="F767" i="32" s="1" a="1"/>
  <c r="F767" i="32" s="1"/>
  <c r="G766" i="32"/>
  <c r="O766" i="32" s="1"/>
  <c r="N766" i="32" l="1"/>
  <c r="Q766" i="32"/>
  <c r="P766" i="32"/>
  <c r="M767" i="32"/>
  <c r="I767" i="32" s="1"/>
  <c r="G767" i="32" l="1"/>
  <c r="O767" i="32" s="1"/>
  <c r="H767" i="32"/>
  <c r="E768" i="32" s="1" a="1"/>
  <c r="E768" i="32" s="1"/>
  <c r="F768" i="32" s="1" a="1"/>
  <c r="F768" i="32" s="1"/>
  <c r="M768" i="32" l="1"/>
  <c r="H768" i="32" s="1"/>
  <c r="E769" i="32" s="1" a="1"/>
  <c r="E769" i="32" s="1"/>
  <c r="F769" i="32" s="1" a="1"/>
  <c r="F769" i="32" s="1"/>
  <c r="Q767" i="32"/>
  <c r="P767" i="32"/>
  <c r="N767" i="32"/>
  <c r="I768" i="32" l="1"/>
  <c r="M769" i="32"/>
  <c r="I769" i="32" s="1"/>
  <c r="G768" i="32"/>
  <c r="O768" i="32" s="1"/>
  <c r="G769" i="32" l="1"/>
  <c r="O769" i="32" s="1"/>
  <c r="P769" i="32" s="1"/>
  <c r="H769" i="32"/>
  <c r="E770" i="32" s="1" a="1"/>
  <c r="E770" i="32" s="1"/>
  <c r="F770" i="32" s="1" a="1"/>
  <c r="F770" i="32" s="1"/>
  <c r="M770" i="32" s="1"/>
  <c r="G770" i="32" s="1"/>
  <c r="O770" i="32" s="1"/>
  <c r="N768" i="32"/>
  <c r="Q768" i="32"/>
  <c r="P768" i="32"/>
  <c r="N769" i="32" l="1"/>
  <c r="Q769" i="32"/>
  <c r="P770" i="32"/>
  <c r="Q770" i="32"/>
  <c r="N770" i="32"/>
  <c r="H770" i="32"/>
  <c r="E771" i="32" s="1" a="1"/>
  <c r="E771" i="32" s="1"/>
  <c r="F771" i="32" s="1" a="1"/>
  <c r="F771" i="32" s="1"/>
  <c r="I770" i="32"/>
  <c r="M771" i="32" l="1"/>
  <c r="G771" i="32" s="1"/>
  <c r="O771" i="32" s="1"/>
  <c r="H771" i="32" l="1"/>
  <c r="E772" i="32" s="1" a="1"/>
  <c r="E772" i="32" s="1"/>
  <c r="F772" i="32" s="1" a="1"/>
  <c r="F772" i="32" s="1"/>
  <c r="M772" i="32" s="1"/>
  <c r="G772" i="32" s="1"/>
  <c r="O772" i="32" s="1"/>
  <c r="N771" i="32"/>
  <c r="P771" i="32"/>
  <c r="Q771" i="32"/>
  <c r="I771" i="32"/>
  <c r="I772" i="32" l="1"/>
  <c r="H772" i="32"/>
  <c r="E773" i="32" s="1" a="1"/>
  <c r="E773" i="32" s="1"/>
  <c r="F773" i="32" s="1" a="1"/>
  <c r="F773" i="32" s="1"/>
  <c r="M773" i="32" s="1"/>
  <c r="H773" i="32" s="1"/>
  <c r="E774" i="32" s="1" a="1"/>
  <c r="E774" i="32" s="1"/>
  <c r="F774" i="32" s="1" a="1"/>
  <c r="F774" i="32" s="1"/>
  <c r="N772" i="32"/>
  <c r="Q772" i="32"/>
  <c r="P772" i="32"/>
  <c r="I773" i="32" l="1"/>
  <c r="M774" i="32"/>
  <c r="I774" i="32" s="1"/>
  <c r="G773" i="32"/>
  <c r="O773" i="32" s="1"/>
  <c r="H774" i="32" l="1"/>
  <c r="E775" i="32" s="1" a="1"/>
  <c r="E775" i="32" s="1"/>
  <c r="F775" i="32" s="1" a="1"/>
  <c r="F775" i="32" s="1"/>
  <c r="M775" i="32" s="1"/>
  <c r="G775" i="32" s="1"/>
  <c r="O775" i="32" s="1"/>
  <c r="G774" i="32"/>
  <c r="O774" i="32" s="1"/>
  <c r="P774" i="32" s="1"/>
  <c r="N773" i="32"/>
  <c r="Q773" i="32"/>
  <c r="P773" i="32"/>
  <c r="N774" i="32" l="1"/>
  <c r="Q774" i="32"/>
  <c r="H775" i="32"/>
  <c r="E776" i="32" s="1" a="1"/>
  <c r="E776" i="32" s="1"/>
  <c r="F776" i="32" s="1" a="1"/>
  <c r="F776" i="32" s="1"/>
  <c r="M776" i="32" s="1"/>
  <c r="H776" i="32" s="1"/>
  <c r="E777" i="32" s="1" a="1"/>
  <c r="E777" i="32" s="1"/>
  <c r="F777" i="32" s="1" a="1"/>
  <c r="F777" i="32" s="1"/>
  <c r="Q775" i="32"/>
  <c r="N775" i="32"/>
  <c r="P775" i="32"/>
  <c r="I775" i="32"/>
  <c r="G776" i="32" l="1"/>
  <c r="O776" i="32" s="1"/>
  <c r="N776" i="32" s="1"/>
  <c r="M777" i="32"/>
  <c r="H777" i="32" s="1"/>
  <c r="E778" i="32" s="1" a="1"/>
  <c r="E778" i="32" s="1"/>
  <c r="F778" i="32" s="1" a="1"/>
  <c r="F778" i="32" s="1"/>
  <c r="I776" i="32"/>
  <c r="Q776" i="32" l="1"/>
  <c r="P776" i="32"/>
  <c r="I777" i="32"/>
  <c r="M778" i="32"/>
  <c r="G778" i="32" s="1"/>
  <c r="O778" i="32" s="1"/>
  <c r="G777" i="32"/>
  <c r="O777" i="32" s="1"/>
  <c r="I778" i="32" l="1"/>
  <c r="H778" i="32"/>
  <c r="E779" i="32" s="1" a="1"/>
  <c r="E779" i="32" s="1"/>
  <c r="F779" i="32" s="1" a="1"/>
  <c r="F779" i="32" s="1"/>
  <c r="M779" i="32" s="1"/>
  <c r="G779" i="32" s="1"/>
  <c r="O779" i="32" s="1"/>
  <c r="P778" i="32"/>
  <c r="Q778" i="32"/>
  <c r="N778" i="32"/>
  <c r="N777" i="32"/>
  <c r="P777" i="32"/>
  <c r="Q777" i="32"/>
  <c r="I779" i="32" l="1"/>
  <c r="N779" i="32"/>
  <c r="Q779" i="32"/>
  <c r="P779" i="32"/>
  <c r="H779" i="32"/>
  <c r="E780" i="32" s="1" a="1"/>
  <c r="E780" i="32" s="1"/>
  <c r="F780" i="32" s="1" a="1"/>
  <c r="F780" i="32" s="1"/>
  <c r="M780" i="32" l="1"/>
  <c r="G780" i="32" s="1"/>
  <c r="O780" i="32" s="1"/>
  <c r="N780" i="32" l="1"/>
  <c r="Q780" i="32"/>
  <c r="P780" i="32"/>
  <c r="H780" i="32"/>
  <c r="E781" i="32" s="1" a="1"/>
  <c r="E781" i="32" s="1"/>
  <c r="F781" i="32" s="1" a="1"/>
  <c r="F781" i="32" s="1"/>
  <c r="I780" i="32"/>
  <c r="M781" i="32" l="1"/>
  <c r="I781" i="32" s="1"/>
  <c r="G781" i="32" l="1"/>
  <c r="O781" i="32" s="1"/>
  <c r="N781" i="32" s="1"/>
  <c r="H781" i="32"/>
  <c r="E782" i="32" s="1" a="1"/>
  <c r="E782" i="32" s="1"/>
  <c r="F782" i="32" s="1" a="1"/>
  <c r="F782" i="32" s="1"/>
  <c r="M782" i="32" s="1"/>
  <c r="I782" i="32" s="1"/>
  <c r="P781" i="32" l="1"/>
  <c r="Q781" i="32"/>
  <c r="H782" i="32"/>
  <c r="E783" i="32" s="1" a="1"/>
  <c r="E783" i="32" s="1"/>
  <c r="F783" i="32" s="1" a="1"/>
  <c r="F783" i="32" s="1"/>
  <c r="M783" i="32" s="1"/>
  <c r="G783" i="32" s="1"/>
  <c r="O783" i="32" s="1"/>
  <c r="G782" i="32"/>
  <c r="O782" i="32" s="1"/>
  <c r="P782" i="32" s="1"/>
  <c r="Q782" i="32" l="1"/>
  <c r="N782" i="32"/>
  <c r="H783" i="32"/>
  <c r="E784" i="32" s="1" a="1"/>
  <c r="E784" i="32" s="1"/>
  <c r="F784" i="32" s="1" a="1"/>
  <c r="F784" i="32" s="1"/>
  <c r="M784" i="32" s="1"/>
  <c r="I784" i="32" s="1"/>
  <c r="I783" i="32"/>
  <c r="P783" i="32"/>
  <c r="Q783" i="32"/>
  <c r="N783" i="32"/>
  <c r="G784" i="32" l="1"/>
  <c r="O784" i="32" s="1"/>
  <c r="N784" i="32" s="1"/>
  <c r="H784" i="32"/>
  <c r="E785" i="32" s="1" a="1"/>
  <c r="E785" i="32" s="1"/>
  <c r="F785" i="32" s="1" a="1"/>
  <c r="F785" i="32" s="1"/>
  <c r="Q784" i="32" l="1"/>
  <c r="P784" i="32"/>
  <c r="M785" i="32"/>
  <c r="H785" i="32" s="1"/>
  <c r="E786" i="32" s="1" a="1"/>
  <c r="E786" i="32" s="1"/>
  <c r="F786" i="32" s="1" a="1"/>
  <c r="F786" i="32" s="1"/>
  <c r="I785" i="32" l="1"/>
  <c r="G785" i="32"/>
  <c r="O785" i="32" s="1"/>
  <c r="Q785" i="32" s="1"/>
  <c r="M786" i="32"/>
  <c r="G786" i="32" s="1"/>
  <c r="O786" i="32" s="1"/>
  <c r="P785" i="32" l="1"/>
  <c r="N785" i="32"/>
  <c r="Q786" i="32"/>
  <c r="P786" i="32"/>
  <c r="N786" i="32"/>
  <c r="H786" i="32"/>
  <c r="E787" i="32" s="1" a="1"/>
  <c r="E787" i="32" s="1"/>
  <c r="F787" i="32" s="1" a="1"/>
  <c r="F787" i="32" s="1"/>
  <c r="I786" i="32"/>
  <c r="M787" i="32" l="1"/>
  <c r="G787" i="32" s="1"/>
  <c r="O787" i="32" s="1"/>
  <c r="P787" i="32" l="1"/>
  <c r="N787" i="32"/>
  <c r="Q787" i="32"/>
  <c r="I787" i="32"/>
  <c r="H787" i="32"/>
  <c r="E788" i="32" s="1" a="1"/>
  <c r="E788" i="32" s="1"/>
  <c r="F788" i="32" s="1" a="1"/>
  <c r="F788" i="32" s="1"/>
  <c r="M788" i="32" l="1"/>
  <c r="I788" i="32" s="1"/>
  <c r="G788" i="32" l="1"/>
  <c r="O788" i="32" s="1"/>
  <c r="N788" i="32" s="1"/>
  <c r="H788" i="32"/>
  <c r="E789" i="32" s="1" a="1"/>
  <c r="E789" i="32" s="1"/>
  <c r="F789" i="32" s="1" a="1"/>
  <c r="F789" i="32" s="1"/>
  <c r="M789" i="32" s="1"/>
  <c r="H789" i="32" s="1"/>
  <c r="E790" i="32" s="1" a="1"/>
  <c r="E790" i="32" s="1"/>
  <c r="F790" i="32" s="1" a="1"/>
  <c r="F790" i="32" s="1"/>
  <c r="P788" i="32" l="1"/>
  <c r="Q788" i="32"/>
  <c r="M790" i="32"/>
  <c r="I790" i="32" s="1"/>
  <c r="G789" i="32"/>
  <c r="O789" i="32" s="1"/>
  <c r="I789" i="32"/>
  <c r="Q789" i="32" l="1"/>
  <c r="P789" i="32"/>
  <c r="N789" i="32"/>
  <c r="G790" i="32"/>
  <c r="O790" i="32" s="1"/>
  <c r="H790" i="32"/>
  <c r="E791" i="32" s="1" a="1"/>
  <c r="E791" i="32" s="1"/>
  <c r="F791" i="32" s="1" a="1"/>
  <c r="F791" i="32" s="1"/>
  <c r="M791" i="32" l="1"/>
  <c r="G791" i="32" s="1"/>
  <c r="O791" i="32" s="1"/>
  <c r="N790" i="32"/>
  <c r="Q790" i="32"/>
  <c r="P790" i="32"/>
  <c r="N791" i="32" l="1"/>
  <c r="Q791" i="32"/>
  <c r="P791" i="32"/>
  <c r="H791" i="32"/>
  <c r="E792" i="32" s="1" a="1"/>
  <c r="E792" i="32" s="1"/>
  <c r="F792" i="32" s="1" a="1"/>
  <c r="F792" i="32" s="1"/>
  <c r="I791" i="32"/>
  <c r="M792" i="32" l="1"/>
  <c r="G792" i="32" s="1"/>
  <c r="O792" i="32" s="1"/>
  <c r="I792" i="32" l="1"/>
  <c r="H792" i="32"/>
  <c r="E793" i="32" s="1" a="1"/>
  <c r="E793" i="32" s="1"/>
  <c r="F793" i="32" s="1" a="1"/>
  <c r="F793" i="32" s="1"/>
  <c r="M793" i="32" s="1"/>
  <c r="I793" i="32" s="1"/>
  <c r="N792" i="32"/>
  <c r="Q792" i="32"/>
  <c r="P792" i="32"/>
  <c r="H793" i="32" l="1"/>
  <c r="E794" i="32" s="1" a="1"/>
  <c r="E794" i="32" s="1"/>
  <c r="F794" i="32" s="1" a="1"/>
  <c r="F794" i="32" s="1"/>
  <c r="M794" i="32" s="1"/>
  <c r="I794" i="32" s="1"/>
  <c r="G793" i="32"/>
  <c r="O793" i="32" s="1"/>
  <c r="G794" i="32" l="1"/>
  <c r="O794" i="32" s="1"/>
  <c r="P793" i="32"/>
  <c r="Q793" i="32"/>
  <c r="N793" i="32"/>
  <c r="H794" i="32"/>
  <c r="E795" i="32" s="1" a="1"/>
  <c r="E795" i="32" s="1"/>
  <c r="F795" i="32" s="1" a="1"/>
  <c r="F795" i="32" s="1"/>
  <c r="M795" i="32" l="1"/>
  <c r="G795" i="32" s="1"/>
  <c r="O795" i="32" s="1"/>
  <c r="Q794" i="32"/>
  <c r="P794" i="32"/>
  <c r="N794" i="32"/>
  <c r="Q795" i="32" l="1"/>
  <c r="P795" i="32"/>
  <c r="N795" i="32"/>
  <c r="H795" i="32"/>
  <c r="E796" i="32" s="1" a="1"/>
  <c r="E796" i="32" s="1"/>
  <c r="F796" i="32" s="1" a="1"/>
  <c r="F796" i="32" s="1"/>
  <c r="I795" i="32"/>
  <c r="M796" i="32" l="1"/>
  <c r="H796" i="32" s="1"/>
  <c r="E797" i="32" s="1" a="1"/>
  <c r="E797" i="32" s="1"/>
  <c r="F797" i="32" s="1" a="1"/>
  <c r="F797" i="32" s="1"/>
  <c r="I796" i="32" l="1"/>
  <c r="G796" i="32"/>
  <c r="O796" i="32" s="1"/>
  <c r="P796" i="32" s="1"/>
  <c r="M797" i="32"/>
  <c r="G797" i="32" s="1"/>
  <c r="O797" i="32" s="1"/>
  <c r="Q796" i="32" l="1"/>
  <c r="N796" i="32"/>
  <c r="Q797" i="32"/>
  <c r="P797" i="32"/>
  <c r="N797" i="32"/>
  <c r="H797" i="32"/>
  <c r="E798" i="32" s="1" a="1"/>
  <c r="E798" i="32" s="1"/>
  <c r="F798" i="32" s="1" a="1"/>
  <c r="F798" i="32" s="1"/>
  <c r="I797" i="32"/>
  <c r="M798" i="32" l="1"/>
  <c r="I798" i="32" s="1"/>
  <c r="G798" i="32" l="1"/>
  <c r="O798" i="32" s="1"/>
  <c r="N798" i="32" s="1"/>
  <c r="H798" i="32"/>
  <c r="E799" i="32" s="1" a="1"/>
  <c r="E799" i="32" s="1"/>
  <c r="F799" i="32" s="1" a="1"/>
  <c r="F799" i="32" s="1"/>
  <c r="M799" i="32" s="1"/>
  <c r="G799" i="32" s="1"/>
  <c r="O799" i="32" s="1"/>
  <c r="Q798" i="32" l="1"/>
  <c r="P798" i="32"/>
  <c r="N799" i="32"/>
  <c r="P799" i="32"/>
  <c r="Q799" i="32"/>
  <c r="H799" i="32"/>
  <c r="E800" i="32" s="1" a="1"/>
  <c r="E800" i="32" s="1"/>
  <c r="F800" i="32" s="1" a="1"/>
  <c r="F800" i="32" s="1"/>
  <c r="I799" i="32"/>
  <c r="M800" i="32" l="1"/>
  <c r="H800" i="32" s="1"/>
  <c r="E801" i="32" s="1" a="1"/>
  <c r="E801" i="32" s="1"/>
  <c r="F801" i="32" s="1" a="1"/>
  <c r="F801" i="32" s="1"/>
  <c r="G800" i="32" l="1"/>
  <c r="O800" i="32" s="1"/>
  <c r="N800" i="32" s="1"/>
  <c r="I800" i="32"/>
  <c r="M801" i="32"/>
  <c r="I801" i="32" s="1"/>
  <c r="Q800" i="32" l="1"/>
  <c r="P800" i="32"/>
  <c r="G801" i="32"/>
  <c r="O801" i="32" s="1"/>
  <c r="P801" i="32" s="1"/>
  <c r="H801" i="32"/>
  <c r="E802" i="32" s="1" a="1"/>
  <c r="E802" i="32" s="1"/>
  <c r="F802" i="32" s="1" a="1"/>
  <c r="F802" i="32" s="1"/>
  <c r="M802" i="32" s="1"/>
  <c r="H802" i="32" s="1"/>
  <c r="E803" i="32" s="1" a="1"/>
  <c r="E803" i="32" s="1"/>
  <c r="F803" i="32" s="1" a="1"/>
  <c r="F803" i="32" s="1"/>
  <c r="N801" i="32" l="1"/>
  <c r="Q801" i="32"/>
  <c r="G802" i="32"/>
  <c r="O802" i="32" s="1"/>
  <c r="Q802" i="32" s="1"/>
  <c r="M803" i="32"/>
  <c r="G803" i="32" s="1"/>
  <c r="O803" i="32" s="1"/>
  <c r="I802" i="32"/>
  <c r="N802" i="32" l="1"/>
  <c r="P802" i="32"/>
  <c r="I803" i="32"/>
  <c r="N803" i="32"/>
  <c r="P803" i="32"/>
  <c r="Q803" i="32"/>
  <c r="H803" i="32"/>
  <c r="E804" i="32" s="1" a="1"/>
  <c r="E804" i="32" s="1"/>
  <c r="F804" i="32" s="1" a="1"/>
  <c r="F804" i="32" s="1"/>
  <c r="M804" i="32" l="1"/>
  <c r="H804" i="32" s="1"/>
  <c r="E805" i="32" s="1" a="1"/>
  <c r="E805" i="32" s="1"/>
  <c r="F805" i="32" s="1" a="1"/>
  <c r="F805" i="32" s="1"/>
  <c r="M805" i="32" l="1"/>
  <c r="G805" i="32" s="1"/>
  <c r="O805" i="32" s="1"/>
  <c r="I804" i="32"/>
  <c r="G804" i="32"/>
  <c r="O804" i="32" s="1"/>
  <c r="H805" i="32" l="1"/>
  <c r="E806" i="32" s="1" a="1"/>
  <c r="E806" i="32" s="1"/>
  <c r="F806" i="32" s="1" a="1"/>
  <c r="F806" i="32" s="1"/>
  <c r="M806" i="32" s="1"/>
  <c r="H806" i="32" s="1"/>
  <c r="E807" i="32" s="1" a="1"/>
  <c r="E807" i="32" s="1"/>
  <c r="F807" i="32" s="1" a="1"/>
  <c r="F807" i="32" s="1"/>
  <c r="I805" i="32"/>
  <c r="P805" i="32"/>
  <c r="Q805" i="32"/>
  <c r="N805" i="32"/>
  <c r="N804" i="32"/>
  <c r="Q804" i="32"/>
  <c r="P804" i="32"/>
  <c r="M807" i="32" l="1"/>
  <c r="G807" i="32" s="1"/>
  <c r="O807" i="32" s="1"/>
  <c r="G806" i="32"/>
  <c r="O806" i="32" s="1"/>
  <c r="I806" i="32"/>
  <c r="P807" i="32" l="1"/>
  <c r="Q807" i="32"/>
  <c r="N807" i="32"/>
  <c r="P806" i="32"/>
  <c r="Q806" i="32"/>
  <c r="N806" i="32"/>
  <c r="I807" i="32"/>
  <c r="H807" i="32"/>
  <c r="E808" i="32" s="1" a="1"/>
  <c r="E808" i="32" s="1"/>
  <c r="F808" i="32" s="1" a="1"/>
  <c r="F808" i="32" s="1"/>
  <c r="M808" i="32" l="1"/>
  <c r="H808" i="32" s="1"/>
  <c r="E809" i="32" s="1" a="1"/>
  <c r="E809" i="32" s="1"/>
  <c r="F809" i="32" s="1" a="1"/>
  <c r="F809" i="32" s="1"/>
  <c r="M809" i="32" l="1"/>
  <c r="G809" i="32" s="1"/>
  <c r="O809" i="32" s="1"/>
  <c r="G808" i="32"/>
  <c r="O808" i="32" s="1"/>
  <c r="I808" i="32"/>
  <c r="I809" i="32" l="1"/>
  <c r="H809" i="32"/>
  <c r="E810" i="32" s="1" a="1"/>
  <c r="E810" i="32" s="1"/>
  <c r="F810" i="32" s="1" a="1"/>
  <c r="F810" i="32" s="1"/>
  <c r="M810" i="32" s="1"/>
  <c r="I810" i="32" s="1"/>
  <c r="Q809" i="32"/>
  <c r="P809" i="32"/>
  <c r="N809" i="32"/>
  <c r="N808" i="32"/>
  <c r="Q808" i="32"/>
  <c r="P808" i="32"/>
  <c r="G810" i="32" l="1"/>
  <c r="O810" i="32" s="1"/>
  <c r="H810" i="32"/>
  <c r="E811" i="32" s="1" a="1"/>
  <c r="E811" i="32" s="1"/>
  <c r="F811" i="32" s="1" a="1"/>
  <c r="F811" i="32" s="1"/>
  <c r="M811" i="32" l="1"/>
  <c r="G811" i="32" s="1"/>
  <c r="O811" i="32" s="1"/>
  <c r="P810" i="32"/>
  <c r="Q810" i="32"/>
  <c r="N810" i="32"/>
  <c r="P811" i="32" l="1"/>
  <c r="Q811" i="32"/>
  <c r="N811" i="32"/>
  <c r="H811" i="32"/>
  <c r="E812" i="32" s="1" a="1"/>
  <c r="E812" i="32" s="1"/>
  <c r="F812" i="32" s="1" a="1"/>
  <c r="F812" i="32" s="1"/>
  <c r="I811" i="32"/>
  <c r="M812" i="32" l="1"/>
  <c r="I812" i="32" s="1"/>
  <c r="H812" i="32" l="1"/>
  <c r="E813" i="32" s="1" a="1"/>
  <c r="E813" i="32" s="1"/>
  <c r="F813" i="32" s="1" a="1"/>
  <c r="F813" i="32" s="1"/>
  <c r="G812" i="32"/>
  <c r="O812" i="32" s="1"/>
  <c r="N812" i="32" l="1"/>
  <c r="Q812" i="32"/>
  <c r="P812" i="32"/>
  <c r="M813" i="32"/>
  <c r="H813" i="32" s="1"/>
  <c r="E814" i="32" s="1" a="1"/>
  <c r="E814" i="32" s="1"/>
  <c r="F814" i="32" s="1" a="1"/>
  <c r="F814" i="32" s="1"/>
  <c r="G813" i="32" l="1"/>
  <c r="O813" i="32" s="1"/>
  <c r="P813" i="32" s="1"/>
  <c r="I813" i="32"/>
  <c r="M814" i="32"/>
  <c r="H814" i="32" s="1"/>
  <c r="E815" i="32" s="1" a="1"/>
  <c r="E815" i="32" s="1"/>
  <c r="F815" i="32" s="1" a="1"/>
  <c r="F815" i="32" s="1"/>
  <c r="Q813" i="32" l="1"/>
  <c r="N813" i="32"/>
  <c r="I814" i="32"/>
  <c r="M815" i="32"/>
  <c r="G815" i="32" s="1"/>
  <c r="O815" i="32" s="1"/>
  <c r="G814" i="32"/>
  <c r="O814" i="32" s="1"/>
  <c r="P815" i="32" l="1"/>
  <c r="Q815" i="32"/>
  <c r="N815" i="32"/>
  <c r="P814" i="32"/>
  <c r="Q814" i="32"/>
  <c r="N814" i="32"/>
  <c r="I815" i="32"/>
  <c r="H815" i="32"/>
  <c r="E816" i="32" s="1" a="1"/>
  <c r="E816" i="32" s="1"/>
  <c r="F816" i="32" s="1" a="1"/>
  <c r="F816" i="32" s="1"/>
  <c r="M816" i="32" l="1"/>
  <c r="G816" i="32" s="1"/>
  <c r="O816" i="32" s="1"/>
  <c r="H816" i="32" l="1"/>
  <c r="E817" i="32" s="1" a="1"/>
  <c r="E817" i="32" s="1"/>
  <c r="F817" i="32" s="1" a="1"/>
  <c r="F817" i="32" s="1"/>
  <c r="M817" i="32" s="1"/>
  <c r="H817" i="32" s="1"/>
  <c r="E818" i="32" s="1" a="1"/>
  <c r="E818" i="32" s="1"/>
  <c r="F818" i="32" s="1" a="1"/>
  <c r="F818" i="32" s="1"/>
  <c r="N816" i="32"/>
  <c r="P816" i="32"/>
  <c r="Q816" i="32"/>
  <c r="I816" i="32"/>
  <c r="M818" i="32" l="1"/>
  <c r="G818" i="32" s="1"/>
  <c r="O818" i="32" s="1"/>
  <c r="I817" i="32"/>
  <c r="G817" i="32"/>
  <c r="O817" i="32" s="1"/>
  <c r="H818" i="32" l="1"/>
  <c r="E819" i="32" s="1" a="1"/>
  <c r="E819" i="32" s="1"/>
  <c r="F819" i="32" s="1" a="1"/>
  <c r="F819" i="32" s="1"/>
  <c r="M819" i="32" s="1"/>
  <c r="G819" i="32" s="1"/>
  <c r="O819" i="32" s="1"/>
  <c r="I818" i="32"/>
  <c r="N817" i="32"/>
  <c r="Q817" i="32"/>
  <c r="P817" i="32"/>
  <c r="N818" i="32"/>
  <c r="P818" i="32"/>
  <c r="Q818" i="32"/>
  <c r="P819" i="32" l="1"/>
  <c r="Q819" i="32"/>
  <c r="N819" i="32"/>
  <c r="I819" i="32"/>
  <c r="H819" i="32"/>
  <c r="E820" i="32" s="1" a="1"/>
  <c r="E820" i="32" s="1"/>
  <c r="F820" i="32" s="1" a="1"/>
  <c r="F820" i="32" s="1"/>
  <c r="M820" i="32" l="1"/>
  <c r="G820" i="32" s="1"/>
  <c r="O820" i="32" s="1"/>
  <c r="N820" i="32" l="1"/>
  <c r="P820" i="32"/>
  <c r="Q820" i="32"/>
  <c r="H820" i="32"/>
  <c r="E821" i="32" s="1" a="1"/>
  <c r="E821" i="32" s="1"/>
  <c r="F821" i="32" s="1" a="1"/>
  <c r="F821" i="32" s="1"/>
  <c r="I820" i="32"/>
  <c r="M821" i="32" l="1"/>
  <c r="I821" i="32" s="1"/>
  <c r="G821" i="32" l="1"/>
  <c r="O821" i="32" s="1"/>
  <c r="Q821" i="32" s="1"/>
  <c r="H821" i="32"/>
  <c r="E822" i="32" s="1" a="1"/>
  <c r="E822" i="32" s="1"/>
  <c r="F822" i="32" s="1" a="1"/>
  <c r="F822" i="32" s="1"/>
  <c r="N821" i="32" l="1"/>
  <c r="P821" i="32"/>
  <c r="M822" i="32"/>
  <c r="H822" i="32" s="1"/>
  <c r="E823" i="32" s="1" a="1"/>
  <c r="E823" i="32" s="1"/>
  <c r="F823" i="32" s="1" a="1"/>
  <c r="F823" i="32" s="1"/>
  <c r="G822" i="32" l="1"/>
  <c r="O822" i="32" s="1"/>
  <c r="Q822" i="32" s="1"/>
  <c r="I822" i="32"/>
  <c r="M823" i="32"/>
  <c r="G823" i="32" s="1"/>
  <c r="O823" i="32" s="1"/>
  <c r="N822" i="32" l="1"/>
  <c r="P822" i="32"/>
  <c r="Q823" i="32"/>
  <c r="N823" i="32"/>
  <c r="P823" i="32"/>
  <c r="H823" i="32"/>
  <c r="E824" i="32" s="1" a="1"/>
  <c r="E824" i="32" s="1"/>
  <c r="F824" i="32" s="1" a="1"/>
  <c r="F824" i="32" s="1"/>
  <c r="I823" i="32"/>
  <c r="M824" i="32" l="1"/>
  <c r="G824" i="32" s="1"/>
  <c r="O824" i="32" s="1"/>
  <c r="N824" i="32" l="1"/>
  <c r="P824" i="32"/>
  <c r="Q824" i="32"/>
  <c r="I824" i="32"/>
  <c r="H824" i="32"/>
  <c r="E825" i="32" s="1" a="1"/>
  <c r="E825" i="32" s="1"/>
  <c r="F825" i="32" s="1" a="1"/>
  <c r="F825" i="32" s="1"/>
  <c r="M825" i="32" l="1"/>
  <c r="I825" i="32" s="1"/>
  <c r="H825" i="32" l="1"/>
  <c r="E826" i="32" s="1" a="1"/>
  <c r="E826" i="32" s="1"/>
  <c r="F826" i="32" s="1" a="1"/>
  <c r="F826" i="32" s="1"/>
  <c r="M826" i="32" s="1"/>
  <c r="H826" i="32" s="1"/>
  <c r="E827" i="32" s="1" a="1"/>
  <c r="E827" i="32" s="1"/>
  <c r="F827" i="32" s="1" a="1"/>
  <c r="F827" i="32" s="1"/>
  <c r="G825" i="32"/>
  <c r="O825" i="32" s="1"/>
  <c r="G826" i="32" l="1"/>
  <c r="O826" i="32" s="1"/>
  <c r="P826" i="32" s="1"/>
  <c r="I826" i="32"/>
  <c r="M827" i="32"/>
  <c r="G827" i="32" s="1"/>
  <c r="O827" i="32" s="1"/>
  <c r="N825" i="32"/>
  <c r="Q825" i="32"/>
  <c r="P825" i="32"/>
  <c r="I827" i="32" l="1"/>
  <c r="N826" i="32"/>
  <c r="Q826" i="32"/>
  <c r="H827" i="32"/>
  <c r="E828" i="32" s="1" a="1"/>
  <c r="E828" i="32" s="1"/>
  <c r="F828" i="32" s="1" a="1"/>
  <c r="F828" i="32" s="1"/>
  <c r="M828" i="32" s="1"/>
  <c r="G828" i="32" s="1"/>
  <c r="O828" i="32" s="1"/>
  <c r="Q827" i="32"/>
  <c r="N827" i="32"/>
  <c r="P827" i="32"/>
  <c r="H828" i="32" l="1"/>
  <c r="E829" i="32" s="1" a="1"/>
  <c r="E829" i="32" s="1"/>
  <c r="F829" i="32" s="1" a="1"/>
  <c r="F829" i="32" s="1"/>
  <c r="I828" i="32"/>
  <c r="N828" i="32"/>
  <c r="P828" i="32"/>
  <c r="Q828" i="32"/>
  <c r="M829" i="32" l="1"/>
  <c r="H829" i="32" s="1"/>
  <c r="E830" i="32" s="1" a="1"/>
  <c r="E830" i="32" s="1"/>
  <c r="F830" i="32" s="1" a="1"/>
  <c r="F830" i="32" s="1"/>
  <c r="M830" i="32" s="1"/>
  <c r="H830" i="32" s="1"/>
  <c r="E831" i="32" s="1" a="1"/>
  <c r="E831" i="32" s="1"/>
  <c r="F831" i="32" s="1" a="1"/>
  <c r="F831" i="32" s="1"/>
  <c r="G829" i="32" l="1"/>
  <c r="O829" i="32" s="1"/>
  <c r="I829" i="32"/>
  <c r="M831" i="32"/>
  <c r="G831" i="32" s="1"/>
  <c r="O831" i="32" s="1"/>
  <c r="G830" i="32"/>
  <c r="O830" i="32" s="1"/>
  <c r="I830" i="32"/>
  <c r="Q829" i="32" l="1"/>
  <c r="P829" i="32"/>
  <c r="N829" i="32"/>
  <c r="Q831" i="32"/>
  <c r="P831" i="32"/>
  <c r="N831" i="32"/>
  <c r="N830" i="32"/>
  <c r="Q830" i="32"/>
  <c r="P830" i="32"/>
  <c r="H831" i="32"/>
  <c r="E832" i="32" s="1" a="1"/>
  <c r="E832" i="32" s="1"/>
  <c r="F832" i="32" s="1" a="1"/>
  <c r="F832" i="32" s="1"/>
  <c r="I831" i="32"/>
  <c r="M832" i="32" l="1"/>
  <c r="I832" i="32" s="1"/>
  <c r="H832" i="32" l="1"/>
  <c r="E833" i="32" s="1" a="1"/>
  <c r="E833" i="32" s="1"/>
  <c r="F833" i="32" s="1" a="1"/>
  <c r="F833" i="32" s="1"/>
  <c r="G832" i="32"/>
  <c r="O832" i="32" s="1"/>
  <c r="N832" i="32" l="1"/>
  <c r="Q832" i="32"/>
  <c r="P832" i="32"/>
  <c r="M833" i="32"/>
  <c r="G833" i="32" s="1"/>
  <c r="O833" i="32" s="1"/>
  <c r="Q833" i="32" l="1"/>
  <c r="P833" i="32"/>
  <c r="N833" i="32"/>
  <c r="I833" i="32"/>
  <c r="H833" i="32"/>
  <c r="E834" i="32" s="1" a="1"/>
  <c r="E834" i="32" s="1"/>
  <c r="F834" i="32" s="1" a="1"/>
  <c r="F834" i="32" s="1"/>
  <c r="M834" i="32" l="1"/>
  <c r="G834" i="32" s="1"/>
  <c r="O834" i="32" s="1"/>
  <c r="Q834" i="32" l="1"/>
  <c r="N834" i="32"/>
  <c r="P834" i="32"/>
  <c r="I834" i="32"/>
  <c r="H834" i="32"/>
  <c r="E835" i="32" s="1" a="1"/>
  <c r="E835" i="32" s="1"/>
  <c r="F835" i="32" s="1" a="1"/>
  <c r="F835" i="32" s="1"/>
  <c r="M835" i="32" l="1"/>
  <c r="G835" i="32" s="1"/>
  <c r="O835" i="32" s="1"/>
  <c r="N835" i="32" l="1"/>
  <c r="Q835" i="32"/>
  <c r="P835" i="32"/>
  <c r="I835" i="32"/>
  <c r="H835" i="32"/>
  <c r="E836" i="32" s="1" a="1"/>
  <c r="E836" i="32" s="1"/>
  <c r="F836" i="32" s="1" a="1"/>
  <c r="F836" i="32" s="1"/>
  <c r="M836" i="32" l="1"/>
  <c r="I836" i="32" s="1"/>
  <c r="H836" i="32" l="1"/>
  <c r="E837" i="32" s="1" a="1"/>
  <c r="E837" i="32" s="1"/>
  <c r="F837" i="32" s="1" a="1"/>
  <c r="F837" i="32" s="1"/>
  <c r="M837" i="32" s="1"/>
  <c r="I837" i="32" s="1"/>
  <c r="G836" i="32"/>
  <c r="O836" i="32" s="1"/>
  <c r="N836" i="32" s="1"/>
  <c r="P836" i="32" l="1"/>
  <c r="Q836" i="32"/>
  <c r="G837" i="32"/>
  <c r="O837" i="32" s="1"/>
  <c r="N837" i="32" s="1"/>
  <c r="H837" i="32"/>
  <c r="E838" i="32" s="1" a="1"/>
  <c r="E838" i="32" s="1"/>
  <c r="F838" i="32" s="1" a="1"/>
  <c r="F838" i="32" s="1"/>
  <c r="M838" i="32" s="1"/>
  <c r="Q837" i="32" l="1"/>
  <c r="P837" i="32"/>
  <c r="H838" i="32"/>
  <c r="E839" i="32" s="1" a="1"/>
  <c r="E839" i="32" s="1"/>
  <c r="F839" i="32" s="1" a="1"/>
  <c r="F839" i="32" s="1"/>
  <c r="M839" i="32" s="1"/>
  <c r="G839" i="32" s="1"/>
  <c r="O839" i="32" s="1"/>
  <c r="G838" i="32"/>
  <c r="O838" i="32" s="1"/>
  <c r="N838" i="32" s="1"/>
  <c r="I838" i="32"/>
  <c r="P838" i="32" l="1"/>
  <c r="Q838" i="32"/>
  <c r="Q839" i="32"/>
  <c r="P839" i="32"/>
  <c r="N839" i="32"/>
  <c r="I839" i="32"/>
  <c r="H839" i="32"/>
  <c r="E840" i="32" s="1" a="1"/>
  <c r="E840" i="32" s="1"/>
  <c r="F840" i="32" s="1" a="1"/>
  <c r="F840" i="32" s="1"/>
  <c r="M840" i="32" l="1"/>
  <c r="I840" i="32" s="1"/>
  <c r="H840" i="32" l="1"/>
  <c r="E841" i="32" s="1" a="1"/>
  <c r="E841" i="32" s="1"/>
  <c r="F841" i="32" s="1" a="1"/>
  <c r="F841" i="32" s="1"/>
  <c r="G840" i="32"/>
  <c r="O840" i="32" s="1"/>
  <c r="N840" i="32" l="1"/>
  <c r="Q840" i="32"/>
  <c r="P840" i="32"/>
  <c r="M841" i="32"/>
  <c r="H841" i="32" s="1"/>
  <c r="E842" i="32" s="1" a="1"/>
  <c r="E842" i="32" s="1"/>
  <c r="F842" i="32" s="1" a="1"/>
  <c r="F842" i="32" s="1"/>
  <c r="G841" i="32" l="1"/>
  <c r="O841" i="32" s="1"/>
  <c r="N841" i="32" s="1"/>
  <c r="M842" i="32"/>
  <c r="H842" i="32" s="1"/>
  <c r="E843" i="32" s="1" a="1"/>
  <c r="E843" i="32" s="1"/>
  <c r="F843" i="32" s="1" a="1"/>
  <c r="F843" i="32" s="1"/>
  <c r="I841" i="32"/>
  <c r="P841" i="32" l="1"/>
  <c r="Q841" i="32"/>
  <c r="G842" i="32"/>
  <c r="O842" i="32" s="1"/>
  <c r="P842" i="32" s="1"/>
  <c r="I842" i="32"/>
  <c r="M843" i="32"/>
  <c r="G843" i="32" s="1"/>
  <c r="O843" i="32" s="1"/>
  <c r="N842" i="32" l="1"/>
  <c r="Q842" i="32"/>
  <c r="Q843" i="32"/>
  <c r="P843" i="32"/>
  <c r="N843" i="32"/>
  <c r="I843" i="32"/>
  <c r="H843" i="32"/>
  <c r="E844" i="32" s="1" a="1"/>
  <c r="E844" i="32" s="1"/>
  <c r="F844" i="32" s="1" a="1"/>
  <c r="F844" i="32" s="1"/>
  <c r="M844" i="32" l="1"/>
  <c r="G844" i="32" s="1"/>
  <c r="O844" i="32" s="1"/>
  <c r="N844" i="32" l="1"/>
  <c r="Q844" i="32"/>
  <c r="P844" i="32"/>
  <c r="I844" i="32"/>
  <c r="H844" i="32"/>
  <c r="E845" i="32" s="1" a="1"/>
  <c r="E845" i="32" s="1"/>
  <c r="F845" i="32" s="1" a="1"/>
  <c r="F845" i="32" s="1"/>
  <c r="M845" i="32" l="1"/>
  <c r="H845" i="32" s="1"/>
  <c r="E846" i="32" s="1" a="1"/>
  <c r="E846" i="32" s="1"/>
  <c r="F846" i="32" s="1" a="1"/>
  <c r="F846" i="32" s="1"/>
  <c r="I845" i="32" l="1"/>
  <c r="G845" i="32"/>
  <c r="O845" i="32" s="1"/>
  <c r="Q845" i="32" s="1"/>
  <c r="M846" i="32"/>
  <c r="G846" i="32" s="1"/>
  <c r="O846" i="32" s="1"/>
  <c r="N845" i="32" l="1"/>
  <c r="P845" i="32"/>
  <c r="Q846" i="32"/>
  <c r="P846" i="32"/>
  <c r="N846" i="32"/>
  <c r="H846" i="32"/>
  <c r="E847" i="32" s="1" a="1"/>
  <c r="E847" i="32" s="1"/>
  <c r="F847" i="32" s="1" a="1"/>
  <c r="F847" i="32" s="1"/>
  <c r="I846" i="32"/>
  <c r="M847" i="32" l="1"/>
  <c r="G847" i="32" s="1"/>
  <c r="O847" i="32" s="1"/>
  <c r="H847" i="32" l="1"/>
  <c r="E848" i="32" s="1" a="1"/>
  <c r="E848" i="32" s="1"/>
  <c r="F848" i="32" s="1" a="1"/>
  <c r="F848" i="32" s="1"/>
  <c r="M848" i="32" s="1"/>
  <c r="I848" i="32" s="1"/>
  <c r="I847" i="32"/>
  <c r="Q847" i="32"/>
  <c r="P847" i="32"/>
  <c r="N847" i="32"/>
  <c r="G848" i="32" l="1"/>
  <c r="O848" i="32" s="1"/>
  <c r="H848" i="32"/>
  <c r="E849" i="32" s="1" a="1"/>
  <c r="E849" i="32" s="1"/>
  <c r="F849" i="32" s="1" a="1"/>
  <c r="F849" i="32" s="1"/>
  <c r="M849" i="32" l="1"/>
  <c r="I849" i="32" s="1"/>
  <c r="N848" i="32"/>
  <c r="Q848" i="32"/>
  <c r="P848" i="32"/>
  <c r="H849" i="32" l="1"/>
  <c r="E850" i="32" s="1" a="1"/>
  <c r="E850" i="32" s="1"/>
  <c r="F850" i="32" s="1" a="1"/>
  <c r="F850" i="32" s="1"/>
  <c r="G849" i="32"/>
  <c r="O849" i="32" s="1"/>
  <c r="Q849" i="32" l="1"/>
  <c r="P849" i="32"/>
  <c r="N849" i="32"/>
  <c r="M850" i="32"/>
  <c r="H850" i="32" s="1"/>
  <c r="E851" i="32" s="1" a="1"/>
  <c r="E851" i="32" s="1"/>
  <c r="F851" i="32" s="1" a="1"/>
  <c r="F851" i="32" s="1"/>
  <c r="M851" i="32" l="1"/>
  <c r="G851" i="32" s="1"/>
  <c r="O851" i="32" s="1"/>
  <c r="G850" i="32"/>
  <c r="O850" i="32" s="1"/>
  <c r="I850" i="32"/>
  <c r="Q851" i="32" l="1"/>
  <c r="P851" i="32"/>
  <c r="N851" i="32"/>
  <c r="N850" i="32"/>
  <c r="Q850" i="32"/>
  <c r="P850" i="32"/>
  <c r="I851" i="32"/>
  <c r="H851" i="32"/>
  <c r="E852" i="32" s="1" a="1"/>
  <c r="E852" i="32" s="1"/>
  <c r="F852" i="32" s="1" a="1"/>
  <c r="F852" i="32" s="1"/>
  <c r="M852" i="32" l="1"/>
  <c r="G852" i="32" s="1"/>
  <c r="O852" i="32" s="1"/>
  <c r="N852" i="32" l="1"/>
  <c r="P852" i="32"/>
  <c r="Q852" i="32"/>
  <c r="H852" i="32"/>
  <c r="E853" i="32" s="1" a="1"/>
  <c r="E853" i="32" s="1"/>
  <c r="F853" i="32" s="1" a="1"/>
  <c r="F853" i="32" s="1"/>
  <c r="I852" i="32"/>
  <c r="M853" i="32" l="1"/>
  <c r="H853" i="32" s="1"/>
  <c r="E854" i="32" s="1" a="1"/>
  <c r="E854" i="32" s="1"/>
  <c r="F854" i="32" s="1" a="1"/>
  <c r="F854" i="32" s="1"/>
  <c r="G853" i="32" l="1"/>
  <c r="O853" i="32" s="1"/>
  <c r="Q853" i="32" s="1"/>
  <c r="I853" i="32"/>
  <c r="M854" i="32"/>
  <c r="I854" i="32" s="1"/>
  <c r="N853" i="32" l="1"/>
  <c r="P853" i="32"/>
  <c r="G854" i="32"/>
  <c r="O854" i="32" s="1"/>
  <c r="Q854" i="32" s="1"/>
  <c r="H854" i="32"/>
  <c r="E855" i="32" s="1" a="1"/>
  <c r="E855" i="32" s="1"/>
  <c r="F855" i="32" s="1" a="1"/>
  <c r="F855" i="32" s="1"/>
  <c r="M855" i="32" s="1"/>
  <c r="G855" i="32" s="1"/>
  <c r="O855" i="32" s="1"/>
  <c r="P854" i="32" l="1"/>
  <c r="N854" i="32"/>
  <c r="N855" i="32"/>
  <c r="P855" i="32"/>
  <c r="Q855" i="32"/>
  <c r="H855" i="32"/>
  <c r="E856" i="32" s="1" a="1"/>
  <c r="E856" i="32" s="1"/>
  <c r="F856" i="32" s="1" a="1"/>
  <c r="F856" i="32" s="1"/>
  <c r="I855" i="32"/>
  <c r="M856" i="32" l="1"/>
  <c r="G856" i="32" s="1"/>
  <c r="O856" i="32" s="1"/>
  <c r="N856" i="32" l="1"/>
  <c r="P856" i="32"/>
  <c r="Q856" i="32"/>
  <c r="I856" i="32"/>
  <c r="H856" i="32"/>
  <c r="E857" i="32" s="1" a="1"/>
  <c r="E857" i="32" s="1"/>
  <c r="F857" i="32" s="1" a="1"/>
  <c r="F857" i="32" s="1"/>
  <c r="M857" i="32" l="1"/>
  <c r="G857" i="32" s="1"/>
  <c r="O857" i="32" s="1"/>
  <c r="N857" i="32" l="1"/>
  <c r="P857" i="32"/>
  <c r="Q857" i="32"/>
  <c r="H857" i="32"/>
  <c r="E858" i="32" s="1" a="1"/>
  <c r="E858" i="32" s="1"/>
  <c r="F858" i="32" s="1" a="1"/>
  <c r="F858" i="32" s="1"/>
  <c r="I857" i="32"/>
  <c r="M858" i="32" l="1"/>
  <c r="I858" i="32" s="1"/>
  <c r="G858" i="32" l="1"/>
  <c r="O858" i="32" s="1"/>
  <c r="H858" i="32"/>
  <c r="E859" i="32" s="1" a="1"/>
  <c r="E859" i="32" s="1"/>
  <c r="F859" i="32" s="1" a="1"/>
  <c r="F859" i="32" s="1"/>
  <c r="M859" i="32" l="1"/>
  <c r="G859" i="32" s="1"/>
  <c r="O859" i="32" s="1"/>
  <c r="Q858" i="32"/>
  <c r="P858" i="32"/>
  <c r="N858" i="32"/>
  <c r="Q859" i="32" l="1"/>
  <c r="P859" i="32"/>
  <c r="N859" i="32"/>
  <c r="H859" i="32"/>
  <c r="E860" i="32" s="1" a="1"/>
  <c r="E860" i="32" s="1"/>
  <c r="F860" i="32" s="1" a="1"/>
  <c r="F860" i="32" s="1"/>
  <c r="I859" i="32"/>
  <c r="M860" i="32" l="1"/>
  <c r="I860" i="32" s="1"/>
  <c r="H860" i="32" l="1"/>
  <c r="E861" i="32" s="1" a="1"/>
  <c r="E861" i="32" s="1"/>
  <c r="F861" i="32" s="1" a="1"/>
  <c r="F861" i="32" s="1"/>
  <c r="M861" i="32" s="1"/>
  <c r="G861" i="32" s="1"/>
  <c r="O861" i="32" s="1"/>
  <c r="G860" i="32"/>
  <c r="O860" i="32" s="1"/>
  <c r="P861" i="32" l="1"/>
  <c r="Q861" i="32"/>
  <c r="N861" i="32"/>
  <c r="N860" i="32"/>
  <c r="Q860" i="32"/>
  <c r="P860" i="32"/>
  <c r="I861" i="32"/>
  <c r="H861" i="32"/>
  <c r="E862" i="32" s="1" a="1"/>
  <c r="E862" i="32" s="1"/>
  <c r="F862" i="32" s="1" a="1"/>
  <c r="F862" i="32" s="1"/>
  <c r="M862" i="32" l="1"/>
  <c r="I862" i="32" s="1"/>
  <c r="H862" i="32" l="1"/>
  <c r="E863" i="32" s="1" a="1"/>
  <c r="E863" i="32" s="1"/>
  <c r="F863" i="32" s="1" a="1"/>
  <c r="F863" i="32" s="1"/>
  <c r="G862" i="32"/>
  <c r="O862" i="32" s="1"/>
  <c r="N862" i="32" l="1"/>
  <c r="Q862" i="32"/>
  <c r="P862" i="32"/>
  <c r="M863" i="32"/>
  <c r="G863" i="32" s="1"/>
  <c r="O863" i="32" s="1"/>
  <c r="N863" i="32" l="1"/>
  <c r="Q863" i="32"/>
  <c r="P863" i="32"/>
  <c r="I863" i="32"/>
  <c r="H863" i="32"/>
  <c r="E864" i="32" s="1" a="1"/>
  <c r="E864" i="32" s="1"/>
  <c r="F864" i="32" s="1" a="1"/>
  <c r="F864" i="32" s="1"/>
  <c r="M864" i="32" l="1"/>
  <c r="H864" i="32" s="1"/>
  <c r="E865" i="32" s="1" a="1"/>
  <c r="E865" i="32" s="1"/>
  <c r="F865" i="32" s="1" a="1"/>
  <c r="F865" i="32" s="1"/>
  <c r="M865" i="32" l="1"/>
  <c r="I865" i="32" s="1"/>
  <c r="I864" i="32"/>
  <c r="G864" i="32"/>
  <c r="O864" i="32" s="1"/>
  <c r="H865" i="32" l="1"/>
  <c r="E866" i="32" s="1" a="1"/>
  <c r="E866" i="32" s="1"/>
  <c r="F866" i="32" s="1" a="1"/>
  <c r="F866" i="32" s="1"/>
  <c r="M866" i="32" s="1"/>
  <c r="G866" i="32" s="1"/>
  <c r="O866" i="32" s="1"/>
  <c r="G865" i="32"/>
  <c r="O865" i="32" s="1"/>
  <c r="P865" i="32" s="1"/>
  <c r="N864" i="32"/>
  <c r="P864" i="32"/>
  <c r="Q864" i="32"/>
  <c r="Q865" i="32" l="1"/>
  <c r="N865" i="32"/>
  <c r="Q866" i="32"/>
  <c r="N866" i="32"/>
  <c r="P866" i="32"/>
  <c r="I866" i="32"/>
  <c r="H866" i="32"/>
  <c r="E867" i="32" s="1" a="1"/>
  <c r="E867" i="32" s="1"/>
  <c r="F867" i="32" s="1" a="1"/>
  <c r="F867" i="32" s="1"/>
  <c r="M867" i="32" l="1"/>
  <c r="G867" i="32" s="1"/>
  <c r="O867" i="32" s="1"/>
  <c r="N867" i="32" l="1"/>
  <c r="P867" i="32"/>
  <c r="Q867" i="32"/>
  <c r="H867" i="32"/>
  <c r="E868" i="32" s="1" a="1"/>
  <c r="E868" i="32" s="1"/>
  <c r="F868" i="32" s="1" a="1"/>
  <c r="F868" i="32" s="1"/>
  <c r="I867" i="32"/>
  <c r="M868" i="32" l="1"/>
  <c r="H868" i="32" s="1"/>
  <c r="E869" i="32" s="1" a="1"/>
  <c r="E869" i="32" s="1"/>
  <c r="F869" i="32" s="1" a="1"/>
  <c r="F869" i="32" s="1"/>
  <c r="I868" i="32" l="1"/>
  <c r="M869" i="32"/>
  <c r="I869" i="32" s="1"/>
  <c r="G868" i="32"/>
  <c r="O868" i="32" s="1"/>
  <c r="G869" i="32" l="1"/>
  <c r="O869" i="32" s="1"/>
  <c r="Q869" i="32" s="1"/>
  <c r="H869" i="32"/>
  <c r="E870" i="32" s="1" a="1"/>
  <c r="E870" i="32" s="1"/>
  <c r="F870" i="32" s="1" a="1"/>
  <c r="F870" i="32" s="1"/>
  <c r="M870" i="32" s="1"/>
  <c r="G870" i="32" s="1"/>
  <c r="O870" i="32" s="1"/>
  <c r="N868" i="32"/>
  <c r="P868" i="32"/>
  <c r="Q868" i="32"/>
  <c r="N869" i="32" l="1"/>
  <c r="P869" i="32"/>
  <c r="P870" i="32"/>
  <c r="N870" i="32"/>
  <c r="Q870" i="32"/>
  <c r="I870" i="32"/>
  <c r="H870" i="32"/>
  <c r="E871" i="32" s="1" a="1"/>
  <c r="E871" i="32" s="1"/>
  <c r="F871" i="32" s="1" a="1"/>
  <c r="F871" i="32" s="1"/>
  <c r="M871" i="32" l="1"/>
  <c r="I871" i="32" s="1"/>
  <c r="G871" i="32" l="1"/>
  <c r="O871" i="32" s="1"/>
  <c r="H871" i="32"/>
  <c r="E872" i="32" s="1" a="1"/>
  <c r="E872" i="32" s="1"/>
  <c r="F872" i="32" s="1" a="1"/>
  <c r="F872" i="32" s="1"/>
  <c r="M872" i="32" l="1"/>
  <c r="H872" i="32" s="1"/>
  <c r="E873" i="32" s="1" a="1"/>
  <c r="E873" i="32" s="1"/>
  <c r="F873" i="32" s="1" a="1"/>
  <c r="F873" i="32" s="1"/>
  <c r="P871" i="32"/>
  <c r="N871" i="32"/>
  <c r="Q871" i="32"/>
  <c r="M873" i="32" l="1"/>
  <c r="I873" i="32" s="1"/>
  <c r="I872" i="32"/>
  <c r="G872" i="32"/>
  <c r="O872" i="32" s="1"/>
  <c r="Q872" i="32" l="1"/>
  <c r="P872" i="32"/>
  <c r="N872" i="32"/>
  <c r="H873" i="32"/>
  <c r="E874" i="32" s="1" a="1"/>
  <c r="E874" i="32" s="1"/>
  <c r="F874" i="32" s="1" a="1"/>
  <c r="F874" i="32" s="1"/>
  <c r="G873" i="32"/>
  <c r="O873" i="32" s="1"/>
  <c r="P873" i="32" l="1"/>
  <c r="Q873" i="32"/>
  <c r="N873" i="32"/>
  <c r="M874" i="32"/>
  <c r="G874" i="32" s="1"/>
  <c r="O874" i="32" s="1"/>
  <c r="P874" i="32" l="1"/>
  <c r="Q874" i="32"/>
  <c r="N874" i="32"/>
  <c r="I874" i="32"/>
  <c r="H874" i="32"/>
  <c r="E875" i="32" s="1" a="1"/>
  <c r="E875" i="32" s="1"/>
  <c r="F875" i="32" s="1" a="1"/>
  <c r="F875" i="32" s="1"/>
  <c r="M875" i="32" l="1"/>
  <c r="I875" i="32" s="1"/>
  <c r="G875" i="32" l="1"/>
  <c r="O875" i="32" s="1"/>
  <c r="H875" i="32"/>
  <c r="E876" i="32" s="1" a="1"/>
  <c r="E876" i="32" s="1"/>
  <c r="F876" i="32" s="1" a="1"/>
  <c r="F876" i="32" s="1"/>
  <c r="M876" i="32" l="1"/>
  <c r="H876" i="32" s="1"/>
  <c r="E877" i="32" s="1" a="1"/>
  <c r="E877" i="32" s="1"/>
  <c r="F877" i="32" s="1" a="1"/>
  <c r="F877" i="32" s="1"/>
  <c r="P875" i="32"/>
  <c r="N875" i="32"/>
  <c r="Q875" i="32"/>
  <c r="M877" i="32" l="1"/>
  <c r="I877" i="32" s="1"/>
  <c r="G876" i="32"/>
  <c r="O876" i="32" s="1"/>
  <c r="I876" i="32"/>
  <c r="N876" i="32" l="1"/>
  <c r="Q876" i="32"/>
  <c r="P876" i="32"/>
  <c r="H877" i="32"/>
  <c r="E878" i="32" s="1" a="1"/>
  <c r="E878" i="32" s="1"/>
  <c r="F878" i="32" s="1" a="1"/>
  <c r="F878" i="32" s="1"/>
  <c r="G877" i="32"/>
  <c r="O877" i="32" s="1"/>
  <c r="Q877" i="32" l="1"/>
  <c r="P877" i="32"/>
  <c r="N877" i="32"/>
  <c r="M878" i="32"/>
  <c r="H878" i="32" s="1"/>
  <c r="E879" i="32" s="1" a="1"/>
  <c r="E879" i="32" s="1"/>
  <c r="F879" i="32" s="1" a="1"/>
  <c r="F879" i="32" s="1"/>
  <c r="G878" i="32" l="1"/>
  <c r="O878" i="32" s="1"/>
  <c r="P878" i="32" s="1"/>
  <c r="I878" i="32"/>
  <c r="M879" i="32"/>
  <c r="H879" i="32" s="1"/>
  <c r="E880" i="32" s="1" a="1"/>
  <c r="E880" i="32" s="1"/>
  <c r="F880" i="32" s="1" a="1"/>
  <c r="F880" i="32" s="1"/>
  <c r="Q878" i="32" l="1"/>
  <c r="N878" i="32"/>
  <c r="I879" i="32"/>
  <c r="M880" i="32"/>
  <c r="G880" i="32" s="1"/>
  <c r="O880" i="32" s="1"/>
  <c r="G879" i="32"/>
  <c r="O879" i="32" s="1"/>
  <c r="I880" i="32" l="1"/>
  <c r="H880" i="32"/>
  <c r="E881" i="32" s="1" a="1"/>
  <c r="E881" i="32" s="1"/>
  <c r="F881" i="32" s="1" a="1"/>
  <c r="F881" i="32" s="1"/>
  <c r="M881" i="32" s="1"/>
  <c r="I881" i="32" s="1"/>
  <c r="Q880" i="32"/>
  <c r="N880" i="32"/>
  <c r="P880" i="32"/>
  <c r="N879" i="32"/>
  <c r="P879" i="32"/>
  <c r="Q879" i="32"/>
  <c r="G881" i="32" l="1"/>
  <c r="O881" i="32" s="1"/>
  <c r="H881" i="32"/>
  <c r="E882" i="32" s="1" a="1"/>
  <c r="E882" i="32" s="1"/>
  <c r="F882" i="32" s="1" a="1"/>
  <c r="F882" i="32" s="1"/>
  <c r="M882" i="32" l="1"/>
  <c r="H882" i="32" s="1"/>
  <c r="E883" i="32" s="1" a="1"/>
  <c r="E883" i="32" s="1"/>
  <c r="F883" i="32" s="1" a="1"/>
  <c r="F883" i="32" s="1"/>
  <c r="N881" i="32"/>
  <c r="P881" i="32"/>
  <c r="Q881" i="32"/>
  <c r="M883" i="32" l="1"/>
  <c r="I883" i="32" s="1"/>
  <c r="I882" i="32"/>
  <c r="G882" i="32"/>
  <c r="O882" i="32" s="1"/>
  <c r="P882" i="32" l="1"/>
  <c r="Q882" i="32"/>
  <c r="N882" i="32"/>
  <c r="G883" i="32"/>
  <c r="O883" i="32" s="1"/>
  <c r="H883" i="32"/>
  <c r="E884" i="32" s="1" a="1"/>
  <c r="E884" i="32" s="1"/>
  <c r="F884" i="32" s="1" a="1"/>
  <c r="F884" i="32" s="1"/>
  <c r="M884" i="32" l="1"/>
  <c r="G884" i="32" s="1"/>
  <c r="O884" i="32" s="1"/>
  <c r="Q883" i="32"/>
  <c r="P883" i="32"/>
  <c r="N883" i="32"/>
  <c r="N884" i="32" l="1"/>
  <c r="Q884" i="32"/>
  <c r="P884" i="32"/>
  <c r="I884" i="32"/>
  <c r="H884" i="32"/>
  <c r="E885" i="32" s="1" a="1"/>
  <c r="E885" i="32" s="1"/>
  <c r="F885" i="32" s="1" a="1"/>
  <c r="F885" i="32" s="1"/>
  <c r="M885" i="32" l="1"/>
  <c r="I885" i="32" s="1"/>
  <c r="G885" i="32" l="1"/>
  <c r="O885" i="32" s="1"/>
  <c r="H885" i="32"/>
  <c r="E886" i="32" s="1" a="1"/>
  <c r="E886" i="32" s="1"/>
  <c r="F886" i="32" s="1" a="1"/>
  <c r="F886" i="32" s="1"/>
  <c r="M886" i="32" l="1"/>
  <c r="I886" i="32" s="1"/>
  <c r="P885" i="32"/>
  <c r="Q885" i="32"/>
  <c r="N885" i="32"/>
  <c r="H886" i="32" l="1"/>
  <c r="E887" i="32" s="1" a="1"/>
  <c r="E887" i="32" s="1"/>
  <c r="F887" i="32" s="1" a="1"/>
  <c r="F887" i="32" s="1"/>
  <c r="G886" i="32"/>
  <c r="O886" i="32" s="1"/>
  <c r="P886" i="32" l="1"/>
  <c r="Q886" i="32"/>
  <c r="N886" i="32"/>
  <c r="M887" i="32"/>
  <c r="H887" i="32" s="1"/>
  <c r="E888" i="32" s="1" a="1"/>
  <c r="E888" i="32" s="1"/>
  <c r="F888" i="32" s="1" a="1"/>
  <c r="F888" i="32" s="1"/>
  <c r="G887" i="32" l="1"/>
  <c r="O887" i="32" s="1"/>
  <c r="P887" i="32" s="1"/>
  <c r="I887" i="32"/>
  <c r="M888" i="32"/>
  <c r="I888" i="32" s="1"/>
  <c r="G888" i="32" l="1"/>
  <c r="O888" i="32" s="1"/>
  <c r="N888" i="32" s="1"/>
  <c r="H888" i="32"/>
  <c r="E889" i="32" s="1" a="1"/>
  <c r="E889" i="32" s="1"/>
  <c r="F889" i="32" s="1" a="1"/>
  <c r="F889" i="32" s="1"/>
  <c r="M889" i="32" s="1"/>
  <c r="I889" i="32" s="1"/>
  <c r="N887" i="32"/>
  <c r="Q887" i="32"/>
  <c r="Q888" i="32" l="1"/>
  <c r="P888" i="32"/>
  <c r="G889" i="32"/>
  <c r="O889" i="32" s="1"/>
  <c r="H889" i="32"/>
  <c r="E890" i="32" s="1" a="1"/>
  <c r="E890" i="32" s="1"/>
  <c r="F890" i="32" s="1" a="1"/>
  <c r="F890" i="32" s="1"/>
  <c r="M890" i="32" l="1"/>
  <c r="I890" i="32" s="1"/>
  <c r="N889" i="32"/>
  <c r="Q889" i="32"/>
  <c r="P889" i="32"/>
  <c r="G890" i="32" l="1"/>
  <c r="O890" i="32" s="1"/>
  <c r="H890" i="32"/>
  <c r="E891" i="32" s="1" a="1"/>
  <c r="E891" i="32" s="1"/>
  <c r="F891" i="32" s="1" a="1"/>
  <c r="F891" i="32" s="1"/>
  <c r="M891" i="32" l="1"/>
  <c r="I891" i="32" s="1"/>
  <c r="P890" i="32"/>
  <c r="Q890" i="32"/>
  <c r="N890" i="32"/>
  <c r="G891" i="32" l="1"/>
  <c r="O891" i="32" s="1"/>
  <c r="P891" i="32" s="1"/>
  <c r="H891" i="32"/>
  <c r="E892" i="32" s="1" a="1"/>
  <c r="E892" i="32" s="1"/>
  <c r="F892" i="32" s="1" a="1"/>
  <c r="F892" i="32" s="1"/>
  <c r="Q891" i="32" l="1"/>
  <c r="N891" i="32"/>
  <c r="M892" i="32"/>
  <c r="I892" i="32" s="1"/>
  <c r="H892" i="32" l="1"/>
  <c r="E893" i="32" s="1" a="1"/>
  <c r="E893" i="32" s="1"/>
  <c r="F893" i="32" s="1" a="1"/>
  <c r="F893" i="32" s="1"/>
  <c r="G892" i="32"/>
  <c r="O892" i="32" s="1"/>
  <c r="P892" i="32" l="1"/>
  <c r="Q892" i="32"/>
  <c r="N892" i="32"/>
  <c r="M893" i="32"/>
  <c r="G893" i="32" s="1"/>
  <c r="O893" i="32" s="1"/>
  <c r="N893" i="32" l="1"/>
  <c r="P893" i="32"/>
  <c r="Q893" i="32"/>
  <c r="H893" i="32"/>
  <c r="E894" i="32" s="1" a="1"/>
  <c r="E894" i="32" s="1"/>
  <c r="F894" i="32" s="1" a="1"/>
  <c r="F894" i="32" s="1"/>
  <c r="I893" i="32"/>
  <c r="M894" i="32" l="1"/>
  <c r="I894" i="32" s="1"/>
  <c r="G894" i="32" l="1"/>
  <c r="O894" i="32" s="1"/>
  <c r="P894" i="32" s="1"/>
  <c r="H894" i="32"/>
  <c r="E895" i="32" s="1" a="1"/>
  <c r="E895" i="32" s="1"/>
  <c r="F895" i="32" s="1" a="1"/>
  <c r="F895" i="32" s="1"/>
  <c r="M895" i="32" s="1"/>
  <c r="G895" i="32" s="1"/>
  <c r="O895" i="32" s="1"/>
  <c r="Q894" i="32" l="1"/>
  <c r="N894" i="32"/>
  <c r="P895" i="32"/>
  <c r="Q895" i="32"/>
  <c r="N895" i="32"/>
  <c r="H895" i="32"/>
  <c r="E896" i="32" s="1" a="1"/>
  <c r="E896" i="32" s="1"/>
  <c r="F896" i="32" s="1" a="1"/>
  <c r="F896" i="32" s="1"/>
  <c r="I895" i="32"/>
  <c r="M896" i="32" l="1"/>
  <c r="H896" i="32" s="1"/>
  <c r="E897" i="32" s="1" a="1"/>
  <c r="E897" i="32" s="1"/>
  <c r="F897" i="32" s="1" a="1"/>
  <c r="F897" i="32" s="1"/>
  <c r="I896" i="32" l="1"/>
  <c r="G896" i="32"/>
  <c r="O896" i="32" s="1"/>
  <c r="Q896" i="32" s="1"/>
  <c r="M897" i="32"/>
  <c r="I897" i="32" s="1"/>
  <c r="N896" i="32" l="1"/>
  <c r="P896" i="32"/>
  <c r="H897" i="32"/>
  <c r="E898" i="32" s="1" a="1"/>
  <c r="E898" i="32" s="1"/>
  <c r="F898" i="32" s="1" a="1"/>
  <c r="F898" i="32" s="1"/>
  <c r="M898" i="32" s="1"/>
  <c r="H898" i="32" s="1"/>
  <c r="E899" i="32" s="1" a="1"/>
  <c r="E899" i="32" s="1"/>
  <c r="F899" i="32" s="1" a="1"/>
  <c r="F899" i="32" s="1"/>
  <c r="G897" i="32"/>
  <c r="O897" i="32" s="1"/>
  <c r="Q897" i="32" s="1"/>
  <c r="P897" i="32" l="1"/>
  <c r="N897" i="32"/>
  <c r="I898" i="32"/>
  <c r="G898" i="32"/>
  <c r="O898" i="32" s="1"/>
  <c r="N898" i="32" s="1"/>
  <c r="M899" i="32"/>
  <c r="G899" i="32" s="1"/>
  <c r="O899" i="32" s="1"/>
  <c r="P898" i="32" l="1"/>
  <c r="Q898" i="32"/>
  <c r="Q899" i="32"/>
  <c r="P899" i="32"/>
  <c r="N899" i="32"/>
  <c r="H899" i="32"/>
  <c r="E900" i="32" s="1" a="1"/>
  <c r="E900" i="32" s="1"/>
  <c r="F900" i="32" s="1" a="1"/>
  <c r="F900" i="32" s="1"/>
  <c r="I899" i="32"/>
  <c r="M900" i="32" l="1"/>
  <c r="G900" i="32" s="1"/>
  <c r="O900" i="32" s="1"/>
  <c r="H900" i="32" l="1"/>
  <c r="E901" i="32" s="1" a="1"/>
  <c r="E901" i="32" s="1"/>
  <c r="F901" i="32" s="1" a="1"/>
  <c r="F901" i="32" s="1"/>
  <c r="M901" i="32" s="1"/>
  <c r="H901" i="32" s="1"/>
  <c r="E902" i="32" s="1" a="1"/>
  <c r="E902" i="32" s="1"/>
  <c r="F902" i="32" s="1" a="1"/>
  <c r="F902" i="32" s="1"/>
  <c r="I900" i="32"/>
  <c r="Q900" i="32"/>
  <c r="P900" i="32"/>
  <c r="N900" i="32"/>
  <c r="G901" i="32" l="1"/>
  <c r="O901" i="32" s="1"/>
  <c r="N901" i="32" s="1"/>
  <c r="M902" i="32"/>
  <c r="I902" i="32" s="1"/>
  <c r="I901" i="32"/>
  <c r="P901" i="32" l="1"/>
  <c r="Q901" i="32"/>
  <c r="G902" i="32"/>
  <c r="O902" i="32" s="1"/>
  <c r="H902" i="32"/>
  <c r="E903" i="32" s="1" a="1"/>
  <c r="E903" i="32" s="1"/>
  <c r="F903" i="32" s="1" a="1"/>
  <c r="F903" i="32" s="1"/>
  <c r="M903" i="32" l="1"/>
  <c r="I903" i="32" s="1"/>
  <c r="P902" i="32"/>
  <c r="Q902" i="32"/>
  <c r="N902" i="32"/>
  <c r="G903" i="32" l="1"/>
  <c r="O903" i="32" s="1"/>
  <c r="H903" i="32"/>
  <c r="E904" i="32" s="1" a="1"/>
  <c r="E904" i="32" s="1"/>
  <c r="F904" i="32" s="1" a="1"/>
  <c r="F904" i="32" s="1"/>
  <c r="M904" i="32" l="1"/>
  <c r="G904" i="32" s="1"/>
  <c r="O904" i="32" s="1"/>
  <c r="N903" i="32"/>
  <c r="P903" i="32"/>
  <c r="Q903" i="32"/>
  <c r="H904" i="32" l="1"/>
  <c r="E905" i="32" s="1" a="1"/>
  <c r="E905" i="32" s="1"/>
  <c r="F905" i="32" s="1" a="1"/>
  <c r="F905" i="32" s="1"/>
  <c r="M905" i="32" s="1"/>
  <c r="I905" i="32" s="1"/>
  <c r="I904" i="32"/>
  <c r="N904" i="32"/>
  <c r="P904" i="32"/>
  <c r="Q904" i="32"/>
  <c r="H905" i="32" l="1"/>
  <c r="E906" i="32" s="1" a="1"/>
  <c r="E906" i="32" s="1"/>
  <c r="F906" i="32" s="1" a="1"/>
  <c r="F906" i="32" s="1"/>
  <c r="M906" i="32" s="1"/>
  <c r="H906" i="32" s="1"/>
  <c r="E907" i="32" s="1" a="1"/>
  <c r="E907" i="32" s="1"/>
  <c r="F907" i="32" s="1" a="1"/>
  <c r="F907" i="32" s="1"/>
  <c r="G905" i="32"/>
  <c r="O905" i="32" s="1"/>
  <c r="P905" i="32" s="1"/>
  <c r="Q905" i="32" l="1"/>
  <c r="N905" i="32"/>
  <c r="I906" i="32"/>
  <c r="G906" i="32"/>
  <c r="O906" i="32" s="1"/>
  <c r="P906" i="32" s="1"/>
  <c r="M907" i="32"/>
  <c r="H907" i="32" s="1"/>
  <c r="E908" i="32" s="1" a="1"/>
  <c r="E908" i="32" s="1"/>
  <c r="F908" i="32" s="1" a="1"/>
  <c r="F908" i="32" s="1"/>
  <c r="Q906" i="32" l="1"/>
  <c r="N906" i="32"/>
  <c r="G907" i="32"/>
  <c r="O907" i="32" s="1"/>
  <c r="N907" i="32" s="1"/>
  <c r="I907" i="32"/>
  <c r="M908" i="32"/>
  <c r="G908" i="32" s="1"/>
  <c r="O908" i="32" s="1"/>
  <c r="Q907" i="32" l="1"/>
  <c r="P907" i="32"/>
  <c r="P908" i="32"/>
  <c r="Q908" i="32"/>
  <c r="N908" i="32"/>
  <c r="H908" i="32"/>
  <c r="E909" i="32" s="1" a="1"/>
  <c r="E909" i="32" s="1"/>
  <c r="F909" i="32" s="1" a="1"/>
  <c r="F909" i="32" s="1"/>
  <c r="I908" i="32"/>
  <c r="M909" i="32" l="1"/>
  <c r="I909" i="32" s="1"/>
  <c r="H909" i="32" l="1"/>
  <c r="E910" i="32" s="1" a="1"/>
  <c r="E910" i="32" s="1"/>
  <c r="F910" i="32" s="1" a="1"/>
  <c r="F910" i="32" s="1"/>
  <c r="M910" i="32" s="1"/>
  <c r="G910" i="32" s="1"/>
  <c r="O910" i="32" s="1"/>
  <c r="G909" i="32"/>
  <c r="O909" i="32" s="1"/>
  <c r="I910" i="32" l="1"/>
  <c r="P910" i="32"/>
  <c r="N910" i="32"/>
  <c r="Q910" i="32"/>
  <c r="N909" i="32"/>
  <c r="Q909" i="32"/>
  <c r="P909" i="32"/>
  <c r="H910" i="32"/>
  <c r="E911" i="32" s="1" a="1"/>
  <c r="E911" i="32" s="1"/>
  <c r="F911" i="32" s="1" a="1"/>
  <c r="F911" i="32" s="1"/>
  <c r="M911" i="32" l="1"/>
  <c r="I911" i="32" s="1"/>
  <c r="G911" i="32" l="1"/>
  <c r="O911" i="32" s="1"/>
  <c r="H911" i="32"/>
  <c r="E912" i="32" s="1" a="1"/>
  <c r="E912" i="32" s="1"/>
  <c r="F912" i="32" s="1" a="1"/>
  <c r="F912" i="32" s="1"/>
  <c r="M912" i="32" l="1"/>
  <c r="I912" i="32" s="1"/>
  <c r="N911" i="32"/>
  <c r="P911" i="32"/>
  <c r="Q911" i="32"/>
  <c r="G912" i="32" l="1"/>
  <c r="O912" i="32" s="1"/>
  <c r="N912" i="32" s="1"/>
  <c r="H912" i="32"/>
  <c r="E913" i="32" s="1" a="1"/>
  <c r="E913" i="32" s="1"/>
  <c r="F913" i="32" s="1" a="1"/>
  <c r="F913" i="32" s="1"/>
  <c r="M913" i="32" s="1"/>
  <c r="I913" i="32" s="1"/>
  <c r="P912" i="32" l="1"/>
  <c r="Q912" i="32"/>
  <c r="H913" i="32"/>
  <c r="E914" i="32" s="1" a="1"/>
  <c r="E914" i="32" s="1"/>
  <c r="F914" i="32" s="1" a="1"/>
  <c r="F914" i="32" s="1"/>
  <c r="M914" i="32" s="1"/>
  <c r="I914" i="32" s="1"/>
  <c r="G913" i="32"/>
  <c r="O913" i="32" s="1"/>
  <c r="N913" i="32" l="1"/>
  <c r="P913" i="32"/>
  <c r="Q913" i="32"/>
  <c r="G914" i="32"/>
  <c r="O914" i="32" s="1"/>
  <c r="H914" i="32"/>
  <c r="E915" i="32" s="1" a="1"/>
  <c r="E915" i="32" s="1"/>
  <c r="F915" i="32" s="1" a="1"/>
  <c r="F915" i="32" s="1"/>
  <c r="M915" i="32" l="1"/>
  <c r="I915" i="32" s="1"/>
  <c r="P914" i="32"/>
  <c r="Q914" i="32"/>
  <c r="N914" i="32"/>
  <c r="H915" i="32" l="1"/>
  <c r="E916" i="32" s="1" a="1"/>
  <c r="E916" i="32" s="1"/>
  <c r="F916" i="32" s="1" a="1"/>
  <c r="F916" i="32" s="1"/>
  <c r="G915" i="32"/>
  <c r="O915" i="32" s="1"/>
  <c r="Q915" i="32" l="1"/>
  <c r="P915" i="32"/>
  <c r="N915" i="32"/>
  <c r="M916" i="32"/>
  <c r="H916" i="32" s="1"/>
  <c r="E917" i="32" s="1" a="1"/>
  <c r="E917" i="32" s="1"/>
  <c r="F917" i="32" s="1" a="1"/>
  <c r="F917" i="32" s="1"/>
  <c r="M917" i="32" l="1"/>
  <c r="I917" i="32" s="1"/>
  <c r="I916" i="32"/>
  <c r="G916" i="32"/>
  <c r="O916" i="32" s="1"/>
  <c r="N916" i="32" l="1"/>
  <c r="Q916" i="32"/>
  <c r="P916" i="32"/>
  <c r="H917" i="32"/>
  <c r="E918" i="32" s="1" a="1"/>
  <c r="E918" i="32" s="1"/>
  <c r="F918" i="32" s="1" a="1"/>
  <c r="F918" i="32" s="1"/>
  <c r="G917" i="32"/>
  <c r="O917" i="32" s="1"/>
  <c r="M918" i="32" l="1"/>
  <c r="G918" i="32" s="1"/>
  <c r="O918" i="32" s="1"/>
  <c r="Q917" i="32"/>
  <c r="N917" i="32"/>
  <c r="P917" i="32"/>
  <c r="I918" i="32" l="1"/>
  <c r="P918" i="32"/>
  <c r="Q918" i="32"/>
  <c r="N918" i="32"/>
  <c r="H918" i="32"/>
  <c r="E919" i="32" s="1" a="1"/>
  <c r="E919" i="32" s="1"/>
  <c r="F919" i="32" s="1" a="1"/>
  <c r="F919" i="32" s="1"/>
  <c r="M919" i="32" l="1"/>
  <c r="H919" i="32" s="1"/>
  <c r="E920" i="32" s="1" a="1"/>
  <c r="E920" i="32" s="1"/>
  <c r="F920" i="32" s="1" a="1"/>
  <c r="F920" i="32" s="1"/>
  <c r="M920" i="32" l="1"/>
  <c r="H920" i="32" s="1"/>
  <c r="E921" i="32" s="1" a="1"/>
  <c r="E921" i="32" s="1"/>
  <c r="F921" i="32" s="1" a="1"/>
  <c r="F921" i="32" s="1"/>
  <c r="I919" i="32"/>
  <c r="G919" i="32"/>
  <c r="O919" i="32" s="1"/>
  <c r="I920" i="32" l="1"/>
  <c r="M921" i="32"/>
  <c r="I921" i="32" s="1"/>
  <c r="N919" i="32"/>
  <c r="Q919" i="32"/>
  <c r="P919" i="32"/>
  <c r="G920" i="32"/>
  <c r="O920" i="32" s="1"/>
  <c r="Q920" i="32" l="1"/>
  <c r="P920" i="32"/>
  <c r="N920" i="32"/>
  <c r="G921" i="32"/>
  <c r="O921" i="32" s="1"/>
  <c r="H921" i="32"/>
  <c r="E922" i="32" s="1" a="1"/>
  <c r="E922" i="32" s="1"/>
  <c r="F922" i="32" s="1" a="1"/>
  <c r="F922" i="32" s="1"/>
  <c r="M922" i="32" l="1"/>
  <c r="H922" i="32" s="1"/>
  <c r="E923" i="32" s="1" a="1"/>
  <c r="E923" i="32" s="1"/>
  <c r="F923" i="32" s="1" a="1"/>
  <c r="F923" i="32" s="1"/>
  <c r="N921" i="32"/>
  <c r="Q921" i="32"/>
  <c r="P921" i="32"/>
  <c r="I922" i="32" l="1"/>
  <c r="G922" i="32"/>
  <c r="O922" i="32" s="1"/>
  <c r="P922" i="32" s="1"/>
  <c r="M923" i="32"/>
  <c r="H923" i="32" s="1"/>
  <c r="E924" i="32" s="1" a="1"/>
  <c r="E924" i="32" s="1"/>
  <c r="F924" i="32" s="1" a="1"/>
  <c r="F924" i="32" s="1"/>
  <c r="Q922" i="32" l="1"/>
  <c r="N922" i="32"/>
  <c r="M924" i="32"/>
  <c r="I924" i="32" s="1"/>
  <c r="I923" i="32"/>
  <c r="G923" i="32"/>
  <c r="O923" i="32" s="1"/>
  <c r="H924" i="32" l="1"/>
  <c r="E925" i="32" s="1" a="1"/>
  <c r="E925" i="32" s="1"/>
  <c r="F925" i="32" s="1" a="1"/>
  <c r="F925" i="32" s="1"/>
  <c r="M925" i="32" s="1"/>
  <c r="H925" i="32" s="1"/>
  <c r="E926" i="32" s="1" a="1"/>
  <c r="E926" i="32" s="1"/>
  <c r="F926" i="32" s="1" a="1"/>
  <c r="F926" i="32" s="1"/>
  <c r="Q923" i="32"/>
  <c r="N923" i="32"/>
  <c r="P923" i="32"/>
  <c r="G924" i="32"/>
  <c r="O924" i="32" s="1"/>
  <c r="G925" i="32" l="1"/>
  <c r="O925" i="32" s="1"/>
  <c r="Q925" i="32" s="1"/>
  <c r="M926" i="32"/>
  <c r="G926" i="32" s="1"/>
  <c r="O926" i="32" s="1"/>
  <c r="Q924" i="32"/>
  <c r="N924" i="32"/>
  <c r="P924" i="32"/>
  <c r="I925" i="32"/>
  <c r="N925" i="32" l="1"/>
  <c r="P925" i="32"/>
  <c r="I926" i="32"/>
  <c r="H926" i="32"/>
  <c r="E927" i="32" s="1" a="1"/>
  <c r="E927" i="32" s="1"/>
  <c r="F927" i="32" s="1" a="1"/>
  <c r="F927" i="32" s="1"/>
  <c r="M927" i="32" s="1"/>
  <c r="G927" i="32" s="1"/>
  <c r="O927" i="32" s="1"/>
  <c r="P926" i="32"/>
  <c r="Q926" i="32"/>
  <c r="N926" i="32"/>
  <c r="Q927" i="32" l="1"/>
  <c r="P927" i="32"/>
  <c r="N927" i="32"/>
  <c r="H927" i="32"/>
  <c r="E928" i="32" s="1" a="1"/>
  <c r="E928" i="32" s="1"/>
  <c r="F928" i="32" s="1" a="1"/>
  <c r="F928" i="32" s="1"/>
  <c r="I927" i="32"/>
  <c r="M928" i="32" l="1"/>
  <c r="I928" i="32" s="1"/>
  <c r="H928" i="32" l="1"/>
  <c r="E929" i="32" s="1" a="1"/>
  <c r="E929" i="32" s="1"/>
  <c r="F929" i="32" s="1" a="1"/>
  <c r="F929" i="32" s="1"/>
  <c r="G928" i="32"/>
  <c r="O928" i="32" s="1"/>
  <c r="Q928" i="32" l="1"/>
  <c r="P928" i="32"/>
  <c r="N928" i="32"/>
  <c r="M929" i="32"/>
  <c r="I929" i="32" s="1"/>
  <c r="H929" i="32" l="1"/>
  <c r="E930" i="32" s="1" a="1"/>
  <c r="E930" i="32" s="1"/>
  <c r="F930" i="32" s="1" a="1"/>
  <c r="F930" i="32" s="1"/>
  <c r="M930" i="32" s="1"/>
  <c r="H930" i="32" s="1"/>
  <c r="E931" i="32" s="1" a="1"/>
  <c r="E931" i="32" s="1"/>
  <c r="F931" i="32" s="1" a="1"/>
  <c r="F931" i="32" s="1"/>
  <c r="G929" i="32"/>
  <c r="O929" i="32" s="1"/>
  <c r="G930" i="32" l="1"/>
  <c r="O930" i="32" s="1"/>
  <c r="P930" i="32" s="1"/>
  <c r="I930" i="32"/>
  <c r="M931" i="32"/>
  <c r="I931" i="32" s="1"/>
  <c r="P929" i="32"/>
  <c r="Q929" i="32"/>
  <c r="N929" i="32"/>
  <c r="Q930" i="32" l="1"/>
  <c r="N930" i="32"/>
  <c r="H931" i="32"/>
  <c r="E932" i="32" s="1" a="1"/>
  <c r="E932" i="32" s="1"/>
  <c r="F932" i="32" s="1" a="1"/>
  <c r="F932" i="32" s="1"/>
  <c r="M932" i="32" s="1"/>
  <c r="H932" i="32" s="1"/>
  <c r="E933" i="32" s="1" a="1"/>
  <c r="E933" i="32" s="1"/>
  <c r="F933" i="32" s="1" a="1"/>
  <c r="F933" i="32" s="1"/>
  <c r="G931" i="32"/>
  <c r="O931" i="32" s="1"/>
  <c r="Q931" i="32" s="1"/>
  <c r="N931" i="32" l="1"/>
  <c r="P931" i="32"/>
  <c r="M933" i="32"/>
  <c r="I933" i="32" s="1"/>
  <c r="G932" i="32"/>
  <c r="O932" i="32" s="1"/>
  <c r="I932" i="32"/>
  <c r="P932" i="32" l="1"/>
  <c r="Q932" i="32"/>
  <c r="N932" i="32"/>
  <c r="G933" i="32"/>
  <c r="O933" i="32" s="1"/>
  <c r="H933" i="32"/>
  <c r="E934" i="32" s="1" a="1"/>
  <c r="E934" i="32" s="1"/>
  <c r="F934" i="32" s="1" a="1"/>
  <c r="F934" i="32" s="1"/>
  <c r="N933" i="32" l="1"/>
  <c r="P933" i="32"/>
  <c r="Q933" i="32"/>
  <c r="M934" i="32"/>
  <c r="H934" i="32" s="1"/>
  <c r="E935" i="32" s="1" a="1"/>
  <c r="E935" i="32" s="1"/>
  <c r="F935" i="32" s="1" a="1"/>
  <c r="F935" i="32" s="1"/>
  <c r="G934" i="32" l="1"/>
  <c r="O934" i="32" s="1"/>
  <c r="P934" i="32" s="1"/>
  <c r="I934" i="32"/>
  <c r="M935" i="32"/>
  <c r="G935" i="32" s="1"/>
  <c r="O935" i="32" s="1"/>
  <c r="Q934" i="32" l="1"/>
  <c r="N934" i="32"/>
  <c r="P935" i="32"/>
  <c r="N935" i="32"/>
  <c r="Q935" i="32"/>
  <c r="I935" i="32"/>
  <c r="H935" i="32"/>
  <c r="E936" i="32" s="1" a="1"/>
  <c r="E936" i="32" s="1"/>
  <c r="F936" i="32" s="1" a="1"/>
  <c r="F936" i="32" s="1"/>
  <c r="M936" i="32" l="1"/>
  <c r="I936" i="32" s="1"/>
  <c r="H936" i="32" l="1"/>
  <c r="E937" i="32" s="1" a="1"/>
  <c r="E937" i="32" s="1"/>
  <c r="F937" i="32" s="1" a="1"/>
  <c r="F937" i="32" s="1"/>
  <c r="G936" i="32"/>
  <c r="O936" i="32" s="1"/>
  <c r="N936" i="32" l="1"/>
  <c r="P936" i="32"/>
  <c r="Q936" i="32"/>
  <c r="M937" i="32"/>
  <c r="I937" i="32" s="1"/>
  <c r="G937" i="32" l="1"/>
  <c r="O937" i="32" s="1"/>
  <c r="N937" i="32" s="1"/>
  <c r="H937" i="32"/>
  <c r="E938" i="32" s="1" a="1"/>
  <c r="E938" i="32" s="1"/>
  <c r="F938" i="32" s="1" a="1"/>
  <c r="F938" i="32" s="1"/>
  <c r="M938" i="32" s="1"/>
  <c r="H938" i="32" s="1"/>
  <c r="E939" i="32" s="1" a="1"/>
  <c r="E939" i="32" s="1"/>
  <c r="F939" i="32" s="1" a="1"/>
  <c r="F939" i="32" s="1"/>
  <c r="Q937" i="32" l="1"/>
  <c r="P937" i="32"/>
  <c r="I938" i="32"/>
  <c r="G938" i="32"/>
  <c r="O938" i="32" s="1"/>
  <c r="P938" i="32" s="1"/>
  <c r="M939" i="32"/>
  <c r="I939" i="32" s="1"/>
  <c r="N938" i="32" l="1"/>
  <c r="Q938" i="32"/>
  <c r="H939" i="32"/>
  <c r="E940" i="32" s="1" a="1"/>
  <c r="E940" i="32" s="1"/>
  <c r="F940" i="32" s="1" a="1"/>
  <c r="F940" i="32" s="1"/>
  <c r="M940" i="32" s="1"/>
  <c r="I940" i="32" s="1"/>
  <c r="G939" i="32"/>
  <c r="O939" i="32" s="1"/>
  <c r="P939" i="32" l="1"/>
  <c r="Q939" i="32"/>
  <c r="N939" i="32"/>
  <c r="H940" i="32"/>
  <c r="E941" i="32" s="1" a="1"/>
  <c r="E941" i="32" s="1"/>
  <c r="F941" i="32" s="1" a="1"/>
  <c r="F941" i="32" s="1"/>
  <c r="G940" i="32"/>
  <c r="O940" i="32" s="1"/>
  <c r="N940" i="32" l="1"/>
  <c r="P940" i="32"/>
  <c r="Q940" i="32"/>
  <c r="M941" i="32"/>
  <c r="I941" i="32" s="1"/>
  <c r="G941" i="32" l="1"/>
  <c r="O941" i="32" s="1"/>
  <c r="Q941" i="32" s="1"/>
  <c r="H941" i="32"/>
  <c r="E942" i="32" s="1" a="1"/>
  <c r="E942" i="32" s="1"/>
  <c r="F942" i="32" s="1" a="1"/>
  <c r="F942" i="32" s="1"/>
  <c r="M942" i="32" s="1"/>
  <c r="I942" i="32" s="1"/>
  <c r="P941" i="32" l="1"/>
  <c r="N941" i="32"/>
  <c r="G942" i="32"/>
  <c r="O942" i="32" s="1"/>
  <c r="P942" i="32" s="1"/>
  <c r="H942" i="32"/>
  <c r="E943" i="32" s="1" a="1"/>
  <c r="E943" i="32" s="1"/>
  <c r="F943" i="32" s="1" a="1"/>
  <c r="F943" i="32" s="1"/>
  <c r="Q942" i="32" l="1"/>
  <c r="N942" i="32"/>
  <c r="M943" i="32"/>
  <c r="H943" i="32" s="1"/>
  <c r="E944" i="32" s="1" a="1"/>
  <c r="E944" i="32" s="1"/>
  <c r="F944" i="32" s="1" a="1"/>
  <c r="F944" i="32" s="1"/>
  <c r="I943" i="32" l="1"/>
  <c r="G943" i="32"/>
  <c r="O943" i="32" s="1"/>
  <c r="N943" i="32" s="1"/>
  <c r="M944" i="32"/>
  <c r="H944" i="32" s="1"/>
  <c r="E945" i="32" s="1" a="1"/>
  <c r="E945" i="32" s="1"/>
  <c r="F945" i="32" s="1" a="1"/>
  <c r="F945" i="32" s="1"/>
  <c r="P943" i="32" l="1"/>
  <c r="Q943" i="32"/>
  <c r="M945" i="32"/>
  <c r="I945" i="32" s="1"/>
  <c r="G944" i="32"/>
  <c r="O944" i="32" s="1"/>
  <c r="I944" i="32"/>
  <c r="G945" i="32" l="1"/>
  <c r="O945" i="32" s="1"/>
  <c r="Q945" i="32" s="1"/>
  <c r="H945" i="32"/>
  <c r="E946" i="32" s="1" a="1"/>
  <c r="E946" i="32" s="1"/>
  <c r="F946" i="32" s="1" a="1"/>
  <c r="F946" i="32" s="1"/>
  <c r="M946" i="32" s="1"/>
  <c r="I946" i="32" s="1"/>
  <c r="Q944" i="32"/>
  <c r="N944" i="32"/>
  <c r="P944" i="32"/>
  <c r="N945" i="32" l="1"/>
  <c r="P945" i="32"/>
  <c r="G946" i="32"/>
  <c r="O946" i="32" s="1"/>
  <c r="H946" i="32"/>
  <c r="E947" i="32" s="1" a="1"/>
  <c r="E947" i="32" s="1"/>
  <c r="F947" i="32" s="1" a="1"/>
  <c r="F947" i="32" s="1"/>
  <c r="M947" i="32" l="1"/>
  <c r="I947" i="32" s="1"/>
  <c r="P946" i="32"/>
  <c r="N946" i="32"/>
  <c r="Q946" i="32"/>
  <c r="G947" i="32" l="1"/>
  <c r="O947" i="32" s="1"/>
  <c r="H947" i="32"/>
  <c r="E948" i="32" s="1" a="1"/>
  <c r="E948" i="32" s="1"/>
  <c r="F948" i="32" s="1" a="1"/>
  <c r="F948" i="32" s="1"/>
  <c r="M948" i="32" l="1"/>
  <c r="I948" i="32" s="1"/>
  <c r="N947" i="32"/>
  <c r="Q947" i="32"/>
  <c r="P947" i="32"/>
  <c r="G948" i="32" l="1"/>
  <c r="O948" i="32" s="1"/>
  <c r="H948" i="32"/>
  <c r="E949" i="32" s="1" a="1"/>
  <c r="E949" i="32" s="1"/>
  <c r="F949" i="32" s="1" a="1"/>
  <c r="F949" i="32" s="1"/>
  <c r="M949" i="32" l="1"/>
  <c r="I949" i="32" s="1"/>
  <c r="N948" i="32"/>
  <c r="Q948" i="32"/>
  <c r="P948" i="32"/>
  <c r="G949" i="32" l="1"/>
  <c r="O949" i="32" s="1"/>
  <c r="H949" i="32"/>
  <c r="E950" i="32" s="1" a="1"/>
  <c r="E950" i="32" s="1"/>
  <c r="F950" i="32" s="1" a="1"/>
  <c r="F950" i="32" s="1"/>
  <c r="M950" i="32" l="1"/>
  <c r="H950" i="32" s="1"/>
  <c r="E951" i="32" s="1" a="1"/>
  <c r="E951" i="32" s="1"/>
  <c r="F951" i="32" s="1" a="1"/>
  <c r="F951" i="32" s="1"/>
  <c r="N949" i="32"/>
  <c r="Q949" i="32"/>
  <c r="P949" i="32"/>
  <c r="M951" i="32" l="1"/>
  <c r="I951" i="32" s="1"/>
  <c r="I950" i="32"/>
  <c r="G950" i="32"/>
  <c r="O950" i="32" s="1"/>
  <c r="P950" i="32" l="1"/>
  <c r="Q950" i="32"/>
  <c r="N950" i="32"/>
  <c r="G951" i="32"/>
  <c r="O951" i="32" s="1"/>
  <c r="H951" i="32"/>
  <c r="E952" i="32" s="1" a="1"/>
  <c r="E952" i="32" s="1"/>
  <c r="F952" i="32" s="1" a="1"/>
  <c r="F952" i="32" s="1"/>
  <c r="M952" i="32" l="1"/>
  <c r="I952" i="32" s="1"/>
  <c r="N951" i="32"/>
  <c r="Q951" i="32"/>
  <c r="P951" i="32"/>
  <c r="G952" i="32" l="1"/>
  <c r="O952" i="32" s="1"/>
  <c r="Q952" i="32" s="1"/>
  <c r="H952" i="32"/>
  <c r="E953" i="32" s="1" a="1"/>
  <c r="E953" i="32" s="1"/>
  <c r="F953" i="32" s="1" a="1"/>
  <c r="F953" i="32" s="1"/>
  <c r="M953" i="32" s="1"/>
  <c r="I953" i="32" s="1"/>
  <c r="N952" i="32" l="1"/>
  <c r="P952" i="32"/>
  <c r="H953" i="32"/>
  <c r="E954" i="32" s="1" a="1"/>
  <c r="E954" i="32" s="1"/>
  <c r="F954" i="32" s="1" a="1"/>
  <c r="F954" i="32" s="1"/>
  <c r="G953" i="32"/>
  <c r="O953" i="32" s="1"/>
  <c r="P953" i="32" l="1"/>
  <c r="Q953" i="32"/>
  <c r="N953" i="32"/>
  <c r="M954" i="32"/>
  <c r="G954" i="32" s="1"/>
  <c r="O954" i="32" s="1"/>
  <c r="I954" i="32" l="1"/>
  <c r="P954" i="32"/>
  <c r="N954" i="32"/>
  <c r="Q954" i="32"/>
  <c r="H954" i="32"/>
  <c r="E955" i="32" s="1" a="1"/>
  <c r="E955" i="32" s="1"/>
  <c r="F955" i="32" s="1" a="1"/>
  <c r="F955" i="32" s="1"/>
  <c r="M955" i="32" l="1"/>
  <c r="I955" i="32" s="1"/>
  <c r="H955" i="32" l="1"/>
  <c r="E956" i="32" s="1" a="1"/>
  <c r="E956" i="32" s="1"/>
  <c r="F956" i="32" s="1" a="1"/>
  <c r="F956" i="32" s="1"/>
  <c r="M956" i="32" s="1"/>
  <c r="H956" i="32" s="1"/>
  <c r="E957" i="32" s="1" a="1"/>
  <c r="E957" i="32" s="1"/>
  <c r="F957" i="32" s="1" a="1"/>
  <c r="F957" i="32" s="1"/>
  <c r="G955" i="32"/>
  <c r="O955" i="32" s="1"/>
  <c r="M957" i="32" l="1"/>
  <c r="I957" i="32" s="1"/>
  <c r="P955" i="32"/>
  <c r="Q955" i="32"/>
  <c r="N955" i="32"/>
  <c r="I956" i="32"/>
  <c r="G956" i="32"/>
  <c r="O956" i="32" s="1"/>
  <c r="Q956" i="32" l="1"/>
  <c r="P956" i="32"/>
  <c r="N956" i="32"/>
  <c r="H957" i="32"/>
  <c r="E958" i="32" s="1" a="1"/>
  <c r="E958" i="32" s="1"/>
  <c r="F958" i="32" s="1" a="1"/>
  <c r="F958" i="32" s="1"/>
  <c r="G957" i="32"/>
  <c r="O957" i="32" s="1"/>
  <c r="Q957" i="32" l="1"/>
  <c r="P957" i="32"/>
  <c r="N957" i="32"/>
  <c r="M958" i="32"/>
  <c r="I958" i="32" s="1"/>
  <c r="H958" i="32" l="1"/>
  <c r="E959" i="32" s="1" a="1"/>
  <c r="E959" i="32" s="1"/>
  <c r="F959" i="32" s="1" a="1"/>
  <c r="F959" i="32" s="1"/>
  <c r="M959" i="32" s="1"/>
  <c r="G958" i="32"/>
  <c r="O958" i="32" s="1"/>
  <c r="P958" i="32" s="1"/>
  <c r="N958" i="32" l="1"/>
  <c r="Q958" i="32"/>
  <c r="G959" i="32"/>
  <c r="O959" i="32" s="1"/>
  <c r="P959" i="32" s="1"/>
  <c r="H959" i="32"/>
  <c r="E960" i="32" s="1" a="1"/>
  <c r="E960" i="32" s="1"/>
  <c r="F960" i="32" s="1" a="1"/>
  <c r="F960" i="32" s="1"/>
  <c r="M960" i="32" s="1"/>
  <c r="H960" i="32" s="1"/>
  <c r="E961" i="32" s="1" a="1"/>
  <c r="E961" i="32" s="1"/>
  <c r="F961" i="32" s="1" a="1"/>
  <c r="F961" i="32" s="1"/>
  <c r="I959" i="32"/>
  <c r="N959" i="32" l="1"/>
  <c r="Q959" i="32"/>
  <c r="I960" i="32"/>
  <c r="G960" i="32"/>
  <c r="O960" i="32" s="1"/>
  <c r="Q960" i="32" s="1"/>
  <c r="M961" i="32"/>
  <c r="I961" i="32" s="1"/>
  <c r="P960" i="32" l="1"/>
  <c r="N960" i="32"/>
  <c r="G961" i="32"/>
  <c r="O961" i="32" s="1"/>
  <c r="Q961" i="32" s="1"/>
  <c r="H961" i="32"/>
  <c r="E962" i="32" s="1" a="1"/>
  <c r="E962" i="32" s="1"/>
  <c r="F962" i="32" s="1" a="1"/>
  <c r="F962" i="32" s="1"/>
  <c r="P961" i="32" l="1"/>
  <c r="N961" i="32"/>
  <c r="M962" i="32"/>
  <c r="I962" i="32" s="1"/>
  <c r="H962" i="32" l="1"/>
  <c r="E963" i="32" s="1" a="1"/>
  <c r="E963" i="32" s="1"/>
  <c r="F963" i="32" s="1" a="1"/>
  <c r="F963" i="32" s="1"/>
  <c r="M963" i="32" s="1"/>
  <c r="H963" i="32" s="1"/>
  <c r="E964" i="32" s="1" a="1"/>
  <c r="E964" i="32" s="1"/>
  <c r="F964" i="32" s="1" a="1"/>
  <c r="F964" i="32" s="1"/>
  <c r="G962" i="32"/>
  <c r="O962" i="32" s="1"/>
  <c r="G963" i="32" l="1"/>
  <c r="O963" i="32" s="1"/>
  <c r="Q963" i="32" s="1"/>
  <c r="M964" i="32"/>
  <c r="G964" i="32" s="1"/>
  <c r="O964" i="32" s="1"/>
  <c r="I963" i="32"/>
  <c r="P962" i="32"/>
  <c r="Q962" i="32"/>
  <c r="N962" i="32"/>
  <c r="N963" i="32" l="1"/>
  <c r="P963" i="32"/>
  <c r="Q964" i="32"/>
  <c r="P964" i="32"/>
  <c r="N964" i="32"/>
  <c r="I964" i="32"/>
  <c r="H964" i="32"/>
  <c r="E965" i="32" s="1" a="1"/>
  <c r="E965" i="32" s="1"/>
  <c r="F965" i="32" s="1" a="1"/>
  <c r="F965" i="32" s="1"/>
  <c r="M965" i="32" l="1"/>
  <c r="I965" i="32" s="1"/>
  <c r="H965" i="32" l="1"/>
  <c r="E966" i="32" s="1" a="1"/>
  <c r="E966" i="32" s="1"/>
  <c r="F966" i="32" s="1" a="1"/>
  <c r="F966" i="32" s="1"/>
  <c r="G965" i="32"/>
  <c r="O965" i="32" s="1"/>
  <c r="P965" i="32" l="1"/>
  <c r="N965" i="32"/>
  <c r="Q965" i="32"/>
  <c r="M966" i="32"/>
  <c r="H966" i="32" s="1"/>
  <c r="E967" i="32" s="1" a="1"/>
  <c r="E967" i="32" s="1"/>
  <c r="F967" i="32" s="1" a="1"/>
  <c r="F967" i="32" s="1"/>
  <c r="I966" i="32" l="1"/>
  <c r="M967" i="32"/>
  <c r="G967" i="32" s="1"/>
  <c r="O967" i="32" s="1"/>
  <c r="G966" i="32"/>
  <c r="O966" i="32" s="1"/>
  <c r="I967" i="32" l="1"/>
  <c r="Q967" i="32"/>
  <c r="P967" i="32"/>
  <c r="N967" i="32"/>
  <c r="P966" i="32"/>
  <c r="Q966" i="32"/>
  <c r="N966" i="32"/>
  <c r="H967" i="32"/>
  <c r="E968" i="32" s="1" a="1"/>
  <c r="E968" i="32" s="1"/>
  <c r="F968" i="32" s="1" a="1"/>
  <c r="F968" i="32" s="1"/>
  <c r="M968" i="32" l="1"/>
  <c r="G968" i="32" s="1"/>
  <c r="O968" i="32" s="1"/>
  <c r="H968" i="32" l="1"/>
  <c r="E969" i="32" s="1" a="1"/>
  <c r="E969" i="32" s="1"/>
  <c r="F969" i="32" s="1" a="1"/>
  <c r="F969" i="32" s="1"/>
  <c r="M969" i="32" s="1"/>
  <c r="I969" i="32" s="1"/>
  <c r="I968" i="32"/>
  <c r="P968" i="32"/>
  <c r="Q968" i="32"/>
  <c r="N968" i="32"/>
  <c r="G969" i="32" l="1"/>
  <c r="O969" i="32" s="1"/>
  <c r="P969" i="32" s="1"/>
  <c r="H969" i="32"/>
  <c r="E970" i="32" s="1" a="1"/>
  <c r="E970" i="32" s="1"/>
  <c r="F970" i="32" s="1" a="1"/>
  <c r="F970" i="32" s="1"/>
  <c r="N969" i="32" l="1"/>
  <c r="Q969" i="32"/>
  <c r="M970" i="32"/>
  <c r="G970" i="32" s="1"/>
  <c r="O970" i="32" s="1"/>
  <c r="H970" i="32" l="1"/>
  <c r="E971" i="32" s="1" a="1"/>
  <c r="E971" i="32" s="1"/>
  <c r="F971" i="32" s="1" a="1"/>
  <c r="F971" i="32" s="1"/>
  <c r="M971" i="32" s="1"/>
  <c r="H971" i="32" s="1"/>
  <c r="E972" i="32" s="1" a="1"/>
  <c r="E972" i="32" s="1"/>
  <c r="F972" i="32" s="1" a="1"/>
  <c r="F972" i="32" s="1"/>
  <c r="I970" i="32"/>
  <c r="P970" i="32"/>
  <c r="N970" i="32"/>
  <c r="Q970" i="32"/>
  <c r="M972" i="32" l="1"/>
  <c r="I972" i="32" s="1"/>
  <c r="G971" i="32"/>
  <c r="O971" i="32" s="1"/>
  <c r="I971" i="32"/>
  <c r="G972" i="32" l="1"/>
  <c r="O972" i="32" s="1"/>
  <c r="P972" i="32" s="1"/>
  <c r="H972" i="32"/>
  <c r="E973" i="32" s="1" a="1"/>
  <c r="E973" i="32" s="1"/>
  <c r="F973" i="32" s="1" a="1"/>
  <c r="F973" i="32" s="1"/>
  <c r="M973" i="32" s="1"/>
  <c r="I973" i="32" s="1"/>
  <c r="P971" i="32"/>
  <c r="Q971" i="32"/>
  <c r="N971" i="32"/>
  <c r="N972" i="32" l="1"/>
  <c r="Q972" i="32"/>
  <c r="G973" i="32"/>
  <c r="O973" i="32" s="1"/>
  <c r="H973" i="32"/>
  <c r="E974" i="32" s="1" a="1"/>
  <c r="E974" i="32" s="1"/>
  <c r="F974" i="32" s="1" a="1"/>
  <c r="F974" i="32" s="1"/>
  <c r="M974" i="32" l="1"/>
  <c r="H974" i="32" s="1"/>
  <c r="E975" i="32" s="1" a="1"/>
  <c r="E975" i="32" s="1"/>
  <c r="F975" i="32" s="1" a="1"/>
  <c r="F975" i="32" s="1"/>
  <c r="N973" i="32"/>
  <c r="Q973" i="32"/>
  <c r="P973" i="32"/>
  <c r="M975" i="32" l="1"/>
  <c r="I975" i="32" s="1"/>
  <c r="I974" i="32"/>
  <c r="G974" i="32"/>
  <c r="O974" i="32" s="1"/>
  <c r="G975" i="32" l="1"/>
  <c r="O975" i="32" s="1"/>
  <c r="N975" i="32" s="1"/>
  <c r="P974" i="32"/>
  <c r="N974" i="32"/>
  <c r="Q974" i="32"/>
  <c r="H975" i="32"/>
  <c r="E976" i="32" s="1" a="1"/>
  <c r="E976" i="32" s="1"/>
  <c r="F976" i="32" s="1" a="1"/>
  <c r="F976" i="32" s="1"/>
  <c r="Q975" i="32" l="1"/>
  <c r="P975" i="32"/>
  <c r="M976" i="32"/>
  <c r="I976" i="32" s="1"/>
  <c r="H976" i="32" l="1"/>
  <c r="E977" i="32" s="1" a="1"/>
  <c r="E977" i="32" s="1"/>
  <c r="F977" i="32" s="1" a="1"/>
  <c r="F977" i="32" s="1"/>
  <c r="M977" i="32" s="1"/>
  <c r="I977" i="32" s="1"/>
  <c r="G976" i="32"/>
  <c r="O976" i="32" s="1"/>
  <c r="P976" i="32" s="1"/>
  <c r="N976" i="32" l="1"/>
  <c r="Q976" i="32"/>
  <c r="G977" i="32"/>
  <c r="O977" i="32" s="1"/>
  <c r="H977" i="32"/>
  <c r="E978" i="32" s="1" a="1"/>
  <c r="E978" i="32" s="1"/>
  <c r="F978" i="32" s="1" a="1"/>
  <c r="F978" i="32" s="1"/>
  <c r="M978" i="32" l="1"/>
  <c r="I978" i="32" s="1"/>
  <c r="N977" i="32"/>
  <c r="P977" i="32"/>
  <c r="Q977" i="32"/>
  <c r="G978" i="32" l="1"/>
  <c r="O978" i="32" s="1"/>
  <c r="P978" i="32" s="1"/>
  <c r="H978" i="32"/>
  <c r="E979" i="32" s="1" a="1"/>
  <c r="E979" i="32" s="1"/>
  <c r="F979" i="32" s="1" a="1"/>
  <c r="F979" i="32" s="1"/>
  <c r="M979" i="32" s="1"/>
  <c r="I979" i="32" s="1"/>
  <c r="Q978" i="32" l="1"/>
  <c r="N978" i="32"/>
  <c r="G979" i="32"/>
  <c r="O979" i="32" s="1"/>
  <c r="H979" i="32"/>
  <c r="E980" i="32" s="1" a="1"/>
  <c r="E980" i="32" s="1"/>
  <c r="F980" i="32" s="1" a="1"/>
  <c r="F980" i="32" s="1"/>
  <c r="M980" i="32" l="1"/>
  <c r="I980" i="32" s="1"/>
  <c r="Q979" i="32"/>
  <c r="N979" i="32"/>
  <c r="P979" i="32"/>
  <c r="G980" i="32" l="1"/>
  <c r="O980" i="32" s="1"/>
  <c r="N980" i="32" s="1"/>
  <c r="H980" i="32"/>
  <c r="E981" i="32" s="1" a="1"/>
  <c r="E981" i="32" s="1"/>
  <c r="F981" i="32" s="1" a="1"/>
  <c r="F981" i="32" s="1"/>
  <c r="Q980" i="32" l="1"/>
  <c r="P980" i="32"/>
  <c r="M981" i="32"/>
  <c r="I981" i="32" s="1"/>
  <c r="H981" i="32" l="1"/>
  <c r="E982" i="32" s="1" a="1"/>
  <c r="E982" i="32" s="1"/>
  <c r="F982" i="32" s="1" a="1"/>
  <c r="F982" i="32" s="1"/>
  <c r="M982" i="32" s="1"/>
  <c r="I982" i="32" s="1"/>
  <c r="G981" i="32"/>
  <c r="O981" i="32" s="1"/>
  <c r="G982" i="32" l="1"/>
  <c r="O982" i="32" s="1"/>
  <c r="P982" i="32" s="1"/>
  <c r="N981" i="32"/>
  <c r="Q981" i="32"/>
  <c r="P981" i="32"/>
  <c r="H982" i="32"/>
  <c r="E983" i="32" s="1" a="1"/>
  <c r="E983" i="32" s="1"/>
  <c r="F983" i="32" s="1" a="1"/>
  <c r="F983" i="32" s="1"/>
  <c r="N982" i="32" l="1"/>
  <c r="Q982" i="32"/>
  <c r="M983" i="32"/>
  <c r="I983" i="32" s="1"/>
  <c r="G983" i="32" l="1"/>
  <c r="O983" i="32" s="1"/>
  <c r="P983" i="32" s="1"/>
  <c r="H983" i="32"/>
  <c r="E984" i="32" s="1" a="1"/>
  <c r="E984" i="32" s="1"/>
  <c r="F984" i="32" s="1" a="1"/>
  <c r="F984" i="32" s="1"/>
  <c r="M984" i="32" s="1"/>
  <c r="I984" i="32" s="1"/>
  <c r="Q983" i="32" l="1"/>
  <c r="N983" i="32"/>
  <c r="G984" i="32"/>
  <c r="O984" i="32" s="1"/>
  <c r="N984" i="32" s="1"/>
  <c r="H984" i="32"/>
  <c r="E985" i="32" s="1" a="1"/>
  <c r="E985" i="32" s="1"/>
  <c r="F985" i="32" s="1" a="1"/>
  <c r="F985" i="32" s="1"/>
  <c r="P984" i="32" l="1"/>
  <c r="Q984" i="32"/>
  <c r="M985" i="32"/>
  <c r="I985" i="32" s="1"/>
  <c r="G985" i="32" l="1"/>
  <c r="O985" i="32" s="1"/>
  <c r="N985" i="32" s="1"/>
  <c r="H985" i="32"/>
  <c r="E986" i="32" s="1" a="1"/>
  <c r="E986" i="32" s="1"/>
  <c r="F986" i="32" s="1" a="1"/>
  <c r="F986" i="32" s="1"/>
  <c r="M986" i="32" s="1"/>
  <c r="I986" i="32" s="1"/>
  <c r="P985" i="32" l="1"/>
  <c r="Q985" i="32"/>
  <c r="H986" i="32"/>
  <c r="E987" i="32" s="1" a="1"/>
  <c r="E987" i="32" s="1"/>
  <c r="F987" i="32" s="1" a="1"/>
  <c r="F987" i="32" s="1"/>
  <c r="M987" i="32" s="1"/>
  <c r="H987" i="32" s="1"/>
  <c r="E988" i="32" s="1" a="1"/>
  <c r="E988" i="32" s="1"/>
  <c r="F988" i="32" s="1" a="1"/>
  <c r="F988" i="32" s="1"/>
  <c r="G986" i="32"/>
  <c r="O986" i="32" s="1"/>
  <c r="P986" i="32" s="1"/>
  <c r="N986" i="32" l="1"/>
  <c r="I987" i="32"/>
  <c r="Q986" i="32"/>
  <c r="M988" i="32"/>
  <c r="I988" i="32" s="1"/>
  <c r="G987" i="32"/>
  <c r="O987" i="32" s="1"/>
  <c r="G988" i="32" l="1"/>
  <c r="O988" i="32" s="1"/>
  <c r="P988" i="32" s="1"/>
  <c r="N987" i="32"/>
  <c r="Q987" i="32"/>
  <c r="P987" i="32"/>
  <c r="H988" i="32"/>
  <c r="E989" i="32" s="1" a="1"/>
  <c r="E989" i="32" s="1"/>
  <c r="F989" i="32" s="1" a="1"/>
  <c r="F989" i="32" s="1"/>
  <c r="N988" i="32" l="1"/>
  <c r="Q988" i="32"/>
  <c r="M989" i="32"/>
  <c r="I989" i="32" s="1"/>
  <c r="H989" i="32" l="1"/>
  <c r="E990" i="32" s="1" a="1"/>
  <c r="E990" i="32" s="1"/>
  <c r="F990" i="32" s="1" a="1"/>
  <c r="F990" i="32" s="1"/>
  <c r="M990" i="32" s="1"/>
  <c r="H990" i="32" s="1"/>
  <c r="E991" i="32" s="1" a="1"/>
  <c r="E991" i="32" s="1"/>
  <c r="F991" i="32" s="1" a="1"/>
  <c r="F991" i="32" s="1"/>
  <c r="G989" i="32"/>
  <c r="O989" i="32" s="1"/>
  <c r="Q989" i="32" s="1"/>
  <c r="N989" i="32" l="1"/>
  <c r="P989" i="32"/>
  <c r="I990" i="32"/>
  <c r="M991" i="32"/>
  <c r="G991" i="32" s="1"/>
  <c r="O991" i="32" s="1"/>
  <c r="G990" i="32"/>
  <c r="O990" i="32" s="1"/>
  <c r="I991" i="32" l="1"/>
  <c r="H991" i="32"/>
  <c r="E992" i="32" s="1" a="1"/>
  <c r="E992" i="32" s="1"/>
  <c r="F992" i="32" s="1" a="1"/>
  <c r="F992" i="32" s="1"/>
  <c r="M992" i="32" s="1"/>
  <c r="I992" i="32" s="1"/>
  <c r="N991" i="32"/>
  <c r="Q991" i="32"/>
  <c r="P991" i="32"/>
  <c r="P990" i="32"/>
  <c r="N990" i="32"/>
  <c r="Q990" i="32"/>
  <c r="G992" i="32" l="1"/>
  <c r="O992" i="32" s="1"/>
  <c r="N992" i="32" s="1"/>
  <c r="H992" i="32"/>
  <c r="E993" i="32" s="1" a="1"/>
  <c r="E993" i="32" s="1"/>
  <c r="F993" i="32" s="1" a="1"/>
  <c r="F993" i="32" s="1"/>
  <c r="M993" i="32" s="1"/>
  <c r="I993" i="32" s="1"/>
  <c r="Q992" i="32" l="1"/>
  <c r="P992" i="32"/>
  <c r="G993" i="32"/>
  <c r="O993" i="32" s="1"/>
  <c r="Q993" i="32" s="1"/>
  <c r="H993" i="32"/>
  <c r="E994" i="32" s="1" a="1"/>
  <c r="E994" i="32" s="1"/>
  <c r="F994" i="32" s="1" a="1"/>
  <c r="F994" i="32" s="1"/>
  <c r="P993" i="32" l="1"/>
  <c r="N993" i="32"/>
  <c r="M994" i="32"/>
  <c r="G994" i="32" s="1"/>
  <c r="O994" i="32" s="1"/>
  <c r="P994" i="32" l="1"/>
  <c r="Q994" i="32"/>
  <c r="N994" i="32"/>
  <c r="H994" i="32"/>
  <c r="E995" i="32" s="1" a="1"/>
  <c r="E995" i="32" s="1"/>
  <c r="F995" i="32" s="1" a="1"/>
  <c r="F995" i="32" s="1"/>
  <c r="I994" i="32"/>
  <c r="M995" i="32" l="1"/>
  <c r="H995" i="32" s="1"/>
  <c r="E996" i="32" s="1" a="1"/>
  <c r="E996" i="32" s="1"/>
  <c r="F996" i="32" s="1" a="1"/>
  <c r="F996" i="32" s="1"/>
  <c r="I995" i="32" l="1"/>
  <c r="G995" i="32"/>
  <c r="O995" i="32" s="1"/>
  <c r="N995" i="32" s="1"/>
  <c r="M996" i="32"/>
  <c r="H996" i="32" s="1"/>
  <c r="E997" i="32" s="1" a="1"/>
  <c r="E997" i="32" s="1"/>
  <c r="F997" i="32" s="1" a="1"/>
  <c r="F997" i="32" s="1"/>
  <c r="Q995" i="32" l="1"/>
  <c r="P995" i="32"/>
  <c r="I996" i="32"/>
  <c r="M997" i="32"/>
  <c r="I997" i="32" s="1"/>
  <c r="G996" i="32"/>
  <c r="O996" i="32" s="1"/>
  <c r="P996" i="32" l="1"/>
  <c r="Q996" i="32"/>
  <c r="N996" i="32"/>
  <c r="G997" i="32"/>
  <c r="O997" i="32" s="1"/>
  <c r="H997" i="32"/>
  <c r="E998" i="32" s="1" a="1"/>
  <c r="E998" i="32" s="1"/>
  <c r="F998" i="32" s="1" a="1"/>
  <c r="F998" i="32" s="1"/>
  <c r="N997" i="32" l="1"/>
  <c r="P997" i="32"/>
  <c r="Q997" i="32"/>
  <c r="M998" i="32"/>
  <c r="G998" i="32" s="1"/>
  <c r="O998" i="32" s="1"/>
  <c r="P998" i="32" l="1"/>
  <c r="N998" i="32"/>
  <c r="Q998" i="32"/>
  <c r="H998" i="32"/>
  <c r="E999" i="32" s="1" a="1"/>
  <c r="E999" i="32" s="1"/>
  <c r="F999" i="32" s="1" a="1"/>
  <c r="F999" i="32" s="1"/>
  <c r="I998" i="32"/>
  <c r="M999" i="32" l="1"/>
  <c r="H999" i="32" s="1"/>
  <c r="E1000" i="32" s="1" a="1"/>
  <c r="E1000" i="32" s="1"/>
  <c r="F1000" i="32" s="1" a="1"/>
  <c r="F1000" i="32" s="1"/>
  <c r="G999" i="32" l="1"/>
  <c r="O999" i="32" s="1"/>
  <c r="P999" i="32" s="1"/>
  <c r="M1000" i="32"/>
  <c r="H1000" i="32" s="1"/>
  <c r="E1001" i="32" s="1" a="1"/>
  <c r="E1001" i="32" s="1"/>
  <c r="F1001" i="32" s="1" a="1"/>
  <c r="F1001" i="32" s="1"/>
  <c r="I999" i="32"/>
  <c r="N999" i="32" l="1"/>
  <c r="Q999" i="32"/>
  <c r="M1001" i="32"/>
  <c r="I1001" i="32" s="1"/>
  <c r="I1000" i="32"/>
  <c r="G1000" i="32"/>
  <c r="O1000" i="32" s="1"/>
  <c r="N1000" i="32" l="1"/>
  <c r="Q1000" i="32"/>
  <c r="P1000" i="32"/>
  <c r="H1001" i="32"/>
  <c r="E1002" i="32" s="1" a="1"/>
  <c r="E1002" i="32" s="1"/>
  <c r="F1002" i="32" s="1" a="1"/>
  <c r="F1002" i="32" s="1"/>
  <c r="G1001" i="32"/>
  <c r="O1001" i="32" s="1"/>
  <c r="M1002" i="32" l="1"/>
  <c r="G1002" i="32" s="1"/>
  <c r="O1002" i="32" s="1"/>
  <c r="N1001" i="32"/>
  <c r="Q1001" i="32"/>
  <c r="P1001" i="32"/>
  <c r="H1002" i="32" l="1"/>
  <c r="E1003" i="32" s="1" a="1"/>
  <c r="E1003" i="32" s="1"/>
  <c r="F1003" i="32" s="1" a="1"/>
  <c r="F1003" i="32" s="1"/>
  <c r="M1003" i="32" s="1"/>
  <c r="G1003" i="32" s="1"/>
  <c r="O1003" i="32" s="1"/>
  <c r="I1002" i="32"/>
  <c r="P1002" i="32"/>
  <c r="N1002" i="32"/>
  <c r="Q1002" i="32"/>
  <c r="Q1003" i="32" l="1"/>
  <c r="P1003" i="32"/>
  <c r="N1003" i="32"/>
  <c r="I1003" i="32"/>
  <c r="H1003" i="32"/>
  <c r="E1004" i="32" s="1" a="1"/>
  <c r="E1004" i="32" s="1"/>
  <c r="F1004" i="32" s="1" a="1"/>
  <c r="F1004" i="32" s="1"/>
  <c r="M1004" i="32" l="1"/>
  <c r="H1004" i="32" s="1"/>
  <c r="E1005" i="32" s="1" a="1"/>
  <c r="E1005" i="32" s="1"/>
  <c r="F1005" i="32" s="1" a="1"/>
  <c r="F1005" i="32" s="1"/>
  <c r="G1004" i="32" l="1"/>
  <c r="O1004" i="32" s="1"/>
  <c r="Q1004" i="32" s="1"/>
  <c r="I1004" i="32"/>
  <c r="M1005" i="32"/>
  <c r="I1005" i="32" s="1"/>
  <c r="P1004" i="32" l="1"/>
  <c r="N1004" i="32"/>
  <c r="H1005" i="32"/>
  <c r="E1006" i="32" s="1" a="1"/>
  <c r="E1006" i="32" s="1"/>
  <c r="F1006" i="32" s="1" a="1"/>
  <c r="F1006" i="32" s="1"/>
  <c r="M1006" i="32" s="1"/>
  <c r="I1006" i="32" s="1"/>
  <c r="G1005" i="32"/>
  <c r="O1005" i="32" s="1"/>
  <c r="H1006" i="32" l="1"/>
  <c r="E1007" i="32" s="1" a="1"/>
  <c r="E1007" i="32" s="1"/>
  <c r="F1007" i="32" s="1" a="1"/>
  <c r="F1007" i="32" s="1"/>
  <c r="G1006" i="32"/>
  <c r="O1006" i="32" s="1"/>
  <c r="Q1005" i="32"/>
  <c r="N1005" i="32"/>
  <c r="P1005" i="32"/>
  <c r="P1006" i="32" l="1"/>
  <c r="Q1006" i="32"/>
  <c r="N1006" i="32"/>
  <c r="M1007" i="32"/>
  <c r="H1007" i="32" s="1"/>
  <c r="E1008" i="32" s="1" a="1"/>
  <c r="E1008" i="32" s="1"/>
  <c r="F1008" i="32" s="1" a="1"/>
  <c r="F1008" i="32" s="1"/>
  <c r="M1008" i="32" l="1"/>
  <c r="H1008" i="32" s="1"/>
  <c r="E1009" i="32" s="1" a="1"/>
  <c r="E1009" i="32" s="1"/>
  <c r="F1009" i="32" s="1" a="1"/>
  <c r="F1009" i="32" s="1"/>
  <c r="I1007" i="32"/>
  <c r="G1007" i="32"/>
  <c r="O1007" i="32" s="1"/>
  <c r="M1009" i="32" l="1"/>
  <c r="I1009" i="32" s="1"/>
  <c r="P1007" i="32"/>
  <c r="N1007" i="32"/>
  <c r="Q1007" i="32"/>
  <c r="G1008" i="32"/>
  <c r="O1008" i="32" s="1"/>
  <c r="I1008" i="32"/>
  <c r="H1009" i="32" l="1"/>
  <c r="E1010" i="32" s="1" a="1"/>
  <c r="E1010" i="32" s="1"/>
  <c r="F1010" i="32" s="1" a="1"/>
  <c r="F1010" i="32" s="1"/>
  <c r="M1010" i="32" s="1"/>
  <c r="G1010" i="32" s="1"/>
  <c r="O1010" i="32" s="1"/>
  <c r="G1009" i="32"/>
  <c r="O1009" i="32" s="1"/>
  <c r="P1009" i="32" s="1"/>
  <c r="Q1008" i="32"/>
  <c r="P1008" i="32"/>
  <c r="N1008" i="32"/>
  <c r="Q1009" i="32" l="1"/>
  <c r="N1009" i="32"/>
  <c r="I1010" i="32"/>
  <c r="P1010" i="32"/>
  <c r="Q1010" i="32"/>
  <c r="N1010" i="32"/>
  <c r="H1010" i="32"/>
  <c r="E1011" i="32" s="1" a="1"/>
  <c r="E1011" i="32" s="1"/>
  <c r="F1011" i="32" s="1" a="1"/>
  <c r="F1011" i="32" s="1"/>
  <c r="M1011" i="32" l="1"/>
  <c r="G1011" i="32" s="1"/>
  <c r="O1011" i="32" s="1"/>
  <c r="H1011" i="32" l="1"/>
  <c r="E1012" i="32" s="1" a="1"/>
  <c r="E1012" i="32" s="1"/>
  <c r="F1012" i="32" s="1" a="1"/>
  <c r="F1012" i="32" s="1"/>
  <c r="M1012" i="32" s="1"/>
  <c r="G1012" i="32" s="1"/>
  <c r="O1012" i="32" s="1"/>
  <c r="I1011" i="32"/>
  <c r="Q1011" i="32"/>
  <c r="N1011" i="32"/>
  <c r="P1011" i="32"/>
  <c r="I1012" i="32" l="1"/>
  <c r="N1012" i="32"/>
  <c r="Q1012" i="32"/>
  <c r="P1012" i="32"/>
  <c r="H1012" i="32"/>
  <c r="E1013" i="32" s="1" a="1"/>
  <c r="E1013" i="32" s="1"/>
  <c r="F1013" i="32" s="1" a="1"/>
  <c r="F1013" i="32" s="1"/>
  <c r="M1013" i="32" l="1"/>
  <c r="I1013" i="32" s="1"/>
  <c r="G1013" i="32" l="1"/>
  <c r="O1013" i="32" s="1"/>
  <c r="H1013" i="32"/>
  <c r="E1014" i="32" s="1" a="1"/>
  <c r="E1014" i="32" s="1"/>
  <c r="F1014" i="32" s="1" a="1"/>
  <c r="F1014" i="32" s="1"/>
  <c r="M1014" i="32" l="1"/>
  <c r="G1014" i="32" s="1"/>
  <c r="O1014" i="32" s="1"/>
  <c r="P1013" i="32"/>
  <c r="N1013" i="32"/>
  <c r="Q1013" i="32"/>
  <c r="P1014" i="32" l="1"/>
  <c r="Q1014" i="32"/>
  <c r="N1014" i="32"/>
  <c r="I1014" i="32"/>
  <c r="H1014" i="32"/>
  <c r="E1015" i="32" s="1" a="1"/>
  <c r="E1015" i="32" s="1"/>
  <c r="F1015" i="32" s="1" a="1"/>
  <c r="F1015" i="32" s="1"/>
  <c r="M1015" i="32" l="1"/>
  <c r="I1015" i="32" s="1"/>
  <c r="H1015" i="32" l="1"/>
  <c r="E1016" i="32" s="1" a="1"/>
  <c r="E1016" i="32" s="1"/>
  <c r="F1016" i="32" s="1" a="1"/>
  <c r="F1016" i="32" s="1"/>
  <c r="G1015" i="32"/>
  <c r="O1015" i="32" s="1"/>
  <c r="Q1015" i="32" l="1"/>
  <c r="P1015" i="32"/>
  <c r="N1015" i="32"/>
  <c r="M1016" i="32"/>
  <c r="I1016" i="32" s="1"/>
  <c r="G1016" i="32" l="1"/>
  <c r="O1016" i="32" s="1"/>
  <c r="Q1016" i="32" s="1"/>
  <c r="H1016" i="32"/>
  <c r="E1017" i="32" s="1" a="1"/>
  <c r="E1017" i="32" s="1"/>
  <c r="F1017" i="32" s="1" a="1"/>
  <c r="F1017" i="32" s="1"/>
  <c r="N1016" i="32" l="1"/>
  <c r="P1016" i="32"/>
  <c r="M1017" i="32"/>
  <c r="I1017" i="32" s="1"/>
  <c r="G1017" i="32" l="1"/>
  <c r="O1017" i="32" s="1"/>
  <c r="Q1017" i="32" s="1"/>
  <c r="H1017" i="32"/>
  <c r="J12" i="32" s="1"/>
  <c r="J11" i="32"/>
  <c r="N1017" i="32" l="1"/>
  <c r="P1017" i="3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<sst xmlns="http://schemas.openxmlformats.org/spreadsheetml/2006/main" count="99732" uniqueCount="8930">
  <si>
    <t>oeufs</t>
  </si>
  <si>
    <t>arachides</t>
  </si>
  <si>
    <t>celeri</t>
  </si>
  <si>
    <t>sesame</t>
  </si>
  <si>
    <t>sulfites</t>
  </si>
  <si>
    <t>lupin</t>
  </si>
  <si>
    <t>mollusques</t>
  </si>
  <si>
    <t>Gluten</t>
  </si>
  <si>
    <t>Poissons</t>
  </si>
  <si>
    <t>Arachides</t>
  </si>
  <si>
    <t>Soja</t>
  </si>
  <si>
    <t>Lait</t>
  </si>
  <si>
    <t>Moutarde</t>
  </si>
  <si>
    <t>Sulfites</t>
  </si>
  <si>
    <t>Lupin</t>
  </si>
  <si>
    <t>Mollusques</t>
  </si>
  <si>
    <t>gluten</t>
  </si>
  <si>
    <t>sirops de glucose a base de ble</t>
  </si>
  <si>
    <t>oeuf</t>
  </si>
  <si>
    <t>poisson</t>
  </si>
  <si>
    <t>arachide</t>
  </si>
  <si>
    <t>boisson au soja</t>
  </si>
  <si>
    <t>huile de soja entierement raffinee</t>
  </si>
  <si>
    <t>lait</t>
  </si>
  <si>
    <t>amande</t>
  </si>
  <si>
    <t>moutarde</t>
  </si>
  <si>
    <t>sulfite</t>
  </si>
  <si>
    <t>mollusque</t>
  </si>
  <si>
    <t>noix de saint jacques</t>
  </si>
  <si>
    <t>ble</t>
  </si>
  <si>
    <t>maltodextrines a base de ble</t>
  </si>
  <si>
    <t>poissons</t>
  </si>
  <si>
    <t>graisse de soja entierement raffinee</t>
  </si>
  <si>
    <t>lait entier</t>
  </si>
  <si>
    <t>amandes</t>
  </si>
  <si>
    <t>celeri rave</t>
  </si>
  <si>
    <t>graine de moutarde</t>
  </si>
  <si>
    <t>graines de sesame</t>
  </si>
  <si>
    <t>farine de lupin</t>
  </si>
  <si>
    <t>noix de st jacques</t>
  </si>
  <si>
    <t>beurre de cacahuete</t>
  </si>
  <si>
    <t>farine de ble</t>
  </si>
  <si>
    <t>maltodextrines de ble</t>
  </si>
  <si>
    <t>crevette</t>
  </si>
  <si>
    <t>blanc d oeuf</t>
  </si>
  <si>
    <t>thon</t>
  </si>
  <si>
    <t>beurre d arachide</t>
  </si>
  <si>
    <t>lait ecreme</t>
  </si>
  <si>
    <t>graines de moutarde</t>
  </si>
  <si>
    <t>graine de sesame</t>
  </si>
  <si>
    <t>anhydride sulfureux</t>
  </si>
  <si>
    <t>graines de lupin</t>
  </si>
  <si>
    <t>moule</t>
  </si>
  <si>
    <t>noix de muscade</t>
  </si>
  <si>
    <t>froment</t>
  </si>
  <si>
    <t>crevettes</t>
  </si>
  <si>
    <t>blancs d oeufs</t>
  </si>
  <si>
    <t>saumon</t>
  </si>
  <si>
    <t>lait demi ecreme</t>
  </si>
  <si>
    <t>creme de soja</t>
  </si>
  <si>
    <t>noix de coco</t>
  </si>
  <si>
    <t>farine de moutarde</t>
  </si>
  <si>
    <t>huile de sesame</t>
  </si>
  <si>
    <t>dioxyde de soufre</t>
  </si>
  <si>
    <t>graine de lupin</t>
  </si>
  <si>
    <t>moules</t>
  </si>
  <si>
    <t>epeautre</t>
  </si>
  <si>
    <t>gambas</t>
  </si>
  <si>
    <t>jaune d oeuf</t>
  </si>
  <si>
    <t>cabillaud</t>
  </si>
  <si>
    <t>lactoserum</t>
  </si>
  <si>
    <t>creme d avoine</t>
  </si>
  <si>
    <t>huile de coco</t>
  </si>
  <si>
    <t>feuille de celeri</t>
  </si>
  <si>
    <t>moutarde en poudre</t>
  </si>
  <si>
    <t>tahini</t>
  </si>
  <si>
    <t>bisulfite</t>
  </si>
  <si>
    <t>proteine de lupin</t>
  </si>
  <si>
    <t>huitre</t>
  </si>
  <si>
    <t>creme de coco</t>
  </si>
  <si>
    <t>petit epeautre</t>
  </si>
  <si>
    <t>homard</t>
  </si>
  <si>
    <t>jaunes d oeufs</t>
  </si>
  <si>
    <t>colin</t>
  </si>
  <si>
    <t>lactose</t>
  </si>
  <si>
    <t>creme de riz</t>
  </si>
  <si>
    <t>feuilles de celeri</t>
  </si>
  <si>
    <t>huile de moutarde</t>
  </si>
  <si>
    <t>tahin</t>
  </si>
  <si>
    <t>proteines de lupin</t>
  </si>
  <si>
    <t>huitres</t>
  </si>
  <si>
    <t>beurre de noisette</t>
  </si>
  <si>
    <t>kamut</t>
  </si>
  <si>
    <t>langouste</t>
  </si>
  <si>
    <t>merlu</t>
  </si>
  <si>
    <t>edamame</t>
  </si>
  <si>
    <t>caseine</t>
  </si>
  <si>
    <t>cajou</t>
  </si>
  <si>
    <t>chataigne</t>
  </si>
  <si>
    <t>graine de celeri</t>
  </si>
  <si>
    <t>puree de sesame</t>
  </si>
  <si>
    <t>metabisulfite</t>
  </si>
  <si>
    <t>son de lupin</t>
  </si>
  <si>
    <t>palourde</t>
  </si>
  <si>
    <t>pignon de pin</t>
  </si>
  <si>
    <t>langoustine</t>
  </si>
  <si>
    <t>poudre d oeuf</t>
  </si>
  <si>
    <t>sardine</t>
  </si>
  <si>
    <t>cacahuete</t>
  </si>
  <si>
    <t>farine de soja</t>
  </si>
  <si>
    <t>caseinates</t>
  </si>
  <si>
    <t>creme vegetale</t>
  </si>
  <si>
    <t>cajous</t>
  </si>
  <si>
    <t>marron</t>
  </si>
  <si>
    <t>graines de celeri</t>
  </si>
  <si>
    <t>pate de sesame</t>
  </si>
  <si>
    <t>semoule de lupin</t>
  </si>
  <si>
    <t>palourdes</t>
  </si>
  <si>
    <t>seigle</t>
  </si>
  <si>
    <t>crabe</t>
  </si>
  <si>
    <t>albumine</t>
  </si>
  <si>
    <t>sardines</t>
  </si>
  <si>
    <t>cacahuetes</t>
  </si>
  <si>
    <t>proteine de lait</t>
  </si>
  <si>
    <t>lait de coco</t>
  </si>
  <si>
    <t>creme d amande</t>
  </si>
  <si>
    <t>marrons</t>
  </si>
  <si>
    <t>sel de celeri</t>
  </si>
  <si>
    <t>gomasio</t>
  </si>
  <si>
    <t>coque</t>
  </si>
  <si>
    <t>boisson vegetale</t>
  </si>
  <si>
    <t>orge</t>
  </si>
  <si>
    <t>araignee de mer</t>
  </si>
  <si>
    <t>ovalbumine</t>
  </si>
  <si>
    <t>anchois</t>
  </si>
  <si>
    <t>huile d arachide</t>
  </si>
  <si>
    <t>proteines de lait</t>
  </si>
  <si>
    <t>lait de riz</t>
  </si>
  <si>
    <t>coques</t>
  </si>
  <si>
    <t>chataignes</t>
  </si>
  <si>
    <t>lait de noisette</t>
  </si>
  <si>
    <t>beurre d amande</t>
  </si>
  <si>
    <t>avoine</t>
  </si>
  <si>
    <t>ecrevisse</t>
  </si>
  <si>
    <t>ovoproduit</t>
  </si>
  <si>
    <t>truite</t>
  </si>
  <si>
    <t>poudre de lait</t>
  </si>
  <si>
    <t>lait d amande</t>
  </si>
  <si>
    <t>creme de cajou</t>
  </si>
  <si>
    <t>praire</t>
  </si>
  <si>
    <t>beurre de cacao</t>
  </si>
  <si>
    <t>triticale</t>
  </si>
  <si>
    <t>ecrevisses</t>
  </si>
  <si>
    <t>ovoproduits</t>
  </si>
  <si>
    <t>maquereau</t>
  </si>
  <si>
    <t>huile de soja</t>
  </si>
  <si>
    <t>lait en poudre</t>
  </si>
  <si>
    <t>praires</t>
  </si>
  <si>
    <t>beurre de cajou</t>
  </si>
  <si>
    <t>malt</t>
  </si>
  <si>
    <t>sole</t>
  </si>
  <si>
    <t>creme</t>
  </si>
  <si>
    <t>escargot</t>
  </si>
  <si>
    <t>muscade</t>
  </si>
  <si>
    <t>malt d orge</t>
  </si>
  <si>
    <t>bar</t>
  </si>
  <si>
    <t>pate d arachide</t>
  </si>
  <si>
    <t>beurre</t>
  </si>
  <si>
    <t>escargots</t>
  </si>
  <si>
    <t>beurre de coco</t>
  </si>
  <si>
    <t>extrait de malt</t>
  </si>
  <si>
    <t>dorade</t>
  </si>
  <si>
    <t>yaourt</t>
  </si>
  <si>
    <t>calamar</t>
  </si>
  <si>
    <t>lieu</t>
  </si>
  <si>
    <t>lait de soja</t>
  </si>
  <si>
    <t>fromage</t>
  </si>
  <si>
    <t>calamars</t>
  </si>
  <si>
    <t>semoule</t>
  </si>
  <si>
    <t>surimi</t>
  </si>
  <si>
    <t>creme fraiche</t>
  </si>
  <si>
    <t>lait de cajou</t>
  </si>
  <si>
    <t>encornet</t>
  </si>
  <si>
    <t>boulgour</t>
  </si>
  <si>
    <t>lecithine de soja</t>
  </si>
  <si>
    <t>lait fermente</t>
  </si>
  <si>
    <t>encornets</t>
  </si>
  <si>
    <t>couscous</t>
  </si>
  <si>
    <t>seiche</t>
  </si>
  <si>
    <t>son de ble</t>
  </si>
  <si>
    <t>macadamia</t>
  </si>
  <si>
    <t>seiches</t>
  </si>
  <si>
    <t>germe de ble</t>
  </si>
  <si>
    <t>poulpe</t>
  </si>
  <si>
    <t>seitan</t>
  </si>
  <si>
    <t>miso</t>
  </si>
  <si>
    <t>noisette</t>
  </si>
  <si>
    <t>poulpes</t>
  </si>
  <si>
    <t>chapelure</t>
  </si>
  <si>
    <t>proteine de soja</t>
  </si>
  <si>
    <t>noisettes</t>
  </si>
  <si>
    <t>octopus</t>
  </si>
  <si>
    <t>panure</t>
  </si>
  <si>
    <t>noix</t>
  </si>
  <si>
    <t>coquille saint jacques</t>
  </si>
  <si>
    <t>proteines de soja</t>
  </si>
  <si>
    <t>noix de cajou</t>
  </si>
  <si>
    <t>coquilles saint jacques</t>
  </si>
  <si>
    <t>lait d avoine</t>
  </si>
  <si>
    <t>noix de macadamia</t>
  </si>
  <si>
    <t>saint jacques</t>
  </si>
  <si>
    <t>sauce soja</t>
  </si>
  <si>
    <t>noix de pecan</t>
  </si>
  <si>
    <t>noix du bresil</t>
  </si>
  <si>
    <t>soja</t>
  </si>
  <si>
    <t>noix du queensland</t>
  </si>
  <si>
    <t>soya</t>
  </si>
  <si>
    <t>pate de pistache</t>
  </si>
  <si>
    <t>tempeh</t>
  </si>
  <si>
    <t>pecan</t>
  </si>
  <si>
    <t>tofu</t>
  </si>
  <si>
    <t>pecans</t>
  </si>
  <si>
    <t>pistache</t>
  </si>
  <si>
    <t>pistaches</t>
  </si>
  <si>
    <t>poudre d amande</t>
  </si>
  <si>
    <t>poudre de noisette</t>
  </si>
  <si>
    <t xml:space="preserve">📋 MODE D'EMPLOI EXPRESS </t>
  </si>
  <si>
    <t>crème</t>
  </si>
  <si>
    <t>Ce document est composé de : This document is composed of: Este documento se compone de:</t>
  </si>
  <si>
    <t>avec valeurs ou texte-with values or text-con valores o texto</t>
  </si>
  <si>
    <t>Adresse PC</t>
  </si>
  <si>
    <t>cellules vides - empty cells - celdas vacías</t>
  </si>
  <si>
    <t>lignes - rows - filas</t>
  </si>
  <si>
    <t>*ara</t>
  </si>
  <si>
    <t>*mol</t>
  </si>
  <si>
    <t>colonnes - columns - columnas</t>
  </si>
  <si>
    <t>Céleri</t>
  </si>
  <si>
    <t>*cel</t>
  </si>
  <si>
    <t>*mou</t>
  </si>
  <si>
    <t>Crustacés</t>
  </si>
  <si>
    <t>*cru</t>
  </si>
  <si>
    <t>Fruits à coque</t>
  </si>
  <si>
    <t>*noi</t>
  </si>
  <si>
    <t>Sésame</t>
  </si>
  <si>
    <t>*ses</t>
  </si>
  <si>
    <t>Avec vos exemples, chacun pourra avancer à son rythme, avec confiance et gagner en autonomie.</t>
  </si>
  <si>
    <t>*lai</t>
  </si>
  <si>
    <t>*soj</t>
  </si>
  <si>
    <t>LES PRODUITS ALLERGENES SERONT MARQUÉS PAR UN *</t>
  </si>
  <si>
    <t>*lup</t>
  </si>
  <si>
    <t>*sul</t>
  </si>
  <si>
    <t xml:space="preserve">Partager ses savoir-faire, c’est une façon de rendre hommage à celles et ceux qui nous ont transmis les leurs, </t>
  </si>
  <si>
    <t>exemple = crème liquide *</t>
  </si>
  <si>
    <t>Con tu ejemplo, cada persona podrá progresar a su ritmo, con confianza y ganar en autonomía.</t>
  </si>
  <si>
    <t>.</t>
  </si>
  <si>
    <t>Compartir tus saberes es una forma de rendir homenaje a quienes nos transmitieron los suyos,</t>
  </si>
  <si>
    <t>a veces en silencio, a veces con exigencia, y gracias a quienes seguimos avanzando hoy.</t>
  </si>
  <si>
    <t>⓪①②③④⑤⑥⑦⑧⑨⑩⑪⑫⑬⑭⑮⑯⑰⑱⑲⑳</t>
  </si>
  <si>
    <t>couverts</t>
  </si>
  <si>
    <t xml:space="preserve"> qui vous intéresse choisissez la police de caractères et la couleur qui vous conviennent</t>
  </si>
  <si>
    <t>Nb de lignes ▼</t>
  </si>
  <si>
    <t>▼</t>
  </si>
  <si>
    <t>Poids</t>
  </si>
  <si>
    <t>BRUT</t>
  </si>
  <si>
    <t>NET</t>
  </si>
  <si>
    <t>macedoine surgelée</t>
  </si>
  <si>
    <t xml:space="preserve">fromage blanc 20% mg </t>
  </si>
  <si>
    <t>tomates</t>
  </si>
  <si>
    <t>gelatine poudre</t>
  </si>
  <si>
    <t>basilic coupe surgelé</t>
  </si>
  <si>
    <t>groundnut</t>
  </si>
  <si>
    <t>poivre blanc moulu</t>
  </si>
  <si>
    <t>peanut</t>
  </si>
  <si>
    <t>peanuts</t>
  </si>
  <si>
    <t>Décongeler la macédoine surgelée.</t>
  </si>
  <si>
    <t>céleri</t>
  </si>
  <si>
    <t>Cuire au four dans un bac gastro selon les instructions habituelles.</t>
  </si>
  <si>
    <t>celeri branche</t>
  </si>
  <si>
    <t>Vérifier la cuisson.</t>
  </si>
  <si>
    <t>Refroidir rapidement dans une cellule de refroidissement jusqu'à ce que la température</t>
  </si>
  <si>
    <t>celery</t>
  </si>
  <si>
    <t>Faire fondre la gélatine en poudre avec un peu d'eau à feu doux.</t>
  </si>
  <si>
    <t>crab</t>
  </si>
  <si>
    <t>Verser le mélange dans des petits ramequins.</t>
  </si>
  <si>
    <t>crayfish</t>
  </si>
  <si>
    <t>Filmer les ramequins et les mettre au réfrigérateur.</t>
  </si>
  <si>
    <t>Ajuster l'assaisonnement selon vos goûts.</t>
  </si>
  <si>
    <t>Dresser sur assiette</t>
  </si>
  <si>
    <t>écrevisses</t>
  </si>
  <si>
    <t>Ajouter un filet de coulis de tomates par-dessus.</t>
  </si>
  <si>
    <t>langoustines</t>
  </si>
  <si>
    <t>lobster</t>
  </si>
  <si>
    <t>prawn</t>
  </si>
  <si>
    <t>shrimp</t>
  </si>
  <si>
    <t>almond</t>
  </si>
  <si>
    <t>brazil nut</t>
  </si>
  <si>
    <t>cashew</t>
  </si>
  <si>
    <t>gianduja</t>
  </si>
  <si>
    <t>hazelnut</t>
  </si>
  <si>
    <t>Nom</t>
  </si>
  <si>
    <t>marzipan</t>
  </si>
  <si>
    <t>noix de pécan</t>
  </si>
  <si>
    <t>nougat</t>
  </si>
  <si>
    <t>pate d amande</t>
  </si>
  <si>
    <t>pistachio</t>
  </si>
  <si>
    <t>praline</t>
  </si>
  <si>
    <t>walnut</t>
  </si>
  <si>
    <t>*glu</t>
  </si>
  <si>
    <t>barley</t>
  </si>
  <si>
    <t>biscuit</t>
  </si>
  <si>
    <t>blé</t>
  </si>
  <si>
    <t>cookie</t>
  </si>
  <si>
    <t>crouton</t>
  </si>
  <si>
    <t>farine</t>
  </si>
  <si>
    <t>nouilles</t>
  </si>
  <si>
    <t>oats</t>
  </si>
  <si>
    <t>pain</t>
  </si>
  <si>
    <t>rye</t>
  </si>
  <si>
    <t>spelt</t>
  </si>
  <si>
    <t>wrap</t>
  </si>
  <si>
    <t>croutons</t>
  </si>
  <si>
    <t>croûtons</t>
  </si>
  <si>
    <t>babeurre</t>
  </si>
  <si>
    <t>butter</t>
  </si>
  <si>
    <t>casein</t>
  </si>
  <si>
    <t>caseinate</t>
  </si>
  <si>
    <t>cheese</t>
  </si>
  <si>
    <t>cream</t>
  </si>
  <si>
    <t>creme liquide</t>
  </si>
  <si>
    <t>crème liquide</t>
  </si>
  <si>
    <t>milk</t>
  </si>
  <si>
    <t>petit lait</t>
  </si>
  <si>
    <t>whey</t>
  </si>
  <si>
    <t>yogourt</t>
  </si>
  <si>
    <t>lupine</t>
  </si>
  <si>
    <t>coquillage</t>
  </si>
  <si>
    <t>mussels</t>
  </si>
  <si>
    <t>oyster</t>
  </si>
  <si>
    <t>oysters</t>
  </si>
  <si>
    <t>pétoncle</t>
  </si>
  <si>
    <t>scallop</t>
  </si>
  <si>
    <t>scallops</t>
  </si>
  <si>
    <t>squid</t>
  </si>
  <si>
    <t>bulots</t>
  </si>
  <si>
    <t>mustard</t>
  </si>
  <si>
    <t>Œufs</t>
  </si>
  <si>
    <t>*oeu</t>
  </si>
  <si>
    <t>egg</t>
  </si>
  <si>
    <t>egg white</t>
  </si>
  <si>
    <t>egg yolk</t>
  </si>
  <si>
    <t>eggs</t>
  </si>
  <si>
    <t>mayonnaise</t>
  </si>
  <si>
    <t>meringue</t>
  </si>
  <si>
    <t>œufs</t>
  </si>
  <si>
    <t>omelette</t>
  </si>
  <si>
    <t>anchovy</t>
  </si>
  <si>
    <t>cod</t>
  </si>
  <si>
    <t>fish</t>
  </si>
  <si>
    <t>haddock</t>
  </si>
  <si>
    <t>hareng</t>
  </si>
  <si>
    <t>morue</t>
  </si>
  <si>
    <t>pieuvre</t>
  </si>
  <si>
    <t>salmon</t>
  </si>
  <si>
    <t>tuna</t>
  </si>
  <si>
    <t>shoyu</t>
  </si>
  <si>
    <t>soy</t>
  </si>
  <si>
    <t>soybean</t>
  </si>
  <si>
    <t>tamari</t>
  </si>
  <si>
    <t>e220</t>
  </si>
  <si>
    <t>e221</t>
  </si>
  <si>
    <t>e222</t>
  </si>
  <si>
    <t>e223</t>
  </si>
  <si>
    <t>e224</t>
  </si>
  <si>
    <t>e225</t>
  </si>
  <si>
    <t>e226</t>
  </si>
  <si>
    <t>e227</t>
  </si>
  <si>
    <t>e228</t>
  </si>
  <si>
    <t>sulfur dioxide</t>
  </si>
  <si>
    <t>sulphite</t>
  </si>
  <si>
    <t>sulphites</t>
  </si>
  <si>
    <t>FIN</t>
  </si>
  <si>
    <t>Mélanger la macédoine, le fromage blanc et la gélatine fondue dans un mixeur. *</t>
  </si>
  <si>
    <t>► ◄  ▲  ▼  '@  #  &amp;  %  ± ➕ ➖ ➗ ✖️ ¼  ½  ¾</t>
  </si>
  <si>
    <t>⓿❶❷❸❹❺❻❼❽❾❿⓫⓬⓭⓮⓯⓰⓱⓲⓳⓴</t>
  </si>
  <si>
    <t xml:space="preserve">cliquez sur la première cellule et sélectionnez dans la barre de formule le numéro </t>
  </si>
  <si>
    <t>Saisissez vos valeurs dans la cellule fond jaune encre rouge</t>
  </si>
  <si>
    <t>alcool</t>
  </si>
  <si>
    <t>% Perte</t>
  </si>
  <si>
    <t>Pourcentages des produits</t>
  </si>
  <si>
    <t>liste des produits</t>
  </si>
  <si>
    <t>huile</t>
  </si>
  <si>
    <t>POIDS DE LA RECETTE A DÉCRYPTER</t>
  </si>
  <si>
    <t>Nom de la recette</t>
  </si>
  <si>
    <t>lait 1/2 écrémé</t>
  </si>
  <si>
    <t>Saisissez vos valeurs dans les cellules fond jaune</t>
  </si>
  <si>
    <t>Eau</t>
  </si>
  <si>
    <t>densité</t>
  </si>
  <si>
    <t>produit</t>
  </si>
  <si>
    <t>Volume</t>
  </si>
  <si>
    <t>&lt; position colonne et n° de ligne</t>
  </si>
  <si>
    <t>conversion : volume Centilitres / poids</t>
  </si>
  <si>
    <t>ICI</t>
  </si>
  <si>
    <t>Citron vert</t>
  </si>
  <si>
    <t>Jus d'orange</t>
  </si>
  <si>
    <t>Jus de pamplemousse</t>
  </si>
  <si>
    <t xml:space="preserve">Saisissez vos valeurs dans les cellules fond ivoire </t>
  </si>
  <si>
    <t>Sucre de cannes</t>
  </si>
  <si>
    <t>Poids net</t>
  </si>
  <si>
    <t>%  de perte</t>
  </si>
  <si>
    <t>Rhum</t>
  </si>
  <si>
    <t xml:space="preserve"> Poids de perte</t>
  </si>
  <si>
    <t>POIDS DE LA RECETTE A DÉCRYPTER &gt;</t>
  </si>
  <si>
    <t>%  de PERTE</t>
  </si>
  <si>
    <t>POIDS de PERTE</t>
  </si>
  <si>
    <t>POIDS NET</t>
  </si>
  <si>
    <t>Pourcentages</t>
  </si>
  <si>
    <t>POIDS BRUT</t>
  </si>
  <si>
    <t>Poids brut</t>
  </si>
  <si>
    <t>Total :</t>
  </si>
  <si>
    <t>PUNCH</t>
  </si>
  <si>
    <t>Nom de la recette &gt;</t>
  </si>
  <si>
    <t>Décriptage d'une recette par les pourcentages</t>
  </si>
  <si>
    <t>Pourcentages NET / BRUT et BRUT / NET</t>
  </si>
  <si>
    <t>Aide à la décision en Kg</t>
  </si>
  <si>
    <t>&lt;Largeurs de colonnes formule</t>
  </si>
  <si>
    <t>&lt;Largeurs de colonnes figées pour mémoire</t>
  </si>
  <si>
    <t>%  d'augmentation</t>
  </si>
  <si>
    <t>PRIX D'ACHAT</t>
  </si>
  <si>
    <t>Augmentation</t>
  </si>
  <si>
    <t>PRIX VENTE</t>
  </si>
  <si>
    <t>dans les formules avec loupe n'oubliez pas de modifier les adresses &gt; # k93 &amp;" K93"</t>
  </si>
  <si>
    <t>lorsque vous collez ce tableau ailleurs</t>
  </si>
  <si>
    <t>Bricolage "artisanal "   on peut faire plus simple mais c'est "pédagogique"</t>
  </si>
  <si>
    <t>Prix D'ACHAT / Prix de VENTE</t>
  </si>
  <si>
    <t xml:space="preserve">CUIT + % boni = CRU </t>
  </si>
  <si>
    <t>CRU moins % Perte = CUIT</t>
  </si>
  <si>
    <t>Collez ❹ Cru ou ❺ Cuit Cellule &gt;</t>
  </si>
  <si>
    <t>❽ Saisissez vos effectifs</t>
  </si>
  <si>
    <t>❺ Cuit</t>
  </si>
  <si>
    <t>❼  Quantité p.p.</t>
  </si>
  <si>
    <t>❹ Cru</t>
  </si>
  <si>
    <t>❻ Foisonnement</t>
  </si>
  <si>
    <t>❸ capacité du contenant*</t>
  </si>
  <si>
    <t>❻ % de BONI &gt;</t>
  </si>
  <si>
    <t>❷ Type de Contenant</t>
  </si>
  <si>
    <t xml:space="preserve">❻ %  de PERTE </t>
  </si>
  <si>
    <t>❶ FAMILLE et NOM DU PLAT</t>
  </si>
  <si>
    <t>LÉGENDE</t>
  </si>
  <si>
    <t>Saisissez vos valeurs dans les cellules fond de couleur et collez ❹ Cu ou  ❺ Cuit</t>
  </si>
  <si>
    <t>un contenant* peut être une panière - un sachet - une plaque gastro - une louche - une barquette etc..</t>
  </si>
  <si>
    <t>1 cont.pour &gt;</t>
  </si>
  <si>
    <t>Total contenants &gt;</t>
  </si>
  <si>
    <t xml:space="preserve">A conditionner </t>
  </si>
  <si>
    <t>Combien p.p.❼</t>
  </si>
  <si>
    <t>Effectif ❽</t>
  </si>
  <si>
    <t>Poids Unitaire</t>
  </si>
  <si>
    <t>capacité du contenant ❸</t>
  </si>
  <si>
    <t>▼  ❹ ou ❺</t>
  </si>
  <si>
    <t>(Morceaux- Tranches ...?)</t>
  </si>
  <si>
    <t>Morceaux</t>
  </si>
  <si>
    <t>Service de quoi ? &gt;</t>
  </si>
  <si>
    <t xml:space="preserve"> GN 1/ 1 = 35 morceaux</t>
  </si>
  <si>
    <t>Sautés en morceaux service au poids</t>
  </si>
  <si>
    <t>Bœuf</t>
  </si>
  <si>
    <t>contenant(s) a prévoir &gt;</t>
  </si>
  <si>
    <t>Produit conditionné</t>
  </si>
  <si>
    <t>Nombre de contenants</t>
  </si>
  <si>
    <t xml:space="preserve">CUIT Divisé  = CRU </t>
  </si>
  <si>
    <t>CRU  Multiplié = CUIT</t>
  </si>
  <si>
    <t>Cellule &gt;</t>
  </si>
  <si>
    <t xml:space="preserve">Collez ❹ Kg cru ou ❺ Kg cuit </t>
  </si>
  <si>
    <t>❺ Kg cuit</t>
  </si>
  <si>
    <t>❹ Kg cru</t>
  </si>
  <si>
    <t>❼  Grammage  p.p.</t>
  </si>
  <si>
    <t>Saisissez vos valeurs dans les cellules fond de couleur et collez ❹ Kg cru ou  ❺ Kg cuit</t>
  </si>
  <si>
    <t xml:space="preserve"> Grammage  p.p.❼</t>
  </si>
  <si>
    <t xml:space="preserve"> GN 1/ 1 = 3 Kg crus</t>
  </si>
  <si>
    <t>Semoule (poids cru)</t>
  </si>
  <si>
    <t>Féculent</t>
  </si>
  <si>
    <t>Produit conditionné &gt;</t>
  </si>
  <si>
    <t>Formules utilisées pour afficher ces résultats</t>
  </si>
  <si>
    <t>cellules</t>
  </si>
  <si>
    <t>Cliquez sur les ◀</t>
  </si>
  <si>
    <t>Utilitaire pour le foisionnement en + ou - pour légumes secs et céréales etc…</t>
  </si>
  <si>
    <t>🤓</t>
  </si>
  <si>
    <t>et si vous utilisez un poids cuit vous en avez une autre</t>
  </si>
  <si>
    <t>si vous utilisez un poids cru vous avez une formule</t>
  </si>
  <si>
    <t>🚲</t>
  </si>
  <si>
    <t>🛺</t>
  </si>
  <si>
    <t>Pour obtenir un nombre de plaques gastro à utiliser par exemple</t>
  </si>
  <si>
    <t>Amusez vous un tableur c'est fait pour ça</t>
  </si>
  <si>
    <t>https://www.premiers-clics.fr/cours-informatique/windows-convertir-un-cd-en-fichiers-mp3/</t>
  </si>
  <si>
    <t>Pour vous détendre un peu  : Convertir un CD en MP3 avec Windows Media Player</t>
  </si>
  <si>
    <t>https://fr.excelfunctions.eu/</t>
  </si>
  <si>
    <t>Liste des fonctions Excel avec une traduction</t>
  </si>
  <si>
    <t>Vrai;"Vrai";"Faux"</t>
  </si>
  <si>
    <t>Actif;"Actif";"Inactif"</t>
  </si>
  <si>
    <t>https://bepo.fr/wiki/Menu</t>
  </si>
  <si>
    <t>https://bepo.fr/wiki/Manuel</t>
  </si>
  <si>
    <t>0.00 " cm²"</t>
  </si>
  <si>
    <t>Manuel d’utilisation</t>
  </si>
  <si>
    <t>0.00" cm"</t>
  </si>
  <si>
    <t>https://www.premiers-clics.fr/cours-informatique/windows-les-fonctionnalites-du-clavier/</t>
  </si>
  <si>
    <t>http://www.symbole-clavier.com/</t>
  </si>
  <si>
    <t>0.0" mm"</t>
  </si>
  <si>
    <t>Comment taper sur votre clavier d'ordinateur tous les symboles, emoji, signes, icones ?</t>
  </si>
  <si>
    <t>Col.0</t>
  </si>
  <si>
    <t>N° 0</t>
  </si>
  <si>
    <t>🔎#</t>
  </si>
  <si>
    <t>🔗</t>
  </si>
  <si>
    <t>Visuellement, ça représente quoi 100 calories ?</t>
  </si>
  <si>
    <t>Lien &gt;</t>
  </si>
  <si>
    <t>0.0" %"</t>
  </si>
  <si>
    <t>Voici quelques photos pour aider à estimer les quantités</t>
  </si>
  <si>
    <t>0" Mx"</t>
  </si>
  <si>
    <t>➕  ⏮  ➿  ⁉  ⬅  ☺  ✔  ❓  🆗  🌼  🚲  🤓  🔛 🚐  «</t>
  </si>
  <si>
    <t>0" H"</t>
  </si>
  <si>
    <t>0" jours"</t>
  </si>
  <si>
    <t>"🚲 "   " 🤓 "   " ✔ "   " 🆗 "</t>
  </si>
  <si>
    <t>0" lignes"</t>
  </si>
  <si>
    <t>Vous pouvez mettre des émotocones dans vos formules entre deux guillemets "   "</t>
  </si>
  <si>
    <t>0.000" L"</t>
  </si>
  <si>
    <t>0.000 " dm³"</t>
  </si>
  <si>
    <t>Vous pouvez extraire ce que vous voulez d'une phrase des nombre un prénom etc</t>
  </si>
  <si>
    <t>0.00 " cm³"</t>
  </si>
  <si>
    <t># ##0" cl"</t>
  </si>
  <si>
    <t>Résultat</t>
  </si>
  <si>
    <t>Poids portion 0.000" Kg"</t>
  </si>
  <si>
    <t>nombre de caractères à extraire</t>
  </si>
  <si>
    <t>0.000K\g</t>
  </si>
  <si>
    <t>position du premier caractère à extraire</t>
  </si>
  <si>
    <t>0.000" Kg"</t>
  </si>
  <si>
    <t>de 0.00" Kg"</t>
  </si>
  <si>
    <t>qtzt-45221-kiu</t>
  </si>
  <si>
    <t>Collez votre texte &gt;</t>
  </si>
  <si>
    <t>de # ##0.000" kg"</t>
  </si>
  <si>
    <t>formule plus simple MAIS si vous déplacez votre tableau vous devez à chaque fois modifier l'adresse ("# c131";</t>
  </si>
  <si>
    <t>Extraire du texte d'une chaine de caractères</t>
  </si>
  <si>
    <t># ##0.000" kg"</t>
  </si>
  <si>
    <t>Lien incrémenté ne se met pas à jour dans un autre emplacement</t>
  </si>
  <si>
    <t># ##0" gr"</t>
  </si>
  <si>
    <t>dans les 3 formules suivantes</t>
  </si>
  <si>
    <t>https://www.youtube.com/watch?v=BEAwIv4fIw4</t>
  </si>
  <si>
    <t>Tableau de bord des ventes et de gestion des stocks</t>
  </si>
  <si>
    <t>UNICAR(128269)</t>
  </si>
  <si>
    <t>Formats de cellules nombres personnalisées</t>
  </si>
  <si>
    <t>l'avantage de ne pas mettre le nom de la cellule entre guillemets c'est qu'elle se mettra automatiquement à jour lorsque vous copierez votre tableau ailleurs</t>
  </si>
  <si>
    <t>par votre N° de Ligne et de Colonne</t>
  </si>
  <si>
    <t xml:space="preserve">Pour toutes ces formules remplacez </t>
  </si>
  <si>
    <t>Excel n'aime pas les cellules vides j'ai donc saisi des valeurs 1 dans certaines cellules</t>
  </si>
  <si>
    <t>les formules vous indiquent les nouvelles largeurs et les largeurs figées les corrections à apporter</t>
  </si>
  <si>
    <t>vous n'obtenez pas toujours le même écartement de colonnes pour la taille de police.</t>
  </si>
  <si>
    <t xml:space="preserve">Lorsque vous Copiez/Collez un document dans une nouvelle feuille </t>
  </si>
  <si>
    <t>Largeurs de colonnes figées pour mémoire  et  Largeurs de colonnes formule pourquoi ?</t>
  </si>
  <si>
    <t>https://www.youtube.com/watch?v=2TmdhLLUsOQ</t>
  </si>
  <si>
    <t>Séparer Nom et Prénom et en faire une adresse mail</t>
  </si>
  <si>
    <t>indiquez entre les guillemets " , "que vous voulez supprimer la virgule de séparation</t>
  </si>
  <si>
    <t>Guillaume,Tell</t>
  </si>
  <si>
    <t>Guillaume Tell</t>
  </si>
  <si>
    <t>FORMULETEXTE(O42)</t>
  </si>
  <si>
    <t>Extraire les Noms et Prénoms</t>
  </si>
  <si>
    <t>Prénom et Nom</t>
  </si>
  <si>
    <t>Tell</t>
  </si>
  <si>
    <t>Guillaume</t>
  </si>
  <si>
    <t>Spière</t>
  </si>
  <si>
    <t>Robert</t>
  </si>
  <si>
    <t>Combinaison</t>
  </si>
  <si>
    <t>Prénom</t>
  </si>
  <si>
    <t>Détail de la formule saisie</t>
  </si>
  <si>
    <t>Affichage</t>
  </si>
  <si>
    <t>A vous d'imaginer d'autres utilisations possibles</t>
  </si>
  <si>
    <t xml:space="preserve">Combiner les Prénoms et Noms </t>
  </si>
  <si>
    <t>Exemples de formules nomades vous indiquez une bonne fois pour toutes l'emplacement de la cellule de destination</t>
  </si>
  <si>
    <t>vous obtenez le même résultat  MAIS cet ' est plus difficile à identifier en cas d'erreur</t>
  </si>
  <si>
    <t>Vous avez une autre option pour figer la formule &gt; saisissez un ' apostrophe devant =</t>
  </si>
  <si>
    <t>les mises à jours seront automatiques lorsque vous collerez votre tableau dans une autre feuille</t>
  </si>
  <si>
    <t>et appuyez sur Entrée</t>
  </si>
  <si>
    <t>Mettre seulement le dièse "#" entre 2 guillemets pour ne pas figer la cellule de destination</t>
  </si>
  <si>
    <t xml:space="preserve">lorsque vous avez fini remettez un = devant positionnez vous à la fin de la formule </t>
  </si>
  <si>
    <t>Un lien Hypertexte commence toujours par :    LIEN_HYPERTEXTE("#" c25 par exemple</t>
  </si>
  <si>
    <t>la formule devient texte et se modifie comme du texte</t>
  </si>
  <si>
    <t>Pour modifier une formule &gt; dans la barre de formule supprimez le =</t>
  </si>
  <si>
    <t>Quelques liens hypertexte internes exemple de formules</t>
  </si>
  <si>
    <t>Pourquoi une cellule ICI &gt; pour sélectionner le tableau en se déportant vers la droite et vous pouvez le coller dans une autre feuille</t>
  </si>
  <si>
    <t>la première colonne de chaque tableau n'a pas de cellule grise volontairement. Cette colonne est fusionnée pour vous faciliter la sélection du tableau - Largeur par défaut 3</t>
  </si>
  <si>
    <t>les cellules grises vous indiquent la largeur des colonnes sur votre document et les corrections à apporter</t>
  </si>
  <si>
    <t>Utilitaires à copier dans vos documents puis ajustez la largeur des colonnes comme indiqué dans les cellules de couleur en bas de chaque tableau</t>
  </si>
  <si>
    <t>sur cette page vous avez déjà des formules à récupérer et des liens à visiter</t>
  </si>
  <si>
    <t>Pour faire court voici quelques petits exemples</t>
  </si>
  <si>
    <t>https://everything.fr.softonic.com/</t>
  </si>
  <si>
    <t>Everything  un utilitaire de recherche gratuit pour indexer et rechercher vos fichiers</t>
  </si>
  <si>
    <t>Atentamente,Joël Leboucher — 21 de octubre de 2025</t>
  </si>
  <si>
    <t>Best regards,Joël Leboucher — October 21, 2025</t>
  </si>
  <si>
    <t>Sincères salutations Joël Leboucher 21/10/2025</t>
  </si>
  <si>
    <t>sometimes in silence, sometimes with high expectations — and thanks to whom we move forward today.</t>
  </si>
  <si>
    <t>parfois dans le silence ou l’exigence, et grâce à qui nous avançons aujourd’hui.</t>
  </si>
  <si>
    <t>Sharing your know-how is a way to pay tribute to those who passed theirs on to us —</t>
  </si>
  <si>
    <t>Through your examples, everyone can move forward at their own pace, with confidence, and gain autonomy.</t>
  </si>
  <si>
    <t xml:space="preserve"> para quienes desean avanzar.</t>
  </si>
  <si>
    <t xml:space="preserve"> for those who want to grow.</t>
  </si>
  <si>
    <t>sont des tremplins pour celles et ceux qui veulent progresser.</t>
  </si>
  <si>
    <t>Tiende la mano, comparte tus saberes: tus intentos, tus errores y tu perseverancia son impulsores</t>
  </si>
  <si>
    <t>Reach out, share your know-how: your attempts, mistakes, and determination are stepping stones</t>
  </si>
  <si>
    <t xml:space="preserve">Tendez la main, partagez vos savoir-faire : vos essais, vos erreurs et votre ténacité </t>
  </si>
  <si>
    <t>que puedan consultar y aprovechar cuando lo necesiten.</t>
  </si>
  <si>
    <t>to build their own “web library” — a personal resource they can consult and use when the time is right.</t>
  </si>
  <si>
    <t>afin de se constituer une “webthèque” ou “nethèque” personnelle, à consulter et exploiter au moment opportun.</t>
  </si>
  <si>
    <t xml:space="preserve">Por eso animo a los usuarios a descargar estos documentos en su disco duro, para crearse una “webteca” o biblioteca personal, </t>
  </si>
  <si>
    <t xml:space="preserve">That’s why I encourage visitors to download these materials onto their hard drive, </t>
  </si>
  <si>
    <t>C’est pourquoi j’invite l’internaute à télécharger sur son disque dur les documents disponibles sur les archives de ce site,</t>
  </si>
  <si>
    <t>Sin embargo, a partir de modelos ya hechos, puede aprender poco a poco a estructurar, copiar, dar formato y utilizar fórmulas y funciones.</t>
  </si>
  <si>
    <t>However, starting from ready-made templates, they can gradually learn to break things down, copy, format, and use formulas and functions.</t>
  </si>
  <si>
    <t>En revanche, en partant de modèles existants, il peut progressivement apprendre à découper, coller, mettre en forme, utiliser formules et fonctions.</t>
  </si>
  <si>
    <t>Un joven en formación (CFA, escuela de hostelería, etc.) o un profesional en activo no siempre tiene tiempo para aprender los fundamentos de una hoja de cálculo si nunca se le ha enseñado.</t>
  </si>
  <si>
    <t>A young person in training (CFA, hospitality school, etc.) or an active professional often lacks time to learn spreadsheet basics if they haven't been introduced to them before.</t>
  </si>
  <si>
    <t>Un jeune en formation (CFA, lycée hôtelier, etc.) ou un professionnel en activité n’a pas toujours le temps d’apprendre les bases d’un tableur s’il n’a pas été initié.</t>
  </si>
  <si>
    <t>, y fomentar la capacidad de pensar, analizar y dominar lo que se hace.</t>
  </si>
  <si>
    <t>and to help develop the ability to think, analyze, and truly understand what we do.</t>
  </si>
  <si>
    <t>et de développer la capacité à penser, analyser et maîtriser ce que l’on fait.</t>
  </si>
  <si>
    <t>El objetivo de estos documentos no es solo que se utilicen, sino también alimentar la reflexión mediante ejemplos concretos</t>
  </si>
  <si>
    <t xml:space="preserve">The purpose of these documents is, of course, to be used — but more importantly, to encourage critical thinking through practical examples, </t>
  </si>
  <si>
    <t>L’objectif de ces documents est bien sûr de pouvoir les utiliser, mais surtout de nourrir la réflexion grâce à des exemples concrets</t>
  </si>
  <si>
    <t xml:space="preserve"> y adaptables a la restauración comercial.</t>
  </si>
  <si>
    <t>catering professionals, and adaptable to commercial food service.</t>
  </si>
  <si>
    <t>et adaptables à la restauration commerciale.</t>
  </si>
  <si>
    <t>En este sitio encontrará ejemplos de herramientas procedentes del UPRT, basadas en la experiencia y los conocimientos de la restauración colectiva,</t>
  </si>
  <si>
    <t xml:space="preserve">On this site, you’ll find a selection of tools from UPRT, based on the experience and expertise of collective </t>
  </si>
  <si>
    <t>Sur ce site, vous trouverez des exemples d’utilitaires issus de l’UPRT, fondés sur l’expérience et les savoir-faire de la restauration collective,</t>
  </si>
  <si>
    <t>Señora, Señor:</t>
  </si>
  <si>
    <t>Dear Sir or Madam,</t>
  </si>
  <si>
    <t>Madame..Monsieur….Bonjour</t>
  </si>
  <si>
    <t>🇪🇸 Transmisión del Saber Hacer</t>
  </si>
  <si>
    <t>🇬🇧 Passing on Know-How</t>
  </si>
  <si>
    <t>Transmission des savoirs faire</t>
  </si>
  <si>
    <t>Fin du document cellule &gt;End of the “cell” document &gt;Fin del documento “celda” &gt;</t>
  </si>
  <si>
    <t>Auteur : Joel Leboucher • Rochefort sur Mer |  Date : 22 Janvier 2026  |  heure : 10h07</t>
  </si>
  <si>
    <t> Page Facebook de l’UPRT</t>
  </si>
  <si>
    <t> Cuisine-centrale17.fr - Union des Personnels de la Restauration Territoriale</t>
  </si>
  <si>
    <t> Courriel de Joël Leboucher : Pour lui écrire</t>
  </si>
  <si>
    <t>Liens</t>
  </si>
  <si>
    <r>
      <t xml:space="preserve">Le Centre de Ressources National Hôtellerie-Restauration remercie </t>
    </r>
    <r>
      <rPr>
        <b/>
        <sz val="11"/>
        <color theme="1"/>
        <rFont val="Calibri"/>
        <family val="2"/>
        <scheme val="minor"/>
      </rPr>
      <t>Joël Leboucher</t>
    </r>
    <r>
      <rPr>
        <sz val="11"/>
        <color theme="1"/>
        <rFont val="Calibri"/>
        <family val="2"/>
        <scheme val="minor"/>
      </rPr>
      <t xml:space="preserve"> pour ce travail de mutualisation au service des équipes pédagogiques et des professionnels.</t>
    </r>
  </si>
  <si>
    <t>Accompagner la mise en œuvre des référentiels en Hôtellerie-Restauration et Alimentation.</t>
  </si>
  <si>
    <t>Initier les apprenants aux outils de gestion et de traçabilité utilisés sur le terrain ;</t>
  </si>
  <si>
    <t>Mettre les élèves de CAP, CS, Bac Pro, BP et BTS en situation professionnelle réaliste ;</t>
  </si>
  <si>
    <t>Ces fichiers font le lien entre la réalité de la production en restauration collective et les besoins des enseignants, formateurs et apprenants. Ils peuvent être utilisés pour : mettre les élèves en situation professionnelle, à travailler les outils de gestion et de traçabilité et à accompagner l’application des référentiels en hôtellerie-restauration et métiers de l’alimentation.</t>
  </si>
  <si>
    <t>Intérêt pour la formation initiale et continue</t>
  </si>
  <si>
    <r>
      <t xml:space="preserve">diffusion des bonnes pratiques au sein de la restauration territoriale et est impliqué dans des réseaux professionnels de la restauration collective. Ses travaux sont régulièrement utilisés comme </t>
    </r>
    <r>
      <rPr>
        <b/>
        <sz val="11"/>
        <color theme="1"/>
        <rFont val="Calibri"/>
        <family val="2"/>
        <scheme val="minor"/>
      </rPr>
      <t>ressources de référence</t>
    </r>
    <r>
      <rPr>
        <sz val="11"/>
        <color theme="1"/>
        <rFont val="Calibri"/>
        <family val="2"/>
        <scheme val="minor"/>
      </rPr>
      <t xml:space="preserve"> par des collectivités, des associations professionnelles et des établissements de formation.</t>
    </r>
  </si>
  <si>
    <r>
      <t xml:space="preserve">Engagé de longue date dans la profession, </t>
    </r>
    <r>
      <rPr>
        <b/>
        <sz val="11"/>
        <color theme="1"/>
        <rFont val="Calibri"/>
        <family val="2"/>
        <scheme val="minor"/>
      </rPr>
      <t>Joël Leboucher</t>
    </r>
    <r>
      <rPr>
        <sz val="11"/>
        <color theme="1"/>
        <rFont val="Calibri"/>
        <family val="2"/>
        <scheme val="minor"/>
      </rPr>
      <t xml:space="preserve"> contribue également à la</t>
    </r>
  </si>
  <si>
    <r>
      <t xml:space="preserve">Des </t>
    </r>
    <r>
      <rPr>
        <b/>
        <sz val="11"/>
        <color theme="1"/>
        <rFont val="Calibri"/>
        <family val="2"/>
        <scheme val="minor"/>
      </rPr>
      <t>tutoriels</t>
    </r>
    <r>
      <rPr>
        <sz val="11"/>
        <color theme="1"/>
        <rFont val="Calibri"/>
        <family val="2"/>
        <scheme val="minor"/>
      </rPr>
      <t xml:space="preserve"> pour l’utilisation de logiciels et outils numériques.</t>
    </r>
  </si>
  <si>
    <r>
      <t xml:space="preserve">Des </t>
    </r>
    <r>
      <rPr>
        <b/>
        <sz val="11"/>
        <color theme="1"/>
        <rFont val="Calibri"/>
        <family val="2"/>
        <scheme val="minor"/>
      </rPr>
      <t>fiches produits</t>
    </r>
    <r>
      <rPr>
        <sz val="11"/>
        <color theme="1"/>
        <rFont val="Calibri"/>
        <family val="2"/>
        <scheme val="minor"/>
      </rPr>
      <t xml:space="preserve"> et supports de formation ;</t>
    </r>
  </si>
  <si>
    <r>
      <t xml:space="preserve">Des </t>
    </r>
    <r>
      <rPr>
        <b/>
        <sz val="11"/>
        <color theme="1"/>
        <rFont val="Calibri"/>
        <family val="2"/>
        <scheme val="minor"/>
      </rPr>
      <t>documents de travail</t>
    </r>
    <r>
      <rPr>
        <sz val="11"/>
        <color theme="1"/>
        <rFont val="Calibri"/>
        <family val="2"/>
        <scheme val="minor"/>
      </rPr>
      <t xml:space="preserve"> (plan de nettoyage, maîtrise sanitaire, etc.) ;</t>
    </r>
  </si>
  <si>
    <r>
      <t xml:space="preserve">Des </t>
    </r>
    <r>
      <rPr>
        <b/>
        <sz val="11"/>
        <color theme="1"/>
        <rFont val="Calibri"/>
        <family val="2"/>
        <scheme val="minor"/>
      </rPr>
      <t>modèles de fiches techniques et de recettes</t>
    </r>
    <r>
      <rPr>
        <sz val="11"/>
        <color theme="1"/>
        <rFont val="Calibri"/>
        <family val="2"/>
        <scheme val="minor"/>
      </rPr>
      <t xml:space="preserve"> sous Excel ;</t>
    </r>
  </si>
  <si>
    <t>Professionnel de la restauration collective, Joël Leboucher partage bénévolement des ressources Excel pour les métiers de bouche. Sur le site cuisine-centrale17.fr, il propose des modèles de fiches techniques et de recettes, des documents de travail (organisation, maîtrise sanitaire…) et quelques supports de formation et tutoriels numériques.</t>
  </si>
  <si>
    <t>Qui est Joël Leboucher ?</t>
  </si>
  <si>
    <t>Pour accéder directement à la page de téléchargement des modèles de fiches techniques :</t>
  </si>
  <si>
    <t>afin d’offrir encore plus de souplesse aux utilisateurs.</t>
  </si>
  <si>
    <r>
      <t>Joël Leboucher</t>
    </r>
    <r>
      <rPr>
        <sz val="11"/>
        <color theme="1"/>
        <rFont val="Calibri"/>
        <family val="2"/>
        <scheme val="minor"/>
      </rPr>
      <t xml:space="preserve"> a notamment </t>
    </r>
    <r>
      <rPr>
        <b/>
        <sz val="11"/>
        <color theme="1"/>
        <rFont val="Calibri"/>
        <family val="2"/>
        <scheme val="minor"/>
      </rPr>
      <t>relooké le fichier « 18 colonnes » et ajouté deux colonnes supplémentaires</t>
    </r>
    <r>
      <rPr>
        <sz val="11"/>
        <color theme="1"/>
        <rFont val="Calibri"/>
        <family val="2"/>
        <scheme val="minor"/>
      </rPr>
      <t>,</t>
    </r>
  </si>
  <si>
    <t>Documents de référence pour les travaux dirigés, études de cas, évaluations, etc.</t>
  </si>
  <si>
    <r>
      <t xml:space="preserve">Supports de cours en </t>
    </r>
    <r>
      <rPr>
        <b/>
        <sz val="11"/>
        <color theme="1"/>
        <rFont val="Calibri"/>
        <family val="2"/>
        <scheme val="minor"/>
      </rPr>
      <t>Cuisine</t>
    </r>
    <r>
      <rPr>
        <sz val="11"/>
        <color theme="1"/>
        <rFont val="Calibri"/>
        <family val="2"/>
        <scheme val="minor"/>
      </rPr>
      <t xml:space="preserve">, </t>
    </r>
    <r>
      <rPr>
        <b/>
        <sz val="11"/>
        <color theme="1"/>
        <rFont val="Calibri"/>
        <family val="2"/>
        <scheme val="minor"/>
      </rPr>
      <t>Pâtisserie</t>
    </r>
    <r>
      <rPr>
        <sz val="11"/>
        <color theme="1"/>
        <rFont val="Calibri"/>
        <family val="2"/>
        <scheme val="minor"/>
      </rPr>
      <t>,</t>
    </r>
    <r>
      <rPr>
        <b/>
        <sz val="11"/>
        <color theme="1"/>
        <rFont val="Calibri"/>
        <family val="2"/>
        <scheme val="minor"/>
      </rPr>
      <t>Boulangerie</t>
    </r>
    <r>
      <rPr>
        <sz val="11"/>
        <color theme="1"/>
        <rFont val="Calibri"/>
        <family val="2"/>
        <scheme val="minor"/>
      </rPr>
      <t xml:space="preserve">, </t>
    </r>
    <r>
      <rPr>
        <b/>
        <sz val="11"/>
        <color theme="1"/>
        <rFont val="Calibri"/>
        <family val="2"/>
        <scheme val="minor"/>
      </rPr>
      <t>Charcuterie-traiteur</t>
    </r>
    <r>
      <rPr>
        <sz val="11"/>
        <color theme="1"/>
        <rFont val="Calibri"/>
        <family val="2"/>
        <scheme val="minor"/>
      </rPr>
      <t xml:space="preserve"> et </t>
    </r>
    <r>
      <rPr>
        <b/>
        <sz val="11"/>
        <color theme="1"/>
        <rFont val="Calibri"/>
        <family val="2"/>
        <scheme val="minor"/>
      </rPr>
      <t>Bar</t>
    </r>
    <r>
      <rPr>
        <sz val="11"/>
        <color theme="1"/>
        <rFont val="Calibri"/>
        <family val="2"/>
        <scheme val="minor"/>
      </rPr>
      <t> ;</t>
    </r>
  </si>
  <si>
    <t>Outils de gestion et d’organisation pour les cuisines pédagogiques ou de production ;</t>
  </si>
  <si>
    <t>Ils peuvent être utilisés comme :</t>
  </si>
  <si>
    <r>
      <t xml:space="preserve">Les modèles de fiches techniques Excel de </t>
    </r>
    <r>
      <rPr>
        <b/>
        <sz val="11"/>
        <color theme="1"/>
        <rFont val="Calibri"/>
        <family val="2"/>
        <scheme val="minor"/>
      </rPr>
      <t>Joël Leboucher</t>
    </r>
    <r>
      <rPr>
        <sz val="11"/>
        <color theme="1"/>
        <rFont val="Calibri"/>
        <family val="2"/>
        <scheme val="minor"/>
      </rPr>
      <t xml:space="preserve"> sont mis à disposition en </t>
    </r>
    <r>
      <rPr>
        <b/>
        <sz val="11"/>
        <color theme="1"/>
        <rFont val="Calibri"/>
        <family val="2"/>
        <scheme val="minor"/>
      </rPr>
      <t>téléchargement gratuit</t>
    </r>
    <r>
      <rPr>
        <sz val="11"/>
        <color theme="1"/>
        <rFont val="Calibri"/>
        <family val="2"/>
        <scheme val="minor"/>
      </rPr>
      <t xml:space="preserve">. </t>
    </r>
  </si>
  <si>
    <t>Une ressource gratuite pour les enseignants et les formateurs</t>
  </si>
  <si>
    <t>de coûts et de planification de la production, tout en restant au plus près de la réalité des cuisines professionnelles.</t>
  </si>
  <si>
    <t xml:space="preserve">Ces fichiers permettent ainsi de travailler avec les apprenants sur les notions de grammages, de proportionnalité, </t>
  </si>
  <si>
    <r>
      <t>Support pédagogique</t>
    </r>
    <r>
      <rPr>
        <sz val="11"/>
        <color theme="1"/>
        <rFont val="Calibri"/>
        <family val="2"/>
        <scheme val="minor"/>
      </rPr>
      <t xml:space="preserve"> utilisable en cours avec des élèves ou apprentis</t>
    </r>
  </si>
  <si>
    <r>
      <t>Tableau de mise en forme</t>
    </r>
    <r>
      <rPr>
        <sz val="11"/>
        <color theme="1"/>
        <rFont val="Calibri"/>
        <family val="2"/>
        <scheme val="minor"/>
      </rPr>
      <t xml:space="preserve"> pour découper un texte sans couper les mots</t>
    </r>
  </si>
  <si>
    <r>
      <t>Aide à l’organisation</t>
    </r>
    <r>
      <rPr>
        <sz val="11"/>
        <color theme="1"/>
        <rFont val="Calibri"/>
        <family val="2"/>
        <scheme val="minor"/>
      </rPr>
      <t xml:space="preserve"> de la production</t>
    </r>
  </si>
  <si>
    <t>Conversions en g et en cL</t>
  </si>
  <si>
    <t>Grammages par portion et pour 1 kg</t>
  </si>
  <si>
    <t>Saisies possibles en poids et en volumes</t>
  </si>
  <si>
    <r>
      <t>Calculs automatiques</t>
    </r>
    <r>
      <rPr>
        <sz val="11"/>
        <color theme="1"/>
        <rFont val="Calibri"/>
        <family val="2"/>
        <scheme val="minor"/>
      </rPr>
      <t xml:space="preserve"> (quantités, rendements, coûts, etc.)</t>
    </r>
  </si>
  <si>
    <t>Elles ont été pensées pour faciliter le travail quotidien des équipes de cuisine et standardiser la documentation technologique. Parmi les fonctionnalités proposées :</t>
  </si>
  <si>
    <t>Bar et cocktails</t>
  </si>
  <si>
    <t>Traiteur</t>
  </si>
  <si>
    <t>Charcuterie</t>
  </si>
  <si>
    <t>Boulangerie</t>
  </si>
  <si>
    <t>Pâtisserie</t>
  </si>
  <si>
    <t>Cuisine</t>
  </si>
  <si>
    <r>
      <t xml:space="preserve">Les fiches techniques Excel proposées par </t>
    </r>
    <r>
      <rPr>
        <b/>
        <sz val="11"/>
        <color theme="1"/>
        <rFont val="Calibri"/>
        <family val="2"/>
        <scheme val="minor"/>
      </rPr>
      <t xml:space="preserve">Joël Leboucher </t>
    </r>
    <r>
      <rPr>
        <sz val="11"/>
        <color theme="1"/>
        <rFont val="Calibri"/>
        <family val="2"/>
        <scheme val="minor"/>
      </rPr>
      <t>couvrent de nombreux secteurs :</t>
    </r>
  </si>
  <si>
    <t>Des modèles de fiches techniques adaptés aux usages professionnels</t>
  </si>
  <si>
    <r>
      <t xml:space="preserve">Ces fiches ont été conçues pour répondre aux besoins spécifiques de la </t>
    </r>
    <r>
      <rPr>
        <b/>
        <sz val="11"/>
        <color theme="1"/>
        <rFont val="Calibri"/>
        <family val="2"/>
        <scheme val="minor"/>
      </rPr>
      <t>restauration collective</t>
    </r>
    <r>
      <rPr>
        <sz val="11"/>
        <color theme="1"/>
        <rFont val="Calibri"/>
        <family val="2"/>
        <scheme val="minor"/>
      </rPr>
      <t xml:space="preserve"> (cuisines centrales, restauration territoriale, EHPAD, etc.), de la </t>
    </r>
    <r>
      <rPr>
        <b/>
        <sz val="11"/>
        <color theme="1"/>
        <rFont val="Calibri"/>
        <family val="2"/>
        <scheme val="minor"/>
      </rPr>
      <t>restauration scolaire</t>
    </r>
    <r>
      <rPr>
        <sz val="11"/>
        <color theme="1"/>
        <rFont val="Calibri"/>
        <family val="2"/>
        <scheme val="minor"/>
      </rPr>
      <t xml:space="preserve">, mais aussi des </t>
    </r>
    <r>
      <rPr>
        <b/>
        <sz val="11"/>
        <color theme="1"/>
        <rFont val="Calibri"/>
        <family val="2"/>
        <scheme val="minor"/>
      </rPr>
      <t>lycées hôteliers</t>
    </r>
    <r>
      <rPr>
        <sz val="11"/>
        <color theme="1"/>
        <rFont val="Calibri"/>
        <family val="2"/>
        <scheme val="minor"/>
      </rPr>
      <t xml:space="preserve">, et </t>
    </r>
    <r>
      <rPr>
        <b/>
        <sz val="11"/>
        <color theme="1"/>
        <rFont val="Calibri"/>
        <family val="2"/>
        <scheme val="minor"/>
      </rPr>
      <t>CFA cuisine/pâtisserie</t>
    </r>
    <r>
      <rPr>
        <sz val="11"/>
        <color theme="1"/>
        <rFont val="Calibri"/>
        <family val="2"/>
        <scheme val="minor"/>
      </rPr>
      <t xml:space="preserve">. Elles constituent des outils opérationnels pour les équipes de production et des </t>
    </r>
    <r>
      <rPr>
        <b/>
        <sz val="11"/>
        <color theme="1"/>
        <rFont val="Calibri"/>
        <family val="2"/>
        <scheme val="minor"/>
      </rPr>
      <t>supports pédagogiques</t>
    </r>
    <r>
      <rPr>
        <sz val="11"/>
        <color theme="1"/>
        <rFont val="Calibri"/>
        <family val="2"/>
        <scheme val="minor"/>
      </rPr>
      <t xml:space="preserve"> de qualité pour les élèves, apprentis, enseignants et formateurs.</t>
    </r>
  </si>
  <si>
    <t>Le Centre de Ressources National Hôtellerie-Restauration relaie le travail de Joël Leboucher, créateur du site cuisine-centrale17.fr, qui met gratuitement à disposition des modèles de fiches techniques sous Excel pour l’ensemble des métiers de bouche.</t>
  </si>
  <si>
    <t>mardi 9 décembre 2025, par Laurent Nadiras</t>
  </si>
  <si>
    <t>Établissements de la filière et formations Formation Ressources</t>
  </si>
  <si>
    <t>Des fiches techniques Excel pour tous les métiers de bouche</t>
  </si>
  <si>
    <t>https://www.hotellerie-restauration.ac-versailles.fr/spip.php?article4551</t>
  </si>
  <si>
    <t>Ce document permet de détecter les allergènes dans une liste de produits ou dans un texte complet, puis d’adapter automatiquement l’affichage au support final pour éviter tout débordement.</t>
  </si>
  <si>
    <t>ce n'est pas parfait, ce n'est ni un logiciel ni une IA, ce n'est qu'un document excel avec ses limites. Exemple moelleux remontait  = ⚠ Mollusques</t>
  </si>
  <si>
    <t>ALERTE</t>
  </si>
  <si>
    <t>EXCL</t>
  </si>
  <si>
    <t>bigorneau</t>
  </si>
  <si>
    <t>calmar</t>
  </si>
  <si>
    <t>moule inox</t>
  </si>
  <si>
    <t>moule silicone</t>
  </si>
  <si>
    <t>beurre laitier</t>
  </si>
  <si>
    <t>beurre demi sel</t>
  </si>
  <si>
    <t>beurre doux</t>
  </si>
  <si>
    <t>creme entiere</t>
  </si>
  <si>
    <t>lactalbumine</t>
  </si>
  <si>
    <t>gelatine de poisson</t>
  </si>
  <si>
    <t>lieu noir</t>
  </si>
  <si>
    <t>biscotte</t>
  </si>
  <si>
    <t>biscuits</t>
  </si>
  <si>
    <t>semoule de ble</t>
  </si>
  <si>
    <t>farine de noisette</t>
  </si>
  <si>
    <t>farine d amande</t>
  </si>
  <si>
    <t>farine de coco</t>
  </si>
  <si>
    <t>farine de pois chiche</t>
  </si>
  <si>
    <t>farine de chataigne</t>
  </si>
  <si>
    <t>farine de sarrasin</t>
  </si>
  <si>
    <t>farine de mais</t>
  </si>
  <si>
    <t>farine de riz</t>
  </si>
  <si>
    <t>sirop de glucose de ble</t>
  </si>
  <si>
    <t>⓪①②③④⑤⑥⑦⑧⑨⑩⑪⑫⑬⑭⑮⑯⑰⑱⑲⑳ '@ ! " # &amp;</t>
  </si>
  <si>
    <t>cliquez sur la colonne  C et sélectionnez dans la barre de formule le numéro ou la lettre qui vous intéresse choisissez la police de caractères et la couleur qui vous conviennent</t>
  </si>
  <si>
    <t>⓿❶❷❸❹❺❻❼❽❾❿⓫⓬⓭⓮⓯⓰⓱⓲⓳⓴ ►◄ ▲ ▼</t>
  </si>
  <si>
    <t>0️⃣ 1️⃣ 2️⃣ 3️⃣ 4️⃣ 5️⃣ 6️⃣ 7️⃣ 8️⃣ 9️⃣ 🔟 1️⃣1️⃣ 1️⃣2️⃣ 1️⃣3️⃣ 1️⃣4️⃣ 1️⃣5️⃣ 1️⃣6️⃣ 1️⃣7️⃣ 1️⃣8️⃣ 1️⃣9️⃣ 2️⃣0️⃣</t>
  </si>
  <si>
    <t xml:space="preserve">1️⃣1️⃣ </t>
  </si>
  <si>
    <t>1️⃣2️⃣</t>
  </si>
  <si>
    <t>◄</t>
  </si>
  <si>
    <t>Modèle</t>
  </si>
  <si>
    <t>🔄 CHANGER DE POSTIT 🔄</t>
  </si>
  <si>
    <t>1️⃣ Collez votre "postit" en 🟥 A</t>
  </si>
  <si>
    <t>1️⃣ Sélectionnez tout le "postit" (de A rouge → bas droite)</t>
  </si>
  <si>
    <t>2️⃣ Remplissez ingrédients + quantités</t>
  </si>
  <si>
    <t>2️⃣ Décochez : Fusionner/centrer + Renvoyer à la ligne</t>
  </si>
  <si>
    <t>3️⃣ Procédure et Progression (Collage spécial &gt; Valeurs)</t>
  </si>
  <si>
    <t>3️⃣ Touche Suppr</t>
  </si>
  <si>
    <t>4️⃣ Limitez les caractères pour éviter débordements</t>
  </si>
  <si>
    <t>4️⃣ Collez le nouveau postit sur A rouge</t>
  </si>
  <si>
    <t>5️⃣ Vérifiez les largeurs colonnes</t>
  </si>
  <si>
    <t>💡 Vérifiez l'alignement avant de remplir</t>
  </si>
  <si>
    <t>6️⃣ 💡 Astuce : Toujours utiliser Collage spécial &gt; Valeurs !</t>
  </si>
  <si>
    <t>Si vous masquez des colonnes cliquez sur F9 pour la mise à jour</t>
  </si>
  <si>
    <t>Saisie en g.kg.L.dl.cl.ml résultats en gr si inférieur à 1 Kg sinon résultat en Kg</t>
  </si>
  <si>
    <t>◄ vous pouvez masquer ces 10 colonnes  ▼</t>
  </si>
  <si>
    <t>A</t>
  </si>
  <si>
    <t>Circuit</t>
  </si>
  <si>
    <t>MACÉDOINE DE LÉGUMES AU COULIS DE TOMATE</t>
  </si>
  <si>
    <t>HORS D'ŒUVRE texture modifiée-cuidité-MACEDOINE</t>
  </si>
  <si>
    <t>Hauteur des lignes 21</t>
  </si>
  <si>
    <t>Cir.1.2.5</t>
  </si>
  <si>
    <t>◄ Masquez ces 4 colonnes</t>
  </si>
  <si>
    <t>Auteur &gt;</t>
  </si>
  <si>
    <t>Annette et Jean Pierre DOMERGUES - 45000 ORLÉANS 1981</t>
  </si>
  <si>
    <t>❾ référence Auteur</t>
  </si>
  <si>
    <t>Constituant de &gt;</t>
  </si>
  <si>
    <t>⓫  Dupliquée pour</t>
  </si>
  <si>
    <t>▼ Quantité ?</t>
  </si>
  <si>
    <t>▼ Quoi ?</t>
  </si>
  <si>
    <t>copier en ❾ si souhaité &gt;</t>
  </si>
  <si>
    <t>❿ votre référence</t>
  </si>
  <si>
    <t>Recette mère ?</t>
  </si>
  <si>
    <t>ARCHIVAGE ET CLASSEMENT</t>
  </si>
  <si>
    <t xml:space="preserve"> Textures modifiées</t>
  </si>
  <si>
    <t>Col.6</t>
  </si>
  <si>
    <t>Col.7</t>
  </si>
  <si>
    <t>Col.8</t>
  </si>
  <si>
    <t>Col.9</t>
  </si>
  <si>
    <t>Col.10</t>
  </si>
  <si>
    <t>Col.11</t>
  </si>
  <si>
    <t>Col.12</t>
  </si>
  <si>
    <t>Col.13</t>
  </si>
  <si>
    <t>Col.14</t>
  </si>
  <si>
    <t>Col.15</t>
  </si>
  <si>
    <t>Col.16</t>
  </si>
  <si>
    <t>Col.17</t>
  </si>
  <si>
    <t>Col.18</t>
  </si>
  <si>
    <t>Col.19</t>
  </si>
  <si>
    <t>Col.20</t>
  </si>
  <si>
    <t>Col.21</t>
  </si>
  <si>
    <t>④</t>
  </si>
  <si>
    <t>⑤</t>
  </si>
  <si>
    <t>⑥ Poids ou Volume</t>
  </si>
  <si>
    <t>⑦g.kg.L.dl.cl.ml</t>
  </si>
  <si>
    <t>⑧ Coefficient</t>
  </si>
  <si>
    <t>③</t>
  </si>
  <si>
    <t>Allergène</t>
  </si>
  <si>
    <t>Unités</t>
  </si>
  <si>
    <t>Poids Auteur sans coef.</t>
  </si>
  <si>
    <t xml:space="preserve">Quoi </t>
  </si>
  <si>
    <t xml:space="preserve"> Vos poids avec coef.</t>
  </si>
  <si>
    <t>Équivalences arrondies</t>
  </si>
  <si>
    <t>Quantité</t>
  </si>
  <si>
    <t>Quoi</t>
  </si>
  <si>
    <t>de</t>
  </si>
  <si>
    <t xml:space="preserve"> Denrées</t>
  </si>
  <si>
    <t xml:space="preserve">pour </t>
  </si>
  <si>
    <t/>
  </si>
  <si>
    <t>g</t>
  </si>
  <si>
    <t>pour ne pas coller les formules</t>
  </si>
  <si>
    <t>J’ai utilisé le point comme séparateur décimal.</t>
  </si>
  <si>
    <t>▼ Table de recherche les Col.6 à Col.11 sont réservées aux poids Kg</t>
  </si>
  <si>
    <t>kg</t>
  </si>
  <si>
    <t>vide</t>
  </si>
  <si>
    <t>quart(s)Kg</t>
  </si>
  <si>
    <t>Tiers(s)Kg</t>
  </si>
  <si>
    <t>demi(s)Kg</t>
  </si>
  <si>
    <t>L</t>
  </si>
  <si>
    <t>dl</t>
  </si>
  <si>
    <t>cl</t>
  </si>
  <si>
    <t>ml</t>
  </si>
  <si>
    <t>demi/L</t>
  </si>
  <si>
    <t>quart/L</t>
  </si>
  <si>
    <t>tiers/L</t>
  </si>
  <si>
    <t>5ème/L</t>
  </si>
  <si>
    <t>10ème/L</t>
  </si>
  <si>
    <t>ounce (oz)</t>
  </si>
  <si>
    <t>Cup(s).farine</t>
  </si>
  <si>
    <t>Cup(s).sucre</t>
  </si>
  <si>
    <t>Cup(s).beurre</t>
  </si>
  <si>
    <t>Cup.liquide</t>
  </si>
  <si>
    <t>Bol(s)</t>
  </si>
  <si>
    <t>cuil(s).Café</t>
  </si>
  <si>
    <t>cuil(s).Thé</t>
  </si>
  <si>
    <t>cuil.Soupe</t>
  </si>
  <si>
    <t>Verre(s)</t>
  </si>
  <si>
    <t>Splash(s)</t>
  </si>
  <si>
    <t>Trait(s)</t>
  </si>
  <si>
    <t>jigger(s)</t>
  </si>
  <si>
    <t>⓬  ▼ PHASES DE PROGRESSION</t>
  </si>
  <si>
    <t>ORGANISATION RAISONNÉE DU TRAVAIL</t>
  </si>
  <si>
    <t>⓬ PROGRESSION . largeurs des colonnes ►</t>
  </si>
  <si>
    <t>Coût : 1* économique - 4**** luxe</t>
  </si>
  <si>
    <t>*</t>
  </si>
  <si>
    <t>nombre de lignes ►</t>
  </si>
  <si>
    <t>Difficulté : 1*Facile - 4**** Difficile</t>
  </si>
  <si>
    <t>Temps de préparation</t>
  </si>
  <si>
    <t>Temps de cuisson</t>
  </si>
  <si>
    <t>Temps de refroidissement</t>
  </si>
  <si>
    <t>Total</t>
  </si>
  <si>
    <t>Demandez à Google : liants pour plats texture modifiées et regardez les vidéos</t>
  </si>
  <si>
    <t>et le texte "RECHERCHEX" col16 sont utilisés pour le fonctionnement des fiches répertoire</t>
  </si>
  <si>
    <t>L'utilisation professionnelle des recettes vous engage à connaître la réglementation en matière d'hygiène et HACCP.</t>
  </si>
  <si>
    <t>⓬ PROGRESSION . largeurs de colonnes ►</t>
  </si>
  <si>
    <t>Lien Auteur @</t>
  </si>
  <si>
    <t>Fin du texte ▼</t>
  </si>
  <si>
    <t>Limite de caractères : ajoutez / retirez des lettres ►</t>
  </si>
  <si>
    <t>79 caractères (m) en minuscule ou 72 CARACTÈRES (M) EN MAJUSCULE Police Calibri Taille 12</t>
  </si>
  <si>
    <t>Collez cette ligne de séparation avec un "A" entre 2 Postits  -  Paste this separation line with an “A” between 2 Postits  -  Pegue esta línea de separación con una “A” entre 2 Postits.</t>
  </si>
  <si>
    <t>(Je fournis la base. Vous construisez votre outil)</t>
  </si>
  <si>
    <t>Ⓐ Ⓑ Ⓒ Ⓓ Ⓔ Ⓕ Ⓖ Ⓗ Ⓘ Ⓙ Ⓚ Ⓛ Ⓜ Ⓝ Ⓞ Ⓟ Ⓠ Ⓡ Ⓢ Ⓣ Ⓤ Ⓥ Ⓦ Ⓧ Ⓧ Ⓩ MAJUSCULES</t>
  </si>
  <si>
    <t>Illustrations avec les émojis</t>
  </si>
  <si>
    <t>ⓐ ⓑ ⓒ ⓓ ⓔ ⓕ ⓕ ⓗ ⓗ ⓘ ⓙ ⓚ ⓛ ⓜ ⓝ ⓞ ⓟ ⓠ ⓡ ⓡ ⓣ ⓤ ⓥ ⓦ ⓧ ⓨ ⓩ minuscules</t>
  </si>
  <si>
    <t>https://www.bonbache.fr/syntheses-graphiques-excel-avec-les-emoticones-499.html</t>
  </si>
  <si>
    <t>🅐🅑🅒🅓🅔🅕🅖🅗🅘🅙🅚🅛🅜🅝🅞🅟🅠🅡🅢🅣🅤🅥🅦🅧🅨🅩</t>
  </si>
  <si>
    <t>🅰🅱🅲🅳🅴🅵🅶🅷🅸🅹🅺🅻🅼🅽🅾🅿🆀🆁🆂🆃🆄🆅🆆🆇🆈🆉</t>
  </si>
  <si>
    <t>https://www.automateexcel.com/fr/how-to/que-signifient-les-symboles-etc-dans-les-formules-excel-et-google-sheets/</t>
  </si>
  <si>
    <t>couleur de police blanc sur fond gris à modifier pour vos documents</t>
  </si>
  <si>
    <r>
      <t xml:space="preserve">Le chiffre </t>
    </r>
    <r>
      <rPr>
        <sz val="14"/>
        <color theme="0"/>
        <rFont val="Calibri"/>
        <family val="2"/>
        <scheme val="minor"/>
      </rPr>
      <t>10 utilise 🔟, et à partir de 11, j’ai combiné les chiffres disponibles pour garder une cohérence visuelle. 😊 ChatGPT</t>
    </r>
  </si>
  <si>
    <t>Commentaire</t>
  </si>
  <si>
    <t>Contrôle</t>
  </si>
  <si>
    <t>bisque de crustaces</t>
  </si>
  <si>
    <t>bisque de homard</t>
  </si>
  <si>
    <t>bouillabaisse</t>
  </si>
  <si>
    <t>cigale de mer</t>
  </si>
  <si>
    <t>moule à cake</t>
  </si>
  <si>
    <t>crabe royal</t>
  </si>
  <si>
    <t>crabes</t>
  </si>
  <si>
    <t>moule a brioche</t>
  </si>
  <si>
    <t>moule a cake</t>
  </si>
  <si>
    <t>crevette grise</t>
  </si>
  <si>
    <t>moule a gateau</t>
  </si>
  <si>
    <t>moule a madeleine</t>
  </si>
  <si>
    <t>fruits de mer</t>
  </si>
  <si>
    <t>fumet de crustaces</t>
  </si>
  <si>
    <t>moule a pain</t>
  </si>
  <si>
    <t>galathee</t>
  </si>
  <si>
    <t>moule a tarte</t>
  </si>
  <si>
    <t>homard canadien</t>
  </si>
  <si>
    <t>pate de crevette</t>
  </si>
  <si>
    <t>poudre de crevette</t>
  </si>
  <si>
    <t>scampi</t>
  </si>
  <si>
    <t>scampis</t>
  </si>
  <si>
    <t>tourteau</t>
  </si>
  <si>
    <t>financier</t>
  </si>
  <si>
    <t>financiers</t>
  </si>
  <si>
    <t>frangipane</t>
  </si>
  <si>
    <t>macaron</t>
  </si>
  <si>
    <t>baguette</t>
  </si>
  <si>
    <t>bechamel</t>
  </si>
  <si>
    <t>beignet</t>
  </si>
  <si>
    <t>biere</t>
  </si>
  <si>
    <t>biscottes</t>
  </si>
  <si>
    <t>boudoir</t>
  </si>
  <si>
    <t>boudoirs</t>
  </si>
  <si>
    <t>boulghour</t>
  </si>
  <si>
    <t>brick</t>
  </si>
  <si>
    <t>brioche</t>
  </si>
  <si>
    <t>cake</t>
  </si>
  <si>
    <t>cakes</t>
  </si>
  <si>
    <t>clafoutis</t>
  </si>
  <si>
    <t>cookies</t>
  </si>
  <si>
    <t>cordon bleu</t>
  </si>
  <si>
    <t>crepe</t>
  </si>
  <si>
    <t>crepes</t>
  </si>
  <si>
    <t>croissant</t>
  </si>
  <si>
    <t>croque monsieur</t>
  </si>
  <si>
    <t>crumble</t>
  </si>
  <si>
    <t>eclair</t>
  </si>
  <si>
    <t>eclairs</t>
  </si>
  <si>
    <t>far breton</t>
  </si>
  <si>
    <t>flan patissier</t>
  </si>
  <si>
    <t>gaufre</t>
  </si>
  <si>
    <t>gaufres</t>
  </si>
  <si>
    <t>genoise</t>
  </si>
  <si>
    <t>lasagne</t>
  </si>
  <si>
    <t>macaroni</t>
  </si>
  <si>
    <t>madeleine</t>
  </si>
  <si>
    <t>mille feuille</t>
  </si>
  <si>
    <t>millefeuille</t>
  </si>
  <si>
    <t>nouille</t>
  </si>
  <si>
    <t>pate</t>
  </si>
  <si>
    <t>pate en croute</t>
  </si>
  <si>
    <t>pizza</t>
  </si>
  <si>
    <t>profiterole</t>
  </si>
  <si>
    <t>profiteroles</t>
  </si>
  <si>
    <t>quatre quarts</t>
  </si>
  <si>
    <t>quenelle</t>
  </si>
  <si>
    <t>quiche</t>
  </si>
  <si>
    <t>ravioli</t>
  </si>
  <si>
    <t>raviolis</t>
  </si>
  <si>
    <t>riz au lait</t>
  </si>
  <si>
    <t>sauce mornay</t>
  </si>
  <si>
    <t>sauce supreme</t>
  </si>
  <si>
    <t>semoule au lait</t>
  </si>
  <si>
    <t>spaghetti</t>
  </si>
  <si>
    <t>tarte salee</t>
  </si>
  <si>
    <t>tartelette</t>
  </si>
  <si>
    <t>tartelettes</t>
  </si>
  <si>
    <t>tiramisu</t>
  </si>
  <si>
    <t>tortellini</t>
  </si>
  <si>
    <t>tourte</t>
  </si>
  <si>
    <t>wraps</t>
  </si>
  <si>
    <t>babybel</t>
  </si>
  <si>
    <t>bavarois</t>
  </si>
  <si>
    <t>bearnaise</t>
  </si>
  <si>
    <t>beaufort</t>
  </si>
  <si>
    <t>beurre blanc</t>
  </si>
  <si>
    <t>bleu</t>
  </si>
  <si>
    <t>boursin</t>
  </si>
  <si>
    <t>brandade</t>
  </si>
  <si>
    <t>brie</t>
  </si>
  <si>
    <t>camembert</t>
  </si>
  <si>
    <t>cantal</t>
  </si>
  <si>
    <t>carre frais</t>
  </si>
  <si>
    <t>chaource</t>
  </si>
  <si>
    <t>cheddar</t>
  </si>
  <si>
    <t>chevre</t>
  </si>
  <si>
    <t>comte</t>
  </si>
  <si>
    <t>coulommiers</t>
  </si>
  <si>
    <t>creme anglaise</t>
  </si>
  <si>
    <t>creme brulee</t>
  </si>
  <si>
    <t>creme caramel</t>
  </si>
  <si>
    <t>creme dessert</t>
  </si>
  <si>
    <t>creme glacee</t>
  </si>
  <si>
    <t>creme patissiere</t>
  </si>
  <si>
    <t>edam</t>
  </si>
  <si>
    <t>emmental</t>
  </si>
  <si>
    <t>entremets</t>
  </si>
  <si>
    <t>faisselle</t>
  </si>
  <si>
    <t>feta</t>
  </si>
  <si>
    <t>flan</t>
  </si>
  <si>
    <t>fourme d ambert</t>
  </si>
  <si>
    <t>fromage blanc</t>
  </si>
  <si>
    <t>fromage de chevre</t>
  </si>
  <si>
    <t>fromage frais</t>
  </si>
  <si>
    <t>fromages</t>
  </si>
  <si>
    <t>glace</t>
  </si>
  <si>
    <t>gouda</t>
  </si>
  <si>
    <t>gruyere</t>
  </si>
  <si>
    <t>hollandaise</t>
  </si>
  <si>
    <t>ile flottante</t>
  </si>
  <si>
    <t>kiri</t>
  </si>
  <si>
    <t>la vache qui rit</t>
  </si>
  <si>
    <t>maasdam</t>
  </si>
  <si>
    <t>mimolette</t>
  </si>
  <si>
    <t>morbier</t>
  </si>
  <si>
    <t>mousse</t>
  </si>
  <si>
    <t>mousse au chocolat</t>
  </si>
  <si>
    <t>mozzarella</t>
  </si>
  <si>
    <t>munster</t>
  </si>
  <si>
    <t>ossau iraty</t>
  </si>
  <si>
    <t>panna cotta</t>
  </si>
  <si>
    <t>parmesan</t>
  </si>
  <si>
    <t>petit suisse</t>
  </si>
  <si>
    <t>pont l eveque</t>
  </si>
  <si>
    <t>port salut</t>
  </si>
  <si>
    <t>raclette</t>
  </si>
  <si>
    <t>reblochon</t>
  </si>
  <si>
    <t>roquefort</t>
  </si>
  <si>
    <t>saint marcellin</t>
  </si>
  <si>
    <t>saint moret</t>
  </si>
  <si>
    <t>saint nectaire</t>
  </si>
  <si>
    <t>tartiflette</t>
  </si>
  <si>
    <t>tomme</t>
  </si>
  <si>
    <t>vache qui rit</t>
  </si>
  <si>
    <t>amande de mer</t>
  </si>
  <si>
    <t>amandes de mer</t>
  </si>
  <si>
    <t>bigorneaux</t>
  </si>
  <si>
    <t>bulot</t>
  </si>
  <si>
    <t>clam</t>
  </si>
  <si>
    <t>coquillages</t>
  </si>
  <si>
    <t>couteau</t>
  </si>
  <si>
    <t>huitre creuse</t>
  </si>
  <si>
    <t>huitre plate</t>
  </si>
  <si>
    <t>ormeau</t>
  </si>
  <si>
    <t>petoncle</t>
  </si>
  <si>
    <t>petoncles</t>
  </si>
  <si>
    <t>telline</t>
  </si>
  <si>
    <t>tellines</t>
  </si>
  <si>
    <t>aioli</t>
  </si>
  <si>
    <t>mayo</t>
  </si>
  <si>
    <t>sauce gribiche</t>
  </si>
  <si>
    <t>sauce moutarde</t>
  </si>
  <si>
    <t>sauce tartare</t>
  </si>
  <si>
    <t>vinaigrette</t>
  </si>
  <si>
    <t>anchoiade</t>
  </si>
  <si>
    <t>anguille</t>
  </si>
  <si>
    <t>brochet</t>
  </si>
  <si>
    <t>carpe</t>
  </si>
  <si>
    <t>caviar</t>
  </si>
  <si>
    <t>colin d alaska</t>
  </si>
  <si>
    <t>daurade</t>
  </si>
  <si>
    <t>dorade royale</t>
  </si>
  <si>
    <t>eglefin</t>
  </si>
  <si>
    <t>espadon</t>
  </si>
  <si>
    <t>fletan</t>
  </si>
  <si>
    <t>fletan noir</t>
  </si>
  <si>
    <t>fumet de poisson</t>
  </si>
  <si>
    <t>garum</t>
  </si>
  <si>
    <t>julienne</t>
  </si>
  <si>
    <t>lieu jaune</t>
  </si>
  <si>
    <t>limande sole</t>
  </si>
  <si>
    <t>lingue</t>
  </si>
  <si>
    <t>lotte</t>
  </si>
  <si>
    <t>loup de mer</t>
  </si>
  <si>
    <t>merlan</t>
  </si>
  <si>
    <t>merlu blanc</t>
  </si>
  <si>
    <t>mulet</t>
  </si>
  <si>
    <t>nuoc mam</t>
  </si>
  <si>
    <t>oeufs de poisson</t>
  </si>
  <si>
    <t>perche</t>
  </si>
  <si>
    <t>poutargue</t>
  </si>
  <si>
    <t>raie</t>
  </si>
  <si>
    <t>rillettes de poisson</t>
  </si>
  <si>
    <t>rouget</t>
  </si>
  <si>
    <t>rouget barbet</t>
  </si>
  <si>
    <t>saint pierre</t>
  </si>
  <si>
    <t>sandre</t>
  </si>
  <si>
    <t>sauce de poisson</t>
  </si>
  <si>
    <t>sauce poisson</t>
  </si>
  <si>
    <t>soupe de poisson</t>
  </si>
  <si>
    <t>tarama</t>
  </si>
  <si>
    <t>terrine de poisson</t>
  </si>
  <si>
    <t>thon albacore</t>
  </si>
  <si>
    <t>thon blanc</t>
  </si>
  <si>
    <t>thon listao</t>
  </si>
  <si>
    <t>thon rouge</t>
  </si>
  <si>
    <t>tilapia</t>
  </si>
  <si>
    <t>turbot</t>
  </si>
  <si>
    <t>vive</t>
  </si>
  <si>
    <t>abricots secs</t>
  </si>
  <si>
    <t>raisins secs</t>
  </si>
  <si>
    <t>vin blanc</t>
  </si>
  <si>
    <t>vin rouge</t>
  </si>
  <si>
    <t>falafel</t>
  </si>
  <si>
    <t>houmous</t>
  </si>
  <si>
    <t>hummus</t>
  </si>
  <si>
    <t>oeufs brouilles</t>
  </si>
  <si>
    <t>pate a choux</t>
  </si>
  <si>
    <t>DÉTECTION DES ALLERGÈNES POUR CARTES DE RESTAURANT</t>
  </si>
  <si>
    <t>ID</t>
  </si>
  <si>
    <t>Famille allergène</t>
  </si>
  <si>
    <t>Statut</t>
  </si>
  <si>
    <t>Terme métier / ingrédient</t>
  </si>
  <si>
    <t>Terme normalisé</t>
  </si>
  <si>
    <t>Métiers concernés</t>
  </si>
  <si>
    <t>Source URL</t>
  </si>
  <si>
    <t>Version</t>
  </si>
  <si>
    <t>Saisir uniquement les cellules fond blanc en colonne B.                 * = allergène certain ;                                   ? = composition à contrôler.</t>
  </si>
  <si>
    <t>R0001</t>
  </si>
  <si>
    <t>Céréales contenant du gluten</t>
  </si>
  <si>
    <t>ale</t>
  </si>
  <si>
    <t>Tous métiers</t>
  </si>
  <si>
    <t>Céréale contenant du gluten ou préparation courante.</t>
  </si>
  <si>
    <t>https://eur-lex.europa.eu/legal-content/FR/TXT/?uri=CELEX:32011R1169</t>
  </si>
  <si>
    <t>2011</t>
  </si>
  <si>
    <t>R0002</t>
  </si>
  <si>
    <t>amidon de blé</t>
  </si>
  <si>
    <t>amidon de ble</t>
  </si>
  <si>
    <t>R0003</t>
  </si>
  <si>
    <t>R0004</t>
  </si>
  <si>
    <t>N°</t>
  </si>
  <si>
    <t>ALLERGÈNES CERTAINS Allergènes détectés (à coller)</t>
  </si>
  <si>
    <t>Texte source</t>
  </si>
  <si>
    <t>Nettoyage caractères</t>
  </si>
  <si>
    <t>Accents 1</t>
  </si>
  <si>
    <t>Accents 2</t>
  </si>
  <si>
    <t>Ponctuation 1</t>
  </si>
  <si>
    <t>Ponctuation 2</t>
  </si>
  <si>
    <t>Texte normalisé</t>
  </si>
  <si>
    <t>Céréales c ALER 1</t>
  </si>
  <si>
    <t>Céréales c ALER 2</t>
  </si>
  <si>
    <t>Céréales c EXCL 1</t>
  </si>
  <si>
    <t>Céréales c SUSP 1</t>
  </si>
  <si>
    <t>Crustacés ALER 1</t>
  </si>
  <si>
    <t>Crustacés ALER 2</t>
  </si>
  <si>
    <t>Œufs ALER 1</t>
  </si>
  <si>
    <t>Œufs SUSP 1</t>
  </si>
  <si>
    <t>Poissons ALER 1</t>
  </si>
  <si>
    <t>Poissons ALER 2</t>
  </si>
  <si>
    <t>Poissons ALER 3</t>
  </si>
  <si>
    <t>Poissons ALER 4</t>
  </si>
  <si>
    <t>Poissons ALER 5</t>
  </si>
  <si>
    <t>Poissons ALER 6</t>
  </si>
  <si>
    <t>Poissons ALER 7</t>
  </si>
  <si>
    <t>Poissons ALER 8</t>
  </si>
  <si>
    <t>Poissons ALER 9</t>
  </si>
  <si>
    <t>Poissons ALER 10</t>
  </si>
  <si>
    <t>Poissons EXCL 1</t>
  </si>
  <si>
    <t>Poissons SUSP 1</t>
  </si>
  <si>
    <t>Arachides ALER 1</t>
  </si>
  <si>
    <t>Soja ALER 1</t>
  </si>
  <si>
    <t>Soja EXCL 1</t>
  </si>
  <si>
    <t>Soja SUSP 1</t>
  </si>
  <si>
    <t>Lait ALER 1</t>
  </si>
  <si>
    <t>Lait ALER 2</t>
  </si>
  <si>
    <t>Lait ALER 3</t>
  </si>
  <si>
    <t>Lait EXCL 1</t>
  </si>
  <si>
    <t>Lait SUSP 1</t>
  </si>
  <si>
    <t>Fruits à c ALER 1</t>
  </si>
  <si>
    <t>Fruits à c EXCL 1</t>
  </si>
  <si>
    <t>Fruits à c SUSP 1</t>
  </si>
  <si>
    <t>Céleri ALER 1</t>
  </si>
  <si>
    <t>Céleri SUSP 1</t>
  </si>
  <si>
    <t>Moutarde ALER 1</t>
  </si>
  <si>
    <t>Moutarde SUSP 1</t>
  </si>
  <si>
    <t>Sésame ALER 1</t>
  </si>
  <si>
    <t>Sésame SUSP 1</t>
  </si>
  <si>
    <t>Sulfites ALER 1</t>
  </si>
  <si>
    <t>Sulfites SUSP 1</t>
  </si>
  <si>
    <t>Lupin ALER 1</t>
  </si>
  <si>
    <t>Lupin SUSP 1</t>
  </si>
  <si>
    <t>Mollusques ALER 1</t>
  </si>
  <si>
    <t>Mollusques ALER 2</t>
  </si>
  <si>
    <t>Mollusques ALER 3</t>
  </si>
  <si>
    <t>Mollusques EXCL 1</t>
  </si>
  <si>
    <t>Mollusques SUSP 1</t>
  </si>
  <si>
    <t>R0005</t>
  </si>
  <si>
    <t>Cuisine/Bar/Charcuterie/Glacier/Traiteur</t>
  </si>
  <si>
    <t>Synonyme métier, terme de carte ou dénomination courante.</t>
  </si>
  <si>
    <t>2026</t>
  </si>
  <si>
    <t>Oignons émincés surgelés</t>
  </si>
  <si>
    <t>R0006</t>
  </si>
  <si>
    <t>bière</t>
  </si>
  <si>
    <t>R0007</t>
  </si>
  <si>
    <t>bière blanche</t>
  </si>
  <si>
    <t>biere blanche</t>
  </si>
  <si>
    <t>Beurre</t>
  </si>
  <si>
    <t>R0008</t>
  </si>
  <si>
    <t>bière blonde</t>
  </si>
  <si>
    <t>biere blonde</t>
  </si>
  <si>
    <t>Vinaigre de vin</t>
  </si>
  <si>
    <t>R0009</t>
  </si>
  <si>
    <t>bière brune</t>
  </si>
  <si>
    <t>biere brune</t>
  </si>
  <si>
    <t>R0010</t>
  </si>
  <si>
    <t>R0011</t>
  </si>
  <si>
    <t>R0012</t>
  </si>
  <si>
    <t>R0013</t>
  </si>
  <si>
    <t>R0014</t>
  </si>
  <si>
    <t>R0015</t>
  </si>
  <si>
    <t>R0016</t>
  </si>
  <si>
    <t>bread</t>
  </si>
  <si>
    <t>R0017</t>
  </si>
  <si>
    <t>breadcrumbs</t>
  </si>
  <si>
    <t>R0018</t>
  </si>
  <si>
    <t>bretzel</t>
  </si>
  <si>
    <t>R0019</t>
  </si>
  <si>
    <t>bretzels</t>
  </si>
  <si>
    <t>R0020</t>
  </si>
  <si>
    <t>R0021</t>
  </si>
  <si>
    <t>R0022</t>
  </si>
  <si>
    <t>bulgur</t>
  </si>
  <si>
    <t>Farine</t>
  </si>
  <si>
    <t>R0023</t>
  </si>
  <si>
    <t>R0024</t>
  </si>
  <si>
    <t>R0025</t>
  </si>
  <si>
    <t>R0026</t>
  </si>
  <si>
    <t>choux pâtissier</t>
  </si>
  <si>
    <t>choux patissier</t>
  </si>
  <si>
    <t>R0027</t>
  </si>
  <si>
    <t>R0028</t>
  </si>
  <si>
    <t>R0029</t>
  </si>
  <si>
    <t>R0030</t>
  </si>
  <si>
    <t>cracker</t>
  </si>
  <si>
    <t>R0031</t>
  </si>
  <si>
    <t>crackers</t>
  </si>
  <si>
    <t>R0032</t>
  </si>
  <si>
    <t>crêpe</t>
  </si>
  <si>
    <t>R0033</t>
  </si>
  <si>
    <t>crêpes</t>
  </si>
  <si>
    <t>R0034</t>
  </si>
  <si>
    <t>R0035</t>
  </si>
  <si>
    <t>croûton</t>
  </si>
  <si>
    <t>R0036</t>
  </si>
  <si>
    <t>R0037</t>
  </si>
  <si>
    <t>R0038</t>
  </si>
  <si>
    <t>éclair</t>
  </si>
  <si>
    <t>R0039</t>
  </si>
  <si>
    <t>éclairs</t>
  </si>
  <si>
    <t>R0040</t>
  </si>
  <si>
    <t>engrain</t>
  </si>
  <si>
    <t>R0041</t>
  </si>
  <si>
    <t>épeautre</t>
  </si>
  <si>
    <t>R0042</t>
  </si>
  <si>
    <t>R0043</t>
  </si>
  <si>
    <t>R0044</t>
  </si>
  <si>
    <t>farine bise</t>
  </si>
  <si>
    <t>R0045</t>
  </si>
  <si>
    <t>farine blanche</t>
  </si>
  <si>
    <t>R0046</t>
  </si>
  <si>
    <t>farine complète</t>
  </si>
  <si>
    <t>farine complete</t>
  </si>
  <si>
    <t>R0047</t>
  </si>
  <si>
    <t>farine d avoine</t>
  </si>
  <si>
    <t>R0048</t>
  </si>
  <si>
    <t>farine d épeautre</t>
  </si>
  <si>
    <t>farine d epeautre</t>
  </si>
  <si>
    <t>R0049</t>
  </si>
  <si>
    <t>farine d orge</t>
  </si>
  <si>
    <t>R0050</t>
  </si>
  <si>
    <t>farine de blé</t>
  </si>
  <si>
    <t>R0051</t>
  </si>
  <si>
    <t>farine de froment</t>
  </si>
  <si>
    <t>R0052</t>
  </si>
  <si>
    <t>farine de kamut</t>
  </si>
  <si>
    <t>R0053</t>
  </si>
  <si>
    <t>farine de khorasan</t>
  </si>
  <si>
    <t>R0054</t>
  </si>
  <si>
    <t>farine de seigle</t>
  </si>
  <si>
    <t>R0055</t>
  </si>
  <si>
    <t>farine de triticale</t>
  </si>
  <si>
    <t>R0056</t>
  </si>
  <si>
    <t>farine intégrale</t>
  </si>
  <si>
    <t>farine integrale</t>
  </si>
  <si>
    <t>R0057</t>
  </si>
  <si>
    <t>feuille de brick</t>
  </si>
  <si>
    <t>R0058</t>
  </si>
  <si>
    <t>ficelle</t>
  </si>
  <si>
    <t>R0059</t>
  </si>
  <si>
    <t>R0060</t>
  </si>
  <si>
    <t>R0061</t>
  </si>
  <si>
    <t>R0062</t>
  </si>
  <si>
    <t>R0063</t>
  </si>
  <si>
    <t>R0064</t>
  </si>
  <si>
    <t>génoise</t>
  </si>
  <si>
    <t>R0065</t>
  </si>
  <si>
    <t>germe de blé</t>
  </si>
  <si>
    <t>R0066</t>
  </si>
  <si>
    <t>R0067</t>
  </si>
  <si>
    <t>gluten de blé</t>
  </si>
  <si>
    <t>gluten de ble</t>
  </si>
  <si>
    <t>R0068</t>
  </si>
  <si>
    <t>gnocchi de blé</t>
  </si>
  <si>
    <t>gnocchi de ble</t>
  </si>
  <si>
    <t>MODE D’EMPLOI</t>
  </si>
  <si>
    <t>R0069</t>
  </si>
  <si>
    <t>R0070</t>
  </si>
  <si>
    <t>khorasan</t>
  </si>
  <si>
    <t>1. Saisir l’intitulé réel du plat, de la boisson ou du produit en colonne B.</t>
  </si>
  <si>
    <t>R0071</t>
  </si>
  <si>
    <t>lager</t>
  </si>
  <si>
    <t>2. La colonne C ajoute * pour un allergène certain et ? lorsque la composition doit être contrôlée.</t>
  </si>
  <si>
    <t>R0072</t>
  </si>
  <si>
    <t>R0073</t>
  </si>
  <si>
    <t>4. Chaque formule de recherche porte sur 100 termes maximum ; les résultats sont additionnés dans une cellule séparée.</t>
  </si>
  <si>
    <t>R0074</t>
  </si>
  <si>
    <t>R0075</t>
  </si>
  <si>
    <t>madeleines</t>
  </si>
  <si>
    <t>R0076</t>
  </si>
  <si>
    <t>R0077</t>
  </si>
  <si>
    <t>R0078</t>
  </si>
  <si>
    <t>maltodextrine de blé</t>
  </si>
  <si>
    <t>maltodextrine de ble</t>
  </si>
  <si>
    <t>CAS DE CONTRÔLE MÉTIER</t>
  </si>
  <si>
    <t>R0079</t>
  </si>
  <si>
    <t>CAS</t>
  </si>
  <si>
    <t>TEXTE À SAISIR</t>
  </si>
  <si>
    <t>RÉSULTAT ATTENDU</t>
  </si>
  <si>
    <t>MÉTIER / RISQUE</t>
  </si>
  <si>
    <t>R0080</t>
  </si>
  <si>
    <t>Risotto au parmesan</t>
  </si>
  <si>
    <t>Lait — *</t>
  </si>
  <si>
    <t>Cuisine / fromager</t>
  </si>
  <si>
    <t>R0081</t>
  </si>
  <si>
    <t>Burger, emmenthal râpé</t>
  </si>
  <si>
    <t>Orthographe usuelle</t>
  </si>
  <si>
    <t>R0082</t>
  </si>
  <si>
    <t>Gratin au gruyère</t>
  </si>
  <si>
    <t>R0083</t>
  </si>
  <si>
    <t>oat</t>
  </si>
  <si>
    <t>Pecorino romano</t>
  </si>
  <si>
    <t>Fromager / cuisine italienne</t>
  </si>
  <si>
    <t>R0084</t>
  </si>
  <si>
    <t>Glace au mascarpone</t>
  </si>
  <si>
    <t>Glacier</t>
  </si>
  <si>
    <t>R0085</t>
  </si>
  <si>
    <t>Moule à cake en silicone</t>
  </si>
  <si>
    <t>Aucun mollusque</t>
  </si>
  <si>
    <t>Faux positif pâtisserie</t>
  </si>
  <si>
    <t>R0086</t>
  </si>
  <si>
    <t>Crème de coco</t>
  </si>
  <si>
    <t>Aucun lait</t>
  </si>
  <si>
    <t>Faux positif cuisine / bar</t>
  </si>
  <si>
    <t>R0087</t>
  </si>
  <si>
    <t>pain aux céréales</t>
  </si>
  <si>
    <t>pain aux cereales</t>
  </si>
  <si>
    <t>Bar à cocktails</t>
  </si>
  <si>
    <t>Aucun poisson</t>
  </si>
  <si>
    <t>Faux positif bar</t>
  </si>
  <si>
    <t>R0088</t>
  </si>
  <si>
    <t>pain complet</t>
  </si>
  <si>
    <t>Noix de Saint-Jacques poêlées</t>
  </si>
  <si>
    <t>Mollusques — *</t>
  </si>
  <si>
    <t>Faux positif fruits à coque</t>
  </si>
  <si>
    <t>R0089</t>
  </si>
  <si>
    <t>pain d épices</t>
  </si>
  <si>
    <t>pain d epices</t>
  </si>
  <si>
    <t>Lait d’amande</t>
  </si>
  <si>
    <t>Fruits à coque — * ; aucun lait</t>
  </si>
  <si>
    <t>Boisson végétale</t>
  </si>
  <si>
    <t>R0090</t>
  </si>
  <si>
    <t>pain de mie</t>
  </si>
  <si>
    <t>R0091</t>
  </si>
  <si>
    <t>pain de seigle</t>
  </si>
  <si>
    <t>R0092</t>
  </si>
  <si>
    <t>pain pita</t>
  </si>
  <si>
    <t>ARCHITECTURE ET CONTRÔLES</t>
  </si>
  <si>
    <t>R0093</t>
  </si>
  <si>
    <t>panaché</t>
  </si>
  <si>
    <t>panache</t>
  </si>
  <si>
    <t>R0094</t>
  </si>
  <si>
    <t>panko</t>
  </si>
  <si>
    <t>R0095</t>
  </si>
  <si>
    <t>R0096</t>
  </si>
  <si>
    <t>pasta</t>
  </si>
  <si>
    <t>R0097</t>
  </si>
  <si>
    <t>pâte à choux</t>
  </si>
  <si>
    <t>R0098</t>
  </si>
  <si>
    <t>pâte à pizza</t>
  </si>
  <si>
    <t>pate a pizza</t>
  </si>
  <si>
    <t>R0099</t>
  </si>
  <si>
    <t>pâte alimentaire</t>
  </si>
  <si>
    <t>pate alimentaire</t>
  </si>
  <si>
    <t>R0100</t>
  </si>
  <si>
    <t>pâte brisée</t>
  </si>
  <si>
    <t>pate brisee</t>
  </si>
  <si>
    <t>R0101</t>
  </si>
  <si>
    <t>pâte feuilletée</t>
  </si>
  <si>
    <t>pate feuilletee</t>
  </si>
  <si>
    <t>R0102</t>
  </si>
  <si>
    <t>pâte filo</t>
  </si>
  <si>
    <t>pate filo</t>
  </si>
  <si>
    <t>R0103</t>
  </si>
  <si>
    <t>pâte fraîche</t>
  </si>
  <si>
    <t>pate fraiche</t>
  </si>
  <si>
    <t>R0104</t>
  </si>
  <si>
    <t>pâte sablée</t>
  </si>
  <si>
    <t>pate sablee</t>
  </si>
  <si>
    <t>R0105</t>
  </si>
  <si>
    <t>pâtes alimentaires</t>
  </si>
  <si>
    <t>pates alimentaires</t>
  </si>
  <si>
    <t>R0106</t>
  </si>
  <si>
    <t>petit épeautre</t>
  </si>
  <si>
    <t>R0107</t>
  </si>
  <si>
    <t>pita</t>
  </si>
  <si>
    <t>R0108</t>
  </si>
  <si>
    <t>R0109</t>
  </si>
  <si>
    <t>porter</t>
  </si>
  <si>
    <t>R0110</t>
  </si>
  <si>
    <t>pretzel</t>
  </si>
  <si>
    <t>R0111</t>
  </si>
  <si>
    <t>pretzels</t>
  </si>
  <si>
    <t>R0112</t>
  </si>
  <si>
    <t>R0113</t>
  </si>
  <si>
    <t>R0114</t>
  </si>
  <si>
    <t>protéine de blé</t>
  </si>
  <si>
    <t>proteine de ble</t>
  </si>
  <si>
    <t>R0115</t>
  </si>
  <si>
    <t>protéines de blé</t>
  </si>
  <si>
    <t>proteines de ble</t>
  </si>
  <si>
    <t>R0116</t>
  </si>
  <si>
    <t>R0117</t>
  </si>
  <si>
    <t>R0118</t>
  </si>
  <si>
    <t>R0119</t>
  </si>
  <si>
    <t>R0120</t>
  </si>
  <si>
    <t>R0121</t>
  </si>
  <si>
    <t>R0122</t>
  </si>
  <si>
    <t>R0123</t>
  </si>
  <si>
    <t>R0124</t>
  </si>
  <si>
    <t>semoule de blé</t>
  </si>
  <si>
    <t>R0125</t>
  </si>
  <si>
    <t>semoule de couscous</t>
  </si>
  <si>
    <t>R0126</t>
  </si>
  <si>
    <t>semoule fine</t>
  </si>
  <si>
    <t>R0127</t>
  </si>
  <si>
    <t>sirop de malt</t>
  </si>
  <si>
    <t>R0128</t>
  </si>
  <si>
    <t>son de blé</t>
  </si>
  <si>
    <t>R0129</t>
  </si>
  <si>
    <t>R0130</t>
  </si>
  <si>
    <t>R0131</t>
  </si>
  <si>
    <t>stout</t>
  </si>
  <si>
    <t>R0132</t>
  </si>
  <si>
    <t>tagliatelle</t>
  </si>
  <si>
    <t>R0133</t>
  </si>
  <si>
    <t>tarte salée</t>
  </si>
  <si>
    <t>R0134</t>
  </si>
  <si>
    <t>R0135</t>
  </si>
  <si>
    <t>R0136</t>
  </si>
  <si>
    <t>tempura</t>
  </si>
  <si>
    <t>R0137</t>
  </si>
  <si>
    <t>R0138</t>
  </si>
  <si>
    <t>tortilla de blé</t>
  </si>
  <si>
    <t>tortilla de ble</t>
  </si>
  <si>
    <t>R0139</t>
  </si>
  <si>
    <t>R0140</t>
  </si>
  <si>
    <t>R0141</t>
  </si>
  <si>
    <t>vermicelle</t>
  </si>
  <si>
    <t>R0142</t>
  </si>
  <si>
    <t>viennoiserie</t>
  </si>
  <si>
    <t>R0144</t>
  </si>
  <si>
    <t>wheat flour</t>
  </si>
  <si>
    <t>R0145</t>
  </si>
  <si>
    <t>R0146</t>
  </si>
  <si>
    <t>R0147</t>
  </si>
  <si>
    <t>bière sans gluten</t>
  </si>
  <si>
    <t>biere sans gluten</t>
  </si>
  <si>
    <t>Évite un faux positif ou correspond à une exception réglementaire.</t>
  </si>
  <si>
    <t>R0148</t>
  </si>
  <si>
    <t>biscuit sans gluten</t>
  </si>
  <si>
    <t>R0149</t>
  </si>
  <si>
    <t>bread tin</t>
  </si>
  <si>
    <t>Exclusion métier destinée à éviter un faux positif.</t>
  </si>
  <si>
    <t>R0150</t>
  </si>
  <si>
    <t>cake mold</t>
  </si>
  <si>
    <t>R0152</t>
  </si>
  <si>
    <t>cake tin</t>
  </si>
  <si>
    <t>R0153</t>
  </si>
  <si>
    <t>eau de vie</t>
  </si>
  <si>
    <t>R0154</t>
  </si>
  <si>
    <t>R0155</t>
  </si>
  <si>
    <t>farine de châtaigne</t>
  </si>
  <si>
    <t>R0156</t>
  </si>
  <si>
    <t>R0157</t>
  </si>
  <si>
    <t>farine de lentille</t>
  </si>
  <si>
    <t>R0158</t>
  </si>
  <si>
    <t>R0159</t>
  </si>
  <si>
    <t>farine de maïs</t>
  </si>
  <si>
    <t>R0160</t>
  </si>
  <si>
    <t>farine de manioc</t>
  </si>
  <si>
    <t>R0161</t>
  </si>
  <si>
    <t>R0162</t>
  </si>
  <si>
    <t>farine de quinoa</t>
  </si>
  <si>
    <t>R0163</t>
  </si>
  <si>
    <t>R0164</t>
  </si>
  <si>
    <t>R0165</t>
  </si>
  <si>
    <t>farine de tapioca</t>
  </si>
  <si>
    <t>R0166</t>
  </si>
  <si>
    <t>gin</t>
  </si>
  <si>
    <t>R0167</t>
  </si>
  <si>
    <t>gluten free</t>
  </si>
  <si>
    <t>R0168</t>
  </si>
  <si>
    <t>loaf tin</t>
  </si>
  <si>
    <t>R0169</t>
  </si>
  <si>
    <t>moule à brioche</t>
  </si>
  <si>
    <t>R0170</t>
  </si>
  <si>
    <t>R0171</t>
  </si>
  <si>
    <t>moule à gâteau</t>
  </si>
  <si>
    <t>R0172</t>
  </si>
  <si>
    <t>moule à kouglof</t>
  </si>
  <si>
    <t>moule a kouglof</t>
  </si>
  <si>
    <t>R0173</t>
  </si>
  <si>
    <t>moule à madeleine</t>
  </si>
  <si>
    <t>R0174</t>
  </si>
  <si>
    <t>moule à pain</t>
  </si>
  <si>
    <t>R0175</t>
  </si>
  <si>
    <t>moule à tarte</t>
  </si>
  <si>
    <t>R0176</t>
  </si>
  <si>
    <t>pain sans gluten</t>
  </si>
  <si>
    <t>R0177</t>
  </si>
  <si>
    <t>pastry mold</t>
  </si>
  <si>
    <t>R0178</t>
  </si>
  <si>
    <t>pastry mould</t>
  </si>
  <si>
    <t>R0179</t>
  </si>
  <si>
    <t>pâtisserie sans gluten</t>
  </si>
  <si>
    <t>patisserie sans gluten</t>
  </si>
  <si>
    <t>R0180</t>
  </si>
  <si>
    <t>rhum</t>
  </si>
  <si>
    <t>R0181</t>
  </si>
  <si>
    <t>sans gluten</t>
  </si>
  <si>
    <t>R0182</t>
  </si>
  <si>
    <t>vodka</t>
  </si>
  <si>
    <t>R0183</t>
  </si>
  <si>
    <t>whiskey</t>
  </si>
  <si>
    <t>R0184</t>
  </si>
  <si>
    <t>whisky</t>
  </si>
  <si>
    <t>R0185</t>
  </si>
  <si>
    <t>SUSPICION</t>
  </si>
  <si>
    <t>boudin blanc</t>
  </si>
  <si>
    <t>Composition variable : vérifier la fiche technique.</t>
  </si>
  <si>
    <t>R0186</t>
  </si>
  <si>
    <t>bouillon cube</t>
  </si>
  <si>
    <t>R0187</t>
  </si>
  <si>
    <t>caesar dressing</t>
  </si>
  <si>
    <t>Composition ou recette variable : vérifier la fiche technique.</t>
  </si>
  <si>
    <t>R0188</t>
  </si>
  <si>
    <t>caesar salad</t>
  </si>
  <si>
    <t>R0189</t>
  </si>
  <si>
    <t>charcuterie</t>
  </si>
  <si>
    <t>R0190</t>
  </si>
  <si>
    <t>R0191</t>
  </si>
  <si>
    <t>fond blanc</t>
  </si>
  <si>
    <t>R0192</t>
  </si>
  <si>
    <t>fond brun</t>
  </si>
  <si>
    <t>R0193</t>
  </si>
  <si>
    <t>glace industrielle</t>
  </si>
  <si>
    <t>R0194</t>
  </si>
  <si>
    <t>hoisin</t>
  </si>
  <si>
    <t>R0195</t>
  </si>
  <si>
    <t>R0196</t>
  </si>
  <si>
    <t>salade césar</t>
  </si>
  <si>
    <t>salade cesar</t>
  </si>
  <si>
    <t>R0197</t>
  </si>
  <si>
    <t>sauce anglaise</t>
  </si>
  <si>
    <t>R0198</t>
  </si>
  <si>
    <t>sauce industrielle</t>
  </si>
  <si>
    <t>R0199</t>
  </si>
  <si>
    <t>R0200</t>
  </si>
  <si>
    <t>sauce worcestershire</t>
  </si>
  <si>
    <t>R0201</t>
  </si>
  <si>
    <t>saucisse</t>
  </si>
  <si>
    <t>R0202</t>
  </si>
  <si>
    <t>saucisson</t>
  </si>
  <si>
    <t>R0203</t>
  </si>
  <si>
    <t>R0204</t>
  </si>
  <si>
    <t>sorbet industriel</t>
  </si>
  <si>
    <t>R0205</t>
  </si>
  <si>
    <t>R0206</t>
  </si>
  <si>
    <t>teriyaki</t>
  </si>
  <si>
    <t>R0207</t>
  </si>
  <si>
    <t>Cuisine/Traiteur</t>
  </si>
  <si>
    <t>Dénomination commerciale officielle ou usuelle.</t>
  </si>
  <si>
    <t>https://www.economie.gouv.fr/dgccrf/les-fiches-pratiques/denominations-commerciales-des-produits-de-la-peche-et-de-laquaculture</t>
  </si>
  <si>
    <t>2024-2026</t>
  </si>
  <si>
    <t>R0208</t>
  </si>
  <si>
    <t>araignées de mer</t>
  </si>
  <si>
    <t>araignees de mer</t>
  </si>
  <si>
    <t>Crustacé ou dérivé explicite.</t>
  </si>
  <si>
    <t>R0209</t>
  </si>
  <si>
    <t>bisque de crustacés</t>
  </si>
  <si>
    <t>R0210</t>
  </si>
  <si>
    <t>R0211</t>
  </si>
  <si>
    <t>canada sa chair peut etre vendue comme</t>
  </si>
  <si>
    <t>R0212</t>
  </si>
  <si>
    <t>caramote</t>
  </si>
  <si>
    <t>R0213</t>
  </si>
  <si>
    <t>chevrette</t>
  </si>
  <si>
    <t>R0214</t>
  </si>
  <si>
    <t>cigale</t>
  </si>
  <si>
    <t>R0215</t>
  </si>
  <si>
    <t>cigale d afrique du sud</t>
  </si>
  <si>
    <t>R0216</t>
  </si>
  <si>
    <t>R0217</t>
  </si>
  <si>
    <t>cigale du bresil</t>
  </si>
  <si>
    <t>R0218</t>
  </si>
  <si>
    <t>cigale japonaise</t>
  </si>
  <si>
    <t>R0219</t>
  </si>
  <si>
    <t>cigale raquette</t>
  </si>
  <si>
    <t>R0220</t>
  </si>
  <si>
    <t>cigale rouge</t>
  </si>
  <si>
    <t>R0221</t>
  </si>
  <si>
    <t>cigales de mer</t>
  </si>
  <si>
    <t>R0222</t>
  </si>
  <si>
    <t>R0223</t>
  </si>
  <si>
    <t>R0224</t>
  </si>
  <si>
    <t>crabe bleu</t>
  </si>
  <si>
    <t>R0225</t>
  </si>
  <si>
    <t>crabe de mangrove</t>
  </si>
  <si>
    <t>R0226</t>
  </si>
  <si>
    <t>crabe de paletuviers</t>
  </si>
  <si>
    <t>R0227</t>
  </si>
  <si>
    <t>crabe des neiges de l antarctique</t>
  </si>
  <si>
    <t>R0228</t>
  </si>
  <si>
    <t>crabe des sables</t>
  </si>
  <si>
    <t>R0229</t>
  </si>
  <si>
    <t>crabe gazami</t>
  </si>
  <si>
    <t>R0230</t>
  </si>
  <si>
    <t>crabe nageur</t>
  </si>
  <si>
    <t>R0231</t>
  </si>
  <si>
    <t>R0232</t>
  </si>
  <si>
    <t>crabe royal brun</t>
  </si>
  <si>
    <t>R0233</t>
  </si>
  <si>
    <t>crabe royal de l antarctique</t>
  </si>
  <si>
    <t>R0234</t>
  </si>
  <si>
    <t>crabe royal du kamtchatka</t>
  </si>
  <si>
    <t>R0235</t>
  </si>
  <si>
    <t>crabe vert</t>
  </si>
  <si>
    <t>R0236</t>
  </si>
  <si>
    <t>R0237</t>
  </si>
  <si>
    <t>crabs</t>
  </si>
  <si>
    <t>R0238</t>
  </si>
  <si>
    <t>R0239</t>
  </si>
  <si>
    <t>R0240</t>
  </si>
  <si>
    <t>crevette blanche</t>
  </si>
  <si>
    <t>R0241</t>
  </si>
  <si>
    <t>crevette bleu</t>
  </si>
  <si>
    <t>R0242</t>
  </si>
  <si>
    <t>crevette bouquet</t>
  </si>
  <si>
    <t>R0243</t>
  </si>
  <si>
    <t>crevette chamois</t>
  </si>
  <si>
    <t>R0244</t>
  </si>
  <si>
    <t>crevette couteau</t>
  </si>
  <si>
    <t>R0245</t>
  </si>
  <si>
    <t>crevette cristal</t>
  </si>
  <si>
    <t>R0246</t>
  </si>
  <si>
    <t>crevette de guinee</t>
  </si>
  <si>
    <t>R0247</t>
  </si>
  <si>
    <t>crevette des canaux</t>
  </si>
  <si>
    <t>R0248</t>
  </si>
  <si>
    <t>crevette esope</t>
  </si>
  <si>
    <t>R0249</t>
  </si>
  <si>
    <t>R0250</t>
  </si>
  <si>
    <t>crevette kidi</t>
  </si>
  <si>
    <t>R0251</t>
  </si>
  <si>
    <t>crevette kuruma</t>
  </si>
  <si>
    <t>R0252</t>
  </si>
  <si>
    <t>crevette nordique</t>
  </si>
  <si>
    <t>R0253</t>
  </si>
  <si>
    <t>crevette oceanique</t>
  </si>
  <si>
    <t>R0254</t>
  </si>
  <si>
    <t>crevette rouge</t>
  </si>
  <si>
    <t>R0255</t>
  </si>
  <si>
    <t>crevette rouge d arabie</t>
  </si>
  <si>
    <t>R0256</t>
  </si>
  <si>
    <t>crevette rouge de l atlantique</t>
  </si>
  <si>
    <t>R0257</t>
  </si>
  <si>
    <t>crevette tachetee</t>
  </si>
  <si>
    <t>R0258</t>
  </si>
  <si>
    <t>crevette tropicale</t>
  </si>
  <si>
    <t>R0259</t>
  </si>
  <si>
    <t>crevette tropicale d eau douce</t>
  </si>
  <si>
    <t>R0260</t>
  </si>
  <si>
    <t>R0261</t>
  </si>
  <si>
    <t>R0262</t>
  </si>
  <si>
    <t>ecrevisse a pattes greles</t>
  </si>
  <si>
    <t>R0263</t>
  </si>
  <si>
    <t>ecrevisse a pattes rouges</t>
  </si>
  <si>
    <t>R0264</t>
  </si>
  <si>
    <t>ecrevisse australienne</t>
  </si>
  <si>
    <t>R0265</t>
  </si>
  <si>
    <t>ecrevisse de californie</t>
  </si>
  <si>
    <t>R0266</t>
  </si>
  <si>
    <t>ecrevisse du bresil</t>
  </si>
  <si>
    <t>R0267</t>
  </si>
  <si>
    <t>ecrevisse signal</t>
  </si>
  <si>
    <t>R0268</t>
  </si>
  <si>
    <t>R0269</t>
  </si>
  <si>
    <t>etrille</t>
  </si>
  <si>
    <t>R0270</t>
  </si>
  <si>
    <t>étrilles</t>
  </si>
  <si>
    <t>etrilles</t>
  </si>
  <si>
    <t>R0271</t>
  </si>
  <si>
    <t>fumet de crustacés</t>
  </si>
  <si>
    <t>R0272</t>
  </si>
  <si>
    <t>R0273</t>
  </si>
  <si>
    <t>galathee bleue</t>
  </si>
  <si>
    <t>R0274</t>
  </si>
  <si>
    <t>galathee pelagique</t>
  </si>
  <si>
    <t>R0275</t>
  </si>
  <si>
    <t>galathee rouge</t>
  </si>
  <si>
    <t>R0276</t>
  </si>
  <si>
    <t>gamba</t>
  </si>
  <si>
    <t>R0277</t>
  </si>
  <si>
    <t>R0278</t>
  </si>
  <si>
    <t>grande crevette rouge</t>
  </si>
  <si>
    <t>R0279</t>
  </si>
  <si>
    <t>R0280</t>
  </si>
  <si>
    <t>homard americain</t>
  </si>
  <si>
    <t>R0281</t>
  </si>
  <si>
    <t>R0282</t>
  </si>
  <si>
    <t>homard europeen</t>
  </si>
  <si>
    <t>R0283</t>
  </si>
  <si>
    <t>homards</t>
  </si>
  <si>
    <t>R0284</t>
  </si>
  <si>
    <t>hyas coarctatus</t>
  </si>
  <si>
    <t>R0285</t>
  </si>
  <si>
    <t>jasus paulensis</t>
  </si>
  <si>
    <t>R0286</t>
  </si>
  <si>
    <t>jus de crustacés</t>
  </si>
  <si>
    <t>jus de crustaces</t>
  </si>
  <si>
    <t>R0287</t>
  </si>
  <si>
    <t>R0288</t>
  </si>
  <si>
    <t>langouste bariolee</t>
  </si>
  <si>
    <t>R0289</t>
  </si>
  <si>
    <t>langouste blanche</t>
  </si>
  <si>
    <t>R0290</t>
  </si>
  <si>
    <t>langouste caraibe</t>
  </si>
  <si>
    <t>R0291</t>
  </si>
  <si>
    <t>langouste chilienne</t>
  </si>
  <si>
    <t>R0292</t>
  </si>
  <si>
    <t>langouste d australie</t>
  </si>
  <si>
    <t>R0293</t>
  </si>
  <si>
    <t>langouste de natal</t>
  </si>
  <si>
    <t>R0294</t>
  </si>
  <si>
    <t>langouste de tristan</t>
  </si>
  <si>
    <t>R0295</t>
  </si>
  <si>
    <t>langouste de vase</t>
  </si>
  <si>
    <t>R0296</t>
  </si>
  <si>
    <t>langouste diablotin</t>
  </si>
  <si>
    <t>R0297</t>
  </si>
  <si>
    <t>langouste du cap vert</t>
  </si>
  <si>
    <t>R0298</t>
  </si>
  <si>
    <t>langouste du mexique</t>
  </si>
  <si>
    <t>R0299</t>
  </si>
  <si>
    <t>langouste du sud</t>
  </si>
  <si>
    <t>R0300</t>
  </si>
  <si>
    <t>langouste festonnee</t>
  </si>
  <si>
    <t>R0301</t>
  </si>
  <si>
    <t>langouste fouet</t>
  </si>
  <si>
    <t>R0302</t>
  </si>
  <si>
    <t>langouste fouet arabe</t>
  </si>
  <si>
    <t>R0303</t>
  </si>
  <si>
    <t>langouste fouet bande</t>
  </si>
  <si>
    <t>R0304</t>
  </si>
  <si>
    <t>langouste fourchette</t>
  </si>
  <si>
    <t>R0305</t>
  </si>
  <si>
    <t>langouste indienne</t>
  </si>
  <si>
    <t>R0306</t>
  </si>
  <si>
    <t>langouste ornee</t>
  </si>
  <si>
    <t>R0307</t>
  </si>
  <si>
    <t>langouste rose</t>
  </si>
  <si>
    <t>R0308</t>
  </si>
  <si>
    <t>langouste rouge</t>
  </si>
  <si>
    <t>R0309</t>
  </si>
  <si>
    <t>langouste rouge d australie</t>
  </si>
  <si>
    <t>R0310</t>
  </si>
  <si>
    <t>langouste rouge du cap</t>
  </si>
  <si>
    <t>R0311</t>
  </si>
  <si>
    <t>langouste rouge du chili</t>
  </si>
  <si>
    <t>R0312</t>
  </si>
  <si>
    <t>langouste royale</t>
  </si>
  <si>
    <t>R0313</t>
  </si>
  <si>
    <t>langouste tropicale</t>
  </si>
  <si>
    <t>R0314</t>
  </si>
  <si>
    <t>langouste verte</t>
  </si>
  <si>
    <t>R0315</t>
  </si>
  <si>
    <t>langoustes</t>
  </si>
  <si>
    <t>R0316</t>
  </si>
  <si>
    <t>R0317</t>
  </si>
  <si>
    <t>langoustine andamane</t>
  </si>
  <si>
    <t>R0318</t>
  </si>
  <si>
    <t>langoustine d uruguay</t>
  </si>
  <si>
    <t>R0319</t>
  </si>
  <si>
    <t>langoustine de nouvelle zelande</t>
  </si>
  <si>
    <t>R0320</t>
  </si>
  <si>
    <t>R0321</t>
  </si>
  <si>
    <t>R0322</t>
  </si>
  <si>
    <t>lobsters</t>
  </si>
  <si>
    <t>R0323</t>
  </si>
  <si>
    <t>mante de mer</t>
  </si>
  <si>
    <t>R0324</t>
  </si>
  <si>
    <t>mantis</t>
  </si>
  <si>
    <t>R0325</t>
  </si>
  <si>
    <t>munida</t>
  </si>
  <si>
    <t>R0326</t>
  </si>
  <si>
    <t>pâte de crevette</t>
  </si>
  <si>
    <t>R0327</t>
  </si>
  <si>
    <t>petite cigale</t>
  </si>
  <si>
    <t>R0328</t>
  </si>
  <si>
    <t>pouce pied</t>
  </si>
  <si>
    <t>R0329</t>
  </si>
  <si>
    <t>R0330</t>
  </si>
  <si>
    <t>R0331</t>
  </si>
  <si>
    <t>prawns</t>
  </si>
  <si>
    <t>R0332</t>
  </si>
  <si>
    <t>sauce de crustacés</t>
  </si>
  <si>
    <t>sauce de crustaces</t>
  </si>
  <si>
    <t>R0333</t>
  </si>
  <si>
    <t>R0334</t>
  </si>
  <si>
    <t>R0335</t>
  </si>
  <si>
    <t>R0336</t>
  </si>
  <si>
    <t>shrimp paste</t>
  </si>
  <si>
    <t>R0337</t>
  </si>
  <si>
    <t>shrimps</t>
  </si>
  <si>
    <t>R0338</t>
  </si>
  <si>
    <t>squille</t>
  </si>
  <si>
    <t>R0339</t>
  </si>
  <si>
    <t>R0340</t>
  </si>
  <si>
    <t>tourteau jaune</t>
  </si>
  <si>
    <t>R0341</t>
  </si>
  <si>
    <t>tourteaux</t>
  </si>
  <si>
    <t>R0342</t>
  </si>
  <si>
    <t>aïoli</t>
  </si>
  <si>
    <t>Œuf, dérivé ou préparation classique.</t>
  </si>
  <si>
    <t>R0343</t>
  </si>
  <si>
    <t>R0344</t>
  </si>
  <si>
    <t>béarnaise</t>
  </si>
  <si>
    <t>R0345</t>
  </si>
  <si>
    <t>biscuit cuillère</t>
  </si>
  <si>
    <t>biscuit cuillere</t>
  </si>
  <si>
    <t>R0346</t>
  </si>
  <si>
    <t>blanc d œuf</t>
  </si>
  <si>
    <t>R0347</t>
  </si>
  <si>
    <t>blancs d œufs</t>
  </si>
  <si>
    <t>R0348</t>
  </si>
  <si>
    <t>R0349</t>
  </si>
  <si>
    <t>R0350</t>
  </si>
  <si>
    <t>carbonara</t>
  </si>
  <si>
    <t>R0351</t>
  </si>
  <si>
    <t>crème anglaise</t>
  </si>
  <si>
    <t>R0352</t>
  </si>
  <si>
    <t>crème brûlée</t>
  </si>
  <si>
    <t>R0353</t>
  </si>
  <si>
    <t>crème caramel</t>
  </si>
  <si>
    <t>R0354</t>
  </si>
  <si>
    <t>crème catalane</t>
  </si>
  <si>
    <t>creme catalane</t>
  </si>
  <si>
    <t>R0355</t>
  </si>
  <si>
    <t>crème pâtissière</t>
  </si>
  <si>
    <t>R0356</t>
  </si>
  <si>
    <t>dorure à l œuf</t>
  </si>
  <si>
    <t>dorure a l oeuf</t>
  </si>
  <si>
    <t>R0357</t>
  </si>
  <si>
    <t>E1105</t>
  </si>
  <si>
    <t>e1105</t>
  </si>
  <si>
    <t>R0358</t>
  </si>
  <si>
    <t>R0359</t>
  </si>
  <si>
    <t>R0360</t>
  </si>
  <si>
    <t>egg whites</t>
  </si>
  <si>
    <t>R0361</t>
  </si>
  <si>
    <t>R0362</t>
  </si>
  <si>
    <t>egg yolks</t>
  </si>
  <si>
    <t>R0363</t>
  </si>
  <si>
    <t>R0364</t>
  </si>
  <si>
    <t>R0365</t>
  </si>
  <si>
    <t>R0366</t>
  </si>
  <si>
    <t>R0367</t>
  </si>
  <si>
    <t>île flottante</t>
  </si>
  <si>
    <t>R0368</t>
  </si>
  <si>
    <t>jaune d œuf</t>
  </si>
  <si>
    <t>R0369</t>
  </si>
  <si>
    <t>jaunes d œufs</t>
  </si>
  <si>
    <t>R0370</t>
  </si>
  <si>
    <t>lécithine d œuf</t>
  </si>
  <si>
    <t>lecithine d oeuf</t>
  </si>
  <si>
    <t>R0371</t>
  </si>
  <si>
    <t>lysozyme</t>
  </si>
  <si>
    <t>R0372</t>
  </si>
  <si>
    <t>R0373</t>
  </si>
  <si>
    <t>R0374</t>
  </si>
  <si>
    <t>R0375</t>
  </si>
  <si>
    <t>meringues</t>
  </si>
  <si>
    <t>R0376</t>
  </si>
  <si>
    <t>œuf</t>
  </si>
  <si>
    <t>R0377</t>
  </si>
  <si>
    <t>œuf dur</t>
  </si>
  <si>
    <t>oeuf dur</t>
  </si>
  <si>
    <t>R0378</t>
  </si>
  <si>
    <t>œuf en poudre</t>
  </si>
  <si>
    <t>oeuf en poudre</t>
  </si>
  <si>
    <t>R0379</t>
  </si>
  <si>
    <t>œuf mollet</t>
  </si>
  <si>
    <t>oeuf mollet</t>
  </si>
  <si>
    <t>R0380</t>
  </si>
  <si>
    <t>œuf poché</t>
  </si>
  <si>
    <t>oeuf poche</t>
  </si>
  <si>
    <t>R0381</t>
  </si>
  <si>
    <t>R0382</t>
  </si>
  <si>
    <t>œufs brouillés</t>
  </si>
  <si>
    <t>R0383</t>
  </si>
  <si>
    <t>R0384</t>
  </si>
  <si>
    <t>R0385</t>
  </si>
  <si>
    <t>ovomucine</t>
  </si>
  <si>
    <t>R0386</t>
  </si>
  <si>
    <t>ovomucoïde</t>
  </si>
  <si>
    <t>ovomucoide</t>
  </si>
  <si>
    <t>R0387</t>
  </si>
  <si>
    <t>R0388</t>
  </si>
  <si>
    <t>R0389</t>
  </si>
  <si>
    <t>pâte à bombe</t>
  </si>
  <si>
    <t>pate a bombe</t>
  </si>
  <si>
    <t>R0390</t>
  </si>
  <si>
    <t>R0391</t>
  </si>
  <si>
    <t>poudre d œuf</t>
  </si>
  <si>
    <t>R0392</t>
  </si>
  <si>
    <t>R0393</t>
  </si>
  <si>
    <t>sabayon</t>
  </si>
  <si>
    <t>R0394</t>
  </si>
  <si>
    <t>sauce cocktail</t>
  </si>
  <si>
    <t>R0395</t>
  </si>
  <si>
    <t>R0396</t>
  </si>
  <si>
    <t>sauce rémoulade</t>
  </si>
  <si>
    <t>sauce remoulade</t>
  </si>
  <si>
    <t>R0397</t>
  </si>
  <si>
    <t>R0398</t>
  </si>
  <si>
    <t>soufflé</t>
  </si>
  <si>
    <t>souffle</t>
  </si>
  <si>
    <t>R0399</t>
  </si>
  <si>
    <t>R0400</t>
  </si>
  <si>
    <t>amaretto sour</t>
  </si>
  <si>
    <t>Recette variable.</t>
  </si>
  <si>
    <t>R0401</t>
  </si>
  <si>
    <t>R0402</t>
  </si>
  <si>
    <t>R0403</t>
  </si>
  <si>
    <t>R0404</t>
  </si>
  <si>
    <t>burger</t>
  </si>
  <si>
    <t>R0405</t>
  </si>
  <si>
    <t>R0406</t>
  </si>
  <si>
    <t>R0407</t>
  </si>
  <si>
    <t>cocktail sour</t>
  </si>
  <si>
    <t>R0408</t>
  </si>
  <si>
    <t>R0409</t>
  </si>
  <si>
    <t>crème glacée</t>
  </si>
  <si>
    <t>R0410</t>
  </si>
  <si>
    <t>farce fine</t>
  </si>
  <si>
    <t>R0411</t>
  </si>
  <si>
    <t>R0412</t>
  </si>
  <si>
    <t>R0413</t>
  </si>
  <si>
    <t>mousseline</t>
  </si>
  <si>
    <t>R0414</t>
  </si>
  <si>
    <t>nouilles fraîches</t>
  </si>
  <si>
    <t>nouilles fraiches</t>
  </si>
  <si>
    <t>R0415</t>
  </si>
  <si>
    <t>pain brioché</t>
  </si>
  <si>
    <t>pain brioche</t>
  </si>
  <si>
    <t>R0416</t>
  </si>
  <si>
    <t>R0417</t>
  </si>
  <si>
    <t>pâté</t>
  </si>
  <si>
    <t>R0418</t>
  </si>
  <si>
    <t>pâtes fraîches</t>
  </si>
  <si>
    <t>pates fraiches</t>
  </si>
  <si>
    <t>R0419</t>
  </si>
  <si>
    <t>pisco sour</t>
  </si>
  <si>
    <t>R0420</t>
  </si>
  <si>
    <t>R0421</t>
  </si>
  <si>
    <t>ramen</t>
  </si>
  <si>
    <t>R0422</t>
  </si>
  <si>
    <t>R0423</t>
  </si>
  <si>
    <t>sorbet</t>
  </si>
  <si>
    <t>R0424</t>
  </si>
  <si>
    <t>R0425</t>
  </si>
  <si>
    <t>terrine</t>
  </si>
  <si>
    <t>R0426</t>
  </si>
  <si>
    <t>R0427</t>
  </si>
  <si>
    <t>whisky sour</t>
  </si>
  <si>
    <t>R0428</t>
  </si>
  <si>
    <t>SUSP_EXCL</t>
  </si>
  <si>
    <t>avec glace</t>
  </si>
  <si>
    <t>Exclusion limitée aux détections de composition variable.</t>
  </si>
  <si>
    <t>R0429</t>
  </si>
  <si>
    <t>avec glaçons</t>
  </si>
  <si>
    <t>avec glacons</t>
  </si>
  <si>
    <t>R0430</t>
  </si>
  <si>
    <t>glace pilée</t>
  </si>
  <si>
    <t>glace pilee</t>
  </si>
  <si>
    <t>R0431</t>
  </si>
  <si>
    <t>glaçons</t>
  </si>
  <si>
    <t>glacons</t>
  </si>
  <si>
    <t>R0432</t>
  </si>
  <si>
    <t>R0433</t>
  </si>
  <si>
    <t>R0434</t>
  </si>
  <si>
    <t>R0435</t>
  </si>
  <si>
    <t>on the rocks</t>
  </si>
  <si>
    <t>R0436</t>
  </si>
  <si>
    <t>sur glace</t>
  </si>
  <si>
    <t>R0437</t>
  </si>
  <si>
    <t>abadeche</t>
  </si>
  <si>
    <t>https://www.economie.gouv.fr/files/files/directions_services/dgccrf/consommation/Produits-de-la-mer/poissons-mars-2026.pdf</t>
  </si>
  <si>
    <t>mars 2026</t>
  </si>
  <si>
    <t>R0438</t>
  </si>
  <si>
    <t>abadeche barbiche</t>
  </si>
  <si>
    <t>R0439</t>
  </si>
  <si>
    <t>abadeche du cap</t>
  </si>
  <si>
    <t>R0440</t>
  </si>
  <si>
    <t>abadeche lingue</t>
  </si>
  <si>
    <t>R0441</t>
  </si>
  <si>
    <t>abadeche rose</t>
  </si>
  <si>
    <t>R0442</t>
  </si>
  <si>
    <t>abadeche royale du cap</t>
  </si>
  <si>
    <t>R0443</t>
  </si>
  <si>
    <t>able de hecket</t>
  </si>
  <si>
    <t>R0444</t>
  </si>
  <si>
    <t>ablette</t>
  </si>
  <si>
    <t>R0445</t>
  </si>
  <si>
    <t>achigan a grande bouche</t>
  </si>
  <si>
    <t>R0446</t>
  </si>
  <si>
    <t>acoupa aiguille</t>
  </si>
  <si>
    <t>R0447</t>
  </si>
  <si>
    <t>acoupa blanc</t>
  </si>
  <si>
    <t>R0448</t>
  </si>
  <si>
    <t>acoupa cambacu</t>
  </si>
  <si>
    <t>R0449</t>
  </si>
  <si>
    <t>acoupa canal</t>
  </si>
  <si>
    <t>R0450</t>
  </si>
  <si>
    <t>acoupa celeste</t>
  </si>
  <si>
    <t>R0451</t>
  </si>
  <si>
    <t>acoupa chasseur</t>
  </si>
  <si>
    <t>R0452</t>
  </si>
  <si>
    <t>acoupa dore</t>
  </si>
  <si>
    <t>R0453</t>
  </si>
  <si>
    <t>acoupa pintade</t>
  </si>
  <si>
    <t>R0454</t>
  </si>
  <si>
    <t>acoupa raye</t>
  </si>
  <si>
    <t>R0455</t>
  </si>
  <si>
    <t>acoupa riviere</t>
  </si>
  <si>
    <t>R0456</t>
  </si>
  <si>
    <t>acoupa royal</t>
  </si>
  <si>
    <t>R0457</t>
  </si>
  <si>
    <t>acoupa tident</t>
  </si>
  <si>
    <t>R0458</t>
  </si>
  <si>
    <t>acoupa toeroe</t>
  </si>
  <si>
    <t>R0459</t>
  </si>
  <si>
    <t>aigle de mer</t>
  </si>
  <si>
    <t>R0460</t>
  </si>
  <si>
    <t>aigle de mer commun</t>
  </si>
  <si>
    <t>R0461</t>
  </si>
  <si>
    <t>aiguillat commun</t>
  </si>
  <si>
    <t>R0462</t>
  </si>
  <si>
    <t>aiguillat coq</t>
  </si>
  <si>
    <t>R0463</t>
  </si>
  <si>
    <t>aiguillat galludo</t>
  </si>
  <si>
    <t>R0464</t>
  </si>
  <si>
    <t>aiguillette d amerique orphie</t>
  </si>
  <si>
    <t>R0465</t>
  </si>
  <si>
    <t>aileron argente</t>
  </si>
  <si>
    <t>R0466</t>
  </si>
  <si>
    <t>aileron chinois</t>
  </si>
  <si>
    <t>R0467</t>
  </si>
  <si>
    <t>alose</t>
  </si>
  <si>
    <t>R0468</t>
  </si>
  <si>
    <t>alose d ete</t>
  </si>
  <si>
    <t>R0469</t>
  </si>
  <si>
    <t>alose de la mer noire</t>
  </si>
  <si>
    <t>R0470</t>
  </si>
  <si>
    <t>alose du pont euxin</t>
  </si>
  <si>
    <t>R0471</t>
  </si>
  <si>
    <t>alose ecaille fluviale</t>
  </si>
  <si>
    <t>R0472</t>
  </si>
  <si>
    <t>alose feinte</t>
  </si>
  <si>
    <t>R0473</t>
  </si>
  <si>
    <t>alose gaspareau</t>
  </si>
  <si>
    <t>R0474</t>
  </si>
  <si>
    <t>alose matte</t>
  </si>
  <si>
    <t>R0475</t>
  </si>
  <si>
    <t>alose savoureuse</t>
  </si>
  <si>
    <t>R0476</t>
  </si>
  <si>
    <t>alose vraie</t>
  </si>
  <si>
    <t>R0477</t>
  </si>
  <si>
    <t>anchoïade</t>
  </si>
  <si>
    <t>Poisson ou dérivé explicite.</t>
  </si>
  <si>
    <t>R0478</t>
  </si>
  <si>
    <t>R0479</t>
  </si>
  <si>
    <t>anchois bombra</t>
  </si>
  <si>
    <t>R0480</t>
  </si>
  <si>
    <t>anchois commun</t>
  </si>
  <si>
    <t>R0481</t>
  </si>
  <si>
    <t>anchois d argentine</t>
  </si>
  <si>
    <t>R0482</t>
  </si>
  <si>
    <t>anchois du cap</t>
  </si>
  <si>
    <t>R0483</t>
  </si>
  <si>
    <t>anchois du perou</t>
  </si>
  <si>
    <t>R0484</t>
  </si>
  <si>
    <t>anchois indien</t>
  </si>
  <si>
    <t>R0485</t>
  </si>
  <si>
    <t>anchovies</t>
  </si>
  <si>
    <t>R0486</t>
  </si>
  <si>
    <t>R0487</t>
  </si>
  <si>
    <t>ange de mer</t>
  </si>
  <si>
    <t>R0488</t>
  </si>
  <si>
    <t>ange de mer commun</t>
  </si>
  <si>
    <t>R0489</t>
  </si>
  <si>
    <t>R0490</t>
  </si>
  <si>
    <t>anguille d amerique</t>
  </si>
  <si>
    <t>R0491</t>
  </si>
  <si>
    <t>anguille d australie</t>
  </si>
  <si>
    <t>R0492</t>
  </si>
  <si>
    <t>anguille d europe</t>
  </si>
  <si>
    <t>R0493</t>
  </si>
  <si>
    <t>anguille de nouvelle zelande</t>
  </si>
  <si>
    <t>R0494</t>
  </si>
  <si>
    <t>anguille du japon</t>
  </si>
  <si>
    <t>R0495</t>
  </si>
  <si>
    <t>antimora bleu</t>
  </si>
  <si>
    <t>R0496</t>
  </si>
  <si>
    <t>atherine peruvienne</t>
  </si>
  <si>
    <t>R0497</t>
  </si>
  <si>
    <t>badeche rouge</t>
  </si>
  <si>
    <t>R0498</t>
  </si>
  <si>
    <t>bagre laulao</t>
  </si>
  <si>
    <t>R0499</t>
  </si>
  <si>
    <t>bagre paysan</t>
  </si>
  <si>
    <t>R0500</t>
  </si>
  <si>
    <t>bagre vaillant</t>
  </si>
  <si>
    <t>R0501</t>
  </si>
  <si>
    <t>balai de l atlantique</t>
  </si>
  <si>
    <t>R0502</t>
  </si>
  <si>
    <t>balaou de l atlantique</t>
  </si>
  <si>
    <t>R0503</t>
  </si>
  <si>
    <t>balaou du japon</t>
  </si>
  <si>
    <t>R0504</t>
  </si>
  <si>
    <t>R0505</t>
  </si>
  <si>
    <t>bar blanc d amerique</t>
  </si>
  <si>
    <t>R0506</t>
  </si>
  <si>
    <t>bar commun</t>
  </si>
  <si>
    <t>R0507</t>
  </si>
  <si>
    <t>bar d amerique</t>
  </si>
  <si>
    <t>R0508</t>
  </si>
  <si>
    <t>bar du pacifique</t>
  </si>
  <si>
    <t>R0509</t>
  </si>
  <si>
    <t>bar tachete</t>
  </si>
  <si>
    <t>R0510</t>
  </si>
  <si>
    <t>barbeau</t>
  </si>
  <si>
    <t>R0511</t>
  </si>
  <si>
    <t>barbure mamali</t>
  </si>
  <si>
    <t>R0512</t>
  </si>
  <si>
    <t>barracuda</t>
  </si>
  <si>
    <t>R0513</t>
  </si>
  <si>
    <t>barracuda a bandes dorees</t>
  </si>
  <si>
    <t>R0514</t>
  </si>
  <si>
    <t>barracuda argente</t>
  </si>
  <si>
    <t>R0515</t>
  </si>
  <si>
    <t>barracuda dents de scie</t>
  </si>
  <si>
    <t>R0516</t>
  </si>
  <si>
    <t>barracuda guachanche</t>
  </si>
  <si>
    <t>R0517</t>
  </si>
  <si>
    <t>barracuda guineen</t>
  </si>
  <si>
    <t>R0518</t>
  </si>
  <si>
    <t>barracuda jello</t>
  </si>
  <si>
    <t>R0519</t>
  </si>
  <si>
    <t>baudroie</t>
  </si>
  <si>
    <t>R0520</t>
  </si>
  <si>
    <t>baudroie africaine</t>
  </si>
  <si>
    <t>R0521</t>
  </si>
  <si>
    <t>baudroie commune</t>
  </si>
  <si>
    <t>R0522</t>
  </si>
  <si>
    <t>baudroie d amerique</t>
  </si>
  <si>
    <t>R0523</t>
  </si>
  <si>
    <t>baudroie diable</t>
  </si>
  <si>
    <t>R0524</t>
  </si>
  <si>
    <t>baudroie du japon</t>
  </si>
  <si>
    <t>R0525</t>
  </si>
  <si>
    <t>baudroie pecheuse</t>
  </si>
  <si>
    <t>R0526</t>
  </si>
  <si>
    <t>baudroie rousse</t>
  </si>
  <si>
    <t>R0527</t>
  </si>
  <si>
    <t>beauclaire miroir</t>
  </si>
  <si>
    <t>R0528</t>
  </si>
  <si>
    <t>beauclaire pintade</t>
  </si>
  <si>
    <t>R0529</t>
  </si>
  <si>
    <t>beauclaire soleil</t>
  </si>
  <si>
    <t>R0530</t>
  </si>
  <si>
    <t>becune argentee</t>
  </si>
  <si>
    <t>R0531</t>
  </si>
  <si>
    <t>becune europeenne</t>
  </si>
  <si>
    <t>R0532</t>
  </si>
  <si>
    <t>becune guachanche</t>
  </si>
  <si>
    <t>R0533</t>
  </si>
  <si>
    <t>becune guineenne</t>
  </si>
  <si>
    <t>R0534</t>
  </si>
  <si>
    <t>becune jello</t>
  </si>
  <si>
    <t>R0535</t>
  </si>
  <si>
    <t>bereche du pacifique</t>
  </si>
  <si>
    <t>R0536</t>
  </si>
  <si>
    <t>beryx australien</t>
  </si>
  <si>
    <t>R0537</t>
  </si>
  <si>
    <t>beryx commun</t>
  </si>
  <si>
    <t>R0538</t>
  </si>
  <si>
    <t>beryx long</t>
  </si>
  <si>
    <t>R0539</t>
  </si>
  <si>
    <t>bonite</t>
  </si>
  <si>
    <t>R0540</t>
  </si>
  <si>
    <t>bonite a dos raye</t>
  </si>
  <si>
    <t>R0541</t>
  </si>
  <si>
    <t>bonite a ventre raye</t>
  </si>
  <si>
    <t>R0542</t>
  </si>
  <si>
    <t>bonite de l ocean indien</t>
  </si>
  <si>
    <t>R0543</t>
  </si>
  <si>
    <t>bonite du pacifique oriental</t>
  </si>
  <si>
    <t>R0544</t>
  </si>
  <si>
    <t>bottarga</t>
  </si>
  <si>
    <t>R0545</t>
  </si>
  <si>
    <t>R0546</t>
  </si>
  <si>
    <t>bourride</t>
  </si>
  <si>
    <t>R0547</t>
  </si>
  <si>
    <t>bourrugue de crique</t>
  </si>
  <si>
    <t>R0548</t>
  </si>
  <si>
    <t>bourrugue du golfe</t>
  </si>
  <si>
    <t>R0549</t>
  </si>
  <si>
    <t>bourrugue renard</t>
  </si>
  <si>
    <t>R0550</t>
  </si>
  <si>
    <t>bourse lisse</t>
  </si>
  <si>
    <t>R0551</t>
  </si>
  <si>
    <t>bourse loulou</t>
  </si>
  <si>
    <t>R0552</t>
  </si>
  <si>
    <t>boutargue</t>
  </si>
  <si>
    <t>R0553</t>
  </si>
  <si>
    <t>R0554</t>
  </si>
  <si>
    <t>breme bordeliere</t>
  </si>
  <si>
    <t>R0555</t>
  </si>
  <si>
    <t>breme noire</t>
  </si>
  <si>
    <t>R0556</t>
  </si>
  <si>
    <t>R0557</t>
  </si>
  <si>
    <t>brotule barbee</t>
  </si>
  <si>
    <t>R0558</t>
  </si>
  <si>
    <t>brotule rosee</t>
  </si>
  <si>
    <t>R0559</t>
  </si>
  <si>
    <t>R0560</t>
  </si>
  <si>
    <t>cabot austral</t>
  </si>
  <si>
    <t>R0561</t>
  </si>
  <si>
    <t>caesio a croissant</t>
  </si>
  <si>
    <t>R0562</t>
  </si>
  <si>
    <t>caesio a ventre rouge</t>
  </si>
  <si>
    <t>R0563</t>
  </si>
  <si>
    <t>cagna rayee</t>
  </si>
  <si>
    <t>R0564</t>
  </si>
  <si>
    <t>capelan atlantique</t>
  </si>
  <si>
    <t>R0565</t>
  </si>
  <si>
    <t>capelan de mediterranee</t>
  </si>
  <si>
    <t>R0566</t>
  </si>
  <si>
    <t>capitaine tatoue</t>
  </si>
  <si>
    <t>R0567</t>
  </si>
  <si>
    <t>capucette de l atlantique</t>
  </si>
  <si>
    <t>R0568</t>
  </si>
  <si>
    <t>capucin jaune</t>
  </si>
  <si>
    <t>R0569</t>
  </si>
  <si>
    <t>carangue</t>
  </si>
  <si>
    <t>R0570</t>
  </si>
  <si>
    <t>carangue arc en ciel</t>
  </si>
  <si>
    <t>R0571</t>
  </si>
  <si>
    <t>carangue balo</t>
  </si>
  <si>
    <t>R0572</t>
  </si>
  <si>
    <t>carangue coubali</t>
  </si>
  <si>
    <t>R0573</t>
  </si>
  <si>
    <t>carangue crevalle</t>
  </si>
  <si>
    <t>R0574</t>
  </si>
  <si>
    <t>carangue dentee</t>
  </si>
  <si>
    <t>R0575</t>
  </si>
  <si>
    <t>carangue grosse tete</t>
  </si>
  <si>
    <t>R0576</t>
  </si>
  <si>
    <t>carangue moyole</t>
  </si>
  <si>
    <t>R0577</t>
  </si>
  <si>
    <t>carangue pailletee</t>
  </si>
  <si>
    <t>R0578</t>
  </si>
  <si>
    <t>carangue vorace</t>
  </si>
  <si>
    <t>R0579</t>
  </si>
  <si>
    <t>cardeau argentin</t>
  </si>
  <si>
    <t>R0580</t>
  </si>
  <si>
    <t>cardeau d ete</t>
  </si>
  <si>
    <t>R0581</t>
  </si>
  <si>
    <t>cardeau hirame</t>
  </si>
  <si>
    <t>R0582</t>
  </si>
  <si>
    <t>cardine</t>
  </si>
  <si>
    <t>R0583</t>
  </si>
  <si>
    <t>cardine a quatre taches</t>
  </si>
  <si>
    <t>R0584</t>
  </si>
  <si>
    <t>cardine de californie</t>
  </si>
  <si>
    <t>R0585</t>
  </si>
  <si>
    <t>cardine du canada</t>
  </si>
  <si>
    <t>R0586</t>
  </si>
  <si>
    <t>cardine du pacifique</t>
  </si>
  <si>
    <t>R0587</t>
  </si>
  <si>
    <t>cardine franche</t>
  </si>
  <si>
    <t>R0588</t>
  </si>
  <si>
    <t>cardine tropicale</t>
  </si>
  <si>
    <t>R0589</t>
  </si>
  <si>
    <t>R0590</t>
  </si>
  <si>
    <t>carrelet</t>
  </si>
  <si>
    <t>R0591</t>
  </si>
  <si>
    <t>castagnole</t>
  </si>
  <si>
    <t>R0592</t>
  </si>
  <si>
    <t>castagnoline noire</t>
  </si>
  <si>
    <t>R0593</t>
  </si>
  <si>
    <t>castanette d argentine</t>
  </si>
  <si>
    <t>R0594</t>
  </si>
  <si>
    <t>R0595</t>
  </si>
  <si>
    <t>cepole commune</t>
  </si>
  <si>
    <t>R0596</t>
  </si>
  <si>
    <t>cernier commun</t>
  </si>
  <si>
    <t>R0597</t>
  </si>
  <si>
    <t>cernier de nouvelle zelande</t>
  </si>
  <si>
    <t>R0598</t>
  </si>
  <si>
    <t>chabot de mer</t>
  </si>
  <si>
    <t>R0599</t>
  </si>
  <si>
    <t>charbonnier</t>
  </si>
  <si>
    <t>R0600</t>
  </si>
  <si>
    <t>chardin du pacifique</t>
  </si>
  <si>
    <t>R0601</t>
  </si>
  <si>
    <t>chardin fil</t>
  </si>
  <si>
    <t>R0602</t>
  </si>
  <si>
    <t>chimere commune</t>
  </si>
  <si>
    <t>R0603</t>
  </si>
  <si>
    <t>chinchard</t>
  </si>
  <si>
    <t>R0604</t>
  </si>
  <si>
    <t>chinchard a queue jaune</t>
  </si>
  <si>
    <t>R0605</t>
  </si>
  <si>
    <t>chinchard commun</t>
  </si>
  <si>
    <t>R0606</t>
  </si>
  <si>
    <t>chinchard cunene</t>
  </si>
  <si>
    <t>R0607</t>
  </si>
  <si>
    <t>chinchard du cap</t>
  </si>
  <si>
    <t>R0608</t>
  </si>
  <si>
    <t>chinchard du large</t>
  </si>
  <si>
    <t>R0609</t>
  </si>
  <si>
    <t>chinchard frappeur</t>
  </si>
  <si>
    <t>R0610</t>
  </si>
  <si>
    <t>clupeonelle de la mer noire et caspienne</t>
  </si>
  <si>
    <t>R0611</t>
  </si>
  <si>
    <t>R0612</t>
  </si>
  <si>
    <t>cohana doree</t>
  </si>
  <si>
    <t>R0613</t>
  </si>
  <si>
    <t>cohana tolu</t>
  </si>
  <si>
    <t>R0614</t>
  </si>
  <si>
    <t>colas a bandes dorees</t>
  </si>
  <si>
    <t>R0615</t>
  </si>
  <si>
    <t>colas bagnard</t>
  </si>
  <si>
    <t>R0616</t>
  </si>
  <si>
    <t>colas fil</t>
  </si>
  <si>
    <t>R0617</t>
  </si>
  <si>
    <t>colin austral</t>
  </si>
  <si>
    <t>R0618</t>
  </si>
  <si>
    <t>R0619</t>
  </si>
  <si>
    <t>colin des kerguelen</t>
  </si>
  <si>
    <t>R0620</t>
  </si>
  <si>
    <t>R0621</t>
  </si>
  <si>
    <t>comete de russel</t>
  </si>
  <si>
    <t>R0622</t>
  </si>
  <si>
    <t>comete ronde</t>
  </si>
  <si>
    <t>R0623</t>
  </si>
  <si>
    <t>compere tachete</t>
  </si>
  <si>
    <t>R0624</t>
  </si>
  <si>
    <t>congre</t>
  </si>
  <si>
    <t>R0625</t>
  </si>
  <si>
    <t>congre argentin</t>
  </si>
  <si>
    <t>R0626</t>
  </si>
  <si>
    <t>congre commun</t>
  </si>
  <si>
    <t>R0627</t>
  </si>
  <si>
    <t>corb commun</t>
  </si>
  <si>
    <t>R0628</t>
  </si>
  <si>
    <t>cordonnier bossu</t>
  </si>
  <si>
    <t>R0629</t>
  </si>
  <si>
    <t>coregone</t>
  </si>
  <si>
    <t>R0630</t>
  </si>
  <si>
    <t>coregone blanc</t>
  </si>
  <si>
    <t>R0631</t>
  </si>
  <si>
    <t>coregone cisco</t>
  </si>
  <si>
    <t>R0632</t>
  </si>
  <si>
    <t>coregone du lac</t>
  </si>
  <si>
    <t>R0633</t>
  </si>
  <si>
    <t>coregone lavaret</t>
  </si>
  <si>
    <t>R0634</t>
  </si>
  <si>
    <t>coregone pallae</t>
  </si>
  <si>
    <t>R0635</t>
  </si>
  <si>
    <t>coregone pollan</t>
  </si>
  <si>
    <t>R0636</t>
  </si>
  <si>
    <t>coryphene</t>
  </si>
  <si>
    <t>R0637</t>
  </si>
  <si>
    <t>courbine barbiche</t>
  </si>
  <si>
    <t>R0638</t>
  </si>
  <si>
    <t>courbine barbichette</t>
  </si>
  <si>
    <t>R0639</t>
  </si>
  <si>
    <t>courbine bobo</t>
  </si>
  <si>
    <t>R0640</t>
  </si>
  <si>
    <t>courbine chasseur</t>
  </si>
  <si>
    <t>R0641</t>
  </si>
  <si>
    <t>courbine du senegal</t>
  </si>
  <si>
    <t>R0642</t>
  </si>
  <si>
    <t>courbine gabo</t>
  </si>
  <si>
    <t>R0643</t>
  </si>
  <si>
    <t>courbine grise</t>
  </si>
  <si>
    <t>R0644</t>
  </si>
  <si>
    <t>courbine indienne</t>
  </si>
  <si>
    <t>R0645</t>
  </si>
  <si>
    <t>courbine jaune</t>
  </si>
  <si>
    <t>R0646</t>
  </si>
  <si>
    <t>courbine nanka</t>
  </si>
  <si>
    <t>R0647</t>
  </si>
  <si>
    <t>courbine pintade</t>
  </si>
  <si>
    <t>R0648</t>
  </si>
  <si>
    <t>courbine soldat</t>
  </si>
  <si>
    <t>R0649</t>
  </si>
  <si>
    <t>courbine tachetee</t>
  </si>
  <si>
    <t>R0650</t>
  </si>
  <si>
    <t>courbine ti yeux</t>
  </si>
  <si>
    <t>R0651</t>
  </si>
  <si>
    <t>crapaud goulu</t>
  </si>
  <si>
    <t>R0652</t>
  </si>
  <si>
    <t>crapaud guyanais</t>
  </si>
  <si>
    <t>R0653</t>
  </si>
  <si>
    <t>croissant queue blanche</t>
  </si>
  <si>
    <t>R0654</t>
  </si>
  <si>
    <t>croissant queue jaune</t>
  </si>
  <si>
    <t>R0655</t>
  </si>
  <si>
    <t>crossie blanc</t>
  </si>
  <si>
    <t>R0656</t>
  </si>
  <si>
    <t>crossie chucumite</t>
  </si>
  <si>
    <t>R0657</t>
  </si>
  <si>
    <t>crossie constantin</t>
  </si>
  <si>
    <t>R0658</t>
  </si>
  <si>
    <t>crossie epee</t>
  </si>
  <si>
    <t>R0659</t>
  </si>
  <si>
    <t>crossie mexicain</t>
  </si>
  <si>
    <t>R0660</t>
  </si>
  <si>
    <t>croupia grande mer</t>
  </si>
  <si>
    <t>R0661</t>
  </si>
  <si>
    <t>croupia roche</t>
  </si>
  <si>
    <t>R0662</t>
  </si>
  <si>
    <t>cyprin dore</t>
  </si>
  <si>
    <t>R0663</t>
  </si>
  <si>
    <t>R0664</t>
  </si>
  <si>
    <t>demi bec</t>
  </si>
  <si>
    <t>R0665</t>
  </si>
  <si>
    <t>demi bec du bresil</t>
  </si>
  <si>
    <t>R0666</t>
  </si>
  <si>
    <t>demi bec du japon</t>
  </si>
  <si>
    <t>R0667</t>
  </si>
  <si>
    <t>demi bec du pacifique</t>
  </si>
  <si>
    <t>R0668</t>
  </si>
  <si>
    <t>dente a gros yeux</t>
  </si>
  <si>
    <t>R0669</t>
  </si>
  <si>
    <t>dente a points bleu</t>
  </si>
  <si>
    <t>R0670</t>
  </si>
  <si>
    <t>dente a tache rouge</t>
  </si>
  <si>
    <t>R0671</t>
  </si>
  <si>
    <t>dente angolais</t>
  </si>
  <si>
    <t>R0672</t>
  </si>
  <si>
    <t>dente commun</t>
  </si>
  <si>
    <t>R0673</t>
  </si>
  <si>
    <t>dente congolais</t>
  </si>
  <si>
    <t>R0674</t>
  </si>
  <si>
    <t>dente de l ocean indien</t>
  </si>
  <si>
    <t>R0675</t>
  </si>
  <si>
    <t>dente des canaries</t>
  </si>
  <si>
    <t>R0676</t>
  </si>
  <si>
    <t>dente du maroc</t>
  </si>
  <si>
    <t>R0677</t>
  </si>
  <si>
    <t>dente rose</t>
  </si>
  <si>
    <t>R0678</t>
  </si>
  <si>
    <t>diagramme a barres blanches</t>
  </si>
  <si>
    <t>R0679</t>
  </si>
  <si>
    <t>diagramme bagnard</t>
  </si>
  <si>
    <t>R0680</t>
  </si>
  <si>
    <t>diagramme burro</t>
  </si>
  <si>
    <t>R0681</t>
  </si>
  <si>
    <t>diagramme citron</t>
  </si>
  <si>
    <t>R0682</t>
  </si>
  <si>
    <t>diagramme voilier</t>
  </si>
  <si>
    <t>R0683</t>
  </si>
  <si>
    <t>disque portugais</t>
  </si>
  <si>
    <t>R0684</t>
  </si>
  <si>
    <t>donzelle a nageoire noire</t>
  </si>
  <si>
    <t>R0685</t>
  </si>
  <si>
    <t>R0686</t>
  </si>
  <si>
    <t>dorade argentee</t>
  </si>
  <si>
    <t>R0687</t>
  </si>
  <si>
    <t>dorade coryphene</t>
  </si>
  <si>
    <t>R0688</t>
  </si>
  <si>
    <t>dorade du pacifique</t>
  </si>
  <si>
    <t>R0689</t>
  </si>
  <si>
    <t>dorade grise</t>
  </si>
  <si>
    <t>R0690</t>
  </si>
  <si>
    <t>dorade marbre</t>
  </si>
  <si>
    <t>R0691</t>
  </si>
  <si>
    <t>dorade rose</t>
  </si>
  <si>
    <t>R0692</t>
  </si>
  <si>
    <t>dorade rouge</t>
  </si>
  <si>
    <t>R0693</t>
  </si>
  <si>
    <t>R0694</t>
  </si>
  <si>
    <t>dorade sebaste</t>
  </si>
  <si>
    <t>R0695</t>
  </si>
  <si>
    <t>dore austral</t>
  </si>
  <si>
    <t>R0696</t>
  </si>
  <si>
    <t>dore epineux</t>
  </si>
  <si>
    <t>R0697</t>
  </si>
  <si>
    <t>dore jaune</t>
  </si>
  <si>
    <t>R0698</t>
  </si>
  <si>
    <t>dore noir</t>
  </si>
  <si>
    <t>R0699</t>
  </si>
  <si>
    <t>dore tachete</t>
  </si>
  <si>
    <t>R0700</t>
  </si>
  <si>
    <t>dore verruqueux</t>
  </si>
  <si>
    <t>R0701</t>
  </si>
  <si>
    <t>dragonnet lyre</t>
  </si>
  <si>
    <t>R0702</t>
  </si>
  <si>
    <t>R0703</t>
  </si>
  <si>
    <t>emissole blanche</t>
  </si>
  <si>
    <t>R0704</t>
  </si>
  <si>
    <t>emissole douce</t>
  </si>
  <si>
    <t>R0705</t>
  </si>
  <si>
    <t>emissole gatuso</t>
  </si>
  <si>
    <t>R0706</t>
  </si>
  <si>
    <t>emissole lisse</t>
  </si>
  <si>
    <t>R0707</t>
  </si>
  <si>
    <t>emissole tachetee</t>
  </si>
  <si>
    <t>R0708</t>
  </si>
  <si>
    <t>emissole ti yeux</t>
  </si>
  <si>
    <t>R0709</t>
  </si>
  <si>
    <t>empereur</t>
  </si>
  <si>
    <t>R0710</t>
  </si>
  <si>
    <t>empereur de mediterranee</t>
  </si>
  <si>
    <t>R0711</t>
  </si>
  <si>
    <t>en eau de mer</t>
  </si>
  <si>
    <t>R0712</t>
  </si>
  <si>
    <t>eperlan d amerique</t>
  </si>
  <si>
    <t>R0713</t>
  </si>
  <si>
    <t>eperlan d europe</t>
  </si>
  <si>
    <t>R0714</t>
  </si>
  <si>
    <t>escolier blanc</t>
  </si>
  <si>
    <t>R0715</t>
  </si>
  <si>
    <t>escolier noir</t>
  </si>
  <si>
    <t>R0716</t>
  </si>
  <si>
    <t>R0717</t>
  </si>
  <si>
    <t>esturgeon a museau court</t>
  </si>
  <si>
    <t>R0718</t>
  </si>
  <si>
    <t>esturgeon beluga</t>
  </si>
  <si>
    <t>R0719</t>
  </si>
  <si>
    <t>esturgeon blanc</t>
  </si>
  <si>
    <t>R0720</t>
  </si>
  <si>
    <t>esturgeon d europe occidentale</t>
  </si>
  <si>
    <t>R0721</t>
  </si>
  <si>
    <t>esturgeon du danube</t>
  </si>
  <si>
    <t>R0722</t>
  </si>
  <si>
    <t>esturgeon etoile</t>
  </si>
  <si>
    <t>R0723</t>
  </si>
  <si>
    <t>esturgeon jaune d amerique</t>
  </si>
  <si>
    <t>R0724</t>
  </si>
  <si>
    <t>esturgeon noir d amerique</t>
  </si>
  <si>
    <t>R0725</t>
  </si>
  <si>
    <t>esturgeon perse</t>
  </si>
  <si>
    <t>R0726</t>
  </si>
  <si>
    <t>esturgeon siberien</t>
  </si>
  <si>
    <t>R0727</t>
  </si>
  <si>
    <t>esturgeon sterlet</t>
  </si>
  <si>
    <t>R0728</t>
  </si>
  <si>
    <t>ethmalose d afrique</t>
  </si>
  <si>
    <t>R0729</t>
  </si>
  <si>
    <t>fanfre noir d amerique</t>
  </si>
  <si>
    <t>R0730</t>
  </si>
  <si>
    <t>farine de poisson</t>
  </si>
  <si>
    <t>R0731</t>
  </si>
  <si>
    <t>fausse limande</t>
  </si>
  <si>
    <t>R0732</t>
  </si>
  <si>
    <t>fausse limande du pacifique</t>
  </si>
  <si>
    <t>R0733</t>
  </si>
  <si>
    <t>fausse limande sombre</t>
  </si>
  <si>
    <t>R0734</t>
  </si>
  <si>
    <t>faux saint pierre</t>
  </si>
  <si>
    <t>R0735</t>
  </si>
  <si>
    <t>fera du canada</t>
  </si>
  <si>
    <t>R0736</t>
  </si>
  <si>
    <t>filet de poisson</t>
  </si>
  <si>
    <t>R0737</t>
  </si>
  <si>
    <t>R0738</t>
  </si>
  <si>
    <t>fish sauce</t>
  </si>
  <si>
    <t>R0739</t>
  </si>
  <si>
    <t>flet commun</t>
  </si>
  <si>
    <t>R0740</t>
  </si>
  <si>
    <t>R0741</t>
  </si>
  <si>
    <t>fletan de l atlantique</t>
  </si>
  <si>
    <t>R0742</t>
  </si>
  <si>
    <t>fletan du groenland</t>
  </si>
  <si>
    <t>R0743</t>
  </si>
  <si>
    <t>fletan du pacifique</t>
  </si>
  <si>
    <t>R0744</t>
  </si>
  <si>
    <t>R0745</t>
  </si>
  <si>
    <t>fletan noir commun</t>
  </si>
  <si>
    <t>R0746</t>
  </si>
  <si>
    <t>fond de poisson</t>
  </si>
  <si>
    <t>R0747</t>
  </si>
  <si>
    <t>forgeron aile</t>
  </si>
  <si>
    <t>R0748</t>
  </si>
  <si>
    <t>forgeron ponctue</t>
  </si>
  <si>
    <t>R0749</t>
  </si>
  <si>
    <t>fouget barbet barberin</t>
  </si>
  <si>
    <t>R0750</t>
  </si>
  <si>
    <t>R0751</t>
  </si>
  <si>
    <t>fusilier a bande large</t>
  </si>
  <si>
    <t>R0752</t>
  </si>
  <si>
    <t>fusilier a bandes variees</t>
  </si>
  <si>
    <t>R0753</t>
  </si>
  <si>
    <t>fusilier a deux bandes</t>
  </si>
  <si>
    <t>R0754</t>
  </si>
  <si>
    <t>fusilier a dos jaune</t>
  </si>
  <si>
    <t>R0755</t>
  </si>
  <si>
    <t>fusilier a dos jaune et bleu</t>
  </si>
  <si>
    <t>R0756</t>
  </si>
  <si>
    <t>fusilier a trois bandes</t>
  </si>
  <si>
    <t>R0757</t>
  </si>
  <si>
    <t>fusilier a une bande</t>
  </si>
  <si>
    <t>R0758</t>
  </si>
  <si>
    <t>fusilier banane</t>
  </si>
  <si>
    <t>R0759</t>
  </si>
  <si>
    <t>fusilier capricorne</t>
  </si>
  <si>
    <t>R0760</t>
  </si>
  <si>
    <t>fusilier de randall</t>
  </si>
  <si>
    <t>R0761</t>
  </si>
  <si>
    <t>fusilier de suez</t>
  </si>
  <si>
    <t>R0762</t>
  </si>
  <si>
    <t>fusilier strie</t>
  </si>
  <si>
    <t>R0763</t>
  </si>
  <si>
    <t>gardon</t>
  </si>
  <si>
    <t>R0764</t>
  </si>
  <si>
    <t>R0765</t>
  </si>
  <si>
    <t>gélatine de poisson</t>
  </si>
  <si>
    <t>R0766</t>
  </si>
  <si>
    <t>gelée de poisson</t>
  </si>
  <si>
    <t>gelee de poisson</t>
  </si>
  <si>
    <t>R0767</t>
  </si>
  <si>
    <t>goret mule</t>
  </si>
  <si>
    <t>R0768</t>
  </si>
  <si>
    <t>gorette catire</t>
  </si>
  <si>
    <t>R0769</t>
  </si>
  <si>
    <t>gorette jaune</t>
  </si>
  <si>
    <t>R0770</t>
  </si>
  <si>
    <t>goujon</t>
  </si>
  <si>
    <t>R0771</t>
  </si>
  <si>
    <t>grand requin marteau</t>
  </si>
  <si>
    <t>R0772</t>
  </si>
  <si>
    <t>grand tambour</t>
  </si>
  <si>
    <t>R0773</t>
  </si>
  <si>
    <t>grande allache</t>
  </si>
  <si>
    <t>R0774</t>
  </si>
  <si>
    <t>grande argentine</t>
  </si>
  <si>
    <t>R0775</t>
  </si>
  <si>
    <t>grande catagnole</t>
  </si>
  <si>
    <t>R0776</t>
  </si>
  <si>
    <t>grande gueule</t>
  </si>
  <si>
    <t>R0777</t>
  </si>
  <si>
    <t>grande moride</t>
  </si>
  <si>
    <t>R0778</t>
  </si>
  <si>
    <t>grande raie</t>
  </si>
  <si>
    <t>R0779</t>
  </si>
  <si>
    <t>grande roussette</t>
  </si>
  <si>
    <t>R0780</t>
  </si>
  <si>
    <t>grande verrue tigre</t>
  </si>
  <si>
    <t>R0781</t>
  </si>
  <si>
    <t>grande vive</t>
  </si>
  <si>
    <t>R0782</t>
  </si>
  <si>
    <t>grenadier</t>
  </si>
  <si>
    <t>R0783</t>
  </si>
  <si>
    <t>grenadier antarctique</t>
  </si>
  <si>
    <t>R0784</t>
  </si>
  <si>
    <t>grenadier bleu</t>
  </si>
  <si>
    <t>R0785</t>
  </si>
  <si>
    <t>grenadier de roche</t>
  </si>
  <si>
    <t>R0786</t>
  </si>
  <si>
    <t>grenadier fouet</t>
  </si>
  <si>
    <t>R0787</t>
  </si>
  <si>
    <t>grenadier geant</t>
  </si>
  <si>
    <t>R0788</t>
  </si>
  <si>
    <t>grenadier gros yeux des kerguelen</t>
  </si>
  <si>
    <t>R0789</t>
  </si>
  <si>
    <t>grondeur coq</t>
  </si>
  <si>
    <t>R0790</t>
  </si>
  <si>
    <t>grondeur nez de cochon</t>
  </si>
  <si>
    <t>R0791</t>
  </si>
  <si>
    <t>grondeur perroquet</t>
  </si>
  <si>
    <t>R0792</t>
  </si>
  <si>
    <t>grondeur sompat</t>
  </si>
  <si>
    <t>R0793</t>
  </si>
  <si>
    <t>grondin</t>
  </si>
  <si>
    <t>R0794</t>
  </si>
  <si>
    <t>grondin a aile bleue</t>
  </si>
  <si>
    <t>R0795</t>
  </si>
  <si>
    <t>grondin camard</t>
  </si>
  <si>
    <t>R0796</t>
  </si>
  <si>
    <t>grondin d amerique</t>
  </si>
  <si>
    <t>R0797</t>
  </si>
  <si>
    <t>grondin du cap</t>
  </si>
  <si>
    <t>R0798</t>
  </si>
  <si>
    <t>grondin gris</t>
  </si>
  <si>
    <t>R0799</t>
  </si>
  <si>
    <t>grondin lyre</t>
  </si>
  <si>
    <t>R0800</t>
  </si>
  <si>
    <t>grondin morrude</t>
  </si>
  <si>
    <t>R0801</t>
  </si>
  <si>
    <t>grondin perlon</t>
  </si>
  <si>
    <t>R0802</t>
  </si>
  <si>
    <t>grondin rouge</t>
  </si>
  <si>
    <t>R0803</t>
  </si>
  <si>
    <t>gros yeux</t>
  </si>
  <si>
    <t>R0804</t>
  </si>
  <si>
    <t>guinee machete</t>
  </si>
  <si>
    <t>R0805</t>
  </si>
  <si>
    <t>guite de patagonie</t>
  </si>
  <si>
    <t>R0806</t>
  </si>
  <si>
    <t>R0807</t>
  </si>
  <si>
    <t>hake</t>
  </si>
  <si>
    <t>R0808</t>
  </si>
  <si>
    <t>halibut</t>
  </si>
  <si>
    <t>R0809</t>
  </si>
  <si>
    <t>R0810</t>
  </si>
  <si>
    <t>hareng commun</t>
  </si>
  <si>
    <t>R0811</t>
  </si>
  <si>
    <t>hareng du pacifique</t>
  </si>
  <si>
    <t>R0812</t>
  </si>
  <si>
    <t>hemirhombe du senegal</t>
  </si>
  <si>
    <t>R0813</t>
  </si>
  <si>
    <t>hoki d argentine</t>
  </si>
  <si>
    <t>R0814</t>
  </si>
  <si>
    <t>hoki de nouvelle zelande</t>
  </si>
  <si>
    <t>R0815</t>
  </si>
  <si>
    <t>hoki de patagonie</t>
  </si>
  <si>
    <t>R0816</t>
  </si>
  <si>
    <t>hoplostete rouge</t>
  </si>
  <si>
    <t>R0817</t>
  </si>
  <si>
    <t>huile de poisson</t>
  </si>
  <si>
    <t>R0818</t>
  </si>
  <si>
    <t>R0819</t>
  </si>
  <si>
    <t>julienne espagnole</t>
  </si>
  <si>
    <t>R0820</t>
  </si>
  <si>
    <t>juliennette de patagonie</t>
  </si>
  <si>
    <t>R0821</t>
  </si>
  <si>
    <t>labre capitaine</t>
  </si>
  <si>
    <t>R0822</t>
  </si>
  <si>
    <t>labre coquette</t>
  </si>
  <si>
    <t>R0823</t>
  </si>
  <si>
    <t>lamproie arctique</t>
  </si>
  <si>
    <t>R0824</t>
  </si>
  <si>
    <t>lamproie de riviere</t>
  </si>
  <si>
    <t>R0825</t>
  </si>
  <si>
    <t>lamproie marine</t>
  </si>
  <si>
    <t>R0826</t>
  </si>
  <si>
    <t>lancon cicerele</t>
  </si>
  <si>
    <t>R0827</t>
  </si>
  <si>
    <t>lancon commun</t>
  </si>
  <si>
    <t>R0828</t>
  </si>
  <si>
    <t>lancon d amerique</t>
  </si>
  <si>
    <t>R0829</t>
  </si>
  <si>
    <t>lancon du pacifique</t>
  </si>
  <si>
    <t>R0830</t>
  </si>
  <si>
    <t>lancon equille</t>
  </si>
  <si>
    <t>R0831</t>
  </si>
  <si>
    <t>legine antarctique</t>
  </si>
  <si>
    <t>R0832</t>
  </si>
  <si>
    <t>legine australe</t>
  </si>
  <si>
    <t>R0833</t>
  </si>
  <si>
    <t>liche de l atlantique</t>
  </si>
  <si>
    <t>R0834</t>
  </si>
  <si>
    <t>liche lirio</t>
  </si>
  <si>
    <t>R0835</t>
  </si>
  <si>
    <t>R0836</t>
  </si>
  <si>
    <t>lieu de l alaska</t>
  </si>
  <si>
    <t>R0837</t>
  </si>
  <si>
    <t>R0838</t>
  </si>
  <si>
    <t>R0839</t>
  </si>
  <si>
    <t>limande a queue jaune</t>
  </si>
  <si>
    <t>R0840</t>
  </si>
  <si>
    <t>limande commune</t>
  </si>
  <si>
    <t>R0841</t>
  </si>
  <si>
    <t>limande du japon</t>
  </si>
  <si>
    <t>R0842</t>
  </si>
  <si>
    <t>limande du nord</t>
  </si>
  <si>
    <t>R0843</t>
  </si>
  <si>
    <t>limande jaune</t>
  </si>
  <si>
    <t>R0844</t>
  </si>
  <si>
    <t>limande plie rouge</t>
  </si>
  <si>
    <t>R0845</t>
  </si>
  <si>
    <t>R0846</t>
  </si>
  <si>
    <t>limande sole commune</t>
  </si>
  <si>
    <t>R0847</t>
  </si>
  <si>
    <t>limande sole de nouvelle zelande</t>
  </si>
  <si>
    <t>R0848</t>
  </si>
  <si>
    <t>limande sole du pacifique</t>
  </si>
  <si>
    <t>R0849</t>
  </si>
  <si>
    <t>R0850</t>
  </si>
  <si>
    <t>lingue bleue</t>
  </si>
  <si>
    <t>R0851</t>
  </si>
  <si>
    <t>lingue espagnole</t>
  </si>
  <si>
    <t>R0852</t>
  </si>
  <si>
    <t>lingue franche</t>
  </si>
  <si>
    <t>R0853</t>
  </si>
  <si>
    <t>lippu tricroupia</t>
  </si>
  <si>
    <t>R0854</t>
  </si>
  <si>
    <t>loche de riviere</t>
  </si>
  <si>
    <t>R0855</t>
  </si>
  <si>
    <t>loche franche</t>
  </si>
  <si>
    <t>R0856</t>
  </si>
  <si>
    <t>lompe</t>
  </si>
  <si>
    <t>R0857</t>
  </si>
  <si>
    <t>loquette d amerique</t>
  </si>
  <si>
    <t>R0858</t>
  </si>
  <si>
    <t>loquette d europe</t>
  </si>
  <si>
    <t>R0859</t>
  </si>
  <si>
    <t>lote de riviere</t>
  </si>
  <si>
    <t>R0860</t>
  </si>
  <si>
    <t>R0861</t>
  </si>
  <si>
    <t>lotte africaine</t>
  </si>
  <si>
    <t>R0862</t>
  </si>
  <si>
    <t>lotte de chine</t>
  </si>
  <si>
    <t>R0863</t>
  </si>
  <si>
    <t>lotte du cap</t>
  </si>
  <si>
    <t>R0864</t>
  </si>
  <si>
    <t>lotte pecheuse</t>
  </si>
  <si>
    <t>R0865</t>
  </si>
  <si>
    <t>loup</t>
  </si>
  <si>
    <t>R0866</t>
  </si>
  <si>
    <t>loup de l atlantique</t>
  </si>
  <si>
    <t>R0867</t>
  </si>
  <si>
    <t>R0868</t>
  </si>
  <si>
    <t>loup denticule</t>
  </si>
  <si>
    <t>R0869</t>
  </si>
  <si>
    <t>loup tachete</t>
  </si>
  <si>
    <t>R0870</t>
  </si>
  <si>
    <t>machoiran blanc</t>
  </si>
  <si>
    <t>R0871</t>
  </si>
  <si>
    <t>machoiran jaune</t>
  </si>
  <si>
    <t>R0872</t>
  </si>
  <si>
    <t>machoiron banderille</t>
  </si>
  <si>
    <t>R0873</t>
  </si>
  <si>
    <t>machoiron bressou</t>
  </si>
  <si>
    <t>R0874</t>
  </si>
  <si>
    <t>machoiron coco</t>
  </si>
  <si>
    <t>R0875</t>
  </si>
  <si>
    <t>machoiron couma</t>
  </si>
  <si>
    <t>R0876</t>
  </si>
  <si>
    <t>machoiron crucifix</t>
  </si>
  <si>
    <t>R0877</t>
  </si>
  <si>
    <t>machoiron d amerique</t>
  </si>
  <si>
    <t>R0878</t>
  </si>
  <si>
    <t>machoiron de gambie</t>
  </si>
  <si>
    <t>R0879</t>
  </si>
  <si>
    <t>machoiron grave de l ocean indien</t>
  </si>
  <si>
    <t>R0880</t>
  </si>
  <si>
    <t>machoiron gronde</t>
  </si>
  <si>
    <t>R0881</t>
  </si>
  <si>
    <t>machoiron indien</t>
  </si>
  <si>
    <t>R0882</t>
  </si>
  <si>
    <t>machoiron jaune</t>
  </si>
  <si>
    <t>R0883</t>
  </si>
  <si>
    <t>machoiron mamango</t>
  </si>
  <si>
    <t>R0884</t>
  </si>
  <si>
    <t>machoiron passany</t>
  </si>
  <si>
    <t>R0885</t>
  </si>
  <si>
    <t>machoiron pemecou</t>
  </si>
  <si>
    <t>R0886</t>
  </si>
  <si>
    <t>machoiron petite gueule</t>
  </si>
  <si>
    <t>R0887</t>
  </si>
  <si>
    <t>machoiron tachete du pacifique n o</t>
  </si>
  <si>
    <t>R0888</t>
  </si>
  <si>
    <t>mackerel</t>
  </si>
  <si>
    <t>R0889</t>
  </si>
  <si>
    <t>mahi mahi</t>
  </si>
  <si>
    <t>R0890</t>
  </si>
  <si>
    <t>maigre</t>
  </si>
  <si>
    <t>R0891</t>
  </si>
  <si>
    <t>maigre argente</t>
  </si>
  <si>
    <t>R0892</t>
  </si>
  <si>
    <t>maigre commun</t>
  </si>
  <si>
    <t>R0893</t>
  </si>
  <si>
    <t>maigre du sud</t>
  </si>
  <si>
    <t>R0894</t>
  </si>
  <si>
    <t>makaire a longue pectorale</t>
  </si>
  <si>
    <t>R0895</t>
  </si>
  <si>
    <t>makaire blanc</t>
  </si>
  <si>
    <t>R0896</t>
  </si>
  <si>
    <t>makaire bleu</t>
  </si>
  <si>
    <t>R0897</t>
  </si>
  <si>
    <t>makaire de la mediterranee</t>
  </si>
  <si>
    <t>R0898</t>
  </si>
  <si>
    <t>makaire du japon</t>
  </si>
  <si>
    <t>R0899</t>
  </si>
  <si>
    <t>makaire noir</t>
  </si>
  <si>
    <t>R0900</t>
  </si>
  <si>
    <t>R0901</t>
  </si>
  <si>
    <t>maquereau blanc</t>
  </si>
  <si>
    <t>R0902</t>
  </si>
  <si>
    <t>maquereau commun</t>
  </si>
  <si>
    <t>R0903</t>
  </si>
  <si>
    <t>maquereau espagnol</t>
  </si>
  <si>
    <t>R0904</t>
  </si>
  <si>
    <t>maquereau indo pacifique</t>
  </si>
  <si>
    <t>R0905</t>
  </si>
  <si>
    <t>marbre commun</t>
  </si>
  <si>
    <t>R0906</t>
  </si>
  <si>
    <t>marbre d afrique</t>
  </si>
  <si>
    <t>R0907</t>
  </si>
  <si>
    <t>marignan coq</t>
  </si>
  <si>
    <t>R0908</t>
  </si>
  <si>
    <t>marignan mombin</t>
  </si>
  <si>
    <t>R0909</t>
  </si>
  <si>
    <t>marlin</t>
  </si>
  <si>
    <t>R0910</t>
  </si>
  <si>
    <t>marlin a rostre court</t>
  </si>
  <si>
    <t>R0911</t>
  </si>
  <si>
    <t>marlin epee</t>
  </si>
  <si>
    <t>R0912</t>
  </si>
  <si>
    <t>marlin raye</t>
  </si>
  <si>
    <t>R0913</t>
  </si>
  <si>
    <t>masca laboureur</t>
  </si>
  <si>
    <t>R0914</t>
  </si>
  <si>
    <t>matelote</t>
  </si>
  <si>
    <t>R0915</t>
  </si>
  <si>
    <t>matiote noir</t>
  </si>
  <si>
    <t>R0916</t>
  </si>
  <si>
    <t>menhaden d argentine</t>
  </si>
  <si>
    <t>R0917</t>
  </si>
  <si>
    <t>menhaden du bresil</t>
  </si>
  <si>
    <t>R0918</t>
  </si>
  <si>
    <t>menhaden du pacifique</t>
  </si>
  <si>
    <t>R0919</t>
  </si>
  <si>
    <t>menhaden ecailleux</t>
  </si>
  <si>
    <t>R0920</t>
  </si>
  <si>
    <t>menhaden tyran</t>
  </si>
  <si>
    <t>R0921</t>
  </si>
  <si>
    <t>R0922</t>
  </si>
  <si>
    <t>merlan austral</t>
  </si>
  <si>
    <t>R0923</t>
  </si>
  <si>
    <t>merlan bleu</t>
  </si>
  <si>
    <t>R0924</t>
  </si>
  <si>
    <t>merlan bleu austral</t>
  </si>
  <si>
    <t>R0925</t>
  </si>
  <si>
    <t>merlan bleu du nord</t>
  </si>
  <si>
    <t>R0926</t>
  </si>
  <si>
    <t>R0927</t>
  </si>
  <si>
    <t>merlu argente</t>
  </si>
  <si>
    <t>R0928</t>
  </si>
  <si>
    <t>merlu argentin</t>
  </si>
  <si>
    <t>R0929</t>
  </si>
  <si>
    <t>merlu austral</t>
  </si>
  <si>
    <t>R0930</t>
  </si>
  <si>
    <t>R0931</t>
  </si>
  <si>
    <t>merlu blanc du cap</t>
  </si>
  <si>
    <t>R0932</t>
  </si>
  <si>
    <t>merlu d afrique tropicale</t>
  </si>
  <si>
    <t>R0933</t>
  </si>
  <si>
    <t>merlu du chili</t>
  </si>
  <si>
    <t>R0934</t>
  </si>
  <si>
    <t>merlu du large</t>
  </si>
  <si>
    <t>R0935</t>
  </si>
  <si>
    <t>merlu du pacifique</t>
  </si>
  <si>
    <t>R0936</t>
  </si>
  <si>
    <t>merlu du perou</t>
  </si>
  <si>
    <t>R0937</t>
  </si>
  <si>
    <t>merlu du senegal</t>
  </si>
  <si>
    <t>R0938</t>
  </si>
  <si>
    <t>merluche bresilien</t>
  </si>
  <si>
    <t>R0939</t>
  </si>
  <si>
    <t>merou</t>
  </si>
  <si>
    <t>R0940</t>
  </si>
  <si>
    <t>merou a points bleus</t>
  </si>
  <si>
    <t>R0941</t>
  </si>
  <si>
    <t>merou a taches orange</t>
  </si>
  <si>
    <t>R0942</t>
  </si>
  <si>
    <t>merou aile zebree</t>
  </si>
  <si>
    <t>R0943</t>
  </si>
  <si>
    <t>merou badeche</t>
  </si>
  <si>
    <t>R0944</t>
  </si>
  <si>
    <t>merou blanc</t>
  </si>
  <si>
    <t>R0945</t>
  </si>
  <si>
    <t>merou comete</t>
  </si>
  <si>
    <t>R0946</t>
  </si>
  <si>
    <t>merou couronne</t>
  </si>
  <si>
    <t>R0947</t>
  </si>
  <si>
    <t>merou de goree</t>
  </si>
  <si>
    <t>R0948</t>
  </si>
  <si>
    <t>merou echarpe</t>
  </si>
  <si>
    <t>R0949</t>
  </si>
  <si>
    <t>merou epineux</t>
  </si>
  <si>
    <t>R0950</t>
  </si>
  <si>
    <t>merou faraud</t>
  </si>
  <si>
    <t>R0951</t>
  </si>
  <si>
    <t>merou geant</t>
  </si>
  <si>
    <t>R0952</t>
  </si>
  <si>
    <t>merou grandes ecailles</t>
  </si>
  <si>
    <t>R0953</t>
  </si>
  <si>
    <t>merou gris</t>
  </si>
  <si>
    <t>R0954</t>
  </si>
  <si>
    <t>merou hamour</t>
  </si>
  <si>
    <t>R0955</t>
  </si>
  <si>
    <t>merou lanceole</t>
  </si>
  <si>
    <t>R0956</t>
  </si>
  <si>
    <t>merou longues dents</t>
  </si>
  <si>
    <t>R0957</t>
  </si>
  <si>
    <t>merou longues epines</t>
  </si>
  <si>
    <t>R0958</t>
  </si>
  <si>
    <t>merou loutre</t>
  </si>
  <si>
    <t>R0959</t>
  </si>
  <si>
    <t>merou malabar</t>
  </si>
  <si>
    <t>R0960</t>
  </si>
  <si>
    <t>merou mouchete</t>
  </si>
  <si>
    <t>R0961</t>
  </si>
  <si>
    <t>merou noir</t>
  </si>
  <si>
    <t>R0962</t>
  </si>
  <si>
    <t>merou ondule</t>
  </si>
  <si>
    <t>R0963</t>
  </si>
  <si>
    <t>merou oriflamme</t>
  </si>
  <si>
    <t>R0964</t>
  </si>
  <si>
    <t>merou oualioula</t>
  </si>
  <si>
    <t>R0965</t>
  </si>
  <si>
    <t>merou pintade</t>
  </si>
  <si>
    <t>R0966</t>
  </si>
  <si>
    <t>merou pointille</t>
  </si>
  <si>
    <t>R0967</t>
  </si>
  <si>
    <t>merou polonais</t>
  </si>
  <si>
    <t>R0968</t>
  </si>
  <si>
    <t>merou raye</t>
  </si>
  <si>
    <t>R0969</t>
  </si>
  <si>
    <t>merou rouge</t>
  </si>
  <si>
    <t>R0970</t>
  </si>
  <si>
    <t>merou selle</t>
  </si>
  <si>
    <t>R0971</t>
  </si>
  <si>
    <t>merou tachete</t>
  </si>
  <si>
    <t>R0972</t>
  </si>
  <si>
    <t>merou varsovie</t>
  </si>
  <si>
    <t>R0973</t>
  </si>
  <si>
    <t>monkfish</t>
  </si>
  <si>
    <t>R0974</t>
  </si>
  <si>
    <t>moride rouge</t>
  </si>
  <si>
    <t>R0975</t>
  </si>
  <si>
    <t>moride tetard</t>
  </si>
  <si>
    <t>R0976</t>
  </si>
  <si>
    <t>R0977</t>
  </si>
  <si>
    <t>morue boreale</t>
  </si>
  <si>
    <t>R0978</t>
  </si>
  <si>
    <t>morue du groenland</t>
  </si>
  <si>
    <t>R0979</t>
  </si>
  <si>
    <t>mostelle de fond</t>
  </si>
  <si>
    <t>R0980</t>
  </si>
  <si>
    <t>mostelle de roche</t>
  </si>
  <si>
    <t>R0981</t>
  </si>
  <si>
    <t>mourine javanaise</t>
  </si>
  <si>
    <t>R0982</t>
  </si>
  <si>
    <t>R0983</t>
  </si>
  <si>
    <t>mulet blanc</t>
  </si>
  <si>
    <t>R0984</t>
  </si>
  <si>
    <t>mulet cabot</t>
  </si>
  <si>
    <t>R0985</t>
  </si>
  <si>
    <t>mulet d afrique</t>
  </si>
  <si>
    <t>R0986</t>
  </si>
  <si>
    <t>mulet dore</t>
  </si>
  <si>
    <t>R0987</t>
  </si>
  <si>
    <t>mulet gris</t>
  </si>
  <si>
    <t>R0988</t>
  </si>
  <si>
    <t>mulet labeon</t>
  </si>
  <si>
    <t>R0989</t>
  </si>
  <si>
    <t>mulet lebranche</t>
  </si>
  <si>
    <t>R0990</t>
  </si>
  <si>
    <t>mulet lippu</t>
  </si>
  <si>
    <t>R0991</t>
  </si>
  <si>
    <t>mulet lobo</t>
  </si>
  <si>
    <t>R0992</t>
  </si>
  <si>
    <t>mulet parassi</t>
  </si>
  <si>
    <t>R0993</t>
  </si>
  <si>
    <t>mulet porc</t>
  </si>
  <si>
    <t>R0994</t>
  </si>
  <si>
    <t>mulet sauteur</t>
  </si>
  <si>
    <t>R0995</t>
  </si>
  <si>
    <t>musso pacifique</t>
  </si>
  <si>
    <t>R0996</t>
  </si>
  <si>
    <t>nam pla</t>
  </si>
  <si>
    <t>R0997</t>
  </si>
  <si>
    <t>notothenia gris</t>
  </si>
  <si>
    <t>R0998</t>
  </si>
  <si>
    <t>notothenia magellanique</t>
  </si>
  <si>
    <t>R0999</t>
  </si>
  <si>
    <t>notothenia marbre</t>
  </si>
  <si>
    <t>R1000</t>
  </si>
  <si>
    <t>notothenia noir</t>
  </si>
  <si>
    <t>R1001</t>
  </si>
  <si>
    <t>notothenia queue longue</t>
  </si>
  <si>
    <t>R1002</t>
  </si>
  <si>
    <t>R1003</t>
  </si>
  <si>
    <t>œufs de lump</t>
  </si>
  <si>
    <t>oeufs de lump</t>
  </si>
  <si>
    <t>R1004</t>
  </si>
  <si>
    <t>œufs de poisson</t>
  </si>
  <si>
    <t>R1005</t>
  </si>
  <si>
    <t>œufs de saumon</t>
  </si>
  <si>
    <t>oeufs de saumon</t>
  </si>
  <si>
    <t>R1006</t>
  </si>
  <si>
    <t>œufs de truite</t>
  </si>
  <si>
    <t>oeufs de truite</t>
  </si>
  <si>
    <t>R1007</t>
  </si>
  <si>
    <t>omble chevalier</t>
  </si>
  <si>
    <t>R1008</t>
  </si>
  <si>
    <t>omble d amerique</t>
  </si>
  <si>
    <t>R1009</t>
  </si>
  <si>
    <t>ombrine</t>
  </si>
  <si>
    <t>R1010</t>
  </si>
  <si>
    <t>ombrine a nageoire jaune</t>
  </si>
  <si>
    <t>R1011</t>
  </si>
  <si>
    <t>ombrine argentine</t>
  </si>
  <si>
    <t>R1012</t>
  </si>
  <si>
    <t>ombrine bronze</t>
  </si>
  <si>
    <t>R1013</t>
  </si>
  <si>
    <t>ombrine cotiere</t>
  </si>
  <si>
    <t>R1014</t>
  </si>
  <si>
    <t>ombrine fusca</t>
  </si>
  <si>
    <t>R1015</t>
  </si>
  <si>
    <t>ombrine ocellee</t>
  </si>
  <si>
    <t>R1016</t>
  </si>
  <si>
    <t>orphie commune</t>
  </si>
  <si>
    <t>R1017</t>
  </si>
  <si>
    <t>otolithe du senegal</t>
  </si>
  <si>
    <t>R1018</t>
  </si>
  <si>
    <t>pageot a tache rouge</t>
  </si>
  <si>
    <t>R1019</t>
  </si>
  <si>
    <t>pageot acarne</t>
  </si>
  <si>
    <t>R1020</t>
  </si>
  <si>
    <t>pageot d arabie</t>
  </si>
  <si>
    <t>R1021</t>
  </si>
  <si>
    <t>pageot de la mer d oman</t>
  </si>
  <si>
    <t>R1022</t>
  </si>
  <si>
    <t>pageot mommun</t>
  </si>
  <si>
    <t>R1023</t>
  </si>
  <si>
    <t>pageot rose</t>
  </si>
  <si>
    <t>R1024</t>
  </si>
  <si>
    <t>pagre a points bleu</t>
  </si>
  <si>
    <t>R1025</t>
  </si>
  <si>
    <t>pagre a points bleus</t>
  </si>
  <si>
    <t>R1026</t>
  </si>
  <si>
    <t>pagre commun</t>
  </si>
  <si>
    <t>R1027</t>
  </si>
  <si>
    <t>pagre des tropiques</t>
  </si>
  <si>
    <t>R1028</t>
  </si>
  <si>
    <t>pagre du japon</t>
  </si>
  <si>
    <t>R1029</t>
  </si>
  <si>
    <t>pagre raye</t>
  </si>
  <si>
    <t>R1030</t>
  </si>
  <si>
    <t>pastenague americaine</t>
  </si>
  <si>
    <t>R1031</t>
  </si>
  <si>
    <t>pastenague becune</t>
  </si>
  <si>
    <t>R1032</t>
  </si>
  <si>
    <t>pastenague commune</t>
  </si>
  <si>
    <t>R1033</t>
  </si>
  <si>
    <t>pastenague de tortonese</t>
  </si>
  <si>
    <t>R1034</t>
  </si>
  <si>
    <t>pastenague epieneuse</t>
  </si>
  <si>
    <t>R1035</t>
  </si>
  <si>
    <t>pastenague long nez</t>
  </si>
  <si>
    <t>R1036</t>
  </si>
  <si>
    <t>peau bleue</t>
  </si>
  <si>
    <t>R1037</t>
  </si>
  <si>
    <t>peche cavale</t>
  </si>
  <si>
    <t>R1038</t>
  </si>
  <si>
    <t>peliau chanos</t>
  </si>
  <si>
    <t>R1039</t>
  </si>
  <si>
    <t>R1040</t>
  </si>
  <si>
    <t>perche d amerique</t>
  </si>
  <si>
    <t>R1041</t>
  </si>
  <si>
    <t>perche de mer argentee</t>
  </si>
  <si>
    <t>R1042</t>
  </si>
  <si>
    <t>perche du nil</t>
  </si>
  <si>
    <t>R1043</t>
  </si>
  <si>
    <t>perche europeenne</t>
  </si>
  <si>
    <t>R1044</t>
  </si>
  <si>
    <t>perroquet du golfe</t>
  </si>
  <si>
    <t>R1045</t>
  </si>
  <si>
    <t>petit picot</t>
  </si>
  <si>
    <t>R1046</t>
  </si>
  <si>
    <t>petit sebaste</t>
  </si>
  <si>
    <t>R1047</t>
  </si>
  <si>
    <t>petit sigan</t>
  </si>
  <si>
    <t>R1048</t>
  </si>
  <si>
    <t>petit tacaud</t>
  </si>
  <si>
    <t>R1049</t>
  </si>
  <si>
    <t>petite argentine</t>
  </si>
  <si>
    <t>R1050</t>
  </si>
  <si>
    <t>petite gueule</t>
  </si>
  <si>
    <t>R1051</t>
  </si>
  <si>
    <t>petite roussette</t>
  </si>
  <si>
    <t>R1052</t>
  </si>
  <si>
    <t>petite vive</t>
  </si>
  <si>
    <t>R1053</t>
  </si>
  <si>
    <t>phycis blanc</t>
  </si>
  <si>
    <t>R1054</t>
  </si>
  <si>
    <t>phycis bresilien</t>
  </si>
  <si>
    <t>R1055</t>
  </si>
  <si>
    <t>phycis de fond</t>
  </si>
  <si>
    <t>R1056</t>
  </si>
  <si>
    <t>phycis de roche</t>
  </si>
  <si>
    <t>R1057</t>
  </si>
  <si>
    <t>phycis ecureuil</t>
  </si>
  <si>
    <t>R1058</t>
  </si>
  <si>
    <t>picarel de l atlantique du sud est</t>
  </si>
  <si>
    <t>R1059</t>
  </si>
  <si>
    <t>picot taches blanches</t>
  </si>
  <si>
    <t>R1060</t>
  </si>
  <si>
    <t>pinge namorade</t>
  </si>
  <si>
    <t>R1061</t>
  </si>
  <si>
    <t>platete bresilien</t>
  </si>
  <si>
    <t>R1062</t>
  </si>
  <si>
    <t>platycephale indien</t>
  </si>
  <si>
    <t>R1063</t>
  </si>
  <si>
    <t>plie</t>
  </si>
  <si>
    <t>R1064</t>
  </si>
  <si>
    <t>plie a grande bouche</t>
  </si>
  <si>
    <t>R1065</t>
  </si>
  <si>
    <t>plie canadienne</t>
  </si>
  <si>
    <t>R1066</t>
  </si>
  <si>
    <t>plie commune</t>
  </si>
  <si>
    <t>R1067</t>
  </si>
  <si>
    <t>plie cynoglosse</t>
  </si>
  <si>
    <t>R1068</t>
  </si>
  <si>
    <t>plie de l alaska</t>
  </si>
  <si>
    <t>R1069</t>
  </si>
  <si>
    <t>plie de nouvelle zelande</t>
  </si>
  <si>
    <t>R1070</t>
  </si>
  <si>
    <t>plie de nouvelle zelange</t>
  </si>
  <si>
    <t>R1071</t>
  </si>
  <si>
    <t>plie du pacifique nord</t>
  </si>
  <si>
    <t>R1072</t>
  </si>
  <si>
    <t>plie grise</t>
  </si>
  <si>
    <t>R1073</t>
  </si>
  <si>
    <t>pocheteau de norvege</t>
  </si>
  <si>
    <t>R1074</t>
  </si>
  <si>
    <t>pocheteau gris</t>
  </si>
  <si>
    <t>R1075</t>
  </si>
  <si>
    <t>pocheteau intermediaire</t>
  </si>
  <si>
    <t>R1076</t>
  </si>
  <si>
    <t>pocheteau noir</t>
  </si>
  <si>
    <t>R1077</t>
  </si>
  <si>
    <t>R1078</t>
  </si>
  <si>
    <t>poisson chat</t>
  </si>
  <si>
    <t>R1079</t>
  </si>
  <si>
    <t>poisson chat hybride</t>
  </si>
  <si>
    <t>R1080</t>
  </si>
  <si>
    <t>poisson des glaces</t>
  </si>
  <si>
    <t>R1081</t>
  </si>
  <si>
    <t>poisson nez bleu</t>
  </si>
  <si>
    <t>R1082</t>
  </si>
  <si>
    <t>poisson perroquet</t>
  </si>
  <si>
    <t>R1083</t>
  </si>
  <si>
    <t>poisson rouge</t>
  </si>
  <si>
    <t>R1084</t>
  </si>
  <si>
    <t>poisson rubis</t>
  </si>
  <si>
    <t>R1085</t>
  </si>
  <si>
    <t>poisson sabre commun</t>
  </si>
  <si>
    <t>R1086</t>
  </si>
  <si>
    <t>poisson saptule</t>
  </si>
  <si>
    <t>R1087</t>
  </si>
  <si>
    <t>poisson volant</t>
  </si>
  <si>
    <t>R1088</t>
  </si>
  <si>
    <t>R1089</t>
  </si>
  <si>
    <t>pompaneau lune</t>
  </si>
  <si>
    <t>R1090</t>
  </si>
  <si>
    <t>pompaneau sole</t>
  </si>
  <si>
    <t>R1091</t>
  </si>
  <si>
    <t>poulamon atlantique</t>
  </si>
  <si>
    <t>R1092</t>
  </si>
  <si>
    <t>R1093</t>
  </si>
  <si>
    <t>protéine de poisson</t>
  </si>
  <si>
    <t>proteine de poisson</t>
  </si>
  <si>
    <t>R1094</t>
  </si>
  <si>
    <t>quenelle de poisson</t>
  </si>
  <si>
    <t>R1095</t>
  </si>
  <si>
    <t>R1096</t>
  </si>
  <si>
    <t>raie a queue epineuse</t>
  </si>
  <si>
    <t>R1097</t>
  </si>
  <si>
    <t>raie americaine</t>
  </si>
  <si>
    <t>R1098</t>
  </si>
  <si>
    <t>raie arctique</t>
  </si>
  <si>
    <t>R1099</t>
  </si>
  <si>
    <t>raie bathyale</t>
  </si>
  <si>
    <t>R1100</t>
  </si>
  <si>
    <t>raie blanche</t>
  </si>
  <si>
    <t>R1101</t>
  </si>
  <si>
    <t>raie bouclee</t>
  </si>
  <si>
    <t>R1102</t>
  </si>
  <si>
    <t>raie brunette</t>
  </si>
  <si>
    <t>R1103</t>
  </si>
  <si>
    <t>raie chardon</t>
  </si>
  <si>
    <t>R1104</t>
  </si>
  <si>
    <t>raie circulaire</t>
  </si>
  <si>
    <t>R1105</t>
  </si>
  <si>
    <t>raie d eaton</t>
  </si>
  <si>
    <t>R1106</t>
  </si>
  <si>
    <t>raie de kukujev</t>
  </si>
  <si>
    <t>R1107</t>
  </si>
  <si>
    <t>raie de nouvelle zelande</t>
  </si>
  <si>
    <t>R1108</t>
  </si>
  <si>
    <t>raie douce</t>
  </si>
  <si>
    <t>R1109</t>
  </si>
  <si>
    <t>raie etoilee</t>
  </si>
  <si>
    <t>R1110</t>
  </si>
  <si>
    <t>raie fleurie</t>
  </si>
  <si>
    <t>R1111</t>
  </si>
  <si>
    <t>raie herisson</t>
  </si>
  <si>
    <t>R1112</t>
  </si>
  <si>
    <t>raie lisse</t>
  </si>
  <si>
    <t>R1113</t>
  </si>
  <si>
    <t>raie melee</t>
  </si>
  <si>
    <t>R1114</t>
  </si>
  <si>
    <t>raie miroir</t>
  </si>
  <si>
    <t>R1115</t>
  </si>
  <si>
    <t>raie papillon</t>
  </si>
  <si>
    <t>R1116</t>
  </si>
  <si>
    <t>raie papillon glabre</t>
  </si>
  <si>
    <t>R1117</t>
  </si>
  <si>
    <t>raie pastenague</t>
  </si>
  <si>
    <t>R1118</t>
  </si>
  <si>
    <t>raie profonde</t>
  </si>
  <si>
    <t>R1119</t>
  </si>
  <si>
    <t>raie radiee</t>
  </si>
  <si>
    <t>R1120</t>
  </si>
  <si>
    <t>raie rape</t>
  </si>
  <si>
    <t>R1121</t>
  </si>
  <si>
    <t>raie ronde</t>
  </si>
  <si>
    <t>R1122</t>
  </si>
  <si>
    <t>raie rugueuse</t>
  </si>
  <si>
    <t>R1123</t>
  </si>
  <si>
    <t>raie souple</t>
  </si>
  <si>
    <t>R1124</t>
  </si>
  <si>
    <t>raie tachetee</t>
  </si>
  <si>
    <t>R1125</t>
  </si>
  <si>
    <t>raie voile</t>
  </si>
  <si>
    <t>R1126</t>
  </si>
  <si>
    <t>rascasse a nageoires tachetees</t>
  </si>
  <si>
    <t>R1127</t>
  </si>
  <si>
    <t>rascasse australe</t>
  </si>
  <si>
    <t>R1128</t>
  </si>
  <si>
    <t>rascasse blanche</t>
  </si>
  <si>
    <t>R1129</t>
  </si>
  <si>
    <t>rascasse bresilienne</t>
  </si>
  <si>
    <t>R1130</t>
  </si>
  <si>
    <t>rascasse brune</t>
  </si>
  <si>
    <t>R1131</t>
  </si>
  <si>
    <t>rascasse de profondeur</t>
  </si>
  <si>
    <t>R1132</t>
  </si>
  <si>
    <t>rascasse du large</t>
  </si>
  <si>
    <t>R1133</t>
  </si>
  <si>
    <t>rascasse longue</t>
  </si>
  <si>
    <t>R1134</t>
  </si>
  <si>
    <t>rascasse rouge</t>
  </si>
  <si>
    <t>R1135</t>
  </si>
  <si>
    <t>requin</t>
  </si>
  <si>
    <t>R1136</t>
  </si>
  <si>
    <t>requin a museau pointu requin</t>
  </si>
  <si>
    <t>R1137</t>
  </si>
  <si>
    <t>requin bleu</t>
  </si>
  <si>
    <t>R1138</t>
  </si>
  <si>
    <t>requin borde</t>
  </si>
  <si>
    <t>R1139</t>
  </si>
  <si>
    <t>requin commun</t>
  </si>
  <si>
    <t>R1140</t>
  </si>
  <si>
    <t>requin ha</t>
  </si>
  <si>
    <t>R1141</t>
  </si>
  <si>
    <t>requin marteau</t>
  </si>
  <si>
    <t>R1142</t>
  </si>
  <si>
    <t>requin marteau a petits yeux</t>
  </si>
  <si>
    <t>R1143</t>
  </si>
  <si>
    <t>requin marteau commun</t>
  </si>
  <si>
    <t>R1144</t>
  </si>
  <si>
    <t>requin marteau halicorne</t>
  </si>
  <si>
    <t>R1145</t>
  </si>
  <si>
    <t>requin marteau tiburo</t>
  </si>
  <si>
    <t>R1146</t>
  </si>
  <si>
    <t>requin nez noir</t>
  </si>
  <si>
    <t>R1147</t>
  </si>
  <si>
    <t>requin peau bleue</t>
  </si>
  <si>
    <t>R1148</t>
  </si>
  <si>
    <t>requin pelerin</t>
  </si>
  <si>
    <t>R1149</t>
  </si>
  <si>
    <t>requin taureau</t>
  </si>
  <si>
    <t>R1150</t>
  </si>
  <si>
    <t>requin tiqueue</t>
  </si>
  <si>
    <t>R1151</t>
  </si>
  <si>
    <t>R1152</t>
  </si>
  <si>
    <t>rondeau mouton</t>
  </si>
  <si>
    <t>R1153</t>
  </si>
  <si>
    <t>rouffe antarctique</t>
  </si>
  <si>
    <t>R1154</t>
  </si>
  <si>
    <t>rouffe imperial</t>
  </si>
  <si>
    <t>R1155</t>
  </si>
  <si>
    <t>rouffe raye</t>
  </si>
  <si>
    <t>R1156</t>
  </si>
  <si>
    <t>R1157</t>
  </si>
  <si>
    <t>R1158</t>
  </si>
  <si>
    <t>rouget barbet de roche</t>
  </si>
  <si>
    <t>R1159</t>
  </si>
  <si>
    <t>rouget barbet de thailande</t>
  </si>
  <si>
    <t>R1160</t>
  </si>
  <si>
    <t>rouget barbet de vase</t>
  </si>
  <si>
    <t>R1161</t>
  </si>
  <si>
    <t>rouget barbet dore</t>
  </si>
  <si>
    <t>R1162</t>
  </si>
  <si>
    <t>rouget barbet du senegal</t>
  </si>
  <si>
    <t>R1163</t>
  </si>
  <si>
    <t>rouget barbet du vietnam</t>
  </si>
  <si>
    <t>R1164</t>
  </si>
  <si>
    <t>rouget barbet indien</t>
  </si>
  <si>
    <t>R1165</t>
  </si>
  <si>
    <t>rouget barbet tachete</t>
  </si>
  <si>
    <t>R1166</t>
  </si>
  <si>
    <t>rouget souris</t>
  </si>
  <si>
    <t>R1167</t>
  </si>
  <si>
    <t>rouget souris bande or</t>
  </si>
  <si>
    <t>R1168</t>
  </si>
  <si>
    <t>roussette</t>
  </si>
  <si>
    <t>R1169</t>
  </si>
  <si>
    <t>sabre</t>
  </si>
  <si>
    <t>R1170</t>
  </si>
  <si>
    <t>sabre argente</t>
  </si>
  <si>
    <t>R1171</t>
  </si>
  <si>
    <t>sabre noir</t>
  </si>
  <si>
    <t>R1172</t>
  </si>
  <si>
    <t>saint paul</t>
  </si>
  <si>
    <t>R1173</t>
  </si>
  <si>
    <t>R1174</t>
  </si>
  <si>
    <t>saint pierre du cap</t>
  </si>
  <si>
    <t>R1175</t>
  </si>
  <si>
    <t>R1176</t>
  </si>
  <si>
    <t>R1177</t>
  </si>
  <si>
    <t>sanglier de mer</t>
  </si>
  <si>
    <t>R1178</t>
  </si>
  <si>
    <t>sar a grosses levres</t>
  </si>
  <si>
    <t>R1179</t>
  </si>
  <si>
    <t>sar a museau pointu</t>
  </si>
  <si>
    <t>R1180</t>
  </si>
  <si>
    <t>sar a tete noire</t>
  </si>
  <si>
    <t>R1181</t>
  </si>
  <si>
    <t>sar a tete noire du cap vert</t>
  </si>
  <si>
    <t>R1182</t>
  </si>
  <si>
    <t>sar commun</t>
  </si>
  <si>
    <t>R1183</t>
  </si>
  <si>
    <t>R1184</t>
  </si>
  <si>
    <t>sardine commune</t>
  </si>
  <si>
    <t>R1185</t>
  </si>
  <si>
    <t>sardinelle indonesienne</t>
  </si>
  <si>
    <t>R1186</t>
  </si>
  <si>
    <t>R1187</t>
  </si>
  <si>
    <t>sardinops d afrique du sud</t>
  </si>
  <si>
    <t>R1188</t>
  </si>
  <si>
    <t>sardinops de californie</t>
  </si>
  <si>
    <t>R1189</t>
  </si>
  <si>
    <t>sardinops du chili</t>
  </si>
  <si>
    <t>R1190</t>
  </si>
  <si>
    <t>sardinops du japon</t>
  </si>
  <si>
    <t>R1191</t>
  </si>
  <si>
    <t>sargue de l atlangique s e</t>
  </si>
  <si>
    <t>R1192</t>
  </si>
  <si>
    <t>sargue doree</t>
  </si>
  <si>
    <t>R1193</t>
  </si>
  <si>
    <t>R1194</t>
  </si>
  <si>
    <t>R1195</t>
  </si>
  <si>
    <t>R1196</t>
  </si>
  <si>
    <t>saumon argente du pacifique</t>
  </si>
  <si>
    <t>R1197</t>
  </si>
  <si>
    <t>saumon atlantique</t>
  </si>
  <si>
    <t>R1198</t>
  </si>
  <si>
    <t>saumon de fontaine</t>
  </si>
  <si>
    <t>R1199</t>
  </si>
  <si>
    <t>saumon japonais du pacifique</t>
  </si>
  <si>
    <t>R1200</t>
  </si>
  <si>
    <t>saumon keta du pacifique</t>
  </si>
  <si>
    <t>R1201</t>
  </si>
  <si>
    <t>saumon rose du pacifique</t>
  </si>
  <si>
    <t>R1202</t>
  </si>
  <si>
    <t>saumon rouge du pacifique</t>
  </si>
  <si>
    <t>R1203</t>
  </si>
  <si>
    <t>saumon royal du pacifique</t>
  </si>
  <si>
    <t>R1204</t>
  </si>
  <si>
    <t>saumonette</t>
  </si>
  <si>
    <t>R1205</t>
  </si>
  <si>
    <t>sauteur talang</t>
  </si>
  <si>
    <t>R1206</t>
  </si>
  <si>
    <t>sea bass</t>
  </si>
  <si>
    <t>R1207</t>
  </si>
  <si>
    <t>sea bream</t>
  </si>
  <si>
    <t>R1208</t>
  </si>
  <si>
    <t>seabass</t>
  </si>
  <si>
    <t>R1209</t>
  </si>
  <si>
    <t>seabream</t>
  </si>
  <si>
    <t>R1210</t>
  </si>
  <si>
    <t>sebaste</t>
  </si>
  <si>
    <t>R1211</t>
  </si>
  <si>
    <t>sebaste a queue jaune</t>
  </si>
  <si>
    <t>R1212</t>
  </si>
  <si>
    <t>sebaste chevre</t>
  </si>
  <si>
    <t>R1213</t>
  </si>
  <si>
    <t>sebaste du canada</t>
  </si>
  <si>
    <t>R1214</t>
  </si>
  <si>
    <t>sebaste du cap</t>
  </si>
  <si>
    <t>R1215</t>
  </si>
  <si>
    <t>sebaste du pacifique</t>
  </si>
  <si>
    <t>R1216</t>
  </si>
  <si>
    <t>sebaste rocote</t>
  </si>
  <si>
    <t>R1217</t>
  </si>
  <si>
    <t>sebaste rose</t>
  </si>
  <si>
    <t>R1218</t>
  </si>
  <si>
    <t>selar coulisou</t>
  </si>
  <si>
    <t>R1219</t>
  </si>
  <si>
    <t>seriole chicard</t>
  </si>
  <si>
    <t>R1220</t>
  </si>
  <si>
    <t>seriole couronnee</t>
  </si>
  <si>
    <t>R1221</t>
  </si>
  <si>
    <t>seriole de guinee</t>
  </si>
  <si>
    <t>R1222</t>
  </si>
  <si>
    <t>seriole du japon</t>
  </si>
  <si>
    <t>R1223</t>
  </si>
  <si>
    <t>seriole japonaise</t>
  </si>
  <si>
    <t>R1224</t>
  </si>
  <si>
    <t>seriole lalandi</t>
  </si>
  <si>
    <t>R1225</t>
  </si>
  <si>
    <t>seriole limon</t>
  </si>
  <si>
    <t>R1226</t>
  </si>
  <si>
    <t>seriolelle argentine</t>
  </si>
  <si>
    <t>R1227</t>
  </si>
  <si>
    <t>seriolelle hyperoglyphe</t>
  </si>
  <si>
    <t>R1228</t>
  </si>
  <si>
    <t>serran cabrillon</t>
  </si>
  <si>
    <t>R1229</t>
  </si>
  <si>
    <t>serran chevre</t>
  </si>
  <si>
    <t>R1230</t>
  </si>
  <si>
    <t>serran ecriture</t>
  </si>
  <si>
    <t>R1231</t>
  </si>
  <si>
    <t>shadine ronde</t>
  </si>
  <si>
    <t>R1232</t>
  </si>
  <si>
    <t>sigan cordonnier</t>
  </si>
  <si>
    <t>R1233</t>
  </si>
  <si>
    <t>sigan pintade</t>
  </si>
  <si>
    <t>R1234</t>
  </si>
  <si>
    <t>siki</t>
  </si>
  <si>
    <t>R1235</t>
  </si>
  <si>
    <t>silure</t>
  </si>
  <si>
    <t>R1236</t>
  </si>
  <si>
    <t>silure glane</t>
  </si>
  <si>
    <t>R1237</t>
  </si>
  <si>
    <t>silure tigre</t>
  </si>
  <si>
    <t>R1238</t>
  </si>
  <si>
    <t>R1239</t>
  </si>
  <si>
    <t>sole australe occidentale</t>
  </si>
  <si>
    <t>R1240</t>
  </si>
  <si>
    <t>sole australe orientale</t>
  </si>
  <si>
    <t>R1241</t>
  </si>
  <si>
    <t>sole blonde</t>
  </si>
  <si>
    <t>R1242</t>
  </si>
  <si>
    <t>sole commune</t>
  </si>
  <si>
    <t>R1243</t>
  </si>
  <si>
    <t>sole d afrique du sud</t>
  </si>
  <si>
    <t>R1244</t>
  </si>
  <si>
    <t>sole d orient</t>
  </si>
  <si>
    <t>R1245</t>
  </si>
  <si>
    <t>sole de guinee</t>
  </si>
  <si>
    <t>R1246</t>
  </si>
  <si>
    <t>sole de roche</t>
  </si>
  <si>
    <t>R1247</t>
  </si>
  <si>
    <t>sole du senegal</t>
  </si>
  <si>
    <t>R1248</t>
  </si>
  <si>
    <t>sole elancee</t>
  </si>
  <si>
    <t>R1249</t>
  </si>
  <si>
    <t>sole langue</t>
  </si>
  <si>
    <t>R1250</t>
  </si>
  <si>
    <t>sole perdrix</t>
  </si>
  <si>
    <t>R1251</t>
  </si>
  <si>
    <t>sole pole</t>
  </si>
  <si>
    <t>R1252</t>
  </si>
  <si>
    <t>sole ruardon commune</t>
  </si>
  <si>
    <t>R1253</t>
  </si>
  <si>
    <t>sole ruardon d orient</t>
  </si>
  <si>
    <t>R1254</t>
  </si>
  <si>
    <t>sole ruardon du golfe</t>
  </si>
  <si>
    <t>R1255</t>
  </si>
  <si>
    <t>sole sombre</t>
  </si>
  <si>
    <t>R1256</t>
  </si>
  <si>
    <t>sole tropicale</t>
  </si>
  <si>
    <t>R1257</t>
  </si>
  <si>
    <t>sonneur commun</t>
  </si>
  <si>
    <t>R1258</t>
  </si>
  <si>
    <t>sonneur du chili</t>
  </si>
  <si>
    <t>R1259</t>
  </si>
  <si>
    <t>R1260</t>
  </si>
  <si>
    <t>sparaillon africain</t>
  </si>
  <si>
    <t>R1261</t>
  </si>
  <si>
    <t>sparaillon commun</t>
  </si>
  <si>
    <t>R1262</t>
  </si>
  <si>
    <t>spare de l ocean indien</t>
  </si>
  <si>
    <t>R1263</t>
  </si>
  <si>
    <t>spare panga</t>
  </si>
  <si>
    <t>R1264</t>
  </si>
  <si>
    <t>spare royal</t>
  </si>
  <si>
    <t>R1265</t>
  </si>
  <si>
    <t>spatule d amerique</t>
  </si>
  <si>
    <t>R1266</t>
  </si>
  <si>
    <t>sprat</t>
  </si>
  <si>
    <t>R1267</t>
  </si>
  <si>
    <t>sprat des iles faulklands</t>
  </si>
  <si>
    <t>R1268</t>
  </si>
  <si>
    <t>squale chagrin commun</t>
  </si>
  <si>
    <t>R1269</t>
  </si>
  <si>
    <t>squale liche</t>
  </si>
  <si>
    <t>R1270</t>
  </si>
  <si>
    <t>stromatee a fossettes</t>
  </si>
  <si>
    <t>R1271</t>
  </si>
  <si>
    <t>R1272</t>
  </si>
  <si>
    <t>swordfish</t>
  </si>
  <si>
    <t>R1273</t>
  </si>
  <si>
    <t>tacaud</t>
  </si>
  <si>
    <t>R1274</t>
  </si>
  <si>
    <t>tacaud commun</t>
  </si>
  <si>
    <t>R1275</t>
  </si>
  <si>
    <t>tacaud norvegien</t>
  </si>
  <si>
    <t>R1276</t>
  </si>
  <si>
    <t>tambour bresilien</t>
  </si>
  <si>
    <t>R1277</t>
  </si>
  <si>
    <t>tambour croca</t>
  </si>
  <si>
    <t>R1278</t>
  </si>
  <si>
    <t>tambour raye</t>
  </si>
  <si>
    <t>R1279</t>
  </si>
  <si>
    <t>tambour rouge</t>
  </si>
  <si>
    <t>R1280</t>
  </si>
  <si>
    <t>tanche</t>
  </si>
  <si>
    <t>R1281</t>
  </si>
  <si>
    <t>R1282</t>
  </si>
  <si>
    <t>taramasalata</t>
  </si>
  <si>
    <t>R1283</t>
  </si>
  <si>
    <t>tarpon argente</t>
  </si>
  <si>
    <t>R1284</t>
  </si>
  <si>
    <t>R1285</t>
  </si>
  <si>
    <t>thazard barre</t>
  </si>
  <si>
    <t>R1286</t>
  </si>
  <si>
    <t>thazard batard</t>
  </si>
  <si>
    <t>R1287</t>
  </si>
  <si>
    <t>thazard blanc</t>
  </si>
  <si>
    <t>R1288</t>
  </si>
  <si>
    <t>thazard cirrus</t>
  </si>
  <si>
    <t>R1289</t>
  </si>
  <si>
    <t>thazard franc</t>
  </si>
  <si>
    <t>R1290</t>
  </si>
  <si>
    <t>thazard ponctue</t>
  </si>
  <si>
    <t>R1291</t>
  </si>
  <si>
    <t>thazard raye</t>
  </si>
  <si>
    <t>R1292</t>
  </si>
  <si>
    <t>thazard serra</t>
  </si>
  <si>
    <t>R1293</t>
  </si>
  <si>
    <t>thon a nageoires noires</t>
  </si>
  <si>
    <t>R1294</t>
  </si>
  <si>
    <t>R1295</t>
  </si>
  <si>
    <t>R1296</t>
  </si>
  <si>
    <t>thon germon</t>
  </si>
  <si>
    <t>R1297</t>
  </si>
  <si>
    <t>R1298</t>
  </si>
  <si>
    <t>thon mignon</t>
  </si>
  <si>
    <t>R1299</t>
  </si>
  <si>
    <t>thon obese</t>
  </si>
  <si>
    <t>R1300</t>
  </si>
  <si>
    <t>thon patudo</t>
  </si>
  <si>
    <t>R1301</t>
  </si>
  <si>
    <t>R1302</t>
  </si>
  <si>
    <t>thon rouge du sud</t>
  </si>
  <si>
    <t>R1303</t>
  </si>
  <si>
    <t>thonine commune</t>
  </si>
  <si>
    <t>R1304</t>
  </si>
  <si>
    <t>thonine orientale</t>
  </si>
  <si>
    <t>R1305</t>
  </si>
  <si>
    <t>R1306</t>
  </si>
  <si>
    <t>tilapia bleu</t>
  </si>
  <si>
    <t>R1307</t>
  </si>
  <si>
    <t>tilapia du mozambique</t>
  </si>
  <si>
    <t>R1308</t>
  </si>
  <si>
    <t>tilapia du nil</t>
  </si>
  <si>
    <t>R1309</t>
  </si>
  <si>
    <t>tile chameau</t>
  </si>
  <si>
    <t>R1310</t>
  </si>
  <si>
    <t>tile zebre</t>
  </si>
  <si>
    <t>R1311</t>
  </si>
  <si>
    <t>torche tigre</t>
  </si>
  <si>
    <t>R1312</t>
  </si>
  <si>
    <t>torpille marbree</t>
  </si>
  <si>
    <t>R1313</t>
  </si>
  <si>
    <t>trout</t>
  </si>
  <si>
    <t>R1314</t>
  </si>
  <si>
    <t>R1315</t>
  </si>
  <si>
    <t>truite arc en ciel</t>
  </si>
  <si>
    <t>R1316</t>
  </si>
  <si>
    <t>R1317</t>
  </si>
  <si>
    <t>R1318</t>
  </si>
  <si>
    <t>turbot mouchete</t>
  </si>
  <si>
    <t>R1319</t>
  </si>
  <si>
    <t>turbot tropical</t>
  </si>
  <si>
    <t>R1320</t>
  </si>
  <si>
    <t>uranoscope de l atlantique</t>
  </si>
  <si>
    <t>R1321</t>
  </si>
  <si>
    <t>uranoscope de nouvelle zelande</t>
  </si>
  <si>
    <t>R1322</t>
  </si>
  <si>
    <t>varlet de l ocean indien</t>
  </si>
  <si>
    <t>R1323</t>
  </si>
  <si>
    <t>veau de mer</t>
  </si>
  <si>
    <t>R1324</t>
  </si>
  <si>
    <t>verrue bronzee</t>
  </si>
  <si>
    <t>R1325</t>
  </si>
  <si>
    <t>vieille aile noire</t>
  </si>
  <si>
    <t>R1326</t>
  </si>
  <si>
    <t>vieille ananas</t>
  </si>
  <si>
    <t>R1327</t>
  </si>
  <si>
    <t>vieille commune</t>
  </si>
  <si>
    <t>R1328</t>
  </si>
  <si>
    <t>vieille de corail</t>
  </si>
  <si>
    <t>R1329</t>
  </si>
  <si>
    <t>vieille roga</t>
  </si>
  <si>
    <t>R1330</t>
  </si>
  <si>
    <t>vivaneau</t>
  </si>
  <si>
    <t>R1331</t>
  </si>
  <si>
    <t>vivaneau a lignes jaunes</t>
  </si>
  <si>
    <t>R1332</t>
  </si>
  <si>
    <t>vivaneau a queue jaune</t>
  </si>
  <si>
    <t>R1333</t>
  </si>
  <si>
    <t>vivaneau africain rouge</t>
  </si>
  <si>
    <t>R1334</t>
  </si>
  <si>
    <t>vivaneau argente</t>
  </si>
  <si>
    <t>R1335</t>
  </si>
  <si>
    <t>vivaneau blanc</t>
  </si>
  <si>
    <t>R1336</t>
  </si>
  <si>
    <t>vivaneau bourgeois</t>
  </si>
  <si>
    <t>R1337</t>
  </si>
  <si>
    <t>vivaneau campeche</t>
  </si>
  <si>
    <t>R1338</t>
  </si>
  <si>
    <t>vivaneau cramoisi</t>
  </si>
  <si>
    <t>R1339</t>
  </si>
  <si>
    <t>vivaneau de goree</t>
  </si>
  <si>
    <t>R1340</t>
  </si>
  <si>
    <t>vivaneau de mangrove</t>
  </si>
  <si>
    <t>R1341</t>
  </si>
  <si>
    <t>vivaneau du bengale</t>
  </si>
  <si>
    <t>R1342</t>
  </si>
  <si>
    <t>vivaneau gazou</t>
  </si>
  <si>
    <t>R1343</t>
  </si>
  <si>
    <t>vivaneau gibelot</t>
  </si>
  <si>
    <t>R1344</t>
  </si>
  <si>
    <t>vivaneau gros yeux</t>
  </si>
  <si>
    <t>R1345</t>
  </si>
  <si>
    <t>vivaneau hublot</t>
  </si>
  <si>
    <t>R1346</t>
  </si>
  <si>
    <t>vivaneau job</t>
  </si>
  <si>
    <t>R1347</t>
  </si>
  <si>
    <t>vivaneau malabar</t>
  </si>
  <si>
    <t>R1348</t>
  </si>
  <si>
    <t>vivaneau maori</t>
  </si>
  <si>
    <t>R1349</t>
  </si>
  <si>
    <t>vivaneau pagaie</t>
  </si>
  <si>
    <t>R1350</t>
  </si>
  <si>
    <t>vivaneau plat</t>
  </si>
  <si>
    <t>R1351</t>
  </si>
  <si>
    <t>vivaneau queue jaune</t>
  </si>
  <si>
    <t>R1352</t>
  </si>
  <si>
    <t>vivaneau queue noire</t>
  </si>
  <si>
    <t>R1353</t>
  </si>
  <si>
    <t>vivaneau rouge</t>
  </si>
  <si>
    <t>R1354</t>
  </si>
  <si>
    <t>vivaneau rouille</t>
  </si>
  <si>
    <t>R1355</t>
  </si>
  <si>
    <t>vivaneau rubis</t>
  </si>
  <si>
    <t>R1356</t>
  </si>
  <si>
    <t>vivaneau tetu</t>
  </si>
  <si>
    <t>R1357</t>
  </si>
  <si>
    <t>vivaneau ti yeux</t>
  </si>
  <si>
    <t>R1358</t>
  </si>
  <si>
    <t>vivaneau tidents</t>
  </si>
  <si>
    <t>R1359</t>
  </si>
  <si>
    <t>vivanneau brun d afrique</t>
  </si>
  <si>
    <t>R1360</t>
  </si>
  <si>
    <t>vivanneau chien rouge</t>
  </si>
  <si>
    <t>R1361</t>
  </si>
  <si>
    <t>vivanneau dore</t>
  </si>
  <si>
    <t>R1362</t>
  </si>
  <si>
    <t>R1363</t>
  </si>
  <si>
    <t>voilier de l atlantique</t>
  </si>
  <si>
    <t>R1364</t>
  </si>
  <si>
    <t>wahoo</t>
  </si>
  <si>
    <t>R1365</t>
  </si>
  <si>
    <t>bar à cocktail</t>
  </si>
  <si>
    <t>bar a cocktail</t>
  </si>
  <si>
    <t>R1366</t>
  </si>
  <si>
    <t>bar à cocktails</t>
  </si>
  <si>
    <t>bar a cocktails</t>
  </si>
  <si>
    <t>R1367</t>
  </si>
  <si>
    <t>bar à vin</t>
  </si>
  <si>
    <t>bar a vin</t>
  </si>
  <si>
    <t>R1368</t>
  </si>
  <si>
    <t>bar à vins</t>
  </si>
  <si>
    <t>bar a vins</t>
  </si>
  <si>
    <t>R1369</t>
  </si>
  <si>
    <t>bar hôtel</t>
  </si>
  <si>
    <t>bar hotel</t>
  </si>
  <si>
    <t>R1370</t>
  </si>
  <si>
    <t>bar lounge</t>
  </si>
  <si>
    <t>R1371</t>
  </si>
  <si>
    <t>bar restaurant</t>
  </si>
  <si>
    <t>R1372</t>
  </si>
  <si>
    <t>cocktail bar</t>
  </si>
  <si>
    <t>R1373</t>
  </si>
  <si>
    <t>wine bar</t>
  </si>
  <si>
    <t>R1374</t>
  </si>
  <si>
    <t>bonite séchée</t>
  </si>
  <si>
    <t>bonite sechee</t>
  </si>
  <si>
    <t>Composition variable.</t>
  </si>
  <si>
    <t>R1375</t>
  </si>
  <si>
    <t>bouillon asiatique</t>
  </si>
  <si>
    <t>R1376</t>
  </si>
  <si>
    <t>caesar</t>
  </si>
  <si>
    <t>R1377</t>
  </si>
  <si>
    <t>césar</t>
  </si>
  <si>
    <t>cesar</t>
  </si>
  <si>
    <t>R1378</t>
  </si>
  <si>
    <t>dashi</t>
  </si>
  <si>
    <t>R1379</t>
  </si>
  <si>
    <t>katsuobushi</t>
  </si>
  <si>
    <t>R1380</t>
  </si>
  <si>
    <t>kimchi</t>
  </si>
  <si>
    <t>R1381</t>
  </si>
  <si>
    <t>R1382</t>
  </si>
  <si>
    <t>sauce huître</t>
  </si>
  <si>
    <t>sauce huitre</t>
  </si>
  <si>
    <t>R1383</t>
  </si>
  <si>
    <t>R1384</t>
  </si>
  <si>
    <t>tapenade</t>
  </si>
  <si>
    <t>R1385</t>
  </si>
  <si>
    <t>Arachide ou dérivé.</t>
  </si>
  <si>
    <t>R1386</t>
  </si>
  <si>
    <t>R1387</t>
  </si>
  <si>
    <t>R1388</t>
  </si>
  <si>
    <t>beurre de cacahuète</t>
  </si>
  <si>
    <t>R1389</t>
  </si>
  <si>
    <t>cacahuète</t>
  </si>
  <si>
    <t>R1390</t>
  </si>
  <si>
    <t>cacahuètes</t>
  </si>
  <si>
    <t>R1391</t>
  </si>
  <si>
    <t>farine d arachide</t>
  </si>
  <si>
    <t>R1392</t>
  </si>
  <si>
    <t>R1393</t>
  </si>
  <si>
    <t>groundnut oil</t>
  </si>
  <si>
    <t>R1394</t>
  </si>
  <si>
    <t>groundnuts</t>
  </si>
  <si>
    <t>R1395</t>
  </si>
  <si>
    <t>R1396</t>
  </si>
  <si>
    <t>pâte d arachide</t>
  </si>
  <si>
    <t>R1397</t>
  </si>
  <si>
    <t>R1398</t>
  </si>
  <si>
    <t>peanut butter</t>
  </si>
  <si>
    <t>R1399</t>
  </si>
  <si>
    <t>R1400</t>
  </si>
  <si>
    <t>praliné cacahuète</t>
  </si>
  <si>
    <t>praline cacahuete</t>
  </si>
  <si>
    <t>R1401</t>
  </si>
  <si>
    <t>protéine d arachide</t>
  </si>
  <si>
    <t>proteine d arachide</t>
  </si>
  <si>
    <t>R1402</t>
  </si>
  <si>
    <t>satay</t>
  </si>
  <si>
    <t>R1403</t>
  </si>
  <si>
    <t>saté</t>
  </si>
  <si>
    <t>sate</t>
  </si>
  <si>
    <t>R1404</t>
  </si>
  <si>
    <t>sauce cacahuète</t>
  </si>
  <si>
    <t>sauce cacahuete</t>
  </si>
  <si>
    <t>R1405</t>
  </si>
  <si>
    <t>sauce satay</t>
  </si>
  <si>
    <t>R1406</t>
  </si>
  <si>
    <t>Soja ou dérivé explicite.</t>
  </si>
  <si>
    <t>R1407</t>
  </si>
  <si>
    <t>concentré de soja</t>
  </si>
  <si>
    <t>concentre de soja</t>
  </si>
  <si>
    <t>R1408</t>
  </si>
  <si>
    <t>crème de soja</t>
  </si>
  <si>
    <t>R1409</t>
  </si>
  <si>
    <t>dessert soja</t>
  </si>
  <si>
    <t>R1410</t>
  </si>
  <si>
    <t>E322 soja</t>
  </si>
  <si>
    <t>e322 soja</t>
  </si>
  <si>
    <t>R1411</t>
  </si>
  <si>
    <t>R1412</t>
  </si>
  <si>
    <t>R1413</t>
  </si>
  <si>
    <t>fève de soja</t>
  </si>
  <si>
    <t>feve de soja</t>
  </si>
  <si>
    <t>R1414</t>
  </si>
  <si>
    <t>fèves de soja</t>
  </si>
  <si>
    <t>feves de soja</t>
  </si>
  <si>
    <t>R1415</t>
  </si>
  <si>
    <t>graisse de soja</t>
  </si>
  <si>
    <t>R1416</t>
  </si>
  <si>
    <t>R1417</t>
  </si>
  <si>
    <t>isolat de soja</t>
  </si>
  <si>
    <t>R1418</t>
  </si>
  <si>
    <t>R1419</t>
  </si>
  <si>
    <t>lécithine de soja</t>
  </si>
  <si>
    <t>R1420</t>
  </si>
  <si>
    <t>R1421</t>
  </si>
  <si>
    <t>natto</t>
  </si>
  <si>
    <t>R1422</t>
  </si>
  <si>
    <t>okara</t>
  </si>
  <si>
    <t>R1423</t>
  </si>
  <si>
    <t>protéine de soja</t>
  </si>
  <si>
    <t>R1424</t>
  </si>
  <si>
    <t>protéine végétale texturée</t>
  </si>
  <si>
    <t>proteine vegetale texturee</t>
  </si>
  <si>
    <t>R1425</t>
  </si>
  <si>
    <t>protéines de soja</t>
  </si>
  <si>
    <t>R1426</t>
  </si>
  <si>
    <t>PVT soja</t>
  </si>
  <si>
    <t>pvt soja</t>
  </si>
  <si>
    <t>R1427</t>
  </si>
  <si>
    <t>R1428</t>
  </si>
  <si>
    <t>R1429</t>
  </si>
  <si>
    <t>R1430</t>
  </si>
  <si>
    <t>R1431</t>
  </si>
  <si>
    <t>soy milk</t>
  </si>
  <si>
    <t>R1432</t>
  </si>
  <si>
    <t>soy sauce</t>
  </si>
  <si>
    <t>R1433</t>
  </si>
  <si>
    <t>R1434</t>
  </si>
  <si>
    <t>soya sauce</t>
  </si>
  <si>
    <t>R1435</t>
  </si>
  <si>
    <t>R1436</t>
  </si>
  <si>
    <t>soybeans</t>
  </si>
  <si>
    <t>R1437</t>
  </si>
  <si>
    <t>R1438</t>
  </si>
  <si>
    <t>R1439</t>
  </si>
  <si>
    <t>toffu</t>
  </si>
  <si>
    <t>R1440</t>
  </si>
  <si>
    <t>R1441</t>
  </si>
  <si>
    <t>TVP soja</t>
  </si>
  <si>
    <t>tvp soja</t>
  </si>
  <si>
    <t>R1442</t>
  </si>
  <si>
    <t>yaourt soja</t>
  </si>
  <si>
    <t>R1443</t>
  </si>
  <si>
    <t>yuba</t>
  </si>
  <si>
    <t>R1444</t>
  </si>
  <si>
    <t>graisse de soja entièrement raffinée</t>
  </si>
  <si>
    <t>Exception réglementaire.</t>
  </si>
  <si>
    <t>R1445</t>
  </si>
  <si>
    <t>huile de soja entièrement raffinée</t>
  </si>
  <si>
    <t>R1446</t>
  </si>
  <si>
    <t>charcuterie industrielle</t>
  </si>
  <si>
    <t>R1447</t>
  </si>
  <si>
    <t>chocolat</t>
  </si>
  <si>
    <t>R1448</t>
  </si>
  <si>
    <t>couverture</t>
  </si>
  <si>
    <t>R1449</t>
  </si>
  <si>
    <t>R1450</t>
  </si>
  <si>
    <t>lécithine</t>
  </si>
  <si>
    <t>lecithine</t>
  </si>
  <si>
    <t>R1451</t>
  </si>
  <si>
    <t>margarine</t>
  </si>
  <si>
    <t>R1452</t>
  </si>
  <si>
    <t>protéine végétale</t>
  </si>
  <si>
    <t>proteine vegetale</t>
  </si>
  <si>
    <t>R1453</t>
  </si>
  <si>
    <t>sauce asiatique</t>
  </si>
  <si>
    <t>R1454</t>
  </si>
  <si>
    <t>sauce hoisin</t>
  </si>
  <si>
    <t>R1455</t>
  </si>
  <si>
    <t>sauce teriyaki</t>
  </si>
  <si>
    <t>R1456</t>
  </si>
  <si>
    <t>sauce yakitori</t>
  </si>
  <si>
    <t>R1457</t>
  </si>
  <si>
    <t>abondance</t>
  </si>
  <si>
    <t>Cuisine, pâtisserie, glacier, bar, charcuterie, traiteur, fromager</t>
  </si>
  <si>
    <t>Terme laitier ou fromage contenant l’allergène lait.</t>
  </si>
  <si>
    <t>https://eur-lex.europa.eu/eli/reg/2011/1169/oj?locale=fr</t>
  </si>
  <si>
    <t>2026-07</t>
  </si>
  <si>
    <t>R1458</t>
  </si>
  <si>
    <t>akkawi</t>
  </si>
  <si>
    <t>R1459</t>
  </si>
  <si>
    <t>american cheese</t>
  </si>
  <si>
    <t>R1460</t>
  </si>
  <si>
    <t>appenzeller</t>
  </si>
  <si>
    <t>R1461</t>
  </si>
  <si>
    <t>asiago</t>
  </si>
  <si>
    <t>R1462</t>
  </si>
  <si>
    <t>assiette de fromages</t>
  </si>
  <si>
    <t>R1463</t>
  </si>
  <si>
    <t>Lait, protéine laitière ou produit laitier.</t>
  </si>
  <si>
    <t>R1464</t>
  </si>
  <si>
    <t>R1465</t>
  </si>
  <si>
    <t>baileys</t>
  </si>
  <si>
    <t>R1466</t>
  </si>
  <si>
    <t>banon</t>
  </si>
  <si>
    <t>R1467</t>
  </si>
  <si>
    <t>R1468</t>
  </si>
  <si>
    <t>bel paese</t>
  </si>
  <si>
    <t>R1469</t>
  </si>
  <si>
    <t>R1470</t>
  </si>
  <si>
    <t>R1471</t>
  </si>
  <si>
    <t>beurre clarifié</t>
  </si>
  <si>
    <t>beurre clarifie</t>
  </si>
  <si>
    <t>R1472</t>
  </si>
  <si>
    <t>R1473</t>
  </si>
  <si>
    <t>R1474</t>
  </si>
  <si>
    <t>R1475</t>
  </si>
  <si>
    <t>beurre maître d'hôtel</t>
  </si>
  <si>
    <t>beurre maitre d hotel</t>
  </si>
  <si>
    <t>R1476</t>
  </si>
  <si>
    <t>beurre noisette</t>
  </si>
  <si>
    <t>R1477</t>
  </si>
  <si>
    <t>beurre salé</t>
  </si>
  <si>
    <t>beurre sale</t>
  </si>
  <si>
    <t>R1478</t>
  </si>
  <si>
    <t>R1479</t>
  </si>
  <si>
    <t>bleu d auvergne</t>
  </si>
  <si>
    <t>R1480</t>
  </si>
  <si>
    <t>bleu de gex</t>
  </si>
  <si>
    <t>R1481</t>
  </si>
  <si>
    <t>bleu des causses</t>
  </si>
  <si>
    <t>R1482</t>
  </si>
  <si>
    <t>bleu du vercors sassenage</t>
  </si>
  <si>
    <t>R1483</t>
  </si>
  <si>
    <t>R1484</t>
  </si>
  <si>
    <t>R1485</t>
  </si>
  <si>
    <t>brie de meaux</t>
  </si>
  <si>
    <t>R1486</t>
  </si>
  <si>
    <t>brie de melun</t>
  </si>
  <si>
    <t>R1487</t>
  </si>
  <si>
    <t>brillat-savarin</t>
  </si>
  <si>
    <t>brillat savarin</t>
  </si>
  <si>
    <t>R1488</t>
  </si>
  <si>
    <t>brocciu</t>
  </si>
  <si>
    <t>R1489</t>
  </si>
  <si>
    <t>brousse</t>
  </si>
  <si>
    <t>R1490</t>
  </si>
  <si>
    <t>brown butter</t>
  </si>
  <si>
    <t>R1491</t>
  </si>
  <si>
    <t>bryndza</t>
  </si>
  <si>
    <t>R1492</t>
  </si>
  <si>
    <t>bûche de chèvre</t>
  </si>
  <si>
    <t>buche de chevre</t>
  </si>
  <si>
    <t>R1493</t>
  </si>
  <si>
    <t>burrata</t>
  </si>
  <si>
    <t>R1494</t>
  </si>
  <si>
    <t>R1495</t>
  </si>
  <si>
    <t>buttermilk</t>
  </si>
  <si>
    <t>R1496</t>
  </si>
  <si>
    <t>cabécou</t>
  </si>
  <si>
    <t>cabecou</t>
  </si>
  <si>
    <t>R1497</t>
  </si>
  <si>
    <t>cabrales</t>
  </si>
  <si>
    <t>R1498</t>
  </si>
  <si>
    <t>caciocavallo</t>
  </si>
  <si>
    <t>R1499</t>
  </si>
  <si>
    <t>caerphilly</t>
  </si>
  <si>
    <t>R1500</t>
  </si>
  <si>
    <t>café au lait</t>
  </si>
  <si>
    <t>cafe au lait</t>
  </si>
  <si>
    <t>R1501</t>
  </si>
  <si>
    <t>café latte</t>
  </si>
  <si>
    <t>cafe latte</t>
  </si>
  <si>
    <t>R1502</t>
  </si>
  <si>
    <t>R1503</t>
  </si>
  <si>
    <t>camembert de normandie</t>
  </si>
  <si>
    <t>R1504</t>
  </si>
  <si>
    <t>cancoillotte</t>
  </si>
  <si>
    <t>R1505</t>
  </si>
  <si>
    <t>R1506</t>
  </si>
  <si>
    <t>cappuccino au lait</t>
  </si>
  <si>
    <t>R1507</t>
  </si>
  <si>
    <t>caprice des dieux</t>
  </si>
  <si>
    <t>R1508</t>
  </si>
  <si>
    <t>caramel au beurre</t>
  </si>
  <si>
    <t>R1509</t>
  </si>
  <si>
    <t>caramel au beurre salé</t>
  </si>
  <si>
    <t>caramel au beurre sale</t>
  </si>
  <si>
    <t>R1510</t>
  </si>
  <si>
    <t>caramel beurre salé</t>
  </si>
  <si>
    <t>caramel beurre sale</t>
  </si>
  <si>
    <t>R1511</t>
  </si>
  <si>
    <t>carré frais</t>
  </si>
  <si>
    <t>R1512</t>
  </si>
  <si>
    <t>R1513</t>
  </si>
  <si>
    <t>caséinate</t>
  </si>
  <si>
    <t>R1514</t>
  </si>
  <si>
    <t>caséinate de calcium</t>
  </si>
  <si>
    <t>caseinate de calcium</t>
  </si>
  <si>
    <t>R1515</t>
  </si>
  <si>
    <t>caséinate de sodium</t>
  </si>
  <si>
    <t>caseinate de sodium</t>
  </si>
  <si>
    <t>R1516</t>
  </si>
  <si>
    <t>caséinates</t>
  </si>
  <si>
    <t>R1517</t>
  </si>
  <si>
    <t>caséine</t>
  </si>
  <si>
    <t>R1518</t>
  </si>
  <si>
    <t>chabichou du poitou</t>
  </si>
  <si>
    <t>R1519</t>
  </si>
  <si>
    <t>chantilly</t>
  </si>
  <si>
    <t>R1520</t>
  </si>
  <si>
    <t>R1521</t>
  </si>
  <si>
    <t>charolais</t>
  </si>
  <si>
    <t>R1522</t>
  </si>
  <si>
    <t>R1523</t>
  </si>
  <si>
    <t>R1524</t>
  </si>
  <si>
    <t>cheshire</t>
  </si>
  <si>
    <t>R1525</t>
  </si>
  <si>
    <t>chèvre</t>
  </si>
  <si>
    <t>R1526</t>
  </si>
  <si>
    <t>chèvre frais</t>
  </si>
  <si>
    <t>chevre frais</t>
  </si>
  <si>
    <t>R1527</t>
  </si>
  <si>
    <t>chhena</t>
  </si>
  <si>
    <t>R1528</t>
  </si>
  <si>
    <t>chocolat au lait</t>
  </si>
  <si>
    <t>R1529</t>
  </si>
  <si>
    <t>chocolat blanc</t>
  </si>
  <si>
    <t>R1530</t>
  </si>
  <si>
    <t>clotted cream</t>
  </si>
  <si>
    <t>R1531</t>
  </si>
  <si>
    <t>colby</t>
  </si>
  <si>
    <t>R1532</t>
  </si>
  <si>
    <t>comté</t>
  </si>
  <si>
    <t>R1533</t>
  </si>
  <si>
    <t>confiture de lait</t>
  </si>
  <si>
    <t>R1534</t>
  </si>
  <si>
    <t>cottage cheese</t>
  </si>
  <si>
    <t>R1535</t>
  </si>
  <si>
    <t>R1536</t>
  </si>
  <si>
    <t>R1537</t>
  </si>
  <si>
    <t>cream cheese</t>
  </si>
  <si>
    <t>R1538</t>
  </si>
  <si>
    <t>cream liqueur</t>
  </si>
  <si>
    <t>R1539</t>
  </si>
  <si>
    <t>R1540</t>
  </si>
  <si>
    <t>crème aigre</t>
  </si>
  <si>
    <t>creme aigre</t>
  </si>
  <si>
    <t>R1541</t>
  </si>
  <si>
    <t>crème chantilly</t>
  </si>
  <si>
    <t>creme chantilly</t>
  </si>
  <si>
    <t>R1542</t>
  </si>
  <si>
    <t>crème de whisky</t>
  </si>
  <si>
    <t>creme de whisky</t>
  </si>
  <si>
    <t>R1543</t>
  </si>
  <si>
    <t>crème double</t>
  </si>
  <si>
    <t>creme double</t>
  </si>
  <si>
    <t>R1544</t>
  </si>
  <si>
    <t>crème entière</t>
  </si>
  <si>
    <t>R1545</t>
  </si>
  <si>
    <t>crème épaisse</t>
  </si>
  <si>
    <t>creme epaisse</t>
  </si>
  <si>
    <t>R1546</t>
  </si>
  <si>
    <t>crème fleurette</t>
  </si>
  <si>
    <t>creme fleurette</t>
  </si>
  <si>
    <t>R1547</t>
  </si>
  <si>
    <t>crème fraîche</t>
  </si>
  <si>
    <t>R1548</t>
  </si>
  <si>
    <t>R1549</t>
  </si>
  <si>
    <t>R1550</t>
  </si>
  <si>
    <t>crescenza</t>
  </si>
  <si>
    <t>R1551</t>
  </si>
  <si>
    <t>crottin</t>
  </si>
  <si>
    <t>R1552</t>
  </si>
  <si>
    <t>crottin de chavignol</t>
  </si>
  <si>
    <t>R1553</t>
  </si>
  <si>
    <t>double cream</t>
  </si>
  <si>
    <t>R1554</t>
  </si>
  <si>
    <t>double gloucester</t>
  </si>
  <si>
    <t>R1555</t>
  </si>
  <si>
    <t>dulce de leche</t>
  </si>
  <si>
    <t>R1556</t>
  </si>
  <si>
    <t>R1557</t>
  </si>
  <si>
    <t>R1558</t>
  </si>
  <si>
    <t>emmental râpé</t>
  </si>
  <si>
    <t>emmental rape</t>
  </si>
  <si>
    <t>R1559</t>
  </si>
  <si>
    <t>emmenthal</t>
  </si>
  <si>
    <t>R1560</t>
  </si>
  <si>
    <t>emmenthal râpé</t>
  </si>
  <si>
    <t>emmenthal rape</t>
  </si>
  <si>
    <t>R1561</t>
  </si>
  <si>
    <t>époisses</t>
  </si>
  <si>
    <t>epoisses</t>
  </si>
  <si>
    <t>R1562</t>
  </si>
  <si>
    <t>extrait sec laitier</t>
  </si>
  <si>
    <t>R1563</t>
  </si>
  <si>
    <t>R1564</t>
  </si>
  <si>
    <t>R1565</t>
  </si>
  <si>
    <t>flat white</t>
  </si>
  <si>
    <t>R1566</t>
  </si>
  <si>
    <t>fontina</t>
  </si>
  <si>
    <t>R1567</t>
  </si>
  <si>
    <t>fourme</t>
  </si>
  <si>
    <t>R1568</t>
  </si>
  <si>
    <t>fourme d'ambert</t>
  </si>
  <si>
    <t>R1569</t>
  </si>
  <si>
    <t>fourme de montbrison</t>
  </si>
  <si>
    <t>R1570</t>
  </si>
  <si>
    <t>R1571</t>
  </si>
  <si>
    <t>fromage à tartiner</t>
  </si>
  <si>
    <t>fromage a tartiner</t>
  </si>
  <si>
    <t>R1572</t>
  </si>
  <si>
    <t>fromage battu</t>
  </si>
  <si>
    <t>R1573</t>
  </si>
  <si>
    <t>R1574</t>
  </si>
  <si>
    <t>fromage de brebis</t>
  </si>
  <si>
    <t>R1575</t>
  </si>
  <si>
    <t>fromage de chèvre</t>
  </si>
  <si>
    <t>R1576</t>
  </si>
  <si>
    <t>fromage de vache</t>
  </si>
  <si>
    <t>R1577</t>
  </si>
  <si>
    <t>fromage fondu</t>
  </si>
  <si>
    <t>R1578</t>
  </si>
  <si>
    <t>R1579</t>
  </si>
  <si>
    <t>fromage râpé</t>
  </si>
  <si>
    <t>fromage rape</t>
  </si>
  <si>
    <t>R1580</t>
  </si>
  <si>
    <t>R1581</t>
  </si>
  <si>
    <t>frozen yogurt</t>
  </si>
  <si>
    <t>R1582</t>
  </si>
  <si>
    <t>ganache</t>
  </si>
  <si>
    <t>R1583</t>
  </si>
  <si>
    <t>gaperon</t>
  </si>
  <si>
    <t>R1584</t>
  </si>
  <si>
    <t>gelato</t>
  </si>
  <si>
    <t>R1585</t>
  </si>
  <si>
    <t>ghee</t>
  </si>
  <si>
    <t>R1586</t>
  </si>
  <si>
    <t>glace au lait</t>
  </si>
  <si>
    <t>R1587</t>
  </si>
  <si>
    <t>gorgonzola</t>
  </si>
  <si>
    <t>R1588</t>
  </si>
  <si>
    <t>R1589</t>
  </si>
  <si>
    <t>grana padano</t>
  </si>
  <si>
    <t>R1590</t>
  </si>
  <si>
    <t>graviera</t>
  </si>
  <si>
    <t>R1591</t>
  </si>
  <si>
    <t>gruyère</t>
  </si>
  <si>
    <t>R1592</t>
  </si>
  <si>
    <t>gruyère râpé</t>
  </si>
  <si>
    <t>gruyere rape</t>
  </si>
  <si>
    <t>R1593</t>
  </si>
  <si>
    <t>halloumi</t>
  </si>
  <si>
    <t>R1594</t>
  </si>
  <si>
    <t>heavy cream</t>
  </si>
  <si>
    <t>R1595</t>
  </si>
  <si>
    <t>ice cream</t>
  </si>
  <si>
    <t>R1596</t>
  </si>
  <si>
    <t>idiazabal</t>
  </si>
  <si>
    <t>R1597</t>
  </si>
  <si>
    <t>irish cream</t>
  </si>
  <si>
    <t>R1598</t>
  </si>
  <si>
    <t>kashkaval</t>
  </si>
  <si>
    <t>R1599</t>
  </si>
  <si>
    <t>kasseri</t>
  </si>
  <si>
    <t>R1600</t>
  </si>
  <si>
    <t>kefalotyri</t>
  </si>
  <si>
    <t>R1601</t>
  </si>
  <si>
    <t>kéfir</t>
  </si>
  <si>
    <t>kefir</t>
  </si>
  <si>
    <t>R1602</t>
  </si>
  <si>
    <t>R1603</t>
  </si>
  <si>
    <t>R1604</t>
  </si>
  <si>
    <t>labneh</t>
  </si>
  <si>
    <t>R1605</t>
  </si>
  <si>
    <t>R1606</t>
  </si>
  <si>
    <t>lactoglobuline</t>
  </si>
  <si>
    <t>R1607</t>
  </si>
  <si>
    <t>R1608</t>
  </si>
  <si>
    <t>lactose monohydraté</t>
  </si>
  <si>
    <t>lactose monohydrate</t>
  </si>
  <si>
    <t>R1609</t>
  </si>
  <si>
    <t>lactosérum</t>
  </si>
  <si>
    <t>R1610</t>
  </si>
  <si>
    <t>laguiole</t>
  </si>
  <si>
    <t>R1611</t>
  </si>
  <si>
    <t>R1612</t>
  </si>
  <si>
    <t>lait concentré</t>
  </si>
  <si>
    <t>lait concentre</t>
  </si>
  <si>
    <t>R1613</t>
  </si>
  <si>
    <t>lait concentré sucré</t>
  </si>
  <si>
    <t>lait concentre sucre</t>
  </si>
  <si>
    <t>R1614</t>
  </si>
  <si>
    <t>lait cru</t>
  </si>
  <si>
    <t>R1615</t>
  </si>
  <si>
    <t>lait de brebis</t>
  </si>
  <si>
    <t>R1616</t>
  </si>
  <si>
    <t>lait de bufflonne</t>
  </si>
  <si>
    <t>R1617</t>
  </si>
  <si>
    <t>lait de chèvre</t>
  </si>
  <si>
    <t>lait de chevre</t>
  </si>
  <si>
    <t>R1618</t>
  </si>
  <si>
    <t>lait de vache</t>
  </si>
  <si>
    <t>R1619</t>
  </si>
  <si>
    <t>lait demi écrémé</t>
  </si>
  <si>
    <t>R1620</t>
  </si>
  <si>
    <t>lait écrémé</t>
  </si>
  <si>
    <t>R1621</t>
  </si>
  <si>
    <t>R1622</t>
  </si>
  <si>
    <t>R1623</t>
  </si>
  <si>
    <t>lait évaporé</t>
  </si>
  <si>
    <t>lait evapore</t>
  </si>
  <si>
    <t>R1624</t>
  </si>
  <si>
    <t>lait fermenté</t>
  </si>
  <si>
    <t>R1625</t>
  </si>
  <si>
    <t>lait frappé</t>
  </si>
  <si>
    <t>lait frappe</t>
  </si>
  <si>
    <t>R1626</t>
  </si>
  <si>
    <t>lait microfiltré</t>
  </si>
  <si>
    <t>lait microfiltre</t>
  </si>
  <si>
    <t>R1627</t>
  </si>
  <si>
    <t>lait pasteurisé</t>
  </si>
  <si>
    <t>lait pasteurise</t>
  </si>
  <si>
    <t>R1628</t>
  </si>
  <si>
    <t>lait ribot</t>
  </si>
  <si>
    <t>R1629</t>
  </si>
  <si>
    <t>lait UHT</t>
  </si>
  <si>
    <t>lait uht</t>
  </si>
  <si>
    <t>R1630</t>
  </si>
  <si>
    <t>langres</t>
  </si>
  <si>
    <t>R1631</t>
  </si>
  <si>
    <t>latte macchiato</t>
  </si>
  <si>
    <t>R1632</t>
  </si>
  <si>
    <t>lben</t>
  </si>
  <si>
    <t>R1633</t>
  </si>
  <si>
    <t>leben</t>
  </si>
  <si>
    <t>R1634</t>
  </si>
  <si>
    <t>livarot</t>
  </si>
  <si>
    <t>R1635</t>
  </si>
  <si>
    <t>R1636</t>
  </si>
  <si>
    <t>mahón</t>
  </si>
  <si>
    <t>mahon</t>
  </si>
  <si>
    <t>R1637</t>
  </si>
  <si>
    <t>manchego</t>
  </si>
  <si>
    <t>R1638</t>
  </si>
  <si>
    <t>manouri</t>
  </si>
  <si>
    <t>R1639</t>
  </si>
  <si>
    <t>maroilles</t>
  </si>
  <si>
    <t>R1640</t>
  </si>
  <si>
    <t>mascarpone</t>
  </si>
  <si>
    <t>R1641</t>
  </si>
  <si>
    <t>matière grasse laitière</t>
  </si>
  <si>
    <t>matiere grasse laitiere</t>
  </si>
  <si>
    <t>R1642</t>
  </si>
  <si>
    <t>R1643</t>
  </si>
  <si>
    <t>milkshake</t>
  </si>
  <si>
    <t>R1644</t>
  </si>
  <si>
    <t>R1645</t>
  </si>
  <si>
    <t>mont d'or</t>
  </si>
  <si>
    <t>mont d or</t>
  </si>
  <si>
    <t>R1646</t>
  </si>
  <si>
    <t>monterey jack</t>
  </si>
  <si>
    <t>R1647</t>
  </si>
  <si>
    <t>R1648</t>
  </si>
  <si>
    <t>R1649</t>
  </si>
  <si>
    <t>mozzarella di bufala</t>
  </si>
  <si>
    <t>R1650</t>
  </si>
  <si>
    <t>R1651</t>
  </si>
  <si>
    <t>nabulsi</t>
  </si>
  <si>
    <t>R1652</t>
  </si>
  <si>
    <t>neufchâtel</t>
  </si>
  <si>
    <t>neufchatel</t>
  </si>
  <si>
    <t>R1653</t>
  </si>
  <si>
    <t>ossau-iraty</t>
  </si>
  <si>
    <t>R1654</t>
  </si>
  <si>
    <t>paneer</t>
  </si>
  <si>
    <t>R1655</t>
  </si>
  <si>
    <t>R1656</t>
  </si>
  <si>
    <t>parmesan râpé</t>
  </si>
  <si>
    <t>parmesan rape</t>
  </si>
  <si>
    <t>R1657</t>
  </si>
  <si>
    <t>parmigiano</t>
  </si>
  <si>
    <t>R1658</t>
  </si>
  <si>
    <t>parmigiano reggiano</t>
  </si>
  <si>
    <t>R1659</t>
  </si>
  <si>
    <t>pâte molle</t>
  </si>
  <si>
    <t>pate molle</t>
  </si>
  <si>
    <t>R1660</t>
  </si>
  <si>
    <t>pâte persillée</t>
  </si>
  <si>
    <t>pate persillee</t>
  </si>
  <si>
    <t>R1661</t>
  </si>
  <si>
    <t>pâte pressée</t>
  </si>
  <si>
    <t>pate pressee</t>
  </si>
  <si>
    <t>R1662</t>
  </si>
  <si>
    <t>pecorino</t>
  </si>
  <si>
    <t>R1663</t>
  </si>
  <si>
    <t>pecorino romano</t>
  </si>
  <si>
    <t>R1664</t>
  </si>
  <si>
    <t>pélardon</t>
  </si>
  <si>
    <t>pelardon</t>
  </si>
  <si>
    <t>R1665</t>
  </si>
  <si>
    <t>pepper jack</t>
  </si>
  <si>
    <t>R1666</t>
  </si>
  <si>
    <t>perméat de lait</t>
  </si>
  <si>
    <t>permeat de lait</t>
  </si>
  <si>
    <t>R1667</t>
  </si>
  <si>
    <t>R1668</t>
  </si>
  <si>
    <t>R1669</t>
  </si>
  <si>
    <t>philadelphia</t>
  </si>
  <si>
    <t>R1670</t>
  </si>
  <si>
    <t>picodon</t>
  </si>
  <si>
    <t>R1671</t>
  </si>
  <si>
    <t>plateau de fromages</t>
  </si>
  <si>
    <t>R1672</t>
  </si>
  <si>
    <t>pont l évêque</t>
  </si>
  <si>
    <t>R1673</t>
  </si>
  <si>
    <t>port-salut</t>
  </si>
  <si>
    <t>R1674</t>
  </si>
  <si>
    <t>poudre de lactosérum</t>
  </si>
  <si>
    <t>poudre de lactoserum</t>
  </si>
  <si>
    <t>R1675</t>
  </si>
  <si>
    <t>R1676</t>
  </si>
  <si>
    <t>poudre de lait écrémé</t>
  </si>
  <si>
    <t>poudre de lait ecreme</t>
  </si>
  <si>
    <t>R1677</t>
  </si>
  <si>
    <t>protéine de lait</t>
  </si>
  <si>
    <t>R1678</t>
  </si>
  <si>
    <t>protéine laitière</t>
  </si>
  <si>
    <t>proteine laitiere</t>
  </si>
  <si>
    <t>R1679</t>
  </si>
  <si>
    <t>protéines de lactosérum</t>
  </si>
  <si>
    <t>proteines de lactoserum</t>
  </si>
  <si>
    <t>R1680</t>
  </si>
  <si>
    <t>protéines de lait</t>
  </si>
  <si>
    <t>R1681</t>
  </si>
  <si>
    <t>provolone</t>
  </si>
  <si>
    <t>R1682</t>
  </si>
  <si>
    <t>quark</t>
  </si>
  <si>
    <t>R1683</t>
  </si>
  <si>
    <t>queso blanco</t>
  </si>
  <si>
    <t>R1684</t>
  </si>
  <si>
    <t>queso fresco</t>
  </si>
  <si>
    <t>R1685</t>
  </si>
  <si>
    <t>R1686</t>
  </si>
  <si>
    <t>R1687</t>
  </si>
  <si>
    <t>red leicester</t>
  </si>
  <si>
    <t>R1688</t>
  </si>
  <si>
    <t>ricotta</t>
  </si>
  <si>
    <t>R1689</t>
  </si>
  <si>
    <t>rigotte de condrieu</t>
  </si>
  <si>
    <t>R1690</t>
  </si>
  <si>
    <t>rocamadour</t>
  </si>
  <si>
    <t>R1691</t>
  </si>
  <si>
    <t>R1692</t>
  </si>
  <si>
    <t>saint-félicien</t>
  </si>
  <si>
    <t>saint felicien</t>
  </si>
  <si>
    <t>R1693</t>
  </si>
  <si>
    <t>saint-marcellin</t>
  </si>
  <si>
    <t>R1694</t>
  </si>
  <si>
    <t>saint môret</t>
  </si>
  <si>
    <t>R1695</t>
  </si>
  <si>
    <t>R1696</t>
  </si>
  <si>
    <t>sainte-maure de touraine</t>
  </si>
  <si>
    <t>sainte maure de touraine</t>
  </si>
  <si>
    <t>R1697</t>
  </si>
  <si>
    <t>salers</t>
  </si>
  <si>
    <t>R1698</t>
  </si>
  <si>
    <t>sauce à la crème</t>
  </si>
  <si>
    <t>sauce a la creme</t>
  </si>
  <si>
    <t>R1699</t>
  </si>
  <si>
    <t>sauce au beurre</t>
  </si>
  <si>
    <t>R1700</t>
  </si>
  <si>
    <t>sauce au fromage</t>
  </si>
  <si>
    <t>R1701</t>
  </si>
  <si>
    <t>sauce fromagère</t>
  </si>
  <si>
    <t>sauce fromagere</t>
  </si>
  <si>
    <t>R1702</t>
  </si>
  <si>
    <t>sbrinz</t>
  </si>
  <si>
    <t>R1703</t>
  </si>
  <si>
    <t>scamorza</t>
  </si>
  <si>
    <t>R1704</t>
  </si>
  <si>
    <t>sélection de fromages</t>
  </si>
  <si>
    <t>selection de fromages</t>
  </si>
  <si>
    <t>R1705</t>
  </si>
  <si>
    <t>selles-sur-cher</t>
  </si>
  <si>
    <t>selles sur cher</t>
  </si>
  <si>
    <t>R1706</t>
  </si>
  <si>
    <t>serra da estrela</t>
  </si>
  <si>
    <t>R1707</t>
  </si>
  <si>
    <t>skyr</t>
  </si>
  <si>
    <t>R1708</t>
  </si>
  <si>
    <t>smoothie lacté</t>
  </si>
  <si>
    <t>smoothie lacte</t>
  </si>
  <si>
    <t>R1709</t>
  </si>
  <si>
    <t>solides du lait</t>
  </si>
  <si>
    <t>R1710</t>
  </si>
  <si>
    <t>soumaintrain</t>
  </si>
  <si>
    <t>R1711</t>
  </si>
  <si>
    <t>sour cream</t>
  </si>
  <si>
    <t>R1712</t>
  </si>
  <si>
    <t>stilton</t>
  </si>
  <si>
    <t>R1713</t>
  </si>
  <si>
    <t>stracchino</t>
  </si>
  <si>
    <t>R1714</t>
  </si>
  <si>
    <t>stracciatella</t>
  </si>
  <si>
    <t>R1715</t>
  </si>
  <si>
    <t>sulguni</t>
  </si>
  <si>
    <t>R1716</t>
  </si>
  <si>
    <t>taleggio</t>
  </si>
  <si>
    <t>R1717</t>
  </si>
  <si>
    <t>tartare fromage</t>
  </si>
  <si>
    <t>R1718</t>
  </si>
  <si>
    <t>tête de moine</t>
  </si>
  <si>
    <t>tete de moine</t>
  </si>
  <si>
    <t>R1719</t>
  </si>
  <si>
    <t>tetilla</t>
  </si>
  <si>
    <t>R1720</t>
  </si>
  <si>
    <t>tome</t>
  </si>
  <si>
    <t>R1721</t>
  </si>
  <si>
    <t>tome des bauges</t>
  </si>
  <si>
    <t>R1722</t>
  </si>
  <si>
    <t>R1723</t>
  </si>
  <si>
    <t>tomme de savoie</t>
  </si>
  <si>
    <t>R1724</t>
  </si>
  <si>
    <t>R1725</t>
  </si>
  <si>
    <t>vacherin fribourgeois</t>
  </si>
  <si>
    <t>R1726</t>
  </si>
  <si>
    <t>vacherin mont d'or</t>
  </si>
  <si>
    <t>vacherin mont d or</t>
  </si>
  <si>
    <t>R1727</t>
  </si>
  <si>
    <t>valençay</t>
  </si>
  <si>
    <t>valencay</t>
  </si>
  <si>
    <t>R1728</t>
  </si>
  <si>
    <t>vieux pané</t>
  </si>
  <si>
    <t>vieux pane</t>
  </si>
  <si>
    <t>R1729</t>
  </si>
  <si>
    <t>wensleydale</t>
  </si>
  <si>
    <t>R1730</t>
  </si>
  <si>
    <t>R1731</t>
  </si>
  <si>
    <t>whey protein</t>
  </si>
  <si>
    <t>R1732</t>
  </si>
  <si>
    <t>whipping cream</t>
  </si>
  <si>
    <t>R1733</t>
  </si>
  <si>
    <t>R1734</t>
  </si>
  <si>
    <t>yaourt glacé</t>
  </si>
  <si>
    <t>yaourt glace</t>
  </si>
  <si>
    <t>R1735</t>
  </si>
  <si>
    <t>yaourt grec</t>
  </si>
  <si>
    <t>R1736</t>
  </si>
  <si>
    <t>yoghourt</t>
  </si>
  <si>
    <t>R1737</t>
  </si>
  <si>
    <t>yoghurt</t>
  </si>
  <si>
    <t>R1738</t>
  </si>
  <si>
    <t>R1739</t>
  </si>
  <si>
    <t>yogourt grec</t>
  </si>
  <si>
    <t>R1740</t>
  </si>
  <si>
    <t>yogurt</t>
  </si>
  <si>
    <t>R1741</t>
  </si>
  <si>
    <t>almond butter</t>
  </si>
  <si>
    <t>R1742</t>
  </si>
  <si>
    <t>almond milk</t>
  </si>
  <si>
    <t>R1743</t>
  </si>
  <si>
    <t>alternative végétale au fromage</t>
  </si>
  <si>
    <t>alternative vegetale au fromage</t>
  </si>
  <si>
    <t>Expression végétale ou non laitière neutralisant un faux positif.</t>
  </si>
  <si>
    <t>R1744</t>
  </si>
  <si>
    <t>Évite un faux positif.</t>
  </si>
  <si>
    <t>R1745</t>
  </si>
  <si>
    <t>R1746</t>
  </si>
  <si>
    <t>R1747</t>
  </si>
  <si>
    <t>R1748</t>
  </si>
  <si>
    <t>R1749</t>
  </si>
  <si>
    <t>R1750</t>
  </si>
  <si>
    <t>beurre de karité</t>
  </si>
  <si>
    <t>beurre de karite</t>
  </si>
  <si>
    <t>R1751</t>
  </si>
  <si>
    <t>R1752</t>
  </si>
  <si>
    <t>boisson végétale</t>
  </si>
  <si>
    <t>R1753</t>
  </si>
  <si>
    <t>cashew butter</t>
  </si>
  <si>
    <t>R1754</t>
  </si>
  <si>
    <t>cashew milk</t>
  </si>
  <si>
    <t>R1755</t>
  </si>
  <si>
    <t>cheddar vegan</t>
  </si>
  <si>
    <t>R1756</t>
  </si>
  <si>
    <t>cocoa butter</t>
  </si>
  <si>
    <t>R1757</t>
  </si>
  <si>
    <t>coconut cream</t>
  </si>
  <si>
    <t>R1758</t>
  </si>
  <si>
    <t>coconut milk</t>
  </si>
  <si>
    <t>R1759</t>
  </si>
  <si>
    <t>crème d'amande</t>
  </si>
  <si>
    <t>R1760</t>
  </si>
  <si>
    <t>crème d'avoine</t>
  </si>
  <si>
    <t>R1761</t>
  </si>
  <si>
    <t>crème de cacao</t>
  </si>
  <si>
    <t>creme de cacao</t>
  </si>
  <si>
    <t>R1762</t>
  </si>
  <si>
    <t>crème de cajou</t>
  </si>
  <si>
    <t>R1763</t>
  </si>
  <si>
    <t>crème de cassis</t>
  </si>
  <si>
    <t>creme de cassis</t>
  </si>
  <si>
    <t>R1764</t>
  </si>
  <si>
    <t>crème de coco</t>
  </si>
  <si>
    <t>R1765</t>
  </si>
  <si>
    <t>crème de marrons</t>
  </si>
  <si>
    <t>creme de marrons</t>
  </si>
  <si>
    <t>R1766</t>
  </si>
  <si>
    <t>crème de menthe</t>
  </si>
  <si>
    <t>creme de menthe</t>
  </si>
  <si>
    <t>R1767</t>
  </si>
  <si>
    <t>crème de riz</t>
  </si>
  <si>
    <t>R1768</t>
  </si>
  <si>
    <t>Cuisine/Glacier/Bar</t>
  </si>
  <si>
    <t>Boisson ou crème végétale : ne doit pas déclencher l’allergène lait.</t>
  </si>
  <si>
    <t>R1769</t>
  </si>
  <si>
    <t>crème végétale</t>
  </si>
  <si>
    <t>R1770</t>
  </si>
  <si>
    <t>fauxmage</t>
  </si>
  <si>
    <t>R1771</t>
  </si>
  <si>
    <t>fromage de tête</t>
  </si>
  <si>
    <t>fromage de tete</t>
  </si>
  <si>
    <t>R1772</t>
  </si>
  <si>
    <t>fromage vegan</t>
  </si>
  <si>
    <t>R1773</t>
  </si>
  <si>
    <t>fromage végétal</t>
  </si>
  <si>
    <t>fromage vegetal</t>
  </si>
  <si>
    <t>R1774</t>
  </si>
  <si>
    <t>R1775</t>
  </si>
  <si>
    <t>R1776</t>
  </si>
  <si>
    <t>R1777</t>
  </si>
  <si>
    <t>lait de chanvre</t>
  </si>
  <si>
    <t>R1778</t>
  </si>
  <si>
    <t>R1779</t>
  </si>
  <si>
    <t>R1780</t>
  </si>
  <si>
    <t>lait de quinoa</t>
  </si>
  <si>
    <t>R1781</t>
  </si>
  <si>
    <t>R1782</t>
  </si>
  <si>
    <t>R1783</t>
  </si>
  <si>
    <t>lait végétal</t>
  </si>
  <si>
    <t>lait vegetal</t>
  </si>
  <si>
    <t>R1784</t>
  </si>
  <si>
    <t>mozzarella végétale</t>
  </si>
  <si>
    <t>mozzarella vegetale</t>
  </si>
  <si>
    <t>R1785</t>
  </si>
  <si>
    <t>oat milk</t>
  </si>
  <si>
    <t>R1786</t>
  </si>
  <si>
    <t>parmesan vegan</t>
  </si>
  <si>
    <t>R1787</t>
  </si>
  <si>
    <t>parmesan végétal</t>
  </si>
  <si>
    <t>parmesan vegetal</t>
  </si>
  <si>
    <t>R1788</t>
  </si>
  <si>
    <t>R1789</t>
  </si>
  <si>
    <t>rice milk</t>
  </si>
  <si>
    <t>R1790</t>
  </si>
  <si>
    <t>R1791</t>
  </si>
  <si>
    <t>alfredo</t>
  </si>
  <si>
    <t>Produit composé généralement laitier : contrôler recette et fiche fournisseur.</t>
  </si>
  <si>
    <t>R1792</t>
  </si>
  <si>
    <t>aligot</t>
  </si>
  <si>
    <t>R1793</t>
  </si>
  <si>
    <t>R1794</t>
  </si>
  <si>
    <t>R1795</t>
  </si>
  <si>
    <t>béchamel</t>
  </si>
  <si>
    <t>R1796</t>
  </si>
  <si>
    <t>R1797</t>
  </si>
  <si>
    <t>R1798</t>
  </si>
  <si>
    <t>R1799</t>
  </si>
  <si>
    <t>R1800</t>
  </si>
  <si>
    <t>R1801</t>
  </si>
  <si>
    <t>R1802</t>
  </si>
  <si>
    <t>cheesecake</t>
  </si>
  <si>
    <t>R1803</t>
  </si>
  <si>
    <t>chocolat chaud</t>
  </si>
  <si>
    <t>R1804</t>
  </si>
  <si>
    <t>R1805</t>
  </si>
  <si>
    <t>cocktail crémeux</t>
  </si>
  <si>
    <t>cocktail cremeux</t>
  </si>
  <si>
    <t>R1806</t>
  </si>
  <si>
    <t>R1807</t>
  </si>
  <si>
    <t>R1808</t>
  </si>
  <si>
    <t>R1809</t>
  </si>
  <si>
    <t>R1810</t>
  </si>
  <si>
    <t>R1811</t>
  </si>
  <si>
    <t>crème dessert</t>
  </si>
  <si>
    <t>R1812</t>
  </si>
  <si>
    <t>crème diplomate</t>
  </si>
  <si>
    <t>creme diplomate</t>
  </si>
  <si>
    <t>R1813</t>
  </si>
  <si>
    <t>crème mousseline</t>
  </si>
  <si>
    <t>creme mousseline</t>
  </si>
  <si>
    <t>R1814</t>
  </si>
  <si>
    <t>R1815</t>
  </si>
  <si>
    <t>R1816</t>
  </si>
  <si>
    <t>croque-monsieur</t>
  </si>
  <si>
    <t>R1817</t>
  </si>
  <si>
    <t>croziflette</t>
  </si>
  <si>
    <t>R1818</t>
  </si>
  <si>
    <t>R1819</t>
  </si>
  <si>
    <t>espresso martini crémeux</t>
  </si>
  <si>
    <t>espresso martini cremeux</t>
  </si>
  <si>
    <t>R1820</t>
  </si>
  <si>
    <t>R1821</t>
  </si>
  <si>
    <t>R1822</t>
  </si>
  <si>
    <t>flan pâtissier</t>
  </si>
  <si>
    <t>R1823</t>
  </si>
  <si>
    <t>fondue au fromage</t>
  </si>
  <si>
    <t>R1824</t>
  </si>
  <si>
    <t>fondue savoyarde</t>
  </si>
  <si>
    <t>R1825</t>
  </si>
  <si>
    <t>R1826</t>
  </si>
  <si>
    <t>R1827</t>
  </si>
  <si>
    <t>glace artisanale</t>
  </si>
  <si>
    <t>R1828</t>
  </si>
  <si>
    <t>glace italienne</t>
  </si>
  <si>
    <t>R1829</t>
  </si>
  <si>
    <t>gratin</t>
  </si>
  <si>
    <t>R1830</t>
  </si>
  <si>
    <t>gratin dauphinois</t>
  </si>
  <si>
    <t>R1831</t>
  </si>
  <si>
    <t>gratin de pommes de terre</t>
  </si>
  <si>
    <t>R1832</t>
  </si>
  <si>
    <t>irish coffee</t>
  </si>
  <si>
    <t>R1833</t>
  </si>
  <si>
    <t>liqueur à la crème</t>
  </si>
  <si>
    <t>liqueur a la creme</t>
  </si>
  <si>
    <t>R1834</t>
  </si>
  <si>
    <t>R1835</t>
  </si>
  <si>
    <t>R1836</t>
  </si>
  <si>
    <t>R1837</t>
  </si>
  <si>
    <t>mousseline de poisson</t>
  </si>
  <si>
    <t>R1838</t>
  </si>
  <si>
    <t>pain au lait</t>
  </si>
  <si>
    <t>R1839</t>
  </si>
  <si>
    <t>R1840</t>
  </si>
  <si>
    <t>pâté en croûte</t>
  </si>
  <si>
    <t>R1841</t>
  </si>
  <si>
    <t>pesto</t>
  </si>
  <si>
    <t>R1842</t>
  </si>
  <si>
    <t>piña colada</t>
  </si>
  <si>
    <t>pina colada</t>
  </si>
  <si>
    <t>R1843</t>
  </si>
  <si>
    <t>pommes dauphine</t>
  </si>
  <si>
    <t>R1844</t>
  </si>
  <si>
    <t>pommes duchesse</t>
  </si>
  <si>
    <t>R1845</t>
  </si>
  <si>
    <t>purée</t>
  </si>
  <si>
    <t>puree</t>
  </si>
  <si>
    <t>R1846</t>
  </si>
  <si>
    <t>purée instantanée</t>
  </si>
  <si>
    <t>puree instantanee</t>
  </si>
  <si>
    <t>R1847</t>
  </si>
  <si>
    <t>purée maison</t>
  </si>
  <si>
    <t>puree maison</t>
  </si>
  <si>
    <t>R1848</t>
  </si>
  <si>
    <t>R1849</t>
  </si>
  <si>
    <t>R1850</t>
  </si>
  <si>
    <t>raclette savoyarde</t>
  </si>
  <si>
    <t>R1851</t>
  </si>
  <si>
    <t>risotto crémeux</t>
  </si>
  <si>
    <t>risotto cremeux</t>
  </si>
  <si>
    <t>R1852</t>
  </si>
  <si>
    <t>R1853</t>
  </si>
  <si>
    <t>R1854</t>
  </si>
  <si>
    <t>sauce blanche</t>
  </si>
  <si>
    <t>R1855</t>
  </si>
  <si>
    <t>R1856</t>
  </si>
  <si>
    <t>sauce pesto</t>
  </si>
  <si>
    <t>R1857</t>
  </si>
  <si>
    <t>sauce suprême</t>
  </si>
  <si>
    <t>R1858</t>
  </si>
  <si>
    <t>R1859</t>
  </si>
  <si>
    <t>R1860</t>
  </si>
  <si>
    <t>smoothie</t>
  </si>
  <si>
    <t>R1861</t>
  </si>
  <si>
    <t>soft serve</t>
  </si>
  <si>
    <t>R1862</t>
  </si>
  <si>
    <t>R1863</t>
  </si>
  <si>
    <t>sundae</t>
  </si>
  <si>
    <t>R1864</t>
  </si>
  <si>
    <t>R1865</t>
  </si>
  <si>
    <t>R1866</t>
  </si>
  <si>
    <t>R1867</t>
  </si>
  <si>
    <t>truffade</t>
  </si>
  <si>
    <t>R1868</t>
  </si>
  <si>
    <t>velouté</t>
  </si>
  <si>
    <t>veloute</t>
  </si>
  <si>
    <t>R1869</t>
  </si>
  <si>
    <t>R1870</t>
  </si>
  <si>
    <t>white russian</t>
  </si>
  <si>
    <t>R1871</t>
  </si>
  <si>
    <t>R1872</t>
  </si>
  <si>
    <t>R1873</t>
  </si>
  <si>
    <t>R1874</t>
  </si>
  <si>
    <t>R1875</t>
  </si>
  <si>
    <t>R1876</t>
  </si>
  <si>
    <t>R1877</t>
  </si>
  <si>
    <t>R1878</t>
  </si>
  <si>
    <t>R1879</t>
  </si>
  <si>
    <t>R1880</t>
  </si>
  <si>
    <t>R1881</t>
  </si>
  <si>
    <t>almonds</t>
  </si>
  <si>
    <t>R1882</t>
  </si>
  <si>
    <t>Fruit à coque réglementaire ou dérivé.</t>
  </si>
  <si>
    <t>R1883</t>
  </si>
  <si>
    <t>R1884</t>
  </si>
  <si>
    <t>baklava</t>
  </si>
  <si>
    <t>R1885</t>
  </si>
  <si>
    <t>baklawa</t>
  </si>
  <si>
    <t>R1886</t>
  </si>
  <si>
    <t>R1887</t>
  </si>
  <si>
    <t>brazil nuts</t>
  </si>
  <si>
    <t>R1888</t>
  </si>
  <si>
    <t>R1889</t>
  </si>
  <si>
    <t>R1890</t>
  </si>
  <si>
    <t>R1891</t>
  </si>
  <si>
    <t>cashews</t>
  </si>
  <si>
    <t>R1892</t>
  </si>
  <si>
    <t>cerneau de noix</t>
  </si>
  <si>
    <t>R1893</t>
  </si>
  <si>
    <t>cerneaux de noix</t>
  </si>
  <si>
    <t>R1894</t>
  </si>
  <si>
    <t>R1895</t>
  </si>
  <si>
    <t>R1896</t>
  </si>
  <si>
    <t>R1897</t>
  </si>
  <si>
    <t>R1898</t>
  </si>
  <si>
    <t>R1899</t>
  </si>
  <si>
    <t>hazelnuts</t>
  </si>
  <si>
    <t>R1900</t>
  </si>
  <si>
    <t>huile de noix</t>
  </si>
  <si>
    <t>R1901</t>
  </si>
  <si>
    <t>huile de pistache</t>
  </si>
  <si>
    <t>R1902</t>
  </si>
  <si>
    <t>R1903</t>
  </si>
  <si>
    <t>R1904</t>
  </si>
  <si>
    <t>R1905</t>
  </si>
  <si>
    <t>macadamia nut</t>
  </si>
  <si>
    <t>R1906</t>
  </si>
  <si>
    <t>macadamia nuts</t>
  </si>
  <si>
    <t>R1907</t>
  </si>
  <si>
    <t>R1908</t>
  </si>
  <si>
    <t>massepain</t>
  </si>
  <si>
    <t>R1909</t>
  </si>
  <si>
    <t>R1910</t>
  </si>
  <si>
    <t>R1911</t>
  </si>
  <si>
    <t>R1912</t>
  </si>
  <si>
    <t>R1913</t>
  </si>
  <si>
    <t>R1914</t>
  </si>
  <si>
    <t>R1915</t>
  </si>
  <si>
    <t>noix du brésil</t>
  </si>
  <si>
    <t>R1916</t>
  </si>
  <si>
    <t>R1917</t>
  </si>
  <si>
    <t>R1918</t>
  </si>
  <si>
    <t>nougatine</t>
  </si>
  <si>
    <t>R1919</t>
  </si>
  <si>
    <t>pacane</t>
  </si>
  <si>
    <t>R1920</t>
  </si>
  <si>
    <t>pâte d amande</t>
  </si>
  <si>
    <t>R1921</t>
  </si>
  <si>
    <t>pâte de pistache</t>
  </si>
  <si>
    <t>R1922</t>
  </si>
  <si>
    <t>pécan</t>
  </si>
  <si>
    <t>R1923</t>
  </si>
  <si>
    <t>R1924</t>
  </si>
  <si>
    <t>R1925</t>
  </si>
  <si>
    <t>R1926</t>
  </si>
  <si>
    <t>R1927</t>
  </si>
  <si>
    <t>pistachios</t>
  </si>
  <si>
    <t>R1928</t>
  </si>
  <si>
    <t>R1929</t>
  </si>
  <si>
    <t>R1930</t>
  </si>
  <si>
    <t>poudre de pistache</t>
  </si>
  <si>
    <t>R1931</t>
  </si>
  <si>
    <t>pralin</t>
  </si>
  <si>
    <t>R1932</t>
  </si>
  <si>
    <t>praliné</t>
  </si>
  <si>
    <t>R1933</t>
  </si>
  <si>
    <t>purée d amande</t>
  </si>
  <si>
    <t>puree d amande</t>
  </si>
  <si>
    <t>R1934</t>
  </si>
  <si>
    <t>purée de cajou</t>
  </si>
  <si>
    <t>puree de cajou</t>
  </si>
  <si>
    <t>R1935</t>
  </si>
  <si>
    <t>purée de noisette</t>
  </si>
  <si>
    <t>puree de noisette</t>
  </si>
  <si>
    <t>R1936</t>
  </si>
  <si>
    <t>R1937</t>
  </si>
  <si>
    <t>walnuts</t>
  </si>
  <si>
    <t>R1938</t>
  </si>
  <si>
    <t>R1939</t>
  </si>
  <si>
    <t>R1940</t>
  </si>
  <si>
    <t>châtaigne</t>
  </si>
  <si>
    <t>R1941</t>
  </si>
  <si>
    <t>châtaignes</t>
  </si>
  <si>
    <t>R1942</t>
  </si>
  <si>
    <t>R1943</t>
  </si>
  <si>
    <t>eau de coco</t>
  </si>
  <si>
    <t>R1944</t>
  </si>
  <si>
    <t>graine de pin</t>
  </si>
  <si>
    <t>R1945</t>
  </si>
  <si>
    <t>R1946</t>
  </si>
  <si>
    <t>R1947</t>
  </si>
  <si>
    <t>R1948</t>
  </si>
  <si>
    <t>R1949</t>
  </si>
  <si>
    <t>R1950</t>
  </si>
  <si>
    <t>noix de bœuf</t>
  </si>
  <si>
    <t>noix de boeuf</t>
  </si>
  <si>
    <t>R1951</t>
  </si>
  <si>
    <t>R1952</t>
  </si>
  <si>
    <t>noix de joue</t>
  </si>
  <si>
    <t>R1953</t>
  </si>
  <si>
    <t>noix de kola</t>
  </si>
  <si>
    <t>R1954</t>
  </si>
  <si>
    <t>R1955</t>
  </si>
  <si>
    <t>R1956</t>
  </si>
  <si>
    <t>R1957</t>
  </si>
  <si>
    <t>noix de veau</t>
  </si>
  <si>
    <t>R1958</t>
  </si>
  <si>
    <t>pignon</t>
  </si>
  <si>
    <t>R1959</t>
  </si>
  <si>
    <t>R1960</t>
  </si>
  <si>
    <t>pignons</t>
  </si>
  <si>
    <t>R1961</t>
  </si>
  <si>
    <t>amaretto</t>
  </si>
  <si>
    <t>R1962</t>
  </si>
  <si>
    <t>chocolat fourré</t>
  </si>
  <si>
    <t>chocolat fourre</t>
  </si>
  <si>
    <t>R1963</t>
  </si>
  <si>
    <t>falernum</t>
  </si>
  <si>
    <t>R1964</t>
  </si>
  <si>
    <t>R1965</t>
  </si>
  <si>
    <t>R1966</t>
  </si>
  <si>
    <t>frangelico</t>
  </si>
  <si>
    <t>R1967</t>
  </si>
  <si>
    <t>glace pralinée</t>
  </si>
  <si>
    <t>glace pralinee</t>
  </si>
  <si>
    <t>R1968</t>
  </si>
  <si>
    <t>granola</t>
  </si>
  <si>
    <t>R1969</t>
  </si>
  <si>
    <t>R1970</t>
  </si>
  <si>
    <t>macarons</t>
  </si>
  <si>
    <t>R1971</t>
  </si>
  <si>
    <t>muesli</t>
  </si>
  <si>
    <t>R1972</t>
  </si>
  <si>
    <t>nocino</t>
  </si>
  <si>
    <t>R1973</t>
  </si>
  <si>
    <t>nougat glacé</t>
  </si>
  <si>
    <t>nougat glace</t>
  </si>
  <si>
    <t>R1974</t>
  </si>
  <si>
    <t>orgeat</t>
  </si>
  <si>
    <t>R1975</t>
  </si>
  <si>
    <t>R1976</t>
  </si>
  <si>
    <t>pistou</t>
  </si>
  <si>
    <t>R1977</t>
  </si>
  <si>
    <t>praliné feuilleté</t>
  </si>
  <si>
    <t>praline feuillete</t>
  </si>
  <si>
    <t>R1978</t>
  </si>
  <si>
    <t>Céleri ou dérivé.</t>
  </si>
  <si>
    <t>R1979</t>
  </si>
  <si>
    <t>céleri branche</t>
  </si>
  <si>
    <t>R1980</t>
  </si>
  <si>
    <t>céleri rave</t>
  </si>
  <si>
    <t>R1981</t>
  </si>
  <si>
    <t>celeriac</t>
  </si>
  <si>
    <t>R1982</t>
  </si>
  <si>
    <t>R1983</t>
  </si>
  <si>
    <t>extrait de céleri</t>
  </si>
  <si>
    <t>extrait de celeri</t>
  </si>
  <si>
    <t>R1984</t>
  </si>
  <si>
    <t>feuille de céleri</t>
  </si>
  <si>
    <t>R1985</t>
  </si>
  <si>
    <t>feuilles de céleri</t>
  </si>
  <si>
    <t>R1986</t>
  </si>
  <si>
    <t>graine de céleri</t>
  </si>
  <si>
    <t>R1987</t>
  </si>
  <si>
    <t>graines de céleri</t>
  </si>
  <si>
    <t>R1988</t>
  </si>
  <si>
    <t>huile essentielle de céleri</t>
  </si>
  <si>
    <t>huile essentielle de celeri</t>
  </si>
  <si>
    <t>R1989</t>
  </si>
  <si>
    <t>jus de céleri</t>
  </si>
  <si>
    <t>jus de celeri</t>
  </si>
  <si>
    <t>R1990</t>
  </si>
  <si>
    <t>poudre de céleri</t>
  </si>
  <si>
    <t>poudre de celeri</t>
  </si>
  <si>
    <t>R1991</t>
  </si>
  <si>
    <t>sel de céleri</t>
  </si>
  <si>
    <t>R1992</t>
  </si>
  <si>
    <t>R1993</t>
  </si>
  <si>
    <t>bouillon de légumes</t>
  </si>
  <si>
    <t>bouillon de legumes</t>
  </si>
  <si>
    <t>R1994</t>
  </si>
  <si>
    <t>R1995</t>
  </si>
  <si>
    <t>court bouillon</t>
  </si>
  <si>
    <t>R1996</t>
  </si>
  <si>
    <t>R1997</t>
  </si>
  <si>
    <t>R1998</t>
  </si>
  <si>
    <t>fond de veau</t>
  </si>
  <si>
    <t>R1999</t>
  </si>
  <si>
    <t>jus de légumes</t>
  </si>
  <si>
    <t>jus de legumes</t>
  </si>
  <si>
    <t>R2000</t>
  </si>
  <si>
    <t>mirepoix</t>
  </si>
  <si>
    <t>R2001</t>
  </si>
  <si>
    <t>R2002</t>
  </si>
  <si>
    <t>potage industriel</t>
  </si>
  <si>
    <t>R2003</t>
  </si>
  <si>
    <t>R2004</t>
  </si>
  <si>
    <t>sel aromatisé</t>
  </si>
  <si>
    <t>sel aromatise</t>
  </si>
  <si>
    <t>R2005</t>
  </si>
  <si>
    <t>soupe industrielle</t>
  </si>
  <si>
    <t>R2006</t>
  </si>
  <si>
    <t>R2007</t>
  </si>
  <si>
    <t>extrait de moutarde</t>
  </si>
  <si>
    <t>Moutarde ou dérivé.</t>
  </si>
  <si>
    <t>R2008</t>
  </si>
  <si>
    <t>R2009</t>
  </si>
  <si>
    <t>R2010</t>
  </si>
  <si>
    <t>R2011</t>
  </si>
  <si>
    <t>R2012</t>
  </si>
  <si>
    <t>mayonnaise moutardée</t>
  </si>
  <si>
    <t>mayonnaise moutardee</t>
  </si>
  <si>
    <t>R2013</t>
  </si>
  <si>
    <t>R2014</t>
  </si>
  <si>
    <t>moutarde à l ancienne</t>
  </si>
  <si>
    <t>moutarde a l ancienne</t>
  </si>
  <si>
    <t>R2015</t>
  </si>
  <si>
    <t>moutarde de dijon</t>
  </si>
  <si>
    <t>R2016</t>
  </si>
  <si>
    <t>moutarde en grains</t>
  </si>
  <si>
    <t>R2017</t>
  </si>
  <si>
    <t>R2018</t>
  </si>
  <si>
    <t>moutardes</t>
  </si>
  <si>
    <t>R2019</t>
  </si>
  <si>
    <t>R2020</t>
  </si>
  <si>
    <t>mustard seed</t>
  </si>
  <si>
    <t>R2021</t>
  </si>
  <si>
    <t>mustard seeds</t>
  </si>
  <si>
    <t>R2022</t>
  </si>
  <si>
    <t>R2023</t>
  </si>
  <si>
    <t>savora</t>
  </si>
  <si>
    <t>R2024</t>
  </si>
  <si>
    <t>vinaigrette moutardée</t>
  </si>
  <si>
    <t>vinaigrette moutardee</t>
  </si>
  <si>
    <t>R2025</t>
  </si>
  <si>
    <t>R2026</t>
  </si>
  <si>
    <t>cornichons aigres doux</t>
  </si>
  <si>
    <t>R2027</t>
  </si>
  <si>
    <t>marinade</t>
  </si>
  <si>
    <t>R2028</t>
  </si>
  <si>
    <t>R2029</t>
  </si>
  <si>
    <t>R2030</t>
  </si>
  <si>
    <t>pickles</t>
  </si>
  <si>
    <t>R2031</t>
  </si>
  <si>
    <t>sauce barbecue</t>
  </si>
  <si>
    <t>R2032</t>
  </si>
  <si>
    <t>sauce burger</t>
  </si>
  <si>
    <t>R2033</t>
  </si>
  <si>
    <t>R2034</t>
  </si>
  <si>
    <t>R2035</t>
  </si>
  <si>
    <t>R2036</t>
  </si>
  <si>
    <t>R2037</t>
  </si>
  <si>
    <t>R2038</t>
  </si>
  <si>
    <t>R2039</t>
  </si>
  <si>
    <t>R2040</t>
  </si>
  <si>
    <t>gomashio</t>
  </si>
  <si>
    <t>Sésame ou dérivé.</t>
  </si>
  <si>
    <t>R2041</t>
  </si>
  <si>
    <t>R2042</t>
  </si>
  <si>
    <t>graine de sésame</t>
  </si>
  <si>
    <t>R2043</t>
  </si>
  <si>
    <t>graines de sésame</t>
  </si>
  <si>
    <t>R2044</t>
  </si>
  <si>
    <t>halva</t>
  </si>
  <si>
    <t>R2045</t>
  </si>
  <si>
    <t>halvah</t>
  </si>
  <si>
    <t>R2046</t>
  </si>
  <si>
    <t>huile de sésame</t>
  </si>
  <si>
    <t>R2047</t>
  </si>
  <si>
    <t>nougat de sésame</t>
  </si>
  <si>
    <t>nougat de sesame</t>
  </si>
  <si>
    <t>R2048</t>
  </si>
  <si>
    <t>pâte de sésame</t>
  </si>
  <si>
    <t>R2049</t>
  </si>
  <si>
    <t>purée de sésame</t>
  </si>
  <si>
    <t>R2050</t>
  </si>
  <si>
    <t>sésame</t>
  </si>
  <si>
    <t>R2051</t>
  </si>
  <si>
    <t>sésame blanc</t>
  </si>
  <si>
    <t>sesame blanc</t>
  </si>
  <si>
    <t>R2052</t>
  </si>
  <si>
    <t>sésame noir</t>
  </si>
  <si>
    <t>sesame noir</t>
  </si>
  <si>
    <t>R2053</t>
  </si>
  <si>
    <t>sesame oil</t>
  </si>
  <si>
    <t>R2054</t>
  </si>
  <si>
    <t>sesame seed</t>
  </si>
  <si>
    <t>R2055</t>
  </si>
  <si>
    <t>sesame seeds</t>
  </si>
  <si>
    <t>R2056</t>
  </si>
  <si>
    <t>R2057</t>
  </si>
  <si>
    <t>tahina</t>
  </si>
  <si>
    <t>R2058</t>
  </si>
  <si>
    <t>R2059</t>
  </si>
  <si>
    <t>barre céréalière</t>
  </si>
  <si>
    <t>barre cerealiere</t>
  </si>
  <si>
    <t>R2060</t>
  </si>
  <si>
    <t>bun</t>
  </si>
  <si>
    <t>R2061</t>
  </si>
  <si>
    <t>buns</t>
  </si>
  <si>
    <t>R2062</t>
  </si>
  <si>
    <t>R2063</t>
  </si>
  <si>
    <t>R2064</t>
  </si>
  <si>
    <t>R2065</t>
  </si>
  <si>
    <t>R2066</t>
  </si>
  <si>
    <t>R2067</t>
  </si>
  <si>
    <t>R2068</t>
  </si>
  <si>
    <t>pain burger</t>
  </si>
  <si>
    <t>R2069</t>
  </si>
  <si>
    <t>pain libanais</t>
  </si>
  <si>
    <t>R2070</t>
  </si>
  <si>
    <t>pain oriental</t>
  </si>
  <si>
    <t>R2071</t>
  </si>
  <si>
    <t>R2072</t>
  </si>
  <si>
    <t>za atar</t>
  </si>
  <si>
    <t>R2073</t>
  </si>
  <si>
    <t>zaatar</t>
  </si>
  <si>
    <t>R2074</t>
  </si>
  <si>
    <t>acide sulfureux</t>
  </si>
  <si>
    <t>Sulfites explicitement déclarés.</t>
  </si>
  <si>
    <t>R2075</t>
  </si>
  <si>
    <t>R2076</t>
  </si>
  <si>
    <t>R2077</t>
  </si>
  <si>
    <t>R2078</t>
  </si>
  <si>
    <t>E220</t>
  </si>
  <si>
    <t>R2079</t>
  </si>
  <si>
    <t>E221</t>
  </si>
  <si>
    <t>R2080</t>
  </si>
  <si>
    <t>E222</t>
  </si>
  <si>
    <t>R2081</t>
  </si>
  <si>
    <t>E223</t>
  </si>
  <si>
    <t>R2082</t>
  </si>
  <si>
    <t>E224</t>
  </si>
  <si>
    <t>R2083</t>
  </si>
  <si>
    <t>E225</t>
  </si>
  <si>
    <t>R2084</t>
  </si>
  <si>
    <t>E226</t>
  </si>
  <si>
    <t>R2085</t>
  </si>
  <si>
    <t>E227</t>
  </si>
  <si>
    <t>R2086</t>
  </si>
  <si>
    <t>E228</t>
  </si>
  <si>
    <t>R2087</t>
  </si>
  <si>
    <t>hydrogénosulfite</t>
  </si>
  <si>
    <t>hydrogenosulfite</t>
  </si>
  <si>
    <t>R2088</t>
  </si>
  <si>
    <t>métabisulfite</t>
  </si>
  <si>
    <t>R2089</t>
  </si>
  <si>
    <t>R2090</t>
  </si>
  <si>
    <t>R2091</t>
  </si>
  <si>
    <t>R2092</t>
  </si>
  <si>
    <t>R2093</t>
  </si>
  <si>
    <t>R2094</t>
  </si>
  <si>
    <t>sulphur dioxide</t>
  </si>
  <si>
    <t>R2095</t>
  </si>
  <si>
    <t>Présence et seuil variables.</t>
  </si>
  <si>
    <t>R2096</t>
  </si>
  <si>
    <t>R2097</t>
  </si>
  <si>
    <t>cava</t>
  </si>
  <si>
    <t>R2098</t>
  </si>
  <si>
    <t>cerises confites</t>
  </si>
  <si>
    <t>R2099</t>
  </si>
  <si>
    <t>champagne</t>
  </si>
  <si>
    <t>R2100</t>
  </si>
  <si>
    <t>cidre</t>
  </si>
  <si>
    <t>R2101</t>
  </si>
  <si>
    <t>cocktail au vin</t>
  </si>
  <si>
    <t>R2102</t>
  </si>
  <si>
    <t>cocktail premix</t>
  </si>
  <si>
    <t>R2103</t>
  </si>
  <si>
    <t>crémant</t>
  </si>
  <si>
    <t>cremant</t>
  </si>
  <si>
    <t>R2104</t>
  </si>
  <si>
    <t>crevettes traitées</t>
  </si>
  <si>
    <t>crevettes traitees</t>
  </si>
  <si>
    <t>R2105</t>
  </si>
  <si>
    <t>figues sèches</t>
  </si>
  <si>
    <t>figues seches</t>
  </si>
  <si>
    <t>R2106</t>
  </si>
  <si>
    <t>fruits confits</t>
  </si>
  <si>
    <t>R2107</t>
  </si>
  <si>
    <t>fruits secs</t>
  </si>
  <si>
    <t>R2108</t>
  </si>
  <si>
    <t>jus de citron en bouteille</t>
  </si>
  <si>
    <t>R2109</t>
  </si>
  <si>
    <t>jus de lime en bouteille</t>
  </si>
  <si>
    <t>R2110</t>
  </si>
  <si>
    <t>kir</t>
  </si>
  <si>
    <t>R2111</t>
  </si>
  <si>
    <t>kir royal</t>
  </si>
  <si>
    <t>R2112</t>
  </si>
  <si>
    <t>madère</t>
  </si>
  <si>
    <t>madere</t>
  </si>
  <si>
    <t>R2113</t>
  </si>
  <si>
    <t>poiré</t>
  </si>
  <si>
    <t>R2114</t>
  </si>
  <si>
    <t>pommes de terre déshydratées</t>
  </si>
  <si>
    <t>pommes de terre deshydratees</t>
  </si>
  <si>
    <t>R2115</t>
  </si>
  <si>
    <t>porto</t>
  </si>
  <si>
    <t>R2116</t>
  </si>
  <si>
    <t>préparation cocktail</t>
  </si>
  <si>
    <t>preparation cocktail</t>
  </si>
  <si>
    <t>R2117</t>
  </si>
  <si>
    <t>prosecco</t>
  </si>
  <si>
    <t>R2118</t>
  </si>
  <si>
    <t>pruneaux</t>
  </si>
  <si>
    <t>R2119</t>
  </si>
  <si>
    <t>purée déshydratée</t>
  </si>
  <si>
    <t>puree deshydratee</t>
  </si>
  <si>
    <t>R2120</t>
  </si>
  <si>
    <t>R2121</t>
  </si>
  <si>
    <t>sangria</t>
  </si>
  <si>
    <t>R2122</t>
  </si>
  <si>
    <t>sherry</t>
  </si>
  <si>
    <t>R2123</t>
  </si>
  <si>
    <t>sirop industriel</t>
  </si>
  <si>
    <t>R2124</t>
  </si>
  <si>
    <t>spritz</t>
  </si>
  <si>
    <t>R2125</t>
  </si>
  <si>
    <t>vermouth</t>
  </si>
  <si>
    <t>R2126</t>
  </si>
  <si>
    <t>vin</t>
  </si>
  <si>
    <t>R2127</t>
  </si>
  <si>
    <t>R2128</t>
  </si>
  <si>
    <t>vin rosé</t>
  </si>
  <si>
    <t>vin rose</t>
  </si>
  <si>
    <t>R2129</t>
  </si>
  <si>
    <t>R2130</t>
  </si>
  <si>
    <t>vinaigre balsamique</t>
  </si>
  <si>
    <t>R2131</t>
  </si>
  <si>
    <t>vinaigre de cidre</t>
  </si>
  <si>
    <t>R2132</t>
  </si>
  <si>
    <t>vinaigre de vin</t>
  </si>
  <si>
    <t>R2133</t>
  </si>
  <si>
    <t>wine cocktail</t>
  </si>
  <si>
    <t>R2134</t>
  </si>
  <si>
    <t>xérès</t>
  </si>
  <si>
    <t>xeres</t>
  </si>
  <si>
    <t>R2135</t>
  </si>
  <si>
    <t>Lupin ou dérivé.</t>
  </si>
  <si>
    <t>R2136</t>
  </si>
  <si>
    <t>R2137</t>
  </si>
  <si>
    <t>R2138</t>
  </si>
  <si>
    <t>isolat de lupin</t>
  </si>
  <si>
    <t>R2139</t>
  </si>
  <si>
    <t>R2140</t>
  </si>
  <si>
    <t>lupin doux</t>
  </si>
  <si>
    <t>R2141</t>
  </si>
  <si>
    <t>R2142</t>
  </si>
  <si>
    <t>lupine flour</t>
  </si>
  <si>
    <t>R2143</t>
  </si>
  <si>
    <t>lupins</t>
  </si>
  <si>
    <t>R2144</t>
  </si>
  <si>
    <t>protéine de lupin</t>
  </si>
  <si>
    <t>R2145</t>
  </si>
  <si>
    <t>protéines de lupin</t>
  </si>
  <si>
    <t>R2146</t>
  </si>
  <si>
    <t>R2147</t>
  </si>
  <si>
    <t>R2148</t>
  </si>
  <si>
    <t>Ingrédient possible dans certaines formulations.</t>
  </si>
  <si>
    <t>R2149</t>
  </si>
  <si>
    <t>R2150</t>
  </si>
  <si>
    <t>R2151</t>
  </si>
  <si>
    <t>préparation boulangère sans gluten</t>
  </si>
  <si>
    <t>preparation boulangere sans gluten</t>
  </si>
  <si>
    <t>R2152</t>
  </si>
  <si>
    <t>R2153</t>
  </si>
  <si>
    <t>substitut d œuf</t>
  </si>
  <si>
    <t>substitut d oeuf</t>
  </si>
  <si>
    <t>R2154</t>
  </si>
  <si>
    <t>acmee</t>
  </si>
  <si>
    <t>2025-2026</t>
  </si>
  <si>
    <t>R2155</t>
  </si>
  <si>
    <t>amande de l atlantique</t>
  </si>
  <si>
    <t>R2156</t>
  </si>
  <si>
    <t>amande de mediterrannee</t>
  </si>
  <si>
    <t>R2157</t>
  </si>
  <si>
    <t>R2158</t>
  </si>
  <si>
    <t>amande du pacifique</t>
  </si>
  <si>
    <t>R2159</t>
  </si>
  <si>
    <t>Terme métier explicite ajouté après test.</t>
  </si>
  <si>
    <t>R2160</t>
  </si>
  <si>
    <t>anomie</t>
  </si>
  <si>
    <t>R2161</t>
  </si>
  <si>
    <t>arapede</t>
  </si>
  <si>
    <t>R2162</t>
  </si>
  <si>
    <t>arapede du pacifique</t>
  </si>
  <si>
    <t>R2163</t>
  </si>
  <si>
    <t>arche</t>
  </si>
  <si>
    <t>R2164</t>
  </si>
  <si>
    <t>avicule</t>
  </si>
  <si>
    <t>R2165</t>
  </si>
  <si>
    <t>berlingot de mer</t>
  </si>
  <si>
    <t>R2166</t>
  </si>
  <si>
    <t>bernique</t>
  </si>
  <si>
    <t>R2167</t>
  </si>
  <si>
    <t>R2168</t>
  </si>
  <si>
    <t>Mollusque ou dérivé explicite.</t>
  </si>
  <si>
    <t>R2169</t>
  </si>
  <si>
    <t>bucarde</t>
  </si>
  <si>
    <t>R2170</t>
  </si>
  <si>
    <t>buccin</t>
  </si>
  <si>
    <t>R2171</t>
  </si>
  <si>
    <t>buccins</t>
  </si>
  <si>
    <t>R2172</t>
  </si>
  <si>
    <t>bullie</t>
  </si>
  <si>
    <t>R2173</t>
  </si>
  <si>
    <t>R2174</t>
  </si>
  <si>
    <t>R2175</t>
  </si>
  <si>
    <t>busycon</t>
  </si>
  <si>
    <t>R2176</t>
  </si>
  <si>
    <t>R2177</t>
  </si>
  <si>
    <t>R2178</t>
  </si>
  <si>
    <t>R2179</t>
  </si>
  <si>
    <t>calmar baril</t>
  </si>
  <si>
    <t>R2180</t>
  </si>
  <si>
    <t>calmar de patagonie</t>
  </si>
  <si>
    <t>R2181</t>
  </si>
  <si>
    <t>calmar du cap</t>
  </si>
  <si>
    <t>R2182</t>
  </si>
  <si>
    <t>calmar epee</t>
  </si>
  <si>
    <t>R2183</t>
  </si>
  <si>
    <t>calmar geant</t>
  </si>
  <si>
    <t>R2184</t>
  </si>
  <si>
    <t>calmar indien</t>
  </si>
  <si>
    <t>R2185</t>
  </si>
  <si>
    <t>calmar japonais</t>
  </si>
  <si>
    <t>R2186</t>
  </si>
  <si>
    <t>calmar mignon</t>
  </si>
  <si>
    <t>R2187</t>
  </si>
  <si>
    <t>calmar mitre</t>
  </si>
  <si>
    <t>R2188</t>
  </si>
  <si>
    <t>calmar opale</t>
  </si>
  <si>
    <t>R2189</t>
  </si>
  <si>
    <t>calmar siboga</t>
  </si>
  <si>
    <t>R2190</t>
  </si>
  <si>
    <t>calmars</t>
  </si>
  <si>
    <t>R2191</t>
  </si>
  <si>
    <t>cardite</t>
  </si>
  <si>
    <t>R2192</t>
  </si>
  <si>
    <t>casque</t>
  </si>
  <si>
    <t>R2193</t>
  </si>
  <si>
    <t>casseron</t>
  </si>
  <si>
    <t>R2194</t>
  </si>
  <si>
    <t>ceratisole gousse</t>
  </si>
  <si>
    <t>R2195</t>
  </si>
  <si>
    <t>chanque</t>
  </si>
  <si>
    <t>R2196</t>
  </si>
  <si>
    <t>R2197</t>
  </si>
  <si>
    <t>clam d islande</t>
  </si>
  <si>
    <t>R2198</t>
  </si>
  <si>
    <t>clams</t>
  </si>
  <si>
    <t>R2199</t>
  </si>
  <si>
    <t>clausinelle</t>
  </si>
  <si>
    <t>R2200</t>
  </si>
  <si>
    <t>clovisse</t>
  </si>
  <si>
    <t>R2201</t>
  </si>
  <si>
    <t>conque</t>
  </si>
  <si>
    <t>R2202</t>
  </si>
  <si>
    <t>R2203</t>
  </si>
  <si>
    <t>coque du groenland</t>
  </si>
  <si>
    <t>R2204</t>
  </si>
  <si>
    <t>coque epineuse</t>
  </si>
  <si>
    <t>R2205</t>
  </si>
  <si>
    <t>R2206</t>
  </si>
  <si>
    <t>R2207</t>
  </si>
  <si>
    <t>R2208</t>
  </si>
  <si>
    <t>R2209</t>
  </si>
  <si>
    <t>R2210</t>
  </si>
  <si>
    <t>corbicule</t>
  </si>
  <si>
    <t>R2211</t>
  </si>
  <si>
    <t>R2212</t>
  </si>
  <si>
    <t>couteaux</t>
  </si>
  <si>
    <t>R2213</t>
  </si>
  <si>
    <t>crepidule</t>
  </si>
  <si>
    <t>R2214</t>
  </si>
  <si>
    <t>cuttlefish</t>
  </si>
  <si>
    <t>R2215</t>
  </si>
  <si>
    <t>cyprine</t>
  </si>
  <si>
    <t>R2216</t>
  </si>
  <si>
    <t>cyrene</t>
  </si>
  <si>
    <t>R2217</t>
  </si>
  <si>
    <t>cytheree</t>
  </si>
  <si>
    <t>R2218</t>
  </si>
  <si>
    <t>darine</t>
  </si>
  <si>
    <t>R2219</t>
  </si>
  <si>
    <t>datte de mer</t>
  </si>
  <si>
    <t>R2220</t>
  </si>
  <si>
    <t>donace</t>
  </si>
  <si>
    <t>R2221</t>
  </si>
  <si>
    <t>dosinie</t>
  </si>
  <si>
    <t>R2222</t>
  </si>
  <si>
    <t>egerie</t>
  </si>
  <si>
    <t>R2223</t>
  </si>
  <si>
    <t>R2224</t>
  </si>
  <si>
    <t>encornet bande violette</t>
  </si>
  <si>
    <t>R2225</t>
  </si>
  <si>
    <t>encornet de boston</t>
  </si>
  <si>
    <t>R2226</t>
  </si>
  <si>
    <t>encornet de californie</t>
  </si>
  <si>
    <t>R2227</t>
  </si>
  <si>
    <t>encornet de chine</t>
  </si>
  <si>
    <t>R2228</t>
  </si>
  <si>
    <t>encornet de nouvelle zelande</t>
  </si>
  <si>
    <t>R2229</t>
  </si>
  <si>
    <t>encornet geant</t>
  </si>
  <si>
    <t>R2230</t>
  </si>
  <si>
    <t>encornet rouge</t>
  </si>
  <si>
    <t>R2231</t>
  </si>
  <si>
    <t>encornet rouge argentin</t>
  </si>
  <si>
    <t>R2232</t>
  </si>
  <si>
    <t>encornet rouge nordique</t>
  </si>
  <si>
    <t>R2233</t>
  </si>
  <si>
    <t>encornet tonnelet</t>
  </si>
  <si>
    <t>R2234</t>
  </si>
  <si>
    <t>encornet veine</t>
  </si>
  <si>
    <t>R2235</t>
  </si>
  <si>
    <t>R2236</t>
  </si>
  <si>
    <t>encre de seiche</t>
  </si>
  <si>
    <t>R2237</t>
  </si>
  <si>
    <t>R2238</t>
  </si>
  <si>
    <t>R2239</t>
  </si>
  <si>
    <t>extrait d huître</t>
  </si>
  <si>
    <t>extrait d huitre</t>
  </si>
  <si>
    <t>R2240</t>
  </si>
  <si>
    <t>fasciolaire</t>
  </si>
  <si>
    <t>R2241</t>
  </si>
  <si>
    <t>fissurelle</t>
  </si>
  <si>
    <t>R2242</t>
  </si>
  <si>
    <t>flion</t>
  </si>
  <si>
    <t>R2243</t>
  </si>
  <si>
    <t>R2244</t>
  </si>
  <si>
    <t>fumet de coquillages</t>
  </si>
  <si>
    <t>R2245</t>
  </si>
  <si>
    <t>gallinette</t>
  </si>
  <si>
    <t>R2246</t>
  </si>
  <si>
    <t>gofiche</t>
  </si>
  <si>
    <t>R2247</t>
  </si>
  <si>
    <t>goufique</t>
  </si>
  <si>
    <t>R2248</t>
  </si>
  <si>
    <t>gousse</t>
  </si>
  <si>
    <t>R2249</t>
  </si>
  <si>
    <t>haricot de mer</t>
  </si>
  <si>
    <t>R2250</t>
  </si>
  <si>
    <t>huître</t>
  </si>
  <si>
    <t>R2251</t>
  </si>
  <si>
    <t>huitre capuchon</t>
  </si>
  <si>
    <t>R2252</t>
  </si>
  <si>
    <t>R2253</t>
  </si>
  <si>
    <t>huitre creuse de paletuviers</t>
  </si>
  <si>
    <t>R2254</t>
  </si>
  <si>
    <t>huitre creuse de virginie</t>
  </si>
  <si>
    <t>R2255</t>
  </si>
  <si>
    <t>huitre creuse du pacifique</t>
  </si>
  <si>
    <t>R2256</t>
  </si>
  <si>
    <t>huitre perliere</t>
  </si>
  <si>
    <t>R2257</t>
  </si>
  <si>
    <t>R2258</t>
  </si>
  <si>
    <t>huitre plate d argentine</t>
  </si>
  <si>
    <t>R2259</t>
  </si>
  <si>
    <t>huitre plate de guinee</t>
  </si>
  <si>
    <t>R2260</t>
  </si>
  <si>
    <t>huitre plate des marees</t>
  </si>
  <si>
    <t>R2261</t>
  </si>
  <si>
    <t>huitre plate du pacifique</t>
  </si>
  <si>
    <t>R2262</t>
  </si>
  <si>
    <t>huîtres</t>
  </si>
  <si>
    <t>R2263</t>
  </si>
  <si>
    <t>isocarde</t>
  </si>
  <si>
    <t>R2264</t>
  </si>
  <si>
    <t>jambonneau de mer</t>
  </si>
  <si>
    <t>R2265</t>
  </si>
  <si>
    <t>jus de coquillages</t>
  </si>
  <si>
    <t>R2266</t>
  </si>
  <si>
    <t>lambi</t>
  </si>
  <si>
    <t>R2267</t>
  </si>
  <si>
    <t>lavignon</t>
  </si>
  <si>
    <t>R2268</t>
  </si>
  <si>
    <t>littorine</t>
  </si>
  <si>
    <t>R2269</t>
  </si>
  <si>
    <t>lucine</t>
  </si>
  <si>
    <t>R2270</t>
  </si>
  <si>
    <t>lutraire</t>
  </si>
  <si>
    <t>R2271</t>
  </si>
  <si>
    <t>macome</t>
  </si>
  <si>
    <t>R2272</t>
  </si>
  <si>
    <t>mactre</t>
  </si>
  <si>
    <t>R2273</t>
  </si>
  <si>
    <t>mactre arctique</t>
  </si>
  <si>
    <t>R2274</t>
  </si>
  <si>
    <t>mactre de stimpson</t>
  </si>
  <si>
    <t>R2275</t>
  </si>
  <si>
    <t>marteau</t>
  </si>
  <si>
    <t>R2276</t>
  </si>
  <si>
    <t>melongene</t>
  </si>
  <si>
    <t>R2277</t>
  </si>
  <si>
    <t>mesodesme</t>
  </si>
  <si>
    <t>R2278</t>
  </si>
  <si>
    <t>modiole</t>
  </si>
  <si>
    <t>R2279</t>
  </si>
  <si>
    <t>mollusc</t>
  </si>
  <si>
    <t>R2280</t>
  </si>
  <si>
    <t>molluscs</t>
  </si>
  <si>
    <t>R2281</t>
  </si>
  <si>
    <t>R2282</t>
  </si>
  <si>
    <t>R2283</t>
  </si>
  <si>
    <t>montre</t>
  </si>
  <si>
    <t>R2284</t>
  </si>
  <si>
    <t>R2285</t>
  </si>
  <si>
    <t>moule africaine</t>
  </si>
  <si>
    <t>R2286</t>
  </si>
  <si>
    <t>moule cholga</t>
  </si>
  <si>
    <t>R2287</t>
  </si>
  <si>
    <t>moule choro</t>
  </si>
  <si>
    <t>R2288</t>
  </si>
  <si>
    <t>moule cotelee</t>
  </si>
  <si>
    <t>R2289</t>
  </si>
  <si>
    <t>moule de guyane</t>
  </si>
  <si>
    <t>R2290</t>
  </si>
  <si>
    <t>moule de la plata</t>
  </si>
  <si>
    <t>R2291</t>
  </si>
  <si>
    <t>moule du pacifique</t>
  </si>
  <si>
    <t>R2292</t>
  </si>
  <si>
    <t>moule melin</t>
  </si>
  <si>
    <t>R2293</t>
  </si>
  <si>
    <t>moule pourpre</t>
  </si>
  <si>
    <t>R2294</t>
  </si>
  <si>
    <t>R2295</t>
  </si>
  <si>
    <t>murex</t>
  </si>
  <si>
    <t>R2296</t>
  </si>
  <si>
    <t>mussel</t>
  </si>
  <si>
    <t>R2297</t>
  </si>
  <si>
    <t>R2298</t>
  </si>
  <si>
    <t>mye</t>
  </si>
  <si>
    <t>R2299</t>
  </si>
  <si>
    <t>nasse</t>
  </si>
  <si>
    <t>R2300</t>
  </si>
  <si>
    <t>natice</t>
  </si>
  <si>
    <t>R2301</t>
  </si>
  <si>
    <t>nerite</t>
  </si>
  <si>
    <t>R2302</t>
  </si>
  <si>
    <t>noisette de mer</t>
  </si>
  <si>
    <t>R2303</t>
  </si>
  <si>
    <t>R2304</t>
  </si>
  <si>
    <t>R2305</t>
  </si>
  <si>
    <t>R2306</t>
  </si>
  <si>
    <t>olive de mer</t>
  </si>
  <si>
    <t>R2307</t>
  </si>
  <si>
    <t>R2308</t>
  </si>
  <si>
    <t>ormeau d australie</t>
  </si>
  <si>
    <t>R2309</t>
  </si>
  <si>
    <t>ormeau de l ocean indien</t>
  </si>
  <si>
    <t>R2310</t>
  </si>
  <si>
    <t>ormeau du pacifique</t>
  </si>
  <si>
    <t>R2311</t>
  </si>
  <si>
    <t>ormeaux</t>
  </si>
  <si>
    <t>R2312</t>
  </si>
  <si>
    <t>ostreola conchaphila huitre plate du pacifique</t>
  </si>
  <si>
    <t>R2313</t>
  </si>
  <si>
    <t>ovarque</t>
  </si>
  <si>
    <t>R2314</t>
  </si>
  <si>
    <t>R2315</t>
  </si>
  <si>
    <t>R2316</t>
  </si>
  <si>
    <t>R2317</t>
  </si>
  <si>
    <t>palourde bariolee</t>
  </si>
  <si>
    <t>R2318</t>
  </si>
  <si>
    <t>palourde de gay</t>
  </si>
  <si>
    <t>R2319</t>
  </si>
  <si>
    <t>palourde du pacifique</t>
  </si>
  <si>
    <t>R2320</t>
  </si>
  <si>
    <t>palourde japonaise</t>
  </si>
  <si>
    <t>R2321</t>
  </si>
  <si>
    <t>palourde pegon</t>
  </si>
  <si>
    <t>R2322</t>
  </si>
  <si>
    <t>palourde poulette</t>
  </si>
  <si>
    <t>R2323</t>
  </si>
  <si>
    <t>palourde rose</t>
  </si>
  <si>
    <t>R2324</t>
  </si>
  <si>
    <t>palourde rugueuse</t>
  </si>
  <si>
    <t>R2325</t>
  </si>
  <si>
    <t>R2326</t>
  </si>
  <si>
    <t>panopee</t>
  </si>
  <si>
    <t>R2327</t>
  </si>
  <si>
    <t>patelle</t>
  </si>
  <si>
    <t>R2328</t>
  </si>
  <si>
    <t>perna canaliculus</t>
  </si>
  <si>
    <t>R2329</t>
  </si>
  <si>
    <t>petit couteau</t>
  </si>
  <si>
    <t>R2330</t>
  </si>
  <si>
    <t>R2331</t>
  </si>
  <si>
    <t>pétoncles</t>
  </si>
  <si>
    <t>R2332</t>
  </si>
  <si>
    <t>petricole</t>
  </si>
  <si>
    <t>R2333</t>
  </si>
  <si>
    <t>pholade</t>
  </si>
  <si>
    <t>R2334</t>
  </si>
  <si>
    <t>R2335</t>
  </si>
  <si>
    <t>pieuvres</t>
  </si>
  <si>
    <t>R2336</t>
  </si>
  <si>
    <t>pintadine</t>
  </si>
  <si>
    <t>R2337</t>
  </si>
  <si>
    <t>pitar</t>
  </si>
  <si>
    <t>R2338</t>
  </si>
  <si>
    <t>R2339</t>
  </si>
  <si>
    <t>poulpe blanc</t>
  </si>
  <si>
    <t>R2340</t>
  </si>
  <si>
    <t>poulpe geant</t>
  </si>
  <si>
    <t>R2341</t>
  </si>
  <si>
    <t>poulpe mexicain</t>
  </si>
  <si>
    <t>R2342</t>
  </si>
  <si>
    <t>poulpe nain</t>
  </si>
  <si>
    <t>R2343</t>
  </si>
  <si>
    <t>poulpe quatre yeux</t>
  </si>
  <si>
    <t>R2344</t>
  </si>
  <si>
    <t>R2345</t>
  </si>
  <si>
    <t>pourpre</t>
  </si>
  <si>
    <t>R2346</t>
  </si>
  <si>
    <t>R2347</t>
  </si>
  <si>
    <t>R2348</t>
  </si>
  <si>
    <t>psammobie</t>
  </si>
  <si>
    <t>R2349</t>
  </si>
  <si>
    <t>pterocere</t>
  </si>
  <si>
    <t>R2350</t>
  </si>
  <si>
    <t>pycnodonte</t>
  </si>
  <si>
    <t>R2351</t>
  </si>
  <si>
    <t>rangie</t>
  </si>
  <si>
    <t>R2352</t>
  </si>
  <si>
    <t>rapane veine</t>
  </si>
  <si>
    <t>R2353</t>
  </si>
  <si>
    <t>risotto nero</t>
  </si>
  <si>
    <t>R2354</t>
  </si>
  <si>
    <t>rocher</t>
  </si>
  <si>
    <t>R2355</t>
  </si>
  <si>
    <t>R2356</t>
  </si>
  <si>
    <t>sanguine de mer</t>
  </si>
  <si>
    <t>R2357</t>
  </si>
  <si>
    <t>sauce aux huîtres</t>
  </si>
  <si>
    <t>sauce aux huitres</t>
  </si>
  <si>
    <t>R2358</t>
  </si>
  <si>
    <t>sauce d huître</t>
  </si>
  <si>
    <t>sauce d huitre</t>
  </si>
  <si>
    <t>R2359</t>
  </si>
  <si>
    <t>saxidome</t>
  </si>
  <si>
    <t>R2360</t>
  </si>
  <si>
    <t>R2361</t>
  </si>
  <si>
    <t>R2362</t>
  </si>
  <si>
    <t>R2363</t>
  </si>
  <si>
    <t>seiche aiguille</t>
  </si>
  <si>
    <t>R2364</t>
  </si>
  <si>
    <t>seiche hamecon</t>
  </si>
  <si>
    <t>R2365</t>
  </si>
  <si>
    <t>seiche petite main</t>
  </si>
  <si>
    <t>R2366</t>
  </si>
  <si>
    <t>seiche pharaon</t>
  </si>
  <si>
    <t>R2367</t>
  </si>
  <si>
    <t>seiche rosee</t>
  </si>
  <si>
    <t>R2368</t>
  </si>
  <si>
    <t>R2369</t>
  </si>
  <si>
    <t>semele</t>
  </si>
  <si>
    <t>R2370</t>
  </si>
  <si>
    <t>silique</t>
  </si>
  <si>
    <t>R2371</t>
  </si>
  <si>
    <t>solecurte</t>
  </si>
  <si>
    <t>R2372</t>
  </si>
  <si>
    <t>spisule</t>
  </si>
  <si>
    <t>R2373</t>
  </si>
  <si>
    <t>spondyle</t>
  </si>
  <si>
    <t>R2374</t>
  </si>
  <si>
    <t>R2375</t>
  </si>
  <si>
    <t>striostrea prismatica huitre plate du pacifique</t>
  </si>
  <si>
    <t>R2376</t>
  </si>
  <si>
    <t>strombe</t>
  </si>
  <si>
    <t>R2377</t>
  </si>
  <si>
    <t>tagal</t>
  </si>
  <si>
    <t>R2378</t>
  </si>
  <si>
    <t>R2379</t>
  </si>
  <si>
    <t>R2380</t>
  </si>
  <si>
    <t>tivel</t>
  </si>
  <si>
    <t>R2381</t>
  </si>
  <si>
    <t>tonnelet</t>
  </si>
  <si>
    <t>R2382</t>
  </si>
  <si>
    <t>toutout</t>
  </si>
  <si>
    <t>R2383</t>
  </si>
  <si>
    <t>triton</t>
  </si>
  <si>
    <t>R2384</t>
  </si>
  <si>
    <t>trophe</t>
  </si>
  <si>
    <t>R2385</t>
  </si>
  <si>
    <t>troque</t>
  </si>
  <si>
    <t>R2386</t>
  </si>
  <si>
    <t>turban</t>
  </si>
  <si>
    <t>R2387</t>
  </si>
  <si>
    <t>venus</t>
  </si>
  <si>
    <t>R2388</t>
  </si>
  <si>
    <t>venus du vietnam</t>
  </si>
  <si>
    <t>R2389</t>
  </si>
  <si>
    <t>venus gallinette</t>
  </si>
  <si>
    <t>R2390</t>
  </si>
  <si>
    <t>vernis</t>
  </si>
  <si>
    <t>R2391</t>
  </si>
  <si>
    <t>vernis pourpre</t>
  </si>
  <si>
    <t>R2392</t>
  </si>
  <si>
    <t>volute</t>
  </si>
  <si>
    <t>R2393</t>
  </si>
  <si>
    <t>volute marbree</t>
  </si>
  <si>
    <t>R2394</t>
  </si>
  <si>
    <t>whelk</t>
  </si>
  <si>
    <t>R2395</t>
  </si>
  <si>
    <t>whelks</t>
  </si>
  <si>
    <t>R2396</t>
  </si>
  <si>
    <t>yet</t>
  </si>
  <si>
    <t>R2397</t>
  </si>
  <si>
    <t>coque chocolat</t>
  </si>
  <si>
    <t>Évite un faux positif de matériel.</t>
  </si>
  <si>
    <t>R2398</t>
  </si>
  <si>
    <t>coque de bateau</t>
  </si>
  <si>
    <t>R2399</t>
  </si>
  <si>
    <t>coque de macaron</t>
  </si>
  <si>
    <t>R2400</t>
  </si>
  <si>
    <t>coque de meringue</t>
  </si>
  <si>
    <t>R2401</t>
  </si>
  <si>
    <t>couteau de cuisine</t>
  </si>
  <si>
    <t>R2402</t>
  </si>
  <si>
    <t>couteaux de cuisine</t>
  </si>
  <si>
    <t>R2403</t>
  </si>
  <si>
    <t>R2404</t>
  </si>
  <si>
    <t>R2405</t>
  </si>
  <si>
    <t>R2406</t>
  </si>
  <si>
    <t>R2407</t>
  </si>
  <si>
    <t>R2408</t>
  </si>
  <si>
    <t>R2409</t>
  </si>
  <si>
    <t>R2410</t>
  </si>
  <si>
    <t>R2411</t>
  </si>
  <si>
    <t>moule pâtisserie</t>
  </si>
  <si>
    <t>moule patisserie</t>
  </si>
  <si>
    <t>R2412</t>
  </si>
  <si>
    <t>R2413</t>
  </si>
  <si>
    <t>R2414</t>
  </si>
  <si>
    <t>R2415</t>
  </si>
  <si>
    <t>fruits de mer surgelés</t>
  </si>
  <si>
    <t>fruits de mer surgeles</t>
  </si>
  <si>
    <t>R2416</t>
  </si>
  <si>
    <t>sauce huître végétarienne</t>
  </si>
  <si>
    <t>sauce huitre vegetarienne</t>
  </si>
  <si>
    <t>R2417</t>
  </si>
  <si>
    <t>Formules individuelles scindées : recherches par blocs de 100 termes ; exclusions neutralisées avant détection.</t>
  </si>
  <si>
    <t>* = allergène détecté certain  |  ? = composition / allergène à vérifier  |  AFFICHAGE CARTE : un seul statut, jamais * ?</t>
  </si>
  <si>
    <t>Œufs EXCL 1</t>
  </si>
  <si>
    <t>Lait EXCL SUSP</t>
  </si>
  <si>
    <t>Céleri-branche</t>
  </si>
  <si>
    <t>Fond brun de veau lié</t>
  </si>
  <si>
    <t>TOMATE ET MOZARELLA AU BASILIC</t>
  </si>
  <si>
    <t>sucre semoule</t>
  </si>
  <si>
    <t>2. La colonne C ajoute * pour un allergène certain, ? pour un contrôle, et * ? lorsque les deux situations sont présentes.</t>
  </si>
  <si>
    <t>4. Les expressions d’exclusion sont retirées du texte avant la recherche : elles ne peuvent plus annuler un allergène sans rapport.</t>
  </si>
  <si>
    <t>5. La base se trouve à droite sur la même feuille. Les règles certaines, les contrôles et les exclusions sont séparés.</t>
  </si>
  <si>
    <t>zzzxq_exception_maltodextrine_ble_qxzzz</t>
  </si>
  <si>
    <t>Exception réglementaire : la maltodextrine à base de blé ne doit pas déclencher automatiquement le gluten.</t>
  </si>
  <si>
    <t>zzzxq_poire_boisson_qxzzz</t>
  </si>
  <si>
    <t>Le mot « poiré » est contrôlé avec son accent dans une formule dédiée afin de ne pas confondre avec « poire ».</t>
  </si>
  <si>
    <t>Classé en allergène certain dans ce moteur pour le vinaigre de vin.</t>
  </si>
  <si>
    <t>R2418</t>
  </si>
  <si>
    <t>Exclusion ciblée : le sucre semoule n’est pas une céréale et ne contient pas de gluten par nature.</t>
  </si>
  <si>
    <t>R2419</t>
  </si>
  <si>
    <t>Cuisine/Traiteur/Restauration collective</t>
  </si>
  <si>
    <t>Variante orthographique courante du boulgour, produit à base de blé.</t>
  </si>
  <si>
    <t>R2420</t>
  </si>
  <si>
    <t>boulghour fin</t>
  </si>
  <si>
    <t>Dénomination commerciale courante d’un produit à base de blé.</t>
  </si>
  <si>
    <t>R2421</t>
  </si>
  <si>
    <t>bulghour</t>
  </si>
  <si>
    <t>Variante orthographique du boulgour, produit à base de blé.</t>
  </si>
  <si>
    <t>R2422</t>
  </si>
  <si>
    <t>Nom générique du poisson ; permet de détecter les préparations au thon.</t>
  </si>
  <si>
    <t>R2423</t>
  </si>
  <si>
    <t>thon au naturel</t>
  </si>
  <si>
    <t>Dénomination usuelle d’une conserve de poisson.</t>
  </si>
  <si>
    <t>R2424</t>
  </si>
  <si>
    <t>mozarella</t>
  </si>
  <si>
    <t>Cuisine/Traiteur/Pizzeria</t>
  </si>
  <si>
    <t>Variante orthographique fréquente de mozzarella.</t>
  </si>
  <si>
    <t>R2425</t>
  </si>
  <si>
    <t>tomate et mozarella au basilic</t>
  </si>
  <si>
    <t>Dénomination de plat contenant un fromage au lait.</t>
  </si>
  <si>
    <t>sirop de glucose à base de blé</t>
  </si>
  <si>
    <t>sirop de glucose a base de ble</t>
  </si>
  <si>
    <t>Exception réglementaire à la déclaration du gluten.</t>
  </si>
  <si>
    <t>sirops de glucose à base de blé</t>
  </si>
  <si>
    <t>Variante plurielle de l’exception réglementaire.</t>
  </si>
  <si>
    <t>sirop de glucose de blé</t>
  </si>
  <si>
    <t>Variante usuelle de l’exception réglementaire.</t>
  </si>
  <si>
    <t>sirops de glucose de blé</t>
  </si>
  <si>
    <t>sirops de glucose de ble</t>
  </si>
  <si>
    <t>dextrose de blé</t>
  </si>
  <si>
    <t>dextrose de ble</t>
  </si>
  <si>
    <t>Le dextrose est inclus dans l’exception des sirops de glucose à base de blé.</t>
  </si>
  <si>
    <t>maltodextrines de blé</t>
  </si>
  <si>
    <t>maltodextrine à base de blé</t>
  </si>
  <si>
    <t>maltodextrine a base de ble</t>
  </si>
  <si>
    <t>maltodextrines à base de blé</t>
  </si>
  <si>
    <t>sirop de glucose à base d’orge</t>
  </si>
  <si>
    <t>sirop de glucose a base d orge</t>
  </si>
  <si>
    <t>sirops de glucose à base d’orge</t>
  </si>
  <si>
    <t>sirops de glucose a base d orge</t>
  </si>
  <si>
    <t>sirop de glucose d’orge</t>
  </si>
  <si>
    <t>sirop de glucose d orge</t>
  </si>
  <si>
    <t>sirops de glucose d’orge</t>
  </si>
  <si>
    <t>sirops de glucose d orge</t>
  </si>
  <si>
    <t>Exclusion du contrôle œuf/lait propre au vin.</t>
  </si>
  <si>
    <t>https://www.economie.gouv.fr/dgccrf/les-fiches-pratiques/etiquetage-des-vins-savoir-lire-les-etiquettes</t>
  </si>
  <si>
    <t>vinaigre au vin</t>
  </si>
  <si>
    <t>Contrôler l’étiquette : œuf, lait et sulfites peuvent être déclarés s’ils sont détectables.</t>
  </si>
  <si>
    <t>MODE D’EMPLOI — LECTURE DES ALLERGÈNES</t>
  </si>
  <si>
    <t>Zone de saisie</t>
  </si>
  <si>
    <t>B7:B66 : saisir la dénomination réelle du produit ou de l’ingrédient utilisé.</t>
  </si>
  <si>
    <t>Résultat carte</t>
  </si>
  <si>
    <t>C7:C66 : le nom est repris avec un seul statut final : * ou ?.</t>
  </si>
  <si>
    <t>Allergènes certains</t>
  </si>
  <si>
    <t>Les colonnes de détection E:R marquent X lorsqu’un allergène est identifié comme certain.</t>
  </si>
  <si>
    <t>À vérifier</t>
  </si>
  <si>
    <t>La colonne S liste les familles qui restent à contrôler sur l’étiquette ou la fiche technique.</t>
  </si>
  <si>
    <t>Règle des symboles</t>
  </si>
  <si>
    <t>* = allergène certain. ? = composition ou présence à vérifier. Un produit ne doit jamais afficher « * ? ».</t>
  </si>
  <si>
    <t>Principe de décision</t>
  </si>
  <si>
    <t>S’il existe au moins un allergène certain, l’affichage final est *. S’il n’y a aucun allergène certain mais qu’un doute subsiste, l’affichage est ?.</t>
  </si>
  <si>
    <t>POURQUOI PEUT-IL Y AVOIR DE L’ŒUF OU DU LAIT DANS LE VIN ?</t>
  </si>
  <si>
    <t>Ce n’est pas un ingrédient de recette</t>
  </si>
  <si>
    <t>Tous les vins ne contiennent pas d’œuf ou de lait. Ces substances peuvent être utilisées comme auxiliaires technologiques pendant certains traitements œnologiques.</t>
  </si>
  <si>
    <t>Œuf</t>
  </si>
  <si>
    <t>L’albumine ou le blanc d’œuf peuvent servir au collage/à la clarification. Le lysozyme, dérivé de l’œuf, peut également être utilisé dans certains traitements œnologiques.</t>
  </si>
  <si>
    <t>La caséine, les caséinates ou d’autres protéines du lait peuvent être utilisés comme agents de collage pour clarifier le vin ou corriger certains défauts.</t>
  </si>
  <si>
    <t>Après le traitement</t>
  </si>
  <si>
    <t>Ces auxiliaires sont normalement éliminés autant que possible. Leur emploi ne signifie donc pas automatiquement que le vin fini contient encore de l’œuf ou du lait.</t>
  </si>
  <si>
    <t>Obligation d’étiquetage</t>
  </si>
  <si>
    <t>Si des substances provenant de l’œuf ou du lait restent détectables dans le vin fini, leur présence doit être indiquée sur l’étiquette.</t>
  </si>
  <si>
    <t>Les sulfites doivent être déclarés lorsqu’ils dépassent 10 mg/L, exprimés en SO₂.</t>
  </si>
  <si>
    <t>Conséquence dans ce document</t>
  </si>
  <si>
    <t>Vin utilisé en cuisine</t>
  </si>
  <si>
    <t>La cuisson ne remplace pas le contrôle de l’étiquette : la déclaration des allergènes se fonde sur la composition du produit mis en œuvre.</t>
  </si>
  <si>
    <t>SOURCES OFFICIELLES</t>
  </si>
  <si>
    <t>DGCCRF — Étiquetage des vins</t>
  </si>
  <si>
    <t>DGCCRF — Guide produits vitivinicoles</t>
  </si>
  <si>
    <t>https://www.economie.gouv.fr/files/files/directions_services/dgccrf/media-document/guide-dgccrf-regles-etiquetage-vitivinicoles-professionnels.pdf</t>
  </si>
  <si>
    <t>Règlement (UE) n°1169/2011 — Annexe II</t>
  </si>
  <si>
    <t>EXEMPLES DE LECTURE</t>
  </si>
  <si>
    <t>Lait certain → Beurre *.</t>
  </si>
  <si>
    <t>Gluten certain dans la règle actuelle du moteur → Farine *.</t>
  </si>
  <si>
    <t>La mozzarella contient du lait → produit *.</t>
  </si>
  <si>
    <t>Céleri certain → Céleri-branche *.</t>
  </si>
  <si>
    <t>Margarine</t>
  </si>
  <si>
    <t>Composition variable selon la marque : elle peut notamment contenir du lait ou du soja → ? tant que l’étiquette n’est pas contrôlée.</t>
  </si>
  <si>
    <t>1.</t>
  </si>
  <si>
    <t>2.</t>
  </si>
  <si>
    <t>3.</t>
  </si>
  <si>
    <t>4.</t>
  </si>
  <si>
    <t>5.</t>
  </si>
  <si>
    <t>6.</t>
  </si>
  <si>
    <t>7.</t>
  </si>
  <si>
    <t>Graines de sésame</t>
  </si>
  <si>
    <t>Le mot « farine » tout seul est  trop imprécis. je préfère le classer ? à vérifier, sauf si la fiche recette désigne clairement une farine contenant du gluten.</t>
  </si>
  <si>
    <t>Ail haché</t>
  </si>
  <si>
    <t>Ail hachée surgelé</t>
  </si>
  <si>
    <t>Aubergines</t>
  </si>
  <si>
    <t>Bouillon de volaille</t>
  </si>
  <si>
    <t>Bulbes de fenouil</t>
  </si>
  <si>
    <t>Carottes</t>
  </si>
  <si>
    <t>Chorizo</t>
  </si>
  <si>
    <t>Choux-fleurs</t>
  </si>
  <si>
    <t>Citrons</t>
  </si>
  <si>
    <t>Cive (botte)</t>
  </si>
  <si>
    <t>Clous de girofle</t>
  </si>
  <si>
    <t xml:space="preserve">Cocktail de fruits de mer surgelés crus </t>
  </si>
  <si>
    <t>Courgettes</t>
  </si>
  <si>
    <t xml:space="preserve">Crème fraîche </t>
  </si>
  <si>
    <t>Crème fraîche double</t>
  </si>
  <si>
    <t xml:space="preserve">Crevettes décortiquées </t>
  </si>
  <si>
    <t>Cuisses de poulet</t>
  </si>
  <si>
    <t>Dos de colin</t>
  </si>
  <si>
    <t>Echalotes fraîches ou émincées surgelées</t>
  </si>
  <si>
    <t xml:space="preserve">Farine </t>
  </si>
  <si>
    <t>Filets de morue dessalés</t>
  </si>
  <si>
    <t>Fond blanc de veau</t>
  </si>
  <si>
    <t xml:space="preserve">Fumet de crustacés </t>
  </si>
  <si>
    <t xml:space="preserve">Glace de poisson </t>
  </si>
  <si>
    <t>Haricots plats d’Espagne surgelés</t>
  </si>
  <si>
    <t>Herbes de Provence</t>
  </si>
  <si>
    <t>Huile</t>
  </si>
  <si>
    <t>Huile d’olive</t>
  </si>
  <si>
    <t>Jaune d’œuf pasteurisé</t>
  </si>
  <si>
    <t>Jus de citron (Pulco)</t>
  </si>
  <si>
    <t>Laurier ou bois d’Inde</t>
  </si>
  <si>
    <t>Morue (filets dessalés)</t>
  </si>
  <si>
    <t>Moules «pleine eau»</t>
  </si>
  <si>
    <t>Muscade</t>
  </si>
  <si>
    <t>farine de blé dur</t>
  </si>
  <si>
    <t>farine de ble dur</t>
  </si>
  <si>
    <t>Blé dur : céréale contenant du gluten.</t>
  </si>
  <si>
    <t>Persil plat</t>
  </si>
  <si>
    <t>Petits pois surgelés</t>
  </si>
  <si>
    <t>Piment (man jack)</t>
  </si>
  <si>
    <t>Poivre blanc moulu</t>
  </si>
  <si>
    <t>Poivre de Cayenne</t>
  </si>
  <si>
    <t>Poivrons en lanières surgelés</t>
  </si>
  <si>
    <t>Pommes de terre BF 15</t>
  </si>
  <si>
    <t>Pommes de terre sautées en rondelles précuites surgelées</t>
  </si>
  <si>
    <t>Purée de pomme de terre</t>
  </si>
  <si>
    <t>Spigol, rizdor, etc</t>
  </si>
  <si>
    <t>Tomates fraîches ou en cubes surgelés</t>
  </si>
  <si>
    <t xml:space="preserve">Vin blanc </t>
  </si>
  <si>
    <t>Dénomination usuelle générique de poisson. Détecte notamment dos de colin, filet de colin et colin surgelé.</t>
  </si>
  <si>
    <t>Terme générique : la céréale n’est pas précisée. Vérifier la nature de la farine avant de conclure à la présence de gluten.</t>
  </si>
  <si>
    <t>Vin : ? tant que l’étiquette n’est pas contrôlée (Œufs, Lait, Sulfites possibles). Voir lignes 103 à 116.</t>
  </si>
  <si>
    <t>INTITULÉ DU PLAT / BOISSON / PRODUIT  Texte saisi ou à coller dans cette colonne</t>
  </si>
  <si>
    <t>AFFICHAGE CARTE Texte à Copier / coller (collage spécial 1.2.3.Valeur)</t>
  </si>
  <si>
    <t>ALLERGÈNES À VÉRIFIER</t>
  </si>
  <si>
    <t>sucre glace</t>
  </si>
  <si>
    <t>dos de colin</t>
  </si>
  <si>
    <t xml:space="preserve"> Anhydride sulfureux et sulfites </t>
  </si>
  <si>
    <t xml:space="preserve">Lupin </t>
  </si>
  <si>
    <t>huile d'arachide</t>
  </si>
  <si>
    <t xml:space="preserve">Pour un libellé générique comme « vin rouge » ou « vin blanc », le ? signifie : vérifier la bouteille ou la fiche technique. </t>
  </si>
  <si>
    <t>Si l’étiquette indique « contient des sulfites », « œuf » ou « lait », l’allergène concerné devient certain (*) pour le produit réellement utilisé.</t>
  </si>
  <si>
    <t>Composition variable selon la recette ou le fabricant → ? tant que la fiche technique n’a pas confirmé les allergènes.</t>
  </si>
  <si>
    <t xml:space="preserve"> Après contrôle, les allergènes réellement présents doivent être considérés comme certains (*).</t>
  </si>
  <si>
    <t>Dans la base actuelle, il est classé * pour les sulfites. En pratique, ce statut doit correspondre au produit réellement utilisé :</t>
  </si>
  <si>
    <t xml:space="preserve"> si l’étiquette ou la fiche technique confirme les sulfites, * ; sinon la règle doit être réévaluée.</t>
  </si>
  <si>
    <t>LES 14 ALLERGÈNES — OÙ PEUT-ON LES TROUVER ?</t>
  </si>
  <si>
    <t>Objectif CFA</t>
  </si>
  <si>
    <t>Savoir reconnaître un allergène évident, repérer un produit à risque, vérifier l'information disponible, décider avant le service et conserver une traçabilité exploitable.</t>
  </si>
  <si>
    <t>Dans notre outil</t>
  </si>
  <si>
    <t>* = allergène identifié avec certitude pour le produit tel qu'il est décrit.</t>
  </si>
  <si>
    <t>? = la dénomination ou les informations disponibles ne permettent pas de conclure : contrôle obligatoire avant de considérer le produit comme compatible.</t>
  </si>
  <si>
    <t>Point essentiel</t>
  </si>
  <si>
    <t xml:space="preserve">Lire l'étiquette et la fiche technique est indispensable, mais ce n'est pas une garantie absolue. </t>
  </si>
  <si>
    <t>Il faut contrôler le produit réellement livré et servi, sa référence, son lot, sa version de fiche technique et toute modification de composition.</t>
  </si>
  <si>
    <t>ALLERGÈNE</t>
  </si>
  <si>
    <t>ON LE TROUVE ÉVIDEMMENT DANS…</t>
  </si>
  <si>
    <t>1. Céréales contenant du gluten</t>
  </si>
  <si>
    <t>Blé, seigle, orge, avoine, épeautre, kamut.</t>
  </si>
  <si>
    <t>2. Crustacés</t>
  </si>
  <si>
    <t>Crevette, crabe, homard, langouste, langoustine, écrevisse.</t>
  </si>
  <si>
    <t>3. Œufs</t>
  </si>
  <si>
    <t>Œuf entier, jaune d'œuf, blanc d'œuf.</t>
  </si>
  <si>
    <t>4. Poissons</t>
  </si>
  <si>
    <t>Saumon, thon, cabillaud, colin, merlu, sardine, anchois, sole, truite, etc.</t>
  </si>
  <si>
    <t>5. Arachides</t>
  </si>
  <si>
    <t>Cacahuètes, pâte et beurre d'arachide.</t>
  </si>
  <si>
    <t>6. Soja</t>
  </si>
  <si>
    <t>Graines de soja, tofu, tempeh.</t>
  </si>
  <si>
    <t>7. Lait</t>
  </si>
  <si>
    <t>Lait, crème, beurre, fromage, yaourt.</t>
  </si>
  <si>
    <t>8. Fruits à coque</t>
  </si>
  <si>
    <t>Amande, noisette, noix, noix de cajou, noix de pécan, noix du Brésil, pistache, noix de Macadamia.</t>
  </si>
  <si>
    <t>9. Céleri</t>
  </si>
  <si>
    <t>Céleri-branche, céleri-rave, graines de céleri.</t>
  </si>
  <si>
    <t>10. Moutarde</t>
  </si>
  <si>
    <t>Moutarde, graines de moutarde.</t>
  </si>
  <si>
    <t>11. Graines de sésame</t>
  </si>
  <si>
    <t>Sésame blanc, blond ou noir.</t>
  </si>
  <si>
    <t>12. Anhydride sulfureux et sulfites</t>
  </si>
  <si>
    <t>Produits portant la mention sulfites, dioxyde de soufre ou E220 à E228.</t>
  </si>
  <si>
    <t>13. Lupin</t>
  </si>
  <si>
    <t>Graines de lupin, farine de lupin.</t>
  </si>
  <si>
    <t>14. Mollusques</t>
  </si>
  <si>
    <t>Moule, huître, coquille Saint-Jacques, palourde, escargot, calmar, seiche, poulpe.</t>
  </si>
  <si>
    <t>IL PEUT AUSSI SE CACHER DANS…</t>
  </si>
  <si>
    <t>Farines, chapelure, pâtes, semoule, boulgour, couscous, biscuits, pâtisseries, panures, roux et certaines sauces liées.</t>
  </si>
  <si>
    <t>Fumets, bisques, sauces, soupes de poissons, préparations asiatiques et mélanges de fruits de mer.</t>
  </si>
  <si>
    <t>Mayonnaise, sauces émulsionnées, pâtisseries, biscuits, pâtes fraîches, panures, farces et certaines charcuteries.</t>
  </si>
  <si>
    <t>Fumet de poisson, sauce poisson, nuoc-mâm, anchois dans certaines sauces, condiments et préparations.</t>
  </si>
  <si>
    <t>Sauces exotiques, préparations asiatiques ou africaines, confiseries, pâtisseries, assaisonnements ou produits composés.</t>
  </si>
  <si>
    <t>Sauce soja, miso, protéines de soja, boissons végétales au soja, lécithine de soja et certains produits végétaux transformés.</t>
  </si>
  <si>
    <t>Lactose, lactosérum, caséine, poudre de lait, chocolat au lait, purées, sauces, pâtisseries et certaines margarines.</t>
  </si>
  <si>
    <t>Praliné, pâte d'amande, nougat, pesto, chocolats, pâtisseries et desserts.</t>
  </si>
  <si>
    <t>Fonds, bouillons, potages, sauces, jus, mélanges d'épices et certaines préparations industrielles.</t>
  </si>
  <si>
    <t>Mayonnaises, vinaigrettes, sauces, marinades, charcuteries et condiments.</t>
  </si>
  <si>
    <t>Tahini, pains spéciaux, houmous, sauces et préparations orientales ou asiatiques.</t>
  </si>
  <si>
    <t>Vin, certains vinaigres, fruits secs, fruits confits, certaines préparations de pommes de terre et autres produits transformés.</t>
  </si>
  <si>
    <t>Farines composées, certains pains, biscuits, pâtisseries et produits de boulangerie.</t>
  </si>
  <si>
    <t>Sauces, soupes, fumets et préparations de fruits de mer.</t>
  </si>
  <si>
    <t>EXEMPLES EN CUISINE</t>
  </si>
  <si>
    <t>Roux, béchamel, pâte à tarte, pain, croûtons, panures, certaines sauces liées.</t>
  </si>
  <si>
    <t>Bisque de homard, sauce américaine, crevettes sautées, fumet de crustacés.</t>
  </si>
  <si>
    <t>Mayonnaise, crème anglaise, génoise, quiche, pâte à choux, dorure.</t>
  </si>
  <si>
    <t>Dos de colin, brandade, soupe de poisson, sauce aux anchois, fumet.</t>
  </si>
  <si>
    <t>Sauce satay, cacahuètes grillées, beurre de cacahuète.</t>
  </si>
  <si>
    <t>Tofu, sauce soja, desserts au soja, certaines préparations végétales.</t>
  </si>
  <si>
    <t>Crème fraîche, beurre, béchamel, gratin, mozzarella, parmesan, crème glacée.</t>
  </si>
  <si>
    <t>Paris-Brest, frangipane, praliné, pesto contenant des fruits à coque.</t>
  </si>
  <si>
    <t>Céleri rémoulade, mirepoix, fond brun, bouillon, potage.</t>
  </si>
  <si>
    <t>Vinaigrette, sauce moutarde, mayonnaise contenant de la moutarde, marinade.</t>
  </si>
  <si>
    <t>Houmous au tahini, pain au sésame, sauce sésame.</t>
  </si>
  <si>
    <t>Vin, raisins secs, fruits confits : vérifier le produit réellement utilisé et sa documentation.</t>
  </si>
  <si>
    <t>Pain ou pâtisserie contenant de la farine de lupin.</t>
  </si>
  <si>
    <t>Moules marinières, encornets, seiche, poulpe, escargots, coquilles Saint-Jacques.</t>
  </si>
  <si>
    <t>ATTENTION AUX PRODUITS COMPOSÉS, AUX SUBSTITUTIONS ET AUX PAI</t>
  </si>
  <si>
    <t>Principe</t>
  </si>
  <si>
    <t xml:space="preserve">Le nom d'un produit ne suffit pas toujours pour connaître son profil allergène. </t>
  </si>
  <si>
    <t>Une charcuterie, une sauce, un fond, une saumure, une marinade ou un produit industriel peut contenir un allergène qui n'est pas évident dans son nom.</t>
  </si>
  <si>
    <t>Limite de la fiche technique</t>
  </si>
  <si>
    <t xml:space="preserve">La fiche technique est une référence indispensable, mais elle peut être ancienne, mal associée au produit réellement livré, ne plus correspondre à une nouvelle formulation </t>
  </si>
  <si>
    <t>ou ne pas permettre à elle seule d'exclure une contamination croisée.</t>
  </si>
  <si>
    <t>CAS PROFESSIONNEL CFA — PAI : L'ALLERGÈNE N'ÉTAIT PAS VISIBLE</t>
  </si>
  <si>
    <t>Contexte</t>
  </si>
  <si>
    <t>Cuisine centrale municipale servant notamment des enfants et des résidents d'EHPAD. Un enfant dispose d'un PAI pour allergie alimentaire.</t>
  </si>
  <si>
    <t>Menu prévu</t>
  </si>
  <si>
    <t>Poisson et purée. Pour respecter le PAI, le menu de l'enfant est remplacé par jambon blanc et salade composée.</t>
  </si>
  <si>
    <t>Au moment du repas</t>
  </si>
  <si>
    <t>Réaction allergique grave : appel des secours, prise en charge hospitalière et diagnostic d'œdème de Quincke.</t>
  </si>
  <si>
    <t>Première réaction autour de l'incident</t>
  </si>
  <si>
    <t>Le changement de menu fait immédiatement suspecter un non-respect du PAI. Le menu, la recette et les ingrédients utilisés en cuisine sont contrôlés :</t>
  </si>
  <si>
    <t xml:space="preserve"> aucune arachide n'a été volontairement employée par l'équipe.</t>
  </si>
  <si>
    <t>Enquête</t>
  </si>
  <si>
    <t>Les services compétents et le laboratoire sont saisis. L'analyse met en évidence la présence d'arachide dans le produit de jambon utilisé, via sa saumure selon le résultat de l'enquête.</t>
  </si>
  <si>
    <t>Leçon essentielle</t>
  </si>
  <si>
    <t>L'absence d'arachide dans la recette de la cuisine et l'absence d'utilisation volontaire par l'équipe ne suffisaient pas à garantir l'absence d'arachide dans un produit industriel composé.</t>
  </si>
  <si>
    <t>Pourquoi ce cas est important</t>
  </si>
  <si>
    <t xml:space="preserve">Il montre qu'une substitution décidée pour protéger un convive peut introduire un risque différent. </t>
  </si>
  <si>
    <t>Le produit de remplacement doit donc être contrôlé comme un nouveau produit, même s'il paraît simple ou habituel.</t>
  </si>
  <si>
    <t>Conséquence professionnelle</t>
  </si>
  <si>
    <t xml:space="preserve">Un incident allergique entraîne immédiatement une enquête et peut mettre en cause l'organisation, les personnes et la réputation de l'établissement </t>
  </si>
  <si>
    <t>avant même que la cause réelle soit connue. Une traçabilité précise est donc indispensable.</t>
  </si>
  <si>
    <t>CE QUE L'APPRENANT DOIT RETENIR</t>
  </si>
  <si>
    <t>Un PAI ne se gère pas seulement avec une liste d'aliments interdits : chaque produit réellement servi doit être compatible avec le PAI.</t>
  </si>
  <si>
    <t>Un changement de menu = une nouvelle analyse du risque allergène. Ne jamais considérer le produit de remplacement comme automatiquement sûr.</t>
  </si>
  <si>
    <t>Le nom commercial n'est pas une preuve. « Jambon blanc », « fond brun », « margarine », « sauce », « dessert », etc. peuvent être des produits composés.</t>
  </si>
  <si>
    <t>Contrôler l'étiquette du produit réellement livré, puis la fiche technique correspondant à la bonne référence et, si possible, à la formulation en vigueur.</t>
  </si>
  <si>
    <t>Conserver les éléments de traçabilité : fournisseur, marque, référence, numéro de lot, date de livraison, emballage ou photo de l'étiquette et fiche technique utilisée.</t>
  </si>
  <si>
    <t xml:space="preserve">Si la composition est incertaine, contradictoire ou impossible à vérifier pour un convive allergique : ne pas improviser. </t>
  </si>
  <si>
    <t>Utiliser une solution de remplacement validée selon le protocole de l'établissement.</t>
  </si>
  <si>
    <t>La traçabilité protège d'abord le convive, mais elle permet aussi de reconstituer les faits et de déterminer l'origine réelle d'un incident.</t>
  </si>
  <si>
    <t>AVANT DE SERVIR UN REPAS DE REMPLACEMENT PAI</t>
  </si>
  <si>
    <t>1. Identifier</t>
  </si>
  <si>
    <t>Relire le PAI : allergène(s) concerné(s), consignes particulières, procédure prévue et conduite à tenir en urgence.</t>
  </si>
  <si>
    <t>2. Refaire le contrôle</t>
  </si>
  <si>
    <t>Considérer le produit de substitution comme une nouvelle matière première : vérifier tous ses ingrédients et allergènes.</t>
  </si>
  <si>
    <t>3. Contrôler le produit réel</t>
  </si>
  <si>
    <t>Ne pas se contenter d'une fiche générique. Vérifier la marque, la référence et l'étiquette du conditionnement réellement utilisé.</t>
  </si>
  <si>
    <t>4. Vérifier la documentation</t>
  </si>
  <si>
    <t>Comparer l'étiquette et la fiche technique. En cas d'écart, d'ancienne version ou de doute, arrêter la décision et demander confirmation.</t>
  </si>
  <si>
    <t>5. Tracer</t>
  </si>
  <si>
    <t>Conserver le lot, le fournisseur, la date, le document contrôlé et la personne ayant réalisé la vérification selon l'organisation de l'établissement.</t>
  </si>
  <si>
    <t>6. Décider</t>
  </si>
  <si>
    <t>Si la sécurité ne peut pas être établie, ne pas servir ce produit au convive concerné et appliquer la solution de remplacement prévue.</t>
  </si>
  <si>
    <t>EN CAS D'INCIDENT ALLERGIQUE</t>
  </si>
  <si>
    <t>Priorité absolue</t>
  </si>
  <si>
    <t>Appliquer immédiatement le protocole d'urgence prévu pour le convive et alerter les secours selon la situation. La recherche de responsabilité vient après la prise en charge.</t>
  </si>
  <si>
    <t>Préserver les preuves</t>
  </si>
  <si>
    <t>Mettre de côté l'emballage, le numéro de lot, le produit restant si le protocole le permet, le bon de livraison, la fiche technique,</t>
  </si>
  <si>
    <t xml:space="preserve"> le menu, la fiche de production et les enregistrements de traçabilité.</t>
  </si>
  <si>
    <t>Reconstituer les faits</t>
  </si>
  <si>
    <t>Noter l'heure, le produit servi, la quantité, les opérations réalisées, les personnes présentes et les informations transmises.</t>
  </si>
  <si>
    <t>Éviter les conclusions hâtives</t>
  </si>
  <si>
    <t>Ne pas attribuer immédiatement l'incident à une erreur de cuisine ou, inversement, au fournisseur. Les analyses et la traçabilité doivent établir les faits.</t>
  </si>
  <si>
    <t>PROTÉGER LE CONVIVE ET LE PROFESSIONNEL</t>
  </si>
  <si>
    <t>Sécurité</t>
  </si>
  <si>
    <t>La vigilance allergène doit couvrir toute la chaîne : achat, réception, stockage, production, substitution, service et traçabilité.</t>
  </si>
  <si>
    <t>Responsabilité</t>
  </si>
  <si>
    <t>Une information fournisseur incomplète ou un changement de composition peut placer la cuisine en difficulté même si la recette interne est correctement maîtrisée.</t>
  </si>
  <si>
    <t>Traçabilité</t>
  </si>
  <si>
    <t>Une fiche technique explique ce que le produit est censé contenir ; la traçabilité permet de démontrer quel produit et quel lot ont réellement été servis.</t>
  </si>
  <si>
    <t>Réputation professionnelle</t>
  </si>
  <si>
    <t xml:space="preserve">Un incident peut marquer durablement un établissement ou un professionnel. Des preuves factuelles, </t>
  </si>
  <si>
    <t>datées et conservées sont essentielles pour sortir du registre de l'accusation et revenir aux faits.</t>
  </si>
  <si>
    <t>EXEMPLES À INTERPRÉTER CORRECTEMENT</t>
  </si>
  <si>
    <t>Fond brun de veau ?</t>
  </si>
  <si>
    <t>Produit composé : vérifier notamment gluten, céleri et tout autre allergène déclaré par le fabricant.</t>
  </si>
  <si>
    <t>Farine ?</t>
  </si>
  <si>
    <t>Le mot « farine » seul ne précise pas la céréale. Farine de blé = gluten certain ; farine de riz ou de maïs ≠ gluten automatiquement.</t>
  </si>
  <si>
    <t>Vin ?</t>
  </si>
  <si>
    <t>Vérifier notamment les sulfites et les mentions allergènes réellement portées par le produit utilisé.</t>
  </si>
  <si>
    <t>Sucre glace</t>
  </si>
  <si>
    <t>Le mot « glace » ne signifie pas crème glacée : il ne doit pas déclencher automatiquement l'allergène lait.</t>
  </si>
  <si>
    <t>Raisins secs ? / Fruits confits ?</t>
  </si>
  <si>
    <t>Les sulfites peuvent être présents : vérifier l'étiquette et la fiche du produit réellement utilisé.</t>
  </si>
  <si>
    <t>Produit avec « ou »</t>
  </si>
  <si>
    <t>Exemple « beurre ou margarine » : le produit réellement utilisé doit être identifié avant de conclure sur les allergènes.</t>
  </si>
  <si>
    <t>RÉFLEXE PROFESSIONNEL</t>
  </si>
  <si>
    <t>Question 1</t>
  </si>
  <si>
    <t>L'allergène est-il évident dans le nom ? Exemple : beurre → lait ; crevettes → crustacés ; dos de colin → poisson. Si oui : *.</t>
  </si>
  <si>
    <t>Question 2</t>
  </si>
  <si>
    <t>Le produit est-il composé ou sa dénomination est-elle imprécise ? Exemple : farine, fond, margarine, vin, charcuterie industrielle. Si oui : vérifier avant de conclure.</t>
  </si>
  <si>
    <t>Question 3</t>
  </si>
  <si>
    <t>Ai-je contrôlé le produit réellement utilisé, et pas seulement une recette théorique ou une ancienne fiche technique ?</t>
  </si>
  <si>
    <t>Question 4</t>
  </si>
  <si>
    <t>Puis-je retrouver après le service la marque, la référence, le lot et le document qui ont servi à ma décision ?</t>
  </si>
  <si>
    <t>Question 5</t>
  </si>
  <si>
    <t>Pour un PAI, la substitution a-t-elle été vérifiée comme un nouveau risque avant d'être servie ?</t>
  </si>
  <si>
    <t>À RETENIR</t>
  </si>
  <si>
    <t>On ne devine jamais un allergène et on ne déclare jamais « absence garantie » sur la seule apparence d'un produit.</t>
  </si>
  <si>
    <t>JE SAIS : l'allergène est présent dans le produit identifié.</t>
  </si>
  <si>
    <t>?</t>
  </si>
  <si>
    <t>JE DOIS VÉRIFIER avant de conclure.</t>
  </si>
  <si>
    <t>Aucun symbole</t>
  </si>
  <si>
    <t>Le moteur n'a rien identifié avec les informations disponibles ; cela ne prouve pas l'absence absolue d'allergène dans un produit composé.</t>
  </si>
  <si>
    <t>Fiche technique</t>
  </si>
  <si>
    <t>Document de référence indispensable, à rapprocher du produit, de la référence et de la version réellement utilisés.</t>
  </si>
  <si>
    <t>Preuve du produit réellement reçu, utilisé et servi.</t>
  </si>
  <si>
    <t>PAI</t>
  </si>
  <si>
    <t>Toute substitution doit être considérée comme une nouvelle décision de sécurité alimentaire.</t>
  </si>
  <si>
    <t>MESSAGE CFA</t>
  </si>
  <si>
    <t>La sécurité allergène ne repose pas sur une seule personne ni sur un seul document.</t>
  </si>
  <si>
    <t xml:space="preserve"> Elle repose sur une chaîne de contrôles, une décision prudente et une traçabilité capable de démontrer les faits.</t>
  </si>
  <si>
    <t>Règle à retenir</t>
  </si>
  <si>
    <t>Raisins secs → ? Sulfites</t>
  </si>
  <si>
    <t>Pour raisins secs et fruits confits, dès que la fiche technique indique sulfites / E220 à E228 au-dessus du seuil réglementaire, le statut devient *.</t>
  </si>
  <si>
    <t>Fruits confits en cubes → ? Sulfites</t>
  </si>
  <si>
    <t>Sucre glace → aucun ? à cause du mot “glace”</t>
  </si>
  <si>
    <t>Sucre glace ? → faux positif du moteur. Le document ne possède aucune règle sucre glace. Il trouve simplement le mot glace, enregistré en Lait – SUSPICION</t>
  </si>
  <si>
    <t>Il comprend donc à tort sucre glace comme s’il s’agissait d’une glace alimentaire pouvant contenir du lait.</t>
  </si>
  <si>
    <t xml:space="preserve">Le défaut « sucre glace » montre surtout qu’il faut corriger le mot-clé générique glace : il est trop large. </t>
  </si>
  <si>
    <t>Il vaut mieux reconnaître crème glacée, glace artisanale, glace au lait, etc., ou neutraliser explicitement sucre glace.</t>
  </si>
  <si>
    <t>Ces changements ont été fait</t>
  </si>
  <si>
    <t>Exclusion contextuelle : ici « glace » qualifie le sucre et ne désigne pas une glace alimentaire. Neutraliser avant les recherches Œufs/Lait.</t>
  </si>
  <si>
    <t>2026-08</t>
  </si>
  <si>
    <t>ATELIER CFA — ÉCRIRE DES PROMPTS CLAIRS, CORRECTS ET EFFICACES</t>
  </si>
  <si>
    <t>Objectif : savoir donner une consigne exploitable, contrôler la réponse et améliorer le prompt sans tout recommencer.</t>
  </si>
  <si>
    <t>Un prompt n'a pas besoin d'être très long. Il doit surtout contenir les informations utiles et un résultat que l'on peut vérifier.</t>
  </si>
  <si>
    <t>Auteur : Joel Leboucher • Rochefort sur Mer | Version actualisée : 9 août 2026 | Document réalisé avec l'aide de ChatGPT</t>
  </si>
  <si>
    <t>1 — COMPRENDRE CE QU'EST UN BON PROMPT</t>
  </si>
  <si>
    <t>À éviter</t>
  </si>
  <si>
    <t>Pourquoi cela échoue</t>
  </si>
  <si>
    <t>À faire</t>
  </si>
  <si>
    <t>Pourquoi cela fonctionne</t>
  </si>
  <si>
    <t>« Explique l'HACCP. »</t>
  </si>
  <si>
    <t>Sujet trop vaste : niveau, objectif et format inconnus.</t>
  </si>
  <si>
    <t>Préciser le public, le thème exact et le résultat attendu.</t>
  </si>
  <si>
    <t>La réponse devient adaptée au besoin réel.</t>
  </si>
  <si>
    <t>Empiler vingt demandes différentes.</t>
  </si>
  <si>
    <t>La réponse devient longue, incomplète ou mal organisée.</t>
  </si>
  <si>
    <t>Donner une mission principale, puis découper le travail en étapes.</t>
  </si>
  <si>
    <t>Chaque étape peut être contrôlée avant de poursuivre.</t>
  </si>
  <si>
    <t>Demander à l'IA d'inventer ce qui manque.</t>
  </si>
  <si>
    <t>Elle peut produire une réponse plausible mais fausse.</t>
  </si>
  <si>
    <t>Joindre la source et exiger le signalement des informations manquantes.</t>
  </si>
  <si>
    <t>Les limites de la réponse restent visibles.</t>
  </si>
  <si>
    <t>Croire qu'un prompt sur une seule ligne est meilleur.</t>
  </si>
  <si>
    <t>La forme ne garantit ni la précision ni la fiabilité.</t>
  </si>
  <si>
    <t>Utiliser des phrases courtes, des titres ou des retours à la ligne.</t>
  </si>
  <si>
    <t>La consigne est plus facile à lire et à corriger.</t>
  </si>
  <si>
    <t>2 — LA MÉTHODE C.A.D.R.E. : 5 ÉLÉMENTS À DONNER</t>
  </si>
  <si>
    <t>Lettre</t>
  </si>
  <si>
    <t>Élément</t>
  </si>
  <si>
    <t>Question à se poser</t>
  </si>
  <si>
    <t>Exemple métier</t>
  </si>
  <si>
    <t>C</t>
  </si>
  <si>
    <t>CONTEXTE</t>
  </si>
  <si>
    <t>Dans quelle situation ? Pour quel public et quel niveau ?</t>
  </si>
  <si>
    <t>Tu es formateur. Tu t'adresses à un apprenti CAP cuisine en première année.</t>
  </si>
  <si>
    <t>ACTION</t>
  </si>
  <si>
    <t>Que doit faire l'IA ? Utiliser un verbe précis.</t>
  </si>
  <si>
    <t>Explique, compare, crée, contrôle, corrige, transforme, classe ou résume.</t>
  </si>
  <si>
    <t>D</t>
  </si>
  <si>
    <t>DONNÉES</t>
  </si>
  <si>
    <t>Sur quelles informations doit-elle travailler ?</t>
  </si>
  <si>
    <t>Utilise uniquement le cours, la fiche technique ou le classeur joint.</t>
  </si>
  <si>
    <t>R</t>
  </si>
  <si>
    <t>Sous quelle forme la réponse doit-elle être rendue ?</t>
  </si>
  <si>
    <t>Un tableau, une procédure numérotée, une fiche, 200 mots ou un fichier Excel.</t>
  </si>
  <si>
    <t>E</t>
  </si>
  <si>
    <t>EXIGENCES DE CONTRÔLE</t>
  </si>
  <si>
    <t>Comment vérifier la réponse et ses limites ?</t>
  </si>
  <si>
    <t>N'invente rien ; indique les données manquantes, les hypothèses et les points non vérifiés.</t>
  </si>
  <si>
    <t>Formule simple : CONTEXTE + ACTION + DONNÉES + RÉSULTAT ATTENDU + EXIGENCES DE CONTRÔLE.</t>
  </si>
  <si>
    <t>3 — ATELIER GUIDÉ : CONSTRUISEZ VOTRE PROMPT</t>
  </si>
  <si>
    <t>Lisez l'exemple, puis remplacez les cellules jaunes de la colonne « Votre saisie ». Le prompt est assemblé automatiquement en E32.</t>
  </si>
  <si>
    <t>Question</t>
  </si>
  <si>
    <t>Exemple</t>
  </si>
  <si>
    <t>Votre saisie</t>
  </si>
  <si>
    <t>Situation, public et niveau ?</t>
  </si>
  <si>
    <t>Tu es formateur en restauration collective. Tu t'adresses à un apprenti CAP cuisine.</t>
  </si>
  <si>
    <t>Quelle mission précise ?</t>
  </si>
  <si>
    <t>Explique comment contrôler le refroidissement rapide en liaison froide.</t>
  </si>
  <si>
    <t>Quelle source utiliser ?</t>
  </si>
  <si>
    <t>Utilise uniquement le cours ou le document joint.</t>
  </si>
  <si>
    <t>CONTRAINTES</t>
  </si>
  <si>
    <t>Quelles limites respecter ?</t>
  </si>
  <si>
    <t>Maximum 250 mots. Vocabulaire simple. N'invente aucune température.</t>
  </si>
  <si>
    <t>RÉSULTAT</t>
  </si>
  <si>
    <t>Quel format livrer ?</t>
  </si>
  <si>
    <t>Un tableau : étape, contrôle, valeur attendue, action corrective.</t>
  </si>
  <si>
    <t>CONTRÔLE</t>
  </si>
  <si>
    <t>Que faire en cas d'incertitude ?</t>
  </si>
  <si>
    <t>Indique ce qui manque et ce qui doit être vérifié dans le PMS de l'établissement.</t>
  </si>
  <si>
    <t>PROMPT ASSEMBLÉ</t>
  </si>
  <si>
    <t>Copiez ce texte dans l'outil d'IA et joignez la source annoncée.</t>
  </si>
  <si>
    <t>Les champs vides restent visibles : complétez-les avant l'envoi.</t>
  </si>
  <si>
    <t>4 — CONTRÔLE AVANT ENVOI : MARQUEZ X QUAND LE CRITÈRE EST RESPECTÉ</t>
  </si>
  <si>
    <t>Critère</t>
  </si>
  <si>
    <t>Question de contrôle</t>
  </si>
  <si>
    <t>X</t>
  </si>
  <si>
    <t>Le public, le niveau ou la situation sont-ils précisés ?</t>
  </si>
  <si>
    <t>Action</t>
  </si>
  <si>
    <t>La mission principale commence-t-elle par un verbe précis ?</t>
  </si>
  <si>
    <t>Données</t>
  </si>
  <si>
    <t>La source à utiliser est-elle nommée ou jointe ?</t>
  </si>
  <si>
    <t>Contraintes</t>
  </si>
  <si>
    <t>Les limites importantes sont-elles écrites ?</t>
  </si>
  <si>
    <t>Le format de sortie est-il clairement demandé ?</t>
  </si>
  <si>
    <t>Le prompt interdit-il d'inventer et demande-t-il les incertitudes ?</t>
  </si>
  <si>
    <t>Confidentialité</t>
  </si>
  <si>
    <t>Les données personnelles, mots de passe et secrets ont-ils été retirés ?</t>
  </si>
  <si>
    <t>SCORE</t>
  </si>
  <si>
    <t>7/7 ne garantit pas que la réponse sera vraie : il indique seulement que la consigne est complète.</t>
  </si>
  <si>
    <t>STATUT</t>
  </si>
  <si>
    <t>5 — DU PROMPT VAGUE AU PROMPT EFFICACE : 3 EXEMPLES</t>
  </si>
  <si>
    <t>Situation</t>
  </si>
  <si>
    <t>Prompt vague</t>
  </si>
  <si>
    <t>Prompt amélioré</t>
  </si>
  <si>
    <t>Pourquoi il est meilleur</t>
  </si>
  <si>
    <t>Hygiène</t>
  </si>
  <si>
    <t>Explique l'HACCP.</t>
  </si>
  <si>
    <t>À un apprenti CAP cuisine, explique la différence entre un danger et un risque HACCP. Donne 2 exemples en restauration collective dans un tableau. Termine par 3 questions de vérification. Signale toute information dépendant du PMS.</t>
  </si>
  <si>
    <t>Public, notion précise, exemples métier, format et contrôle sont indiqués.</t>
  </si>
  <si>
    <t>Fais une fiche de bourguignon.</t>
  </si>
  <si>
    <t>À partir de la recette jointe, crée une fiche technique de bœuf bourguignon pour 40 couverts. Conserve les quantités sources, liste les étapes dans l'ordre et ajoute une colonne allergènes à vérifier. N'invente aucune donnée absente.</t>
  </si>
  <si>
    <t>La source, le nombre de couverts, le livrable et la limite sont explicites.</t>
  </si>
  <si>
    <t>Classeur Excel</t>
  </si>
  <si>
    <t>Répare mon fichier Excel.</t>
  </si>
  <si>
    <t>Ouvre le classeur joint. Avant toute modification, indique les feuilles, plages utilisées, formules et erreurs repérées. Corrige uniquement les problèmes prouvés. Après modification, teste les cellules concernées et liste les points non contrôlés. Reste compatible Excel 2021 FR.</t>
  </si>
  <si>
    <t>La mission prévoit un audit avant/après, des preuves, des tests et une contrainte technique.</t>
  </si>
  <si>
    <t>6 — AMÉLIORER LA RÉPONSE : UNE RELANCE PRÉCISE VAUT MIEUX QU'UN NOUVEAU PROMPT</t>
  </si>
  <si>
    <t>Étape</t>
  </si>
  <si>
    <t>Exemple de relance</t>
  </si>
  <si>
    <t>Qu'est-ce qui est déjà correct ?</t>
  </si>
  <si>
    <t>Dire ce qu'il faut conserver.</t>
  </si>
  <si>
    <t>Conserve le tableau et les intitulés des colonnes.</t>
  </si>
  <si>
    <t>Qu'est-ce qui ne convient pas ?</t>
  </si>
  <si>
    <t>Nommer l'erreur ou le manque.</t>
  </si>
  <si>
    <t>Les températures ne proviennent pas du document joint.</t>
  </si>
  <si>
    <t>Quelle correction exacte demander ?</t>
  </si>
  <si>
    <t>Formuler une seule correction mesurable.</t>
  </si>
  <si>
    <t>Supprime les valeurs non sourcées et indique « à vérifier dans le PMS ».</t>
  </si>
  <si>
    <t>Comment contrôler la nouvelle réponse ?</t>
  </si>
  <si>
    <t>Demander la trace des changements.</t>
  </si>
  <si>
    <t>Liste les lignes modifiées et les informations restant incertaines.</t>
  </si>
  <si>
    <t>Modèle de relance : « Conserve [élément correct]. Corrige [erreur précise]. Utilise [source]. Rends le résultat sous [format]. Indique [preuve ou point non vérifié]. »</t>
  </si>
  <si>
    <t>7 — ERREURS FRÉQUENTES ET RÈGLES DE SÉCURITÉ</t>
  </si>
  <si>
    <t>Erreur</t>
  </si>
  <si>
    <t>Risque</t>
  </si>
  <si>
    <t>Correction</t>
  </si>
  <si>
    <t>Prompt très long copié pour chaque situation</t>
  </si>
  <si>
    <t>Les consignes inutiles masquent l'objectif.</t>
  </si>
  <si>
    <t>Retirer tout ce qui ne change pas la réponse.</t>
  </si>
  <si>
    <t>La longueur n'est pas un critère de qualité.</t>
  </si>
  <si>
    <t>Source non jointe ou non nommée</t>
  </si>
  <si>
    <t>L'IA répond avec des connaissances générales.</t>
  </si>
  <si>
    <t>Joindre le document et écrire ce qui doit être utilisé.</t>
  </si>
  <si>
    <t>Une source annoncée doit réellement être fournie.</t>
  </si>
  <si>
    <t>Plusieurs missions mélangées</t>
  </si>
  <si>
    <t>Certaines tâches sont oubliées.</t>
  </si>
  <si>
    <t>Découper en étapes et valider chaque résultat.</t>
  </si>
  <si>
    <t>Une mission principale par étape.</t>
  </si>
  <si>
    <t>Demande d'inventer les valeurs manquantes</t>
  </si>
  <si>
    <t>Résultat plausible mais potentiellement faux.</t>
  </si>
  <si>
    <t>Exiger « donnée manquante » ou « non vérifié ».</t>
  </si>
  <si>
    <t>L'incertitude doit rester visible.</t>
  </si>
  <si>
    <t>Données personnelles ou confidentielles</t>
  </si>
  <si>
    <t>Divulgation inutile d'informations.</t>
  </si>
  <si>
    <t>Anonymiser noms, coordonnées, identifiants et secrets.</t>
  </si>
  <si>
    <t>Ne jamais transmettre mot de passe ou donnée sensible.</t>
  </si>
  <si>
    <t>Réponse acceptée sans contrôle métier</t>
  </si>
  <si>
    <t>Une erreur peut être reprise dans un document.</t>
  </si>
  <si>
    <t>Comparer avec la source et faire valider les points critiques.</t>
  </si>
  <si>
    <t>L'IA assiste ; elle ne remplace pas le contrôle professionnel.</t>
  </si>
  <si>
    <t>Demander « sois fiable » sans critère</t>
  </si>
  <si>
    <t>La formule est trop vague pour être testée.</t>
  </si>
  <si>
    <t>Demander des sources, hypothèses, calculs ou cellules précises.</t>
  </si>
  <si>
    <t>Un contrôle doit produire une preuve observable.</t>
  </si>
  <si>
    <t>8 — EXERCICES CFA : ÉCRIVEZ LE PROMPT DANS LA CELLULE JAUNE</t>
  </si>
  <si>
    <t>Objectif</t>
  </si>
  <si>
    <t>Critères attendus</t>
  </si>
  <si>
    <t>Votre prompt</t>
  </si>
  <si>
    <t>Refroidissement rapide</t>
  </si>
  <si>
    <t>Créer une fiche de révision CAP à partir d'un cours joint.</t>
  </si>
  <si>
    <t>Public précisé ; source jointe ; tableau ; valeurs non inventées ; 3 questions finales.</t>
  </si>
  <si>
    <t>Comparer deux recettes</t>
  </si>
  <si>
    <t>Repérer les différences entre deux fiches de bourguignon.</t>
  </si>
  <si>
    <t>Même base de comparaison ; ingrédients ; techniques ; rendement ; différences non interprétées sans preuve.</t>
  </si>
  <si>
    <t>Formule Excel incorrecte</t>
  </si>
  <si>
    <t>Faire diagnostiquer et corriger une cellule qui affiche un mauvais résultat.</t>
  </si>
  <si>
    <t>Fichier joint ; cellule nommée ; résultat actuel ; résultat attendu ; dépendances ; test après correction ; Excel 2021 FR.</t>
  </si>
  <si>
    <t>9 — EXEMPLE PROFESSIONNEL CONDENSÉ : AUDITER UN CLASSEUR EXCEL</t>
  </si>
  <si>
    <t>Ouvre le classeur Excel joint. 1) Avant toute modification, indique les feuilles, plages utilisées, formules, erreurs visibles, liens externes et marqueurs XML à risque. 2) Corrige uniquement les problèmes prouvés et liste les cellules ou plages modifiées. 3) Conserve la compatibilité Excel 2021 FR : sans VBA, sans fonction dynamique, sans liaison externe et sans formule partagée héritée. 4) Après modification, refais les mêmes contrôles, teste des cas représentatifs et fournis un tableau AVANT / APRÈS. 5) Si un point n'a pas été contrôlé, écris « NON CONTRÔLÉ » avec la raison exacte. Livre le fichier corrigé et un avis critique fondé sur les preuves.</t>
  </si>
  <si>
    <t>Pourquoi ce prompt est efficace : mission unique, phases numérotées, contraintes adaptées, preuves attendues, tests finaux et possibilité d'écrire « NON CONTRÔLÉ ». Il reste beaucoup plus court que le prompt initial.</t>
  </si>
  <si>
    <t>10 — MÉMO FINAL À RETENIR</t>
  </si>
  <si>
    <t>1</t>
  </si>
  <si>
    <t>Commencez par le besoin réel.</t>
  </si>
  <si>
    <t>Que voulez-vous obtenir ?</t>
  </si>
  <si>
    <t>Une mission clairement nommée.</t>
  </si>
  <si>
    <t>2</t>
  </si>
  <si>
    <t>Donnez le contexte utile.</t>
  </si>
  <si>
    <t>Pour qui, à quel niveau, dans quelle situation ?</t>
  </si>
  <si>
    <t>Une réponse adaptée au destinataire.</t>
  </si>
  <si>
    <t>3</t>
  </si>
  <si>
    <t>Nommez les données.</t>
  </si>
  <si>
    <t>Quel document, quelle recette, quelle cellule ?</t>
  </si>
  <si>
    <t>Une base de travail identifiable.</t>
  </si>
  <si>
    <t>4</t>
  </si>
  <si>
    <t>Fixez les contraintes.</t>
  </si>
  <si>
    <t>Longueur, règles métier, version de logiciel, interdictions ?</t>
  </si>
  <si>
    <t>Des limites explicites.</t>
  </si>
  <si>
    <t>5</t>
  </si>
  <si>
    <t>Décrivez le résultat.</t>
  </si>
  <si>
    <t>Tableau, fiche, procédure, fichier ou nombre d'étapes ?</t>
  </si>
  <si>
    <t>Un livrable directement utilisable.</t>
  </si>
  <si>
    <t>6</t>
  </si>
  <si>
    <t>Demandez un contrôle.</t>
  </si>
  <si>
    <t>Sources, calculs, cellules, tests, hypothèses ou points non vérifiés ?</t>
  </si>
  <si>
    <t>Une réponse que l'on peut examiner.</t>
  </si>
  <si>
    <t>7</t>
  </si>
  <si>
    <t>Relisez et améliorez.</t>
  </si>
  <si>
    <t>Qu'est-ce qui manque ou doit être corrigé ?</t>
  </si>
  <si>
    <t>Une relance précise, sans recommencer inutilement.</t>
  </si>
  <si>
    <t>8</t>
  </si>
  <si>
    <t>Validez avec le métier.</t>
  </si>
  <si>
    <t>La réponse respecte-t-elle la source et les règles professionnelles ?</t>
  </si>
  <si>
    <t>Une décision humaine avant utilisation.</t>
  </si>
  <si>
    <t>UN BON PROMPT NE GARANTIT PAS UNE RÉPONSE JUSTE : IL REND LA DEMANDE PLUS CLAIRE ET LE CONTRÔLE PLUS FACILE.</t>
  </si>
  <si>
    <t>DICTIONNAIRE DES RÈGLES DE DÉTECTION DES ALLERGÈNES</t>
  </si>
  <si>
    <t>Référentiel synchronisé depuis ALLERGENES!CN:CV le 09/08/2026 • 2 423 règles actives • 14 familles • La numérotation de la source est conservée : R0143 et R0151 n’y figurent pas. Toute modification future de la base ALLERGENES impose une nouvelle synchronisation de cet onglet.</t>
  </si>
  <si>
    <t>LÉGENDE DES STATUTS</t>
  </si>
  <si>
    <t>CONTRÔLES DE COHÉRENCE</t>
  </si>
  <si>
    <t>Terme déclenchant une détection allergène.</t>
  </si>
  <si>
    <t>Source</t>
  </si>
  <si>
    <t>ALLERGENES!CN:CV</t>
  </si>
  <si>
    <t>Terme ou composition à vérifier avant de conclure.</t>
  </si>
  <si>
    <t>Règles reprises</t>
  </si>
  <si>
    <t>Terme neutralisé pour éviter un faux positif.</t>
  </si>
  <si>
    <t>ID dupliqué</t>
  </si>
  <si>
    <t>Terme neutralisé dans une recherche de suspicion.</t>
  </si>
  <si>
    <t>Champ obligatoire vide</t>
  </si>
  <si>
    <t>Numéros absents de la source</t>
  </si>
  <si>
    <t>R0143 ; R0151</t>
  </si>
  <si>
    <t>Les deux numéros absents ne sont pas créés artificiellement : l’onglet Dictionnaire reproduit strictement la base active afin d’éviter tout écart avec le moteur de détection.</t>
  </si>
  <si>
    <t>différence entre =Terme métier / ingrédient; et =Terme normalisé</t>
  </si>
  <si>
    <r>
      <t>Terme métier / ingrédient</t>
    </r>
    <r>
      <rPr>
        <sz val="11"/>
        <color theme="1"/>
        <rFont val="Calibri"/>
        <family val="2"/>
        <scheme val="minor"/>
      </rPr>
      <t xml:space="preserve"> : appellation réelle, lisible par l’utilisateur, avec accents et orthographe professionnelle.</t>
    </r>
  </si>
  <si>
    <r>
      <t xml:space="preserve">Exemple : </t>
    </r>
    <r>
      <rPr>
        <sz val="10"/>
        <color theme="1"/>
        <rFont val="Arial Unicode MS"/>
      </rPr>
      <t>bière blanche</t>
    </r>
    <r>
      <rPr>
        <sz val="11"/>
        <color theme="1"/>
        <rFont val="Calibri"/>
        <family val="2"/>
        <scheme val="minor"/>
      </rPr>
      <t xml:space="preserve">, </t>
    </r>
    <r>
      <rPr>
        <sz val="10"/>
        <color theme="1"/>
        <rFont val="Arial Unicode MS"/>
      </rPr>
      <t>amidon de blé</t>
    </r>
    <r>
      <rPr>
        <sz val="11"/>
        <color theme="1"/>
        <rFont val="Calibri"/>
        <family val="2"/>
        <scheme val="minor"/>
      </rPr>
      <t xml:space="preserve">, </t>
    </r>
    <r>
      <rPr>
        <sz val="10"/>
        <color theme="1"/>
        <rFont val="Arial Unicode MS"/>
      </rPr>
      <t>sauce huître</t>
    </r>
    <r>
      <rPr>
        <sz val="11"/>
        <color theme="1"/>
        <rFont val="Calibri"/>
        <family val="2"/>
        <scheme val="minor"/>
      </rPr>
      <t>.</t>
    </r>
  </si>
  <si>
    <r>
      <t>Terme normalisé</t>
    </r>
    <r>
      <rPr>
        <sz val="11"/>
        <color theme="1"/>
        <rFont val="Calibri"/>
        <family val="2"/>
        <scheme val="minor"/>
      </rPr>
      <t xml:space="preserve"> : version technique simplifiée utilisée par le moteur pour effectuer la recherche. </t>
    </r>
  </si>
  <si>
    <t>Les majuscules, accents, apostrophes, ponctuations et espaces irréguliers sont neutralisés.</t>
  </si>
  <si>
    <r>
      <t xml:space="preserve">Exemple : </t>
    </r>
    <r>
      <rPr>
        <sz val="10"/>
        <color theme="1"/>
        <rFont val="Arial Unicode MS"/>
      </rPr>
      <t>biere blanche</t>
    </r>
    <r>
      <rPr>
        <sz val="11"/>
        <color theme="1"/>
        <rFont val="Calibri"/>
        <family val="2"/>
        <scheme val="minor"/>
      </rPr>
      <t xml:space="preserve">, </t>
    </r>
    <r>
      <rPr>
        <sz val="10"/>
        <color theme="1"/>
        <rFont val="Arial Unicode MS"/>
      </rPr>
      <t>amidon de ble</t>
    </r>
    <r>
      <rPr>
        <sz val="11"/>
        <color theme="1"/>
        <rFont val="Calibri"/>
        <family val="2"/>
        <scheme val="minor"/>
      </rPr>
      <t xml:space="preserve">, </t>
    </r>
    <r>
      <rPr>
        <sz val="10"/>
        <color theme="1"/>
        <rFont val="Arial Unicode MS"/>
      </rPr>
      <t>sauce huitre</t>
    </r>
    <r>
      <rPr>
        <sz val="11"/>
        <color theme="1"/>
        <rFont val="Calibri"/>
        <family val="2"/>
        <scheme val="minor"/>
      </rPr>
      <t>.</t>
    </r>
  </si>
  <si>
    <t xml:space="preserve">Le terme normalisé ne doit pas servir à l’affichage. </t>
  </si>
  <si>
    <t xml:space="preserve">Il permet de reconnaître plusieurs écritures d’un même ingrédient et de limiter les erreurs de détection. </t>
  </si>
  <si>
    <t>Certains termes restent identiques, par exemple ale ou avoine.</t>
  </si>
  <si>
    <t>FICHE CAT DU PAI — RÉACTION ALLERGIQUE : CONDUITE À TENIR</t>
  </si>
  <si>
    <t>SUPPORT OPÉRATIONNEL À COMPLÉTER À PARTIR DE LA FICHE CAT MÉDICALE SIGNÉE — NE LA REMPLACE PAS</t>
  </si>
  <si>
    <t>1 — IDENTIFICATION ET VALIDITÉ DU PAI</t>
  </si>
  <si>
    <t>Nom et prénom</t>
  </si>
  <si>
    <t>Date de naissance</t>
  </si>
  <si>
    <t>Établissement / structure</t>
  </si>
  <si>
    <t>Classe / groupe / unité</t>
  </si>
  <si>
    <t>Photo ou repère sécurisé</t>
  </si>
  <si>
    <t>Période de validité du PAI</t>
  </si>
  <si>
    <t>Allergène(s) à éviter</t>
  </si>
  <si>
    <t>Mentions « traces » autorisées ?</t>
  </si>
  <si>
    <t>Référence fiche CAT médicale</t>
  </si>
  <si>
    <t>Responsable légal 1 / téléphone</t>
  </si>
  <si>
    <t>Responsable légal 2 / téléphone</t>
  </si>
  <si>
    <t>Médecin / contact prévu au PAI</t>
  </si>
  <si>
    <t>2 — TROUSSE D’URGENCE ET TRAITEMENTS PRESCRITS — RECOPIER L’ORDONNANCE / LA FICHE MÉDICALE</t>
  </si>
  <si>
    <t>Lieu exact de la trousse</t>
  </si>
  <si>
    <t>Personne(s) autorisée(s)/formée(s)</t>
  </si>
  <si>
    <t>Adrénaline auto-injectable : nom / dosage</t>
  </si>
  <si>
    <t>Date de péremption / nombre de stylos</t>
  </si>
  <si>
    <t>Deuxième injection prévue par la fiche médicale ? délai ?</t>
  </si>
  <si>
    <t>Bronchodilatateur : nom / nombre de bouffées</t>
  </si>
  <si>
    <t>Antihistaminique oral : nom / dose / mode de prise</t>
  </si>
  <si>
    <t>Autre traitement ou consigne médicale</t>
  </si>
  <si>
    <t>Numéro d’urgence spécifique éventuel</t>
  </si>
  <si>
    <t>Téléphone disponible / adresse exacte du site</t>
  </si>
  <si>
    <t>DÈS LES PREMIERS SIGNES — AGIR SANS ATTENDRE</t>
  </si>
  <si>
    <t>Faire chercher immédiatement la trousse d’urgence ET un téléphone.</t>
  </si>
  <si>
    <t>Rester avec l’enfant ou l’adolescent. Ne jamais le laisser seul.</t>
  </si>
  <si>
    <t>Noter l’heure de début des signes et l’exposition suspectée, si elle est connue.</t>
  </si>
  <si>
    <t>Évaluer immédiatement la gravité avec les deux cadres ci-dessous.</t>
  </si>
  <si>
    <t>En l’absence d’amélioration ou si un nouveau signe apparaît : réévaluer pour ne pas retarder l’adrénaline.</t>
  </si>
  <si>
    <t>RÉACTION MODÉRÉE</t>
  </si>
  <si>
    <t>RÉACTION GRAVE — UN SEUL SIGNE SUFFIT</t>
  </si>
  <si>
    <t>Il parle bien ET il respire bien</t>
  </si>
  <si>
    <t>□</t>
  </si>
  <si>
    <t>Respire mal ; voix qui change ; difficulté à parler.</t>
  </si>
  <si>
    <t>Bouche qui pique ; lèvres qui gonflent.</t>
  </si>
  <si>
    <t>Respire mal avec sifflement ou toux.</t>
  </si>
  <si>
    <t>Yeux qui piquent ; nez qui coule.</t>
  </si>
  <si>
    <t>Très mal au ventre et/ou vomit plusieurs fois.</t>
  </si>
  <si>
    <t>Plaques rouges qui démangent de façon localisée.</t>
  </si>
  <si>
    <t>Devient rapidement rouge sur tout le corps avec démangeaisons étendues.</t>
  </si>
  <si>
    <t>Un peu mal au ventre et/ou envie de vomir.</t>
  </si>
  <si>
    <t>Gonflement de la langue, de la gorge ou du visage ; difficulté respiratoire.</t>
  </si>
  <si>
    <t>Autre signe modéré inscrit dans la fiche médicale.</t>
  </si>
  <si>
    <t>Se sent mal, bizarre, très faible ; pâleur ou changement de comportement.</t>
  </si>
  <si>
    <t>Fait un malaise ou perd connaissance.</t>
  </si>
  <si>
    <t>ACTIONS — SUIVRE STRICTEMENT LA FICHE CAT MÉDICALE</t>
  </si>
  <si>
    <t>Administrer uniquement le traitement oral prescrit : nom et dose indiqués dans la zone jaune.</t>
  </si>
  <si>
    <t>ACTIONS IMMÉDIATES — NE PAS ATTENDRE PLUSIEURS SIGNES</t>
  </si>
  <si>
    <t>Surveiller en permanence jusqu’à disparition complète des symptômes.</t>
  </si>
  <si>
    <t>Allonger l’enfant ; le laisser demi-assis si la respiration est gênée.</t>
  </si>
  <si>
    <t>Prévenir les responsables légaux et conseiller la conduite prévue par le PAI.</t>
  </si>
  <si>
    <t>Injecter immédiatement l’adrénaline prescrite, dans la face externe de la cuisse, selon la fiche médicale et la formation reçue.</t>
  </si>
  <si>
    <t>Si aggravation, absence d’amélioration ou nouveau signe : passer immédiatement au cadre rouge.</t>
  </si>
  <si>
    <t>Appeler immédiatement le SAMU : 15 ou 112. Donner l’adresse exacte et ne pas raccrocher avant consigne.</t>
  </si>
  <si>
    <t>Si gêne respiratoire : administrer le bronchodilatateur uniquement s’il est prescrit dans la fiche CAT.</t>
  </si>
  <si>
    <t>Suivre les consignes du SAMU. Répéter l’adrénaline seulement si la fiche médicale le prévoit et selon le délai prescrit/les consignes reçues.</t>
  </si>
  <si>
    <t>Informer les responsables légaux. Une prise en charge hospitalière est nécessaire après injection d’adrénaline.</t>
  </si>
  <si>
    <t>3 — APPEL AU 15 / 112 : INFORMATIONS À DONNER</t>
  </si>
  <si>
    <t>Votre nom et numéro de rappel</t>
  </si>
  <si>
    <t>Identité et âge de l’enfant</t>
  </si>
  <si>
    <t>Adresse exacte / bâtiment / accès</t>
  </si>
  <si>
    <t>Signes observés et heure de début</t>
  </si>
  <si>
    <t>Allergène ou exposition suspectée</t>
  </si>
  <si>
    <t>Traitements administrés et heures</t>
  </si>
  <si>
    <t>État actuel / évolution</t>
  </si>
  <si>
    <t>Consignes données par le SAMU</t>
  </si>
  <si>
    <t>NE PAS RACCROCHER AVANT QUE LE SAMU NE LE DEMANDE — SUIVRE SES CONSIGNES</t>
  </si>
  <si>
    <t>4 — TRAÇABILITÉ DE L’ÉVÉNEMENT</t>
  </si>
  <si>
    <t>Date</t>
  </si>
  <si>
    <t>Heure</t>
  </si>
  <si>
    <t>Repas / produit</t>
  </si>
  <si>
    <t>Lot</t>
  </si>
  <si>
    <t>Premiers signes</t>
  </si>
  <si>
    <t>Traitement</t>
  </si>
  <si>
    <t>Heure traitement</t>
  </si>
  <si>
    <t>Appel 15/112</t>
  </si>
  <si>
    <t>Heure appel</t>
  </si>
  <si>
    <t>Famille prévenue</t>
  </si>
  <si>
    <t>Décision secours</t>
  </si>
  <si>
    <t>Agent</t>
  </si>
  <si>
    <t>Visa responsable</t>
  </si>
  <si>
    <t>Document joint</t>
  </si>
  <si>
    <t>VALIDATION MÉDICALE OBLIGATOIRE AVANT UTILISATION</t>
  </si>
  <si>
    <t>Nom du médecin</t>
  </si>
  <si>
    <t>Signature / cachet</t>
  </si>
  <si>
    <t>Date de vérification par l’établissement</t>
  </si>
  <si>
    <t>Responsable</t>
  </si>
  <si>
    <t>Cette fiche doit être renseignée à partir du PAI et de sa partie 3 signée. Aucun médicament, aucune dose et aucun délai ne doivent être inventés ou modifiés par la restauration ou le personnel d’accueil.</t>
  </si>
  <si>
    <t>RÉFÉRENCES OFFICIELLES</t>
  </si>
  <si>
    <t>Fiche spécifique n° 2 — Réaction allergique (Eduscol)</t>
  </si>
  <si>
    <t>https://eduscol.education.gouv.fr/media/70821/download?attachment=</t>
  </si>
  <si>
    <t>PAI et fiches CAT (Eduscol)</t>
  </si>
  <si>
    <t>https://eduscol.education.gouv.fr/5427/poursuite-de-la-scolarite-avec-des-traitements-medicaux-particuliers</t>
  </si>
  <si>
    <t>Allergie alimentaire : définition et symptômes (Ameli)</t>
  </si>
  <si>
    <t>https://www.ameli.fr/assure/sante/themes/allergie-alimentaire/definition-symptomes</t>
  </si>
  <si>
    <t>Allergie alimentaire : traitement et prévention (Ameli)</t>
  </si>
  <si>
    <t>https://www.ameli.fr/assure/sante/themes/allergie-alimentaire/traitement-prevention</t>
  </si>
  <si>
    <t>Saisir uniquement les cellules fond blanc en colonne B.              Résultat colonne C   * = allergène certain ;                                   ? = composition à contrôler.</t>
  </si>
  <si>
    <t>Dans ce document collez votre texte soit colonne O ; soit colonne K et récupérez le colonnes U et V</t>
  </si>
  <si>
    <t>8 colonnes masquées ►</t>
  </si>
  <si>
    <t>►   Masquez ces colonnes</t>
  </si>
  <si>
    <t>Saisie jusqu’à la ligne 200     formules jusqu’à la ligne 1017</t>
  </si>
  <si>
    <t>largeurs de colonnes ►</t>
  </si>
  <si>
    <t>Résumé</t>
  </si>
  <si>
    <t>Réglages</t>
  </si>
  <si>
    <t>Lignes saisies</t>
  </si>
  <si>
    <t>Caractères source</t>
  </si>
  <si>
    <t xml:space="preserve">◄ 2️⃣  Saisissez  la largeur du document dans lequel vous collerez ensuite le texte. </t>
  </si>
  <si>
    <t>Mots source</t>
  </si>
  <si>
    <t>◄ 3️⃣ saisissez un nombre de caractères par lignes</t>
  </si>
  <si>
    <t>Saisir uniquement les cellules fond jaune en colonne K.              Résultat colonne U  * = allergène certain ;                                   ? = composition à contrôler.</t>
  </si>
  <si>
    <t>Lignes de sortie</t>
  </si>
  <si>
    <t>◄ 4️⃣  Si vous ne voulez pas de ponctuation saisissez un X dans cette cellule</t>
  </si>
  <si>
    <t>🎯  Saisir ou coller un texte et le découper automatiquement au nombre de caractères saisis sans couper les mots. Avec ou sans ponctuation, pour qu’il tienne dans le cadre prévu.</t>
  </si>
  <si>
    <t>Moteur interne</t>
  </si>
  <si>
    <t>Entrée</t>
  </si>
  <si>
    <t>Sortie</t>
  </si>
  <si>
    <t>Vin : ? tant que l’étiquette n’est pas contrôlée (Œufs, Lait, Sulfites possibles). Voir lignes 114.</t>
  </si>
  <si>
    <t>Nettoyage</t>
  </si>
  <si>
    <t>Sans ponctuation</t>
  </si>
  <si>
    <t>Sélection</t>
  </si>
  <si>
    <t>Texte cumulé</t>
  </si>
  <si>
    <t>Reste</t>
  </si>
  <si>
    <t>Ligne</t>
  </si>
  <si>
    <t>Suite</t>
  </si>
  <si>
    <t>Alerte</t>
  </si>
  <si>
    <t xml:space="preserve">1️⃣ COLLEZ LE TEXTE BRUT  A DÉCOUPER  DANS CETTE COLONNE ▼    </t>
  </si>
  <si>
    <t>Car.</t>
  </si>
  <si>
    <t xml:space="preserve">le texte de la colonne K est découpé ICI SANS allergènes puis "collé" colonne T pour détection des Allergènes </t>
  </si>
  <si>
    <t>Mots</t>
  </si>
  <si>
    <t>Tarte normande aux pommes et aux amandes 🍎🥧</t>
  </si>
  <si>
    <t>Un grand classique de la pâtisserie française ! Cette tarte normande fondante aux pommes et aux amandes est à la fois simple, économique et délicieusement parfumée. À servir tiède avec une cuillerée de crème fraîche pour un pur moment de douceur.</t>
  </si>
  <si>
    <t>Ingrédients :</t>
  </si>
  <si>
    <t>• 1 pâte sablée</t>
  </si>
  <si>
    <t>• 6 pommes</t>
  </si>
  <si>
    <t>• 3 œufs</t>
  </si>
  <si>
    <t>• 50 g de poudre d’amandes</t>
  </si>
  <si>
    <t>• 50 g d’amandes effilées</t>
  </si>
  <si>
    <t>• 50 g de sucre en poudre</t>
  </si>
  <si>
    <t>• 30 g de farine</t>
  </si>
  <si>
    <t>• 15 cl de crème liquide</t>
  </si>
  <si>
    <t>• 1 sachet de sucre vanillé</t>
  </si>
  <si>
    <t>• 15 g de beurre</t>
  </si>
  <si>
    <t>• 10 g de sucre glace</t>
  </si>
  <si>
    <t>Préparation :</t>
  </si>
  <si>
    <t>1. Préchauffez le four à 180°C (th. 6).</t>
  </si>
  <si>
    <t>2. Étalez la pâte sablée dans un moule beurré, piquez le fond avec une fourchette et placez au réfrigérateur pendant la préparation.</t>
  </si>
  <si>
    <t>3. Épluchez, épépinez et coupez les pommes en tranches épaisses. Disposez-les joliment sur le fond de tarte.</t>
  </si>
  <si>
    <t>4. Dans un saladier, fouettez les œufs avec le sucre et le sucre vanillé jusqu’à ce que le mélange blanchisse.</t>
  </si>
  <si>
    <t>5. Incorporez la farine, la poudre d’amandes puis la crème liquide, en mélangeant bien entre chaque ajout.</t>
  </si>
  <si>
    <t>6. Versez cette préparation sur les pommes, parsemez d’amandes effilées et ajoutez quelques noisettes de beurre.</t>
  </si>
  <si>
    <t>7. Enfournez pendant 30 minutes jusqu’à ce que la tarte soit dorée.</t>
  </si>
  <si>
    <t>8. Laissez tiédir, saupoudrez de sucre glace et servez avec une touche de crème fraîche.</t>
  </si>
  <si>
    <t>Préparation : 20 min</t>
  </si>
  <si>
    <t>Cuisson : 30 min</t>
  </si>
  <si>
    <t>Portions : 4</t>
  </si>
  <si>
    <t>Calories : ≈ 410 kcal par part</t>
  </si>
  <si>
    <t>►&gt; &gt; &gt;</t>
  </si>
  <si>
    <t>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t>
  </si>
  <si>
    <t>Saisissez vos recettes et détectez les Allergènes puis découpez le texte à la largeur de votre colonne</t>
  </si>
  <si>
    <t>21 colonnes</t>
  </si>
  <si>
    <t>détection des 14 Allergènes officiels et +</t>
  </si>
  <si>
    <t>1️⃣ saisissez ou collez vos  Denrées (collage spécial Valeurs) colonne AD</t>
  </si>
  <si>
    <t>2️⃣ Copiez le texte colonne AE</t>
  </si>
  <si>
    <t>et colonne AF</t>
  </si>
  <si>
    <t xml:space="preserve">3️⃣ Collez le texte dans les colonnes </t>
  </si>
  <si>
    <t>fromage blanc 20% mg *</t>
  </si>
  <si>
    <t>de votre fiche recette</t>
  </si>
  <si>
    <t>Colonne Denrées et Allergène</t>
  </si>
  <si>
    <t>Collage spécial 1.2.3 Valeurs</t>
  </si>
  <si>
    <t>sel fin</t>
  </si>
  <si>
    <t>si un produit ne remonte pas c'est qu"il n'est pas dans la liste  ou mal orthographié exemple cacahuete ,cacahuetes, cacahouetes, saisissez des variantes</t>
  </si>
  <si>
    <t>1004</t>
  </si>
  <si>
    <t>Nettoyer les tomates, enlever le pédoncule et les couper en quarts.</t>
  </si>
  <si>
    <t>Mixer les tomates avec du basilic dans un mixeur ou un blender. *</t>
  </si>
  <si>
    <t xml:space="preserve">*poi </t>
  </si>
  <si>
    <t>ALLERGÈNES — CONTRÔLE QUOTIDIEN EN CUISINE CENTRALE (LIAISON FROIDE)</t>
  </si>
  <si>
    <t>MODE D’EMPLOI PÉDAGOGIQUE — CFA</t>
  </si>
  <si>
    <t>Publics : crèche • écoles • foyers • restaurant administratif • EHPAD • hôpital | Grille opérationnelle + support CFA</t>
  </si>
  <si>
    <t>OBJECTIF : vérifier chaque jour que le repas fabriqué, transporté et servi correspond bien aux informations allergènes, aux prescriptions et aux PAI.</t>
  </si>
  <si>
    <t>Nombre de repas</t>
  </si>
  <si>
    <t>Menu / service</t>
  </si>
  <si>
    <t>Nombre de PAI / régimes allergiques</t>
  </si>
  <si>
    <t>Responsable du contrôle</t>
  </si>
  <si>
    <t>Référence lot / production</t>
  </si>
  <si>
    <t>COMMENT UTILISER LA GRILLE — ÉTAPES</t>
  </si>
  <si>
    <t>Site / satellite</t>
  </si>
  <si>
    <t>Heure de validation finale</t>
  </si>
  <si>
    <t>Préparer la fiche</t>
  </si>
  <si>
    <t>Renseigner la date, le menu, le responsable, le site, le nombre de repas, le nombre de PAI/régimes et la référence de production.</t>
  </si>
  <si>
    <t>Point de contrôle quotidien</t>
  </si>
  <si>
    <t>Preuve attendue / critère</t>
  </si>
  <si>
    <t>Moment</t>
  </si>
  <si>
    <t>NC</t>
  </si>
  <si>
    <t>NA</t>
  </si>
  <si>
    <t>Observation / écart constaté</t>
  </si>
  <si>
    <t>Action corrective immédiate</t>
  </si>
  <si>
    <t>Qui ?</t>
  </si>
  <si>
    <t>Signature / visa</t>
  </si>
  <si>
    <t>Lire avant de cocher</t>
  </si>
  <si>
    <t>Pour chaque ligne, lire le point de contrôle et la preuve attendue. Ne pas cocher automatiquement d’après l’habitude.</t>
  </si>
  <si>
    <t>Référencement</t>
  </si>
  <si>
    <t>Fiche technique fournisseur disponible, lisible et à jour pour chaque denrée et recette composée.</t>
  </si>
  <si>
    <t>Version/date identifiées ; allergènes des ingrédients et auxiliaires technologiques recensés.</t>
  </si>
  <si>
    <t>Achats / qualité</t>
  </si>
  <si>
    <t>Avant menu</t>
  </si>
  <si>
    <t>Inscrire X dans une seule colonne</t>
  </si>
  <si>
    <t>C = conforme ; NC = non conforme ; NA = non applicable. Sans liste déroulante : saisir simplement la lettre X.</t>
  </si>
  <si>
    <t>Réception</t>
  </si>
  <si>
    <t>Étiquette du lot livré comparée à la fiche technique enregistrée.</t>
  </si>
  <si>
    <t>Aucune modification de composition non évaluée ; lot et DLC/DDM tracés.</t>
  </si>
  <si>
    <t>Réceptionnaire</t>
  </si>
  <si>
    <t>Justifier une NC</t>
  </si>
  <si>
    <t>Décrire l’écart en colonne J. Écrire l’action corrective en K, le responsable en L, l’heure en M et signer en N.</t>
  </si>
  <si>
    <t>Substitution fournisseur ou produit de dépannage bloqué jusqu'à nouvelle lecture de l'étiquette.</t>
  </si>
  <si>
    <t>Validation écrite avant entrée en production ; pas de validation par le seul nom du produit.</t>
  </si>
  <si>
    <t>Chef / qualité</t>
  </si>
  <si>
    <t>Bloquer si nécessaire</t>
  </si>
  <si>
    <t>Une NC non levée ou un doute sur la composition, l’étiquette, le lot ou l’identité impose : NE PAS SERVIR.</t>
  </si>
  <si>
    <t>Stockage</t>
  </si>
  <si>
    <t>Produits allergènes identifiés, fermés et séparés des produits destinés aux régimes d'éviction.</t>
  </si>
  <si>
    <t>Bacs dédiés ; absence de sachet ouvert, fuite ou poudre dispersée.</t>
  </si>
  <si>
    <t>Magasinier</t>
  </si>
  <si>
    <t>Avant production</t>
  </si>
  <si>
    <t>Contrôler la synthèse</t>
  </si>
  <si>
    <t>La zone lignes 37 à 41 compte les X. Vérifier que le nombre de contrôles renseignés correspond aux 26 points.</t>
  </si>
  <si>
    <t>Planification</t>
  </si>
  <si>
    <t>Liste actualisée des convives allergiques/PAI reçue par le personnel autorisé.</t>
  </si>
  <si>
    <t>Identité, site, repas, allergènes à éviter, protocole et validité vérifiés.</t>
  </si>
  <si>
    <t>Responsable production</t>
  </si>
  <si>
    <t>Valider avant départ/service</t>
  </si>
  <si>
    <t>Le responsable décide de la libération ou du blocage et appose son visa. Un contrôle incomplet n’autorise pas la libération.</t>
  </si>
  <si>
    <t>Menu standard, variantes, substitutions et fiches recettes comparés à la matrice allergènes.</t>
  </si>
  <si>
    <t>Concordance menu–recette–fiches produits–étiquettes ; toute incertitude = arrêt.</t>
  </si>
  <si>
    <t>Chef / diététicien</t>
  </si>
  <si>
    <t>Archiver</t>
  </si>
  <si>
    <t>Conserver la grille avec le menu, les fiches techniques, les étiquettes des lots, les PAI/prescriptions et les preuves prévues par le PMS.</t>
  </si>
  <si>
    <t>Personnel</t>
  </si>
  <si>
    <t>Équipe informée des productions à risque et des régimes spécifiques du jour.</t>
  </si>
  <si>
    <t>Briefing tracé ; responsabilités et ordre de fabrication connus.</t>
  </si>
  <si>
    <t>Chef d'équipe</t>
  </si>
  <si>
    <t>Prise de poste</t>
  </si>
  <si>
    <t>Tenue propre, lavage des mains et changement de gants entre opérations.</t>
  </si>
  <si>
    <t>Les gants ne remplacent pas le lavage des mains ; aucun bijou/objet contaminant.</t>
  </si>
  <si>
    <t>Opérateur</t>
  </si>
  <si>
    <t>Chaque opération</t>
  </si>
  <si>
    <t>LÉGENDE DES COLONNES C / NC / NA</t>
  </si>
  <si>
    <t>Matériel</t>
  </si>
  <si>
    <t>Matériel, ustensiles, balances, bacs et plans de travail nettoyés avant production protégée.</t>
  </si>
  <si>
    <t>Matériel dédié ou nettoyage validé ; absence de résidu visible.</t>
  </si>
  <si>
    <t>Avant fabrication</t>
  </si>
  <si>
    <t>CONFORME</t>
  </si>
  <si>
    <t>Le contrôle est réalisé et la preuve attendue est présente.</t>
  </si>
  <si>
    <t>Ordonnancement</t>
  </si>
  <si>
    <t>Production sans allergène réalisée avant les productions contenant l'allergène, si le plan de maîtrise le prévoit.</t>
  </si>
  <si>
    <t>Flux et ordre respectés ; produit protégé dès sa fabrication.</t>
  </si>
  <si>
    <t>Fabrication</t>
  </si>
  <si>
    <t>NON CONFORME</t>
  </si>
  <si>
    <t>Un écart, un doute ou une preuve manquante empêche de considérer le point comme maîtrisé.</t>
  </si>
  <si>
    <t>Pesée</t>
  </si>
  <si>
    <t>Ingrédients contrôlés un par un au poste de pesée.</t>
  </si>
  <si>
    <t>Étiquette du lot présente ; aucun transvasement non identifié ; cuillère dédiée.</t>
  </si>
  <si>
    <t>NON APPLICABLE</t>
  </si>
  <si>
    <t>Le point ne concerne réellement pas la production du jour. Ce choix doit rester exceptionnel et explicable.</t>
  </si>
  <si>
    <t>Recette suivie sans ajout, remplacement ni correction non autorisés.</t>
  </si>
  <si>
    <t>Tout changement est enregistré et réévalué avant poursuite.</t>
  </si>
  <si>
    <t>Cuisinier</t>
  </si>
  <si>
    <t>Contamination croisée</t>
  </si>
  <si>
    <t>Absence de contact direct ou indirect : mains, matériel, huiles, eau, vapeur, projections, chapelure, poudres.</t>
  </si>
  <si>
    <t>Séparation physique/temps ; protections fermées ; nettoyage intermédiaire.</t>
  </si>
  <si>
    <t>EXEMPLE REMPLI — SUBSTITUTION FOURNISSEUR</t>
  </si>
  <si>
    <t>Rework / restes</t>
  </si>
  <si>
    <t>Aucun retour, reste ou réemploi non identifié incorporé dans un régime d'éviction.</t>
  </si>
  <si>
    <t>Réemploi interdit sauf procédure maîtrisée, composition certaine et traçabilité complète.</t>
  </si>
  <si>
    <t>Chef</t>
  </si>
  <si>
    <t>Situation : le jambon prévu est remplacé par un autre lot. L’étiquette indique un allergène dans la saumure. Le nom « jambon blanc » et l’apparence du produit ne suffisent pas pour valider le remplacement.</t>
  </si>
  <si>
    <t>Conditionnement</t>
  </si>
  <si>
    <t>Bacs/barquettes spécifiques identifiés immédiatement, sans attente ni ambiguïté.</t>
  </si>
  <si>
    <t>Étiquette posée dès fermeture ; nom, site, repas, régime, date et lot lisibles.</t>
  </si>
  <si>
    <t>Étape contrôlée</t>
  </si>
  <si>
    <t>Observation</t>
  </si>
  <si>
    <t>Action immédiate</t>
  </si>
  <si>
    <t>Double contrôle</t>
  </si>
  <si>
    <t>Concordance identité/PAI ou régime, plat, allergènes évités et étiquette vérifiée par une seconde personne.</t>
  </si>
  <si>
    <t>Double visa réel ; la personne contrôle le produit et non seulement le document.</t>
  </si>
  <si>
    <t>Contrôleur habilité</t>
  </si>
  <si>
    <t>Avant fermeture</t>
  </si>
  <si>
    <t>Réception / substitution</t>
  </si>
  <si>
    <t>Allergène identifié dans la saumure du lot de remplacement.</t>
  </si>
  <si>
    <t>Bloquer le lot et les repas concernés. Ne pas utiliser.</t>
  </si>
  <si>
    <t>Chef + qualité</t>
  </si>
  <si>
    <t>BLOCAGE</t>
  </si>
  <si>
    <t>Refroidissement</t>
  </si>
  <si>
    <t>Produits protégés pendant le refroidissement et séparés des sources d'allergènes.</t>
  </si>
  <si>
    <t>Couvercles/films intacts ; emplacement identifié ; absence de surplomb contaminant.</t>
  </si>
  <si>
    <t>Responsable froid</t>
  </si>
  <si>
    <t>Vérification documentaire</t>
  </si>
  <si>
    <t>Fiche technique enregistrée différente de l’étiquette reçue.</t>
  </si>
  <si>
    <t>Demander la fiche actualisée et rechercher un produit validé.</t>
  </si>
  <si>
    <t>EN ATTENTE</t>
  </si>
  <si>
    <t>Allotissement</t>
  </si>
  <si>
    <t>Nombre de repas spécifiques concordant avec la commande et la liste du jour.</t>
  </si>
  <si>
    <t>Comptage par site/service ; écart traité avant départ.</t>
  </si>
  <si>
    <t>Allotisseur</t>
  </si>
  <si>
    <t>Solution de remplacement</t>
  </si>
  <si>
    <t>Nouveau produit contrôlé : étiquette, fiche et lot concordants.</t>
  </si>
  <si>
    <t>Refaire/conditionner puis effectuer le double contrôle.</t>
  </si>
  <si>
    <t>Chef + contrôleur</t>
  </si>
  <si>
    <t>LEVÉE APRÈS VISA</t>
  </si>
  <si>
    <t>Transport</t>
  </si>
  <si>
    <t>Contenants spécifiques fermés, séparés, identifiés et remis au bon site.</t>
  </si>
  <si>
    <t>Intégrité des scellés/étiquettes ; traçabilité départ ; température selon PMS.</t>
  </si>
  <si>
    <t>Chauffeur / allotisseur</t>
  </si>
  <si>
    <t>Expédition</t>
  </si>
  <si>
    <t>Réception satellite</t>
  </si>
  <si>
    <t>Le destinataire vérifie identité, régime, intégrité, quantité et température.</t>
  </si>
  <si>
    <t>Visa de réception ; mise à l'écart immédiate si doute.</t>
  </si>
  <si>
    <t>Référent satellite</t>
  </si>
  <si>
    <t>ERREURS À ÉVITER</t>
  </si>
  <si>
    <t>Stockage satellite</t>
  </si>
  <si>
    <t>Repas spécifiques isolés et clairement repérables jusqu'au service.</t>
  </si>
  <si>
    <t>Zone dédiée ; aucune permutation de couvercle, plateau ou étiquette.</t>
  </si>
  <si>
    <t>Avant service</t>
  </si>
  <si>
    <t>Cocher les trois colonnes C, NC et NA sur la même ligne.</t>
  </si>
  <si>
    <t>Remise en température</t>
  </si>
  <si>
    <t>Matériel et manipulation évitent tout contact avec les plats standards.</t>
  </si>
  <si>
    <t>Four/chariot/ustensile maîtrisés selon l'analyse de risque locale.</t>
  </si>
  <si>
    <t>Agent satellite</t>
  </si>
  <si>
    <t>Cocher C sans avoir vu la preuve attendue.</t>
  </si>
  <si>
    <t>Service</t>
  </si>
  <si>
    <t>Dernier contrôle au point de remise : bonne personne, bon plateau, bon repas.</t>
  </si>
  <si>
    <t>Contrôle oral + visuel + document ; l'enfant/personne dépendante n'est jamais l'unique barrière.</t>
  </si>
  <si>
    <t>Agent de service</t>
  </si>
  <si>
    <t>Choisir NA pour éviter de traiter une non-conformité.</t>
  </si>
  <si>
    <t>Information INCO</t>
  </si>
  <si>
    <t>Information écrite sur les allergènes disponible et cohérente avec le repas réellement servi.</t>
  </si>
  <si>
    <t>Support accessible et actualisé ; aucune donnée copiée d'un ancien menu.</t>
  </si>
  <si>
    <t>Responsable site</t>
  </si>
  <si>
    <t>Valider une substitution d’après le nom commercial ou l’apparence.</t>
  </si>
  <si>
    <t>Échantillon / preuves</t>
  </si>
  <si>
    <t>Étiquettes, fiches produits, fiches recettes, lots, menus et enregistrements conservés selon le PMS.</t>
  </si>
  <si>
    <t>Dossier complet permettant de reconstituer le repas réellement fabriqué et servi.</t>
  </si>
  <si>
    <t>Qualité</t>
  </si>
  <si>
    <t>Fin de service</t>
  </si>
  <si>
    <t>Corriger une NC sans écrire l’action, l’heure et le responsable.</t>
  </si>
  <si>
    <t>Écart / alerte</t>
  </si>
  <si>
    <t>Tout doute, erreur d'étiquette, rupture de traçabilité ou suspicion de contact entraîne le blocage du repas.</t>
  </si>
  <si>
    <t>NE PAS SERVIR ; isoler, identifier, informer et remplacer seulement après validation.</t>
  </si>
  <si>
    <t>Toute personne</t>
  </si>
  <si>
    <t>Immédiat</t>
  </si>
  <si>
    <t>Servir parce que le repas est urgent alors que la composition est incertaine.</t>
  </si>
  <si>
    <t>Croire qu’une texture mixée, un petit grammage ou une faible trace supprime le risque allergique.</t>
  </si>
  <si>
    <t>SYNTHÈSE DE LA JOURNÉE — À COMPLÉTER AVANT LIBÉRATION DES REPAS</t>
  </si>
  <si>
    <t>Contrôles conformes</t>
  </si>
  <si>
    <t>Non-conformités</t>
  </si>
  <si>
    <t>Non applicables</t>
  </si>
  <si>
    <t>Décision finale</t>
  </si>
  <si>
    <t>LIBÉRATION / BLOCAGE</t>
  </si>
  <si>
    <t>QUI FAIT QUOI ? — REPÈRES POUR L’APPRENANT</t>
  </si>
  <si>
    <t>Règle</t>
  </si>
  <si>
    <t>Une seule NC non levée impose le blocage du lot ou du repas concerné.</t>
  </si>
  <si>
    <t>Fonction</t>
  </si>
  <si>
    <t>Satellite/service</t>
  </si>
  <si>
    <t>Trace</t>
  </si>
  <si>
    <t>Commentaire final</t>
  </si>
  <si>
    <t>Responsable / chef</t>
  </si>
  <si>
    <t>Valide menu, lots, PAI et substitutions.</t>
  </si>
  <si>
    <t>Organise les flux et décide l’arrêt.</t>
  </si>
  <si>
    <t>Valide le double contrôle.</t>
  </si>
  <si>
    <t>Autorise le départ.</t>
  </si>
  <si>
    <t>Coordonne avec le site.</t>
  </si>
  <si>
    <t>Décide blocage/libération.</t>
  </si>
  <si>
    <t>Visa final.</t>
  </si>
  <si>
    <t>Réception / magasin</t>
  </si>
  <si>
    <t>Compare étiquette et fiche.</t>
  </si>
  <si>
    <t>Fournit le bon lot.</t>
  </si>
  <si>
    <t>—</t>
  </si>
  <si>
    <t>Trace les lots.</t>
  </si>
  <si>
    <t>Isole le produit douteux.</t>
  </si>
  <si>
    <t>Réception et lot.</t>
  </si>
  <si>
    <t>RISQUES ET NIVEAUX DE VIGILANCE SELON LES CONVIVES</t>
  </si>
  <si>
    <t>Cuisinier / opérateur</t>
  </si>
  <si>
    <t>Contrôle poste et matériel.</t>
  </si>
  <si>
    <t>Suit la recette sans ajout.</t>
  </si>
  <si>
    <t>Identifie immédiatement.</t>
  </si>
  <si>
    <t>Arrête et prévient.</t>
  </si>
  <si>
    <t>Écart et action.</t>
  </si>
  <si>
    <t>Public</t>
  </si>
  <si>
    <t>Facteurs de vulnérabilité</t>
  </si>
  <si>
    <t>Niveau de vigilance</t>
  </si>
  <si>
    <t>Barrière essentielle</t>
  </si>
  <si>
    <t>Responsable local</t>
  </si>
  <si>
    <t>Autonomie du convive</t>
  </si>
  <si>
    <t>Substitution / régime</t>
  </si>
  <si>
    <t>Identification</t>
  </si>
  <si>
    <t>Point CFA</t>
  </si>
  <si>
    <t>Erreur à éviter</t>
  </si>
  <si>
    <t>Décision en cas de doute</t>
  </si>
  <si>
    <t>Allotissement / transport</t>
  </si>
  <si>
    <t>Vérifie l’étiquette.</t>
  </si>
  <si>
    <t>Compte, sépare et remet au bon site.</t>
  </si>
  <si>
    <t>Transmet les informations.</t>
  </si>
  <si>
    <t>Bloque le contenant.</t>
  </si>
  <si>
    <t>Départ/réception.</t>
  </si>
  <si>
    <t>Crèche</t>
  </si>
  <si>
    <t>Très jeune âge, expression des symptômes limitée, dépendance totale.</t>
  </si>
  <si>
    <t>MAXIMAL</t>
  </si>
  <si>
    <t>PAI/protocole, adulte référent, double contrôle.</t>
  </si>
  <si>
    <t>Direction / référent santé</t>
  </si>
  <si>
    <t>Nulle</t>
  </si>
  <si>
    <t>Uniquement selon prescription et procédure validée.</t>
  </si>
  <si>
    <t>Nom + photo/repère sécurisé selon procédure locale.</t>
  </si>
  <si>
    <t>Remise nominative directe.</t>
  </si>
  <si>
    <t>Appliquer le protocole ; appeler 15/112 si signes graves.</t>
  </si>
  <si>
    <t>Repas, lot, heure, agents.</t>
  </si>
  <si>
    <t>L'enfant ne peut pas être la dernière barrière.</t>
  </si>
  <si>
    <t>Se fier à la couleur du plateau seule.</t>
  </si>
  <si>
    <t>Ne pas servir.</t>
  </si>
  <si>
    <t>Satellite / service</t>
  </si>
  <si>
    <t>Consulte les informations.</t>
  </si>
  <si>
    <t>Réceptionne et contrôle.</t>
  </si>
  <si>
    <t>Remet à la bonne personne.</t>
  </si>
  <si>
    <t>Ne sert pas ; alerte.</t>
  </si>
  <si>
    <t>Heure et remise.</t>
  </si>
  <si>
    <t>École</t>
  </si>
  <si>
    <t>Autonomie variable ; échanges d'aliments possibles.</t>
  </si>
  <si>
    <t>TRÈS ÉLEVÉ</t>
  </si>
  <si>
    <t>PAI à jour, surveillance et prévention des échanges.</t>
  </si>
  <si>
    <t>Direction / personnel périscolaire</t>
  </si>
  <si>
    <t>Variable</t>
  </si>
  <si>
    <t>Selon PAI : éviction, plat spécial, substitution ou panier-repas.</t>
  </si>
  <si>
    <t>Liste nominative sécurisée + plateau identifié.</t>
  </si>
  <si>
    <t>Contrôle adulte au service.</t>
  </si>
  <si>
    <t>Fiche CAT du PAI ; secours selon gravité.</t>
  </si>
  <si>
    <t>PAI, menu, étiquette, remise.</t>
  </si>
  <si>
    <t>Le PAI concerne une raison médicale avérée.</t>
  </si>
  <si>
    <t>Improviser un remplacement au dernier moment.</t>
  </si>
  <si>
    <t>Foyer / handicap</t>
  </si>
  <si>
    <t>Communication, cognition ou dépendance variables.</t>
  </si>
  <si>
    <t>Projet individualisé et transmission interéquipes.</t>
  </si>
  <si>
    <t>Référent de l'établissement</t>
  </si>
  <si>
    <t>Prescription/régime documenté et actualisé.</t>
  </si>
  <si>
    <t>Identification nominative fiable.</t>
  </si>
  <si>
    <t>Accompagnement adapté.</t>
  </si>
  <si>
    <t>Protocole institutionnel + urgence.</t>
  </si>
  <si>
    <t>Transmission et prise effective.</t>
  </si>
  <si>
    <t>Adapter la barrière aux capacités réelles.</t>
  </si>
  <si>
    <t>Supposer que la personne signalera l'erreur.</t>
  </si>
  <si>
    <t>RÈGLE DE SÉCURITÉ : l’absence de preuve n’est pas une preuve d’absence. En cas de doute sur un ingrédient, un lot, une étiquette, une contamination croisée ou l’identité du convive : BLOQUER — VÉRIFIER — FAIRE VALIDER — NE PAS SERVIR tant que le doute n’est pas levé.</t>
  </si>
  <si>
    <t>Restaurant administratif</t>
  </si>
  <si>
    <t>Adulte généralement autonome mais information parfois incomplète.</t>
  </si>
  <si>
    <t>ÉLEVÉ</t>
  </si>
  <si>
    <t>Information INCO écrite, fiable et accessible.</t>
  </si>
  <si>
    <t>Responsable restaurant</t>
  </si>
  <si>
    <t>Souvent élevée</t>
  </si>
  <si>
    <t>Plat de remplacement seulement si composition vérifiée.</t>
  </si>
  <si>
    <t>Affichage/menu/cahier sans ambiguïté.</t>
  </si>
  <si>
    <t>Informer sans promesse absolue non maîtrisée.</t>
  </si>
  <si>
    <t>15/112 si réaction grave.</t>
  </si>
  <si>
    <t>Menu, recette, lots, information donnée.</t>
  </si>
  <si>
    <t>Autonomie ne supprime pas l'obligation d'information.</t>
  </si>
  <si>
    <t>Réponse orale approximative.</t>
  </si>
  <si>
    <t>Suspendre la vente du plat concerné.</t>
  </si>
  <si>
    <t>EHPAD</t>
  </si>
  <si>
    <t>Polypathologies, troubles de déglutition/cognition, symptômes atypiques.</t>
  </si>
  <si>
    <t>Prescription, dossier de soins, coordination cuisine-soins.</t>
  </si>
  <si>
    <t>Cadre de santé / référent restauration</t>
  </si>
  <si>
    <t>Souvent réduite</t>
  </si>
  <si>
    <t>Texture et régime ne doivent pas masquer l'allergène.</t>
  </si>
  <si>
    <t>Nom, unité, chambre/secteur selon procédure.</t>
  </si>
  <si>
    <t>Contrôle cuisine + soins.</t>
  </si>
  <si>
    <t>Alerter immédiatement l'équipe soignante ; protocole d'urgence.</t>
  </si>
  <si>
    <t>Production, livraison, administration/prise.</t>
  </si>
  <si>
    <t>Une texture mixée reste allergénique.</t>
  </si>
  <si>
    <t>Confondre intolérance, préférence et allergie.</t>
  </si>
  <si>
    <t>Ne pas distribuer ; avis soignant.</t>
  </si>
  <si>
    <t>Hôpital</t>
  </si>
  <si>
    <t>État clinique, traitements, examens et régimes évolutifs.</t>
  </si>
  <si>
    <t>Prescription informatique/dossier, validation diététique et soins.</t>
  </si>
  <si>
    <t>Médecin / diététicien / soins / restauration</t>
  </si>
  <si>
    <t>Toute modification doit suivre le circuit de prescription.</t>
  </si>
  <si>
    <t>Identité patient + unité + repas + régime.</t>
  </si>
  <si>
    <t>Contrôle jusqu'au lit du patient.</t>
  </si>
  <si>
    <t>Protocole d'urgence hospitalier.</t>
  </si>
  <si>
    <t>Prescription, production, livraison, distribution.</t>
  </si>
  <si>
    <t>La commande peut changer entre production et service.</t>
  </si>
  <si>
    <t>Servir sur une ancienne édition de la commande.</t>
  </si>
  <si>
    <t>Bloquer et faire revalider.</t>
  </si>
  <si>
    <t>CONDUITE À TENIR — ERREUR AVANT SERVICE OU SUSPICION DE RÉACTION</t>
  </si>
  <si>
    <t>AVANT SERVICE : arrêter</t>
  </si>
  <si>
    <t>Ne pas servir. Isoler physiquement le repas ou le lot, identifier « BLOQUÉ » et empêcher toute remise en circulation.</t>
  </si>
  <si>
    <t>Vérifier sans retarder la sécurité</t>
  </si>
  <si>
    <t>Comparer étiquette du lot, fiche technique, recette, PAI/prescription et traçabilité. En cas d'incertitude, le repas reste bloqué.</t>
  </si>
  <si>
    <t>Remplacer sous contrôle</t>
  </si>
  <si>
    <t>Préparer ou fournir une solution de remplacement uniquement si sa composition et l'absence de contact croisé sont maîtrisées et validées.</t>
  </si>
  <si>
    <t>SI INGESTION OU SIGNES</t>
  </si>
  <si>
    <t>Alerter immédiatement le responsable et le personnel de santé/référent. Ne jamais laisser la personne seule.</t>
  </si>
  <si>
    <t>URGENCE</t>
  </si>
  <si>
    <t>Difficulté respiratoire, gonflement langue/gorge, malaise, perte de connaissance ou atteinte rapide de plusieurs organes : appeler le 15 ou le 112.</t>
  </si>
  <si>
    <t>Traitement prescrit</t>
  </si>
  <si>
    <t>Appliquer strictement la fiche CAT du PAI ou le protocole médical. Utiliser l'adrénaline auto-injectable seulement selon ce cadre et la formation reçue ; une surveillance hospitalière est nécessaire après injection.</t>
  </si>
  <si>
    <t>Après l'événement</t>
  </si>
  <si>
    <t>Conserver repas, emballages, étiquettes et documents ; tracer heures, symptômes, actions, personnes prévenues ; déclarer et analyser l'écart selon le PMS.</t>
  </si>
  <si>
    <t>Reprise</t>
  </si>
  <si>
    <t>Ne lever le blocage qu'après décision formalisée du responsable compétent. Mettre à jour les mesures préventives et informer les équipes concernées.</t>
  </si>
  <si>
    <t>LES 14 ALLERGÈNES À DÉCLARATION OBLIGATOIRE — MÉMO CFA</t>
  </si>
  <si>
    <t>Anhydride sulfureux et sulfites</t>
  </si>
  <si>
    <t>SUPPORT PÉDAGOGIQUE CFA — 6 SITUATIONS À ANALYSER</t>
  </si>
  <si>
    <t>Cas</t>
  </si>
  <si>
    <t>Danger</t>
  </si>
  <si>
    <t>Barrière qui a échoué</t>
  </si>
  <si>
    <t>Décision immédiate</t>
  </si>
  <si>
    <t>Preuve à consulter</t>
  </si>
  <si>
    <t>Action corrective</t>
  </si>
  <si>
    <t>Public le plus exposé</t>
  </si>
  <si>
    <t>Pourquoi ?</t>
  </si>
  <si>
    <t>Réponse apprenant</t>
  </si>
  <si>
    <t>Correction formateur</t>
  </si>
  <si>
    <t>Compétence visée</t>
  </si>
  <si>
    <t>Un jambon de substitution semble sans allergène, mais la saumure du lot contient un ingrédient allergène indiqué sur l'étiquette.</t>
  </si>
  <si>
    <t>Allergène caché dans un ingrédient composé.</t>
  </si>
  <si>
    <t>Validation au nom/apparence du produit.</t>
  </si>
  <si>
    <t>Bloquer le jambon et le repas ; rechercher une solution validée.</t>
  </si>
  <si>
    <t>Étiquette du lot + fiche technique actualisée.</t>
  </si>
  <si>
    <t>Réceptionnaire + chef + qualité.</t>
  </si>
  <si>
    <t>Créer un verrou de validation des substitutions.</t>
  </si>
  <si>
    <t>Lot, fournisseur, menu, convive, décision.</t>
  </si>
  <si>
    <t>Tous, surtout PAI et personnes dépendantes.</t>
  </si>
  <si>
    <t>Une recette simple peut contenir un allergène via saumure, arôme ou auxiliaire.</t>
  </si>
  <si>
    <t>Lire la composition réelle du lot ; ne jamais déduire l'absence d'allergène du nom du produit.</t>
  </si>
  <si>
    <t>Contrôler une substitution.</t>
  </si>
  <si>
    <t>La fiche recette indique « sans lait », mais le beurre a été remplacé par une margarine contenant du lait.</t>
  </si>
  <si>
    <t>Lait non déclaré.</t>
  </si>
  <si>
    <t>Changement de produit non réévalué.</t>
  </si>
  <si>
    <t>Arrêt, isolement, correction de l'information et remplacement.</t>
  </si>
  <si>
    <t>Étiquette margarine + fiche recette.</t>
  </si>
  <si>
    <t>Cuisinier + chef.</t>
  </si>
  <si>
    <t>Interdire toute substitution non validée.</t>
  </si>
  <si>
    <t>Écart et lots concernés.</t>
  </si>
  <si>
    <t>Crèche/EHPAD/hôpital.</t>
  </si>
  <si>
    <t>Le convive peut ne pas détecter l'erreur.</t>
  </si>
  <si>
    <t>Toute modification d'ingrédient impose une nouvelle analyse allergènes.</t>
  </si>
  <si>
    <t>Relier recette et produit réel.</t>
  </si>
  <si>
    <t>Une louche ayant servi une sauce à la crème est utilisée pour un plat sans lait.</t>
  </si>
  <si>
    <t>Contact croisé lait.</t>
  </si>
  <si>
    <t>Ustensile commun.</t>
  </si>
  <si>
    <t>Bloquer le plat protégé ; refaire avec matériel propre.</t>
  </si>
  <si>
    <t>Organisation du poste et enregistrement nettoyage.</t>
  </si>
  <si>
    <t>Agent + chef d'équipe.</t>
  </si>
  <si>
    <t>Matériel dédié ou séquence/nettoyage validé.</t>
  </si>
  <si>
    <t>Heure, quantité bloquée, action.</t>
  </si>
  <si>
    <t>Tous allergiques au lait.</t>
  </si>
  <si>
    <t>Une faible quantité peut suffire à déclencher une réaction.</t>
  </si>
  <si>
    <t>Le contact croisé ne se corrige pas en retirant la partie visible.</t>
  </si>
  <si>
    <t>Prévenir le contact croisé.</t>
  </si>
  <si>
    <t>Au satellite, deux barquettes nominatives ont été inversées.</t>
  </si>
  <si>
    <t>Mauvais repas à la mauvaise personne.</t>
  </si>
  <si>
    <t>Dernier contrôle absent.</t>
  </si>
  <si>
    <t>Ne pas servir ; isoler les deux repas et vérifier l'ensemble du lot.</t>
  </si>
  <si>
    <t>Bordereau, étiquettes, liste nominative.</t>
  </si>
  <si>
    <t>Référent satellite.</t>
  </si>
  <si>
    <t>Double contrôle au point de remise.</t>
  </si>
  <si>
    <t>Identités, lots, heure, agents.</t>
  </si>
  <si>
    <t>Crèche/foyer/EHPAD/hôpital.</t>
  </si>
  <si>
    <t>Forte dépendance au personnel.</t>
  </si>
  <si>
    <t>La sécurité doit aller jusqu'à la remise effective au bon convive.</t>
  </si>
  <si>
    <t>Sécuriser la distribution.</t>
  </si>
  <si>
    <t>Le menu affiché est celui prévu, mais une livraison de dépannage a changé la composition.</t>
  </si>
  <si>
    <t>Information INCO fausse.</t>
  </si>
  <si>
    <t>Affichage non mis à jour.</t>
  </si>
  <si>
    <t>Suspendre le service du plat ; corriger l'information après vérification.</t>
  </si>
  <si>
    <t>Étiquette lot, menu, matrice allergènes.</t>
  </si>
  <si>
    <t>Responsable du site.</t>
  </si>
  <si>
    <t>Relier changement fournisseur et mise à jour INCO.</t>
  </si>
  <si>
    <t>Version du menu et heure de correction.</t>
  </si>
  <si>
    <t>Restaurant administratif + tous les autres.</t>
  </si>
  <si>
    <t>L'autonomie du convive repose sur une information exacte.</t>
  </si>
  <si>
    <t>L'information doit correspondre au produit réellement servi.</t>
  </si>
  <si>
    <t>Maintenir une information fiable.</t>
  </si>
  <si>
    <t>Un convive présente urticaire généralisé, gêne respiratoire et malaise après le repas.</t>
  </si>
  <si>
    <t>Suspicion d'anaphylaxie.</t>
  </si>
  <si>
    <t>Exposition possible ; urgence vitale.</t>
  </si>
  <si>
    <t>Alerter, ne pas laisser seul, appeler 15/112, appliquer le protocole médical.</t>
  </si>
  <si>
    <t>PAI/protocole, identité, repas consommé.</t>
  </si>
  <si>
    <t>Personnel présent + santé/secours.</t>
  </si>
  <si>
    <t>Après urgence : conserver preuves et analyser la cause.</t>
  </si>
  <si>
    <t>Heures, signes, actions, appels, lots.</t>
  </si>
  <si>
    <t>Tous.</t>
  </si>
  <si>
    <t>La rapidité et le respect du protocole sont essentiels.</t>
  </si>
  <si>
    <t>Ne pas attendre une confirmation de l'allergène pour déclencher l'alerte médicale.</t>
  </si>
  <si>
    <t>Réagir à une urgence.</t>
  </si>
  <si>
    <t>RÉFÉRENCES OFFICIELLES ET LIMITES D'UTILISATION</t>
  </si>
  <si>
    <t>Information allergènes — Service-Public.fr</t>
  </si>
  <si>
    <t>https://entreprendre.service-public.fr/vosdroits/F32192</t>
  </si>
  <si>
    <t>Décret n° 2015-447 — Légifrance</t>
  </si>
  <si>
    <t>https://www.legifrance.gouv.fr/jorf/id/JORFTEXT000030491684</t>
  </si>
  <si>
    <t>PAI pour raison de santé — Éducation nationale</t>
  </si>
  <si>
    <t>https://www.education.gouv.fr/bo/21/Hebdo9/MENE2104832C.htm</t>
  </si>
  <si>
    <t>Restauration scolaire — Éducation nationale</t>
  </si>
  <si>
    <t>https://www.education.gouv.fr/la-restauration-scolaire-6254</t>
  </si>
  <si>
    <t>Allergie alimentaire : symptômes — ameli.fr</t>
  </si>
  <si>
    <t>Traitement et prévention — ameli.fr</t>
  </si>
  <si>
    <t>Ce support complète le PMS, les procédures locales, les prescriptions médicales et les PAI : il ne les remplace pas. Les numéros d'urgence et les responsabilités doivent être adaptés au site.</t>
  </si>
  <si>
    <t>Règle pédagogique : en matière d'allergènes, l'absence de preuve n'est jamais une preuve d'absence. En cas de doute : bloquer, vérifier, faire valider.</t>
  </si>
  <si>
    <t>ALLERGÈNES — CONTRÔLE QUOTIDIEN ESSENTIEL (VERSION COURTE)</t>
  </si>
  <si>
    <t>PARAMÉTRAGE LOCAL — À ADAPTER AU PMS</t>
  </si>
  <si>
    <t>Cuisine centrale en liaison froide • Crèche • Écoles • Foyers • Restaurant administratif • EHPAD • Hôpital</t>
  </si>
  <si>
    <t>À compléter une fois par l’établissement. Les cellules jaunes alimentent automatiquement la colonne « Responsable PMS ».</t>
  </si>
  <si>
    <t>Établissement / site</t>
  </si>
  <si>
    <t>PAI / régimes allergiques</t>
  </si>
  <si>
    <t>Référence du PMS allergènes</t>
  </si>
  <si>
    <t>Heure départ</t>
  </si>
  <si>
    <t>Réception / achats</t>
  </si>
  <si>
    <t>À RENSEIGNER</t>
  </si>
  <si>
    <t>Heure service</t>
  </si>
  <si>
    <t>Production / fabrication</t>
  </si>
  <si>
    <t>Référence production / lot</t>
  </si>
  <si>
    <t>Version liste du jour</t>
  </si>
  <si>
    <t>Conditionnement / double contrôle</t>
  </si>
  <si>
    <t>Contrôle du jour</t>
  </si>
  <si>
    <t>Preuve attendue</t>
  </si>
  <si>
    <t>Responsable PMS</t>
  </si>
  <si>
    <t>Observation / écart</t>
  </si>
  <si>
    <t>Visa</t>
  </si>
  <si>
    <t>Saisie</t>
  </si>
  <si>
    <t>Liste du jour</t>
  </si>
  <si>
    <t>Liste des PAI, prescriptions et régimes reçue, à jour et concordante avec les sites/convives.</t>
  </si>
  <si>
    <t>Version datée ; effectifs et identités vérifiés.</t>
  </si>
  <si>
    <t>Menu et lots</t>
  </si>
  <si>
    <t>Menu, fiches recettes, produits réellement disponibles et matrice allergènes concordants.</t>
  </si>
  <si>
    <t>Recettes + étiquettes des lots + information INCO.</t>
  </si>
  <si>
    <t>Libération / qualité / alerte</t>
  </si>
  <si>
    <t>Substitution</t>
  </si>
  <si>
    <t>Aucun produit de dépannage ou remplacement utilisé sans relecture de l’étiquette du lot.</t>
  </si>
  <si>
    <t>Validation écrite de la nouvelle composition.</t>
  </si>
  <si>
    <t>Durée de conservation de la grille</t>
  </si>
  <si>
    <t>Selon PMS local</t>
  </si>
  <si>
    <t>Stockage et poste</t>
  </si>
  <si>
    <t>Produits protégés/séparés ; poste, mains, ustensiles et matériel propres ou dédiés.</t>
  </si>
  <si>
    <t>Absence de résidu ; organisation évitant le contact croisé.</t>
  </si>
  <si>
    <t>Lieu et support d’archivage</t>
  </si>
  <si>
    <t>Ingrédients contrôlés un par un ; recette suivie sans ajout ni remplacement non autorisé.</t>
  </si>
  <si>
    <t>Étiquettes présentes au poste ; recette du jour respectée.</t>
  </si>
  <si>
    <t>Référence procédure d’urgence</t>
  </si>
  <si>
    <t>Selon protocole local</t>
  </si>
  <si>
    <t>Contact croisé</t>
  </si>
  <si>
    <t>Aucun contact par mains, matériel, huile, eau, vapeur, projections, poudres ou réemploi.</t>
  </si>
  <si>
    <t>Séparation physique/temps ; nettoyage intermédiaire maîtrisé.</t>
  </si>
  <si>
    <t>Version / date de mise à jour</t>
  </si>
  <si>
    <t>Repas spécifique fermé et étiqueté immédiatement : identité, site, régime, date et lot.</t>
  </si>
  <si>
    <t>Étiquette complète, lisible et fixée au bon contenant.</t>
  </si>
  <si>
    <t>Deuxième personne : bon convive, bon régime, bon plat, bon lot, bonne étiquette.</t>
  </si>
  <si>
    <t>Double visa portant sur le produit réel et les documents.</t>
  </si>
  <si>
    <t>MODE D’EMPLOI RAPIDE</t>
  </si>
  <si>
    <t>Allotissement / départ</t>
  </si>
  <si>
    <t>Quantité, site, séparation, intégrité et traçabilité des repas spécifiques vérifiés.</t>
  </si>
  <si>
    <t>Comptage, bordereau et remise au bon transport.</t>
  </si>
  <si>
    <t>1. Renseigner les informations du jour en haut de la grille.</t>
  </si>
  <si>
    <t>Identité, régime, quantité, intégrité et température contrôlés puis repas isolé.</t>
  </si>
  <si>
    <t>Visa réception ; stockage spécifique jusqu’au service.</t>
  </si>
  <si>
    <t>Réception site</t>
  </si>
  <si>
    <t>2. Lire la preuve attendue avant de saisir X dans C, NC ou NA.</t>
  </si>
  <si>
    <t>Dernier contrôle</t>
  </si>
  <si>
    <t>Bonne personne, bon plateau, bon repas et information allergènes vérifiés au point de remise.</t>
  </si>
  <si>
    <t>Contrôle adulte/soignant ; aucun échange de plateau.</t>
  </si>
  <si>
    <t>3. Une seule case X par ligne ; la colonne O signale toute ligne incomplète ou doublement cochée.</t>
  </si>
  <si>
    <t>Libération et traces</t>
  </si>
  <si>
    <t>Aucune NC non levée ; preuves rassemblées et archivage préparé selon le PMS.</t>
  </si>
  <si>
    <t>Décision signée ; menu, lots, étiquettes et grille disponibles.</t>
  </si>
  <si>
    <t>Fin de contrôle</t>
  </si>
  <si>
    <t>4. Pour chaque NC : écrire l’écart, l’action corrective, la personne, l’heure et le visa.</t>
  </si>
  <si>
    <t>5. Vérifier la synthèse. Une NC impose le blocage jusqu’à sa levée formalisée.</t>
  </si>
  <si>
    <t>SYNTHÈSE AVANT LIBÉRATION</t>
  </si>
  <si>
    <t>6. Archiver selon la durée, le lieu et le support définis dans le PMS local.</t>
  </si>
  <si>
    <t>Conformes</t>
  </si>
  <si>
    <t>Non-conformes</t>
  </si>
  <si>
    <t>Lignes à contrôler</t>
  </si>
  <si>
    <t>Décision</t>
  </si>
  <si>
    <t>Visa final</t>
  </si>
  <si>
    <t>Cette version courte sert au contrôle quotidien. La version complète reste nécessaire pour la formation approfondie, les audits internes, la révision du PMS et l’analyse détaillée d’un incident.</t>
  </si>
  <si>
    <t>RÈGLE : une seule case X par ligne. Toute NC non levée, toute composition incertaine ou toute rupture d’identification impose le blocage du repas concerné. NE PAS SERVIR avant validation formalisée.</t>
  </si>
  <si>
    <t>Moteur allergènes – utilisation cuisiniers 184 lignes de saisie  - Dictionnaire de 792 mots - 855 colonnes masquées - dictionnaire aplati sur 4 lignes</t>
  </si>
  <si>
    <t>1. Saisir la recette ou la liste d’ingrédients en colonne B.</t>
  </si>
  <si>
    <t>2. Vérifier les résultats en colonnes D et E.</t>
  </si>
  <si>
    <t>3. Copier D:E puis coller dans la fiche recette avec Collage spécial &gt; Valeurs.</t>
  </si>
  <si>
    <t>4. Ne pas modifier les colonnes masquées ni le dictionnaire technique.</t>
  </si>
  <si>
    <t>Colonnes utiles : B = saisie, D = texte à coller, E = allergènes détectés</t>
  </si>
  <si>
    <t>◄ 855 colonnes masquées</t>
  </si>
  <si>
    <t>Masquer les lignes 11 à 14 - les colonnes K à UI sont masquées - le moteur s'arrête colonne UI lignes 11:15</t>
  </si>
  <si>
    <t>4 lignes masquées 11 -12 - 13 - 14</t>
  </si>
  <si>
    <t>Zone technique masquée à droite. Le dictionnaire utilisé par le moteur est copié à partir de la base de référence. 4 lignes masquées 11 -12 -13 -14</t>
  </si>
  <si>
    <t>4 lignes masquées 11 :14</t>
  </si>
  <si>
    <t>Auteur : Joel Leboucher • Rochefort sur Mer |  Date : 13 JAvril 2026  |  heure : 12h30 |  Document réalisé avec l'aide de ChatGPT  | 4 lignes masquées</t>
  </si>
  <si>
    <t>Famille</t>
  </si>
  <si>
    <t>Celeri</t>
  </si>
  <si>
    <t>Crustaces</t>
  </si>
  <si>
    <t>Fruits a coque</t>
  </si>
  <si>
    <t>Oeufs</t>
  </si>
  <si>
    <t>Sesame</t>
  </si>
  <si>
    <t>le moteur s'arrête colonne ui lignes 11:15</t>
  </si>
  <si>
    <t>INFO</t>
  </si>
  <si>
    <t>SUSP</t>
  </si>
  <si>
    <t>beurre de cacahuetes</t>
  </si>
  <si>
    <t>cacahouete</t>
  </si>
  <si>
    <t>cacahouetes</t>
  </si>
  <si>
    <t>farine d arachides</t>
  </si>
  <si>
    <t>farine de cacahuete</t>
  </si>
  <si>
    <t>farine de cacahuetes</t>
  </si>
  <si>
    <t>huile d arachides</t>
  </si>
  <si>
    <t>huile de cacahuete</t>
  </si>
  <si>
    <t>huile de cacahuetes</t>
  </si>
  <si>
    <t>pate de cacahuete</t>
  </si>
  <si>
    <t>pate de cacahuetes</t>
  </si>
  <si>
    <t>poudre d arachide</t>
  </si>
  <si>
    <t>poudre d arachides</t>
  </si>
  <si>
    <t>proteine de cacahuete</t>
  </si>
  <si>
    <t>proteines d arachide</t>
  </si>
  <si>
    <t>proteines de cacahuete</t>
  </si>
  <si>
    <t>puree d arachide</t>
  </si>
  <si>
    <t>puree d arachides</t>
  </si>
  <si>
    <t>puree de cacahuete</t>
  </si>
  <si>
    <t>puree de cacahuetes</t>
  </si>
  <si>
    <t>tourteau d arachide</t>
  </si>
  <si>
    <t>tourteau d arachides</t>
  </si>
  <si>
    <t>branche de celeri</t>
  </si>
  <si>
    <t>branches de celeri</t>
  </si>
  <si>
    <t>celeri en branche</t>
  </si>
  <si>
    <t>celery seed</t>
  </si>
  <si>
    <t>concentre de celeri</t>
  </si>
  <si>
    <t>rave de celeri</t>
  </si>
  <si>
    <t>carcasse de homard</t>
  </si>
  <si>
    <t>carcasses de homard</t>
  </si>
  <si>
    <t>crustace</t>
  </si>
  <si>
    <t>crustaces</t>
  </si>
  <si>
    <t>krill</t>
  </si>
  <si>
    <t>boisson d amande</t>
  </si>
  <si>
    <t>boisson de cajou</t>
  </si>
  <si>
    <t>boisson de macadamia</t>
  </si>
  <si>
    <t>boisson de noisette</t>
  </si>
  <si>
    <t>boisson de pistache</t>
  </si>
  <si>
    <t>creme d amandes</t>
  </si>
  <si>
    <t>creme de noisette</t>
  </si>
  <si>
    <t>creme de noisettes</t>
  </si>
  <si>
    <t>eclats de noisette</t>
  </si>
  <si>
    <t>farine de cajou</t>
  </si>
  <si>
    <t>farine de pistache</t>
  </si>
  <si>
    <t>farines de cajou</t>
  </si>
  <si>
    <t>fruit a coque</t>
  </si>
  <si>
    <t>fruits a coque</t>
  </si>
  <si>
    <t>gianduia</t>
  </si>
  <si>
    <t>lait de macadamia</t>
  </si>
  <si>
    <t>lait de pistache</t>
  </si>
  <si>
    <t>macadamias</t>
  </si>
  <si>
    <t>noisettes concassees</t>
  </si>
  <si>
    <t>pate d amandes</t>
  </si>
  <si>
    <t>pistaches concassees</t>
  </si>
  <si>
    <t>poudre d amandes</t>
  </si>
  <si>
    <t>poudre de cajou</t>
  </si>
  <si>
    <t>pralinee</t>
  </si>
  <si>
    <t>pralinee noisette</t>
  </si>
  <si>
    <t>puree d amandes</t>
  </si>
  <si>
    <t>puree de noisettes</t>
  </si>
  <si>
    <t>puree de pistache</t>
  </si>
  <si>
    <t>amidon de froment</t>
  </si>
  <si>
    <t>amidons de ble</t>
  </si>
  <si>
    <t>ble de khorasan</t>
  </si>
  <si>
    <t>ble dur</t>
  </si>
  <si>
    <t>ble tendre</t>
  </si>
  <si>
    <t>boisson d avoine</t>
  </si>
  <si>
    <t>chapelure fine</t>
  </si>
  <si>
    <t>chapelure japonaise</t>
  </si>
  <si>
    <t>farine de malt</t>
  </si>
  <si>
    <t>farines de ble</t>
  </si>
  <si>
    <t>farro</t>
  </si>
  <si>
    <t>flocon d avoine</t>
  </si>
  <si>
    <t>flocons d avoine</t>
  </si>
  <si>
    <t>mie de pain</t>
  </si>
  <si>
    <t>panade</t>
  </si>
  <si>
    <t>pates</t>
  </si>
  <si>
    <t>semoule de ble dur</t>
  </si>
  <si>
    <t>semoule de ble tendre</t>
  </si>
  <si>
    <t>son d avoine</t>
  </si>
  <si>
    <t>son d orge</t>
  </si>
  <si>
    <t>son de seigle</t>
  </si>
  <si>
    <t>vermicelles</t>
  </si>
  <si>
    <t>wheat</t>
  </si>
  <si>
    <t>caseinate de potassium</t>
  </si>
  <si>
    <t>creme entiere epaisse</t>
  </si>
  <si>
    <t>fromage blanc 20 mg</t>
  </si>
  <si>
    <t>fromage blanc 20% mg</t>
  </si>
  <si>
    <t>fromage blanc 40 mg</t>
  </si>
  <si>
    <t>fromage blanc 40% mg</t>
  </si>
  <si>
    <t>lait concentre non sucre</t>
  </si>
  <si>
    <t>poudre de lait entier</t>
  </si>
  <si>
    <t>whey powder</t>
  </si>
  <si>
    <t>concentre de proteines de lupin</t>
  </si>
  <si>
    <t>farines de lupin</t>
  </si>
  <si>
    <t>isolat de proteines de lupin</t>
  </si>
  <si>
    <t>etoile de mer</t>
  </si>
  <si>
    <t>molusques</t>
  </si>
  <si>
    <t>condiment a la moutarde</t>
  </si>
  <si>
    <t>graines de moutarde brune</t>
  </si>
  <si>
    <t>graines de moutarde jaune</t>
  </si>
  <si>
    <t>graines de moutarde noire</t>
  </si>
  <si>
    <t>moutarde forte</t>
  </si>
  <si>
    <t>albumine d oeuf</t>
  </si>
  <si>
    <t>albumine d oeufs</t>
  </si>
  <si>
    <t>blanc en neige</t>
  </si>
  <si>
    <t>blanc monte</t>
  </si>
  <si>
    <t>blanc pasteurise</t>
  </si>
  <si>
    <t>blancs en neige</t>
  </si>
  <si>
    <t>blancs montes</t>
  </si>
  <si>
    <t>blancs pasteurises</t>
  </si>
  <si>
    <t>jaune liquide</t>
  </si>
  <si>
    <t>jaune pasteurise</t>
  </si>
  <si>
    <t>jaunes liquides</t>
  </si>
  <si>
    <t>jaunes pasteurises</t>
  </si>
  <si>
    <t>lysozyme d oeuf</t>
  </si>
  <si>
    <t>oeuf entier</t>
  </si>
  <si>
    <t>oeuf liquide</t>
  </si>
  <si>
    <t>oeuf pasteurise</t>
  </si>
  <si>
    <t>oeufs entiers</t>
  </si>
  <si>
    <t>oeufs liquides</t>
  </si>
  <si>
    <t>oeufs pasteurises</t>
  </si>
  <si>
    <t>ovoalbumine</t>
  </si>
  <si>
    <t>chair de poisson</t>
  </si>
  <si>
    <t>collagene de poisson</t>
  </si>
  <si>
    <t>extrait de poisson</t>
  </si>
  <si>
    <t>pangasius</t>
  </si>
  <si>
    <t>pate d anchois</t>
  </si>
  <si>
    <t>proteines de poisson</t>
  </si>
  <si>
    <t>graines de sesame noir</t>
  </si>
  <si>
    <t>huile de sesame grillee</t>
  </si>
  <si>
    <t>boisson au soya</t>
  </si>
  <si>
    <t>boisson de soja</t>
  </si>
  <si>
    <t>boisson de soya</t>
  </si>
  <si>
    <t>concentre de proteines de soja</t>
  </si>
  <si>
    <t>creme de soya</t>
  </si>
  <si>
    <t>dessert au soja</t>
  </si>
  <si>
    <t>farine de soya</t>
  </si>
  <si>
    <t>farines de soja</t>
  </si>
  <si>
    <t>farines de soya</t>
  </si>
  <si>
    <t>fibre de soja</t>
  </si>
  <si>
    <t>huile de soya</t>
  </si>
  <si>
    <t>huiles de soja</t>
  </si>
  <si>
    <t>huiles de soya</t>
  </si>
  <si>
    <t>isolat de proteines de soja</t>
  </si>
  <si>
    <t>lait de soya</t>
  </si>
  <si>
    <t>lecithine de soya</t>
  </si>
  <si>
    <t>lecithines de soja</t>
  </si>
  <si>
    <t>lecithines de soya</t>
  </si>
  <si>
    <t>proteine de soya</t>
  </si>
  <si>
    <t>proteines de soja texturees</t>
  </si>
  <si>
    <t>proteines de soya</t>
  </si>
  <si>
    <t>proteines vegetales de soja</t>
  </si>
  <si>
    <t>sauce soya</t>
  </si>
  <si>
    <t>tourteau de soja</t>
  </si>
  <si>
    <t>tourteaux de soja</t>
  </si>
  <si>
    <t>yaourt de soja</t>
  </si>
  <si>
    <t>bisulfites</t>
  </si>
  <si>
    <t>metabisulfite de potassium</t>
  </si>
  <si>
    <t>metabisulfite de sodium</t>
  </si>
  <si>
    <t>metabisulfites</t>
  </si>
  <si>
    <t>sulfite acide de potassium</t>
  </si>
  <si>
    <t>sulfite acide de sodium</t>
  </si>
  <si>
    <t>sulfite de potassium</t>
  </si>
  <si>
    <t>sulfite de sodium</t>
  </si>
  <si>
    <t>sulfites de potassium</t>
  </si>
  <si>
    <t>sulfites de sodium</t>
  </si>
  <si>
    <t>aminos de coco</t>
  </si>
  <si>
    <t>coco rapee</t>
  </si>
  <si>
    <t>copeaux de coco</t>
  </si>
  <si>
    <t>noix de jambon</t>
  </si>
  <si>
    <t>noix de porc</t>
  </si>
  <si>
    <t>noix de ris de veau</t>
  </si>
  <si>
    <t>noix muscade</t>
  </si>
  <si>
    <t>pignons de pin</t>
  </si>
  <si>
    <t>pulpe de coco</t>
  </si>
  <si>
    <t>sucre de coco</t>
  </si>
  <si>
    <t>vinaigre de coco</t>
  </si>
  <si>
    <t>amidon de mais</t>
  </si>
  <si>
    <t>amidon de manioc</t>
  </si>
  <si>
    <t>amidon de tapioca</t>
  </si>
  <si>
    <t>couscous de mais</t>
  </si>
  <si>
    <t>couscous de millet</t>
  </si>
  <si>
    <t>farine d amandes</t>
  </si>
  <si>
    <t>farine de banane</t>
  </si>
  <si>
    <t>farine de caroube</t>
  </si>
  <si>
    <t>farine de chanvre</t>
  </si>
  <si>
    <t>farine de chataignes</t>
  </si>
  <si>
    <t>farine de haricot</t>
  </si>
  <si>
    <t>farine de lentilles</t>
  </si>
  <si>
    <t>farine de millet</t>
  </si>
  <si>
    <t>farine de noisettes</t>
  </si>
  <si>
    <t>farine de patate douce</t>
  </si>
  <si>
    <t>farine de pois</t>
  </si>
  <si>
    <t>farine de pois casses</t>
  </si>
  <si>
    <t>farine de pomme de terre</t>
  </si>
  <si>
    <t>farine de riz complet</t>
  </si>
  <si>
    <t>farine de sorgho</t>
  </si>
  <si>
    <t>farine de souchet</t>
  </si>
  <si>
    <t>farine de teff</t>
  </si>
  <si>
    <t>fecule de mais</t>
  </si>
  <si>
    <t>fecule de pomme de terre</t>
  </si>
  <si>
    <t>fecule de tapioca</t>
  </si>
  <si>
    <t>maizena</t>
  </si>
  <si>
    <t>polenta</t>
  </si>
  <si>
    <t>semoule de mais</t>
  </si>
  <si>
    <t>semoule de millet</t>
  </si>
  <si>
    <t>semoule de pois chiche</t>
  </si>
  <si>
    <t>semoule de pois chiches</t>
  </si>
  <si>
    <t>semoule de quinoa</t>
  </si>
  <si>
    <t>semoule de riz</t>
  </si>
  <si>
    <t>semoule de sarrasin</t>
  </si>
  <si>
    <t>semoule de sorgho</t>
  </si>
  <si>
    <t>semoule de tapioca</t>
  </si>
  <si>
    <t>beurre d amandes</t>
  </si>
  <si>
    <t>beurre d arachides</t>
  </si>
  <si>
    <t>beurre de macadamia</t>
  </si>
  <si>
    <t>beurre de noisettes</t>
  </si>
  <si>
    <t>beurre de pecan</t>
  </si>
  <si>
    <t>beurre de pistache</t>
  </si>
  <si>
    <t>beurre de pistaches</t>
  </si>
  <si>
    <t>beurre vegetal</t>
  </si>
  <si>
    <t>boisson cajou</t>
  </si>
  <si>
    <t>boisson de chanvre</t>
  </si>
  <si>
    <t>boisson de coco</t>
  </si>
  <si>
    <t>boisson de millet</t>
  </si>
  <si>
    <t>boisson de quinoa</t>
  </si>
  <si>
    <t>boisson de riz</t>
  </si>
  <si>
    <t>creme balsamique</t>
  </si>
  <si>
    <t>creme coco</t>
  </si>
  <si>
    <t>creme de chanvre</t>
  </si>
  <si>
    <t>creme de marron</t>
  </si>
  <si>
    <t>creme de millet</t>
  </si>
  <si>
    <t>creme de pistache</t>
  </si>
  <si>
    <t>creme de quinoa</t>
  </si>
  <si>
    <t>creme de tartre</t>
  </si>
  <si>
    <t>creme de vinaigre</t>
  </si>
  <si>
    <t>dessert a la noix de coco</t>
  </si>
  <si>
    <t>dessert vegetal</t>
  </si>
  <si>
    <t>fromage a tartiner vegetal</t>
  </si>
  <si>
    <t>fromage d amande</t>
  </si>
  <si>
    <t>fromage d amandes</t>
  </si>
  <si>
    <t>fromage de cajou</t>
  </si>
  <si>
    <t>fromage de coco</t>
  </si>
  <si>
    <t>fromage de soja</t>
  </si>
  <si>
    <t>fromage de soya</t>
  </si>
  <si>
    <t>fromage vegane</t>
  </si>
  <si>
    <t>lait amande</t>
  </si>
  <si>
    <t>lait d amandes</t>
  </si>
  <si>
    <t>lait de chataigne</t>
  </si>
  <si>
    <t>lait de millet</t>
  </si>
  <si>
    <t>lait de noisettes</t>
  </si>
  <si>
    <t>specialite vegetale</t>
  </si>
  <si>
    <t>specialite vegetale coco</t>
  </si>
  <si>
    <t>specialite vegetale soja</t>
  </si>
  <si>
    <t>yaourt d amande</t>
  </si>
  <si>
    <t>yaourt d avoine</t>
  </si>
  <si>
    <t>yaourt de coco</t>
  </si>
  <si>
    <t>yaourt de soya</t>
  </si>
  <si>
    <t>yaourt vegetal</t>
  </si>
  <si>
    <t>au moule</t>
  </si>
  <si>
    <t>beurrez le moule</t>
  </si>
  <si>
    <t>chemisez le moule</t>
  </si>
  <si>
    <t>dans le moule</t>
  </si>
  <si>
    <t>dans un moule</t>
  </si>
  <si>
    <t>du moule</t>
  </si>
  <si>
    <t>farinez le moule</t>
  </si>
  <si>
    <t>graissez le moule</t>
  </si>
  <si>
    <t>le moule</t>
  </si>
  <si>
    <t>moule a</t>
  </si>
  <si>
    <t>moule a cannele</t>
  </si>
  <si>
    <t>moule a canneles</t>
  </si>
  <si>
    <t>moule a charlotte</t>
  </si>
  <si>
    <t>moule a financier</t>
  </si>
  <si>
    <t>moule a financiers</t>
  </si>
  <si>
    <t>moule a madeleines</t>
  </si>
  <si>
    <t>moule a manque</t>
  </si>
  <si>
    <t>moule a muffins</t>
  </si>
  <si>
    <t>moule a terrine</t>
  </si>
  <si>
    <t>moule antiadhesif</t>
  </si>
  <si>
    <t>moule carre</t>
  </si>
  <si>
    <t>moule en</t>
  </si>
  <si>
    <t>moule rectangulaire</t>
  </si>
  <si>
    <t>moule rond</t>
  </si>
  <si>
    <t>un moule</t>
  </si>
  <si>
    <t>au bar</t>
  </si>
  <si>
    <t>bar tabac</t>
  </si>
  <si>
    <t>coin bar</t>
  </si>
  <si>
    <t>couleur saumon</t>
  </si>
  <si>
    <t>du bar</t>
  </si>
  <si>
    <t>espace bar</t>
  </si>
  <si>
    <t>faire une raie</t>
  </si>
  <si>
    <t>le bar</t>
  </si>
  <si>
    <t>mini bar</t>
  </si>
  <si>
    <t>raie au milieu</t>
  </si>
  <si>
    <t>raie de cheveux</t>
  </si>
  <si>
    <t>rose saumon</t>
  </si>
  <si>
    <t>un bar</t>
  </si>
  <si>
    <t>alcool ethylique d origine agricole de fruits a coque</t>
  </si>
  <si>
    <t>alcool ethylique d origine agricole issu de fruits a coque</t>
  </si>
  <si>
    <t>alcool ethylique d origine agricole obtenu a partir de fruits a coque</t>
  </si>
  <si>
    <t>alcool ethylique d origine agricole obtenu de fruits a coque</t>
  </si>
  <si>
    <t>distillat alcoolique de fruits a coque</t>
  </si>
  <si>
    <t>distillat de fruits a coque</t>
  </si>
  <si>
    <t>distillats alcooliques de fruits a coque</t>
  </si>
  <si>
    <t>distillats alcooliques issus de fruits a coque</t>
  </si>
  <si>
    <t>distillats de fruits a coque</t>
  </si>
  <si>
    <t>ble utilise pour la fabrication de distillats alcooliques</t>
  </si>
  <si>
    <t>cereales utilisees pour la fabrication de distillats alcooliques</t>
  </si>
  <si>
    <t>alcool ethylique d origine agricole a partir de lactoserum</t>
  </si>
  <si>
    <t>alcool ethylique d origine agricole obtenu a partir de lactoserum</t>
  </si>
  <si>
    <t>distillat de lactoserum</t>
  </si>
  <si>
    <t>distillats de lactoserum</t>
  </si>
  <si>
    <t>ethanol d origine agricole obtenu a partir de lactoserum</t>
  </si>
  <si>
    <t>lactitol</t>
  </si>
  <si>
    <t>lactoserum pour distillats</t>
  </si>
  <si>
    <t>lactoserum pour distillats alcooliques</t>
  </si>
  <si>
    <t>lactoserum utilise pour la fabrication d alcool ethylique d origine agricole</t>
  </si>
  <si>
    <t>lactoserum utilise pour la fabrication de distillats</t>
  </si>
  <si>
    <t>lactoserum utilise pour la fabrication de distillats alcooliques</t>
  </si>
  <si>
    <t>agent de clarification a base d ichtyocolle</t>
  </si>
  <si>
    <t>clarifiant a base d ichtyocolle</t>
  </si>
  <si>
    <t>clarification de la biere par ichtyocolle</t>
  </si>
  <si>
    <t>clarification du vin par ichtyocolle</t>
  </si>
  <si>
    <t>colle de poisson</t>
  </si>
  <si>
    <t>gelatine de poisson comme support pour carotenoides</t>
  </si>
  <si>
    <t>gelatine de poisson comme support pour preparation de vitamines</t>
  </si>
  <si>
    <t>gelatine de poisson comme support pour vitamines</t>
  </si>
  <si>
    <t>gelatine de poisson utilisee comme support</t>
  </si>
  <si>
    <t>gelatine de poisson utilisee comme support pour carotenoides</t>
  </si>
  <si>
    <t>gelatine de poisson utilisee comme support pour preparation de vitamines</t>
  </si>
  <si>
    <t>ichtyocolle</t>
  </si>
  <si>
    <t>ichtyocolle utilisee comme agent de clarification</t>
  </si>
  <si>
    <t>ester de stanol vegetal issu du soja</t>
  </si>
  <si>
    <t>esters de stanol vegetal issus du soja</t>
  </si>
  <si>
    <t>graisse de soja hautement raffinee</t>
  </si>
  <si>
    <t>graisse de soja raffinee</t>
  </si>
  <si>
    <t>huile de soja completement raffinee</t>
  </si>
  <si>
    <t>huile de soja hautement raffinee</t>
  </si>
  <si>
    <t>huile de soja raffinee</t>
  </si>
  <si>
    <t>matiere grasse de soja entierement raffinee</t>
  </si>
  <si>
    <t>stanols de soja</t>
  </si>
  <si>
    <t>stanols vegetaux issus du soja</t>
  </si>
  <si>
    <t>sterols de soja</t>
  </si>
  <si>
    <t>sterols vegetaux issus du soja</t>
  </si>
  <si>
    <t>vin cuit</t>
  </si>
  <si>
    <t>farines</t>
  </si>
  <si>
    <t>creme legere</t>
  </si>
  <si>
    <t>R001</t>
  </si>
  <si>
    <t>R002</t>
  </si>
  <si>
    <t>R003</t>
  </si>
  <si>
    <t>R004</t>
  </si>
  <si>
    <t>R005</t>
  </si>
  <si>
    <t>R006</t>
  </si>
  <si>
    <t>R007</t>
  </si>
  <si>
    <t>R008</t>
  </si>
  <si>
    <t>R009</t>
  </si>
  <si>
    <t>R010</t>
  </si>
  <si>
    <t>R011</t>
  </si>
  <si>
    <t>R012</t>
  </si>
  <si>
    <t>R013</t>
  </si>
  <si>
    <t>R014</t>
  </si>
  <si>
    <t>R015</t>
  </si>
  <si>
    <t>R016</t>
  </si>
  <si>
    <t>R017</t>
  </si>
  <si>
    <t>R018</t>
  </si>
  <si>
    <t>R019</t>
  </si>
  <si>
    <t>R020</t>
  </si>
  <si>
    <t>R021</t>
  </si>
  <si>
    <t>R022</t>
  </si>
  <si>
    <t>R023</t>
  </si>
  <si>
    <t>R024</t>
  </si>
  <si>
    <t>R025</t>
  </si>
  <si>
    <t>R026</t>
  </si>
  <si>
    <t>R027</t>
  </si>
  <si>
    <t>R028</t>
  </si>
  <si>
    <t>R029</t>
  </si>
  <si>
    <t>R030</t>
  </si>
  <si>
    <t>R031</t>
  </si>
  <si>
    <t>R032</t>
  </si>
  <si>
    <t>R033</t>
  </si>
  <si>
    <t>R034</t>
  </si>
  <si>
    <t>R035</t>
  </si>
  <si>
    <t>R036</t>
  </si>
  <si>
    <t>R037</t>
  </si>
  <si>
    <t>R038</t>
  </si>
  <si>
    <t>R039</t>
  </si>
  <si>
    <t>R040</t>
  </si>
  <si>
    <t>R041</t>
  </si>
  <si>
    <t>R042</t>
  </si>
  <si>
    <t>R043</t>
  </si>
  <si>
    <t>R044</t>
  </si>
  <si>
    <t>R045</t>
  </si>
  <si>
    <t>R046</t>
  </si>
  <si>
    <t>R047</t>
  </si>
  <si>
    <t>R048</t>
  </si>
  <si>
    <t>R049</t>
  </si>
  <si>
    <t>R050</t>
  </si>
  <si>
    <t>R051</t>
  </si>
  <si>
    <t>R052</t>
  </si>
  <si>
    <t>R053</t>
  </si>
  <si>
    <t>R054</t>
  </si>
  <si>
    <t>R055</t>
  </si>
  <si>
    <t>R056</t>
  </si>
  <si>
    <t>R057</t>
  </si>
  <si>
    <t>R058</t>
  </si>
  <si>
    <t>R059</t>
  </si>
  <si>
    <t>R060</t>
  </si>
  <si>
    <t>R061</t>
  </si>
  <si>
    <t>R062</t>
  </si>
  <si>
    <t>R063</t>
  </si>
  <si>
    <t>R064</t>
  </si>
  <si>
    <t>R065</t>
  </si>
  <si>
    <t>R066</t>
  </si>
  <si>
    <t>R067</t>
  </si>
  <si>
    <t>R068</t>
  </si>
  <si>
    <t>R069</t>
  </si>
  <si>
    <t>R070</t>
  </si>
  <si>
    <t>R071</t>
  </si>
  <si>
    <t>R072</t>
  </si>
  <si>
    <t>R073</t>
  </si>
  <si>
    <t>R074</t>
  </si>
  <si>
    <t>R075</t>
  </si>
  <si>
    <t>R076</t>
  </si>
  <si>
    <t>R077</t>
  </si>
  <si>
    <t>R078</t>
  </si>
  <si>
    <t>R079</t>
  </si>
  <si>
    <t>R080</t>
  </si>
  <si>
    <t>R081</t>
  </si>
  <si>
    <t>R082</t>
  </si>
  <si>
    <t>R083</t>
  </si>
  <si>
    <t>R084</t>
  </si>
  <si>
    <t>R085</t>
  </si>
  <si>
    <t>R086</t>
  </si>
  <si>
    <t>R087</t>
  </si>
  <si>
    <t>R088</t>
  </si>
  <si>
    <t>R089</t>
  </si>
  <si>
    <t>R090</t>
  </si>
  <si>
    <t>R091</t>
  </si>
  <si>
    <t>R092</t>
  </si>
  <si>
    <t>R093</t>
  </si>
  <si>
    <t>R094</t>
  </si>
  <si>
    <t>R095</t>
  </si>
  <si>
    <t>R096</t>
  </si>
  <si>
    <t>R097</t>
  </si>
  <si>
    <t>R098</t>
  </si>
  <si>
    <t>R099</t>
  </si>
  <si>
    <t>R100</t>
  </si>
  <si>
    <t>R101</t>
  </si>
  <si>
    <t>R102</t>
  </si>
  <si>
    <t>R103</t>
  </si>
  <si>
    <t>R104</t>
  </si>
  <si>
    <t>R105</t>
  </si>
  <si>
    <t>R106</t>
  </si>
  <si>
    <t>R107</t>
  </si>
  <si>
    <t>R108</t>
  </si>
  <si>
    <t>R109</t>
  </si>
  <si>
    <t>R110</t>
  </si>
  <si>
    <t>R111</t>
  </si>
  <si>
    <t>R112</t>
  </si>
  <si>
    <t>R113</t>
  </si>
  <si>
    <t>R114</t>
  </si>
  <si>
    <t>R115</t>
  </si>
  <si>
    <t>R116</t>
  </si>
  <si>
    <t>R117</t>
  </si>
  <si>
    <t>R118</t>
  </si>
  <si>
    <t>R119</t>
  </si>
  <si>
    <t>R120</t>
  </si>
  <si>
    <t>R121</t>
  </si>
  <si>
    <t>R122</t>
  </si>
  <si>
    <t>R123</t>
  </si>
  <si>
    <t>R124</t>
  </si>
  <si>
    <t>R125</t>
  </si>
  <si>
    <t>R126</t>
  </si>
  <si>
    <t>R127</t>
  </si>
  <si>
    <t>R128</t>
  </si>
  <si>
    <t>R129</t>
  </si>
  <si>
    <t>R130</t>
  </si>
  <si>
    <t>R131</t>
  </si>
  <si>
    <t>R132</t>
  </si>
  <si>
    <t>R133</t>
  </si>
  <si>
    <t>R134</t>
  </si>
  <si>
    <t>R135</t>
  </si>
  <si>
    <t>R136</t>
  </si>
  <si>
    <t>R137</t>
  </si>
  <si>
    <t>R138</t>
  </si>
  <si>
    <t>R139</t>
  </si>
  <si>
    <t>R140</t>
  </si>
  <si>
    <t>R141</t>
  </si>
  <si>
    <t>R142</t>
  </si>
  <si>
    <t>R143</t>
  </si>
  <si>
    <t>R144</t>
  </si>
  <si>
    <t>R145</t>
  </si>
  <si>
    <t>R146</t>
  </si>
  <si>
    <t>R147</t>
  </si>
  <si>
    <t>R148</t>
  </si>
  <si>
    <t>R149</t>
  </si>
  <si>
    <t>R150</t>
  </si>
  <si>
    <t>R151</t>
  </si>
  <si>
    <t>R152</t>
  </si>
  <si>
    <t>R153</t>
  </si>
  <si>
    <t>R154</t>
  </si>
  <si>
    <t>R155</t>
  </si>
  <si>
    <t>R156</t>
  </si>
  <si>
    <t>R157</t>
  </si>
  <si>
    <t>R158</t>
  </si>
  <si>
    <t>R159</t>
  </si>
  <si>
    <t>R160</t>
  </si>
  <si>
    <t>R161</t>
  </si>
  <si>
    <t>R162</t>
  </si>
  <si>
    <t>R163</t>
  </si>
  <si>
    <t>R164</t>
  </si>
  <si>
    <t>R165</t>
  </si>
  <si>
    <t>R166</t>
  </si>
  <si>
    <t>R167</t>
  </si>
  <si>
    <t>R168</t>
  </si>
  <si>
    <t>R169</t>
  </si>
  <si>
    <t>R170</t>
  </si>
  <si>
    <t>R171</t>
  </si>
  <si>
    <t>R172</t>
  </si>
  <si>
    <t>R173</t>
  </si>
  <si>
    <t>R174</t>
  </si>
  <si>
    <t>R175</t>
  </si>
  <si>
    <t>R176</t>
  </si>
  <si>
    <t>R177</t>
  </si>
  <si>
    <t>R178</t>
  </si>
  <si>
    <t>R179</t>
  </si>
  <si>
    <t>R180</t>
  </si>
  <si>
    <t>R181</t>
  </si>
  <si>
    <t>R182</t>
  </si>
  <si>
    <t>R183</t>
  </si>
  <si>
    <t>R184</t>
  </si>
  <si>
    <t>R185</t>
  </si>
  <si>
    <t>R186</t>
  </si>
  <si>
    <t>R187</t>
  </si>
  <si>
    <t>R188</t>
  </si>
  <si>
    <t>R189</t>
  </si>
  <si>
    <t>R190</t>
  </si>
  <si>
    <t>R191</t>
  </si>
  <si>
    <t>R192</t>
  </si>
  <si>
    <t>R193</t>
  </si>
  <si>
    <t>R194</t>
  </si>
  <si>
    <t>R195</t>
  </si>
  <si>
    <t>R196</t>
  </si>
  <si>
    <t>R197</t>
  </si>
  <si>
    <t>R198</t>
  </si>
  <si>
    <t>R199</t>
  </si>
  <si>
    <t>R200</t>
  </si>
  <si>
    <t>R201</t>
  </si>
  <si>
    <t>R202</t>
  </si>
  <si>
    <t>R203</t>
  </si>
  <si>
    <t>R204</t>
  </si>
  <si>
    <t>R205</t>
  </si>
  <si>
    <t>R206</t>
  </si>
  <si>
    <t>R207</t>
  </si>
  <si>
    <t>R208</t>
  </si>
  <si>
    <t>R209</t>
  </si>
  <si>
    <t>R210</t>
  </si>
  <si>
    <t>R211</t>
  </si>
  <si>
    <t>R212</t>
  </si>
  <si>
    <t>R213</t>
  </si>
  <si>
    <t>R214</t>
  </si>
  <si>
    <t>R215</t>
  </si>
  <si>
    <t>R216</t>
  </si>
  <si>
    <t>R217</t>
  </si>
  <si>
    <t>R218</t>
  </si>
  <si>
    <t>R219</t>
  </si>
  <si>
    <t>R220</t>
  </si>
  <si>
    <t>R221</t>
  </si>
  <si>
    <t>R222</t>
  </si>
  <si>
    <t>R223</t>
  </si>
  <si>
    <t>R224</t>
  </si>
  <si>
    <t>R225</t>
  </si>
  <si>
    <t>R226</t>
  </si>
  <si>
    <t>R227</t>
  </si>
  <si>
    <t>R228</t>
  </si>
  <si>
    <t>R229</t>
  </si>
  <si>
    <t>R230</t>
  </si>
  <si>
    <t>R231</t>
  </si>
  <si>
    <t>R232</t>
  </si>
  <si>
    <t>R233</t>
  </si>
  <si>
    <t>R234</t>
  </si>
  <si>
    <t>R235</t>
  </si>
  <si>
    <t>R236</t>
  </si>
  <si>
    <t>R237</t>
  </si>
  <si>
    <t>R238</t>
  </si>
  <si>
    <t>R239</t>
  </si>
  <si>
    <t>R240</t>
  </si>
  <si>
    <t>R241</t>
  </si>
  <si>
    <t>R242</t>
  </si>
  <si>
    <t>R243</t>
  </si>
  <si>
    <t>R244</t>
  </si>
  <si>
    <t>R245</t>
  </si>
  <si>
    <t>R246</t>
  </si>
  <si>
    <t>R247</t>
  </si>
  <si>
    <t>R248</t>
  </si>
  <si>
    <t>R249</t>
  </si>
  <si>
    <t>R250</t>
  </si>
  <si>
    <t>R251</t>
  </si>
  <si>
    <t>R252</t>
  </si>
  <si>
    <t>R253</t>
  </si>
  <si>
    <t>R254</t>
  </si>
  <si>
    <t>R255</t>
  </si>
  <si>
    <t>R256</t>
  </si>
  <si>
    <t>R257</t>
  </si>
  <si>
    <t>R258</t>
  </si>
  <si>
    <t>R259</t>
  </si>
  <si>
    <t>R260</t>
  </si>
  <si>
    <t>R261</t>
  </si>
  <si>
    <t>R262</t>
  </si>
  <si>
    <t>R263</t>
  </si>
  <si>
    <t>R264</t>
  </si>
  <si>
    <t>R265</t>
  </si>
  <si>
    <t>R266</t>
  </si>
  <si>
    <t>R267</t>
  </si>
  <si>
    <t>R268</t>
  </si>
  <si>
    <t>R269</t>
  </si>
  <si>
    <t>R270</t>
  </si>
  <si>
    <t>R271</t>
  </si>
  <si>
    <t>R272</t>
  </si>
  <si>
    <t>R273</t>
  </si>
  <si>
    <t>R274</t>
  </si>
  <si>
    <t>R275</t>
  </si>
  <si>
    <t>R276</t>
  </si>
  <si>
    <t>R277</t>
  </si>
  <si>
    <t>R278</t>
  </si>
  <si>
    <t>R279</t>
  </si>
  <si>
    <t>R280</t>
  </si>
  <si>
    <t>R281</t>
  </si>
  <si>
    <t>R282</t>
  </si>
  <si>
    <t>R283</t>
  </si>
  <si>
    <t>R284</t>
  </si>
  <si>
    <t>R285</t>
  </si>
  <si>
    <t>R286</t>
  </si>
  <si>
    <t>R287</t>
  </si>
  <si>
    <t>R288</t>
  </si>
  <si>
    <t>R289</t>
  </si>
  <si>
    <t>R290</t>
  </si>
  <si>
    <t>R291</t>
  </si>
  <si>
    <t>R292</t>
  </si>
  <si>
    <t>R293</t>
  </si>
  <si>
    <t>R294</t>
  </si>
  <si>
    <t>R295</t>
  </si>
  <si>
    <t>R296</t>
  </si>
  <si>
    <t>R297</t>
  </si>
  <si>
    <t>R298</t>
  </si>
  <si>
    <t>R299</t>
  </si>
  <si>
    <t>R300</t>
  </si>
  <si>
    <t>R301</t>
  </si>
  <si>
    <t>R302</t>
  </si>
  <si>
    <t>R303</t>
  </si>
  <si>
    <t>R304</t>
  </si>
  <si>
    <t>R305</t>
  </si>
  <si>
    <t>R306</t>
  </si>
  <si>
    <t>R307</t>
  </si>
  <si>
    <t>R308</t>
  </si>
  <si>
    <t>R309</t>
  </si>
  <si>
    <t>R310</t>
  </si>
  <si>
    <t>R311</t>
  </si>
  <si>
    <t>R312</t>
  </si>
  <si>
    <t>R313</t>
  </si>
  <si>
    <t>R314</t>
  </si>
  <si>
    <t>R315</t>
  </si>
  <si>
    <t>R316</t>
  </si>
  <si>
    <t>R317</t>
  </si>
  <si>
    <t>R318</t>
  </si>
  <si>
    <t>R319</t>
  </si>
  <si>
    <t>R320</t>
  </si>
  <si>
    <t>R321</t>
  </si>
  <si>
    <t>R322</t>
  </si>
  <si>
    <t>R323</t>
  </si>
  <si>
    <t>R324</t>
  </si>
  <si>
    <t>R325</t>
  </si>
  <si>
    <t>R326</t>
  </si>
  <si>
    <t>R327</t>
  </si>
  <si>
    <t>R328</t>
  </si>
  <si>
    <t>R329</t>
  </si>
  <si>
    <t>R330</t>
  </si>
  <si>
    <t>R331</t>
  </si>
  <si>
    <t>R332</t>
  </si>
  <si>
    <t>R333</t>
  </si>
  <si>
    <t>R334</t>
  </si>
  <si>
    <t>R335</t>
  </si>
  <si>
    <t>R336</t>
  </si>
  <si>
    <t>R337</t>
  </si>
  <si>
    <t>R338</t>
  </si>
  <si>
    <t>R339</t>
  </si>
  <si>
    <t>R340</t>
  </si>
  <si>
    <t>R341</t>
  </si>
  <si>
    <t>R342</t>
  </si>
  <si>
    <t>R343</t>
  </si>
  <si>
    <t>R344</t>
  </si>
  <si>
    <t>R345</t>
  </si>
  <si>
    <t>R346</t>
  </si>
  <si>
    <t>R347</t>
  </si>
  <si>
    <t>R348</t>
  </si>
  <si>
    <t>R349</t>
  </si>
  <si>
    <t>R350</t>
  </si>
  <si>
    <t>R351</t>
  </si>
  <si>
    <t>R352</t>
  </si>
  <si>
    <t>R353</t>
  </si>
  <si>
    <t>R354</t>
  </si>
  <si>
    <t>R355</t>
  </si>
  <si>
    <t>R356</t>
  </si>
  <si>
    <t>R357</t>
  </si>
  <si>
    <t>R358</t>
  </si>
  <si>
    <t>R359</t>
  </si>
  <si>
    <t>R360</t>
  </si>
  <si>
    <t>R361</t>
  </si>
  <si>
    <t>R362</t>
  </si>
  <si>
    <t>R363</t>
  </si>
  <si>
    <t>R364</t>
  </si>
  <si>
    <t>R365</t>
  </si>
  <si>
    <t>R366</t>
  </si>
  <si>
    <t>R367</t>
  </si>
  <si>
    <t>R368</t>
  </si>
  <si>
    <t>R369</t>
  </si>
  <si>
    <t>R370</t>
  </si>
  <si>
    <t>R371</t>
  </si>
  <si>
    <t>R372</t>
  </si>
  <si>
    <t>R373</t>
  </si>
  <si>
    <t>R374</t>
  </si>
  <si>
    <t>R375</t>
  </si>
  <si>
    <t>R376</t>
  </si>
  <si>
    <t>R377</t>
  </si>
  <si>
    <t>R378</t>
  </si>
  <si>
    <t>R379</t>
  </si>
  <si>
    <t>R380</t>
  </si>
  <si>
    <t>R381</t>
  </si>
  <si>
    <t>R382</t>
  </si>
  <si>
    <t>R383</t>
  </si>
  <si>
    <t>R384</t>
  </si>
  <si>
    <t>R385</t>
  </si>
  <si>
    <t>R386</t>
  </si>
  <si>
    <t>R387</t>
  </si>
  <si>
    <t>R388</t>
  </si>
  <si>
    <t>R389</t>
  </si>
  <si>
    <t>R390</t>
  </si>
  <si>
    <t>R391</t>
  </si>
  <si>
    <t>R392</t>
  </si>
  <si>
    <t>R393</t>
  </si>
  <si>
    <t>R394</t>
  </si>
  <si>
    <t>R395</t>
  </si>
  <si>
    <t>R396</t>
  </si>
  <si>
    <t>R397</t>
  </si>
  <si>
    <t>R398</t>
  </si>
  <si>
    <t>R399</t>
  </si>
  <si>
    <t>R400</t>
  </si>
  <si>
    <t>R401</t>
  </si>
  <si>
    <t>R402</t>
  </si>
  <si>
    <t>R403</t>
  </si>
  <si>
    <t>R404</t>
  </si>
  <si>
    <t>R405</t>
  </si>
  <si>
    <t>R406</t>
  </si>
  <si>
    <t>R407</t>
  </si>
  <si>
    <t>R408</t>
  </si>
  <si>
    <t>R409</t>
  </si>
  <si>
    <t>R410</t>
  </si>
  <si>
    <t>R411</t>
  </si>
  <si>
    <t>R412</t>
  </si>
  <si>
    <t>R413</t>
  </si>
  <si>
    <t>R414</t>
  </si>
  <si>
    <t>R415</t>
  </si>
  <si>
    <t>R416</t>
  </si>
  <si>
    <t>R417</t>
  </si>
  <si>
    <t>R418</t>
  </si>
  <si>
    <t>R419</t>
  </si>
  <si>
    <t>R420</t>
  </si>
  <si>
    <t>R421</t>
  </si>
  <si>
    <t>R422</t>
  </si>
  <si>
    <t>R423</t>
  </si>
  <si>
    <t>R424</t>
  </si>
  <si>
    <t>R425</t>
  </si>
  <si>
    <t>R426</t>
  </si>
  <si>
    <t>R427</t>
  </si>
  <si>
    <t>R428</t>
  </si>
  <si>
    <t>R429</t>
  </si>
  <si>
    <t>R430</t>
  </si>
  <si>
    <t>R431</t>
  </si>
  <si>
    <t>R432</t>
  </si>
  <si>
    <t>R433</t>
  </si>
  <si>
    <t>R434</t>
  </si>
  <si>
    <t>R435</t>
  </si>
  <si>
    <t>R436</t>
  </si>
  <si>
    <t>R437</t>
  </si>
  <si>
    <t>R438</t>
  </si>
  <si>
    <t>R439</t>
  </si>
  <si>
    <t>R440</t>
  </si>
  <si>
    <t>R441</t>
  </si>
  <si>
    <t>R442</t>
  </si>
  <si>
    <t>R443</t>
  </si>
  <si>
    <t>R444</t>
  </si>
  <si>
    <t>R445</t>
  </si>
  <si>
    <t>R446</t>
  </si>
  <si>
    <t>R447</t>
  </si>
  <si>
    <t>R448</t>
  </si>
  <si>
    <t>R449</t>
  </si>
  <si>
    <t>R450</t>
  </si>
  <si>
    <t>R451</t>
  </si>
  <si>
    <t>R452</t>
  </si>
  <si>
    <t>R453</t>
  </si>
  <si>
    <t>R454</t>
  </si>
  <si>
    <t>R455</t>
  </si>
  <si>
    <t>R456</t>
  </si>
  <si>
    <t>R457</t>
  </si>
  <si>
    <t>R458</t>
  </si>
  <si>
    <t>R459</t>
  </si>
  <si>
    <t>R460</t>
  </si>
  <si>
    <t>R461</t>
  </si>
  <si>
    <t>R462</t>
  </si>
  <si>
    <t>R463</t>
  </si>
  <si>
    <t>R464</t>
  </si>
  <si>
    <t>R465</t>
  </si>
  <si>
    <t>R466</t>
  </si>
  <si>
    <t>R467</t>
  </si>
  <si>
    <t>R468</t>
  </si>
  <si>
    <t>R469</t>
  </si>
  <si>
    <t>R470</t>
  </si>
  <si>
    <t>R471</t>
  </si>
  <si>
    <t>R472</t>
  </si>
  <si>
    <t>R473</t>
  </si>
  <si>
    <t>R474</t>
  </si>
  <si>
    <t>R475</t>
  </si>
  <si>
    <t>R476</t>
  </si>
  <si>
    <t>R477</t>
  </si>
  <si>
    <t>R478</t>
  </si>
  <si>
    <t>R479</t>
  </si>
  <si>
    <t>R480</t>
  </si>
  <si>
    <t>R481</t>
  </si>
  <si>
    <t>R482</t>
  </si>
  <si>
    <t>R483</t>
  </si>
  <si>
    <t>R484</t>
  </si>
  <si>
    <t>R485</t>
  </si>
  <si>
    <t>R486</t>
  </si>
  <si>
    <t>R487</t>
  </si>
  <si>
    <t>R488</t>
  </si>
  <si>
    <t>R489</t>
  </si>
  <si>
    <t>R490</t>
  </si>
  <si>
    <t>R491</t>
  </si>
  <si>
    <t>R492</t>
  </si>
  <si>
    <t>R493</t>
  </si>
  <si>
    <t>R494</t>
  </si>
  <si>
    <t>R495</t>
  </si>
  <si>
    <t>R496</t>
  </si>
  <si>
    <t>R497</t>
  </si>
  <si>
    <t>R498</t>
  </si>
  <si>
    <t>R499</t>
  </si>
  <si>
    <t>R500</t>
  </si>
  <si>
    <t>R501</t>
  </si>
  <si>
    <t>R502</t>
  </si>
  <si>
    <t>R503</t>
  </si>
  <si>
    <t>R504</t>
  </si>
  <si>
    <t>R505</t>
  </si>
  <si>
    <t>R506</t>
  </si>
  <si>
    <t>R507</t>
  </si>
  <si>
    <t>R508</t>
  </si>
  <si>
    <t>R509</t>
  </si>
  <si>
    <t>R510</t>
  </si>
  <si>
    <t>R511</t>
  </si>
  <si>
    <t>R512</t>
  </si>
  <si>
    <t>R513</t>
  </si>
  <si>
    <t>R514</t>
  </si>
  <si>
    <t>R515</t>
  </si>
  <si>
    <t>R516</t>
  </si>
  <si>
    <t>R517</t>
  </si>
  <si>
    <t>R518</t>
  </si>
  <si>
    <t>R519</t>
  </si>
  <si>
    <t>R520</t>
  </si>
  <si>
    <t>R521</t>
  </si>
  <si>
    <t>R522</t>
  </si>
  <si>
    <t>R523</t>
  </si>
  <si>
    <t>R524</t>
  </si>
  <si>
    <t>R525</t>
  </si>
  <si>
    <t>R526</t>
  </si>
  <si>
    <t>R527</t>
  </si>
  <si>
    <t>R528</t>
  </si>
  <si>
    <t>R529</t>
  </si>
  <si>
    <t>R530</t>
  </si>
  <si>
    <t>R531</t>
  </si>
  <si>
    <t>R532</t>
  </si>
  <si>
    <t>R533</t>
  </si>
  <si>
    <t>R534</t>
  </si>
  <si>
    <t>R535</t>
  </si>
  <si>
    <t>R536</t>
  </si>
  <si>
    <t>R537</t>
  </si>
  <si>
    <t>R538</t>
  </si>
  <si>
    <t>R539</t>
  </si>
  <si>
    <t>R540</t>
  </si>
  <si>
    <t>R541</t>
  </si>
  <si>
    <t>R542</t>
  </si>
  <si>
    <t>R543</t>
  </si>
  <si>
    <t>R544</t>
  </si>
  <si>
    <t>R545</t>
  </si>
  <si>
    <t>R546</t>
  </si>
  <si>
    <t>R547</t>
  </si>
  <si>
    <t>R548</t>
  </si>
  <si>
    <t>R549</t>
  </si>
  <si>
    <t>R550</t>
  </si>
  <si>
    <t>R551</t>
  </si>
  <si>
    <t>R552</t>
  </si>
  <si>
    <t>R553</t>
  </si>
  <si>
    <t>R554</t>
  </si>
  <si>
    <t>R555</t>
  </si>
  <si>
    <t>R556</t>
  </si>
  <si>
    <t>R557</t>
  </si>
  <si>
    <t>R558</t>
  </si>
  <si>
    <t>R559</t>
  </si>
  <si>
    <t>R560</t>
  </si>
  <si>
    <t>R561</t>
  </si>
  <si>
    <t>R562</t>
  </si>
  <si>
    <t>R563</t>
  </si>
  <si>
    <t>R564</t>
  </si>
  <si>
    <t>R565</t>
  </si>
  <si>
    <t>R566</t>
  </si>
  <si>
    <t>R567</t>
  </si>
  <si>
    <t>R568</t>
  </si>
  <si>
    <t>R569</t>
  </si>
  <si>
    <t>R570</t>
  </si>
  <si>
    <t>R571</t>
  </si>
  <si>
    <t>R572</t>
  </si>
  <si>
    <t>R573</t>
  </si>
  <si>
    <t>R574</t>
  </si>
  <si>
    <t>R575</t>
  </si>
  <si>
    <t>R576</t>
  </si>
  <si>
    <t>R577</t>
  </si>
  <si>
    <t>R578</t>
  </si>
  <si>
    <t>R579</t>
  </si>
  <si>
    <t>R580</t>
  </si>
  <si>
    <t>R581</t>
  </si>
  <si>
    <t>R582</t>
  </si>
  <si>
    <t>R583</t>
  </si>
  <si>
    <t>R584</t>
  </si>
  <si>
    <t>R585</t>
  </si>
  <si>
    <t>R586</t>
  </si>
  <si>
    <t>R587</t>
  </si>
  <si>
    <t>R588</t>
  </si>
  <si>
    <t>R589</t>
  </si>
  <si>
    <t>R590</t>
  </si>
  <si>
    <t>R591</t>
  </si>
  <si>
    <t>R592</t>
  </si>
  <si>
    <t>R593</t>
  </si>
  <si>
    <t>R594</t>
  </si>
  <si>
    <t>R595</t>
  </si>
  <si>
    <t>R596</t>
  </si>
  <si>
    <t>R597</t>
  </si>
  <si>
    <t>R598</t>
  </si>
  <si>
    <t>R599</t>
  </si>
  <si>
    <t>R600</t>
  </si>
  <si>
    <t>R601</t>
  </si>
  <si>
    <t>R602</t>
  </si>
  <si>
    <t>R603</t>
  </si>
  <si>
    <t>R604</t>
  </si>
  <si>
    <t>R605</t>
  </si>
  <si>
    <t>R606</t>
  </si>
  <si>
    <t>R607</t>
  </si>
  <si>
    <t>R608</t>
  </si>
  <si>
    <t>R609</t>
  </si>
  <si>
    <t>R610</t>
  </si>
  <si>
    <t>R611</t>
  </si>
  <si>
    <t>R612</t>
  </si>
  <si>
    <t>R613</t>
  </si>
  <si>
    <t>R614</t>
  </si>
  <si>
    <t>R615</t>
  </si>
  <si>
    <t>R616</t>
  </si>
  <si>
    <t>R617</t>
  </si>
  <si>
    <t>R618</t>
  </si>
  <si>
    <t>R619</t>
  </si>
  <si>
    <t>R620</t>
  </si>
  <si>
    <t>R621</t>
  </si>
  <si>
    <t>R622</t>
  </si>
  <si>
    <t>R623</t>
  </si>
  <si>
    <t>R624</t>
  </si>
  <si>
    <t>R625</t>
  </si>
  <si>
    <t>R626</t>
  </si>
  <si>
    <t>R627</t>
  </si>
  <si>
    <t>R628</t>
  </si>
  <si>
    <t>R629</t>
  </si>
  <si>
    <t>R630</t>
  </si>
  <si>
    <t>R631</t>
  </si>
  <si>
    <t>R632</t>
  </si>
  <si>
    <t>R633</t>
  </si>
  <si>
    <t>R634</t>
  </si>
  <si>
    <t>R635</t>
  </si>
  <si>
    <t>R636</t>
  </si>
  <si>
    <t>R637</t>
  </si>
  <si>
    <t>R638</t>
  </si>
  <si>
    <t>R639</t>
  </si>
  <si>
    <t>R640</t>
  </si>
  <si>
    <t>R641</t>
  </si>
  <si>
    <t>R642</t>
  </si>
  <si>
    <t>R643</t>
  </si>
  <si>
    <t>R644</t>
  </si>
  <si>
    <t>R645</t>
  </si>
  <si>
    <t>R646</t>
  </si>
  <si>
    <t>R647</t>
  </si>
  <si>
    <t>R648</t>
  </si>
  <si>
    <t>R649</t>
  </si>
  <si>
    <t>R650</t>
  </si>
  <si>
    <t>R651</t>
  </si>
  <si>
    <t>R652</t>
  </si>
  <si>
    <t>R653</t>
  </si>
  <si>
    <t>R654</t>
  </si>
  <si>
    <t>R655</t>
  </si>
  <si>
    <t>R656</t>
  </si>
  <si>
    <t>R657</t>
  </si>
  <si>
    <t>R658</t>
  </si>
  <si>
    <t>R659</t>
  </si>
  <si>
    <t>R660</t>
  </si>
  <si>
    <t>R661</t>
  </si>
  <si>
    <t>R662</t>
  </si>
  <si>
    <t>R663</t>
  </si>
  <si>
    <t>R664</t>
  </si>
  <si>
    <t>R665</t>
  </si>
  <si>
    <t>R666</t>
  </si>
  <si>
    <t>R667</t>
  </si>
  <si>
    <t>R668</t>
  </si>
  <si>
    <t>R669</t>
  </si>
  <si>
    <t>R670</t>
  </si>
  <si>
    <t>R671</t>
  </si>
  <si>
    <t>R672</t>
  </si>
  <si>
    <t>R673</t>
  </si>
  <si>
    <t>R674</t>
  </si>
  <si>
    <t>R675</t>
  </si>
  <si>
    <t>R676</t>
  </si>
  <si>
    <t>R677</t>
  </si>
  <si>
    <t>R678</t>
  </si>
  <si>
    <t>R679</t>
  </si>
  <si>
    <t>R680</t>
  </si>
  <si>
    <t>R681</t>
  </si>
  <si>
    <t>R682</t>
  </si>
  <si>
    <t>R683</t>
  </si>
  <si>
    <t>R684</t>
  </si>
  <si>
    <t>R685</t>
  </si>
  <si>
    <t>R686</t>
  </si>
  <si>
    <t>R687</t>
  </si>
  <si>
    <t>R688</t>
  </si>
  <si>
    <t>R689</t>
  </si>
  <si>
    <t>R690</t>
  </si>
  <si>
    <t>R691</t>
  </si>
  <si>
    <t>R692</t>
  </si>
  <si>
    <t>R693</t>
  </si>
  <si>
    <t>R694</t>
  </si>
  <si>
    <t>R695</t>
  </si>
  <si>
    <t>R696</t>
  </si>
  <si>
    <t>R697</t>
  </si>
  <si>
    <t>R698</t>
  </si>
  <si>
    <t>R699</t>
  </si>
  <si>
    <t>R700</t>
  </si>
  <si>
    <t>R701</t>
  </si>
  <si>
    <t>R702</t>
  </si>
  <si>
    <t>R703</t>
  </si>
  <si>
    <t>R704</t>
  </si>
  <si>
    <t>R705</t>
  </si>
  <si>
    <t>R706</t>
  </si>
  <si>
    <t>R707</t>
  </si>
  <si>
    <t>R708</t>
  </si>
  <si>
    <t>R709</t>
  </si>
  <si>
    <t>R710</t>
  </si>
  <si>
    <t>R711</t>
  </si>
  <si>
    <t>R712</t>
  </si>
  <si>
    <t>R713</t>
  </si>
  <si>
    <t>R714</t>
  </si>
  <si>
    <t>R715</t>
  </si>
  <si>
    <t>R716</t>
  </si>
  <si>
    <t>R717</t>
  </si>
  <si>
    <t>R718</t>
  </si>
  <si>
    <t>R719</t>
  </si>
  <si>
    <t>R720</t>
  </si>
  <si>
    <t>R721</t>
  </si>
  <si>
    <t>R722</t>
  </si>
  <si>
    <t>R723</t>
  </si>
  <si>
    <t>R724</t>
  </si>
  <si>
    <t>R725</t>
  </si>
  <si>
    <t>R726</t>
  </si>
  <si>
    <t>R727</t>
  </si>
  <si>
    <t>R728</t>
  </si>
  <si>
    <t>R729</t>
  </si>
  <si>
    <t>R730</t>
  </si>
  <si>
    <t>R731</t>
  </si>
  <si>
    <t>R732</t>
  </si>
  <si>
    <t>R733</t>
  </si>
  <si>
    <t>R734</t>
  </si>
  <si>
    <t>R735</t>
  </si>
  <si>
    <t>R736</t>
  </si>
  <si>
    <t>R737</t>
  </si>
  <si>
    <t>R738</t>
  </si>
  <si>
    <t>R739</t>
  </si>
  <si>
    <t>R740</t>
  </si>
  <si>
    <t>R741</t>
  </si>
  <si>
    <t>R742</t>
  </si>
  <si>
    <t>R743</t>
  </si>
  <si>
    <t>R744</t>
  </si>
  <si>
    <t>R745</t>
  </si>
  <si>
    <t>R746</t>
  </si>
  <si>
    <t>R747</t>
  </si>
  <si>
    <t>R748</t>
  </si>
  <si>
    <t>R749</t>
  </si>
  <si>
    <t>R750</t>
  </si>
  <si>
    <t>R751</t>
  </si>
  <si>
    <t>R752</t>
  </si>
  <si>
    <t>R753</t>
  </si>
  <si>
    <t>R754</t>
  </si>
  <si>
    <t>R755</t>
  </si>
  <si>
    <t>R756</t>
  </si>
  <si>
    <t>R757</t>
  </si>
  <si>
    <t>R758</t>
  </si>
  <si>
    <t>R759</t>
  </si>
  <si>
    <t>R760</t>
  </si>
  <si>
    <t>R761</t>
  </si>
  <si>
    <t>R762</t>
  </si>
  <si>
    <t>R763</t>
  </si>
  <si>
    <t>R764</t>
  </si>
  <si>
    <t>R765</t>
  </si>
  <si>
    <t>R766</t>
  </si>
  <si>
    <t>R767</t>
  </si>
  <si>
    <t>R768</t>
  </si>
  <si>
    <t>R769</t>
  </si>
  <si>
    <t>R770</t>
  </si>
  <si>
    <t>R771</t>
  </si>
  <si>
    <t>R772</t>
  </si>
  <si>
    <t>R773</t>
  </si>
  <si>
    <t>R774</t>
  </si>
  <si>
    <t>R775</t>
  </si>
  <si>
    <t>R776</t>
  </si>
  <si>
    <t>R777</t>
  </si>
  <si>
    <t>R778</t>
  </si>
  <si>
    <t>R779</t>
  </si>
  <si>
    <t>R780</t>
  </si>
  <si>
    <t>R781</t>
  </si>
  <si>
    <t>R782</t>
  </si>
  <si>
    <t>R783</t>
  </si>
  <si>
    <t>R784</t>
  </si>
  <si>
    <t>R785</t>
  </si>
  <si>
    <t>R786</t>
  </si>
  <si>
    <t>R787</t>
  </si>
  <si>
    <t>R788</t>
  </si>
  <si>
    <t>R789</t>
  </si>
  <si>
    <t>R790</t>
  </si>
  <si>
    <t>R791</t>
  </si>
  <si>
    <t>R792</t>
  </si>
  <si>
    <t>Texte saisi</t>
  </si>
  <si>
    <t>Texte à coller (collage spécial 1.2.3.Valeur)</t>
  </si>
  <si>
    <t>Allergènes détectés (à coller)</t>
  </si>
  <si>
    <t>Passe retenue</t>
  </si>
  <si>
    <t>Info suspicion</t>
  </si>
  <si>
    <t>Nb officiels</t>
  </si>
  <si>
    <t>Nb suspicions</t>
  </si>
  <si>
    <t>Diagnostic court</t>
  </si>
  <si>
    <t>Minuscules</t>
  </si>
  <si>
    <t>Accents_1</t>
  </si>
  <si>
    <t>Accents_2</t>
  </si>
  <si>
    <t>Ponct_1</t>
  </si>
  <si>
    <t>Ponct_2</t>
  </si>
  <si>
    <t>Texte cadre</t>
  </si>
  <si>
    <t>GLU_INFO</t>
  </si>
  <si>
    <t>GLU_EXCL</t>
  </si>
  <si>
    <t>GLU_AL</t>
  </si>
  <si>
    <t>GLU_SUSP</t>
  </si>
  <si>
    <t>GLU_OUT</t>
  </si>
  <si>
    <t>GLU_SOUT</t>
  </si>
  <si>
    <t>CRU_AL</t>
  </si>
  <si>
    <t>CRU_OUT</t>
  </si>
  <si>
    <t>OEU_AL</t>
  </si>
  <si>
    <t>OEU_OUT</t>
  </si>
  <si>
    <t>POI_INFO</t>
  </si>
  <si>
    <t>POI_EXCL</t>
  </si>
  <si>
    <t>POI_AL</t>
  </si>
  <si>
    <t>POI_OUT</t>
  </si>
  <si>
    <t>ARA_AL</t>
  </si>
  <si>
    <t>ARA_OUT</t>
  </si>
  <si>
    <t>SOJ_INFO</t>
  </si>
  <si>
    <t>SOJ_AL</t>
  </si>
  <si>
    <t>SOJ_OUT</t>
  </si>
  <si>
    <t>LAI_INFO</t>
  </si>
  <si>
    <t>LAI_EXCL</t>
  </si>
  <si>
    <t>LAI_AL</t>
  </si>
  <si>
    <t>LAI_SUSP</t>
  </si>
  <si>
    <t>LAI_OUT</t>
  </si>
  <si>
    <t>LAI_SOUT</t>
  </si>
  <si>
    <t>FAC_EXCL</t>
  </si>
  <si>
    <t>FAC_AL</t>
  </si>
  <si>
    <t>FAC_OUT</t>
  </si>
  <si>
    <t>CEL_AL</t>
  </si>
  <si>
    <t>CEL_OUT</t>
  </si>
  <si>
    <t>MOU_AL</t>
  </si>
  <si>
    <t>MOU_OUT</t>
  </si>
  <si>
    <t>SES_AL</t>
  </si>
  <si>
    <t>SES_OUT</t>
  </si>
  <si>
    <t>SUL_AL</t>
  </si>
  <si>
    <t>SUL_OUT</t>
  </si>
  <si>
    <t>LUP_AL</t>
  </si>
  <si>
    <t>LUP_OUT</t>
  </si>
  <si>
    <t>MOL_EXCL</t>
  </si>
  <si>
    <t>MOL_AL</t>
  </si>
  <si>
    <t>MOL_OUT</t>
  </si>
  <si>
    <t>OFF_01</t>
  </si>
  <si>
    <t>OFF_02</t>
  </si>
  <si>
    <t>OFF_03</t>
  </si>
  <si>
    <t>OFF_04</t>
  </si>
  <si>
    <t>OFF_05</t>
  </si>
  <si>
    <t>OFF_06</t>
  </si>
  <si>
    <t>OFF_07</t>
  </si>
  <si>
    <t>OFF_08</t>
  </si>
  <si>
    <t>OFF_09</t>
  </si>
  <si>
    <t>OFF_10</t>
  </si>
  <si>
    <t>OFF_11</t>
  </si>
  <si>
    <t>OFF_12</t>
  </si>
  <si>
    <t>OFF_13</t>
  </si>
  <si>
    <t>OFF_14</t>
  </si>
  <si>
    <t>SUSP_01</t>
  </si>
  <si>
    <t>SUSP_02</t>
  </si>
  <si>
    <t>Regles locales</t>
  </si>
  <si>
    <t>le moteur s'arrête colonne UI lignes 11:15</t>
  </si>
  <si>
    <t>zestes de pamplemousse</t>
  </si>
  <si>
    <t>jaunes d'œufs *</t>
  </si>
  <si>
    <t>cassonade antillaise</t>
  </si>
  <si>
    <t>maïzena</t>
  </si>
  <si>
    <t>gélatine</t>
  </si>
  <si>
    <t>blancs</t>
  </si>
  <si>
    <t>beurre de cacahuete;branche de celeri;ecrevisse;beurre d amande;avoine</t>
  </si>
  <si>
    <t>creme entiere;huitre;œufs;dorade;farines de soja;lactitol;farine de sarrasin</t>
  </si>
  <si>
    <t>farine de soja;gambas;esters de stanol vegetal issus du soja</t>
  </si>
  <si>
    <t>lactoserum utilise pour la fabrication de distillats;lait d avoine;creme legere;creme de noisettes</t>
  </si>
  <si>
    <t>Moteur allergènes – utilisation cuisiniers 184 lignes de saisie  - Dictionnaire intégré (792 termes) - 51 colonnes masquées - dictionnaire en colonnes BF : BI</t>
  </si>
  <si>
    <t>Catégorie</t>
  </si>
  <si>
    <t>Mode</t>
  </si>
  <si>
    <t>Mot</t>
  </si>
  <si>
    <t>Code</t>
  </si>
  <si>
    <t>51 colonnes masquées ►</t>
  </si>
  <si>
    <t>◄ 51 colonnes masquées</t>
  </si>
  <si>
    <t>►</t>
  </si>
  <si>
    <t>4. Le moteur est autonome : le dictionnaire technique est embarqué dans cet onglet (colonnes BF:BI masquées).</t>
  </si>
  <si>
    <t>▲</t>
  </si>
  <si>
    <t>▲ Flèches à copier/coller dans le document</t>
  </si>
  <si>
    <t xml:space="preserve">Nouveau moteur reconstruit à partir d’un dictionnaire vertical </t>
  </si>
  <si>
    <t>Auteur : Joel Leboucher • Rochefort sur Mer | Date : 13 avril 2026 | Refonte du moteur avec l'aide de ChatGPT</t>
  </si>
  <si>
    <t>ne pas supprimer cette ligne</t>
  </si>
  <si>
    <t>Accents</t>
  </si>
  <si>
    <t>Ponctuation</t>
  </si>
  <si>
    <t>Portez à ébullition, puis baissez le feu et</t>
  </si>
  <si>
    <t>1. Coupez la viande en cubes d’environ 4 cm et mettez-la dans un grand saladier. Ajoutez-y les oignons coupés en rondelles, les carottes coupées en rondelles, les lardons, l’ail émincé et le bouquet garni. Versez le vin rouge sur le tout et laissez mariner au frais pendant 24 heures.</t>
  </si>
  <si>
    <t>2. Le lendemain, sortez la viande et les légumes de la marinade et égouttez-les. Réservez la marinade.</t>
  </si>
  <si>
    <t>3. Dans une cocotte en fonte, faites chauffer l’huile d’olive à feu moyen. Ajoutez la viande et faites-la dorer de tous les côtés. Retirez-la de la cocotte et réservez-la.</t>
  </si>
  <si>
    <t>4. Dans la même cocotte, faites revenir les légumes et les lardons pendant environ 5 minutes. Saupoudrez de farine et mélangez bien.</t>
  </si>
  <si>
    <t>5. Remettez la viande dans la cocotte et versez la marinade filtrée par-dessus. Ajoutez de l’eau si nécessaire pour recouvrir la viande. Salez et poivrez.</t>
  </si>
  <si>
    <t>6. Portez à ébullition, puis baissez le feu et laissez mijoter à feu doux pendant environ 3 heures, en remuant de temps en temps. La viande doit être tendre et la sauce onctueuse.</t>
  </si>
  <si>
    <t>7. Pendant ce temps, faites revenir les champignons dans une poêle avec un peu d’huile d’olive pendant environ 5 minutes.</t>
  </si>
  <si>
    <t>8. Ajoutez les champignons dans la cocotte environ 30 minutes avant la fin de la cuisson.</t>
  </si>
  <si>
    <t>9. Servez le bœuf bourguignon bien chaud accompagné de pommes de terre, de pâtes ou de riz.</t>
  </si>
  <si>
    <t>►Bon Appétit</t>
  </si>
  <si>
    <t>Mode d'emploi du moteur allergènes</t>
  </si>
  <si>
    <t>Ce que le formateur peut faire, ce qu'il ne doit pas faire, et dans quelles limites le moteur prend les ajouts en compte.</t>
  </si>
  <si>
    <t>Auteur : Joel Leboucher • Rochefort sur Mer |  Date : 9 JAvril 2026  |  heure : 15h30 |  Document réalisé avec l'aide de ChatGPT  |</t>
  </si>
  <si>
    <t>Tableau des consignes</t>
  </si>
  <si>
    <t>Où ?</t>
  </si>
  <si>
    <t>Autorisé ?</t>
  </si>
  <si>
    <t>Limite exacte</t>
  </si>
  <si>
    <t>Pris en compte par le moteur ?</t>
  </si>
  <si>
    <t>Exemple / remarque</t>
  </si>
  <si>
    <t>Saisir une recette ou une liste d'ingrédients</t>
  </si>
  <si>
    <t>Moteur.Allergènes, colonne B</t>
  </si>
  <si>
    <t>Oui</t>
  </si>
  <si>
    <t>1 texte par cellule</t>
  </si>
  <si>
    <t>Ex. : beurre de cacahuetes</t>
  </si>
  <si>
    <t>Lire / copier le résultat</t>
  </si>
  <si>
    <t>Colonnes D:E</t>
  </si>
  <si>
    <t>Coller en valeurs si le résultat est exporté ailleurs</t>
  </si>
  <si>
    <t>D = texte à coller ; E = allergènes détectés</t>
  </si>
  <si>
    <t>Ajouter un nouveau vocabulaire</t>
  </si>
  <si>
    <t>Colonnes vides entre BV et UI, lignes 11 à 15</t>
  </si>
  <si>
    <t>Oui, avec méthode</t>
  </si>
  <si>
    <t>Dernière ligne autorisée = 15 ; dernière colonne lue = UI</t>
  </si>
  <si>
    <t>Remplir les 5 lignes de la colonne</t>
  </si>
  <si>
    <t>Ajouter un mot dans une colonne déjà remplie</t>
  </si>
  <si>
    <t>BV:UI</t>
  </si>
  <si>
    <t>Non, pas comme 2e entrée</t>
  </si>
  <si>
    <t>1 colonne = 1 règle</t>
  </si>
  <si>
    <t>Non fiable</t>
  </si>
  <si>
    <t>Créer une nouvelle colonne vide</t>
  </si>
  <si>
    <t>Modifier un mot déjà présent</t>
  </si>
  <si>
    <t>Ligne 13 d'une colonne existante</t>
  </si>
  <si>
    <t>Oui, mais cela remplace la règle</t>
  </si>
  <si>
    <t>Garder la cohérence 11:15</t>
  </si>
  <si>
    <t>À réserver à la personne responsable du dictionnaire</t>
  </si>
  <si>
    <t>Écrire sous la ligne 15</t>
  </si>
  <si>
    <t>BV16:UI...</t>
  </si>
  <si>
    <t>Non</t>
  </si>
  <si>
    <t>Hors structure du dictionnaire</t>
  </si>
  <si>
    <t>Le moteur n'utilise pas ces lignes comme vocabulaire</t>
  </si>
  <si>
    <t>Ajouter après UI</t>
  </si>
  <si>
    <t>UJ et au-delà</t>
  </si>
  <si>
    <t>Hors zone lue</t>
  </si>
  <si>
    <t>Vocabulaire ignoré</t>
  </si>
  <si>
    <t>Utiliser RW:SO</t>
  </si>
  <si>
    <t>RW11:SO15</t>
  </si>
  <si>
    <t>19 colonnes vides disponibles</t>
  </si>
  <si>
    <t>Zone libre active</t>
  </si>
  <si>
    <t>Utiliser ST:TF</t>
  </si>
  <si>
    <t>ST11:TF15</t>
  </si>
  <si>
    <t>13 colonnes vides disponibles</t>
  </si>
  <si>
    <t>Texte trop long visuellement en B</t>
  </si>
  <si>
    <t>Colonne B</t>
  </si>
  <si>
    <t>La largeur n'est qu'un affichage</t>
  </si>
  <si>
    <t>Oui, contenu complet analysé</t>
  </si>
  <si>
    <t>Élargir la colonne si besoin pour le confort</t>
  </si>
  <si>
    <t>Comment ajouter proprement une nouvelle règle</t>
  </si>
  <si>
    <t>Ce qu'on renseigne</t>
  </si>
  <si>
    <t>Exemple 1</t>
  </si>
  <si>
    <t>Exemple 2</t>
  </si>
  <si>
    <t>Obligatoire ?</t>
  </si>
  <si>
    <t>Effet</t>
  </si>
  <si>
    <t>11</t>
  </si>
  <si>
    <t>Classe la règle dans la bonne famille allergène</t>
  </si>
  <si>
    <t>12</t>
  </si>
  <si>
    <t>Détermine le type de message renvoyé</t>
  </si>
  <si>
    <t>13</t>
  </si>
  <si>
    <t>Mot-clé / expression</t>
  </si>
  <si>
    <t>Texte que le moteur recherche</t>
  </si>
  <si>
    <t>14</t>
  </si>
  <si>
    <t>Rxxx</t>
  </si>
  <si>
    <t>Ryyy</t>
  </si>
  <si>
    <t>Identifiant unique de la règle</t>
  </si>
  <si>
    <t>15</t>
  </si>
  <si>
    <t>Trace l'origine de la règle</t>
  </si>
  <si>
    <t>Exemples de structure uniquement : ne pas dupliquer un code existant tel quel.</t>
  </si>
  <si>
    <t>Mémo court</t>
  </si>
  <si>
    <t>Le moteur lit tout le bloc BV:UI, même avec des colonnes vides intermédiaires.</t>
  </si>
  <si>
    <t>Une colonne vide = une place disponible. Une colonne remplie = 1 règle complète.</t>
  </si>
  <si>
    <t>Si vous ajoutez un mot, utilisez une colonne vide et remplissez les lignes 11 à 15.</t>
  </si>
  <si>
    <t>Sous la ligne 15, le nouveau vocabulaire n'est pas pris en compte.</t>
  </si>
  <si>
    <t>Si le texte dépasse visuellement en B, il est quand même analysé en entier.</t>
  </si>
  <si>
    <t>Capacité actuelle du fichier</t>
  </si>
  <si>
    <t>Zone active</t>
  </si>
  <si>
    <t>Règles remplies</t>
  </si>
  <si>
    <t>Colonnes libres</t>
  </si>
  <si>
    <t>Détail</t>
  </si>
  <si>
    <t>Consigne</t>
  </si>
  <si>
    <t>450</t>
  </si>
  <si>
    <t>32</t>
  </si>
  <si>
    <t>RW:SO = 19 ; ST:TF = 13</t>
  </si>
  <si>
    <t>Ne pas dépasser UI</t>
  </si>
  <si>
    <t>Ajouter les nouvelles règles dans les colonnes vides identifiées</t>
  </si>
  <si>
    <t>À retenir : pour les cuisiniers, seules la colonne B pour la saisie puis les colonnes D:E pour la copie sont utiles.</t>
  </si>
  <si>
    <t>Collage spécial valeurs dans la fiche</t>
  </si>
  <si>
    <t>⚠ Oeufs • ⚠ Soja • ⚠ Mollusques • info Lait</t>
  </si>
  <si>
    <t>Résultat E</t>
  </si>
  <si>
    <t>Copier D et E</t>
  </si>
  <si>
    <t>creme entiere;oeufs;huitre;farine de soja *</t>
  </si>
  <si>
    <t>Résultat D</t>
  </si>
  <si>
    <t>creme entiere;oeufs;huitre;farine de soja</t>
  </si>
  <si>
    <t>Saisie en B</t>
  </si>
  <si>
    <t>Résultat attendu</t>
  </si>
  <si>
    <t>EXEMPLE RAPIDE</t>
  </si>
  <si>
    <t>Le moteur aide au repérage des allergènes, mais ne remplace pas la lecture de la recette, de l'étiquetage et des fiches techniques. En cas de doute, faire contrôler avant utilisation.</t>
  </si>
  <si>
    <t>POINT D'ATTENTION</t>
  </si>
  <si>
    <t>• En cas de doute, vérifier avec la recette, la fiche technique fournisseur ou le responsable.</t>
  </si>
  <si>
    <t>• Ne pas toucher aux zones techniques, au dictionnaire ni au bloc de contrôle.</t>
  </si>
  <si>
    <t>• Ne modifier que la colonne B si vous n'êtes pas formé au moteur.</t>
  </si>
  <si>
    <t>• Utiliser de préférence les ingrédients séparés par des points-virgules.</t>
  </si>
  <si>
    <t>• Saisir 1 recette par ligne.</t>
  </si>
  <si>
    <t>RÈGLES À RESPECTER</t>
  </si>
  <si>
    <t>Exemple : ⚠ Arachides</t>
  </si>
  <si>
    <t>Copier cette cellule avec D</t>
  </si>
  <si>
    <t>Allergènes officiels détectés</t>
  </si>
  <si>
    <t>Si un * apparaît, il y a une alerte sur le produit</t>
  </si>
  <si>
    <t>Copier cette cellule avec E</t>
  </si>
  <si>
    <t>Texte retenu pour collage</t>
  </si>
  <si>
    <t>Écrire la recette ou les ingrédients</t>
  </si>
  <si>
    <t>Texte saisi par le cuisinier</t>
  </si>
  <si>
    <t>B</t>
  </si>
  <si>
    <t>Signification</t>
  </si>
  <si>
    <t>Colonne</t>
  </si>
  <si>
    <t>COMMENT LIRE LES RÉSULTATS</t>
  </si>
  <si>
    <t>Faire vérifier la recette avant diffusion</t>
  </si>
  <si>
    <t>Si un résultat paraît faux, incomplet ou surprenant, ne pas valider à l'aveugle.</t>
  </si>
  <si>
    <t>Traiter les doutes</t>
  </si>
  <si>
    <t>Ne pas coller avec les formules</t>
  </si>
  <si>
    <t>Dans votre fiche Excel, faire Collage spécial &gt; Valeurs (1.2.3).</t>
  </si>
  <si>
    <t>Coller dans la fiche recette</t>
  </si>
  <si>
    <t>Ne pas copier les autres colonnes</t>
  </si>
  <si>
    <t>Sélectionner uniquement les cellules D et E de la ligne traitée, puis copier.</t>
  </si>
  <si>
    <t>Copier les colonnes D:E</t>
  </si>
  <si>
    <t>Un * signale une alerte sur le produit</t>
  </si>
  <si>
    <t>Si D contient un * ou si E affiche un ou plusieurs allergènes, relire rapidement la ligne.</t>
  </si>
  <si>
    <t>Contrôler avant copie</t>
  </si>
  <si>
    <t>D = texte retenu avec * si alerte ; E = allergènes officiels détectés</t>
  </si>
  <si>
    <t>Le moteur remplit automatiquement les colonnes D et E de la même ligne.</t>
  </si>
  <si>
    <t>Attendre le résultat</t>
  </si>
  <si>
    <t>Exemple : creme entiere;oeufs;huitre;farine de soja</t>
  </si>
  <si>
    <t>Écrire la recette ou la liste d'ingrédients dans la colonne B, sur une ligne vide du tableau principal.</t>
  </si>
  <si>
    <t>Saisir la recette</t>
  </si>
  <si>
    <t>Repère utile</t>
  </si>
  <si>
    <t>Ce qu'il faut faire</t>
  </si>
  <si>
    <t>But : saisir la recette en colonne B du moteur, puis copier les colonnes D:E en collage spécial valeurs dans votre fiche recette.</t>
  </si>
  <si>
    <t>Auteur : Joel Leboucher • Rochefort sur Mer |  Date : 08 Avril 2026  |  heure : 14h30 |  Document réalisé avec l'aide de ChatGPT  |</t>
  </si>
  <si>
    <t>MODE D'EMPLOI - ALLERGÈNES POUR LES CUISINIERS</t>
  </si>
  <si>
    <t>Auteur : Joel Leboucher • Rochefort sur Mer |  Date : 203 Juin 2026  |  heure : 16h30 |  Document réalisé avec l'aide de ChatGPT 😊</t>
  </si>
  <si>
    <t>tocopherols mixtes naturels</t>
  </si>
  <si>
    <t>phytosterols</t>
  </si>
  <si>
    <t>esters de stanol vegetal</t>
  </si>
  <si>
    <t>esters de phytosterol</t>
  </si>
  <si>
    <t>ester de stanol vegetal</t>
  </si>
  <si>
    <t>acide behenique</t>
  </si>
  <si>
    <t>SUSP = doute à vérifier manuellement.</t>
  </si>
  <si>
    <t>INFO = contexte utile, pas alerte principale.</t>
  </si>
  <si>
    <t>EXCL = mot volontairement bloqué pour éviter une mauvaise détection.</t>
  </si>
  <si>
    <t>ALERTE = signal fort.</t>
  </si>
  <si>
    <t>À retenir</t>
  </si>
  <si>
    <t>contrôle humain conseillé</t>
  </si>
  <si>
    <t>mot générique qui évoque le lait sans certitude suffisante</t>
  </si>
  <si>
    <t>ne pas lire comme alerte automatique forte</t>
  </si>
  <si>
    <t>cas informatif/réglementaire du dictionnaire</t>
  </si>
  <si>
    <t>éviter un faux positif lait</t>
  </si>
  <si>
    <t>le mot beurre ne signifie pas ici produit laitier</t>
  </si>
  <si>
    <t>alerte arachides à retenir</t>
  </si>
  <si>
    <t>le terme désigne clairement l'arachide</t>
  </si>
  <si>
    <t>Conclusion pratique</t>
  </si>
  <si>
    <t>Pourquoi</t>
  </si>
  <si>
    <t>Statut lu</t>
  </si>
  <si>
    <t>Exemples de lecture rapide</t>
  </si>
  <si>
    <t>Vérifier la recette ou la fiche produit avant de conclure.</t>
  </si>
  <si>
    <t>farine ; semoule ; creme legere</t>
  </si>
  <si>
    <t>Le moteur remonte une suspicion à contrôler manuellement.</t>
  </si>
  <si>
    <t>Indice faible ou mot générique qui mérite une vérification.</t>
  </si>
  <si>
    <t>Lire comme information utile, pas comme preuve directe.</t>
  </si>
  <si>
    <t>sirop de glucose de ble ; noix de coco ; huile de soja entierement raffinee</t>
  </si>
  <si>
    <t>Le moteur garde l'information sans la traiter comme une alerte forte.</t>
  </si>
  <si>
    <t>Mention informative, réglementaire ou dérivé traité à part.</t>
  </si>
  <si>
    <t>Ne pas conclure à l'allergène sur ce mot seul.</t>
  </si>
  <si>
    <t>beurre de cacao ; noix de saint jacques ; moule silicone</t>
  </si>
  <si>
    <t>Le moteur neutralise une confusion possible avec un autre terme.</t>
  </si>
  <si>
    <t>Mot à exclure pour éviter un faux positif.</t>
  </si>
  <si>
    <t>Considérer l'allergène comme présent, sauf correction métier.</t>
  </si>
  <si>
    <t>arachide ; beurre de cacahuete ; huile d arachide</t>
  </si>
  <si>
    <t>Le moteur remonte une alerte franche. C'est le statut le plus direct.</t>
  </si>
  <si>
    <t>Mot explicite ou expression fortement liée à un allergène.</t>
  </si>
  <si>
    <t>Lecture à faire</t>
  </si>
  <si>
    <t>Exemples issus du fichier</t>
  </si>
  <si>
    <t>Effet dans le moteur</t>
  </si>
  <si>
    <t>Sens opérationnel</t>
  </si>
  <si>
    <t>Différences entre les 4 statuts</t>
  </si>
  <si>
    <t>SUSP (15)</t>
  </si>
  <si>
    <t>INFO (38)</t>
  </si>
  <si>
    <t>EXCL (130)</t>
  </si>
  <si>
    <t>ALERTE (267)</t>
  </si>
  <si>
    <t>Extraction de la zone active BV:UI du dictionnaire. Chaque mot ci-dessous correspond à une règle déjà présente dans le moteur.</t>
  </si>
  <si>
    <t>Vocabulaire du moteur.1 classé par statut</t>
  </si>
  <si>
    <t>Fonctionnement du moteur allergènes</t>
  </si>
  <si>
    <t>Guide pédagogique pour le formateur : logique du moteur, zones à protéger et limites à respecter.</t>
  </si>
  <si>
    <t>1. Saisie
Le formateur saisit son texte dans la colonne B du moteur.
Exemple : beurre de cacahuetes.</t>
  </si>
  <si>
    <t>2. Préparation automatique
Le moteur convertit le texte en minuscules, gère les accents/la ponctuation et prépare un texte de comparaison.</t>
  </si>
  <si>
    <t>3. Comparaison + résultat
Le moteur compare le texte au dictionnaire BV:UI puis renvoie :
• D = texte à coller
• E = allergènes détectés</t>
  </si>
  <si>
    <t>Vue simplifiée : zone utilisée par le formateur</t>
  </si>
  <si>
    <t>Vue simplifiée : dictionnaire technique lu par le moteur</t>
  </si>
  <si>
    <t>Colonne B - saisie</t>
  </si>
  <si>
    <t>Colonne D - texte à coller</t>
  </si>
  <si>
    <t>Colonne E - résultat</t>
  </si>
  <si>
    <t>Lecture pédagogique</t>
  </si>
  <si>
    <t>Exemple BV</t>
  </si>
  <si>
    <t>Exemple BW</t>
  </si>
  <si>
    <t>Exemple BX</t>
  </si>
  <si>
    <t>Rôle de la ligne</t>
  </si>
  <si>
    <t>17</t>
  </si>
  <si>
    <t>beurre de cacahuete *</t>
  </si>
  <si>
    <t>⚠ Arachides</t>
  </si>
  <si>
    <t>Le mot saisi déclenche une alerte.</t>
  </si>
  <si>
    <t>18</t>
  </si>
  <si>
    <t>beurre de macadamia *</t>
  </si>
  <si>
    <t>⚠ Fruits a coque</t>
  </si>
  <si>
    <t>Même logique sur une autre règle.</t>
  </si>
  <si>
    <t>Statut : ALERTE / EXCL / INFO / SUSP</t>
  </si>
  <si>
    <t>Repère</t>
  </si>
  <si>
    <t>Le formateur agit ici.</t>
  </si>
  <si>
    <t>Sortie à copier.</t>
  </si>
  <si>
    <t>Résultat à lire.</t>
  </si>
  <si>
    <t>D et E sont les sorties utiles.</t>
  </si>
  <si>
    <t>Mot-clé ou expression recherchée</t>
  </si>
  <si>
    <t>Code unique de la règle</t>
  </si>
  <si>
    <t>Source de la règle</t>
  </si>
  <si>
    <t>Ce qu'il ne faut pas toucher</t>
  </si>
  <si>
    <t>Zone</t>
  </si>
  <si>
    <t>Risque si modifiée</t>
  </si>
  <si>
    <t>Colonnes K:UI du moteur</t>
  </si>
  <si>
    <t>Calculs intermédiaires, compteurs et synthèses.</t>
  </si>
  <si>
    <t>Ne pas modifier.</t>
  </si>
  <si>
    <t>Résultats faux, incomplets ou cassés.</t>
  </si>
  <si>
    <t>Lignes 11 à 15 du dictionnaire</t>
  </si>
  <si>
    <t>Structure fixe : famille / statut / mot / code / source.</t>
  </si>
  <si>
    <t>Ne pas insérer de ligne et ne pas changer le sens des lignes.</t>
  </si>
  <si>
    <t>Décalage des règles et perte de cohérence.</t>
  </si>
  <si>
    <t>Colonnes au-delà de UI</t>
  </si>
  <si>
    <t>Hors zone lue par le moteur actuel.</t>
  </si>
  <si>
    <t>Ne rien ajouter après UI.</t>
  </si>
  <si>
    <t>Le vocabulaire ajouté ne sera pas lu.</t>
  </si>
  <si>
    <t>Colonnes vides RW:SO et ST:TF</t>
  </si>
  <si>
    <t>Emplacements libres dans la zone active BV:UI.</t>
  </si>
  <si>
    <t>Les utiliser seulement en remplissant les 5 lignes 11:15.</t>
  </si>
  <si>
    <t>Une colonne remplie partiellement donne une règle incomplète.</t>
  </si>
  <si>
    <t>Colonnes déjà remplies BV:UI</t>
  </si>
  <si>
    <t>1 colonne = 1 règle.</t>
  </si>
  <si>
    <t>Pour un nouveau mot, prendre une nouvelle colonne vide.</t>
  </si>
  <si>
    <t>Ajouter un 2e mot dans la même colonne brouille ou remplace la règle.</t>
  </si>
  <si>
    <t>Questions fréquentes</t>
  </si>
  <si>
    <t>Réponse</t>
  </si>
  <si>
    <t>Décision pratique</t>
  </si>
  <si>
    <t>Si le texte dépasse visuellement la largeur de la colonne B, est-il analysé ?</t>
  </si>
  <si>
    <t>Oui. Le moteur lit le contenu complet de la cellule B. La largeur de colonne ne change que l'affichage.</t>
  </si>
  <si>
    <t>Élargir la colonne ou activer le retour à la ligne pour le confort, pas pour le calcul.</t>
  </si>
  <si>
    <t>Peut-on ajouter du vocabulaire complémentaire dans une colonne déjà remplie ?</t>
  </si>
  <si>
    <t>Non, pas comme 2e entrée indépendante. Une colonne correspond à une seule règle complète.</t>
  </si>
  <si>
    <t>Pour un nouveau mot, utiliser une nouvelle colonne vide entre BV et UI.</t>
  </si>
  <si>
    <t>Les mots ajoutés sont-ils pris en compte automatiquement ?</t>
  </si>
  <si>
    <t>Oui, si la nouvelle règle est créée dans une colonne vide de BV:UI et si les lignes 11 à 15 sont toutes renseignées correctement.</t>
  </si>
  <si>
    <t>Si la saisie est sous la ligne 15 ou après UI, le moteur ne la prendra pas en compte.</t>
  </si>
  <si>
    <t>Pourquoi RW:SO est vide ?</t>
  </si>
  <si>
    <t>Ce sont 19 emplacements libres à l'intérieur de la zone active. Le moteur continue pourtant après ce trou, car des règles existent encore en SP:SS puis en TG:UI.</t>
  </si>
  <si>
    <t>On peut s'en servir, mais seulement en respectant la structure 11:15.</t>
  </si>
  <si>
    <t>Quelle est la ligne maximum pour saisir du vocabulaire du dictionnaire ?</t>
  </si>
  <si>
    <t>La dernière ligne utile du dictionnaire est la ligne 15. Les lignes en dessous ne servent pas à ajouter des mots-clés.</t>
  </si>
  <si>
    <t>Ne pas écrire de nouveau vocabulaire sous la ligne 15.</t>
  </si>
  <si>
    <t>Capacité constatée dans ce fichier</t>
  </si>
  <si>
    <t>Zone active lue par le moteur</t>
  </si>
  <si>
    <t>RW:SO = 19 ; ST:TF = 13 ; dernière colonne lue = UI</t>
  </si>
  <si>
    <t>Lecture réelle</t>
  </si>
  <si>
    <t>Le moteur lit tout le bloc BV:UI, même s'il contient des colonnes vides intermédiaires.</t>
  </si>
  <si>
    <t>Support retravaillé – version pédagogique CFA à destination des formateurs</t>
  </si>
  <si>
    <t>SUPPORT CFA — VERSION VISUELLE
Prête à imprimer • prête à projeter • utilisable en animation</t>
  </si>
  <si>
    <t>SUPPORT CFA — FICHE-MÉMO TERRAIN</t>
  </si>
  <si>
    <t>https://www.food.gov.uk/safety-hygiene/handling-flour-and-flour-products-safely</t>
  </si>
  <si>
    <t>Objectif : proposer une version exploitable en séance, plus structurée, plus pédagogique pour un CFA et rédigée dans un registre professionnel pour les formateurs.</t>
  </si>
  <si>
    <t>Usage recommandé : projection en salle + impression support formateur. Les contenus ont été resserrés pour une lecture immédiate.</t>
  </si>
  <si>
    <t>Version ultra synthétique : lisible de loin, utile en séance, exploitable en atelier, en projection ou à l’impression</t>
  </si>
  <si>
    <t>Onglets sources</t>
  </si>
  <si>
    <t>Allergènes étiquetage</t>
  </si>
  <si>
    <t>Farine.manipulation</t>
  </si>
  <si>
    <t>Sources web</t>
  </si>
  <si>
    <t>Public visé</t>
  </si>
  <si>
    <t>Apprentis CFA</t>
  </si>
  <si>
    <t>Positionnement</t>
  </si>
  <si>
    <t>Pédagogique + professionnel</t>
  </si>
  <si>
    <t>Sources</t>
  </si>
  <si>
    <t>Onglets d'origine + food.gov.uk</t>
  </si>
  <si>
    <t>1. ÉTIQUETAGE DES ALLERGÈNES — LES RÉFLEXES À TRANSMETTRE</t>
  </si>
  <si>
    <t>Usage conseillé</t>
  </si>
  <si>
    <t>Support formateur</t>
  </si>
  <si>
    <t>food.gov.uk - allergènes ; food.gov.uk - farine</t>
  </si>
  <si>
    <t>Finalité</t>
  </si>
  <si>
    <t>Faire comprendre l'obligation d'information et les gestes sûrs</t>
  </si>
  <si>
    <t>Attendu formateur</t>
  </si>
  <si>
    <t>Expliquer, justifier, faire reformuler</t>
  </si>
  <si>
    <t>Classeur conservé tel quel</t>
  </si>
  <si>
    <t>1
REPÉRER
L’allergène dans la recette,
la fiche technique et
les matières premières</t>
  </si>
  <si>
    <t>2
NOMMER
Le nom clair de
l’allergène : blé, lait,
œuf, soja, céleri…</t>
  </si>
  <si>
    <t>3
METTRE EN ÉVIDENCE
Gras, MAJUSCULES,
soulignement ou
contraste net</t>
  </si>
  <si>
    <t>1. Étiquetage des allergènes – trame pédagogique pour formateurs CFA</t>
  </si>
  <si>
    <t>1. ÉTIQUETAGE DES ALLERGÈNES</t>
  </si>
  <si>
    <t>Aider les apprentis à identifier les obligations d’étiquetage, à comprendre pourquoi la mise en évidence des allergènes est une exigence sanitaire et à adopter un vocabulaire précis dans leurs pratiques professionnelles.</t>
  </si>
  <si>
    <t>À transmettre aux apprentis</t>
  </si>
  <si>
    <t>Repères formateur</t>
  </si>
  <si>
    <t>À faire passer en séance</t>
  </si>
  <si>
    <t>L’allergène doit être clairement identifiable dans la liste des ingrédients. Sa présence ne relève pas d’une information secondaire : elle constitue une obligation réglementaire et une exigence de protection du consommateur.</t>
  </si>
  <si>
    <t>• L’allergène doit être nommé clairement.
• Il doit ressortir visuellement dans la liste des ingrédients.
• Une formulation vague n’est pas acceptable.
• Il faut vérifier aussi les ingrédients dérivés.
• L’étiquette doit correspondre à la recette réelle.</t>
  </si>
  <si>
    <t>Points à rappeler :
• obligation d’information du consommateur
• lisibilité et absence d’ambiguïté
• distinction entre allergène déclaré, trace potentielle et information volontaire
• contrôle à partir des recettes, fiches techniques et matières premières</t>
  </si>
  <si>
    <t>Points réglementaires à rappeler</t>
  </si>
  <si>
    <t>S’appuyer sur les articles mentionnés dans l’onglet source : article 9 (informations obligatoires), article 13 (présentation des indications obligatoires), article 19 (cas sans liste d’ingrédients), article 21 (substances ou produits provoquant des allergies ou intolérances), article 36 (informations volontaires).</t>
  </si>
  <si>
    <t>Repères concrets pour les apprentis</t>
  </si>
  <si>
    <t>Toujours nommer l’allergène de manière explicite ; faire ressortir l’allergène dans la liste des ingrédients ; vérifier les dénominations spécifiques lorsqu’un ingrédient dérive d’une céréale contenant du gluten, de fruits à coque, de lait, d’œufs, de poissons, de crustacés, d’arachides, de soja ou de céleri.</t>
  </si>
  <si>
    <t>CE QU’IL FAUT FAIRE
• Vérifier l’étiquette à partir de la recette réelle.
• Faire ressortir l’allergène immédiatement.
• Utiliser un vocabulaire exact et compréhensible.
• Distinguer obligation, trace potentielle et information volontaire.
• Contrôler la lisibilité en situation réelle.</t>
  </si>
  <si>
    <t>CE QU’IL FAUT REFUSER / CORRIGER
• Nom trop technique ou formulation floue.
• Allergène noyé dans le texte.
• Mention de précaution utilisée par facilité.
• Étiquette validée sans contrôle des ingrédients.
• Présentation peu lisible ou ambiguë.</t>
  </si>
  <si>
    <t>Exemples pédagogiques utiles</t>
  </si>
  <si>
    <t>Comparer plusieurs étiquettes en atelier ; demander aux apprentis de repérer les allergènes visibles et les formulations imprécises ; faire reformuler une étiquette non conforme en version correcte et lisible.</t>
  </si>
  <si>
    <t>Vigilances formateur</t>
  </si>
  <si>
    <t>Insister sur la lisibilité, l’exactitude du terme employé et l’absence d’ambiguïté. Faire distinguer allergène, trace potentielle et information volontaire. Écarter les formulations floues ou commerciales.</t>
  </si>
  <si>
    <t>Message professionnel attendu</t>
  </si>
  <si>
    <t>En production comme en vente, une information allergène incomplète ou mal mise en évidence peut exposer le consommateur à un risque sérieux. La conformité documentaire participe directement à la sécurité alimentaire.</t>
  </si>
  <si>
    <t>Synthèse à retenir</t>
  </si>
  <si>
    <t>Un étiquetage conforme doit être exact, visible, compréhensible et cohérent avec la composition réelle du produit.</t>
  </si>
  <si>
    <t>Phrase à projeter : « Un étiquetage allergène conforme doit être exact, visible, compréhensible et cohérent avec la composition réelle du produit. »</t>
  </si>
  <si>
    <t>Messages clés à transmettre aux apprentis</t>
  </si>
  <si>
    <t>2. FARINE CRUE — LES RÉFLEXES D’ATELIER À FAIRE APPLIQUER</t>
  </si>
  <si>
    <t>Identifier l’allergène</t>
  </si>
  <si>
    <t>Nommer précisément la substance ou le produit concerné.</t>
  </si>
  <si>
    <t>Mettre en évidence</t>
  </si>
  <si>
    <t>Faire ressortir l’allergène dans la liste des ingrédients pour faciliter la lecture.</t>
  </si>
  <si>
    <t>2. MANIPULATION DE LA FARINE CRUE</t>
  </si>
  <si>
    <t>1
RAPPELER
La farine crue n’est
pas un produit prêt
à consommer</t>
  </si>
  <si>
    <t>2
INTERDIRE
Pas de dégustation de
pâte crue, sauf mention
expresse « prêt à consommer »</t>
  </si>
  <si>
    <t>3
SÉCURISER
Cuisson suffisante,
hygiène des mains,
nettoyage et prévention
des contaminations croisées</t>
  </si>
  <si>
    <t>Éviter les approximations</t>
  </si>
  <si>
    <t>Ne pas remplacer l’information réglementaire par une formulation vague.</t>
  </si>
  <si>
    <t>Messages simples à retenir</t>
  </si>
  <si>
    <t>Conduite attendue du formateur</t>
  </si>
  <si>
    <t>Vérifier les dérivés</t>
  </si>
  <si>
    <t>Tenir compte des ingrédients issus d’allergènes majeurs, notamment les céréales contenant du gluten et les fruits à coque.</t>
  </si>
  <si>
    <t>• La farine crue n’est pas un produit prêt à consommer.
• On ne goûte pas une pâte crue, sauf mention explicite « prêt à consommer ».
• La cuisson sécurise l’usage prévu.
• Les mains, surfaces et ustensiles doivent être nettoyés après manipulation.
• Il faut éviter la dispersion et la contamination croisée.</t>
  </si>
  <si>
    <t>Discours attendu :
• expliquer le risque microbiologique sans dramatiser
• justifier les gestes professionnels attendus
• insister sur les publics plus sensibles
• relier immédiatement le message aux 4C de l’hygiène et aux pratiques d’atelier</t>
  </si>
  <si>
    <t>Relier théorie et pratique</t>
  </si>
  <si>
    <t>Contrôler l’étiquette à partir de la recette, des fiches techniques et des matières premières.</t>
  </si>
  <si>
    <t>RÉFLEXES TERRAIN
• Faire le lien avec le risque microbiologique, sans dramatiser.
• Fermer les contenants pour éviter la dispersion de farine.
• Laver mains, bols, ustensiles et surfaces après manipulation.
• Suivre les consignes fabricant pour stockage, cuisson et usage.
• Insister sur les publics plus sensibles.</t>
  </si>
  <si>
    <t>ERREURS À ÉVITER
• Banaliser la pâte crue ou faire goûter « pour tester ».
• Oublier le nettoyage après atelier.
• Laisser la farine se disperser près d’autres denrées.
• Confondre produit cru et produit prêt à manger.
• Donner une consigne sans justification professionnelle.</t>
  </si>
  <si>
    <t>2. Manipulation de la farine – version formateur plus professionnelle</t>
  </si>
  <si>
    <t>Encadrer la manipulation de la farine et des produits à base de farine avec un discours clair, crédible et professionnel, centré sur le risque microbiologique, les bonnes pratiques d’hygiène et la prévention des contaminations croisées.</t>
  </si>
  <si>
    <t>Idée centrale</t>
  </si>
  <si>
    <t>La farine crue n’est pas un produit prêt à consommer. Elle peut contenir des bactéries pathogènes ; seule une cuisson suffisante permet de sécuriser sa consommation dans les conditions prévues.</t>
  </si>
  <si>
    <t>Consigne essentielle</t>
  </si>
  <si>
    <t>Ne pas faire goûter de pâte crue, de pâte à biscuits, de pâte à pizza, de pâte à gâteau ou tout autre mélange non cuit, sauf si le produit est explicitement indiqué comme prêt à consommer.</t>
  </si>
  <si>
    <t>Formulation de référence : « En CFA, on ne banalise jamais la farine crue. Le bon réflexe professionnel est simple : pas de consommation crue, cuisson suffisante, hygiène rigoureuse et prévention des contaminations croisées. »</t>
  </si>
  <si>
    <t>Bonnes pratiques à transmettre</t>
  </si>
  <si>
    <t>Stocker les mélanges dans un contenant fermé ; suivre les instructions du fabricant ; se laver les mains avant et après manipulation ; nettoyer et, si besoin, désinfecter les surfaces, ustensiles et contenants.</t>
  </si>
  <si>
    <t>Publics plus sensibles</t>
  </si>
  <si>
    <t>Renforcer la vigilance pour les jeunes enfants, les personnes âgées et les personnes immunodéprimées. Le discours formateur doit faire comprendre que le risque est faible mais réel, et qu’il se maîtrise par des gestes simples et constants.</t>
  </si>
  <si>
    <t>RÈGLE D’OR
En CFA, le bon réflexe professionnel est double : information allergènes exacte et visible ; manipulation de la farine crue avec cuisson suffisante, hygiène rigoureuse et prévention des contaminations croisées.</t>
  </si>
  <si>
    <t>Point de méthode</t>
  </si>
  <si>
    <t>La chauffe de la farine à domicile peut réduire le risque, mais ne constitue pas une garantie absolue. En contexte pédagogique, il est préférable de transmettre une règle simple : la consommation crue n’est pas la référence de sécurité.</t>
  </si>
  <si>
    <t>3. DÉROULÉ COURT D’ANIMATION EN SÉANCE</t>
  </si>
  <si>
    <t>Applications CFA</t>
  </si>
  <si>
    <t>En cuisine, pâtisserie, snacking ou animation d’ateliers, faire relier les apprentis aux 4C de l’hygiène : cuire, nettoyer, refroidir, éviter la contamination croisée.</t>
  </si>
  <si>
    <t>Consigne / formulation attendue</t>
  </si>
  <si>
    <t>Usage hors alimentation</t>
  </si>
  <si>
    <t>Pour les activités d’artisanat ou de jeu utilisant de la farine non destinée à être consommée, intégrer une logique d’évaluation des risques, en particulier lorsqu’il s’agit d’enfants ou de publics vulnérables.</t>
  </si>
  <si>
    <t>Observer</t>
  </si>
  <si>
    <t>Faire repérer ce qui est conforme et ce qui ne l’est pas sur une étiquette ou une consigne d’atelier.</t>
  </si>
  <si>
    <t>Le formateur ne se limite pas à une consigne d’hygiène : il explique le risque, justifie les gestes attendus et vérifie leur application en situation réelle.</t>
  </si>
  <si>
    <t>Analyser</t>
  </si>
  <si>
    <t>Faire justifier avec le vocabulaire professionnel : allergène, mise en évidence, conformité, contamination croisée, cuisson suffisante.</t>
  </si>
  <si>
    <t>Sources : onglets « Allergènes étiquetage » et « Farine.manipulation » + Food Standards Agency (liens conservés dans le classeur)</t>
  </si>
  <si>
    <t>Avec la farine crue, la prévention repose sur trois axes : ne pas consommer cru, limiter la dispersion et la contamination, appliquer rigoureusement les règles d’hygiène.</t>
  </si>
  <si>
    <t>Reformuler</t>
  </si>
  <si>
    <t>Demander une reformulation en français professionnel, claire pour un client, un collègue ou un apprenti.</t>
  </si>
  <si>
    <t>https://www.food.gov.uk/business-guidance/food-allergen-labelling-and-information-requirements-technical-guidance-part-1-guidance-for-businesses-providing-prepacked-food
https://www.food.gov.uk/safety-hygiene/handling-flour-and-flour-products-safely</t>
  </si>
  <si>
    <t>Transférer</t>
  </si>
  <si>
    <t>Relier immédiatement le point vu à une situation réelle de production, vente ou animation d’atelier.</t>
  </si>
  <si>
    <t>Script formateur prêt à l’emploi</t>
  </si>
  <si>
    <t>« En CFA, nous ne présentons jamais la farine crue comme un produit anodin. Même si les cas restent rares, le risque microbiologique existe. La règle professionnelle est simple : on ne goûte pas une pâte crue sauf indication explicite “prêt à consommer”. On sécurise par la cuisson, l’hygiène des mains, le nettoyage des surfaces et la prévention des contaminations croisées. »</t>
  </si>
  <si>
    <t>Mots-clés professionnels à faire employer</t>
  </si>
  <si>
    <t>Sources et traçabilité</t>
  </si>
  <si>
    <t>allergène • mise en évidence • conformité • lisibilité • recette réelle •
farine crue • cuisson suffisante • hygiène des mains • nettoyage • contamination croisée</t>
  </si>
  <si>
    <t>Onglets du classeur : « Allergènes étiquetage » et « Farine.manipulation »
https://www.food.gov.uk/business-guidance/food-allergen-labelling-and-information-requirements-technical-guidance-part-1-guidance-for-businesses-providing-prepacked-food
https://www.food.gov.uk/safety-hygiene/handling-flour-and-flour-products-safely</t>
  </si>
  <si>
    <t>3. Exploitation pédagogique en séance</t>
  </si>
  <si>
    <t>Exploitation en CFA</t>
  </si>
  <si>
    <t>Version visuelle ajoutée pour impression et projection. Les textes détaillés restent disponibles dans l’onglet « Version CFA Formateurs ».</t>
  </si>
  <si>
    <t>Distribuer une ou plusieurs étiquettes et faire repérer les allergènes, les formulations insuffisantes et les points de vigilance.</t>
  </si>
  <si>
    <t>Faire justifier les réponses avec le vocabulaire professionnel attendu : allergène, mise en évidence, conformité, contamination croisée, cuisson suffisante.</t>
  </si>
  <si>
    <t>Demander aux apprentis de réécrire une consigne ou une information produit dans un français professionnel, clair et exploitable par un client ou un collègue.</t>
  </si>
  <si>
    <t>Relier les savoirs à une situation réelle de production, de vente ou d’animation d’atelier.</t>
  </si>
  <si>
    <t>Remarque : le contenu a été reformulé pour un usage pédagogique et professionnel en CFA.</t>
  </si>
  <si>
    <t>ÉTIQUETAGE DES ALLERGÈNES ALIMENTAIRES</t>
  </si>
  <si>
    <t>ÉTIQUETAGE DES ALLERGÈNES – FICHE-MÉMO TERRAIN</t>
  </si>
  <si>
    <t>ÉTIQUETAGE ALLERGÈNES – VERSION VISUELLE</t>
  </si>
  <si>
    <t>Version retravaillée pour usage CFA : lecture pédagogique pour les apprentis + repères professionnels pour les formateurs</t>
  </si>
  <si>
    <t>Version ultra synthétique : lisible de loin, utile en séance, exploitable sur le terrain</t>
  </si>
  <si>
    <t>Support prêt à projeter ou à imprimer : lecture rapide, gros messages, structure visible à distance</t>
  </si>
  <si>
    <t>1. Synthèse opérationnelle</t>
  </si>
  <si>
    <t>LES 5 RÉFLEXES À AVOIR AVANT DE VALIDER UNE ÉTIQUETTE</t>
  </si>
  <si>
    <t>LES 5 RÉFLEXES À ANCRER</t>
  </si>
  <si>
    <t>POUR LES APPRENTIS (CFA)</t>
  </si>
  <si>
    <t>POUR LES FORMATEURS</t>
  </si>
  <si>
    <t>1
IDENTIFIER
l'allergène dans la recette</t>
  </si>
  <si>
    <t>2
NOMMER
clairement l'allergène</t>
  </si>
  <si>
    <t>3
METTRE EN ÉVIDENCE
le mot allergène</t>
  </si>
  <si>
    <t>4
VÉRIFIER
visibilité et lisibilité</t>
  </si>
  <si>
    <t>5
INFORMER
avant achat et à la livraison</t>
  </si>
  <si>
    <t>Objectif : savoir lire, rédiger et vérifier un étiquetage allergènes sans ambiguïté.
À retenir :
• un allergène doit être identifié clairement
• il doit être mentionné dans la liste des ingrédients ou signalé par une mention adaptée si la liste n'existe pas
• l'information doit être visible, lisible et mise en évidence
• une mention de précaution ne remplace jamais la maîtrise du risque
• la vente à distance doit aussi donner l'information allergènes avant l'achat</t>
  </si>
  <si>
    <t>Angle professionnel : relier la règle à des situations réelles de production, d'étiquetage et de vente.
Points d'appui :
• distinguer information obligatoire / volontaire / précautionnelle
• faire travailler les apprenants sur des cas d'étiquettes conformes et non conformes
• insister sur la clarté du nom de l'allergène et sur sa mise en évidence
• rappeler que la conformité documentaire protège le consommateur et l'entreprise</t>
  </si>
  <si>
    <t>1
REPÉRER
L'allergène dans la recette
ou la fiche technique</t>
  </si>
  <si>
    <t>2
NOMMER
Le nom clair de l'allergène
sans formule floue</t>
  </si>
  <si>
    <t>3
METTRE EN ÉVIDENCE
Gras, MAJUSCULES,
soulignement ou contraste net</t>
  </si>
  <si>
    <t>4
VÉRIFIER
Lisibilité, emplacement,
taille et contraste</t>
  </si>
  <si>
    <t>5
INFORMER
Avant l'achat
et à la livraison</t>
  </si>
  <si>
    <t>À DIRE AUX APPRENTIS</t>
  </si>
  <si>
    <t>POINTS DE CONDUITE FORMATEUR</t>
  </si>
  <si>
    <t>• Un allergène doit se voir tout de suite.
• Le consommateur ne doit pas deviner.
• « Peut contenir » n'est pas une formule automatique.
• Une étiquette correcte protège la santé du client.
• En vente à distance, l'information arrive avant l'achat.</t>
  </si>
  <si>
    <t>• Faire comparer des étiquettes conformes / non conformes.
• Exiger une justification : pourquoi ce mot est-il l'allergène ?
• Distinguer obligation, allégation volontaire et précaution.
• Vérifier que le support reste lisible en situation réelle.
• Relier l'étiquetage au process et au risque de contamination croisée.</t>
  </si>
  <si>
    <t>CE QU'IL FAUT ÉCRIRE / MONTRER</t>
  </si>
  <si>
    <t>CE QU'IL FAUT REFUSER / CORRIGER</t>
  </si>
  <si>
    <t>2. Les points à transmettre absolument</t>
  </si>
  <si>
    <t>• « Contient : … » si la liste d’ingrédients n’existe pas.
• Le mot allergène doit ressortir immédiatement.
• Le consommateur doit comprendre sans interpréter.
• L’étiquette doit rester lisible en situation réelle.
• En vente à distance : information allergènes avant achat.</t>
  </si>
  <si>
    <t>• Cacher l’allergène sous un nom trop technique.
• Utiliser « peut contenir » par confort.
• Écrire trop petit ou sans contraste.
• Mélanger obligation, précaution et argument commercial.
• Valider une étiquette sans vérifier la recette réelle.</t>
  </si>
  <si>
    <t>Point clé</t>
  </si>
  <si>
    <t>Version CFA</t>
  </si>
  <si>
    <t>Repère formateur</t>
  </si>
  <si>
    <t>Allergènes concernés</t>
  </si>
  <si>
    <t>Connaître les 14 allergènes majeurs et repérer leur présence dans une recette, une fiche technique ou une étiquette.</t>
  </si>
  <si>
    <t>Faire verbaliser le lien entre recette, matière première et libellé d'étiquette. Revenir sur les cas où le nom commercial masque l'allergène.</t>
  </si>
  <si>
    <t>Où l'information apparaît</t>
  </si>
  <si>
    <t>L'allergène doit être indiqué dans la liste des ingrédients. S'il n'y a pas de liste, on utilise une mention explicite du type « Contient : ... ».</t>
  </si>
  <si>
    <t>Travailler les deux cas : produit avec liste d'ingrédients / produit sans liste d'ingrédients.</t>
  </si>
  <si>
    <t>Mise en évidence</t>
  </si>
  <si>
    <t>L'allergène doit ressortir visuellement : gras, MAJUSCULES, soulignement ou autre accent clairement visible.</t>
  </si>
  <si>
    <t>Exiger une logique constante dans le choix typographique. Le mode d'accent peut varier, mais il doit rester lisible et non ambigu.</t>
  </si>
  <si>
    <t>LES 14 ALLERGÈNES MAJEURS</t>
  </si>
  <si>
    <t>Lisibilité</t>
  </si>
  <si>
    <t>Une bonne information allergènes doit être visible, lisible, compréhensible et placée là où le consommateur la voit facilement.</t>
  </si>
  <si>
    <t>Faire contrôler la taille de police, le contraste, la densité du texte et la facilité de lecture pour tous les publics.</t>
  </si>
  <si>
    <t>Mentions de précaution</t>
  </si>
  <si>
    <t>Des formules comme « peut contenir ... » s'utilisent avec prudence. Elles n'ont de sens que si un risque résiduel existe réellement.</t>
  </si>
  <si>
    <t>Insister sur un point central : la mention de précaution ne doit pas servir de solution de confort à une mauvaise maîtrise du process.</t>
  </si>
  <si>
    <t>LES 14 ALLERGÈNES À CONNAÎTRE</t>
  </si>
  <si>
    <t>Informations volontaires</t>
  </si>
  <si>
    <t>Une mention volontaire comme « sans gluten » doit respecter les règles applicables ; elle ne se rédige pas librement.</t>
  </si>
  <si>
    <t>Distinguer clairement allégation réglementée, argument commercial et information utile au consommateur.</t>
  </si>
  <si>
    <t>Astuce terrain
Toujours relier :
recette
→ ingrédient
→ libellé
→ support vendu</t>
  </si>
  <si>
    <t>Vente à distance</t>
  </si>
  <si>
    <t>L'information allergènes doit être disponible avant la conclusion de l'achat puis confirmée au moment de la livraison.</t>
  </si>
  <si>
    <t>Faire le lien avec site internet, click &amp; collect, livraison et support commercial à distance.</t>
  </si>
  <si>
    <t>3. Les 14 allergènes à connaître</t>
  </si>
  <si>
    <t>Masquer l'allergène
sous un nom flou
ou trop technique</t>
  </si>
  <si>
    <t>Utiliser « peut contenir »
à la place d'une vraie maîtrise
ou d'une vraie analyse du risque</t>
  </si>
  <si>
    <t>Laisser une information
illisible, trop petite
ou mal placée</t>
  </si>
  <si>
    <t>5. Arachides / cacahuètes</t>
  </si>
  <si>
    <t>11. Sésame</t>
  </si>
  <si>
    <t>12. Sulfites &gt; 10 mg/kg ou 10 mg/L</t>
  </si>
  <si>
    <t>SOURCE</t>
  </si>
  <si>
    <t>Food Standards Agency – guidance allergènes, document source présent dans le classeur d'origine</t>
  </si>
  <si>
    <t>4. Déroulé conseillé en CFA (séance courte)</t>
  </si>
  <si>
    <t>https://www.food.gov.uk/business-guidance/food-allergen-labelling-and-information-requirements-technical-guidance-part-1-guidance-for-businesses-providing-prepacked-food</t>
  </si>
  <si>
    <t>Durée</t>
  </si>
  <si>
    <t>Méthode</t>
  </si>
  <si>
    <t>Trace attendue</t>
  </si>
  <si>
    <t>RÈGLE D’OR
Une mention de précaution ne remplace jamais la maîtrise du risque ni une information obligatoire correcte.</t>
  </si>
  <si>
    <t>10 min</t>
  </si>
  <si>
    <t>Accroche</t>
  </si>
  <si>
    <t>Faire émerger les risques</t>
  </si>
  <si>
    <t>Lecture rapide de 2 étiquettes contrastées</t>
  </si>
  <si>
    <t>Repérage des erreurs visibles</t>
  </si>
  <si>
    <t>15 min</t>
  </si>
  <si>
    <t>Apport</t>
  </si>
  <si>
    <t>Fixer les règles</t>
  </si>
  <si>
    <t>Mini-cours + rappel des obligations</t>
  </si>
  <si>
    <t>Liste des règles essentielles</t>
  </si>
  <si>
    <t>20 min</t>
  </si>
  <si>
    <t>Application</t>
  </si>
  <si>
    <t>Passer de la théorie au contrôle</t>
  </si>
  <si>
    <t>Analyse d'étiquettes ou fiches recettes</t>
  </si>
  <si>
    <t>Correction argumentée</t>
  </si>
  <si>
    <t>Production</t>
  </si>
  <si>
    <t>Rédiger correctement</t>
  </si>
  <si>
    <t>Réécriture d'un libellé allergènes</t>
  </si>
  <si>
    <t>Étiquette reformulée conforme</t>
  </si>
  <si>
    <t>Source : Food Standards Agency – guidance allergènes (source présente dans le classeur)</t>
  </si>
  <si>
    <t>5 min</t>
  </si>
  <si>
    <t>Validation</t>
  </si>
  <si>
    <t>Ancrer les réflexes</t>
  </si>
  <si>
    <t>Quiz / oral court</t>
  </si>
  <si>
    <t>5 réflexes mémorisés</t>
  </si>
  <si>
    <t>5. Source de référence</t>
  </si>
  <si>
    <t>Food Standards Agency – Food allergen labelling and information requirements (guidance), mise à jour indiquée dans le document : 23 août 2023</t>
  </si>
  <si>
    <t>Formulation pédagogique : simplifier sans déformer. En séance, faire systématiquement le lien entre texte réglementaire, étiquette réelle et pratique de production.</t>
  </si>
  <si>
    <t>avantages / inconvénients du vocabulaire en ligne / vocabulaire en colonne</t>
  </si>
  <si>
    <r>
      <t xml:space="preserve">Pour ton usage, il n’y a pas de solution “meilleure en soi”. Il y a une solution </t>
    </r>
    <r>
      <rPr>
        <b/>
        <sz val="11"/>
        <color theme="1"/>
        <rFont val="Calibri"/>
        <family val="2"/>
        <scheme val="minor"/>
      </rPr>
      <t>plus adaptée au moteur</t>
    </r>
    <r>
      <rPr>
        <sz val="11"/>
        <color theme="1"/>
        <rFont val="Calibri"/>
        <family val="2"/>
        <scheme val="minor"/>
      </rPr>
      <t xml:space="preserve"> et une autre </t>
    </r>
    <r>
      <rPr>
        <b/>
        <sz val="11"/>
        <color theme="1"/>
        <rFont val="Calibri"/>
        <family val="2"/>
        <scheme val="minor"/>
      </rPr>
      <t>plus adaptée à la lecture humaine</t>
    </r>
    <r>
      <rPr>
        <sz val="11"/>
        <color theme="1"/>
        <rFont val="Calibri"/>
        <family val="2"/>
        <scheme val="minor"/>
      </rPr>
      <t>.</t>
    </r>
  </si>
  <si>
    <t>Vocabulaire en ligne</t>
  </si>
  <si>
    <t>Avantages</t>
  </si>
  <si>
    <r>
      <t>Liaisons plus visibles</t>
    </r>
    <r>
      <rPr>
        <sz val="11"/>
        <color theme="1"/>
        <rFont val="Calibri"/>
        <family val="2"/>
        <scheme val="minor"/>
      </rPr>
      <t xml:space="preserve"> : on voit vite quelles cellules servent à quoi, surtout quand le moteur lit des plages horizontales.</t>
    </r>
  </si>
  <si>
    <r>
      <t>Très pratique pour un moteur compact</t>
    </r>
    <r>
      <rPr>
        <sz val="11"/>
        <color theme="1"/>
        <rFont val="Calibri"/>
        <family val="2"/>
        <scheme val="minor"/>
      </rPr>
      <t xml:space="preserve"> sur une seule feuille.</t>
    </r>
  </si>
  <si>
    <r>
      <t>Copie / extension faciles</t>
    </r>
    <r>
      <rPr>
        <sz val="11"/>
        <color theme="1"/>
        <rFont val="Calibri"/>
        <family val="2"/>
        <scheme val="minor"/>
      </rPr>
      <t xml:space="preserve"> : tu ajoutes des termes à droite, sans casser toute la logique si le bloc est bien conçu.</t>
    </r>
  </si>
  <si>
    <r>
      <t>Moins de croisements visuels</t>
    </r>
    <r>
      <rPr>
        <sz val="11"/>
        <color theme="1"/>
        <rFont val="Calibri"/>
        <family val="2"/>
        <scheme val="minor"/>
      </rPr>
      <t xml:space="preserve"> quand plusieurs familles alimentent directement des formules du même onglet.</t>
    </r>
  </si>
  <si>
    <r>
      <t>Bon pour Excel 2021</t>
    </r>
    <r>
      <rPr>
        <sz val="11"/>
        <color theme="1"/>
        <rFont val="Calibri"/>
        <family val="2"/>
        <scheme val="minor"/>
      </rPr>
      <t xml:space="preserve"> si tu veux rester simple, sans tableaux structurés, sans Power Query, sans fonctions dynamiques.</t>
    </r>
  </si>
  <si>
    <t>Inconvénients</t>
  </si>
  <si>
    <r>
      <t>Lisibilité humaine moyenne</t>
    </r>
    <r>
      <rPr>
        <sz val="11"/>
        <color theme="1"/>
        <rFont val="Calibri"/>
        <family val="2"/>
        <scheme val="minor"/>
      </rPr>
      <t xml:space="preserve"> quand le dictionnaire devient large.</t>
    </r>
  </si>
  <si>
    <r>
      <t xml:space="preserve">À partir d’un certain volume, ça devient </t>
    </r>
    <r>
      <rPr>
        <b/>
        <sz val="11"/>
        <color theme="1"/>
        <rFont val="Calibri"/>
        <family val="2"/>
        <scheme val="minor"/>
      </rPr>
      <t>étouffant horizontalement</t>
    </r>
    <r>
      <rPr>
        <sz val="11"/>
        <color theme="1"/>
        <rFont val="Calibri"/>
        <family val="2"/>
        <scheme val="minor"/>
      </rPr>
      <t xml:space="preserve"> : on ne voit plus bien où commence et où finit une famille.</t>
    </r>
  </si>
  <si>
    <r>
      <t>Ajouts risqués</t>
    </r>
    <r>
      <rPr>
        <sz val="11"/>
        <color theme="1"/>
        <rFont val="Calibri"/>
        <family val="2"/>
        <scheme val="minor"/>
      </rPr>
      <t xml:space="preserve"> si les formules ont été figées sur une fin de plage précise, comme </t>
    </r>
    <r>
      <rPr>
        <sz val="10"/>
        <color theme="1"/>
        <rFont val="Arial Unicode MS"/>
      </rPr>
      <t>UI</t>
    </r>
    <r>
      <rPr>
        <sz val="11"/>
        <color theme="1"/>
        <rFont val="Calibri"/>
        <family val="2"/>
        <scheme val="minor"/>
      </rPr>
      <t xml:space="preserve"> puis </t>
    </r>
    <r>
      <rPr>
        <sz val="10"/>
        <color theme="1"/>
        <rFont val="Arial Unicode MS"/>
      </rPr>
      <t>AGG</t>
    </r>
    <r>
      <rPr>
        <sz val="11"/>
        <color theme="1"/>
        <rFont val="Calibri"/>
        <family val="2"/>
        <scheme val="minor"/>
      </rPr>
      <t>.</t>
    </r>
  </si>
  <si>
    <r>
      <t xml:space="preserve">Plus difficile à </t>
    </r>
    <r>
      <rPr>
        <b/>
        <sz val="11"/>
        <color theme="1"/>
        <rFont val="Calibri"/>
        <family val="2"/>
        <scheme val="minor"/>
      </rPr>
      <t>trier, filtrer, auditer, dédoublonner</t>
    </r>
    <r>
      <rPr>
        <sz val="11"/>
        <color theme="1"/>
        <rFont val="Calibri"/>
        <family val="2"/>
        <scheme val="minor"/>
      </rPr>
      <t xml:space="preserve"> manuellement.</t>
    </r>
  </si>
  <si>
    <t>Mauvais pour une maintenance par quelqu’un qui ne connaît pas déjà l’architecture.</t>
  </si>
  <si>
    <t>Vocabulaire en colonne</t>
  </si>
  <si>
    <r>
      <t>Beaucoup plus lisible</t>
    </r>
    <r>
      <rPr>
        <sz val="11"/>
        <color theme="1"/>
        <rFont val="Calibri"/>
        <family val="2"/>
        <scheme val="minor"/>
      </rPr>
      <t xml:space="preserve"> pour un humain.</t>
    </r>
  </si>
  <si>
    <r>
      <t xml:space="preserve">Plus simple pour </t>
    </r>
    <r>
      <rPr>
        <b/>
        <sz val="11"/>
        <color theme="1"/>
        <rFont val="Calibri"/>
        <family val="2"/>
        <scheme val="minor"/>
      </rPr>
      <t>classer par famille, type, niveau, métier, priorité</t>
    </r>
    <r>
      <rPr>
        <sz val="11"/>
        <color theme="1"/>
        <rFont val="Calibri"/>
        <family val="2"/>
        <scheme val="minor"/>
      </rPr>
      <t>.</t>
    </r>
  </si>
  <si>
    <r>
      <t xml:space="preserve">Plus simple pour </t>
    </r>
    <r>
      <rPr>
        <b/>
        <sz val="11"/>
        <color theme="1"/>
        <rFont val="Calibri"/>
        <family val="2"/>
        <scheme val="minor"/>
      </rPr>
      <t>auditer</t>
    </r>
    <r>
      <rPr>
        <sz val="11"/>
        <color theme="1"/>
        <rFont val="Calibri"/>
        <family val="2"/>
        <scheme val="minor"/>
      </rPr>
      <t>, enrichir, supprimer les doublons, repérer les trous.</t>
    </r>
  </si>
  <si>
    <t>Meilleur pour construire un vrai dictionnaire métier propre :</t>
  </si>
  <si>
    <t>Famille | Type | Terme | Variante | Niveau | Métier</t>
  </si>
  <si>
    <t>Plus robuste si tu veux un jour faire évoluer le moteur vers une logique plus propre et maintenable.</t>
  </si>
  <si>
    <r>
      <t xml:space="preserve">Dans un moteur Excel classique sans fonctions modernes, ça crée souvent </t>
    </r>
    <r>
      <rPr>
        <b/>
        <sz val="11"/>
        <color theme="1"/>
        <rFont val="Calibri"/>
        <family val="2"/>
        <scheme val="minor"/>
      </rPr>
      <t>plus de liaisons croisées</t>
    </r>
    <r>
      <rPr>
        <sz val="11"/>
        <color theme="1"/>
        <rFont val="Calibri"/>
        <family val="2"/>
        <scheme val="minor"/>
      </rPr>
      <t>.</t>
    </r>
  </si>
  <si>
    <t>Peut obliger à ajouter des colonnes relais ou des blocs techniques plus loin dans la feuille.</t>
  </si>
  <si>
    <r>
      <t>Moins fluide</t>
    </r>
    <r>
      <rPr>
        <sz val="11"/>
        <color theme="1"/>
        <rFont val="Calibri"/>
        <family val="2"/>
        <scheme val="minor"/>
      </rPr>
      <t xml:space="preserve"> quand tu veux un moteur ultra-direct sur une seule feuille.</t>
    </r>
  </si>
  <si>
    <t>Plus de risque de formules lourdes si tu fais beaucoup de recherches verticales sur de grandes plages.</t>
  </si>
  <si>
    <t>Peut devenir plus fragile si tu mélanges dictionnaire, calculs, synthèse et saisie sur le même onglet.</t>
  </si>
  <si>
    <t>Le vrai critère</t>
  </si>
  <si>
    <r>
      <t xml:space="preserve">Il faut distinguer </t>
    </r>
    <r>
      <rPr>
        <b/>
        <sz val="11"/>
        <color theme="1"/>
        <rFont val="Calibri"/>
        <family val="2"/>
        <scheme val="minor"/>
      </rPr>
      <t>stockage du vocabulaire</t>
    </r>
    <r>
      <rPr>
        <sz val="11"/>
        <color theme="1"/>
        <rFont val="Calibri"/>
        <family val="2"/>
        <scheme val="minor"/>
      </rPr>
      <t xml:space="preserve"> et </t>
    </r>
    <r>
      <rPr>
        <b/>
        <sz val="11"/>
        <color theme="1"/>
        <rFont val="Calibri"/>
        <family val="2"/>
        <scheme val="minor"/>
      </rPr>
      <t>consommation par le moteur</t>
    </r>
    <r>
      <rPr>
        <sz val="11"/>
        <color theme="1"/>
        <rFont val="Calibri"/>
        <family val="2"/>
        <scheme val="minor"/>
      </rPr>
      <t>.</t>
    </r>
  </si>
  <si>
    <t>Le meilleur compromis, souvent, c’est :</t>
  </si>
  <si>
    <r>
      <t>vocabulaire source en colonne</t>
    </r>
    <r>
      <rPr>
        <sz val="11"/>
        <color theme="1"/>
        <rFont val="Calibri"/>
        <family val="2"/>
        <scheme val="minor"/>
      </rPr>
      <t xml:space="preserve"> pour la maintenance humaine,</t>
    </r>
  </si>
  <si>
    <r>
      <t xml:space="preserve">puis </t>
    </r>
    <r>
      <rPr>
        <b/>
        <sz val="11"/>
        <color theme="1"/>
        <rFont val="Calibri"/>
        <family val="2"/>
        <scheme val="minor"/>
      </rPr>
      <t>relais moteur en ligne</t>
    </r>
    <r>
      <rPr>
        <sz val="11"/>
        <color theme="1"/>
        <rFont val="Calibri"/>
        <family val="2"/>
        <scheme val="minor"/>
      </rPr>
      <t xml:space="preserve"> pour les calculs.</t>
    </r>
  </si>
  <si>
    <t>Mais dans ton cas précis, avec :</t>
  </si>
  <si>
    <t>Excel 2021 FR,</t>
  </si>
  <si>
    <t>zéro VBA,</t>
  </si>
  <si>
    <t>zéro fonction dynamique,</t>
  </si>
  <si>
    <t>besoin de lisibilité des liaisons,</t>
  </si>
  <si>
    <t>besoin de moteur fluide et recopiable,</t>
  </si>
  <si>
    <r>
      <t xml:space="preserve">le </t>
    </r>
    <r>
      <rPr>
        <b/>
        <sz val="11"/>
        <color theme="1"/>
        <rFont val="Calibri"/>
        <family val="2"/>
        <scheme val="minor"/>
      </rPr>
      <t>vocabulaire en ligne</t>
    </r>
    <r>
      <rPr>
        <sz val="11"/>
        <color theme="1"/>
        <rFont val="Calibri"/>
        <family val="2"/>
        <scheme val="minor"/>
      </rPr>
      <t xml:space="preserve"> a un vrai avantage opérationnel.</t>
    </r>
  </si>
  <si>
    <t>Mon avis net pour ton cas</t>
  </si>
  <si>
    <t>Si l’objectif principal est :</t>
  </si>
  <si>
    <t>performance terrain</t>
  </si>
  <si>
    <t>lecture rapide des liaisons</t>
  </si>
  <si>
    <t>copie facile du moteur dans un autre classeur</t>
  </si>
  <si>
    <t>moins de croisements techniques</t>
  </si>
  <si>
    <r>
      <t xml:space="preserve">alors </t>
    </r>
    <r>
      <rPr>
        <b/>
        <sz val="11"/>
        <color theme="1"/>
        <rFont val="Calibri"/>
        <family val="2"/>
        <scheme val="minor"/>
      </rPr>
      <t>vocabulaire en ligne</t>
    </r>
    <r>
      <rPr>
        <sz val="11"/>
        <color theme="1"/>
        <rFont val="Calibri"/>
        <family val="2"/>
        <scheme val="minor"/>
      </rPr>
      <t xml:space="preserve"> est meilleur.</t>
    </r>
  </si>
  <si>
    <t>maintenance du dictionnaire</t>
  </si>
  <si>
    <t>audit</t>
  </si>
  <si>
    <t>enrichissement métier</t>
  </si>
  <si>
    <t>travail collaboratif sur le vocabulaire</t>
  </si>
  <si>
    <r>
      <t xml:space="preserve">alors </t>
    </r>
    <r>
      <rPr>
        <b/>
        <sz val="11"/>
        <color theme="1"/>
        <rFont val="Calibri"/>
        <family val="2"/>
        <scheme val="minor"/>
      </rPr>
      <t>vocabulaire en colonne</t>
    </r>
    <r>
      <rPr>
        <sz val="11"/>
        <color theme="1"/>
        <rFont val="Calibri"/>
        <family val="2"/>
        <scheme val="minor"/>
      </rPr>
      <t xml:space="preserve"> est meilleur.</t>
    </r>
  </si>
  <si>
    <t>Conclusion utile</t>
  </si>
  <si>
    <t>Pour toi :</t>
  </si>
  <si>
    <r>
      <t>moteur en ligne</t>
    </r>
    <r>
      <rPr>
        <sz val="11"/>
        <color theme="1"/>
        <rFont val="Calibri"/>
        <family val="2"/>
        <scheme val="minor"/>
      </rPr>
      <t xml:space="preserve"> = meilleur choix de production</t>
    </r>
  </si>
  <si>
    <r>
      <t>dictionnaire colonne</t>
    </r>
    <r>
      <rPr>
        <sz val="11"/>
        <color theme="1"/>
        <rFont val="Calibri"/>
        <family val="2"/>
        <scheme val="minor"/>
      </rPr>
      <t xml:space="preserve"> = meilleur choix de gestion documentaire</t>
    </r>
  </si>
  <si>
    <r>
      <t>mélange des deux</t>
    </r>
    <r>
      <rPr>
        <sz val="11"/>
        <color theme="1"/>
        <rFont val="Calibri"/>
        <family val="2"/>
        <scheme val="minor"/>
      </rPr>
      <t xml:space="preserve"> = meilleur choix théorique, mais plus lourd à tenir dans Excel 2021</t>
    </r>
  </si>
  <si>
    <r>
      <t xml:space="preserve">Donc oui : ta préférence pour le </t>
    </r>
    <r>
      <rPr>
        <b/>
        <sz val="11"/>
        <color theme="1"/>
        <rFont val="Calibri"/>
        <family val="2"/>
        <scheme val="minor"/>
      </rPr>
      <t>vocabulaire en ligne sur la même feuille</t>
    </r>
    <r>
      <rPr>
        <sz val="11"/>
        <color theme="1"/>
        <rFont val="Calibri"/>
        <family val="2"/>
        <scheme val="minor"/>
      </rPr>
      <t xml:space="preserve"> est cohérente, à condition de garder :</t>
    </r>
  </si>
  <si>
    <t>des blocs bien séparés,</t>
  </si>
  <si>
    <t>une fin de plage claire,</t>
  </si>
  <si>
    <t>des zones techniques stables,</t>
  </si>
  <si>
    <t>et un audit régulier des colonnes terminales quand tu ajoutes du vocabulaire.</t>
  </si>
  <si>
    <t>En ligne</t>
  </si>
  <si>
    <t>En colonne</t>
  </si>
  <si>
    <t>Hybride</t>
  </si>
  <si>
    <t>Lisibilité des liaisons moteur</t>
  </si>
  <si>
    <t>Très bonne</t>
  </si>
  <si>
    <t>Moyenne</t>
  </si>
  <si>
    <t>Bonne</t>
  </si>
  <si>
    <t>Lisibilité humaine du dictionnaire</t>
  </si>
  <si>
    <t>Facilité d’ajout de vocabulaire</t>
  </si>
  <si>
    <t>Bonne si bornes propres</t>
  </si>
  <si>
    <t>Risque de casser les formules</t>
  </si>
  <si>
    <r>
      <t>Élevé</t>
    </r>
    <r>
      <rPr>
        <sz val="11"/>
        <color theme="1"/>
        <rFont val="Calibri"/>
        <family val="2"/>
        <scheme val="minor"/>
      </rPr>
      <t xml:space="preserve"> si fin de plage oubliée</t>
    </r>
  </si>
  <si>
    <t>Moyen</t>
  </si>
  <si>
    <t>Audit / tri / nettoyage du vocabulaire</t>
  </si>
  <si>
    <t>Faible</t>
  </si>
  <si>
    <t>Très bon</t>
  </si>
  <si>
    <t>Fluidité sur 1 seule feuille</t>
  </si>
  <si>
    <t>Compatibilité Excel 2021 simple</t>
  </si>
  <si>
    <t>Formules légères</t>
  </si>
  <si>
    <t>Pas toujours</t>
  </si>
  <si>
    <t>Oui si bien conçu</t>
  </si>
  <si>
    <t>Maintenance long terme</t>
  </si>
  <si>
    <t>Adapté à ton moteur actuel</t>
  </si>
  <si>
    <t>Non idéal</t>
  </si>
  <si>
    <t>Verdict net</t>
  </si>
  <si>
    <t>Option</t>
  </si>
  <si>
    <t>Quand la choisir</t>
  </si>
  <si>
    <t>moteur compact, liaisons visibles, travail rapide sur une seule feuille</t>
  </si>
  <si>
    <t>dictionnaire à auditer, enrichir, trier, maintenir proprement</t>
  </si>
  <si>
    <t>meilleur compromis : dictionnaire propre en colonne + relais moteur en ligne</t>
  </si>
  <si>
    <t>Recommandation pour toi</t>
  </si>
  <si>
    <t>Besoin</t>
  </si>
  <si>
    <t>Choix</t>
  </si>
  <si>
    <t>moteur terrain Excel 2021 fluide</t>
  </si>
  <si>
    <t>gros dictionnaire métier à enrichir souvent</t>
  </si>
  <si>
    <t>travail purement documentaire sur le vocabulaire</t>
  </si>
  <si>
    <r>
      <t>Conclusion :</t>
    </r>
    <r>
      <rPr>
        <sz val="11"/>
        <color theme="1"/>
        <rFont val="Calibri"/>
        <family val="2"/>
        <scheme val="minor"/>
      </rPr>
      <t xml:space="preserve"> pour ton usage, le plus solide est </t>
    </r>
    <r>
      <rPr>
        <b/>
        <sz val="11"/>
        <color theme="1"/>
        <rFont val="Calibri"/>
        <family val="2"/>
        <scheme val="minor"/>
      </rPr>
      <t>hybride</t>
    </r>
    <r>
      <rPr>
        <sz val="11"/>
        <color theme="1"/>
        <rFont val="Calibri"/>
        <family val="2"/>
        <scheme val="minor"/>
      </rPr>
      <t>.</t>
    </r>
  </si>
  <si>
    <t>Si tu veux rester le plus simple possible dans Excel 2021 : en ligne.</t>
  </si>
  <si>
    <t>Composante</t>
  </si>
  <si>
    <r>
      <t>ENTR</t>
    </r>
    <r>
      <rPr>
        <b/>
        <sz val="12"/>
        <color theme="1"/>
        <rFont val="Calibri"/>
        <family val="2"/>
      </rPr>
      <t>É</t>
    </r>
    <r>
      <rPr>
        <b/>
        <sz val="12"/>
        <color theme="1"/>
        <rFont val="Calibri"/>
        <family val="2"/>
        <scheme val="minor"/>
      </rPr>
      <t>ES</t>
    </r>
  </si>
  <si>
    <t>PLATS PROTIDIQUES</t>
  </si>
  <si>
    <t>PLATS PROTIDIQUES (SUITE)</t>
  </si>
  <si>
    <t>ACCOMPAGNEMENTS</t>
  </si>
  <si>
    <t>PRODUITS LAITIERS</t>
  </si>
  <si>
    <t>PRODUITS LAITIERS (SUITE)</t>
  </si>
  <si>
    <t>DESSERTS DE FRUITS CRUS</t>
  </si>
  <si>
    <t>AUTRES DESSERTS</t>
  </si>
  <si>
    <t>Type de plat</t>
  </si>
  <si>
    <t>Crudité</t>
  </si>
  <si>
    <t>Allergènes</t>
  </si>
  <si>
    <t>Potage +40% légumes</t>
  </si>
  <si>
    <t>Cuidité ou denrée protidique</t>
  </si>
  <si>
    <t>Entrée +15% lip</t>
  </si>
  <si>
    <t>Entrée féculent &lt;15% lip</t>
  </si>
  <si>
    <t>Viande de bœuf</t>
  </si>
  <si>
    <t>Viande de veau</t>
  </si>
  <si>
    <t>Viande d'agneau</t>
  </si>
  <si>
    <t>Abat</t>
  </si>
  <si>
    <t>Viande hachée</t>
  </si>
  <si>
    <r>
      <t>Poisson +70%g et P/L</t>
    </r>
    <r>
      <rPr>
        <b/>
        <sz val="12"/>
        <color theme="0"/>
        <rFont val="Calibri"/>
        <family val="2"/>
      </rPr>
      <t>≥</t>
    </r>
    <r>
      <rPr>
        <b/>
        <sz val="12"/>
        <color theme="0"/>
        <rFont val="Calibri"/>
        <family val="2"/>
        <scheme val="minor"/>
      </rPr>
      <t>2</t>
    </r>
  </si>
  <si>
    <r>
      <t>Denrée protidique P/L</t>
    </r>
    <r>
      <rPr>
        <b/>
        <sz val="12"/>
        <color theme="1"/>
        <rFont val="Calibri"/>
        <family val="2"/>
      </rPr>
      <t>≤</t>
    </r>
    <r>
      <rPr>
        <b/>
        <sz val="12"/>
        <color theme="1"/>
        <rFont val="Calibri"/>
        <family val="2"/>
        <scheme val="minor"/>
      </rPr>
      <t xml:space="preserve">1 </t>
    </r>
    <r>
      <rPr>
        <sz val="12"/>
        <color theme="1"/>
        <rFont val="Calibri"/>
        <family val="2"/>
        <scheme val="minor"/>
      </rPr>
      <t>(charcuterie, pâtisserie salée, …)</t>
    </r>
  </si>
  <si>
    <t>Denrée protidique frit ou pré-frit à +15% lip</t>
  </si>
  <si>
    <t>Préparation &lt;70%gr/portion de denrée prot</t>
  </si>
  <si>
    <t>Autre poisson</t>
  </si>
  <si>
    <t>Volaille</t>
  </si>
  <si>
    <t>Porc</t>
  </si>
  <si>
    <t>Plat alternatif</t>
  </si>
  <si>
    <t>Sauce</t>
  </si>
  <si>
    <t>Légume cuit</t>
  </si>
  <si>
    <t>Accompagnement +15% lip</t>
  </si>
  <si>
    <t>Fromage &lt; 100 mg Ca/portion</t>
  </si>
  <si>
    <t>100 mg &lt; Fromage &lt; 150 mg Calcium par portion</t>
  </si>
  <si>
    <r>
      <t xml:space="preserve">Fromage </t>
    </r>
    <r>
      <rPr>
        <b/>
        <sz val="12"/>
        <color theme="0"/>
        <rFont val="Calibri"/>
        <family val="2"/>
      </rPr>
      <t>≥</t>
    </r>
    <r>
      <rPr>
        <b/>
        <sz val="12"/>
        <color theme="0"/>
        <rFont val="Calibri"/>
        <family val="2"/>
        <scheme val="minor"/>
      </rPr>
      <t xml:space="preserve"> 150 mg Ca/portion</t>
    </r>
  </si>
  <si>
    <t>Laitage et dessert lacté &gt; 100 mg Ca/portion et &lt; 5g lip/portion</t>
  </si>
  <si>
    <t>Fruit cru</t>
  </si>
  <si>
    <t>Dessert gras (+15% lip)</t>
  </si>
  <si>
    <r>
      <t>Dessert ou laitage sucré peu gras (</t>
    </r>
    <r>
      <rPr>
        <b/>
        <sz val="12"/>
        <color theme="1"/>
        <rFont val="Calibri"/>
        <family val="2"/>
      </rPr>
      <t>≤</t>
    </r>
    <r>
      <rPr>
        <b/>
        <sz val="12"/>
        <color theme="1"/>
        <rFont val="Calibri"/>
        <family val="2"/>
        <scheme val="minor"/>
      </rPr>
      <t xml:space="preserve"> 15% lip et +20g GLU)</t>
    </r>
  </si>
  <si>
    <t>Dessert peu sucré &lt; 20g GLU</t>
  </si>
  <si>
    <t>Fruit cuit</t>
  </si>
  <si>
    <t>Fréquences</t>
  </si>
  <si>
    <t>Libre</t>
  </si>
  <si>
    <t>/</t>
  </si>
  <si>
    <t>Recettes</t>
  </si>
  <si>
    <t>ghghhjjlk</t>
  </si>
  <si>
    <t>hjkkgvvbbb</t>
  </si>
  <si>
    <t>hghghgh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</si>
</sst>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2">
    <numFmt numFmtId="164" formatCode="0.0"/>
    <numFmt numFmtId="165" formatCode="#,##0.00\ &quot;€&quot;"/>
    <numFmt numFmtId="166" formatCode="0.000&quot; Kg&quot;"/>
    <numFmt numFmtId="167" formatCode="0&quot;%&quot;"/>
    <numFmt numFmtId="168" formatCode="#,##0.000&quot; kg&quot;"/>
    <numFmt numFmtId="169" formatCode="0.000&quot;Kg&quot;"/>
    <numFmt numFmtId="170" formatCode="0.000&quot; L&quot;"/>
    <numFmt numFmtId="171" formatCode="#,##0&quot; gr&quot;"/>
    <numFmt numFmtId="172" formatCode="0.0000"/>
    <numFmt numFmtId="173" formatCode="#,##0&quot; cl&quot;"/>
    <numFmt numFmtId="174" formatCode="0.00&quot; Kg&quot;"/>
    <numFmt numFmtId="175" formatCode="0.0%"/>
    <numFmt numFmtId="176" formatCode="0.00&quot;Kg&quot;"/>
    <numFmt numFmtId="177" formatCode="0.000\K\g"/>
    <numFmt numFmtId="178" formatCode="0.000"/>
    <numFmt numFmtId="179" formatCode="0.0&quot; %&quot;"/>
    <numFmt numFmtId="180" formatCode="0.0&quot; Kg&quot;"/>
    <numFmt numFmtId="181" formatCode="&quot;de &quot;0"/>
    <numFmt numFmtId="182" formatCode="&quot;de &quot;0.00&quot; Kg&quot;"/>
    <numFmt numFmtId="183" formatCode="&quot;Vrai&quot;;&quot;Vrai&quot;;&quot;Faux&quot;"/>
    <numFmt numFmtId="184" formatCode="&quot;Actif&quot;;&quot;Actif&quot;;&quot;Inactif&quot;"/>
    <numFmt numFmtId="185" formatCode="0.00\ &quot; cm²&quot;"/>
    <numFmt numFmtId="186" formatCode="0.00&quot; cm&quot;"/>
    <numFmt numFmtId="187" formatCode="0.0&quot; mm&quot;"/>
    <numFmt numFmtId="188" formatCode="&quot;Col.&quot;0"/>
    <numFmt numFmtId="189" formatCode="&quot;N° &quot;0"/>
    <numFmt numFmtId="190" formatCode="0&quot; H&quot;"/>
    <numFmt numFmtId="191" formatCode="0&quot; jours&quot;"/>
    <numFmt numFmtId="192" formatCode="0&quot; lignes&quot;"/>
    <numFmt numFmtId="193" formatCode="0.000\ &quot; dm³&quot;"/>
    <numFmt numFmtId="194" formatCode="0.00\ &quot; cm³&quot;"/>
    <numFmt numFmtId="195" formatCode="&quot;Poids portion&quot;\ 0.000&quot; Kg&quot;"/>
    <numFmt numFmtId="196" formatCode="&quot;de &quot;#,##0.000&quot; kg&quot;"/>
    <numFmt numFmtId="197" formatCode="&quot;=UNICAR(128269)&quot;"/>
    <numFmt numFmtId="198" formatCode="[$-F800]dddd\,\ mmmm\ dd\,\ yyyy"/>
    <numFmt numFmtId="199" formatCode="#,##0.00&quot; kg&quot;"/>
    <numFmt numFmtId="200" formatCode="#,##0.0&quot; grs&quot;"/>
    <numFmt numFmtId="201" formatCode="0&quot; Kg&quot;"/>
    <numFmt numFmtId="202" formatCode="0&quot; g&quot;"/>
    <numFmt numFmtId="203" formatCode="#,##0.0"/>
    <numFmt numFmtId="204" formatCode="[h]&quot;H&quot;mm"/>
    <numFmt numFmtId="205" formatCode="0&quot; car.&quot;"/>
  </numFmts>
  <fonts count="319">
    <font>
      <sz val="11"/>
      <color theme="1"/>
      <name val="Calibri"/>
      <family val="2"/>
      <scheme val="minor"/>
    </font>
    <font>
      <b/>
      <sz val="11"/>
      <color rgb="FFFFFFFF"/>
      <name val="Calibri"/>
      <family val="2"/>
    </font>
    <font>
      <sz val="11"/>
      <color theme="1"/>
      <name val="Calibri"/>
      <family val="2"/>
      <scheme val="minor"/>
    </font>
    <font>
      <sz val="11"/>
      <color theme="1"/>
      <name val="Calibri"/>
      <family val="2"/>
    </font>
    <font>
      <b/>
      <sz val="14"/>
      <color theme="0"/>
      <name val="Calibri"/>
      <family val="2"/>
    </font>
    <font>
      <sz val="11"/>
      <color theme="1"/>
      <name val="Calibri"/>
      <family val="2"/>
      <charset val="1"/>
    </font>
    <font>
      <b/>
      <sz val="16"/>
      <color theme="0"/>
      <name val="Calibri"/>
      <family val="2"/>
    </font>
    <font>
      <b/>
      <sz val="12"/>
      <color rgb="FF0033CC"/>
      <name val="Calibri"/>
      <family val="2"/>
    </font>
    <font>
      <sz val="9"/>
      <color theme="1"/>
      <name val="Calibri"/>
      <family val="2"/>
      <scheme val="minor"/>
    </font>
    <font>
      <b/>
      <sz val="14"/>
      <color theme="1"/>
      <name val="Calibri"/>
      <family val="2"/>
    </font>
    <font>
      <b/>
      <sz val="16"/>
      <name val="Calibri"/>
      <family val="2"/>
    </font>
    <font>
      <b/>
      <sz val="14"/>
      <name val="Calibri"/>
      <family val="2"/>
    </font>
    <font>
      <sz val="10"/>
      <name val="Arial"/>
      <family val="2"/>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8"/>
      <color theme="0"/>
      <name val="Calibri"/>
      <family val="2"/>
      <scheme val="minor"/>
    </font>
    <font>
      <sz val="10"/>
      <color theme="1"/>
      <name val="Calibri"/>
      <family val="2"/>
      <scheme val="minor"/>
    </font>
    <font>
      <sz val="11"/>
      <name val="Calibri"/>
      <family val="2"/>
    </font>
    <font>
      <sz val="8"/>
      <color theme="0"/>
      <name val="Calibri"/>
      <family val="2"/>
      <scheme val="minor"/>
    </font>
    <font>
      <b/>
      <sz val="11"/>
      <color indexed="9"/>
      <name val="Calibri"/>
      <family val="2"/>
      <scheme val="minor"/>
    </font>
    <font>
      <b/>
      <sz val="10"/>
      <name val="Calibri"/>
      <family val="2"/>
      <scheme val="minor"/>
    </font>
    <font>
      <b/>
      <sz val="14"/>
      <name val="Calibri"/>
      <family val="2"/>
      <scheme val="minor"/>
    </font>
    <font>
      <b/>
      <sz val="14"/>
      <color theme="0"/>
      <name val="Calibri"/>
      <family val="2"/>
      <scheme val="minor"/>
    </font>
    <font>
      <b/>
      <sz val="11"/>
      <color rgb="FFFFC000"/>
      <name val="Calibri"/>
      <family val="2"/>
      <scheme val="minor"/>
    </font>
    <font>
      <b/>
      <sz val="11"/>
      <color rgb="FFFFFF00"/>
      <name val="Calibri"/>
      <family val="2"/>
      <scheme val="minor"/>
    </font>
    <font>
      <b/>
      <sz val="12"/>
      <color rgb="FFFFFF00"/>
      <name val="Calibri"/>
      <family val="2"/>
      <scheme val="minor"/>
    </font>
    <font>
      <b/>
      <sz val="12"/>
      <color rgb="FFFFC000"/>
      <name val="Calibri"/>
      <family val="2"/>
      <scheme val="minor"/>
    </font>
    <font>
      <sz val="12"/>
      <name val="Calibri"/>
      <family val="2"/>
      <scheme val="minor"/>
    </font>
    <font>
      <b/>
      <sz val="12"/>
      <color rgb="FF0000FF"/>
      <name val="Calibri"/>
      <family val="2"/>
      <scheme val="minor"/>
    </font>
    <font>
      <b/>
      <sz val="11"/>
      <color theme="0"/>
      <name val="Calibri"/>
      <family val="2"/>
    </font>
    <font>
      <b/>
      <sz val="16"/>
      <name val="Calibri"/>
      <family val="2"/>
      <scheme val="minor"/>
    </font>
    <font>
      <sz val="9"/>
      <name val="Calibri"/>
      <family val="2"/>
      <scheme val="minor"/>
    </font>
    <font>
      <sz val="11"/>
      <name val="Calibri"/>
      <family val="2"/>
      <scheme val="minor"/>
    </font>
    <font>
      <sz val="10"/>
      <color theme="0"/>
      <name val="Calibri"/>
      <family val="2"/>
    </font>
    <font>
      <sz val="10"/>
      <name val="Calibri"/>
      <family val="2"/>
    </font>
    <font>
      <sz val="12"/>
      <color theme="1"/>
      <name val="Calibri"/>
      <family val="2"/>
      <scheme val="minor"/>
    </font>
    <font>
      <b/>
      <sz val="12"/>
      <color theme="9" tint="-0.249977111117893"/>
      <name val="Calibri"/>
      <family val="2"/>
      <scheme val="minor"/>
    </font>
    <font>
      <b/>
      <sz val="12"/>
      <color theme="1"/>
      <name val="Calibri"/>
      <family val="2"/>
      <scheme val="minor"/>
    </font>
    <font>
      <b/>
      <sz val="12"/>
      <color rgb="FFC00000"/>
      <name val="Calibri"/>
      <family val="2"/>
    </font>
    <font>
      <b/>
      <sz val="12"/>
      <color theme="0"/>
      <name val="Calibri"/>
      <family val="2"/>
      <scheme val="minor"/>
    </font>
    <font>
      <sz val="10"/>
      <name val="Calibri"/>
      <family val="2"/>
      <scheme val="minor"/>
    </font>
    <font>
      <b/>
      <sz val="11"/>
      <name val="Calibri"/>
      <family val="2"/>
      <scheme val="minor"/>
    </font>
    <font>
      <sz val="12"/>
      <color theme="0"/>
      <name val="Calibri"/>
      <family val="2"/>
      <scheme val="minor"/>
    </font>
    <font>
      <sz val="10"/>
      <name val="MS Sans Serif"/>
      <family val="2"/>
    </font>
    <font>
      <b/>
      <sz val="12"/>
      <color theme="5" tint="-0.499984740745262"/>
      <name val="Calibri"/>
      <family val="2"/>
      <scheme val="minor"/>
    </font>
    <font>
      <sz val="12"/>
      <color theme="9" tint="-0.249977111117893"/>
      <name val="Calibri"/>
      <family val="2"/>
      <scheme val="minor"/>
    </font>
    <font>
      <b/>
      <sz val="12"/>
      <color rgb="FFC00000"/>
      <name val="Calibri"/>
      <family val="2"/>
      <scheme val="minor"/>
    </font>
    <font>
      <sz val="12"/>
      <color rgb="FF7030A0"/>
      <name val="Calibri"/>
      <family val="2"/>
      <scheme val="minor"/>
    </font>
    <font>
      <sz val="8"/>
      <color theme="0" tint="-0.499984740745262"/>
      <name val="Calibri"/>
      <family val="2"/>
      <scheme val="minor"/>
    </font>
    <font>
      <sz val="8"/>
      <color theme="0" tint="-0.249977111117893"/>
      <name val="Calibri"/>
      <family val="2"/>
      <scheme val="minor"/>
    </font>
    <font>
      <sz val="10"/>
      <color rgb="FF0000FF"/>
      <name val="Calibri"/>
      <family val="2"/>
      <scheme val="minor"/>
    </font>
    <font>
      <sz val="8"/>
      <color theme="1"/>
      <name val="Calibri"/>
      <family val="2"/>
      <scheme val="minor"/>
    </font>
    <font>
      <b/>
      <sz val="10"/>
      <color rgb="FFC00000"/>
      <name val="Calibri"/>
      <family val="2"/>
      <scheme val="minor"/>
    </font>
    <font>
      <sz val="11"/>
      <color theme="9" tint="-0.249977111117893"/>
      <name val="Calibri"/>
      <family val="2"/>
      <scheme val="minor"/>
    </font>
    <font>
      <b/>
      <sz val="10"/>
      <color theme="9" tint="-0.499984740745262"/>
      <name val="Calibri"/>
      <family val="2"/>
      <scheme val="minor"/>
    </font>
    <font>
      <b/>
      <sz val="11"/>
      <color rgb="FFC00000"/>
      <name val="Calibri"/>
      <family val="2"/>
      <scheme val="minor"/>
    </font>
    <font>
      <b/>
      <sz val="14"/>
      <color rgb="FFFFFFFF"/>
      <name val="Calibri"/>
      <family val="2"/>
    </font>
    <font>
      <b/>
      <sz val="10"/>
      <color theme="0"/>
      <name val="Calibri"/>
      <family val="2"/>
      <scheme val="minor"/>
    </font>
    <font>
      <b/>
      <sz val="8"/>
      <name val="Calibri"/>
      <family val="2"/>
      <scheme val="minor"/>
    </font>
    <font>
      <b/>
      <sz val="12"/>
      <color rgb="FFFF0000"/>
      <name val="Calibri"/>
      <family val="2"/>
      <scheme val="minor"/>
    </font>
    <font>
      <sz val="11"/>
      <color theme="9" tint="-0.499984740745262"/>
      <name val="Calibri"/>
      <family val="2"/>
      <scheme val="minor"/>
    </font>
    <font>
      <b/>
      <sz val="11"/>
      <color theme="9" tint="-0.499984740745262"/>
      <name val="Calibri"/>
      <family val="2"/>
      <scheme val="minor"/>
    </font>
    <font>
      <sz val="12"/>
      <color theme="9" tint="-0.499984740745262"/>
      <name val="Calibri"/>
      <family val="2"/>
      <scheme val="minor"/>
    </font>
    <font>
      <b/>
      <sz val="12"/>
      <name val="Calibri"/>
      <family val="2"/>
      <scheme val="minor"/>
    </font>
    <font>
      <b/>
      <sz val="12"/>
      <color rgb="FFFFFFFF"/>
      <name val="Calibri"/>
      <family val="2"/>
    </font>
    <font>
      <sz val="10"/>
      <color rgb="FF7030A0"/>
      <name val="Calibri"/>
      <family val="2"/>
      <scheme val="minor"/>
    </font>
    <font>
      <b/>
      <sz val="14"/>
      <color theme="1"/>
      <name val="Calibri"/>
      <family val="2"/>
      <scheme val="minor"/>
    </font>
    <font>
      <b/>
      <sz val="12"/>
      <color indexed="12"/>
      <name val="Calibri"/>
      <family val="2"/>
      <scheme val="minor"/>
    </font>
    <font>
      <i/>
      <sz val="10"/>
      <name val="Calibri"/>
      <family val="2"/>
    </font>
    <font>
      <sz val="9"/>
      <color theme="0"/>
      <name val="Calibri"/>
      <family val="2"/>
      <scheme val="minor"/>
    </font>
    <font>
      <sz val="11"/>
      <color theme="1" tint="0.499984740745262"/>
      <name val="Calibri"/>
      <family val="2"/>
      <scheme val="minor"/>
    </font>
    <font>
      <b/>
      <sz val="10"/>
      <color rgb="FFC00000"/>
      <name val="Calibri"/>
      <family val="2"/>
    </font>
    <font>
      <b/>
      <sz val="12"/>
      <color rgb="FF7030A0"/>
      <name val="Calibri"/>
      <family val="2"/>
      <scheme val="minor"/>
    </font>
    <font>
      <b/>
      <sz val="14"/>
      <color rgb="FF0000FF"/>
      <name val="Calibri"/>
      <family val="2"/>
      <scheme val="minor"/>
    </font>
    <font>
      <b/>
      <sz val="10"/>
      <name val="Calibri"/>
      <family val="2"/>
    </font>
    <font>
      <sz val="8"/>
      <color theme="0" tint="-0.14999847407452621"/>
      <name val="Calibri"/>
      <family val="2"/>
      <scheme val="minor"/>
    </font>
    <font>
      <b/>
      <sz val="10"/>
      <color rgb="FFFF0000"/>
      <name val="Calibri"/>
      <family val="2"/>
      <scheme val="minor"/>
    </font>
    <font>
      <b/>
      <sz val="12"/>
      <color rgb="FF0070C0"/>
      <name val="Calibri"/>
      <family val="2"/>
      <scheme val="minor"/>
    </font>
    <font>
      <b/>
      <sz val="10"/>
      <color rgb="FF0000FF"/>
      <name val="Calibri"/>
      <family val="2"/>
      <scheme val="minor"/>
    </font>
    <font>
      <b/>
      <sz val="10"/>
      <color indexed="12"/>
      <name val="Calibri"/>
      <family val="2"/>
      <scheme val="minor"/>
    </font>
    <font>
      <b/>
      <sz val="10"/>
      <color rgb="FF0070C0"/>
      <name val="Calibri"/>
      <family val="2"/>
      <scheme val="minor"/>
    </font>
    <font>
      <sz val="8"/>
      <name val="Calibri"/>
      <family val="2"/>
      <scheme val="minor"/>
    </font>
    <font>
      <b/>
      <sz val="10"/>
      <color indexed="10"/>
      <name val="Calibri"/>
      <family val="2"/>
      <scheme val="minor"/>
    </font>
    <font>
      <b/>
      <sz val="16"/>
      <color rgb="FF0070C0"/>
      <name val="Calibri"/>
      <family val="2"/>
      <scheme val="minor"/>
    </font>
    <font>
      <b/>
      <sz val="12"/>
      <color indexed="10"/>
      <name val="Calibri"/>
      <family val="2"/>
      <scheme val="minor"/>
    </font>
    <font>
      <sz val="11"/>
      <color indexed="12"/>
      <name val="Calibri"/>
      <family val="2"/>
      <scheme val="minor"/>
    </font>
    <font>
      <sz val="12"/>
      <color indexed="12"/>
      <name val="Calibri"/>
      <family val="2"/>
      <scheme val="minor"/>
    </font>
    <font>
      <b/>
      <sz val="11"/>
      <color indexed="12"/>
      <name val="Calibri"/>
      <family val="2"/>
      <scheme val="minor"/>
    </font>
    <font>
      <sz val="11"/>
      <color indexed="10"/>
      <name val="Calibri"/>
      <family val="2"/>
      <scheme val="minor"/>
    </font>
    <font>
      <sz val="8"/>
      <name val="Arial"/>
      <family val="2"/>
    </font>
    <font>
      <b/>
      <sz val="10"/>
      <color theme="5" tint="-0.249977111117893"/>
      <name val="Calibri"/>
      <family val="2"/>
      <scheme val="minor"/>
    </font>
    <font>
      <b/>
      <sz val="10"/>
      <color theme="9" tint="-0.249977111117893"/>
      <name val="Calibri"/>
      <family val="2"/>
      <scheme val="minor"/>
    </font>
    <font>
      <b/>
      <sz val="10"/>
      <color rgb="FF7030A0"/>
      <name val="Calibri"/>
      <family val="2"/>
      <scheme val="minor"/>
    </font>
    <font>
      <sz val="10"/>
      <color rgb="FF800000"/>
      <name val="Calibri"/>
      <family val="2"/>
      <scheme val="minor"/>
    </font>
    <font>
      <sz val="10"/>
      <color theme="1" tint="0.499984740745262"/>
      <name val="Calibri"/>
      <family val="2"/>
      <scheme val="minor"/>
    </font>
    <font>
      <sz val="10"/>
      <color rgb="FF808080"/>
      <name val="Calibri"/>
      <family val="2"/>
      <scheme val="minor"/>
    </font>
    <font>
      <sz val="10"/>
      <color theme="9" tint="-0.249977111117893"/>
      <name val="Calibri"/>
      <family val="2"/>
      <scheme val="minor"/>
    </font>
    <font>
      <b/>
      <sz val="11"/>
      <color rgb="FF7030A0"/>
      <name val="Calibri"/>
      <family val="2"/>
      <scheme val="minor"/>
    </font>
    <font>
      <sz val="10"/>
      <color theme="9" tint="-0.499984740745262"/>
      <name val="Calibri"/>
      <family val="2"/>
      <scheme val="minor"/>
    </font>
    <font>
      <sz val="10"/>
      <color rgb="FFC00000"/>
      <name val="Calibri"/>
      <family val="2"/>
      <scheme val="minor"/>
    </font>
    <font>
      <b/>
      <sz val="11"/>
      <color rgb="FF800000"/>
      <name val="Calibri"/>
      <family val="2"/>
      <scheme val="minor"/>
    </font>
    <font>
      <sz val="8"/>
      <color rgb="FF808080"/>
      <name val="Calibri"/>
      <family val="2"/>
      <scheme val="minor"/>
    </font>
    <font>
      <b/>
      <sz val="12"/>
      <color rgb="FF800000"/>
      <name val="Calibri"/>
      <family val="2"/>
      <scheme val="minor"/>
    </font>
    <font>
      <sz val="11"/>
      <color rgb="FF800000"/>
      <name val="Calibri"/>
      <family val="2"/>
      <scheme val="minor"/>
    </font>
    <font>
      <sz val="18"/>
      <color theme="1"/>
      <name val="Calibri"/>
      <family val="2"/>
      <scheme val="minor"/>
    </font>
    <font>
      <b/>
      <sz val="18"/>
      <color theme="1"/>
      <name val="Calibri"/>
      <family val="2"/>
      <scheme val="minor"/>
    </font>
    <font>
      <sz val="11"/>
      <color theme="1" tint="0.34998626667073579"/>
      <name val="Calibri"/>
      <family val="2"/>
      <scheme val="minor"/>
    </font>
    <font>
      <sz val="10"/>
      <color theme="1" tint="0.34998626667073579"/>
      <name val="Calibri"/>
      <family val="2"/>
      <scheme val="minor"/>
    </font>
    <font>
      <b/>
      <sz val="11"/>
      <color theme="9" tint="-0.249977111117893"/>
      <name val="Calibri"/>
      <family val="2"/>
      <scheme val="minor"/>
    </font>
    <font>
      <sz val="18"/>
      <color theme="0"/>
      <name val="Calibri"/>
      <family val="2"/>
      <scheme val="minor"/>
    </font>
    <font>
      <b/>
      <sz val="18"/>
      <color theme="0"/>
      <name val="Calibri"/>
      <family val="2"/>
      <scheme val="minor"/>
    </font>
    <font>
      <sz val="11"/>
      <color theme="10"/>
      <name val="Calibri"/>
      <family val="2"/>
      <scheme val="minor"/>
    </font>
    <font>
      <sz val="11"/>
      <color rgb="FF0070C0"/>
      <name val="Calibri"/>
      <family val="2"/>
      <scheme val="minor"/>
    </font>
    <font>
      <sz val="18"/>
      <color rgb="FF0070C0"/>
      <name val="Calibri"/>
      <family val="2"/>
      <scheme val="minor"/>
    </font>
    <font>
      <b/>
      <sz val="10"/>
      <color theme="1"/>
      <name val="Calibri"/>
      <family val="2"/>
      <scheme val="minor"/>
    </font>
    <font>
      <b/>
      <sz val="22"/>
      <color theme="9" tint="-0.249977111117893"/>
      <name val="Calibri"/>
      <family val="2"/>
      <scheme val="minor"/>
    </font>
    <font>
      <sz val="26"/>
      <color theme="7" tint="-0.249977111117893"/>
      <name val="Calibri"/>
      <family val="2"/>
      <scheme val="minor"/>
    </font>
    <font>
      <sz val="11"/>
      <color theme="1"/>
      <name val="Segoe Print"/>
    </font>
    <font>
      <u/>
      <sz val="12"/>
      <color theme="10"/>
      <name val="Calibri"/>
      <family val="2"/>
      <scheme val="minor"/>
    </font>
    <font>
      <b/>
      <u/>
      <sz val="14"/>
      <color theme="10"/>
      <name val="Calibri"/>
      <family val="2"/>
      <scheme val="minor"/>
    </font>
    <font>
      <b/>
      <sz val="14"/>
      <color rgb="FF7030A0"/>
      <name val="Calibri"/>
      <family val="2"/>
      <scheme val="minor"/>
    </font>
    <font>
      <sz val="11"/>
      <color rgb="FF0033CC"/>
      <name val="Calibri"/>
      <family val="2"/>
      <scheme val="minor"/>
    </font>
    <font>
      <sz val="11"/>
      <color theme="4" tint="0.39997558519241921"/>
      <name val="Calibri"/>
      <family val="2"/>
      <scheme val="minor"/>
    </font>
    <font>
      <sz val="18"/>
      <color rgb="FF0000FF"/>
      <name val="Calibri"/>
      <family val="2"/>
      <scheme val="minor"/>
    </font>
    <font>
      <sz val="14"/>
      <name val="Calibri"/>
      <family val="2"/>
      <scheme val="minor"/>
    </font>
    <font>
      <sz val="14"/>
      <name val="Segoe Print"/>
    </font>
    <font>
      <i/>
      <sz val="11"/>
      <name val="Calibri"/>
      <family val="2"/>
      <scheme val="minor"/>
    </font>
    <font>
      <u/>
      <sz val="14"/>
      <color theme="10"/>
      <name val="Calibri"/>
      <family val="2"/>
      <scheme val="minor"/>
    </font>
    <font>
      <b/>
      <i/>
      <sz val="14"/>
      <name val="Calibri"/>
      <family val="2"/>
      <scheme val="minor"/>
    </font>
    <font>
      <b/>
      <sz val="14"/>
      <name val="Segoe Print"/>
    </font>
    <font>
      <sz val="10"/>
      <color rgb="FF111827"/>
      <name val="Calibri"/>
      <family val="2"/>
    </font>
    <font>
      <b/>
      <sz val="13.5"/>
      <color theme="1"/>
      <name val="Calibri"/>
      <family val="2"/>
      <scheme val="minor"/>
    </font>
    <font>
      <b/>
      <sz val="24"/>
      <color theme="1"/>
      <name val="Calibri"/>
      <family val="2"/>
      <scheme val="minor"/>
    </font>
    <font>
      <b/>
      <sz val="12"/>
      <color theme="1"/>
      <name val="Calibri"/>
      <family val="2"/>
    </font>
    <font>
      <b/>
      <sz val="11"/>
      <name val="Calibri"/>
      <family val="2"/>
    </font>
    <font>
      <sz val="12"/>
      <color theme="1"/>
      <name val="Calibri"/>
      <family val="2"/>
    </font>
    <font>
      <sz val="10"/>
      <color theme="1"/>
      <name val="Calibri"/>
      <family val="2"/>
    </font>
    <font>
      <b/>
      <sz val="12"/>
      <color rgb="FF0033CC"/>
      <name val="Arial Unicode MS"/>
    </font>
    <font>
      <b/>
      <sz val="14"/>
      <color rgb="FFC00000"/>
      <name val="Calibri"/>
      <family val="2"/>
    </font>
    <font>
      <sz val="14"/>
      <color theme="1"/>
      <name val="Calibri"/>
      <family val="2"/>
      <scheme val="minor"/>
    </font>
    <font>
      <b/>
      <sz val="16"/>
      <color theme="1"/>
      <name val="Calibri"/>
      <family val="2"/>
    </font>
    <font>
      <sz val="11"/>
      <name val="Carlito"/>
      <family val="2"/>
    </font>
    <font>
      <sz val="18"/>
      <name val="Arial"/>
      <family val="2"/>
    </font>
    <font>
      <sz val="18"/>
      <color theme="0"/>
      <name val="Calibri"/>
      <family val="2"/>
    </font>
    <font>
      <sz val="18"/>
      <color theme="0"/>
      <name val="Arial"/>
      <family val="2"/>
    </font>
    <font>
      <u/>
      <sz val="18"/>
      <color theme="10"/>
      <name val="Calibri"/>
      <family val="2"/>
      <scheme val="minor"/>
    </font>
    <font>
      <sz val="16"/>
      <color theme="0"/>
      <name val="Calibri"/>
      <family val="2"/>
      <scheme val="minor"/>
    </font>
    <font>
      <sz val="14"/>
      <color theme="0"/>
      <name val="Calibri"/>
      <family val="2"/>
      <scheme val="minor"/>
    </font>
    <font>
      <sz val="14"/>
      <name val="Arial"/>
      <family val="2"/>
    </font>
    <font>
      <sz val="14"/>
      <color theme="0"/>
      <name val="Calibri"/>
      <family val="2"/>
    </font>
    <font>
      <b/>
      <sz val="16"/>
      <color rgb="FFFFFFFF"/>
      <name val="Calibri"/>
      <family val="2"/>
    </font>
    <font>
      <b/>
      <sz val="20"/>
      <color rgb="FFFFFFFF"/>
      <name val="Calibri"/>
      <family val="2"/>
    </font>
    <font>
      <u/>
      <sz val="11"/>
      <color theme="10"/>
      <name val="Carlito"/>
      <family val="2"/>
    </font>
    <font>
      <sz val="12"/>
      <name val="Calibri"/>
      <family val="2"/>
    </font>
    <font>
      <sz val="11"/>
      <name val="Carlito"/>
      <family val="2"/>
    </font>
    <font>
      <i/>
      <sz val="12"/>
      <name val="Calibri"/>
      <family val="2"/>
    </font>
    <font>
      <b/>
      <sz val="12"/>
      <name val="Calibri"/>
      <family val="2"/>
    </font>
    <font>
      <b/>
      <sz val="9"/>
      <color rgb="FFFFFFFF"/>
      <name val="Calibri"/>
      <family val="2"/>
    </font>
    <font>
      <sz val="8"/>
      <color theme="0"/>
      <name val="Calibri"/>
      <family val="2"/>
    </font>
    <font>
      <b/>
      <sz val="14"/>
      <color theme="6" tint="-0.49986266670735802"/>
      <name val="Calibri"/>
      <family val="2"/>
    </font>
    <font>
      <sz val="14"/>
      <name val="Calibri"/>
      <family val="2"/>
    </font>
    <font>
      <b/>
      <sz val="12"/>
      <color rgb="FF0000FF"/>
      <name val="Calibri"/>
      <family val="2"/>
    </font>
    <font>
      <b/>
      <sz val="14"/>
      <color rgb="FF17365D"/>
      <name val="Calibri"/>
      <family val="2"/>
    </font>
    <font>
      <i/>
      <sz val="14"/>
      <color rgb="FF1F2937"/>
      <name val="Calibri"/>
      <family val="2"/>
    </font>
    <font>
      <sz val="12"/>
      <color rgb="FF1F2937"/>
      <name val="Calibri"/>
      <family val="2"/>
    </font>
    <font>
      <b/>
      <sz val="16"/>
      <color rgb="FF17365D"/>
      <name val="Calibri"/>
      <family val="2"/>
    </font>
    <font>
      <sz val="12"/>
      <color rgb="FF17365D"/>
      <name val="Calibri"/>
      <family val="2"/>
    </font>
    <font>
      <b/>
      <sz val="12"/>
      <color rgb="FF0F6B78"/>
      <name val="Calibri"/>
      <family val="2"/>
    </font>
    <font>
      <b/>
      <sz val="12"/>
      <color rgb="FF1F2937"/>
      <name val="Calibri"/>
      <family val="2"/>
    </font>
    <font>
      <b/>
      <sz val="12"/>
      <color rgb="FF17365D"/>
      <name val="Calibri"/>
      <family val="2"/>
    </font>
    <font>
      <sz val="14"/>
      <color rgb="FF1F2937"/>
      <name val="Calibri"/>
      <family val="2"/>
    </font>
    <font>
      <b/>
      <sz val="14"/>
      <color rgb="FF1F2937"/>
      <name val="Calibri"/>
      <family val="2"/>
    </font>
    <font>
      <b/>
      <sz val="18"/>
      <color rgb="FFFFFFFF"/>
      <name val="Calibri"/>
      <family val="2"/>
    </font>
    <font>
      <b/>
      <sz val="12"/>
      <color rgb="FF9C0006"/>
      <name val="Calibri"/>
      <family val="2"/>
    </font>
    <font>
      <b/>
      <sz val="12"/>
      <color rgb="FF9C6500"/>
      <name val="Calibri"/>
      <family val="2"/>
    </font>
    <font>
      <b/>
      <sz val="12"/>
      <color rgb="FF542C85"/>
      <name val="Calibri"/>
      <family val="2"/>
    </font>
    <font>
      <sz val="10"/>
      <color theme="1"/>
      <name val="Arial Unicode MS"/>
    </font>
    <font>
      <b/>
      <sz val="18"/>
      <color rgb="FF9C0006"/>
      <name val="Calibri"/>
      <family val="2"/>
    </font>
    <font>
      <sz val="12"/>
      <color rgb="FF0033CC"/>
      <name val="Calibri"/>
      <family val="2"/>
    </font>
    <font>
      <sz val="12"/>
      <color rgb="FFC00000"/>
      <name val="Calibri"/>
      <family val="2"/>
    </font>
    <font>
      <b/>
      <sz val="11"/>
      <color theme="0"/>
      <name val="Calibri"/>
      <family val="2"/>
      <charset val="1"/>
    </font>
    <font>
      <b/>
      <sz val="14"/>
      <color theme="0"/>
      <name val="Calibri"/>
      <family val="2"/>
      <charset val="1"/>
    </font>
    <font>
      <b/>
      <sz val="22"/>
      <color theme="0"/>
      <name val="Calibri"/>
      <family val="2"/>
      <charset val="1"/>
    </font>
    <font>
      <b/>
      <sz val="11"/>
      <name val="Calibri"/>
      <family val="2"/>
      <charset val="1"/>
    </font>
    <font>
      <b/>
      <sz val="14"/>
      <name val="Calibri"/>
      <family val="2"/>
      <charset val="1"/>
    </font>
    <font>
      <b/>
      <sz val="14"/>
      <color rgb="FF1F1F1F"/>
      <name val="Calibri"/>
      <family val="2"/>
      <charset val="1"/>
    </font>
    <font>
      <b/>
      <sz val="10"/>
      <name val="Calibri"/>
      <family val="2"/>
      <charset val="1"/>
    </font>
    <font>
      <b/>
      <sz val="16"/>
      <color theme="0"/>
      <name val="Calibri"/>
      <family val="2"/>
      <charset val="1"/>
    </font>
    <font>
      <b/>
      <sz val="11"/>
      <color rgb="FF1F1F1F"/>
      <name val="Calibri"/>
      <family val="2"/>
      <charset val="1"/>
    </font>
    <font>
      <b/>
      <sz val="14"/>
      <color theme="0"/>
      <name val="Carlito"/>
      <family val="2"/>
    </font>
    <font>
      <b/>
      <sz val="11"/>
      <color theme="1"/>
      <name val="Calibri"/>
      <family val="2"/>
      <charset val="1"/>
    </font>
    <font>
      <b/>
      <sz val="12"/>
      <color theme="1"/>
      <name val="Calibri"/>
      <family val="2"/>
      <charset val="1"/>
    </font>
    <font>
      <b/>
      <sz val="12"/>
      <color rgb="FF1F4E79"/>
      <name val="Calibri"/>
      <family val="2"/>
      <charset val="1"/>
    </font>
    <font>
      <b/>
      <sz val="12"/>
      <color rgb="FF0033CC"/>
      <name val="Calibri"/>
      <family val="2"/>
      <charset val="1"/>
    </font>
    <font>
      <b/>
      <sz val="12"/>
      <color rgb="FF0000FF"/>
      <name val="Calibri"/>
      <family val="2"/>
      <charset val="1"/>
    </font>
    <font>
      <b/>
      <sz val="12"/>
      <color rgb="FFC00000"/>
      <name val="Calibri"/>
      <family val="2"/>
      <charset val="1"/>
    </font>
    <font>
      <b/>
      <sz val="12"/>
      <color rgb="FF1F1F1F"/>
      <name val="Calibri"/>
      <family val="2"/>
      <charset val="1"/>
    </font>
    <font>
      <sz val="12"/>
      <color theme="1"/>
      <name val="Calibri"/>
      <family val="2"/>
      <charset val="1"/>
    </font>
    <font>
      <b/>
      <sz val="12"/>
      <color theme="1" tint="0.3498947111423078"/>
      <name val="Calibri"/>
      <family val="2"/>
      <charset val="1"/>
    </font>
    <font>
      <sz val="11"/>
      <color theme="0"/>
      <name val="Calibri"/>
      <family val="2"/>
      <charset val="1"/>
    </font>
    <font>
      <b/>
      <sz val="12"/>
      <color theme="0"/>
      <name val="Calibri"/>
      <family val="2"/>
      <charset val="1"/>
    </font>
    <font>
      <b/>
      <sz val="10"/>
      <color rgb="FF1F1F1F"/>
      <name val="Calibri"/>
      <family val="2"/>
      <charset val="1"/>
    </font>
    <font>
      <b/>
      <sz val="11"/>
      <color rgb="FFFFFFFF"/>
      <name val="Calibri"/>
      <family val="2"/>
      <charset val="1"/>
    </font>
    <font>
      <b/>
      <sz val="16"/>
      <color theme="1" tint="0.3498947111423078"/>
      <name val="Calibri"/>
      <family val="2"/>
      <charset val="1"/>
    </font>
    <font>
      <b/>
      <sz val="14"/>
      <color theme="0" tint="-4.9989318521683403E-2"/>
      <name val="Calibri"/>
      <family val="2"/>
      <charset val="1"/>
    </font>
    <font>
      <b/>
      <sz val="10"/>
      <color rgb="FFFFFFFF"/>
      <name val="Calibri"/>
      <family val="2"/>
    </font>
    <font>
      <b/>
      <sz val="36"/>
      <color theme="9" tint="-0.249977111117893"/>
      <name val="Calibri"/>
      <family val="2"/>
    </font>
    <font>
      <b/>
      <sz val="24"/>
      <color theme="9" tint="-0.249977111117893"/>
      <name val="Calibri"/>
      <family val="2"/>
    </font>
    <font>
      <b/>
      <sz val="18"/>
      <color rgb="FFC00000"/>
      <name val="Calibri"/>
      <family val="2"/>
    </font>
    <font>
      <b/>
      <sz val="22"/>
      <name val="Calibri"/>
      <family val="2"/>
    </font>
    <font>
      <b/>
      <sz val="12"/>
      <color theme="9" tint="-0.49995422223578601"/>
      <name val="Calibri"/>
      <family val="2"/>
    </font>
    <font>
      <sz val="8"/>
      <color rgb="FFC00000"/>
      <name val="Calibri"/>
      <family val="2"/>
    </font>
    <font>
      <sz val="11"/>
      <color theme="0"/>
      <name val="Calibri"/>
      <family val="2"/>
    </font>
    <font>
      <b/>
      <sz val="11"/>
      <color rgb="FF0070C0"/>
      <name val="Calibri"/>
      <family val="2"/>
    </font>
    <font>
      <b/>
      <sz val="12"/>
      <color theme="0"/>
      <name val="Calibri"/>
      <family val="2"/>
    </font>
    <font>
      <sz val="8"/>
      <color theme="9" tint="0.39997558519241921"/>
      <name val="Calibri"/>
      <family val="2"/>
    </font>
    <font>
      <sz val="8"/>
      <color theme="9" tint="0.79995117038483843"/>
      <name val="Calibri"/>
      <family val="2"/>
    </font>
    <font>
      <b/>
      <sz val="20"/>
      <color theme="0"/>
      <name val="Calibri"/>
      <family val="2"/>
    </font>
    <font>
      <b/>
      <sz val="26"/>
      <color rgb="FFFFFFFF"/>
      <name val="Calibri"/>
      <family val="2"/>
    </font>
    <font>
      <sz val="12"/>
      <color theme="0"/>
      <name val="Calibri"/>
      <family val="2"/>
    </font>
    <font>
      <sz val="8"/>
      <color theme="1" tint="0.249977111117893"/>
      <name val="Calibri"/>
      <family val="2"/>
    </font>
    <font>
      <sz val="9"/>
      <name val="Calibri"/>
      <family val="2"/>
    </font>
    <font>
      <sz val="10"/>
      <name val="MS Sans Serif"/>
    </font>
    <font>
      <b/>
      <sz val="12"/>
      <color theme="5" tint="-0.49995422223578601"/>
      <name val="Calibri"/>
      <family val="2"/>
    </font>
    <font>
      <sz val="12"/>
      <color theme="9" tint="-0.249977111117893"/>
      <name val="Calibri"/>
      <family val="2"/>
    </font>
    <font>
      <b/>
      <sz val="12"/>
      <color theme="9" tint="-0.249977111117893"/>
      <name val="Calibri"/>
      <family val="2"/>
    </font>
    <font>
      <sz val="11"/>
      <color theme="1" tint="0.249977111117893"/>
      <name val="Calibri"/>
      <family val="2"/>
    </font>
    <font>
      <sz val="11"/>
      <color rgb="FFFF0000"/>
      <name val="Calibri"/>
      <family val="2"/>
    </font>
    <font>
      <sz val="8"/>
      <color theme="0" tint="-0.49995422223578601"/>
      <name val="Calibri"/>
      <family val="2"/>
    </font>
    <font>
      <sz val="11"/>
      <color rgb="FF0000FF"/>
      <name val="Calibri"/>
      <family val="2"/>
    </font>
    <font>
      <sz val="12"/>
      <color rgb="FF0000FF"/>
      <name val="Calibri"/>
      <family val="2"/>
    </font>
    <font>
      <b/>
      <sz val="11"/>
      <color rgb="FF0000FF"/>
      <name val="Calibri"/>
      <family val="2"/>
    </font>
    <font>
      <sz val="8"/>
      <color theme="0" tint="-0.249977111117893"/>
      <name val="Calibri"/>
      <family val="2"/>
    </font>
    <font>
      <sz val="8"/>
      <color theme="3"/>
      <name val="Calibri"/>
      <family val="2"/>
    </font>
    <font>
      <b/>
      <sz val="9"/>
      <name val="Calibri"/>
      <family val="2"/>
    </font>
    <font>
      <sz val="10"/>
      <color rgb="FF0000FF"/>
      <name val="Calibri"/>
      <family val="2"/>
    </font>
    <font>
      <sz val="8"/>
      <color theme="1"/>
      <name val="Calibri"/>
      <family val="2"/>
    </font>
    <font>
      <sz val="8"/>
      <color rgb="FF00B050"/>
      <name val="Calibri"/>
      <family val="2"/>
    </font>
    <font>
      <b/>
      <sz val="10"/>
      <color theme="9" tint="-0.49995422223578601"/>
      <name val="Calibri"/>
      <family val="2"/>
    </font>
    <font>
      <b/>
      <sz val="11"/>
      <color rgb="FFC00000"/>
      <name val="Calibri"/>
      <family val="2"/>
    </font>
    <font>
      <b/>
      <sz val="8"/>
      <name val="Calibri"/>
      <family val="2"/>
    </font>
    <font>
      <sz val="9"/>
      <color theme="7" tint="-0.49995422223578601"/>
      <name val="Calibri"/>
      <family val="2"/>
    </font>
    <font>
      <sz val="10"/>
      <color theme="3"/>
      <name val="Calibri"/>
      <family val="2"/>
    </font>
    <font>
      <b/>
      <sz val="12"/>
      <color rgb="FFFF0000"/>
      <name val="Calibri"/>
      <family val="2"/>
    </font>
    <font>
      <sz val="11"/>
      <color theme="9" tint="-0.49995422223578601"/>
      <name val="Calibri"/>
      <family val="2"/>
    </font>
    <font>
      <b/>
      <sz val="11"/>
      <color theme="9" tint="-0.49995422223578601"/>
      <name val="Calibri"/>
      <family val="2"/>
    </font>
    <font>
      <sz val="12"/>
      <color theme="9" tint="-0.49995422223578601"/>
      <name val="Calibri"/>
      <family val="2"/>
    </font>
    <font>
      <b/>
      <sz val="11"/>
      <color theme="7" tint="-0.49995422223578601"/>
      <name val="Calibri"/>
      <family val="2"/>
    </font>
    <font>
      <b/>
      <sz val="12"/>
      <color rgb="FF008000"/>
      <name val="Calibri"/>
      <family val="2"/>
    </font>
    <font>
      <sz val="9"/>
      <color theme="0" tint="-0.49995422223578601"/>
      <name val="Calibri"/>
      <family val="2"/>
    </font>
    <font>
      <sz val="11"/>
      <color rgb="FFC00000"/>
      <name val="Calibri"/>
      <family val="2"/>
    </font>
    <font>
      <sz val="8"/>
      <color theme="9" tint="-0.49995422223578601"/>
      <name val="Calibri"/>
      <family val="2"/>
    </font>
    <font>
      <sz val="12"/>
      <color rgb="FFFF0000"/>
      <name val="Calibri"/>
      <family val="2"/>
    </font>
    <font>
      <sz val="8"/>
      <color theme="0" tint="-0.34998626667073579"/>
      <name val="Calibri"/>
      <family val="2"/>
    </font>
    <font>
      <sz val="11"/>
      <color rgb="FF7030A0"/>
      <name val="Calibri"/>
      <family val="2"/>
    </font>
    <font>
      <sz val="10"/>
      <color rgb="FF7030A0"/>
      <name val="Calibri"/>
      <family val="2"/>
    </font>
    <font>
      <sz val="11"/>
      <color rgb="FF0033CC"/>
      <name val="Calibri"/>
      <family val="2"/>
    </font>
    <font>
      <b/>
      <sz val="8"/>
      <color theme="0" tint="-0.249977111117893"/>
      <name val="Calibri"/>
      <family val="2"/>
    </font>
    <font>
      <b/>
      <sz val="10"/>
      <color theme="0" tint="-0.249977111117893"/>
      <name val="Calibri"/>
      <family val="2"/>
    </font>
    <font>
      <sz val="14"/>
      <color theme="1"/>
      <name val="Calibri"/>
      <family val="2"/>
    </font>
    <font>
      <sz val="11"/>
      <color theme="9" tint="-0.249977111117893"/>
      <name val="Calibri"/>
      <family val="2"/>
    </font>
    <font>
      <b/>
      <sz val="18"/>
      <name val="Calibri"/>
      <family val="2"/>
    </font>
    <font>
      <b/>
      <sz val="12"/>
      <color indexed="12"/>
      <name val="Calibri"/>
      <family val="2"/>
    </font>
    <font>
      <b/>
      <sz val="11"/>
      <color theme="1"/>
      <name val="Calibri"/>
      <family val="2"/>
    </font>
    <font>
      <sz val="9"/>
      <color theme="0"/>
      <name val="Calibri"/>
      <family val="2"/>
    </font>
    <font>
      <b/>
      <sz val="11"/>
      <color rgb="FF0033CC"/>
      <name val="Calibri"/>
      <family val="2"/>
    </font>
    <font>
      <sz val="9"/>
      <color theme="1" tint="0.34998626667073579"/>
      <name val="Calibri"/>
      <family val="2"/>
    </font>
    <font>
      <b/>
      <sz val="12"/>
      <color theme="7" tint="-0.49995422223578601"/>
      <name val="Calibri"/>
      <family val="2"/>
    </font>
    <font>
      <b/>
      <sz val="10"/>
      <color theme="7" tint="-0.49995422223578601"/>
      <name val="Calibri"/>
      <family val="2"/>
    </font>
    <font>
      <sz val="12"/>
      <color theme="7" tint="-0.49995422223578601"/>
      <name val="Calibri"/>
      <family val="2"/>
    </font>
    <font>
      <b/>
      <sz val="14"/>
      <color rgb="FF1F1F1F"/>
      <name val="Calibri"/>
      <family val="2"/>
    </font>
    <font>
      <b/>
      <sz val="13"/>
      <color rgb="FFFFFFFF"/>
      <name val="Calibri"/>
      <family val="2"/>
    </font>
    <font>
      <sz val="14"/>
      <color rgb="FF0033CC"/>
      <name val="Calibri"/>
      <family val="2"/>
    </font>
    <font>
      <b/>
      <sz val="14"/>
      <color rgb="FF0033CC"/>
      <name val="Calibri"/>
      <family val="2"/>
    </font>
    <font>
      <b/>
      <sz val="18"/>
      <color rgb="FF0033CC"/>
      <name val="Calibri"/>
      <family val="2"/>
    </font>
    <font>
      <sz val="11"/>
      <color rgb="FFFFFFFF"/>
      <name val="Calibri"/>
      <family val="2"/>
    </font>
    <font>
      <i/>
      <sz val="9"/>
      <color theme="1"/>
      <name val="Calibri"/>
      <family val="2"/>
      <scheme val="minor"/>
    </font>
    <font>
      <b/>
      <i/>
      <sz val="14"/>
      <color rgb="FF4B5563"/>
      <name val="Calibri"/>
      <family val="2"/>
    </font>
    <font>
      <sz val="12"/>
      <color rgb="FF0033CC"/>
      <name val="Calibri"/>
      <family val="2"/>
      <scheme val="minor"/>
    </font>
    <font>
      <b/>
      <sz val="11"/>
      <color rgb="FF1F1F1F"/>
      <name val="Calibri"/>
      <family val="2"/>
    </font>
    <font>
      <sz val="11"/>
      <color theme="10"/>
      <name val="Calibri"/>
      <family val="2"/>
    </font>
    <font>
      <i/>
      <sz val="11"/>
      <color theme="1"/>
      <name val="Calibri"/>
      <family val="2"/>
    </font>
    <font>
      <i/>
      <sz val="11"/>
      <color rgb="FF1F2937"/>
      <name val="Calibri"/>
      <family val="2"/>
    </font>
    <font>
      <i/>
      <sz val="11"/>
      <color rgb="FF16323A"/>
      <name val="Calibri"/>
      <family val="2"/>
    </font>
    <font>
      <b/>
      <sz val="10"/>
      <color theme="1"/>
      <name val="Calibri"/>
      <family val="2"/>
    </font>
    <font>
      <sz val="10"/>
      <color rgb="FF1F2937"/>
      <name val="Calibri"/>
      <family val="2"/>
    </font>
    <font>
      <b/>
      <sz val="12"/>
      <color rgb="FF0F4C5C"/>
      <name val="Calibri"/>
      <family val="2"/>
    </font>
    <font>
      <sz val="11"/>
      <color rgb="FF1F2937"/>
      <name val="Calibri"/>
      <family val="2"/>
    </font>
    <font>
      <sz val="11"/>
      <color rgb="FF1D2A2E"/>
      <name val="Calibri"/>
      <family val="2"/>
    </font>
    <font>
      <sz val="11"/>
      <color rgb="FF412020"/>
      <name val="Calibri"/>
      <family val="2"/>
    </font>
    <font>
      <b/>
      <i/>
      <sz val="12"/>
      <color rgb="FFFFFFFF"/>
      <name val="Calibri"/>
      <family val="2"/>
    </font>
    <font>
      <b/>
      <sz val="12"/>
      <color rgb="FF385723"/>
      <name val="Calibri"/>
      <family val="2"/>
    </font>
    <font>
      <b/>
      <sz val="13"/>
      <color rgb="FF5A4300"/>
      <name val="Calibri"/>
      <family val="2"/>
    </font>
    <font>
      <b/>
      <sz val="11"/>
      <color rgb="FF1F2937"/>
      <name val="Calibri"/>
      <family val="2"/>
    </font>
    <font>
      <b/>
      <sz val="10"/>
      <color rgb="FF374151"/>
      <name val="Calibri"/>
      <family val="2"/>
    </font>
    <font>
      <sz val="10"/>
      <color rgb="FF1D4ED8"/>
      <name val="Calibri"/>
      <family val="2"/>
    </font>
    <font>
      <b/>
      <sz val="12"/>
      <color rgb="FF843C0C"/>
      <name val="Calibri"/>
      <family val="2"/>
    </font>
    <font>
      <i/>
      <sz val="10"/>
      <color rgb="FF1F2937"/>
      <name val="Calibri"/>
      <family val="2"/>
    </font>
    <font>
      <i/>
      <sz val="10"/>
      <color rgb="FF595959"/>
      <name val="Calibri"/>
      <family val="2"/>
    </font>
    <font>
      <b/>
      <i/>
      <sz val="11"/>
      <color rgb="FFFFFFFF"/>
      <name val="Calibri"/>
      <family val="2"/>
    </font>
    <font>
      <b/>
      <sz val="12"/>
      <color rgb="FF17324D"/>
      <name val="Calibri"/>
      <family val="2"/>
    </font>
    <font>
      <b/>
      <sz val="11"/>
      <color rgb="FF163A5F"/>
      <name val="Calibri"/>
      <family val="2"/>
    </font>
    <font>
      <b/>
      <sz val="14"/>
      <color rgb="FF163A5F"/>
      <name val="Calibri"/>
      <family val="2"/>
    </font>
    <font>
      <b/>
      <sz val="11"/>
      <color rgb="FF17324D"/>
      <name val="Calibri"/>
      <family val="2"/>
    </font>
    <font>
      <sz val="11"/>
      <color rgb="FF17324D"/>
      <name val="Calibri"/>
      <family val="2"/>
    </font>
    <font>
      <b/>
      <sz val="10"/>
      <color rgb="FF163A5F"/>
      <name val="Calibri"/>
      <family val="2"/>
    </font>
    <font>
      <b/>
      <sz val="12"/>
      <color rgb="FF163A5F"/>
      <name val="Calibri"/>
      <family val="2"/>
    </font>
    <font>
      <b/>
      <sz val="11"/>
      <color rgb="FF8B1E1E"/>
      <name val="Calibri"/>
      <family val="2"/>
    </font>
    <font>
      <i/>
      <sz val="9"/>
      <color rgb="FF5B6573"/>
      <name val="Calibri"/>
      <family val="2"/>
    </font>
    <font>
      <sz val="9"/>
      <color rgb="FF666666"/>
      <name val="Calibri"/>
      <family val="2"/>
    </font>
    <font>
      <b/>
      <sz val="14"/>
      <color rgb="FF0033CC"/>
      <name val="Calibri"/>
      <family val="2"/>
      <scheme val="minor"/>
    </font>
    <font>
      <b/>
      <sz val="8"/>
      <color theme="1"/>
      <name val="Calibri"/>
      <family val="2"/>
      <scheme val="minor"/>
    </font>
    <font>
      <i/>
      <sz val="12"/>
      <color theme="1"/>
      <name val="Calibri"/>
      <family val="2"/>
      <scheme val="minor"/>
    </font>
    <font>
      <i/>
      <sz val="12"/>
      <color theme="0"/>
      <name val="Calibri"/>
      <family val="2"/>
      <scheme val="minor"/>
    </font>
    <font>
      <i/>
      <sz val="12"/>
      <name val="Calibri"/>
      <family val="2"/>
      <scheme val="minor"/>
    </font>
    <font>
      <i/>
      <sz val="8"/>
      <color theme="1"/>
      <name val="Calibri"/>
      <family val="2"/>
      <scheme val="minor"/>
    </font>
  </fonts>
  <fills count="222">
    <fill>
      <patternFill patternType="none"/>
    </fill>
    <fill>
      <patternFill patternType="gray125"/>
    </fill>
    <fill>
      <patternFill patternType="solid">
        <fgColor rgb="FF1F4E78"/>
      </patternFill>
    </fill>
    <fill>
      <patternFill patternType="solid">
        <fgColor rgb="FFE2F0D9"/>
      </patternFill>
    </fill>
    <fill>
      <patternFill patternType="solid">
        <fgColor rgb="FFFCE4D6"/>
      </patternFill>
    </fill>
    <fill>
      <patternFill patternType="solid">
        <fgColor rgb="FFE7E6E6"/>
      </patternFill>
    </fill>
    <fill>
      <patternFill patternType="solid">
        <fgColor rgb="FFFF0000"/>
        <bgColor indexed="64"/>
      </patternFill>
    </fill>
    <fill>
      <patternFill patternType="solid">
        <fgColor rgb="FFB38867"/>
        <bgColor indexed="64"/>
      </patternFill>
    </fill>
    <fill>
      <patternFill patternType="solid">
        <fgColor rgb="FFFFFFCC"/>
        <bgColor indexed="64"/>
      </patternFill>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1F4E78"/>
        <bgColor indexed="64"/>
      </patternFill>
    </fill>
    <fill>
      <patternFill patternType="solid">
        <fgColor rgb="FFF2F2F2"/>
      </patternFill>
    </fill>
    <fill>
      <patternFill patternType="solid">
        <fgColor rgb="FFCC00FF"/>
        <bgColor indexed="64"/>
      </patternFill>
    </fill>
    <fill>
      <patternFill patternType="solid">
        <fgColor rgb="FFED7D31"/>
        <bgColor indexed="64"/>
      </patternFill>
    </fill>
    <fill>
      <patternFill patternType="solid">
        <fgColor rgb="FF92D050"/>
        <bgColor indexed="64"/>
      </patternFill>
    </fill>
    <fill>
      <patternFill patternType="solid">
        <fgColor indexed="23"/>
        <bgColor indexed="64"/>
      </patternFill>
    </fill>
    <fill>
      <patternFill patternType="solid">
        <fgColor rgb="FF808080"/>
        <bgColor indexed="64"/>
      </patternFill>
    </fill>
    <fill>
      <patternFill patternType="solid">
        <fgColor rgb="FF99CC00"/>
        <bgColor indexed="64"/>
      </patternFill>
    </fill>
    <fill>
      <patternFill patternType="solid">
        <fgColor theme="9" tint="0.79998168889431442"/>
        <bgColor indexed="64"/>
      </patternFill>
    </fill>
    <fill>
      <patternFill patternType="solid">
        <fgColor rgb="FF0F766E"/>
        <bgColor indexed="64"/>
      </patternFill>
    </fill>
    <fill>
      <patternFill patternType="solid">
        <fgColor rgb="FF22C55E"/>
        <bgColor indexed="64"/>
      </patternFill>
    </fill>
    <fill>
      <patternFill patternType="solid">
        <fgColor rgb="FFEAB308"/>
        <bgColor indexed="64"/>
      </patternFill>
    </fill>
    <fill>
      <patternFill patternType="solid">
        <fgColor rgb="FFF97316"/>
        <bgColor indexed="64"/>
      </patternFill>
    </fill>
    <fill>
      <patternFill patternType="solid">
        <fgColor rgb="FF3B82F6"/>
        <bgColor indexed="64"/>
      </patternFill>
    </fill>
    <fill>
      <patternFill patternType="solid">
        <fgColor rgb="FF8B5CF6"/>
        <bgColor indexed="64"/>
      </patternFill>
    </fill>
    <fill>
      <patternFill patternType="solid">
        <fgColor rgb="FFD6BFA6"/>
        <bgColor indexed="64"/>
      </patternFill>
    </fill>
    <fill>
      <patternFill patternType="solid">
        <fgColor rgb="FF60A5FA"/>
        <bgColor indexed="64"/>
      </patternFill>
    </fill>
    <fill>
      <patternFill patternType="solid">
        <fgColor rgb="FF16A34A"/>
        <bgColor indexed="64"/>
      </patternFill>
    </fill>
    <fill>
      <patternFill patternType="solid">
        <fgColor rgb="FF6366F1"/>
        <bgColor indexed="64"/>
      </patternFill>
    </fill>
    <fill>
      <patternFill patternType="solid">
        <fgColor rgb="FFE3D4C3"/>
        <bgColor indexed="64"/>
      </patternFill>
    </fill>
    <fill>
      <patternFill patternType="solid">
        <fgColor rgb="FFFFFF99"/>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CCCCFF"/>
        <bgColor indexed="64"/>
      </patternFill>
    </fill>
    <fill>
      <patternFill patternType="solid">
        <fgColor rgb="FFF4B740"/>
        <bgColor indexed="64"/>
      </patternFill>
    </fill>
    <fill>
      <patternFill patternType="solid">
        <fgColor rgb="FFFFD64D"/>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indexed="26"/>
        <bgColor indexed="64"/>
      </patternFill>
    </fill>
    <fill>
      <patternFill patternType="solid">
        <fgColor rgb="FF7030A0"/>
        <bgColor indexed="64"/>
      </patternFill>
    </fill>
    <fill>
      <patternFill patternType="solid">
        <fgColor indexed="9"/>
        <bgColor indexed="64"/>
      </patternFill>
    </fill>
    <fill>
      <patternFill patternType="solid">
        <fgColor theme="0" tint="-0.14993743705557422"/>
        <bgColor indexed="64"/>
      </patternFill>
    </fill>
    <fill>
      <patternFill patternType="solid">
        <fgColor theme="0" tint="-0.14996795556505021"/>
        <bgColor indexed="64"/>
      </patternFill>
    </fill>
    <fill>
      <patternFill patternType="solid">
        <fgColor theme="0" tint="-0.14999847407452621"/>
        <bgColor theme="0"/>
      </patternFill>
    </fill>
    <fill>
      <patternFill patternType="solid">
        <fgColor indexed="42"/>
        <bgColor indexed="64"/>
      </patternFill>
    </fill>
    <fill>
      <patternFill patternType="solid">
        <fgColor rgb="FFCCFFCC"/>
        <bgColor indexed="64"/>
      </patternFill>
    </fill>
    <fill>
      <patternFill patternType="solid">
        <fgColor rgb="FFBF95DF"/>
        <bgColor indexed="64"/>
      </patternFill>
    </fill>
    <fill>
      <patternFill patternType="solid">
        <fgColor theme="0"/>
        <bgColor indexed="9"/>
      </patternFill>
    </fill>
    <fill>
      <patternFill patternType="solid">
        <fgColor rgb="FFFFFFCC"/>
        <bgColor indexed="9"/>
      </patternFill>
    </fill>
    <fill>
      <patternFill patternType="solid">
        <fgColor rgb="FFFFFFAF"/>
        <bgColor indexed="64"/>
      </patternFill>
    </fill>
    <fill>
      <patternFill patternType="solid">
        <fgColor theme="0"/>
        <bgColor theme="0"/>
      </patternFill>
    </fill>
    <fill>
      <patternFill patternType="solid">
        <fgColor rgb="FFE8D9F3"/>
        <bgColor indexed="64"/>
      </patternFill>
    </fill>
    <fill>
      <patternFill patternType="solid">
        <fgColor rgb="FFF1E8F8"/>
        <bgColor indexed="9"/>
      </patternFill>
    </fill>
    <fill>
      <patternFill patternType="solid">
        <fgColor rgb="FFF1E8F8"/>
        <bgColor indexed="64"/>
      </patternFill>
    </fill>
    <fill>
      <patternFill patternType="solid">
        <fgColor rgb="FFC65911"/>
        <bgColor indexed="64"/>
      </patternFill>
    </fill>
    <fill>
      <patternFill patternType="solid">
        <fgColor theme="5" tint="-0.249977111117893"/>
        <bgColor indexed="64"/>
      </patternFill>
    </fill>
    <fill>
      <patternFill patternType="solid">
        <fgColor rgb="FFFFFFCC"/>
        <bgColor theme="0"/>
      </patternFill>
    </fill>
    <fill>
      <patternFill patternType="solid">
        <fgColor rgb="FF800000"/>
        <bgColor indexed="64"/>
      </patternFill>
    </fill>
    <fill>
      <patternFill patternType="solid">
        <fgColor rgb="FFA4DE00"/>
        <bgColor indexed="64"/>
      </patternFill>
    </fill>
    <fill>
      <patternFill patternType="solid">
        <fgColor rgb="FFFFFFAF"/>
        <bgColor theme="0"/>
      </patternFill>
    </fill>
    <fill>
      <patternFill patternType="solid">
        <fgColor rgb="FFFFFFAF"/>
        <bgColor indexed="9"/>
      </patternFill>
    </fill>
    <fill>
      <patternFill patternType="solid">
        <fgColor theme="7" tint="0.79998168889431442"/>
        <bgColor indexed="64"/>
      </patternFill>
    </fill>
    <fill>
      <patternFill patternType="solid">
        <fgColor theme="8" tint="0.59999389629810485"/>
        <bgColor indexed="64"/>
      </patternFill>
    </fill>
    <fill>
      <patternFill patternType="solid">
        <fgColor rgb="FFFFF2CC"/>
      </patternFill>
    </fill>
    <fill>
      <patternFill patternType="solid">
        <fgColor theme="1" tint="0.34998626667073579"/>
        <bgColor indexed="64"/>
      </patternFill>
    </fill>
    <fill>
      <patternFill patternType="gray0625">
        <bgColor theme="0"/>
      </patternFill>
    </fill>
    <fill>
      <patternFill patternType="gray125">
        <fgColor theme="7" tint="0.39994506668294322"/>
        <bgColor theme="0"/>
      </patternFill>
    </fill>
    <fill>
      <patternFill patternType="solid">
        <fgColor rgb="FFFFFF99"/>
      </patternFill>
    </fill>
    <fill>
      <patternFill patternType="solid">
        <fgColor rgb="FFF4CCCC"/>
      </patternFill>
    </fill>
    <fill>
      <patternFill patternType="solid">
        <fgColor rgb="FF548235"/>
      </patternFill>
    </fill>
    <fill>
      <patternFill patternType="solid">
        <fgColor rgb="FF666666"/>
      </patternFill>
    </fill>
    <fill>
      <patternFill patternType="solid">
        <fgColor rgb="FF17365D"/>
      </patternFill>
    </fill>
    <fill>
      <patternFill patternType="solid">
        <fgColor rgb="FF2F75B5"/>
      </patternFill>
    </fill>
    <fill>
      <patternFill patternType="solid">
        <fgColor rgb="FF1AA39A"/>
      </patternFill>
    </fill>
    <fill>
      <patternFill patternType="solid">
        <fgColor theme="0"/>
      </patternFill>
    </fill>
    <fill>
      <patternFill patternType="solid">
        <fgColor rgb="FF609ED6"/>
      </patternFill>
    </fill>
    <fill>
      <patternFill patternType="solid">
        <fgColor rgb="FFC00000"/>
      </patternFill>
    </fill>
    <fill>
      <patternFill patternType="solid">
        <fgColor rgb="FFFFFFFF"/>
      </patternFill>
    </fill>
    <fill>
      <patternFill patternType="solid">
        <fgColor rgb="FF5B9BD5"/>
      </patternFill>
    </fill>
    <fill>
      <patternFill patternType="solid">
        <fgColor rgb="FF92D050"/>
      </patternFill>
    </fill>
    <fill>
      <patternFill patternType="solid">
        <fgColor rgb="FFCC00FF"/>
      </patternFill>
    </fill>
    <fill>
      <patternFill patternType="solid">
        <fgColor theme="0" tint="-0.249977111117893"/>
        <bgColor indexed="65"/>
      </patternFill>
    </fill>
    <fill>
      <patternFill patternType="solid">
        <fgColor rgb="FFFFFFCC"/>
      </patternFill>
    </fill>
    <fill>
      <patternFill patternType="solid">
        <fgColor theme="9" tint="0.39997558519241921"/>
        <bgColor indexed="65"/>
      </patternFill>
    </fill>
    <fill>
      <patternFill patternType="solid">
        <fgColor rgb="FFDDEBF7"/>
      </patternFill>
    </fill>
    <fill>
      <patternFill patternType="solid">
        <fgColor rgb="FF0F6B78"/>
      </patternFill>
    </fill>
    <fill>
      <patternFill patternType="solid">
        <fgColor rgb="FFEEF5FB"/>
      </patternFill>
    </fill>
    <fill>
      <patternFill patternType="solid">
        <fgColor rgb="FFD9EAF7"/>
      </patternFill>
    </fill>
    <fill>
      <patternFill patternType="solid">
        <fgColor rgb="FFEAF3F8"/>
      </patternFill>
    </fill>
    <fill>
      <patternFill patternType="solid">
        <fgColor rgb="FFE4DFEC"/>
      </patternFill>
    </fill>
    <fill>
      <patternFill patternType="solid">
        <fgColor rgb="FFBF9000"/>
      </patternFill>
    </fill>
    <fill>
      <patternFill patternType="solid">
        <fgColor rgb="FF70AD47"/>
      </patternFill>
    </fill>
    <fill>
      <patternFill patternType="solid">
        <fgColor rgb="FFCC00FF"/>
        <bgColor rgb="FFFF00FF"/>
      </patternFill>
    </fill>
    <fill>
      <patternFill patternType="solid">
        <fgColor rgb="FF00B050"/>
        <bgColor rgb="FF14A096"/>
      </patternFill>
    </fill>
    <fill>
      <patternFill patternType="solid">
        <fgColor rgb="FF1F3A5F"/>
        <bgColor rgb="FF1F4E78"/>
      </patternFill>
    </fill>
    <fill>
      <patternFill patternType="solid">
        <fgColor theme="0"/>
        <bgColor rgb="FFFFF3F0"/>
      </patternFill>
    </fill>
    <fill>
      <patternFill patternType="solid">
        <fgColor rgb="FFEAF0F8"/>
        <bgColor rgb="FFF2F2F2"/>
      </patternFill>
    </fill>
    <fill>
      <patternFill patternType="solid">
        <fgColor rgb="FFEEE9E1"/>
        <bgColor rgb="FFFBE5D6"/>
      </patternFill>
    </fill>
    <fill>
      <patternFill patternType="solid">
        <fgColor rgb="FFA49680"/>
        <bgColor rgb="FFA0A0A0"/>
      </patternFill>
    </fill>
    <fill>
      <patternFill patternType="solid">
        <fgColor rgb="FFD9E2F3"/>
        <bgColor rgb="FFD9EAF7"/>
      </patternFill>
    </fill>
    <fill>
      <patternFill patternType="solid">
        <fgColor rgb="FFFFF2CC"/>
        <bgColor rgb="FFFFF7D6"/>
      </patternFill>
    </fill>
    <fill>
      <patternFill patternType="solid">
        <fgColor rgb="FFD9D9D9"/>
        <bgColor rgb="FFD9E2F3"/>
      </patternFill>
    </fill>
    <fill>
      <patternFill patternType="solid">
        <fgColor rgb="FFBDB3A3"/>
        <bgColor rgb="FFBFBFBF"/>
      </patternFill>
    </fill>
    <fill>
      <patternFill patternType="solid">
        <fgColor rgb="FFC00000"/>
        <bgColor rgb="FF9C0006"/>
      </patternFill>
    </fill>
    <fill>
      <patternFill patternType="solid">
        <fgColor rgb="FFF7F3E8"/>
        <bgColor rgb="FFF3F3F3"/>
      </patternFill>
    </fill>
    <fill>
      <patternFill patternType="solid">
        <fgColor rgb="FFFFF7D6"/>
        <bgColor rgb="FFFFF2CC"/>
      </patternFill>
    </fill>
    <fill>
      <patternFill patternType="solid">
        <fgColor rgb="FFFFF3F0"/>
        <bgColor rgb="FFF7F3E8"/>
      </patternFill>
    </fill>
    <fill>
      <patternFill patternType="solid">
        <fgColor rgb="FFF2F2F2"/>
        <bgColor rgb="FFF3F3F3"/>
      </patternFill>
    </fill>
    <fill>
      <patternFill patternType="solid">
        <fgColor theme="0" tint="-0.14999847407452621"/>
        <bgColor indexed="65"/>
      </patternFill>
    </fill>
    <fill>
      <patternFill patternType="solid">
        <fgColor rgb="FF99CC00"/>
      </patternFill>
    </fill>
    <fill>
      <patternFill patternType="solid">
        <fgColor theme="9" tint="0.79995117038483843"/>
        <bgColor indexed="65"/>
      </patternFill>
    </fill>
    <fill>
      <patternFill patternType="solid">
        <fgColor rgb="FFFF3B3B"/>
      </patternFill>
    </fill>
    <fill>
      <patternFill patternType="solid">
        <fgColor rgb="FFFF0000"/>
      </patternFill>
    </fill>
    <fill>
      <patternFill patternType="solid">
        <fgColor rgb="FFDEFFBD"/>
      </patternFill>
    </fill>
    <fill>
      <patternFill patternType="solid">
        <fgColor theme="0" tint="-4.9989318521683403E-2"/>
        <bgColor indexed="65"/>
      </patternFill>
    </fill>
    <fill>
      <patternFill patternType="solid">
        <fgColor rgb="FFFFFF00"/>
      </patternFill>
    </fill>
    <fill>
      <patternFill patternType="solid">
        <fgColor theme="9" tint="0.59996337778862885"/>
        <bgColor indexed="65"/>
      </patternFill>
    </fill>
    <fill>
      <patternFill patternType="solid">
        <fgColor rgb="FFDCF5BD"/>
      </patternFill>
    </fill>
    <fill>
      <patternFill patternType="solid">
        <fgColor rgb="FFFFFFD5"/>
      </patternFill>
    </fill>
    <fill>
      <patternFill patternType="solid">
        <fgColor rgb="FFECECEC"/>
      </patternFill>
    </fill>
    <fill>
      <patternFill patternType="solid">
        <fgColor rgb="FFF4F9F1"/>
      </patternFill>
    </fill>
    <fill>
      <patternFill patternType="solid">
        <fgColor rgb="FFFFFF9F"/>
      </patternFill>
    </fill>
    <fill>
      <patternFill patternType="solid">
        <fgColor rgb="FFA9D08E"/>
      </patternFill>
    </fill>
    <fill>
      <patternFill patternType="solid">
        <fgColor theme="4" tint="0.79995117038483843"/>
        <bgColor indexed="65"/>
      </patternFill>
    </fill>
    <fill>
      <patternFill patternType="solid">
        <fgColor rgb="FFFFFFD9"/>
      </patternFill>
    </fill>
    <fill>
      <patternFill patternType="solid">
        <fgColor theme="8" tint="0.79995117038483843"/>
        <bgColor indexed="65"/>
      </patternFill>
    </fill>
    <fill>
      <patternFill patternType="solid">
        <fgColor rgb="FFEFE5F7"/>
      </patternFill>
    </fill>
    <fill>
      <patternFill patternType="solid">
        <fgColor rgb="FFCCCCFF"/>
      </patternFill>
    </fill>
    <fill>
      <patternFill patternType="solid">
        <fgColor rgb="FFDDDDFF"/>
      </patternFill>
    </fill>
    <fill>
      <patternFill patternType="solid">
        <fgColor rgb="FFFFFFB7"/>
      </patternFill>
    </fill>
    <fill>
      <patternFill patternType="solid">
        <fgColor rgb="FF3078BA"/>
        <bgColor indexed="64"/>
      </patternFill>
    </fill>
    <fill>
      <patternFill patternType="solid">
        <fgColor rgb="FF14A096"/>
        <bgColor indexed="64"/>
      </patternFill>
    </fill>
    <fill>
      <patternFill patternType="solid">
        <fgColor rgb="FFFFC000"/>
        <bgColor indexed="64"/>
      </patternFill>
    </fill>
    <fill>
      <patternFill patternType="solid">
        <fgColor theme="4"/>
        <bgColor indexed="64"/>
      </patternFill>
    </fill>
    <fill>
      <patternFill patternType="solid">
        <fgColor rgb="FF7030A0"/>
      </patternFill>
    </fill>
    <fill>
      <patternFill patternType="solid">
        <fgColor rgb="FF0F766E"/>
      </patternFill>
    </fill>
    <fill>
      <patternFill patternType="solid">
        <fgColor rgb="FF609ED6"/>
        <bgColor indexed="64"/>
      </patternFill>
    </fill>
    <fill>
      <patternFill patternType="solid">
        <fgColor rgb="FFFFF2CC"/>
        <bgColor indexed="64"/>
      </patternFill>
    </fill>
    <fill>
      <patternFill patternType="solid">
        <fgColor rgb="FFFCE4D6"/>
        <bgColor indexed="64"/>
      </patternFill>
    </fill>
    <fill>
      <patternFill patternType="solid">
        <fgColor rgb="FFD9EAD3"/>
      </patternFill>
    </fill>
    <fill>
      <patternFill patternType="solid">
        <fgColor theme="0"/>
        <bgColor theme="9"/>
      </patternFill>
    </fill>
    <fill>
      <patternFill patternType="solid">
        <fgColor rgb="FFF3F4F6"/>
      </patternFill>
    </fill>
    <fill>
      <patternFill patternType="solid">
        <fgColor rgb="FFE2F0D9"/>
        <bgColor indexed="64"/>
      </patternFill>
    </fill>
    <fill>
      <patternFill patternType="solid">
        <fgColor rgb="FF1D4ED8"/>
      </patternFill>
    </fill>
    <fill>
      <patternFill patternType="solid">
        <fgColor rgb="FFBFDBFE"/>
      </patternFill>
    </fill>
    <fill>
      <patternFill patternType="solid">
        <fgColor rgb="FFEFF6FF"/>
      </patternFill>
    </fill>
    <fill>
      <patternFill patternType="solid">
        <fgColor rgb="FFDCFCE7"/>
      </patternFill>
    </fill>
    <fill>
      <patternFill patternType="solid">
        <fgColor rgb="FFFEF3C7"/>
      </patternFill>
    </fill>
    <fill>
      <patternFill patternType="solid">
        <fgColor rgb="FFFECACA"/>
      </patternFill>
    </fill>
    <fill>
      <patternFill patternType="solid">
        <fgColor rgb="FFDBEAFE"/>
      </patternFill>
    </fill>
    <fill>
      <patternFill patternType="solid">
        <fgColor rgb="FFF8FAFC"/>
      </patternFill>
    </fill>
    <fill>
      <patternFill patternType="solid">
        <fgColor rgb="FF86EFAC"/>
      </patternFill>
    </fill>
    <fill>
      <patternFill patternType="solid">
        <fgColor rgb="FFF0FDF4"/>
      </patternFill>
    </fill>
    <fill>
      <patternFill patternType="solid">
        <fgColor rgb="FFD9E2F3"/>
      </patternFill>
    </fill>
    <fill>
      <patternFill patternType="solid">
        <fgColor rgb="FF4472C4"/>
      </patternFill>
    </fill>
    <fill>
      <patternFill patternType="solid">
        <fgColor rgb="FFEDEDED"/>
      </patternFill>
    </fill>
    <fill>
      <patternFill patternType="solid">
        <fgColor rgb="FFC55A11"/>
      </patternFill>
    </fill>
    <fill>
      <patternFill patternType="solid">
        <fgColor rgb="FFA9D18E"/>
      </patternFill>
    </fill>
    <fill>
      <patternFill patternType="solid">
        <fgColor rgb="FFEEF2F7"/>
      </patternFill>
    </fill>
    <fill>
      <patternFill patternType="solid">
        <fgColor rgb="FFD9E6F2"/>
      </patternFill>
    </fill>
    <fill>
      <patternFill patternType="solid">
        <fgColor rgb="FF244ED0"/>
      </patternFill>
    </fill>
    <fill>
      <patternFill patternType="solid">
        <fgColor rgb="FFB7CCE8"/>
      </patternFill>
    </fill>
    <fill>
      <patternFill patternType="solid">
        <fgColor rgb="FFCFE2F3"/>
      </patternFill>
    </fill>
    <fill>
      <patternFill patternType="solid">
        <fgColor rgb="FFFCE5CD"/>
      </patternFill>
    </fill>
    <fill>
      <patternFill patternType="solid">
        <fgColor rgb="FF157A74"/>
      </patternFill>
    </fill>
    <fill>
      <patternFill patternType="solid">
        <fgColor rgb="FFFCA5A5"/>
      </patternFill>
    </fill>
    <fill>
      <patternFill patternType="solid">
        <fgColor rgb="FFFEF2F2"/>
      </patternFill>
    </fill>
    <fill>
      <patternFill patternType="solid">
        <fgColor rgb="FFC7D2FE"/>
      </patternFill>
    </fill>
    <fill>
      <patternFill patternType="solid">
        <fgColor rgb="FFEEF2FF"/>
      </patternFill>
    </fill>
    <fill>
      <patternFill patternType="solid">
        <fgColor rgb="FF1F3A5F"/>
      </patternFill>
    </fill>
    <fill>
      <patternFill patternType="solid">
        <fgColor rgb="FF103A44"/>
      </patternFill>
    </fill>
    <fill>
      <patternFill patternType="solid">
        <fgColor rgb="FFDCEFF3"/>
      </patternFill>
    </fill>
    <fill>
      <patternFill patternType="solid">
        <fgColor rgb="FFEEF4FA"/>
      </patternFill>
    </fill>
    <fill>
      <patternFill patternType="solid">
        <fgColor rgb="FF233645"/>
      </patternFill>
    </fill>
    <fill>
      <patternFill patternType="solid">
        <fgColor rgb="FFC98200"/>
      </patternFill>
    </fill>
    <fill>
      <patternFill patternType="solid">
        <fgColor rgb="FFF7F7F7"/>
      </patternFill>
    </fill>
    <fill>
      <patternFill patternType="solid">
        <fgColor rgb="FFF7E8C3"/>
      </patternFill>
    </fill>
    <fill>
      <patternFill patternType="solid">
        <fgColor rgb="FFDCEAF7"/>
      </patternFill>
    </fill>
    <fill>
      <patternFill patternType="solid">
        <fgColor rgb="FFFFF9EC"/>
      </patternFill>
    </fill>
    <fill>
      <patternFill patternType="solid">
        <fgColor rgb="FFF7FBFF"/>
      </patternFill>
    </fill>
    <fill>
      <patternFill patternType="solid">
        <fgColor rgb="FFEAF6F2"/>
      </patternFill>
    </fill>
    <fill>
      <patternFill patternType="solid">
        <fgColor rgb="FFFDECEC"/>
      </patternFill>
    </fill>
    <fill>
      <patternFill patternType="solid">
        <fgColor rgb="FF304B5C"/>
      </patternFill>
    </fill>
    <fill>
      <patternFill patternType="solid">
        <fgColor rgb="FFF6FBF2"/>
      </patternFill>
    </fill>
    <fill>
      <patternFill patternType="solid">
        <fgColor rgb="FF176B87"/>
      </patternFill>
    </fill>
    <fill>
      <patternFill patternType="solid">
        <fgColor rgb="FFD9F0F0"/>
      </patternFill>
    </fill>
    <fill>
      <patternFill patternType="solid">
        <fgColor rgb="FFF3FBFB"/>
      </patternFill>
    </fill>
    <fill>
      <patternFill patternType="solid">
        <fgColor rgb="FF7F6000"/>
      </patternFill>
    </fill>
    <fill>
      <patternFill patternType="solid">
        <fgColor rgb="FFFFF4DC"/>
      </patternFill>
    </fill>
    <fill>
      <patternFill patternType="solid">
        <fgColor rgb="FFEAF4FB"/>
      </patternFill>
    </fill>
    <fill>
      <patternFill patternType="solid">
        <fgColor rgb="FFFFF3CD"/>
      </patternFill>
    </fill>
    <fill>
      <patternFill patternType="solid">
        <fgColor rgb="FFCBDCEB"/>
      </patternFill>
    </fill>
    <fill>
      <patternFill patternType="solid">
        <fgColor rgb="FFFFF8F4"/>
      </patternFill>
    </fill>
    <fill>
      <patternFill patternType="solid">
        <fgColor rgb="FFF7FBFE"/>
      </patternFill>
    </fill>
    <fill>
      <patternFill patternType="solid">
        <fgColor rgb="FF163A5F"/>
      </patternFill>
    </fill>
    <fill>
      <patternFill patternType="solid">
        <fgColor rgb="FFEAF2F8"/>
      </patternFill>
    </fill>
    <fill>
      <patternFill patternType="solid">
        <fgColor rgb="FF2E7D6D"/>
      </patternFill>
    </fill>
    <fill>
      <patternFill patternType="solid">
        <fgColor rgb="FFE8F4F1"/>
      </patternFill>
    </fill>
    <fill>
      <patternFill patternType="solid">
        <fgColor rgb="FFFBF3E3"/>
      </patternFill>
    </fill>
    <fill>
      <patternFill patternType="solid">
        <fgColor rgb="FFF6F8FB"/>
      </patternFill>
    </fill>
    <fill>
      <patternFill patternType="solid">
        <fgColor rgb="FFFFF9F0"/>
      </patternFill>
    </fill>
    <fill>
      <patternFill patternType="solid">
        <fgColor rgb="FFDCEFEA"/>
      </patternFill>
    </fill>
    <fill>
      <patternFill patternType="solid">
        <fgColor rgb="FFF9D6D5"/>
      </patternFill>
    </fill>
    <fill>
      <patternFill patternType="solid">
        <fgColor rgb="FFF8FCFA"/>
      </patternFill>
    </fill>
    <fill>
      <patternFill patternType="solid">
        <fgColor rgb="FFFFF7F7"/>
      </patternFill>
    </fill>
    <fill>
      <patternFill patternType="solid">
        <fgColor rgb="FFF2F4F7"/>
      </patternFill>
    </fill>
    <fill>
      <patternFill patternType="solid">
        <fgColor rgb="FFF8E6B8"/>
      </patternFill>
    </fill>
    <fill>
      <patternFill patternType="solid">
        <fgColor rgb="FFF7F9FC"/>
      </patternFill>
    </fill>
    <fill>
      <patternFill patternType="solid">
        <fgColor rgb="FFEDF3FA"/>
      </patternFill>
    </fill>
    <fill>
      <patternFill patternType="solid">
        <fgColor rgb="FFF3F6F9"/>
      </patternFill>
    </fill>
    <fill>
      <patternFill patternType="solid">
        <fgColor rgb="FF00AC00"/>
        <bgColor indexed="64"/>
      </patternFill>
    </fill>
    <fill>
      <gradientFill type="path" left="1" right="1" top="1" bottom="1">
        <stop position="0">
          <color rgb="FFFF7C80"/>
        </stop>
        <stop position="1">
          <color rgb="FF00AC00"/>
        </stop>
      </gradientFill>
    </fill>
    <fill>
      <patternFill patternType="solid">
        <fgColor rgb="FFFFFF00"/>
        <bgColor indexed="64"/>
      </patternFill>
    </fill>
    <fill>
      <patternFill patternType="solid">
        <fgColor rgb="FFFFAFAF"/>
        <bgColor indexed="64"/>
      </patternFill>
    </fill>
    <fill>
      <patternFill patternType="solid">
        <fgColor rgb="FF0070C0"/>
        <bgColor indexed="64"/>
      </patternFill>
    </fill>
    <fill>
      <patternFill patternType="solid">
        <fgColor rgb="FF00B0F0"/>
        <bgColor indexed="64"/>
      </patternFill>
    </fill>
    <fill>
      <patternFill patternType="solid">
        <fgColor rgb="FFFFCCFF"/>
        <bgColor indexed="64"/>
      </patternFill>
    </fill>
    <fill>
      <patternFill patternType="solid">
        <fgColor theme="2"/>
        <bgColor indexed="64"/>
      </patternFill>
    </fill>
    <fill>
      <patternFill patternType="solid">
        <fgColor rgb="FF2F75B5"/>
        <bgColor indexed="64"/>
      </patternFill>
    </fill>
  </fills>
  <borders count="147">
    <border>
      <left/>
      <right/>
      <top/>
      <bottom/>
      <diagonal/>
    </border>
    <border>
      <left/>
      <right style="hair">
        <color auto="1"/>
      </right>
      <top/>
      <bottom style="hair">
        <color auto="1"/>
      </bottom>
      <diagonal/>
    </border>
    <border>
      <left/>
      <right style="hair">
        <color indexed="64"/>
      </right>
      <top/>
      <bottom/>
      <diagonal/>
    </border>
    <border>
      <left style="hair">
        <color indexed="64"/>
      </left>
      <right style="hair">
        <color indexed="64"/>
      </right>
      <top/>
      <bottom/>
      <diagonal/>
    </border>
    <border>
      <left/>
      <right/>
      <top style="double">
        <color theme="9" tint="0.39994506668294322"/>
      </top>
      <bottom/>
      <diagonal/>
    </border>
    <border>
      <left/>
      <right/>
      <top style="medium">
        <color auto="1"/>
      </top>
      <bottom/>
      <diagonal/>
    </border>
    <border>
      <left style="medium">
        <color indexed="64"/>
      </left>
      <right/>
      <top style="medium">
        <color indexed="64"/>
      </top>
      <bottom/>
      <diagonal/>
    </border>
    <border>
      <left/>
      <right style="medium">
        <color indexed="64"/>
      </right>
      <top style="medium">
        <color auto="1"/>
      </top>
      <bottom/>
      <diagonal/>
    </border>
    <border>
      <left style="medium">
        <color indexed="64"/>
      </left>
      <right/>
      <top/>
      <bottom/>
      <diagonal/>
    </border>
    <border>
      <left/>
      <right style="medium">
        <color indexed="64"/>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hair">
        <color auto="1"/>
      </bottom>
      <diagonal/>
    </border>
    <border>
      <left style="hair">
        <color indexed="64"/>
      </left>
      <right/>
      <top style="hair">
        <color indexed="64"/>
      </top>
      <bottom/>
      <diagonal/>
    </border>
    <border>
      <left/>
      <right/>
      <top style="thin">
        <color indexed="64"/>
      </top>
      <bottom style="hair">
        <color indexed="64"/>
      </bottom>
      <diagonal/>
    </border>
    <border>
      <left style="hair">
        <color auto="1"/>
      </left>
      <right/>
      <top/>
      <bottom/>
      <diagonal/>
    </border>
    <border>
      <left/>
      <right style="hair">
        <color indexed="64"/>
      </right>
      <top style="hair">
        <color indexed="64"/>
      </top>
      <bottom/>
      <diagonal/>
    </border>
    <border>
      <left/>
      <right/>
      <top style="hair">
        <color auto="1"/>
      </top>
      <bottom/>
      <diagonal/>
    </border>
    <border>
      <left style="hair">
        <color auto="1"/>
      </left>
      <right style="hair">
        <color indexed="64"/>
      </right>
      <top/>
      <bottom style="hair">
        <color auto="1"/>
      </bottom>
      <diagonal/>
    </border>
    <border>
      <left/>
      <right style="medium">
        <color auto="1"/>
      </right>
      <top style="hair">
        <color auto="1"/>
      </top>
      <bottom/>
      <diagonal/>
    </border>
    <border>
      <left/>
      <right/>
      <top style="hair">
        <color auto="1"/>
      </top>
      <bottom style="hair">
        <color auto="1"/>
      </bottom>
      <diagonal/>
    </border>
    <border>
      <left/>
      <right style="medium">
        <color auto="1"/>
      </right>
      <top style="hair">
        <color auto="1"/>
      </top>
      <bottom style="hair">
        <color auto="1"/>
      </bottom>
      <diagonal/>
    </border>
    <border>
      <left style="hair">
        <color auto="1"/>
      </left>
      <right style="medium">
        <color auto="1"/>
      </right>
      <top style="hair">
        <color auto="1"/>
      </top>
      <bottom style="hair">
        <color auto="1"/>
      </bottom>
      <diagonal/>
    </border>
    <border>
      <left/>
      <right style="medium">
        <color indexed="64"/>
      </right>
      <top/>
      <bottom style="hair">
        <color auto="1"/>
      </bottom>
      <diagonal/>
    </border>
    <border>
      <left/>
      <right style="thin">
        <color indexed="64"/>
      </right>
      <top/>
      <bottom style="thin">
        <color indexed="64"/>
      </bottom>
      <diagonal/>
    </border>
    <border>
      <left/>
      <right style="thin">
        <color auto="1"/>
      </right>
      <top/>
      <bottom/>
      <diagonal/>
    </border>
    <border>
      <left/>
      <right style="thin">
        <color indexed="64"/>
      </right>
      <top/>
      <bottom style="medium">
        <color auto="1"/>
      </bottom>
      <diagonal/>
    </border>
    <border>
      <left/>
      <right style="thin">
        <color indexed="64"/>
      </right>
      <top style="thin">
        <color indexed="64"/>
      </top>
      <bottom/>
      <diagonal/>
    </border>
    <border>
      <left/>
      <right/>
      <top style="thin">
        <color indexed="64"/>
      </top>
      <bottom/>
      <diagonal/>
    </border>
    <border>
      <left/>
      <right style="medium">
        <color auto="1"/>
      </right>
      <top style="thin">
        <color auto="1"/>
      </top>
      <bottom/>
      <diagonal/>
    </border>
    <border>
      <left/>
      <right style="medium">
        <color auto="1"/>
      </right>
      <top/>
      <bottom style="thin">
        <color indexed="64"/>
      </bottom>
      <diagonal/>
    </border>
    <border>
      <left/>
      <right/>
      <top/>
      <bottom style="thin">
        <color indexed="64"/>
      </bottom>
      <diagonal/>
    </border>
    <border>
      <left/>
      <right style="hair">
        <color auto="1"/>
      </right>
      <top/>
      <bottom style="thin">
        <color indexed="64"/>
      </bottom>
      <diagonal/>
    </border>
    <border>
      <left style="thin">
        <color auto="1"/>
      </left>
      <right/>
      <top/>
      <bottom style="thin">
        <color auto="1"/>
      </bottom>
      <diagonal/>
    </border>
    <border>
      <left/>
      <right/>
      <top style="thin">
        <color indexed="10"/>
      </top>
      <bottom/>
      <diagonal/>
    </border>
    <border>
      <left style="thin">
        <color indexed="64"/>
      </left>
      <right/>
      <top/>
      <bottom/>
      <diagonal/>
    </border>
    <border>
      <left style="thin">
        <color indexed="10"/>
      </left>
      <right style="thin">
        <color indexed="10"/>
      </right>
      <top style="thin">
        <color indexed="10"/>
      </top>
      <bottom style="thin">
        <color indexed="10"/>
      </bottom>
      <diagonal/>
    </border>
    <border>
      <left style="hair">
        <color indexed="60"/>
      </left>
      <right style="hair">
        <color indexed="64"/>
      </right>
      <top/>
      <bottom style="hair">
        <color indexed="64"/>
      </bottom>
      <diagonal/>
    </border>
    <border>
      <left/>
      <right style="medium">
        <color auto="1"/>
      </right>
      <top style="thin">
        <color auto="1"/>
      </top>
      <bottom/>
      <diagonal/>
    </border>
    <border>
      <left/>
      <right/>
      <top style="thin">
        <color indexed="64"/>
      </top>
      <bottom/>
      <diagonal/>
    </border>
    <border>
      <left style="thin">
        <color auto="1"/>
      </left>
      <right/>
      <top style="thin">
        <color indexed="64"/>
      </top>
      <bottom/>
      <diagonal/>
    </border>
    <border>
      <left/>
      <right style="medium">
        <color auto="1"/>
      </right>
      <top style="medium">
        <color auto="1"/>
      </top>
      <bottom style="thin">
        <color auto="1"/>
      </bottom>
      <diagonal/>
    </border>
    <border>
      <left/>
      <right/>
      <top style="medium">
        <color indexed="64"/>
      </top>
      <bottom style="thin">
        <color indexed="64"/>
      </bottom>
      <diagonal/>
    </border>
    <border>
      <left style="thin">
        <color indexed="64"/>
      </left>
      <right/>
      <top style="medium">
        <color auto="1"/>
      </top>
      <bottom style="thin">
        <color indexed="64"/>
      </bottom>
      <diagonal/>
    </border>
    <border>
      <left/>
      <right style="medium">
        <color indexed="64"/>
      </right>
      <top style="thin">
        <color indexed="64"/>
      </top>
      <bottom style="thin">
        <color indexed="64"/>
      </bottom>
      <diagonal/>
    </border>
    <border>
      <left/>
      <right/>
      <top style="thin">
        <color auto="1"/>
      </top>
      <bottom style="thin">
        <color auto="1"/>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style="thin">
        <color rgb="FF7030A0"/>
      </left>
      <right style="thin">
        <color rgb="FF7030A0"/>
      </right>
      <top style="thin">
        <color rgb="FF7030A0"/>
      </top>
      <bottom style="thin">
        <color rgb="FF7030A0"/>
      </bottom>
      <diagonal/>
    </border>
    <border>
      <left/>
      <right/>
      <top style="medium">
        <color auto="1"/>
      </top>
      <bottom style="medium">
        <color auto="1"/>
      </bottom>
      <diagonal/>
    </border>
    <border>
      <left/>
      <right/>
      <top style="hair">
        <color auto="1"/>
      </top>
      <bottom style="thin">
        <color indexed="64"/>
      </bottom>
      <diagonal/>
    </border>
    <border>
      <left/>
      <right style="medium">
        <color auto="1"/>
      </right>
      <top style="hair">
        <color indexed="64"/>
      </top>
      <bottom style="thin">
        <color indexed="64"/>
      </bottom>
      <diagonal/>
    </border>
    <border>
      <left style="hair">
        <color auto="1"/>
      </left>
      <right style="medium">
        <color auto="1"/>
      </right>
      <top style="thin">
        <color auto="1"/>
      </top>
      <bottom style="hair">
        <color auto="1"/>
      </bottom>
      <diagonal/>
    </border>
    <border>
      <left style="hair">
        <color indexed="64"/>
      </left>
      <right/>
      <top/>
      <bottom style="hair">
        <color auto="1"/>
      </bottom>
      <diagonal/>
    </border>
    <border>
      <left style="hair">
        <color auto="1"/>
      </left>
      <right style="hair">
        <color indexed="64"/>
      </right>
      <top/>
      <bottom style="hair">
        <color auto="1"/>
      </bottom>
      <diagonal/>
    </border>
    <border>
      <left style="hair">
        <color auto="1"/>
      </left>
      <right/>
      <top/>
      <bottom style="thin">
        <color theme="9" tint="0.39997558519241921"/>
      </bottom>
      <diagonal/>
    </border>
    <border>
      <left/>
      <right/>
      <top/>
      <bottom style="thin">
        <color theme="9" tint="0.39997558519241921"/>
      </bottom>
      <diagonal/>
    </border>
    <border>
      <left style="hair">
        <color auto="1"/>
      </left>
      <right style="hair">
        <color auto="1"/>
      </right>
      <top style="hair">
        <color auto="1"/>
      </top>
      <bottom style="hair">
        <color auto="1"/>
      </bottom>
      <diagonal/>
    </border>
    <border>
      <left/>
      <right style="hair">
        <color indexed="64"/>
      </right>
      <top/>
      <bottom style="thin">
        <color theme="9" tint="0.39997558519241921"/>
      </bottom>
      <diagonal/>
    </border>
    <border>
      <left/>
      <right/>
      <top style="thin">
        <color theme="9" tint="0.39997558519241921"/>
      </top>
      <bottom style="thin">
        <color theme="9" tint="0.39997558519241921"/>
      </bottom>
      <diagonal/>
    </border>
    <border>
      <left/>
      <right/>
      <top style="thin">
        <color theme="9" tint="0.39997558519241921"/>
      </top>
      <bottom style="hair">
        <color auto="1"/>
      </bottom>
      <diagonal/>
    </border>
    <border>
      <left/>
      <right style="medium">
        <color indexed="64"/>
      </right>
      <top style="hair">
        <color theme="9" tint="0.39994506668294322"/>
      </top>
      <bottom style="hair">
        <color theme="9" tint="0.39994506668294322"/>
      </bottom>
      <diagonal/>
    </border>
    <border>
      <left style="hair">
        <color indexed="64"/>
      </left>
      <right/>
      <top style="hair">
        <color indexed="64"/>
      </top>
      <bottom style="hair">
        <color indexed="64"/>
      </bottom>
      <diagonal/>
    </border>
    <border>
      <left/>
      <right style="thin">
        <color theme="0"/>
      </right>
      <top/>
      <bottom/>
      <diagonal/>
    </border>
    <border>
      <left style="thin">
        <color theme="0"/>
      </left>
      <right/>
      <top/>
      <bottom/>
      <diagonal/>
    </border>
    <border>
      <left/>
      <right style="hair">
        <color rgb="FFD9D9D9"/>
      </right>
      <top/>
      <bottom/>
      <diagonal/>
    </border>
    <border>
      <left style="thin">
        <color rgb="FFD9E1F2"/>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style="thin">
        <color rgb="FFD9E1F2"/>
      </right>
      <top style="thin">
        <color rgb="FFE7E6E6"/>
      </top>
      <bottom style="thin">
        <color rgb="FFE7E6E6"/>
      </bottom>
      <diagonal/>
    </border>
    <border>
      <left style="thin">
        <color rgb="FFD9E1F2"/>
      </left>
      <right style="thin">
        <color rgb="FFE7E6E6"/>
      </right>
      <top style="thin">
        <color rgb="FFE7E6E6"/>
      </top>
      <bottom style="thin">
        <color rgb="FFD9E1F2"/>
      </bottom>
      <diagonal/>
    </border>
    <border>
      <left style="thin">
        <color rgb="FFE7E6E6"/>
      </left>
      <right style="thin">
        <color rgb="FFE7E6E6"/>
      </right>
      <top style="thin">
        <color rgb="FFE7E6E6"/>
      </top>
      <bottom style="thin">
        <color rgb="FFD9E1F2"/>
      </bottom>
      <diagonal/>
    </border>
    <border>
      <left style="thin">
        <color rgb="FFE7E6E6"/>
      </left>
      <right style="thin">
        <color rgb="FFD9E1F2"/>
      </right>
      <top style="thin">
        <color rgb="FFE7E6E6"/>
      </top>
      <bottom style="thin">
        <color rgb="FFD9E1F2"/>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A6A6A6"/>
      </left>
      <right style="thin">
        <color rgb="FFD9D9D9"/>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style="thin">
        <color rgb="FFA6A6A6"/>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bottom style="hair">
        <color rgb="FFD9D9D9"/>
      </bottom>
      <diagonal/>
    </border>
    <border>
      <left/>
      <right style="hair">
        <color rgb="FFD9D9D9"/>
      </right>
      <top/>
      <bottom style="hair">
        <color rgb="FFD9D9D9"/>
      </bottom>
      <diagonal/>
    </border>
    <border>
      <left style="medium">
        <color rgb="FF17365D"/>
      </left>
      <right/>
      <top style="medium">
        <color rgb="FF17365D"/>
      </top>
      <bottom/>
      <diagonal/>
    </border>
    <border>
      <left/>
      <right/>
      <top style="medium">
        <color rgb="FF17365D"/>
      </top>
      <bottom/>
      <diagonal/>
    </border>
    <border>
      <left/>
      <right style="medium">
        <color rgb="FF17365D"/>
      </right>
      <top style="medium">
        <color rgb="FF17365D"/>
      </top>
      <bottom/>
      <diagonal/>
    </border>
    <border>
      <left style="medium">
        <color rgb="FF17365D"/>
      </left>
      <right/>
      <top/>
      <bottom style="medium">
        <color rgb="FF17365D"/>
      </bottom>
      <diagonal/>
    </border>
    <border>
      <left/>
      <right/>
      <top/>
      <bottom style="medium">
        <color rgb="FF17365D"/>
      </bottom>
      <diagonal/>
    </border>
    <border>
      <left/>
      <right style="medium">
        <color rgb="FF17365D"/>
      </right>
      <top/>
      <bottom style="medium">
        <color rgb="FF17365D"/>
      </bottom>
      <diagonal/>
    </border>
    <border>
      <left style="thin">
        <color rgb="FFAAB7C4"/>
      </left>
      <right/>
      <top style="thin">
        <color rgb="FFAAB7C4"/>
      </top>
      <bottom style="thin">
        <color rgb="FFAAB7C4"/>
      </bottom>
      <diagonal/>
    </border>
    <border>
      <left/>
      <right/>
      <top style="thin">
        <color rgb="FFAAB7C4"/>
      </top>
      <bottom style="thin">
        <color rgb="FFAAB7C4"/>
      </bottom>
      <diagonal/>
    </border>
    <border>
      <left/>
      <right style="thin">
        <color rgb="FFAAB7C4"/>
      </right>
      <top style="thin">
        <color rgb="FFAAB7C4"/>
      </top>
      <bottom style="thin">
        <color rgb="FFAAB7C4"/>
      </bottom>
      <diagonal/>
    </border>
    <border>
      <left style="medium">
        <color rgb="FF0F6B78"/>
      </left>
      <right/>
      <top style="medium">
        <color rgb="FF0F6B78"/>
      </top>
      <bottom style="medium">
        <color rgb="FF0F6B78"/>
      </bottom>
      <diagonal/>
    </border>
    <border>
      <left/>
      <right/>
      <top style="medium">
        <color rgb="FF0F6B78"/>
      </top>
      <bottom style="medium">
        <color rgb="FF0F6B78"/>
      </bottom>
      <diagonal/>
    </border>
    <border>
      <left/>
      <right style="medium">
        <color rgb="FF0F6B78"/>
      </right>
      <top style="medium">
        <color rgb="FF0F6B78"/>
      </top>
      <bottom style="medium">
        <color rgb="FF0F6B78"/>
      </bottom>
      <diagonal/>
    </border>
    <border>
      <left style="thin">
        <color rgb="FFAAB7C4"/>
      </left>
      <right style="thin">
        <color rgb="FFAAB7C4"/>
      </right>
      <top style="thin">
        <color rgb="FFAAB7C4"/>
      </top>
      <bottom style="thin">
        <color rgb="FFAAB7C4"/>
      </bottom>
      <diagonal/>
    </border>
    <border>
      <left style="medium">
        <color rgb="FF0F6B78"/>
      </left>
      <right style="medium">
        <color rgb="FF0F6B78"/>
      </right>
      <top style="medium">
        <color rgb="FF0F6B78"/>
      </top>
      <bottom style="medium">
        <color rgb="FF0F6B78"/>
      </bottom>
      <diagonal/>
    </border>
    <border>
      <left style="medium">
        <color rgb="FF17365D"/>
      </left>
      <right/>
      <top style="medium">
        <color rgb="FF17365D"/>
      </top>
      <bottom style="medium">
        <color rgb="FF17365D"/>
      </bottom>
      <diagonal/>
    </border>
    <border>
      <left/>
      <right/>
      <top style="medium">
        <color rgb="FF17365D"/>
      </top>
      <bottom style="medium">
        <color rgb="FF17365D"/>
      </bottom>
      <diagonal/>
    </border>
    <border>
      <left/>
      <right style="medium">
        <color rgb="FF17365D"/>
      </right>
      <top style="medium">
        <color rgb="FF17365D"/>
      </top>
      <bottom style="medium">
        <color rgb="FF17365D"/>
      </bottom>
      <diagonal/>
    </border>
    <border>
      <left style="thin">
        <color rgb="FFB7C9D6"/>
      </left>
      <right style="thin">
        <color rgb="FFB7C9D6"/>
      </right>
      <top style="thin">
        <color rgb="FFB7C9D6"/>
      </top>
      <bottom style="thin">
        <color rgb="FFB7C9D6"/>
      </bottom>
      <diagonal/>
    </border>
    <border>
      <left/>
      <right style="thin">
        <color rgb="FFA0A0A0"/>
      </right>
      <top/>
      <bottom/>
      <diagonal/>
    </border>
    <border>
      <left style="thin">
        <color rgb="FFA0A0A0"/>
      </left>
      <right style="thin">
        <color rgb="FFA0A0A0"/>
      </right>
      <top style="thin">
        <color rgb="FFA0A0A0"/>
      </top>
      <bottom style="thin">
        <color rgb="FFA0A0A0"/>
      </bottom>
      <diagonal/>
    </border>
    <border>
      <left/>
      <right/>
      <top/>
      <bottom style="thin">
        <color rgb="FFE7E6E6"/>
      </bottom>
      <diagonal/>
    </border>
    <border>
      <left style="medium">
        <color theme="0"/>
      </left>
      <right/>
      <top/>
      <bottom style="medium">
        <color auto="1"/>
      </bottom>
      <diagonal/>
    </border>
    <border>
      <left/>
      <right style="medium">
        <color theme="0"/>
      </right>
      <top/>
      <bottom style="medium">
        <color auto="1"/>
      </bottom>
      <diagonal/>
    </border>
    <border>
      <left style="hair">
        <color theme="9" tint="0.39982299264503923"/>
      </left>
      <right/>
      <top style="hair">
        <color auto="1"/>
      </top>
      <bottom style="hair">
        <color theme="9" tint="0.39982299264503923"/>
      </bottom>
      <diagonal/>
    </border>
    <border>
      <left/>
      <right/>
      <top style="hair">
        <color auto="1"/>
      </top>
      <bottom style="hair">
        <color theme="9" tint="0.39982299264503923"/>
      </bottom>
      <diagonal/>
    </border>
    <border>
      <left/>
      <right style="medium">
        <color indexed="64"/>
      </right>
      <top/>
      <bottom style="hair">
        <color theme="9" tint="0.59993285927915285"/>
      </bottom>
      <diagonal/>
    </border>
    <border>
      <left style="hair">
        <color theme="9" tint="0.39982299264503923"/>
      </left>
      <right/>
      <top style="hair">
        <color theme="9" tint="0.39982299264503923"/>
      </top>
      <bottom style="hair">
        <color theme="9" tint="0.39982299264503923"/>
      </bottom>
      <diagonal/>
    </border>
    <border>
      <left/>
      <right/>
      <top style="hair">
        <color theme="9" tint="0.39982299264503923"/>
      </top>
      <bottom style="hair">
        <color theme="9" tint="0.39982299264503923"/>
      </bottom>
      <diagonal/>
    </border>
    <border>
      <left/>
      <right style="medium">
        <color auto="1"/>
      </right>
      <top style="hair">
        <color theme="9" tint="0.59993285927915285"/>
      </top>
      <bottom style="hair">
        <color theme="9" tint="0.59993285927915285"/>
      </bottom>
      <diagonal/>
    </border>
    <border>
      <left/>
      <right style="medium">
        <color auto="1"/>
      </right>
      <top style="hair">
        <color theme="9" tint="0.39988402966399123"/>
      </top>
      <bottom style="hair">
        <color theme="9" tint="0.39988402966399123"/>
      </bottom>
      <diagonal/>
    </border>
    <border>
      <left style="thin">
        <color rgb="FFB7C9D6"/>
      </left>
      <right/>
      <top style="thin">
        <color rgb="FFB7C9D6"/>
      </top>
      <bottom style="thin">
        <color rgb="FFB7C9D6"/>
      </bottom>
      <diagonal/>
    </border>
    <border>
      <left/>
      <right/>
      <top style="thin">
        <color rgb="FFB7C9D6"/>
      </top>
      <bottom style="thin">
        <color rgb="FFB7C9D6"/>
      </bottom>
      <diagonal/>
    </border>
    <border>
      <left/>
      <right style="thin">
        <color rgb="FFB7C9D6"/>
      </right>
      <top style="thin">
        <color rgb="FFB7C9D6"/>
      </top>
      <bottom style="thin">
        <color rgb="FFB7C9D6"/>
      </bottom>
      <diagonal/>
    </border>
    <border>
      <left style="thin">
        <color rgb="FFB7C9D6"/>
      </left>
      <right/>
      <top/>
      <bottom/>
      <diagonal/>
    </border>
    <border>
      <left/>
      <right style="thin">
        <color rgb="FFB7C9D6"/>
      </right>
      <top/>
      <bottom/>
      <diagonal/>
    </border>
    <border>
      <left/>
      <right/>
      <top style="thin">
        <color rgb="FFB7C9D6"/>
      </top>
      <bottom/>
      <diagonal/>
    </border>
    <border>
      <left/>
      <right style="thin">
        <color rgb="FFB7C9D6"/>
      </right>
      <top style="thin">
        <color rgb="FFB7C9D6"/>
      </top>
      <bottom/>
      <diagonal/>
    </border>
    <border>
      <left style="thin">
        <color rgb="FFB7C9D6"/>
      </left>
      <right/>
      <top/>
      <bottom style="thin">
        <color rgb="FFB7C9D6"/>
      </bottom>
      <diagonal/>
    </border>
    <border>
      <left/>
      <right/>
      <top/>
      <bottom style="thin">
        <color rgb="FFB7C9D6"/>
      </bottom>
      <diagonal/>
    </border>
    <border>
      <left/>
      <right style="thin">
        <color rgb="FFB7C9D6"/>
      </right>
      <top/>
      <bottom style="thin">
        <color rgb="FFB7C9D6"/>
      </bottom>
      <diagonal/>
    </border>
    <border>
      <left style="thin">
        <color rgb="FFB7C9D6"/>
      </left>
      <right/>
      <top style="thin">
        <color rgb="FFB7C9D6"/>
      </top>
      <bottom/>
      <diagonal/>
    </border>
    <border>
      <left style="thin">
        <color rgb="FFB7C9D6"/>
      </left>
      <right style="thin">
        <color rgb="FFB7C9D6"/>
      </right>
      <top style="thin">
        <color rgb="FFB7C9D6"/>
      </top>
      <bottom/>
      <diagonal/>
    </border>
    <border>
      <left style="thin">
        <color rgb="FFB7C9D6"/>
      </left>
      <right style="thin">
        <color rgb="FFB7C9D6"/>
      </right>
      <top/>
      <bottom/>
      <diagonal/>
    </border>
    <border>
      <left style="thin">
        <color rgb="FFB7C9D6"/>
      </left>
      <right style="thin">
        <color rgb="FFB7C9D6"/>
      </right>
      <top/>
      <bottom style="thin">
        <color rgb="FFB7C9D6"/>
      </bottom>
      <diagonal/>
    </border>
    <border>
      <left style="thin">
        <color rgb="FFD9D9D9"/>
      </left>
      <right style="thin">
        <color rgb="FFD9D9D9"/>
      </right>
      <top/>
      <bottom/>
      <diagonal/>
    </border>
    <border>
      <left style="thin">
        <color rgb="FFD9D9D9"/>
      </left>
      <right/>
      <top/>
      <bottom/>
      <diagonal/>
    </border>
    <border>
      <left style="thin">
        <color rgb="FFBFBFBF"/>
      </left>
      <right style="thin">
        <color rgb="FFBFBFBF"/>
      </right>
      <top style="thin">
        <color rgb="FFBFBFBF"/>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medium">
        <color rgb="FF0033CC"/>
      </right>
      <top/>
      <bottom style="medium">
        <color rgb="FF0033CC"/>
      </bottom>
      <diagonal/>
    </border>
    <border>
      <left/>
      <right/>
      <top/>
      <bottom style="medium">
        <color rgb="FF0033CC"/>
      </bottom>
      <diagonal/>
    </border>
    <border>
      <left style="medium">
        <color rgb="FF0033CC"/>
      </left>
      <right/>
      <top/>
      <bottom style="medium">
        <color rgb="FF0033CC"/>
      </bottom>
      <diagonal/>
    </border>
    <border>
      <left/>
      <right style="medium">
        <color rgb="FF0033CC"/>
      </right>
      <top/>
      <bottom/>
      <diagonal/>
    </border>
    <border>
      <left style="medium">
        <color rgb="FF0033CC"/>
      </left>
      <right/>
      <top/>
      <bottom/>
      <diagonal/>
    </border>
    <border>
      <left/>
      <right style="medium">
        <color rgb="FF0033CC"/>
      </right>
      <top style="medium">
        <color rgb="FF0033CC"/>
      </top>
      <bottom/>
      <diagonal/>
    </border>
    <border>
      <left/>
      <right/>
      <top style="medium">
        <color rgb="FF0033CC"/>
      </top>
      <bottom/>
      <diagonal/>
    </border>
    <border>
      <left style="medium">
        <color rgb="FF0033CC"/>
      </left>
      <right/>
      <top style="medium">
        <color rgb="FF0033CC"/>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0">
    <xf numFmtId="0" fontId="0" fillId="0" borderId="0"/>
    <xf numFmtId="0" fontId="3" fillId="0" borderId="0"/>
    <xf numFmtId="0" fontId="3" fillId="0" borderId="0"/>
    <xf numFmtId="0" fontId="2" fillId="0" borderId="0"/>
    <xf numFmtId="0" fontId="5" fillId="0" borderId="0"/>
    <xf numFmtId="0" fontId="12" fillId="0" borderId="0"/>
    <xf numFmtId="0" fontId="17" fillId="0" borderId="0" applyNumberFormat="0" applyFill="0" applyBorder="0" applyAlignment="0" applyProtection="0"/>
    <xf numFmtId="0" fontId="2" fillId="0" borderId="0"/>
    <xf numFmtId="0" fontId="12" fillId="0" borderId="0"/>
    <xf numFmtId="0" fontId="2" fillId="0" borderId="0"/>
    <xf numFmtId="0" fontId="2" fillId="0" borderId="0"/>
    <xf numFmtId="0" fontId="12" fillId="0" borderId="0"/>
    <xf numFmtId="0" fontId="46" fillId="0" borderId="0"/>
    <xf numFmtId="0" fontId="12" fillId="0" borderId="0"/>
    <xf numFmtId="0" fontId="2" fillId="0" borderId="0"/>
    <xf numFmtId="0" fontId="2" fillId="0" borderId="0"/>
    <xf numFmtId="0" fontId="2" fillId="0" borderId="0"/>
    <xf numFmtId="0" fontId="2" fillId="0" borderId="0"/>
    <xf numFmtId="0" fontId="38" fillId="0" borderId="0"/>
    <xf numFmtId="0" fontId="12" fillId="0" borderId="0"/>
    <xf numFmtId="0" fontId="2" fillId="0" borderId="0"/>
    <xf numFmtId="0" fontId="92" fillId="0" borderId="0"/>
    <xf numFmtId="0" fontId="17" fillId="0" borderId="0" applyNumberFormat="0" applyFill="0" applyBorder="0" applyAlignment="0" applyProtection="0"/>
    <xf numFmtId="0" fontId="121" fillId="0" borderId="0" applyNumberFormat="0" applyFill="0" applyBorder="0" applyAlignment="0" applyProtection="0"/>
    <xf numFmtId="0" fontId="38" fillId="0" borderId="0"/>
    <xf numFmtId="0" fontId="2"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8" fillId="0" borderId="0"/>
    <xf numFmtId="0" fontId="144" fillId="0" borderId="0"/>
    <xf numFmtId="0" fontId="155" fillId="0" borderId="0" applyNumberFormat="0" applyFill="0" applyBorder="0" applyAlignment="0" applyProtection="0"/>
    <xf numFmtId="0" fontId="157" fillId="0" borderId="0"/>
    <xf numFmtId="0" fontId="144" fillId="0" borderId="0"/>
    <xf numFmtId="0" fontId="12" fillId="0" borderId="0"/>
    <xf numFmtId="0" fontId="3" fillId="0" borderId="0"/>
    <xf numFmtId="0" fontId="3" fillId="0" borderId="0"/>
    <xf numFmtId="0" fontId="138" fillId="0" borderId="0"/>
    <xf numFmtId="0" fontId="2" fillId="0" borderId="0"/>
    <xf numFmtId="0" fontId="2" fillId="0" borderId="0"/>
    <xf numFmtId="0" fontId="225" fillId="0" borderId="0"/>
    <xf numFmtId="0" fontId="3" fillId="0" borderId="0"/>
    <xf numFmtId="0" fontId="144" fillId="0" borderId="0"/>
    <xf numFmtId="0" fontId="283" fillId="0" borderId="0" applyNumberFormat="0" applyFill="0" applyBorder="0" applyAlignment="0" applyProtection="0"/>
  </cellStyleXfs>
  <cellXfs count="1631">
    <xf numFmtId="0" fontId="0" fillId="0" borderId="0" xfId="0"/>
    <xf numFmtId="0" fontId="0" fillId="0" borderId="0" xfId="0" applyAlignment="1">
      <alignment vertical="center"/>
    </xf>
    <xf numFmtId="0" fontId="0" fillId="10" borderId="0" xfId="0" applyFill="1" applyAlignment="1">
      <alignment horizontal="center" vertical="center"/>
    </xf>
    <xf numFmtId="0" fontId="0" fillId="10" borderId="0" xfId="0" applyFill="1" applyAlignment="1">
      <alignment vertical="center"/>
    </xf>
    <xf numFmtId="0" fontId="13" fillId="15" borderId="0" xfId="5" applyFont="1" applyFill="1" applyAlignment="1">
      <alignment horizontal="center" vertical="center"/>
    </xf>
    <xf numFmtId="0" fontId="18" fillId="16" borderId="4" xfId="3" applyFont="1" applyFill="1" applyBorder="1" applyAlignment="1">
      <alignment horizontal="center" vertical="center"/>
    </xf>
    <xf numFmtId="0" fontId="21" fillId="17" borderId="0" xfId="7" applyFont="1" applyFill="1" applyAlignment="1">
      <alignment horizontal="center" vertical="center"/>
    </xf>
    <xf numFmtId="0" fontId="22" fillId="18" borderId="5" xfId="3" applyFont="1" applyFill="1" applyBorder="1" applyAlignment="1">
      <alignment horizontal="center" vertical="center"/>
    </xf>
    <xf numFmtId="0" fontId="22" fillId="19" borderId="5" xfId="3" applyFont="1" applyFill="1" applyBorder="1" applyAlignment="1">
      <alignment horizontal="center" vertical="center"/>
    </xf>
    <xf numFmtId="0" fontId="23" fillId="11" borderId="0" xfId="5" quotePrefix="1" applyFont="1" applyFill="1" applyAlignment="1">
      <alignment horizontal="center" vertical="center"/>
    </xf>
    <xf numFmtId="0" fontId="26" fillId="19" borderId="0" xfId="5" applyFont="1" applyFill="1" applyAlignment="1">
      <alignment horizontal="left" vertical="center"/>
    </xf>
    <xf numFmtId="0" fontId="27" fillId="19" borderId="0" xfId="5" applyFont="1" applyFill="1" applyAlignment="1">
      <alignment horizontal="left" vertical="center"/>
    </xf>
    <xf numFmtId="0" fontId="23" fillId="20" borderId="0" xfId="5" quotePrefix="1" applyFont="1" applyFill="1" applyAlignment="1">
      <alignment horizontal="center" vertical="center"/>
    </xf>
    <xf numFmtId="0" fontId="28" fillId="19" borderId="0" xfId="5" applyFont="1" applyFill="1" applyAlignment="1">
      <alignment horizontal="right" vertical="center"/>
    </xf>
    <xf numFmtId="0" fontId="29" fillId="19" borderId="0" xfId="5" applyFont="1" applyFill="1" applyAlignment="1">
      <alignment horizontal="left" vertical="center"/>
    </xf>
    <xf numFmtId="0" fontId="34" fillId="10" borderId="0" xfId="5" applyFont="1" applyFill="1" applyAlignment="1" applyProtection="1">
      <alignment horizontal="right" vertical="center"/>
      <protection hidden="1"/>
    </xf>
    <xf numFmtId="0" fontId="35" fillId="10" borderId="0" xfId="5" applyFont="1" applyFill="1" applyAlignment="1" applyProtection="1">
      <alignment vertical="center"/>
      <protection hidden="1"/>
    </xf>
    <xf numFmtId="0" fontId="0" fillId="10" borderId="0" xfId="0" applyFill="1"/>
    <xf numFmtId="0" fontId="36" fillId="7" borderId="0" xfId="0" applyFont="1" applyFill="1" applyAlignment="1">
      <alignment horizontal="right" vertical="center"/>
    </xf>
    <xf numFmtId="0" fontId="36" fillId="7" borderId="0" xfId="0" applyFont="1" applyFill="1" applyAlignment="1">
      <alignment horizontal="center" vertical="center"/>
    </xf>
    <xf numFmtId="0" fontId="36" fillId="22" borderId="0" xfId="0" applyFont="1" applyFill="1" applyAlignment="1">
      <alignment horizontal="right" vertical="center"/>
    </xf>
    <xf numFmtId="0" fontId="36" fillId="22" borderId="0" xfId="0" applyFont="1" applyFill="1" applyAlignment="1">
      <alignment horizontal="center" vertical="center"/>
    </xf>
    <xf numFmtId="0" fontId="37" fillId="23" borderId="0" xfId="0" applyFont="1" applyFill="1" applyAlignment="1">
      <alignment horizontal="right" vertical="center"/>
    </xf>
    <xf numFmtId="0" fontId="37" fillId="23" borderId="0" xfId="0" applyFont="1" applyFill="1" applyAlignment="1">
      <alignment horizontal="center" vertical="center"/>
    </xf>
    <xf numFmtId="0" fontId="19" fillId="24" borderId="0" xfId="0" applyFont="1" applyFill="1" applyAlignment="1">
      <alignment horizontal="right" vertical="center"/>
    </xf>
    <xf numFmtId="0" fontId="19" fillId="24" borderId="0" xfId="0" applyFont="1" applyFill="1" applyAlignment="1">
      <alignment horizontal="center" vertical="center"/>
    </xf>
    <xf numFmtId="0" fontId="36" fillId="25" borderId="0" xfId="0" applyFont="1" applyFill="1" applyAlignment="1">
      <alignment horizontal="right" vertical="center"/>
    </xf>
    <xf numFmtId="0" fontId="36" fillId="26" borderId="0" xfId="0" applyFont="1" applyFill="1" applyAlignment="1">
      <alignment horizontal="right" vertical="center"/>
    </xf>
    <xf numFmtId="0" fontId="36" fillId="27" borderId="0" xfId="0" applyFont="1" applyFill="1" applyAlignment="1">
      <alignment horizontal="right" vertical="center"/>
    </xf>
    <xf numFmtId="0" fontId="36" fillId="27" borderId="0" xfId="0" applyFont="1" applyFill="1" applyAlignment="1">
      <alignment horizontal="center" vertical="center"/>
    </xf>
    <xf numFmtId="0" fontId="37" fillId="28" borderId="0" xfId="0" applyFont="1" applyFill="1" applyAlignment="1">
      <alignment horizontal="right" vertical="center"/>
    </xf>
    <xf numFmtId="0" fontId="37" fillId="28" borderId="0" xfId="0" applyFont="1" applyFill="1" applyAlignment="1">
      <alignment horizontal="center" vertical="center"/>
    </xf>
    <xf numFmtId="0" fontId="37" fillId="29" borderId="0" xfId="0" applyFont="1" applyFill="1" applyAlignment="1">
      <alignment horizontal="right" vertical="center"/>
    </xf>
    <xf numFmtId="0" fontId="37" fillId="29" borderId="0" xfId="0" applyFont="1" applyFill="1" applyAlignment="1">
      <alignment horizontal="center" vertical="center"/>
    </xf>
    <xf numFmtId="0" fontId="36" fillId="30" borderId="0" xfId="0" applyFont="1" applyFill="1" applyAlignment="1">
      <alignment horizontal="right" vertical="center"/>
    </xf>
    <xf numFmtId="0" fontId="36" fillId="30" borderId="0" xfId="0" applyFont="1" applyFill="1" applyAlignment="1">
      <alignment horizontal="center" vertical="center"/>
    </xf>
    <xf numFmtId="0" fontId="36" fillId="31" borderId="0" xfId="0" applyFont="1" applyFill="1" applyAlignment="1">
      <alignment horizontal="right" vertical="center"/>
    </xf>
    <xf numFmtId="0" fontId="36" fillId="31" borderId="0" xfId="0" applyFont="1" applyFill="1" applyAlignment="1">
      <alignment horizontal="center" vertical="center"/>
    </xf>
    <xf numFmtId="0" fontId="37" fillId="32" borderId="0" xfId="0" applyFont="1" applyFill="1" applyAlignment="1">
      <alignment horizontal="right" vertical="center"/>
    </xf>
    <xf numFmtId="0" fontId="37" fillId="32" borderId="0" xfId="0" applyFont="1" applyFill="1" applyAlignment="1">
      <alignment horizontal="center" vertical="center"/>
    </xf>
    <xf numFmtId="0" fontId="50" fillId="10" borderId="0" xfId="5" applyFont="1" applyFill="1" applyAlignment="1" applyProtection="1">
      <alignment horizontal="left" vertical="center"/>
      <protection hidden="1"/>
    </xf>
    <xf numFmtId="0" fontId="50" fillId="10" borderId="0" xfId="5" applyFont="1" applyFill="1" applyAlignment="1" applyProtection="1">
      <alignment vertical="center"/>
      <protection hidden="1"/>
    </xf>
    <xf numFmtId="0" fontId="44" fillId="10" borderId="0" xfId="5" applyFont="1" applyFill="1" applyAlignment="1">
      <alignment horizontal="center" vertical="center"/>
    </xf>
    <xf numFmtId="0" fontId="0" fillId="10" borderId="0" xfId="0" applyFill="1" applyAlignment="1">
      <alignment horizontal="left" vertical="center"/>
    </xf>
    <xf numFmtId="0" fontId="0" fillId="10" borderId="9" xfId="0" applyFill="1" applyBorder="1" applyAlignment="1">
      <alignment vertical="center"/>
    </xf>
    <xf numFmtId="0" fontId="0" fillId="19" borderId="0" xfId="0" applyFill="1" applyAlignment="1">
      <alignment vertical="center"/>
    </xf>
    <xf numFmtId="0" fontId="16" fillId="19" borderId="0" xfId="7" applyFont="1" applyFill="1" applyAlignment="1">
      <alignment horizontal="center" vertical="center"/>
    </xf>
    <xf numFmtId="0" fontId="15" fillId="10" borderId="0" xfId="0" applyFont="1" applyFill="1" applyAlignment="1">
      <alignment horizontal="left" vertical="center"/>
    </xf>
    <xf numFmtId="0" fontId="15" fillId="10" borderId="0" xfId="0" applyFont="1" applyFill="1" applyAlignment="1">
      <alignment vertical="center"/>
    </xf>
    <xf numFmtId="0" fontId="75" fillId="10" borderId="0" xfId="19" applyFont="1" applyFill="1" applyAlignment="1">
      <alignment horizontal="left" vertical="center"/>
    </xf>
    <xf numFmtId="0" fontId="50" fillId="10" borderId="0" xfId="18" applyFont="1" applyFill="1" applyAlignment="1">
      <alignment horizontal="left" vertical="center"/>
    </xf>
    <xf numFmtId="0" fontId="37" fillId="38" borderId="0" xfId="0" applyFont="1" applyFill="1" applyAlignment="1">
      <alignment horizontal="right" vertical="center"/>
    </xf>
    <xf numFmtId="0" fontId="38" fillId="0" borderId="0" xfId="18"/>
    <xf numFmtId="0" fontId="2" fillId="0" borderId="0" xfId="0" applyFont="1"/>
    <xf numFmtId="0" fontId="13" fillId="15" borderId="25" xfId="5" applyFont="1" applyFill="1" applyBorder="1" applyAlignment="1">
      <alignment horizontal="center" vertical="center"/>
    </xf>
    <xf numFmtId="0" fontId="66" fillId="39" borderId="26" xfId="5" applyFont="1" applyFill="1" applyBorder="1" applyAlignment="1" applyProtection="1">
      <alignment horizontal="center" vertical="center"/>
      <protection locked="0"/>
    </xf>
    <xf numFmtId="0" fontId="78" fillId="10" borderId="0" xfId="7" applyFont="1" applyFill="1" applyAlignment="1">
      <alignment horizontal="center" vertical="center"/>
    </xf>
    <xf numFmtId="0" fontId="61" fillId="11" borderId="27" xfId="5" applyFont="1" applyFill="1" applyBorder="1" applyAlignment="1">
      <alignment horizontal="center" vertical="center"/>
    </xf>
    <xf numFmtId="0" fontId="61" fillId="11" borderId="11" xfId="5" applyFont="1" applyFill="1" applyBorder="1" applyAlignment="1">
      <alignment horizontal="center" vertical="center"/>
    </xf>
    <xf numFmtId="0" fontId="61" fillId="17" borderId="26" xfId="5" applyFont="1" applyFill="1" applyBorder="1" applyAlignment="1">
      <alignment horizontal="center" vertical="center"/>
    </xf>
    <xf numFmtId="0" fontId="61" fillId="17" borderId="0" xfId="5" applyFont="1" applyFill="1" applyAlignment="1">
      <alignment horizontal="center" vertical="center"/>
    </xf>
    <xf numFmtId="0" fontId="61" fillId="11" borderId="12" xfId="5" applyFont="1" applyFill="1" applyBorder="1" applyAlignment="1">
      <alignment horizontal="center" vertical="center"/>
    </xf>
    <xf numFmtId="0" fontId="61" fillId="17" borderId="9" xfId="5" applyFont="1" applyFill="1" applyBorder="1" applyAlignment="1">
      <alignment horizontal="center" vertical="center"/>
    </xf>
    <xf numFmtId="166" fontId="35" fillId="12" borderId="9" xfId="8" applyNumberFormat="1" applyFont="1" applyFill="1" applyBorder="1" applyAlignment="1">
      <alignment horizontal="center" vertical="center"/>
    </xf>
    <xf numFmtId="171" fontId="44" fillId="10" borderId="0" xfId="5" applyNumberFormat="1" applyFont="1" applyFill="1" applyAlignment="1" applyProtection="1">
      <alignment horizontal="center" vertical="center"/>
      <protection hidden="1"/>
    </xf>
    <xf numFmtId="172" fontId="34" fillId="10" borderId="0" xfId="5" applyNumberFormat="1" applyFont="1" applyFill="1" applyAlignment="1" applyProtection="1">
      <alignment horizontal="center" vertical="center"/>
      <protection hidden="1"/>
    </xf>
    <xf numFmtId="0" fontId="15" fillId="10" borderId="0" xfId="9" applyFont="1" applyFill="1" applyAlignment="1">
      <alignment horizontal="left"/>
    </xf>
    <xf numFmtId="0" fontId="80" fillId="10" borderId="9" xfId="5" applyFont="1" applyFill="1" applyBorder="1" applyAlignment="1">
      <alignment horizontal="center" vertical="center" wrapText="1"/>
    </xf>
    <xf numFmtId="0" fontId="2" fillId="10" borderId="0" xfId="9" applyFill="1"/>
    <xf numFmtId="0" fontId="80" fillId="10" borderId="0" xfId="5" applyFont="1" applyFill="1" applyAlignment="1">
      <alignment horizontal="center" vertical="center" wrapText="1"/>
    </xf>
    <xf numFmtId="0" fontId="14" fillId="10" borderId="0" xfId="9" applyFont="1" applyFill="1"/>
    <xf numFmtId="0" fontId="30" fillId="10" borderId="0" xfId="5" applyFont="1" applyFill="1" applyAlignment="1">
      <alignment horizontal="left" vertical="center"/>
    </xf>
    <xf numFmtId="174" fontId="66" fillId="11" borderId="31" xfId="9" applyNumberFormat="1" applyFont="1" applyFill="1" applyBorder="1" applyAlignment="1" applyProtection="1">
      <alignment horizontal="center" vertical="center"/>
      <protection locked="0"/>
    </xf>
    <xf numFmtId="167" fontId="81" fillId="41" borderId="32" xfId="9" applyNumberFormat="1" applyFont="1" applyFill="1" applyBorder="1" applyAlignment="1" applyProtection="1">
      <alignment horizontal="center" vertical="center"/>
      <protection locked="0"/>
    </xf>
    <xf numFmtId="174" fontId="66" fillId="11" borderId="32" xfId="9" applyNumberFormat="1" applyFont="1" applyFill="1" applyBorder="1" applyAlignment="1" applyProtection="1">
      <alignment horizontal="center" vertical="center"/>
      <protection locked="0"/>
    </xf>
    <xf numFmtId="0" fontId="70" fillId="41" borderId="32" xfId="12" applyFont="1" applyFill="1" applyBorder="1" applyAlignment="1">
      <alignment horizontal="left" vertical="center"/>
    </xf>
    <xf numFmtId="175" fontId="82" fillId="41" borderId="33" xfId="9" applyNumberFormat="1" applyFont="1" applyFill="1" applyBorder="1" applyAlignment="1">
      <alignment horizontal="center" vertical="center"/>
    </xf>
    <xf numFmtId="174" fontId="66" fillId="11" borderId="9" xfId="9" applyNumberFormat="1" applyFont="1" applyFill="1" applyBorder="1" applyAlignment="1" applyProtection="1">
      <alignment horizontal="center" vertical="center"/>
      <protection locked="0"/>
    </xf>
    <xf numFmtId="167" fontId="81" fillId="41" borderId="0" xfId="9" applyNumberFormat="1" applyFont="1" applyFill="1" applyAlignment="1" applyProtection="1">
      <alignment horizontal="center" vertical="center"/>
      <protection locked="0"/>
    </xf>
    <xf numFmtId="174" fontId="66" fillId="11" borderId="0" xfId="9" applyNumberFormat="1" applyFont="1" applyFill="1" applyAlignment="1" applyProtection="1">
      <alignment horizontal="center" vertical="center"/>
      <protection locked="0"/>
    </xf>
    <xf numFmtId="0" fontId="70" fillId="41" borderId="0" xfId="12" applyFont="1" applyFill="1" applyAlignment="1">
      <alignment horizontal="left" vertical="center"/>
    </xf>
    <xf numFmtId="175" fontId="82" fillId="41" borderId="2" xfId="9" applyNumberFormat="1" applyFont="1" applyFill="1" applyBorder="1" applyAlignment="1">
      <alignment horizontal="center" vertical="center"/>
    </xf>
    <xf numFmtId="0" fontId="35" fillId="10" borderId="13" xfId="5" applyFont="1" applyFill="1" applyBorder="1" applyAlignment="1" applyProtection="1">
      <alignment horizontal="center" vertical="center"/>
      <protection hidden="1"/>
    </xf>
    <xf numFmtId="0" fontId="15" fillId="10" borderId="13" xfId="9" applyFont="1" applyFill="1" applyBorder="1" applyAlignment="1">
      <alignment horizontal="center"/>
    </xf>
    <xf numFmtId="0" fontId="2" fillId="0" borderId="24" xfId="0" applyFont="1" applyBorder="1"/>
    <xf numFmtId="0" fontId="2" fillId="0" borderId="13" xfId="0" applyFont="1" applyBorder="1"/>
    <xf numFmtId="0" fontId="25" fillId="10" borderId="13" xfId="8" applyFont="1" applyFill="1" applyBorder="1" applyAlignment="1">
      <alignment horizontal="center" vertical="center"/>
    </xf>
    <xf numFmtId="0" fontId="17" fillId="10" borderId="13" xfId="6" applyFill="1" applyBorder="1" applyAlignment="1">
      <alignment vertical="center"/>
    </xf>
    <xf numFmtId="0" fontId="34" fillId="10" borderId="13" xfId="5" applyFont="1" applyFill="1" applyBorder="1" applyAlignment="1">
      <alignment horizontal="left" vertical="center"/>
    </xf>
    <xf numFmtId="0" fontId="2" fillId="11" borderId="13" xfId="9" applyFill="1" applyBorder="1" applyAlignment="1">
      <alignment horizontal="center" vertical="center"/>
    </xf>
    <xf numFmtId="0" fontId="60" fillId="42" borderId="6" xfId="5" applyFont="1" applyFill="1" applyBorder="1" applyAlignment="1">
      <alignment horizontal="center" vertical="center"/>
    </xf>
    <xf numFmtId="176" fontId="30" fillId="43" borderId="31" xfId="9" applyNumberFormat="1" applyFont="1" applyFill="1" applyBorder="1" applyAlignment="1" applyProtection="1">
      <alignment horizontal="center" vertical="center"/>
      <protection locked="0"/>
    </xf>
    <xf numFmtId="0" fontId="30" fillId="43" borderId="32" xfId="9" applyFont="1" applyFill="1" applyBorder="1" applyAlignment="1" applyProtection="1">
      <alignment horizontal="right" vertical="center"/>
      <protection locked="0"/>
    </xf>
    <xf numFmtId="0" fontId="61" fillId="10" borderId="34" xfId="5" applyFont="1" applyFill="1" applyBorder="1" applyAlignment="1">
      <alignment horizontal="center" vertical="center"/>
    </xf>
    <xf numFmtId="175" fontId="30" fillId="43" borderId="25" xfId="9" applyNumberFormat="1" applyFont="1" applyFill="1" applyBorder="1" applyAlignment="1" applyProtection="1">
      <alignment horizontal="center" vertical="center"/>
      <protection locked="0"/>
    </xf>
    <xf numFmtId="0" fontId="2" fillId="10" borderId="34" xfId="0" applyFont="1" applyFill="1" applyBorder="1"/>
    <xf numFmtId="0" fontId="2" fillId="10" borderId="32" xfId="0" applyFont="1" applyFill="1" applyBorder="1"/>
    <xf numFmtId="167" fontId="81" fillId="8" borderId="0" xfId="9" applyNumberFormat="1" applyFont="1" applyFill="1" applyAlignment="1" applyProtection="1">
      <alignment horizontal="center" vertical="center"/>
      <protection locked="0"/>
    </xf>
    <xf numFmtId="174" fontId="66" fillId="11" borderId="35" xfId="9" applyNumberFormat="1" applyFont="1" applyFill="1" applyBorder="1" applyAlignment="1" applyProtection="1">
      <alignment horizontal="center" vertical="center"/>
      <protection locked="0"/>
    </xf>
    <xf numFmtId="176" fontId="30" fillId="43" borderId="9" xfId="9" applyNumberFormat="1" applyFont="1" applyFill="1" applyBorder="1" applyAlignment="1" applyProtection="1">
      <alignment horizontal="center" vertical="center"/>
      <protection locked="0"/>
    </xf>
    <xf numFmtId="0" fontId="30" fillId="43" borderId="0" xfId="9" applyFont="1" applyFill="1" applyAlignment="1" applyProtection="1">
      <alignment horizontal="right" vertical="center"/>
      <protection locked="0"/>
    </xf>
    <xf numFmtId="0" fontId="61" fillId="10" borderId="36" xfId="5" applyFont="1" applyFill="1" applyBorder="1" applyAlignment="1">
      <alignment horizontal="center" vertical="center"/>
    </xf>
    <xf numFmtId="176" fontId="30" fillId="43" borderId="26" xfId="9" applyNumberFormat="1" applyFont="1" applyFill="1" applyBorder="1" applyAlignment="1" applyProtection="1">
      <alignment horizontal="center" vertical="center"/>
      <protection locked="0"/>
    </xf>
    <xf numFmtId="0" fontId="2" fillId="10" borderId="36" xfId="0" applyFont="1" applyFill="1" applyBorder="1"/>
    <xf numFmtId="0" fontId="2" fillId="10" borderId="0" xfId="0" applyFont="1" applyFill="1"/>
    <xf numFmtId="177" fontId="43" fillId="44" borderId="9" xfId="9" applyNumberFormat="1" applyFont="1" applyFill="1" applyBorder="1" applyAlignment="1">
      <alignment horizontal="centerContinuous" vertical="center" wrapText="1"/>
    </xf>
    <xf numFmtId="9" fontId="84" fillId="45" borderId="2" xfId="9" applyNumberFormat="1" applyFont="1" applyFill="1" applyBorder="1" applyAlignment="1">
      <alignment horizontal="center" vertical="center"/>
    </xf>
    <xf numFmtId="166" fontId="85" fillId="8" borderId="37" xfId="12" applyNumberFormat="1" applyFont="1" applyFill="1" applyBorder="1" applyAlignment="1">
      <alignment horizontal="center" vertical="center"/>
    </xf>
    <xf numFmtId="0" fontId="23" fillId="45" borderId="0" xfId="12" applyFont="1" applyFill="1" applyAlignment="1">
      <alignment horizontal="right" vertical="center"/>
    </xf>
    <xf numFmtId="0" fontId="2" fillId="45" borderId="0" xfId="9" applyFill="1" applyAlignment="1">
      <alignment horizontal="centerContinuous" vertical="center" wrapText="1"/>
    </xf>
    <xf numFmtId="0" fontId="66" fillId="11" borderId="0" xfId="12" applyFont="1" applyFill="1" applyAlignment="1">
      <alignment horizontal="centerContinuous" vertical="center"/>
    </xf>
    <xf numFmtId="9" fontId="23" fillId="45" borderId="2" xfId="9" applyNumberFormat="1" applyFont="1" applyFill="1" applyBorder="1" applyAlignment="1">
      <alignment horizontal="center" vertical="center"/>
    </xf>
    <xf numFmtId="167" fontId="62" fillId="41" borderId="9" xfId="9" applyNumberFormat="1" applyFont="1" applyFill="1" applyBorder="1" applyAlignment="1" applyProtection="1">
      <alignment horizontal="center" vertical="center"/>
      <protection locked="0"/>
    </xf>
    <xf numFmtId="0" fontId="62" fillId="43" borderId="0" xfId="9" applyFont="1" applyFill="1" applyAlignment="1" applyProtection="1">
      <alignment horizontal="right" vertical="center"/>
      <protection locked="0"/>
    </xf>
    <xf numFmtId="176" fontId="62" fillId="41" borderId="26" xfId="9" applyNumberFormat="1" applyFont="1" applyFill="1" applyBorder="1" applyAlignment="1" applyProtection="1">
      <alignment horizontal="center" vertical="center"/>
      <protection locked="0"/>
    </xf>
    <xf numFmtId="2" fontId="23" fillId="11" borderId="23" xfId="9" applyNumberFormat="1" applyFont="1" applyFill="1" applyBorder="1" applyAlignment="1">
      <alignment horizontal="center" vertical="center"/>
    </xf>
    <xf numFmtId="0" fontId="43" fillId="11" borderId="19" xfId="9" applyFont="1" applyFill="1" applyBorder="1" applyAlignment="1">
      <alignment horizontal="center" vertical="center"/>
    </xf>
    <xf numFmtId="178" fontId="23" fillId="11" borderId="38" xfId="9" applyNumberFormat="1" applyFont="1" applyFill="1" applyBorder="1" applyAlignment="1">
      <alignment horizontal="center" vertical="center"/>
    </xf>
    <xf numFmtId="0" fontId="2" fillId="11" borderId="0" xfId="9" applyFill="1"/>
    <xf numFmtId="2" fontId="35" fillId="46" borderId="17" xfId="9" applyNumberFormat="1" applyFont="1" applyFill="1" applyBorder="1" applyAlignment="1" applyProtection="1">
      <alignment horizontal="center" vertical="center" wrapText="1"/>
      <protection locked="0"/>
    </xf>
    <xf numFmtId="176" fontId="31" fillId="41" borderId="39" xfId="9" applyNumberFormat="1" applyFont="1" applyFill="1" applyBorder="1" applyAlignment="1" applyProtection="1">
      <alignment horizontal="center" vertical="center"/>
      <protection locked="0"/>
    </xf>
    <xf numFmtId="0" fontId="31" fillId="43" borderId="40" xfId="9" applyFont="1" applyFill="1" applyBorder="1" applyAlignment="1" applyProtection="1">
      <alignment horizontal="right" vertical="center"/>
      <protection locked="0"/>
    </xf>
    <xf numFmtId="0" fontId="61" fillId="10" borderId="41" xfId="5" applyFont="1" applyFill="1" applyBorder="1" applyAlignment="1">
      <alignment horizontal="center" vertical="center"/>
    </xf>
    <xf numFmtId="176" fontId="31" fillId="41" borderId="28" xfId="9" applyNumberFormat="1" applyFont="1" applyFill="1" applyBorder="1" applyAlignment="1" applyProtection="1">
      <alignment horizontal="center" vertical="center"/>
      <protection locked="0"/>
    </xf>
    <xf numFmtId="0" fontId="31" fillId="43" borderId="29" xfId="9" applyFont="1" applyFill="1" applyBorder="1" applyAlignment="1" applyProtection="1">
      <alignment horizontal="right" vertical="center"/>
      <protection locked="0"/>
    </xf>
    <xf numFmtId="0" fontId="2" fillId="10" borderId="41" xfId="0" applyFont="1" applyFill="1" applyBorder="1"/>
    <xf numFmtId="0" fontId="2" fillId="10" borderId="29" xfId="0" applyFont="1" applyFill="1" applyBorder="1"/>
    <xf numFmtId="169" fontId="30" fillId="43" borderId="31" xfId="9" applyNumberFormat="1" applyFont="1" applyFill="1" applyBorder="1" applyAlignment="1" applyProtection="1">
      <alignment horizontal="center" vertical="center"/>
      <protection locked="0"/>
    </xf>
    <xf numFmtId="167" fontId="70" fillId="41" borderId="9" xfId="9" applyNumberFormat="1" applyFont="1" applyFill="1" applyBorder="1" applyAlignment="1" applyProtection="1">
      <alignment horizontal="center" vertical="center"/>
      <protection locked="0"/>
    </xf>
    <xf numFmtId="0" fontId="70" fillId="43" borderId="0" xfId="9" applyFont="1" applyFill="1" applyAlignment="1" applyProtection="1">
      <alignment horizontal="right" vertical="center"/>
      <protection locked="0"/>
    </xf>
    <xf numFmtId="176" fontId="70" fillId="41" borderId="26" xfId="9" applyNumberFormat="1" applyFont="1" applyFill="1" applyBorder="1" applyAlignment="1" applyProtection="1">
      <alignment horizontal="center" vertical="center"/>
      <protection locked="0"/>
    </xf>
    <xf numFmtId="0" fontId="70" fillId="10" borderId="0" xfId="9" applyFont="1" applyFill="1" applyAlignment="1" applyProtection="1">
      <alignment horizontal="right" vertical="center"/>
      <protection locked="0"/>
    </xf>
    <xf numFmtId="176" fontId="87" fillId="41" borderId="30" xfId="9" applyNumberFormat="1" applyFont="1" applyFill="1" applyBorder="1" applyAlignment="1" applyProtection="1">
      <alignment horizontal="center" vertical="center"/>
      <protection locked="0"/>
    </xf>
    <xf numFmtId="0" fontId="87" fillId="43" borderId="29" xfId="9" applyFont="1" applyFill="1" applyBorder="1" applyAlignment="1" applyProtection="1">
      <alignment horizontal="right" vertical="center"/>
      <protection locked="0"/>
    </xf>
    <xf numFmtId="176" fontId="87" fillId="41" borderId="28" xfId="9" applyNumberFormat="1" applyFont="1" applyFill="1" applyBorder="1" applyAlignment="1" applyProtection="1">
      <alignment horizontal="center" vertical="center"/>
      <protection locked="0"/>
    </xf>
    <xf numFmtId="0" fontId="87" fillId="10" borderId="29" xfId="9" applyFont="1" applyFill="1" applyBorder="1" applyAlignment="1" applyProtection="1">
      <alignment horizontal="right" vertical="center"/>
      <protection locked="0"/>
    </xf>
    <xf numFmtId="0" fontId="17" fillId="10" borderId="22" xfId="6" applyFill="1" applyBorder="1" applyAlignment="1">
      <alignment vertical="center"/>
    </xf>
    <xf numFmtId="0" fontId="17" fillId="10" borderId="21" xfId="6" applyFill="1" applyBorder="1" applyAlignment="1">
      <alignment vertical="center"/>
    </xf>
    <xf numFmtId="0" fontId="61" fillId="10" borderId="30" xfId="5" applyFont="1" applyFill="1" applyBorder="1" applyAlignment="1">
      <alignment horizontal="center" vertical="center"/>
    </xf>
    <xf numFmtId="0" fontId="61" fillId="10" borderId="29" xfId="5" applyFont="1" applyFill="1" applyBorder="1" applyAlignment="1">
      <alignment horizontal="center" vertical="center"/>
    </xf>
    <xf numFmtId="0" fontId="2" fillId="0" borderId="29" xfId="0" applyFont="1" applyBorder="1"/>
    <xf numFmtId="0" fontId="2" fillId="11" borderId="29" xfId="9" applyFill="1" applyBorder="1" applyAlignment="1">
      <alignment horizontal="center" vertical="center"/>
    </xf>
    <xf numFmtId="0" fontId="66" fillId="17" borderId="42" xfId="12" applyFont="1" applyFill="1" applyBorder="1" applyAlignment="1" applyProtection="1">
      <alignment horizontal="right" vertical="center"/>
      <protection locked="0"/>
    </xf>
    <xf numFmtId="0" fontId="66" fillId="17" borderId="43" xfId="12" applyFont="1" applyFill="1" applyBorder="1" applyAlignment="1" applyProtection="1">
      <alignment horizontal="centerContinuous" vertical="center"/>
      <protection locked="0"/>
    </xf>
    <xf numFmtId="0" fontId="66" fillId="17" borderId="44" xfId="12" applyFont="1" applyFill="1" applyBorder="1" applyAlignment="1" applyProtection="1">
      <alignment horizontal="left" vertical="center"/>
      <protection locked="0"/>
    </xf>
    <xf numFmtId="0" fontId="54" fillId="0" borderId="0" xfId="20" applyFont="1" applyAlignment="1">
      <alignment vertical="center"/>
    </xf>
    <xf numFmtId="0" fontId="2" fillId="10" borderId="0" xfId="0" applyFont="1" applyFill="1" applyAlignment="1">
      <alignment vertical="center"/>
    </xf>
    <xf numFmtId="0" fontId="17" fillId="10" borderId="0" xfId="6" applyFill="1" applyAlignment="1">
      <alignment horizontal="center" vertical="center"/>
    </xf>
    <xf numFmtId="179" fontId="35" fillId="10" borderId="31" xfId="9" applyNumberFormat="1" applyFont="1" applyFill="1" applyBorder="1" applyAlignment="1" applyProtection="1">
      <alignment horizontal="center" vertical="center"/>
      <protection locked="0"/>
    </xf>
    <xf numFmtId="0" fontId="35" fillId="10" borderId="32" xfId="9" applyFont="1" applyFill="1" applyBorder="1" applyAlignment="1" applyProtection="1">
      <alignment horizontal="right" vertical="center"/>
      <protection locked="0"/>
    </xf>
    <xf numFmtId="0" fontId="43" fillId="10" borderId="0" xfId="5" applyFont="1" applyFill="1" applyProtection="1">
      <protection hidden="1"/>
    </xf>
    <xf numFmtId="165" fontId="35" fillId="10" borderId="25" xfId="9" applyNumberFormat="1" applyFont="1" applyFill="1" applyBorder="1" applyAlignment="1" applyProtection="1">
      <alignment horizontal="center" vertical="center"/>
      <protection locked="0"/>
    </xf>
    <xf numFmtId="0" fontId="43" fillId="10" borderId="32" xfId="9" applyFont="1" applyFill="1" applyBorder="1" applyAlignment="1" applyProtection="1">
      <alignment horizontal="right" vertical="center"/>
      <protection locked="0"/>
    </xf>
    <xf numFmtId="179" fontId="35" fillId="10" borderId="25" xfId="9" applyNumberFormat="1" applyFont="1" applyFill="1" applyBorder="1" applyAlignment="1" applyProtection="1">
      <alignment horizontal="center" vertical="center"/>
      <protection locked="0"/>
    </xf>
    <xf numFmtId="0" fontId="35" fillId="10" borderId="32" xfId="9" applyFont="1" applyFill="1" applyBorder="1" applyAlignment="1" applyProtection="1">
      <alignment horizontal="left" vertical="center"/>
      <protection locked="0"/>
    </xf>
    <xf numFmtId="165" fontId="35" fillId="10" borderId="9" xfId="9" applyNumberFormat="1" applyFont="1" applyFill="1" applyBorder="1" applyAlignment="1" applyProtection="1">
      <alignment horizontal="center" vertical="center"/>
      <protection locked="0"/>
    </xf>
    <xf numFmtId="0" fontId="43" fillId="10" borderId="0" xfId="9" applyFont="1" applyFill="1" applyAlignment="1" applyProtection="1">
      <alignment horizontal="right" vertical="center"/>
      <protection locked="0"/>
    </xf>
    <xf numFmtId="165" fontId="35" fillId="10" borderId="26" xfId="9" applyNumberFormat="1" applyFont="1" applyFill="1" applyBorder="1" applyAlignment="1" applyProtection="1">
      <alignment horizontal="center" vertical="center"/>
      <protection locked="0"/>
    </xf>
    <xf numFmtId="0" fontId="30" fillId="10" borderId="0" xfId="9" applyFont="1" applyFill="1" applyAlignment="1" applyProtection="1">
      <alignment horizontal="right" vertical="center"/>
      <protection locked="0"/>
    </xf>
    <xf numFmtId="0" fontId="30" fillId="10" borderId="0" xfId="9" applyFont="1" applyFill="1" applyAlignment="1" applyProtection="1">
      <alignment horizontal="left" vertical="center"/>
      <protection locked="0"/>
    </xf>
    <xf numFmtId="165" fontId="88" fillId="41" borderId="9" xfId="9" applyNumberFormat="1" applyFont="1" applyFill="1" applyBorder="1" applyAlignment="1" applyProtection="1">
      <alignment horizontal="center" vertical="center"/>
      <protection locked="0"/>
    </xf>
    <xf numFmtId="0" fontId="89" fillId="10" borderId="0" xfId="9" applyFont="1" applyFill="1" applyAlignment="1" applyProtection="1">
      <alignment horizontal="right" vertical="center"/>
      <protection locked="0"/>
    </xf>
    <xf numFmtId="167" fontId="90" fillId="41" borderId="26" xfId="9" applyNumberFormat="1" applyFont="1" applyFill="1" applyBorder="1" applyAlignment="1" applyProtection="1">
      <alignment horizontal="center" vertical="center"/>
      <protection locked="0"/>
    </xf>
    <xf numFmtId="165" fontId="88" fillId="41" borderId="26" xfId="9" applyNumberFormat="1" applyFont="1" applyFill="1" applyBorder="1" applyAlignment="1" applyProtection="1">
      <alignment horizontal="center" vertical="center"/>
      <protection locked="0"/>
    </xf>
    <xf numFmtId="0" fontId="82" fillId="10" borderId="0" xfId="9" applyFont="1" applyFill="1" applyAlignment="1" applyProtection="1">
      <alignment horizontal="right" vertical="center"/>
      <protection locked="0"/>
    </xf>
    <xf numFmtId="0" fontId="82" fillId="10" borderId="0" xfId="9" applyFont="1" applyFill="1" applyAlignment="1" applyProtection="1">
      <alignment horizontal="left" vertical="center"/>
      <protection locked="0"/>
    </xf>
    <xf numFmtId="165" fontId="91" fillId="41" borderId="26" xfId="9" applyNumberFormat="1" applyFont="1" applyFill="1" applyBorder="1" applyAlignment="1" applyProtection="1">
      <alignment horizontal="center" vertical="center"/>
      <protection locked="0"/>
    </xf>
    <xf numFmtId="0" fontId="85" fillId="10" borderId="0" xfId="9" applyFont="1" applyFill="1" applyAlignment="1" applyProtection="1">
      <alignment horizontal="right" vertical="center"/>
      <protection locked="0"/>
    </xf>
    <xf numFmtId="0" fontId="85" fillId="10" borderId="0" xfId="9" applyFont="1" applyFill="1" applyAlignment="1" applyProtection="1">
      <alignment horizontal="left" vertical="center"/>
      <protection locked="0"/>
    </xf>
    <xf numFmtId="179" fontId="35" fillId="11" borderId="22" xfId="9" applyNumberFormat="1" applyFont="1" applyFill="1" applyBorder="1" applyAlignment="1" applyProtection="1">
      <alignment horizontal="center" vertical="center"/>
      <protection locked="0"/>
    </xf>
    <xf numFmtId="0" fontId="35" fillId="11" borderId="21" xfId="9" applyFont="1" applyFill="1" applyBorder="1" applyAlignment="1" applyProtection="1">
      <alignment horizontal="right" vertical="center"/>
      <protection locked="0"/>
    </xf>
    <xf numFmtId="0" fontId="43" fillId="11" borderId="21" xfId="5" applyFont="1" applyFill="1" applyBorder="1" applyProtection="1">
      <protection hidden="1"/>
    </xf>
    <xf numFmtId="179" fontId="35" fillId="11" borderId="21" xfId="9" applyNumberFormat="1" applyFont="1" applyFill="1" applyBorder="1" applyAlignment="1" applyProtection="1">
      <alignment horizontal="center" vertical="center"/>
      <protection locked="0"/>
    </xf>
    <xf numFmtId="165" fontId="35" fillId="11" borderId="21" xfId="9" applyNumberFormat="1" applyFont="1" applyFill="1" applyBorder="1" applyAlignment="1" applyProtection="1">
      <alignment horizontal="center" vertical="center"/>
      <protection locked="0"/>
    </xf>
    <xf numFmtId="0" fontId="43" fillId="11" borderId="21" xfId="9" applyFont="1" applyFill="1" applyBorder="1" applyAlignment="1" applyProtection="1">
      <alignment horizontal="right" vertical="center"/>
      <protection locked="0"/>
    </xf>
    <xf numFmtId="0" fontId="43" fillId="11" borderId="21" xfId="9" applyFont="1" applyFill="1" applyBorder="1" applyAlignment="1" applyProtection="1">
      <alignment horizontal="left" vertical="center"/>
      <protection locked="0"/>
    </xf>
    <xf numFmtId="179" fontId="35" fillId="10" borderId="9" xfId="9" applyNumberFormat="1" applyFont="1" applyFill="1" applyBorder="1" applyAlignment="1" applyProtection="1">
      <alignment horizontal="center" vertical="center"/>
      <protection locked="0"/>
    </xf>
    <xf numFmtId="0" fontId="35" fillId="10" borderId="0" xfId="9" applyFont="1" applyFill="1" applyAlignment="1" applyProtection="1">
      <alignment horizontal="right" vertical="center"/>
      <protection locked="0"/>
    </xf>
    <xf numFmtId="179" fontId="35" fillId="10" borderId="26" xfId="9" applyNumberFormat="1" applyFont="1" applyFill="1" applyBorder="1" applyAlignment="1" applyProtection="1">
      <alignment horizontal="center" vertical="center"/>
      <protection locked="0"/>
    </xf>
    <xf numFmtId="0" fontId="43" fillId="10" borderId="13" xfId="9" applyFont="1" applyFill="1" applyBorder="1" applyAlignment="1" applyProtection="1">
      <alignment horizontal="left" vertical="center"/>
      <protection locked="0"/>
    </xf>
    <xf numFmtId="0" fontId="35" fillId="10" borderId="0" xfId="7" applyFont="1" applyFill="1" applyAlignment="1">
      <alignment horizontal="left" vertical="center"/>
    </xf>
    <xf numFmtId="165" fontId="91" fillId="8" borderId="9" xfId="9" applyNumberFormat="1" applyFont="1" applyFill="1" applyBorder="1" applyAlignment="1" applyProtection="1">
      <alignment horizontal="center" vertical="center"/>
      <protection locked="0"/>
    </xf>
    <xf numFmtId="179" fontId="88" fillId="41" borderId="26" xfId="9" applyNumberFormat="1" applyFont="1" applyFill="1" applyBorder="1" applyAlignment="1" applyProtection="1">
      <alignment horizontal="center" vertical="center"/>
      <protection locked="0"/>
    </xf>
    <xf numFmtId="0" fontId="89" fillId="10" borderId="0" xfId="9" applyFont="1" applyFill="1" applyAlignment="1" applyProtection="1">
      <alignment horizontal="left" vertical="center"/>
      <protection locked="0"/>
    </xf>
    <xf numFmtId="0" fontId="85" fillId="10" borderId="18" xfId="9" applyFont="1" applyFill="1" applyBorder="1" applyAlignment="1" applyProtection="1">
      <alignment horizontal="right" vertical="center"/>
      <protection locked="0"/>
    </xf>
    <xf numFmtId="0" fontId="2" fillId="11" borderId="15" xfId="9" applyFill="1" applyBorder="1" applyAlignment="1">
      <alignment horizontal="center" vertical="center"/>
    </xf>
    <xf numFmtId="0" fontId="43" fillId="10" borderId="0" xfId="7" applyFont="1" applyFill="1" applyAlignment="1">
      <alignment vertical="center"/>
    </xf>
    <xf numFmtId="0" fontId="66" fillId="47" borderId="47" xfId="12" applyFont="1" applyFill="1" applyBorder="1" applyAlignment="1" applyProtection="1">
      <alignment horizontal="right" vertical="center"/>
      <protection locked="0"/>
    </xf>
    <xf numFmtId="0" fontId="66" fillId="47" borderId="48" xfId="12" applyFont="1" applyFill="1" applyBorder="1" applyAlignment="1" applyProtection="1">
      <alignment horizontal="centerContinuous" vertical="center"/>
      <protection locked="0"/>
    </xf>
    <xf numFmtId="0" fontId="66" fillId="48" borderId="48" xfId="12" applyFont="1" applyFill="1" applyBorder="1" applyAlignment="1" applyProtection="1">
      <alignment horizontal="centerContinuous" vertical="center"/>
      <protection locked="0"/>
    </xf>
    <xf numFmtId="0" fontId="66" fillId="47" borderId="49" xfId="12" applyFont="1" applyFill="1" applyBorder="1" applyAlignment="1" applyProtection="1">
      <alignment horizontal="centerContinuous" vertical="center"/>
      <protection locked="0"/>
    </xf>
    <xf numFmtId="0" fontId="2" fillId="10" borderId="9" xfId="18" applyFont="1" applyFill="1" applyBorder="1"/>
    <xf numFmtId="0" fontId="2" fillId="10" borderId="0" xfId="18" applyFont="1" applyFill="1"/>
    <xf numFmtId="0" fontId="43" fillId="10" borderId="0" xfId="5" applyFont="1" applyFill="1"/>
    <xf numFmtId="0" fontId="19" fillId="10" borderId="0" xfId="18" applyFont="1" applyFill="1" applyAlignment="1">
      <alignment horizontal="left" vertical="center"/>
    </xf>
    <xf numFmtId="0" fontId="64" fillId="10" borderId="0" xfId="5" applyFont="1" applyFill="1" applyAlignment="1">
      <alignment horizontal="left" vertical="center"/>
    </xf>
    <xf numFmtId="0" fontId="19" fillId="10" borderId="0" xfId="18" applyFont="1" applyFill="1" applyAlignment="1">
      <alignment horizontal="right" vertical="center"/>
    </xf>
    <xf numFmtId="0" fontId="93" fillId="50" borderId="0" xfId="21" applyFont="1" applyFill="1" applyAlignment="1" applyProtection="1">
      <alignment horizontal="left" vertical="center"/>
      <protection locked="0"/>
    </xf>
    <xf numFmtId="0" fontId="68" fillId="10" borderId="0" xfId="21" applyFont="1" applyFill="1" applyAlignment="1" applyProtection="1">
      <alignment horizontal="left" vertical="center"/>
      <protection locked="0"/>
    </xf>
    <xf numFmtId="0" fontId="93" fillId="51" borderId="0" xfId="21" applyFont="1" applyFill="1" applyAlignment="1" applyProtection="1">
      <alignment horizontal="left" vertical="center"/>
      <protection locked="0"/>
    </xf>
    <xf numFmtId="0" fontId="38" fillId="10" borderId="0" xfId="18" applyFill="1"/>
    <xf numFmtId="0" fontId="94" fillId="10" borderId="0" xfId="21" applyFont="1" applyFill="1" applyAlignment="1" applyProtection="1">
      <alignment horizontal="left" vertical="center"/>
      <protection locked="0"/>
    </xf>
    <xf numFmtId="0" fontId="57" fillId="51" borderId="0" xfId="21" applyFont="1" applyFill="1" applyAlignment="1" applyProtection="1">
      <alignment horizontal="left" vertical="center"/>
      <protection locked="0"/>
    </xf>
    <xf numFmtId="0" fontId="57" fillId="50" borderId="0" xfId="21" applyFont="1" applyFill="1" applyAlignment="1" applyProtection="1">
      <alignment horizontal="left" vertical="center"/>
      <protection locked="0"/>
    </xf>
    <xf numFmtId="0" fontId="55" fillId="50" borderId="0" xfId="21" applyFont="1" applyFill="1" applyAlignment="1" applyProtection="1">
      <alignment horizontal="left" vertical="center"/>
      <protection locked="0"/>
    </xf>
    <xf numFmtId="0" fontId="55" fillId="10" borderId="0" xfId="8" applyFont="1" applyFill="1" applyAlignment="1">
      <alignment horizontal="left" vertical="center"/>
    </xf>
    <xf numFmtId="0" fontId="95" fillId="50" borderId="0" xfId="21" applyFont="1" applyFill="1" applyAlignment="1" applyProtection="1">
      <alignment horizontal="left" vertical="center"/>
      <protection locked="0"/>
    </xf>
    <xf numFmtId="0" fontId="96" fillId="50" borderId="0" xfId="21" applyFont="1" applyFill="1" applyAlignment="1" applyProtection="1">
      <alignment horizontal="left" vertical="center"/>
      <protection locked="0"/>
    </xf>
    <xf numFmtId="0" fontId="53" fillId="10" borderId="0" xfId="20" applyFont="1" applyFill="1" applyAlignment="1">
      <alignment horizontal="left" vertical="center"/>
    </xf>
    <xf numFmtId="0" fontId="58" fillId="52" borderId="9" xfId="5" applyFont="1" applyFill="1" applyBorder="1" applyAlignment="1">
      <alignment vertical="center"/>
    </xf>
    <xf numFmtId="0" fontId="58" fillId="52" borderId="0" xfId="5" applyFont="1" applyFill="1" applyAlignment="1">
      <alignment vertical="center"/>
    </xf>
    <xf numFmtId="0" fontId="35" fillId="52" borderId="0" xfId="5" applyFont="1" applyFill="1" applyAlignment="1">
      <alignment vertical="center"/>
    </xf>
    <xf numFmtId="164" fontId="43" fillId="50" borderId="0" xfId="21" applyNumberFormat="1" applyFont="1" applyFill="1" applyAlignment="1" applyProtection="1">
      <alignment horizontal="center" vertical="center"/>
      <protection locked="0"/>
    </xf>
    <xf numFmtId="0" fontId="43" fillId="10" borderId="0" xfId="5" applyFont="1" applyFill="1" applyAlignment="1">
      <alignment horizontal="right" vertical="center"/>
    </xf>
    <xf numFmtId="0" fontId="44" fillId="10" borderId="0" xfId="12" applyFont="1" applyFill="1" applyAlignment="1">
      <alignment horizontal="center" vertical="center"/>
    </xf>
    <xf numFmtId="0" fontId="43" fillId="10" borderId="0" xfId="8" applyFont="1" applyFill="1" applyAlignment="1">
      <alignment horizontal="right" vertical="center"/>
    </xf>
    <xf numFmtId="0" fontId="43" fillId="12" borderId="0" xfId="5" applyFont="1" applyFill="1" applyAlignment="1">
      <alignment horizontal="right" vertical="center"/>
    </xf>
    <xf numFmtId="0" fontId="2" fillId="0" borderId="0" xfId="18" applyFont="1"/>
    <xf numFmtId="0" fontId="73" fillId="10" borderId="9" xfId="5" applyFont="1" applyFill="1" applyBorder="1" applyAlignment="1">
      <alignment horizontal="left" vertical="center"/>
    </xf>
    <xf numFmtId="180" fontId="63" fillId="50" borderId="0" xfId="21" applyNumberFormat="1" applyFont="1" applyFill="1" applyAlignment="1" applyProtection="1">
      <alignment horizontal="right" vertical="center"/>
      <protection locked="0"/>
    </xf>
    <xf numFmtId="0" fontId="97" fillId="10" borderId="0" xfId="5" applyFont="1" applyFill="1" applyAlignment="1">
      <alignment horizontal="left" vertical="center"/>
    </xf>
    <xf numFmtId="174" fontId="43" fillId="50" borderId="0" xfId="21" applyNumberFormat="1" applyFont="1" applyFill="1" applyAlignment="1" applyProtection="1">
      <alignment horizontal="center" vertical="center"/>
      <protection locked="0"/>
    </xf>
    <xf numFmtId="0" fontId="35" fillId="10" borderId="0" xfId="8" applyFont="1" applyFill="1" applyAlignment="1">
      <alignment horizontal="right" vertical="center"/>
    </xf>
    <xf numFmtId="0" fontId="98" fillId="10" borderId="0" xfId="5" applyFont="1" applyFill="1" applyAlignment="1">
      <alignment horizontal="left" vertical="center"/>
    </xf>
    <xf numFmtId="0" fontId="19" fillId="10" borderId="0" xfId="0" applyFont="1" applyFill="1" applyAlignment="1">
      <alignment horizontal="left" vertical="center"/>
    </xf>
    <xf numFmtId="0" fontId="97" fillId="10" borderId="9" xfId="5" applyFont="1" applyFill="1" applyBorder="1" applyAlignment="1">
      <alignment horizontal="left" vertical="center"/>
    </xf>
    <xf numFmtId="166" fontId="43" fillId="50" borderId="0" xfId="21" applyNumberFormat="1" applyFont="1" applyFill="1" applyAlignment="1" applyProtection="1">
      <alignment horizontal="center" vertical="center"/>
      <protection locked="0"/>
    </xf>
    <xf numFmtId="164" fontId="58" fillId="50" borderId="0" xfId="21" applyNumberFormat="1" applyFont="1" applyFill="1" applyAlignment="1" applyProtection="1">
      <alignment horizontal="center" vertical="center"/>
      <protection locked="0"/>
    </xf>
    <xf numFmtId="0" fontId="99" fillId="10" borderId="0" xfId="21" applyFont="1" applyFill="1" applyAlignment="1" applyProtection="1">
      <alignment horizontal="right" vertical="center"/>
      <protection locked="0"/>
    </xf>
    <xf numFmtId="164" fontId="58" fillId="51" borderId="0" xfId="21" applyNumberFormat="1" applyFont="1" applyFill="1" applyAlignment="1" applyProtection="1">
      <alignment horizontal="center" vertical="center"/>
      <protection locked="0"/>
    </xf>
    <xf numFmtId="0" fontId="2" fillId="0" borderId="9" xfId="18" applyFont="1" applyBorder="1"/>
    <xf numFmtId="168" fontId="75" fillId="53" borderId="0" xfId="5" applyNumberFormat="1" applyFont="1" applyFill="1" applyAlignment="1">
      <alignment vertical="center"/>
    </xf>
    <xf numFmtId="0" fontId="100" fillId="54" borderId="0" xfId="12" applyFont="1" applyFill="1" applyAlignment="1">
      <alignment horizontal="center" vertical="center"/>
    </xf>
    <xf numFmtId="0" fontId="68" fillId="10" borderId="0" xfId="21" applyFont="1" applyFill="1" applyAlignment="1" applyProtection="1">
      <alignment horizontal="right" vertical="center"/>
      <protection locked="0"/>
    </xf>
    <xf numFmtId="0" fontId="0" fillId="10" borderId="9" xfId="0" applyFill="1" applyBorder="1"/>
    <xf numFmtId="0" fontId="97" fillId="10" borderId="9" xfId="18" applyFont="1" applyFill="1" applyBorder="1" applyAlignment="1">
      <alignment horizontal="left" vertical="center"/>
    </xf>
    <xf numFmtId="166" fontId="101" fillId="50" borderId="0" xfId="21" applyNumberFormat="1" applyFont="1" applyFill="1" applyAlignment="1" applyProtection="1">
      <alignment horizontal="right" vertical="center"/>
      <protection locked="0"/>
    </xf>
    <xf numFmtId="167" fontId="64" fillId="52" borderId="0" xfId="3" applyNumberFormat="1" applyFont="1" applyFill="1" applyAlignment="1" applyProtection="1">
      <alignment horizontal="center" vertical="center"/>
      <protection locked="0"/>
    </xf>
    <xf numFmtId="0" fontId="81" fillId="50" borderId="0" xfId="21" applyFont="1" applyFill="1" applyAlignment="1" applyProtection="1">
      <alignment horizontal="right" vertical="center"/>
      <protection locked="0"/>
    </xf>
    <xf numFmtId="166" fontId="101" fillId="50" borderId="0" xfId="21" applyNumberFormat="1" applyFont="1" applyFill="1" applyAlignment="1" applyProtection="1">
      <alignment horizontal="center" vertical="center"/>
      <protection locked="0"/>
    </xf>
    <xf numFmtId="166" fontId="64" fillId="51" borderId="0" xfId="21" applyNumberFormat="1" applyFont="1" applyFill="1" applyAlignment="1" applyProtection="1">
      <alignment horizontal="center" vertical="center"/>
      <protection locked="0"/>
    </xf>
    <xf numFmtId="0" fontId="8" fillId="10" borderId="0" xfId="0" applyFont="1" applyFill="1" applyAlignment="1">
      <alignment horizontal="right" vertical="center"/>
    </xf>
    <xf numFmtId="174" fontId="52" fillId="10" borderId="0" xfId="3" applyNumberFormat="1" applyFont="1" applyFill="1" applyAlignment="1" applyProtection="1">
      <alignment horizontal="center" vertical="center"/>
      <protection locked="0"/>
    </xf>
    <xf numFmtId="0" fontId="0" fillId="0" borderId="9" xfId="0" applyBorder="1"/>
    <xf numFmtId="1" fontId="58" fillId="51" borderId="0" xfId="21" applyNumberFormat="1" applyFont="1" applyFill="1" applyAlignment="1" applyProtection="1">
      <alignment horizontal="center" vertical="center"/>
      <protection locked="0"/>
    </xf>
    <xf numFmtId="0" fontId="102" fillId="10" borderId="0" xfId="8" applyFont="1" applyFill="1" applyAlignment="1">
      <alignment horizontal="right" vertical="center"/>
    </xf>
    <xf numFmtId="0" fontId="51" fillId="10" borderId="0" xfId="18" applyFont="1" applyFill="1" applyAlignment="1">
      <alignment vertical="center"/>
    </xf>
    <xf numFmtId="0" fontId="23" fillId="10" borderId="0" xfId="8" applyFont="1" applyFill="1" applyAlignment="1">
      <alignment horizontal="left" vertical="center"/>
    </xf>
    <xf numFmtId="0" fontId="43" fillId="10" borderId="0" xfId="18" applyFont="1" applyFill="1"/>
    <xf numFmtId="0" fontId="103" fillId="10" borderId="9" xfId="21" applyFont="1" applyFill="1" applyBorder="1" applyAlignment="1" applyProtection="1">
      <alignment horizontal="center" vertical="center"/>
      <protection locked="0"/>
    </xf>
    <xf numFmtId="0" fontId="104" fillId="10" borderId="0" xfId="21" applyFont="1" applyFill="1" applyAlignment="1" applyProtection="1">
      <alignment horizontal="left" vertical="center"/>
      <protection locked="0"/>
    </xf>
    <xf numFmtId="0" fontId="105" fillId="51" borderId="0" xfId="21" applyFont="1" applyFill="1" applyAlignment="1" applyProtection="1">
      <alignment horizontal="center" vertical="center" wrapText="1"/>
      <protection locked="0"/>
    </xf>
    <xf numFmtId="0" fontId="106" fillId="10" borderId="0" xfId="0" applyFont="1" applyFill="1" applyAlignment="1">
      <alignment horizontal="right" vertical="center"/>
    </xf>
    <xf numFmtId="0" fontId="103" fillId="10" borderId="9" xfId="21" applyFont="1" applyFill="1" applyBorder="1" applyAlignment="1" applyProtection="1">
      <alignment vertical="center"/>
      <protection locked="0"/>
    </xf>
    <xf numFmtId="0" fontId="103" fillId="8" borderId="0" xfId="21" applyFont="1" applyFill="1" applyAlignment="1" applyProtection="1">
      <alignment vertical="center"/>
      <protection locked="0"/>
    </xf>
    <xf numFmtId="0" fontId="96" fillId="50" borderId="0" xfId="21" applyFont="1" applyFill="1" applyAlignment="1" applyProtection="1">
      <alignment horizontal="right" vertical="center"/>
      <protection locked="0"/>
    </xf>
    <xf numFmtId="0" fontId="76" fillId="50" borderId="0" xfId="21" applyFont="1" applyFill="1" applyAlignment="1" applyProtection="1">
      <alignment vertical="center"/>
      <protection locked="0"/>
    </xf>
    <xf numFmtId="0" fontId="31" fillId="50" borderId="0" xfId="21" applyFont="1" applyFill="1" applyAlignment="1" applyProtection="1">
      <alignment vertical="center"/>
      <protection locked="0"/>
    </xf>
    <xf numFmtId="2" fontId="13" fillId="6" borderId="0" xfId="5" applyNumberFormat="1" applyFont="1" applyFill="1" applyAlignment="1" applyProtection="1">
      <alignment horizontal="center" vertical="center"/>
      <protection locked="0"/>
    </xf>
    <xf numFmtId="174" fontId="43" fillId="55" borderId="24" xfId="21" applyNumberFormat="1" applyFont="1" applyFill="1" applyBorder="1" applyAlignment="1" applyProtection="1">
      <alignment horizontal="center" vertical="center"/>
      <protection locked="0"/>
    </xf>
    <xf numFmtId="0" fontId="98" fillId="56" borderId="13" xfId="0" applyFont="1" applyFill="1" applyBorder="1" applyAlignment="1">
      <alignment horizontal="right" vertical="center"/>
    </xf>
    <xf numFmtId="174" fontId="43" fillId="55" borderId="13" xfId="21" applyNumberFormat="1" applyFont="1" applyFill="1" applyBorder="1" applyAlignment="1" applyProtection="1">
      <alignment horizontal="center" vertical="center"/>
      <protection locked="0"/>
    </xf>
    <xf numFmtId="0" fontId="0" fillId="56" borderId="13" xfId="0" applyFill="1" applyBorder="1" applyAlignment="1">
      <alignment horizontal="center" vertical="center"/>
    </xf>
    <xf numFmtId="0" fontId="0" fillId="56" borderId="13" xfId="0" applyFill="1" applyBorder="1" applyAlignment="1">
      <alignment horizontal="right" vertical="center"/>
    </xf>
    <xf numFmtId="0" fontId="15" fillId="56" borderId="9" xfId="0" applyFont="1" applyFill="1" applyBorder="1" applyAlignment="1">
      <alignment vertical="center"/>
    </xf>
    <xf numFmtId="0" fontId="44" fillId="56" borderId="0" xfId="12" applyFont="1" applyFill="1" applyAlignment="1">
      <alignment horizontal="center" vertical="center"/>
    </xf>
    <xf numFmtId="0" fontId="44" fillId="56" borderId="0" xfId="5" applyFont="1" applyFill="1" applyAlignment="1">
      <alignment horizontal="right" vertical="center"/>
    </xf>
    <xf numFmtId="0" fontId="15" fillId="56" borderId="0" xfId="0" applyFont="1" applyFill="1" applyAlignment="1">
      <alignment vertical="center"/>
    </xf>
    <xf numFmtId="181" fontId="44" fillId="56" borderId="0" xfId="12" applyNumberFormat="1" applyFont="1" applyFill="1" applyAlignment="1">
      <alignment horizontal="center" vertical="center"/>
    </xf>
    <xf numFmtId="0" fontId="0" fillId="56" borderId="9" xfId="0" applyFill="1" applyBorder="1"/>
    <xf numFmtId="0" fontId="0" fillId="56" borderId="0" xfId="0" applyFill="1"/>
    <xf numFmtId="0" fontId="44" fillId="56" borderId="0" xfId="21" applyFont="1" applyFill="1" applyAlignment="1" applyProtection="1">
      <alignment horizontal="left" vertical="center"/>
      <protection locked="0"/>
    </xf>
    <xf numFmtId="0" fontId="30" fillId="56" borderId="0" xfId="8" applyFont="1" applyFill="1" applyAlignment="1">
      <alignment horizontal="right" vertical="center"/>
    </xf>
    <xf numFmtId="0" fontId="30" fillId="56" borderId="0" xfId="8" applyFont="1" applyFill="1" applyAlignment="1">
      <alignment horizontal="left" vertical="center"/>
    </xf>
    <xf numFmtId="0" fontId="40" fillId="49" borderId="9" xfId="18" applyFont="1" applyFill="1" applyBorder="1"/>
    <xf numFmtId="0" fontId="40" fillId="49" borderId="0" xfId="18" applyFont="1" applyFill="1" applyAlignment="1">
      <alignment horizontal="left" vertical="center"/>
    </xf>
    <xf numFmtId="0" fontId="40" fillId="49" borderId="0" xfId="18" applyFont="1" applyFill="1" applyAlignment="1">
      <alignment horizontal="right" vertical="center"/>
    </xf>
    <xf numFmtId="0" fontId="2" fillId="49" borderId="0" xfId="18" applyFont="1" applyFill="1" applyAlignment="1">
      <alignment horizontal="right" vertical="center"/>
    </xf>
    <xf numFmtId="0" fontId="2" fillId="49" borderId="0" xfId="18" applyFont="1" applyFill="1"/>
    <xf numFmtId="0" fontId="69" fillId="49" borderId="7" xfId="3" applyFont="1" applyFill="1" applyBorder="1" applyAlignment="1">
      <alignment horizontal="right" vertical="center"/>
    </xf>
    <xf numFmtId="0" fontId="108" fillId="49" borderId="5" xfId="3" applyFont="1" applyFill="1" applyBorder="1" applyAlignment="1">
      <alignment vertical="center"/>
    </xf>
    <xf numFmtId="0" fontId="64" fillId="10" borderId="9" xfId="5" applyFont="1" applyFill="1" applyBorder="1" applyAlignment="1">
      <alignment horizontal="center" vertical="center"/>
    </xf>
    <xf numFmtId="0" fontId="23" fillId="50" borderId="0" xfId="21" applyFont="1" applyFill="1" applyAlignment="1" applyProtection="1">
      <alignment horizontal="right" vertical="center"/>
      <protection locked="0"/>
    </xf>
    <xf numFmtId="0" fontId="102" fillId="10" borderId="0" xfId="21" applyFont="1" applyFill="1" applyAlignment="1" applyProtection="1">
      <alignment horizontal="left" vertical="center"/>
      <protection locked="0"/>
    </xf>
    <xf numFmtId="0" fontId="35" fillId="10" borderId="0" xfId="7" applyFont="1" applyFill="1" applyAlignment="1">
      <alignment horizontal="center" vertical="center"/>
    </xf>
    <xf numFmtId="0" fontId="2" fillId="10" borderId="0" xfId="18" applyFont="1" applyFill="1" applyAlignment="1">
      <alignment vertical="center"/>
    </xf>
    <xf numFmtId="0" fontId="65" fillId="10" borderId="0" xfId="5" applyFont="1" applyFill="1" applyAlignment="1">
      <alignment horizontal="center" vertical="center"/>
    </xf>
    <xf numFmtId="0" fontId="64" fillId="10" borderId="0" xfId="5" applyFont="1" applyFill="1" applyAlignment="1">
      <alignment horizontal="right" vertical="center"/>
    </xf>
    <xf numFmtId="180" fontId="35" fillId="50" borderId="0" xfId="21" applyNumberFormat="1" applyFont="1" applyFill="1" applyAlignment="1" applyProtection="1">
      <alignment horizontal="center" vertical="center"/>
      <protection locked="0"/>
    </xf>
    <xf numFmtId="0" fontId="109" fillId="10" borderId="0" xfId="18" applyFont="1" applyFill="1" applyAlignment="1">
      <alignment vertical="center"/>
    </xf>
    <xf numFmtId="0" fontId="2" fillId="0" borderId="0" xfId="18" applyFont="1" applyAlignment="1">
      <alignment horizontal="center"/>
    </xf>
    <xf numFmtId="0" fontId="97" fillId="10" borderId="0" xfId="5" applyFont="1" applyFill="1" applyAlignment="1">
      <alignment horizontal="center" vertical="center"/>
    </xf>
    <xf numFmtId="168" fontId="73" fillId="53" borderId="0" xfId="5" applyNumberFormat="1" applyFont="1" applyFill="1" applyAlignment="1">
      <alignment vertical="center"/>
    </xf>
    <xf numFmtId="1" fontId="58" fillId="59" borderId="0" xfId="5" applyNumberFormat="1" applyFont="1" applyFill="1" applyAlignment="1">
      <alignment horizontal="center" vertical="center"/>
    </xf>
    <xf numFmtId="0" fontId="102" fillId="10" borderId="0" xfId="21" applyFont="1" applyFill="1" applyAlignment="1" applyProtection="1">
      <alignment horizontal="right" vertical="center"/>
      <protection locked="0"/>
    </xf>
    <xf numFmtId="0" fontId="2" fillId="10" borderId="0" xfId="18" quotePrefix="1" applyFont="1" applyFill="1" applyAlignment="1">
      <alignment vertical="center"/>
    </xf>
    <xf numFmtId="0" fontId="110" fillId="0" borderId="0" xfId="18" applyFont="1" applyAlignment="1">
      <alignment vertical="center"/>
    </xf>
    <xf numFmtId="166" fontId="111" fillId="51" borderId="0" xfId="21" applyNumberFormat="1" applyFont="1" applyFill="1" applyAlignment="1" applyProtection="1">
      <alignment horizontal="center" vertical="center"/>
      <protection locked="0"/>
    </xf>
    <xf numFmtId="0" fontId="73" fillId="10" borderId="0" xfId="18" applyFont="1" applyFill="1" applyAlignment="1">
      <alignment horizontal="center" vertical="top"/>
    </xf>
    <xf numFmtId="0" fontId="73" fillId="10" borderId="9" xfId="18" applyFont="1" applyFill="1" applyBorder="1" applyAlignment="1">
      <alignment horizontal="left" vertical="top"/>
    </xf>
    <xf numFmtId="0" fontId="73" fillId="10" borderId="0" xfId="18" applyFont="1" applyFill="1" applyAlignment="1">
      <alignment horizontal="right" vertical="top"/>
    </xf>
    <xf numFmtId="0" fontId="49" fillId="51" borderId="0" xfId="21" applyFont="1" applyFill="1" applyAlignment="1" applyProtection="1">
      <alignment horizontal="center" vertical="center"/>
      <protection locked="0"/>
    </xf>
    <xf numFmtId="0" fontId="55" fillId="50" borderId="0" xfId="21" applyFont="1" applyFill="1" applyAlignment="1" applyProtection="1">
      <alignment horizontal="right" vertical="center"/>
      <protection locked="0"/>
    </xf>
    <xf numFmtId="166" fontId="58" fillId="51" borderId="0" xfId="21" applyNumberFormat="1" applyFont="1" applyFill="1" applyAlignment="1" applyProtection="1">
      <alignment horizontal="center" vertical="center"/>
      <protection locked="0"/>
    </xf>
    <xf numFmtId="166" fontId="16" fillId="60" borderId="0" xfId="18" applyNumberFormat="1" applyFont="1" applyFill="1" applyAlignment="1">
      <alignment horizontal="center" vertical="center"/>
    </xf>
    <xf numFmtId="0" fontId="16" fillId="60" borderId="0" xfId="18" applyFont="1" applyFill="1" applyAlignment="1">
      <alignment horizontal="center" vertical="center"/>
    </xf>
    <xf numFmtId="0" fontId="47" fillId="50" borderId="0" xfId="21" applyFont="1" applyFill="1" applyAlignment="1" applyProtection="1">
      <alignment vertical="center"/>
      <protection locked="0"/>
    </xf>
    <xf numFmtId="0" fontId="42" fillId="60" borderId="21" xfId="5" applyFont="1" applyFill="1" applyBorder="1" applyAlignment="1">
      <alignment horizontal="center" vertical="center" wrapText="1"/>
    </xf>
    <xf numFmtId="182" fontId="13" fillId="60" borderId="0" xfId="18" applyNumberFormat="1" applyFont="1" applyFill="1" applyAlignment="1">
      <alignment horizontal="center" vertical="center"/>
    </xf>
    <xf numFmtId="166" fontId="45" fillId="60" borderId="24" xfId="18" applyNumberFormat="1" applyFont="1" applyFill="1" applyBorder="1" applyAlignment="1">
      <alignment horizontal="left" vertical="center"/>
    </xf>
    <xf numFmtId="0" fontId="45" fillId="60" borderId="13" xfId="18" applyFont="1" applyFill="1" applyBorder="1" applyAlignment="1">
      <alignment horizontal="right" vertical="center"/>
    </xf>
    <xf numFmtId="182" fontId="42" fillId="60" borderId="13" xfId="18" applyNumberFormat="1" applyFont="1" applyFill="1" applyBorder="1" applyAlignment="1">
      <alignment horizontal="center" vertical="center"/>
    </xf>
    <xf numFmtId="1" fontId="42" fillId="60" borderId="13" xfId="12" applyNumberFormat="1" applyFont="1" applyFill="1" applyBorder="1" applyAlignment="1">
      <alignment horizontal="right" vertical="center"/>
    </xf>
    <xf numFmtId="0" fontId="42" fillId="60" borderId="13" xfId="8" applyFont="1" applyFill="1" applyBorder="1" applyAlignment="1">
      <alignment horizontal="right" vertical="center"/>
    </xf>
    <xf numFmtId="0" fontId="45" fillId="60" borderId="13" xfId="8" applyFont="1" applyFill="1" applyBorder="1" applyAlignment="1">
      <alignment horizontal="left" vertical="center"/>
    </xf>
    <xf numFmtId="1" fontId="13" fillId="60" borderId="0" xfId="12" applyNumberFormat="1" applyFont="1" applyFill="1" applyAlignment="1">
      <alignment horizontal="center" vertical="center"/>
    </xf>
    <xf numFmtId="0" fontId="13" fillId="57" borderId="0" xfId="18" applyFont="1" applyFill="1" applyAlignment="1">
      <alignment horizontal="center" vertical="center"/>
    </xf>
    <xf numFmtId="0" fontId="16" fillId="57" borderId="9" xfId="18" applyFont="1" applyFill="1" applyBorder="1"/>
    <xf numFmtId="0" fontId="42" fillId="57" borderId="0" xfId="18" applyFont="1" applyFill="1" applyAlignment="1">
      <alignment horizontal="left" vertical="center"/>
    </xf>
    <xf numFmtId="0" fontId="42" fillId="57" borderId="0" xfId="18" applyFont="1" applyFill="1" applyAlignment="1">
      <alignment horizontal="right" vertical="center"/>
    </xf>
    <xf numFmtId="0" fontId="16" fillId="57" borderId="0" xfId="18" applyFont="1" applyFill="1" applyAlignment="1">
      <alignment horizontal="right" vertical="center"/>
    </xf>
    <xf numFmtId="0" fontId="16" fillId="57" borderId="0" xfId="18" applyFont="1" applyFill="1"/>
    <xf numFmtId="0" fontId="15" fillId="10" borderId="0" xfId="18" applyFont="1" applyFill="1"/>
    <xf numFmtId="0" fontId="48" fillId="10" borderId="0" xfId="18" applyFont="1" applyFill="1" applyAlignment="1">
      <alignment horizontal="center"/>
    </xf>
    <xf numFmtId="0" fontId="13" fillId="57" borderId="7" xfId="3" applyFont="1" applyFill="1" applyBorder="1" applyAlignment="1">
      <alignment horizontal="right" vertical="center"/>
    </xf>
    <xf numFmtId="0" fontId="113" fillId="57" borderId="5" xfId="3" applyFont="1" applyFill="1" applyBorder="1" applyAlignment="1">
      <alignment vertical="center"/>
    </xf>
    <xf numFmtId="0" fontId="56" fillId="10" borderId="0" xfId="7" applyFont="1" applyFill="1" applyAlignment="1">
      <alignment horizontal="left" vertical="center"/>
    </xf>
    <xf numFmtId="0" fontId="48" fillId="10" borderId="0" xfId="18" applyFont="1" applyFill="1" applyAlignment="1">
      <alignment horizontal="left" vertical="center"/>
    </xf>
    <xf numFmtId="0" fontId="66" fillId="10" borderId="0" xfId="7" applyFont="1" applyFill="1" applyAlignment="1">
      <alignment horizontal="left" vertical="center"/>
    </xf>
    <xf numFmtId="0" fontId="52" fillId="0" borderId="0" xfId="7" applyFont="1" applyAlignment="1">
      <alignment horizontal="center" vertical="center"/>
    </xf>
    <xf numFmtId="0" fontId="114" fillId="10" borderId="0" xfId="22" applyFont="1" applyFill="1" applyAlignment="1">
      <alignment horizontal="left" vertical="center"/>
    </xf>
    <xf numFmtId="0" fontId="115" fillId="10" borderId="0" xfId="22" applyFont="1" applyFill="1" applyBorder="1" applyAlignment="1">
      <alignment horizontal="center" vertical="center"/>
    </xf>
    <xf numFmtId="168" fontId="66" fillId="53" borderId="0" xfId="5" applyNumberFormat="1" applyFont="1" applyFill="1" applyAlignment="1">
      <alignment vertical="center"/>
    </xf>
    <xf numFmtId="1" fontId="58" fillId="62" borderId="0" xfId="5" applyNumberFormat="1" applyFont="1" applyFill="1" applyAlignment="1">
      <alignment horizontal="center" vertical="center"/>
    </xf>
    <xf numFmtId="0" fontId="57" fillId="50" borderId="0" xfId="21" applyFont="1" applyFill="1" applyAlignment="1" applyProtection="1">
      <alignment horizontal="center" vertical="center"/>
      <protection locked="0"/>
    </xf>
    <xf numFmtId="0" fontId="57" fillId="50" borderId="0" xfId="21" applyFont="1" applyFill="1" applyAlignment="1" applyProtection="1">
      <alignment horizontal="right" vertical="center"/>
      <protection locked="0"/>
    </xf>
    <xf numFmtId="166" fontId="58" fillId="63" borderId="0" xfId="21" applyNumberFormat="1" applyFont="1" applyFill="1" applyAlignment="1" applyProtection="1">
      <alignment horizontal="center" vertical="center"/>
      <protection locked="0"/>
    </xf>
    <xf numFmtId="166" fontId="38" fillId="56" borderId="0" xfId="18" applyNumberFormat="1" applyFill="1" applyAlignment="1">
      <alignment horizontal="center" vertical="center"/>
    </xf>
    <xf numFmtId="0" fontId="38" fillId="56" borderId="0" xfId="18" applyFill="1" applyAlignment="1">
      <alignment horizontal="center" vertical="center"/>
    </xf>
    <xf numFmtId="182" fontId="38" fillId="56" borderId="0" xfId="18" applyNumberFormat="1" applyFill="1" applyAlignment="1">
      <alignment horizontal="center" vertical="center"/>
    </xf>
    <xf numFmtId="166" fontId="38" fillId="56" borderId="24" xfId="18" applyNumberFormat="1" applyFill="1" applyBorder="1" applyAlignment="1">
      <alignment horizontal="left" vertical="center"/>
    </xf>
    <xf numFmtId="0" fontId="38" fillId="56" borderId="13" xfId="18" applyFill="1" applyBorder="1" applyAlignment="1">
      <alignment horizontal="right" vertical="center"/>
    </xf>
    <xf numFmtId="182" fontId="38" fillId="56" borderId="13" xfId="18" applyNumberFormat="1" applyFill="1" applyBorder="1" applyAlignment="1">
      <alignment horizontal="center" vertical="center"/>
    </xf>
    <xf numFmtId="1" fontId="30" fillId="56" borderId="13" xfId="12" applyNumberFormat="1" applyFont="1" applyFill="1" applyBorder="1" applyAlignment="1">
      <alignment horizontal="right" vertical="center"/>
    </xf>
    <xf numFmtId="0" fontId="30" fillId="56" borderId="13" xfId="8" applyFont="1" applyFill="1" applyBorder="1" applyAlignment="1">
      <alignment horizontal="right" vertical="center"/>
    </xf>
    <xf numFmtId="0" fontId="30" fillId="56" borderId="13" xfId="8" applyFont="1" applyFill="1" applyBorder="1" applyAlignment="1">
      <alignment horizontal="left" vertical="center"/>
    </xf>
    <xf numFmtId="1" fontId="30" fillId="56" borderId="0" xfId="12" applyNumberFormat="1" applyFont="1" applyFill="1" applyAlignment="1">
      <alignment horizontal="center" vertical="center"/>
    </xf>
    <xf numFmtId="0" fontId="15" fillId="61" borderId="0" xfId="18" applyFont="1" applyFill="1" applyAlignment="1">
      <alignment horizontal="center" vertical="center"/>
    </xf>
    <xf numFmtId="0" fontId="40" fillId="61" borderId="9" xfId="18" applyFont="1" applyFill="1" applyBorder="1"/>
    <xf numFmtId="0" fontId="40" fillId="61" borderId="0" xfId="18" applyFont="1" applyFill="1" applyAlignment="1">
      <alignment horizontal="left" vertical="center"/>
    </xf>
    <xf numFmtId="0" fontId="40" fillId="61" borderId="0" xfId="18" applyFont="1" applyFill="1" applyAlignment="1">
      <alignment horizontal="right" vertical="center"/>
    </xf>
    <xf numFmtId="0" fontId="2" fillId="61" borderId="0" xfId="18" applyFont="1" applyFill="1" applyAlignment="1">
      <alignment horizontal="right" vertical="center"/>
    </xf>
    <xf numFmtId="0" fontId="2" fillId="61" borderId="0" xfId="18" applyFont="1" applyFill="1"/>
    <xf numFmtId="0" fontId="115" fillId="10" borderId="0" xfId="18" applyFont="1" applyFill="1" applyAlignment="1">
      <alignment horizontal="left" vertical="center"/>
    </xf>
    <xf numFmtId="0" fontId="117" fillId="61" borderId="7" xfId="3" applyFont="1" applyFill="1" applyBorder="1" applyAlignment="1">
      <alignment horizontal="right" vertical="center"/>
    </xf>
    <xf numFmtId="0" fontId="108" fillId="61" borderId="5" xfId="3" applyFont="1" applyFill="1" applyBorder="1" applyAlignment="1">
      <alignment vertical="center"/>
    </xf>
    <xf numFmtId="0" fontId="2" fillId="10" borderId="0" xfId="18" applyFont="1" applyFill="1" applyAlignment="1">
      <alignment horizontal="center"/>
    </xf>
    <xf numFmtId="0" fontId="30" fillId="10" borderId="0" xfId="7" applyFont="1" applyFill="1" applyAlignment="1">
      <alignment horizontal="left" vertical="center"/>
    </xf>
    <xf numFmtId="0" fontId="115" fillId="10" borderId="0" xfId="7" applyFont="1" applyFill="1" applyAlignment="1">
      <alignment horizontal="left" vertical="center"/>
    </xf>
    <xf numFmtId="0" fontId="24" fillId="10" borderId="0" xfId="7" applyFont="1" applyFill="1" applyAlignment="1">
      <alignment horizontal="left" vertical="center"/>
    </xf>
    <xf numFmtId="0" fontId="120" fillId="0" borderId="0" xfId="18" applyFont="1"/>
    <xf numFmtId="0" fontId="30" fillId="0" borderId="0" xfId="7" applyFont="1" applyAlignment="1">
      <alignment horizontal="left" vertical="center"/>
    </xf>
    <xf numFmtId="0" fontId="38" fillId="10" borderId="12" xfId="18" applyFill="1" applyBorder="1"/>
    <xf numFmtId="0" fontId="38" fillId="10" borderId="11" xfId="18" applyFill="1" applyBorder="1"/>
    <xf numFmtId="0" fontId="38" fillId="10" borderId="9" xfId="18" applyFill="1" applyBorder="1"/>
    <xf numFmtId="0" fontId="121" fillId="10" borderId="0" xfId="23" applyFill="1"/>
    <xf numFmtId="0" fontId="38" fillId="10" borderId="0" xfId="18" applyFill="1" applyAlignment="1">
      <alignment horizontal="right" vertical="center"/>
    </xf>
    <xf numFmtId="183" fontId="2" fillId="0" borderId="0" xfId="18" applyNumberFormat="1" applyFont="1"/>
    <xf numFmtId="184" fontId="2" fillId="0" borderId="0" xfId="18" applyNumberFormat="1" applyFont="1"/>
    <xf numFmtId="185" fontId="12" fillId="0" borderId="0" xfId="5" applyNumberFormat="1"/>
    <xf numFmtId="186" fontId="12" fillId="0" borderId="0" xfId="5" applyNumberFormat="1"/>
    <xf numFmtId="187" fontId="12" fillId="0" borderId="0" xfId="5" applyNumberFormat="1"/>
    <xf numFmtId="188" fontId="12" fillId="0" borderId="0" xfId="5" applyNumberFormat="1"/>
    <xf numFmtId="189" fontId="12" fillId="0" borderId="0" xfId="5" applyNumberFormat="1"/>
    <xf numFmtId="0" fontId="123" fillId="10" borderId="0" xfId="5" applyFont="1" applyFill="1" applyAlignment="1" applyProtection="1">
      <alignment horizontal="right" vertical="center"/>
      <protection hidden="1"/>
    </xf>
    <xf numFmtId="179" fontId="2" fillId="0" borderId="0" xfId="18" applyNumberFormat="1" applyFont="1"/>
    <xf numFmtId="0" fontId="12" fillId="0" borderId="0" xfId="5"/>
    <xf numFmtId="0" fontId="35" fillId="10" borderId="0" xfId="11" applyFont="1" applyFill="1"/>
    <xf numFmtId="190" fontId="12" fillId="0" borderId="0" xfId="5" applyNumberFormat="1"/>
    <xf numFmtId="0" fontId="19" fillId="10" borderId="0" xfId="18" applyFont="1" applyFill="1"/>
    <xf numFmtId="191" fontId="12" fillId="0" borderId="0" xfId="5" applyNumberFormat="1"/>
    <xf numFmtId="0" fontId="69" fillId="10" borderId="0" xfId="18" applyFont="1" applyFill="1"/>
    <xf numFmtId="192" fontId="2" fillId="0" borderId="0" xfId="18" applyNumberFormat="1" applyFont="1"/>
    <xf numFmtId="0" fontId="54" fillId="17" borderId="9" xfId="0" applyFont="1" applyFill="1" applyBorder="1" applyAlignment="1">
      <alignment horizontal="center" vertical="center"/>
    </xf>
    <xf numFmtId="0" fontId="54" fillId="17" borderId="0" xfId="0" applyFont="1" applyFill="1" applyAlignment="1">
      <alignment horizontal="center" vertical="center"/>
    </xf>
    <xf numFmtId="170" fontId="2" fillId="0" borderId="0" xfId="18" applyNumberFormat="1" applyFont="1"/>
    <xf numFmtId="193" fontId="12" fillId="0" borderId="0" xfId="5" applyNumberFormat="1"/>
    <xf numFmtId="0" fontId="121" fillId="65" borderId="0" xfId="23" applyFill="1" applyBorder="1" applyAlignment="1">
      <alignment horizontal="center" vertical="center"/>
    </xf>
    <xf numFmtId="194" fontId="2" fillId="0" borderId="0" xfId="18" applyNumberFormat="1" applyFont="1"/>
    <xf numFmtId="0" fontId="17" fillId="10" borderId="0" xfId="22" applyFill="1" applyBorder="1" applyAlignment="1">
      <alignment horizontal="center" vertical="center"/>
    </xf>
    <xf numFmtId="173" fontId="2" fillId="0" borderId="0" xfId="18" applyNumberFormat="1" applyFont="1"/>
    <xf numFmtId="0" fontId="17" fillId="65" borderId="0" xfId="22" applyFill="1" applyBorder="1" applyAlignment="1">
      <alignment horizontal="center" vertical="center"/>
    </xf>
    <xf numFmtId="195" fontId="12" fillId="0" borderId="0" xfId="5" applyNumberFormat="1"/>
    <xf numFmtId="0" fontId="100" fillId="33" borderId="50" xfId="0" applyFont="1" applyFill="1" applyBorder="1" applyAlignment="1">
      <alignment horizontal="center" vertical="center"/>
    </xf>
    <xf numFmtId="0" fontId="19" fillId="10" borderId="0" xfId="0" applyFont="1" applyFill="1" applyAlignment="1">
      <alignment horizontal="right" vertical="center"/>
    </xf>
    <xf numFmtId="177" fontId="2" fillId="0" borderId="0" xfId="18" applyNumberFormat="1" applyFont="1"/>
    <xf numFmtId="166" fontId="2" fillId="0" borderId="0" xfId="18" applyNumberFormat="1" applyFont="1"/>
    <xf numFmtId="0" fontId="2" fillId="10" borderId="9" xfId="18" applyFont="1" applyFill="1" applyBorder="1" applyAlignment="1">
      <alignment horizontal="center" vertical="center" wrapText="1"/>
    </xf>
    <xf numFmtId="0" fontId="2" fillId="10" borderId="0" xfId="18" applyFont="1" applyFill="1" applyAlignment="1">
      <alignment horizontal="center" vertical="center" wrapText="1"/>
    </xf>
    <xf numFmtId="0" fontId="38" fillId="10" borderId="0" xfId="18" applyFill="1" applyAlignment="1">
      <alignment horizontal="left"/>
    </xf>
    <xf numFmtId="182" fontId="2" fillId="0" borderId="0" xfId="18" applyNumberFormat="1" applyFont="1"/>
    <xf numFmtId="0" fontId="124" fillId="10" borderId="9" xfId="0" applyFont="1" applyFill="1" applyBorder="1"/>
    <xf numFmtId="0" fontId="124" fillId="10" borderId="0" xfId="0" applyFont="1" applyFill="1"/>
    <xf numFmtId="0" fontId="124" fillId="33" borderId="0" xfId="0" applyFont="1" applyFill="1" applyAlignment="1">
      <alignment horizontal="left"/>
    </xf>
    <xf numFmtId="0" fontId="0" fillId="0" borderId="0" xfId="0" applyAlignment="1">
      <alignment horizontal="right"/>
    </xf>
    <xf numFmtId="196" fontId="12" fillId="0" borderId="0" xfId="5" applyNumberFormat="1"/>
    <xf numFmtId="0" fontId="16" fillId="42" borderId="6" xfId="0" applyFont="1" applyFill="1" applyBorder="1" applyAlignment="1">
      <alignment horizontal="center" vertical="center"/>
    </xf>
    <xf numFmtId="168" fontId="2" fillId="0" borderId="0" xfId="18" applyNumberFormat="1" applyFont="1"/>
    <xf numFmtId="171" fontId="2" fillId="0" borderId="0" xfId="18" applyNumberFormat="1" applyFont="1"/>
    <xf numFmtId="0" fontId="40" fillId="10" borderId="0" xfId="18" applyFont="1" applyFill="1" applyAlignment="1">
      <alignment horizontal="left"/>
    </xf>
    <xf numFmtId="0" fontId="15" fillId="0" borderId="0" xfId="18" applyFont="1" applyAlignment="1">
      <alignment vertical="center"/>
    </xf>
    <xf numFmtId="0" fontId="121" fillId="0" borderId="0" xfId="23" applyAlignment="1">
      <alignment vertical="center"/>
    </xf>
    <xf numFmtId="0" fontId="15" fillId="0" borderId="0" xfId="18" applyFont="1" applyAlignment="1">
      <alignment horizontal="right" vertical="center"/>
    </xf>
    <xf numFmtId="197" fontId="2" fillId="0" borderId="0" xfId="18" applyNumberFormat="1" applyFont="1"/>
    <xf numFmtId="0" fontId="38" fillId="10" borderId="0" xfId="18" applyFill="1" applyAlignment="1">
      <alignment horizontal="center"/>
    </xf>
    <xf numFmtId="0" fontId="61" fillId="11" borderId="10" xfId="5" applyFont="1" applyFill="1" applyBorder="1" applyAlignment="1">
      <alignment horizontal="center" vertical="center"/>
    </xf>
    <xf numFmtId="0" fontId="2" fillId="10" borderId="9" xfId="18" applyFont="1" applyFill="1" applyBorder="1" applyAlignment="1">
      <alignment horizontal="center" vertical="top" wrapText="1"/>
    </xf>
    <xf numFmtId="0" fontId="2" fillId="10" borderId="0" xfId="18" applyFont="1" applyFill="1" applyAlignment="1">
      <alignment horizontal="center" vertical="top" wrapText="1"/>
    </xf>
    <xf numFmtId="0" fontId="2" fillId="10" borderId="0" xfId="18" applyFont="1" applyFill="1" applyAlignment="1">
      <alignment horizontal="left" vertical="top"/>
    </xf>
    <xf numFmtId="0" fontId="38" fillId="10" borderId="0" xfId="18" applyFill="1" applyAlignment="1">
      <alignment horizontal="left" vertical="center"/>
    </xf>
    <xf numFmtId="0" fontId="61" fillId="17" borderId="8" xfId="5" applyFont="1" applyFill="1" applyBorder="1" applyAlignment="1">
      <alignment horizontal="center" vertical="center"/>
    </xf>
    <xf numFmtId="0" fontId="43" fillId="10" borderId="9" xfId="5" applyFont="1" applyFill="1" applyBorder="1"/>
    <xf numFmtId="0" fontId="66" fillId="10" borderId="8" xfId="5" applyFont="1" applyFill="1" applyBorder="1" applyAlignment="1" applyProtection="1">
      <alignment vertical="center"/>
      <protection hidden="1"/>
    </xf>
    <xf numFmtId="0" fontId="56" fillId="10" borderId="9" xfId="18" applyFont="1" applyFill="1" applyBorder="1"/>
    <xf numFmtId="0" fontId="48" fillId="10" borderId="0" xfId="18" applyFont="1" applyFill="1"/>
    <xf numFmtId="0" fontId="48" fillId="10" borderId="8" xfId="20" applyFont="1" applyFill="1" applyBorder="1" applyAlignment="1">
      <alignment vertical="center"/>
    </xf>
    <xf numFmtId="0" fontId="17" fillId="34" borderId="0" xfId="22" applyNumberFormat="1" applyFill="1" applyBorder="1" applyAlignment="1">
      <alignment horizontal="center"/>
    </xf>
    <xf numFmtId="0" fontId="38" fillId="10" borderId="9" xfId="18" applyFill="1" applyBorder="1" applyAlignment="1">
      <alignment horizontal="center" vertical="center" wrapText="1"/>
    </xf>
    <xf numFmtId="0" fontId="38" fillId="10" borderId="0" xfId="18" applyFill="1" applyAlignment="1">
      <alignment horizontal="center" vertical="center" wrapText="1"/>
    </xf>
    <xf numFmtId="0" fontId="56" fillId="10" borderId="7" xfId="18" applyFont="1" applyFill="1" applyBorder="1"/>
    <xf numFmtId="0" fontId="48" fillId="10" borderId="5" xfId="18" applyFont="1" applyFill="1" applyBorder="1"/>
    <xf numFmtId="0" fontId="48" fillId="10" borderId="6" xfId="20" applyFont="1" applyFill="1" applyBorder="1" applyAlignment="1">
      <alignment vertical="center"/>
    </xf>
    <xf numFmtId="0" fontId="40" fillId="0" borderId="0" xfId="18" applyFont="1" applyAlignment="1">
      <alignment vertical="center"/>
    </xf>
    <xf numFmtId="0" fontId="31" fillId="0" borderId="0" xfId="18" applyFont="1" applyAlignment="1">
      <alignment horizontal="right" vertical="center"/>
    </xf>
    <xf numFmtId="0" fontId="38" fillId="10" borderId="0" xfId="18" applyFill="1" applyAlignment="1">
      <alignment vertical="center"/>
    </xf>
    <xf numFmtId="0" fontId="2" fillId="10" borderId="9" xfId="18" applyFont="1" applyFill="1" applyBorder="1" applyAlignment="1">
      <alignment horizontal="left" vertical="center"/>
    </xf>
    <xf numFmtId="0" fontId="2" fillId="10" borderId="0" xfId="18" applyFont="1" applyFill="1" applyAlignment="1">
      <alignment horizontal="left" vertical="center"/>
    </xf>
    <xf numFmtId="0" fontId="38" fillId="12" borderId="0" xfId="18" applyFill="1" applyAlignment="1">
      <alignment horizontal="center" vertical="center"/>
    </xf>
    <xf numFmtId="0" fontId="62" fillId="10" borderId="0" xfId="18" applyFont="1" applyFill="1" applyAlignment="1">
      <alignment vertical="center"/>
    </xf>
    <xf numFmtId="0" fontId="17" fillId="35" borderId="0" xfId="22" applyNumberFormat="1" applyFill="1" applyBorder="1" applyAlignment="1">
      <alignment horizontal="center" vertical="center"/>
    </xf>
    <xf numFmtId="0" fontId="38" fillId="11" borderId="0" xfId="18" applyFill="1" applyAlignment="1">
      <alignment horizontal="center" vertical="center"/>
    </xf>
    <xf numFmtId="0" fontId="38" fillId="0" borderId="0" xfId="18" applyAlignment="1">
      <alignment vertical="center"/>
    </xf>
    <xf numFmtId="0" fontId="31" fillId="10" borderId="0" xfId="18" applyFont="1" applyFill="1" applyAlignment="1">
      <alignment vertical="center"/>
    </xf>
    <xf numFmtId="0" fontId="40" fillId="10" borderId="0" xfId="18" applyFont="1" applyFill="1" applyAlignment="1">
      <alignment vertical="center"/>
    </xf>
    <xf numFmtId="0" fontId="38" fillId="11" borderId="0" xfId="18" applyFill="1" applyAlignment="1">
      <alignment vertical="center"/>
    </xf>
    <xf numFmtId="0" fontId="2" fillId="10" borderId="9" xfId="18" applyFont="1" applyFill="1" applyBorder="1" applyAlignment="1">
      <alignment vertical="top"/>
    </xf>
    <xf numFmtId="0" fontId="2" fillId="10" borderId="0" xfId="18" applyFont="1" applyFill="1" applyAlignment="1">
      <alignment vertical="top"/>
    </xf>
    <xf numFmtId="0" fontId="17" fillId="35" borderId="0" xfId="6" applyNumberFormat="1" applyFill="1" applyBorder="1" applyAlignment="1">
      <alignment horizontal="center" vertical="center"/>
    </xf>
    <xf numFmtId="0" fontId="38" fillId="0" borderId="0" xfId="18" applyAlignment="1">
      <alignment horizontal="center"/>
    </xf>
    <xf numFmtId="0" fontId="39" fillId="10" borderId="0" xfId="18" applyFont="1" applyFill="1" applyAlignment="1">
      <alignment vertical="center"/>
    </xf>
    <xf numFmtId="0" fontId="125" fillId="10" borderId="0" xfId="18" applyFont="1" applyFill="1" applyAlignment="1">
      <alignment horizontal="center" vertical="center"/>
    </xf>
    <xf numFmtId="0" fontId="42" fillId="15" borderId="0" xfId="5" applyFont="1" applyFill="1" applyAlignment="1">
      <alignment horizontal="center" vertical="center"/>
    </xf>
    <xf numFmtId="0" fontId="60" fillId="42" borderId="41" xfId="5" applyFont="1" applyFill="1" applyBorder="1" applyAlignment="1">
      <alignment horizontal="center" vertical="center"/>
    </xf>
    <xf numFmtId="0" fontId="126" fillId="0" borderId="0" xfId="0" applyFont="1"/>
    <xf numFmtId="0" fontId="127" fillId="10" borderId="0" xfId="7" applyFont="1" applyFill="1" applyAlignment="1">
      <alignment horizontal="left" vertical="center"/>
    </xf>
    <xf numFmtId="0" fontId="128" fillId="10" borderId="0" xfId="7" applyFont="1" applyFill="1" applyAlignment="1">
      <alignment horizontal="left" vertical="center"/>
    </xf>
    <xf numFmtId="166" fontId="129" fillId="10" borderId="0" xfId="8" applyNumberFormat="1" applyFont="1" applyFill="1" applyAlignment="1">
      <alignment vertical="center"/>
    </xf>
    <xf numFmtId="0" fontId="130" fillId="10" borderId="0" xfId="6" applyFont="1" applyFill="1" applyAlignment="1">
      <alignment horizontal="left" vertical="center"/>
    </xf>
    <xf numFmtId="166" fontId="131" fillId="10" borderId="0" xfId="8" applyNumberFormat="1" applyFont="1" applyFill="1" applyAlignment="1">
      <alignment horizontal="right" vertical="center"/>
    </xf>
    <xf numFmtId="166" fontId="131" fillId="10" borderId="0" xfId="8" applyNumberFormat="1" applyFont="1" applyFill="1" applyAlignment="1">
      <alignment horizontal="left" vertical="center"/>
    </xf>
    <xf numFmtId="0" fontId="132" fillId="10" borderId="0" xfId="7" applyFont="1" applyFill="1" applyAlignment="1">
      <alignment horizontal="left" vertical="center"/>
    </xf>
    <xf numFmtId="0" fontId="129" fillId="36" borderId="0" xfId="8" applyFont="1" applyFill="1" applyAlignment="1">
      <alignment horizontal="right" vertical="center"/>
    </xf>
    <xf numFmtId="0" fontId="52" fillId="10" borderId="0" xfId="7" applyFont="1" applyFill="1" applyAlignment="1">
      <alignment horizontal="center" vertical="center"/>
    </xf>
    <xf numFmtId="0" fontId="35" fillId="10" borderId="0" xfId="7" applyFont="1" applyFill="1" applyAlignment="1">
      <alignment horizontal="right" vertical="center"/>
    </xf>
    <xf numFmtId="0" fontId="133" fillId="10" borderId="0" xfId="0" applyFont="1" applyFill="1" applyAlignment="1">
      <alignment horizontal="left" vertical="center"/>
    </xf>
    <xf numFmtId="0" fontId="23" fillId="11" borderId="0" xfId="7" applyFont="1" applyFill="1" applyAlignment="1">
      <alignment horizontal="center" vertical="center"/>
    </xf>
    <xf numFmtId="0" fontId="17" fillId="10" borderId="0" xfId="6" applyFill="1" applyAlignment="1">
      <alignment vertical="center"/>
    </xf>
    <xf numFmtId="0" fontId="108" fillId="10" borderId="0" xfId="0" applyFont="1" applyFill="1" applyAlignment="1">
      <alignment vertical="center"/>
    </xf>
    <xf numFmtId="0" fontId="0" fillId="10" borderId="0" xfId="0" applyFill="1" applyAlignment="1">
      <alignment horizontal="left" vertical="center" wrapText="1"/>
    </xf>
    <xf numFmtId="0" fontId="134" fillId="10" borderId="0" xfId="0" applyFont="1" applyFill="1" applyAlignment="1">
      <alignment vertical="center"/>
    </xf>
    <xf numFmtId="0" fontId="135" fillId="10" borderId="0" xfId="0" applyFont="1" applyFill="1" applyAlignment="1">
      <alignment vertical="center"/>
    </xf>
    <xf numFmtId="0" fontId="122" fillId="10" borderId="0" xfId="6" applyFont="1" applyFill="1" applyAlignment="1">
      <alignment vertical="center"/>
    </xf>
    <xf numFmtId="0" fontId="69" fillId="10" borderId="0" xfId="0" applyFont="1" applyFill="1" applyAlignment="1">
      <alignment vertical="center"/>
    </xf>
    <xf numFmtId="0" fontId="143" fillId="10" borderId="0" xfId="13" applyFont="1" applyFill="1" applyAlignment="1">
      <alignment vertical="center"/>
    </xf>
    <xf numFmtId="0" fontId="145" fillId="67" borderId="0" xfId="5" applyFont="1" applyFill="1" applyAlignment="1">
      <alignment vertical="center"/>
    </xf>
    <xf numFmtId="0" fontId="146" fillId="67" borderId="0" xfId="5" applyFont="1" applyFill="1" applyAlignment="1">
      <alignment vertical="center"/>
    </xf>
    <xf numFmtId="0" fontId="113" fillId="67" borderId="0" xfId="5" applyFont="1" applyFill="1" applyAlignment="1">
      <alignment horizontal="left" vertical="center"/>
    </xf>
    <xf numFmtId="0" fontId="147" fillId="67" borderId="0" xfId="5" applyFont="1" applyFill="1" applyAlignment="1">
      <alignment vertical="center"/>
    </xf>
    <xf numFmtId="0" fontId="148" fillId="12" borderId="0" xfId="6" applyFont="1" applyFill="1" applyBorder="1" applyAlignment="1">
      <alignment vertical="center"/>
    </xf>
    <xf numFmtId="0" fontId="145" fillId="12" borderId="0" xfId="5" applyFont="1" applyFill="1" applyAlignment="1">
      <alignment vertical="center"/>
    </xf>
    <xf numFmtId="0" fontId="148" fillId="11" borderId="0" xfId="6" applyFont="1" applyFill="1" applyAlignment="1">
      <alignment vertical="center"/>
    </xf>
    <xf numFmtId="0" fontId="145" fillId="11" borderId="0" xfId="19" applyFont="1" applyFill="1" applyAlignment="1">
      <alignment vertical="center"/>
    </xf>
    <xf numFmtId="0" fontId="145" fillId="11" borderId="0" xfId="5" applyFont="1" applyFill="1" applyAlignment="1">
      <alignment vertical="center"/>
    </xf>
    <xf numFmtId="0" fontId="149" fillId="67" borderId="0" xfId="18" applyFont="1" applyFill="1" applyAlignment="1">
      <alignment horizontal="left" vertical="center"/>
    </xf>
    <xf numFmtId="0" fontId="149" fillId="67" borderId="0" xfId="13" applyFont="1" applyFill="1" applyAlignment="1">
      <alignment horizontal="left" vertical="center"/>
    </xf>
    <xf numFmtId="0" fontId="150" fillId="67" borderId="0" xfId="5" applyFont="1" applyFill="1" applyAlignment="1" applyProtection="1">
      <alignment horizontal="left" vertical="center"/>
      <protection hidden="1"/>
    </xf>
    <xf numFmtId="0" fontId="142" fillId="67" borderId="0" xfId="3" applyFont="1" applyFill="1"/>
    <xf numFmtId="0" fontId="151" fillId="67" borderId="0" xfId="5" applyFont="1" applyFill="1" applyAlignment="1">
      <alignment vertical="center"/>
    </xf>
    <xf numFmtId="0" fontId="25" fillId="67" borderId="0" xfId="5" applyFont="1" applyFill="1" applyAlignment="1" applyProtection="1">
      <alignment vertical="center"/>
      <protection hidden="1"/>
    </xf>
    <xf numFmtId="0" fontId="150" fillId="67" borderId="0" xfId="18" applyFont="1" applyFill="1" applyAlignment="1">
      <alignment horizontal="left" vertical="center"/>
    </xf>
    <xf numFmtId="0" fontId="152" fillId="67" borderId="0" xfId="5" applyFont="1" applyFill="1" applyAlignment="1">
      <alignment vertical="center"/>
    </xf>
    <xf numFmtId="0" fontId="150" fillId="67" borderId="0" xfId="3" applyFont="1" applyFill="1" applyAlignment="1">
      <alignment vertical="center"/>
    </xf>
    <xf numFmtId="0" fontId="151" fillId="67" borderId="0" xfId="5" applyFont="1" applyFill="1" applyProtection="1">
      <protection hidden="1"/>
    </xf>
    <xf numFmtId="0" fontId="144" fillId="0" borderId="0" xfId="39" applyAlignment="1">
      <alignment vertical="center"/>
    </xf>
    <xf numFmtId="0" fontId="20" fillId="72" borderId="0" xfId="39" applyFont="1" applyFill="1" applyAlignment="1">
      <alignment vertical="center"/>
    </xf>
    <xf numFmtId="0" fontId="1" fillId="72" borderId="0" xfId="39" applyFont="1" applyFill="1" applyAlignment="1">
      <alignment horizontal="center" vertical="center" wrapText="1"/>
    </xf>
    <xf numFmtId="0" fontId="37" fillId="0" borderId="0" xfId="39" applyFont="1" applyAlignment="1">
      <alignment vertical="center" wrapText="1"/>
    </xf>
    <xf numFmtId="0" fontId="37" fillId="0" borderId="67" xfId="39" applyFont="1" applyBorder="1" applyAlignment="1">
      <alignment vertical="center" wrapText="1"/>
    </xf>
    <xf numFmtId="0" fontId="156" fillId="0" borderId="0" xfId="39" applyFont="1" applyAlignment="1">
      <alignment horizontal="center" vertical="center" wrapText="1"/>
    </xf>
    <xf numFmtId="0" fontId="156" fillId="77" borderId="0" xfId="40" applyFont="1" applyFill="1" applyAlignment="1">
      <alignment horizontal="left" vertical="center"/>
    </xf>
    <xf numFmtId="0" fontId="158" fillId="0" borderId="0" xfId="39" applyFont="1" applyAlignment="1">
      <alignment vertical="center" wrapText="1"/>
    </xf>
    <xf numFmtId="0" fontId="158" fillId="0" borderId="0" xfId="39" applyFont="1" applyAlignment="1">
      <alignment horizontal="left" vertical="center" wrapText="1"/>
    </xf>
    <xf numFmtId="0" fontId="158" fillId="0" borderId="0" xfId="39" applyFont="1" applyAlignment="1">
      <alignment horizontal="left" vertical="center"/>
    </xf>
    <xf numFmtId="0" fontId="71" fillId="0" borderId="0" xfId="39" applyFont="1" applyAlignment="1">
      <alignment horizontal="left" vertical="center" wrapText="1"/>
    </xf>
    <xf numFmtId="0" fontId="159" fillId="0" borderId="0" xfId="39" applyFont="1" applyAlignment="1">
      <alignment horizontal="left" vertical="center"/>
    </xf>
    <xf numFmtId="0" fontId="1" fillId="2" borderId="0" xfId="39" applyFont="1" applyFill="1" applyAlignment="1">
      <alignment horizontal="center" vertical="center" wrapText="1"/>
    </xf>
    <xf numFmtId="0" fontId="4" fillId="78" borderId="0" xfId="39" applyFont="1" applyFill="1" applyAlignment="1">
      <alignment horizontal="center" vertical="center" wrapText="1"/>
    </xf>
    <xf numFmtId="0" fontId="67" fillId="79" borderId="0" xfId="39" applyFont="1" applyFill="1" applyAlignment="1">
      <alignment horizontal="center" vertical="center" wrapText="1"/>
    </xf>
    <xf numFmtId="0" fontId="160" fillId="73" borderId="0" xfId="39" applyFont="1" applyFill="1" applyAlignment="1">
      <alignment horizontal="center" vertical="center" wrapText="1"/>
    </xf>
    <xf numFmtId="0" fontId="156" fillId="14" borderId="68" xfId="39" applyFont="1" applyFill="1" applyBorder="1" applyAlignment="1">
      <alignment horizontal="center" vertical="center" wrapText="1"/>
    </xf>
    <xf numFmtId="0" fontId="156" fillId="80" borderId="69" xfId="39" applyFont="1" applyFill="1" applyBorder="1" applyAlignment="1">
      <alignment horizontal="left" vertical="center" wrapText="1"/>
    </xf>
    <xf numFmtId="0" fontId="156" fillId="66" borderId="69" xfId="39" applyFont="1" applyFill="1" applyBorder="1" applyAlignment="1">
      <alignment vertical="center" wrapText="1"/>
    </xf>
    <xf numFmtId="0" fontId="156" fillId="4" borderId="69" xfId="39" applyFont="1" applyFill="1" applyBorder="1" applyAlignment="1">
      <alignment vertical="center" wrapText="1"/>
    </xf>
    <xf numFmtId="0" fontId="156" fillId="80" borderId="69" xfId="39" applyFont="1" applyFill="1" applyBorder="1" applyAlignment="1">
      <alignment horizontal="center" vertical="center" wrapText="1"/>
    </xf>
    <xf numFmtId="0" fontId="156" fillId="4" borderId="70" xfId="39" applyFont="1" applyFill="1" applyBorder="1" applyAlignment="1">
      <alignment horizontal="center" vertical="center" wrapText="1"/>
    </xf>
    <xf numFmtId="0" fontId="156" fillId="14" borderId="71" xfId="39" applyFont="1" applyFill="1" applyBorder="1" applyAlignment="1">
      <alignment horizontal="center" vertical="center" wrapText="1"/>
    </xf>
    <xf numFmtId="0" fontId="156" fillId="80" borderId="72" xfId="39" applyFont="1" applyFill="1" applyBorder="1" applyAlignment="1">
      <alignment horizontal="left" vertical="center" wrapText="1"/>
    </xf>
    <xf numFmtId="0" fontId="156" fillId="66" borderId="72" xfId="39" applyFont="1" applyFill="1" applyBorder="1" applyAlignment="1">
      <alignment vertical="center" wrapText="1"/>
    </xf>
    <xf numFmtId="0" fontId="156" fillId="4" borderId="72" xfId="39" applyFont="1" applyFill="1" applyBorder="1" applyAlignment="1">
      <alignment vertical="center" wrapText="1"/>
    </xf>
    <xf numFmtId="0" fontId="156" fillId="80" borderId="72" xfId="39" applyFont="1" applyFill="1" applyBorder="1" applyAlignment="1">
      <alignment horizontal="center" vertical="center" wrapText="1"/>
    </xf>
    <xf numFmtId="0" fontId="156" fillId="4" borderId="73" xfId="39" applyFont="1" applyFill="1" applyBorder="1" applyAlignment="1">
      <alignment horizontal="center" vertical="center" wrapText="1"/>
    </xf>
    <xf numFmtId="0" fontId="156" fillId="0" borderId="0" xfId="39" applyFont="1" applyAlignment="1">
      <alignment horizontal="left" vertical="center" wrapText="1"/>
    </xf>
    <xf numFmtId="0" fontId="156" fillId="0" borderId="0" xfId="39" applyFont="1" applyAlignment="1">
      <alignment vertical="center" wrapText="1"/>
    </xf>
    <xf numFmtId="0" fontId="156" fillId="0" borderId="77" xfId="39" applyFont="1" applyBorder="1" applyAlignment="1">
      <alignment horizontal="center" vertical="center" wrapText="1"/>
    </xf>
    <xf numFmtId="0" fontId="156" fillId="0" borderId="78" xfId="39" applyFont="1" applyBorder="1" applyAlignment="1">
      <alignment horizontal="left" vertical="center" wrapText="1"/>
    </xf>
    <xf numFmtId="0" fontId="156" fillId="0" borderId="78" xfId="39" applyFont="1" applyBorder="1" applyAlignment="1">
      <alignment vertical="center" wrapText="1"/>
    </xf>
    <xf numFmtId="0" fontId="156" fillId="0" borderId="79" xfId="39" applyFont="1" applyBorder="1" applyAlignment="1">
      <alignment vertical="center" wrapText="1"/>
    </xf>
    <xf numFmtId="0" fontId="156" fillId="0" borderId="80" xfId="39" applyFont="1" applyBorder="1" applyAlignment="1">
      <alignment horizontal="center" vertical="center" wrapText="1"/>
    </xf>
    <xf numFmtId="0" fontId="156" fillId="0" borderId="81" xfId="39" applyFont="1" applyBorder="1" applyAlignment="1">
      <alignment horizontal="left" vertical="center" wrapText="1"/>
    </xf>
    <xf numFmtId="0" fontId="156" fillId="0" borderId="81" xfId="39" applyFont="1" applyBorder="1" applyAlignment="1">
      <alignment vertical="center" wrapText="1"/>
    </xf>
    <xf numFmtId="0" fontId="156" fillId="0" borderId="82" xfId="39" applyFont="1" applyBorder="1" applyAlignment="1">
      <alignment vertical="center" wrapText="1"/>
    </xf>
    <xf numFmtId="0" fontId="144" fillId="0" borderId="0" xfId="39" applyAlignment="1">
      <alignment horizontal="left" vertical="center"/>
    </xf>
    <xf numFmtId="0" fontId="20" fillId="0" borderId="0" xfId="39" applyFont="1" applyAlignment="1">
      <alignment vertical="center"/>
    </xf>
    <xf numFmtId="0" fontId="156" fillId="0" borderId="0" xfId="39" applyFont="1" applyAlignment="1">
      <alignment horizontal="left" vertical="center"/>
    </xf>
    <xf numFmtId="0" fontId="159" fillId="0" borderId="0" xfId="1" applyFont="1" applyAlignment="1">
      <alignment vertical="center" wrapText="1"/>
    </xf>
    <xf numFmtId="0" fontId="159" fillId="0" borderId="0" xfId="1" applyFont="1" applyAlignment="1">
      <alignment horizontal="right" vertical="center" wrapText="1"/>
    </xf>
    <xf numFmtId="0" fontId="156" fillId="0" borderId="0" xfId="1" applyFont="1" applyAlignment="1">
      <alignment vertical="center"/>
    </xf>
    <xf numFmtId="0" fontId="156" fillId="0" borderId="0" xfId="1" applyFont="1" applyAlignment="1">
      <alignment horizontal="right" vertical="center" wrapText="1"/>
    </xf>
    <xf numFmtId="0" fontId="156" fillId="0" borderId="0" xfId="1" applyFont="1" applyAlignment="1">
      <alignment vertical="center" wrapText="1"/>
    </xf>
    <xf numFmtId="0" fontId="138" fillId="0" borderId="0" xfId="1" applyFont="1" applyAlignment="1">
      <alignment vertical="center"/>
    </xf>
    <xf numFmtId="0" fontId="136" fillId="0" borderId="0" xfId="1" applyFont="1" applyAlignment="1">
      <alignment vertical="center"/>
    </xf>
    <xf numFmtId="0" fontId="136" fillId="0" borderId="0" xfId="1" applyFont="1" applyAlignment="1">
      <alignment horizontal="right" vertical="center" wrapText="1"/>
    </xf>
    <xf numFmtId="0" fontId="156" fillId="0" borderId="0" xfId="1" applyFont="1" applyAlignment="1">
      <alignment horizontal="left" vertical="center" wrapText="1"/>
    </xf>
    <xf numFmtId="0" fontId="161" fillId="82" borderId="0" xfId="28" applyFont="1" applyFill="1" applyAlignment="1">
      <alignment horizontal="center" vertical="center"/>
    </xf>
    <xf numFmtId="0" fontId="20" fillId="77" borderId="0" xfId="28" applyFont="1" applyFill="1" applyAlignment="1">
      <alignment horizontal="right" vertical="center"/>
    </xf>
    <xf numFmtId="0" fontId="32" fillId="83" borderId="25" xfId="5" applyFont="1" applyFill="1" applyBorder="1" applyAlignment="1">
      <alignment horizontal="center" vertical="center"/>
    </xf>
    <xf numFmtId="0" fontId="163" fillId="0" borderId="0" xfId="39" applyFont="1" applyAlignment="1">
      <alignment vertical="center"/>
    </xf>
    <xf numFmtId="0" fontId="67" fillId="81" borderId="74" xfId="39" applyFont="1" applyFill="1" applyBorder="1" applyAlignment="1">
      <alignment horizontal="center" vertical="center" wrapText="1"/>
    </xf>
    <xf numFmtId="0" fontId="67" fillId="81" borderId="75" xfId="39" applyFont="1" applyFill="1" applyBorder="1" applyAlignment="1">
      <alignment horizontal="left" vertical="center" wrapText="1"/>
    </xf>
    <xf numFmtId="0" fontId="67" fillId="81" borderId="75" xfId="39" applyFont="1" applyFill="1" applyBorder="1" applyAlignment="1">
      <alignment vertical="center" wrapText="1"/>
    </xf>
    <xf numFmtId="0" fontId="67" fillId="81" borderId="76" xfId="39" applyFont="1" applyFill="1" applyBorder="1" applyAlignment="1">
      <alignment vertical="center" wrapText="1"/>
    </xf>
    <xf numFmtId="0" fontId="141" fillId="0" borderId="0" xfId="1" applyFont="1" applyAlignment="1">
      <alignment horizontal="right" vertical="center" wrapText="1"/>
    </xf>
    <xf numFmtId="0" fontId="7" fillId="0" borderId="0" xfId="1" applyFont="1" applyAlignment="1">
      <alignment horizontal="left" vertical="center"/>
    </xf>
    <xf numFmtId="0" fontId="156" fillId="0" borderId="0" xfId="39" applyFont="1" applyAlignment="1">
      <alignment vertical="center"/>
    </xf>
    <xf numFmtId="0" fontId="41" fillId="0" borderId="0" xfId="1" applyFont="1" applyAlignment="1">
      <alignment horizontal="right" vertical="center"/>
    </xf>
    <xf numFmtId="0" fontId="3" fillId="0" borderId="0" xfId="1"/>
    <xf numFmtId="0" fontId="41" fillId="0" borderId="0" xfId="28" applyFont="1" applyAlignment="1">
      <alignment horizontal="right" vertical="center" wrapText="1"/>
    </xf>
    <xf numFmtId="0" fontId="41" fillId="0" borderId="0" xfId="28" applyFont="1" applyAlignment="1">
      <alignment vertical="center" wrapText="1"/>
    </xf>
    <xf numFmtId="0" fontId="136" fillId="0" borderId="0" xfId="28" applyFont="1" applyAlignment="1">
      <alignment horizontal="right" vertical="center" wrapText="1"/>
    </xf>
    <xf numFmtId="0" fontId="138" fillId="0" borderId="0" xfId="28" applyFont="1" applyAlignment="1">
      <alignment vertical="center"/>
    </xf>
    <xf numFmtId="0" fontId="138" fillId="0" borderId="0" xfId="28" applyFont="1" applyAlignment="1">
      <alignment vertical="center" wrapText="1"/>
    </xf>
    <xf numFmtId="0" fontId="164" fillId="0" borderId="0" xfId="28" applyFont="1" applyAlignment="1">
      <alignment horizontal="center" vertical="center" wrapText="1"/>
    </xf>
    <xf numFmtId="0" fontId="136" fillId="0" borderId="0" xfId="28" applyFont="1" applyAlignment="1">
      <alignment horizontal="right" vertical="center"/>
    </xf>
    <xf numFmtId="0" fontId="164" fillId="0" borderId="0" xfId="28" applyFont="1" applyAlignment="1">
      <alignment vertical="center" wrapText="1"/>
    </xf>
    <xf numFmtId="0" fontId="138" fillId="0" borderId="0" xfId="28" applyFont="1" applyAlignment="1">
      <alignment horizontal="right" vertical="center"/>
    </xf>
    <xf numFmtId="0" fontId="41" fillId="0" borderId="0" xfId="28" applyFont="1" applyAlignment="1">
      <alignment vertical="center"/>
    </xf>
    <xf numFmtId="0" fontId="7" fillId="0" borderId="0" xfId="28" applyFont="1" applyAlignment="1">
      <alignment horizontal="right" vertical="center"/>
    </xf>
    <xf numFmtId="0" fontId="41" fillId="0" borderId="0" xfId="28" applyFont="1" applyAlignment="1">
      <alignment horizontal="right" vertical="center"/>
    </xf>
    <xf numFmtId="0" fontId="164" fillId="0" borderId="0" xfId="28" applyFont="1" applyAlignment="1">
      <alignment vertical="center"/>
    </xf>
    <xf numFmtId="0" fontId="164" fillId="0" borderId="0" xfId="28" applyFont="1" applyAlignment="1">
      <alignment horizontal="right" vertical="center"/>
    </xf>
    <xf numFmtId="0" fontId="136" fillId="0" borderId="0" xfId="28" applyFont="1" applyAlignment="1">
      <alignment vertical="center"/>
    </xf>
    <xf numFmtId="0" fontId="159" fillId="0" borderId="0" xfId="28" applyFont="1" applyAlignment="1">
      <alignment horizontal="right" vertical="center"/>
    </xf>
    <xf numFmtId="0" fontId="156" fillId="0" borderId="0" xfId="28" applyFont="1" applyAlignment="1">
      <alignment vertical="center"/>
    </xf>
    <xf numFmtId="0" fontId="159" fillId="0" borderId="0" xfId="28" applyFont="1" applyAlignment="1">
      <alignment vertical="center"/>
    </xf>
    <xf numFmtId="0" fontId="156" fillId="0" borderId="0" xfId="28" applyFont="1" applyAlignment="1">
      <alignment horizontal="left" vertical="center"/>
    </xf>
    <xf numFmtId="0" fontId="41" fillId="0" borderId="0" xfId="39" applyFont="1" applyAlignment="1">
      <alignment horizontal="left" vertical="center"/>
    </xf>
    <xf numFmtId="0" fontId="37" fillId="0" borderId="83" xfId="39" applyFont="1" applyBorder="1" applyAlignment="1">
      <alignment vertical="center" wrapText="1"/>
    </xf>
    <xf numFmtId="0" fontId="37" fillId="0" borderId="84" xfId="39" applyFont="1" applyBorder="1" applyAlignment="1">
      <alignment vertical="center" wrapText="1"/>
    </xf>
    <xf numFmtId="0" fontId="3" fillId="0" borderId="0" xfId="1" applyAlignment="1">
      <alignment vertical="center"/>
    </xf>
    <xf numFmtId="0" fontId="159" fillId="84" borderId="26" xfId="5" applyFont="1" applyFill="1" applyBorder="1" applyAlignment="1">
      <alignment horizontal="center" vertical="center"/>
    </xf>
    <xf numFmtId="0" fontId="138" fillId="0" borderId="0" xfId="35"/>
    <xf numFmtId="0" fontId="144" fillId="0" borderId="0" xfId="36"/>
    <xf numFmtId="0" fontId="20" fillId="0" borderId="0" xfId="36" applyFont="1" applyAlignment="1">
      <alignment vertical="center" wrapText="1"/>
    </xf>
    <xf numFmtId="0" fontId="59" fillId="2" borderId="97" xfId="36" applyFont="1" applyFill="1" applyBorder="1" applyAlignment="1">
      <alignment horizontal="center" vertical="center" wrapText="1"/>
    </xf>
    <xf numFmtId="0" fontId="167" fillId="4" borderId="97" xfId="36" applyFont="1" applyFill="1" applyBorder="1" applyAlignment="1">
      <alignment horizontal="right" vertical="center" wrapText="1"/>
    </xf>
    <xf numFmtId="0" fontId="167" fillId="0" borderId="97" xfId="36" applyFont="1" applyBorder="1" applyAlignment="1">
      <alignment horizontal="center" vertical="center" wrapText="1"/>
    </xf>
    <xf numFmtId="0" fontId="167" fillId="3" borderId="97" xfId="36" applyFont="1" applyFill="1" applyBorder="1" applyAlignment="1">
      <alignment vertical="center" wrapText="1"/>
    </xf>
    <xf numFmtId="0" fontId="167" fillId="0" borderId="97" xfId="36" applyFont="1" applyBorder="1" applyAlignment="1">
      <alignment vertical="center" wrapText="1"/>
    </xf>
    <xf numFmtId="0" fontId="168" fillId="66" borderId="97" xfId="36" applyFont="1" applyFill="1" applyBorder="1" applyAlignment="1">
      <alignment horizontal="center" vertical="center" wrapText="1"/>
    </xf>
    <xf numFmtId="0" fontId="167" fillId="89" borderId="97" xfId="36" applyFont="1" applyFill="1" applyBorder="1" applyAlignment="1">
      <alignment vertical="center" wrapText="1"/>
    </xf>
    <xf numFmtId="0" fontId="169" fillId="66" borderId="97" xfId="36" applyFont="1" applyFill="1" applyBorder="1" applyAlignment="1">
      <alignment horizontal="left" vertical="center" wrapText="1"/>
    </xf>
    <xf numFmtId="0" fontId="170" fillId="3" borderId="98" xfId="36" applyFont="1" applyFill="1" applyBorder="1" applyAlignment="1">
      <alignment horizontal="center" vertical="center" wrapText="1"/>
    </xf>
    <xf numFmtId="0" fontId="167" fillId="3" borderId="98" xfId="36" applyFont="1" applyFill="1" applyBorder="1" applyAlignment="1">
      <alignment horizontal="center" vertical="center" wrapText="1"/>
    </xf>
    <xf numFmtId="0" fontId="171" fillId="3" borderId="98" xfId="36" applyFont="1" applyFill="1" applyBorder="1" applyAlignment="1">
      <alignment horizontal="center" vertical="center" wrapText="1"/>
    </xf>
    <xf numFmtId="0" fontId="171" fillId="0" borderId="97" xfId="36" applyFont="1" applyBorder="1" applyAlignment="1">
      <alignment horizontal="center" vertical="center" wrapText="1"/>
    </xf>
    <xf numFmtId="0" fontId="165" fillId="66" borderId="97" xfId="36" applyFont="1" applyFill="1" applyBorder="1" applyAlignment="1">
      <alignment horizontal="center" vertical="center" wrapText="1"/>
    </xf>
    <xf numFmtId="0" fontId="172" fillId="87" borderId="98" xfId="36" applyFont="1" applyFill="1" applyBorder="1" applyAlignment="1">
      <alignment horizontal="center" vertical="center" wrapText="1"/>
    </xf>
    <xf numFmtId="0" fontId="167" fillId="4" borderId="97" xfId="36" applyFont="1" applyFill="1" applyBorder="1" applyAlignment="1">
      <alignment vertical="center" wrapText="1"/>
    </xf>
    <xf numFmtId="0" fontId="171" fillId="0" borderId="97" xfId="36" applyFont="1" applyBorder="1" applyAlignment="1">
      <alignment vertical="center" wrapText="1"/>
    </xf>
    <xf numFmtId="0" fontId="167" fillId="4" borderId="97" xfId="36" applyFont="1" applyFill="1" applyBorder="1" applyAlignment="1">
      <alignment horizontal="center" vertical="center" wrapText="1"/>
    </xf>
    <xf numFmtId="0" fontId="171" fillId="3" borderId="97" xfId="36" applyFont="1" applyFill="1" applyBorder="1" applyAlignment="1">
      <alignment vertical="center" wrapText="1"/>
    </xf>
    <xf numFmtId="0" fontId="153" fillId="2" borderId="97" xfId="36" applyFont="1" applyFill="1" applyBorder="1" applyAlignment="1">
      <alignment horizontal="center" vertical="center" wrapText="1"/>
    </xf>
    <xf numFmtId="0" fontId="59" fillId="74" borderId="97" xfId="36" applyFont="1" applyFill="1" applyBorder="1" applyAlignment="1">
      <alignment horizontal="center" vertical="center" wrapText="1"/>
    </xf>
    <xf numFmtId="0" fontId="138" fillId="77" borderId="0" xfId="1" applyFont="1" applyFill="1" applyAlignment="1">
      <alignment vertical="center"/>
    </xf>
    <xf numFmtId="0" fontId="59" fillId="74" borderId="102" xfId="1" applyFont="1" applyFill="1" applyBorder="1" applyAlignment="1">
      <alignment horizontal="center" vertical="center" wrapText="1"/>
    </xf>
    <xf numFmtId="0" fontId="138" fillId="0" borderId="102" xfId="1" applyFont="1" applyBorder="1" applyAlignment="1">
      <alignment horizontal="center" vertical="center"/>
    </xf>
    <xf numFmtId="0" fontId="138" fillId="0" borderId="102" xfId="1" applyFont="1" applyBorder="1" applyAlignment="1">
      <alignment vertical="center"/>
    </xf>
    <xf numFmtId="0" fontId="176" fillId="71" borderId="102" xfId="1" applyFont="1" applyFill="1" applyBorder="1" applyAlignment="1">
      <alignment horizontal="right" vertical="center" wrapText="1"/>
    </xf>
    <xf numFmtId="0" fontId="136" fillId="91" borderId="102" xfId="1" applyFont="1" applyFill="1" applyBorder="1" applyAlignment="1">
      <alignment horizontal="center" vertical="center" wrapText="1"/>
    </xf>
    <xf numFmtId="0" fontId="138" fillId="0" borderId="102" xfId="1" applyFont="1" applyBorder="1" applyAlignment="1">
      <alignment vertical="center" wrapText="1"/>
    </xf>
    <xf numFmtId="0" fontId="177" fillId="66" borderId="102" xfId="1" applyFont="1" applyFill="1" applyBorder="1" applyAlignment="1">
      <alignment horizontal="right" vertical="center" wrapText="1"/>
    </xf>
    <xf numFmtId="0" fontId="178" fillId="92" borderId="102" xfId="1" applyFont="1" applyFill="1" applyBorder="1" applyAlignment="1">
      <alignment horizontal="right" vertical="center" wrapText="1"/>
    </xf>
    <xf numFmtId="0" fontId="176" fillId="4" borderId="102" xfId="1" applyFont="1" applyFill="1" applyBorder="1" applyAlignment="1">
      <alignment horizontal="right" vertical="center" wrapText="1"/>
    </xf>
    <xf numFmtId="0" fontId="7" fillId="0" borderId="0" xfId="1" applyFont="1" applyAlignment="1">
      <alignment vertical="center"/>
    </xf>
    <xf numFmtId="0" fontId="15" fillId="0" borderId="0" xfId="0" applyFont="1" applyAlignment="1">
      <alignment vertical="center"/>
    </xf>
    <xf numFmtId="0" fontId="144" fillId="0" borderId="0" xfId="36" applyAlignment="1">
      <alignment vertical="center"/>
    </xf>
    <xf numFmtId="0" fontId="181" fillId="66" borderId="102" xfId="36" applyFont="1" applyFill="1" applyBorder="1" applyAlignment="1">
      <alignment horizontal="left" vertical="center" wrapText="1"/>
    </xf>
    <xf numFmtId="0" fontId="20" fillId="0" borderId="0" xfId="36" applyFont="1" applyAlignment="1">
      <alignment vertical="center"/>
    </xf>
    <xf numFmtId="0" fontId="181" fillId="66" borderId="102" xfId="36" applyFont="1" applyFill="1" applyBorder="1" applyAlignment="1">
      <alignment vertical="center" wrapText="1"/>
    </xf>
    <xf numFmtId="0" fontId="159" fillId="4" borderId="102" xfId="36" applyFont="1" applyFill="1" applyBorder="1" applyAlignment="1">
      <alignment horizontal="center" vertical="center"/>
    </xf>
    <xf numFmtId="0" fontId="11" fillId="3" borderId="102" xfId="36" applyFont="1" applyFill="1" applyBorder="1" applyAlignment="1">
      <alignment horizontal="center" vertical="center"/>
    </xf>
    <xf numFmtId="0" fontId="41" fillId="71" borderId="102" xfId="36" applyFont="1" applyFill="1" applyBorder="1" applyAlignment="1">
      <alignment horizontal="center" vertical="center" wrapText="1"/>
    </xf>
    <xf numFmtId="0" fontId="182" fillId="3" borderId="102" xfId="36" applyFont="1" applyFill="1" applyBorder="1" applyAlignment="1">
      <alignment horizontal="center" vertical="center" wrapText="1"/>
    </xf>
    <xf numFmtId="0" fontId="159" fillId="91" borderId="102" xfId="36" applyFont="1" applyFill="1" applyBorder="1" applyAlignment="1">
      <alignment horizontal="center" vertical="center" wrapText="1"/>
    </xf>
    <xf numFmtId="0" fontId="156" fillId="91" borderId="102" xfId="36" applyFont="1" applyFill="1" applyBorder="1" applyAlignment="1">
      <alignment vertical="center" wrapText="1"/>
    </xf>
    <xf numFmtId="0" fontId="159" fillId="4" borderId="102" xfId="36" applyFont="1" applyFill="1" applyBorder="1" applyAlignment="1">
      <alignment horizontal="center" vertical="center" wrapText="1"/>
    </xf>
    <xf numFmtId="0" fontId="159" fillId="71" borderId="102" xfId="36" applyFont="1" applyFill="1" applyBorder="1" applyAlignment="1">
      <alignment horizontal="center" vertical="center" wrapText="1"/>
    </xf>
    <xf numFmtId="0" fontId="77" fillId="90" borderId="102" xfId="36" applyFont="1" applyFill="1" applyBorder="1" applyAlignment="1">
      <alignment horizontal="center" vertical="center" wrapText="1"/>
    </xf>
    <xf numFmtId="0" fontId="159" fillId="90" borderId="102" xfId="36" applyFont="1" applyFill="1" applyBorder="1" applyAlignment="1">
      <alignment horizontal="center" vertical="center" wrapText="1"/>
    </xf>
    <xf numFmtId="20" fontId="7" fillId="66" borderId="102" xfId="36" applyNumberFormat="1" applyFont="1" applyFill="1" applyBorder="1" applyAlignment="1">
      <alignment horizontal="center" vertical="center"/>
    </xf>
    <xf numFmtId="0" fontId="181" fillId="66" borderId="102" xfId="36" applyFont="1" applyFill="1" applyBorder="1" applyAlignment="1">
      <alignment horizontal="center" vertical="center" wrapText="1"/>
    </xf>
    <xf numFmtId="0" fontId="41" fillId="66" borderId="102" xfId="36" applyFont="1" applyFill="1" applyBorder="1" applyAlignment="1">
      <alignment horizontal="center" vertical="center" wrapText="1"/>
    </xf>
    <xf numFmtId="0" fontId="7" fillId="66" borderId="102" xfId="36" applyFont="1" applyFill="1" applyBorder="1" applyAlignment="1">
      <alignment horizontal="center" vertical="center"/>
    </xf>
    <xf numFmtId="0" fontId="20" fillId="0" borderId="0" xfId="36" applyFont="1" applyAlignment="1">
      <alignment horizontal="center" vertical="center"/>
    </xf>
    <xf numFmtId="0" fontId="159" fillId="5" borderId="102" xfId="36" applyFont="1" applyFill="1" applyBorder="1" applyAlignment="1">
      <alignment horizontal="center" vertical="center" wrapText="1"/>
    </xf>
    <xf numFmtId="0" fontId="183" fillId="95" borderId="0" xfId="5" applyFont="1" applyFill="1" applyAlignment="1">
      <alignment horizontal="center" vertical="center"/>
    </xf>
    <xf numFmtId="0" fontId="184" fillId="96" borderId="0" xfId="41" applyFont="1" applyFill="1" applyAlignment="1">
      <alignment horizontal="left" vertical="center"/>
    </xf>
    <xf numFmtId="0" fontId="184" fillId="96" borderId="0" xfId="41" applyFont="1" applyFill="1" applyAlignment="1">
      <alignment vertical="center" wrapText="1"/>
    </xf>
    <xf numFmtId="0" fontId="3" fillId="0" borderId="0" xfId="41" applyAlignment="1">
      <alignment vertical="center"/>
    </xf>
    <xf numFmtId="0" fontId="184" fillId="96" borderId="0" xfId="41" applyFont="1" applyFill="1" applyAlignment="1">
      <alignment horizontal="center" vertical="center" wrapText="1"/>
    </xf>
    <xf numFmtId="0" fontId="186" fillId="98" borderId="8" xfId="41" applyFont="1" applyFill="1" applyBorder="1" applyAlignment="1">
      <alignment horizontal="left" vertical="center"/>
    </xf>
    <xf numFmtId="0" fontId="187" fillId="98" borderId="0" xfId="41" applyFont="1" applyFill="1" applyAlignment="1">
      <alignment horizontal="left" vertical="center"/>
    </xf>
    <xf numFmtId="0" fontId="187" fillId="98" borderId="0" xfId="41" applyFont="1" applyFill="1" applyAlignment="1">
      <alignment horizontal="center" vertical="center" wrapText="1"/>
    </xf>
    <xf numFmtId="0" fontId="3" fillId="98" borderId="0" xfId="41" applyFill="1" applyAlignment="1">
      <alignment vertical="center"/>
    </xf>
    <xf numFmtId="0" fontId="3" fillId="98" borderId="0" xfId="41" applyFill="1" applyAlignment="1">
      <alignment horizontal="right" vertical="center"/>
    </xf>
    <xf numFmtId="0" fontId="189" fillId="100" borderId="0" xfId="5" applyFont="1" applyFill="1" applyAlignment="1">
      <alignment horizontal="center" vertical="center"/>
    </xf>
    <xf numFmtId="0" fontId="3" fillId="101" borderId="0" xfId="41" applyFill="1" applyAlignment="1">
      <alignment vertical="center"/>
    </xf>
    <xf numFmtId="0" fontId="190" fillId="101" borderId="0" xfId="41" applyFont="1" applyFill="1" applyAlignment="1">
      <alignment horizontal="center" vertical="center"/>
    </xf>
    <xf numFmtId="0" fontId="184" fillId="101" borderId="0" xfId="41" applyFont="1" applyFill="1" applyAlignment="1">
      <alignment horizontal="center" vertical="center"/>
    </xf>
    <xf numFmtId="0" fontId="191" fillId="102" borderId="0" xfId="41" applyFont="1" applyFill="1" applyAlignment="1">
      <alignment horizontal="right" vertical="center"/>
    </xf>
    <xf numFmtId="0" fontId="191" fillId="102" borderId="0" xfId="41" applyFont="1" applyFill="1" applyAlignment="1">
      <alignment vertical="center"/>
    </xf>
    <xf numFmtId="0" fontId="192" fillId="9" borderId="0" xfId="39" applyFont="1" applyFill="1" applyAlignment="1">
      <alignment horizontal="center" vertical="center"/>
    </xf>
    <xf numFmtId="0" fontId="3" fillId="98" borderId="0" xfId="41" applyFill="1" applyAlignment="1">
      <alignment horizontal="center" vertical="center"/>
    </xf>
    <xf numFmtId="0" fontId="193" fillId="98" borderId="0" xfId="41" applyFont="1" applyFill="1" applyAlignment="1">
      <alignment horizontal="left" vertical="center"/>
    </xf>
    <xf numFmtId="0" fontId="194" fillId="0" borderId="0" xfId="41" applyFont="1" applyAlignment="1">
      <alignment vertical="center"/>
    </xf>
    <xf numFmtId="0" fontId="194" fillId="98" borderId="0" xfId="41" applyFont="1" applyFill="1" applyAlignment="1">
      <alignment vertical="center"/>
    </xf>
    <xf numFmtId="0" fontId="189" fillId="100" borderId="103" xfId="42" applyFont="1" applyFill="1" applyBorder="1" applyAlignment="1">
      <alignment horizontal="right" vertical="center"/>
    </xf>
    <xf numFmtId="0" fontId="195" fillId="103" borderId="104" xfId="41" applyFont="1" applyFill="1" applyBorder="1" applyAlignment="1">
      <alignment horizontal="center" vertical="center"/>
    </xf>
    <xf numFmtId="0" fontId="196" fillId="98" borderId="0" xfId="41" applyFont="1" applyFill="1" applyAlignment="1">
      <alignment horizontal="left" vertical="center"/>
    </xf>
    <xf numFmtId="205" fontId="195" fillId="103" borderId="104" xfId="43" applyNumberFormat="1" applyFont="1" applyFill="1" applyBorder="1" applyAlignment="1">
      <alignment horizontal="center" vertical="center"/>
    </xf>
    <xf numFmtId="0" fontId="197" fillId="103" borderId="104" xfId="1" applyFont="1" applyFill="1" applyBorder="1" applyAlignment="1">
      <alignment horizontal="center" vertical="center"/>
    </xf>
    <xf numFmtId="0" fontId="198" fillId="98" borderId="0" xfId="41" applyFont="1" applyFill="1" applyAlignment="1">
      <alignment horizontal="left" vertical="center"/>
    </xf>
    <xf numFmtId="0" fontId="200" fillId="98" borderId="0" xfId="41" applyFont="1" applyFill="1" applyAlignment="1">
      <alignment vertical="center"/>
    </xf>
    <xf numFmtId="0" fontId="3" fillId="104" borderId="0" xfId="41" applyFill="1" applyAlignment="1">
      <alignment vertical="center"/>
    </xf>
    <xf numFmtId="0" fontId="3" fillId="105" borderId="0" xfId="41" applyFill="1" applyAlignment="1">
      <alignment vertical="center"/>
    </xf>
    <xf numFmtId="0" fontId="201" fillId="105" borderId="0" xfId="44" applyFont="1" applyFill="1" applyAlignment="1">
      <alignment horizontal="center" vertical="center"/>
    </xf>
    <xf numFmtId="0" fontId="202" fillId="106" borderId="0" xfId="41" applyFont="1" applyFill="1" applyAlignment="1">
      <alignment vertical="center"/>
    </xf>
    <xf numFmtId="0" fontId="203" fillId="106" borderId="0" xfId="44" applyFont="1" applyFill="1" applyAlignment="1">
      <alignment horizontal="center" vertical="center"/>
    </xf>
    <xf numFmtId="0" fontId="204" fillId="104" borderId="0" xfId="41" applyFont="1" applyFill="1" applyAlignment="1">
      <alignment horizontal="left" vertical="center"/>
    </xf>
    <xf numFmtId="0" fontId="204" fillId="104" borderId="0" xfId="41" applyFont="1" applyFill="1" applyAlignment="1">
      <alignment horizontal="center" vertical="center"/>
    </xf>
    <xf numFmtId="0" fontId="205" fillId="105" borderId="0" xfId="41" applyFont="1" applyFill="1" applyAlignment="1">
      <alignment horizontal="center" vertical="center"/>
    </xf>
    <xf numFmtId="0" fontId="205" fillId="106" borderId="0" xfId="41" applyFont="1" applyFill="1" applyAlignment="1">
      <alignment horizontal="center" vertical="center"/>
    </xf>
    <xf numFmtId="0" fontId="3" fillId="106" borderId="0" xfId="41" applyFill="1" applyAlignment="1">
      <alignment vertical="center"/>
    </xf>
    <xf numFmtId="0" fontId="3" fillId="104" borderId="0" xfId="41" applyFill="1" applyAlignment="1">
      <alignment horizontal="right" vertical="center"/>
    </xf>
    <xf numFmtId="0" fontId="3" fillId="107" borderId="0" xfId="41" applyFill="1" applyAlignment="1">
      <alignment horizontal="center" vertical="center"/>
    </xf>
    <xf numFmtId="0" fontId="196" fillId="108" borderId="3" xfId="5" applyFont="1" applyFill="1" applyBorder="1" applyAlignment="1">
      <alignment horizontal="left" vertical="center"/>
    </xf>
    <xf numFmtId="0" fontId="3" fillId="109" borderId="0" xfId="41" applyFill="1" applyAlignment="1">
      <alignment horizontal="center" vertical="center"/>
    </xf>
    <xf numFmtId="0" fontId="3" fillId="109" borderId="0" xfId="41" applyFill="1" applyAlignment="1">
      <alignment vertical="center"/>
    </xf>
    <xf numFmtId="0" fontId="156" fillId="80" borderId="69" xfId="39" applyFont="1" applyFill="1" applyBorder="1" applyAlignment="1">
      <alignment horizontal="left" vertical="center"/>
    </xf>
    <xf numFmtId="0" fontId="156" fillId="66" borderId="69" xfId="39" applyFont="1" applyFill="1" applyBorder="1" applyAlignment="1">
      <alignment vertical="center"/>
    </xf>
    <xf numFmtId="0" fontId="3" fillId="110" borderId="0" xfId="41" applyFill="1" applyAlignment="1">
      <alignment vertical="center"/>
    </xf>
    <xf numFmtId="0" fontId="3" fillId="109" borderId="0" xfId="41" applyFill="1" applyAlignment="1">
      <alignment horizontal="left" vertical="center"/>
    </xf>
    <xf numFmtId="0" fontId="156" fillId="66" borderId="72" xfId="39" applyFont="1" applyFill="1" applyBorder="1" applyAlignment="1">
      <alignment vertical="center"/>
    </xf>
    <xf numFmtId="0" fontId="3" fillId="110" borderId="0" xfId="41" applyFill="1" applyAlignment="1">
      <alignment vertical="center" wrapText="1"/>
    </xf>
    <xf numFmtId="0" fontId="3" fillId="104" borderId="0" xfId="41" applyFill="1" applyAlignment="1">
      <alignment vertical="center" wrapText="1"/>
    </xf>
    <xf numFmtId="0" fontId="3" fillId="104" borderId="0" xfId="41" applyFill="1" applyAlignment="1">
      <alignment horizontal="right" vertical="center" wrapText="1"/>
    </xf>
    <xf numFmtId="0" fontId="3" fillId="104" borderId="0" xfId="41" applyFill="1" applyAlignment="1">
      <alignment horizontal="center" vertical="center"/>
    </xf>
    <xf numFmtId="0" fontId="13" fillId="10" borderId="0" xfId="5" applyFont="1" applyFill="1" applyAlignment="1">
      <alignment horizontal="center" vertical="center"/>
    </xf>
    <xf numFmtId="0" fontId="77" fillId="111" borderId="0" xfId="5" applyFont="1" applyFill="1" applyAlignment="1">
      <alignment horizontal="center" vertical="center"/>
    </xf>
    <xf numFmtId="0" fontId="3" fillId="77" borderId="0" xfId="1" applyFill="1" applyAlignment="1">
      <alignment horizontal="center" vertical="center"/>
    </xf>
    <xf numFmtId="0" fontId="77" fillId="112" borderId="0" xfId="5" applyFont="1" applyFill="1" applyAlignment="1">
      <alignment horizontal="center" vertical="center"/>
    </xf>
    <xf numFmtId="0" fontId="43" fillId="10" borderId="0" xfId="5" applyFont="1" applyFill="1" applyAlignment="1" applyProtection="1">
      <alignment vertical="top"/>
      <protection hidden="1"/>
    </xf>
    <xf numFmtId="0" fontId="209" fillId="77" borderId="6" xfId="5" applyFont="1" applyFill="1" applyBorder="1" applyAlignment="1">
      <alignment vertical="center"/>
    </xf>
    <xf numFmtId="0" fontId="43" fillId="10" borderId="0" xfId="0" applyFont="1" applyFill="1"/>
    <xf numFmtId="0" fontId="209" fillId="77" borderId="10" xfId="5" applyFont="1" applyFill="1" applyBorder="1" applyAlignment="1">
      <alignment vertical="center"/>
    </xf>
    <xf numFmtId="0" fontId="140" fillId="10" borderId="0" xfId="1" applyFont="1" applyFill="1" applyAlignment="1">
      <alignment vertical="center"/>
    </xf>
    <xf numFmtId="0" fontId="213" fillId="77" borderId="11" xfId="33" applyFont="1" applyFill="1" applyBorder="1" applyAlignment="1">
      <alignment horizontal="center" vertical="center"/>
    </xf>
    <xf numFmtId="0" fontId="214" fillId="114" borderId="106" xfId="31" applyFont="1" applyFill="1" applyBorder="1" applyAlignment="1">
      <alignment horizontal="right" vertical="center"/>
    </xf>
    <xf numFmtId="0" fontId="214" fillId="114" borderId="11" xfId="31" applyFont="1" applyFill="1" applyBorder="1" applyAlignment="1">
      <alignment horizontal="right" vertical="center"/>
    </xf>
    <xf numFmtId="0" fontId="214" fillId="114" borderId="11" xfId="31" applyFont="1" applyFill="1" applyBorder="1" applyAlignment="1">
      <alignment horizontal="left" vertical="center"/>
    </xf>
    <xf numFmtId="1" fontId="214" fillId="114" borderId="11" xfId="31" applyNumberFormat="1" applyFont="1" applyFill="1" applyBorder="1" applyAlignment="1">
      <alignment horizontal="right" vertical="center"/>
    </xf>
    <xf numFmtId="0" fontId="3" fillId="114" borderId="11" xfId="1" applyFill="1" applyBorder="1"/>
    <xf numFmtId="0" fontId="215" fillId="79" borderId="107" xfId="1" applyFont="1" applyFill="1" applyBorder="1" applyAlignment="1">
      <alignment horizontal="right" vertical="center"/>
    </xf>
    <xf numFmtId="0" fontId="164" fillId="77" borderId="0" xfId="5" applyFont="1" applyFill="1" applyAlignment="1">
      <alignment vertical="center"/>
    </xf>
    <xf numFmtId="0" fontId="4" fillId="13" borderId="0" xfId="5" applyFont="1" applyFill="1" applyAlignment="1">
      <alignment horizontal="center" vertical="center"/>
    </xf>
    <xf numFmtId="0" fontId="216" fillId="13" borderId="0" xfId="1" applyFont="1" applyFill="1" applyAlignment="1">
      <alignment horizontal="right" vertical="center"/>
    </xf>
    <xf numFmtId="0" fontId="136" fillId="77" borderId="0" xfId="1" applyFont="1" applyFill="1" applyAlignment="1">
      <alignment horizontal="right" vertical="center"/>
    </xf>
    <xf numFmtId="0" fontId="182" fillId="10" borderId="0" xfId="1" applyFont="1" applyFill="1" applyAlignment="1">
      <alignment vertical="center"/>
    </xf>
    <xf numFmtId="0" fontId="217" fillId="115" borderId="6" xfId="5" applyFont="1" applyFill="1" applyBorder="1" applyAlignment="1">
      <alignment horizontal="center" vertical="center"/>
    </xf>
    <xf numFmtId="0" fontId="218" fillId="112" borderId="5" xfId="11" applyFont="1" applyFill="1" applyBorder="1" applyAlignment="1">
      <alignment horizontal="left" vertical="center"/>
    </xf>
    <xf numFmtId="0" fontId="218" fillId="112" borderId="5" xfId="11" applyFont="1" applyFill="1" applyBorder="1" applyAlignment="1">
      <alignment horizontal="center" vertical="center"/>
    </xf>
    <xf numFmtId="1" fontId="218" fillId="112" borderId="5" xfId="11" applyNumberFormat="1" applyFont="1" applyFill="1" applyBorder="1" applyAlignment="1">
      <alignment horizontal="center" vertical="center"/>
    </xf>
    <xf numFmtId="0" fontId="219" fillId="112" borderId="5" xfId="5" applyFont="1" applyFill="1" applyBorder="1" applyAlignment="1">
      <alignment horizontal="left" vertical="center" wrapText="1"/>
    </xf>
    <xf numFmtId="0" fontId="37" fillId="112" borderId="5" xfId="5" applyFont="1" applyFill="1" applyBorder="1" applyAlignment="1">
      <alignment horizontal="center" vertical="center" wrapText="1"/>
    </xf>
    <xf numFmtId="0" fontId="141" fillId="77" borderId="0" xfId="1" applyFont="1" applyFill="1" applyAlignment="1">
      <alignment vertical="center"/>
    </xf>
    <xf numFmtId="0" fontId="138" fillId="10" borderId="0" xfId="1" applyFont="1" applyFill="1" applyAlignment="1">
      <alignment vertical="center"/>
    </xf>
    <xf numFmtId="0" fontId="222" fillId="112" borderId="8" xfId="31" applyFont="1" applyFill="1" applyBorder="1" applyAlignment="1">
      <alignment horizontal="center" vertical="center"/>
    </xf>
    <xf numFmtId="0" fontId="218" fillId="112" borderId="0" xfId="11" applyFont="1" applyFill="1" applyAlignment="1">
      <alignment horizontal="right" vertical="center"/>
    </xf>
    <xf numFmtId="0" fontId="218" fillId="112" borderId="0" xfId="11" applyFont="1" applyFill="1" applyAlignment="1">
      <alignment horizontal="center" vertical="center"/>
    </xf>
    <xf numFmtId="1" fontId="218" fillId="112" borderId="0" xfId="11" applyNumberFormat="1" applyFont="1" applyFill="1" applyAlignment="1">
      <alignment horizontal="center" vertical="center"/>
    </xf>
    <xf numFmtId="0" fontId="223" fillId="112" borderId="0" xfId="1" applyFont="1" applyFill="1" applyAlignment="1">
      <alignment horizontal="center" vertical="center" wrapText="1"/>
    </xf>
    <xf numFmtId="0" fontId="224" fillId="112" borderId="0" xfId="5" applyFont="1" applyFill="1" applyAlignment="1">
      <alignment horizontal="center" vertical="center" wrapText="1"/>
    </xf>
    <xf numFmtId="0" fontId="139" fillId="77" borderId="0" xfId="1" applyFont="1" applyFill="1" applyAlignment="1">
      <alignment horizontal="left" wrapText="1"/>
    </xf>
    <xf numFmtId="0" fontId="3" fillId="77" borderId="0" xfId="1" applyFill="1" applyAlignment="1">
      <alignment horizontal="left" vertical="center"/>
    </xf>
    <xf numFmtId="0" fontId="218" fillId="116" borderId="0" xfId="31" applyFont="1" applyFill="1" applyAlignment="1">
      <alignment horizontal="left" vertical="center"/>
    </xf>
    <xf numFmtId="0" fontId="218" fillId="116" borderId="0" xfId="31" applyFont="1" applyFill="1" applyAlignment="1">
      <alignment horizontal="right" vertical="center"/>
    </xf>
    <xf numFmtId="1" fontId="218" fillId="116" borderId="0" xfId="31" applyNumberFormat="1" applyFont="1" applyFill="1" applyAlignment="1">
      <alignment horizontal="right" vertical="center"/>
    </xf>
    <xf numFmtId="0" fontId="217" fillId="77" borderId="0" xfId="5" applyFont="1" applyFill="1" applyAlignment="1">
      <alignment horizontal="left" vertical="center"/>
    </xf>
    <xf numFmtId="0" fontId="32" fillId="77" borderId="0" xfId="5" applyFont="1" applyFill="1" applyAlignment="1">
      <alignment horizontal="right" vertical="center"/>
    </xf>
    <xf numFmtId="0" fontId="4" fillId="77" borderId="0" xfId="5" applyFont="1" applyFill="1" applyAlignment="1">
      <alignment vertical="center"/>
    </xf>
    <xf numFmtId="0" fontId="20" fillId="77" borderId="0" xfId="46" applyFont="1" applyFill="1" applyAlignment="1">
      <alignment horizontal="right" vertical="center"/>
    </xf>
    <xf numFmtId="0" fontId="226" fillId="77" borderId="0" xfId="46" applyFont="1" applyFill="1" applyAlignment="1">
      <alignment vertical="center"/>
    </xf>
    <xf numFmtId="0" fontId="3" fillId="77" borderId="0" xfId="1" applyFill="1" applyAlignment="1">
      <alignment vertical="center"/>
    </xf>
    <xf numFmtId="0" fontId="224" fillId="77" borderId="0" xfId="13" applyFont="1" applyFill="1" applyAlignment="1">
      <alignment horizontal="left" vertical="center"/>
    </xf>
    <xf numFmtId="0" fontId="11" fillId="77" borderId="0" xfId="1" applyFont="1" applyFill="1" applyAlignment="1">
      <alignment horizontal="right" vertical="center"/>
    </xf>
    <xf numFmtId="0" fontId="7" fillId="77" borderId="9" xfId="1" applyFont="1" applyFill="1" applyBorder="1" applyAlignment="1">
      <alignment horizontal="right" vertical="center"/>
    </xf>
    <xf numFmtId="0" fontId="215" fillId="13" borderId="0" xfId="1" applyFont="1" applyFill="1" applyAlignment="1">
      <alignment horizontal="center" vertical="center"/>
    </xf>
    <xf numFmtId="0" fontId="227" fillId="77" borderId="0" xfId="1" applyFont="1" applyFill="1" applyAlignment="1">
      <alignment horizontal="left" vertical="center"/>
    </xf>
    <xf numFmtId="0" fontId="164" fillId="77" borderId="0" xfId="46" applyFont="1" applyFill="1" applyAlignment="1">
      <alignment vertical="center"/>
    </xf>
    <xf numFmtId="0" fontId="224" fillId="77" borderId="0" xfId="32" applyFont="1" applyFill="1" applyAlignment="1">
      <alignment horizontal="right" vertical="center"/>
    </xf>
    <xf numFmtId="0" fontId="182" fillId="77" borderId="0" xfId="1" applyFont="1" applyFill="1" applyAlignment="1">
      <alignment horizontal="right" vertical="center"/>
    </xf>
    <xf numFmtId="1" fontId="41" fillId="70" borderId="0" xfId="5" applyNumberFormat="1" applyFont="1" applyFill="1" applyAlignment="1">
      <alignment horizontal="center" vertical="center"/>
    </xf>
    <xf numFmtId="0" fontId="20" fillId="77" borderId="9" xfId="1" applyFont="1" applyFill="1" applyBorder="1" applyAlignment="1">
      <alignment vertical="center" wrapText="1"/>
    </xf>
    <xf numFmtId="0" fontId="139" fillId="77" borderId="0" xfId="1" applyFont="1" applyFill="1" applyAlignment="1">
      <alignment vertical="top"/>
    </xf>
    <xf numFmtId="0" fontId="4" fillId="13" borderId="0" xfId="1" applyFont="1" applyFill="1" applyAlignment="1">
      <alignment horizontal="center" vertical="center"/>
    </xf>
    <xf numFmtId="0" fontId="228" fillId="85" borderId="0" xfId="5" applyFont="1" applyFill="1" applyAlignment="1">
      <alignment horizontal="center" vertical="center"/>
    </xf>
    <xf numFmtId="0" fontId="227" fillId="85" borderId="0" xfId="5" applyFont="1" applyFill="1" applyAlignment="1">
      <alignment horizontal="left" vertical="center"/>
    </xf>
    <xf numFmtId="0" fontId="139" fillId="77" borderId="0" xfId="1" applyFont="1" applyFill="1" applyAlignment="1">
      <alignment horizontal="center" vertical="center"/>
    </xf>
    <xf numFmtId="0" fontId="139" fillId="77" borderId="9" xfId="1" applyFont="1" applyFill="1" applyBorder="1" applyAlignment="1">
      <alignment horizontal="center" vertical="center"/>
    </xf>
    <xf numFmtId="199" fontId="229" fillId="77" borderId="0" xfId="1" applyNumberFormat="1" applyFont="1" applyFill="1" applyAlignment="1">
      <alignment horizontal="right" vertical="center"/>
    </xf>
    <xf numFmtId="199" fontId="230" fillId="77" borderId="0" xfId="1" applyNumberFormat="1" applyFont="1" applyFill="1" applyAlignment="1">
      <alignment horizontal="right" vertical="center"/>
    </xf>
    <xf numFmtId="4" fontId="3" fillId="117" borderId="0" xfId="1" applyNumberFormat="1" applyFill="1" applyAlignment="1">
      <alignment horizontal="left" vertical="center"/>
    </xf>
    <xf numFmtId="164" fontId="231" fillId="68" borderId="0" xfId="1" applyNumberFormat="1" applyFont="1" applyFill="1" applyAlignment="1">
      <alignment horizontal="center" vertical="center"/>
    </xf>
    <xf numFmtId="0" fontId="232" fillId="77" borderId="0" xfId="32" applyFont="1" applyFill="1" applyAlignment="1">
      <alignment horizontal="left" vertical="center"/>
    </xf>
    <xf numFmtId="0" fontId="3" fillId="77" borderId="0" xfId="32" applyFill="1" applyAlignment="1">
      <alignment horizontal="left" vertical="center"/>
    </xf>
    <xf numFmtId="0" fontId="3" fillId="77" borderId="0" xfId="32" applyFill="1" applyAlignment="1">
      <alignment vertical="center" wrapText="1"/>
    </xf>
    <xf numFmtId="0" fontId="233" fillId="77" borderId="0" xfId="5" applyFont="1" applyFill="1" applyAlignment="1">
      <alignment horizontal="right" vertical="center"/>
    </xf>
    <xf numFmtId="164" fontId="164" fillId="70" borderId="0" xfId="5" applyNumberFormat="1" applyFont="1" applyFill="1" applyAlignment="1">
      <alignment horizontal="center" vertical="center"/>
    </xf>
    <xf numFmtId="0" fontId="234" fillId="70" borderId="9" xfId="5" applyFont="1" applyFill="1" applyBorder="1" applyAlignment="1">
      <alignment horizontal="left" vertical="center"/>
    </xf>
    <xf numFmtId="0" fontId="235" fillId="118" borderId="52" xfId="31" applyFont="1" applyFill="1" applyBorder="1" applyAlignment="1">
      <alignment horizontal="left" vertical="center"/>
    </xf>
    <xf numFmtId="0" fontId="235" fillId="118" borderId="52" xfId="31" applyFont="1" applyFill="1" applyBorder="1" applyAlignment="1">
      <alignment horizontal="right" vertical="center"/>
    </xf>
    <xf numFmtId="1" fontId="235" fillId="118" borderId="52" xfId="31" applyNumberFormat="1" applyFont="1" applyFill="1" applyBorder="1" applyAlignment="1">
      <alignment horizontal="right" vertical="center"/>
    </xf>
    <xf numFmtId="0" fontId="236" fillId="111" borderId="52" xfId="1" applyFont="1" applyFill="1" applyBorder="1" applyAlignment="1">
      <alignment horizontal="left" vertical="center"/>
    </xf>
    <xf numFmtId="0" fontId="236" fillId="111" borderId="52" xfId="28" applyFont="1" applyFill="1" applyBorder="1" applyAlignment="1">
      <alignment horizontal="right" vertical="center"/>
    </xf>
    <xf numFmtId="0" fontId="237" fillId="111" borderId="52" xfId="1" applyFont="1" applyFill="1" applyBorder="1" applyAlignment="1">
      <alignment horizontal="right" vertical="center"/>
    </xf>
    <xf numFmtId="0" fontId="238" fillId="85" borderId="52" xfId="1" applyFont="1" applyFill="1" applyBorder="1" applyAlignment="1">
      <alignment horizontal="left" vertical="center"/>
    </xf>
    <xf numFmtId="0" fontId="239" fillId="77" borderId="52" xfId="1" applyFont="1" applyFill="1" applyBorder="1" applyAlignment="1">
      <alignment vertical="center"/>
    </xf>
    <xf numFmtId="0" fontId="3" fillId="77" borderId="52" xfId="1" applyFill="1" applyBorder="1" applyAlignment="1">
      <alignment vertical="center"/>
    </xf>
    <xf numFmtId="0" fontId="74" fillId="77" borderId="53" xfId="1" applyFont="1" applyFill="1" applyBorder="1" applyAlignment="1">
      <alignment horizontal="right" vertical="center"/>
    </xf>
    <xf numFmtId="0" fontId="6" fillId="13" borderId="0" xfId="42" applyFont="1" applyFill="1" applyAlignment="1">
      <alignment horizontal="center" vertical="top"/>
    </xf>
    <xf numFmtId="0" fontId="240" fillId="112" borderId="15" xfId="31" applyFont="1" applyFill="1" applyBorder="1" applyAlignment="1">
      <alignment horizontal="left" vertical="center"/>
    </xf>
    <xf numFmtId="1" fontId="240" fillId="112" borderId="15" xfId="31" applyNumberFormat="1" applyFont="1" applyFill="1" applyBorder="1" applyAlignment="1">
      <alignment horizontal="left" vertical="center"/>
    </xf>
    <xf numFmtId="0" fontId="241" fillId="112" borderId="15" xfId="28" applyFont="1" applyFill="1" applyBorder="1" applyAlignment="1">
      <alignment horizontal="center" vertical="center"/>
    </xf>
    <xf numFmtId="0" fontId="137" fillId="119" borderId="15" xfId="28" applyFont="1" applyFill="1" applyBorder="1" applyAlignment="1">
      <alignment horizontal="center" vertical="center"/>
    </xf>
    <xf numFmtId="0" fontId="242" fillId="77" borderId="13" xfId="28" applyFont="1" applyFill="1" applyBorder="1" applyAlignment="1">
      <alignment horizontal="center" vertical="center"/>
    </xf>
    <xf numFmtId="0" fontId="241" fillId="112" borderId="54" xfId="28" applyFont="1" applyFill="1" applyBorder="1" applyAlignment="1">
      <alignment horizontal="center" vertical="center"/>
    </xf>
    <xf numFmtId="0" fontId="4" fillId="13" borderId="0" xfId="42" applyFont="1" applyFill="1" applyAlignment="1">
      <alignment horizontal="center"/>
    </xf>
    <xf numFmtId="0" fontId="37" fillId="116" borderId="16" xfId="5" applyFont="1" applyFill="1" applyBorder="1" applyAlignment="1">
      <alignment horizontal="center" vertical="center"/>
    </xf>
    <xf numFmtId="0" fontId="238" fillId="116" borderId="0" xfId="5" applyFont="1" applyFill="1" applyAlignment="1">
      <alignment horizontal="center" vertical="center"/>
    </xf>
    <xf numFmtId="0" fontId="243" fillId="111" borderId="0" xfId="5" applyFont="1" applyFill="1" applyAlignment="1">
      <alignment horizontal="center" vertical="center"/>
    </xf>
    <xf numFmtId="0" fontId="137" fillId="77" borderId="0" xfId="5" applyFont="1" applyFill="1" applyAlignment="1">
      <alignment horizontal="center" vertical="center"/>
    </xf>
    <xf numFmtId="200" fontId="37" fillId="120" borderId="17" xfId="5" applyNumberFormat="1" applyFont="1" applyFill="1" applyBorder="1" applyAlignment="1">
      <alignment horizontal="center" vertical="center"/>
    </xf>
    <xf numFmtId="200" fontId="37" fillId="120" borderId="0" xfId="5" applyNumberFormat="1" applyFont="1" applyFill="1" applyAlignment="1">
      <alignment horizontal="center" vertical="center"/>
    </xf>
    <xf numFmtId="200" fontId="37" fillId="120" borderId="2" xfId="5" applyNumberFormat="1" applyFont="1" applyFill="1" applyBorder="1" applyAlignment="1">
      <alignment horizontal="center" vertical="center"/>
    </xf>
    <xf numFmtId="0" fontId="37" fillId="116" borderId="55" xfId="5" applyFont="1" applyFill="1" applyBorder="1" applyAlignment="1">
      <alignment horizontal="center" vertical="center"/>
    </xf>
    <xf numFmtId="0" fontId="37" fillId="116" borderId="13" xfId="13" applyFont="1" applyFill="1" applyBorder="1" applyAlignment="1">
      <alignment horizontal="center" vertical="center"/>
    </xf>
    <xf numFmtId="0" fontId="224" fillId="111" borderId="13" xfId="30" applyFont="1" applyFill="1" applyBorder="1" applyAlignment="1">
      <alignment horizontal="center" vertical="center"/>
    </xf>
    <xf numFmtId="0" fontId="137" fillId="77" borderId="13" xfId="1" applyFont="1" applyFill="1" applyBorder="1" applyAlignment="1">
      <alignment horizontal="center" vertical="center"/>
    </xf>
    <xf numFmtId="0" fontId="137" fillId="77" borderId="1" xfId="1" applyFont="1" applyFill="1" applyBorder="1" applyAlignment="1">
      <alignment horizontal="center" vertical="center"/>
    </xf>
    <xf numFmtId="0" fontId="156" fillId="77" borderId="13" xfId="34" applyFont="1" applyFill="1" applyBorder="1" applyAlignment="1">
      <alignment horizontal="right" vertical="center"/>
    </xf>
    <xf numFmtId="201" fontId="246" fillId="77" borderId="1" xfId="5" applyNumberFormat="1" applyFont="1" applyFill="1" applyBorder="1" applyAlignment="1">
      <alignment horizontal="left" vertical="center"/>
    </xf>
    <xf numFmtId="164" fontId="247" fillId="121" borderId="57" xfId="5" applyNumberFormat="1" applyFont="1" applyFill="1" applyBorder="1" applyAlignment="1">
      <alignment horizontal="center" vertical="center"/>
    </xf>
    <xf numFmtId="1" fontId="247" fillId="85" borderId="58" xfId="5" applyNumberFormat="1" applyFont="1" applyFill="1" applyBorder="1" applyAlignment="1">
      <alignment horizontal="center" vertical="center"/>
    </xf>
    <xf numFmtId="0" fontId="224" fillId="111" borderId="0" xfId="30" applyFont="1" applyFill="1" applyAlignment="1">
      <alignment horizontal="center" vertical="center"/>
    </xf>
    <xf numFmtId="1" fontId="248" fillId="85" borderId="58" xfId="5" applyNumberFormat="1" applyFont="1" applyFill="1" applyBorder="1" applyAlignment="1">
      <alignment horizontal="center" vertical="center"/>
    </xf>
    <xf numFmtId="0" fontId="249" fillId="77" borderId="59" xfId="5" applyFont="1" applyFill="1" applyBorder="1" applyAlignment="1">
      <alignment horizontal="center" vertical="center"/>
    </xf>
    <xf numFmtId="164" fontId="250" fillId="85" borderId="60" xfId="5" applyNumberFormat="1" applyFont="1" applyFill="1" applyBorder="1" applyAlignment="1">
      <alignment horizontal="center" vertical="center"/>
    </xf>
    <xf numFmtId="0" fontId="159" fillId="77" borderId="14" xfId="5" applyFont="1" applyFill="1" applyBorder="1" applyAlignment="1">
      <alignment horizontal="right" vertical="center"/>
    </xf>
    <xf numFmtId="0" fontId="251" fillId="0" borderId="0" xfId="5" applyFont="1" applyAlignment="1">
      <alignment horizontal="right" vertical="center"/>
    </xf>
    <xf numFmtId="0" fontId="41" fillId="122" borderId="2" xfId="5" applyFont="1" applyFill="1" applyBorder="1" applyAlignment="1">
      <alignment horizontal="center" vertical="center"/>
    </xf>
    <xf numFmtId="202" fontId="20" fillId="122" borderId="0" xfId="5" applyNumberFormat="1" applyFont="1" applyFill="1" applyAlignment="1">
      <alignment horizontal="center" vertical="center"/>
    </xf>
    <xf numFmtId="2" fontId="3" fillId="122" borderId="17" xfId="29" applyNumberFormat="1" applyFill="1" applyBorder="1" applyAlignment="1">
      <alignment horizontal="center" vertical="center"/>
    </xf>
    <xf numFmtId="166" fontId="252" fillId="111" borderId="0" xfId="5" applyNumberFormat="1" applyFont="1" applyFill="1" applyAlignment="1">
      <alignment horizontal="center" vertical="center"/>
    </xf>
    <xf numFmtId="203" fontId="20" fillId="123" borderId="108" xfId="5" applyNumberFormat="1" applyFont="1" applyFill="1" applyBorder="1" applyAlignment="1">
      <alignment horizontal="center" vertical="center"/>
    </xf>
    <xf numFmtId="1" fontId="37" fillId="123" borderId="109" xfId="5" applyNumberFormat="1" applyFont="1" applyFill="1" applyBorder="1" applyAlignment="1">
      <alignment horizontal="left" vertical="center"/>
    </xf>
    <xf numFmtId="166" fontId="20" fillId="113" borderId="0" xfId="5" applyNumberFormat="1" applyFont="1" applyFill="1" applyAlignment="1">
      <alignment horizontal="center" vertical="center"/>
    </xf>
    <xf numFmtId="1" fontId="159" fillId="123" borderId="110" xfId="5" applyNumberFormat="1" applyFont="1" applyFill="1" applyBorder="1" applyAlignment="1">
      <alignment horizontal="center" vertical="center"/>
    </xf>
    <xf numFmtId="0" fontId="4" fillId="13" borderId="0" xfId="1" applyFont="1" applyFill="1" applyAlignment="1">
      <alignment vertical="center"/>
    </xf>
    <xf numFmtId="0" fontId="251" fillId="0" borderId="0" xfId="5" applyFont="1" applyAlignment="1">
      <alignment horizontal="left" vertical="center"/>
    </xf>
    <xf numFmtId="1" fontId="247" fillId="85" borderId="61" xfId="5" applyNumberFormat="1" applyFont="1" applyFill="1" applyBorder="1" applyAlignment="1">
      <alignment horizontal="center" vertical="center"/>
    </xf>
    <xf numFmtId="0" fontId="249" fillId="113" borderId="59" xfId="5" applyFont="1" applyFill="1" applyBorder="1" applyAlignment="1">
      <alignment horizontal="center" vertical="center"/>
    </xf>
    <xf numFmtId="0" fontId="159" fillId="77" borderId="16" xfId="5" applyFont="1" applyFill="1" applyBorder="1" applyAlignment="1">
      <alignment horizontal="right" vertical="center"/>
    </xf>
    <xf numFmtId="0" fontId="253" fillId="122" borderId="2" xfId="5" applyFont="1" applyFill="1" applyBorder="1" applyAlignment="1">
      <alignment horizontal="center" vertical="center"/>
    </xf>
    <xf numFmtId="2" fontId="3" fillId="122" borderId="2" xfId="29" applyNumberFormat="1" applyFill="1" applyBorder="1" applyAlignment="1">
      <alignment horizontal="center" vertical="center"/>
    </xf>
    <xf numFmtId="203" fontId="20" fillId="77" borderId="111" xfId="5" applyNumberFormat="1" applyFont="1" applyFill="1" applyBorder="1" applyAlignment="1">
      <alignment horizontal="center" vertical="center"/>
    </xf>
    <xf numFmtId="0" fontId="37" fillId="77" borderId="112" xfId="5" applyFont="1" applyFill="1" applyBorder="1" applyAlignment="1">
      <alignment horizontal="left" vertical="center"/>
    </xf>
    <xf numFmtId="1" fontId="159" fillId="77" borderId="9" xfId="5" applyNumberFormat="1" applyFont="1" applyFill="1" applyBorder="1" applyAlignment="1">
      <alignment horizontal="center" vertical="center"/>
    </xf>
    <xf numFmtId="0" fontId="4" fillId="2" borderId="0" xfId="42" applyFont="1" applyFill="1" applyAlignment="1">
      <alignment horizontal="center" vertical="center"/>
    </xf>
    <xf numFmtId="0" fontId="213" fillId="124" borderId="8" xfId="33" applyFont="1" applyFill="1" applyBorder="1" applyAlignment="1">
      <alignment horizontal="center" vertical="center"/>
    </xf>
    <xf numFmtId="203" fontId="20" fillId="123" borderId="111" xfId="5" applyNumberFormat="1" applyFont="1" applyFill="1" applyBorder="1" applyAlignment="1">
      <alignment horizontal="center" vertical="center"/>
    </xf>
    <xf numFmtId="0" fontId="37" fillId="123" borderId="112" xfId="5" applyFont="1" applyFill="1" applyBorder="1" applyAlignment="1">
      <alignment horizontal="left" vertical="center"/>
    </xf>
    <xf numFmtId="1" fontId="159" fillId="123" borderId="113" xfId="5" applyNumberFormat="1" applyFont="1" applyFill="1" applyBorder="1" applyAlignment="1">
      <alignment horizontal="center" vertical="center"/>
    </xf>
    <xf numFmtId="0" fontId="4" fillId="13" borderId="0" xfId="42" applyFont="1" applyFill="1" applyAlignment="1">
      <alignment horizontal="center" vertical="center"/>
    </xf>
    <xf numFmtId="0" fontId="164" fillId="10" borderId="0" xfId="5" applyFont="1" applyFill="1" applyAlignment="1">
      <alignment vertical="center"/>
    </xf>
    <xf numFmtId="1" fontId="159" fillId="123" borderId="114" xfId="5" applyNumberFormat="1" applyFont="1" applyFill="1" applyBorder="1" applyAlignment="1">
      <alignment horizontal="center" vertical="center"/>
    </xf>
    <xf numFmtId="0" fontId="3" fillId="0" borderId="0" xfId="1" applyAlignment="1">
      <alignment horizontal="center" vertical="center"/>
    </xf>
    <xf numFmtId="164" fontId="247" fillId="121" borderId="55" xfId="5" applyNumberFormat="1" applyFont="1" applyFill="1" applyBorder="1" applyAlignment="1">
      <alignment horizontal="center" vertical="center"/>
    </xf>
    <xf numFmtId="1" fontId="247" fillId="85" borderId="62" xfId="5" applyNumberFormat="1" applyFont="1" applyFill="1" applyBorder="1" applyAlignment="1">
      <alignment horizontal="center" vertical="center"/>
    </xf>
    <xf numFmtId="1" fontId="248" fillId="85" borderId="13" xfId="5" applyNumberFormat="1" applyFont="1" applyFill="1" applyBorder="1" applyAlignment="1">
      <alignment horizontal="center" vertical="center"/>
    </xf>
    <xf numFmtId="164" fontId="250" fillId="85" borderId="1" xfId="5" applyNumberFormat="1" applyFont="1" applyFill="1" applyBorder="1" applyAlignment="1">
      <alignment horizontal="center" vertical="center"/>
    </xf>
    <xf numFmtId="1" fontId="159" fillId="123" borderId="63" xfId="5" applyNumberFormat="1" applyFont="1" applyFill="1" applyBorder="1" applyAlignment="1">
      <alignment horizontal="center" vertical="center"/>
    </xf>
    <xf numFmtId="0" fontId="139" fillId="111" borderId="0" xfId="1" applyFont="1" applyFill="1" applyAlignment="1">
      <alignment vertical="center"/>
    </xf>
    <xf numFmtId="0" fontId="3" fillId="111" borderId="0" xfId="1" applyFill="1" applyAlignment="1">
      <alignment vertical="center"/>
    </xf>
    <xf numFmtId="0" fontId="138" fillId="111" borderId="0" xfId="1" applyFont="1" applyFill="1" applyAlignment="1">
      <alignment horizontal="right" vertical="center"/>
    </xf>
    <xf numFmtId="0" fontId="136" fillId="111" borderId="0" xfId="1" applyFont="1" applyFill="1" applyAlignment="1">
      <alignment horizontal="center" vertical="center"/>
    </xf>
    <xf numFmtId="199" fontId="137" fillId="111" borderId="0" xfId="5" applyNumberFormat="1" applyFont="1" applyFill="1" applyAlignment="1">
      <alignment horizontal="center" vertical="center"/>
    </xf>
    <xf numFmtId="0" fontId="137" fillId="111" borderId="0" xfId="1" applyFont="1" applyFill="1" applyAlignment="1">
      <alignment horizontal="right" vertical="center"/>
    </xf>
    <xf numFmtId="199" fontId="137" fillId="111" borderId="13" xfId="5" applyNumberFormat="1" applyFont="1" applyFill="1" applyBorder="1" applyAlignment="1">
      <alignment horizontal="center" vertical="center"/>
    </xf>
    <xf numFmtId="199" fontId="137" fillId="111" borderId="9" xfId="5" applyNumberFormat="1" applyFont="1" applyFill="1" applyBorder="1" applyAlignment="1">
      <alignment horizontal="center" vertical="center"/>
    </xf>
    <xf numFmtId="0" fontId="249" fillId="86" borderId="59" xfId="5" applyFont="1" applyFill="1" applyBorder="1" applyAlignment="1">
      <alignment horizontal="center" vertical="center"/>
    </xf>
    <xf numFmtId="0" fontId="254" fillId="111" borderId="59" xfId="5" applyFont="1" applyFill="1" applyBorder="1" applyAlignment="1">
      <alignment horizontal="center" vertical="center"/>
    </xf>
    <xf numFmtId="0" fontId="156" fillId="125" borderId="59" xfId="5" applyFont="1" applyFill="1" applyBorder="1" applyAlignment="1">
      <alignment horizontal="center" vertical="center"/>
    </xf>
    <xf numFmtId="0" fontId="156" fillId="86" borderId="59" xfId="5" applyFont="1" applyFill="1" applyBorder="1" applyAlignment="1">
      <alignment horizontal="center" vertical="center"/>
    </xf>
    <xf numFmtId="0" fontId="249" fillId="126" borderId="59" xfId="5" applyFont="1" applyFill="1" applyBorder="1" applyAlignment="1">
      <alignment horizontal="center" vertical="center"/>
    </xf>
    <xf numFmtId="0" fontId="255" fillId="127" borderId="59" xfId="5" applyFont="1" applyFill="1" applyBorder="1" applyAlignment="1">
      <alignment horizontal="center" vertical="center"/>
    </xf>
    <xf numFmtId="0" fontId="255" fillId="127" borderId="64" xfId="5" applyFont="1" applyFill="1" applyBorder="1" applyAlignment="1">
      <alignment horizontal="center" vertical="center"/>
    </xf>
    <xf numFmtId="169" fontId="256" fillId="117" borderId="64" xfId="1" applyNumberFormat="1" applyFont="1" applyFill="1" applyBorder="1" applyAlignment="1">
      <alignment horizontal="center" vertical="center"/>
    </xf>
    <xf numFmtId="169" fontId="256" fillId="117" borderId="21" xfId="1" applyNumberFormat="1" applyFont="1" applyFill="1" applyBorder="1" applyAlignment="1">
      <alignment horizontal="center" vertical="center"/>
    </xf>
    <xf numFmtId="0" fontId="256" fillId="117" borderId="21" xfId="1" applyFont="1" applyFill="1" applyBorder="1" applyAlignment="1">
      <alignment horizontal="center" vertical="center"/>
    </xf>
    <xf numFmtId="170" fontId="256" fillId="117" borderId="21" xfId="1" applyNumberFormat="1" applyFont="1" applyFill="1" applyBorder="1" applyAlignment="1">
      <alignment horizontal="center" vertical="center"/>
    </xf>
    <xf numFmtId="170" fontId="256" fillId="117" borderId="59" xfId="1" applyNumberFormat="1" applyFont="1" applyFill="1" applyBorder="1" applyAlignment="1">
      <alignment horizontal="center" vertical="center"/>
    </xf>
    <xf numFmtId="0" fontId="247" fillId="85" borderId="59" xfId="5" applyFont="1" applyFill="1" applyBorder="1" applyAlignment="1">
      <alignment horizontal="left" vertical="center"/>
    </xf>
    <xf numFmtId="1" fontId="232" fillId="128" borderId="59" xfId="5" applyNumberFormat="1" applyFont="1" applyFill="1" applyBorder="1" applyAlignment="1">
      <alignment horizontal="center" vertical="center"/>
    </xf>
    <xf numFmtId="1" fontId="232" fillId="128" borderId="59" xfId="5" applyNumberFormat="1" applyFont="1" applyFill="1" applyBorder="1" applyAlignment="1">
      <alignment horizontal="left" vertical="center"/>
    </xf>
    <xf numFmtId="1" fontId="257" fillId="129" borderId="64" xfId="5" applyNumberFormat="1" applyFont="1" applyFill="1" applyBorder="1" applyAlignment="1">
      <alignment horizontal="center" vertical="center"/>
    </xf>
    <xf numFmtId="1" fontId="257" fillId="129" borderId="59" xfId="5" applyNumberFormat="1" applyFont="1" applyFill="1" applyBorder="1" applyAlignment="1">
      <alignment horizontal="center" vertical="center"/>
    </xf>
    <xf numFmtId="1" fontId="258" fillId="129" borderId="59" xfId="5" applyNumberFormat="1" applyFont="1" applyFill="1" applyBorder="1" applyAlignment="1">
      <alignment horizontal="center" vertical="center"/>
    </xf>
    <xf numFmtId="169" fontId="256" fillId="117" borderId="14" xfId="1" applyNumberFormat="1" applyFont="1" applyFill="1" applyBorder="1" applyAlignment="1">
      <alignment horizontal="center" vertical="center"/>
    </xf>
    <xf numFmtId="169" fontId="256" fillId="117" borderId="18" xfId="1" applyNumberFormat="1" applyFont="1" applyFill="1" applyBorder="1" applyAlignment="1">
      <alignment horizontal="center" vertical="center"/>
    </xf>
    <xf numFmtId="0" fontId="256" fillId="117" borderId="18" xfId="1" applyFont="1" applyFill="1" applyBorder="1" applyAlignment="1">
      <alignment horizontal="center" vertical="center"/>
    </xf>
    <xf numFmtId="170" fontId="256" fillId="117" borderId="18" xfId="1" applyNumberFormat="1" applyFont="1" applyFill="1" applyBorder="1" applyAlignment="1">
      <alignment horizontal="center" vertical="center"/>
    </xf>
    <xf numFmtId="0" fontId="260" fillId="112" borderId="18" xfId="42" applyFont="1" applyFill="1" applyBorder="1" applyAlignment="1">
      <alignment horizontal="center" vertical="center"/>
    </xf>
    <xf numFmtId="0" fontId="260" fillId="112" borderId="20" xfId="42" applyFont="1" applyFill="1" applyBorder="1" applyAlignment="1">
      <alignment horizontal="center" vertical="center"/>
    </xf>
    <xf numFmtId="0" fontId="261" fillId="112" borderId="13" xfId="5" applyFont="1" applyFill="1" applyBorder="1" applyAlignment="1">
      <alignment horizontal="center" vertical="center"/>
    </xf>
    <xf numFmtId="0" fontId="261" fillId="112" borderId="24" xfId="5" applyFont="1" applyFill="1" applyBorder="1" applyAlignment="1">
      <alignment horizontal="center" vertical="center"/>
    </xf>
    <xf numFmtId="0" fontId="20" fillId="130" borderId="8" xfId="31" applyFont="1" applyFill="1" applyBorder="1" applyAlignment="1">
      <alignment horizontal="center" vertical="center"/>
    </xf>
    <xf numFmtId="0" fontId="214" fillId="114" borderId="18" xfId="31" applyFont="1" applyFill="1" applyBorder="1" applyAlignment="1">
      <alignment horizontal="right" vertical="center"/>
    </xf>
    <xf numFmtId="0" fontId="214" fillId="114" borderId="18" xfId="31" applyFont="1" applyFill="1" applyBorder="1" applyAlignment="1">
      <alignment horizontal="left" vertical="center"/>
    </xf>
    <xf numFmtId="1" fontId="214" fillId="114" borderId="18" xfId="31" applyNumberFormat="1" applyFont="1" applyFill="1" applyBorder="1" applyAlignment="1">
      <alignment horizontal="right" vertical="center"/>
    </xf>
    <xf numFmtId="0" fontId="3" fillId="114" borderId="18" xfId="1" applyFill="1" applyBorder="1" applyAlignment="1">
      <alignment vertical="center"/>
    </xf>
    <xf numFmtId="0" fontId="215" fillId="79" borderId="18" xfId="1" applyFont="1" applyFill="1" applyBorder="1" applyAlignment="1">
      <alignment horizontal="right" vertical="center"/>
    </xf>
    <xf numFmtId="0" fontId="159" fillId="131" borderId="0" xfId="5" applyFont="1" applyFill="1" applyAlignment="1">
      <alignment vertical="center"/>
    </xf>
    <xf numFmtId="0" fontId="3" fillId="131" borderId="0" xfId="32" applyFill="1" applyAlignment="1">
      <alignment vertical="center"/>
    </xf>
    <xf numFmtId="0" fontId="262" fillId="131" borderId="0" xfId="1" applyFont="1" applyFill="1" applyAlignment="1">
      <alignment vertical="center"/>
    </xf>
    <xf numFmtId="0" fontId="3" fillId="131" borderId="0" xfId="1" applyFill="1" applyAlignment="1">
      <alignment vertical="center"/>
    </xf>
    <xf numFmtId="0" fontId="159" fillId="131" borderId="0" xfId="28" applyFont="1" applyFill="1" applyAlignment="1">
      <alignment horizontal="right" vertical="center"/>
    </xf>
    <xf numFmtId="0" fontId="159" fillId="131" borderId="9" xfId="5" applyFont="1" applyFill="1" applyBorder="1" applyAlignment="1">
      <alignment horizontal="right" vertical="center"/>
    </xf>
    <xf numFmtId="0" fontId="235" fillId="131" borderId="0" xfId="31" applyFont="1" applyFill="1" applyAlignment="1">
      <alignment horizontal="right" vertical="center"/>
    </xf>
    <xf numFmtId="0" fontId="235" fillId="131" borderId="0" xfId="31" applyFont="1" applyFill="1" applyAlignment="1">
      <alignment horizontal="left" vertical="center"/>
    </xf>
    <xf numFmtId="1" fontId="235" fillId="131" borderId="0" xfId="31" applyNumberFormat="1" applyFont="1" applyFill="1" applyAlignment="1">
      <alignment horizontal="right" vertical="center"/>
    </xf>
    <xf numFmtId="0" fontId="3" fillId="116" borderId="0" xfId="1" applyFill="1" applyAlignment="1">
      <alignment vertical="center"/>
    </xf>
    <xf numFmtId="0" fontId="263" fillId="116" borderId="0" xfId="1" applyFont="1" applyFill="1" applyAlignment="1">
      <alignment horizontal="right" vertical="center"/>
    </xf>
    <xf numFmtId="0" fontId="237" fillId="116" borderId="0" xfId="28" applyFont="1" applyFill="1" applyAlignment="1">
      <alignment horizontal="right" vertical="center"/>
    </xf>
    <xf numFmtId="0" fontId="77" fillId="116" borderId="0" xfId="28" applyFont="1" applyFill="1" applyAlignment="1">
      <alignment horizontal="left" vertical="center"/>
    </xf>
    <xf numFmtId="0" fontId="243" fillId="85" borderId="0" xfId="5" applyFont="1" applyFill="1" applyAlignment="1">
      <alignment horizontal="center" vertical="center"/>
    </xf>
    <xf numFmtId="0" fontId="9" fillId="117" borderId="0" xfId="1" applyFont="1" applyFill="1" applyAlignment="1">
      <alignment vertical="center"/>
    </xf>
    <xf numFmtId="0" fontId="181" fillId="77" borderId="0" xfId="1" applyFont="1" applyFill="1" applyAlignment="1">
      <alignment horizontal="left" vertical="center"/>
    </xf>
    <xf numFmtId="0" fontId="156" fillId="77" borderId="0" xfId="11" applyFont="1" applyFill="1" applyAlignment="1">
      <alignment horizontal="right" vertical="center"/>
    </xf>
    <xf numFmtId="0" fontId="264" fillId="85" borderId="9" xfId="27" applyFont="1" applyFill="1" applyBorder="1" applyAlignment="1">
      <alignment horizontal="center" vertical="center"/>
    </xf>
    <xf numFmtId="0" fontId="3" fillId="117" borderId="0" xfId="1" applyFill="1" applyAlignment="1">
      <alignment vertical="center"/>
    </xf>
    <xf numFmtId="0" fontId="263" fillId="117" borderId="0" xfId="1" applyFont="1" applyFill="1" applyAlignment="1">
      <alignment horizontal="right" vertical="center"/>
    </xf>
    <xf numFmtId="0" fontId="228" fillId="117" borderId="0" xfId="5" applyFont="1" applyFill="1" applyAlignment="1">
      <alignment horizontal="center" vertical="center"/>
    </xf>
    <xf numFmtId="0" fontId="37" fillId="117" borderId="2" xfId="1" applyFont="1" applyFill="1" applyBorder="1" applyAlignment="1">
      <alignment horizontal="right" vertical="center"/>
    </xf>
    <xf numFmtId="0" fontId="159" fillId="85" borderId="65" xfId="5" applyFont="1" applyFill="1" applyBorder="1" applyAlignment="1">
      <alignment horizontal="center" vertical="center"/>
    </xf>
    <xf numFmtId="0" fontId="20" fillId="77" borderId="0" xfId="11" applyFont="1" applyFill="1" applyAlignment="1">
      <alignment horizontal="right" vertical="center"/>
    </xf>
    <xf numFmtId="0" fontId="37" fillId="77" borderId="0" xfId="46" applyFont="1" applyFill="1" applyAlignment="1">
      <alignment horizontal="right" vertical="center"/>
    </xf>
    <xf numFmtId="204" fontId="265" fillId="132" borderId="9" xfId="5" applyNumberFormat="1" applyFont="1" applyFill="1" applyBorder="1" applyAlignment="1">
      <alignment horizontal="center" vertical="center"/>
    </xf>
    <xf numFmtId="0" fontId="266" fillId="80" borderId="0" xfId="1" applyFont="1" applyFill="1" applyAlignment="1">
      <alignment vertical="center"/>
    </xf>
    <xf numFmtId="204" fontId="246" fillId="132" borderId="9" xfId="5" applyNumberFormat="1" applyFont="1" applyFill="1" applyBorder="1" applyAlignment="1">
      <alignment horizontal="center" vertical="center"/>
    </xf>
    <xf numFmtId="0" fontId="3" fillId="80" borderId="0" xfId="1" applyFill="1" applyAlignment="1">
      <alignment vertical="center"/>
    </xf>
    <xf numFmtId="0" fontId="181" fillId="77" borderId="66" xfId="1" applyFont="1" applyFill="1" applyBorder="1" applyAlignment="1">
      <alignment horizontal="left" vertical="center"/>
    </xf>
    <xf numFmtId="204" fontId="164" fillId="128" borderId="9" xfId="5" applyNumberFormat="1" applyFont="1" applyFill="1" applyBorder="1" applyAlignment="1">
      <alignment horizontal="center" vertical="center"/>
    </xf>
    <xf numFmtId="0" fontId="159" fillId="77" borderId="0" xfId="46" applyFont="1" applyFill="1" applyAlignment="1">
      <alignment horizontal="right" vertical="center"/>
    </xf>
    <xf numFmtId="204" fontId="159" fillId="117" borderId="9" xfId="5" applyNumberFormat="1" applyFont="1" applyFill="1" applyBorder="1" applyAlignment="1">
      <alignment horizontal="center" vertical="center"/>
    </xf>
    <xf numFmtId="0" fontId="181" fillId="77" borderId="9" xfId="1" applyFont="1" applyFill="1" applyBorder="1" applyAlignment="1">
      <alignment horizontal="left" vertical="center"/>
    </xf>
    <xf numFmtId="0" fontId="235" fillId="131" borderId="0" xfId="31" applyFont="1" applyFill="1" applyAlignment="1">
      <alignment horizontal="center" vertical="center"/>
    </xf>
    <xf numFmtId="0" fontId="181" fillId="77" borderId="16" xfId="5" applyFont="1" applyFill="1" applyBorder="1" applyAlignment="1">
      <alignment horizontal="left" vertical="center"/>
    </xf>
    <xf numFmtId="0" fontId="267" fillId="82" borderId="11" xfId="5" applyFont="1" applyFill="1" applyBorder="1" applyAlignment="1">
      <alignment vertical="center"/>
    </xf>
    <xf numFmtId="0" fontId="181" fillId="111" borderId="0" xfId="5" applyFont="1" applyFill="1" applyAlignment="1">
      <alignment horizontal="left" vertical="center"/>
    </xf>
    <xf numFmtId="0" fontId="181" fillId="77" borderId="0" xfId="5" applyFont="1" applyFill="1" applyAlignment="1">
      <alignment horizontal="left" vertical="center"/>
    </xf>
    <xf numFmtId="0" fontId="181" fillId="77" borderId="9" xfId="5" applyFont="1" applyFill="1" applyBorder="1" applyAlignment="1">
      <alignment horizontal="right" vertical="center"/>
    </xf>
    <xf numFmtId="0" fontId="156" fillId="111" borderId="13" xfId="5" applyFont="1" applyFill="1" applyBorder="1" applyAlignment="1">
      <alignment horizontal="left" vertical="center"/>
    </xf>
    <xf numFmtId="0" fontId="181" fillId="111" borderId="13" xfId="5" applyFont="1" applyFill="1" applyBorder="1" applyAlignment="1">
      <alignment horizontal="left" vertical="center"/>
    </xf>
    <xf numFmtId="0" fontId="156" fillId="77" borderId="13" xfId="5" applyFont="1" applyFill="1" applyBorder="1" applyAlignment="1">
      <alignment horizontal="left" vertical="center"/>
    </xf>
    <xf numFmtId="0" fontId="181" fillId="77" borderId="13" xfId="5" applyFont="1" applyFill="1" applyBorder="1" applyAlignment="1">
      <alignment horizontal="left" vertical="center"/>
    </xf>
    <xf numFmtId="0" fontId="181" fillId="77" borderId="24" xfId="5" applyFont="1" applyFill="1" applyBorder="1" applyAlignment="1">
      <alignment horizontal="right" vertical="center"/>
    </xf>
    <xf numFmtId="0" fontId="139" fillId="116" borderId="0" xfId="1" applyFont="1" applyFill="1" applyAlignment="1">
      <alignment horizontal="left" vertical="center"/>
    </xf>
    <xf numFmtId="0" fontId="3" fillId="116" borderId="0" xfId="1" applyFill="1" applyAlignment="1">
      <alignment horizontal="left" vertical="center"/>
    </xf>
    <xf numFmtId="0" fontId="263" fillId="116" borderId="0" xfId="1" applyFont="1" applyFill="1" applyAlignment="1">
      <alignment horizontal="left" vertical="center"/>
    </xf>
    <xf numFmtId="0" fontId="139" fillId="116" borderId="0" xfId="1" applyFont="1" applyFill="1" applyAlignment="1">
      <alignment horizontal="right" vertical="center"/>
    </xf>
    <xf numFmtId="0" fontId="156" fillId="113" borderId="0" xfId="13" applyFont="1" applyFill="1" applyAlignment="1">
      <alignment horizontal="right" vertical="center"/>
    </xf>
    <xf numFmtId="0" fontId="268" fillId="77" borderId="18" xfId="1" applyFont="1" applyFill="1" applyBorder="1" applyAlignment="1">
      <alignment horizontal="left" vertical="center"/>
    </xf>
    <xf numFmtId="0" fontId="3" fillId="77" borderId="0" xfId="28" applyFill="1" applyAlignment="1">
      <alignment vertical="center"/>
    </xf>
    <xf numFmtId="0" fontId="268" fillId="117" borderId="0" xfId="28" applyFont="1" applyFill="1" applyAlignment="1">
      <alignment horizontal="right" vertical="center"/>
    </xf>
    <xf numFmtId="0" fontId="268" fillId="117" borderId="18" xfId="1" applyFont="1" applyFill="1" applyBorder="1" applyAlignment="1">
      <alignment horizontal="center" vertical="center"/>
    </xf>
    <xf numFmtId="0" fontId="268" fillId="117" borderId="20" xfId="1" applyFont="1" applyFill="1" applyBorder="1" applyAlignment="1">
      <alignment horizontal="left" vertical="center"/>
    </xf>
    <xf numFmtId="0" fontId="161" fillId="130" borderId="0" xfId="31" applyFont="1" applyFill="1" applyAlignment="1">
      <alignment horizontal="right" vertical="center"/>
    </xf>
    <xf numFmtId="0" fontId="161" fillId="130" borderId="0" xfId="31" applyFont="1" applyFill="1" applyAlignment="1">
      <alignment horizontal="left" vertical="center"/>
    </xf>
    <xf numFmtId="1" fontId="161" fillId="130" borderId="0" xfId="31" applyNumberFormat="1" applyFont="1" applyFill="1" applyAlignment="1">
      <alignment horizontal="right" vertical="center"/>
    </xf>
    <xf numFmtId="0" fontId="269" fillId="117" borderId="0" xfId="5" applyFont="1" applyFill="1" applyAlignment="1">
      <alignment vertical="center"/>
    </xf>
    <xf numFmtId="0" fontId="217" fillId="117" borderId="0" xfId="5" applyFont="1" applyFill="1" applyAlignment="1">
      <alignment vertical="center"/>
    </xf>
    <xf numFmtId="0" fontId="159" fillId="117" borderId="0" xfId="5" applyFont="1" applyFill="1" applyAlignment="1">
      <alignment vertical="center"/>
    </xf>
    <xf numFmtId="0" fontId="156" fillId="117" borderId="0" xfId="5" applyFont="1" applyFill="1" applyAlignment="1">
      <alignment vertical="center"/>
    </xf>
    <xf numFmtId="0" fontId="7" fillId="117" borderId="0" xfId="5" applyFont="1" applyFill="1" applyAlignment="1">
      <alignment horizontal="right" vertical="center"/>
    </xf>
    <xf numFmtId="0" fontId="255" fillId="85" borderId="0" xfId="5" applyFont="1" applyFill="1" applyAlignment="1">
      <alignment vertical="center"/>
    </xf>
    <xf numFmtId="0" fontId="246" fillId="77" borderId="0" xfId="5" applyFont="1" applyFill="1" applyAlignment="1">
      <alignment vertical="center"/>
    </xf>
    <xf numFmtId="0" fontId="246" fillId="77" borderId="9" xfId="5" applyFont="1" applyFill="1" applyBorder="1" applyAlignment="1">
      <alignment vertical="center"/>
    </xf>
    <xf numFmtId="0" fontId="161" fillId="112" borderId="11" xfId="31" applyFont="1" applyFill="1" applyBorder="1" applyAlignment="1">
      <alignment vertical="center"/>
    </xf>
    <xf numFmtId="1" fontId="161" fillId="112" borderId="11" xfId="31" applyNumberFormat="1" applyFont="1" applyFill="1" applyBorder="1" applyAlignment="1">
      <alignment horizontal="left" vertical="center"/>
    </xf>
    <xf numFmtId="0" fontId="267" fillId="112" borderId="11" xfId="5" applyFont="1" applyFill="1" applyBorder="1" applyAlignment="1">
      <alignment vertical="center"/>
    </xf>
    <xf numFmtId="0" fontId="217" fillId="112" borderId="11" xfId="5" applyFont="1" applyFill="1" applyBorder="1" applyAlignment="1">
      <alignment vertical="center"/>
    </xf>
    <xf numFmtId="0" fontId="217" fillId="112" borderId="12" xfId="5" applyFont="1" applyFill="1" applyBorder="1" applyAlignment="1">
      <alignment vertical="center"/>
    </xf>
    <xf numFmtId="0" fontId="270" fillId="69" borderId="51" xfId="33" applyFont="1" applyFill="1" applyBorder="1" applyAlignment="1">
      <alignment horizontal="center" vertical="center"/>
    </xf>
    <xf numFmtId="0" fontId="244" fillId="69" borderId="51" xfId="33" applyFont="1" applyFill="1" applyBorder="1" applyAlignment="1">
      <alignment horizontal="center" vertical="center"/>
    </xf>
    <xf numFmtId="0" fontId="271" fillId="69" borderId="51" xfId="5" applyFont="1" applyFill="1" applyBorder="1" applyAlignment="1">
      <alignment vertical="center"/>
    </xf>
    <xf numFmtId="0" fontId="272" fillId="69" borderId="51" xfId="5" applyFont="1" applyFill="1" applyBorder="1" applyAlignment="1">
      <alignment vertical="center"/>
    </xf>
    <xf numFmtId="0" fontId="272" fillId="69" borderId="51" xfId="30" applyFont="1" applyFill="1" applyBorder="1" applyAlignment="1">
      <alignment vertical="center"/>
    </xf>
    <xf numFmtId="0" fontId="270" fillId="69" borderId="51" xfId="5" applyFont="1" applyFill="1" applyBorder="1" applyAlignment="1">
      <alignment vertical="center"/>
    </xf>
    <xf numFmtId="0" fontId="272" fillId="69" borderId="51" xfId="32" applyFont="1" applyFill="1" applyBorder="1" applyAlignment="1">
      <alignment vertical="center"/>
    </xf>
    <xf numFmtId="0" fontId="272" fillId="69" borderId="51" xfId="5" applyFont="1" applyFill="1" applyBorder="1" applyAlignment="1">
      <alignment horizontal="right" vertical="center"/>
    </xf>
    <xf numFmtId="164" fontId="247" fillId="121" borderId="0" xfId="5" applyNumberFormat="1" applyFont="1" applyFill="1" applyAlignment="1">
      <alignment horizontal="center" vertical="center"/>
    </xf>
    <xf numFmtId="1" fontId="247" fillId="85" borderId="0" xfId="5" applyNumberFormat="1" applyFont="1" applyFill="1" applyAlignment="1">
      <alignment horizontal="center" vertical="center"/>
    </xf>
    <xf numFmtId="1" fontId="248" fillId="85" borderId="0" xfId="5" applyNumberFormat="1" applyFont="1" applyFill="1" applyAlignment="1">
      <alignment horizontal="center" vertical="center"/>
    </xf>
    <xf numFmtId="0" fontId="249" fillId="77" borderId="0" xfId="5" applyFont="1" applyFill="1" applyAlignment="1">
      <alignment horizontal="center" vertical="center"/>
    </xf>
    <xf numFmtId="0" fontId="159" fillId="85" borderId="0" xfId="5" applyFont="1" applyFill="1" applyAlignment="1">
      <alignment horizontal="center" vertical="center"/>
    </xf>
    <xf numFmtId="0" fontId="228" fillId="77" borderId="0" xfId="5" applyFont="1" applyFill="1" applyAlignment="1">
      <alignment horizontal="right" vertical="center"/>
    </xf>
    <xf numFmtId="0" fontId="228" fillId="0" borderId="0" xfId="5" applyFont="1" applyAlignment="1">
      <alignment horizontal="right" vertical="center"/>
    </xf>
    <xf numFmtId="0" fontId="41" fillId="122" borderId="0" xfId="5" applyFont="1" applyFill="1" applyAlignment="1">
      <alignment horizontal="center" vertical="center"/>
    </xf>
    <xf numFmtId="2" fontId="3" fillId="122" borderId="0" xfId="29" applyNumberFormat="1" applyFill="1" applyAlignment="1">
      <alignment horizontal="center" vertical="center"/>
    </xf>
    <xf numFmtId="203" fontId="20" fillId="77" borderId="0" xfId="5" applyNumberFormat="1" applyFont="1" applyFill="1" applyAlignment="1">
      <alignment horizontal="center" vertical="center"/>
    </xf>
    <xf numFmtId="0" fontId="37" fillId="77" borderId="0" xfId="5" applyFont="1" applyFill="1" applyAlignment="1">
      <alignment horizontal="left" vertical="center"/>
    </xf>
    <xf numFmtId="0" fontId="3" fillId="80" borderId="0" xfId="1" applyFill="1" applyAlignment="1">
      <alignment vertical="center" wrapText="1"/>
    </xf>
    <xf numFmtId="0" fontId="3" fillId="115" borderId="0" xfId="1" applyFill="1" applyAlignment="1">
      <alignment horizontal="center" vertical="center"/>
    </xf>
    <xf numFmtId="0" fontId="21" fillId="17" borderId="0" xfId="45" applyFont="1" applyFill="1" applyAlignment="1">
      <alignment horizontal="center" vertical="center"/>
    </xf>
    <xf numFmtId="0" fontId="37" fillId="37" borderId="0" xfId="0" applyFont="1" applyFill="1" applyAlignment="1">
      <alignment horizontal="right" vertical="center" wrapText="1"/>
    </xf>
    <xf numFmtId="0" fontId="156" fillId="37" borderId="0" xfId="0" applyFont="1" applyFill="1" applyAlignment="1">
      <alignment horizontal="center" vertical="center"/>
    </xf>
    <xf numFmtId="0" fontId="222" fillId="25" borderId="0" xfId="0" applyFont="1" applyFill="1" applyAlignment="1">
      <alignment horizontal="center" vertical="center"/>
    </xf>
    <xf numFmtId="0" fontId="156" fillId="38" borderId="0" xfId="0" applyFont="1" applyFill="1" applyAlignment="1">
      <alignment horizontal="center" vertical="center"/>
    </xf>
    <xf numFmtId="0" fontId="222" fillId="26" borderId="0" xfId="0" applyFont="1" applyFill="1" applyAlignment="1">
      <alignment horizontal="center" vertical="center"/>
    </xf>
    <xf numFmtId="0" fontId="175" fillId="74" borderId="0" xfId="36" applyFont="1" applyFill="1" applyAlignment="1">
      <alignment vertical="center"/>
    </xf>
    <xf numFmtId="0" fontId="273" fillId="90" borderId="0" xfId="36" applyFont="1" applyFill="1" applyAlignment="1">
      <alignment vertical="center"/>
    </xf>
    <xf numFmtId="0" fontId="159" fillId="5" borderId="102" xfId="36" applyFont="1" applyFill="1" applyBorder="1" applyAlignment="1">
      <alignment horizontal="right" vertical="center"/>
    </xf>
    <xf numFmtId="0" fontId="156" fillId="66" borderId="102" xfId="36" applyFont="1" applyFill="1" applyBorder="1" applyAlignment="1">
      <alignment horizontal="left" vertical="center"/>
    </xf>
    <xf numFmtId="0" fontId="11" fillId="90" borderId="102" xfId="36" applyFont="1" applyFill="1" applyBorder="1" applyAlignment="1">
      <alignment horizontal="center" vertical="center"/>
    </xf>
    <xf numFmtId="0" fontId="59" fillId="74" borderId="102" xfId="36" applyFont="1" applyFill="1" applyBorder="1" applyAlignment="1">
      <alignment horizontal="center" vertical="center" wrapText="1"/>
    </xf>
    <xf numFmtId="0" fontId="156" fillId="91" borderId="102" xfId="36" applyFont="1" applyFill="1" applyBorder="1" applyAlignment="1">
      <alignment horizontal="center" vertical="center" wrapText="1"/>
    </xf>
    <xf numFmtId="0" fontId="156" fillId="66" borderId="102" xfId="36" applyFont="1" applyFill="1" applyBorder="1" applyAlignment="1">
      <alignment horizontal="center" vertical="center" wrapText="1"/>
    </xf>
    <xf numFmtId="0" fontId="156" fillId="66" borderId="102" xfId="36" applyFont="1" applyFill="1" applyBorder="1" applyAlignment="1">
      <alignment vertical="center" wrapText="1"/>
    </xf>
    <xf numFmtId="0" fontId="11" fillId="71" borderId="102" xfId="36" applyFont="1" applyFill="1" applyBorder="1" applyAlignment="1">
      <alignment horizontal="center" vertical="center"/>
    </xf>
    <xf numFmtId="0" fontId="11" fillId="5" borderId="102" xfId="36" applyFont="1" applyFill="1" applyBorder="1" applyAlignment="1">
      <alignment vertical="center"/>
    </xf>
    <xf numFmtId="0" fontId="159" fillId="5" borderId="102" xfId="36" applyFont="1" applyFill="1" applyBorder="1" applyAlignment="1">
      <alignment vertical="center" wrapText="1"/>
    </xf>
    <xf numFmtId="0" fontId="156" fillId="5" borderId="102" xfId="36" applyFont="1" applyFill="1" applyBorder="1" applyAlignment="1">
      <alignment vertical="center" wrapText="1"/>
    </xf>
    <xf numFmtId="0" fontId="20" fillId="0" borderId="102" xfId="36" applyFont="1" applyBorder="1" applyAlignment="1">
      <alignment vertical="center" wrapText="1"/>
    </xf>
    <xf numFmtId="0" fontId="20" fillId="66" borderId="102" xfId="36" applyFont="1" applyFill="1" applyBorder="1" applyAlignment="1">
      <alignment vertical="center" wrapText="1"/>
    </xf>
    <xf numFmtId="0" fontId="137" fillId="71" borderId="102" xfId="36" applyFont="1" applyFill="1" applyBorder="1" applyAlignment="1">
      <alignment horizontal="center" vertical="center" wrapText="1"/>
    </xf>
    <xf numFmtId="0" fontId="137" fillId="3" borderId="102" xfId="36" applyFont="1" applyFill="1" applyBorder="1" applyAlignment="1">
      <alignment horizontal="center" vertical="center" wrapText="1"/>
    </xf>
    <xf numFmtId="0" fontId="159" fillId="71" borderId="102" xfId="36" applyFont="1" applyFill="1" applyBorder="1" applyAlignment="1">
      <alignment horizontal="center" vertical="center"/>
    </xf>
    <xf numFmtId="0" fontId="156" fillId="0" borderId="102" xfId="36" applyFont="1" applyBorder="1" applyAlignment="1">
      <alignment vertical="center" wrapText="1"/>
    </xf>
    <xf numFmtId="0" fontId="11" fillId="3" borderId="102" xfId="36" applyFont="1" applyFill="1" applyBorder="1" applyAlignment="1">
      <alignment horizontal="center" vertical="center" wrapText="1"/>
    </xf>
    <xf numFmtId="0" fontId="156" fillId="0" borderId="102" xfId="36" applyFont="1" applyBorder="1" applyAlignment="1">
      <alignment horizontal="center" vertical="center" wrapText="1"/>
    </xf>
    <xf numFmtId="0" fontId="159" fillId="90" borderId="115" xfId="36" applyFont="1" applyFill="1" applyBorder="1" applyAlignment="1">
      <alignment horizontal="center" vertical="center" wrapText="1"/>
    </xf>
    <xf numFmtId="0" fontId="159" fillId="90" borderId="117" xfId="36" applyFont="1" applyFill="1" applyBorder="1" applyAlignment="1">
      <alignment horizontal="center" vertical="center" wrapText="1"/>
    </xf>
    <xf numFmtId="0" fontId="159" fillId="0" borderId="102" xfId="36" applyFont="1" applyBorder="1" applyAlignment="1">
      <alignment horizontal="right" vertical="center" wrapText="1"/>
    </xf>
    <xf numFmtId="0" fontId="159" fillId="0" borderId="102" xfId="36" applyFont="1" applyBorder="1" applyAlignment="1">
      <alignment vertical="center" wrapText="1"/>
    </xf>
    <xf numFmtId="0" fontId="159" fillId="4" borderId="102" xfId="36" applyFont="1" applyFill="1" applyBorder="1" applyAlignment="1">
      <alignment horizontal="right" vertical="center" wrapText="1"/>
    </xf>
    <xf numFmtId="0" fontId="156" fillId="0" borderId="102" xfId="36" applyFont="1" applyBorder="1" applyAlignment="1">
      <alignment vertical="center"/>
    </xf>
    <xf numFmtId="0" fontId="156" fillId="0" borderId="0" xfId="36" applyFont="1" applyAlignment="1">
      <alignment vertical="center"/>
    </xf>
    <xf numFmtId="0" fontId="153" fillId="74" borderId="0" xfId="36" applyFont="1" applyFill="1" applyAlignment="1">
      <alignment vertical="center"/>
    </xf>
    <xf numFmtId="0" fontId="159" fillId="90" borderId="116" xfId="36" applyFont="1" applyFill="1" applyBorder="1" applyAlignment="1">
      <alignment horizontal="center" vertical="center" wrapText="1"/>
    </xf>
    <xf numFmtId="0" fontId="275" fillId="0" borderId="0" xfId="36" applyFont="1" applyAlignment="1">
      <alignment vertical="center"/>
    </xf>
    <xf numFmtId="0" fontId="11" fillId="90" borderId="102" xfId="36" applyFont="1" applyFill="1" applyBorder="1" applyAlignment="1">
      <alignment horizontal="center" vertical="center" wrapText="1"/>
    </xf>
    <xf numFmtId="0" fontId="159" fillId="0" borderId="102" xfId="36" applyFont="1" applyBorder="1" applyAlignment="1">
      <alignment horizontal="center" vertical="center" wrapText="1"/>
    </xf>
    <xf numFmtId="0" fontId="156" fillId="0" borderId="120" xfId="36" applyFont="1" applyBorder="1" applyAlignment="1">
      <alignment vertical="center"/>
    </xf>
    <xf numFmtId="0" fontId="156" fillId="0" borderId="121" xfId="36" applyFont="1" applyBorder="1" applyAlignment="1">
      <alignment vertical="center"/>
    </xf>
    <xf numFmtId="0" fontId="156" fillId="0" borderId="119" xfId="36" applyFont="1" applyBorder="1" applyAlignment="1">
      <alignment vertical="center"/>
    </xf>
    <xf numFmtId="0" fontId="156" fillId="0" borderId="123" xfId="36" applyFont="1" applyBorder="1" applyAlignment="1">
      <alignment vertical="center"/>
    </xf>
    <xf numFmtId="0" fontId="156" fillId="0" borderId="124" xfId="36" applyFont="1" applyBorder="1" applyAlignment="1">
      <alignment vertical="center"/>
    </xf>
    <xf numFmtId="0" fontId="11" fillId="4" borderId="115" xfId="36" applyFont="1" applyFill="1" applyBorder="1" applyAlignment="1">
      <alignment vertical="center"/>
    </xf>
    <xf numFmtId="0" fontId="11" fillId="4" borderId="116" xfId="36" applyFont="1" applyFill="1" applyBorder="1" applyAlignment="1">
      <alignment vertical="center"/>
    </xf>
    <xf numFmtId="0" fontId="11" fillId="4" borderId="117" xfId="36" applyFont="1" applyFill="1" applyBorder="1" applyAlignment="1">
      <alignment vertical="center"/>
    </xf>
    <xf numFmtId="0" fontId="175" fillId="74" borderId="120" xfId="36" applyFont="1" applyFill="1" applyBorder="1" applyAlignment="1">
      <alignment vertical="center"/>
    </xf>
    <xf numFmtId="0" fontId="175" fillId="74" borderId="121" xfId="36" applyFont="1" applyFill="1" applyBorder="1" applyAlignment="1">
      <alignment vertical="center"/>
    </xf>
    <xf numFmtId="0" fontId="175" fillId="74" borderId="123" xfId="36" applyFont="1" applyFill="1" applyBorder="1" applyAlignment="1">
      <alignment vertical="center"/>
    </xf>
    <xf numFmtId="0" fontId="175" fillId="74" borderId="124" xfId="36" applyFont="1" applyFill="1" applyBorder="1" applyAlignment="1">
      <alignment vertical="center"/>
    </xf>
    <xf numFmtId="0" fontId="156" fillId="10" borderId="126" xfId="36" applyFont="1" applyFill="1" applyBorder="1" applyAlignment="1">
      <alignment vertical="center"/>
    </xf>
    <xf numFmtId="0" fontId="144" fillId="10" borderId="120" xfId="36" applyFill="1" applyBorder="1" applyAlignment="1">
      <alignment vertical="center"/>
    </xf>
    <xf numFmtId="0" fontId="156" fillId="10" borderId="120" xfId="36" applyFont="1" applyFill="1" applyBorder="1" applyAlignment="1">
      <alignment vertical="center"/>
    </xf>
    <xf numFmtId="0" fontId="156" fillId="10" borderId="121" xfId="36" applyFont="1" applyFill="1" applyBorder="1" applyAlignment="1">
      <alignment vertical="center"/>
    </xf>
    <xf numFmtId="0" fontId="156" fillId="10" borderId="127" xfId="36" applyFont="1" applyFill="1" applyBorder="1" applyAlignment="1">
      <alignment vertical="center"/>
    </xf>
    <xf numFmtId="0" fontId="144" fillId="10" borderId="0" xfId="36" applyFill="1" applyAlignment="1">
      <alignment vertical="center"/>
    </xf>
    <xf numFmtId="0" fontId="156" fillId="10" borderId="0" xfId="36" applyFont="1" applyFill="1" applyAlignment="1">
      <alignment vertical="center"/>
    </xf>
    <xf numFmtId="0" fontId="156" fillId="10" borderId="119" xfId="36" applyFont="1" applyFill="1" applyBorder="1" applyAlignment="1">
      <alignment vertical="center"/>
    </xf>
    <xf numFmtId="0" fontId="156" fillId="10" borderId="128" xfId="36" applyFont="1" applyFill="1" applyBorder="1" applyAlignment="1">
      <alignment vertical="center"/>
    </xf>
    <xf numFmtId="0" fontId="144" fillId="10" borderId="123" xfId="36" applyFill="1" applyBorder="1" applyAlignment="1">
      <alignment vertical="center"/>
    </xf>
    <xf numFmtId="0" fontId="156" fillId="10" borderId="123" xfId="36" applyFont="1" applyFill="1" applyBorder="1" applyAlignment="1">
      <alignment vertical="center"/>
    </xf>
    <xf numFmtId="0" fontId="156" fillId="10" borderId="124" xfId="36" applyFont="1" applyFill="1" applyBorder="1" applyAlignment="1">
      <alignment vertical="center"/>
    </xf>
    <xf numFmtId="0" fontId="137" fillId="91" borderId="102" xfId="36" applyFont="1" applyFill="1" applyBorder="1" applyAlignment="1">
      <alignment horizontal="center" vertical="center" wrapText="1"/>
    </xf>
    <xf numFmtId="0" fontId="159" fillId="91" borderId="102" xfId="36" applyFont="1" applyFill="1" applyBorder="1" applyAlignment="1">
      <alignment vertical="center" wrapText="1"/>
    </xf>
    <xf numFmtId="0" fontId="277" fillId="66" borderId="102" xfId="36" applyFont="1" applyFill="1" applyBorder="1" applyAlignment="1">
      <alignment horizontal="center" vertical="center" wrapText="1"/>
    </xf>
    <xf numFmtId="0" fontId="211" fillId="66" borderId="102" xfId="36" applyFont="1" applyFill="1" applyBorder="1" applyAlignment="1">
      <alignment horizontal="center" vertical="center" wrapText="1"/>
    </xf>
    <xf numFmtId="0" fontId="7" fillId="66" borderId="102" xfId="36" applyFont="1" applyFill="1" applyBorder="1" applyAlignment="1">
      <alignment vertical="center" wrapText="1"/>
    </xf>
    <xf numFmtId="0" fontId="41" fillId="66" borderId="102" xfId="36" applyFont="1" applyFill="1" applyBorder="1" applyAlignment="1">
      <alignment vertical="center" wrapText="1"/>
    </xf>
    <xf numFmtId="0" fontId="137" fillId="5" borderId="102" xfId="36" applyFont="1" applyFill="1" applyBorder="1" applyAlignment="1">
      <alignment horizontal="center" vertical="center" wrapText="1"/>
    </xf>
    <xf numFmtId="0" fontId="153" fillId="133" borderId="0" xfId="0" applyFont="1" applyFill="1" applyAlignment="1">
      <alignment vertical="center"/>
    </xf>
    <xf numFmtId="0" fontId="59" fillId="133" borderId="0" xfId="0" applyFont="1" applyFill="1" applyAlignment="1">
      <alignment vertical="center"/>
    </xf>
    <xf numFmtId="0" fontId="143" fillId="10" borderId="0" xfId="47" applyFont="1" applyFill="1" applyAlignment="1">
      <alignment vertical="center"/>
    </xf>
    <xf numFmtId="0" fontId="4" fillId="134" borderId="0" xfId="0" applyFont="1" applyFill="1" applyAlignment="1">
      <alignment vertical="center"/>
    </xf>
    <xf numFmtId="0" fontId="0" fillId="135" borderId="8" xfId="0" applyFill="1" applyBorder="1" applyAlignment="1">
      <alignment vertical="center"/>
    </xf>
    <xf numFmtId="0" fontId="25" fillId="134" borderId="0" xfId="0" applyFont="1" applyFill="1" applyAlignment="1">
      <alignment vertical="center"/>
    </xf>
    <xf numFmtId="0" fontId="150" fillId="134" borderId="0" xfId="0" applyFont="1" applyFill="1" applyAlignment="1">
      <alignment vertical="center"/>
    </xf>
    <xf numFmtId="0" fontId="16" fillId="134" borderId="0" xfId="0" applyFont="1" applyFill="1" applyAlignment="1">
      <alignment horizontal="center" vertical="center"/>
    </xf>
    <xf numFmtId="0" fontId="30" fillId="10" borderId="0" xfId="8" applyFont="1" applyFill="1" applyAlignment="1" applyProtection="1">
      <alignment vertical="center"/>
      <protection locked="0"/>
    </xf>
    <xf numFmtId="0" fontId="32" fillId="136" borderId="0" xfId="0" applyFont="1" applyFill="1" applyAlignment="1">
      <alignment vertical="center"/>
    </xf>
    <xf numFmtId="0" fontId="16" fillId="134" borderId="0" xfId="0" applyFont="1" applyFill="1" applyAlignment="1">
      <alignment vertical="center"/>
    </xf>
    <xf numFmtId="0" fontId="0" fillId="11" borderId="0" xfId="0" applyFill="1" applyAlignment="1">
      <alignment vertical="center"/>
    </xf>
    <xf numFmtId="0" fontId="137" fillId="89" borderId="0" xfId="0" applyFont="1" applyFill="1"/>
    <xf numFmtId="0" fontId="137" fillId="89" borderId="102" xfId="0" applyFont="1" applyFill="1" applyBorder="1"/>
    <xf numFmtId="0" fontId="0" fillId="0" borderId="102" xfId="0" applyBorder="1"/>
    <xf numFmtId="0" fontId="0" fillId="134" borderId="0" xfId="0" applyFill="1" applyAlignment="1">
      <alignment vertical="center"/>
    </xf>
    <xf numFmtId="0" fontId="215" fillId="79" borderId="78" xfId="1" applyFont="1" applyFill="1" applyBorder="1"/>
    <xf numFmtId="0" fontId="215" fillId="137" borderId="0" xfId="1" applyFont="1" applyFill="1"/>
    <xf numFmtId="0" fontId="278" fillId="72" borderId="129" xfId="1" applyFont="1" applyFill="1" applyBorder="1"/>
    <xf numFmtId="0" fontId="278" fillId="72" borderId="130" xfId="1" applyFont="1" applyFill="1" applyBorder="1"/>
    <xf numFmtId="0" fontId="0" fillId="135" borderId="0" xfId="0" applyFill="1" applyAlignment="1">
      <alignment vertical="center"/>
    </xf>
    <xf numFmtId="0" fontId="0" fillId="89" borderId="0" xfId="0" applyFill="1"/>
    <xf numFmtId="0" fontId="0" fillId="89" borderId="102" xfId="0" applyFill="1" applyBorder="1"/>
    <xf numFmtId="0" fontId="1" fillId="138" borderId="78" xfId="0" applyFont="1" applyFill="1" applyBorder="1" applyAlignment="1">
      <alignment horizontal="center" vertical="center" wrapText="1"/>
    </xf>
    <xf numFmtId="0" fontId="4" fillId="139" borderId="78" xfId="0" applyFont="1" applyFill="1" applyBorder="1" applyAlignment="1">
      <alignment horizontal="center" vertical="center" wrapText="1"/>
    </xf>
    <xf numFmtId="0" fontId="1" fillId="10" borderId="78" xfId="0" applyFont="1" applyFill="1" applyBorder="1" applyAlignment="1">
      <alignment horizontal="center" vertical="center" wrapText="1"/>
    </xf>
    <xf numFmtId="0" fontId="67" fillId="9" borderId="78" xfId="0" applyFont="1" applyFill="1" applyBorder="1" applyAlignment="1">
      <alignment horizontal="center" vertical="center" wrapText="1"/>
    </xf>
    <xf numFmtId="0" fontId="16" fillId="136" borderId="0" xfId="0" applyFont="1" applyFill="1" applyAlignment="1">
      <alignment vertical="center"/>
    </xf>
    <xf numFmtId="0" fontId="45" fillId="134" borderId="0" xfId="0" applyFont="1" applyFill="1" applyAlignment="1">
      <alignment horizontal="left" vertical="center" wrapText="1"/>
    </xf>
    <xf numFmtId="0" fontId="0" fillId="12" borderId="78" xfId="0" applyFill="1" applyBorder="1" applyAlignment="1">
      <alignment horizontal="center" vertical="center"/>
    </xf>
    <xf numFmtId="0" fontId="7" fillId="0" borderId="3" xfId="5" applyFont="1" applyBorder="1" applyAlignment="1">
      <alignment horizontal="left" vertical="center"/>
    </xf>
    <xf numFmtId="0" fontId="54" fillId="10" borderId="78" xfId="0" applyFont="1" applyFill="1" applyBorder="1" applyAlignment="1">
      <alignment horizontal="center" vertical="center" wrapText="1"/>
    </xf>
    <xf numFmtId="0" fontId="38" fillId="140" borderId="78" xfId="0" applyFont="1" applyFill="1" applyBorder="1" applyAlignment="1">
      <alignment vertical="center" wrapText="1"/>
    </xf>
    <xf numFmtId="0" fontId="0" fillId="141" borderId="78" xfId="0" applyFill="1" applyBorder="1" applyAlignment="1">
      <alignment vertical="center" wrapText="1"/>
    </xf>
    <xf numFmtId="0" fontId="0" fillId="0" borderId="78" xfId="0" applyBorder="1" applyAlignment="1">
      <alignment vertical="center" wrapText="1"/>
    </xf>
    <xf numFmtId="0" fontId="0" fillId="3" borderId="78" xfId="0" applyFill="1" applyBorder="1" applyAlignment="1">
      <alignment vertical="center" wrapText="1"/>
    </xf>
    <xf numFmtId="0" fontId="0" fillId="0" borderId="78" xfId="0" applyBorder="1" applyAlignment="1">
      <alignment horizontal="center" vertical="center"/>
    </xf>
    <xf numFmtId="0" fontId="38" fillId="66" borderId="78" xfId="0" applyFont="1" applyFill="1" applyBorder="1" applyAlignment="1">
      <alignment vertical="center" wrapText="1"/>
    </xf>
    <xf numFmtId="0" fontId="0" fillId="4" borderId="78" xfId="0" applyFill="1" applyBorder="1" applyAlignment="1">
      <alignment vertical="center" wrapText="1"/>
    </xf>
    <xf numFmtId="0" fontId="137" fillId="142" borderId="132" xfId="0" applyFont="1" applyFill="1" applyBorder="1" applyAlignment="1">
      <alignment horizontal="center" vertical="center"/>
    </xf>
    <xf numFmtId="0" fontId="137" fillId="142" borderId="131" xfId="0" applyFont="1" applyFill="1" applyBorder="1" applyAlignment="1">
      <alignment horizontal="center" vertical="center"/>
    </xf>
    <xf numFmtId="0" fontId="137" fillId="133" borderId="0" xfId="0" applyFont="1" applyFill="1" applyAlignment="1">
      <alignment horizontal="left" vertical="center"/>
    </xf>
    <xf numFmtId="0" fontId="0" fillId="133" borderId="0" xfId="0" applyFill="1" applyAlignment="1">
      <alignment vertical="center"/>
    </xf>
    <xf numFmtId="0" fontId="215" fillId="79" borderId="0" xfId="1" applyFont="1" applyFill="1" applyAlignment="1">
      <alignment horizontal="left" vertical="center"/>
    </xf>
    <xf numFmtId="0" fontId="0" fillId="135" borderId="9" xfId="0" applyFill="1" applyBorder="1" applyAlignment="1">
      <alignment horizontal="right" vertical="center"/>
    </xf>
    <xf numFmtId="0" fontId="62" fillId="10" borderId="0" xfId="19" applyFont="1" applyFill="1" applyAlignment="1">
      <alignment horizontal="left" vertical="center"/>
    </xf>
    <xf numFmtId="0" fontId="32" fillId="134" borderId="0" xfId="0" applyFont="1" applyFill="1" applyAlignment="1">
      <alignment horizontal="left" vertical="center"/>
    </xf>
    <xf numFmtId="0" fontId="66" fillId="143" borderId="0" xfId="7" applyFont="1" applyFill="1" applyAlignment="1">
      <alignment vertical="center"/>
    </xf>
    <xf numFmtId="0" fontId="279" fillId="10" borderId="0" xfId="0" applyFont="1" applyFill="1" applyAlignment="1">
      <alignment vertical="center"/>
    </xf>
    <xf numFmtId="0" fontId="280" fillId="144" borderId="0" xfId="1" applyFont="1" applyFill="1" applyAlignment="1">
      <alignment horizontal="center" vertical="center" wrapText="1"/>
    </xf>
    <xf numFmtId="0" fontId="1" fillId="75" borderId="133" xfId="0" applyFont="1" applyFill="1" applyBorder="1" applyAlignment="1">
      <alignment horizontal="center" vertical="center"/>
    </xf>
    <xf numFmtId="0" fontId="1" fillId="9" borderId="133" xfId="0" applyFont="1" applyFill="1" applyBorder="1" applyAlignment="1">
      <alignment horizontal="center" vertical="center"/>
    </xf>
    <xf numFmtId="0" fontId="0" fillId="0" borderId="132" xfId="0" applyBorder="1" applyAlignment="1">
      <alignment horizontal="center" vertical="center"/>
    </xf>
    <xf numFmtId="0" fontId="281" fillId="0" borderId="132" xfId="0" applyFont="1" applyBorder="1" applyAlignment="1">
      <alignment horizontal="left" vertical="center" wrapText="1"/>
    </xf>
    <xf numFmtId="0" fontId="0" fillId="140" borderId="132" xfId="0" applyFill="1" applyBorder="1" applyAlignment="1">
      <alignment horizontal="left" vertical="center" wrapText="1"/>
    </xf>
    <xf numFmtId="0" fontId="0" fillId="141" borderId="132" xfId="0" applyFill="1" applyBorder="1" applyAlignment="1">
      <alignment horizontal="left" vertical="center"/>
    </xf>
    <xf numFmtId="0" fontId="0" fillId="145" borderId="132" xfId="0" applyFill="1" applyBorder="1" applyAlignment="1">
      <alignment horizontal="left" vertical="center"/>
    </xf>
    <xf numFmtId="0" fontId="0" fillId="0" borderId="132" xfId="0" applyBorder="1" applyAlignment="1">
      <alignment horizontal="left" vertical="center"/>
    </xf>
    <xf numFmtId="0" fontId="138" fillId="0" borderId="0" xfId="1" applyFont="1"/>
    <xf numFmtId="0" fontId="138" fillId="0" borderId="0" xfId="1" applyFont="1" applyAlignment="1">
      <alignment wrapText="1"/>
    </xf>
    <xf numFmtId="0" fontId="136" fillId="147" borderId="0" xfId="1" applyFont="1" applyFill="1" applyAlignment="1">
      <alignment horizontal="center" vertical="center" wrapText="1"/>
    </xf>
    <xf numFmtId="0" fontId="138" fillId="148" borderId="0" xfId="1" applyFont="1" applyFill="1" applyAlignment="1">
      <alignment horizontal="left" vertical="center" wrapText="1"/>
    </xf>
    <xf numFmtId="0" fontId="138" fillId="148" borderId="0" xfId="1" applyFont="1" applyFill="1" applyAlignment="1">
      <alignment horizontal="center" vertical="center" wrapText="1"/>
    </xf>
    <xf numFmtId="0" fontId="136" fillId="149" borderId="0" xfId="1" applyFont="1" applyFill="1" applyAlignment="1">
      <alignment horizontal="center" vertical="center" wrapText="1"/>
    </xf>
    <xf numFmtId="0" fontId="136" fillId="150" borderId="0" xfId="1" applyFont="1" applyFill="1" applyAlignment="1">
      <alignment horizontal="center" vertical="center" wrapText="1"/>
    </xf>
    <xf numFmtId="0" fontId="136" fillId="151" borderId="0" xfId="1" applyFont="1" applyFill="1" applyAlignment="1">
      <alignment horizontal="center" vertical="center" wrapText="1"/>
    </xf>
    <xf numFmtId="0" fontId="138" fillId="10" borderId="0" xfId="1" applyFont="1" applyFill="1" applyAlignment="1">
      <alignment horizontal="left" vertical="center" wrapText="1"/>
    </xf>
    <xf numFmtId="0" fontId="138" fillId="10" borderId="0" xfId="1" applyFont="1" applyFill="1" applyAlignment="1">
      <alignment horizontal="center" vertical="center" wrapText="1"/>
    </xf>
    <xf numFmtId="0" fontId="136" fillId="10" borderId="0" xfId="1" applyFont="1" applyFill="1" applyAlignment="1">
      <alignment horizontal="center" vertical="center" wrapText="1"/>
    </xf>
    <xf numFmtId="0" fontId="136" fillId="152" borderId="0" xfId="1" applyFont="1" applyFill="1" applyAlignment="1">
      <alignment horizontal="center" vertical="center" wrapText="1"/>
    </xf>
    <xf numFmtId="0" fontId="136" fillId="154" borderId="0" xfId="1" applyFont="1" applyFill="1" applyAlignment="1">
      <alignment horizontal="center" vertical="center" wrapText="1"/>
    </xf>
    <xf numFmtId="0" fontId="138" fillId="155" borderId="0" xfId="1" applyFont="1" applyFill="1" applyAlignment="1">
      <alignment horizontal="center" vertical="center" wrapText="1"/>
    </xf>
    <xf numFmtId="0" fontId="138" fillId="11" borderId="0" xfId="1" applyFont="1" applyFill="1" applyAlignment="1">
      <alignment wrapText="1"/>
    </xf>
    <xf numFmtId="0" fontId="3" fillId="0" borderId="0" xfId="26" applyAlignment="1">
      <alignment vertical="center"/>
    </xf>
    <xf numFmtId="0" fontId="3" fillId="0" borderId="137" xfId="26" applyBorder="1" applyAlignment="1">
      <alignment vertical="center"/>
    </xf>
    <xf numFmtId="0" fontId="3" fillId="0" borderId="138" xfId="26" applyBorder="1" applyAlignment="1">
      <alignment vertical="center"/>
    </xf>
    <xf numFmtId="0" fontId="3" fillId="0" borderId="137" xfId="26" applyBorder="1" applyAlignment="1">
      <alignment vertical="center" wrapText="1"/>
    </xf>
    <xf numFmtId="0" fontId="3" fillId="0" borderId="0" xfId="26" applyAlignment="1">
      <alignment vertical="center" wrapText="1"/>
    </xf>
    <xf numFmtId="0" fontId="3" fillId="0" borderId="138" xfId="26" applyBorder="1" applyAlignment="1">
      <alignment horizontal="center" vertical="center" wrapText="1"/>
    </xf>
    <xf numFmtId="0" fontId="266" fillId="156" borderId="137" xfId="26" applyFont="1" applyFill="1" applyBorder="1" applyAlignment="1">
      <alignment horizontal="center" vertical="center" wrapText="1"/>
    </xf>
    <xf numFmtId="0" fontId="266" fillId="156" borderId="0" xfId="26" applyFont="1" applyFill="1" applyAlignment="1">
      <alignment horizontal="center" vertical="center" wrapText="1"/>
    </xf>
    <xf numFmtId="0" fontId="266" fillId="156" borderId="138" xfId="26" applyFont="1" applyFill="1" applyBorder="1" applyAlignment="1">
      <alignment horizontal="center" vertical="center" wrapText="1"/>
    </xf>
    <xf numFmtId="0" fontId="266" fillId="160" borderId="137" xfId="26" applyFont="1" applyFill="1" applyBorder="1" applyAlignment="1">
      <alignment horizontal="center" vertical="center" wrapText="1"/>
    </xf>
    <xf numFmtId="0" fontId="266" fillId="160" borderId="0" xfId="26" applyFont="1" applyFill="1" applyAlignment="1">
      <alignment horizontal="center" vertical="center" wrapText="1"/>
    </xf>
    <xf numFmtId="0" fontId="266" fillId="160" borderId="138" xfId="26" applyFont="1" applyFill="1" applyBorder="1" applyAlignment="1">
      <alignment horizontal="center" vertical="center" wrapText="1"/>
    </xf>
    <xf numFmtId="0" fontId="1" fillId="81" borderId="137" xfId="26" applyFont="1" applyFill="1" applyBorder="1" applyAlignment="1">
      <alignment horizontal="center" vertical="center"/>
    </xf>
    <xf numFmtId="0" fontId="1" fillId="81" borderId="0" xfId="26" applyFont="1" applyFill="1" applyAlignment="1">
      <alignment horizontal="center" vertical="center"/>
    </xf>
    <xf numFmtId="0" fontId="1" fillId="81" borderId="138" xfId="26" applyFont="1" applyFill="1" applyBorder="1" applyAlignment="1">
      <alignment horizontal="center" vertical="center"/>
    </xf>
    <xf numFmtId="0" fontId="156" fillId="77" borderId="138" xfId="8" applyFont="1" applyFill="1" applyBorder="1" applyAlignment="1">
      <alignment vertical="center"/>
    </xf>
    <xf numFmtId="0" fontId="156" fillId="0" borderId="0" xfId="48" applyFont="1" applyAlignment="1">
      <alignment vertical="center"/>
    </xf>
    <xf numFmtId="0" fontId="20" fillId="10" borderId="0" xfId="48" applyFont="1" applyFill="1" applyAlignment="1">
      <alignment vertical="center"/>
    </xf>
    <xf numFmtId="0" fontId="3" fillId="10" borderId="0" xfId="1" applyFill="1" applyAlignment="1">
      <alignment vertical="center" wrapText="1"/>
    </xf>
    <xf numFmtId="0" fontId="3" fillId="161" borderId="0" xfId="1" applyFill="1" applyAlignment="1">
      <alignment vertical="center" wrapText="1"/>
    </xf>
    <xf numFmtId="0" fontId="3" fillId="161" borderId="0" xfId="1" applyFill="1" applyAlignment="1">
      <alignment vertical="center"/>
    </xf>
    <xf numFmtId="0" fontId="266" fillId="162" borderId="0" xfId="1" applyFont="1" applyFill="1" applyAlignment="1">
      <alignment horizontal="center" vertical="center"/>
    </xf>
    <xf numFmtId="0" fontId="3" fillId="161" borderId="0" xfId="1" applyFill="1" applyAlignment="1">
      <alignment horizontal="center" vertical="center" wrapText="1"/>
    </xf>
    <xf numFmtId="0" fontId="266" fillId="164" borderId="0" xfId="1" applyFont="1" applyFill="1" applyAlignment="1">
      <alignment horizontal="center" vertical="center" wrapText="1"/>
    </xf>
    <xf numFmtId="0" fontId="266" fillId="10" borderId="0" xfId="1" applyFont="1" applyFill="1" applyAlignment="1">
      <alignment horizontal="center" vertical="center" wrapText="1"/>
    </xf>
    <xf numFmtId="0" fontId="266" fillId="66" borderId="0" xfId="1" applyFont="1" applyFill="1" applyAlignment="1">
      <alignment horizontal="center" vertical="center"/>
    </xf>
    <xf numFmtId="0" fontId="266" fillId="165" borderId="0" xfId="1" applyFont="1" applyFill="1" applyAlignment="1">
      <alignment horizontal="center" vertical="center" wrapText="1"/>
    </xf>
    <xf numFmtId="0" fontId="3" fillId="10" borderId="0" xfId="1" applyFill="1" applyAlignment="1">
      <alignment vertical="center"/>
    </xf>
    <xf numFmtId="0" fontId="266" fillId="166" borderId="0" xfId="1" applyFont="1" applyFill="1" applyAlignment="1">
      <alignment horizontal="center" vertical="center" wrapText="1"/>
    </xf>
    <xf numFmtId="0" fontId="266" fillId="71" borderId="0" xfId="1" applyFont="1" applyFill="1" applyAlignment="1">
      <alignment horizontal="center" vertical="center" wrapText="1"/>
    </xf>
    <xf numFmtId="0" fontId="3" fillId="10" borderId="0" xfId="1" applyFill="1" applyAlignment="1">
      <alignment wrapText="1"/>
    </xf>
    <xf numFmtId="0" fontId="3" fillId="0" borderId="0" xfId="1" applyAlignment="1">
      <alignment wrapText="1"/>
    </xf>
    <xf numFmtId="0" fontId="138" fillId="10" borderId="0" xfId="1" applyFont="1" applyFill="1" applyAlignment="1">
      <alignment wrapText="1"/>
    </xf>
    <xf numFmtId="0" fontId="3" fillId="11" borderId="0" xfId="1" applyFill="1" applyAlignment="1">
      <alignment wrapText="1"/>
    </xf>
    <xf numFmtId="0" fontId="283" fillId="0" borderId="0" xfId="49" applyAlignment="1">
      <alignment vertical="center"/>
    </xf>
    <xf numFmtId="0" fontId="287" fillId="14" borderId="0" xfId="26" applyFont="1" applyFill="1" applyAlignment="1">
      <alignment horizontal="center" vertical="center" wrapText="1"/>
    </xf>
    <xf numFmtId="0" fontId="288" fillId="175" borderId="0" xfId="26" applyFont="1" applyFill="1" applyAlignment="1">
      <alignment vertical="center" wrapText="1"/>
    </xf>
    <xf numFmtId="0" fontId="266" fillId="178" borderId="0" xfId="26" applyFont="1" applyFill="1" applyAlignment="1">
      <alignment vertical="center" wrapText="1"/>
    </xf>
    <xf numFmtId="0" fontId="266" fillId="186" borderId="0" xfId="26" applyFont="1" applyFill="1" applyAlignment="1">
      <alignment horizontal="center" vertical="center" wrapText="1"/>
    </xf>
    <xf numFmtId="0" fontId="266" fillId="186" borderId="0" xfId="26" applyFont="1" applyFill="1" applyAlignment="1">
      <alignment vertical="center" wrapText="1"/>
    </xf>
    <xf numFmtId="0" fontId="266" fillId="191" borderId="0" xfId="26" applyFont="1" applyFill="1" applyAlignment="1">
      <alignment vertical="center" wrapText="1"/>
    </xf>
    <xf numFmtId="0" fontId="296" fillId="194" borderId="0" xfId="26" applyFont="1" applyFill="1" applyAlignment="1">
      <alignment horizontal="center" vertical="center" wrapText="1"/>
    </xf>
    <xf numFmtId="0" fontId="290" fillId="80" borderId="0" xfId="26" applyFont="1" applyFill="1" applyAlignment="1">
      <alignment horizontal="center" vertical="center" wrapText="1"/>
    </xf>
    <xf numFmtId="0" fontId="290" fillId="80" borderId="0" xfId="26" applyFont="1" applyFill="1" applyAlignment="1">
      <alignment vertical="center" wrapText="1"/>
    </xf>
    <xf numFmtId="0" fontId="266" fillId="90" borderId="0" xfId="26" applyFont="1" applyFill="1" applyAlignment="1">
      <alignment horizontal="center" vertical="center" wrapText="1"/>
    </xf>
    <xf numFmtId="0" fontId="266" fillId="196" borderId="0" xfId="26" applyFont="1" applyFill="1" applyAlignment="1">
      <alignment horizontal="center" vertical="center" wrapText="1"/>
    </xf>
    <xf numFmtId="0" fontId="266" fillId="196" borderId="0" xfId="26" applyFont="1" applyFill="1" applyAlignment="1">
      <alignment vertical="center" wrapText="1"/>
    </xf>
    <xf numFmtId="0" fontId="3" fillId="0" borderId="0" xfId="26" applyAlignment="1">
      <alignment horizontal="center" vertical="center" wrapText="1"/>
    </xf>
    <xf numFmtId="0" fontId="304" fillId="200" borderId="0" xfId="26" applyFont="1" applyFill="1" applyAlignment="1">
      <alignment horizontal="center" vertical="center" wrapText="1"/>
    </xf>
    <xf numFmtId="0" fontId="304" fillId="201" borderId="0" xfId="26" applyFont="1" applyFill="1" applyAlignment="1">
      <alignment horizontal="center" vertical="center" wrapText="1"/>
    </xf>
    <xf numFmtId="0" fontId="3" fillId="80" borderId="0" xfId="26" applyFill="1" applyAlignment="1">
      <alignment vertical="center"/>
    </xf>
    <xf numFmtId="0" fontId="308" fillId="208" borderId="0" xfId="26" applyFont="1" applyFill="1" applyAlignment="1">
      <alignment vertical="center" wrapText="1"/>
    </xf>
    <xf numFmtId="0" fontId="308" fillId="201" borderId="0" xfId="26" applyFont="1" applyFill="1" applyAlignment="1">
      <alignment horizontal="center" vertical="center" wrapText="1"/>
    </xf>
    <xf numFmtId="0" fontId="308" fillId="208" borderId="0" xfId="26" applyFont="1" applyFill="1" applyAlignment="1">
      <alignment horizontal="center" vertical="center" wrapText="1"/>
    </xf>
    <xf numFmtId="0" fontId="313" fillId="10" borderId="0" xfId="0" applyFont="1" applyFill="1"/>
    <xf numFmtId="0" fontId="15" fillId="10" borderId="0" xfId="0" applyFont="1" applyFill="1" applyAlignment="1">
      <alignment horizontal="left" vertical="center" indent="1"/>
    </xf>
    <xf numFmtId="0" fontId="0" fillId="10" borderId="0" xfId="0" applyFill="1" applyAlignment="1">
      <alignment horizontal="left" vertical="center" indent="1"/>
    </xf>
    <xf numFmtId="0" fontId="179" fillId="10" borderId="0" xfId="0" applyFont="1" applyFill="1" applyAlignment="1">
      <alignment horizontal="left" vertical="center" indent="1"/>
    </xf>
    <xf numFmtId="0" fontId="15" fillId="10" borderId="0" xfId="0" applyFont="1" applyFill="1" applyAlignment="1">
      <alignment horizontal="left" vertical="center" wrapText="1"/>
    </xf>
    <xf numFmtId="0" fontId="0" fillId="10" borderId="0" xfId="0" applyFill="1" applyAlignment="1">
      <alignment vertical="center" wrapText="1"/>
    </xf>
    <xf numFmtId="0" fontId="15" fillId="10" borderId="0" xfId="0" applyFont="1" applyFill="1" applyAlignment="1">
      <alignment vertical="center" wrapText="1"/>
    </xf>
    <xf numFmtId="0" fontId="40" fillId="10" borderId="0" xfId="0" applyFont="1" applyFill="1"/>
    <xf numFmtId="0" fontId="15" fillId="10" borderId="0" xfId="0" applyFont="1" applyFill="1" applyAlignment="1">
      <alignment horizontal="center" vertical="center"/>
    </xf>
    <xf numFmtId="0" fontId="15" fillId="10" borderId="0" xfId="0" applyFont="1" applyFill="1"/>
    <xf numFmtId="0" fontId="40" fillId="0" borderId="142" xfId="0" applyFont="1" applyBorder="1" applyAlignment="1">
      <alignment horizontal="center" vertical="center" wrapText="1"/>
    </xf>
    <xf numFmtId="0" fontId="314" fillId="0" borderId="0" xfId="0" applyFont="1" applyAlignment="1">
      <alignment horizontal="center" vertical="center" wrapText="1"/>
    </xf>
    <xf numFmtId="0" fontId="40" fillId="17" borderId="143" xfId="0" applyFont="1" applyFill="1" applyBorder="1" applyAlignment="1">
      <alignment horizontal="center" vertical="center" wrapText="1"/>
    </xf>
    <xf numFmtId="0" fontId="315" fillId="17" borderId="144" xfId="0" applyFont="1" applyFill="1" applyBorder="1" applyAlignment="1">
      <alignment horizontal="center" vertical="center" wrapText="1"/>
    </xf>
    <xf numFmtId="0" fontId="40" fillId="213" borderId="143" xfId="0" applyFont="1" applyFill="1" applyBorder="1" applyAlignment="1">
      <alignment horizontal="center" vertical="center" wrapText="1"/>
    </xf>
    <xf numFmtId="0" fontId="315" fillId="213" borderId="144" xfId="0" applyFont="1" applyFill="1" applyBorder="1" applyAlignment="1">
      <alignment horizontal="center" vertical="center" wrapText="1"/>
    </xf>
    <xf numFmtId="0" fontId="40" fillId="214" borderId="143" xfId="0" applyFont="1" applyFill="1" applyBorder="1" applyAlignment="1">
      <alignment horizontal="center" vertical="center" wrapText="1"/>
    </xf>
    <xf numFmtId="0" fontId="315" fillId="214" borderId="144" xfId="0" applyFont="1" applyFill="1" applyBorder="1" applyAlignment="1">
      <alignment horizontal="center" vertical="center" wrapText="1"/>
    </xf>
    <xf numFmtId="0" fontId="40" fillId="215" borderId="143" xfId="0" applyFont="1" applyFill="1" applyBorder="1" applyAlignment="1">
      <alignment horizontal="center" vertical="center" wrapText="1"/>
    </xf>
    <xf numFmtId="0" fontId="315" fillId="215" borderId="144" xfId="0" applyFont="1" applyFill="1" applyBorder="1" applyAlignment="1">
      <alignment horizontal="center" vertical="center" wrapText="1"/>
    </xf>
    <xf numFmtId="0" fontId="40" fillId="135" borderId="143" xfId="0" applyFont="1" applyFill="1" applyBorder="1" applyAlignment="1">
      <alignment horizontal="center" vertical="center" wrapText="1"/>
    </xf>
    <xf numFmtId="0" fontId="315" fillId="135" borderId="144" xfId="0" applyFont="1" applyFill="1" applyBorder="1" applyAlignment="1">
      <alignment horizontal="center" vertical="center" wrapText="1"/>
    </xf>
    <xf numFmtId="0" fontId="42" fillId="6" borderId="143" xfId="0" applyFont="1" applyFill="1" applyBorder="1" applyAlignment="1">
      <alignment horizontal="center" vertical="center" wrapText="1"/>
    </xf>
    <xf numFmtId="0" fontId="316" fillId="6" borderId="144" xfId="0" applyFont="1" applyFill="1" applyBorder="1" applyAlignment="1">
      <alignment horizontal="center" vertical="center" wrapText="1"/>
    </xf>
    <xf numFmtId="0" fontId="40" fillId="216" borderId="143" xfId="0" applyFont="1" applyFill="1" applyBorder="1" applyAlignment="1">
      <alignment horizontal="center" vertical="center" wrapText="1"/>
    </xf>
    <xf numFmtId="0" fontId="315" fillId="216" borderId="143" xfId="0" applyFont="1" applyFill="1" applyBorder="1" applyAlignment="1">
      <alignment horizontal="center" vertical="center" wrapText="1"/>
    </xf>
    <xf numFmtId="0" fontId="315" fillId="215" borderId="143" xfId="0" applyFont="1" applyFill="1" applyBorder="1" applyAlignment="1">
      <alignment horizontal="center" vertical="center" wrapText="1"/>
    </xf>
    <xf numFmtId="0" fontId="40" fillId="215" borderId="46" xfId="0" applyFont="1" applyFill="1" applyBorder="1" applyAlignment="1">
      <alignment horizontal="center" vertical="center" wrapText="1"/>
    </xf>
    <xf numFmtId="0" fontId="315" fillId="215" borderId="46" xfId="0" applyFont="1" applyFill="1" applyBorder="1" applyAlignment="1">
      <alignment horizontal="center" vertical="center" wrapText="1"/>
    </xf>
    <xf numFmtId="0" fontId="315" fillId="216" borderId="144" xfId="0" applyFont="1" applyFill="1" applyBorder="1" applyAlignment="1">
      <alignment horizontal="center" vertical="center" wrapText="1"/>
    </xf>
    <xf numFmtId="0" fontId="42" fillId="217" borderId="143" xfId="0" applyFont="1" applyFill="1" applyBorder="1" applyAlignment="1">
      <alignment horizontal="center" vertical="center" wrapText="1"/>
    </xf>
    <xf numFmtId="0" fontId="316" fillId="217" borderId="144" xfId="0" applyFont="1" applyFill="1" applyBorder="1" applyAlignment="1">
      <alignment horizontal="center" vertical="center" wrapText="1"/>
    </xf>
    <xf numFmtId="0" fontId="66" fillId="218" borderId="143" xfId="0" applyFont="1" applyFill="1" applyBorder="1" applyAlignment="1">
      <alignment horizontal="center" vertical="center" wrapText="1"/>
    </xf>
    <xf numFmtId="0" fontId="317" fillId="218" borderId="144" xfId="0" applyFont="1" applyFill="1" applyBorder="1" applyAlignment="1">
      <alignment horizontal="center" vertical="center" wrapText="1"/>
    </xf>
    <xf numFmtId="0" fontId="40" fillId="219" borderId="143" xfId="0" applyFont="1" applyFill="1" applyBorder="1" applyAlignment="1">
      <alignment horizontal="center" vertical="center" wrapText="1"/>
    </xf>
    <xf numFmtId="0" fontId="315" fillId="219" borderId="144" xfId="0" applyFont="1" applyFill="1" applyBorder="1" applyAlignment="1">
      <alignment horizontal="center" vertical="center" wrapText="1"/>
    </xf>
    <xf numFmtId="0" fontId="315" fillId="213" borderId="46" xfId="0" applyFont="1" applyFill="1" applyBorder="1" applyAlignment="1">
      <alignment horizontal="center" vertical="center" wrapText="1"/>
    </xf>
    <xf numFmtId="0" fontId="314" fillId="0" borderId="142" xfId="0" applyFont="1" applyBorder="1" applyAlignment="1">
      <alignment horizontal="center" vertical="center" wrapText="1"/>
    </xf>
    <xf numFmtId="0" fontId="314" fillId="0" borderId="46" xfId="0" applyFont="1" applyBorder="1" applyAlignment="1">
      <alignment horizontal="center" vertical="center" wrapText="1"/>
    </xf>
    <xf numFmtId="0" fontId="314" fillId="0" borderId="143" xfId="0" applyFont="1" applyBorder="1" applyAlignment="1">
      <alignment vertical="center" wrapText="1"/>
    </xf>
    <xf numFmtId="0" fontId="314" fillId="0" borderId="144" xfId="0" applyFont="1" applyBorder="1" applyAlignment="1">
      <alignment vertical="center" wrapText="1"/>
    </xf>
    <xf numFmtId="0" fontId="314" fillId="0" borderId="145" xfId="0" applyFont="1" applyBorder="1" applyAlignment="1">
      <alignment horizontal="center" vertical="center" wrapText="1"/>
    </xf>
    <xf numFmtId="0" fontId="54" fillId="0" borderId="41" xfId="0" applyFont="1" applyBorder="1" applyAlignment="1">
      <alignment horizontal="center" vertical="center" wrapText="1"/>
    </xf>
    <xf numFmtId="0" fontId="318" fillId="220" borderId="28" xfId="0" applyFont="1" applyFill="1" applyBorder="1" applyAlignment="1">
      <alignment horizontal="center" vertical="center" wrapText="1"/>
    </xf>
    <xf numFmtId="0" fontId="54" fillId="0" borderId="29" xfId="0" applyFont="1" applyBorder="1" applyAlignment="1">
      <alignment horizontal="center" vertical="center" wrapText="1"/>
    </xf>
    <xf numFmtId="0" fontId="318" fillId="220" borderId="29" xfId="0" applyFont="1" applyFill="1" applyBorder="1" applyAlignment="1">
      <alignment horizontal="center" vertical="center" wrapText="1"/>
    </xf>
    <xf numFmtId="0" fontId="54" fillId="0" borderId="0" xfId="0" applyFont="1" applyAlignment="1">
      <alignment horizontal="center" vertical="center" wrapText="1"/>
    </xf>
    <xf numFmtId="0" fontId="314" fillId="0" borderId="146" xfId="0" applyFont="1" applyBorder="1" applyAlignment="1">
      <alignment horizontal="center" vertical="center" wrapText="1"/>
    </xf>
    <xf numFmtId="0" fontId="54" fillId="0" borderId="36" xfId="0" applyFont="1" applyBorder="1" applyAlignment="1">
      <alignment horizontal="center" vertical="center" wrapText="1"/>
    </xf>
    <xf numFmtId="0" fontId="318" fillId="220" borderId="26" xfId="0" applyFont="1" applyFill="1" applyBorder="1" applyAlignment="1">
      <alignment horizontal="center" vertical="center" wrapText="1"/>
    </xf>
    <xf numFmtId="0" fontId="318" fillId="220" borderId="0" xfId="0" applyFont="1" applyFill="1" applyAlignment="1">
      <alignment horizontal="center" vertical="center" wrapText="1"/>
    </xf>
    <xf numFmtId="0" fontId="54" fillId="0" borderId="146" xfId="0" applyFont="1" applyBorder="1" applyAlignment="1">
      <alignment horizontal="center" vertical="center" wrapText="1"/>
    </xf>
    <xf numFmtId="0" fontId="318" fillId="220" borderId="32" xfId="0" applyFont="1" applyFill="1" applyBorder="1" applyAlignment="1">
      <alignment horizontal="center" vertical="center" wrapText="1"/>
    </xf>
    <xf numFmtId="0" fontId="153" fillId="74" borderId="99" xfId="36" applyFont="1" applyFill="1" applyBorder="1" applyAlignment="1">
      <alignment horizontal="center" vertical="center" wrapText="1"/>
    </xf>
    <xf numFmtId="0" fontId="153" fillId="74" borderId="100" xfId="36" applyFont="1" applyFill="1" applyBorder="1" applyAlignment="1">
      <alignment horizontal="center" vertical="center" wrapText="1"/>
    </xf>
    <xf numFmtId="0" fontId="153" fillId="74" borderId="101" xfId="36" applyFont="1" applyFill="1" applyBorder="1" applyAlignment="1">
      <alignment horizontal="center" vertical="center" wrapText="1"/>
    </xf>
    <xf numFmtId="0" fontId="153" fillId="88" borderId="94" xfId="36" applyFont="1" applyFill="1" applyBorder="1" applyAlignment="1">
      <alignment horizontal="left" vertical="center" wrapText="1"/>
    </xf>
    <xf numFmtId="0" fontId="153" fillId="88" borderId="95" xfId="36" applyFont="1" applyFill="1" applyBorder="1" applyAlignment="1">
      <alignment horizontal="left" vertical="center" wrapText="1"/>
    </xf>
    <xf numFmtId="0" fontId="153" fillId="88" borderId="96" xfId="36" applyFont="1" applyFill="1" applyBorder="1" applyAlignment="1">
      <alignment horizontal="left" vertical="center" wrapText="1"/>
    </xf>
    <xf numFmtId="0" fontId="173" fillId="89" borderId="94" xfId="36" applyFont="1" applyFill="1" applyBorder="1" applyAlignment="1">
      <alignment horizontal="left" vertical="center" wrapText="1"/>
    </xf>
    <xf numFmtId="0" fontId="173" fillId="89" borderId="95" xfId="36" applyFont="1" applyFill="1" applyBorder="1" applyAlignment="1">
      <alignment horizontal="left" vertical="center" wrapText="1"/>
    </xf>
    <xf numFmtId="0" fontId="173" fillId="89" borderId="96" xfId="36" applyFont="1" applyFill="1" applyBorder="1" applyAlignment="1">
      <alignment horizontal="left" vertical="center" wrapText="1"/>
    </xf>
    <xf numFmtId="0" fontId="174" fillId="3" borderId="91" xfId="36" applyFont="1" applyFill="1" applyBorder="1" applyAlignment="1">
      <alignment horizontal="left" vertical="center" wrapText="1"/>
    </xf>
    <xf numFmtId="0" fontId="174" fillId="3" borderId="92" xfId="36" applyFont="1" applyFill="1" applyBorder="1" applyAlignment="1">
      <alignment horizontal="left" vertical="center" wrapText="1"/>
    </xf>
    <xf numFmtId="0" fontId="174" fillId="3" borderId="93" xfId="36" applyFont="1" applyFill="1" applyBorder="1" applyAlignment="1">
      <alignment horizontal="left" vertical="center" wrapText="1"/>
    </xf>
    <xf numFmtId="0" fontId="165" fillId="87" borderId="91" xfId="36" applyFont="1" applyFill="1" applyBorder="1" applyAlignment="1">
      <alignment horizontal="left" vertical="center" wrapText="1"/>
    </xf>
    <xf numFmtId="0" fontId="165" fillId="87" borderId="92" xfId="36" applyFont="1" applyFill="1" applyBorder="1" applyAlignment="1">
      <alignment horizontal="left" vertical="center" wrapText="1"/>
    </xf>
    <xf numFmtId="0" fontId="165" fillId="87" borderId="93" xfId="36" applyFont="1" applyFill="1" applyBorder="1" applyAlignment="1">
      <alignment horizontal="left" vertical="center" wrapText="1"/>
    </xf>
    <xf numFmtId="0" fontId="154" fillId="74" borderId="85" xfId="36" applyFont="1" applyFill="1" applyBorder="1" applyAlignment="1">
      <alignment horizontal="center" vertical="center" wrapText="1"/>
    </xf>
    <xf numFmtId="0" fontId="154" fillId="74" borderId="86" xfId="36" applyFont="1" applyFill="1" applyBorder="1" applyAlignment="1">
      <alignment horizontal="center" vertical="center" wrapText="1"/>
    </xf>
    <xf numFmtId="0" fontId="154" fillId="74" borderId="87" xfId="36" applyFont="1" applyFill="1" applyBorder="1" applyAlignment="1">
      <alignment horizontal="center" vertical="center" wrapText="1"/>
    </xf>
    <xf numFmtId="0" fontId="154" fillId="74" borderId="88" xfId="36" applyFont="1" applyFill="1" applyBorder="1" applyAlignment="1">
      <alignment horizontal="center" vertical="center" wrapText="1"/>
    </xf>
    <xf numFmtId="0" fontId="154" fillId="74" borderId="89" xfId="36" applyFont="1" applyFill="1" applyBorder="1" applyAlignment="1">
      <alignment horizontal="center" vertical="center" wrapText="1"/>
    </xf>
    <xf numFmtId="0" fontId="154" fillId="74" borderId="90" xfId="36" applyFont="1" applyFill="1" applyBorder="1" applyAlignment="1">
      <alignment horizontal="center" vertical="center" wrapText="1"/>
    </xf>
    <xf numFmtId="0" fontId="165" fillId="87" borderId="91" xfId="36" applyFont="1" applyFill="1" applyBorder="1" applyAlignment="1">
      <alignment horizontal="center" vertical="center" wrapText="1"/>
    </xf>
    <xf numFmtId="0" fontId="165" fillId="87" borderId="92" xfId="36" applyFont="1" applyFill="1" applyBorder="1" applyAlignment="1">
      <alignment horizontal="center" vertical="center" wrapText="1"/>
    </xf>
    <xf numFmtId="0" fontId="165" fillId="87" borderId="93" xfId="36" applyFont="1" applyFill="1" applyBorder="1" applyAlignment="1">
      <alignment horizontal="center" vertical="center" wrapText="1"/>
    </xf>
    <xf numFmtId="0" fontId="166" fillId="3" borderId="91" xfId="36" applyFont="1" applyFill="1" applyBorder="1" applyAlignment="1">
      <alignment horizontal="center" vertical="center" wrapText="1"/>
    </xf>
    <xf numFmtId="0" fontId="166" fillId="3" borderId="92" xfId="36" applyFont="1" applyFill="1" applyBorder="1" applyAlignment="1">
      <alignment horizontal="center" vertical="center" wrapText="1"/>
    </xf>
    <xf numFmtId="0" fontId="166" fillId="3" borderId="93" xfId="36" applyFont="1" applyFill="1" applyBorder="1" applyAlignment="1">
      <alignment horizontal="center" vertical="center" wrapText="1"/>
    </xf>
    <xf numFmtId="0" fontId="166" fillId="89" borderId="91" xfId="36" applyFont="1" applyFill="1" applyBorder="1" applyAlignment="1">
      <alignment horizontal="left" vertical="center" wrapText="1"/>
    </xf>
    <xf numFmtId="0" fontId="166" fillId="89" borderId="92" xfId="36" applyFont="1" applyFill="1" applyBorder="1" applyAlignment="1">
      <alignment horizontal="left" vertical="center" wrapText="1"/>
    </xf>
    <xf numFmtId="0" fontId="166" fillId="89" borderId="93" xfId="36" applyFont="1" applyFill="1" applyBorder="1" applyAlignment="1">
      <alignment horizontal="left" vertical="center" wrapText="1"/>
    </xf>
    <xf numFmtId="0" fontId="59" fillId="74" borderId="0" xfId="39" applyFont="1" applyFill="1" applyAlignment="1">
      <alignment horizontal="center" vertical="center" wrapText="1"/>
    </xf>
    <xf numFmtId="0" fontId="154" fillId="74" borderId="0" xfId="39" applyFont="1" applyFill="1" applyAlignment="1">
      <alignment horizontal="center" vertical="center" wrapText="1"/>
    </xf>
    <xf numFmtId="0" fontId="59" fillId="75" borderId="0" xfId="39" applyFont="1" applyFill="1" applyAlignment="1">
      <alignment horizontal="center" vertical="center" wrapText="1"/>
    </xf>
    <xf numFmtId="0" fontId="67" fillId="76" borderId="0" xfId="39" applyFont="1" applyFill="1" applyAlignment="1">
      <alignment horizontal="center" vertical="center" wrapText="1"/>
    </xf>
    <xf numFmtId="0" fontId="162" fillId="3" borderId="0" xfId="39" applyFont="1" applyFill="1" applyAlignment="1">
      <alignment horizontal="center" vertical="center"/>
    </xf>
    <xf numFmtId="0" fontId="159" fillId="0" borderId="118" xfId="36" applyFont="1" applyBorder="1" applyAlignment="1">
      <alignment horizontal="right" vertical="center" wrapText="1"/>
    </xf>
    <xf numFmtId="0" fontId="159" fillId="0" borderId="0" xfId="36" applyFont="1" applyAlignment="1">
      <alignment horizontal="right" vertical="center" wrapText="1"/>
    </xf>
    <xf numFmtId="0" fontId="159" fillId="0" borderId="122" xfId="36" applyFont="1" applyBorder="1" applyAlignment="1">
      <alignment horizontal="right" vertical="center" wrapText="1"/>
    </xf>
    <xf numFmtId="0" fontId="159" fillId="0" borderId="123" xfId="36" applyFont="1" applyBorder="1" applyAlignment="1">
      <alignment horizontal="right" vertical="center" wrapText="1"/>
    </xf>
    <xf numFmtId="0" fontId="156" fillId="0" borderId="115" xfId="36" applyFont="1" applyBorder="1" applyAlignment="1">
      <alignment horizontal="left" vertical="center" wrapText="1"/>
    </xf>
    <xf numFmtId="0" fontId="156" fillId="0" borderId="117" xfId="36" applyFont="1" applyBorder="1" applyAlignment="1">
      <alignment horizontal="left" vertical="center" wrapText="1"/>
    </xf>
    <xf numFmtId="0" fontId="156" fillId="0" borderId="115" xfId="36" applyFont="1" applyBorder="1" applyAlignment="1">
      <alignment horizontal="center" vertical="center" wrapText="1"/>
    </xf>
    <xf numFmtId="0" fontId="156" fillId="0" borderId="117" xfId="36" applyFont="1" applyBorder="1" applyAlignment="1">
      <alignment horizontal="center" vertical="center" wrapText="1"/>
    </xf>
    <xf numFmtId="0" fontId="156" fillId="0" borderId="118" xfId="36" applyFont="1" applyBorder="1" applyAlignment="1">
      <alignment horizontal="left" vertical="center" wrapText="1"/>
    </xf>
    <xf numFmtId="0" fontId="156" fillId="0" borderId="119" xfId="36" applyFont="1" applyBorder="1" applyAlignment="1">
      <alignment horizontal="left" vertical="center" wrapText="1"/>
    </xf>
    <xf numFmtId="0" fontId="156" fillId="3" borderId="118" xfId="36" applyFont="1" applyFill="1" applyBorder="1" applyAlignment="1">
      <alignment horizontal="left" vertical="center" wrapText="1"/>
    </xf>
    <xf numFmtId="0" fontId="156" fillId="3" borderId="119" xfId="36" applyFont="1" applyFill="1" applyBorder="1" applyAlignment="1">
      <alignment horizontal="left" vertical="center" wrapText="1"/>
    </xf>
    <xf numFmtId="0" fontId="274" fillId="79" borderId="0" xfId="36" applyFont="1" applyFill="1" applyAlignment="1">
      <alignment horizontal="center" vertical="center"/>
    </xf>
    <xf numFmtId="0" fontId="159" fillId="90" borderId="115" xfId="36" applyFont="1" applyFill="1" applyBorder="1" applyAlignment="1">
      <alignment horizontal="center" vertical="center" wrapText="1"/>
    </xf>
    <xf numFmtId="0" fontId="159" fillId="90" borderId="117" xfId="36" applyFont="1" applyFill="1" applyBorder="1" applyAlignment="1">
      <alignment horizontal="center" vertical="center" wrapText="1"/>
    </xf>
    <xf numFmtId="0" fontId="11" fillId="90" borderId="115" xfId="36" applyFont="1" applyFill="1" applyBorder="1" applyAlignment="1">
      <alignment horizontal="center" vertical="center" wrapText="1"/>
    </xf>
    <xf numFmtId="0" fontId="11" fillId="90" borderId="117" xfId="36" applyFont="1" applyFill="1" applyBorder="1" applyAlignment="1">
      <alignment horizontal="center" vertical="center" wrapText="1"/>
    </xf>
    <xf numFmtId="0" fontId="11" fillId="90" borderId="118" xfId="36" applyFont="1" applyFill="1" applyBorder="1" applyAlignment="1">
      <alignment horizontal="center" vertical="center" wrapText="1"/>
    </xf>
    <xf numFmtId="0" fontId="11" fillId="90" borderId="119" xfId="36" applyFont="1" applyFill="1" applyBorder="1" applyAlignment="1">
      <alignment horizontal="center" vertical="center" wrapText="1"/>
    </xf>
    <xf numFmtId="0" fontId="41" fillId="0" borderId="115" xfId="36" applyFont="1" applyBorder="1" applyAlignment="1">
      <alignment horizontal="left" vertical="center" wrapText="1"/>
    </xf>
    <xf numFmtId="0" fontId="41" fillId="0" borderId="117" xfId="36" applyFont="1" applyBorder="1" applyAlignment="1">
      <alignment horizontal="left" vertical="center" wrapText="1"/>
    </xf>
    <xf numFmtId="0" fontId="11" fillId="71" borderId="102" xfId="36" applyFont="1" applyFill="1" applyBorder="1" applyAlignment="1">
      <alignment horizontal="center" vertical="center" wrapText="1"/>
    </xf>
    <xf numFmtId="0" fontId="159" fillId="90" borderId="118" xfId="36" applyFont="1" applyFill="1" applyBorder="1" applyAlignment="1">
      <alignment horizontal="center" vertical="center" wrapText="1"/>
    </xf>
    <xf numFmtId="0" fontId="159" fillId="90" borderId="119" xfId="36" applyFont="1" applyFill="1" applyBorder="1" applyAlignment="1">
      <alignment horizontal="center" vertical="center" wrapText="1"/>
    </xf>
    <xf numFmtId="0" fontId="41" fillId="90" borderId="115" xfId="36" applyFont="1" applyFill="1" applyBorder="1" applyAlignment="1">
      <alignment horizontal="center" vertical="center" wrapText="1"/>
    </xf>
    <xf numFmtId="0" fontId="41" fillId="90" borderId="117" xfId="36" applyFont="1" applyFill="1" applyBorder="1" applyAlignment="1">
      <alignment horizontal="center" vertical="center" wrapText="1"/>
    </xf>
    <xf numFmtId="0" fontId="156" fillId="4" borderId="102" xfId="36" applyFont="1" applyFill="1" applyBorder="1" applyAlignment="1">
      <alignment vertical="center" wrapText="1"/>
    </xf>
    <xf numFmtId="0" fontId="274" fillId="74" borderId="0" xfId="36" applyFont="1" applyFill="1" applyAlignment="1">
      <alignment horizontal="center" vertical="center"/>
    </xf>
    <xf numFmtId="0" fontId="153" fillId="74" borderId="102" xfId="36" applyFont="1" applyFill="1" applyBorder="1" applyAlignment="1">
      <alignment horizontal="center" vertical="center"/>
    </xf>
    <xf numFmtId="0" fontId="156" fillId="66" borderId="102" xfId="36" applyFont="1" applyFill="1" applyBorder="1" applyAlignment="1">
      <alignment vertical="center" wrapText="1"/>
    </xf>
    <xf numFmtId="0" fontId="156" fillId="91" borderId="118" xfId="36" applyFont="1" applyFill="1" applyBorder="1" applyAlignment="1">
      <alignment horizontal="left" vertical="center" wrapText="1"/>
    </xf>
    <xf numFmtId="0" fontId="156" fillId="91" borderId="0" xfId="36" applyFont="1" applyFill="1" applyAlignment="1">
      <alignment horizontal="left" vertical="center" wrapText="1"/>
    </xf>
    <xf numFmtId="0" fontId="156" fillId="91" borderId="119" xfId="36" applyFont="1" applyFill="1" applyBorder="1" applyAlignment="1">
      <alignment horizontal="left" vertical="center" wrapText="1"/>
    </xf>
    <xf numFmtId="0" fontId="156" fillId="66" borderId="115" xfId="36" applyFont="1" applyFill="1" applyBorder="1" applyAlignment="1">
      <alignment horizontal="center" vertical="center" wrapText="1"/>
    </xf>
    <xf numFmtId="0" fontId="156" fillId="66" borderId="117" xfId="36" applyFont="1" applyFill="1" applyBorder="1" applyAlignment="1">
      <alignment horizontal="center" vertical="center" wrapText="1"/>
    </xf>
    <xf numFmtId="0" fontId="156" fillId="66" borderId="115" xfId="36" applyFont="1" applyFill="1" applyBorder="1" applyAlignment="1">
      <alignment horizontal="left" vertical="center" wrapText="1"/>
    </xf>
    <xf numFmtId="0" fontId="156" fillId="66" borderId="117" xfId="36" applyFont="1" applyFill="1" applyBorder="1" applyAlignment="1">
      <alignment horizontal="left" vertical="center" wrapText="1"/>
    </xf>
    <xf numFmtId="0" fontId="153" fillId="79" borderId="102" xfId="36" applyFont="1" applyFill="1" applyBorder="1" applyAlignment="1">
      <alignment horizontal="center" vertical="center"/>
    </xf>
    <xf numFmtId="0" fontId="11" fillId="4" borderId="102" xfId="36" applyFont="1" applyFill="1" applyBorder="1" applyAlignment="1">
      <alignment vertical="center" wrapText="1"/>
    </xf>
    <xf numFmtId="0" fontId="156" fillId="3" borderId="102" xfId="36" applyFont="1" applyFill="1" applyBorder="1" applyAlignment="1">
      <alignment vertical="center" wrapText="1"/>
    </xf>
    <xf numFmtId="0" fontId="159" fillId="71" borderId="102" xfId="36" applyFont="1" applyFill="1" applyBorder="1" applyAlignment="1">
      <alignment vertical="center" wrapText="1"/>
    </xf>
    <xf numFmtId="0" fontId="156" fillId="71" borderId="102" xfId="36" applyFont="1" applyFill="1" applyBorder="1" applyAlignment="1">
      <alignment vertical="center" wrapText="1"/>
    </xf>
    <xf numFmtId="0" fontId="159" fillId="3" borderId="102" xfId="36" applyFont="1" applyFill="1" applyBorder="1" applyAlignment="1">
      <alignment vertical="center" wrapText="1"/>
    </xf>
    <xf numFmtId="0" fontId="156" fillId="91" borderId="102" xfId="36" applyFont="1" applyFill="1" applyBorder="1" applyAlignment="1">
      <alignment vertical="center" wrapText="1"/>
    </xf>
    <xf numFmtId="0" fontId="159" fillId="5" borderId="102" xfId="36" applyFont="1" applyFill="1" applyBorder="1" applyAlignment="1">
      <alignment horizontal="center" vertical="center" wrapText="1"/>
    </xf>
    <xf numFmtId="0" fontId="59" fillId="74" borderId="118" xfId="36" applyFont="1" applyFill="1" applyBorder="1" applyAlignment="1">
      <alignment horizontal="center" vertical="center" wrapText="1"/>
    </xf>
    <xf numFmtId="0" fontId="59" fillId="74" borderId="119" xfId="36" applyFont="1" applyFill="1" applyBorder="1" applyAlignment="1">
      <alignment horizontal="center" vertical="center" wrapText="1"/>
    </xf>
    <xf numFmtId="0" fontId="59" fillId="74" borderId="115" xfId="36" applyFont="1" applyFill="1" applyBorder="1" applyAlignment="1">
      <alignment horizontal="center" vertical="center" wrapText="1"/>
    </xf>
    <xf numFmtId="0" fontId="59" fillId="74" borderId="117" xfId="36" applyFont="1" applyFill="1" applyBorder="1" applyAlignment="1">
      <alignment horizontal="center" vertical="center" wrapText="1"/>
    </xf>
    <xf numFmtId="14" fontId="7" fillId="66" borderId="115" xfId="36" applyNumberFormat="1" applyFont="1" applyFill="1" applyBorder="1" applyAlignment="1">
      <alignment horizontal="left" vertical="center"/>
    </xf>
    <xf numFmtId="14" fontId="7" fillId="66" borderId="116" xfId="36" applyNumberFormat="1" applyFont="1" applyFill="1" applyBorder="1" applyAlignment="1">
      <alignment horizontal="left" vertical="center"/>
    </xf>
    <xf numFmtId="14" fontId="7" fillId="66" borderId="117" xfId="36" applyNumberFormat="1" applyFont="1" applyFill="1" applyBorder="1" applyAlignment="1">
      <alignment horizontal="left" vertical="center"/>
    </xf>
    <xf numFmtId="0" fontId="274" fillId="74" borderId="102" xfId="36" applyFont="1" applyFill="1" applyBorder="1" applyAlignment="1">
      <alignment horizontal="center" vertical="center"/>
    </xf>
    <xf numFmtId="0" fontId="11" fillId="90" borderId="102" xfId="36" applyFont="1" applyFill="1" applyBorder="1" applyAlignment="1">
      <alignment horizontal="center" vertical="center"/>
    </xf>
    <xf numFmtId="0" fontId="175" fillId="74" borderId="0" xfId="36" applyFont="1" applyFill="1" applyAlignment="1">
      <alignment horizontal="center" vertical="center"/>
    </xf>
    <xf numFmtId="0" fontId="175" fillId="74" borderId="102" xfId="36" applyFont="1" applyFill="1" applyBorder="1" applyAlignment="1">
      <alignment horizontal="center" vertical="center"/>
    </xf>
    <xf numFmtId="0" fontId="11" fillId="90" borderId="102" xfId="36" applyFont="1" applyFill="1" applyBorder="1" applyAlignment="1">
      <alignment vertical="center" wrapText="1"/>
    </xf>
    <xf numFmtId="0" fontId="10" fillId="71" borderId="102" xfId="36" applyFont="1" applyFill="1" applyBorder="1" applyAlignment="1">
      <alignment horizontal="center" vertical="center" wrapText="1"/>
    </xf>
    <xf numFmtId="0" fontId="137" fillId="5" borderId="102" xfId="36" applyFont="1" applyFill="1" applyBorder="1" applyAlignment="1">
      <alignment horizontal="center" vertical="center" wrapText="1"/>
    </xf>
    <xf numFmtId="0" fontId="156" fillId="0" borderId="102" xfId="36" applyFont="1" applyBorder="1" applyAlignment="1">
      <alignment horizontal="center" vertical="center" wrapText="1"/>
    </xf>
    <xf numFmtId="0" fontId="11" fillId="3" borderId="102" xfId="36" applyFont="1" applyFill="1" applyBorder="1" applyAlignment="1">
      <alignment horizontal="center" vertical="center" wrapText="1"/>
    </xf>
    <xf numFmtId="0" fontId="159" fillId="4" borderId="102" xfId="36" applyFont="1" applyFill="1" applyBorder="1" applyAlignment="1">
      <alignment horizontal="center" vertical="center" wrapText="1"/>
    </xf>
    <xf numFmtId="0" fontId="156" fillId="66" borderId="102" xfId="36" applyFont="1" applyFill="1" applyBorder="1" applyAlignment="1">
      <alignment horizontal="center" vertical="center" wrapText="1"/>
    </xf>
    <xf numFmtId="0" fontId="163" fillId="91" borderId="102" xfId="36" applyFont="1" applyFill="1" applyBorder="1" applyAlignment="1">
      <alignment vertical="center" wrapText="1"/>
    </xf>
    <xf numFmtId="0" fontId="137" fillId="5" borderId="102" xfId="36" applyFont="1" applyFill="1" applyBorder="1" applyAlignment="1">
      <alignment horizontal="right" vertical="center" wrapText="1"/>
    </xf>
    <xf numFmtId="14" fontId="276" fillId="66" borderId="115" xfId="36" applyNumberFormat="1" applyFont="1" applyFill="1" applyBorder="1" applyAlignment="1">
      <alignment horizontal="center" vertical="center"/>
    </xf>
    <xf numFmtId="14" fontId="276" fillId="66" borderId="117" xfId="36" applyNumberFormat="1" applyFont="1" applyFill="1" applyBorder="1" applyAlignment="1">
      <alignment horizontal="center" vertical="center"/>
    </xf>
    <xf numFmtId="0" fontId="159" fillId="5" borderId="115" xfId="36" applyFont="1" applyFill="1" applyBorder="1" applyAlignment="1">
      <alignment horizontal="right" vertical="center"/>
    </xf>
    <xf numFmtId="0" fontId="159" fillId="5" borderId="117" xfId="36" applyFont="1" applyFill="1" applyBorder="1" applyAlignment="1">
      <alignment horizontal="right" vertical="center"/>
    </xf>
    <xf numFmtId="0" fontId="276" fillId="66" borderId="125" xfId="36" applyFont="1" applyFill="1" applyBorder="1" applyAlignment="1">
      <alignment horizontal="center" vertical="center"/>
    </xf>
    <xf numFmtId="0" fontId="276" fillId="66" borderId="121" xfId="36" applyFont="1" applyFill="1" applyBorder="1" applyAlignment="1">
      <alignment horizontal="center" vertical="center"/>
    </xf>
    <xf numFmtId="0" fontId="276" fillId="66" borderId="115" xfId="36" applyFont="1" applyFill="1" applyBorder="1" applyAlignment="1">
      <alignment horizontal="center" vertical="center"/>
    </xf>
    <xf numFmtId="0" fontId="276" fillId="66" borderId="117" xfId="36" applyFont="1" applyFill="1" applyBorder="1" applyAlignment="1">
      <alignment horizontal="center" vertical="center"/>
    </xf>
    <xf numFmtId="0" fontId="175" fillId="74" borderId="125" xfId="36" applyFont="1" applyFill="1" applyBorder="1" applyAlignment="1">
      <alignment horizontal="center" vertical="center"/>
    </xf>
    <xf numFmtId="0" fontId="175" fillId="74" borderId="120" xfId="36" applyFont="1" applyFill="1" applyBorder="1" applyAlignment="1">
      <alignment horizontal="center" vertical="center"/>
    </xf>
    <xf numFmtId="0" fontId="175" fillId="74" borderId="122" xfId="36" applyFont="1" applyFill="1" applyBorder="1" applyAlignment="1">
      <alignment horizontal="center" vertical="center"/>
    </xf>
    <xf numFmtId="0" fontId="175" fillId="74" borderId="123" xfId="36" applyFont="1" applyFill="1" applyBorder="1" applyAlignment="1">
      <alignment horizontal="center" vertical="center"/>
    </xf>
    <xf numFmtId="0" fontId="137" fillId="90" borderId="102" xfId="36" applyFont="1" applyFill="1" applyBorder="1" applyAlignment="1">
      <alignment vertical="center" wrapText="1"/>
    </xf>
    <xf numFmtId="0" fontId="20" fillId="91" borderId="102" xfId="36" applyFont="1" applyFill="1" applyBorder="1" applyAlignment="1">
      <alignment horizontal="right" vertical="center" wrapText="1"/>
    </xf>
    <xf numFmtId="0" fontId="20" fillId="91" borderId="102" xfId="36" applyFont="1" applyFill="1" applyBorder="1" applyAlignment="1">
      <alignment vertical="center" wrapText="1"/>
    </xf>
    <xf numFmtId="0" fontId="59" fillId="74" borderId="102" xfId="36" applyFont="1" applyFill="1" applyBorder="1" applyAlignment="1">
      <alignment horizontal="center" vertical="center"/>
    </xf>
    <xf numFmtId="0" fontId="41" fillId="66" borderId="102" xfId="36" applyFont="1" applyFill="1" applyBorder="1" applyAlignment="1">
      <alignment horizontal="center" vertical="center"/>
    </xf>
    <xf numFmtId="0" fontId="182" fillId="66" borderId="102" xfId="36" applyFont="1" applyFill="1" applyBorder="1" applyAlignment="1">
      <alignment horizontal="center" vertical="center"/>
    </xf>
    <xf numFmtId="0" fontId="137" fillId="4" borderId="102" xfId="36" applyFont="1" applyFill="1" applyBorder="1" applyAlignment="1">
      <alignment horizontal="center" vertical="center" wrapText="1"/>
    </xf>
    <xf numFmtId="0" fontId="7" fillId="66" borderId="102" xfId="36" applyFont="1" applyFill="1" applyBorder="1" applyAlignment="1">
      <alignment horizontal="left" vertical="center" wrapText="1"/>
    </xf>
    <xf numFmtId="0" fontId="159" fillId="4" borderId="102" xfId="36" applyFont="1" applyFill="1" applyBorder="1" applyAlignment="1">
      <alignment vertical="center" wrapText="1"/>
    </xf>
    <xf numFmtId="0" fontId="153" fillId="72" borderId="102" xfId="36" applyFont="1" applyFill="1" applyBorder="1" applyAlignment="1">
      <alignment horizontal="center" vertical="center"/>
    </xf>
    <xf numFmtId="0" fontId="11" fillId="3" borderId="102" xfId="36" applyFont="1" applyFill="1" applyBorder="1" applyAlignment="1">
      <alignment horizontal="center" vertical="center"/>
    </xf>
    <xf numFmtId="0" fontId="163" fillId="66" borderId="102" xfId="36" applyFont="1" applyFill="1" applyBorder="1" applyAlignment="1">
      <alignment vertical="center" wrapText="1"/>
    </xf>
    <xf numFmtId="0" fontId="11" fillId="66" borderId="102" xfId="36" applyFont="1" applyFill="1" applyBorder="1" applyAlignment="1">
      <alignment vertical="center" wrapText="1"/>
    </xf>
    <xf numFmtId="0" fontId="153" fillId="94" borderId="102" xfId="36" applyFont="1" applyFill="1" applyBorder="1" applyAlignment="1">
      <alignment horizontal="center" vertical="center"/>
    </xf>
    <xf numFmtId="0" fontId="181" fillId="66" borderId="102" xfId="36" applyFont="1" applyFill="1" applyBorder="1" applyAlignment="1">
      <alignment vertical="center" wrapText="1"/>
    </xf>
    <xf numFmtId="0" fontId="181" fillId="66" borderId="102" xfId="36" applyFont="1" applyFill="1" applyBorder="1" applyAlignment="1">
      <alignment horizontal="left" vertical="center" wrapText="1"/>
    </xf>
    <xf numFmtId="0" fontId="153" fillId="93" borderId="102" xfId="36" applyFont="1" applyFill="1" applyBorder="1" applyAlignment="1">
      <alignment horizontal="center" vertical="center"/>
    </xf>
    <xf numFmtId="0" fontId="180" fillId="4" borderId="102" xfId="36" applyFont="1" applyFill="1" applyBorder="1" applyAlignment="1">
      <alignment horizontal="center" vertical="center" wrapText="1"/>
    </xf>
    <xf numFmtId="14" fontId="181" fillId="66" borderId="102" xfId="36" applyNumberFormat="1" applyFont="1" applyFill="1" applyBorder="1" applyAlignment="1">
      <alignment horizontal="left" vertical="center" wrapText="1"/>
    </xf>
    <xf numFmtId="0" fontId="208" fillId="2" borderId="0" xfId="39" applyFont="1" applyFill="1" applyAlignment="1">
      <alignment horizontal="center" vertical="center" wrapText="1"/>
    </xf>
    <xf numFmtId="0" fontId="208" fillId="2" borderId="105" xfId="39" applyFont="1" applyFill="1" applyBorder="1" applyAlignment="1">
      <alignment horizontal="center" vertical="center" wrapText="1"/>
    </xf>
    <xf numFmtId="0" fontId="67" fillId="79" borderId="0" xfId="39" applyFont="1" applyFill="1" applyAlignment="1">
      <alignment horizontal="center" vertical="center" wrapText="1"/>
    </xf>
    <xf numFmtId="0" fontId="67" fillId="79" borderId="105" xfId="39" applyFont="1" applyFill="1" applyBorder="1" applyAlignment="1">
      <alignment horizontal="center" vertical="center" wrapText="1"/>
    </xf>
    <xf numFmtId="0" fontId="206" fillId="105" borderId="0" xfId="45" applyFont="1" applyFill="1" applyAlignment="1">
      <alignment horizontal="center" vertical="center" wrapText="1"/>
    </xf>
    <xf numFmtId="0" fontId="207" fillId="106" borderId="0" xfId="5" applyFont="1" applyFill="1" applyAlignment="1" applyProtection="1">
      <alignment horizontal="center" vertical="center" wrapText="1"/>
      <protection hidden="1"/>
    </xf>
    <xf numFmtId="0" fontId="1" fillId="2" borderId="0" xfId="39" applyFont="1" applyFill="1" applyAlignment="1">
      <alignment horizontal="center" vertical="center" wrapText="1"/>
    </xf>
    <xf numFmtId="0" fontId="1" fillId="2" borderId="105" xfId="39" applyFont="1" applyFill="1" applyBorder="1" applyAlignment="1">
      <alignment horizontal="center" vertical="center" wrapText="1"/>
    </xf>
    <xf numFmtId="0" fontId="4" fillId="78" borderId="0" xfId="39" applyFont="1" applyFill="1" applyAlignment="1">
      <alignment horizontal="center" vertical="center" wrapText="1"/>
    </xf>
    <xf numFmtId="0" fontId="4" fillId="78" borderId="105" xfId="39" applyFont="1" applyFill="1" applyBorder="1" applyAlignment="1">
      <alignment horizontal="center" vertical="center" wrapText="1"/>
    </xf>
    <xf numFmtId="0" fontId="3" fillId="98" borderId="0" xfId="41" applyFill="1" applyAlignment="1">
      <alignment horizontal="center" vertical="center" wrapText="1"/>
    </xf>
    <xf numFmtId="0" fontId="199" fillId="102" borderId="0" xfId="41" applyFont="1" applyFill="1" applyAlignment="1">
      <alignment horizontal="center" vertical="center"/>
    </xf>
    <xf numFmtId="0" fontId="175" fillId="75" borderId="0" xfId="39" applyFont="1" applyFill="1" applyAlignment="1">
      <alignment horizontal="center" vertical="center" wrapText="1"/>
    </xf>
    <xf numFmtId="0" fontId="185" fillId="97" borderId="0" xfId="41" applyFont="1" applyFill="1" applyAlignment="1">
      <alignment horizontal="center" vertical="center"/>
    </xf>
    <xf numFmtId="0" fontId="3" fillId="0" borderId="9" xfId="41" applyBorder="1" applyAlignment="1">
      <alignment horizontal="right" vertical="center" wrapText="1"/>
    </xf>
    <xf numFmtId="0" fontId="188" fillId="99" borderId="0" xfId="41" applyFont="1" applyFill="1" applyAlignment="1">
      <alignment horizontal="center" vertical="center" wrapText="1"/>
    </xf>
    <xf numFmtId="0" fontId="191" fillId="102" borderId="0" xfId="41" applyFont="1" applyFill="1" applyAlignment="1">
      <alignment horizontal="center" vertical="center"/>
    </xf>
    <xf numFmtId="0" fontId="259" fillId="77" borderId="0" xfId="1" applyFont="1" applyFill="1" applyAlignment="1">
      <alignment horizontal="center" vertical="center" wrapText="1"/>
    </xf>
    <xf numFmtId="0" fontId="3" fillId="0" borderId="0" xfId="1" applyAlignment="1">
      <alignment horizontal="center" vertical="center"/>
    </xf>
    <xf numFmtId="0" fontId="228" fillId="10" borderId="0" xfId="5" applyFont="1" applyFill="1" applyAlignment="1">
      <alignment horizontal="center" vertical="center" wrapText="1"/>
    </xf>
    <xf numFmtId="0" fontId="3" fillId="77" borderId="0" xfId="1" applyFill="1" applyAlignment="1">
      <alignment horizontal="center" vertical="center" wrapText="1"/>
    </xf>
    <xf numFmtId="0" fontId="37" fillId="77" borderId="24" xfId="5" applyFont="1" applyFill="1" applyBorder="1" applyAlignment="1">
      <alignment horizontal="center" vertical="center" wrapText="1"/>
    </xf>
    <xf numFmtId="0" fontId="0" fillId="0" borderId="24" xfId="0" applyBorder="1"/>
    <xf numFmtId="0" fontId="4" fillId="13" borderId="0" xfId="42" applyFont="1" applyFill="1" applyAlignment="1">
      <alignment horizontal="center" vertical="top" wrapText="1"/>
    </xf>
    <xf numFmtId="0" fontId="137" fillId="111" borderId="52" xfId="1" applyFont="1" applyFill="1" applyBorder="1" applyAlignment="1">
      <alignment horizontal="center" vertical="center"/>
    </xf>
    <xf numFmtId="0" fontId="0" fillId="0" borderId="52" xfId="0" applyBorder="1"/>
    <xf numFmtId="0" fontId="37" fillId="116" borderId="13" xfId="5" applyFont="1" applyFill="1" applyBorder="1" applyAlignment="1">
      <alignment horizontal="center" vertical="center" wrapText="1"/>
    </xf>
    <xf numFmtId="0" fontId="0" fillId="0" borderId="13" xfId="0" applyBorder="1"/>
    <xf numFmtId="0" fontId="37" fillId="116" borderId="1" xfId="5" applyFont="1" applyFill="1" applyBorder="1" applyAlignment="1">
      <alignment horizontal="center" vertical="center" wrapText="1"/>
    </xf>
    <xf numFmtId="0" fontId="0" fillId="0" borderId="1" xfId="0" applyBorder="1"/>
    <xf numFmtId="0" fontId="244" fillId="85" borderId="56" xfId="5" applyFont="1" applyFill="1" applyBorder="1" applyAlignment="1">
      <alignment horizontal="center" vertical="center" wrapText="1"/>
    </xf>
    <xf numFmtId="0" fontId="0" fillId="0" borderId="56" xfId="0" applyBorder="1"/>
    <xf numFmtId="0" fontId="224" fillId="77" borderId="64" xfId="5" applyFont="1" applyFill="1" applyBorder="1" applyAlignment="1">
      <alignment horizontal="center" vertical="center" wrapText="1"/>
    </xf>
    <xf numFmtId="0" fontId="0" fillId="0" borderId="55" xfId="0" applyBorder="1"/>
    <xf numFmtId="0" fontId="245" fillId="111" borderId="13" xfId="5" applyFont="1" applyFill="1" applyBorder="1" applyAlignment="1">
      <alignment horizontal="center" vertical="center" wrapText="1"/>
    </xf>
    <xf numFmtId="0" fontId="37" fillId="77" borderId="13" xfId="5" applyFont="1" applyFill="1" applyBorder="1" applyAlignment="1">
      <alignment horizontal="center" vertical="center" wrapText="1"/>
    </xf>
    <xf numFmtId="0" fontId="37" fillId="77" borderId="21" xfId="5" applyFont="1" applyFill="1" applyBorder="1" applyAlignment="1">
      <alignment horizontal="center" vertical="center" wrapText="1"/>
    </xf>
    <xf numFmtId="0" fontId="37" fillId="113" borderId="13" xfId="5" applyFont="1" applyFill="1" applyBorder="1" applyAlignment="1">
      <alignment horizontal="center" vertical="center" wrapText="1"/>
    </xf>
    <xf numFmtId="0" fontId="139" fillId="77" borderId="0" xfId="32" applyFont="1" applyFill="1" applyAlignment="1">
      <alignment horizontal="right" vertical="center" wrapText="1"/>
    </xf>
    <xf numFmtId="0" fontId="3" fillId="0" borderId="0" xfId="1" applyAlignment="1">
      <alignment vertical="center"/>
    </xf>
    <xf numFmtId="0" fontId="4" fillId="13" borderId="0" xfId="1" applyFont="1" applyFill="1" applyAlignment="1">
      <alignment horizontal="center" wrapText="1"/>
    </xf>
    <xf numFmtId="0" fontId="215" fillId="13" borderId="0" xfId="1" applyFont="1" applyFill="1" applyAlignment="1">
      <alignment horizontal="center"/>
    </xf>
    <xf numFmtId="199" fontId="230" fillId="77" borderId="13" xfId="1" applyNumberFormat="1" applyFont="1" applyFill="1" applyBorder="1" applyAlignment="1">
      <alignment horizontal="left" vertical="center"/>
    </xf>
    <xf numFmtId="0" fontId="43" fillId="10" borderId="0" xfId="5" applyFont="1" applyFill="1" applyAlignment="1" applyProtection="1">
      <alignment horizontal="center" vertical="top" wrapText="1"/>
      <protection hidden="1"/>
    </xf>
    <xf numFmtId="0" fontId="210" fillId="77" borderId="5" xfId="5" applyFont="1" applyFill="1" applyBorder="1" applyAlignment="1">
      <alignment horizontal="center" vertical="center"/>
    </xf>
    <xf numFmtId="0" fontId="210" fillId="77" borderId="11" xfId="5" applyFont="1" applyFill="1" applyBorder="1" applyAlignment="1">
      <alignment horizontal="center" vertical="center"/>
    </xf>
    <xf numFmtId="0" fontId="10" fillId="113" borderId="7" xfId="5" applyFont="1" applyFill="1" applyBorder="1" applyAlignment="1">
      <alignment horizontal="center" vertical="center"/>
    </xf>
    <xf numFmtId="0" fontId="0" fillId="0" borderId="7" xfId="0" applyBorder="1"/>
    <xf numFmtId="0" fontId="211" fillId="77" borderId="0" xfId="1" applyFont="1" applyFill="1" applyAlignment="1">
      <alignment horizontal="left" wrapText="1"/>
    </xf>
    <xf numFmtId="0" fontId="212" fillId="113" borderId="11" xfId="5" applyFont="1" applyFill="1" applyBorder="1" applyAlignment="1">
      <alignment horizontal="center" vertical="center"/>
    </xf>
    <xf numFmtId="0" fontId="212" fillId="113" borderId="12" xfId="5" applyFont="1" applyFill="1" applyBorder="1" applyAlignment="1">
      <alignment horizontal="center" vertical="center"/>
    </xf>
    <xf numFmtId="0" fontId="220" fillId="112" borderId="5" xfId="5" applyFont="1" applyFill="1" applyBorder="1" applyAlignment="1">
      <alignment horizontal="center" vertical="center" wrapText="1"/>
    </xf>
    <xf numFmtId="0" fontId="0" fillId="0" borderId="5" xfId="0" applyBorder="1"/>
    <xf numFmtId="1" fontId="137" fillId="112" borderId="5" xfId="5" applyNumberFormat="1" applyFont="1" applyFill="1" applyBorder="1" applyAlignment="1">
      <alignment horizontal="center" vertical="center" wrapText="1"/>
    </xf>
    <xf numFmtId="0" fontId="221" fillId="112" borderId="7" xfId="28" applyFont="1" applyFill="1" applyBorder="1" applyAlignment="1">
      <alignment horizontal="center" vertical="center" wrapText="1"/>
    </xf>
    <xf numFmtId="0" fontId="0" fillId="0" borderId="9" xfId="0" applyBorder="1"/>
    <xf numFmtId="0" fontId="136" fillId="5" borderId="102" xfId="1" applyFont="1" applyFill="1" applyBorder="1" applyAlignment="1">
      <alignment horizontal="right" vertical="center" wrapText="1"/>
    </xf>
    <xf numFmtId="0" fontId="136" fillId="91" borderId="102" xfId="1" applyFont="1" applyFill="1" applyBorder="1" applyAlignment="1">
      <alignment horizontal="center" vertical="center" wrapText="1"/>
    </xf>
    <xf numFmtId="0" fontId="136" fillId="4" borderId="102" xfId="1" applyFont="1" applyFill="1" applyBorder="1" applyAlignment="1">
      <alignment horizontal="center" vertical="center" wrapText="1"/>
    </xf>
    <xf numFmtId="0" fontId="136" fillId="3" borderId="102" xfId="1" applyFont="1" applyFill="1" applyBorder="1" applyAlignment="1">
      <alignment horizontal="center" vertical="center" wrapText="1"/>
    </xf>
    <xf numFmtId="0" fontId="175" fillId="74" borderId="102" xfId="1" applyFont="1" applyFill="1" applyBorder="1" applyAlignment="1">
      <alignment horizontal="center" vertical="center"/>
    </xf>
    <xf numFmtId="0" fontId="143" fillId="90" borderId="102" xfId="1" applyFont="1" applyFill="1" applyBorder="1" applyAlignment="1">
      <alignment horizontal="center" vertical="center" wrapText="1"/>
    </xf>
    <xf numFmtId="0" fontId="67" fillId="74" borderId="102" xfId="1" applyFont="1" applyFill="1" applyBorder="1" applyAlignment="1">
      <alignment horizontal="center" vertical="center"/>
    </xf>
    <xf numFmtId="0" fontId="138" fillId="91" borderId="102" xfId="1" applyFont="1" applyFill="1" applyBorder="1" applyAlignment="1">
      <alignment horizontal="center" vertical="center" wrapText="1"/>
    </xf>
    <xf numFmtId="0" fontId="59" fillId="13" borderId="0" xfId="0" applyFont="1" applyFill="1" applyAlignment="1">
      <alignment horizontal="center" vertical="center"/>
    </xf>
    <xf numFmtId="0" fontId="150" fillId="134" borderId="0" xfId="0" applyFont="1" applyFill="1" applyAlignment="1">
      <alignment vertical="center"/>
    </xf>
    <xf numFmtId="0" fontId="59" fillId="2" borderId="131" xfId="0" applyFont="1" applyFill="1" applyBorder="1" applyAlignment="1">
      <alignment horizontal="center" vertical="center"/>
    </xf>
    <xf numFmtId="0" fontId="0" fillId="0" borderId="131" xfId="0" applyBorder="1" applyAlignment="1">
      <alignment vertical="center"/>
    </xf>
    <xf numFmtId="0" fontId="137" fillId="66" borderId="0" xfId="0" applyFont="1" applyFill="1" applyAlignment="1">
      <alignment horizontal="left" vertical="center"/>
    </xf>
    <xf numFmtId="0" fontId="0" fillId="0" borderId="0" xfId="0" applyAlignment="1">
      <alignment vertical="center"/>
    </xf>
    <xf numFmtId="0" fontId="138" fillId="153" borderId="0" xfId="1" applyFont="1" applyFill="1" applyAlignment="1">
      <alignment horizontal="left" vertical="center" wrapText="1"/>
    </xf>
    <xf numFmtId="0" fontId="59" fillId="146" borderId="0" xfId="1" applyFont="1" applyFill="1" applyAlignment="1">
      <alignment horizontal="center" vertical="center" wrapText="1"/>
    </xf>
    <xf numFmtId="0" fontId="59" fillId="138" borderId="0" xfId="1" applyFont="1" applyFill="1" applyAlignment="1">
      <alignment horizontal="center" vertical="center" wrapText="1"/>
    </xf>
    <xf numFmtId="0" fontId="67" fillId="138" borderId="0" xfId="1" applyFont="1" applyFill="1" applyAlignment="1">
      <alignment horizontal="center" vertical="center" wrapText="1"/>
    </xf>
    <xf numFmtId="0" fontId="67" fillId="146" borderId="0" xfId="1" applyFont="1" applyFill="1" applyAlignment="1">
      <alignment horizontal="center" vertical="center" wrapText="1"/>
    </xf>
    <xf numFmtId="0" fontId="266" fillId="3" borderId="136" xfId="26" applyFont="1" applyFill="1" applyBorder="1" applyAlignment="1">
      <alignment horizontal="center" vertical="center" wrapText="1"/>
    </xf>
    <xf numFmtId="0" fontId="3" fillId="0" borderId="135" xfId="26" applyBorder="1" applyAlignment="1">
      <alignment vertical="center"/>
    </xf>
    <xf numFmtId="0" fontId="3" fillId="0" borderId="134" xfId="26" applyBorder="1" applyAlignment="1">
      <alignment vertical="center"/>
    </xf>
    <xf numFmtId="0" fontId="3" fillId="0" borderId="138" xfId="26" applyBorder="1" applyAlignment="1">
      <alignment vertical="center" wrapText="1"/>
    </xf>
    <xf numFmtId="0" fontId="3" fillId="0" borderId="0" xfId="26" applyAlignment="1">
      <alignment vertical="center"/>
    </xf>
    <xf numFmtId="0" fontId="3" fillId="0" borderId="137" xfId="26" applyBorder="1" applyAlignment="1">
      <alignment vertical="center"/>
    </xf>
    <xf numFmtId="0" fontId="1" fillId="157" borderId="138" xfId="26" applyFont="1" applyFill="1" applyBorder="1" applyAlignment="1">
      <alignment horizontal="center" vertical="center"/>
    </xf>
    <xf numFmtId="0" fontId="3" fillId="66" borderId="138" xfId="26" applyFill="1" applyBorder="1" applyAlignment="1">
      <alignment vertical="center" wrapText="1"/>
    </xf>
    <xf numFmtId="0" fontId="3" fillId="0" borderId="138" xfId="26" applyBorder="1" applyAlignment="1">
      <alignment vertical="center"/>
    </xf>
    <xf numFmtId="0" fontId="59" fillId="2" borderId="141" xfId="26" applyFont="1" applyFill="1" applyBorder="1" applyAlignment="1">
      <alignment horizontal="center" vertical="center"/>
    </xf>
    <xf numFmtId="0" fontId="59" fillId="2" borderId="140" xfId="26" applyFont="1" applyFill="1" applyBorder="1" applyAlignment="1">
      <alignment horizontal="center" vertical="center"/>
    </xf>
    <xf numFmtId="0" fontId="59" fillId="2" borderId="139" xfId="26" applyFont="1" applyFill="1" applyBorder="1" applyAlignment="1">
      <alignment horizontal="center" vertical="center"/>
    </xf>
    <xf numFmtId="0" fontId="282" fillId="90" borderId="138" xfId="26" applyFont="1" applyFill="1" applyBorder="1" applyAlignment="1">
      <alignment horizontal="center" vertical="center" wrapText="1"/>
    </xf>
    <xf numFmtId="0" fontId="282" fillId="90" borderId="0" xfId="26" applyFont="1" applyFill="1" applyAlignment="1">
      <alignment horizontal="center" vertical="center" wrapText="1"/>
    </xf>
    <xf numFmtId="0" fontId="282" fillId="90" borderId="137" xfId="26" applyFont="1" applyFill="1" applyBorder="1" applyAlignment="1">
      <alignment horizontal="center" vertical="center" wrapText="1"/>
    </xf>
    <xf numFmtId="0" fontId="1" fillId="159" borderId="138" xfId="26" applyFont="1" applyFill="1" applyBorder="1" applyAlignment="1">
      <alignment horizontal="center" vertical="center"/>
    </xf>
    <xf numFmtId="0" fontId="266" fillId="158" borderId="138" xfId="26" applyFont="1" applyFill="1" applyBorder="1" applyAlignment="1">
      <alignment horizontal="center" vertical="center"/>
    </xf>
    <xf numFmtId="0" fontId="1" fillId="94" borderId="138" xfId="26" applyFont="1" applyFill="1" applyBorder="1" applyAlignment="1">
      <alignment horizontal="center" vertical="center"/>
    </xf>
    <xf numFmtId="0" fontId="3" fillId="161" borderId="0" xfId="1" applyFill="1" applyAlignment="1">
      <alignment vertical="center" wrapText="1"/>
    </xf>
    <xf numFmtId="0" fontId="153" fillId="167" borderId="0" xfId="1" applyFont="1" applyFill="1" applyAlignment="1">
      <alignment horizontal="center" vertical="center" wrapText="1"/>
    </xf>
    <xf numFmtId="0" fontId="1" fillId="167" borderId="0" xfId="1" applyFont="1" applyFill="1" applyAlignment="1">
      <alignment horizontal="center" vertical="center" wrapText="1"/>
    </xf>
    <xf numFmtId="0" fontId="1" fillId="163" borderId="0" xfId="1" applyFont="1" applyFill="1" applyAlignment="1">
      <alignment horizontal="center" vertical="center" wrapText="1"/>
    </xf>
    <xf numFmtId="0" fontId="3" fillId="80" borderId="0" xfId="26" applyFill="1" applyAlignment="1">
      <alignment vertical="center" wrapText="1"/>
    </xf>
    <xf numFmtId="0" fontId="301" fillId="14" borderId="0" xfId="26" applyFont="1" applyFill="1" applyAlignment="1">
      <alignment vertical="center" wrapText="1"/>
    </xf>
    <xf numFmtId="0" fontId="274" fillId="75" borderId="0" xfId="26" applyFont="1" applyFill="1" applyAlignment="1">
      <alignment vertical="center" wrapText="1"/>
    </xf>
    <xf numFmtId="0" fontId="266" fillId="90" borderId="0" xfId="26" applyFont="1" applyFill="1" applyAlignment="1">
      <alignment horizontal="center" vertical="center" wrapText="1"/>
    </xf>
    <xf numFmtId="0" fontId="300" fillId="144" borderId="0" xfId="26" applyFont="1" applyFill="1" applyAlignment="1">
      <alignment horizontal="center" vertical="center" wrapText="1"/>
    </xf>
    <xf numFmtId="0" fontId="290" fillId="80" borderId="0" xfId="26" applyFont="1" applyFill="1" applyAlignment="1">
      <alignment vertical="center" wrapText="1"/>
    </xf>
    <xf numFmtId="0" fontId="299" fillId="4" borderId="0" xfId="26" applyFont="1" applyFill="1" applyAlignment="1">
      <alignment vertical="center" wrapText="1"/>
    </xf>
    <xf numFmtId="0" fontId="284" fillId="195" borderId="0" xfId="26" applyFont="1" applyFill="1" applyAlignment="1">
      <alignment vertical="center" wrapText="1"/>
    </xf>
    <xf numFmtId="0" fontId="296" fillId="179" borderId="0" xfId="26" applyFont="1" applyFill="1" applyAlignment="1">
      <alignment horizontal="center" vertical="center" wrapText="1"/>
    </xf>
    <xf numFmtId="0" fontId="296" fillId="180" borderId="0" xfId="26" applyFont="1" applyFill="1" applyAlignment="1">
      <alignment horizontal="center" vertical="center" wrapText="1"/>
    </xf>
    <xf numFmtId="0" fontId="290" fillId="181" borderId="0" xfId="26" applyFont="1" applyFill="1" applyAlignment="1">
      <alignment horizontal="center" vertical="center" wrapText="1"/>
    </xf>
    <xf numFmtId="0" fontId="288" fillId="182" borderId="0" xfId="26" applyFont="1" applyFill="1" applyAlignment="1">
      <alignment vertical="center" wrapText="1"/>
    </xf>
    <xf numFmtId="0" fontId="298" fillId="0" borderId="0" xfId="26" applyFont="1" applyAlignment="1">
      <alignment vertical="center" wrapText="1"/>
    </xf>
    <xf numFmtId="0" fontId="295" fillId="193" borderId="0" xfId="26" applyFont="1" applyFill="1" applyAlignment="1">
      <alignment horizontal="center" vertical="center" wrapText="1"/>
    </xf>
    <xf numFmtId="0" fontId="59" fillId="172" borderId="0" xfId="26" applyFont="1" applyFill="1" applyAlignment="1">
      <alignment horizontal="left" vertical="center" wrapText="1"/>
    </xf>
    <xf numFmtId="0" fontId="296" fillId="194" borderId="0" xfId="26" applyFont="1" applyFill="1" applyAlignment="1">
      <alignment horizontal="center" vertical="center" wrapText="1"/>
    </xf>
    <xf numFmtId="0" fontId="297" fillId="161" borderId="0" xfId="26" applyFont="1" applyFill="1" applyAlignment="1">
      <alignment vertical="center" wrapText="1"/>
    </xf>
    <xf numFmtId="0" fontId="274" fillId="190" borderId="0" xfId="26" applyFont="1" applyFill="1" applyAlignment="1">
      <alignment vertical="center" wrapText="1"/>
    </xf>
    <xf numFmtId="0" fontId="171" fillId="192" borderId="0" xfId="26" applyFont="1" applyFill="1" applyAlignment="1">
      <alignment horizontal="center" vertical="center" wrapText="1"/>
    </xf>
    <xf numFmtId="0" fontId="274" fillId="185" borderId="0" xfId="26" applyFont="1" applyFill="1" applyAlignment="1">
      <alignment horizontal="center" vertical="center" wrapText="1"/>
    </xf>
    <xf numFmtId="0" fontId="59" fillId="187" borderId="0" xfId="26" applyFont="1" applyFill="1" applyAlignment="1">
      <alignment horizontal="left" vertical="center" wrapText="1"/>
    </xf>
    <xf numFmtId="0" fontId="289" fillId="174" borderId="0" xfId="26" applyFont="1" applyFill="1" applyAlignment="1">
      <alignment horizontal="center" vertical="center" wrapText="1"/>
    </xf>
    <xf numFmtId="0" fontId="171" fillId="188" borderId="0" xfId="26" applyFont="1" applyFill="1" applyAlignment="1">
      <alignment horizontal="center" vertical="center" wrapText="1"/>
    </xf>
    <xf numFmtId="0" fontId="171" fillId="180" borderId="0" xfId="26" applyFont="1" applyFill="1" applyAlignment="1">
      <alignment horizontal="center" vertical="center" wrapText="1"/>
    </xf>
    <xf numFmtId="0" fontId="167" fillId="189" borderId="0" xfId="26" applyFont="1" applyFill="1" applyAlignment="1">
      <alignment vertical="center" wrapText="1"/>
    </xf>
    <xf numFmtId="0" fontId="290" fillId="182" borderId="0" xfId="26" applyFont="1" applyFill="1" applyAlignment="1">
      <alignment vertical="center" wrapText="1"/>
    </xf>
    <xf numFmtId="0" fontId="291" fillId="183" borderId="0" xfId="26" applyFont="1" applyFill="1" applyAlignment="1">
      <alignment vertical="center" wrapText="1"/>
    </xf>
    <xf numFmtId="0" fontId="292" fillId="184" borderId="0" xfId="26" applyFont="1" applyFill="1" applyAlignment="1">
      <alignment vertical="center" wrapText="1"/>
    </xf>
    <xf numFmtId="0" fontId="293" fillId="172" borderId="0" xfId="26" applyFont="1" applyFill="1" applyAlignment="1">
      <alignment horizontal="center" vertical="center" wrapText="1"/>
    </xf>
    <xf numFmtId="0" fontId="294" fillId="3" borderId="0" xfId="26" applyFont="1" applyFill="1" applyAlignment="1">
      <alignment vertical="center" wrapText="1"/>
    </xf>
    <xf numFmtId="0" fontId="167" fillId="181" borderId="0" xfId="26" applyFont="1" applyFill="1" applyAlignment="1">
      <alignment vertical="center" wrapText="1"/>
    </xf>
    <xf numFmtId="0" fontId="274" fillId="72" borderId="0" xfId="26" applyFont="1" applyFill="1" applyAlignment="1">
      <alignment vertical="center" wrapText="1"/>
    </xf>
    <xf numFmtId="0" fontId="59" fillId="177" borderId="0" xfId="26" applyFont="1" applyFill="1" applyAlignment="1">
      <alignment horizontal="left" vertical="center" wrapText="1"/>
    </xf>
    <xf numFmtId="0" fontId="171" fillId="179" borderId="0" xfId="26" applyFont="1" applyFill="1" applyAlignment="1">
      <alignment horizontal="center" vertical="center" wrapText="1"/>
    </xf>
    <xf numFmtId="0" fontId="274" fillId="176" borderId="0" xfId="26" applyFont="1" applyFill="1" applyAlignment="1">
      <alignment horizontal="center" vertical="center" wrapText="1"/>
    </xf>
    <xf numFmtId="0" fontId="287" fillId="14" borderId="0" xfId="26" applyFont="1" applyFill="1" applyAlignment="1">
      <alignment horizontal="center" vertical="center" wrapText="1"/>
    </xf>
    <xf numFmtId="0" fontId="139" fillId="14" borderId="0" xfId="26" applyFont="1" applyFill="1" applyAlignment="1">
      <alignment horizontal="left" vertical="center" wrapText="1"/>
    </xf>
    <xf numFmtId="0" fontId="153" fillId="2" borderId="0" xfId="26" applyFont="1" applyFill="1" applyAlignment="1">
      <alignment horizontal="center" vertical="center" wrapText="1"/>
    </xf>
    <xf numFmtId="0" fontId="175" fillId="172" borderId="0" xfId="26" applyFont="1" applyFill="1" applyAlignment="1">
      <alignment horizontal="center" vertical="center" wrapText="1"/>
    </xf>
    <xf numFmtId="0" fontId="175" fillId="173" borderId="0" xfId="26" applyFont="1" applyFill="1" applyAlignment="1">
      <alignment horizontal="center" vertical="center" wrapText="1"/>
    </xf>
    <xf numFmtId="0" fontId="284" fillId="90" borderId="0" xfId="26" applyFont="1" applyFill="1" applyAlignment="1">
      <alignment vertical="center" wrapText="1"/>
    </xf>
    <xf numFmtId="0" fontId="285" fillId="144" borderId="0" xfId="26" applyFont="1" applyFill="1" applyAlignment="1">
      <alignment horizontal="center" vertical="center" wrapText="1"/>
    </xf>
    <xf numFmtId="0" fontId="286" fillId="174" borderId="0" xfId="26" applyFont="1" applyFill="1" applyAlignment="1">
      <alignment horizontal="center" vertical="center" wrapText="1"/>
    </xf>
    <xf numFmtId="0" fontId="138" fillId="155" borderId="0" xfId="1" applyFont="1" applyFill="1" applyAlignment="1">
      <alignment horizontal="center" vertical="center" wrapText="1"/>
    </xf>
    <xf numFmtId="0" fontId="136" fillId="154" borderId="0" xfId="1" applyFont="1" applyFill="1" applyAlignment="1">
      <alignment horizontal="center" vertical="center" wrapText="1"/>
    </xf>
    <xf numFmtId="0" fontId="138" fillId="171" borderId="0" xfId="1" applyFont="1" applyFill="1" applyAlignment="1">
      <alignment horizontal="left" vertical="center" wrapText="1"/>
    </xf>
    <xf numFmtId="0" fontId="136" fillId="170" borderId="0" xfId="1" applyFont="1" applyFill="1" applyAlignment="1">
      <alignment horizontal="center" vertical="center" wrapText="1"/>
    </xf>
    <xf numFmtId="0" fontId="138" fillId="169" borderId="0" xfId="1" applyFont="1" applyFill="1" applyAlignment="1">
      <alignment horizontal="left" vertical="center" wrapText="1"/>
    </xf>
    <xf numFmtId="0" fontId="153" fillId="138" borderId="0" xfId="1" applyFont="1" applyFill="1" applyAlignment="1">
      <alignment horizontal="center" vertical="center" wrapText="1"/>
    </xf>
    <xf numFmtId="0" fontId="266" fillId="152" borderId="0" xfId="1" applyFont="1" applyFill="1" applyAlignment="1">
      <alignment horizontal="center" vertical="center" wrapText="1"/>
    </xf>
    <xf numFmtId="0" fontId="266" fillId="149" borderId="0" xfId="1" applyFont="1" applyFill="1" applyAlignment="1">
      <alignment horizontal="center" vertical="center" wrapText="1"/>
    </xf>
    <xf numFmtId="0" fontId="266" fillId="150" borderId="0" xfId="1" applyFont="1" applyFill="1" applyAlignment="1">
      <alignment horizontal="center" vertical="center" wrapText="1"/>
    </xf>
    <xf numFmtId="0" fontId="136" fillId="168" borderId="0" xfId="1" applyFont="1" applyFill="1" applyAlignment="1">
      <alignment horizontal="center" vertical="center" wrapText="1"/>
    </xf>
    <xf numFmtId="0" fontId="67" fillId="199" borderId="0" xfId="26" applyFont="1" applyFill="1" applyAlignment="1">
      <alignment horizontal="left" vertical="center" wrapText="1"/>
    </xf>
    <xf numFmtId="0" fontId="288" fillId="0" borderId="0" xfId="26" applyFont="1" applyAlignment="1">
      <alignment vertical="center" wrapText="1"/>
    </xf>
    <xf numFmtId="0" fontId="311" fillId="0" borderId="0" xfId="26" applyFont="1" applyAlignment="1">
      <alignment vertical="center" wrapText="1"/>
    </xf>
    <xf numFmtId="0" fontId="312" fillId="212" borderId="0" xfId="26" applyFont="1" applyFill="1" applyAlignment="1">
      <alignment horizontal="left" vertical="center" wrapText="1"/>
    </xf>
    <xf numFmtId="0" fontId="308" fillId="208" borderId="0" xfId="26" applyFont="1" applyFill="1" applyAlignment="1">
      <alignment horizontal="center" vertical="center" wrapText="1"/>
    </xf>
    <xf numFmtId="0" fontId="288" fillId="0" borderId="0" xfId="26" applyFont="1" applyAlignment="1">
      <alignment horizontal="center" vertical="center" wrapText="1"/>
    </xf>
    <xf numFmtId="0" fontId="308" fillId="201" borderId="0" xfId="26" applyFont="1" applyFill="1" applyAlignment="1">
      <alignment horizontal="center" vertical="center" wrapText="1"/>
    </xf>
    <xf numFmtId="0" fontId="274" fillId="2" borderId="0" xfId="26" applyFont="1" applyFill="1" applyAlignment="1">
      <alignment horizontal="center" vertical="center" wrapText="1"/>
    </xf>
    <xf numFmtId="0" fontId="308" fillId="198" borderId="0" xfId="26" applyFont="1" applyFill="1" applyAlignment="1">
      <alignment horizontal="center" vertical="center" wrapText="1"/>
    </xf>
    <xf numFmtId="0" fontId="308" fillId="200" borderId="0" xfId="26" applyFont="1" applyFill="1" applyAlignment="1">
      <alignment horizontal="center" vertical="center" wrapText="1"/>
    </xf>
    <xf numFmtId="0" fontId="306" fillId="210" borderId="0" xfId="26" applyFont="1" applyFill="1" applyAlignment="1">
      <alignment horizontal="center" vertical="center" wrapText="1"/>
    </xf>
    <xf numFmtId="0" fontId="310" fillId="184" borderId="0" xfId="26" applyFont="1" applyFill="1" applyAlignment="1">
      <alignment horizontal="center" vertical="center" wrapText="1"/>
    </xf>
    <xf numFmtId="0" fontId="309" fillId="201" borderId="0" xfId="26" applyFont="1" applyFill="1" applyAlignment="1">
      <alignment horizontal="center" vertical="center" wrapText="1"/>
    </xf>
    <xf numFmtId="0" fontId="309" fillId="198" borderId="0" xfId="26" applyFont="1" applyFill="1" applyAlignment="1">
      <alignment horizontal="center" vertical="center" wrapText="1"/>
    </xf>
    <xf numFmtId="0" fontId="306" fillId="211" borderId="0" xfId="26" applyFont="1" applyFill="1" applyAlignment="1">
      <alignment horizontal="center" vertical="center" wrapText="1"/>
    </xf>
    <xf numFmtId="0" fontId="309" fillId="200" borderId="0" xfId="26" applyFont="1" applyFill="1" applyAlignment="1">
      <alignment horizontal="center" vertical="center" wrapText="1"/>
    </xf>
    <xf numFmtId="0" fontId="303" fillId="209" borderId="0" xfId="26" applyFont="1" applyFill="1" applyAlignment="1">
      <alignment horizontal="center" vertical="center"/>
    </xf>
    <xf numFmtId="0" fontId="307" fillId="206" borderId="0" xfId="26" applyFont="1" applyFill="1" applyAlignment="1">
      <alignment horizontal="left" vertical="center" wrapText="1"/>
    </xf>
    <xf numFmtId="0" fontId="307" fillId="207" borderId="0" xfId="26" applyFont="1" applyFill="1" applyAlignment="1">
      <alignment horizontal="left" vertical="center" wrapText="1"/>
    </xf>
    <xf numFmtId="0" fontId="167" fillId="202" borderId="0" xfId="26" applyFont="1" applyFill="1" applyAlignment="1">
      <alignment horizontal="left" vertical="center" wrapText="1"/>
    </xf>
    <xf numFmtId="0" fontId="167" fillId="203" borderId="0" xfId="26" applyFont="1" applyFill="1" applyAlignment="1">
      <alignment horizontal="left" vertical="center" wrapText="1"/>
    </xf>
    <xf numFmtId="0" fontId="303" fillId="204" borderId="0" xfId="26" applyFont="1" applyFill="1" applyAlignment="1">
      <alignment horizontal="center" vertical="center"/>
    </xf>
    <xf numFmtId="0" fontId="303" fillId="205" borderId="0" xfId="26" applyFont="1" applyFill="1" applyAlignment="1">
      <alignment horizontal="center" vertical="center"/>
    </xf>
    <xf numFmtId="0" fontId="306" fillId="89" borderId="0" xfId="26" applyFont="1" applyFill="1" applyAlignment="1">
      <alignment horizontal="center" vertical="center" wrapText="1"/>
    </xf>
    <xf numFmtId="0" fontId="305" fillId="200" borderId="0" xfId="26" applyFont="1" applyFill="1" applyAlignment="1">
      <alignment horizontal="center" vertical="center" wrapText="1"/>
    </xf>
    <xf numFmtId="0" fontId="274" fillId="197" borderId="0" xfId="26" applyFont="1" applyFill="1" applyAlignment="1">
      <alignment horizontal="center" vertical="center" wrapText="1"/>
    </xf>
    <xf numFmtId="0" fontId="175" fillId="197" borderId="0" xfId="26" applyFont="1" applyFill="1" applyAlignment="1">
      <alignment horizontal="center" vertical="center" wrapText="1"/>
    </xf>
    <xf numFmtId="0" fontId="285" fillId="198" borderId="0" xfId="26" applyFont="1" applyFill="1" applyAlignment="1">
      <alignment horizontal="center" vertical="center" wrapText="1"/>
    </xf>
    <xf numFmtId="0" fontId="302" fillId="2" borderId="0" xfId="26" applyFont="1" applyFill="1" applyAlignment="1">
      <alignment horizontal="center" vertical="center" wrapText="1"/>
    </xf>
    <xf numFmtId="0" fontId="303" fillId="90" borderId="0" xfId="26" applyFont="1" applyFill="1" applyAlignment="1">
      <alignment horizontal="center" vertical="center"/>
    </xf>
    <xf numFmtId="0" fontId="304" fillId="200" borderId="0" xfId="26" applyFont="1" applyFill="1" applyAlignment="1">
      <alignment horizontal="center" vertical="center" wrapText="1"/>
    </xf>
    <xf numFmtId="0" fontId="304" fillId="201" borderId="0" xfId="26" applyFont="1" applyFill="1" applyAlignment="1">
      <alignment horizontal="center" vertical="center" wrapText="1"/>
    </xf>
    <xf numFmtId="0" fontId="305" fillId="198" borderId="0" xfId="26" applyFont="1" applyFill="1" applyAlignment="1">
      <alignment horizontal="center" vertical="center" wrapText="1"/>
    </xf>
    <xf numFmtId="0" fontId="305" fillId="201" borderId="0" xfId="26" applyFont="1" applyFill="1" applyAlignment="1">
      <alignment horizontal="center" vertical="center" wrapText="1"/>
    </xf>
    <xf numFmtId="0" fontId="314" fillId="0" borderId="143" xfId="0" applyFont="1" applyBorder="1" applyAlignment="1">
      <alignment horizontal="center" vertical="center" wrapText="1"/>
    </xf>
    <xf numFmtId="0" fontId="314" fillId="0" borderId="144" xfId="0" applyFont="1" applyBorder="1" applyAlignment="1">
      <alignment horizontal="center" vertical="center" wrapText="1"/>
    </xf>
    <xf numFmtId="0" fontId="40" fillId="0" borderId="46" xfId="0" applyFont="1" applyBorder="1" applyAlignment="1">
      <alignment horizontal="center" vertical="center" wrapText="1"/>
    </xf>
    <xf numFmtId="0" fontId="40" fillId="0" borderId="144" xfId="0" applyFont="1" applyBorder="1" applyAlignment="1">
      <alignment horizontal="center" vertical="center" wrapText="1"/>
    </xf>
    <xf numFmtId="0" fontId="40" fillId="0" borderId="143" xfId="0" applyFont="1" applyBorder="1" applyAlignment="1">
      <alignment horizontal="center" vertical="center" wrapText="1"/>
    </xf>
    <xf numFmtId="0" fontId="40" fillId="0" borderId="142" xfId="0" applyFont="1" applyBorder="1" applyAlignment="1">
      <alignment horizontal="center" vertical="center" wrapText="1"/>
    </xf>
    <xf numFmtId="0" fontId="314" fillId="0" borderId="46" xfId="0" applyFont="1" applyBorder="1" applyAlignment="1">
      <alignment horizontal="center" vertical="center" wrapText="1"/>
    </xf>
    <xf numFmtId="0" fontId="40" fillId="0" borderId="34" xfId="0" applyFont="1" applyBorder="1" applyAlignment="1">
      <alignment horizontal="center" vertical="center" wrapText="1"/>
    </xf>
    <xf numFmtId="0" fontId="40" fillId="0" borderId="32" xfId="0" applyFont="1" applyBorder="1" applyAlignment="1">
      <alignment horizontal="center" vertical="center" wrapText="1"/>
    </xf>
    <xf numFmtId="0" fontId="40" fillId="0" borderId="25" xfId="0" applyFont="1" applyBorder="1" applyAlignment="1">
      <alignment horizontal="center" vertical="center" wrapText="1"/>
    </xf>
    <xf numFmtId="198" fontId="128" fillId="10" borderId="0" xfId="7" applyNumberFormat="1" applyFont="1" applyFill="1" applyAlignment="1">
      <alignment horizontal="center" vertical="center"/>
    </xf>
    <xf numFmtId="0" fontId="60" fillId="42" borderId="6" xfId="5" applyFont="1" applyFill="1" applyBorder="1" applyAlignment="1">
      <alignment horizontal="center" vertical="center"/>
    </xf>
    <xf numFmtId="0" fontId="60" fillId="42" borderId="8" xfId="5" applyFont="1" applyFill="1" applyBorder="1" applyAlignment="1">
      <alignment horizontal="center" vertical="center"/>
    </xf>
    <xf numFmtId="0" fontId="69" fillId="17" borderId="5" xfId="18" applyFont="1" applyFill="1" applyBorder="1" applyAlignment="1">
      <alignment horizontal="center" vertical="center"/>
    </xf>
    <xf numFmtId="0" fontId="69" fillId="17" borderId="7" xfId="18" applyFont="1" applyFill="1" applyBorder="1" applyAlignment="1">
      <alignment horizontal="center" vertical="center"/>
    </xf>
    <xf numFmtId="0" fontId="72" fillId="17" borderId="8" xfId="5" applyFont="1" applyFill="1" applyBorder="1" applyAlignment="1">
      <alignment horizontal="center" vertical="center" textRotation="90"/>
    </xf>
    <xf numFmtId="0" fontId="72" fillId="17" borderId="10" xfId="5" applyFont="1" applyFill="1" applyBorder="1" applyAlignment="1">
      <alignment horizontal="center" vertical="center" textRotation="90"/>
    </xf>
    <xf numFmtId="0" fontId="2" fillId="10" borderId="0" xfId="18" applyFont="1" applyFill="1" applyAlignment="1">
      <alignment horizontal="left" vertical="center" wrapText="1"/>
    </xf>
    <xf numFmtId="0" fontId="2" fillId="10" borderId="9" xfId="18" applyFont="1" applyFill="1" applyBorder="1" applyAlignment="1">
      <alignment horizontal="left" vertical="center" wrapText="1"/>
    </xf>
    <xf numFmtId="0" fontId="38" fillId="10" borderId="0" xfId="18" applyFill="1" applyAlignment="1">
      <alignment horizontal="left" vertical="top" wrapText="1"/>
    </xf>
    <xf numFmtId="0" fontId="38" fillId="10" borderId="9" xfId="18" applyFill="1" applyBorder="1" applyAlignment="1">
      <alignment horizontal="left" vertical="top" wrapText="1"/>
    </xf>
    <xf numFmtId="0" fontId="2" fillId="10" borderId="0" xfId="18" applyFont="1" applyFill="1" applyAlignment="1">
      <alignment horizontal="left" vertical="top" wrapText="1"/>
    </xf>
    <xf numFmtId="0" fontId="2" fillId="10" borderId="9" xfId="18" applyFont="1" applyFill="1" applyBorder="1" applyAlignment="1">
      <alignment horizontal="left" vertical="top" wrapText="1"/>
    </xf>
    <xf numFmtId="0" fontId="38" fillId="10" borderId="0" xfId="18" applyFill="1" applyAlignment="1">
      <alignment horizontal="center" vertical="top" wrapText="1"/>
    </xf>
    <xf numFmtId="0" fontId="38" fillId="10" borderId="9" xfId="18" applyFill="1" applyBorder="1" applyAlignment="1">
      <alignment horizontal="center" vertical="top" wrapText="1"/>
    </xf>
    <xf numFmtId="0" fontId="122" fillId="0" borderId="0" xfId="22" applyFont="1" applyBorder="1" applyAlignment="1">
      <alignment horizontal="left" vertical="center"/>
    </xf>
    <xf numFmtId="0" fontId="2" fillId="10" borderId="0" xfId="18" applyFont="1" applyFill="1" applyAlignment="1">
      <alignment horizontal="center" vertical="top" wrapText="1"/>
    </xf>
    <xf numFmtId="0" fontId="2" fillId="10" borderId="9" xfId="18" applyFont="1" applyFill="1" applyBorder="1" applyAlignment="1">
      <alignment horizontal="center" vertical="top" wrapText="1"/>
    </xf>
    <xf numFmtId="0" fontId="38" fillId="10" borderId="0" xfId="18" applyFill="1" applyAlignment="1">
      <alignment horizontal="left" vertical="center" wrapText="1"/>
    </xf>
    <xf numFmtId="0" fontId="38" fillId="10" borderId="9" xfId="18" applyFill="1" applyBorder="1" applyAlignment="1">
      <alignment horizontal="left" vertical="center" wrapText="1"/>
    </xf>
    <xf numFmtId="0" fontId="40" fillId="17" borderId="5" xfId="0" applyFont="1" applyFill="1" applyBorder="1" applyAlignment="1">
      <alignment horizontal="center" vertical="center"/>
    </xf>
    <xf numFmtId="0" fontId="40" fillId="17" borderId="7" xfId="0" applyFont="1" applyFill="1" applyBorder="1" applyAlignment="1">
      <alignment horizontal="center" vertical="center"/>
    </xf>
    <xf numFmtId="0" fontId="38" fillId="10" borderId="0" xfId="18" applyFill="1" applyAlignment="1">
      <alignment horizontal="left" wrapText="1"/>
    </xf>
    <xf numFmtId="0" fontId="38" fillId="10" borderId="9" xfId="18" applyFill="1" applyBorder="1" applyAlignment="1">
      <alignment horizontal="left" wrapText="1"/>
    </xf>
    <xf numFmtId="0" fontId="0" fillId="17" borderId="8" xfId="0" applyFill="1" applyBorder="1" applyAlignment="1">
      <alignment horizontal="center"/>
    </xf>
    <xf numFmtId="0" fontId="0" fillId="17" borderId="10" xfId="0" applyFill="1" applyBorder="1" applyAlignment="1">
      <alignment horizontal="center"/>
    </xf>
    <xf numFmtId="0" fontId="0" fillId="0" borderId="0" xfId="0" applyAlignment="1">
      <alignment horizontal="center" wrapText="1"/>
    </xf>
    <xf numFmtId="0" fontId="0" fillId="0" borderId="9" xfId="0" applyBorder="1" applyAlignment="1">
      <alignment horizontal="center" wrapText="1"/>
    </xf>
    <xf numFmtId="0" fontId="69" fillId="61" borderId="5" xfId="3" applyFont="1" applyFill="1" applyBorder="1" applyAlignment="1">
      <alignment horizontal="center" vertical="center"/>
    </xf>
    <xf numFmtId="0" fontId="119" fillId="64" borderId="0" xfId="18" applyFont="1" applyFill="1" applyAlignment="1">
      <alignment horizontal="center" vertical="center"/>
    </xf>
    <xf numFmtId="0" fontId="118" fillId="21" borderId="0" xfId="7" applyFont="1" applyFill="1" applyAlignment="1">
      <alignment horizontal="center" vertical="center"/>
    </xf>
    <xf numFmtId="0" fontId="116" fillId="8" borderId="0" xfId="7" applyFont="1" applyFill="1" applyAlignment="1">
      <alignment horizontal="center" vertical="center"/>
    </xf>
    <xf numFmtId="0" fontId="69" fillId="49" borderId="5" xfId="3" applyFont="1" applyFill="1" applyBorder="1" applyAlignment="1">
      <alignment horizontal="center" vertical="center"/>
    </xf>
    <xf numFmtId="0" fontId="34" fillId="61" borderId="8" xfId="5" applyFont="1" applyFill="1" applyBorder="1" applyAlignment="1">
      <alignment horizontal="center"/>
    </xf>
    <xf numFmtId="0" fontId="34" fillId="61" borderId="10" xfId="5" applyFont="1" applyFill="1" applyBorder="1" applyAlignment="1">
      <alignment horizontal="center"/>
    </xf>
    <xf numFmtId="0" fontId="107" fillId="56" borderId="0" xfId="7" applyFont="1" applyFill="1" applyAlignment="1">
      <alignment horizontal="center" vertical="center"/>
    </xf>
    <xf numFmtId="0" fontId="107" fillId="56" borderId="9" xfId="7" applyFont="1" applyFill="1" applyBorder="1" applyAlignment="1">
      <alignment horizontal="center" vertical="center"/>
    </xf>
    <xf numFmtId="0" fontId="103" fillId="8" borderId="0" xfId="21" applyFont="1" applyFill="1" applyAlignment="1" applyProtection="1">
      <alignment horizontal="center" vertical="center"/>
      <protection locked="0"/>
    </xf>
    <xf numFmtId="0" fontId="103" fillId="8" borderId="9" xfId="21" applyFont="1" applyFill="1" applyBorder="1" applyAlignment="1" applyProtection="1">
      <alignment horizontal="center" vertical="center"/>
      <protection locked="0"/>
    </xf>
    <xf numFmtId="0" fontId="30" fillId="10" borderId="0" xfId="5" applyFont="1" applyFill="1" applyAlignment="1">
      <alignment horizontal="left" vertical="center" wrapText="1"/>
    </xf>
    <xf numFmtId="0" fontId="30" fillId="10" borderId="9" xfId="5" applyFont="1" applyFill="1" applyBorder="1" applyAlignment="1">
      <alignment horizontal="left" vertical="center" wrapText="1"/>
    </xf>
    <xf numFmtId="0" fontId="66" fillId="61" borderId="18" xfId="7" applyFont="1" applyFill="1" applyBorder="1" applyAlignment="1">
      <alignment horizontal="center" vertical="center"/>
    </xf>
    <xf numFmtId="0" fontId="66" fillId="61" borderId="20" xfId="7" applyFont="1" applyFill="1" applyBorder="1" applyAlignment="1">
      <alignment horizontal="center" vertical="center"/>
    </xf>
    <xf numFmtId="0" fontId="25" fillId="57" borderId="5" xfId="3" applyFont="1" applyFill="1" applyBorder="1" applyAlignment="1">
      <alignment horizontal="center" vertical="center"/>
    </xf>
    <xf numFmtId="0" fontId="72" fillId="57" borderId="8" xfId="5" applyFont="1" applyFill="1" applyBorder="1" applyAlignment="1">
      <alignment horizontal="center"/>
    </xf>
    <xf numFmtId="0" fontId="72" fillId="57" borderId="10" xfId="5" applyFont="1" applyFill="1" applyBorder="1" applyAlignment="1">
      <alignment horizontal="center"/>
    </xf>
    <xf numFmtId="0" fontId="112" fillId="60" borderId="0" xfId="7" applyFont="1" applyFill="1" applyAlignment="1">
      <alignment horizontal="center" vertical="center"/>
    </xf>
    <xf numFmtId="0" fontId="112" fillId="60" borderId="9" xfId="7" applyFont="1" applyFill="1" applyBorder="1" applyAlignment="1">
      <alignment horizontal="center" vertical="center"/>
    </xf>
    <xf numFmtId="0" fontId="42" fillId="58" borderId="18" xfId="7" applyFont="1" applyFill="1" applyBorder="1" applyAlignment="1">
      <alignment horizontal="center" vertical="center"/>
    </xf>
    <xf numFmtId="0" fontId="42" fillId="58" borderId="20" xfId="7" applyFont="1" applyFill="1" applyBorder="1" applyAlignment="1">
      <alignment horizontal="center" vertical="center"/>
    </xf>
    <xf numFmtId="0" fontId="79" fillId="10" borderId="29" xfId="5" applyFont="1" applyFill="1" applyBorder="1" applyAlignment="1">
      <alignment horizontal="center" vertical="center" wrapText="1"/>
    </xf>
    <xf numFmtId="0" fontId="79" fillId="10" borderId="28" xfId="5" applyFont="1" applyFill="1" applyBorder="1" applyAlignment="1">
      <alignment horizontal="center" vertical="center" wrapText="1"/>
    </xf>
    <xf numFmtId="49" fontId="42" fillId="42" borderId="5" xfId="5" applyNumberFormat="1" applyFont="1" applyFill="1" applyBorder="1" applyAlignment="1">
      <alignment horizontal="center" vertical="center"/>
    </xf>
    <xf numFmtId="49" fontId="42" fillId="42" borderId="7" xfId="5" applyNumberFormat="1" applyFont="1" applyFill="1" applyBorder="1" applyAlignment="1">
      <alignment horizontal="center" vertical="center"/>
    </xf>
    <xf numFmtId="0" fontId="34" fillId="49" borderId="8" xfId="5" applyFont="1" applyFill="1" applyBorder="1" applyAlignment="1">
      <alignment horizontal="center"/>
    </xf>
    <xf numFmtId="0" fontId="34" fillId="49" borderId="10" xfId="5" applyFont="1" applyFill="1" applyBorder="1" applyAlignment="1">
      <alignment horizontal="center"/>
    </xf>
    <xf numFmtId="0" fontId="66" fillId="49" borderId="18" xfId="7" applyFont="1" applyFill="1" applyBorder="1" applyAlignment="1">
      <alignment horizontal="center" vertical="center"/>
    </xf>
    <xf numFmtId="0" fontId="66" fillId="49" borderId="20" xfId="7" applyFont="1" applyFill="1" applyBorder="1" applyAlignment="1">
      <alignment horizontal="center" vertical="center"/>
    </xf>
    <xf numFmtId="0" fontId="34" fillId="40" borderId="8" xfId="5" applyFont="1" applyFill="1" applyBorder="1" applyAlignment="1">
      <alignment horizontal="center"/>
    </xf>
    <xf numFmtId="0" fontId="34" fillId="40" borderId="10" xfId="5" applyFont="1" applyFill="1" applyBorder="1" applyAlignment="1">
      <alignment horizontal="center"/>
    </xf>
    <xf numFmtId="0" fontId="83" fillId="8" borderId="46" xfId="9" applyFont="1" applyFill="1" applyBorder="1" applyAlignment="1">
      <alignment horizontal="center" vertical="center"/>
    </xf>
    <xf numFmtId="0" fontId="83" fillId="8" borderId="45" xfId="9" applyFont="1" applyFill="1" applyBorder="1" applyAlignment="1">
      <alignment horizontal="center" vertical="center"/>
    </xf>
    <xf numFmtId="0" fontId="33" fillId="17" borderId="5" xfId="12" applyFont="1" applyFill="1" applyBorder="1" applyAlignment="1" applyProtection="1">
      <alignment horizontal="right" vertical="center"/>
      <protection locked="0"/>
    </xf>
    <xf numFmtId="0" fontId="33" fillId="17" borderId="7" xfId="12" applyFont="1" applyFill="1" applyBorder="1" applyAlignment="1" applyProtection="1">
      <alignment horizontal="right" vertical="center"/>
      <protection locked="0"/>
    </xf>
    <xf numFmtId="0" fontId="19" fillId="10" borderId="18" xfId="9" applyFont="1" applyFill="1" applyBorder="1" applyAlignment="1">
      <alignment horizontal="center" vertical="center"/>
    </xf>
    <xf numFmtId="0" fontId="19" fillId="10" borderId="13" xfId="9" applyFont="1" applyFill="1" applyBorder="1" applyAlignment="1">
      <alignment horizontal="center" vertical="center"/>
    </xf>
    <xf numFmtId="0" fontId="86" fillId="8" borderId="18" xfId="9" applyFont="1" applyFill="1" applyBorder="1" applyAlignment="1">
      <alignment horizontal="center" vertical="center"/>
    </xf>
    <xf numFmtId="0" fontId="86" fillId="8" borderId="20" xfId="9" applyFont="1" applyFill="1" applyBorder="1" applyAlignment="1">
      <alignment horizontal="center" vertical="center"/>
    </xf>
    <xf numFmtId="0" fontId="86" fillId="8" borderId="13" xfId="9" applyFont="1" applyFill="1" applyBorder="1" applyAlignment="1">
      <alignment horizontal="center" vertical="center"/>
    </xf>
    <xf numFmtId="0" fontId="86" fillId="8" borderId="24" xfId="9" applyFont="1" applyFill="1" applyBorder="1" applyAlignment="1">
      <alignment horizontal="center" vertical="center"/>
    </xf>
    <xf numFmtId="0" fontId="2" fillId="0" borderId="18" xfId="9" applyBorder="1" applyAlignment="1">
      <alignment horizontal="center" vertical="center"/>
    </xf>
    <xf numFmtId="0" fontId="2" fillId="0" borderId="13" xfId="9" applyBorder="1" applyAlignment="1">
      <alignment horizontal="center" vertical="center"/>
    </xf>
    <xf numFmtId="175" fontId="66" fillId="10" borderId="18" xfId="12" applyNumberFormat="1" applyFont="1" applyFill="1" applyBorder="1" applyAlignment="1">
      <alignment horizontal="left" vertical="center"/>
    </xf>
    <xf numFmtId="175" fontId="66" fillId="10" borderId="0" xfId="12" applyNumberFormat="1" applyFont="1" applyFill="1" applyAlignment="1">
      <alignment horizontal="left" vertical="center"/>
    </xf>
    <xf numFmtId="0" fontId="24" fillId="10" borderId="18" xfId="12" applyFont="1" applyFill="1" applyBorder="1" applyAlignment="1">
      <alignment horizontal="right" vertical="center"/>
    </xf>
    <xf numFmtId="0" fontId="24" fillId="10" borderId="13" xfId="12" applyFont="1" applyFill="1" applyBorder="1" applyAlignment="1">
      <alignment horizontal="right" vertical="center"/>
    </xf>
    <xf numFmtId="0" fontId="34" fillId="40" borderId="8" xfId="5" applyFont="1" applyFill="1" applyBorder="1" applyAlignment="1">
      <alignment horizontal="center" wrapText="1"/>
    </xf>
    <xf numFmtId="0" fontId="34" fillId="40" borderId="10" xfId="5" applyFont="1" applyFill="1" applyBorder="1" applyAlignment="1">
      <alignment horizontal="center" wrapText="1"/>
    </xf>
    <xf numFmtId="0" fontId="35" fillId="10" borderId="13" xfId="5" applyFont="1" applyFill="1" applyBorder="1" applyAlignment="1" applyProtection="1">
      <alignment horizontal="center" vertical="center"/>
      <protection hidden="1"/>
    </xf>
    <xf numFmtId="0" fontId="44" fillId="10" borderId="13" xfId="5" applyFont="1" applyFill="1" applyBorder="1" applyAlignment="1" applyProtection="1">
      <alignment horizontal="center" vertical="center"/>
      <protection hidden="1"/>
    </xf>
    <xf numFmtId="0" fontId="44" fillId="10" borderId="24" xfId="5" applyFont="1" applyFill="1" applyBorder="1" applyAlignment="1" applyProtection="1">
      <alignment horizontal="center" vertical="center"/>
      <protection hidden="1"/>
    </xf>
    <xf numFmtId="173" fontId="62" fillId="8" borderId="0" xfId="5" applyNumberFormat="1" applyFont="1" applyFill="1" applyAlignment="1" applyProtection="1">
      <alignment horizontal="center" vertical="center"/>
      <protection hidden="1"/>
    </xf>
    <xf numFmtId="170" fontId="66" fillId="11" borderId="0" xfId="5" applyNumberFormat="1" applyFont="1" applyFill="1" applyAlignment="1" applyProtection="1">
      <alignment horizontal="center" vertical="center"/>
      <protection hidden="1"/>
    </xf>
    <xf numFmtId="9" fontId="24" fillId="10" borderId="20" xfId="9" applyNumberFormat="1" applyFont="1" applyFill="1" applyBorder="1" applyAlignment="1">
      <alignment horizontal="center" vertical="center"/>
    </xf>
    <xf numFmtId="9" fontId="24" fillId="10" borderId="24" xfId="9" applyNumberFormat="1" applyFont="1" applyFill="1" applyBorder="1" applyAlignment="1">
      <alignment horizontal="center" vertical="center"/>
    </xf>
    <xf numFmtId="0" fontId="83" fillId="8" borderId="29" xfId="9" applyFont="1" applyFill="1" applyBorder="1" applyAlignment="1">
      <alignment horizontal="center" vertical="center"/>
    </xf>
    <xf numFmtId="0" fontId="83" fillId="8" borderId="30" xfId="9" applyFont="1" applyFill="1" applyBorder="1" applyAlignment="1">
      <alignment horizontal="center" vertical="center"/>
    </xf>
    <xf numFmtId="0" fontId="80" fillId="10" borderId="29" xfId="5" applyFont="1" applyFill="1" applyBorder="1" applyAlignment="1">
      <alignment horizontal="center" vertical="center" wrapText="1"/>
    </xf>
    <xf numFmtId="0" fontId="80" fillId="10" borderId="30" xfId="5" applyFont="1" applyFill="1" applyBorder="1" applyAlignment="1">
      <alignment horizontal="center" vertical="center" wrapText="1"/>
    </xf>
    <xf numFmtId="0" fontId="0" fillId="10" borderId="0" xfId="0" applyFill="1" applyAlignment="1">
      <alignment horizontal="left" vertical="center" wrapText="1"/>
    </xf>
    <xf numFmtId="0" fontId="17" fillId="10" borderId="0" xfId="6" applyFill="1" applyAlignment="1">
      <alignment horizontal="left" vertical="center" wrapText="1"/>
    </xf>
    <xf numFmtId="0" fontId="59" fillId="221" borderId="0" xfId="39" applyFont="1" applyFill="1" applyAlignment="1">
      <alignment horizontal="center" vertical="center" wrapText="1"/>
    </xf>
    <xf numFmtId="0" fontId="162" fillId="145" borderId="0" xfId="39" applyFont="1" applyFill="1" applyAlignment="1">
      <alignment horizontal="center" vertical="center"/>
    </xf>
  </cellXfs>
  <cellStyles count="50">
    <cellStyle name="Lien hypertexte" xfId="6" builtinId="8"/>
    <cellStyle name="Lien hypertexte 2" xfId="49" xr:uid="{6B176BF3-74AD-4BC4-A04D-D8ED64ED68D0}"/>
    <cellStyle name="Lien hypertexte 2 2 3" xfId="23" xr:uid="{5FCF9887-C938-48C1-A979-69BCC72F5F7F}"/>
    <cellStyle name="Lien hypertexte 3" xfId="37" xr:uid="{EB923EFC-E8C8-499C-A0FD-814ADFF2C81B}"/>
    <cellStyle name="Lien hypertexte 3 2 2" xfId="22" xr:uid="{D50B5612-9AAE-42D4-B04D-09F4B3843031}"/>
    <cellStyle name="Normal" xfId="0" builtinId="0"/>
    <cellStyle name="Normal 10 2 2 2 2 3 2 3 2 2 4 2" xfId="7" xr:uid="{8031FAF4-AD53-4778-BEBB-EF23B805D7A8}"/>
    <cellStyle name="Normal 10 2 2 2 2 3 2 3 2 2 4 2 2" xfId="28" xr:uid="{DF63D222-447B-4133-8CC2-F6AEABB950D5}"/>
    <cellStyle name="Normal 10 2 2 2 2 3 2 3 2 2 4 2 2 2" xfId="45" xr:uid="{1A252C49-3248-445D-9326-0D620DA32276}"/>
    <cellStyle name="Normal 10 2 2 2 2 3 2 3 2 2 4 2 2 3" xfId="41" xr:uid="{C722C0F2-9EF2-4AAE-BF7F-D947BF093768}"/>
    <cellStyle name="Normal 11 2 3 2 3 2 2 4 2" xfId="14" xr:uid="{27B01952-C37A-4B51-AF09-B89DCDA74ED2}"/>
    <cellStyle name="Normal 11 2 3 2 3 2 2 4 2 2" xfId="32" xr:uid="{C7EE9A5B-6446-4A79-893C-C743DD7495B2}"/>
    <cellStyle name="Normal 12 2" xfId="11" xr:uid="{1A5A8826-F5FE-4045-9CE1-E6396AD682BC}"/>
    <cellStyle name="Normal 2" xfId="4" xr:uid="{4E7BA3EA-D30A-4B45-A30E-A16BE6D69CBE}"/>
    <cellStyle name="Normal 2 2" xfId="36" xr:uid="{71A23FF3-8260-42D8-9C17-F49D830B5DA7}"/>
    <cellStyle name="Normal 2 2 2 2 2" xfId="5" xr:uid="{79D27E95-291A-478B-BAB0-3246D60F00B5}"/>
    <cellStyle name="Normal 2 2 2 2 2 3" xfId="38" xr:uid="{6D473E06-060A-4A4C-A83B-1EB6D7BF0488}"/>
    <cellStyle name="Normal 2 2 2 2 2 3 2" xfId="39" xr:uid="{D7A171D2-6D75-4D53-85A4-A3BC0AA4CF8D}"/>
    <cellStyle name="Normal 2 2 2 2 3" xfId="19" xr:uid="{D84E7795-80C1-4DC0-92FC-0D13CF24305B}"/>
    <cellStyle name="Normal 2 2 3 2" xfId="48" xr:uid="{683D6855-8735-41E9-B208-4065541DA266}"/>
    <cellStyle name="Normal 2 2 4" xfId="1" xr:uid="{EFD94DC7-6FE4-4035-8894-6EB597BC8EC0}"/>
    <cellStyle name="Normal 2 2 5" xfId="18" xr:uid="{5C6B0BD7-51E9-4758-ACE2-9E612B4CAAE3}"/>
    <cellStyle name="Normal 2 2 5 2" xfId="35" xr:uid="{FE7E30AD-B706-459D-845B-C235DE26BD78}"/>
    <cellStyle name="Normal 2 3" xfId="13" xr:uid="{0A895284-8942-4F5A-930D-910726C58F31}"/>
    <cellStyle name="Normal 2 3 2" xfId="47" xr:uid="{52B18E67-E192-4053-B150-99F029EBD546}"/>
    <cellStyle name="Normal 3" xfId="26" xr:uid="{E3762617-5F98-445B-BF9B-3B4528BC9D72}"/>
    <cellStyle name="Normal 3 3 2" xfId="24" xr:uid="{C50B5EC5-E5EC-4FFA-904C-851F03216D80}"/>
    <cellStyle name="Normal 3 3 2 2" xfId="43" xr:uid="{5E91A5D4-32D5-46A4-BE92-53286A1FA3D2}"/>
    <cellStyle name="Normal 4 2 2 2 2 2 2 2 3 3 2" xfId="10" xr:uid="{ECEBDA9E-9B59-400C-9BBC-5590430F2CCB}"/>
    <cellStyle name="Normal 4 2 2 2 2 2 2 2 3 3 2 2" xfId="31" xr:uid="{D5A0FB09-2713-4E05-8661-2C62E0A38B4D}"/>
    <cellStyle name="Normal 4 2 2 2 2 2 2 2 4 3 6 2" xfId="16" xr:uid="{281546F2-45EA-458E-AACA-3C8F1CEBEA6B}"/>
    <cellStyle name="Normal 4 2 2 2 2 2 2 2 4 3 6 2 2" xfId="34" xr:uid="{925B2B67-8204-4B18-BF80-F9E2E44AAD91}"/>
    <cellStyle name="Normal 4 2 2 2 2 2 2 5 4 2 3 2 2 3 2 2 4 2" xfId="17" xr:uid="{BFFA7385-8A8E-45BA-8BEA-DE18196160F7}"/>
    <cellStyle name="Normal 4 2 2 2 2 2 2 5 4 2 3 2 2 3 2 2 4 2 2" xfId="29" xr:uid="{1A54FC20-4EA0-4023-B307-27283033E0CD}"/>
    <cellStyle name="Normal 4 2 2 2 2 2 2 6 2 2 3 2 3 3 2 2 4 2" xfId="9" xr:uid="{B3303A1B-4887-46FC-A52E-1F6F9FFB46FC}"/>
    <cellStyle name="Normal 4 2 2 2 2 2 2 6 2 2 3 2 3 3 2 2 4 2 2" xfId="33" xr:uid="{891F0B7A-3ED6-4369-BAD8-918C61825CC9}"/>
    <cellStyle name="Normal 4 2 2 2 3 2 2 3 2 2" xfId="20" xr:uid="{CB60CBAE-7DD9-451D-97B9-D6FAB64EE0D5}"/>
    <cellStyle name="Normal 4 2 4 2 2 4 2 2 2 2 3 2" xfId="15" xr:uid="{3E93F893-9292-45EC-8293-4DF927577FCC}"/>
    <cellStyle name="Normal 4 2 4 2 2 4 2 2 2 2 3 2 2" xfId="30" xr:uid="{15504602-7E7E-40BC-A3A4-53A3211A2DCF}"/>
    <cellStyle name="Normal 4 3 4 2 2 2" xfId="3" xr:uid="{E0E81089-D755-4898-8970-48F045AD8976}"/>
    <cellStyle name="Normal 4 3 4 2 2 2 2 2" xfId="44" xr:uid="{67242813-1A8F-4430-B19D-6EA24D58E1F7}"/>
    <cellStyle name="Normal 4 3 4 2 2 2 2 3" xfId="42" xr:uid="{152B5282-FCF5-4399-B1C8-CA60E06BE48D}"/>
    <cellStyle name="Normal 4 3 4 2 2 2 3 2" xfId="2" xr:uid="{CC9CFFFE-2179-4C4B-B135-B583EA81D9D3}"/>
    <cellStyle name="Normal 4 7" xfId="25" xr:uid="{F8096231-AD1A-4A8F-86FC-71C3FB493BF5}"/>
    <cellStyle name="Normal_Bases Cuisine 2" xfId="27" xr:uid="{3C98B16B-C61E-47C9-9277-A97CA3088ACD}"/>
    <cellStyle name="Normal_Bons de commande livraison" xfId="21" xr:uid="{C24B8B03-0EE7-4ADE-910E-273CA938C7DC}"/>
    <cellStyle name="Normal_Comparer recettes 2009 OK 2 2" xfId="8" xr:uid="{21D64971-40A3-46C4-BD8E-55F1B2073A6C}"/>
    <cellStyle name="Normal_Comparer recettes 2009 OK 2 2 2 2" xfId="40" xr:uid="{151D126F-8F0A-494B-AE85-7501F3165503}"/>
    <cellStyle name="Normal_Forum Marais 15 09 2001 2 2 2" xfId="12" xr:uid="{6D7BB385-8001-45EE-9F3C-33E0BED5CE47}"/>
    <cellStyle name="Normal_Forum Marais 15 09 2001 2 2 2 2" xfId="46" xr:uid="{EEBBB3DF-AF35-4AE9-BF8C-DBB01F9E11A5}"/>
  </cellStyles>
  <dxfs count="49">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color theme="9" tint="-0.499984740745262"/>
      </font>
      <fill>
        <patternFill>
          <bgColor theme="9" tint="0.79998168889431442"/>
        </patternFill>
      </fill>
    </dxf>
    <dxf>
      <font>
        <b/>
        <i val="0"/>
        <color theme="5" tint="-0.24994659260841701"/>
      </font>
      <fill>
        <patternFill>
          <bgColor theme="5" tint="0.79998168889431442"/>
        </patternFill>
      </fill>
    </dxf>
    <dxf>
      <font>
        <b/>
        <i val="0"/>
        <color theme="0"/>
      </font>
      <fill>
        <patternFill>
          <bgColor rgb="FF7030A0"/>
        </patternFill>
      </fill>
    </dxf>
    <dxf>
      <fill>
        <patternFill patternType="solid">
          <fgColor rgb="FFFFF2CC"/>
        </patternFill>
      </fill>
    </dxf>
    <dxf>
      <fill>
        <patternFill patternType="solid">
          <fgColor rgb="FFF4CCCC"/>
        </patternFill>
      </fill>
    </dxf>
    <dxf>
      <fill>
        <patternFill patternType="solid">
          <fgColor rgb="FFE2F0D9"/>
        </patternFill>
      </fill>
    </dxf>
    <dxf>
      <fill>
        <patternFill patternType="solid">
          <fgColor rgb="FFFFF2CC"/>
        </patternFill>
      </fill>
    </dxf>
    <dxf>
      <fill>
        <patternFill patternType="solid">
          <fgColor rgb="FFF4CCCC"/>
        </patternFill>
      </fill>
    </dxf>
    <dxf>
      <font>
        <b/>
        <color rgb="FF542C85"/>
      </font>
      <fill>
        <patternFill patternType="solid">
          <bgColor rgb="FFE4DFEC"/>
        </patternFill>
      </fill>
    </dxf>
    <dxf>
      <font>
        <b/>
        <color rgb="FF9C6500"/>
      </font>
      <fill>
        <patternFill patternType="solid">
          <bgColor rgb="FFFFF2CC"/>
        </patternFill>
      </fill>
    </dxf>
    <dxf>
      <font>
        <b/>
        <color rgb="FF9C0006"/>
      </font>
      <fill>
        <patternFill patternType="solid">
          <bgColor rgb="FFF4CCCC"/>
        </patternFill>
      </fill>
    </dxf>
    <dxf>
      <font>
        <b/>
        <color rgb="FF9C0006"/>
      </font>
      <fill>
        <patternFill patternType="solid">
          <bgColor rgb="FFFCE4D6"/>
        </patternFill>
      </fill>
    </dxf>
    <dxf>
      <font>
        <b/>
        <color rgb="FF7F6000"/>
      </font>
      <fill>
        <patternFill>
          <bgColor rgb="FFF4B183"/>
        </patternFill>
      </fill>
    </dxf>
    <dxf>
      <font>
        <b/>
        <color rgb="FFFFFFFF"/>
      </font>
      <fill>
        <patternFill>
          <bgColor rgb="FFC00000"/>
        </patternFill>
      </fill>
    </dxf>
    <dxf>
      <font>
        <b/>
        <color theme="0"/>
      </font>
      <numFmt numFmtId="0" formatCode="General"/>
      <fill>
        <patternFill>
          <bgColor rgb="FFC00000"/>
        </patternFill>
      </fill>
    </dxf>
    <dxf>
      <font>
        <b/>
        <color rgb="FF7F6000"/>
      </font>
      <fill>
        <patternFill>
          <bgColor rgb="FFF4B183"/>
        </patternFill>
      </fill>
    </dxf>
    <dxf>
      <font>
        <b/>
        <color rgb="FFFFFFFF"/>
      </font>
      <fill>
        <patternFill>
          <bgColor rgb="FFC00000"/>
        </patternFill>
      </fill>
    </dxf>
    <dxf>
      <font>
        <b/>
        <color rgb="FF006100"/>
      </font>
      <fill>
        <patternFill patternType="solid">
          <bgColor rgb="FFE2F0D9"/>
        </patternFill>
      </fill>
    </dxf>
    <dxf>
      <font>
        <b/>
        <color rgb="FF9C0006"/>
      </font>
      <fill>
        <patternFill patternType="solid">
          <bgColor rgb="FFF4CCCC"/>
        </patternFill>
      </fill>
    </dxf>
    <dxf>
      <font>
        <b/>
        <color rgb="FF7F6000"/>
      </font>
      <fill>
        <patternFill>
          <bgColor rgb="FFF4B183"/>
        </patternFill>
      </fill>
    </dxf>
    <dxf>
      <font>
        <b/>
        <color rgb="FFFFFFFF"/>
      </font>
      <fill>
        <patternFill>
          <bgColor rgb="FFC00000"/>
        </patternFill>
      </fill>
    </dxf>
    <dxf>
      <font>
        <u val="none"/>
        <sz val="12"/>
        <name val="Calibri"/>
        <scheme val="none"/>
      </font>
    </dxf>
    <dxf>
      <font>
        <u val="none"/>
        <sz val="12"/>
        <name val="Calibri"/>
        <scheme val="none"/>
      </font>
    </dxf>
    <dxf>
      <font>
        <u val="none"/>
        <sz val="12"/>
        <name val="Calibri"/>
        <scheme val="none"/>
      </font>
    </dxf>
    <dxf>
      <font>
        <u val="none"/>
        <sz val="12"/>
        <name val="Calibri"/>
        <scheme val="none"/>
      </font>
    </dxf>
    <dxf>
      <font>
        <u val="none"/>
        <sz val="12"/>
        <name val="Calibri"/>
        <scheme val="none"/>
      </font>
    </dxf>
    <dxf>
      <font>
        <u val="none"/>
        <sz val="12"/>
        <name val="Calibri"/>
        <scheme val="none"/>
      </font>
    </dxf>
    <dxf>
      <font>
        <u val="none"/>
        <sz val="12"/>
        <name val="Calibri"/>
        <scheme val="none"/>
      </font>
    </dxf>
    <dxf>
      <font>
        <u val="none"/>
        <sz val="12"/>
        <name val="Calibri"/>
        <scheme val="none"/>
      </font>
    </dxf>
    <dxf>
      <font>
        <u val="none"/>
        <sz val="12"/>
        <name val="Calibri"/>
        <scheme val="none"/>
      </font>
    </dxf>
    <dxf>
      <font>
        <u val="none"/>
        <sz val="12"/>
        <name val="Calibri"/>
        <scheme val="none"/>
      </font>
    </dxf>
  </dxfs>
  <tableStyles count="0" defaultTableStyle="TableStyleMedium9" defaultPivotStyle="PivotStyleLight16"/>
  <colors>
    <mruColors>
      <color rgb="FF2F75B5"/>
      <color rgb="FFE2F0D9"/>
      <color rgb="FF3078BA"/>
      <color rgb="FF1F4E78"/>
      <color rgb="FF14A096"/>
      <color rgb="FF17365D"/>
      <color rgb="FF16A34A"/>
      <color rgb="FFB38867"/>
      <color rgb="FF3B82F6"/>
      <color rgb="FFFFD6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4</xdr:col>
      <xdr:colOff>228599</xdr:colOff>
      <xdr:row>88</xdr:row>
      <xdr:rowOff>9525</xdr:rowOff>
    </xdr:from>
    <xdr:ext cx="408138" cy="408138"/>
    <xdr:pic>
      <xdr:nvPicPr>
        <xdr:cNvPr id="2" name="Image 1" descr="Google (Android 12L)">
          <a:extLst>
            <a:ext uri="{FF2B5EF4-FFF2-40B4-BE49-F238E27FC236}">
              <a16:creationId xmlns:a16="http://schemas.microsoft.com/office/drawing/2014/main" id="{9EFCE665-0916-4F0C-8D2C-254C56D645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5936220" flipH="1" flipV="1">
          <a:off x="3276599" y="16773525"/>
          <a:ext cx="408138" cy="4081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142875</xdr:colOff>
      <xdr:row>88</xdr:row>
      <xdr:rowOff>0</xdr:rowOff>
    </xdr:from>
    <xdr:ext cx="304800" cy="304800"/>
    <xdr:pic>
      <xdr:nvPicPr>
        <xdr:cNvPr id="3" name="Image 2" descr="🔗 Lien">
          <a:extLst>
            <a:ext uri="{FF2B5EF4-FFF2-40B4-BE49-F238E27FC236}">
              <a16:creationId xmlns:a16="http://schemas.microsoft.com/office/drawing/2014/main" id="{25901757-B05C-4E45-8916-2E78479EE87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52875" y="1676400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88</xdr:row>
      <xdr:rowOff>1</xdr:rowOff>
    </xdr:from>
    <xdr:ext cx="333375" cy="371116"/>
    <xdr:pic>
      <xdr:nvPicPr>
        <xdr:cNvPr id="4" name="Image 3">
          <a:extLst>
            <a:ext uri="{FF2B5EF4-FFF2-40B4-BE49-F238E27FC236}">
              <a16:creationId xmlns:a16="http://schemas.microsoft.com/office/drawing/2014/main" id="{634405CC-6694-489A-8CB9-8046F3E74EF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572000" y="16764001"/>
          <a:ext cx="333375" cy="371116"/>
        </a:xfrm>
        <a:prstGeom prst="rect">
          <a:avLst/>
        </a:prstGeom>
      </xdr:spPr>
    </xdr:pic>
    <xdr:clientData/>
  </xdr:oneCellAnchor>
  <xdr:oneCellAnchor>
    <xdr:from>
      <xdr:col>9</xdr:col>
      <xdr:colOff>0</xdr:colOff>
      <xdr:row>42</xdr:row>
      <xdr:rowOff>0</xdr:rowOff>
    </xdr:from>
    <xdr:ext cx="1438476" cy="781159"/>
    <xdr:pic>
      <xdr:nvPicPr>
        <xdr:cNvPr id="5" name="Image 4">
          <a:extLst>
            <a:ext uri="{FF2B5EF4-FFF2-40B4-BE49-F238E27FC236}">
              <a16:creationId xmlns:a16="http://schemas.microsoft.com/office/drawing/2014/main" id="{4CF119B9-4DD2-4DFF-81CC-E73BDE39601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858000" y="8001000"/>
          <a:ext cx="1438476" cy="781159"/>
        </a:xfrm>
        <a:prstGeom prst="rect">
          <a:avLst/>
        </a:prstGeom>
      </xdr:spPr>
    </xdr:pic>
    <xdr:clientData/>
  </xdr:oneCellAnchor>
  <xdr:oneCellAnchor>
    <xdr:from>
      <xdr:col>9</xdr:col>
      <xdr:colOff>0</xdr:colOff>
      <xdr:row>47</xdr:row>
      <xdr:rowOff>0</xdr:rowOff>
    </xdr:from>
    <xdr:ext cx="3639058" cy="2133898"/>
    <xdr:pic>
      <xdr:nvPicPr>
        <xdr:cNvPr id="6" name="Image 5">
          <a:extLst>
            <a:ext uri="{FF2B5EF4-FFF2-40B4-BE49-F238E27FC236}">
              <a16:creationId xmlns:a16="http://schemas.microsoft.com/office/drawing/2014/main" id="{7068AB27-2BA6-4CBC-9441-F7B3736C1D0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858000" y="8953500"/>
          <a:ext cx="3639058" cy="2133898"/>
        </a:xfrm>
        <a:prstGeom prst="rect">
          <a:avLst/>
        </a:prstGeom>
      </xdr:spPr>
    </xdr:pic>
    <xdr:clientData/>
  </xdr:oneCellAnchor>
  <xdr:oneCellAnchor>
    <xdr:from>
      <xdr:col>12</xdr:col>
      <xdr:colOff>796925</xdr:colOff>
      <xdr:row>5</xdr:row>
      <xdr:rowOff>31750</xdr:rowOff>
    </xdr:from>
    <xdr:ext cx="815228" cy="568325"/>
    <xdr:pic>
      <xdr:nvPicPr>
        <xdr:cNvPr id="7" name="Image 6">
          <a:extLst>
            <a:ext uri="{FF2B5EF4-FFF2-40B4-BE49-F238E27FC236}">
              <a16:creationId xmlns:a16="http://schemas.microsoft.com/office/drawing/2014/main" id="{D4A15FC7-BC5F-4D23-B66C-4ECF6BF4A78B}"/>
            </a:ext>
          </a:extLst>
        </xdr:cNvPr>
        <xdr:cNvPicPr>
          <a:picLocks noChangeAspect="1"/>
        </xdr:cNvPicPr>
      </xdr:nvPicPr>
      <xdr:blipFill>
        <a:blip xmlns:r="http://schemas.openxmlformats.org/officeDocument/2006/relationships" r:embed="rId6"/>
        <a:stretch>
          <a:fillRect/>
        </a:stretch>
      </xdr:blipFill>
      <xdr:spPr>
        <a:xfrm>
          <a:off x="9902825" y="984250"/>
          <a:ext cx="815228" cy="568325"/>
        </a:xfrm>
        <a:prstGeom prst="rect">
          <a:avLst/>
        </a:prstGeom>
      </xdr:spPr>
    </xdr:pic>
    <xdr:clientData/>
  </xdr:oneCellAnchor>
  <xdr:oneCellAnchor>
    <xdr:from>
      <xdr:col>24</xdr:col>
      <xdr:colOff>73025</xdr:colOff>
      <xdr:row>4</xdr:row>
      <xdr:rowOff>165100</xdr:rowOff>
    </xdr:from>
    <xdr:ext cx="844963" cy="609600"/>
    <xdr:pic>
      <xdr:nvPicPr>
        <xdr:cNvPr id="8" name="Image 7">
          <a:extLst>
            <a:ext uri="{FF2B5EF4-FFF2-40B4-BE49-F238E27FC236}">
              <a16:creationId xmlns:a16="http://schemas.microsoft.com/office/drawing/2014/main" id="{42AACBAD-6D91-4F71-BA11-E147292C85CD}"/>
            </a:ext>
          </a:extLst>
        </xdr:cNvPr>
        <xdr:cNvPicPr>
          <a:picLocks noChangeAspect="1"/>
        </xdr:cNvPicPr>
      </xdr:nvPicPr>
      <xdr:blipFill>
        <a:blip xmlns:r="http://schemas.openxmlformats.org/officeDocument/2006/relationships" r:embed="rId7"/>
        <a:stretch>
          <a:fillRect/>
        </a:stretch>
      </xdr:blipFill>
      <xdr:spPr>
        <a:xfrm>
          <a:off x="18361025" y="927100"/>
          <a:ext cx="844963" cy="609600"/>
        </a:xfrm>
        <a:prstGeom prst="rect">
          <a:avLst/>
        </a:prstGeom>
      </xdr:spPr>
    </xdr:pic>
    <xdr:clientData/>
  </xdr:oneCellAnchor>
  <xdr:oneCellAnchor>
    <xdr:from>
      <xdr:col>40</xdr:col>
      <xdr:colOff>593725</xdr:colOff>
      <xdr:row>5</xdr:row>
      <xdr:rowOff>82550</xdr:rowOff>
    </xdr:from>
    <xdr:ext cx="866896" cy="596984"/>
    <xdr:pic>
      <xdr:nvPicPr>
        <xdr:cNvPr id="9" name="Image 8">
          <a:extLst>
            <a:ext uri="{FF2B5EF4-FFF2-40B4-BE49-F238E27FC236}">
              <a16:creationId xmlns:a16="http://schemas.microsoft.com/office/drawing/2014/main" id="{96FA27C4-655F-41DC-A6E0-4914454FE07A}"/>
            </a:ext>
          </a:extLst>
        </xdr:cNvPr>
        <xdr:cNvPicPr>
          <a:picLocks noChangeAspect="1"/>
        </xdr:cNvPicPr>
      </xdr:nvPicPr>
      <xdr:blipFill>
        <a:blip xmlns:r="http://schemas.openxmlformats.org/officeDocument/2006/relationships" r:embed="rId8"/>
        <a:stretch>
          <a:fillRect/>
        </a:stretch>
      </xdr:blipFill>
      <xdr:spPr>
        <a:xfrm>
          <a:off x="31073725" y="1035050"/>
          <a:ext cx="866896" cy="59698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67</xdr:row>
      <xdr:rowOff>1</xdr:rowOff>
    </xdr:from>
    <xdr:ext cx="1076325" cy="1069708"/>
    <xdr:pic>
      <xdr:nvPicPr>
        <xdr:cNvPr id="2" name="Image 1">
          <a:extLst>
            <a:ext uri="{FF2B5EF4-FFF2-40B4-BE49-F238E27FC236}">
              <a16:creationId xmlns:a16="http://schemas.microsoft.com/office/drawing/2014/main" id="{AD424F57-F401-42AC-97BB-EF5DEC388A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2763501"/>
          <a:ext cx="1076325" cy="106970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657225</xdr:colOff>
      <xdr:row>0</xdr:row>
      <xdr:rowOff>133350</xdr:rowOff>
    </xdr:from>
    <xdr:ext cx="8116433" cy="1105054"/>
    <xdr:pic>
      <xdr:nvPicPr>
        <xdr:cNvPr id="3" name="Image 2">
          <a:extLst>
            <a:ext uri="{FF2B5EF4-FFF2-40B4-BE49-F238E27FC236}">
              <a16:creationId xmlns:a16="http://schemas.microsoft.com/office/drawing/2014/main" id="{16A56671-C783-41E3-BA00-8F7EB39FA790}"/>
            </a:ext>
          </a:extLst>
        </xdr:cNvPr>
        <xdr:cNvPicPr>
          <a:picLocks noChangeAspect="1"/>
        </xdr:cNvPicPr>
      </xdr:nvPicPr>
      <xdr:blipFill>
        <a:blip xmlns:r="http://schemas.openxmlformats.org/officeDocument/2006/relationships" r:embed="rId2"/>
        <a:stretch>
          <a:fillRect/>
        </a:stretch>
      </xdr:blipFill>
      <xdr:spPr>
        <a:xfrm>
          <a:off x="657225" y="133350"/>
          <a:ext cx="8116433" cy="1105054"/>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D29C59-692B-48A3-9B02-20B2EF8599EE}" name="tblDictionnaireAllergenes" displayName="tblDictionnaireAllergenes" ref="B6:J2429" totalsRowShown="0" dataDxfId="48">
  <autoFilter ref="B6:J2429" xr:uid="{00000000-0009-0000-0100-000001000000}"/>
  <tableColumns count="9">
    <tableColumn id="1" xr3:uid="{2CA97DF1-3502-4465-94D7-3895BF3CD012}" name="ID" dataDxfId="47"/>
    <tableColumn id="2" xr3:uid="{1FC32237-5525-43ED-91CC-2A3F00AE9A64}" name="Famille allergène" dataDxfId="46"/>
    <tableColumn id="3" xr3:uid="{D115D343-9A0B-4409-8BC6-C1B18AC4F7CD}" name="Statut" dataDxfId="45"/>
    <tableColumn id="4" xr3:uid="{853B0370-1AE0-4296-BAD2-0FF47F279EE1}" name="Terme métier / ingrédient" dataDxfId="44"/>
    <tableColumn id="5" xr3:uid="{01F3EF0D-4875-4501-A55E-6E0E248D8351}" name="Terme normalisé" dataDxfId="43"/>
    <tableColumn id="6" xr3:uid="{3F44ED6F-E54C-491C-841B-A70BC0D5D35C}" name="Métiers concernés" dataDxfId="42"/>
    <tableColumn id="7" xr3:uid="{B811AACC-8755-4431-AADD-4B472D03611F}" name="Commentaire" dataDxfId="41"/>
    <tableColumn id="8" xr3:uid="{5FB4EC26-D2CF-4F94-889F-56EE4FD5FBF1}" name="Source URL" dataDxfId="40"/>
    <tableColumn id="9" xr3:uid="{4E7EA6D5-D1B1-44A3-8342-2A1AF59779CA}" name="Version" dataDxfId="39"/>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5.xml.rels><?xml version="1.0" encoding="UTF-8" standalone="yes"?>
<Relationships xmlns="http://schemas.openxmlformats.org/package/2006/relationships"><Relationship Id="rId1" Type="http://schemas.openxmlformats.org/officeDocument/2006/relationships/hyperlink" Target="https://www.food.gov.uk/safety-hygiene/handling-flour-and-flour-products-safely" TargetMode="Externa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9.xml.rels><?xml version="1.0" encoding="UTF-8" standalone="yes"?>
<Relationships xmlns="http://schemas.openxmlformats.org/package/2006/relationships"><Relationship Id="rId8" Type="http://schemas.openxmlformats.org/officeDocument/2006/relationships/hyperlink" Target="http://www.uprt.fr/mesimages/fichiers-uprt/hop-alimentation/hop-photos-quantit%C3%A9s.pdf" TargetMode="External"/><Relationship Id="rId13" Type="http://schemas.openxmlformats.org/officeDocument/2006/relationships/printerSettings" Target="../printerSettings/printerSettings2.bin"/><Relationship Id="rId3" Type="http://schemas.openxmlformats.org/officeDocument/2006/relationships/hyperlink" Target="https://bepo.fr/wiki/Menu" TargetMode="External"/><Relationship Id="rId7" Type="http://schemas.openxmlformats.org/officeDocument/2006/relationships/hyperlink" Target="https://everything.fr.softonic.com/" TargetMode="External"/><Relationship Id="rId12" Type="http://schemas.openxmlformats.org/officeDocument/2006/relationships/hyperlink" Target="https://www.bonbache.fr/syntheses-graphiques-excel-avec-les-emoticones-499.html" TargetMode="External"/><Relationship Id="rId2" Type="http://schemas.openxmlformats.org/officeDocument/2006/relationships/hyperlink" Target="https://bepo.fr/wiki/Manuel" TargetMode="External"/><Relationship Id="rId1" Type="http://schemas.openxmlformats.org/officeDocument/2006/relationships/hyperlink" Target="http://www.symbole-clavier.com/" TargetMode="External"/><Relationship Id="rId6" Type="http://schemas.openxmlformats.org/officeDocument/2006/relationships/hyperlink" Target="https://www.youtube.com/watch?v=BEAwIv4fIw4" TargetMode="External"/><Relationship Id="rId11" Type="http://schemas.openxmlformats.org/officeDocument/2006/relationships/hyperlink" Target="https://www.automateexcel.com/fr/how-to/que-signifient-les-symboles-etc-dans-les-formules-excel-et-google-sheets/" TargetMode="External"/><Relationship Id="rId5" Type="http://schemas.openxmlformats.org/officeDocument/2006/relationships/hyperlink" Target="https://www.premiers-clics.fr/cours-informatique/windows-convertir-un-cd-en-fichiers-mp3/" TargetMode="External"/><Relationship Id="rId10" Type="http://schemas.openxmlformats.org/officeDocument/2006/relationships/hyperlink" Target="https://www.youtube.com/watch?v=2TmdhLLUsOQ" TargetMode="External"/><Relationship Id="rId4" Type="http://schemas.openxmlformats.org/officeDocument/2006/relationships/hyperlink" Target="https://www.premiers-clics.fr/cours-informatique/windows-les-fonctionnalites-du-clavier/" TargetMode="External"/><Relationship Id="rId9" Type="http://schemas.openxmlformats.org/officeDocument/2006/relationships/hyperlink" Target="http://www.diet-life.fr/visuellement-100-calories/" TargetMode="External"/><Relationship Id="rId1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cuisine-centrale17.fr/" TargetMode="External"/><Relationship Id="rId7" Type="http://schemas.openxmlformats.org/officeDocument/2006/relationships/hyperlink" Target="https://www.hotellerie-restauration.ac-versailles.fr/spip.php?article4551" TargetMode="External"/><Relationship Id="rId2" Type="http://schemas.openxmlformats.org/officeDocument/2006/relationships/hyperlink" Target="https://cuisine-centrale17.fr/" TargetMode="External"/><Relationship Id="rId1" Type="http://schemas.openxmlformats.org/officeDocument/2006/relationships/hyperlink" Target="https://www.hotellerie-restauration.ac-versailles.fr/spip.php?auteur69" TargetMode="External"/><Relationship Id="rId6" Type="http://schemas.openxmlformats.org/officeDocument/2006/relationships/hyperlink" Target="https://www.facebook.com/UPRT.fr" TargetMode="External"/><Relationship Id="rId5" Type="http://schemas.openxmlformats.org/officeDocument/2006/relationships/hyperlink" Target="https://cuisine-centrale17.fr/" TargetMode="External"/><Relationship Id="rId4" Type="http://schemas.openxmlformats.org/officeDocument/2006/relationships/hyperlink" Target="mailto:%20cuisine.centrale17@gmail.com" TargetMode="External"/></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97646-8605-4A77-A35B-9BE5158D57BD}">
  <dimension ref="A1:CX2459"/>
  <sheetViews>
    <sheetView showGridLines="0" tabSelected="1" workbookViewId="0">
      <selection activeCell="A2" sqref="A2:S2"/>
    </sheetView>
  </sheetViews>
  <sheetFormatPr baseColWidth="10" defaultColWidth="10.28515625" defaultRowHeight="15.75"/>
  <cols>
    <col min="1" max="1" width="7.7109375" style="493" customWidth="1"/>
    <col min="2" max="2" width="57.42578125" style="531" customWidth="1"/>
    <col min="3" max="3" width="57.42578125" style="493" customWidth="1"/>
    <col min="4" max="4" width="44.42578125" style="493" customWidth="1"/>
    <col min="5" max="5" width="23" style="493" customWidth="1"/>
    <col min="6" max="18" width="13.85546875" style="493" customWidth="1"/>
    <col min="19" max="19" width="39.140625" style="493" customWidth="1"/>
    <col min="20" max="20" width="2.5703125" style="493" customWidth="1"/>
    <col min="21" max="25" width="23.5703125" style="493" customWidth="1"/>
    <col min="26" max="26" width="21.28515625" style="493" customWidth="1"/>
    <col min="27" max="27" width="23.5703125" style="493" customWidth="1"/>
    <col min="28" max="28" width="11.7109375" style="493" customWidth="1"/>
    <col min="29" max="29" width="20.42578125" style="493" customWidth="1"/>
    <col min="30" max="30" width="22.7109375" style="493" customWidth="1"/>
    <col min="31" max="32" width="6.5703125" style="493" customWidth="1"/>
    <col min="33" max="33" width="22.7109375" style="493" customWidth="1"/>
    <col min="34" max="34" width="14.5703125" style="493" customWidth="1"/>
    <col min="35" max="36" width="6.5703125" style="493" customWidth="1"/>
    <col min="37" max="37" width="17.7109375" style="493" customWidth="1"/>
    <col min="38" max="90" width="6.5703125" style="493" customWidth="1"/>
    <col min="91" max="91" width="2.28515625" style="532" customWidth="1"/>
    <col min="92" max="92" width="14.42578125" style="493" customWidth="1"/>
    <col min="93" max="93" width="41.85546875" style="493" customWidth="1"/>
    <col min="94" max="94" width="17" style="493" customWidth="1"/>
    <col min="95" max="96" width="41.85546875" style="493" customWidth="1"/>
    <col min="97" max="97" width="46.7109375" style="493" customWidth="1"/>
    <col min="98" max="98" width="79.28515625" style="493" customWidth="1"/>
    <col min="99" max="99" width="112" style="493" customWidth="1"/>
    <col min="100" max="100" width="13" style="493" customWidth="1"/>
    <col min="101" max="101" width="10.28515625" style="493"/>
    <col min="102" max="102" width="10.28515625" style="580"/>
    <col min="103" max="16384" width="10.28515625" style="493"/>
  </cols>
  <sheetData>
    <row r="1" spans="1:102" ht="27.95" customHeight="1">
      <c r="A1" s="1244" t="s">
        <v>1072</v>
      </c>
      <c r="B1" s="1244"/>
      <c r="C1" s="1244"/>
      <c r="D1" s="1244"/>
      <c r="E1" s="1244"/>
      <c r="F1" s="1244"/>
      <c r="G1" s="1244"/>
      <c r="H1" s="1244"/>
      <c r="I1" s="1244"/>
      <c r="J1" s="1244"/>
      <c r="K1" s="1244"/>
      <c r="L1" s="1244"/>
      <c r="M1" s="1244"/>
      <c r="N1" s="1244"/>
      <c r="O1" s="1244"/>
      <c r="P1" s="1244"/>
      <c r="Q1" s="1244"/>
      <c r="R1" s="1244"/>
      <c r="S1" s="1244"/>
      <c r="U1" s="964" t="s">
        <v>7</v>
      </c>
      <c r="V1" s="965" t="s">
        <v>307</v>
      </c>
      <c r="X1" s="18" t="s">
        <v>9</v>
      </c>
      <c r="Y1" s="19" t="s">
        <v>233</v>
      </c>
      <c r="AA1" s="22" t="s">
        <v>236</v>
      </c>
      <c r="AB1" s="23" t="s">
        <v>237</v>
      </c>
      <c r="AD1" s="36" t="s">
        <v>14</v>
      </c>
      <c r="AE1" s="37" t="s">
        <v>249</v>
      </c>
      <c r="CM1" s="494"/>
      <c r="CN1" s="495" t="s">
        <v>1073</v>
      </c>
      <c r="CO1" s="495" t="s">
        <v>1074</v>
      </c>
      <c r="CP1" s="495" t="s">
        <v>1075</v>
      </c>
      <c r="CQ1" s="495" t="s">
        <v>1076</v>
      </c>
      <c r="CR1" s="495" t="s">
        <v>1077</v>
      </c>
      <c r="CS1" s="495" t="s">
        <v>1078</v>
      </c>
      <c r="CT1" s="495" t="s">
        <v>851</v>
      </c>
      <c r="CU1" s="495" t="s">
        <v>1079</v>
      </c>
      <c r="CV1" s="495" t="s">
        <v>1080</v>
      </c>
      <c r="CW1" s="495"/>
      <c r="CX1" s="543">
        <v>1</v>
      </c>
    </row>
    <row r="2" spans="1:102" ht="23.1" customHeight="1">
      <c r="A2" s="1629" t="s">
        <v>6430</v>
      </c>
      <c r="B2" s="1629"/>
      <c r="C2" s="1629"/>
      <c r="D2" s="1629"/>
      <c r="E2" s="1629"/>
      <c r="F2" s="1629"/>
      <c r="G2" s="1629"/>
      <c r="H2" s="1629"/>
      <c r="I2" s="1629"/>
      <c r="J2" s="1629"/>
      <c r="K2" s="1629"/>
      <c r="L2" s="1629"/>
      <c r="M2" s="1629"/>
      <c r="N2" s="1629"/>
      <c r="O2" s="1629"/>
      <c r="P2" s="1629"/>
      <c r="Q2" s="1629"/>
      <c r="R2" s="1629"/>
      <c r="S2" s="1629"/>
      <c r="U2" s="26" t="s">
        <v>239</v>
      </c>
      <c r="V2" s="966" t="s">
        <v>240</v>
      </c>
      <c r="X2" s="34" t="s">
        <v>10</v>
      </c>
      <c r="Y2" s="35" t="s">
        <v>247</v>
      </c>
      <c r="AA2" s="24" t="s">
        <v>12</v>
      </c>
      <c r="AB2" s="25" t="s">
        <v>238</v>
      </c>
      <c r="AD2" s="20" t="s">
        <v>15</v>
      </c>
      <c r="AE2" s="21" t="s">
        <v>234</v>
      </c>
      <c r="AG2" s="473" t="s">
        <v>841</v>
      </c>
      <c r="CM2" s="494"/>
      <c r="CN2" s="496" t="s">
        <v>1082</v>
      </c>
      <c r="CO2" s="496" t="s">
        <v>1083</v>
      </c>
      <c r="CP2" s="496" t="s">
        <v>689</v>
      </c>
      <c r="CQ2" s="496" t="s">
        <v>1084</v>
      </c>
      <c r="CR2" s="496" t="s">
        <v>1084</v>
      </c>
      <c r="CS2" s="496" t="s">
        <v>1085</v>
      </c>
      <c r="CT2" s="496" t="s">
        <v>1086</v>
      </c>
      <c r="CU2" s="496" t="s">
        <v>1087</v>
      </c>
      <c r="CV2" s="497" t="s">
        <v>1088</v>
      </c>
      <c r="CX2" s="543">
        <v>1</v>
      </c>
    </row>
    <row r="3" spans="1:102" ht="23.1" customHeight="1">
      <c r="A3" s="1246" t="s">
        <v>5731</v>
      </c>
      <c r="B3" s="1246"/>
      <c r="C3" s="1246"/>
      <c r="D3" s="1246"/>
      <c r="E3" s="1246"/>
      <c r="F3" s="1246"/>
      <c r="G3" s="1246"/>
      <c r="H3" s="1246"/>
      <c r="I3" s="1246"/>
      <c r="J3" s="1246"/>
      <c r="K3" s="1246"/>
      <c r="L3" s="1246"/>
      <c r="M3" s="1246"/>
      <c r="N3" s="1246"/>
      <c r="O3" s="1246"/>
      <c r="P3" s="1246"/>
      <c r="Q3" s="1246"/>
      <c r="R3" s="1246"/>
      <c r="S3" s="1246"/>
      <c r="U3" s="51" t="s">
        <v>345</v>
      </c>
      <c r="V3" s="967" t="s">
        <v>346</v>
      </c>
      <c r="X3" s="32" t="s">
        <v>11</v>
      </c>
      <c r="Y3" s="33" t="s">
        <v>246</v>
      </c>
      <c r="AA3" s="30" t="s">
        <v>243</v>
      </c>
      <c r="AB3" s="31" t="s">
        <v>244</v>
      </c>
      <c r="CM3" s="494"/>
      <c r="CN3" s="496" t="s">
        <v>1089</v>
      </c>
      <c r="CO3" s="496" t="s">
        <v>1083</v>
      </c>
      <c r="CP3" s="496" t="s">
        <v>689</v>
      </c>
      <c r="CQ3" s="496" t="s">
        <v>1090</v>
      </c>
      <c r="CR3" s="496" t="s">
        <v>1091</v>
      </c>
      <c r="CS3" s="496" t="s">
        <v>1085</v>
      </c>
      <c r="CT3" s="496" t="s">
        <v>1086</v>
      </c>
      <c r="CU3" s="496" t="s">
        <v>1087</v>
      </c>
      <c r="CV3" s="497" t="s">
        <v>1088</v>
      </c>
      <c r="CX3" s="543">
        <v>1</v>
      </c>
    </row>
    <row r="4" spans="1:102" ht="20.100000000000001" customHeight="1">
      <c r="A4" s="498"/>
      <c r="B4" s="499" t="s">
        <v>6104</v>
      </c>
      <c r="C4" s="500"/>
      <c r="D4" s="500"/>
      <c r="E4" s="501"/>
      <c r="F4" s="502" t="s">
        <v>1083</v>
      </c>
      <c r="G4" s="501"/>
      <c r="H4" s="503"/>
      <c r="I4" s="503"/>
      <c r="J4" s="503"/>
      <c r="K4" s="503"/>
      <c r="L4" s="503"/>
      <c r="M4" s="503"/>
      <c r="N4" s="503"/>
      <c r="O4" s="503"/>
      <c r="P4" s="503"/>
      <c r="Q4" s="544" t="s">
        <v>634</v>
      </c>
      <c r="R4" s="545" t="str">
        <f>$CX$2459</f>
        <v>CX2459</v>
      </c>
      <c r="S4" s="503"/>
      <c r="U4" s="27" t="s">
        <v>8</v>
      </c>
      <c r="V4" s="968" t="s">
        <v>6508</v>
      </c>
      <c r="X4" s="28" t="s">
        <v>241</v>
      </c>
      <c r="Y4" s="29" t="s">
        <v>242</v>
      </c>
      <c r="AA4" s="38" t="s">
        <v>13</v>
      </c>
      <c r="AB4" s="39" t="s">
        <v>250</v>
      </c>
      <c r="CM4" s="494"/>
      <c r="CN4" s="496" t="s">
        <v>1092</v>
      </c>
      <c r="CO4" s="496" t="s">
        <v>1083</v>
      </c>
      <c r="CP4" s="496" t="s">
        <v>689</v>
      </c>
      <c r="CQ4" s="496" t="s">
        <v>142</v>
      </c>
      <c r="CR4" s="496" t="s">
        <v>142</v>
      </c>
      <c r="CS4" s="496" t="s">
        <v>1085</v>
      </c>
      <c r="CT4" s="496" t="s">
        <v>1086</v>
      </c>
      <c r="CU4" s="496" t="s">
        <v>1087</v>
      </c>
      <c r="CV4" s="497" t="s">
        <v>1088</v>
      </c>
      <c r="CX4" s="543">
        <v>1</v>
      </c>
    </row>
    <row r="5" spans="1:102" ht="18.75">
      <c r="A5" s="498"/>
      <c r="B5" s="1630" t="s">
        <v>5732</v>
      </c>
      <c r="C5" s="1630"/>
      <c r="D5" s="1630"/>
      <c r="E5" s="504" t="s">
        <v>5897</v>
      </c>
      <c r="F5" s="498"/>
      <c r="G5" s="498"/>
      <c r="H5" s="498"/>
      <c r="J5" s="498"/>
      <c r="L5" s="533" t="s">
        <v>5845</v>
      </c>
      <c r="M5" s="498"/>
      <c r="N5" s="498"/>
      <c r="O5" s="498"/>
      <c r="P5" s="498"/>
      <c r="Q5" s="498"/>
      <c r="R5" s="498"/>
      <c r="S5" s="498"/>
      <c r="CM5" s="494"/>
      <c r="CN5" s="496" t="s">
        <v>1093</v>
      </c>
      <c r="CO5" s="496" t="s">
        <v>1083</v>
      </c>
      <c r="CP5" s="496" t="s">
        <v>689</v>
      </c>
      <c r="CQ5" s="496" t="s">
        <v>880</v>
      </c>
      <c r="CR5" s="496" t="s">
        <v>880</v>
      </c>
      <c r="CS5" s="496" t="s">
        <v>1085</v>
      </c>
      <c r="CT5" s="496" t="s">
        <v>1086</v>
      </c>
      <c r="CU5" s="496" t="s">
        <v>1087</v>
      </c>
      <c r="CV5" s="497" t="s">
        <v>1088</v>
      </c>
      <c r="CX5" s="543">
        <v>1</v>
      </c>
    </row>
    <row r="6" spans="1:102" ht="51.95" customHeight="1">
      <c r="A6" s="505" t="s">
        <v>1094</v>
      </c>
      <c r="B6" s="506" t="s">
        <v>5898</v>
      </c>
      <c r="C6" s="507" t="s">
        <v>5899</v>
      </c>
      <c r="D6" s="507" t="s">
        <v>1095</v>
      </c>
      <c r="E6" s="505" t="str">
        <f>"Céréales contenant du gluten "&amp;(COUNTIF(E7:E66,"X")+COUNTIF(E7:E66,"~?"))</f>
        <v>Céréales contenant du gluten 2</v>
      </c>
      <c r="F6" s="505" t="str">
        <f>"Crustacés "&amp;" "&amp;(COUNTIF(F7:F66,"X")+COUNTIF(F7:F66,"~?"))</f>
        <v>Crustacés  2</v>
      </c>
      <c r="G6" s="505" t="str">
        <f>"Œufs "&amp;(COUNTIF(G7:G66,"X")+COUNTIF(G7:G66,"~?"))</f>
        <v>Œufs 4</v>
      </c>
      <c r="H6" s="505" t="str">
        <f>"Poissons "&amp;(COUNTIF(H7:H66,"X")+COUNTIF(H7:H66,"~?"))</f>
        <v>Poissons 5</v>
      </c>
      <c r="I6" s="505" t="str">
        <f>"Arachides "&amp;" "&amp;(COUNTIF(I7:I66,"X")+COUNTIF(I7:I66,"~?"))</f>
        <v>Arachides  1</v>
      </c>
      <c r="J6" s="505" t="str">
        <f>"Soja "&amp;" "&amp;(COUNTIF(J7:J66,"X")+COUNTIF(J7:J66,"~?"))</f>
        <v>Soja  2</v>
      </c>
      <c r="K6" s="505" t="str">
        <f>"Lait "&amp;" "&amp;(COUNTIF(K7:K66,"X")+COUNTIF(K7:K66,"~?"))</f>
        <v>Lait  8</v>
      </c>
      <c r="L6" s="505" t="str">
        <f>"Fruits à coque "&amp;" "&amp;(COUNTIF(L7:L66,"X")+COUNTIF(L7:L66,"~?"))</f>
        <v>Fruits à coque  0</v>
      </c>
      <c r="M6" s="505" t="str">
        <f>"Céleri "&amp;(COUNTIF(M7:M66,"X")+COUNTIF(M7:M66,"~?"))</f>
        <v>Céleri 1</v>
      </c>
      <c r="N6" s="505" t="str">
        <f>"Moutarde "&amp;(COUNTIF(N7:N66,"X")+COUNTIF(N7:N66,"~?"))</f>
        <v>Moutarde 0</v>
      </c>
      <c r="O6" s="505" t="str">
        <f>"Sésame "&amp;(COUNTIF(O7:O66,"X")+COUNTIF(O7:O66,"~?"))</f>
        <v>Sésame 1</v>
      </c>
      <c r="P6" s="505" t="str">
        <f>"Sulfites "&amp;(COUNTIF(P7:P66,"X")+COUNTIF(P7:P66,"~?"))</f>
        <v>Sulfites 2</v>
      </c>
      <c r="Q6" s="505" t="str">
        <f>"Lupin "&amp;(COUNTIF(Q7:Q66,"X")+COUNTIF(Q7:Q66,"~?"))</f>
        <v>Lupin 1</v>
      </c>
      <c r="R6" s="505" t="str">
        <f>"Mollusques "&amp;(COUNTIF(R7:R66,"X")+COUNTIF(R7:R66,"~?"))</f>
        <v>Mollusques 4</v>
      </c>
      <c r="S6" s="505" t="s">
        <v>5900</v>
      </c>
      <c r="U6" s="508" t="s">
        <v>1096</v>
      </c>
      <c r="V6" s="508" t="s">
        <v>1097</v>
      </c>
      <c r="W6" s="508" t="s">
        <v>1098</v>
      </c>
      <c r="X6" s="508" t="s">
        <v>1099</v>
      </c>
      <c r="Y6" s="508" t="s">
        <v>1100</v>
      </c>
      <c r="Z6" s="508" t="s">
        <v>1101</v>
      </c>
      <c r="AA6" s="508" t="s">
        <v>1102</v>
      </c>
      <c r="AB6" s="508" t="s">
        <v>1103</v>
      </c>
      <c r="AC6" s="508" t="s">
        <v>1104</v>
      </c>
      <c r="AD6" s="508" t="s">
        <v>1105</v>
      </c>
      <c r="AE6" s="508" t="s">
        <v>1106</v>
      </c>
      <c r="AF6" s="508" t="s">
        <v>1083</v>
      </c>
      <c r="AG6" s="508" t="s">
        <v>1107</v>
      </c>
      <c r="AH6" s="508" t="s">
        <v>1108</v>
      </c>
      <c r="AI6" s="508" t="s">
        <v>239</v>
      </c>
      <c r="AJ6" s="508" t="s">
        <v>1109</v>
      </c>
      <c r="AK6" s="508" t="s">
        <v>1110</v>
      </c>
      <c r="AL6" s="508" t="s">
        <v>5733</v>
      </c>
      <c r="AM6" s="508" t="s">
        <v>345</v>
      </c>
      <c r="AN6" s="508" t="s">
        <v>1111</v>
      </c>
      <c r="AO6" s="508" t="s">
        <v>1112</v>
      </c>
      <c r="AP6" s="508" t="s">
        <v>1113</v>
      </c>
      <c r="AQ6" s="508" t="s">
        <v>1114</v>
      </c>
      <c r="AR6" s="508" t="s">
        <v>1115</v>
      </c>
      <c r="AS6" s="508" t="s">
        <v>1116</v>
      </c>
      <c r="AT6" s="508" t="s">
        <v>1117</v>
      </c>
      <c r="AU6" s="508" t="s">
        <v>1118</v>
      </c>
      <c r="AV6" s="508" t="s">
        <v>1119</v>
      </c>
      <c r="AW6" s="508" t="s">
        <v>1120</v>
      </c>
      <c r="AX6" s="508" t="s">
        <v>1121</v>
      </c>
      <c r="AY6" s="508" t="s">
        <v>1122</v>
      </c>
      <c r="AZ6" s="508" t="s">
        <v>8</v>
      </c>
      <c r="BA6" s="508" t="s">
        <v>1123</v>
      </c>
      <c r="BB6" s="508" t="s">
        <v>9</v>
      </c>
      <c r="BC6" s="508" t="s">
        <v>1124</v>
      </c>
      <c r="BD6" s="508" t="s">
        <v>1125</v>
      </c>
      <c r="BE6" s="508" t="s">
        <v>1126</v>
      </c>
      <c r="BF6" s="508" t="s">
        <v>10</v>
      </c>
      <c r="BG6" s="508" t="s">
        <v>1127</v>
      </c>
      <c r="BH6" s="508" t="s">
        <v>1128</v>
      </c>
      <c r="BI6" s="508" t="s">
        <v>1129</v>
      </c>
      <c r="BJ6" s="508" t="s">
        <v>1130</v>
      </c>
      <c r="BK6" s="508" t="s">
        <v>1131</v>
      </c>
      <c r="BL6" s="508" t="s">
        <v>5734</v>
      </c>
      <c r="BM6" s="508" t="s">
        <v>11</v>
      </c>
      <c r="BN6" s="508" t="s">
        <v>1132</v>
      </c>
      <c r="BO6" s="508" t="s">
        <v>1133</v>
      </c>
      <c r="BP6" s="508" t="s">
        <v>1134</v>
      </c>
      <c r="BQ6" s="508" t="s">
        <v>241</v>
      </c>
      <c r="BR6" s="508" t="s">
        <v>1135</v>
      </c>
      <c r="BS6" s="508" t="s">
        <v>1136</v>
      </c>
      <c r="BT6" s="508" t="s">
        <v>236</v>
      </c>
      <c r="BU6" s="508" t="s">
        <v>1137</v>
      </c>
      <c r="BV6" s="508" t="s">
        <v>1138</v>
      </c>
      <c r="BW6" s="508" t="s">
        <v>12</v>
      </c>
      <c r="BX6" s="508" t="s">
        <v>1139</v>
      </c>
      <c r="BY6" s="508" t="s">
        <v>1140</v>
      </c>
      <c r="BZ6" s="508" t="s">
        <v>243</v>
      </c>
      <c r="CA6" s="508" t="s">
        <v>1141</v>
      </c>
      <c r="CB6" s="508" t="s">
        <v>1142</v>
      </c>
      <c r="CC6" s="508" t="s">
        <v>13</v>
      </c>
      <c r="CD6" s="508" t="s">
        <v>1143</v>
      </c>
      <c r="CE6" s="508" t="s">
        <v>1144</v>
      </c>
      <c r="CF6" s="508" t="s">
        <v>14</v>
      </c>
      <c r="CG6" s="508" t="s">
        <v>1145</v>
      </c>
      <c r="CH6" s="508" t="s">
        <v>1146</v>
      </c>
      <c r="CI6" s="508" t="s">
        <v>1147</v>
      </c>
      <c r="CJ6" s="508" t="s">
        <v>1148</v>
      </c>
      <c r="CK6" s="508" t="s">
        <v>1149</v>
      </c>
      <c r="CL6" s="508" t="s">
        <v>15</v>
      </c>
      <c r="CM6" s="494"/>
      <c r="CN6" s="496" t="s">
        <v>1150</v>
      </c>
      <c r="CO6" s="496" t="s">
        <v>1083</v>
      </c>
      <c r="CP6" s="496" t="s">
        <v>689</v>
      </c>
      <c r="CQ6" s="496" t="s">
        <v>308</v>
      </c>
      <c r="CR6" s="496" t="s">
        <v>308</v>
      </c>
      <c r="CS6" s="496" t="s">
        <v>1151</v>
      </c>
      <c r="CT6" s="496" t="s">
        <v>1152</v>
      </c>
      <c r="CU6" s="496" t="s">
        <v>1087</v>
      </c>
      <c r="CV6" s="497" t="s">
        <v>1153</v>
      </c>
      <c r="CX6" s="543">
        <v>1</v>
      </c>
    </row>
    <row r="7" spans="1:102" ht="21" customHeight="1">
      <c r="A7" s="509">
        <v>1</v>
      </c>
      <c r="B7" s="510" t="s">
        <v>5846</v>
      </c>
      <c r="C7" s="511" t="str">
        <f t="shared" ref="C7:C66" si="0">IF(7=7,IF($B7="","",TRIM(IF(RIGHT(TRIM($B7),1)="?",LEFT(TRIM($B7),LEN(TRIM($B7))-1),TRIM($B7)))&amp;IF(COUNTIF($E7:$R7,"X")&gt;0," *",IF(OR(E7="?",F7="?",G7="?",H7="?",I7="?",J7="?",K7="?",L7="?",M7="?",N7="?",O7="?",P7="?",Q7="?",R7="?")," ?",""))),"")</f>
        <v>Ail haché</v>
      </c>
      <c r="D7" s="512" t="str">
        <f>IF(7=7,IF($B7="","",IF(E7="X",""&amp;"Céréales contenant du gluten","")&amp;IF(F7="X",IF(COUNTIF($E7:$E7,"X")&gt;0,", ","")&amp;"Crustacés","")&amp;IF(G7="X",IF(COUNTIF($E7:$F7,"X")&gt;0,", ","")&amp;"Œufs","")&amp;IF(H7="X",IF(COUNTIF($E7:$G7,"X")&gt;0,", ","")&amp;"Poissons","")&amp;IF(I7="X",IF(COUNTIF($E7:$H7,"X")&gt;0,", ","")&amp;"Arachides","")&amp;IF(J7="X",IF(COUNTIF($E7:$I7,"X")&gt;0,", ","")&amp;"Soja","")&amp;IF(K7="X",IF(COUNTIF($E7:$J7,"X")&gt;0,", ","")&amp;"Lait","")&amp;IF(L7="X",IF(COUNTIF($E7:$K7,"X")&gt;0,", ","")&amp;"Fruits à coque","")&amp;IF(M7="X",IF(COUNTIF($E7:$L7,"X")&gt;0,", ","")&amp;"Céleri","")&amp;IF(N7="X",IF(COUNTIF($E7:$M7,"X")&gt;0,", ","")&amp;"Moutarde","")&amp;IF(O7="X",IF(COUNTIF($E7:$N7,"X")&gt;0,", ","")&amp;"Sésame","")&amp;IF(P7="X",IF(COUNTIF($E7:$O7,"X")&gt;0,", ","")&amp;"Sulfites","")&amp;IF(Q7="X",IF(COUNTIF($E7:$P7,"X")&gt;0,", ","")&amp;"Lupin","")&amp;IF(R7="X",IF(COUNTIF($E7:$Q7,"X")&gt;0,", ","")&amp;"Mollusques","")),"")</f>
        <v/>
      </c>
      <c r="E7" s="513" t="str">
        <f>IF(7=7,IF($B7="","",AF7),"")</f>
        <v/>
      </c>
      <c r="F7" s="513" t="str">
        <f>IF(7=7,IF($B7="","",AI7),"")</f>
        <v/>
      </c>
      <c r="G7" s="513" t="str">
        <f>IF(7=7,IF($B7="","",AM7),"")</f>
        <v/>
      </c>
      <c r="H7" s="513" t="str">
        <f>IF(7=7,IF($B7="","",IF(ISNUMBER(SEARCH(" colin ",$AA7)),"X",AZ7)),"")</f>
        <v/>
      </c>
      <c r="I7" s="513" t="str">
        <f>IF(7=7,IF($B7="","",BB7),"")</f>
        <v/>
      </c>
      <c r="J7" s="513" t="str">
        <f>IF(7=7,IF($B7="","",BF7),"")</f>
        <v/>
      </c>
      <c r="K7" s="513" t="str">
        <f>IF(7=7,IF($B7="","",BM7),"")</f>
        <v/>
      </c>
      <c r="L7" s="513" t="str">
        <f>IF(7=7,IF($B7="","",BQ7),"")</f>
        <v/>
      </c>
      <c r="M7" s="513" t="str">
        <f>IF(7=7,IF($B7="","",BT7),"")</f>
        <v/>
      </c>
      <c r="N7" s="513" t="str">
        <f>IF(7=7,IF($B7="","",BW7),"")</f>
        <v/>
      </c>
      <c r="O7" s="513" t="str">
        <f>IF(7=7,IF($B7="","",BZ7),"")</f>
        <v/>
      </c>
      <c r="P7" s="513" t="str">
        <f>IF(7=7,IF($B7="","",CC7),"")</f>
        <v/>
      </c>
      <c r="Q7" s="513" t="str">
        <f>IF(7=7,IF($B7="","",CF7),"")</f>
        <v/>
      </c>
      <c r="R7" s="513" t="str">
        <f>IF(7=7,IF($B7="","",CL7),"")</f>
        <v/>
      </c>
      <c r="S7" s="514" t="str">
        <f>IF(7=7,IF($B7="","",IF(E7="?",""&amp;"Céréales contenant du gluten","")&amp;IF(F7="?",IF(COUNTIF($E7:$E7,"~?")&gt;0,", ","")&amp;"Crustacés","")&amp;IF(G7="?",IF(COUNTIF($E7:$F7,"~?")&gt;0,", ","")&amp;"Œufs","")&amp;IF(H7="?",IF(COUNTIF($E7:$G7,"~?")&gt;0,", ","")&amp;"Poissons","")&amp;IF(I7="?",IF(COUNTIF($E7:$H7,"~?")&gt;0,", ","")&amp;"Arachides","")&amp;IF(J7="?",IF(COUNTIF($E7:$I7,"~?")&gt;0,", ","")&amp;"Soja","")&amp;IF(K7="?",IF(COUNTIF($E7:$J7,"~?")&gt;0,", ","")&amp;"Lait","")&amp;IF(L7="?",IF(COUNTIF($E7:$K7,"~?")&gt;0,", ","")&amp;"Fruits à coque","")&amp;IF(M7="?",IF(COUNTIF($E7:$L7,"~?")&gt;0,", ","")&amp;"Céleri","")&amp;IF(N7="?",IF(COUNTIF($E7:$M7,"~?")&gt;0,", ","")&amp;"Moutarde","")&amp;IF(O7="?",IF(COUNTIF($E7:$N7,"~?")&gt;0,", ","")&amp;"Sésame","")&amp;IF(P7="?",IF(COUNTIF($E7:$O7,"~?")&gt;0,", ","")&amp;"Sulfites","")&amp;IF(Q7="?",IF(COUNTIF($E7:$P7,"~?")&gt;0,", ","")&amp;"Lupin","")&amp;IF(R7="?",IF(COUNTIF($E7:$Q7,"~?")&gt;0,", ","")&amp;"Mollusques","")),"")</f>
        <v/>
      </c>
      <c r="U7" s="493" t="str">
        <f>IF(7=7,IF($B7="","",$B7),"")</f>
        <v>Ail haché</v>
      </c>
      <c r="V7" s="493" t="str">
        <f>IF(7=7,LOWER(CLEAN(SUBSTITUTE(SUBSTITUTE(SUBSTITUTE(SUBSTITUTE($U7,CHAR(160)," ")," "," "),CHAR(10)," "),CHAR(13)," "))),"")</f>
        <v>ail haché</v>
      </c>
      <c r="W7" s="493" t="str">
        <f>IF(7=7,SUBSTITUTE(SUBSTITUTE(SUBSTITUTE(SUBSTITUTE(SUBSTITUTE(SUBSTITUTE(SUBSTITUTE(SUBSTITUTE(SUBSTITUTE(SUBSTITUTE(SUBSTITUTE(SUBSTITUTE($V7,"œ","oe"),"æ","ae"),"à","a"),"á","a"),"â","a"),"ä","a"),"ã","a"),"ç","c"),"è","e"),"é","e"),"ê","e"),"ë","e"),"")</f>
        <v>ail hache</v>
      </c>
      <c r="X7" s="493" t="str">
        <f>IF(7=7,SUBSTITUTE(SUBSTITUTE(SUBSTITUTE(SUBSTITUTE(SUBSTITUTE(SUBSTITUTE(SUBSTITUTE(SUBSTITUTE(SUBSTITUTE(SUBSTITUTE(SUBSTITUTE(SUBSTITUTE(SUBSTITUTE(SUBSTITUTE(SUBSTITUTE(SUBSTITUTE($W7,"ì","i"),"í","i"),"î","i"),"ï","i"),"ñ","n"),"ò","o"),"ó","o"),"ô","o"),"ö","o"),"õ","o"),"ù","u"),"ú","u"),"û","u"),"ü","u"),"ý","y"),"ÿ","y"),"")</f>
        <v>ail hache</v>
      </c>
      <c r="Y7" s="493" t="str">
        <f>IF(7=7,SUBSTITUTE(SUBSTITUTE(SUBSTITUTE(SUBSTITUTE(SUBSTITUTE(SUBSTITUTE(SUBSTITUTE(SUBSTITUTE(SUBSTITUTE(SUBSTITUTE(SUBSTITUTE(SUBSTITUTE(SUBSTITUTE(SUBSTITUTE($X7,"’"," "),"`"," "),"–"," "),"—"," "),"-"," "),"'"," "),"/"," "),"_"," "),","," "),"."," "),"("," "),")"," "),";"," "),":"," "),"")</f>
        <v>ail hache</v>
      </c>
      <c r="Z7" s="493" t="str">
        <f>IF(7=7,SUBSTITUTE(SUBSTITUTE(SUBSTITUTE(SUBSTITUTE(SUBSTITUTE(SUBSTITUTE(SUBSTITUTE(SUBSTITUTE(SUBSTITUTE(SUBSTITUTE(SUBSTITUTE(SUBSTITUTE(SUBSTITUTE(SUBSTITUTE(SUBSTITUTE($Y7,"!"," "),"?"," "),"+"," "),"*"," "),"&amp;"," "),"["," "),"]"," "),"{"," "),"}"," "),"%"," "),"="," "),"\"," "),"|"," "),"&lt;"," "),"&gt;"," "),"")</f>
        <v>ail hache</v>
      </c>
      <c r="AA7" s="493" t="str">
        <f>IF(7=7," "&amp;TRIM(SUBSTITUTE(SUBSTITUTE(SUBSTITUTE(SUBSTITUTE(SUBSTITUTE(SUBSTITUTE($Z7,CHAR(34)," "),"  "," "),"  "," "),"  "," "),"  "," "),"  "," "))&amp;" ","")</f>
        <v xml:space="preserve"> ail hache </v>
      </c>
      <c r="AB7" s="493">
        <f>IF(7=7,IF($U7="","",SUMPRODUCT(--ISNUMBER(SEARCH(" "&amp;$CR$2:$CR$101&amp;" ",$AD7)))),"")</f>
        <v>0</v>
      </c>
      <c r="AC7" s="493">
        <f>IF(7=7,IF($U7="","",SUMPRODUCT(--ISNUMBER(SEARCH(" "&amp;$CR$102:$CR$151&amp;" ",$AD7)))),"")</f>
        <v>0</v>
      </c>
      <c r="AD7" s="493" t="str">
        <f t="shared" ref="AD7:AD66" si="1">IF($U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7," "&amp;$CR$112&amp;" "," ")," "&amp;$CR$113&amp;" "," ")," "&amp;$CR$114&amp;" "," ")," "&amp;$CR$115&amp;" "," ")," "&amp;$CR$148&amp;" "," ")," "&amp;$CR$152&amp;" "," ")," "&amp;$CR$153&amp;" "," ")," "&amp;$CR$154&amp;" "," ")," "&amp;$CR$155&amp;" "," ")," "&amp;$CR$156&amp;" "," ")," "&amp;$CR$157&amp;" "," ")," "&amp;$CR$158&amp;" "," ")," "&amp;$CR$159&amp;" "," ")," "&amp;$CR$160&amp;" "," ")," "&amp;$CR$161&amp;" "," ")," "&amp;$CR$162&amp;" "," ")," "&amp;$CR$163&amp;" "," ")," "&amp;$CR$164&amp;" "," ")," "&amp;$CR$165&amp;" "," ")," "&amp;$CR$166&amp;" "," ")," "&amp;$CR$167&amp;" "," ")," "&amp;$CR$168&amp;" "," ")," "&amp;$CR$169&amp;" "," ")," "&amp;$CR$170&amp;" "," ")," "&amp;$CR$171&amp;" "," ")," "&amp;$CR$172&amp;" "," ")," "&amp;$CR$173&amp;" "," ")," "&amp;$CR$174&amp;" "," ")," "&amp;$CR$175&amp;" "," ")," "&amp;$CR$176&amp;" "," ")," "&amp;$CR$177&amp;" "," ")," "&amp;$CR$178&amp;" "," ")," "&amp;$CR$179&amp;" "," ")," "&amp;$CR$180&amp;" "," ")," "&amp;$CR$181&amp;" "," ")," "&amp;$CR$182&amp;" "," ")," "&amp;$CR$183&amp;" "," ")," "&amp;$CR$2417&amp;" "," ")," "&amp;$CR$2425&amp;" "," ")," "&amp;$CR$2426&amp;" "," ")," "&amp;$CR$2427&amp;" "," ")," "&amp;$CR$2428&amp;" "," ")," "&amp;$CR$2429&amp;" "," ")," "&amp;$CR$2430&amp;" "," ")," "&amp;$CR$2431&amp;" "," ")," "&amp;$CR$2432&amp;" "," ")," "&amp;$CR$2433&amp;" "," ")," "&amp;$CR$2434&amp;" "," ")," "&amp;$CR$2435&amp;" "," ")," "&amp;$CR$2436&amp;" "," ")," "&amp;$CR$2437&amp;" "," "))</f>
        <v xml:space="preserve"> ail hache </v>
      </c>
      <c r="AE7" s="493">
        <f t="shared" ref="AE7:AE66" si="2">IF($U7="","",SUMPRODUCT(--ISNUMBER(SEARCH(" "&amp;$CR$184:$CR$205&amp;" ",$AD7)))+--ISNUMBER(SEARCH(" "&amp;$CR$2454&amp;" ",$AD7)))</f>
        <v>0</v>
      </c>
      <c r="AF7" s="493" t="str">
        <f>IF(7=7,IF($U7="","",IF(SUM(AB7:AC7)+SUMPRODUCT(--ISNUMBER(SEARCH(" "&amp;$CR$2418:$CR$2420&amp;" ",$AD7)))&gt;0,"X",IF(AE7&gt;0,"?",""))),"")</f>
        <v/>
      </c>
      <c r="AG7" s="493">
        <f>IF(7=7,IF($U7="","",SUMPRODUCT(--ISNUMBER(SEARCH(" "&amp;$CR$206:$CR$305&amp;" ",$AA7)))),"")</f>
        <v>0</v>
      </c>
      <c r="AH7" s="493">
        <f>IF(7=7,IF($U7="","",SUMPRODUCT(--ISNUMBER(SEARCH(" "&amp;$CR$306:$CR$340&amp;" ",$AA7)))),"")</f>
        <v>0</v>
      </c>
      <c r="AI7" s="493" t="str">
        <f>IF(7=7,IF($U7="","",IF((SUM(AG7:AH7))-(0)&gt;0,"X",IF((0)-(0)&gt;0,"?",""))),"")</f>
        <v/>
      </c>
      <c r="AJ7" s="493">
        <f>IF(7=7,IF($U7="","",SUMPRODUCT(--ISNUMBER(SEARCH(" "&amp;$CR$341:$CR$398&amp;" ",$AA7)))),"")</f>
        <v>0</v>
      </c>
      <c r="AK7" s="493">
        <f>IF(7=7,IF($U7="","",SUMPRODUCT(--ISNUMBER(SEARCH(" "&amp;$CR$399:$CR$426&amp;" ",$AL7)))+SUMPRODUCT(--ISNUMBER(SEARCH(" "&amp;$CR$2440:$CR$2453&amp;" ",$AL7)))),"")</f>
        <v>0</v>
      </c>
      <c r="AL7" s="493" t="str">
        <f>IF(7=7,IF($U7="","",SUBSTITUTE(SUBSTITUTE(SUBSTITUTE(SUBSTITUTE(SUBSTITUTE(SUBSTITUTE(SUBSTITUTE(SUBSTITUTE(SUBSTITUTE(SUBSTITUTE(SUBSTITUTE(SUBSTITUTE(SUBSTITUTE(SUBSTITUTE($AA7," "&amp;$CR$2455&amp;" "," ")," "&amp;$CR$433&amp;" "," ")," "&amp;$CR$431&amp;" "," ")," "&amp;$CR$2438&amp;" "," ")," "&amp;$CR$2439&amp;" "," ")," "&amp;$CR$428&amp;" "," ")," "&amp;$CR$432&amp;" "," ")," "&amp;$CR$434&amp;" "," ")," "&amp;$CR$429&amp;" "," ")," "&amp;$CR$427&amp;" "," ")," "&amp;$CR$1367&amp;" "," ")," "&amp;$CR$435&amp;" "," ")," "&amp;$CR$1366&amp;" "," ")," "&amp;$CR$430&amp;" "," ")),"")</f>
        <v xml:space="preserve"> ail hache </v>
      </c>
      <c r="AM7" s="493" t="str">
        <f>IF(7=7,IF($U7="","",IF(AJ7&gt;0,"X",IF(AK7&gt;0,"?",""))),"")</f>
        <v/>
      </c>
      <c r="AN7" s="493">
        <f>IF(7=7,IF($U7="","",SUMPRODUCT(--ISNUMBER(SEARCH(" "&amp;$CR$436:$CR$535&amp;" ",$AX7)))),"")</f>
        <v>0</v>
      </c>
      <c r="AO7" s="493">
        <f>IF(7=7,IF($U7="","",SUMPRODUCT(--ISNUMBER(SEARCH(" "&amp;$CR$536:$CR$635&amp;" ",$AX7)))),"")</f>
        <v>0</v>
      </c>
      <c r="AP7" s="493">
        <f>IF(7=7,IF($U7="","",SUMPRODUCT(--ISNUMBER(SEARCH(" "&amp;$CR$636:$CR$735&amp;" ",$AX7)))),"")</f>
        <v>0</v>
      </c>
      <c r="AQ7" s="493">
        <f>IF(7=7,IF($U7="","",SUMPRODUCT(--ISNUMBER(SEARCH(" "&amp;$CR$736:$CR$835&amp;" ",$AX7)))),"")</f>
        <v>0</v>
      </c>
      <c r="AR7" s="493">
        <f>IF(7=7,IF($U7="","",SUMPRODUCT(--ISNUMBER(SEARCH(" "&amp;$CR$836:$CR$935&amp;" ",$AX7)))),"")</f>
        <v>0</v>
      </c>
      <c r="AS7" s="493">
        <f>IF(7=7,IF($U7="","",SUMPRODUCT(--ISNUMBER(SEARCH(" "&amp;$CR$936:$CR$1035&amp;" ",$AX7)))),"")</f>
        <v>0</v>
      </c>
      <c r="AT7" s="493">
        <f>IF(7=7,IF($U7="","",SUMPRODUCT(--ISNUMBER(SEARCH(" "&amp;$CR$1036:$CR$1135&amp;" ",$AX7)))),"")</f>
        <v>0</v>
      </c>
      <c r="AU7" s="493">
        <f>IF(7=7,IF($U7="","",SUMPRODUCT(--ISNUMBER(SEARCH(" "&amp;$CR$1136:$CR$1235&amp;" ",$AX7)))),"")</f>
        <v>0</v>
      </c>
      <c r="AV7" s="493">
        <f>IF(7=7,IF($U7="","",SUMPRODUCT(--ISNUMBER(SEARCH(" "&amp;$CR$1236:$CR$1335&amp;" ",$AX7)))),"")</f>
        <v>0</v>
      </c>
      <c r="AW7" s="493">
        <f>IF(7=7,IF($U7="","",SUMPRODUCT(--ISNUMBER(SEARCH(" "&amp;$CR$1336:$CR$1363&amp;" ",$AX7)))),"")</f>
        <v>0</v>
      </c>
      <c r="AX7" s="493" t="str">
        <f>IF(7=7,IF($U7="","",SUBSTITUTE(SUBSTITUTE(SUBSTITUTE(SUBSTITUTE(SUBSTITUTE(SUBSTITUTE(SUBSTITUTE(SUBSTITUTE(SUBSTITUTE($AA7," "&amp;$CR$1365&amp;" "," ")," "&amp;$CR$1364&amp;" "," ")," "&amp;$CR$1370&amp;" "," ")," "&amp;$CR$1371&amp;" "," ")," "&amp;$CR$1367&amp;" "," ")," "&amp;$CR$1369&amp;" "," ")," "&amp;$CR$1366&amp;" "," ")," "&amp;$CR$1368&amp;" "," ")," "&amp;$CR$1372&amp;" "," ")),"")</f>
        <v xml:space="preserve"> ail hache </v>
      </c>
      <c r="AY7" s="493">
        <f>IF(7=7,IF($U7="","",SUMPRODUCT(--ISNUMBER(SEARCH(" "&amp;$CR$1373:$CR$1383&amp;" ",$AX7)))),"")</f>
        <v>0</v>
      </c>
      <c r="AZ7" s="493" t="str">
        <f>IF(7=7,IF($U7="","",IF(SUM(AN7:AW7)+SUMPRODUCT(--ISNUMBER(SEARCH(" "&amp;$CR$2421:$CR$2422&amp;" ",$AX7)))&gt;0,"X",IF(AY7&gt;0,"?",""))),"")</f>
        <v/>
      </c>
      <c r="BA7" s="493">
        <f>IF(7=7,IF($U7="","",SUMPRODUCT(--ISNUMBER(SEARCH(" "&amp;$CR$1384:$CR$1404&amp;" ",$AA7)))),"")</f>
        <v>0</v>
      </c>
      <c r="BB7" s="493" t="str">
        <f>IF(7=7,IF($U7="","",IF((BA7)-(0)&gt;0,"X",IF((0)-(0)&gt;0,"?",""))),"")</f>
        <v/>
      </c>
      <c r="BC7" s="493">
        <f>IF(7=7,IF($U7="","",SUMPRODUCT(--ISNUMBER(SEARCH(" "&amp;$CR$1405:$CR$1442&amp;" ",$BD7)))),"")</f>
        <v>0</v>
      </c>
      <c r="BD7" s="493" t="str">
        <f>IF(7=7,IF($U7="","",SUBSTITUTE(SUBSTITUTE($AA7," "&amp;$CR$1443&amp;" "," ")," "&amp;$CR$1444&amp;" "," ")),"")</f>
        <v xml:space="preserve"> ail hache </v>
      </c>
      <c r="BE7" s="493">
        <f>IF(7=7,IF($U7="","",SUMPRODUCT(--ISNUMBER(SEARCH(" "&amp;$CR$1445:$CR$1455&amp;" ",$BD7)))),"")</f>
        <v>0</v>
      </c>
      <c r="BF7" s="493" t="str">
        <f>IF(7=7,IF($U7="","",IF(BC7&gt;0,"X",IF(BE7&gt;0,"?",""))),"")</f>
        <v/>
      </c>
      <c r="BG7" s="493">
        <f>IF(7=7,IF($U7="","",SUMPRODUCT(--ISNUMBER(SEARCH(" "&amp;$CR$1456:$CR$1555&amp;" ",$BJ7)))),"")</f>
        <v>0</v>
      </c>
      <c r="BH7" s="493">
        <f>IF(7=7,IF($U7="","",SUMPRODUCT(--ISNUMBER(SEARCH(" "&amp;$CR$1556:$CR$1655&amp;" ",$BJ7)))),"")</f>
        <v>0</v>
      </c>
      <c r="BI7" s="493">
        <f>IF(7=7,IF($U7="","",SUMPRODUCT(--ISNUMBER(SEARCH(" "&amp;$CR$1656:$CR$1739&amp;" ",$BJ7)))),"")</f>
        <v>0</v>
      </c>
      <c r="BJ7" s="493" t="str">
        <f>IF(7=7,IF($U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ail hache </v>
      </c>
      <c r="BK7" s="493">
        <f>IF(7=7,IF($U7="","",SUMPRODUCT(--ISNUMBER(SEARCH(" "&amp;$CR$1790:$CR$1869&amp;" ",$BL7)))+SUMPRODUCT(--ISNUMBER(SEARCH(" "&amp;$CR$2440:$CR$2453&amp;" ",$BL7)))),"")</f>
        <v>0</v>
      </c>
      <c r="BL7" s="493" t="str">
        <f>IF(7=7,IF($U7="","",SUBSTITUTE(SUBSTITUTE(SUBSTITUTE(SUBSTITUTE(SUBSTITUTE(SUBSTITUTE(SUBSTITUTE(SUBSTITUTE(SUBSTITUTE(SUBSTITUTE(SUBSTITUTE(SUBSTITUTE(SUBSTITUTE($BJ7," "&amp;$CR$1876&amp;" "," ")," "&amp;$CR$1874&amp;" "," ")," "&amp;$CR$2438&amp;" "," ")," "&amp;$CR$2439&amp;" "," ")," "&amp;$CR$1871&amp;" "," ")," "&amp;$CR$1875&amp;" "," ")," "&amp;$CR$1877&amp;" "," ")," "&amp;$CR$1872&amp;" "," ")," "&amp;$CR$1870&amp;" "," ")," "&amp;$CR$1367&amp;" "," ")," "&amp;$CR$1878&amp;" "," ")," "&amp;$CR$1366&amp;" "," ")," "&amp;$CR$1873&amp;" "," ")),"")</f>
        <v xml:space="preserve"> ail hache </v>
      </c>
      <c r="BM7" s="493" t="str">
        <f>IF(7=7,IF($U7="","",IF(SUM(BG7:BI7)+SUMPRODUCT(--ISNUMBER(SEARCH(" "&amp;$CR$2423:$CR$2424&amp;" ",$BJ7)))&gt;0,"X",IF(BK7&gt;0,"?",""))),"")</f>
        <v/>
      </c>
      <c r="BN7" s="493">
        <f>IF(7=7,IF($U7="","",SUMPRODUCT(--ISNUMBER(SEARCH(" "&amp;$CR$1879:$CR$1936&amp;" ",$BO7)))),"")</f>
        <v>0</v>
      </c>
      <c r="BO7" s="493" t="str">
        <f>IF(7=7,IF($U7="","",SUBSTITUTE(SUBSTITUTE(SUBSTITUTE(SUBSTITUTE(SUBSTITUTE(SUBSTITUTE(SUBSTITUTE(SUBSTITUTE(SUBSTITUTE(SUBSTITUTE(SUBSTITUTE(SUBSTITUTE(SUBSTITUTE(SUBSTITUTE(SUBSTITUTE(SUBSTITUTE(SUBSTITUTE(SUBSTITUTE(SUBSTITUTE(SUBSTITUTE(SUBSTITUTE(SUBSTITUTE(SUBSTITUTE($AA7,"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ail hache </v>
      </c>
      <c r="BP7" s="493">
        <f>IF(7=7,IF($U7="","",SUMPRODUCT(--ISNUMBER(SEARCH(" "&amp;$CR$1960:$CR$1976&amp;" ",$BO7)))),"")</f>
        <v>0</v>
      </c>
      <c r="BQ7" s="493" t="str">
        <f>IF(7=7,IF($U7="","",IF(BN7&gt;0,"X",IF(BP7&gt;0,"?",""))),"")</f>
        <v/>
      </c>
      <c r="BR7" s="493">
        <f>IF(7=7,IF($U7="","",SUMPRODUCT(--ISNUMBER(SEARCH(" "&amp;$CR$1977:$CR$1990&amp;" ",$AA7)))),"")</f>
        <v>0</v>
      </c>
      <c r="BS7" s="493">
        <f>IF(7=7,IF($U7="","",SUMPRODUCT(--ISNUMBER(SEARCH(" "&amp;$CR$1991:$CR$2005&amp;" ",$AA7)))),"")</f>
        <v>0</v>
      </c>
      <c r="BT7" s="493" t="str">
        <f>IF(7=7,IF($U7="","",IF((BR7)-(0)&gt;0,"X",IF((BS7)-(0)&gt;0,"?",""))),"")</f>
        <v/>
      </c>
      <c r="BU7" s="493">
        <f>IF(7=7,IF($U7="","",SUMPRODUCT(--ISNUMBER(SEARCH(" "&amp;$CR$2006:$CR$2023&amp;" ",$AA7)))),"")</f>
        <v>0</v>
      </c>
      <c r="BV7" s="493">
        <f>IF(7=7,IF($U7="","",SUMPRODUCT(--ISNUMBER(SEARCH(" "&amp;$CR$2024:$CR$2038&amp;" ",$AA7)))),"")</f>
        <v>0</v>
      </c>
      <c r="BW7" s="493" t="str">
        <f>IF(7=7,IF($U7="","",IF((BU7)-(0)&gt;0,"X",IF((BV7)-(0)&gt;0,"?",""))),"")</f>
        <v/>
      </c>
      <c r="BX7" s="493">
        <f>IF(7=7,IF($U7="","",SUMPRODUCT(--ISNUMBER(SEARCH(" "&amp;$CR$2039:$CR$2057&amp;" ",$AA7)))),"")</f>
        <v>0</v>
      </c>
      <c r="BY7" s="493">
        <f>IF(7=7,IF($U7="","",SUMPRODUCT(--ISNUMBER(SEARCH(" "&amp;$CR$2058:$CR$2072&amp;" ",$AA7)))),"")</f>
        <v>0</v>
      </c>
      <c r="BZ7" s="493" t="str">
        <f>IF(7=7,IF($U7="","",IF((BX7)-(0)&gt;0,"X",IF((BY7)-(0)&gt;0,"?",""))),"")</f>
        <v/>
      </c>
      <c r="CA7" s="493">
        <f>IF(7=7,IF($U7="","",SUMPRODUCT(--ISNUMBER(SEARCH(" "&amp;$CR$2073:$CR$2093&amp;" ",$AA7)))),"")</f>
        <v>0</v>
      </c>
      <c r="CB7" s="493">
        <f>IF(7=7,IF($U7="","",SUMPRODUCT(--ISNUMBER(SEARCH(" "&amp;$CR$2094:$CR$2133&amp;" ",SUBSTITUTE(SUBSTITUTE($AA7," "&amp;$CR$1367&amp;" "," ")," "&amp;$CR$1366&amp;" "," "))))+--ISNUMBER(SEARCH("poiré",$V7))),"")</f>
        <v>0</v>
      </c>
      <c r="CC7" s="493" t="str">
        <f>IF(7=7,IF($U7="","",IF(OR(CA7&gt;0,ISNUMBER(SEARCH(" vinaigre de vin ",$AA7)),ISNUMBER(SEARCH(" vinaigre au vin ",$AA7))),"X",IF(CB7&gt;0,"?",""))),"")</f>
        <v/>
      </c>
      <c r="CD7" s="493">
        <f>IF(7=7,IF($U7="","",SUMPRODUCT(--ISNUMBER(SEARCH(" "&amp;$CR$2134:$CR$2146&amp;" ",$AA7)))),"")</f>
        <v>0</v>
      </c>
      <c r="CE7" s="493">
        <f>IF(7=7,IF($U7="","",SUMPRODUCT(--ISNUMBER(SEARCH(" "&amp;$CR$2147:$CR$2152&amp;" ",$AA7)))),"")</f>
        <v>0</v>
      </c>
      <c r="CF7" s="493" t="str">
        <f>IF(7=7,IF($U7="","",IF((CD7)-(0)&gt;0,"X",IF((CE7)-(0)&gt;0,"?",""))),"")</f>
        <v/>
      </c>
      <c r="CG7" s="493">
        <f>IF(7=7,IF($U7="","",SUMPRODUCT(--ISNUMBER(SEARCH(" "&amp;$CR$2153:$CR$2252&amp;" ",$CJ7)))),"")</f>
        <v>0</v>
      </c>
      <c r="CH7" s="493">
        <f>IF(7=7,IF($U7="","",SUMPRODUCT(--ISNUMBER(SEARCH(" "&amp;$CR$2253:$CR$2352&amp;" ",$CJ7)))),"")</f>
        <v>0</v>
      </c>
      <c r="CI7" s="493">
        <f>IF(7=7,IF($U7="","",SUMPRODUCT(--ISNUMBER(SEARCH(" "&amp;$CR$2353:$CR$2395&amp;" ",$CJ7)))),"")</f>
        <v>0</v>
      </c>
      <c r="CJ7" s="493" t="str">
        <f>IF(7=7,IF($U7="","",SUBSTITUTE(SUBSTITUTE(SUBSTITUTE(SUBSTITUTE(SUBSTITUTE(SUBSTITUTE(SUBSTITUTE(SUBSTITUTE(SUBSTITUTE(SUBSTITUTE(SUBSTITUTE(SUBSTITUTE(SUBSTITUTE(SUBSTITUTE(SUBSTITUTE(SUBSTITUTE($AA7," "&amp;$CR$2401&amp;" "," ")," "&amp;$CR$2400&amp;" "," ")," "&amp;$CR$2399&amp;" "," ")," "&amp;$CR$2406&amp;" "," ")," "&amp;$CR$2398&amp;" "," ")," "&amp;$CR$2410&amp;" "," ")," "&amp;$CR$2397&amp;" "," ")," "&amp;$CR$2402&amp;" "," ")," "&amp;$CR$2405&amp;" "," ")," "&amp;$CR$2396&amp;" "," ")," "&amp;$CR$2404&amp;" "," ")," "&amp;$CR$2411&amp;" "," ")," "&amp;$CR$2408&amp;" "," ")," "&amp;$CR$2403&amp;" "," ")," "&amp;$CR$2407&amp;" "," ")," "&amp;$CR$2409&amp;" "," ")),"")</f>
        <v xml:space="preserve"> ail hache </v>
      </c>
      <c r="CK7" s="493">
        <f>IF(7=7,IF($U7="","",SUMPRODUCT(--ISNUMBER(SEARCH(" "&amp;$CR$2412:$CR$2416&amp;" ",$CJ7)))),"")</f>
        <v>0</v>
      </c>
      <c r="CL7" s="493" t="str">
        <f>IF(7=7,IF($U7="","",IF(SUM(CG7:CI7)&gt;0,"X",IF(CK7&gt;0,"?",""))),"")</f>
        <v/>
      </c>
      <c r="CM7" s="494"/>
      <c r="CN7" s="496" t="s">
        <v>1155</v>
      </c>
      <c r="CO7" s="496" t="s">
        <v>1083</v>
      </c>
      <c r="CP7" s="496" t="s">
        <v>689</v>
      </c>
      <c r="CQ7" s="496" t="s">
        <v>1156</v>
      </c>
      <c r="CR7" s="496" t="s">
        <v>883</v>
      </c>
      <c r="CS7" s="496" t="s">
        <v>1085</v>
      </c>
      <c r="CT7" s="496" t="s">
        <v>1086</v>
      </c>
      <c r="CU7" s="496" t="s">
        <v>1087</v>
      </c>
      <c r="CV7" s="497" t="s">
        <v>1088</v>
      </c>
      <c r="CX7" s="543">
        <v>1</v>
      </c>
    </row>
    <row r="8" spans="1:102" ht="21" customHeight="1">
      <c r="A8" s="509">
        <v>2</v>
      </c>
      <c r="B8" s="510" t="s">
        <v>5847</v>
      </c>
      <c r="C8" s="511" t="str">
        <f t="shared" si="0"/>
        <v>Ail hachée surgelé</v>
      </c>
      <c r="D8" s="512" t="str">
        <f>IF(8=8,IF($B8="","",IF(E8="X",""&amp;"Céréales contenant du gluten","")&amp;IF(F8="X",IF(COUNTIF($E8:$E8,"X")&gt;0,", ","")&amp;"Crustacés","")&amp;IF(G8="X",IF(COUNTIF($E8:$F8,"X")&gt;0,", ","")&amp;"Œufs","")&amp;IF(H8="X",IF(COUNTIF($E8:$G8,"X")&gt;0,", ","")&amp;"Poissons","")&amp;IF(I8="X",IF(COUNTIF($E8:$H8,"X")&gt;0,", ","")&amp;"Arachides","")&amp;IF(J8="X",IF(COUNTIF($E8:$I8,"X")&gt;0,", ","")&amp;"Soja","")&amp;IF(K8="X",IF(COUNTIF($E8:$J8,"X")&gt;0,", ","")&amp;"Lait","")&amp;IF(L8="X",IF(COUNTIF($E8:$K8,"X")&gt;0,", ","")&amp;"Fruits à coque","")&amp;IF(M8="X",IF(COUNTIF($E8:$L8,"X")&gt;0,", ","")&amp;"Céleri","")&amp;IF(N8="X",IF(COUNTIF($E8:$M8,"X")&gt;0,", ","")&amp;"Moutarde","")&amp;IF(O8="X",IF(COUNTIF($E8:$N8,"X")&gt;0,", ","")&amp;"Sésame","")&amp;IF(P8="X",IF(COUNTIF($E8:$O8,"X")&gt;0,", ","")&amp;"Sulfites","")&amp;IF(Q8="X",IF(COUNTIF($E8:$P8,"X")&gt;0,", ","")&amp;"Lupin","")&amp;IF(R8="X",IF(COUNTIF($E8:$Q8,"X")&gt;0,", ","")&amp;"Mollusques","")),"")</f>
        <v/>
      </c>
      <c r="E8" s="513" t="str">
        <f>IF(8=8,IF($B8="","",AF8),"")</f>
        <v/>
      </c>
      <c r="F8" s="513" t="str">
        <f>IF(8=8,IF($B8="","",AI8),"")</f>
        <v/>
      </c>
      <c r="G8" s="513" t="str">
        <f>IF(8=8,IF($B8="","",AM8),"")</f>
        <v/>
      </c>
      <c r="H8" s="513" t="str">
        <f>IF(8=8,IF($B8="","",IF(ISNUMBER(SEARCH(" colin ",$AA8)),"X",AZ8)),"")</f>
        <v/>
      </c>
      <c r="I8" s="513" t="str">
        <f>IF(8=8,IF($B8="","",BB8),"")</f>
        <v/>
      </c>
      <c r="J8" s="513" t="str">
        <f>IF(8=8,IF($B8="","",BF8),"")</f>
        <v/>
      </c>
      <c r="K8" s="513" t="str">
        <f>IF(8=8,IF($B8="","",BM8),"")</f>
        <v/>
      </c>
      <c r="L8" s="513" t="str">
        <f>IF(8=8,IF($B8="","",BQ8),"")</f>
        <v/>
      </c>
      <c r="M8" s="513" t="str">
        <f>IF(8=8,IF($B8="","",BT8),"")</f>
        <v/>
      </c>
      <c r="N8" s="513" t="str">
        <f>IF(8=8,IF($B8="","",BW8),"")</f>
        <v/>
      </c>
      <c r="O8" s="513" t="str">
        <f>IF(8=8,IF($B8="","",BZ8),"")</f>
        <v/>
      </c>
      <c r="P8" s="513" t="str">
        <f>IF(8=8,IF($B8="","",CC8),"")</f>
        <v/>
      </c>
      <c r="Q8" s="513" t="str">
        <f>IF(8=8,IF($B8="","",CF8),"")</f>
        <v/>
      </c>
      <c r="R8" s="513" t="str">
        <f>IF(8=8,IF($B8="","",CL8),"")</f>
        <v/>
      </c>
      <c r="S8" s="514" t="str">
        <f>IF(8=8,IF($B8="","",IF(E8="?",""&amp;"Céréales contenant du gluten","")&amp;IF(F8="?",IF(COUNTIF($E8:$E8,"~?")&gt;0,", ","")&amp;"Crustacés","")&amp;IF(G8="?",IF(COUNTIF($E8:$F8,"~?")&gt;0,", ","")&amp;"Œufs","")&amp;IF(H8="?",IF(COUNTIF($E8:$G8,"~?")&gt;0,", ","")&amp;"Poissons","")&amp;IF(I8="?",IF(COUNTIF($E8:$H8,"~?")&gt;0,", ","")&amp;"Arachides","")&amp;IF(J8="?",IF(COUNTIF($E8:$I8,"~?")&gt;0,", ","")&amp;"Soja","")&amp;IF(K8="?",IF(COUNTIF($E8:$J8,"~?")&gt;0,", ","")&amp;"Lait","")&amp;IF(L8="?",IF(COUNTIF($E8:$K8,"~?")&gt;0,", ","")&amp;"Fruits à coque","")&amp;IF(M8="?",IF(COUNTIF($E8:$L8,"~?")&gt;0,", ","")&amp;"Céleri","")&amp;IF(N8="?",IF(COUNTIF($E8:$M8,"~?")&gt;0,", ","")&amp;"Moutarde","")&amp;IF(O8="?",IF(COUNTIF($E8:$N8,"~?")&gt;0,", ","")&amp;"Sésame","")&amp;IF(P8="?",IF(COUNTIF($E8:$O8,"~?")&gt;0,", ","")&amp;"Sulfites","")&amp;IF(Q8="?",IF(COUNTIF($E8:$P8,"~?")&gt;0,", ","")&amp;"Lupin","")&amp;IF(R8="?",IF(COUNTIF($E8:$Q8,"~?")&gt;0,", ","")&amp;"Mollusques","")),"")</f>
        <v/>
      </c>
      <c r="U8" s="493" t="str">
        <f>IF(8=8,IF($B8="","",$B8),"")</f>
        <v>Ail hachée surgelé</v>
      </c>
      <c r="V8" s="493" t="str">
        <f>IF(8=8,LOWER(CLEAN(SUBSTITUTE(SUBSTITUTE(SUBSTITUTE(SUBSTITUTE($U8,CHAR(160)," ")," "," "),CHAR(10)," "),CHAR(13)," "))),"")</f>
        <v>ail hachée surgelé</v>
      </c>
      <c r="W8" s="493" t="str">
        <f>IF(8=8,SUBSTITUTE(SUBSTITUTE(SUBSTITUTE(SUBSTITUTE(SUBSTITUTE(SUBSTITUTE(SUBSTITUTE(SUBSTITUTE(SUBSTITUTE(SUBSTITUTE(SUBSTITUTE(SUBSTITUTE($V8,"œ","oe"),"æ","ae"),"à","a"),"á","a"),"â","a"),"ä","a"),"ã","a"),"ç","c"),"è","e"),"é","e"),"ê","e"),"ë","e"),"")</f>
        <v>ail hachee surgele</v>
      </c>
      <c r="X8" s="493" t="str">
        <f>IF(8=8,SUBSTITUTE(SUBSTITUTE(SUBSTITUTE(SUBSTITUTE(SUBSTITUTE(SUBSTITUTE(SUBSTITUTE(SUBSTITUTE(SUBSTITUTE(SUBSTITUTE(SUBSTITUTE(SUBSTITUTE(SUBSTITUTE(SUBSTITUTE(SUBSTITUTE(SUBSTITUTE($W8,"ì","i"),"í","i"),"î","i"),"ï","i"),"ñ","n"),"ò","o"),"ó","o"),"ô","o"),"ö","o"),"õ","o"),"ù","u"),"ú","u"),"û","u"),"ü","u"),"ý","y"),"ÿ","y"),"")</f>
        <v>ail hachee surgele</v>
      </c>
      <c r="Y8" s="493" t="str">
        <f>IF(8=8,SUBSTITUTE(SUBSTITUTE(SUBSTITUTE(SUBSTITUTE(SUBSTITUTE(SUBSTITUTE(SUBSTITUTE(SUBSTITUTE(SUBSTITUTE(SUBSTITUTE(SUBSTITUTE(SUBSTITUTE(SUBSTITUTE(SUBSTITUTE($X8,"’"," "),"`"," "),"–"," "),"—"," "),"-"," "),"'"," "),"/"," "),"_"," "),","," "),"."," "),"("," "),")"," "),";"," "),":"," "),"")</f>
        <v>ail hachee surgele</v>
      </c>
      <c r="Z8" s="493" t="str">
        <f>IF(8=8,SUBSTITUTE(SUBSTITUTE(SUBSTITUTE(SUBSTITUTE(SUBSTITUTE(SUBSTITUTE(SUBSTITUTE(SUBSTITUTE(SUBSTITUTE(SUBSTITUTE(SUBSTITUTE(SUBSTITUTE(SUBSTITUTE(SUBSTITUTE(SUBSTITUTE($Y8,"!"," "),"?"," "),"+"," "),"*"," "),"&amp;"," "),"["," "),"]"," "),"{"," "),"}"," "),"%"," "),"="," "),"\"," "),"|"," "),"&lt;"," "),"&gt;"," "),"")</f>
        <v>ail hachee surgele</v>
      </c>
      <c r="AA8" s="493" t="str">
        <f>IF(8=8," "&amp;TRIM(SUBSTITUTE(SUBSTITUTE(SUBSTITUTE(SUBSTITUTE(SUBSTITUTE(SUBSTITUTE($Z8,CHAR(34)," "),"  "," "),"  "," "),"  "," "),"  "," "),"  "," "))&amp;" ","")</f>
        <v xml:space="preserve"> ail hachee surgele </v>
      </c>
      <c r="AB8" s="493">
        <f>IF(8=8,IF($U8="","",SUMPRODUCT(--ISNUMBER(SEARCH(" "&amp;$CR$2:$CR$101&amp;" ",$AD8)))),"")</f>
        <v>0</v>
      </c>
      <c r="AC8" s="493">
        <f>IF(8=8,IF($U8="","",SUMPRODUCT(--ISNUMBER(SEARCH(" "&amp;$CR$102:$CR$151&amp;" ",$AD8)))),"")</f>
        <v>0</v>
      </c>
      <c r="AD8" s="493" t="str">
        <f t="shared" si="1"/>
        <v xml:space="preserve"> ail hachee surgele </v>
      </c>
      <c r="AE8" s="493">
        <f t="shared" si="2"/>
        <v>0</v>
      </c>
      <c r="AF8" s="493" t="str">
        <f>IF(8=8,IF($U8="","",IF(SUM(AB8:AC8)+SUMPRODUCT(--ISNUMBER(SEARCH(" "&amp;$CR$2418:$CR$2420&amp;" ",$AD8)))&gt;0,"X",IF(AE8&gt;0,"?",""))),"")</f>
        <v/>
      </c>
      <c r="AG8" s="493">
        <f>IF(8=8,IF($U8="","",SUMPRODUCT(--ISNUMBER(SEARCH(" "&amp;$CR$206:$CR$305&amp;" ",$AA8)))),"")</f>
        <v>0</v>
      </c>
      <c r="AH8" s="493">
        <f>IF(8=8,IF($U8="","",SUMPRODUCT(--ISNUMBER(SEARCH(" "&amp;$CR$306:$CR$340&amp;" ",$AA8)))),"")</f>
        <v>0</v>
      </c>
      <c r="AI8" s="493" t="str">
        <f>IF(8=8,IF($U8="","",IF((SUM(AG8:AH8))-(0)&gt;0,"X",IF((0)-(0)&gt;0,"?",""))),"")</f>
        <v/>
      </c>
      <c r="AJ8" s="493">
        <f>IF(8=8,IF($U8="","",SUMPRODUCT(--ISNUMBER(SEARCH(" "&amp;$CR$341:$CR$398&amp;" ",$AA8)))),"")</f>
        <v>0</v>
      </c>
      <c r="AK8" s="493">
        <f>IF(8=8,IF($U8="","",SUMPRODUCT(--ISNUMBER(SEARCH(" "&amp;$CR$399:$CR$426&amp;" ",$AL8)))+SUMPRODUCT(--ISNUMBER(SEARCH(" "&amp;$CR$2440:$CR$2453&amp;" ",$AL8)))),"")</f>
        <v>0</v>
      </c>
      <c r="AL8" s="493" t="str">
        <f>IF(8=8,IF($U8="","",SUBSTITUTE(SUBSTITUTE(SUBSTITUTE(SUBSTITUTE(SUBSTITUTE(SUBSTITUTE(SUBSTITUTE(SUBSTITUTE(SUBSTITUTE(SUBSTITUTE(SUBSTITUTE(SUBSTITUTE(SUBSTITUTE(SUBSTITUTE($AA8," "&amp;$CR$2455&amp;" "," ")," "&amp;$CR$433&amp;" "," ")," "&amp;$CR$431&amp;" "," ")," "&amp;$CR$2438&amp;" "," ")," "&amp;$CR$2439&amp;" "," ")," "&amp;$CR$428&amp;" "," ")," "&amp;$CR$432&amp;" "," ")," "&amp;$CR$434&amp;" "," ")," "&amp;$CR$429&amp;" "," ")," "&amp;$CR$427&amp;" "," ")," "&amp;$CR$1367&amp;" "," ")," "&amp;$CR$435&amp;" "," ")," "&amp;$CR$1366&amp;" "," ")," "&amp;$CR$430&amp;" "," ")),"")</f>
        <v xml:space="preserve"> ail hachee surgele </v>
      </c>
      <c r="AM8" s="493" t="str">
        <f>IF(8=8,IF($U8="","",IF(AJ8&gt;0,"X",IF(AK8&gt;0,"?",""))),"")</f>
        <v/>
      </c>
      <c r="AN8" s="493">
        <f>IF(8=8,IF($U8="","",SUMPRODUCT(--ISNUMBER(SEARCH(" "&amp;$CR$436:$CR$535&amp;" ",$AX8)))),"")</f>
        <v>0</v>
      </c>
      <c r="AO8" s="493">
        <f>IF(8=8,IF($U8="","",SUMPRODUCT(--ISNUMBER(SEARCH(" "&amp;$CR$536:$CR$635&amp;" ",$AX8)))),"")</f>
        <v>0</v>
      </c>
      <c r="AP8" s="493">
        <f>IF(8=8,IF($U8="","",SUMPRODUCT(--ISNUMBER(SEARCH(" "&amp;$CR$636:$CR$735&amp;" ",$AX8)))),"")</f>
        <v>0</v>
      </c>
      <c r="AQ8" s="493">
        <f>IF(8=8,IF($U8="","",SUMPRODUCT(--ISNUMBER(SEARCH(" "&amp;$CR$736:$CR$835&amp;" ",$AX8)))),"")</f>
        <v>0</v>
      </c>
      <c r="AR8" s="493">
        <f>IF(8=8,IF($U8="","",SUMPRODUCT(--ISNUMBER(SEARCH(" "&amp;$CR$836:$CR$935&amp;" ",$AX8)))),"")</f>
        <v>0</v>
      </c>
      <c r="AS8" s="493">
        <f>IF(8=8,IF($U8="","",SUMPRODUCT(--ISNUMBER(SEARCH(" "&amp;$CR$936:$CR$1035&amp;" ",$AX8)))),"")</f>
        <v>0</v>
      </c>
      <c r="AT8" s="493">
        <f>IF(8=8,IF($U8="","",SUMPRODUCT(--ISNUMBER(SEARCH(" "&amp;$CR$1036:$CR$1135&amp;" ",$AX8)))),"")</f>
        <v>0</v>
      </c>
      <c r="AU8" s="493">
        <f>IF(8=8,IF($U8="","",SUMPRODUCT(--ISNUMBER(SEARCH(" "&amp;$CR$1136:$CR$1235&amp;" ",$AX8)))),"")</f>
        <v>0</v>
      </c>
      <c r="AV8" s="493">
        <f>IF(8=8,IF($U8="","",SUMPRODUCT(--ISNUMBER(SEARCH(" "&amp;$CR$1236:$CR$1335&amp;" ",$AX8)))),"")</f>
        <v>0</v>
      </c>
      <c r="AW8" s="493">
        <f>IF(8=8,IF($U8="","",SUMPRODUCT(--ISNUMBER(SEARCH(" "&amp;$CR$1336:$CR$1363&amp;" ",$AX8)))),"")</f>
        <v>0</v>
      </c>
      <c r="AX8" s="493" t="str">
        <f>IF(8=8,IF($U8="","",SUBSTITUTE(SUBSTITUTE(SUBSTITUTE(SUBSTITUTE(SUBSTITUTE(SUBSTITUTE(SUBSTITUTE(SUBSTITUTE(SUBSTITUTE($AA8," "&amp;$CR$1365&amp;" "," ")," "&amp;$CR$1364&amp;" "," ")," "&amp;$CR$1370&amp;" "," ")," "&amp;$CR$1371&amp;" "," ")," "&amp;$CR$1367&amp;" "," ")," "&amp;$CR$1369&amp;" "," ")," "&amp;$CR$1366&amp;" "," ")," "&amp;$CR$1368&amp;" "," ")," "&amp;$CR$1372&amp;" "," ")),"")</f>
        <v xml:space="preserve"> ail hachee surgele </v>
      </c>
      <c r="AY8" s="493">
        <f>IF(8=8,IF($U8="","",SUMPRODUCT(--ISNUMBER(SEARCH(" "&amp;$CR$1373:$CR$1383&amp;" ",$AX8)))),"")</f>
        <v>0</v>
      </c>
      <c r="AZ8" s="493" t="str">
        <f>IF(8=8,IF($U8="","",IF(SUM(AN8:AW8)+SUMPRODUCT(--ISNUMBER(SEARCH(" "&amp;$CR$2421:$CR$2422&amp;" ",$AX8)))&gt;0,"X",IF(AY8&gt;0,"?",""))),"")</f>
        <v/>
      </c>
      <c r="BA8" s="493">
        <f>IF(8=8,IF($U8="","",SUMPRODUCT(--ISNUMBER(SEARCH(" "&amp;$CR$1384:$CR$1404&amp;" ",$AA8)))),"")</f>
        <v>0</v>
      </c>
      <c r="BB8" s="493" t="str">
        <f>IF(8=8,IF($U8="","",IF((BA8)-(0)&gt;0,"X",IF((0)-(0)&gt;0,"?",""))),"")</f>
        <v/>
      </c>
      <c r="BC8" s="493">
        <f>IF(8=8,IF($U8="","",SUMPRODUCT(--ISNUMBER(SEARCH(" "&amp;$CR$1405:$CR$1442&amp;" ",$BD8)))),"")</f>
        <v>0</v>
      </c>
      <c r="BD8" s="493" t="str">
        <f>IF(8=8,IF($U8="","",SUBSTITUTE(SUBSTITUTE($AA8," "&amp;$CR$1443&amp;" "," ")," "&amp;$CR$1444&amp;" "," ")),"")</f>
        <v xml:space="preserve"> ail hachee surgele </v>
      </c>
      <c r="BE8" s="493">
        <f>IF(8=8,IF($U8="","",SUMPRODUCT(--ISNUMBER(SEARCH(" "&amp;$CR$1445:$CR$1455&amp;" ",$BD8)))),"")</f>
        <v>0</v>
      </c>
      <c r="BF8" s="493" t="str">
        <f>IF(8=8,IF($U8="","",IF(BC8&gt;0,"X",IF(BE8&gt;0,"?",""))),"")</f>
        <v/>
      </c>
      <c r="BG8" s="493">
        <f>IF(8=8,IF($U8="","",SUMPRODUCT(--ISNUMBER(SEARCH(" "&amp;$CR$1456:$CR$1555&amp;" ",$BJ8)))),"")</f>
        <v>0</v>
      </c>
      <c r="BH8" s="493">
        <f>IF(8=8,IF($U8="","",SUMPRODUCT(--ISNUMBER(SEARCH(" "&amp;$CR$1556:$CR$1655&amp;" ",$BJ8)))),"")</f>
        <v>0</v>
      </c>
      <c r="BI8" s="493">
        <f>IF(8=8,IF($U8="","",SUMPRODUCT(--ISNUMBER(SEARCH(" "&amp;$CR$1656:$CR$1739&amp;" ",$BJ8)))),"")</f>
        <v>0</v>
      </c>
      <c r="BJ8" s="493" t="str">
        <f>IF(8=8,IF($U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ail hachee surgele </v>
      </c>
      <c r="BK8" s="493">
        <f>IF(8=8,IF($U8="","",SUMPRODUCT(--ISNUMBER(SEARCH(" "&amp;$CR$1790:$CR$1869&amp;" ",$BL8)))+SUMPRODUCT(--ISNUMBER(SEARCH(" "&amp;$CR$2440:$CR$2453&amp;" ",$BL8)))),"")</f>
        <v>0</v>
      </c>
      <c r="BL8" s="493" t="str">
        <f>IF(8=8,IF($U8="","",SUBSTITUTE(SUBSTITUTE(SUBSTITUTE(SUBSTITUTE(SUBSTITUTE(SUBSTITUTE(SUBSTITUTE(SUBSTITUTE(SUBSTITUTE(SUBSTITUTE(SUBSTITUTE(SUBSTITUTE(SUBSTITUTE($BJ8," "&amp;$CR$1876&amp;" "," ")," "&amp;$CR$1874&amp;" "," ")," "&amp;$CR$2438&amp;" "," ")," "&amp;$CR$2439&amp;" "," ")," "&amp;$CR$1871&amp;" "," ")," "&amp;$CR$1875&amp;" "," ")," "&amp;$CR$1877&amp;" "," ")," "&amp;$CR$1872&amp;" "," ")," "&amp;$CR$1870&amp;" "," ")," "&amp;$CR$1367&amp;" "," ")," "&amp;$CR$1878&amp;" "," ")," "&amp;$CR$1366&amp;" "," ")," "&amp;$CR$1873&amp;" "," ")),"")</f>
        <v xml:space="preserve"> ail hachee surgele </v>
      </c>
      <c r="BM8" s="493" t="str">
        <f>IF(8=8,IF($U8="","",IF(SUM(BG8:BI8)+SUMPRODUCT(--ISNUMBER(SEARCH(" "&amp;$CR$2423:$CR$2424&amp;" ",$BJ8)))&gt;0,"X",IF(BK8&gt;0,"?",""))),"")</f>
        <v/>
      </c>
      <c r="BN8" s="493">
        <f>IF(8=8,IF($U8="","",SUMPRODUCT(--ISNUMBER(SEARCH(" "&amp;$CR$1879:$CR$1936&amp;" ",$BO8)))),"")</f>
        <v>0</v>
      </c>
      <c r="BO8" s="493" t="str">
        <f>IF(8=8,IF($U8="","",SUBSTITUTE(SUBSTITUTE(SUBSTITUTE(SUBSTITUTE(SUBSTITUTE(SUBSTITUTE(SUBSTITUTE(SUBSTITUTE(SUBSTITUTE(SUBSTITUTE(SUBSTITUTE(SUBSTITUTE(SUBSTITUTE(SUBSTITUTE(SUBSTITUTE(SUBSTITUTE(SUBSTITUTE(SUBSTITUTE(SUBSTITUTE(SUBSTITUTE(SUBSTITUTE(SUBSTITUTE(SUBSTITUTE($AA8,"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ail hachee surgele </v>
      </c>
      <c r="BP8" s="493">
        <f>IF(8=8,IF($U8="","",SUMPRODUCT(--ISNUMBER(SEARCH(" "&amp;$CR$1960:$CR$1976&amp;" ",$BO8)))),"")</f>
        <v>0</v>
      </c>
      <c r="BQ8" s="493" t="str">
        <f>IF(8=8,IF($U8="","",IF(BN8&gt;0,"X",IF(BP8&gt;0,"?",""))),"")</f>
        <v/>
      </c>
      <c r="BR8" s="493">
        <f>IF(8=8,IF($U8="","",SUMPRODUCT(--ISNUMBER(SEARCH(" "&amp;$CR$1977:$CR$1990&amp;" ",$AA8)))),"")</f>
        <v>0</v>
      </c>
      <c r="BS8" s="493">
        <f>IF(8=8,IF($U8="","",SUMPRODUCT(--ISNUMBER(SEARCH(" "&amp;$CR$1991:$CR$2005&amp;" ",$AA8)))),"")</f>
        <v>0</v>
      </c>
      <c r="BT8" s="493" t="str">
        <f>IF(8=8,IF($U8="","",IF((BR8)-(0)&gt;0,"X",IF((BS8)-(0)&gt;0,"?",""))),"")</f>
        <v/>
      </c>
      <c r="BU8" s="493">
        <f>IF(8=8,IF($U8="","",SUMPRODUCT(--ISNUMBER(SEARCH(" "&amp;$CR$2006:$CR$2023&amp;" ",$AA8)))),"")</f>
        <v>0</v>
      </c>
      <c r="BV8" s="493">
        <f>IF(8=8,IF($U8="","",SUMPRODUCT(--ISNUMBER(SEARCH(" "&amp;$CR$2024:$CR$2038&amp;" ",$AA8)))),"")</f>
        <v>0</v>
      </c>
      <c r="BW8" s="493" t="str">
        <f>IF(8=8,IF($U8="","",IF((BU8)-(0)&gt;0,"X",IF((BV8)-(0)&gt;0,"?",""))),"")</f>
        <v/>
      </c>
      <c r="BX8" s="493">
        <f>IF(8=8,IF($U8="","",SUMPRODUCT(--ISNUMBER(SEARCH(" "&amp;$CR$2039:$CR$2057&amp;" ",$AA8)))),"")</f>
        <v>0</v>
      </c>
      <c r="BY8" s="493">
        <f>IF(8=8,IF($U8="","",SUMPRODUCT(--ISNUMBER(SEARCH(" "&amp;$CR$2058:$CR$2072&amp;" ",$AA8)))),"")</f>
        <v>0</v>
      </c>
      <c r="BZ8" s="493" t="str">
        <f>IF(8=8,IF($U8="","",IF((BX8)-(0)&gt;0,"X",IF((BY8)-(0)&gt;0,"?",""))),"")</f>
        <v/>
      </c>
      <c r="CA8" s="493">
        <f>IF(8=8,IF($U8="","",SUMPRODUCT(--ISNUMBER(SEARCH(" "&amp;$CR$2073:$CR$2093&amp;" ",$AA8)))),"")</f>
        <v>0</v>
      </c>
      <c r="CB8" s="493">
        <f>IF(8=8,IF($U8="","",SUMPRODUCT(--ISNUMBER(SEARCH(" "&amp;$CR$2094:$CR$2133&amp;" ",SUBSTITUTE(SUBSTITUTE($AA8," "&amp;$CR$1367&amp;" "," ")," "&amp;$CR$1366&amp;" "," "))))+--ISNUMBER(SEARCH("poiré",$V8))),"")</f>
        <v>0</v>
      </c>
      <c r="CC8" s="493" t="str">
        <f>IF(8=8,IF($U8="","",IF(OR(CA8&gt;0,ISNUMBER(SEARCH(" vinaigre de vin ",$AA8)),ISNUMBER(SEARCH(" vinaigre au vin ",$AA8))),"X",IF(CB8&gt;0,"?",""))),"")</f>
        <v/>
      </c>
      <c r="CD8" s="493">
        <f>IF(8=8,IF($U8="","",SUMPRODUCT(--ISNUMBER(SEARCH(" "&amp;$CR$2134:$CR$2146&amp;" ",$AA8)))),"")</f>
        <v>0</v>
      </c>
      <c r="CE8" s="493">
        <f>IF(8=8,IF($U8="","",SUMPRODUCT(--ISNUMBER(SEARCH(" "&amp;$CR$2147:$CR$2152&amp;" ",$AA8)))),"")</f>
        <v>0</v>
      </c>
      <c r="CF8" s="493" t="str">
        <f>IF(8=8,IF($U8="","",IF((CD8)-(0)&gt;0,"X",IF((CE8)-(0)&gt;0,"?",""))),"")</f>
        <v/>
      </c>
      <c r="CG8" s="493">
        <f>IF(8=8,IF($U8="","",SUMPRODUCT(--ISNUMBER(SEARCH(" "&amp;$CR$2153:$CR$2252&amp;" ",$CJ8)))),"")</f>
        <v>0</v>
      </c>
      <c r="CH8" s="493">
        <f>IF(8=8,IF($U8="","",SUMPRODUCT(--ISNUMBER(SEARCH(" "&amp;$CR$2253:$CR$2352&amp;" ",$CJ8)))),"")</f>
        <v>0</v>
      </c>
      <c r="CI8" s="493">
        <f>IF(8=8,IF($U8="","",SUMPRODUCT(--ISNUMBER(SEARCH(" "&amp;$CR$2353:$CR$2395&amp;" ",$CJ8)))),"")</f>
        <v>0</v>
      </c>
      <c r="CJ8" s="493" t="str">
        <f>IF(8=8,IF($U8="","",SUBSTITUTE(SUBSTITUTE(SUBSTITUTE(SUBSTITUTE(SUBSTITUTE(SUBSTITUTE(SUBSTITUTE(SUBSTITUTE(SUBSTITUTE(SUBSTITUTE(SUBSTITUTE(SUBSTITUTE(SUBSTITUTE(SUBSTITUTE(SUBSTITUTE(SUBSTITUTE($AA8," "&amp;$CR$2401&amp;" "," ")," "&amp;$CR$2400&amp;" "," ")," "&amp;$CR$2399&amp;" "," ")," "&amp;$CR$2406&amp;" "," ")," "&amp;$CR$2398&amp;" "," ")," "&amp;$CR$2410&amp;" "," ")," "&amp;$CR$2397&amp;" "," ")," "&amp;$CR$2402&amp;" "," ")," "&amp;$CR$2405&amp;" "," ")," "&amp;$CR$2396&amp;" "," ")," "&amp;$CR$2404&amp;" "," ")," "&amp;$CR$2411&amp;" "," ")," "&amp;$CR$2408&amp;" "," ")," "&amp;$CR$2403&amp;" "," ")," "&amp;$CR$2407&amp;" "," ")," "&amp;$CR$2409&amp;" "," ")),"")</f>
        <v xml:space="preserve"> ail hachee surgele </v>
      </c>
      <c r="CK8" s="493">
        <f>IF(8=8,IF($U8="","",SUMPRODUCT(--ISNUMBER(SEARCH(" "&amp;$CR$2412:$CR$2416&amp;" ",$CJ8)))),"")</f>
        <v>0</v>
      </c>
      <c r="CL8" s="493" t="str">
        <f>IF(8=8,IF($U8="","",IF(SUM(CG8:CI8)&gt;0,"X",IF(CK8&gt;0,"?",""))),"")</f>
        <v/>
      </c>
      <c r="CM8" s="494"/>
      <c r="CN8" s="496" t="s">
        <v>1157</v>
      </c>
      <c r="CO8" s="496" t="s">
        <v>1083</v>
      </c>
      <c r="CP8" s="496" t="s">
        <v>689</v>
      </c>
      <c r="CQ8" s="496" t="s">
        <v>1158</v>
      </c>
      <c r="CR8" s="496" t="s">
        <v>1159</v>
      </c>
      <c r="CS8" s="496" t="s">
        <v>1085</v>
      </c>
      <c r="CT8" s="496" t="s">
        <v>1086</v>
      </c>
      <c r="CU8" s="496" t="s">
        <v>1087</v>
      </c>
      <c r="CV8" s="497" t="s">
        <v>1088</v>
      </c>
      <c r="CX8" s="543">
        <v>1</v>
      </c>
    </row>
    <row r="9" spans="1:102" ht="21" customHeight="1">
      <c r="A9" s="509">
        <v>3</v>
      </c>
      <c r="B9" s="510" t="s">
        <v>5848</v>
      </c>
      <c r="C9" s="511" t="str">
        <f t="shared" si="0"/>
        <v>Aubergines</v>
      </c>
      <c r="D9" s="512" t="str">
        <f>IF(9=9,IF($B9="","",IF(E9="X",""&amp;"Céréales contenant du gluten","")&amp;IF(F9="X",IF(COUNTIF($E9:$E9,"X")&gt;0,", ","")&amp;"Crustacés","")&amp;IF(G9="X",IF(COUNTIF($E9:$F9,"X")&gt;0,", ","")&amp;"Œufs","")&amp;IF(H9="X",IF(COUNTIF($E9:$G9,"X")&gt;0,", ","")&amp;"Poissons","")&amp;IF(I9="X",IF(COUNTIF($E9:$H9,"X")&gt;0,", ","")&amp;"Arachides","")&amp;IF(J9="X",IF(COUNTIF($E9:$I9,"X")&gt;0,", ","")&amp;"Soja","")&amp;IF(K9="X",IF(COUNTIF($E9:$J9,"X")&gt;0,", ","")&amp;"Lait","")&amp;IF(L9="X",IF(COUNTIF($E9:$K9,"X")&gt;0,", ","")&amp;"Fruits à coque","")&amp;IF(M9="X",IF(COUNTIF($E9:$L9,"X")&gt;0,", ","")&amp;"Céleri","")&amp;IF(N9="X",IF(COUNTIF($E9:$M9,"X")&gt;0,", ","")&amp;"Moutarde","")&amp;IF(O9="X",IF(COUNTIF($E9:$N9,"X")&gt;0,", ","")&amp;"Sésame","")&amp;IF(P9="X",IF(COUNTIF($E9:$O9,"X")&gt;0,", ","")&amp;"Sulfites","")&amp;IF(Q9="X",IF(COUNTIF($E9:$P9,"X")&gt;0,", ","")&amp;"Lupin","")&amp;IF(R9="X",IF(COUNTIF($E9:$Q9,"X")&gt;0,", ","")&amp;"Mollusques","")),"")</f>
        <v/>
      </c>
      <c r="E9" s="513" t="str">
        <f>IF(9=9,IF($B9="","",AF9),"")</f>
        <v/>
      </c>
      <c r="F9" s="513" t="str">
        <f>IF(9=9,IF($B9="","",AI9),"")</f>
        <v/>
      </c>
      <c r="G9" s="513" t="str">
        <f>IF(9=9,IF($B9="","",AM9),"")</f>
        <v/>
      </c>
      <c r="H9" s="513" t="str">
        <f>IF(9=9,IF($B9="","",IF(ISNUMBER(SEARCH(" colin ",$AA9)),"X",AZ9)),"")</f>
        <v/>
      </c>
      <c r="I9" s="513" t="str">
        <f>IF(9=9,IF($B9="","",BB9),"")</f>
        <v/>
      </c>
      <c r="J9" s="513" t="str">
        <f>IF(9=9,IF($B9="","",BF9),"")</f>
        <v/>
      </c>
      <c r="K9" s="513" t="str">
        <f>IF(9=9,IF($B9="","",BM9),"")</f>
        <v/>
      </c>
      <c r="L9" s="513" t="str">
        <f>IF(9=9,IF($B9="","",BQ9),"")</f>
        <v/>
      </c>
      <c r="M9" s="513" t="str">
        <f>IF(9=9,IF($B9="","",BT9),"")</f>
        <v/>
      </c>
      <c r="N9" s="513" t="str">
        <f>IF(9=9,IF($B9="","",BW9),"")</f>
        <v/>
      </c>
      <c r="O9" s="513" t="str">
        <f>IF(9=9,IF($B9="","",BZ9),"")</f>
        <v/>
      </c>
      <c r="P9" s="513" t="str">
        <f>IF(9=9,IF($B9="","",CC9),"")</f>
        <v/>
      </c>
      <c r="Q9" s="513" t="str">
        <f>IF(9=9,IF($B9="","",CF9),"")</f>
        <v/>
      </c>
      <c r="R9" s="513" t="str">
        <f>IF(9=9,IF($B9="","",CL9),"")</f>
        <v/>
      </c>
      <c r="S9" s="514" t="str">
        <f>IF(9=9,IF($B9="","",IF(E9="?",""&amp;"Céréales contenant du gluten","")&amp;IF(F9="?",IF(COUNTIF($E9:$E9,"~?")&gt;0,", ","")&amp;"Crustacés","")&amp;IF(G9="?",IF(COUNTIF($E9:$F9,"~?")&gt;0,", ","")&amp;"Œufs","")&amp;IF(H9="?",IF(COUNTIF($E9:$G9,"~?")&gt;0,", ","")&amp;"Poissons","")&amp;IF(I9="?",IF(COUNTIF($E9:$H9,"~?")&gt;0,", ","")&amp;"Arachides","")&amp;IF(J9="?",IF(COUNTIF($E9:$I9,"~?")&gt;0,", ","")&amp;"Soja","")&amp;IF(K9="?",IF(COUNTIF($E9:$J9,"~?")&gt;0,", ","")&amp;"Lait","")&amp;IF(L9="?",IF(COUNTIF($E9:$K9,"~?")&gt;0,", ","")&amp;"Fruits à coque","")&amp;IF(M9="?",IF(COUNTIF($E9:$L9,"~?")&gt;0,", ","")&amp;"Céleri","")&amp;IF(N9="?",IF(COUNTIF($E9:$M9,"~?")&gt;0,", ","")&amp;"Moutarde","")&amp;IF(O9="?",IF(COUNTIF($E9:$N9,"~?")&gt;0,", ","")&amp;"Sésame","")&amp;IF(P9="?",IF(COUNTIF($E9:$O9,"~?")&gt;0,", ","")&amp;"Sulfites","")&amp;IF(Q9="?",IF(COUNTIF($E9:$P9,"~?")&gt;0,", ","")&amp;"Lupin","")&amp;IF(R9="?",IF(COUNTIF($E9:$Q9,"~?")&gt;0,", ","")&amp;"Mollusques","")),"")</f>
        <v/>
      </c>
      <c r="U9" s="493" t="str">
        <f>IF(9=9,IF($B9="","",$B9),"")</f>
        <v>Aubergines</v>
      </c>
      <c r="V9" s="493" t="str">
        <f>IF(9=9,LOWER(CLEAN(SUBSTITUTE(SUBSTITUTE(SUBSTITUTE(SUBSTITUTE($U9,CHAR(160)," ")," "," "),CHAR(10)," "),CHAR(13)," "))),"")</f>
        <v>aubergines</v>
      </c>
      <c r="W9" s="493" t="str">
        <f>IF(9=9,SUBSTITUTE(SUBSTITUTE(SUBSTITUTE(SUBSTITUTE(SUBSTITUTE(SUBSTITUTE(SUBSTITUTE(SUBSTITUTE(SUBSTITUTE(SUBSTITUTE(SUBSTITUTE(SUBSTITUTE($V9,"œ","oe"),"æ","ae"),"à","a"),"á","a"),"â","a"),"ä","a"),"ã","a"),"ç","c"),"è","e"),"é","e"),"ê","e"),"ë","e"),"")</f>
        <v>aubergines</v>
      </c>
      <c r="X9" s="493" t="str">
        <f>IF(9=9,SUBSTITUTE(SUBSTITUTE(SUBSTITUTE(SUBSTITUTE(SUBSTITUTE(SUBSTITUTE(SUBSTITUTE(SUBSTITUTE(SUBSTITUTE(SUBSTITUTE(SUBSTITUTE(SUBSTITUTE(SUBSTITUTE(SUBSTITUTE(SUBSTITUTE(SUBSTITUTE($W9,"ì","i"),"í","i"),"î","i"),"ï","i"),"ñ","n"),"ò","o"),"ó","o"),"ô","o"),"ö","o"),"õ","o"),"ù","u"),"ú","u"),"û","u"),"ü","u"),"ý","y"),"ÿ","y"),"")</f>
        <v>aubergines</v>
      </c>
      <c r="Y9" s="493" t="str">
        <f>IF(9=9,SUBSTITUTE(SUBSTITUTE(SUBSTITUTE(SUBSTITUTE(SUBSTITUTE(SUBSTITUTE(SUBSTITUTE(SUBSTITUTE(SUBSTITUTE(SUBSTITUTE(SUBSTITUTE(SUBSTITUTE(SUBSTITUTE(SUBSTITUTE($X9,"’"," "),"`"," "),"–"," "),"—"," "),"-"," "),"'"," "),"/"," "),"_"," "),","," "),"."," "),"("," "),")"," "),";"," "),":"," "),"")</f>
        <v>aubergines</v>
      </c>
      <c r="Z9" s="493" t="str">
        <f>IF(9=9,SUBSTITUTE(SUBSTITUTE(SUBSTITUTE(SUBSTITUTE(SUBSTITUTE(SUBSTITUTE(SUBSTITUTE(SUBSTITUTE(SUBSTITUTE(SUBSTITUTE(SUBSTITUTE(SUBSTITUTE(SUBSTITUTE(SUBSTITUTE(SUBSTITUTE($Y9,"!"," "),"?"," "),"+"," "),"*"," "),"&amp;"," "),"["," "),"]"," "),"{"," "),"}"," "),"%"," "),"="," "),"\"," "),"|"," "),"&lt;"," "),"&gt;"," "),"")</f>
        <v>aubergines</v>
      </c>
      <c r="AA9" s="493" t="str">
        <f>IF(9=9," "&amp;TRIM(SUBSTITUTE(SUBSTITUTE(SUBSTITUTE(SUBSTITUTE(SUBSTITUTE(SUBSTITUTE($Z9,CHAR(34)," "),"  "," "),"  "," "),"  "," "),"  "," "),"  "," "))&amp;" ","")</f>
        <v xml:space="preserve"> aubergines </v>
      </c>
      <c r="AB9" s="493">
        <f>IF(9=9,IF($U9="","",SUMPRODUCT(--ISNUMBER(SEARCH(" "&amp;$CR$2:$CR$101&amp;" ",$AD9)))),"")</f>
        <v>0</v>
      </c>
      <c r="AC9" s="493">
        <f>IF(9=9,IF($U9="","",SUMPRODUCT(--ISNUMBER(SEARCH(" "&amp;$CR$102:$CR$151&amp;" ",$AD9)))),"")</f>
        <v>0</v>
      </c>
      <c r="AD9" s="493" t="str">
        <f t="shared" si="1"/>
        <v xml:space="preserve"> aubergines </v>
      </c>
      <c r="AE9" s="493">
        <f t="shared" si="2"/>
        <v>0</v>
      </c>
      <c r="AF9" s="493" t="str">
        <f>IF(9=9,IF($U9="","",IF(SUM(AB9:AC9)+SUMPRODUCT(--ISNUMBER(SEARCH(" "&amp;$CR$2418:$CR$2420&amp;" ",$AD9)))&gt;0,"X",IF(AE9&gt;0,"?",""))),"")</f>
        <v/>
      </c>
      <c r="AG9" s="493">
        <f>IF(9=9,IF($U9="","",SUMPRODUCT(--ISNUMBER(SEARCH(" "&amp;$CR$206:$CR$305&amp;" ",$AA9)))),"")</f>
        <v>0</v>
      </c>
      <c r="AH9" s="493">
        <f>IF(9=9,IF($U9="","",SUMPRODUCT(--ISNUMBER(SEARCH(" "&amp;$CR$306:$CR$340&amp;" ",$AA9)))),"")</f>
        <v>0</v>
      </c>
      <c r="AI9" s="493" t="str">
        <f>IF(9=9,IF($U9="","",IF((SUM(AG9:AH9))-(0)&gt;0,"X",IF((0)-(0)&gt;0,"?",""))),"")</f>
        <v/>
      </c>
      <c r="AJ9" s="493">
        <f>IF(9=9,IF($U9="","",SUMPRODUCT(--ISNUMBER(SEARCH(" "&amp;$CR$341:$CR$398&amp;" ",$AA9)))),"")</f>
        <v>0</v>
      </c>
      <c r="AK9" s="493">
        <f>IF(9=9,IF($U9="","",SUMPRODUCT(--ISNUMBER(SEARCH(" "&amp;$CR$399:$CR$426&amp;" ",$AL9)))+SUMPRODUCT(--ISNUMBER(SEARCH(" "&amp;$CR$2440:$CR$2453&amp;" ",$AL9)))),"")</f>
        <v>0</v>
      </c>
      <c r="AL9" s="493" t="str">
        <f>IF(9=9,IF($U9="","",SUBSTITUTE(SUBSTITUTE(SUBSTITUTE(SUBSTITUTE(SUBSTITUTE(SUBSTITUTE(SUBSTITUTE(SUBSTITUTE(SUBSTITUTE(SUBSTITUTE(SUBSTITUTE(SUBSTITUTE(SUBSTITUTE(SUBSTITUTE($AA9," "&amp;$CR$2455&amp;" "," ")," "&amp;$CR$433&amp;" "," ")," "&amp;$CR$431&amp;" "," ")," "&amp;$CR$2438&amp;" "," ")," "&amp;$CR$2439&amp;" "," ")," "&amp;$CR$428&amp;" "," ")," "&amp;$CR$432&amp;" "," ")," "&amp;$CR$434&amp;" "," ")," "&amp;$CR$429&amp;" "," ")," "&amp;$CR$427&amp;" "," ")," "&amp;$CR$1367&amp;" "," ")," "&amp;$CR$435&amp;" "," ")," "&amp;$CR$1366&amp;" "," ")," "&amp;$CR$430&amp;" "," ")),"")</f>
        <v xml:space="preserve"> aubergines </v>
      </c>
      <c r="AM9" s="493" t="str">
        <f>IF(9=9,IF($U9="","",IF(AJ9&gt;0,"X",IF(AK9&gt;0,"?",""))),"")</f>
        <v/>
      </c>
      <c r="AN9" s="493">
        <f>IF(9=9,IF($U9="","",SUMPRODUCT(--ISNUMBER(SEARCH(" "&amp;$CR$436:$CR$535&amp;" ",$AX9)))),"")</f>
        <v>0</v>
      </c>
      <c r="AO9" s="493">
        <f>IF(9=9,IF($U9="","",SUMPRODUCT(--ISNUMBER(SEARCH(" "&amp;$CR$536:$CR$635&amp;" ",$AX9)))),"")</f>
        <v>0</v>
      </c>
      <c r="AP9" s="493">
        <f>IF(9=9,IF($U9="","",SUMPRODUCT(--ISNUMBER(SEARCH(" "&amp;$CR$636:$CR$735&amp;" ",$AX9)))),"")</f>
        <v>0</v>
      </c>
      <c r="AQ9" s="493">
        <f>IF(9=9,IF($U9="","",SUMPRODUCT(--ISNUMBER(SEARCH(" "&amp;$CR$736:$CR$835&amp;" ",$AX9)))),"")</f>
        <v>0</v>
      </c>
      <c r="AR9" s="493">
        <f>IF(9=9,IF($U9="","",SUMPRODUCT(--ISNUMBER(SEARCH(" "&amp;$CR$836:$CR$935&amp;" ",$AX9)))),"")</f>
        <v>0</v>
      </c>
      <c r="AS9" s="493">
        <f>IF(9=9,IF($U9="","",SUMPRODUCT(--ISNUMBER(SEARCH(" "&amp;$CR$936:$CR$1035&amp;" ",$AX9)))),"")</f>
        <v>0</v>
      </c>
      <c r="AT9" s="493">
        <f>IF(9=9,IF($U9="","",SUMPRODUCT(--ISNUMBER(SEARCH(" "&amp;$CR$1036:$CR$1135&amp;" ",$AX9)))),"")</f>
        <v>0</v>
      </c>
      <c r="AU9" s="493">
        <f>IF(9=9,IF($U9="","",SUMPRODUCT(--ISNUMBER(SEARCH(" "&amp;$CR$1136:$CR$1235&amp;" ",$AX9)))),"")</f>
        <v>0</v>
      </c>
      <c r="AV9" s="493">
        <f>IF(9=9,IF($U9="","",SUMPRODUCT(--ISNUMBER(SEARCH(" "&amp;$CR$1236:$CR$1335&amp;" ",$AX9)))),"")</f>
        <v>0</v>
      </c>
      <c r="AW9" s="493">
        <f>IF(9=9,IF($U9="","",SUMPRODUCT(--ISNUMBER(SEARCH(" "&amp;$CR$1336:$CR$1363&amp;" ",$AX9)))),"")</f>
        <v>0</v>
      </c>
      <c r="AX9" s="493" t="str">
        <f>IF(9=9,IF($U9="","",SUBSTITUTE(SUBSTITUTE(SUBSTITUTE(SUBSTITUTE(SUBSTITUTE(SUBSTITUTE(SUBSTITUTE(SUBSTITUTE(SUBSTITUTE($AA9," "&amp;$CR$1365&amp;" "," ")," "&amp;$CR$1364&amp;" "," ")," "&amp;$CR$1370&amp;" "," ")," "&amp;$CR$1371&amp;" "," ")," "&amp;$CR$1367&amp;" "," ")," "&amp;$CR$1369&amp;" "," ")," "&amp;$CR$1366&amp;" "," ")," "&amp;$CR$1368&amp;" "," ")," "&amp;$CR$1372&amp;" "," ")),"")</f>
        <v xml:space="preserve"> aubergines </v>
      </c>
      <c r="AY9" s="493">
        <f>IF(9=9,IF($U9="","",SUMPRODUCT(--ISNUMBER(SEARCH(" "&amp;$CR$1373:$CR$1383&amp;" ",$AX9)))),"")</f>
        <v>0</v>
      </c>
      <c r="AZ9" s="493" t="str">
        <f>IF(9=9,IF($U9="","",IF(SUM(AN9:AW9)+SUMPRODUCT(--ISNUMBER(SEARCH(" "&amp;$CR$2421:$CR$2422&amp;" ",$AX9)))&gt;0,"X",IF(AY9&gt;0,"?",""))),"")</f>
        <v/>
      </c>
      <c r="BA9" s="493">
        <f>IF(9=9,IF($U9="","",SUMPRODUCT(--ISNUMBER(SEARCH(" "&amp;$CR$1384:$CR$1404&amp;" ",$AA9)))),"")</f>
        <v>0</v>
      </c>
      <c r="BB9" s="493" t="str">
        <f>IF(9=9,IF($U9="","",IF((BA9)-(0)&gt;0,"X",IF((0)-(0)&gt;0,"?",""))),"")</f>
        <v/>
      </c>
      <c r="BC9" s="493">
        <f>IF(9=9,IF($U9="","",SUMPRODUCT(--ISNUMBER(SEARCH(" "&amp;$CR$1405:$CR$1442&amp;" ",$BD9)))),"")</f>
        <v>0</v>
      </c>
      <c r="BD9" s="493" t="str">
        <f>IF(9=9,IF($U9="","",SUBSTITUTE(SUBSTITUTE($AA9," "&amp;$CR$1443&amp;" "," ")," "&amp;$CR$1444&amp;" "," ")),"")</f>
        <v xml:space="preserve"> aubergines </v>
      </c>
      <c r="BE9" s="493">
        <f>IF(9=9,IF($U9="","",SUMPRODUCT(--ISNUMBER(SEARCH(" "&amp;$CR$1445:$CR$1455&amp;" ",$BD9)))),"")</f>
        <v>0</v>
      </c>
      <c r="BF9" s="493" t="str">
        <f>IF(9=9,IF($U9="","",IF(BC9&gt;0,"X",IF(BE9&gt;0,"?",""))),"")</f>
        <v/>
      </c>
      <c r="BG9" s="493">
        <f>IF(9=9,IF($U9="","",SUMPRODUCT(--ISNUMBER(SEARCH(" "&amp;$CR$1456:$CR$1555&amp;" ",$BJ9)))),"")</f>
        <v>0</v>
      </c>
      <c r="BH9" s="493">
        <f>IF(9=9,IF($U9="","",SUMPRODUCT(--ISNUMBER(SEARCH(" "&amp;$CR$1556:$CR$1655&amp;" ",$BJ9)))),"")</f>
        <v>0</v>
      </c>
      <c r="BI9" s="493">
        <f>IF(9=9,IF($U9="","",SUMPRODUCT(--ISNUMBER(SEARCH(" "&amp;$CR$1656:$CR$1739&amp;" ",$BJ9)))),"")</f>
        <v>0</v>
      </c>
      <c r="BJ9" s="493" t="str">
        <f>IF(9=9,IF($U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aubergines </v>
      </c>
      <c r="BK9" s="493">
        <f>IF(9=9,IF($U9="","",SUMPRODUCT(--ISNUMBER(SEARCH(" "&amp;$CR$1790:$CR$1869&amp;" ",$BL9)))+SUMPRODUCT(--ISNUMBER(SEARCH(" "&amp;$CR$2440:$CR$2453&amp;" ",$BL9)))),"")</f>
        <v>0</v>
      </c>
      <c r="BL9" s="493" t="str">
        <f>IF(9=9,IF($U9="","",SUBSTITUTE(SUBSTITUTE(SUBSTITUTE(SUBSTITUTE(SUBSTITUTE(SUBSTITUTE(SUBSTITUTE(SUBSTITUTE(SUBSTITUTE(SUBSTITUTE(SUBSTITUTE(SUBSTITUTE(SUBSTITUTE($BJ9," "&amp;$CR$1876&amp;" "," ")," "&amp;$CR$1874&amp;" "," ")," "&amp;$CR$2438&amp;" "," ")," "&amp;$CR$2439&amp;" "," ")," "&amp;$CR$1871&amp;" "," ")," "&amp;$CR$1875&amp;" "," ")," "&amp;$CR$1877&amp;" "," ")," "&amp;$CR$1872&amp;" "," ")," "&amp;$CR$1870&amp;" "," ")," "&amp;$CR$1367&amp;" "," ")," "&amp;$CR$1878&amp;" "," ")," "&amp;$CR$1366&amp;" "," ")," "&amp;$CR$1873&amp;" "," ")),"")</f>
        <v xml:space="preserve"> aubergines </v>
      </c>
      <c r="BM9" s="493" t="str">
        <f>IF(9=9,IF($U9="","",IF(SUM(BG9:BI9)+SUMPRODUCT(--ISNUMBER(SEARCH(" "&amp;$CR$2423:$CR$2424&amp;" ",$BJ9)))&gt;0,"X",IF(BK9&gt;0,"?",""))),"")</f>
        <v/>
      </c>
      <c r="BN9" s="493">
        <f>IF(9=9,IF($U9="","",SUMPRODUCT(--ISNUMBER(SEARCH(" "&amp;$CR$1879:$CR$1936&amp;" ",$BO9)))),"")</f>
        <v>0</v>
      </c>
      <c r="BO9" s="493" t="str">
        <f>IF(9=9,IF($U9="","",SUBSTITUTE(SUBSTITUTE(SUBSTITUTE(SUBSTITUTE(SUBSTITUTE(SUBSTITUTE(SUBSTITUTE(SUBSTITUTE(SUBSTITUTE(SUBSTITUTE(SUBSTITUTE(SUBSTITUTE(SUBSTITUTE(SUBSTITUTE(SUBSTITUTE(SUBSTITUTE(SUBSTITUTE(SUBSTITUTE(SUBSTITUTE(SUBSTITUTE(SUBSTITUTE(SUBSTITUTE(SUBSTITUTE($AA9,"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aubergines </v>
      </c>
      <c r="BP9" s="493">
        <f>IF(9=9,IF($U9="","",SUMPRODUCT(--ISNUMBER(SEARCH(" "&amp;$CR$1960:$CR$1976&amp;" ",$BO9)))),"")</f>
        <v>0</v>
      </c>
      <c r="BQ9" s="493" t="str">
        <f>IF(9=9,IF($U9="","",IF(BN9&gt;0,"X",IF(BP9&gt;0,"?",""))),"")</f>
        <v/>
      </c>
      <c r="BR9" s="493">
        <f>IF(9=9,IF($U9="","",SUMPRODUCT(--ISNUMBER(SEARCH(" "&amp;$CR$1977:$CR$1990&amp;" ",$AA9)))),"")</f>
        <v>0</v>
      </c>
      <c r="BS9" s="493">
        <f>IF(9=9,IF($U9="","",SUMPRODUCT(--ISNUMBER(SEARCH(" "&amp;$CR$1991:$CR$2005&amp;" ",$AA9)))),"")</f>
        <v>0</v>
      </c>
      <c r="BT9" s="493" t="str">
        <f>IF(9=9,IF($U9="","",IF((BR9)-(0)&gt;0,"X",IF((BS9)-(0)&gt;0,"?",""))),"")</f>
        <v/>
      </c>
      <c r="BU9" s="493">
        <f>IF(9=9,IF($U9="","",SUMPRODUCT(--ISNUMBER(SEARCH(" "&amp;$CR$2006:$CR$2023&amp;" ",$AA9)))),"")</f>
        <v>0</v>
      </c>
      <c r="BV9" s="493">
        <f>IF(9=9,IF($U9="","",SUMPRODUCT(--ISNUMBER(SEARCH(" "&amp;$CR$2024:$CR$2038&amp;" ",$AA9)))),"")</f>
        <v>0</v>
      </c>
      <c r="BW9" s="493" t="str">
        <f>IF(9=9,IF($U9="","",IF((BU9)-(0)&gt;0,"X",IF((BV9)-(0)&gt;0,"?",""))),"")</f>
        <v/>
      </c>
      <c r="BX9" s="493">
        <f>IF(9=9,IF($U9="","",SUMPRODUCT(--ISNUMBER(SEARCH(" "&amp;$CR$2039:$CR$2057&amp;" ",$AA9)))),"")</f>
        <v>0</v>
      </c>
      <c r="BY9" s="493">
        <f>IF(9=9,IF($U9="","",SUMPRODUCT(--ISNUMBER(SEARCH(" "&amp;$CR$2058:$CR$2072&amp;" ",$AA9)))),"")</f>
        <v>0</v>
      </c>
      <c r="BZ9" s="493" t="str">
        <f>IF(9=9,IF($U9="","",IF((BX9)-(0)&gt;0,"X",IF((BY9)-(0)&gt;0,"?",""))),"")</f>
        <v/>
      </c>
      <c r="CA9" s="493">
        <f>IF(9=9,IF($U9="","",SUMPRODUCT(--ISNUMBER(SEARCH(" "&amp;$CR$2073:$CR$2093&amp;" ",$AA9)))),"")</f>
        <v>0</v>
      </c>
      <c r="CB9" s="493">
        <f>IF(9=9,IF($U9="","",SUMPRODUCT(--ISNUMBER(SEARCH(" "&amp;$CR$2094:$CR$2133&amp;" ",SUBSTITUTE(SUBSTITUTE($AA9," "&amp;$CR$1367&amp;" "," ")," "&amp;$CR$1366&amp;" "," "))))+--ISNUMBER(SEARCH("poiré",$V9))),"")</f>
        <v>0</v>
      </c>
      <c r="CC9" s="493" t="str">
        <f>IF(9=9,IF($U9="","",IF(OR(CA9&gt;0,ISNUMBER(SEARCH(" vinaigre de vin ",$AA9)),ISNUMBER(SEARCH(" vinaigre au vin ",$AA9))),"X",IF(CB9&gt;0,"?",""))),"")</f>
        <v/>
      </c>
      <c r="CD9" s="493">
        <f>IF(9=9,IF($U9="","",SUMPRODUCT(--ISNUMBER(SEARCH(" "&amp;$CR$2134:$CR$2146&amp;" ",$AA9)))),"")</f>
        <v>0</v>
      </c>
      <c r="CE9" s="493">
        <f>IF(9=9,IF($U9="","",SUMPRODUCT(--ISNUMBER(SEARCH(" "&amp;$CR$2147:$CR$2152&amp;" ",$AA9)))),"")</f>
        <v>0</v>
      </c>
      <c r="CF9" s="493" t="str">
        <f>IF(9=9,IF($U9="","",IF((CD9)-(0)&gt;0,"X",IF((CE9)-(0)&gt;0,"?",""))),"")</f>
        <v/>
      </c>
      <c r="CG9" s="493">
        <f>IF(9=9,IF($U9="","",SUMPRODUCT(--ISNUMBER(SEARCH(" "&amp;$CR$2153:$CR$2252&amp;" ",$CJ9)))),"")</f>
        <v>0</v>
      </c>
      <c r="CH9" s="493">
        <f>IF(9=9,IF($U9="","",SUMPRODUCT(--ISNUMBER(SEARCH(" "&amp;$CR$2253:$CR$2352&amp;" ",$CJ9)))),"")</f>
        <v>0</v>
      </c>
      <c r="CI9" s="493">
        <f>IF(9=9,IF($U9="","",SUMPRODUCT(--ISNUMBER(SEARCH(" "&amp;$CR$2353:$CR$2395&amp;" ",$CJ9)))),"")</f>
        <v>0</v>
      </c>
      <c r="CJ9" s="493" t="str">
        <f>IF(9=9,IF($U9="","",SUBSTITUTE(SUBSTITUTE(SUBSTITUTE(SUBSTITUTE(SUBSTITUTE(SUBSTITUTE(SUBSTITUTE(SUBSTITUTE(SUBSTITUTE(SUBSTITUTE(SUBSTITUTE(SUBSTITUTE(SUBSTITUTE(SUBSTITUTE(SUBSTITUTE(SUBSTITUTE($AA9," "&amp;$CR$2401&amp;" "," ")," "&amp;$CR$2400&amp;" "," ")," "&amp;$CR$2399&amp;" "," ")," "&amp;$CR$2406&amp;" "," ")," "&amp;$CR$2398&amp;" "," ")," "&amp;$CR$2410&amp;" "," ")," "&amp;$CR$2397&amp;" "," ")," "&amp;$CR$2402&amp;" "," ")," "&amp;$CR$2405&amp;" "," ")," "&amp;$CR$2396&amp;" "," ")," "&amp;$CR$2404&amp;" "," ")," "&amp;$CR$2411&amp;" "," ")," "&amp;$CR$2408&amp;" "," ")," "&amp;$CR$2403&amp;" "," ")," "&amp;$CR$2407&amp;" "," ")," "&amp;$CR$2409&amp;" "," ")),"")</f>
        <v xml:space="preserve"> aubergines </v>
      </c>
      <c r="CK9" s="493">
        <f>IF(9=9,IF($U9="","",SUMPRODUCT(--ISNUMBER(SEARCH(" "&amp;$CR$2412:$CR$2416&amp;" ",$CJ9)))),"")</f>
        <v>0</v>
      </c>
      <c r="CL9" s="493" t="str">
        <f>IF(9=9,IF($U9="","",IF(SUM(CG9:CI9)&gt;0,"X",IF(CK9&gt;0,"?",""))),"")</f>
        <v/>
      </c>
      <c r="CM9" s="494"/>
      <c r="CN9" s="496" t="s">
        <v>1161</v>
      </c>
      <c r="CO9" s="496" t="s">
        <v>1083</v>
      </c>
      <c r="CP9" s="496" t="s">
        <v>689</v>
      </c>
      <c r="CQ9" s="496" t="s">
        <v>1162</v>
      </c>
      <c r="CR9" s="496" t="s">
        <v>1163</v>
      </c>
      <c r="CS9" s="496" t="s">
        <v>1085</v>
      </c>
      <c r="CT9" s="496" t="s">
        <v>1086</v>
      </c>
      <c r="CU9" s="496" t="s">
        <v>1087</v>
      </c>
      <c r="CV9" s="497" t="s">
        <v>1088</v>
      </c>
      <c r="CX9" s="543">
        <v>1</v>
      </c>
    </row>
    <row r="10" spans="1:102" ht="21" customHeight="1">
      <c r="A10" s="509">
        <v>4</v>
      </c>
      <c r="B10" s="510" t="s">
        <v>1160</v>
      </c>
      <c r="C10" s="511" t="str">
        <f t="shared" si="0"/>
        <v>Beurre *</v>
      </c>
      <c r="D10" s="512" t="str">
        <f>IF(10=10,IF($B10="","",IF(E10="X",""&amp;"Céréales contenant du gluten","")&amp;IF(F10="X",IF(COUNTIF($E10:$E10,"X")&gt;0,", ","")&amp;"Crustacés","")&amp;IF(G10="X",IF(COUNTIF($E10:$F10,"X")&gt;0,", ","")&amp;"Œufs","")&amp;IF(H10="X",IF(COUNTIF($E10:$G10,"X")&gt;0,", ","")&amp;"Poissons","")&amp;IF(I10="X",IF(COUNTIF($E10:$H10,"X")&gt;0,", ","")&amp;"Arachides","")&amp;IF(J10="X",IF(COUNTIF($E10:$I10,"X")&gt;0,", ","")&amp;"Soja","")&amp;IF(K10="X",IF(COUNTIF($E10:$J10,"X")&gt;0,", ","")&amp;"Lait","")&amp;IF(L10="X",IF(COUNTIF($E10:$K10,"X")&gt;0,", ","")&amp;"Fruits à coque","")&amp;IF(M10="X",IF(COUNTIF($E10:$L10,"X")&gt;0,", ","")&amp;"Céleri","")&amp;IF(N10="X",IF(COUNTIF($E10:$M10,"X")&gt;0,", ","")&amp;"Moutarde","")&amp;IF(O10="X",IF(COUNTIF($E10:$N10,"X")&gt;0,", ","")&amp;"Sésame","")&amp;IF(P10="X",IF(COUNTIF($E10:$O10,"X")&gt;0,", ","")&amp;"Sulfites","")&amp;IF(Q10="X",IF(COUNTIF($E10:$P10,"X")&gt;0,", ","")&amp;"Lupin","")&amp;IF(R10="X",IF(COUNTIF($E10:$Q10,"X")&gt;0,", ","")&amp;"Mollusques","")),"")</f>
        <v>Lait</v>
      </c>
      <c r="E10" s="513" t="str">
        <f>IF(10=10,IF($B10="","",AF10),"")</f>
        <v/>
      </c>
      <c r="F10" s="513" t="str">
        <f>IF(10=10,IF($B10="","",AI10),"")</f>
        <v/>
      </c>
      <c r="G10" s="513" t="str">
        <f>IF(10=10,IF($B10="","",AM10),"")</f>
        <v/>
      </c>
      <c r="H10" s="513" t="str">
        <f>IF(10=10,IF($B10="","",IF(ISNUMBER(SEARCH(" colin ",$AA10)),"X",AZ10)),"")</f>
        <v/>
      </c>
      <c r="I10" s="513" t="str">
        <f>IF(10=10,IF($B10="","",BB10),"")</f>
        <v/>
      </c>
      <c r="J10" s="513" t="str">
        <f>IF(10=10,IF($B10="","",BF10),"")</f>
        <v/>
      </c>
      <c r="K10" s="513" t="str">
        <f>IF(10=10,IF($B10="","",BM10),"")</f>
        <v>X</v>
      </c>
      <c r="L10" s="513" t="str">
        <f>IF(10=10,IF($B10="","",BQ10),"")</f>
        <v/>
      </c>
      <c r="M10" s="513" t="str">
        <f>IF(10=10,IF($B10="","",BT10),"")</f>
        <v/>
      </c>
      <c r="N10" s="513" t="str">
        <f>IF(10=10,IF($B10="","",BW10),"")</f>
        <v/>
      </c>
      <c r="O10" s="513" t="str">
        <f>IF(10=10,IF($B10="","",BZ10),"")</f>
        <v/>
      </c>
      <c r="P10" s="513" t="str">
        <f>IF(10=10,IF($B10="","",CC10),"")</f>
        <v/>
      </c>
      <c r="Q10" s="513" t="str">
        <f>IF(10=10,IF($B10="","",CF10),"")</f>
        <v/>
      </c>
      <c r="R10" s="513" t="str">
        <f>IF(10=10,IF($B10="","",CL10),"")</f>
        <v/>
      </c>
      <c r="S10" s="514" t="str">
        <f>IF(10=10,IF($B10="","",IF(E10="?",""&amp;"Céréales contenant du gluten","")&amp;IF(F10="?",IF(COUNTIF($E10:$E10,"~?")&gt;0,", ","")&amp;"Crustacés","")&amp;IF(G10="?",IF(COUNTIF($E10:$F10,"~?")&gt;0,", ","")&amp;"Œufs","")&amp;IF(H10="?",IF(COUNTIF($E10:$G10,"~?")&gt;0,", ","")&amp;"Poissons","")&amp;IF(I10="?",IF(COUNTIF($E10:$H10,"~?")&gt;0,", ","")&amp;"Arachides","")&amp;IF(J10="?",IF(COUNTIF($E10:$I10,"~?")&gt;0,", ","")&amp;"Soja","")&amp;IF(K10="?",IF(COUNTIF($E10:$J10,"~?")&gt;0,", ","")&amp;"Lait","")&amp;IF(L10="?",IF(COUNTIF($E10:$K10,"~?")&gt;0,", ","")&amp;"Fruits à coque","")&amp;IF(M10="?",IF(COUNTIF($E10:$L10,"~?")&gt;0,", ","")&amp;"Céleri","")&amp;IF(N10="?",IF(COUNTIF($E10:$M10,"~?")&gt;0,", ","")&amp;"Moutarde","")&amp;IF(O10="?",IF(COUNTIF($E10:$N10,"~?")&gt;0,", ","")&amp;"Sésame","")&amp;IF(P10="?",IF(COUNTIF($E10:$O10,"~?")&gt;0,", ","")&amp;"Sulfites","")&amp;IF(Q10="?",IF(COUNTIF($E10:$P10,"~?")&gt;0,", ","")&amp;"Lupin","")&amp;IF(R10="?",IF(COUNTIF($E10:$Q10,"~?")&gt;0,", ","")&amp;"Mollusques","")),"")</f>
        <v/>
      </c>
      <c r="U10" s="493" t="str">
        <f>IF(10=10,IF($B10="","",$B10),"")</f>
        <v>Beurre</v>
      </c>
      <c r="V10" s="493" t="str">
        <f>IF(10=10,LOWER(CLEAN(SUBSTITUTE(SUBSTITUTE(SUBSTITUTE(SUBSTITUTE($U10,CHAR(160)," ")," "," "),CHAR(10)," "),CHAR(13)," "))),"")</f>
        <v>beurre</v>
      </c>
      <c r="W10" s="493" t="str">
        <f>IF(10=10,SUBSTITUTE(SUBSTITUTE(SUBSTITUTE(SUBSTITUTE(SUBSTITUTE(SUBSTITUTE(SUBSTITUTE(SUBSTITUTE(SUBSTITUTE(SUBSTITUTE(SUBSTITUTE(SUBSTITUTE($V10,"œ","oe"),"æ","ae"),"à","a"),"á","a"),"â","a"),"ä","a"),"ã","a"),"ç","c"),"è","e"),"é","e"),"ê","e"),"ë","e"),"")</f>
        <v>beurre</v>
      </c>
      <c r="X10" s="493" t="str">
        <f>IF(10=10,SUBSTITUTE(SUBSTITUTE(SUBSTITUTE(SUBSTITUTE(SUBSTITUTE(SUBSTITUTE(SUBSTITUTE(SUBSTITUTE(SUBSTITUTE(SUBSTITUTE(SUBSTITUTE(SUBSTITUTE(SUBSTITUTE(SUBSTITUTE(SUBSTITUTE(SUBSTITUTE($W10,"ì","i"),"í","i"),"î","i"),"ï","i"),"ñ","n"),"ò","o"),"ó","o"),"ô","o"),"ö","o"),"õ","o"),"ù","u"),"ú","u"),"û","u"),"ü","u"),"ý","y"),"ÿ","y"),"")</f>
        <v>beurre</v>
      </c>
      <c r="Y10" s="493" t="str">
        <f>IF(10=10,SUBSTITUTE(SUBSTITUTE(SUBSTITUTE(SUBSTITUTE(SUBSTITUTE(SUBSTITUTE(SUBSTITUTE(SUBSTITUTE(SUBSTITUTE(SUBSTITUTE(SUBSTITUTE(SUBSTITUTE(SUBSTITUTE(SUBSTITUTE($X10,"’"," "),"`"," "),"–"," "),"—"," "),"-"," "),"'"," "),"/"," "),"_"," "),","," "),"."," "),"("," "),")"," "),";"," "),":"," "),"")</f>
        <v>beurre</v>
      </c>
      <c r="Z10" s="493" t="str">
        <f>IF(10=10,SUBSTITUTE(SUBSTITUTE(SUBSTITUTE(SUBSTITUTE(SUBSTITUTE(SUBSTITUTE(SUBSTITUTE(SUBSTITUTE(SUBSTITUTE(SUBSTITUTE(SUBSTITUTE(SUBSTITUTE(SUBSTITUTE(SUBSTITUTE(SUBSTITUTE($Y10,"!"," "),"?"," "),"+"," "),"*"," "),"&amp;"," "),"["," "),"]"," "),"{"," "),"}"," "),"%"," "),"="," "),"\"," "),"|"," "),"&lt;"," "),"&gt;"," "),"")</f>
        <v>beurre</v>
      </c>
      <c r="AA10" s="493" t="str">
        <f>IF(10=10," "&amp;TRIM(SUBSTITUTE(SUBSTITUTE(SUBSTITUTE(SUBSTITUTE(SUBSTITUTE(SUBSTITUTE($Z10,CHAR(34)," "),"  "," "),"  "," "),"  "," "),"  "," "),"  "," "))&amp;" ","")</f>
        <v xml:space="preserve"> beurre </v>
      </c>
      <c r="AB10" s="493">
        <f>IF(10=10,IF($U10="","",SUMPRODUCT(--ISNUMBER(SEARCH(" "&amp;$CR$2:$CR$101&amp;" ",$AD10)))),"")</f>
        <v>0</v>
      </c>
      <c r="AC10" s="493">
        <f>IF(10=10,IF($U10="","",SUMPRODUCT(--ISNUMBER(SEARCH(" "&amp;$CR$102:$CR$151&amp;" ",$AD10)))),"")</f>
        <v>0</v>
      </c>
      <c r="AD10" s="493" t="str">
        <f t="shared" si="1"/>
        <v xml:space="preserve"> beurre </v>
      </c>
      <c r="AE10" s="493">
        <f t="shared" si="2"/>
        <v>0</v>
      </c>
      <c r="AF10" s="493" t="str">
        <f>IF(10=10,IF($U10="","",IF(SUM(AB10:AC10)+SUMPRODUCT(--ISNUMBER(SEARCH(" "&amp;$CR$2418:$CR$2420&amp;" ",$AD10)))&gt;0,"X",IF(AE10&gt;0,"?",""))),"")</f>
        <v/>
      </c>
      <c r="AG10" s="493">
        <f>IF(10=10,IF($U10="","",SUMPRODUCT(--ISNUMBER(SEARCH(" "&amp;$CR$206:$CR$305&amp;" ",$AA10)))),"")</f>
        <v>0</v>
      </c>
      <c r="AH10" s="493">
        <f>IF(10=10,IF($U10="","",SUMPRODUCT(--ISNUMBER(SEARCH(" "&amp;$CR$306:$CR$340&amp;" ",$AA10)))),"")</f>
        <v>0</v>
      </c>
      <c r="AI10" s="493" t="str">
        <f>IF(10=10,IF($U10="","",IF((SUM(AG10:AH10))-(0)&gt;0,"X",IF((0)-(0)&gt;0,"?",""))),"")</f>
        <v/>
      </c>
      <c r="AJ10" s="493">
        <f>IF(10=10,IF($U10="","",SUMPRODUCT(--ISNUMBER(SEARCH(" "&amp;$CR$341:$CR$398&amp;" ",$AA10)))),"")</f>
        <v>0</v>
      </c>
      <c r="AK10" s="493">
        <f>IF(10=10,IF($U10="","",SUMPRODUCT(--ISNUMBER(SEARCH(" "&amp;$CR$399:$CR$426&amp;" ",$AL10)))+SUMPRODUCT(--ISNUMBER(SEARCH(" "&amp;$CR$2440:$CR$2453&amp;" ",$AL10)))),"")</f>
        <v>0</v>
      </c>
      <c r="AL10" s="493" t="str">
        <f>IF(10=10,IF($U10="","",SUBSTITUTE(SUBSTITUTE(SUBSTITUTE(SUBSTITUTE(SUBSTITUTE(SUBSTITUTE(SUBSTITUTE(SUBSTITUTE(SUBSTITUTE(SUBSTITUTE(SUBSTITUTE(SUBSTITUTE(SUBSTITUTE(SUBSTITUTE($AA10," "&amp;$CR$2455&amp;" "," ")," "&amp;$CR$433&amp;" "," ")," "&amp;$CR$431&amp;" "," ")," "&amp;$CR$2438&amp;" "," ")," "&amp;$CR$2439&amp;" "," ")," "&amp;$CR$428&amp;" "," ")," "&amp;$CR$432&amp;" "," ")," "&amp;$CR$434&amp;" "," ")," "&amp;$CR$429&amp;" "," ")," "&amp;$CR$427&amp;" "," ")," "&amp;$CR$1367&amp;" "," ")," "&amp;$CR$435&amp;" "," ")," "&amp;$CR$1366&amp;" "," ")," "&amp;$CR$430&amp;" "," ")),"")</f>
        <v xml:space="preserve"> beurre </v>
      </c>
      <c r="AM10" s="493" t="str">
        <f>IF(10=10,IF($U10="","",IF(AJ10&gt;0,"X",IF(AK10&gt;0,"?",""))),"")</f>
        <v/>
      </c>
      <c r="AN10" s="493">
        <f>IF(10=10,IF($U10="","",SUMPRODUCT(--ISNUMBER(SEARCH(" "&amp;$CR$436:$CR$535&amp;" ",$AX10)))),"")</f>
        <v>0</v>
      </c>
      <c r="AO10" s="493">
        <f>IF(10=10,IF($U10="","",SUMPRODUCT(--ISNUMBER(SEARCH(" "&amp;$CR$536:$CR$635&amp;" ",$AX10)))),"")</f>
        <v>0</v>
      </c>
      <c r="AP10" s="493">
        <f>IF(10=10,IF($U10="","",SUMPRODUCT(--ISNUMBER(SEARCH(" "&amp;$CR$636:$CR$735&amp;" ",$AX10)))),"")</f>
        <v>0</v>
      </c>
      <c r="AQ10" s="493">
        <f>IF(10=10,IF($U10="","",SUMPRODUCT(--ISNUMBER(SEARCH(" "&amp;$CR$736:$CR$835&amp;" ",$AX10)))),"")</f>
        <v>0</v>
      </c>
      <c r="AR10" s="493">
        <f>IF(10=10,IF($U10="","",SUMPRODUCT(--ISNUMBER(SEARCH(" "&amp;$CR$836:$CR$935&amp;" ",$AX10)))),"")</f>
        <v>0</v>
      </c>
      <c r="AS10" s="493">
        <f>IF(10=10,IF($U10="","",SUMPRODUCT(--ISNUMBER(SEARCH(" "&amp;$CR$936:$CR$1035&amp;" ",$AX10)))),"")</f>
        <v>0</v>
      </c>
      <c r="AT10" s="493">
        <f>IF(10=10,IF($U10="","",SUMPRODUCT(--ISNUMBER(SEARCH(" "&amp;$CR$1036:$CR$1135&amp;" ",$AX10)))),"")</f>
        <v>0</v>
      </c>
      <c r="AU10" s="493">
        <f>IF(10=10,IF($U10="","",SUMPRODUCT(--ISNUMBER(SEARCH(" "&amp;$CR$1136:$CR$1235&amp;" ",$AX10)))),"")</f>
        <v>0</v>
      </c>
      <c r="AV10" s="493">
        <f>IF(10=10,IF($U10="","",SUMPRODUCT(--ISNUMBER(SEARCH(" "&amp;$CR$1236:$CR$1335&amp;" ",$AX10)))),"")</f>
        <v>0</v>
      </c>
      <c r="AW10" s="493">
        <f>IF(10=10,IF($U10="","",SUMPRODUCT(--ISNUMBER(SEARCH(" "&amp;$CR$1336:$CR$1363&amp;" ",$AX10)))),"")</f>
        <v>0</v>
      </c>
      <c r="AX10" s="493" t="str">
        <f>IF(10=10,IF($U10="","",SUBSTITUTE(SUBSTITUTE(SUBSTITUTE(SUBSTITUTE(SUBSTITUTE(SUBSTITUTE(SUBSTITUTE(SUBSTITUTE(SUBSTITUTE($AA10," "&amp;$CR$1365&amp;" "," ")," "&amp;$CR$1364&amp;" "," ")," "&amp;$CR$1370&amp;" "," ")," "&amp;$CR$1371&amp;" "," ")," "&amp;$CR$1367&amp;" "," ")," "&amp;$CR$1369&amp;" "," ")," "&amp;$CR$1366&amp;" "," ")," "&amp;$CR$1368&amp;" "," ")," "&amp;$CR$1372&amp;" "," ")),"")</f>
        <v xml:space="preserve"> beurre </v>
      </c>
      <c r="AY10" s="493">
        <f>IF(10=10,IF($U10="","",SUMPRODUCT(--ISNUMBER(SEARCH(" "&amp;$CR$1373:$CR$1383&amp;" ",$AX10)))),"")</f>
        <v>0</v>
      </c>
      <c r="AZ10" s="493" t="str">
        <f>IF(10=10,IF($U10="","",IF(SUM(AN10:AW10)+SUMPRODUCT(--ISNUMBER(SEARCH(" "&amp;$CR$2421:$CR$2422&amp;" ",$AX10)))&gt;0,"X",IF(AY10&gt;0,"?",""))),"")</f>
        <v/>
      </c>
      <c r="BA10" s="493">
        <f>IF(10=10,IF($U10="","",SUMPRODUCT(--ISNUMBER(SEARCH(" "&amp;$CR$1384:$CR$1404&amp;" ",$AA10)))),"")</f>
        <v>0</v>
      </c>
      <c r="BB10" s="493" t="str">
        <f>IF(10=10,IF($U10="","",IF((BA10)-(0)&gt;0,"X",IF((0)-(0)&gt;0,"?",""))),"")</f>
        <v/>
      </c>
      <c r="BC10" s="493">
        <f>IF(10=10,IF($U10="","",SUMPRODUCT(--ISNUMBER(SEARCH(" "&amp;$CR$1405:$CR$1442&amp;" ",$BD10)))),"")</f>
        <v>0</v>
      </c>
      <c r="BD10" s="493" t="str">
        <f>IF(10=10,IF($U10="","",SUBSTITUTE(SUBSTITUTE($AA10," "&amp;$CR$1443&amp;" "," ")," "&amp;$CR$1444&amp;" "," ")),"")</f>
        <v xml:space="preserve"> beurre </v>
      </c>
      <c r="BE10" s="493">
        <f>IF(10=10,IF($U10="","",SUMPRODUCT(--ISNUMBER(SEARCH(" "&amp;$CR$1445:$CR$1455&amp;" ",$BD10)))),"")</f>
        <v>0</v>
      </c>
      <c r="BF10" s="493" t="str">
        <f>IF(10=10,IF($U10="","",IF(BC10&gt;0,"X",IF(BE10&gt;0,"?",""))),"")</f>
        <v/>
      </c>
      <c r="BG10" s="493">
        <f>IF(10=10,IF($U10="","",SUMPRODUCT(--ISNUMBER(SEARCH(" "&amp;$CR$1456:$CR$1555&amp;" ",$BJ10)))),"")</f>
        <v>1</v>
      </c>
      <c r="BH10" s="493">
        <f>IF(10=10,IF($U10="","",SUMPRODUCT(--ISNUMBER(SEARCH(" "&amp;$CR$1556:$CR$1655&amp;" ",$BJ10)))),"")</f>
        <v>0</v>
      </c>
      <c r="BI10" s="493">
        <f>IF(10=10,IF($U10="","",SUMPRODUCT(--ISNUMBER(SEARCH(" "&amp;$CR$1656:$CR$1739&amp;" ",$BJ10)))),"")</f>
        <v>0</v>
      </c>
      <c r="BJ10" s="493" t="str">
        <f>IF(10=10,IF($U10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beurre </v>
      </c>
      <c r="BK10" s="493">
        <f>IF(10=10,IF($U10="","",SUMPRODUCT(--ISNUMBER(SEARCH(" "&amp;$CR$1790:$CR$1869&amp;" ",$BL10)))+SUMPRODUCT(--ISNUMBER(SEARCH(" "&amp;$CR$2440:$CR$2453&amp;" ",$BL10)))),"")</f>
        <v>0</v>
      </c>
      <c r="BL10" s="493" t="str">
        <f>IF(10=10,IF($U10="","",SUBSTITUTE(SUBSTITUTE(SUBSTITUTE(SUBSTITUTE(SUBSTITUTE(SUBSTITUTE(SUBSTITUTE(SUBSTITUTE(SUBSTITUTE(SUBSTITUTE(SUBSTITUTE(SUBSTITUTE(SUBSTITUTE($BJ10," "&amp;$CR$1876&amp;" "," ")," "&amp;$CR$1874&amp;" "," ")," "&amp;$CR$2438&amp;" "," ")," "&amp;$CR$2439&amp;" "," ")," "&amp;$CR$1871&amp;" "," ")," "&amp;$CR$1875&amp;" "," ")," "&amp;$CR$1877&amp;" "," ")," "&amp;$CR$1872&amp;" "," ")," "&amp;$CR$1870&amp;" "," ")," "&amp;$CR$1367&amp;" "," ")," "&amp;$CR$1878&amp;" "," ")," "&amp;$CR$1366&amp;" "," ")," "&amp;$CR$1873&amp;" "," ")),"")</f>
        <v xml:space="preserve"> beurre </v>
      </c>
      <c r="BM10" s="493" t="str">
        <f>IF(10=10,IF($U10="","",IF(SUM(BG10:BI10)+SUMPRODUCT(--ISNUMBER(SEARCH(" "&amp;$CR$2423:$CR$2424&amp;" ",$BJ10)))&gt;0,"X",IF(BK10&gt;0,"?",""))),"")</f>
        <v>X</v>
      </c>
      <c r="BN10" s="493">
        <f>IF(10=10,IF($U10="","",SUMPRODUCT(--ISNUMBER(SEARCH(" "&amp;$CR$1879:$CR$1936&amp;" ",$BO10)))),"")</f>
        <v>0</v>
      </c>
      <c r="BO10" s="493" t="str">
        <f>IF(10=10,IF($U10="","",SUBSTITUTE(SUBSTITUTE(SUBSTITUTE(SUBSTITUTE(SUBSTITUTE(SUBSTITUTE(SUBSTITUTE(SUBSTITUTE(SUBSTITUTE(SUBSTITUTE(SUBSTITUTE(SUBSTITUTE(SUBSTITUTE(SUBSTITUTE(SUBSTITUTE(SUBSTITUTE(SUBSTITUTE(SUBSTITUTE(SUBSTITUTE(SUBSTITUTE(SUBSTITUTE(SUBSTITUTE(SUBSTITUTE($AA10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beurre </v>
      </c>
      <c r="BP10" s="493">
        <f>IF(10=10,IF($U10="","",SUMPRODUCT(--ISNUMBER(SEARCH(" "&amp;$CR$1960:$CR$1976&amp;" ",$BO10)))),"")</f>
        <v>0</v>
      </c>
      <c r="BQ10" s="493" t="str">
        <f>IF(10=10,IF($U10="","",IF(BN10&gt;0,"X",IF(BP10&gt;0,"?",""))),"")</f>
        <v/>
      </c>
      <c r="BR10" s="493">
        <f>IF(10=10,IF($U10="","",SUMPRODUCT(--ISNUMBER(SEARCH(" "&amp;$CR$1977:$CR$1990&amp;" ",$AA10)))),"")</f>
        <v>0</v>
      </c>
      <c r="BS10" s="493">
        <f>IF(10=10,IF($U10="","",SUMPRODUCT(--ISNUMBER(SEARCH(" "&amp;$CR$1991:$CR$2005&amp;" ",$AA10)))),"")</f>
        <v>0</v>
      </c>
      <c r="BT10" s="493" t="str">
        <f>IF(10=10,IF($U10="","",IF((BR10)-(0)&gt;0,"X",IF((BS10)-(0)&gt;0,"?",""))),"")</f>
        <v/>
      </c>
      <c r="BU10" s="493">
        <f>IF(10=10,IF($U10="","",SUMPRODUCT(--ISNUMBER(SEARCH(" "&amp;$CR$2006:$CR$2023&amp;" ",$AA10)))),"")</f>
        <v>0</v>
      </c>
      <c r="BV10" s="493">
        <f>IF(10=10,IF($U10="","",SUMPRODUCT(--ISNUMBER(SEARCH(" "&amp;$CR$2024:$CR$2038&amp;" ",$AA10)))),"")</f>
        <v>0</v>
      </c>
      <c r="BW10" s="493" t="str">
        <f>IF(10=10,IF($U10="","",IF((BU10)-(0)&gt;0,"X",IF((BV10)-(0)&gt;0,"?",""))),"")</f>
        <v/>
      </c>
      <c r="BX10" s="493">
        <f>IF(10=10,IF($U10="","",SUMPRODUCT(--ISNUMBER(SEARCH(" "&amp;$CR$2039:$CR$2057&amp;" ",$AA10)))),"")</f>
        <v>0</v>
      </c>
      <c r="BY10" s="493">
        <f>IF(10=10,IF($U10="","",SUMPRODUCT(--ISNUMBER(SEARCH(" "&amp;$CR$2058:$CR$2072&amp;" ",$AA10)))),"")</f>
        <v>0</v>
      </c>
      <c r="BZ10" s="493" t="str">
        <f>IF(10=10,IF($U10="","",IF((BX10)-(0)&gt;0,"X",IF((BY10)-(0)&gt;0,"?",""))),"")</f>
        <v/>
      </c>
      <c r="CA10" s="493">
        <f>IF(10=10,IF($U10="","",SUMPRODUCT(--ISNUMBER(SEARCH(" "&amp;$CR$2073:$CR$2093&amp;" ",$AA10)))),"")</f>
        <v>0</v>
      </c>
      <c r="CB10" s="493">
        <f>IF(10=10,IF($U10="","",SUMPRODUCT(--ISNUMBER(SEARCH(" "&amp;$CR$2094:$CR$2133&amp;" ",SUBSTITUTE(SUBSTITUTE($AA10," "&amp;$CR$1367&amp;" "," ")," "&amp;$CR$1366&amp;" "," "))))+--ISNUMBER(SEARCH("poiré",$V10))),"")</f>
        <v>0</v>
      </c>
      <c r="CC10" s="493" t="str">
        <f>IF(10=10,IF($U10="","",IF(OR(CA10&gt;0,ISNUMBER(SEARCH(" vinaigre de vin ",$AA10)),ISNUMBER(SEARCH(" vinaigre au vin ",$AA10))),"X",IF(CB10&gt;0,"?",""))),"")</f>
        <v/>
      </c>
      <c r="CD10" s="493">
        <f>IF(10=10,IF($U10="","",SUMPRODUCT(--ISNUMBER(SEARCH(" "&amp;$CR$2134:$CR$2146&amp;" ",$AA10)))),"")</f>
        <v>0</v>
      </c>
      <c r="CE10" s="493">
        <f>IF(10=10,IF($U10="","",SUMPRODUCT(--ISNUMBER(SEARCH(" "&amp;$CR$2147:$CR$2152&amp;" ",$AA10)))),"")</f>
        <v>0</v>
      </c>
      <c r="CF10" s="493" t="str">
        <f>IF(10=10,IF($U10="","",IF((CD10)-(0)&gt;0,"X",IF((CE10)-(0)&gt;0,"?",""))),"")</f>
        <v/>
      </c>
      <c r="CG10" s="493">
        <f>IF(10=10,IF($U10="","",SUMPRODUCT(--ISNUMBER(SEARCH(" "&amp;$CR$2153:$CR$2252&amp;" ",$CJ10)))),"")</f>
        <v>0</v>
      </c>
      <c r="CH10" s="493">
        <f>IF(10=10,IF($U10="","",SUMPRODUCT(--ISNUMBER(SEARCH(" "&amp;$CR$2253:$CR$2352&amp;" ",$CJ10)))),"")</f>
        <v>0</v>
      </c>
      <c r="CI10" s="493">
        <f>IF(10=10,IF($U10="","",SUMPRODUCT(--ISNUMBER(SEARCH(" "&amp;$CR$2353:$CR$2395&amp;" ",$CJ10)))),"")</f>
        <v>0</v>
      </c>
      <c r="CJ10" s="493" t="str">
        <f>IF(10=10,IF($U10="","",SUBSTITUTE(SUBSTITUTE(SUBSTITUTE(SUBSTITUTE(SUBSTITUTE(SUBSTITUTE(SUBSTITUTE(SUBSTITUTE(SUBSTITUTE(SUBSTITUTE(SUBSTITUTE(SUBSTITUTE(SUBSTITUTE(SUBSTITUTE(SUBSTITUTE(SUBSTITUTE($AA10," "&amp;$CR$2401&amp;" "," ")," "&amp;$CR$2400&amp;" "," ")," "&amp;$CR$2399&amp;" "," ")," "&amp;$CR$2406&amp;" "," ")," "&amp;$CR$2398&amp;" "," ")," "&amp;$CR$2410&amp;" "," ")," "&amp;$CR$2397&amp;" "," ")," "&amp;$CR$2402&amp;" "," ")," "&amp;$CR$2405&amp;" "," ")," "&amp;$CR$2396&amp;" "," ")," "&amp;$CR$2404&amp;" "," ")," "&amp;$CR$2411&amp;" "," ")," "&amp;$CR$2408&amp;" "," ")," "&amp;$CR$2403&amp;" "," ")," "&amp;$CR$2407&amp;" "," ")," "&amp;$CR$2409&amp;" "," ")),"")</f>
        <v xml:space="preserve"> beurre </v>
      </c>
      <c r="CK10" s="493">
        <f>IF(10=10,IF($U10="","",SUMPRODUCT(--ISNUMBER(SEARCH(" "&amp;$CR$2412:$CR$2416&amp;" ",$CJ10)))),"")</f>
        <v>0</v>
      </c>
      <c r="CL10" s="493" t="str">
        <f>IF(10=10,IF($U10="","",IF(SUM(CG10:CI10)&gt;0,"X",IF(CK10&gt;0,"?",""))),"")</f>
        <v/>
      </c>
      <c r="CM10" s="494"/>
      <c r="CN10" s="496" t="s">
        <v>1165</v>
      </c>
      <c r="CO10" s="496" t="s">
        <v>1083</v>
      </c>
      <c r="CP10" s="496" t="s">
        <v>689</v>
      </c>
      <c r="CQ10" s="496" t="s">
        <v>1166</v>
      </c>
      <c r="CR10" s="496" t="s">
        <v>1167</v>
      </c>
      <c r="CS10" s="496" t="s">
        <v>1085</v>
      </c>
      <c r="CT10" s="496" t="s">
        <v>1086</v>
      </c>
      <c r="CU10" s="496" t="s">
        <v>1087</v>
      </c>
      <c r="CV10" s="497" t="s">
        <v>1088</v>
      </c>
      <c r="CX10" s="543">
        <v>1</v>
      </c>
    </row>
    <row r="11" spans="1:102" ht="21" customHeight="1">
      <c r="A11" s="509">
        <v>5</v>
      </c>
      <c r="B11" s="510" t="s">
        <v>5849</v>
      </c>
      <c r="C11" s="511" t="str">
        <f t="shared" si="0"/>
        <v>Bouillon de volaille</v>
      </c>
      <c r="D11" s="512" t="str">
        <f>IF(11=11,IF($B11="","",IF(E11="X",""&amp;"Céréales contenant du gluten","")&amp;IF(F11="X",IF(COUNTIF($E11:$E11,"X")&gt;0,", ","")&amp;"Crustacés","")&amp;IF(G11="X",IF(COUNTIF($E11:$F11,"X")&gt;0,", ","")&amp;"Œufs","")&amp;IF(H11="X",IF(COUNTIF($E11:$G11,"X")&gt;0,", ","")&amp;"Poissons","")&amp;IF(I11="X",IF(COUNTIF($E11:$H11,"X")&gt;0,", ","")&amp;"Arachides","")&amp;IF(J11="X",IF(COUNTIF($E11:$I11,"X")&gt;0,", ","")&amp;"Soja","")&amp;IF(K11="X",IF(COUNTIF($E11:$J11,"X")&gt;0,", ","")&amp;"Lait","")&amp;IF(L11="X",IF(COUNTIF($E11:$K11,"X")&gt;0,", ","")&amp;"Fruits à coque","")&amp;IF(M11="X",IF(COUNTIF($E11:$L11,"X")&gt;0,", ","")&amp;"Céleri","")&amp;IF(N11="X",IF(COUNTIF($E11:$M11,"X")&gt;0,", ","")&amp;"Moutarde","")&amp;IF(O11="X",IF(COUNTIF($E11:$N11,"X")&gt;0,", ","")&amp;"Sésame","")&amp;IF(P11="X",IF(COUNTIF($E11:$O11,"X")&gt;0,", ","")&amp;"Sulfites","")&amp;IF(Q11="X",IF(COUNTIF($E11:$P11,"X")&gt;0,", ","")&amp;"Lupin","")&amp;IF(R11="X",IF(COUNTIF($E11:$Q11,"X")&gt;0,", ","")&amp;"Mollusques","")),"")</f>
        <v/>
      </c>
      <c r="E11" s="513" t="str">
        <f>IF(11=11,IF($B11="","",AF11),"")</f>
        <v/>
      </c>
      <c r="F11" s="513" t="str">
        <f>IF(11=11,IF($B11="","",AI11),"")</f>
        <v/>
      </c>
      <c r="G11" s="513" t="str">
        <f>IF(11=11,IF($B11="","",AM11),"")</f>
        <v/>
      </c>
      <c r="H11" s="513" t="str">
        <f>IF(11=11,IF($B11="","",IF(ISNUMBER(SEARCH(" colin ",$AA11)),"X",AZ11)),"")</f>
        <v/>
      </c>
      <c r="I11" s="513" t="str">
        <f>IF(11=11,IF($B11="","",BB11),"")</f>
        <v/>
      </c>
      <c r="J11" s="513" t="str">
        <f>IF(11=11,IF($B11="","",BF11),"")</f>
        <v/>
      </c>
      <c r="K11" s="513" t="str">
        <f>IF(11=11,IF($B11="","",BM11),"")</f>
        <v/>
      </c>
      <c r="L11" s="513" t="str">
        <f>IF(11=11,IF($B11="","",BQ11),"")</f>
        <v/>
      </c>
      <c r="M11" s="513" t="str">
        <f>IF(11=11,IF($B11="","",BT11),"")</f>
        <v/>
      </c>
      <c r="N11" s="513" t="str">
        <f>IF(11=11,IF($B11="","",BW11),"")</f>
        <v/>
      </c>
      <c r="O11" s="513" t="str">
        <f>IF(11=11,IF($B11="","",BZ11),"")</f>
        <v/>
      </c>
      <c r="P11" s="513" t="str">
        <f>IF(11=11,IF($B11="","",CC11),"")</f>
        <v/>
      </c>
      <c r="Q11" s="513" t="str">
        <f>IF(11=11,IF($B11="","",CF11),"")</f>
        <v/>
      </c>
      <c r="R11" s="513" t="str">
        <f>IF(11=11,IF($B11="","",CL11),"")</f>
        <v/>
      </c>
      <c r="S11" s="514" t="str">
        <f>IF(11=11,IF($B11="","",IF(E11="?",""&amp;"Céréales contenant du gluten","")&amp;IF(F11="?",IF(COUNTIF($E11:$E11,"~?")&gt;0,", ","")&amp;"Crustacés","")&amp;IF(G11="?",IF(COUNTIF($E11:$F11,"~?")&gt;0,", ","")&amp;"Œufs","")&amp;IF(H11="?",IF(COUNTIF($E11:$G11,"~?")&gt;0,", ","")&amp;"Poissons","")&amp;IF(I11="?",IF(COUNTIF($E11:$H11,"~?")&gt;0,", ","")&amp;"Arachides","")&amp;IF(J11="?",IF(COUNTIF($E11:$I11,"~?")&gt;0,", ","")&amp;"Soja","")&amp;IF(K11="?",IF(COUNTIF($E11:$J11,"~?")&gt;0,", ","")&amp;"Lait","")&amp;IF(L11="?",IF(COUNTIF($E11:$K11,"~?")&gt;0,", ","")&amp;"Fruits à coque","")&amp;IF(M11="?",IF(COUNTIF($E11:$L11,"~?")&gt;0,", ","")&amp;"Céleri","")&amp;IF(N11="?",IF(COUNTIF($E11:$M11,"~?")&gt;0,", ","")&amp;"Moutarde","")&amp;IF(O11="?",IF(COUNTIF($E11:$N11,"~?")&gt;0,", ","")&amp;"Sésame","")&amp;IF(P11="?",IF(COUNTIF($E11:$O11,"~?")&gt;0,", ","")&amp;"Sulfites","")&amp;IF(Q11="?",IF(COUNTIF($E11:$P11,"~?")&gt;0,", ","")&amp;"Lupin","")&amp;IF(R11="?",IF(COUNTIF($E11:$Q11,"~?")&gt;0,", ","")&amp;"Mollusques","")),"")</f>
        <v/>
      </c>
      <c r="U11" s="493" t="str">
        <f>IF(11=11,IF($B11="","",$B11),"")</f>
        <v>Bouillon de volaille</v>
      </c>
      <c r="V11" s="493" t="str">
        <f>IF(11=11,LOWER(CLEAN(SUBSTITUTE(SUBSTITUTE(SUBSTITUTE(SUBSTITUTE($U11,CHAR(160)," ")," "," "),CHAR(10)," "),CHAR(13)," "))),"")</f>
        <v>bouillon de volaille</v>
      </c>
      <c r="W11" s="493" t="str">
        <f>IF(11=11,SUBSTITUTE(SUBSTITUTE(SUBSTITUTE(SUBSTITUTE(SUBSTITUTE(SUBSTITUTE(SUBSTITUTE(SUBSTITUTE(SUBSTITUTE(SUBSTITUTE(SUBSTITUTE(SUBSTITUTE($V11,"œ","oe"),"æ","ae"),"à","a"),"á","a"),"â","a"),"ä","a"),"ã","a"),"ç","c"),"è","e"),"é","e"),"ê","e"),"ë","e"),"")</f>
        <v>bouillon de volaille</v>
      </c>
      <c r="X11" s="493" t="str">
        <f>IF(11=11,SUBSTITUTE(SUBSTITUTE(SUBSTITUTE(SUBSTITUTE(SUBSTITUTE(SUBSTITUTE(SUBSTITUTE(SUBSTITUTE(SUBSTITUTE(SUBSTITUTE(SUBSTITUTE(SUBSTITUTE(SUBSTITUTE(SUBSTITUTE(SUBSTITUTE(SUBSTITUTE($W11,"ì","i"),"í","i"),"î","i"),"ï","i"),"ñ","n"),"ò","o"),"ó","o"),"ô","o"),"ö","o"),"õ","o"),"ù","u"),"ú","u"),"û","u"),"ü","u"),"ý","y"),"ÿ","y"),"")</f>
        <v>bouillon de volaille</v>
      </c>
      <c r="Y11" s="493" t="str">
        <f>IF(11=11,SUBSTITUTE(SUBSTITUTE(SUBSTITUTE(SUBSTITUTE(SUBSTITUTE(SUBSTITUTE(SUBSTITUTE(SUBSTITUTE(SUBSTITUTE(SUBSTITUTE(SUBSTITUTE(SUBSTITUTE(SUBSTITUTE(SUBSTITUTE($X11,"’"," "),"`"," "),"–"," "),"—"," "),"-"," "),"'"," "),"/"," "),"_"," "),","," "),"."," "),"("," "),")"," "),";"," "),":"," "),"")</f>
        <v>bouillon de volaille</v>
      </c>
      <c r="Z11" s="493" t="str">
        <f>IF(11=11,SUBSTITUTE(SUBSTITUTE(SUBSTITUTE(SUBSTITUTE(SUBSTITUTE(SUBSTITUTE(SUBSTITUTE(SUBSTITUTE(SUBSTITUTE(SUBSTITUTE(SUBSTITUTE(SUBSTITUTE(SUBSTITUTE(SUBSTITUTE(SUBSTITUTE($Y11,"!"," "),"?"," "),"+"," "),"*"," "),"&amp;"," "),"["," "),"]"," "),"{"," "),"}"," "),"%"," "),"="," "),"\"," "),"|"," "),"&lt;"," "),"&gt;"," "),"")</f>
        <v>bouillon de volaille</v>
      </c>
      <c r="AA11" s="493" t="str">
        <f>IF(11=11," "&amp;TRIM(SUBSTITUTE(SUBSTITUTE(SUBSTITUTE(SUBSTITUTE(SUBSTITUTE(SUBSTITUTE($Z11,CHAR(34)," "),"  "," "),"  "," "),"  "," "),"  "," "),"  "," "))&amp;" ","")</f>
        <v xml:space="preserve"> bouillon de volaille </v>
      </c>
      <c r="AB11" s="493">
        <f>IF(11=11,IF($U11="","",SUMPRODUCT(--ISNUMBER(SEARCH(" "&amp;$CR$2:$CR$101&amp;" ",$AD11)))),"")</f>
        <v>0</v>
      </c>
      <c r="AC11" s="493">
        <f>IF(11=11,IF($U11="","",SUMPRODUCT(--ISNUMBER(SEARCH(" "&amp;$CR$102:$CR$151&amp;" ",$AD11)))),"")</f>
        <v>0</v>
      </c>
      <c r="AD11" s="493" t="str">
        <f t="shared" si="1"/>
        <v xml:space="preserve"> bouillon de volaille </v>
      </c>
      <c r="AE11" s="493">
        <f t="shared" si="2"/>
        <v>0</v>
      </c>
      <c r="AF11" s="493" t="str">
        <f>IF(11=11,IF($U11="","",IF(SUM(AB11:AC11)+SUMPRODUCT(--ISNUMBER(SEARCH(" "&amp;$CR$2418:$CR$2420&amp;" ",$AD11)))&gt;0,"X",IF(AE11&gt;0,"?",""))),"")</f>
        <v/>
      </c>
      <c r="AG11" s="493">
        <f>IF(11=11,IF($U11="","",SUMPRODUCT(--ISNUMBER(SEARCH(" "&amp;$CR$206:$CR$305&amp;" ",$AA11)))),"")</f>
        <v>0</v>
      </c>
      <c r="AH11" s="493">
        <f>IF(11=11,IF($U11="","",SUMPRODUCT(--ISNUMBER(SEARCH(" "&amp;$CR$306:$CR$340&amp;" ",$AA11)))),"")</f>
        <v>0</v>
      </c>
      <c r="AI11" s="493" t="str">
        <f>IF(11=11,IF($U11="","",IF((SUM(AG11:AH11))-(0)&gt;0,"X",IF((0)-(0)&gt;0,"?",""))),"")</f>
        <v/>
      </c>
      <c r="AJ11" s="493">
        <f>IF(11=11,IF($U11="","",SUMPRODUCT(--ISNUMBER(SEARCH(" "&amp;$CR$341:$CR$398&amp;" ",$AA11)))),"")</f>
        <v>0</v>
      </c>
      <c r="AK11" s="493">
        <f>IF(11=11,IF($U11="","",SUMPRODUCT(--ISNUMBER(SEARCH(" "&amp;$CR$399:$CR$426&amp;" ",$AL11)))+SUMPRODUCT(--ISNUMBER(SEARCH(" "&amp;$CR$2440:$CR$2453&amp;" ",$AL11)))),"")</f>
        <v>0</v>
      </c>
      <c r="AL11" s="493" t="str">
        <f>IF(11=11,IF($U11="","",SUBSTITUTE(SUBSTITUTE(SUBSTITUTE(SUBSTITUTE(SUBSTITUTE(SUBSTITUTE(SUBSTITUTE(SUBSTITUTE(SUBSTITUTE(SUBSTITUTE(SUBSTITUTE(SUBSTITUTE(SUBSTITUTE(SUBSTITUTE($AA11," "&amp;$CR$2455&amp;" "," ")," "&amp;$CR$433&amp;" "," ")," "&amp;$CR$431&amp;" "," ")," "&amp;$CR$2438&amp;" "," ")," "&amp;$CR$2439&amp;" "," ")," "&amp;$CR$428&amp;" "," ")," "&amp;$CR$432&amp;" "," ")," "&amp;$CR$434&amp;" "," ")," "&amp;$CR$429&amp;" "," ")," "&amp;$CR$427&amp;" "," ")," "&amp;$CR$1367&amp;" "," ")," "&amp;$CR$435&amp;" "," ")," "&amp;$CR$1366&amp;" "," ")," "&amp;$CR$430&amp;" "," ")),"")</f>
        <v xml:space="preserve"> bouillon de volaille </v>
      </c>
      <c r="AM11" s="493" t="str">
        <f>IF(11=11,IF($U11="","",IF(AJ11&gt;0,"X",IF(AK11&gt;0,"?",""))),"")</f>
        <v/>
      </c>
      <c r="AN11" s="493">
        <f>IF(11=11,IF($U11="","",SUMPRODUCT(--ISNUMBER(SEARCH(" "&amp;$CR$436:$CR$535&amp;" ",$AX11)))),"")</f>
        <v>0</v>
      </c>
      <c r="AO11" s="493">
        <f>IF(11=11,IF($U11="","",SUMPRODUCT(--ISNUMBER(SEARCH(" "&amp;$CR$536:$CR$635&amp;" ",$AX11)))),"")</f>
        <v>0</v>
      </c>
      <c r="AP11" s="493">
        <f>IF(11=11,IF($U11="","",SUMPRODUCT(--ISNUMBER(SEARCH(" "&amp;$CR$636:$CR$735&amp;" ",$AX11)))),"")</f>
        <v>0</v>
      </c>
      <c r="AQ11" s="493">
        <f>IF(11=11,IF($U11="","",SUMPRODUCT(--ISNUMBER(SEARCH(" "&amp;$CR$736:$CR$835&amp;" ",$AX11)))),"")</f>
        <v>0</v>
      </c>
      <c r="AR11" s="493">
        <f>IF(11=11,IF($U11="","",SUMPRODUCT(--ISNUMBER(SEARCH(" "&amp;$CR$836:$CR$935&amp;" ",$AX11)))),"")</f>
        <v>0</v>
      </c>
      <c r="AS11" s="493">
        <f>IF(11=11,IF($U11="","",SUMPRODUCT(--ISNUMBER(SEARCH(" "&amp;$CR$936:$CR$1035&amp;" ",$AX11)))),"")</f>
        <v>0</v>
      </c>
      <c r="AT11" s="493">
        <f>IF(11=11,IF($U11="","",SUMPRODUCT(--ISNUMBER(SEARCH(" "&amp;$CR$1036:$CR$1135&amp;" ",$AX11)))),"")</f>
        <v>0</v>
      </c>
      <c r="AU11" s="493">
        <f>IF(11=11,IF($U11="","",SUMPRODUCT(--ISNUMBER(SEARCH(" "&amp;$CR$1136:$CR$1235&amp;" ",$AX11)))),"")</f>
        <v>0</v>
      </c>
      <c r="AV11" s="493">
        <f>IF(11=11,IF($U11="","",SUMPRODUCT(--ISNUMBER(SEARCH(" "&amp;$CR$1236:$CR$1335&amp;" ",$AX11)))),"")</f>
        <v>0</v>
      </c>
      <c r="AW11" s="493">
        <f>IF(11=11,IF($U11="","",SUMPRODUCT(--ISNUMBER(SEARCH(" "&amp;$CR$1336:$CR$1363&amp;" ",$AX11)))),"")</f>
        <v>0</v>
      </c>
      <c r="AX11" s="493" t="str">
        <f>IF(11=11,IF($U11="","",SUBSTITUTE(SUBSTITUTE(SUBSTITUTE(SUBSTITUTE(SUBSTITUTE(SUBSTITUTE(SUBSTITUTE(SUBSTITUTE(SUBSTITUTE($AA11," "&amp;$CR$1365&amp;" "," ")," "&amp;$CR$1364&amp;" "," ")," "&amp;$CR$1370&amp;" "," ")," "&amp;$CR$1371&amp;" "," ")," "&amp;$CR$1367&amp;" "," ")," "&amp;$CR$1369&amp;" "," ")," "&amp;$CR$1366&amp;" "," ")," "&amp;$CR$1368&amp;" "," ")," "&amp;$CR$1372&amp;" "," ")),"")</f>
        <v xml:space="preserve"> bouillon de volaille </v>
      </c>
      <c r="AY11" s="493">
        <f>IF(11=11,IF($U11="","",SUMPRODUCT(--ISNUMBER(SEARCH(" "&amp;$CR$1373:$CR$1383&amp;" ",$AX11)))),"")</f>
        <v>0</v>
      </c>
      <c r="AZ11" s="493" t="str">
        <f>IF(11=11,IF($U11="","",IF(SUM(AN11:AW11)+SUMPRODUCT(--ISNUMBER(SEARCH(" "&amp;$CR$2421:$CR$2422&amp;" ",$AX11)))&gt;0,"X",IF(AY11&gt;0,"?",""))),"")</f>
        <v/>
      </c>
      <c r="BA11" s="493">
        <f>IF(11=11,IF($U11="","",SUMPRODUCT(--ISNUMBER(SEARCH(" "&amp;$CR$1384:$CR$1404&amp;" ",$AA11)))),"")</f>
        <v>0</v>
      </c>
      <c r="BB11" s="493" t="str">
        <f>IF(11=11,IF($U11="","",IF((BA11)-(0)&gt;0,"X",IF((0)-(0)&gt;0,"?",""))),"")</f>
        <v/>
      </c>
      <c r="BC11" s="493">
        <f>IF(11=11,IF($U11="","",SUMPRODUCT(--ISNUMBER(SEARCH(" "&amp;$CR$1405:$CR$1442&amp;" ",$BD11)))),"")</f>
        <v>0</v>
      </c>
      <c r="BD11" s="493" t="str">
        <f>IF(11=11,IF($U11="","",SUBSTITUTE(SUBSTITUTE($AA11," "&amp;$CR$1443&amp;" "," ")," "&amp;$CR$1444&amp;" "," ")),"")</f>
        <v xml:space="preserve"> bouillon de volaille </v>
      </c>
      <c r="BE11" s="493">
        <f>IF(11=11,IF($U11="","",SUMPRODUCT(--ISNUMBER(SEARCH(" "&amp;$CR$1445:$CR$1455&amp;" ",$BD11)))),"")</f>
        <v>0</v>
      </c>
      <c r="BF11" s="493" t="str">
        <f>IF(11=11,IF($U11="","",IF(BC11&gt;0,"X",IF(BE11&gt;0,"?",""))),"")</f>
        <v/>
      </c>
      <c r="BG11" s="493">
        <f>IF(11=11,IF($U11="","",SUMPRODUCT(--ISNUMBER(SEARCH(" "&amp;$CR$1456:$CR$1555&amp;" ",$BJ11)))),"")</f>
        <v>0</v>
      </c>
      <c r="BH11" s="493">
        <f>IF(11=11,IF($U11="","",SUMPRODUCT(--ISNUMBER(SEARCH(" "&amp;$CR$1556:$CR$1655&amp;" ",$BJ11)))),"")</f>
        <v>0</v>
      </c>
      <c r="BI11" s="493">
        <f>IF(11=11,IF($U11="","",SUMPRODUCT(--ISNUMBER(SEARCH(" "&amp;$CR$1656:$CR$1739&amp;" ",$BJ11)))),"")</f>
        <v>0</v>
      </c>
      <c r="BJ11" s="493" t="str">
        <f>IF(11=11,IF($U11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bouillon de volaille </v>
      </c>
      <c r="BK11" s="493">
        <f>IF(11=11,IF($U11="","",SUMPRODUCT(--ISNUMBER(SEARCH(" "&amp;$CR$1790:$CR$1869&amp;" ",$BL11)))+SUMPRODUCT(--ISNUMBER(SEARCH(" "&amp;$CR$2440:$CR$2453&amp;" ",$BL11)))),"")</f>
        <v>0</v>
      </c>
      <c r="BL11" s="493" t="str">
        <f>IF(11=11,IF($U11="","",SUBSTITUTE(SUBSTITUTE(SUBSTITUTE(SUBSTITUTE(SUBSTITUTE(SUBSTITUTE(SUBSTITUTE(SUBSTITUTE(SUBSTITUTE(SUBSTITUTE(SUBSTITUTE(SUBSTITUTE(SUBSTITUTE($BJ11," "&amp;$CR$1876&amp;" "," ")," "&amp;$CR$1874&amp;" "," ")," "&amp;$CR$2438&amp;" "," ")," "&amp;$CR$2439&amp;" "," ")," "&amp;$CR$1871&amp;" "," ")," "&amp;$CR$1875&amp;" "," ")," "&amp;$CR$1877&amp;" "," ")," "&amp;$CR$1872&amp;" "," ")," "&amp;$CR$1870&amp;" "," ")," "&amp;$CR$1367&amp;" "," ")," "&amp;$CR$1878&amp;" "," ")," "&amp;$CR$1366&amp;" "," ")," "&amp;$CR$1873&amp;" "," ")),"")</f>
        <v xml:space="preserve"> bouillon de volaille </v>
      </c>
      <c r="BM11" s="493" t="str">
        <f>IF(11=11,IF($U11="","",IF(SUM(BG11:BI11)+SUMPRODUCT(--ISNUMBER(SEARCH(" "&amp;$CR$2423:$CR$2424&amp;" ",$BJ11)))&gt;0,"X",IF(BK11&gt;0,"?",""))),"")</f>
        <v/>
      </c>
      <c r="BN11" s="493">
        <f>IF(11=11,IF($U11="","",SUMPRODUCT(--ISNUMBER(SEARCH(" "&amp;$CR$1879:$CR$1936&amp;" ",$BO11)))),"")</f>
        <v>0</v>
      </c>
      <c r="BO11" s="493" t="str">
        <f>IF(11=11,IF($U11="","",SUBSTITUTE(SUBSTITUTE(SUBSTITUTE(SUBSTITUTE(SUBSTITUTE(SUBSTITUTE(SUBSTITUTE(SUBSTITUTE(SUBSTITUTE(SUBSTITUTE(SUBSTITUTE(SUBSTITUTE(SUBSTITUTE(SUBSTITUTE(SUBSTITUTE(SUBSTITUTE(SUBSTITUTE(SUBSTITUTE(SUBSTITUTE(SUBSTITUTE(SUBSTITUTE(SUBSTITUTE(SUBSTITUTE($AA11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bouillon de volaille </v>
      </c>
      <c r="BP11" s="493">
        <f>IF(11=11,IF($U11="","",SUMPRODUCT(--ISNUMBER(SEARCH(" "&amp;$CR$1960:$CR$1976&amp;" ",$BO11)))),"")</f>
        <v>0</v>
      </c>
      <c r="BQ11" s="493" t="str">
        <f>IF(11=11,IF($U11="","",IF(BN11&gt;0,"X",IF(BP11&gt;0,"?",""))),"")</f>
        <v/>
      </c>
      <c r="BR11" s="493">
        <f>IF(11=11,IF($U11="","",SUMPRODUCT(--ISNUMBER(SEARCH(" "&amp;$CR$1977:$CR$1990&amp;" ",$AA11)))),"")</f>
        <v>0</v>
      </c>
      <c r="BS11" s="493">
        <f>IF(11=11,IF($U11="","",SUMPRODUCT(--ISNUMBER(SEARCH(" "&amp;$CR$1991:$CR$2005&amp;" ",$AA11)))),"")</f>
        <v>0</v>
      </c>
      <c r="BT11" s="493" t="str">
        <f>IF(11=11,IF($U11="","",IF((BR11)-(0)&gt;0,"X",IF((BS11)-(0)&gt;0,"?",""))),"")</f>
        <v/>
      </c>
      <c r="BU11" s="493">
        <f>IF(11=11,IF($U11="","",SUMPRODUCT(--ISNUMBER(SEARCH(" "&amp;$CR$2006:$CR$2023&amp;" ",$AA11)))),"")</f>
        <v>0</v>
      </c>
      <c r="BV11" s="493">
        <f>IF(11=11,IF($U11="","",SUMPRODUCT(--ISNUMBER(SEARCH(" "&amp;$CR$2024:$CR$2038&amp;" ",$AA11)))),"")</f>
        <v>0</v>
      </c>
      <c r="BW11" s="493" t="str">
        <f>IF(11=11,IF($U11="","",IF((BU11)-(0)&gt;0,"X",IF((BV11)-(0)&gt;0,"?",""))),"")</f>
        <v/>
      </c>
      <c r="BX11" s="493">
        <f>IF(11=11,IF($U11="","",SUMPRODUCT(--ISNUMBER(SEARCH(" "&amp;$CR$2039:$CR$2057&amp;" ",$AA11)))),"")</f>
        <v>0</v>
      </c>
      <c r="BY11" s="493">
        <f>IF(11=11,IF($U11="","",SUMPRODUCT(--ISNUMBER(SEARCH(" "&amp;$CR$2058:$CR$2072&amp;" ",$AA11)))),"")</f>
        <v>0</v>
      </c>
      <c r="BZ11" s="493" t="str">
        <f>IF(11=11,IF($U11="","",IF((BX11)-(0)&gt;0,"X",IF((BY11)-(0)&gt;0,"?",""))),"")</f>
        <v/>
      </c>
      <c r="CA11" s="493">
        <f>IF(11=11,IF($U11="","",SUMPRODUCT(--ISNUMBER(SEARCH(" "&amp;$CR$2073:$CR$2093&amp;" ",$AA11)))),"")</f>
        <v>0</v>
      </c>
      <c r="CB11" s="493">
        <f>IF(11=11,IF($U11="","",SUMPRODUCT(--ISNUMBER(SEARCH(" "&amp;$CR$2094:$CR$2133&amp;" ",SUBSTITUTE(SUBSTITUTE($AA11," "&amp;$CR$1367&amp;" "," ")," "&amp;$CR$1366&amp;" "," "))))+--ISNUMBER(SEARCH("poiré",$V11))),"")</f>
        <v>0</v>
      </c>
      <c r="CC11" s="493" t="str">
        <f>IF(11=11,IF($U11="","",IF(OR(CA11&gt;0,ISNUMBER(SEARCH(" vinaigre de vin ",$AA11)),ISNUMBER(SEARCH(" vinaigre au vin ",$AA11))),"X",IF(CB11&gt;0,"?",""))),"")</f>
        <v/>
      </c>
      <c r="CD11" s="493">
        <f>IF(11=11,IF($U11="","",SUMPRODUCT(--ISNUMBER(SEARCH(" "&amp;$CR$2134:$CR$2146&amp;" ",$AA11)))),"")</f>
        <v>0</v>
      </c>
      <c r="CE11" s="493">
        <f>IF(11=11,IF($U11="","",SUMPRODUCT(--ISNUMBER(SEARCH(" "&amp;$CR$2147:$CR$2152&amp;" ",$AA11)))),"")</f>
        <v>0</v>
      </c>
      <c r="CF11" s="493" t="str">
        <f>IF(11=11,IF($U11="","",IF((CD11)-(0)&gt;0,"X",IF((CE11)-(0)&gt;0,"?",""))),"")</f>
        <v/>
      </c>
      <c r="CG11" s="493">
        <f>IF(11=11,IF($U11="","",SUMPRODUCT(--ISNUMBER(SEARCH(" "&amp;$CR$2153:$CR$2252&amp;" ",$CJ11)))),"")</f>
        <v>0</v>
      </c>
      <c r="CH11" s="493">
        <f>IF(11=11,IF($U11="","",SUMPRODUCT(--ISNUMBER(SEARCH(" "&amp;$CR$2253:$CR$2352&amp;" ",$CJ11)))),"")</f>
        <v>0</v>
      </c>
      <c r="CI11" s="493">
        <f>IF(11=11,IF($U11="","",SUMPRODUCT(--ISNUMBER(SEARCH(" "&amp;$CR$2353:$CR$2395&amp;" ",$CJ11)))),"")</f>
        <v>0</v>
      </c>
      <c r="CJ11" s="493" t="str">
        <f>IF(11=11,IF($U11="","",SUBSTITUTE(SUBSTITUTE(SUBSTITUTE(SUBSTITUTE(SUBSTITUTE(SUBSTITUTE(SUBSTITUTE(SUBSTITUTE(SUBSTITUTE(SUBSTITUTE(SUBSTITUTE(SUBSTITUTE(SUBSTITUTE(SUBSTITUTE(SUBSTITUTE(SUBSTITUTE($AA11," "&amp;$CR$2401&amp;" "," ")," "&amp;$CR$2400&amp;" "," ")," "&amp;$CR$2399&amp;" "," ")," "&amp;$CR$2406&amp;" "," ")," "&amp;$CR$2398&amp;" "," ")," "&amp;$CR$2410&amp;" "," ")," "&amp;$CR$2397&amp;" "," ")," "&amp;$CR$2402&amp;" "," ")," "&amp;$CR$2405&amp;" "," ")," "&amp;$CR$2396&amp;" "," ")," "&amp;$CR$2404&amp;" "," ")," "&amp;$CR$2411&amp;" "," ")," "&amp;$CR$2408&amp;" "," ")," "&amp;$CR$2403&amp;" "," ")," "&amp;$CR$2407&amp;" "," ")," "&amp;$CR$2409&amp;" "," ")),"")</f>
        <v xml:space="preserve"> bouillon de volaille </v>
      </c>
      <c r="CK11" s="493">
        <f>IF(11=11,IF($U11="","",SUMPRODUCT(--ISNUMBER(SEARCH(" "&amp;$CR$2412:$CR$2416&amp;" ",$CJ11)))),"")</f>
        <v>0</v>
      </c>
      <c r="CL11" s="493" t="str">
        <f>IF(11=11,IF($U11="","",IF(SUM(CG11:CI11)&gt;0,"X",IF(CK11&gt;0,"?",""))),"")</f>
        <v/>
      </c>
      <c r="CM11" s="494"/>
      <c r="CN11" s="496" t="s">
        <v>1168</v>
      </c>
      <c r="CO11" s="496" t="s">
        <v>1083</v>
      </c>
      <c r="CP11" s="496" t="s">
        <v>689</v>
      </c>
      <c r="CQ11" s="496" t="s">
        <v>702</v>
      </c>
      <c r="CR11" s="496" t="s">
        <v>702</v>
      </c>
      <c r="CS11" s="496" t="s">
        <v>1085</v>
      </c>
      <c r="CT11" s="496" t="s">
        <v>1086</v>
      </c>
      <c r="CU11" s="496" t="s">
        <v>1087</v>
      </c>
      <c r="CV11" s="497" t="s">
        <v>1088</v>
      </c>
      <c r="CX11" s="543">
        <v>1</v>
      </c>
    </row>
    <row r="12" spans="1:102" ht="21" customHeight="1">
      <c r="A12" s="509">
        <v>6</v>
      </c>
      <c r="B12" s="510" t="s">
        <v>5850</v>
      </c>
      <c r="C12" s="511" t="str">
        <f t="shared" si="0"/>
        <v>Bulbes de fenouil</v>
      </c>
      <c r="D12" s="512" t="str">
        <f>IF(12=12,IF($B12="","",IF(E12="X",""&amp;"Céréales contenant du gluten","")&amp;IF(F12="X",IF(COUNTIF($E12:$E12,"X")&gt;0,", ","")&amp;"Crustacés","")&amp;IF(G12="X",IF(COUNTIF($E12:$F12,"X")&gt;0,", ","")&amp;"Œufs","")&amp;IF(H12="X",IF(COUNTIF($E12:$G12,"X")&gt;0,", ","")&amp;"Poissons","")&amp;IF(I12="X",IF(COUNTIF($E12:$H12,"X")&gt;0,", ","")&amp;"Arachides","")&amp;IF(J12="X",IF(COUNTIF($E12:$I12,"X")&gt;0,", ","")&amp;"Soja","")&amp;IF(K12="X",IF(COUNTIF($E12:$J12,"X")&gt;0,", ","")&amp;"Lait","")&amp;IF(L12="X",IF(COUNTIF($E12:$K12,"X")&gt;0,", ","")&amp;"Fruits à coque","")&amp;IF(M12="X",IF(COUNTIF($E12:$L12,"X")&gt;0,", ","")&amp;"Céleri","")&amp;IF(N12="X",IF(COUNTIF($E12:$M12,"X")&gt;0,", ","")&amp;"Moutarde","")&amp;IF(O12="X",IF(COUNTIF($E12:$N12,"X")&gt;0,", ","")&amp;"Sésame","")&amp;IF(P12="X",IF(COUNTIF($E12:$O12,"X")&gt;0,", ","")&amp;"Sulfites","")&amp;IF(Q12="X",IF(COUNTIF($E12:$P12,"X")&gt;0,", ","")&amp;"Lupin","")&amp;IF(R12="X",IF(COUNTIF($E12:$Q12,"X")&gt;0,", ","")&amp;"Mollusques","")),"")</f>
        <v/>
      </c>
      <c r="E12" s="513" t="str">
        <f>IF(12=12,IF($B12="","",AF12),"")</f>
        <v/>
      </c>
      <c r="F12" s="513" t="str">
        <f>IF(12=12,IF($B12="","",AI12),"")</f>
        <v/>
      </c>
      <c r="G12" s="513" t="str">
        <f>IF(12=12,IF($B12="","",AM12),"")</f>
        <v/>
      </c>
      <c r="H12" s="513" t="str">
        <f>IF(12=12,IF($B12="","",IF(ISNUMBER(SEARCH(" colin ",$AA12)),"X",AZ12)),"")</f>
        <v/>
      </c>
      <c r="I12" s="513" t="str">
        <f>IF(12=12,IF($B12="","",BB12),"")</f>
        <v/>
      </c>
      <c r="J12" s="513" t="str">
        <f>IF(12=12,IF($B12="","",BF12),"")</f>
        <v/>
      </c>
      <c r="K12" s="513" t="str">
        <f>IF(12=12,IF($B12="","",BM12),"")</f>
        <v/>
      </c>
      <c r="L12" s="513" t="str">
        <f>IF(12=12,IF($B12="","",BQ12),"")</f>
        <v/>
      </c>
      <c r="M12" s="513" t="str">
        <f>IF(12=12,IF($B12="","",BT12),"")</f>
        <v/>
      </c>
      <c r="N12" s="513" t="str">
        <f>IF(12=12,IF($B12="","",BW12),"")</f>
        <v/>
      </c>
      <c r="O12" s="513" t="str">
        <f>IF(12=12,IF($B12="","",BZ12),"")</f>
        <v/>
      </c>
      <c r="P12" s="513" t="str">
        <f>IF(12=12,IF($B12="","",CC12),"")</f>
        <v/>
      </c>
      <c r="Q12" s="513" t="str">
        <f>IF(12=12,IF($B12="","",CF12),"")</f>
        <v/>
      </c>
      <c r="R12" s="513" t="str">
        <f>IF(12=12,IF($B12="","",CL12),"")</f>
        <v/>
      </c>
      <c r="S12" s="514" t="str">
        <f>IF(12=12,IF($B12="","",IF(E12="?",""&amp;"Céréales contenant du gluten","")&amp;IF(F12="?",IF(COUNTIF($E12:$E12,"~?")&gt;0,", ","")&amp;"Crustacés","")&amp;IF(G12="?",IF(COUNTIF($E12:$F12,"~?")&gt;0,", ","")&amp;"Œufs","")&amp;IF(H12="?",IF(COUNTIF($E12:$G12,"~?")&gt;0,", ","")&amp;"Poissons","")&amp;IF(I12="?",IF(COUNTIF($E12:$H12,"~?")&gt;0,", ","")&amp;"Arachides","")&amp;IF(J12="?",IF(COUNTIF($E12:$I12,"~?")&gt;0,", ","")&amp;"Soja","")&amp;IF(K12="?",IF(COUNTIF($E12:$J12,"~?")&gt;0,", ","")&amp;"Lait","")&amp;IF(L12="?",IF(COUNTIF($E12:$K12,"~?")&gt;0,", ","")&amp;"Fruits à coque","")&amp;IF(M12="?",IF(COUNTIF($E12:$L12,"~?")&gt;0,", ","")&amp;"Céleri","")&amp;IF(N12="?",IF(COUNTIF($E12:$M12,"~?")&gt;0,", ","")&amp;"Moutarde","")&amp;IF(O12="?",IF(COUNTIF($E12:$N12,"~?")&gt;0,", ","")&amp;"Sésame","")&amp;IF(P12="?",IF(COUNTIF($E12:$O12,"~?")&gt;0,", ","")&amp;"Sulfites","")&amp;IF(Q12="?",IF(COUNTIF($E12:$P12,"~?")&gt;0,", ","")&amp;"Lupin","")&amp;IF(R12="?",IF(COUNTIF($E12:$Q12,"~?")&gt;0,", ","")&amp;"Mollusques","")),"")</f>
        <v/>
      </c>
      <c r="U12" s="493" t="str">
        <f>IF(12=12,IF($B12="","",$B12),"")</f>
        <v>Bulbes de fenouil</v>
      </c>
      <c r="V12" s="493" t="str">
        <f>IF(12=12,LOWER(CLEAN(SUBSTITUTE(SUBSTITUTE(SUBSTITUTE(SUBSTITUTE($U12,CHAR(160)," ")," "," "),CHAR(10)," "),CHAR(13)," "))),"")</f>
        <v>bulbes de fenouil</v>
      </c>
      <c r="W12" s="493" t="str">
        <f>IF(12=12,SUBSTITUTE(SUBSTITUTE(SUBSTITUTE(SUBSTITUTE(SUBSTITUTE(SUBSTITUTE(SUBSTITUTE(SUBSTITUTE(SUBSTITUTE(SUBSTITUTE(SUBSTITUTE(SUBSTITUTE($V12,"œ","oe"),"æ","ae"),"à","a"),"á","a"),"â","a"),"ä","a"),"ã","a"),"ç","c"),"è","e"),"é","e"),"ê","e"),"ë","e"),"")</f>
        <v>bulbes de fenouil</v>
      </c>
      <c r="X12" s="493" t="str">
        <f>IF(12=12,SUBSTITUTE(SUBSTITUTE(SUBSTITUTE(SUBSTITUTE(SUBSTITUTE(SUBSTITUTE(SUBSTITUTE(SUBSTITUTE(SUBSTITUTE(SUBSTITUTE(SUBSTITUTE(SUBSTITUTE(SUBSTITUTE(SUBSTITUTE(SUBSTITUTE(SUBSTITUTE($W12,"ì","i"),"í","i"),"î","i"),"ï","i"),"ñ","n"),"ò","o"),"ó","o"),"ô","o"),"ö","o"),"õ","o"),"ù","u"),"ú","u"),"û","u"),"ü","u"),"ý","y"),"ÿ","y"),"")</f>
        <v>bulbes de fenouil</v>
      </c>
      <c r="Y12" s="493" t="str">
        <f>IF(12=12,SUBSTITUTE(SUBSTITUTE(SUBSTITUTE(SUBSTITUTE(SUBSTITUTE(SUBSTITUTE(SUBSTITUTE(SUBSTITUTE(SUBSTITUTE(SUBSTITUTE(SUBSTITUTE(SUBSTITUTE(SUBSTITUTE(SUBSTITUTE($X12,"’"," "),"`"," "),"–"," "),"—"," "),"-"," "),"'"," "),"/"," "),"_"," "),","," "),"."," "),"("," "),")"," "),";"," "),":"," "),"")</f>
        <v>bulbes de fenouil</v>
      </c>
      <c r="Z12" s="493" t="str">
        <f>IF(12=12,SUBSTITUTE(SUBSTITUTE(SUBSTITUTE(SUBSTITUTE(SUBSTITUTE(SUBSTITUTE(SUBSTITUTE(SUBSTITUTE(SUBSTITUTE(SUBSTITUTE(SUBSTITUTE(SUBSTITUTE(SUBSTITUTE(SUBSTITUTE(SUBSTITUTE($Y12,"!"," "),"?"," "),"+"," "),"*"," "),"&amp;"," "),"["," "),"]"," "),"{"," "),"}"," "),"%"," "),"="," "),"\"," "),"|"," "),"&lt;"," "),"&gt;"," "),"")</f>
        <v>bulbes de fenouil</v>
      </c>
      <c r="AA12" s="493" t="str">
        <f>IF(12=12," "&amp;TRIM(SUBSTITUTE(SUBSTITUTE(SUBSTITUTE(SUBSTITUTE(SUBSTITUTE(SUBSTITUTE($Z12,CHAR(34)," "),"  "," "),"  "," "),"  "," "),"  "," "),"  "," "))&amp;" ","")</f>
        <v xml:space="preserve"> bulbes de fenouil </v>
      </c>
      <c r="AB12" s="493">
        <f>IF(12=12,IF($U12="","",SUMPRODUCT(--ISNUMBER(SEARCH(" "&amp;$CR$2:$CR$101&amp;" ",$AD12)))),"")</f>
        <v>0</v>
      </c>
      <c r="AC12" s="493">
        <f>IF(12=12,IF($U12="","",SUMPRODUCT(--ISNUMBER(SEARCH(" "&amp;$CR$102:$CR$151&amp;" ",$AD12)))),"")</f>
        <v>0</v>
      </c>
      <c r="AD12" s="493" t="str">
        <f t="shared" si="1"/>
        <v xml:space="preserve"> bulbes de fenouil </v>
      </c>
      <c r="AE12" s="493">
        <f t="shared" si="2"/>
        <v>0</v>
      </c>
      <c r="AF12" s="493" t="str">
        <f>IF(12=12,IF($U12="","",IF(SUM(AB12:AC12)+SUMPRODUCT(--ISNUMBER(SEARCH(" "&amp;$CR$2418:$CR$2420&amp;" ",$AD12)))&gt;0,"X",IF(AE12&gt;0,"?",""))),"")</f>
        <v/>
      </c>
      <c r="AG12" s="493">
        <f>IF(12=12,IF($U12="","",SUMPRODUCT(--ISNUMBER(SEARCH(" "&amp;$CR$206:$CR$305&amp;" ",$AA12)))),"")</f>
        <v>0</v>
      </c>
      <c r="AH12" s="493">
        <f>IF(12=12,IF($U12="","",SUMPRODUCT(--ISNUMBER(SEARCH(" "&amp;$CR$306:$CR$340&amp;" ",$AA12)))),"")</f>
        <v>0</v>
      </c>
      <c r="AI12" s="493" t="str">
        <f>IF(12=12,IF($U12="","",IF((SUM(AG12:AH12))-(0)&gt;0,"X",IF((0)-(0)&gt;0,"?",""))),"")</f>
        <v/>
      </c>
      <c r="AJ12" s="493">
        <f>IF(12=12,IF($U12="","",SUMPRODUCT(--ISNUMBER(SEARCH(" "&amp;$CR$341:$CR$398&amp;" ",$AA12)))),"")</f>
        <v>0</v>
      </c>
      <c r="AK12" s="493">
        <f>IF(12=12,IF($U12="","",SUMPRODUCT(--ISNUMBER(SEARCH(" "&amp;$CR$399:$CR$426&amp;" ",$AL12)))+SUMPRODUCT(--ISNUMBER(SEARCH(" "&amp;$CR$2440:$CR$2453&amp;" ",$AL12)))),"")</f>
        <v>0</v>
      </c>
      <c r="AL12" s="493" t="str">
        <f>IF(12=12,IF($U12="","",SUBSTITUTE(SUBSTITUTE(SUBSTITUTE(SUBSTITUTE(SUBSTITUTE(SUBSTITUTE(SUBSTITUTE(SUBSTITUTE(SUBSTITUTE(SUBSTITUTE(SUBSTITUTE(SUBSTITUTE(SUBSTITUTE(SUBSTITUTE($AA12," "&amp;$CR$2455&amp;" "," ")," "&amp;$CR$433&amp;" "," ")," "&amp;$CR$431&amp;" "," ")," "&amp;$CR$2438&amp;" "," ")," "&amp;$CR$2439&amp;" "," ")," "&amp;$CR$428&amp;" "," ")," "&amp;$CR$432&amp;" "," ")," "&amp;$CR$434&amp;" "," ")," "&amp;$CR$429&amp;" "," ")," "&amp;$CR$427&amp;" "," ")," "&amp;$CR$1367&amp;" "," ")," "&amp;$CR$435&amp;" "," ")," "&amp;$CR$1366&amp;" "," ")," "&amp;$CR$430&amp;" "," ")),"")</f>
        <v xml:space="preserve"> bulbes de fenouil </v>
      </c>
      <c r="AM12" s="493" t="str">
        <f>IF(12=12,IF($U12="","",IF(AJ12&gt;0,"X",IF(AK12&gt;0,"?",""))),"")</f>
        <v/>
      </c>
      <c r="AN12" s="493">
        <f>IF(12=12,IF($U12="","",SUMPRODUCT(--ISNUMBER(SEARCH(" "&amp;$CR$436:$CR$535&amp;" ",$AX12)))),"")</f>
        <v>0</v>
      </c>
      <c r="AO12" s="493">
        <f>IF(12=12,IF($U12="","",SUMPRODUCT(--ISNUMBER(SEARCH(" "&amp;$CR$536:$CR$635&amp;" ",$AX12)))),"")</f>
        <v>0</v>
      </c>
      <c r="AP12" s="493">
        <f>IF(12=12,IF($U12="","",SUMPRODUCT(--ISNUMBER(SEARCH(" "&amp;$CR$636:$CR$735&amp;" ",$AX12)))),"")</f>
        <v>0</v>
      </c>
      <c r="AQ12" s="493">
        <f>IF(12=12,IF($U12="","",SUMPRODUCT(--ISNUMBER(SEARCH(" "&amp;$CR$736:$CR$835&amp;" ",$AX12)))),"")</f>
        <v>0</v>
      </c>
      <c r="AR12" s="493">
        <f>IF(12=12,IF($U12="","",SUMPRODUCT(--ISNUMBER(SEARCH(" "&amp;$CR$836:$CR$935&amp;" ",$AX12)))),"")</f>
        <v>0</v>
      </c>
      <c r="AS12" s="493">
        <f>IF(12=12,IF($U12="","",SUMPRODUCT(--ISNUMBER(SEARCH(" "&amp;$CR$936:$CR$1035&amp;" ",$AX12)))),"")</f>
        <v>0</v>
      </c>
      <c r="AT12" s="493">
        <f>IF(12=12,IF($U12="","",SUMPRODUCT(--ISNUMBER(SEARCH(" "&amp;$CR$1036:$CR$1135&amp;" ",$AX12)))),"")</f>
        <v>0</v>
      </c>
      <c r="AU12" s="493">
        <f>IF(12=12,IF($U12="","",SUMPRODUCT(--ISNUMBER(SEARCH(" "&amp;$CR$1136:$CR$1235&amp;" ",$AX12)))),"")</f>
        <v>0</v>
      </c>
      <c r="AV12" s="493">
        <f>IF(12=12,IF($U12="","",SUMPRODUCT(--ISNUMBER(SEARCH(" "&amp;$CR$1236:$CR$1335&amp;" ",$AX12)))),"")</f>
        <v>0</v>
      </c>
      <c r="AW12" s="493">
        <f>IF(12=12,IF($U12="","",SUMPRODUCT(--ISNUMBER(SEARCH(" "&amp;$CR$1336:$CR$1363&amp;" ",$AX12)))),"")</f>
        <v>0</v>
      </c>
      <c r="AX12" s="493" t="str">
        <f>IF(12=12,IF($U12="","",SUBSTITUTE(SUBSTITUTE(SUBSTITUTE(SUBSTITUTE(SUBSTITUTE(SUBSTITUTE(SUBSTITUTE(SUBSTITUTE(SUBSTITUTE($AA12," "&amp;$CR$1365&amp;" "," ")," "&amp;$CR$1364&amp;" "," ")," "&amp;$CR$1370&amp;" "," ")," "&amp;$CR$1371&amp;" "," ")," "&amp;$CR$1367&amp;" "," ")," "&amp;$CR$1369&amp;" "," ")," "&amp;$CR$1366&amp;" "," ")," "&amp;$CR$1368&amp;" "," ")," "&amp;$CR$1372&amp;" "," ")),"")</f>
        <v xml:space="preserve"> bulbes de fenouil </v>
      </c>
      <c r="AY12" s="493">
        <f>IF(12=12,IF($U12="","",SUMPRODUCT(--ISNUMBER(SEARCH(" "&amp;$CR$1373:$CR$1383&amp;" ",$AX12)))),"")</f>
        <v>0</v>
      </c>
      <c r="AZ12" s="493" t="str">
        <f>IF(12=12,IF($U12="","",IF(SUM(AN12:AW12)+SUMPRODUCT(--ISNUMBER(SEARCH(" "&amp;$CR$2421:$CR$2422&amp;" ",$AX12)))&gt;0,"X",IF(AY12&gt;0,"?",""))),"")</f>
        <v/>
      </c>
      <c r="BA12" s="493">
        <f>IF(12=12,IF($U12="","",SUMPRODUCT(--ISNUMBER(SEARCH(" "&amp;$CR$1384:$CR$1404&amp;" ",$AA12)))),"")</f>
        <v>0</v>
      </c>
      <c r="BB12" s="493" t="str">
        <f>IF(12=12,IF($U12="","",IF((BA12)-(0)&gt;0,"X",IF((0)-(0)&gt;0,"?",""))),"")</f>
        <v/>
      </c>
      <c r="BC12" s="493">
        <f>IF(12=12,IF($U12="","",SUMPRODUCT(--ISNUMBER(SEARCH(" "&amp;$CR$1405:$CR$1442&amp;" ",$BD12)))),"")</f>
        <v>0</v>
      </c>
      <c r="BD12" s="493" t="str">
        <f>IF(12=12,IF($U12="","",SUBSTITUTE(SUBSTITUTE($AA12," "&amp;$CR$1443&amp;" "," ")," "&amp;$CR$1444&amp;" "," ")),"")</f>
        <v xml:space="preserve"> bulbes de fenouil </v>
      </c>
      <c r="BE12" s="493">
        <f>IF(12=12,IF($U12="","",SUMPRODUCT(--ISNUMBER(SEARCH(" "&amp;$CR$1445:$CR$1455&amp;" ",$BD12)))),"")</f>
        <v>0</v>
      </c>
      <c r="BF12" s="493" t="str">
        <f>IF(12=12,IF($U12="","",IF(BC12&gt;0,"X",IF(BE12&gt;0,"?",""))),"")</f>
        <v/>
      </c>
      <c r="BG12" s="493">
        <f>IF(12=12,IF($U12="","",SUMPRODUCT(--ISNUMBER(SEARCH(" "&amp;$CR$1456:$CR$1555&amp;" ",$BJ12)))),"")</f>
        <v>0</v>
      </c>
      <c r="BH12" s="493">
        <f>IF(12=12,IF($U12="","",SUMPRODUCT(--ISNUMBER(SEARCH(" "&amp;$CR$1556:$CR$1655&amp;" ",$BJ12)))),"")</f>
        <v>0</v>
      </c>
      <c r="BI12" s="493">
        <f>IF(12=12,IF($U12="","",SUMPRODUCT(--ISNUMBER(SEARCH(" "&amp;$CR$1656:$CR$1739&amp;" ",$BJ12)))),"")</f>
        <v>0</v>
      </c>
      <c r="BJ12" s="493" t="str">
        <f>IF(12=12,IF($U12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bulbes de fenouil </v>
      </c>
      <c r="BK12" s="493">
        <f>IF(12=12,IF($U12="","",SUMPRODUCT(--ISNUMBER(SEARCH(" "&amp;$CR$1790:$CR$1869&amp;" ",$BL12)))+SUMPRODUCT(--ISNUMBER(SEARCH(" "&amp;$CR$2440:$CR$2453&amp;" ",$BL12)))),"")</f>
        <v>0</v>
      </c>
      <c r="BL12" s="493" t="str">
        <f>IF(12=12,IF($U12="","",SUBSTITUTE(SUBSTITUTE(SUBSTITUTE(SUBSTITUTE(SUBSTITUTE(SUBSTITUTE(SUBSTITUTE(SUBSTITUTE(SUBSTITUTE(SUBSTITUTE(SUBSTITUTE(SUBSTITUTE(SUBSTITUTE($BJ12," "&amp;$CR$1876&amp;" "," ")," "&amp;$CR$1874&amp;" "," ")," "&amp;$CR$2438&amp;" "," ")," "&amp;$CR$2439&amp;" "," ")," "&amp;$CR$1871&amp;" "," ")," "&amp;$CR$1875&amp;" "," ")," "&amp;$CR$1877&amp;" "," ")," "&amp;$CR$1872&amp;" "," ")," "&amp;$CR$1870&amp;" "," ")," "&amp;$CR$1367&amp;" "," ")," "&amp;$CR$1878&amp;" "," ")," "&amp;$CR$1366&amp;" "," ")," "&amp;$CR$1873&amp;" "," ")),"")</f>
        <v xml:space="preserve"> bulbes de fenouil </v>
      </c>
      <c r="BM12" s="493" t="str">
        <f>IF(12=12,IF($U12="","",IF(SUM(BG12:BI12)+SUMPRODUCT(--ISNUMBER(SEARCH(" "&amp;$CR$2423:$CR$2424&amp;" ",$BJ12)))&gt;0,"X",IF(BK12&gt;0,"?",""))),"")</f>
        <v/>
      </c>
      <c r="BN12" s="493">
        <f>IF(12=12,IF($U12="","",SUMPRODUCT(--ISNUMBER(SEARCH(" "&amp;$CR$1879:$CR$1936&amp;" ",$BO12)))),"")</f>
        <v>0</v>
      </c>
      <c r="BO12" s="493" t="str">
        <f>IF(12=12,IF($U12="","",SUBSTITUTE(SUBSTITUTE(SUBSTITUTE(SUBSTITUTE(SUBSTITUTE(SUBSTITUTE(SUBSTITUTE(SUBSTITUTE(SUBSTITUTE(SUBSTITUTE(SUBSTITUTE(SUBSTITUTE(SUBSTITUTE(SUBSTITUTE(SUBSTITUTE(SUBSTITUTE(SUBSTITUTE(SUBSTITUTE(SUBSTITUTE(SUBSTITUTE(SUBSTITUTE(SUBSTITUTE(SUBSTITUTE($AA12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bulbes de fenouil </v>
      </c>
      <c r="BP12" s="493">
        <f>IF(12=12,IF($U12="","",SUMPRODUCT(--ISNUMBER(SEARCH(" "&amp;$CR$1960:$CR$1976&amp;" ",$BO12)))),"")</f>
        <v>0</v>
      </c>
      <c r="BQ12" s="493" t="str">
        <f>IF(12=12,IF($U12="","",IF(BN12&gt;0,"X",IF(BP12&gt;0,"?",""))),"")</f>
        <v/>
      </c>
      <c r="BR12" s="493">
        <f>IF(12=12,IF($U12="","",SUMPRODUCT(--ISNUMBER(SEARCH(" "&amp;$CR$1977:$CR$1990&amp;" ",$AA12)))),"")</f>
        <v>0</v>
      </c>
      <c r="BS12" s="493">
        <f>IF(12=12,IF($U12="","",SUMPRODUCT(--ISNUMBER(SEARCH(" "&amp;$CR$1991:$CR$2005&amp;" ",$AA12)))),"")</f>
        <v>0</v>
      </c>
      <c r="BT12" s="493" t="str">
        <f>IF(12=12,IF($U12="","",IF((BR12)-(0)&gt;0,"X",IF((BS12)-(0)&gt;0,"?",""))),"")</f>
        <v/>
      </c>
      <c r="BU12" s="493">
        <f>IF(12=12,IF($U12="","",SUMPRODUCT(--ISNUMBER(SEARCH(" "&amp;$CR$2006:$CR$2023&amp;" ",$AA12)))),"")</f>
        <v>0</v>
      </c>
      <c r="BV12" s="493">
        <f>IF(12=12,IF($U12="","",SUMPRODUCT(--ISNUMBER(SEARCH(" "&amp;$CR$2024:$CR$2038&amp;" ",$AA12)))),"")</f>
        <v>0</v>
      </c>
      <c r="BW12" s="493" t="str">
        <f>IF(12=12,IF($U12="","",IF((BU12)-(0)&gt;0,"X",IF((BV12)-(0)&gt;0,"?",""))),"")</f>
        <v/>
      </c>
      <c r="BX12" s="493">
        <f>IF(12=12,IF($U12="","",SUMPRODUCT(--ISNUMBER(SEARCH(" "&amp;$CR$2039:$CR$2057&amp;" ",$AA12)))),"")</f>
        <v>0</v>
      </c>
      <c r="BY12" s="493">
        <f>IF(12=12,IF($U12="","",SUMPRODUCT(--ISNUMBER(SEARCH(" "&amp;$CR$2058:$CR$2072&amp;" ",$AA12)))),"")</f>
        <v>0</v>
      </c>
      <c r="BZ12" s="493" t="str">
        <f>IF(12=12,IF($U12="","",IF((BX12)-(0)&gt;0,"X",IF((BY12)-(0)&gt;0,"?",""))),"")</f>
        <v/>
      </c>
      <c r="CA12" s="493">
        <f>IF(12=12,IF($U12="","",SUMPRODUCT(--ISNUMBER(SEARCH(" "&amp;$CR$2073:$CR$2093&amp;" ",$AA12)))),"")</f>
        <v>0</v>
      </c>
      <c r="CB12" s="493">
        <f>IF(12=12,IF($U12="","",SUMPRODUCT(--ISNUMBER(SEARCH(" "&amp;$CR$2094:$CR$2133&amp;" ",SUBSTITUTE(SUBSTITUTE($AA12," "&amp;$CR$1367&amp;" "," ")," "&amp;$CR$1366&amp;" "," "))))+--ISNUMBER(SEARCH("poiré",$V12))),"")</f>
        <v>0</v>
      </c>
      <c r="CC12" s="493" t="str">
        <f>IF(12=12,IF($U12="","",IF(OR(CA12&gt;0,ISNUMBER(SEARCH(" vinaigre de vin ",$AA12)),ISNUMBER(SEARCH(" vinaigre au vin ",$AA12))),"X",IF(CB12&gt;0,"?",""))),"")</f>
        <v/>
      </c>
      <c r="CD12" s="493">
        <f>IF(12=12,IF($U12="","",SUMPRODUCT(--ISNUMBER(SEARCH(" "&amp;$CR$2134:$CR$2146&amp;" ",$AA12)))),"")</f>
        <v>0</v>
      </c>
      <c r="CE12" s="493">
        <f>IF(12=12,IF($U12="","",SUMPRODUCT(--ISNUMBER(SEARCH(" "&amp;$CR$2147:$CR$2152&amp;" ",$AA12)))),"")</f>
        <v>0</v>
      </c>
      <c r="CF12" s="493" t="str">
        <f>IF(12=12,IF($U12="","",IF((CD12)-(0)&gt;0,"X",IF((CE12)-(0)&gt;0,"?",""))),"")</f>
        <v/>
      </c>
      <c r="CG12" s="493">
        <f>IF(12=12,IF($U12="","",SUMPRODUCT(--ISNUMBER(SEARCH(" "&amp;$CR$2153:$CR$2252&amp;" ",$CJ12)))),"")</f>
        <v>0</v>
      </c>
      <c r="CH12" s="493">
        <f>IF(12=12,IF($U12="","",SUMPRODUCT(--ISNUMBER(SEARCH(" "&amp;$CR$2253:$CR$2352&amp;" ",$CJ12)))),"")</f>
        <v>0</v>
      </c>
      <c r="CI12" s="493">
        <f>IF(12=12,IF($U12="","",SUMPRODUCT(--ISNUMBER(SEARCH(" "&amp;$CR$2353:$CR$2395&amp;" ",$CJ12)))),"")</f>
        <v>0</v>
      </c>
      <c r="CJ12" s="493" t="str">
        <f>IF(12=12,IF($U12="","",SUBSTITUTE(SUBSTITUTE(SUBSTITUTE(SUBSTITUTE(SUBSTITUTE(SUBSTITUTE(SUBSTITUTE(SUBSTITUTE(SUBSTITUTE(SUBSTITUTE(SUBSTITUTE(SUBSTITUTE(SUBSTITUTE(SUBSTITUTE(SUBSTITUTE(SUBSTITUTE($AA12," "&amp;$CR$2401&amp;" "," ")," "&amp;$CR$2400&amp;" "," ")," "&amp;$CR$2399&amp;" "," ")," "&amp;$CR$2406&amp;" "," ")," "&amp;$CR$2398&amp;" "," ")," "&amp;$CR$2410&amp;" "," ")," "&amp;$CR$2397&amp;" "," ")," "&amp;$CR$2402&amp;" "," ")," "&amp;$CR$2405&amp;" "," ")," "&amp;$CR$2396&amp;" "," ")," "&amp;$CR$2404&amp;" "," ")," "&amp;$CR$2411&amp;" "," ")," "&amp;$CR$2408&amp;" "," ")," "&amp;$CR$2403&amp;" "," ")," "&amp;$CR$2407&amp;" "," ")," "&amp;$CR$2409&amp;" "," ")),"")</f>
        <v xml:space="preserve"> bulbes de fenouil </v>
      </c>
      <c r="CK12" s="493">
        <f>IF(12=12,IF($U12="","",SUMPRODUCT(--ISNUMBER(SEARCH(" "&amp;$CR$2412:$CR$2416&amp;" ",$CJ12)))),"")</f>
        <v>0</v>
      </c>
      <c r="CL12" s="493" t="str">
        <f>IF(12=12,IF($U12="","",IF(SUM(CG12:CI12)&gt;0,"X",IF(CK12&gt;0,"?",""))),"")</f>
        <v/>
      </c>
      <c r="CM12" s="494"/>
      <c r="CN12" s="496" t="s">
        <v>1169</v>
      </c>
      <c r="CO12" s="496" t="s">
        <v>1083</v>
      </c>
      <c r="CP12" s="496" t="s">
        <v>689</v>
      </c>
      <c r="CQ12" s="496" t="s">
        <v>884</v>
      </c>
      <c r="CR12" s="496" t="s">
        <v>884</v>
      </c>
      <c r="CS12" s="496" t="s">
        <v>1085</v>
      </c>
      <c r="CT12" s="496" t="s">
        <v>1086</v>
      </c>
      <c r="CU12" s="496" t="s">
        <v>1087</v>
      </c>
      <c r="CV12" s="497" t="s">
        <v>1088</v>
      </c>
      <c r="CX12" s="543">
        <v>1</v>
      </c>
    </row>
    <row r="13" spans="1:102" ht="21" customHeight="1">
      <c r="A13" s="509">
        <v>7</v>
      </c>
      <c r="B13" s="510" t="s">
        <v>5851</v>
      </c>
      <c r="C13" s="511" t="str">
        <f t="shared" si="0"/>
        <v>Carottes</v>
      </c>
      <c r="D13" s="512" t="str">
        <f>IF(13=13,IF($B13="","",IF(E13="X",""&amp;"Céréales contenant du gluten","")&amp;IF(F13="X",IF(COUNTIF($E13:$E13,"X")&gt;0,", ","")&amp;"Crustacés","")&amp;IF(G13="X",IF(COUNTIF($E13:$F13,"X")&gt;0,", ","")&amp;"Œufs","")&amp;IF(H13="X",IF(COUNTIF($E13:$G13,"X")&gt;0,", ","")&amp;"Poissons","")&amp;IF(I13="X",IF(COUNTIF($E13:$H13,"X")&gt;0,", ","")&amp;"Arachides","")&amp;IF(J13="X",IF(COUNTIF($E13:$I13,"X")&gt;0,", ","")&amp;"Soja","")&amp;IF(K13="X",IF(COUNTIF($E13:$J13,"X")&gt;0,", ","")&amp;"Lait","")&amp;IF(L13="X",IF(COUNTIF($E13:$K13,"X")&gt;0,", ","")&amp;"Fruits à coque","")&amp;IF(M13="X",IF(COUNTIF($E13:$L13,"X")&gt;0,", ","")&amp;"Céleri","")&amp;IF(N13="X",IF(COUNTIF($E13:$M13,"X")&gt;0,", ","")&amp;"Moutarde","")&amp;IF(O13="X",IF(COUNTIF($E13:$N13,"X")&gt;0,", ","")&amp;"Sésame","")&amp;IF(P13="X",IF(COUNTIF($E13:$O13,"X")&gt;0,", ","")&amp;"Sulfites","")&amp;IF(Q13="X",IF(COUNTIF($E13:$P13,"X")&gt;0,", ","")&amp;"Lupin","")&amp;IF(R13="X",IF(COUNTIF($E13:$Q13,"X")&gt;0,", ","")&amp;"Mollusques","")),"")</f>
        <v/>
      </c>
      <c r="E13" s="513" t="str">
        <f>IF(13=13,IF($B13="","",AF13),"")</f>
        <v/>
      </c>
      <c r="F13" s="513" t="str">
        <f>IF(13=13,IF($B13="","",AI13),"")</f>
        <v/>
      </c>
      <c r="G13" s="513" t="str">
        <f>IF(13=13,IF($B13="","",AM13),"")</f>
        <v/>
      </c>
      <c r="H13" s="513" t="str">
        <f>IF(13=13,IF($B13="","",IF(ISNUMBER(SEARCH(" colin ",$AA13)),"X",AZ13)),"")</f>
        <v/>
      </c>
      <c r="I13" s="513" t="str">
        <f>IF(13=13,IF($B13="","",BB13),"")</f>
        <v/>
      </c>
      <c r="J13" s="513" t="str">
        <f>IF(13=13,IF($B13="","",BF13),"")</f>
        <v/>
      </c>
      <c r="K13" s="513" t="str">
        <f>IF(13=13,IF($B13="","",BM13),"")</f>
        <v/>
      </c>
      <c r="L13" s="513" t="str">
        <f>IF(13=13,IF($B13="","",BQ13),"")</f>
        <v/>
      </c>
      <c r="M13" s="513" t="str">
        <f>IF(13=13,IF($B13="","",BT13),"")</f>
        <v/>
      </c>
      <c r="N13" s="513" t="str">
        <f>IF(13=13,IF($B13="","",BW13),"")</f>
        <v/>
      </c>
      <c r="O13" s="513" t="str">
        <f>IF(13=13,IF($B13="","",BZ13),"")</f>
        <v/>
      </c>
      <c r="P13" s="513" t="str">
        <f>IF(13=13,IF($B13="","",CC13),"")</f>
        <v/>
      </c>
      <c r="Q13" s="513" t="str">
        <f>IF(13=13,IF($B13="","",CF13),"")</f>
        <v/>
      </c>
      <c r="R13" s="513" t="str">
        <f>IF(13=13,IF($B13="","",CL13),"")</f>
        <v/>
      </c>
      <c r="S13" s="514" t="str">
        <f>IF(13=13,IF($B13="","",IF(E13="?",""&amp;"Céréales contenant du gluten","")&amp;IF(F13="?",IF(COUNTIF($E13:$E13,"~?")&gt;0,", ","")&amp;"Crustacés","")&amp;IF(G13="?",IF(COUNTIF($E13:$F13,"~?")&gt;0,", ","")&amp;"Œufs","")&amp;IF(H13="?",IF(COUNTIF($E13:$G13,"~?")&gt;0,", ","")&amp;"Poissons","")&amp;IF(I13="?",IF(COUNTIF($E13:$H13,"~?")&gt;0,", ","")&amp;"Arachides","")&amp;IF(J13="?",IF(COUNTIF($E13:$I13,"~?")&gt;0,", ","")&amp;"Soja","")&amp;IF(K13="?",IF(COUNTIF($E13:$J13,"~?")&gt;0,", ","")&amp;"Lait","")&amp;IF(L13="?",IF(COUNTIF($E13:$K13,"~?")&gt;0,", ","")&amp;"Fruits à coque","")&amp;IF(M13="?",IF(COUNTIF($E13:$L13,"~?")&gt;0,", ","")&amp;"Céleri","")&amp;IF(N13="?",IF(COUNTIF($E13:$M13,"~?")&gt;0,", ","")&amp;"Moutarde","")&amp;IF(O13="?",IF(COUNTIF($E13:$N13,"~?")&gt;0,", ","")&amp;"Sésame","")&amp;IF(P13="?",IF(COUNTIF($E13:$O13,"~?")&gt;0,", ","")&amp;"Sulfites","")&amp;IF(Q13="?",IF(COUNTIF($E13:$P13,"~?")&gt;0,", ","")&amp;"Lupin","")&amp;IF(R13="?",IF(COUNTIF($E13:$Q13,"~?")&gt;0,", ","")&amp;"Mollusques","")),"")</f>
        <v/>
      </c>
      <c r="U13" s="493" t="str">
        <f>IF(13=13,IF($B13="","",$B13),"")</f>
        <v>Carottes</v>
      </c>
      <c r="V13" s="493" t="str">
        <f>IF(13=13,LOWER(CLEAN(SUBSTITUTE(SUBSTITUTE(SUBSTITUTE(SUBSTITUTE($U13,CHAR(160)," ")," "," "),CHAR(10)," "),CHAR(13)," "))),"")</f>
        <v>carottes</v>
      </c>
      <c r="W13" s="493" t="str">
        <f>IF(13=13,SUBSTITUTE(SUBSTITUTE(SUBSTITUTE(SUBSTITUTE(SUBSTITUTE(SUBSTITUTE(SUBSTITUTE(SUBSTITUTE(SUBSTITUTE(SUBSTITUTE(SUBSTITUTE(SUBSTITUTE($V13,"œ","oe"),"æ","ae"),"à","a"),"á","a"),"â","a"),"ä","a"),"ã","a"),"ç","c"),"è","e"),"é","e"),"ê","e"),"ë","e"),"")</f>
        <v>carottes</v>
      </c>
      <c r="X13" s="493" t="str">
        <f>IF(13=13,SUBSTITUTE(SUBSTITUTE(SUBSTITUTE(SUBSTITUTE(SUBSTITUTE(SUBSTITUTE(SUBSTITUTE(SUBSTITUTE(SUBSTITUTE(SUBSTITUTE(SUBSTITUTE(SUBSTITUTE(SUBSTITUTE(SUBSTITUTE(SUBSTITUTE(SUBSTITUTE($W13,"ì","i"),"í","i"),"î","i"),"ï","i"),"ñ","n"),"ò","o"),"ó","o"),"ô","o"),"ö","o"),"õ","o"),"ù","u"),"ú","u"),"û","u"),"ü","u"),"ý","y"),"ÿ","y"),"")</f>
        <v>carottes</v>
      </c>
      <c r="Y13" s="493" t="str">
        <f>IF(13=13,SUBSTITUTE(SUBSTITUTE(SUBSTITUTE(SUBSTITUTE(SUBSTITUTE(SUBSTITUTE(SUBSTITUTE(SUBSTITUTE(SUBSTITUTE(SUBSTITUTE(SUBSTITUTE(SUBSTITUTE(SUBSTITUTE(SUBSTITUTE($X13,"’"," "),"`"," "),"–"," "),"—"," "),"-"," "),"'"," "),"/"," "),"_"," "),","," "),"."," "),"("," "),")"," "),";"," "),":"," "),"")</f>
        <v>carottes</v>
      </c>
      <c r="Z13" s="493" t="str">
        <f>IF(13=13,SUBSTITUTE(SUBSTITUTE(SUBSTITUTE(SUBSTITUTE(SUBSTITUTE(SUBSTITUTE(SUBSTITUTE(SUBSTITUTE(SUBSTITUTE(SUBSTITUTE(SUBSTITUTE(SUBSTITUTE(SUBSTITUTE(SUBSTITUTE(SUBSTITUTE($Y13,"!"," "),"?"," "),"+"," "),"*"," "),"&amp;"," "),"["," "),"]"," "),"{"," "),"}"," "),"%"," "),"="," "),"\"," "),"|"," "),"&lt;"," "),"&gt;"," "),"")</f>
        <v>carottes</v>
      </c>
      <c r="AA13" s="493" t="str">
        <f>IF(13=13," "&amp;TRIM(SUBSTITUTE(SUBSTITUTE(SUBSTITUTE(SUBSTITUTE(SUBSTITUTE(SUBSTITUTE($Z13,CHAR(34)," "),"  "," "),"  "," "),"  "," "),"  "," "),"  "," "))&amp;" ","")</f>
        <v xml:space="preserve"> carottes </v>
      </c>
      <c r="AB13" s="493">
        <f>IF(13=13,IF($U13="","",SUMPRODUCT(--ISNUMBER(SEARCH(" "&amp;$CR$2:$CR$101&amp;" ",$AD13)))),"")</f>
        <v>0</v>
      </c>
      <c r="AC13" s="493">
        <f>IF(13=13,IF($U13="","",SUMPRODUCT(--ISNUMBER(SEARCH(" "&amp;$CR$102:$CR$151&amp;" ",$AD13)))),"")</f>
        <v>0</v>
      </c>
      <c r="AD13" s="493" t="str">
        <f t="shared" si="1"/>
        <v xml:space="preserve"> carottes </v>
      </c>
      <c r="AE13" s="493">
        <f t="shared" si="2"/>
        <v>0</v>
      </c>
      <c r="AF13" s="493" t="str">
        <f>IF(13=13,IF($U13="","",IF(SUM(AB13:AC13)+SUMPRODUCT(--ISNUMBER(SEARCH(" "&amp;$CR$2418:$CR$2420&amp;" ",$AD13)))&gt;0,"X",IF(AE13&gt;0,"?",""))),"")</f>
        <v/>
      </c>
      <c r="AG13" s="493">
        <f>IF(13=13,IF($U13="","",SUMPRODUCT(--ISNUMBER(SEARCH(" "&amp;$CR$206:$CR$305&amp;" ",$AA13)))),"")</f>
        <v>0</v>
      </c>
      <c r="AH13" s="493">
        <f>IF(13=13,IF($U13="","",SUMPRODUCT(--ISNUMBER(SEARCH(" "&amp;$CR$306:$CR$340&amp;" ",$AA13)))),"")</f>
        <v>0</v>
      </c>
      <c r="AI13" s="493" t="str">
        <f>IF(13=13,IF($U13="","",IF((SUM(AG13:AH13))-(0)&gt;0,"X",IF((0)-(0)&gt;0,"?",""))),"")</f>
        <v/>
      </c>
      <c r="AJ13" s="493">
        <f>IF(13=13,IF($U13="","",SUMPRODUCT(--ISNUMBER(SEARCH(" "&amp;$CR$341:$CR$398&amp;" ",$AA13)))),"")</f>
        <v>0</v>
      </c>
      <c r="AK13" s="493">
        <f>IF(13=13,IF($U13="","",SUMPRODUCT(--ISNUMBER(SEARCH(" "&amp;$CR$399:$CR$426&amp;" ",$AL13)))+SUMPRODUCT(--ISNUMBER(SEARCH(" "&amp;$CR$2440:$CR$2453&amp;" ",$AL13)))),"")</f>
        <v>0</v>
      </c>
      <c r="AL13" s="493" t="str">
        <f>IF(13=13,IF($U13="","",SUBSTITUTE(SUBSTITUTE(SUBSTITUTE(SUBSTITUTE(SUBSTITUTE(SUBSTITUTE(SUBSTITUTE(SUBSTITUTE(SUBSTITUTE(SUBSTITUTE(SUBSTITUTE(SUBSTITUTE(SUBSTITUTE(SUBSTITUTE($AA13," "&amp;$CR$2455&amp;" "," ")," "&amp;$CR$433&amp;" "," ")," "&amp;$CR$431&amp;" "," ")," "&amp;$CR$2438&amp;" "," ")," "&amp;$CR$2439&amp;" "," ")," "&amp;$CR$428&amp;" "," ")," "&amp;$CR$432&amp;" "," ")," "&amp;$CR$434&amp;" "," ")," "&amp;$CR$429&amp;" "," ")," "&amp;$CR$427&amp;" "," ")," "&amp;$CR$1367&amp;" "," ")," "&amp;$CR$435&amp;" "," ")," "&amp;$CR$1366&amp;" "," ")," "&amp;$CR$430&amp;" "," ")),"")</f>
        <v xml:space="preserve"> carottes </v>
      </c>
      <c r="AM13" s="493" t="str">
        <f>IF(13=13,IF($U13="","",IF(AJ13&gt;0,"X",IF(AK13&gt;0,"?",""))),"")</f>
        <v/>
      </c>
      <c r="AN13" s="493">
        <f>IF(13=13,IF($U13="","",SUMPRODUCT(--ISNUMBER(SEARCH(" "&amp;$CR$436:$CR$535&amp;" ",$AX13)))),"")</f>
        <v>0</v>
      </c>
      <c r="AO13" s="493">
        <f>IF(13=13,IF($U13="","",SUMPRODUCT(--ISNUMBER(SEARCH(" "&amp;$CR$536:$CR$635&amp;" ",$AX13)))),"")</f>
        <v>0</v>
      </c>
      <c r="AP13" s="493">
        <f>IF(13=13,IF($U13="","",SUMPRODUCT(--ISNUMBER(SEARCH(" "&amp;$CR$636:$CR$735&amp;" ",$AX13)))),"")</f>
        <v>0</v>
      </c>
      <c r="AQ13" s="493">
        <f>IF(13=13,IF($U13="","",SUMPRODUCT(--ISNUMBER(SEARCH(" "&amp;$CR$736:$CR$835&amp;" ",$AX13)))),"")</f>
        <v>0</v>
      </c>
      <c r="AR13" s="493">
        <f>IF(13=13,IF($U13="","",SUMPRODUCT(--ISNUMBER(SEARCH(" "&amp;$CR$836:$CR$935&amp;" ",$AX13)))),"")</f>
        <v>0</v>
      </c>
      <c r="AS13" s="493">
        <f>IF(13=13,IF($U13="","",SUMPRODUCT(--ISNUMBER(SEARCH(" "&amp;$CR$936:$CR$1035&amp;" ",$AX13)))),"")</f>
        <v>0</v>
      </c>
      <c r="AT13" s="493">
        <f>IF(13=13,IF($U13="","",SUMPRODUCT(--ISNUMBER(SEARCH(" "&amp;$CR$1036:$CR$1135&amp;" ",$AX13)))),"")</f>
        <v>0</v>
      </c>
      <c r="AU13" s="493">
        <f>IF(13=13,IF($U13="","",SUMPRODUCT(--ISNUMBER(SEARCH(" "&amp;$CR$1136:$CR$1235&amp;" ",$AX13)))),"")</f>
        <v>0</v>
      </c>
      <c r="AV13" s="493">
        <f>IF(13=13,IF($U13="","",SUMPRODUCT(--ISNUMBER(SEARCH(" "&amp;$CR$1236:$CR$1335&amp;" ",$AX13)))),"")</f>
        <v>0</v>
      </c>
      <c r="AW13" s="493">
        <f>IF(13=13,IF($U13="","",SUMPRODUCT(--ISNUMBER(SEARCH(" "&amp;$CR$1336:$CR$1363&amp;" ",$AX13)))),"")</f>
        <v>0</v>
      </c>
      <c r="AX13" s="493" t="str">
        <f>IF(13=13,IF($U13="","",SUBSTITUTE(SUBSTITUTE(SUBSTITUTE(SUBSTITUTE(SUBSTITUTE(SUBSTITUTE(SUBSTITUTE(SUBSTITUTE(SUBSTITUTE($AA13," "&amp;$CR$1365&amp;" "," ")," "&amp;$CR$1364&amp;" "," ")," "&amp;$CR$1370&amp;" "," ")," "&amp;$CR$1371&amp;" "," ")," "&amp;$CR$1367&amp;" "," ")," "&amp;$CR$1369&amp;" "," ")," "&amp;$CR$1366&amp;" "," ")," "&amp;$CR$1368&amp;" "," ")," "&amp;$CR$1372&amp;" "," ")),"")</f>
        <v xml:space="preserve"> carottes </v>
      </c>
      <c r="AY13" s="493">
        <f>IF(13=13,IF($U13="","",SUMPRODUCT(--ISNUMBER(SEARCH(" "&amp;$CR$1373:$CR$1383&amp;" ",$AX13)))),"")</f>
        <v>0</v>
      </c>
      <c r="AZ13" s="493" t="str">
        <f>IF(13=13,IF($U13="","",IF(SUM(AN13:AW13)+SUMPRODUCT(--ISNUMBER(SEARCH(" "&amp;$CR$2421:$CR$2422&amp;" ",$AX13)))&gt;0,"X",IF(AY13&gt;0,"?",""))),"")</f>
        <v/>
      </c>
      <c r="BA13" s="493">
        <f>IF(13=13,IF($U13="","",SUMPRODUCT(--ISNUMBER(SEARCH(" "&amp;$CR$1384:$CR$1404&amp;" ",$AA13)))),"")</f>
        <v>0</v>
      </c>
      <c r="BB13" s="493" t="str">
        <f>IF(13=13,IF($U13="","",IF((BA13)-(0)&gt;0,"X",IF((0)-(0)&gt;0,"?",""))),"")</f>
        <v/>
      </c>
      <c r="BC13" s="493">
        <f>IF(13=13,IF($U13="","",SUMPRODUCT(--ISNUMBER(SEARCH(" "&amp;$CR$1405:$CR$1442&amp;" ",$BD13)))),"")</f>
        <v>0</v>
      </c>
      <c r="BD13" s="493" t="str">
        <f>IF(13=13,IF($U13="","",SUBSTITUTE(SUBSTITUTE($AA13," "&amp;$CR$1443&amp;" "," ")," "&amp;$CR$1444&amp;" "," ")),"")</f>
        <v xml:space="preserve"> carottes </v>
      </c>
      <c r="BE13" s="493">
        <f>IF(13=13,IF($U13="","",SUMPRODUCT(--ISNUMBER(SEARCH(" "&amp;$CR$1445:$CR$1455&amp;" ",$BD13)))),"")</f>
        <v>0</v>
      </c>
      <c r="BF13" s="493" t="str">
        <f>IF(13=13,IF($U13="","",IF(BC13&gt;0,"X",IF(BE13&gt;0,"?",""))),"")</f>
        <v/>
      </c>
      <c r="BG13" s="493">
        <f>IF(13=13,IF($U13="","",SUMPRODUCT(--ISNUMBER(SEARCH(" "&amp;$CR$1456:$CR$1555&amp;" ",$BJ13)))),"")</f>
        <v>0</v>
      </c>
      <c r="BH13" s="493">
        <f>IF(13=13,IF($U13="","",SUMPRODUCT(--ISNUMBER(SEARCH(" "&amp;$CR$1556:$CR$1655&amp;" ",$BJ13)))),"")</f>
        <v>0</v>
      </c>
      <c r="BI13" s="493">
        <f>IF(13=13,IF($U13="","",SUMPRODUCT(--ISNUMBER(SEARCH(" "&amp;$CR$1656:$CR$1739&amp;" ",$BJ13)))),"")</f>
        <v>0</v>
      </c>
      <c r="BJ13" s="493" t="str">
        <f>IF(13=13,IF($U13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carottes </v>
      </c>
      <c r="BK13" s="493">
        <f>IF(13=13,IF($U13="","",SUMPRODUCT(--ISNUMBER(SEARCH(" "&amp;$CR$1790:$CR$1869&amp;" ",$BL13)))+SUMPRODUCT(--ISNUMBER(SEARCH(" "&amp;$CR$2440:$CR$2453&amp;" ",$BL13)))),"")</f>
        <v>0</v>
      </c>
      <c r="BL13" s="493" t="str">
        <f>IF(13=13,IF($U13="","",SUBSTITUTE(SUBSTITUTE(SUBSTITUTE(SUBSTITUTE(SUBSTITUTE(SUBSTITUTE(SUBSTITUTE(SUBSTITUTE(SUBSTITUTE(SUBSTITUTE(SUBSTITUTE(SUBSTITUTE(SUBSTITUTE($BJ13," "&amp;$CR$1876&amp;" "," ")," "&amp;$CR$1874&amp;" "," ")," "&amp;$CR$2438&amp;" "," ")," "&amp;$CR$2439&amp;" "," ")," "&amp;$CR$1871&amp;" "," ")," "&amp;$CR$1875&amp;" "," ")," "&amp;$CR$1877&amp;" "," ")," "&amp;$CR$1872&amp;" "," ")," "&amp;$CR$1870&amp;" "," ")," "&amp;$CR$1367&amp;" "," ")," "&amp;$CR$1878&amp;" "," ")," "&amp;$CR$1366&amp;" "," ")," "&amp;$CR$1873&amp;" "," ")),"")</f>
        <v xml:space="preserve"> carottes </v>
      </c>
      <c r="BM13" s="493" t="str">
        <f>IF(13=13,IF($U13="","",IF(SUM(BG13:BI13)+SUMPRODUCT(--ISNUMBER(SEARCH(" "&amp;$CR$2423:$CR$2424&amp;" ",$BJ13)))&gt;0,"X",IF(BK13&gt;0,"?",""))),"")</f>
        <v/>
      </c>
      <c r="BN13" s="493">
        <f>IF(13=13,IF($U13="","",SUMPRODUCT(--ISNUMBER(SEARCH(" "&amp;$CR$1879:$CR$1936&amp;" ",$BO13)))),"")</f>
        <v>0</v>
      </c>
      <c r="BO13" s="493" t="str">
        <f>IF(13=13,IF($U13="","",SUBSTITUTE(SUBSTITUTE(SUBSTITUTE(SUBSTITUTE(SUBSTITUTE(SUBSTITUTE(SUBSTITUTE(SUBSTITUTE(SUBSTITUTE(SUBSTITUTE(SUBSTITUTE(SUBSTITUTE(SUBSTITUTE(SUBSTITUTE(SUBSTITUTE(SUBSTITUTE(SUBSTITUTE(SUBSTITUTE(SUBSTITUTE(SUBSTITUTE(SUBSTITUTE(SUBSTITUTE(SUBSTITUTE($AA13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carottes </v>
      </c>
      <c r="BP13" s="493">
        <f>IF(13=13,IF($U13="","",SUMPRODUCT(--ISNUMBER(SEARCH(" "&amp;$CR$1960:$CR$1976&amp;" ",$BO13)))),"")</f>
        <v>0</v>
      </c>
      <c r="BQ13" s="493" t="str">
        <f>IF(13=13,IF($U13="","",IF(BN13&gt;0,"X",IF(BP13&gt;0,"?",""))),"")</f>
        <v/>
      </c>
      <c r="BR13" s="493">
        <f>IF(13=13,IF($U13="","",SUMPRODUCT(--ISNUMBER(SEARCH(" "&amp;$CR$1977:$CR$1990&amp;" ",$AA13)))),"")</f>
        <v>0</v>
      </c>
      <c r="BS13" s="493">
        <f>IF(13=13,IF($U13="","",SUMPRODUCT(--ISNUMBER(SEARCH(" "&amp;$CR$1991:$CR$2005&amp;" ",$AA13)))),"")</f>
        <v>0</v>
      </c>
      <c r="BT13" s="493" t="str">
        <f>IF(13=13,IF($U13="","",IF((BR13)-(0)&gt;0,"X",IF((BS13)-(0)&gt;0,"?",""))),"")</f>
        <v/>
      </c>
      <c r="BU13" s="493">
        <f>IF(13=13,IF($U13="","",SUMPRODUCT(--ISNUMBER(SEARCH(" "&amp;$CR$2006:$CR$2023&amp;" ",$AA13)))),"")</f>
        <v>0</v>
      </c>
      <c r="BV13" s="493">
        <f>IF(13=13,IF($U13="","",SUMPRODUCT(--ISNUMBER(SEARCH(" "&amp;$CR$2024:$CR$2038&amp;" ",$AA13)))),"")</f>
        <v>0</v>
      </c>
      <c r="BW13" s="493" t="str">
        <f>IF(13=13,IF($U13="","",IF((BU13)-(0)&gt;0,"X",IF((BV13)-(0)&gt;0,"?",""))),"")</f>
        <v/>
      </c>
      <c r="BX13" s="493">
        <f>IF(13=13,IF($U13="","",SUMPRODUCT(--ISNUMBER(SEARCH(" "&amp;$CR$2039:$CR$2057&amp;" ",$AA13)))),"")</f>
        <v>0</v>
      </c>
      <c r="BY13" s="493">
        <f>IF(13=13,IF($U13="","",SUMPRODUCT(--ISNUMBER(SEARCH(" "&amp;$CR$2058:$CR$2072&amp;" ",$AA13)))),"")</f>
        <v>0</v>
      </c>
      <c r="BZ13" s="493" t="str">
        <f>IF(13=13,IF($U13="","",IF((BX13)-(0)&gt;0,"X",IF((BY13)-(0)&gt;0,"?",""))),"")</f>
        <v/>
      </c>
      <c r="CA13" s="493">
        <f>IF(13=13,IF($U13="","",SUMPRODUCT(--ISNUMBER(SEARCH(" "&amp;$CR$2073:$CR$2093&amp;" ",$AA13)))),"")</f>
        <v>0</v>
      </c>
      <c r="CB13" s="493">
        <f>IF(13=13,IF($U13="","",SUMPRODUCT(--ISNUMBER(SEARCH(" "&amp;$CR$2094:$CR$2133&amp;" ",SUBSTITUTE(SUBSTITUTE($AA13," "&amp;$CR$1367&amp;" "," ")," "&amp;$CR$1366&amp;" "," "))))+--ISNUMBER(SEARCH("poiré",$V13))),"")</f>
        <v>0</v>
      </c>
      <c r="CC13" s="493" t="str">
        <f>IF(13=13,IF($U13="","",IF(OR(CA13&gt;0,ISNUMBER(SEARCH(" vinaigre de vin ",$AA13)),ISNUMBER(SEARCH(" vinaigre au vin ",$AA13))),"X",IF(CB13&gt;0,"?",""))),"")</f>
        <v/>
      </c>
      <c r="CD13" s="493">
        <f>IF(13=13,IF($U13="","",SUMPRODUCT(--ISNUMBER(SEARCH(" "&amp;$CR$2134:$CR$2146&amp;" ",$AA13)))),"")</f>
        <v>0</v>
      </c>
      <c r="CE13" s="493">
        <f>IF(13=13,IF($U13="","",SUMPRODUCT(--ISNUMBER(SEARCH(" "&amp;$CR$2147:$CR$2152&amp;" ",$AA13)))),"")</f>
        <v>0</v>
      </c>
      <c r="CF13" s="493" t="str">
        <f>IF(13=13,IF($U13="","",IF((CD13)-(0)&gt;0,"X",IF((CE13)-(0)&gt;0,"?",""))),"")</f>
        <v/>
      </c>
      <c r="CG13" s="493">
        <f>IF(13=13,IF($U13="","",SUMPRODUCT(--ISNUMBER(SEARCH(" "&amp;$CR$2153:$CR$2252&amp;" ",$CJ13)))),"")</f>
        <v>0</v>
      </c>
      <c r="CH13" s="493">
        <f>IF(13=13,IF($U13="","",SUMPRODUCT(--ISNUMBER(SEARCH(" "&amp;$CR$2253:$CR$2352&amp;" ",$CJ13)))),"")</f>
        <v>0</v>
      </c>
      <c r="CI13" s="493">
        <f>IF(13=13,IF($U13="","",SUMPRODUCT(--ISNUMBER(SEARCH(" "&amp;$CR$2353:$CR$2395&amp;" ",$CJ13)))),"")</f>
        <v>0</v>
      </c>
      <c r="CJ13" s="493" t="str">
        <f>IF(13=13,IF($U13="","",SUBSTITUTE(SUBSTITUTE(SUBSTITUTE(SUBSTITUTE(SUBSTITUTE(SUBSTITUTE(SUBSTITUTE(SUBSTITUTE(SUBSTITUTE(SUBSTITUTE(SUBSTITUTE(SUBSTITUTE(SUBSTITUTE(SUBSTITUTE(SUBSTITUTE(SUBSTITUTE($AA13," "&amp;$CR$2401&amp;" "," ")," "&amp;$CR$2400&amp;" "," ")," "&amp;$CR$2399&amp;" "," ")," "&amp;$CR$2406&amp;" "," ")," "&amp;$CR$2398&amp;" "," ")," "&amp;$CR$2410&amp;" "," ")," "&amp;$CR$2397&amp;" "," ")," "&amp;$CR$2402&amp;" "," ")," "&amp;$CR$2405&amp;" "," ")," "&amp;$CR$2396&amp;" "," ")," "&amp;$CR$2404&amp;" "," ")," "&amp;$CR$2411&amp;" "," ")," "&amp;$CR$2408&amp;" "," ")," "&amp;$CR$2403&amp;" "," ")," "&amp;$CR$2407&amp;" "," ")," "&amp;$CR$2409&amp;" "," ")),"")</f>
        <v xml:space="preserve"> carottes </v>
      </c>
      <c r="CK13" s="493">
        <f>IF(13=13,IF($U13="","",SUMPRODUCT(--ISNUMBER(SEARCH(" "&amp;$CR$2412:$CR$2416&amp;" ",$CJ13)))),"")</f>
        <v>0</v>
      </c>
      <c r="CL13" s="493" t="str">
        <f>IF(13=13,IF($U13="","",IF(SUM(CG13:CI13)&gt;0,"X",IF(CK13&gt;0,"?",""))),"")</f>
        <v/>
      </c>
      <c r="CM13" s="494"/>
      <c r="CN13" s="496" t="s">
        <v>1170</v>
      </c>
      <c r="CO13" s="496" t="s">
        <v>1083</v>
      </c>
      <c r="CP13" s="496" t="s">
        <v>689</v>
      </c>
      <c r="CQ13" s="496" t="s">
        <v>309</v>
      </c>
      <c r="CR13" s="496" t="s">
        <v>309</v>
      </c>
      <c r="CS13" s="496" t="s">
        <v>1085</v>
      </c>
      <c r="CT13" s="496" t="s">
        <v>1086</v>
      </c>
      <c r="CU13" s="496" t="s">
        <v>1087</v>
      </c>
      <c r="CV13" s="497" t="s">
        <v>1088</v>
      </c>
      <c r="CX13" s="543">
        <v>1</v>
      </c>
    </row>
    <row r="14" spans="1:102" ht="21" customHeight="1">
      <c r="A14" s="509">
        <v>8</v>
      </c>
      <c r="B14" s="510" t="s">
        <v>5852</v>
      </c>
      <c r="C14" s="511" t="str">
        <f t="shared" si="0"/>
        <v>Chorizo</v>
      </c>
      <c r="D14" s="512" t="str">
        <f>IF(14=14,IF($B14="","",IF(E14="X",""&amp;"Céréales contenant du gluten","")&amp;IF(F14="X",IF(COUNTIF($E14:$E14,"X")&gt;0,", ","")&amp;"Crustacés","")&amp;IF(G14="X",IF(COUNTIF($E14:$F14,"X")&gt;0,", ","")&amp;"Œufs","")&amp;IF(H14="X",IF(COUNTIF($E14:$G14,"X")&gt;0,", ","")&amp;"Poissons","")&amp;IF(I14="X",IF(COUNTIF($E14:$H14,"X")&gt;0,", ","")&amp;"Arachides","")&amp;IF(J14="X",IF(COUNTIF($E14:$I14,"X")&gt;0,", ","")&amp;"Soja","")&amp;IF(K14="X",IF(COUNTIF($E14:$J14,"X")&gt;0,", ","")&amp;"Lait","")&amp;IF(L14="X",IF(COUNTIF($E14:$K14,"X")&gt;0,", ","")&amp;"Fruits à coque","")&amp;IF(M14="X",IF(COUNTIF($E14:$L14,"X")&gt;0,", ","")&amp;"Céleri","")&amp;IF(N14="X",IF(COUNTIF($E14:$M14,"X")&gt;0,", ","")&amp;"Moutarde","")&amp;IF(O14="X",IF(COUNTIF($E14:$N14,"X")&gt;0,", ","")&amp;"Sésame","")&amp;IF(P14="X",IF(COUNTIF($E14:$O14,"X")&gt;0,", ","")&amp;"Sulfites","")&amp;IF(Q14="X",IF(COUNTIF($E14:$P14,"X")&gt;0,", ","")&amp;"Lupin","")&amp;IF(R14="X",IF(COUNTIF($E14:$Q14,"X")&gt;0,", ","")&amp;"Mollusques","")),"")</f>
        <v/>
      </c>
      <c r="E14" s="513" t="str">
        <f>IF(14=14,IF($B14="","",AF14),"")</f>
        <v/>
      </c>
      <c r="F14" s="513" t="str">
        <f>IF(14=14,IF($B14="","",AI14),"")</f>
        <v/>
      </c>
      <c r="G14" s="513" t="str">
        <f>IF(14=14,IF($B14="","",AM14),"")</f>
        <v/>
      </c>
      <c r="H14" s="513" t="str">
        <f>IF(14=14,IF($B14="","",IF(ISNUMBER(SEARCH(" colin ",$AA14)),"X",AZ14)),"")</f>
        <v/>
      </c>
      <c r="I14" s="513" t="str">
        <f>IF(14=14,IF($B14="","",BB14),"")</f>
        <v/>
      </c>
      <c r="J14" s="513" t="str">
        <f>IF(14=14,IF($B14="","",BF14),"")</f>
        <v/>
      </c>
      <c r="K14" s="513" t="str">
        <f>IF(14=14,IF($B14="","",BM14),"")</f>
        <v/>
      </c>
      <c r="L14" s="513" t="str">
        <f>IF(14=14,IF($B14="","",BQ14),"")</f>
        <v/>
      </c>
      <c r="M14" s="513" t="str">
        <f>IF(14=14,IF($B14="","",BT14),"")</f>
        <v/>
      </c>
      <c r="N14" s="513" t="str">
        <f>IF(14=14,IF($B14="","",BW14),"")</f>
        <v/>
      </c>
      <c r="O14" s="513" t="str">
        <f>IF(14=14,IF($B14="","",BZ14),"")</f>
        <v/>
      </c>
      <c r="P14" s="513" t="str">
        <f>IF(14=14,IF($B14="","",CC14),"")</f>
        <v/>
      </c>
      <c r="Q14" s="513" t="str">
        <f>IF(14=14,IF($B14="","",CF14),"")</f>
        <v/>
      </c>
      <c r="R14" s="513" t="str">
        <f>IF(14=14,IF($B14="","",CL14),"")</f>
        <v/>
      </c>
      <c r="S14" s="514" t="str">
        <f>IF(14=14,IF($B14="","",IF(E14="?",""&amp;"Céréales contenant du gluten","")&amp;IF(F14="?",IF(COUNTIF($E14:$E14,"~?")&gt;0,", ","")&amp;"Crustacés","")&amp;IF(G14="?",IF(COUNTIF($E14:$F14,"~?")&gt;0,", ","")&amp;"Œufs","")&amp;IF(H14="?",IF(COUNTIF($E14:$G14,"~?")&gt;0,", ","")&amp;"Poissons","")&amp;IF(I14="?",IF(COUNTIF($E14:$H14,"~?")&gt;0,", ","")&amp;"Arachides","")&amp;IF(J14="?",IF(COUNTIF($E14:$I14,"~?")&gt;0,", ","")&amp;"Soja","")&amp;IF(K14="?",IF(COUNTIF($E14:$J14,"~?")&gt;0,", ","")&amp;"Lait","")&amp;IF(L14="?",IF(COUNTIF($E14:$K14,"~?")&gt;0,", ","")&amp;"Fruits à coque","")&amp;IF(M14="?",IF(COUNTIF($E14:$L14,"~?")&gt;0,", ","")&amp;"Céleri","")&amp;IF(N14="?",IF(COUNTIF($E14:$M14,"~?")&gt;0,", ","")&amp;"Moutarde","")&amp;IF(O14="?",IF(COUNTIF($E14:$N14,"~?")&gt;0,", ","")&amp;"Sésame","")&amp;IF(P14="?",IF(COUNTIF($E14:$O14,"~?")&gt;0,", ","")&amp;"Sulfites","")&amp;IF(Q14="?",IF(COUNTIF($E14:$P14,"~?")&gt;0,", ","")&amp;"Lupin","")&amp;IF(R14="?",IF(COUNTIF($E14:$Q14,"~?")&gt;0,", ","")&amp;"Mollusques","")),"")</f>
        <v/>
      </c>
      <c r="U14" s="493" t="str">
        <f>IF(14=14,IF($B14="","",$B14),"")</f>
        <v>Chorizo</v>
      </c>
      <c r="V14" s="493" t="str">
        <f>IF(14=14,LOWER(CLEAN(SUBSTITUTE(SUBSTITUTE(SUBSTITUTE(SUBSTITUTE($U14,CHAR(160)," ")," "," "),CHAR(10)," "),CHAR(13)," "))),"")</f>
        <v>chorizo</v>
      </c>
      <c r="W14" s="493" t="str">
        <f>IF(14=14,SUBSTITUTE(SUBSTITUTE(SUBSTITUTE(SUBSTITUTE(SUBSTITUTE(SUBSTITUTE(SUBSTITUTE(SUBSTITUTE(SUBSTITUTE(SUBSTITUTE(SUBSTITUTE(SUBSTITUTE($V14,"œ","oe"),"æ","ae"),"à","a"),"á","a"),"â","a"),"ä","a"),"ã","a"),"ç","c"),"è","e"),"é","e"),"ê","e"),"ë","e"),"")</f>
        <v>chorizo</v>
      </c>
      <c r="X14" s="493" t="str">
        <f>IF(14=14,SUBSTITUTE(SUBSTITUTE(SUBSTITUTE(SUBSTITUTE(SUBSTITUTE(SUBSTITUTE(SUBSTITUTE(SUBSTITUTE(SUBSTITUTE(SUBSTITUTE(SUBSTITUTE(SUBSTITUTE(SUBSTITUTE(SUBSTITUTE(SUBSTITUTE(SUBSTITUTE($W14,"ì","i"),"í","i"),"î","i"),"ï","i"),"ñ","n"),"ò","o"),"ó","o"),"ô","o"),"ö","o"),"õ","o"),"ù","u"),"ú","u"),"û","u"),"ü","u"),"ý","y"),"ÿ","y"),"")</f>
        <v>chorizo</v>
      </c>
      <c r="Y14" s="493" t="str">
        <f>IF(14=14,SUBSTITUTE(SUBSTITUTE(SUBSTITUTE(SUBSTITUTE(SUBSTITUTE(SUBSTITUTE(SUBSTITUTE(SUBSTITUTE(SUBSTITUTE(SUBSTITUTE(SUBSTITUTE(SUBSTITUTE(SUBSTITUTE(SUBSTITUTE($X14,"’"," "),"`"," "),"–"," "),"—"," "),"-"," "),"'"," "),"/"," "),"_"," "),","," "),"."," "),"("," "),")"," "),";"," "),":"," "),"")</f>
        <v>chorizo</v>
      </c>
      <c r="Z14" s="493" t="str">
        <f>IF(14=14,SUBSTITUTE(SUBSTITUTE(SUBSTITUTE(SUBSTITUTE(SUBSTITUTE(SUBSTITUTE(SUBSTITUTE(SUBSTITUTE(SUBSTITUTE(SUBSTITUTE(SUBSTITUTE(SUBSTITUTE(SUBSTITUTE(SUBSTITUTE(SUBSTITUTE($Y14,"!"," "),"?"," "),"+"," "),"*"," "),"&amp;"," "),"["," "),"]"," "),"{"," "),"}"," "),"%"," "),"="," "),"\"," "),"|"," "),"&lt;"," "),"&gt;"," "),"")</f>
        <v>chorizo</v>
      </c>
      <c r="AA14" s="493" t="str">
        <f>IF(14=14," "&amp;TRIM(SUBSTITUTE(SUBSTITUTE(SUBSTITUTE(SUBSTITUTE(SUBSTITUTE(SUBSTITUTE($Z14,CHAR(34)," "),"  "," "),"  "," "),"  "," "),"  "," "),"  "," "))&amp;" ","")</f>
        <v xml:space="preserve"> chorizo </v>
      </c>
      <c r="AB14" s="493">
        <f>IF(14=14,IF($U14="","",SUMPRODUCT(--ISNUMBER(SEARCH(" "&amp;$CR$2:$CR$101&amp;" ",$AD14)))),"")</f>
        <v>0</v>
      </c>
      <c r="AC14" s="493">
        <f>IF(14=14,IF($U14="","",SUMPRODUCT(--ISNUMBER(SEARCH(" "&amp;$CR$102:$CR$151&amp;" ",$AD14)))),"")</f>
        <v>0</v>
      </c>
      <c r="AD14" s="493" t="str">
        <f t="shared" si="1"/>
        <v xml:space="preserve"> chorizo </v>
      </c>
      <c r="AE14" s="493">
        <f t="shared" si="2"/>
        <v>0</v>
      </c>
      <c r="AF14" s="493" t="str">
        <f>IF(14=14,IF($U14="","",IF(SUM(AB14:AC14)+SUMPRODUCT(--ISNUMBER(SEARCH(" "&amp;$CR$2418:$CR$2420&amp;" ",$AD14)))&gt;0,"X",IF(AE14&gt;0,"?",""))),"")</f>
        <v/>
      </c>
      <c r="AG14" s="493">
        <f>IF(14=14,IF($U14="","",SUMPRODUCT(--ISNUMBER(SEARCH(" "&amp;$CR$206:$CR$305&amp;" ",$AA14)))),"")</f>
        <v>0</v>
      </c>
      <c r="AH14" s="493">
        <f>IF(14=14,IF($U14="","",SUMPRODUCT(--ISNUMBER(SEARCH(" "&amp;$CR$306:$CR$340&amp;" ",$AA14)))),"")</f>
        <v>0</v>
      </c>
      <c r="AI14" s="493" t="str">
        <f>IF(14=14,IF($U14="","",IF((SUM(AG14:AH14))-(0)&gt;0,"X",IF((0)-(0)&gt;0,"?",""))),"")</f>
        <v/>
      </c>
      <c r="AJ14" s="493">
        <f>IF(14=14,IF($U14="","",SUMPRODUCT(--ISNUMBER(SEARCH(" "&amp;$CR$341:$CR$398&amp;" ",$AA14)))),"")</f>
        <v>0</v>
      </c>
      <c r="AK14" s="493">
        <f>IF(14=14,IF($U14="","",SUMPRODUCT(--ISNUMBER(SEARCH(" "&amp;$CR$399:$CR$426&amp;" ",$AL14)))+SUMPRODUCT(--ISNUMBER(SEARCH(" "&amp;$CR$2440:$CR$2453&amp;" ",$AL14)))),"")</f>
        <v>0</v>
      </c>
      <c r="AL14" s="493" t="str">
        <f>IF(14=14,IF($U14="","",SUBSTITUTE(SUBSTITUTE(SUBSTITUTE(SUBSTITUTE(SUBSTITUTE(SUBSTITUTE(SUBSTITUTE(SUBSTITUTE(SUBSTITUTE(SUBSTITUTE(SUBSTITUTE(SUBSTITUTE(SUBSTITUTE(SUBSTITUTE($AA14," "&amp;$CR$2455&amp;" "," ")," "&amp;$CR$433&amp;" "," ")," "&amp;$CR$431&amp;" "," ")," "&amp;$CR$2438&amp;" "," ")," "&amp;$CR$2439&amp;" "," ")," "&amp;$CR$428&amp;" "," ")," "&amp;$CR$432&amp;" "," ")," "&amp;$CR$434&amp;" "," ")," "&amp;$CR$429&amp;" "," ")," "&amp;$CR$427&amp;" "," ")," "&amp;$CR$1367&amp;" "," ")," "&amp;$CR$435&amp;" "," ")," "&amp;$CR$1366&amp;" "," ")," "&amp;$CR$430&amp;" "," ")),"")</f>
        <v xml:space="preserve"> chorizo </v>
      </c>
      <c r="AM14" s="493" t="str">
        <f>IF(14=14,IF($U14="","",IF(AJ14&gt;0,"X",IF(AK14&gt;0,"?",""))),"")</f>
        <v/>
      </c>
      <c r="AN14" s="493">
        <f>IF(14=14,IF($U14="","",SUMPRODUCT(--ISNUMBER(SEARCH(" "&amp;$CR$436:$CR$535&amp;" ",$AX14)))),"")</f>
        <v>0</v>
      </c>
      <c r="AO14" s="493">
        <f>IF(14=14,IF($U14="","",SUMPRODUCT(--ISNUMBER(SEARCH(" "&amp;$CR$536:$CR$635&amp;" ",$AX14)))),"")</f>
        <v>0</v>
      </c>
      <c r="AP14" s="493">
        <f>IF(14=14,IF($U14="","",SUMPRODUCT(--ISNUMBER(SEARCH(" "&amp;$CR$636:$CR$735&amp;" ",$AX14)))),"")</f>
        <v>0</v>
      </c>
      <c r="AQ14" s="493">
        <f>IF(14=14,IF($U14="","",SUMPRODUCT(--ISNUMBER(SEARCH(" "&amp;$CR$736:$CR$835&amp;" ",$AX14)))),"")</f>
        <v>0</v>
      </c>
      <c r="AR14" s="493">
        <f>IF(14=14,IF($U14="","",SUMPRODUCT(--ISNUMBER(SEARCH(" "&amp;$CR$836:$CR$935&amp;" ",$AX14)))),"")</f>
        <v>0</v>
      </c>
      <c r="AS14" s="493">
        <f>IF(14=14,IF($U14="","",SUMPRODUCT(--ISNUMBER(SEARCH(" "&amp;$CR$936:$CR$1035&amp;" ",$AX14)))),"")</f>
        <v>0</v>
      </c>
      <c r="AT14" s="493">
        <f>IF(14=14,IF($U14="","",SUMPRODUCT(--ISNUMBER(SEARCH(" "&amp;$CR$1036:$CR$1135&amp;" ",$AX14)))),"")</f>
        <v>0</v>
      </c>
      <c r="AU14" s="493">
        <f>IF(14=14,IF($U14="","",SUMPRODUCT(--ISNUMBER(SEARCH(" "&amp;$CR$1136:$CR$1235&amp;" ",$AX14)))),"")</f>
        <v>0</v>
      </c>
      <c r="AV14" s="493">
        <f>IF(14=14,IF($U14="","",SUMPRODUCT(--ISNUMBER(SEARCH(" "&amp;$CR$1236:$CR$1335&amp;" ",$AX14)))),"")</f>
        <v>0</v>
      </c>
      <c r="AW14" s="493">
        <f>IF(14=14,IF($U14="","",SUMPRODUCT(--ISNUMBER(SEARCH(" "&amp;$CR$1336:$CR$1363&amp;" ",$AX14)))),"")</f>
        <v>0</v>
      </c>
      <c r="AX14" s="493" t="str">
        <f>IF(14=14,IF($U14="","",SUBSTITUTE(SUBSTITUTE(SUBSTITUTE(SUBSTITUTE(SUBSTITUTE(SUBSTITUTE(SUBSTITUTE(SUBSTITUTE(SUBSTITUTE($AA14," "&amp;$CR$1365&amp;" "," ")," "&amp;$CR$1364&amp;" "," ")," "&amp;$CR$1370&amp;" "," ")," "&amp;$CR$1371&amp;" "," ")," "&amp;$CR$1367&amp;" "," ")," "&amp;$CR$1369&amp;" "," ")," "&amp;$CR$1366&amp;" "," ")," "&amp;$CR$1368&amp;" "," ")," "&amp;$CR$1372&amp;" "," ")),"")</f>
        <v xml:space="preserve"> chorizo </v>
      </c>
      <c r="AY14" s="493">
        <f>IF(14=14,IF($U14="","",SUMPRODUCT(--ISNUMBER(SEARCH(" "&amp;$CR$1373:$CR$1383&amp;" ",$AX14)))),"")</f>
        <v>0</v>
      </c>
      <c r="AZ14" s="493" t="str">
        <f>IF(14=14,IF($U14="","",IF(SUM(AN14:AW14)+SUMPRODUCT(--ISNUMBER(SEARCH(" "&amp;$CR$2421:$CR$2422&amp;" ",$AX14)))&gt;0,"X",IF(AY14&gt;0,"?",""))),"")</f>
        <v/>
      </c>
      <c r="BA14" s="493">
        <f>IF(14=14,IF($U14="","",SUMPRODUCT(--ISNUMBER(SEARCH(" "&amp;$CR$1384:$CR$1404&amp;" ",$AA14)))),"")</f>
        <v>0</v>
      </c>
      <c r="BB14" s="493" t="str">
        <f>IF(14=14,IF($U14="","",IF((BA14)-(0)&gt;0,"X",IF((0)-(0)&gt;0,"?",""))),"")</f>
        <v/>
      </c>
      <c r="BC14" s="493">
        <f>IF(14=14,IF($U14="","",SUMPRODUCT(--ISNUMBER(SEARCH(" "&amp;$CR$1405:$CR$1442&amp;" ",$BD14)))),"")</f>
        <v>0</v>
      </c>
      <c r="BD14" s="493" t="str">
        <f>IF(14=14,IF($U14="","",SUBSTITUTE(SUBSTITUTE($AA14," "&amp;$CR$1443&amp;" "," ")," "&amp;$CR$1444&amp;" "," ")),"")</f>
        <v xml:space="preserve"> chorizo </v>
      </c>
      <c r="BE14" s="493">
        <f>IF(14=14,IF($U14="","",SUMPRODUCT(--ISNUMBER(SEARCH(" "&amp;$CR$1445:$CR$1455&amp;" ",$BD14)))),"")</f>
        <v>0</v>
      </c>
      <c r="BF14" s="493" t="str">
        <f>IF(14=14,IF($U14="","",IF(BC14&gt;0,"X",IF(BE14&gt;0,"?",""))),"")</f>
        <v/>
      </c>
      <c r="BG14" s="493">
        <f>IF(14=14,IF($U14="","",SUMPRODUCT(--ISNUMBER(SEARCH(" "&amp;$CR$1456:$CR$1555&amp;" ",$BJ14)))),"")</f>
        <v>0</v>
      </c>
      <c r="BH14" s="493">
        <f>IF(14=14,IF($U14="","",SUMPRODUCT(--ISNUMBER(SEARCH(" "&amp;$CR$1556:$CR$1655&amp;" ",$BJ14)))),"")</f>
        <v>0</v>
      </c>
      <c r="BI14" s="493">
        <f>IF(14=14,IF($U14="","",SUMPRODUCT(--ISNUMBER(SEARCH(" "&amp;$CR$1656:$CR$1739&amp;" ",$BJ14)))),"")</f>
        <v>0</v>
      </c>
      <c r="BJ14" s="493" t="str">
        <f>IF(14=14,IF($U14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chorizo </v>
      </c>
      <c r="BK14" s="493">
        <f>IF(14=14,IF($U14="","",SUMPRODUCT(--ISNUMBER(SEARCH(" "&amp;$CR$1790:$CR$1869&amp;" ",$BL14)))+SUMPRODUCT(--ISNUMBER(SEARCH(" "&amp;$CR$2440:$CR$2453&amp;" ",$BL14)))),"")</f>
        <v>0</v>
      </c>
      <c r="BL14" s="493" t="str">
        <f>IF(14=14,IF($U14="","",SUBSTITUTE(SUBSTITUTE(SUBSTITUTE(SUBSTITUTE(SUBSTITUTE(SUBSTITUTE(SUBSTITUTE(SUBSTITUTE(SUBSTITUTE(SUBSTITUTE(SUBSTITUTE(SUBSTITUTE(SUBSTITUTE($BJ14," "&amp;$CR$1876&amp;" "," ")," "&amp;$CR$1874&amp;" "," ")," "&amp;$CR$2438&amp;" "," ")," "&amp;$CR$2439&amp;" "," ")," "&amp;$CR$1871&amp;" "," ")," "&amp;$CR$1875&amp;" "," ")," "&amp;$CR$1877&amp;" "," ")," "&amp;$CR$1872&amp;" "," ")," "&amp;$CR$1870&amp;" "," ")," "&amp;$CR$1367&amp;" "," ")," "&amp;$CR$1878&amp;" "," ")," "&amp;$CR$1366&amp;" "," ")," "&amp;$CR$1873&amp;" "," ")),"")</f>
        <v xml:space="preserve"> chorizo </v>
      </c>
      <c r="BM14" s="493" t="str">
        <f>IF(14=14,IF($U14="","",IF(SUM(BG14:BI14)+SUMPRODUCT(--ISNUMBER(SEARCH(" "&amp;$CR$2423:$CR$2424&amp;" ",$BJ14)))&gt;0,"X",IF(BK14&gt;0,"?",""))),"")</f>
        <v/>
      </c>
      <c r="BN14" s="493">
        <f>IF(14=14,IF($U14="","",SUMPRODUCT(--ISNUMBER(SEARCH(" "&amp;$CR$1879:$CR$1936&amp;" ",$BO14)))),"")</f>
        <v>0</v>
      </c>
      <c r="BO14" s="493" t="str">
        <f>IF(14=14,IF($U14="","",SUBSTITUTE(SUBSTITUTE(SUBSTITUTE(SUBSTITUTE(SUBSTITUTE(SUBSTITUTE(SUBSTITUTE(SUBSTITUTE(SUBSTITUTE(SUBSTITUTE(SUBSTITUTE(SUBSTITUTE(SUBSTITUTE(SUBSTITUTE(SUBSTITUTE(SUBSTITUTE(SUBSTITUTE(SUBSTITUTE(SUBSTITUTE(SUBSTITUTE(SUBSTITUTE(SUBSTITUTE(SUBSTITUTE($AA14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chorizo </v>
      </c>
      <c r="BP14" s="493">
        <f>IF(14=14,IF($U14="","",SUMPRODUCT(--ISNUMBER(SEARCH(" "&amp;$CR$1960:$CR$1976&amp;" ",$BO14)))),"")</f>
        <v>0</v>
      </c>
      <c r="BQ14" s="493" t="str">
        <f>IF(14=14,IF($U14="","",IF(BN14&gt;0,"X",IF(BP14&gt;0,"?",""))),"")</f>
        <v/>
      </c>
      <c r="BR14" s="493">
        <f>IF(14=14,IF($U14="","",SUMPRODUCT(--ISNUMBER(SEARCH(" "&amp;$CR$1977:$CR$1990&amp;" ",$AA14)))),"")</f>
        <v>0</v>
      </c>
      <c r="BS14" s="493">
        <f>IF(14=14,IF($U14="","",SUMPRODUCT(--ISNUMBER(SEARCH(" "&amp;$CR$1991:$CR$2005&amp;" ",$AA14)))),"")</f>
        <v>0</v>
      </c>
      <c r="BT14" s="493" t="str">
        <f>IF(14=14,IF($U14="","",IF((BR14)-(0)&gt;0,"X",IF((BS14)-(0)&gt;0,"?",""))),"")</f>
        <v/>
      </c>
      <c r="BU14" s="493">
        <f>IF(14=14,IF($U14="","",SUMPRODUCT(--ISNUMBER(SEARCH(" "&amp;$CR$2006:$CR$2023&amp;" ",$AA14)))),"")</f>
        <v>0</v>
      </c>
      <c r="BV14" s="493">
        <f>IF(14=14,IF($U14="","",SUMPRODUCT(--ISNUMBER(SEARCH(" "&amp;$CR$2024:$CR$2038&amp;" ",$AA14)))),"")</f>
        <v>0</v>
      </c>
      <c r="BW14" s="493" t="str">
        <f>IF(14=14,IF($U14="","",IF((BU14)-(0)&gt;0,"X",IF((BV14)-(0)&gt;0,"?",""))),"")</f>
        <v/>
      </c>
      <c r="BX14" s="493">
        <f>IF(14=14,IF($U14="","",SUMPRODUCT(--ISNUMBER(SEARCH(" "&amp;$CR$2039:$CR$2057&amp;" ",$AA14)))),"")</f>
        <v>0</v>
      </c>
      <c r="BY14" s="493">
        <f>IF(14=14,IF($U14="","",SUMPRODUCT(--ISNUMBER(SEARCH(" "&amp;$CR$2058:$CR$2072&amp;" ",$AA14)))),"")</f>
        <v>0</v>
      </c>
      <c r="BZ14" s="493" t="str">
        <f>IF(14=14,IF($U14="","",IF((BX14)-(0)&gt;0,"X",IF((BY14)-(0)&gt;0,"?",""))),"")</f>
        <v/>
      </c>
      <c r="CA14" s="493">
        <f>IF(14=14,IF($U14="","",SUMPRODUCT(--ISNUMBER(SEARCH(" "&amp;$CR$2073:$CR$2093&amp;" ",$AA14)))),"")</f>
        <v>0</v>
      </c>
      <c r="CB14" s="493">
        <f>IF(14=14,IF($U14="","",SUMPRODUCT(--ISNUMBER(SEARCH(" "&amp;$CR$2094:$CR$2133&amp;" ",SUBSTITUTE(SUBSTITUTE($AA14," "&amp;$CR$1367&amp;" "," ")," "&amp;$CR$1366&amp;" "," "))))+--ISNUMBER(SEARCH("poiré",$V14))),"")</f>
        <v>0</v>
      </c>
      <c r="CC14" s="493" t="str">
        <f>IF(14=14,IF($U14="","",IF(OR(CA14&gt;0,ISNUMBER(SEARCH(" vinaigre de vin ",$AA14)),ISNUMBER(SEARCH(" vinaigre au vin ",$AA14))),"X",IF(CB14&gt;0,"?",""))),"")</f>
        <v/>
      </c>
      <c r="CD14" s="493">
        <f>IF(14=14,IF($U14="","",SUMPRODUCT(--ISNUMBER(SEARCH(" "&amp;$CR$2134:$CR$2146&amp;" ",$AA14)))),"")</f>
        <v>0</v>
      </c>
      <c r="CE14" s="493">
        <f>IF(14=14,IF($U14="","",SUMPRODUCT(--ISNUMBER(SEARCH(" "&amp;$CR$2147:$CR$2152&amp;" ",$AA14)))),"")</f>
        <v>0</v>
      </c>
      <c r="CF14" s="493" t="str">
        <f>IF(14=14,IF($U14="","",IF((CD14)-(0)&gt;0,"X",IF((CE14)-(0)&gt;0,"?",""))),"")</f>
        <v/>
      </c>
      <c r="CG14" s="493">
        <f>IF(14=14,IF($U14="","",SUMPRODUCT(--ISNUMBER(SEARCH(" "&amp;$CR$2153:$CR$2252&amp;" ",$CJ14)))),"")</f>
        <v>0</v>
      </c>
      <c r="CH14" s="493">
        <f>IF(14=14,IF($U14="","",SUMPRODUCT(--ISNUMBER(SEARCH(" "&amp;$CR$2253:$CR$2352&amp;" ",$CJ14)))),"")</f>
        <v>0</v>
      </c>
      <c r="CI14" s="493">
        <f>IF(14=14,IF($U14="","",SUMPRODUCT(--ISNUMBER(SEARCH(" "&amp;$CR$2353:$CR$2395&amp;" ",$CJ14)))),"")</f>
        <v>0</v>
      </c>
      <c r="CJ14" s="493" t="str">
        <f>IF(14=14,IF($U14="","",SUBSTITUTE(SUBSTITUTE(SUBSTITUTE(SUBSTITUTE(SUBSTITUTE(SUBSTITUTE(SUBSTITUTE(SUBSTITUTE(SUBSTITUTE(SUBSTITUTE(SUBSTITUTE(SUBSTITUTE(SUBSTITUTE(SUBSTITUTE(SUBSTITUTE(SUBSTITUTE($AA14," "&amp;$CR$2401&amp;" "," ")," "&amp;$CR$2400&amp;" "," ")," "&amp;$CR$2399&amp;" "," ")," "&amp;$CR$2406&amp;" "," ")," "&amp;$CR$2398&amp;" "," ")," "&amp;$CR$2410&amp;" "," ")," "&amp;$CR$2397&amp;" "," ")," "&amp;$CR$2402&amp;" "," ")," "&amp;$CR$2405&amp;" "," ")," "&amp;$CR$2396&amp;" "," ")," "&amp;$CR$2404&amp;" "," ")," "&amp;$CR$2411&amp;" "," ")," "&amp;$CR$2408&amp;" "," ")," "&amp;$CR$2403&amp;" "," ")," "&amp;$CR$2407&amp;" "," ")," "&amp;$CR$2409&amp;" "," ")),"")</f>
        <v xml:space="preserve"> chorizo </v>
      </c>
      <c r="CK14" s="493">
        <f>IF(14=14,IF($U14="","",SUMPRODUCT(--ISNUMBER(SEARCH(" "&amp;$CR$2412:$CR$2416&amp;" ",$CJ14)))),"")</f>
        <v>0</v>
      </c>
      <c r="CL14" s="493" t="str">
        <f>IF(14=14,IF($U14="","",IF(SUM(CG14:CI14)&gt;0,"X",IF(CK14&gt;0,"?",""))),"")</f>
        <v/>
      </c>
      <c r="CM14" s="494"/>
      <c r="CN14" s="496" t="s">
        <v>1171</v>
      </c>
      <c r="CO14" s="496" t="s">
        <v>1083</v>
      </c>
      <c r="CP14" s="496" t="s">
        <v>689</v>
      </c>
      <c r="CQ14" s="496" t="s">
        <v>703</v>
      </c>
      <c r="CR14" s="496" t="s">
        <v>703</v>
      </c>
      <c r="CS14" s="496" t="s">
        <v>1085</v>
      </c>
      <c r="CT14" s="496" t="s">
        <v>1086</v>
      </c>
      <c r="CU14" s="496" t="s">
        <v>1087</v>
      </c>
      <c r="CV14" s="497" t="s">
        <v>1088</v>
      </c>
      <c r="CX14" s="543">
        <v>1</v>
      </c>
    </row>
    <row r="15" spans="1:102" ht="21" customHeight="1">
      <c r="A15" s="509">
        <v>9</v>
      </c>
      <c r="B15" s="510" t="s">
        <v>5853</v>
      </c>
      <c r="C15" s="511" t="str">
        <f t="shared" si="0"/>
        <v>Choux-fleurs</v>
      </c>
      <c r="D15" s="512" t="str">
        <f>IF(15=15,IF($B15="","",IF(E15="X",""&amp;"Céréales contenant du gluten","")&amp;IF(F15="X",IF(COUNTIF($E15:$E15,"X")&gt;0,", ","")&amp;"Crustacés","")&amp;IF(G15="X",IF(COUNTIF($E15:$F15,"X")&gt;0,", ","")&amp;"Œufs","")&amp;IF(H15="X",IF(COUNTIF($E15:$G15,"X")&gt;0,", ","")&amp;"Poissons","")&amp;IF(I15="X",IF(COUNTIF($E15:$H15,"X")&gt;0,", ","")&amp;"Arachides","")&amp;IF(J15="X",IF(COUNTIF($E15:$I15,"X")&gt;0,", ","")&amp;"Soja","")&amp;IF(K15="X",IF(COUNTIF($E15:$J15,"X")&gt;0,", ","")&amp;"Lait","")&amp;IF(L15="X",IF(COUNTIF($E15:$K15,"X")&gt;0,", ","")&amp;"Fruits à coque","")&amp;IF(M15="X",IF(COUNTIF($E15:$L15,"X")&gt;0,", ","")&amp;"Céleri","")&amp;IF(N15="X",IF(COUNTIF($E15:$M15,"X")&gt;0,", ","")&amp;"Moutarde","")&amp;IF(O15="X",IF(COUNTIF($E15:$N15,"X")&gt;0,", ","")&amp;"Sésame","")&amp;IF(P15="X",IF(COUNTIF($E15:$O15,"X")&gt;0,", ","")&amp;"Sulfites","")&amp;IF(Q15="X",IF(COUNTIF($E15:$P15,"X")&gt;0,", ","")&amp;"Lupin","")&amp;IF(R15="X",IF(COUNTIF($E15:$Q15,"X")&gt;0,", ","")&amp;"Mollusques","")),"")</f>
        <v/>
      </c>
      <c r="E15" s="513" t="str">
        <f>IF(15=15,IF($B15="","",AF15),"")</f>
        <v/>
      </c>
      <c r="F15" s="513" t="str">
        <f>IF(15=15,IF($B15="","",AI15),"")</f>
        <v/>
      </c>
      <c r="G15" s="513" t="str">
        <f>IF(15=15,IF($B15="","",AM15),"")</f>
        <v/>
      </c>
      <c r="H15" s="513" t="str">
        <f>IF(15=15,IF($B15="","",IF(ISNUMBER(SEARCH(" colin ",$AA15)),"X",AZ15)),"")</f>
        <v/>
      </c>
      <c r="I15" s="513" t="str">
        <f>IF(15=15,IF($B15="","",BB15),"")</f>
        <v/>
      </c>
      <c r="J15" s="513" t="str">
        <f>IF(15=15,IF($B15="","",BF15),"")</f>
        <v/>
      </c>
      <c r="K15" s="513" t="str">
        <f>IF(15=15,IF($B15="","",BM15),"")</f>
        <v/>
      </c>
      <c r="L15" s="513" t="str">
        <f>IF(15=15,IF($B15="","",BQ15),"")</f>
        <v/>
      </c>
      <c r="M15" s="513" t="str">
        <f>IF(15=15,IF($B15="","",BT15),"")</f>
        <v/>
      </c>
      <c r="N15" s="513" t="str">
        <f>IF(15=15,IF($B15="","",BW15),"")</f>
        <v/>
      </c>
      <c r="O15" s="513" t="str">
        <f>IF(15=15,IF($B15="","",BZ15),"")</f>
        <v/>
      </c>
      <c r="P15" s="513" t="str">
        <f>IF(15=15,IF($B15="","",CC15),"")</f>
        <v/>
      </c>
      <c r="Q15" s="513" t="str">
        <f>IF(15=15,IF($B15="","",CF15),"")</f>
        <v/>
      </c>
      <c r="R15" s="513" t="str">
        <f>IF(15=15,IF($B15="","",CL15),"")</f>
        <v/>
      </c>
      <c r="S15" s="514" t="str">
        <f>IF(15=15,IF($B15="","",IF(E15="?",""&amp;"Céréales contenant du gluten","")&amp;IF(F15="?",IF(COUNTIF($E15:$E15,"~?")&gt;0,", ","")&amp;"Crustacés","")&amp;IF(G15="?",IF(COUNTIF($E15:$F15,"~?")&gt;0,", ","")&amp;"Œufs","")&amp;IF(H15="?",IF(COUNTIF($E15:$G15,"~?")&gt;0,", ","")&amp;"Poissons","")&amp;IF(I15="?",IF(COUNTIF($E15:$H15,"~?")&gt;0,", ","")&amp;"Arachides","")&amp;IF(J15="?",IF(COUNTIF($E15:$I15,"~?")&gt;0,", ","")&amp;"Soja","")&amp;IF(K15="?",IF(COUNTIF($E15:$J15,"~?")&gt;0,", ","")&amp;"Lait","")&amp;IF(L15="?",IF(COUNTIF($E15:$K15,"~?")&gt;0,", ","")&amp;"Fruits à coque","")&amp;IF(M15="?",IF(COUNTIF($E15:$L15,"~?")&gt;0,", ","")&amp;"Céleri","")&amp;IF(N15="?",IF(COUNTIF($E15:$M15,"~?")&gt;0,", ","")&amp;"Moutarde","")&amp;IF(O15="?",IF(COUNTIF($E15:$N15,"~?")&gt;0,", ","")&amp;"Sésame","")&amp;IF(P15="?",IF(COUNTIF($E15:$O15,"~?")&gt;0,", ","")&amp;"Sulfites","")&amp;IF(Q15="?",IF(COUNTIF($E15:$P15,"~?")&gt;0,", ","")&amp;"Lupin","")&amp;IF(R15="?",IF(COUNTIF($E15:$Q15,"~?")&gt;0,", ","")&amp;"Mollusques","")),"")</f>
        <v/>
      </c>
      <c r="U15" s="493" t="str">
        <f>IF(15=15,IF($B15="","",$B15),"")</f>
        <v>Choux-fleurs</v>
      </c>
      <c r="V15" s="493" t="str">
        <f>IF(15=15,LOWER(CLEAN(SUBSTITUTE(SUBSTITUTE(SUBSTITUTE(SUBSTITUTE($U15,CHAR(160)," ")," "," "),CHAR(10)," "),CHAR(13)," "))),"")</f>
        <v>choux-fleurs</v>
      </c>
      <c r="W15" s="493" t="str">
        <f>IF(15=15,SUBSTITUTE(SUBSTITUTE(SUBSTITUTE(SUBSTITUTE(SUBSTITUTE(SUBSTITUTE(SUBSTITUTE(SUBSTITUTE(SUBSTITUTE(SUBSTITUTE(SUBSTITUTE(SUBSTITUTE($V15,"œ","oe"),"æ","ae"),"à","a"),"á","a"),"â","a"),"ä","a"),"ã","a"),"ç","c"),"è","e"),"é","e"),"ê","e"),"ë","e"),"")</f>
        <v>choux-fleurs</v>
      </c>
      <c r="X15" s="493" t="str">
        <f>IF(15=15,SUBSTITUTE(SUBSTITUTE(SUBSTITUTE(SUBSTITUTE(SUBSTITUTE(SUBSTITUTE(SUBSTITUTE(SUBSTITUTE(SUBSTITUTE(SUBSTITUTE(SUBSTITUTE(SUBSTITUTE(SUBSTITUTE(SUBSTITUTE(SUBSTITUTE(SUBSTITUTE($W15,"ì","i"),"í","i"),"î","i"),"ï","i"),"ñ","n"),"ò","o"),"ó","o"),"ô","o"),"ö","o"),"õ","o"),"ù","u"),"ú","u"),"û","u"),"ü","u"),"ý","y"),"ÿ","y"),"")</f>
        <v>choux-fleurs</v>
      </c>
      <c r="Y15" s="493" t="str">
        <f>IF(15=15,SUBSTITUTE(SUBSTITUTE(SUBSTITUTE(SUBSTITUTE(SUBSTITUTE(SUBSTITUTE(SUBSTITUTE(SUBSTITUTE(SUBSTITUTE(SUBSTITUTE(SUBSTITUTE(SUBSTITUTE(SUBSTITUTE(SUBSTITUTE($X15,"’"," "),"`"," "),"–"," "),"—"," "),"-"," "),"'"," "),"/"," "),"_"," "),","," "),"."," "),"("," "),")"," "),";"," "),":"," "),"")</f>
        <v>choux fleurs</v>
      </c>
      <c r="Z15" s="493" t="str">
        <f>IF(15=15,SUBSTITUTE(SUBSTITUTE(SUBSTITUTE(SUBSTITUTE(SUBSTITUTE(SUBSTITUTE(SUBSTITUTE(SUBSTITUTE(SUBSTITUTE(SUBSTITUTE(SUBSTITUTE(SUBSTITUTE(SUBSTITUTE(SUBSTITUTE(SUBSTITUTE($Y15,"!"," "),"?"," "),"+"," "),"*"," "),"&amp;"," "),"["," "),"]"," "),"{"," "),"}"," "),"%"," "),"="," "),"\"," "),"|"," "),"&lt;"," "),"&gt;"," "),"")</f>
        <v>choux fleurs</v>
      </c>
      <c r="AA15" s="493" t="str">
        <f>IF(15=15," "&amp;TRIM(SUBSTITUTE(SUBSTITUTE(SUBSTITUTE(SUBSTITUTE(SUBSTITUTE(SUBSTITUTE($Z15,CHAR(34)," "),"  "," "),"  "," "),"  "," "),"  "," "),"  "," "))&amp;" ","")</f>
        <v xml:space="preserve"> choux fleurs </v>
      </c>
      <c r="AB15" s="493">
        <f>IF(15=15,IF($U15="","",SUMPRODUCT(--ISNUMBER(SEARCH(" "&amp;$CR$2:$CR$101&amp;" ",$AD15)))),"")</f>
        <v>0</v>
      </c>
      <c r="AC15" s="493">
        <f>IF(15=15,IF($U15="","",SUMPRODUCT(--ISNUMBER(SEARCH(" "&amp;$CR$102:$CR$151&amp;" ",$AD15)))),"")</f>
        <v>0</v>
      </c>
      <c r="AD15" s="493" t="str">
        <f t="shared" si="1"/>
        <v xml:space="preserve"> choux fleurs </v>
      </c>
      <c r="AE15" s="493">
        <f t="shared" si="2"/>
        <v>0</v>
      </c>
      <c r="AF15" s="493" t="str">
        <f>IF(15=15,IF($U15="","",IF(SUM(AB15:AC15)+SUMPRODUCT(--ISNUMBER(SEARCH(" "&amp;$CR$2418:$CR$2420&amp;" ",$AD15)))&gt;0,"X",IF(AE15&gt;0,"?",""))),"")</f>
        <v/>
      </c>
      <c r="AG15" s="493">
        <f>IF(15=15,IF($U15="","",SUMPRODUCT(--ISNUMBER(SEARCH(" "&amp;$CR$206:$CR$305&amp;" ",$AA15)))),"")</f>
        <v>0</v>
      </c>
      <c r="AH15" s="493">
        <f>IF(15=15,IF($U15="","",SUMPRODUCT(--ISNUMBER(SEARCH(" "&amp;$CR$306:$CR$340&amp;" ",$AA15)))),"")</f>
        <v>0</v>
      </c>
      <c r="AI15" s="493" t="str">
        <f>IF(15=15,IF($U15="","",IF((SUM(AG15:AH15))-(0)&gt;0,"X",IF((0)-(0)&gt;0,"?",""))),"")</f>
        <v/>
      </c>
      <c r="AJ15" s="493">
        <f>IF(15=15,IF($U15="","",SUMPRODUCT(--ISNUMBER(SEARCH(" "&amp;$CR$341:$CR$398&amp;" ",$AA15)))),"")</f>
        <v>0</v>
      </c>
      <c r="AK15" s="493">
        <f>IF(15=15,IF($U15="","",SUMPRODUCT(--ISNUMBER(SEARCH(" "&amp;$CR$399:$CR$426&amp;" ",$AL15)))+SUMPRODUCT(--ISNUMBER(SEARCH(" "&amp;$CR$2440:$CR$2453&amp;" ",$AL15)))),"")</f>
        <v>0</v>
      </c>
      <c r="AL15" s="493" t="str">
        <f>IF(15=15,IF($U15="","",SUBSTITUTE(SUBSTITUTE(SUBSTITUTE(SUBSTITUTE(SUBSTITUTE(SUBSTITUTE(SUBSTITUTE(SUBSTITUTE(SUBSTITUTE(SUBSTITUTE(SUBSTITUTE(SUBSTITUTE(SUBSTITUTE(SUBSTITUTE($AA15," "&amp;$CR$2455&amp;" "," ")," "&amp;$CR$433&amp;" "," ")," "&amp;$CR$431&amp;" "," ")," "&amp;$CR$2438&amp;" "," ")," "&amp;$CR$2439&amp;" "," ")," "&amp;$CR$428&amp;" "," ")," "&amp;$CR$432&amp;" "," ")," "&amp;$CR$434&amp;" "," ")," "&amp;$CR$429&amp;" "," ")," "&amp;$CR$427&amp;" "," ")," "&amp;$CR$1367&amp;" "," ")," "&amp;$CR$435&amp;" "," ")," "&amp;$CR$1366&amp;" "," ")," "&amp;$CR$430&amp;" "," ")),"")</f>
        <v xml:space="preserve"> choux fleurs </v>
      </c>
      <c r="AM15" s="493" t="str">
        <f>IF(15=15,IF($U15="","",IF(AJ15&gt;0,"X",IF(AK15&gt;0,"?",""))),"")</f>
        <v/>
      </c>
      <c r="AN15" s="493">
        <f>IF(15=15,IF($U15="","",SUMPRODUCT(--ISNUMBER(SEARCH(" "&amp;$CR$436:$CR$535&amp;" ",$AX15)))),"")</f>
        <v>0</v>
      </c>
      <c r="AO15" s="493">
        <f>IF(15=15,IF($U15="","",SUMPRODUCT(--ISNUMBER(SEARCH(" "&amp;$CR$536:$CR$635&amp;" ",$AX15)))),"")</f>
        <v>0</v>
      </c>
      <c r="AP15" s="493">
        <f>IF(15=15,IF($U15="","",SUMPRODUCT(--ISNUMBER(SEARCH(" "&amp;$CR$636:$CR$735&amp;" ",$AX15)))),"")</f>
        <v>0</v>
      </c>
      <c r="AQ15" s="493">
        <f>IF(15=15,IF($U15="","",SUMPRODUCT(--ISNUMBER(SEARCH(" "&amp;$CR$736:$CR$835&amp;" ",$AX15)))),"")</f>
        <v>0</v>
      </c>
      <c r="AR15" s="493">
        <f>IF(15=15,IF($U15="","",SUMPRODUCT(--ISNUMBER(SEARCH(" "&amp;$CR$836:$CR$935&amp;" ",$AX15)))),"")</f>
        <v>0</v>
      </c>
      <c r="AS15" s="493">
        <f>IF(15=15,IF($U15="","",SUMPRODUCT(--ISNUMBER(SEARCH(" "&amp;$CR$936:$CR$1035&amp;" ",$AX15)))),"")</f>
        <v>0</v>
      </c>
      <c r="AT15" s="493">
        <f>IF(15=15,IF($U15="","",SUMPRODUCT(--ISNUMBER(SEARCH(" "&amp;$CR$1036:$CR$1135&amp;" ",$AX15)))),"")</f>
        <v>0</v>
      </c>
      <c r="AU15" s="493">
        <f>IF(15=15,IF($U15="","",SUMPRODUCT(--ISNUMBER(SEARCH(" "&amp;$CR$1136:$CR$1235&amp;" ",$AX15)))),"")</f>
        <v>0</v>
      </c>
      <c r="AV15" s="493">
        <f>IF(15=15,IF($U15="","",SUMPRODUCT(--ISNUMBER(SEARCH(" "&amp;$CR$1236:$CR$1335&amp;" ",$AX15)))),"")</f>
        <v>0</v>
      </c>
      <c r="AW15" s="493">
        <f>IF(15=15,IF($U15="","",SUMPRODUCT(--ISNUMBER(SEARCH(" "&amp;$CR$1336:$CR$1363&amp;" ",$AX15)))),"")</f>
        <v>0</v>
      </c>
      <c r="AX15" s="493" t="str">
        <f>IF(15=15,IF($U15="","",SUBSTITUTE(SUBSTITUTE(SUBSTITUTE(SUBSTITUTE(SUBSTITUTE(SUBSTITUTE(SUBSTITUTE(SUBSTITUTE(SUBSTITUTE($AA15," "&amp;$CR$1365&amp;" "," ")," "&amp;$CR$1364&amp;" "," ")," "&amp;$CR$1370&amp;" "," ")," "&amp;$CR$1371&amp;" "," ")," "&amp;$CR$1367&amp;" "," ")," "&amp;$CR$1369&amp;" "," ")," "&amp;$CR$1366&amp;" "," ")," "&amp;$CR$1368&amp;" "," ")," "&amp;$CR$1372&amp;" "," ")),"")</f>
        <v xml:space="preserve"> choux fleurs </v>
      </c>
      <c r="AY15" s="493">
        <f>IF(15=15,IF($U15="","",SUMPRODUCT(--ISNUMBER(SEARCH(" "&amp;$CR$1373:$CR$1383&amp;" ",$AX15)))),"")</f>
        <v>0</v>
      </c>
      <c r="AZ15" s="493" t="str">
        <f>IF(15=15,IF($U15="","",IF(SUM(AN15:AW15)+SUMPRODUCT(--ISNUMBER(SEARCH(" "&amp;$CR$2421:$CR$2422&amp;" ",$AX15)))&gt;0,"X",IF(AY15&gt;0,"?",""))),"")</f>
        <v/>
      </c>
      <c r="BA15" s="493">
        <f>IF(15=15,IF($U15="","",SUMPRODUCT(--ISNUMBER(SEARCH(" "&amp;$CR$1384:$CR$1404&amp;" ",$AA15)))),"")</f>
        <v>0</v>
      </c>
      <c r="BB15" s="493" t="str">
        <f>IF(15=15,IF($U15="","",IF((BA15)-(0)&gt;0,"X",IF((0)-(0)&gt;0,"?",""))),"")</f>
        <v/>
      </c>
      <c r="BC15" s="493">
        <f>IF(15=15,IF($U15="","",SUMPRODUCT(--ISNUMBER(SEARCH(" "&amp;$CR$1405:$CR$1442&amp;" ",$BD15)))),"")</f>
        <v>0</v>
      </c>
      <c r="BD15" s="493" t="str">
        <f>IF(15=15,IF($U15="","",SUBSTITUTE(SUBSTITUTE($AA15," "&amp;$CR$1443&amp;" "," ")," "&amp;$CR$1444&amp;" "," ")),"")</f>
        <v xml:space="preserve"> choux fleurs </v>
      </c>
      <c r="BE15" s="493">
        <f>IF(15=15,IF($U15="","",SUMPRODUCT(--ISNUMBER(SEARCH(" "&amp;$CR$1445:$CR$1455&amp;" ",$BD15)))),"")</f>
        <v>0</v>
      </c>
      <c r="BF15" s="493" t="str">
        <f>IF(15=15,IF($U15="","",IF(BC15&gt;0,"X",IF(BE15&gt;0,"?",""))),"")</f>
        <v/>
      </c>
      <c r="BG15" s="493">
        <f>IF(15=15,IF($U15="","",SUMPRODUCT(--ISNUMBER(SEARCH(" "&amp;$CR$1456:$CR$1555&amp;" ",$BJ15)))),"")</f>
        <v>0</v>
      </c>
      <c r="BH15" s="493">
        <f>IF(15=15,IF($U15="","",SUMPRODUCT(--ISNUMBER(SEARCH(" "&amp;$CR$1556:$CR$1655&amp;" ",$BJ15)))),"")</f>
        <v>0</v>
      </c>
      <c r="BI15" s="493">
        <f>IF(15=15,IF($U15="","",SUMPRODUCT(--ISNUMBER(SEARCH(" "&amp;$CR$1656:$CR$1739&amp;" ",$BJ15)))),"")</f>
        <v>0</v>
      </c>
      <c r="BJ15" s="493" t="str">
        <f>IF(15=15,IF($U15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choux fleurs </v>
      </c>
      <c r="BK15" s="493">
        <f>IF(15=15,IF($U15="","",SUMPRODUCT(--ISNUMBER(SEARCH(" "&amp;$CR$1790:$CR$1869&amp;" ",$BL15)))+SUMPRODUCT(--ISNUMBER(SEARCH(" "&amp;$CR$2440:$CR$2453&amp;" ",$BL15)))),"")</f>
        <v>0</v>
      </c>
      <c r="BL15" s="493" t="str">
        <f>IF(15=15,IF($U15="","",SUBSTITUTE(SUBSTITUTE(SUBSTITUTE(SUBSTITUTE(SUBSTITUTE(SUBSTITUTE(SUBSTITUTE(SUBSTITUTE(SUBSTITUTE(SUBSTITUTE(SUBSTITUTE(SUBSTITUTE(SUBSTITUTE($BJ15," "&amp;$CR$1876&amp;" "," ")," "&amp;$CR$1874&amp;" "," ")," "&amp;$CR$2438&amp;" "," ")," "&amp;$CR$2439&amp;" "," ")," "&amp;$CR$1871&amp;" "," ")," "&amp;$CR$1875&amp;" "," ")," "&amp;$CR$1877&amp;" "," ")," "&amp;$CR$1872&amp;" "," ")," "&amp;$CR$1870&amp;" "," ")," "&amp;$CR$1367&amp;" "," ")," "&amp;$CR$1878&amp;" "," ")," "&amp;$CR$1366&amp;" "," ")," "&amp;$CR$1873&amp;" "," ")),"")</f>
        <v xml:space="preserve"> choux fleurs </v>
      </c>
      <c r="BM15" s="493" t="str">
        <f>IF(15=15,IF($U15="","",IF(SUM(BG15:BI15)+SUMPRODUCT(--ISNUMBER(SEARCH(" "&amp;$CR$2423:$CR$2424&amp;" ",$BJ15)))&gt;0,"X",IF(BK15&gt;0,"?",""))),"")</f>
        <v/>
      </c>
      <c r="BN15" s="493">
        <f>IF(15=15,IF($U15="","",SUMPRODUCT(--ISNUMBER(SEARCH(" "&amp;$CR$1879:$CR$1936&amp;" ",$BO15)))),"")</f>
        <v>0</v>
      </c>
      <c r="BO15" s="493" t="str">
        <f>IF(15=15,IF($U15="","",SUBSTITUTE(SUBSTITUTE(SUBSTITUTE(SUBSTITUTE(SUBSTITUTE(SUBSTITUTE(SUBSTITUTE(SUBSTITUTE(SUBSTITUTE(SUBSTITUTE(SUBSTITUTE(SUBSTITUTE(SUBSTITUTE(SUBSTITUTE(SUBSTITUTE(SUBSTITUTE(SUBSTITUTE(SUBSTITUTE(SUBSTITUTE(SUBSTITUTE(SUBSTITUTE(SUBSTITUTE(SUBSTITUTE($AA15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choux fleurs </v>
      </c>
      <c r="BP15" s="493">
        <f>IF(15=15,IF($U15="","",SUMPRODUCT(--ISNUMBER(SEARCH(" "&amp;$CR$1960:$CR$1976&amp;" ",$BO15)))),"")</f>
        <v>0</v>
      </c>
      <c r="BQ15" s="493" t="str">
        <f>IF(15=15,IF($U15="","",IF(BN15&gt;0,"X",IF(BP15&gt;0,"?",""))),"")</f>
        <v/>
      </c>
      <c r="BR15" s="493">
        <f>IF(15=15,IF($U15="","",SUMPRODUCT(--ISNUMBER(SEARCH(" "&amp;$CR$1977:$CR$1990&amp;" ",$AA15)))),"")</f>
        <v>0</v>
      </c>
      <c r="BS15" s="493">
        <f>IF(15=15,IF($U15="","",SUMPRODUCT(--ISNUMBER(SEARCH(" "&amp;$CR$1991:$CR$2005&amp;" ",$AA15)))),"")</f>
        <v>0</v>
      </c>
      <c r="BT15" s="493" t="str">
        <f>IF(15=15,IF($U15="","",IF((BR15)-(0)&gt;0,"X",IF((BS15)-(0)&gt;0,"?",""))),"")</f>
        <v/>
      </c>
      <c r="BU15" s="493">
        <f>IF(15=15,IF($U15="","",SUMPRODUCT(--ISNUMBER(SEARCH(" "&amp;$CR$2006:$CR$2023&amp;" ",$AA15)))),"")</f>
        <v>0</v>
      </c>
      <c r="BV15" s="493">
        <f>IF(15=15,IF($U15="","",SUMPRODUCT(--ISNUMBER(SEARCH(" "&amp;$CR$2024:$CR$2038&amp;" ",$AA15)))),"")</f>
        <v>0</v>
      </c>
      <c r="BW15" s="493" t="str">
        <f>IF(15=15,IF($U15="","",IF((BU15)-(0)&gt;0,"X",IF((BV15)-(0)&gt;0,"?",""))),"")</f>
        <v/>
      </c>
      <c r="BX15" s="493">
        <f>IF(15=15,IF($U15="","",SUMPRODUCT(--ISNUMBER(SEARCH(" "&amp;$CR$2039:$CR$2057&amp;" ",$AA15)))),"")</f>
        <v>0</v>
      </c>
      <c r="BY15" s="493">
        <f>IF(15=15,IF($U15="","",SUMPRODUCT(--ISNUMBER(SEARCH(" "&amp;$CR$2058:$CR$2072&amp;" ",$AA15)))),"")</f>
        <v>0</v>
      </c>
      <c r="BZ15" s="493" t="str">
        <f>IF(15=15,IF($U15="","",IF((BX15)-(0)&gt;0,"X",IF((BY15)-(0)&gt;0,"?",""))),"")</f>
        <v/>
      </c>
      <c r="CA15" s="493">
        <f>IF(15=15,IF($U15="","",SUMPRODUCT(--ISNUMBER(SEARCH(" "&amp;$CR$2073:$CR$2093&amp;" ",$AA15)))),"")</f>
        <v>0</v>
      </c>
      <c r="CB15" s="493">
        <f>IF(15=15,IF($U15="","",SUMPRODUCT(--ISNUMBER(SEARCH(" "&amp;$CR$2094:$CR$2133&amp;" ",SUBSTITUTE(SUBSTITUTE($AA15," "&amp;$CR$1367&amp;" "," ")," "&amp;$CR$1366&amp;" "," "))))+--ISNUMBER(SEARCH("poiré",$V15))),"")</f>
        <v>0</v>
      </c>
      <c r="CC15" s="493" t="str">
        <f>IF(15=15,IF($U15="","",IF(OR(CA15&gt;0,ISNUMBER(SEARCH(" vinaigre de vin ",$AA15)),ISNUMBER(SEARCH(" vinaigre au vin ",$AA15))),"X",IF(CB15&gt;0,"?",""))),"")</f>
        <v/>
      </c>
      <c r="CD15" s="493">
        <f>IF(15=15,IF($U15="","",SUMPRODUCT(--ISNUMBER(SEARCH(" "&amp;$CR$2134:$CR$2146&amp;" ",$AA15)))),"")</f>
        <v>0</v>
      </c>
      <c r="CE15" s="493">
        <f>IF(15=15,IF($U15="","",SUMPRODUCT(--ISNUMBER(SEARCH(" "&amp;$CR$2147:$CR$2152&amp;" ",$AA15)))),"")</f>
        <v>0</v>
      </c>
      <c r="CF15" s="493" t="str">
        <f>IF(15=15,IF($U15="","",IF((CD15)-(0)&gt;0,"X",IF((CE15)-(0)&gt;0,"?",""))),"")</f>
        <v/>
      </c>
      <c r="CG15" s="493">
        <f>IF(15=15,IF($U15="","",SUMPRODUCT(--ISNUMBER(SEARCH(" "&amp;$CR$2153:$CR$2252&amp;" ",$CJ15)))),"")</f>
        <v>0</v>
      </c>
      <c r="CH15" s="493">
        <f>IF(15=15,IF($U15="","",SUMPRODUCT(--ISNUMBER(SEARCH(" "&amp;$CR$2253:$CR$2352&amp;" ",$CJ15)))),"")</f>
        <v>0</v>
      </c>
      <c r="CI15" s="493">
        <f>IF(15=15,IF($U15="","",SUMPRODUCT(--ISNUMBER(SEARCH(" "&amp;$CR$2353:$CR$2395&amp;" ",$CJ15)))),"")</f>
        <v>0</v>
      </c>
      <c r="CJ15" s="493" t="str">
        <f>IF(15=15,IF($U15="","",SUBSTITUTE(SUBSTITUTE(SUBSTITUTE(SUBSTITUTE(SUBSTITUTE(SUBSTITUTE(SUBSTITUTE(SUBSTITUTE(SUBSTITUTE(SUBSTITUTE(SUBSTITUTE(SUBSTITUTE(SUBSTITUTE(SUBSTITUTE(SUBSTITUTE(SUBSTITUTE($AA15," "&amp;$CR$2401&amp;" "," ")," "&amp;$CR$2400&amp;" "," ")," "&amp;$CR$2399&amp;" "," ")," "&amp;$CR$2406&amp;" "," ")," "&amp;$CR$2398&amp;" "," ")," "&amp;$CR$2410&amp;" "," ")," "&amp;$CR$2397&amp;" "," ")," "&amp;$CR$2402&amp;" "," ")," "&amp;$CR$2405&amp;" "," ")," "&amp;$CR$2396&amp;" "," ")," "&amp;$CR$2404&amp;" "," ")," "&amp;$CR$2411&amp;" "," ")," "&amp;$CR$2408&amp;" "," ")," "&amp;$CR$2403&amp;" "," ")," "&amp;$CR$2407&amp;" "," ")," "&amp;$CR$2409&amp;" "," ")),"")</f>
        <v xml:space="preserve"> choux fleurs </v>
      </c>
      <c r="CK15" s="493">
        <f>IF(15=15,IF($U15="","",SUMPRODUCT(--ISNUMBER(SEARCH(" "&amp;$CR$2412:$CR$2416&amp;" ",$CJ15)))),"")</f>
        <v>0</v>
      </c>
      <c r="CL15" s="493" t="str">
        <f>IF(15=15,IF($U15="","",IF(SUM(CG15:CI15)&gt;0,"X",IF(CK15&gt;0,"?",""))),"")</f>
        <v/>
      </c>
      <c r="CM15" s="494"/>
      <c r="CN15" s="496" t="s">
        <v>1172</v>
      </c>
      <c r="CO15" s="496" t="s">
        <v>1083</v>
      </c>
      <c r="CP15" s="496" t="s">
        <v>689</v>
      </c>
      <c r="CQ15" s="496" t="s">
        <v>310</v>
      </c>
      <c r="CR15" s="496" t="s">
        <v>29</v>
      </c>
      <c r="CS15" s="496" t="s">
        <v>1085</v>
      </c>
      <c r="CT15" s="496" t="s">
        <v>1086</v>
      </c>
      <c r="CU15" s="496" t="s">
        <v>1087</v>
      </c>
      <c r="CV15" s="497" t="s">
        <v>1088</v>
      </c>
      <c r="CX15" s="543">
        <v>1</v>
      </c>
    </row>
    <row r="16" spans="1:102" ht="21" customHeight="1">
      <c r="A16" s="509">
        <v>10</v>
      </c>
      <c r="B16" s="510" t="s">
        <v>5854</v>
      </c>
      <c r="C16" s="511" t="str">
        <f t="shared" si="0"/>
        <v>Citrons</v>
      </c>
      <c r="D16" s="512" t="str">
        <f>IF(16=16,IF($B16="","",IF(E16="X",""&amp;"Céréales contenant du gluten","")&amp;IF(F16="X",IF(COUNTIF($E16:$E16,"X")&gt;0,", ","")&amp;"Crustacés","")&amp;IF(G16="X",IF(COUNTIF($E16:$F16,"X")&gt;0,", ","")&amp;"Œufs","")&amp;IF(H16="X",IF(COUNTIF($E16:$G16,"X")&gt;0,", ","")&amp;"Poissons","")&amp;IF(I16="X",IF(COUNTIF($E16:$H16,"X")&gt;0,", ","")&amp;"Arachides","")&amp;IF(J16="X",IF(COUNTIF($E16:$I16,"X")&gt;0,", ","")&amp;"Soja","")&amp;IF(K16="X",IF(COUNTIF($E16:$J16,"X")&gt;0,", ","")&amp;"Lait","")&amp;IF(L16="X",IF(COUNTIF($E16:$K16,"X")&gt;0,", ","")&amp;"Fruits à coque","")&amp;IF(M16="X",IF(COUNTIF($E16:$L16,"X")&gt;0,", ","")&amp;"Céleri","")&amp;IF(N16="X",IF(COUNTIF($E16:$M16,"X")&gt;0,", ","")&amp;"Moutarde","")&amp;IF(O16="X",IF(COUNTIF($E16:$N16,"X")&gt;0,", ","")&amp;"Sésame","")&amp;IF(P16="X",IF(COUNTIF($E16:$O16,"X")&gt;0,", ","")&amp;"Sulfites","")&amp;IF(Q16="X",IF(COUNTIF($E16:$P16,"X")&gt;0,", ","")&amp;"Lupin","")&amp;IF(R16="X",IF(COUNTIF($E16:$Q16,"X")&gt;0,", ","")&amp;"Mollusques","")),"")</f>
        <v/>
      </c>
      <c r="E16" s="513" t="str">
        <f>IF(16=16,IF($B16="","",AF16),"")</f>
        <v/>
      </c>
      <c r="F16" s="513" t="str">
        <f>IF(16=16,IF($B16="","",AI16),"")</f>
        <v/>
      </c>
      <c r="G16" s="513" t="str">
        <f>IF(16=16,IF($B16="","",AM16),"")</f>
        <v/>
      </c>
      <c r="H16" s="513" t="str">
        <f>IF(16=16,IF($B16="","",IF(ISNUMBER(SEARCH(" colin ",$AA16)),"X",AZ16)),"")</f>
        <v/>
      </c>
      <c r="I16" s="513" t="str">
        <f>IF(16=16,IF($B16="","",BB16),"")</f>
        <v/>
      </c>
      <c r="J16" s="513" t="str">
        <f>IF(16=16,IF($B16="","",BF16),"")</f>
        <v/>
      </c>
      <c r="K16" s="513" t="str">
        <f>IF(16=16,IF($B16="","",BM16),"")</f>
        <v/>
      </c>
      <c r="L16" s="513" t="str">
        <f>IF(16=16,IF($B16="","",BQ16),"")</f>
        <v/>
      </c>
      <c r="M16" s="513" t="str">
        <f>IF(16=16,IF($B16="","",BT16),"")</f>
        <v/>
      </c>
      <c r="N16" s="513" t="str">
        <f>IF(16=16,IF($B16="","",BW16),"")</f>
        <v/>
      </c>
      <c r="O16" s="513" t="str">
        <f>IF(16=16,IF($B16="","",BZ16),"")</f>
        <v/>
      </c>
      <c r="P16" s="513" t="str">
        <f>IF(16=16,IF($B16="","",CC16),"")</f>
        <v/>
      </c>
      <c r="Q16" s="513" t="str">
        <f>IF(16=16,IF($B16="","",CF16),"")</f>
        <v/>
      </c>
      <c r="R16" s="513" t="str">
        <f>IF(16=16,IF($B16="","",CL16),"")</f>
        <v/>
      </c>
      <c r="S16" s="514" t="str">
        <f>IF(16=16,IF($B16="","",IF(E16="?",""&amp;"Céréales contenant du gluten","")&amp;IF(F16="?",IF(COUNTIF($E16:$E16,"~?")&gt;0,", ","")&amp;"Crustacés","")&amp;IF(G16="?",IF(COUNTIF($E16:$F16,"~?")&gt;0,", ","")&amp;"Œufs","")&amp;IF(H16="?",IF(COUNTIF($E16:$G16,"~?")&gt;0,", ","")&amp;"Poissons","")&amp;IF(I16="?",IF(COUNTIF($E16:$H16,"~?")&gt;0,", ","")&amp;"Arachides","")&amp;IF(J16="?",IF(COUNTIF($E16:$I16,"~?")&gt;0,", ","")&amp;"Soja","")&amp;IF(K16="?",IF(COUNTIF($E16:$J16,"~?")&gt;0,", ","")&amp;"Lait","")&amp;IF(L16="?",IF(COUNTIF($E16:$K16,"~?")&gt;0,", ","")&amp;"Fruits à coque","")&amp;IF(M16="?",IF(COUNTIF($E16:$L16,"~?")&gt;0,", ","")&amp;"Céleri","")&amp;IF(N16="?",IF(COUNTIF($E16:$M16,"~?")&gt;0,", ","")&amp;"Moutarde","")&amp;IF(O16="?",IF(COUNTIF($E16:$N16,"~?")&gt;0,", ","")&amp;"Sésame","")&amp;IF(P16="?",IF(COUNTIF($E16:$O16,"~?")&gt;0,", ","")&amp;"Sulfites","")&amp;IF(Q16="?",IF(COUNTIF($E16:$P16,"~?")&gt;0,", ","")&amp;"Lupin","")&amp;IF(R16="?",IF(COUNTIF($E16:$Q16,"~?")&gt;0,", ","")&amp;"Mollusques","")),"")</f>
        <v/>
      </c>
      <c r="U16" s="493" t="str">
        <f>IF(16=16,IF($B16="","",$B16),"")</f>
        <v>Citrons</v>
      </c>
      <c r="V16" s="493" t="str">
        <f>IF(16=16,LOWER(CLEAN(SUBSTITUTE(SUBSTITUTE(SUBSTITUTE(SUBSTITUTE($U16,CHAR(160)," ")," "," "),CHAR(10)," "),CHAR(13)," "))),"")</f>
        <v>citrons</v>
      </c>
      <c r="W16" s="493" t="str">
        <f>IF(16=16,SUBSTITUTE(SUBSTITUTE(SUBSTITUTE(SUBSTITUTE(SUBSTITUTE(SUBSTITUTE(SUBSTITUTE(SUBSTITUTE(SUBSTITUTE(SUBSTITUTE(SUBSTITUTE(SUBSTITUTE($V16,"œ","oe"),"æ","ae"),"à","a"),"á","a"),"â","a"),"ä","a"),"ã","a"),"ç","c"),"è","e"),"é","e"),"ê","e"),"ë","e"),"")</f>
        <v>citrons</v>
      </c>
      <c r="X16" s="493" t="str">
        <f>IF(16=16,SUBSTITUTE(SUBSTITUTE(SUBSTITUTE(SUBSTITUTE(SUBSTITUTE(SUBSTITUTE(SUBSTITUTE(SUBSTITUTE(SUBSTITUTE(SUBSTITUTE(SUBSTITUTE(SUBSTITUTE(SUBSTITUTE(SUBSTITUTE(SUBSTITUTE(SUBSTITUTE($W16,"ì","i"),"í","i"),"î","i"),"ï","i"),"ñ","n"),"ò","o"),"ó","o"),"ô","o"),"ö","o"),"õ","o"),"ù","u"),"ú","u"),"û","u"),"ü","u"),"ý","y"),"ÿ","y"),"")</f>
        <v>citrons</v>
      </c>
      <c r="Y16" s="493" t="str">
        <f>IF(16=16,SUBSTITUTE(SUBSTITUTE(SUBSTITUTE(SUBSTITUTE(SUBSTITUTE(SUBSTITUTE(SUBSTITUTE(SUBSTITUTE(SUBSTITUTE(SUBSTITUTE(SUBSTITUTE(SUBSTITUTE(SUBSTITUTE(SUBSTITUTE($X16,"’"," "),"`"," "),"–"," "),"—"," "),"-"," "),"'"," "),"/"," "),"_"," "),","," "),"."," "),"("," "),")"," "),";"," "),":"," "),"")</f>
        <v>citrons</v>
      </c>
      <c r="Z16" s="493" t="str">
        <f>IF(16=16,SUBSTITUTE(SUBSTITUTE(SUBSTITUTE(SUBSTITUTE(SUBSTITUTE(SUBSTITUTE(SUBSTITUTE(SUBSTITUTE(SUBSTITUTE(SUBSTITUTE(SUBSTITUTE(SUBSTITUTE(SUBSTITUTE(SUBSTITUTE(SUBSTITUTE($Y16,"!"," "),"?"," "),"+"," "),"*"," "),"&amp;"," "),"["," "),"]"," "),"{"," "),"}"," "),"%"," "),"="," "),"\"," "),"|"," "),"&lt;"," "),"&gt;"," "),"")</f>
        <v>citrons</v>
      </c>
      <c r="AA16" s="493" t="str">
        <f>IF(16=16," "&amp;TRIM(SUBSTITUTE(SUBSTITUTE(SUBSTITUTE(SUBSTITUTE(SUBSTITUTE(SUBSTITUTE($Z16,CHAR(34)," "),"  "," "),"  "," "),"  "," "),"  "," "),"  "," "))&amp;" ","")</f>
        <v xml:space="preserve"> citrons </v>
      </c>
      <c r="AB16" s="493">
        <f>IF(16=16,IF($U16="","",SUMPRODUCT(--ISNUMBER(SEARCH(" "&amp;$CR$2:$CR$101&amp;" ",$AD16)))),"")</f>
        <v>0</v>
      </c>
      <c r="AC16" s="493">
        <f>IF(16=16,IF($U16="","",SUMPRODUCT(--ISNUMBER(SEARCH(" "&amp;$CR$102:$CR$151&amp;" ",$AD16)))),"")</f>
        <v>0</v>
      </c>
      <c r="AD16" s="493" t="str">
        <f t="shared" si="1"/>
        <v xml:space="preserve"> citrons </v>
      </c>
      <c r="AE16" s="493">
        <f t="shared" si="2"/>
        <v>0</v>
      </c>
      <c r="AF16" s="493" t="str">
        <f>IF(16=16,IF($U16="","",IF(SUM(AB16:AC16)+SUMPRODUCT(--ISNUMBER(SEARCH(" "&amp;$CR$2418:$CR$2420&amp;" ",$AD16)))&gt;0,"X",IF(AE16&gt;0,"?",""))),"")</f>
        <v/>
      </c>
      <c r="AG16" s="493">
        <f>IF(16=16,IF($U16="","",SUMPRODUCT(--ISNUMBER(SEARCH(" "&amp;$CR$206:$CR$305&amp;" ",$AA16)))),"")</f>
        <v>0</v>
      </c>
      <c r="AH16" s="493">
        <f>IF(16=16,IF($U16="","",SUMPRODUCT(--ISNUMBER(SEARCH(" "&amp;$CR$306:$CR$340&amp;" ",$AA16)))),"")</f>
        <v>0</v>
      </c>
      <c r="AI16" s="493" t="str">
        <f>IF(16=16,IF($U16="","",IF((SUM(AG16:AH16))-(0)&gt;0,"X",IF((0)-(0)&gt;0,"?",""))),"")</f>
        <v/>
      </c>
      <c r="AJ16" s="493">
        <f>IF(16=16,IF($U16="","",SUMPRODUCT(--ISNUMBER(SEARCH(" "&amp;$CR$341:$CR$398&amp;" ",$AA16)))),"")</f>
        <v>0</v>
      </c>
      <c r="AK16" s="493">
        <f>IF(16=16,IF($U16="","",SUMPRODUCT(--ISNUMBER(SEARCH(" "&amp;$CR$399:$CR$426&amp;" ",$AL16)))+SUMPRODUCT(--ISNUMBER(SEARCH(" "&amp;$CR$2440:$CR$2453&amp;" ",$AL16)))),"")</f>
        <v>0</v>
      </c>
      <c r="AL16" s="493" t="str">
        <f>IF(16=16,IF($U16="","",SUBSTITUTE(SUBSTITUTE(SUBSTITUTE(SUBSTITUTE(SUBSTITUTE(SUBSTITUTE(SUBSTITUTE(SUBSTITUTE(SUBSTITUTE(SUBSTITUTE(SUBSTITUTE(SUBSTITUTE(SUBSTITUTE(SUBSTITUTE($AA16," "&amp;$CR$2455&amp;" "," ")," "&amp;$CR$433&amp;" "," ")," "&amp;$CR$431&amp;" "," ")," "&amp;$CR$2438&amp;" "," ")," "&amp;$CR$2439&amp;" "," ")," "&amp;$CR$428&amp;" "," ")," "&amp;$CR$432&amp;" "," ")," "&amp;$CR$434&amp;" "," ")," "&amp;$CR$429&amp;" "," ")," "&amp;$CR$427&amp;" "," ")," "&amp;$CR$1367&amp;" "," ")," "&amp;$CR$435&amp;" "," ")," "&amp;$CR$1366&amp;" "," ")," "&amp;$CR$430&amp;" "," ")),"")</f>
        <v xml:space="preserve"> citrons </v>
      </c>
      <c r="AM16" s="493" t="str">
        <f>IF(16=16,IF($U16="","",IF(AJ16&gt;0,"X",IF(AK16&gt;0,"?",""))),"")</f>
        <v/>
      </c>
      <c r="AN16" s="493">
        <f>IF(16=16,IF($U16="","",SUMPRODUCT(--ISNUMBER(SEARCH(" "&amp;$CR$436:$CR$535&amp;" ",$AX16)))),"")</f>
        <v>0</v>
      </c>
      <c r="AO16" s="493">
        <f>IF(16=16,IF($U16="","",SUMPRODUCT(--ISNUMBER(SEARCH(" "&amp;$CR$536:$CR$635&amp;" ",$AX16)))),"")</f>
        <v>0</v>
      </c>
      <c r="AP16" s="493">
        <f>IF(16=16,IF($U16="","",SUMPRODUCT(--ISNUMBER(SEARCH(" "&amp;$CR$636:$CR$735&amp;" ",$AX16)))),"")</f>
        <v>0</v>
      </c>
      <c r="AQ16" s="493">
        <f>IF(16=16,IF($U16="","",SUMPRODUCT(--ISNUMBER(SEARCH(" "&amp;$CR$736:$CR$835&amp;" ",$AX16)))),"")</f>
        <v>0</v>
      </c>
      <c r="AR16" s="493">
        <f>IF(16=16,IF($U16="","",SUMPRODUCT(--ISNUMBER(SEARCH(" "&amp;$CR$836:$CR$935&amp;" ",$AX16)))),"")</f>
        <v>0</v>
      </c>
      <c r="AS16" s="493">
        <f>IF(16=16,IF($U16="","",SUMPRODUCT(--ISNUMBER(SEARCH(" "&amp;$CR$936:$CR$1035&amp;" ",$AX16)))),"")</f>
        <v>0</v>
      </c>
      <c r="AT16" s="493">
        <f>IF(16=16,IF($U16="","",SUMPRODUCT(--ISNUMBER(SEARCH(" "&amp;$CR$1036:$CR$1135&amp;" ",$AX16)))),"")</f>
        <v>0</v>
      </c>
      <c r="AU16" s="493">
        <f>IF(16=16,IF($U16="","",SUMPRODUCT(--ISNUMBER(SEARCH(" "&amp;$CR$1136:$CR$1235&amp;" ",$AX16)))),"")</f>
        <v>0</v>
      </c>
      <c r="AV16" s="493">
        <f>IF(16=16,IF($U16="","",SUMPRODUCT(--ISNUMBER(SEARCH(" "&amp;$CR$1236:$CR$1335&amp;" ",$AX16)))),"")</f>
        <v>0</v>
      </c>
      <c r="AW16" s="493">
        <f>IF(16=16,IF($U16="","",SUMPRODUCT(--ISNUMBER(SEARCH(" "&amp;$CR$1336:$CR$1363&amp;" ",$AX16)))),"")</f>
        <v>0</v>
      </c>
      <c r="AX16" s="493" t="str">
        <f>IF(16=16,IF($U16="","",SUBSTITUTE(SUBSTITUTE(SUBSTITUTE(SUBSTITUTE(SUBSTITUTE(SUBSTITUTE(SUBSTITUTE(SUBSTITUTE(SUBSTITUTE($AA16," "&amp;$CR$1365&amp;" "," ")," "&amp;$CR$1364&amp;" "," ")," "&amp;$CR$1370&amp;" "," ")," "&amp;$CR$1371&amp;" "," ")," "&amp;$CR$1367&amp;" "," ")," "&amp;$CR$1369&amp;" "," ")," "&amp;$CR$1366&amp;" "," ")," "&amp;$CR$1368&amp;" "," ")," "&amp;$CR$1372&amp;" "," ")),"")</f>
        <v xml:space="preserve"> citrons </v>
      </c>
      <c r="AY16" s="493">
        <f>IF(16=16,IF($U16="","",SUMPRODUCT(--ISNUMBER(SEARCH(" "&amp;$CR$1373:$CR$1383&amp;" ",$AX16)))),"")</f>
        <v>0</v>
      </c>
      <c r="AZ16" s="493" t="str">
        <f>IF(16=16,IF($U16="","",IF(SUM(AN16:AW16)+SUMPRODUCT(--ISNUMBER(SEARCH(" "&amp;$CR$2421:$CR$2422&amp;" ",$AX16)))&gt;0,"X",IF(AY16&gt;0,"?",""))),"")</f>
        <v/>
      </c>
      <c r="BA16" s="493">
        <f>IF(16=16,IF($U16="","",SUMPRODUCT(--ISNUMBER(SEARCH(" "&amp;$CR$1384:$CR$1404&amp;" ",$AA16)))),"")</f>
        <v>0</v>
      </c>
      <c r="BB16" s="493" t="str">
        <f>IF(16=16,IF($U16="","",IF((BA16)-(0)&gt;0,"X",IF((0)-(0)&gt;0,"?",""))),"")</f>
        <v/>
      </c>
      <c r="BC16" s="493">
        <f>IF(16=16,IF($U16="","",SUMPRODUCT(--ISNUMBER(SEARCH(" "&amp;$CR$1405:$CR$1442&amp;" ",$BD16)))),"")</f>
        <v>0</v>
      </c>
      <c r="BD16" s="493" t="str">
        <f>IF(16=16,IF($U16="","",SUBSTITUTE(SUBSTITUTE($AA16," "&amp;$CR$1443&amp;" "," ")," "&amp;$CR$1444&amp;" "," ")),"")</f>
        <v xml:space="preserve"> citrons </v>
      </c>
      <c r="BE16" s="493">
        <f>IF(16=16,IF($U16="","",SUMPRODUCT(--ISNUMBER(SEARCH(" "&amp;$CR$1445:$CR$1455&amp;" ",$BD16)))),"")</f>
        <v>0</v>
      </c>
      <c r="BF16" s="493" t="str">
        <f>IF(16=16,IF($U16="","",IF(BC16&gt;0,"X",IF(BE16&gt;0,"?",""))),"")</f>
        <v/>
      </c>
      <c r="BG16" s="493">
        <f>IF(16=16,IF($U16="","",SUMPRODUCT(--ISNUMBER(SEARCH(" "&amp;$CR$1456:$CR$1555&amp;" ",$BJ16)))),"")</f>
        <v>0</v>
      </c>
      <c r="BH16" s="493">
        <f>IF(16=16,IF($U16="","",SUMPRODUCT(--ISNUMBER(SEARCH(" "&amp;$CR$1556:$CR$1655&amp;" ",$BJ16)))),"")</f>
        <v>0</v>
      </c>
      <c r="BI16" s="493">
        <f>IF(16=16,IF($U16="","",SUMPRODUCT(--ISNUMBER(SEARCH(" "&amp;$CR$1656:$CR$1739&amp;" ",$BJ16)))),"")</f>
        <v>0</v>
      </c>
      <c r="BJ16" s="493" t="str">
        <f>IF(16=16,IF($U16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citrons </v>
      </c>
      <c r="BK16" s="493">
        <f>IF(16=16,IF($U16="","",SUMPRODUCT(--ISNUMBER(SEARCH(" "&amp;$CR$1790:$CR$1869&amp;" ",$BL16)))+SUMPRODUCT(--ISNUMBER(SEARCH(" "&amp;$CR$2440:$CR$2453&amp;" ",$BL16)))),"")</f>
        <v>0</v>
      </c>
      <c r="BL16" s="493" t="str">
        <f>IF(16=16,IF($U16="","",SUBSTITUTE(SUBSTITUTE(SUBSTITUTE(SUBSTITUTE(SUBSTITUTE(SUBSTITUTE(SUBSTITUTE(SUBSTITUTE(SUBSTITUTE(SUBSTITUTE(SUBSTITUTE(SUBSTITUTE(SUBSTITUTE($BJ16," "&amp;$CR$1876&amp;" "," ")," "&amp;$CR$1874&amp;" "," ")," "&amp;$CR$2438&amp;" "," ")," "&amp;$CR$2439&amp;" "," ")," "&amp;$CR$1871&amp;" "," ")," "&amp;$CR$1875&amp;" "," ")," "&amp;$CR$1877&amp;" "," ")," "&amp;$CR$1872&amp;" "," ")," "&amp;$CR$1870&amp;" "," ")," "&amp;$CR$1367&amp;" "," ")," "&amp;$CR$1878&amp;" "," ")," "&amp;$CR$1366&amp;" "," ")," "&amp;$CR$1873&amp;" "," ")),"")</f>
        <v xml:space="preserve"> citrons </v>
      </c>
      <c r="BM16" s="493" t="str">
        <f>IF(16=16,IF($U16="","",IF(SUM(BG16:BI16)+SUMPRODUCT(--ISNUMBER(SEARCH(" "&amp;$CR$2423:$CR$2424&amp;" ",$BJ16)))&gt;0,"X",IF(BK16&gt;0,"?",""))),"")</f>
        <v/>
      </c>
      <c r="BN16" s="493">
        <f>IF(16=16,IF($U16="","",SUMPRODUCT(--ISNUMBER(SEARCH(" "&amp;$CR$1879:$CR$1936&amp;" ",$BO16)))),"")</f>
        <v>0</v>
      </c>
      <c r="BO16" s="493" t="str">
        <f>IF(16=16,IF($U16="","",SUBSTITUTE(SUBSTITUTE(SUBSTITUTE(SUBSTITUTE(SUBSTITUTE(SUBSTITUTE(SUBSTITUTE(SUBSTITUTE(SUBSTITUTE(SUBSTITUTE(SUBSTITUTE(SUBSTITUTE(SUBSTITUTE(SUBSTITUTE(SUBSTITUTE(SUBSTITUTE(SUBSTITUTE(SUBSTITUTE(SUBSTITUTE(SUBSTITUTE(SUBSTITUTE(SUBSTITUTE(SUBSTITUTE($AA16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citrons </v>
      </c>
      <c r="BP16" s="493">
        <f>IF(16=16,IF($U16="","",SUMPRODUCT(--ISNUMBER(SEARCH(" "&amp;$CR$1960:$CR$1976&amp;" ",$BO16)))),"")</f>
        <v>0</v>
      </c>
      <c r="BQ16" s="493" t="str">
        <f>IF(16=16,IF($U16="","",IF(BN16&gt;0,"X",IF(BP16&gt;0,"?",""))),"")</f>
        <v/>
      </c>
      <c r="BR16" s="493">
        <f>IF(16=16,IF($U16="","",SUMPRODUCT(--ISNUMBER(SEARCH(" "&amp;$CR$1977:$CR$1990&amp;" ",$AA16)))),"")</f>
        <v>0</v>
      </c>
      <c r="BS16" s="493">
        <f>IF(16=16,IF($U16="","",SUMPRODUCT(--ISNUMBER(SEARCH(" "&amp;$CR$1991:$CR$2005&amp;" ",$AA16)))),"")</f>
        <v>0</v>
      </c>
      <c r="BT16" s="493" t="str">
        <f>IF(16=16,IF($U16="","",IF((BR16)-(0)&gt;0,"X",IF((BS16)-(0)&gt;0,"?",""))),"")</f>
        <v/>
      </c>
      <c r="BU16" s="493">
        <f>IF(16=16,IF($U16="","",SUMPRODUCT(--ISNUMBER(SEARCH(" "&amp;$CR$2006:$CR$2023&amp;" ",$AA16)))),"")</f>
        <v>0</v>
      </c>
      <c r="BV16" s="493">
        <f>IF(16=16,IF($U16="","",SUMPRODUCT(--ISNUMBER(SEARCH(" "&amp;$CR$2024:$CR$2038&amp;" ",$AA16)))),"")</f>
        <v>0</v>
      </c>
      <c r="BW16" s="493" t="str">
        <f>IF(16=16,IF($U16="","",IF((BU16)-(0)&gt;0,"X",IF((BV16)-(0)&gt;0,"?",""))),"")</f>
        <v/>
      </c>
      <c r="BX16" s="493">
        <f>IF(16=16,IF($U16="","",SUMPRODUCT(--ISNUMBER(SEARCH(" "&amp;$CR$2039:$CR$2057&amp;" ",$AA16)))),"")</f>
        <v>0</v>
      </c>
      <c r="BY16" s="493">
        <f>IF(16=16,IF($U16="","",SUMPRODUCT(--ISNUMBER(SEARCH(" "&amp;$CR$2058:$CR$2072&amp;" ",$AA16)))),"")</f>
        <v>0</v>
      </c>
      <c r="BZ16" s="493" t="str">
        <f>IF(16=16,IF($U16="","",IF((BX16)-(0)&gt;0,"X",IF((BY16)-(0)&gt;0,"?",""))),"")</f>
        <v/>
      </c>
      <c r="CA16" s="493">
        <f>IF(16=16,IF($U16="","",SUMPRODUCT(--ISNUMBER(SEARCH(" "&amp;$CR$2073:$CR$2093&amp;" ",$AA16)))),"")</f>
        <v>0</v>
      </c>
      <c r="CB16" s="493">
        <f>IF(16=16,IF($U16="","",SUMPRODUCT(--ISNUMBER(SEARCH(" "&amp;$CR$2094:$CR$2133&amp;" ",SUBSTITUTE(SUBSTITUTE($AA16," "&amp;$CR$1367&amp;" "," ")," "&amp;$CR$1366&amp;" "," "))))+--ISNUMBER(SEARCH("poiré",$V16))),"")</f>
        <v>0</v>
      </c>
      <c r="CC16" s="493" t="str">
        <f>IF(16=16,IF($U16="","",IF(OR(CA16&gt;0,ISNUMBER(SEARCH(" vinaigre de vin ",$AA16)),ISNUMBER(SEARCH(" vinaigre au vin ",$AA16))),"X",IF(CB16&gt;0,"?",""))),"")</f>
        <v/>
      </c>
      <c r="CD16" s="493">
        <f>IF(16=16,IF($U16="","",SUMPRODUCT(--ISNUMBER(SEARCH(" "&amp;$CR$2134:$CR$2146&amp;" ",$AA16)))),"")</f>
        <v>0</v>
      </c>
      <c r="CE16" s="493">
        <f>IF(16=16,IF($U16="","",SUMPRODUCT(--ISNUMBER(SEARCH(" "&amp;$CR$2147:$CR$2152&amp;" ",$AA16)))),"")</f>
        <v>0</v>
      </c>
      <c r="CF16" s="493" t="str">
        <f>IF(16=16,IF($U16="","",IF((CD16)-(0)&gt;0,"X",IF((CE16)-(0)&gt;0,"?",""))),"")</f>
        <v/>
      </c>
      <c r="CG16" s="493">
        <f>IF(16=16,IF($U16="","",SUMPRODUCT(--ISNUMBER(SEARCH(" "&amp;$CR$2153:$CR$2252&amp;" ",$CJ16)))),"")</f>
        <v>0</v>
      </c>
      <c r="CH16" s="493">
        <f>IF(16=16,IF($U16="","",SUMPRODUCT(--ISNUMBER(SEARCH(" "&amp;$CR$2253:$CR$2352&amp;" ",$CJ16)))),"")</f>
        <v>0</v>
      </c>
      <c r="CI16" s="493">
        <f>IF(16=16,IF($U16="","",SUMPRODUCT(--ISNUMBER(SEARCH(" "&amp;$CR$2353:$CR$2395&amp;" ",$CJ16)))),"")</f>
        <v>0</v>
      </c>
      <c r="CJ16" s="493" t="str">
        <f>IF(16=16,IF($U16="","",SUBSTITUTE(SUBSTITUTE(SUBSTITUTE(SUBSTITUTE(SUBSTITUTE(SUBSTITUTE(SUBSTITUTE(SUBSTITUTE(SUBSTITUTE(SUBSTITUTE(SUBSTITUTE(SUBSTITUTE(SUBSTITUTE(SUBSTITUTE(SUBSTITUTE(SUBSTITUTE($AA16," "&amp;$CR$2401&amp;" "," ")," "&amp;$CR$2400&amp;" "," ")," "&amp;$CR$2399&amp;" "," ")," "&amp;$CR$2406&amp;" "," ")," "&amp;$CR$2398&amp;" "," ")," "&amp;$CR$2410&amp;" "," ")," "&amp;$CR$2397&amp;" "," ")," "&amp;$CR$2402&amp;" "," ")," "&amp;$CR$2405&amp;" "," ")," "&amp;$CR$2396&amp;" "," ")," "&amp;$CR$2404&amp;" "," ")," "&amp;$CR$2411&amp;" "," ")," "&amp;$CR$2408&amp;" "," ")," "&amp;$CR$2403&amp;" "," ")," "&amp;$CR$2407&amp;" "," ")," "&amp;$CR$2409&amp;" "," ")),"")</f>
        <v xml:space="preserve"> citrons </v>
      </c>
      <c r="CK16" s="493">
        <f>IF(16=16,IF($U16="","",SUMPRODUCT(--ISNUMBER(SEARCH(" "&amp;$CR$2412:$CR$2416&amp;" ",$CJ16)))),"")</f>
        <v>0</v>
      </c>
      <c r="CL16" s="493" t="str">
        <f>IF(16=16,IF($U16="","",IF(SUM(CG16:CI16)&gt;0,"X",IF(CK16&gt;0,"?",""))),"")</f>
        <v/>
      </c>
      <c r="CM16" s="494"/>
      <c r="CN16" s="496" t="s">
        <v>1173</v>
      </c>
      <c r="CO16" s="496" t="s">
        <v>1083</v>
      </c>
      <c r="CP16" s="496" t="s">
        <v>689</v>
      </c>
      <c r="CQ16" s="496" t="s">
        <v>183</v>
      </c>
      <c r="CR16" s="496" t="s">
        <v>183</v>
      </c>
      <c r="CS16" s="496" t="s">
        <v>1085</v>
      </c>
      <c r="CT16" s="496" t="s">
        <v>1086</v>
      </c>
      <c r="CU16" s="496" t="s">
        <v>1087</v>
      </c>
      <c r="CV16" s="497" t="s">
        <v>1088</v>
      </c>
      <c r="CX16" s="543">
        <v>1</v>
      </c>
    </row>
    <row r="17" spans="1:102" ht="21" customHeight="1">
      <c r="A17" s="509">
        <v>11</v>
      </c>
      <c r="B17" s="510" t="s">
        <v>5855</v>
      </c>
      <c r="C17" s="511" t="str">
        <f t="shared" si="0"/>
        <v>Cive (botte)</v>
      </c>
      <c r="D17" s="512" t="str">
        <f>IF(17=17,IF($B17="","",IF(E17="X",""&amp;"Céréales contenant du gluten","")&amp;IF(F17="X",IF(COUNTIF($E17:$E17,"X")&gt;0,", ","")&amp;"Crustacés","")&amp;IF(G17="X",IF(COUNTIF($E17:$F17,"X")&gt;0,", ","")&amp;"Œufs","")&amp;IF(H17="X",IF(COUNTIF($E17:$G17,"X")&gt;0,", ","")&amp;"Poissons","")&amp;IF(I17="X",IF(COUNTIF($E17:$H17,"X")&gt;0,", ","")&amp;"Arachides","")&amp;IF(J17="X",IF(COUNTIF($E17:$I17,"X")&gt;0,", ","")&amp;"Soja","")&amp;IF(K17="X",IF(COUNTIF($E17:$J17,"X")&gt;0,", ","")&amp;"Lait","")&amp;IF(L17="X",IF(COUNTIF($E17:$K17,"X")&gt;0,", ","")&amp;"Fruits à coque","")&amp;IF(M17="X",IF(COUNTIF($E17:$L17,"X")&gt;0,", ","")&amp;"Céleri","")&amp;IF(N17="X",IF(COUNTIF($E17:$M17,"X")&gt;0,", ","")&amp;"Moutarde","")&amp;IF(O17="X",IF(COUNTIF($E17:$N17,"X")&gt;0,", ","")&amp;"Sésame","")&amp;IF(P17="X",IF(COUNTIF($E17:$O17,"X")&gt;0,", ","")&amp;"Sulfites","")&amp;IF(Q17="X",IF(COUNTIF($E17:$P17,"X")&gt;0,", ","")&amp;"Lupin","")&amp;IF(R17="X",IF(COUNTIF($E17:$Q17,"X")&gt;0,", ","")&amp;"Mollusques","")),"")</f>
        <v/>
      </c>
      <c r="E17" s="513" t="str">
        <f>IF(17=17,IF($B17="","",AF17),"")</f>
        <v/>
      </c>
      <c r="F17" s="513" t="str">
        <f>IF(17=17,IF($B17="","",AI17),"")</f>
        <v/>
      </c>
      <c r="G17" s="513" t="str">
        <f>IF(17=17,IF($B17="","",AM17),"")</f>
        <v/>
      </c>
      <c r="H17" s="513" t="str">
        <f>IF(17=17,IF($B17="","",IF(ISNUMBER(SEARCH(" colin ",$AA17)),"X",AZ17)),"")</f>
        <v/>
      </c>
      <c r="I17" s="513" t="str">
        <f>IF(17=17,IF($B17="","",BB17),"")</f>
        <v/>
      </c>
      <c r="J17" s="513" t="str">
        <f>IF(17=17,IF($B17="","",BF17),"")</f>
        <v/>
      </c>
      <c r="K17" s="513" t="str">
        <f>IF(17=17,IF($B17="","",BM17),"")</f>
        <v/>
      </c>
      <c r="L17" s="513" t="str">
        <f>IF(17=17,IF($B17="","",BQ17),"")</f>
        <v/>
      </c>
      <c r="M17" s="513" t="str">
        <f>IF(17=17,IF($B17="","",BT17),"")</f>
        <v/>
      </c>
      <c r="N17" s="513" t="str">
        <f>IF(17=17,IF($B17="","",BW17),"")</f>
        <v/>
      </c>
      <c r="O17" s="513" t="str">
        <f>IF(17=17,IF($B17="","",BZ17),"")</f>
        <v/>
      </c>
      <c r="P17" s="513" t="str">
        <f>IF(17=17,IF($B17="","",CC17),"")</f>
        <v/>
      </c>
      <c r="Q17" s="513" t="str">
        <f>IF(17=17,IF($B17="","",CF17),"")</f>
        <v/>
      </c>
      <c r="R17" s="513" t="str">
        <f>IF(17=17,IF($B17="","",CL17),"")</f>
        <v/>
      </c>
      <c r="S17" s="514" t="str">
        <f>IF(17=17,IF($B17="","",IF(E17="?",""&amp;"Céréales contenant du gluten","")&amp;IF(F17="?",IF(COUNTIF($E17:$E17,"~?")&gt;0,", ","")&amp;"Crustacés","")&amp;IF(G17="?",IF(COUNTIF($E17:$F17,"~?")&gt;0,", ","")&amp;"Œufs","")&amp;IF(H17="?",IF(COUNTIF($E17:$G17,"~?")&gt;0,", ","")&amp;"Poissons","")&amp;IF(I17="?",IF(COUNTIF($E17:$H17,"~?")&gt;0,", ","")&amp;"Arachides","")&amp;IF(J17="?",IF(COUNTIF($E17:$I17,"~?")&gt;0,", ","")&amp;"Soja","")&amp;IF(K17="?",IF(COUNTIF($E17:$J17,"~?")&gt;0,", ","")&amp;"Lait","")&amp;IF(L17="?",IF(COUNTIF($E17:$K17,"~?")&gt;0,", ","")&amp;"Fruits à coque","")&amp;IF(M17="?",IF(COUNTIF($E17:$L17,"~?")&gt;0,", ","")&amp;"Céleri","")&amp;IF(N17="?",IF(COUNTIF($E17:$M17,"~?")&gt;0,", ","")&amp;"Moutarde","")&amp;IF(O17="?",IF(COUNTIF($E17:$N17,"~?")&gt;0,", ","")&amp;"Sésame","")&amp;IF(P17="?",IF(COUNTIF($E17:$O17,"~?")&gt;0,", ","")&amp;"Sulfites","")&amp;IF(Q17="?",IF(COUNTIF($E17:$P17,"~?")&gt;0,", ","")&amp;"Lupin","")&amp;IF(R17="?",IF(COUNTIF($E17:$Q17,"~?")&gt;0,", ","")&amp;"Mollusques","")),"")</f>
        <v/>
      </c>
      <c r="U17" s="493" t="str">
        <f>IF(17=17,IF($B17="","",$B17),"")</f>
        <v>Cive (botte)</v>
      </c>
      <c r="V17" s="493" t="str">
        <f>IF(17=17,LOWER(CLEAN(SUBSTITUTE(SUBSTITUTE(SUBSTITUTE(SUBSTITUTE($U17,CHAR(160)," ")," "," "),CHAR(10)," "),CHAR(13)," "))),"")</f>
        <v>cive (botte)</v>
      </c>
      <c r="W17" s="493" t="str">
        <f>IF(17=17,SUBSTITUTE(SUBSTITUTE(SUBSTITUTE(SUBSTITUTE(SUBSTITUTE(SUBSTITUTE(SUBSTITUTE(SUBSTITUTE(SUBSTITUTE(SUBSTITUTE(SUBSTITUTE(SUBSTITUTE($V17,"œ","oe"),"æ","ae"),"à","a"),"á","a"),"â","a"),"ä","a"),"ã","a"),"ç","c"),"è","e"),"é","e"),"ê","e"),"ë","e"),"")</f>
        <v>cive (botte)</v>
      </c>
      <c r="X17" s="493" t="str">
        <f>IF(17=17,SUBSTITUTE(SUBSTITUTE(SUBSTITUTE(SUBSTITUTE(SUBSTITUTE(SUBSTITUTE(SUBSTITUTE(SUBSTITUTE(SUBSTITUTE(SUBSTITUTE(SUBSTITUTE(SUBSTITUTE(SUBSTITUTE(SUBSTITUTE(SUBSTITUTE(SUBSTITUTE($W17,"ì","i"),"í","i"),"î","i"),"ï","i"),"ñ","n"),"ò","o"),"ó","o"),"ô","o"),"ö","o"),"õ","o"),"ù","u"),"ú","u"),"û","u"),"ü","u"),"ý","y"),"ÿ","y"),"")</f>
        <v>cive (botte)</v>
      </c>
      <c r="Y17" s="493" t="str">
        <f>IF(17=17,SUBSTITUTE(SUBSTITUTE(SUBSTITUTE(SUBSTITUTE(SUBSTITUTE(SUBSTITUTE(SUBSTITUTE(SUBSTITUTE(SUBSTITUTE(SUBSTITUTE(SUBSTITUTE(SUBSTITUTE(SUBSTITUTE(SUBSTITUTE($X17,"’"," "),"`"," "),"–"," "),"—"," "),"-"," "),"'"," "),"/"," "),"_"," "),","," "),"."," "),"("," "),")"," "),";"," "),":"," "),"")</f>
        <v xml:space="preserve">cive  botte </v>
      </c>
      <c r="Z17" s="493" t="str">
        <f>IF(17=17,SUBSTITUTE(SUBSTITUTE(SUBSTITUTE(SUBSTITUTE(SUBSTITUTE(SUBSTITUTE(SUBSTITUTE(SUBSTITUTE(SUBSTITUTE(SUBSTITUTE(SUBSTITUTE(SUBSTITUTE(SUBSTITUTE(SUBSTITUTE(SUBSTITUTE($Y17,"!"," "),"?"," "),"+"," "),"*"," "),"&amp;"," "),"["," "),"]"," "),"{"," "),"}"," "),"%"," "),"="," "),"\"," "),"|"," "),"&lt;"," "),"&gt;"," "),"")</f>
        <v xml:space="preserve">cive  botte </v>
      </c>
      <c r="AA17" s="493" t="str">
        <f>IF(17=17," "&amp;TRIM(SUBSTITUTE(SUBSTITUTE(SUBSTITUTE(SUBSTITUTE(SUBSTITUTE(SUBSTITUTE($Z17,CHAR(34)," "),"  "," "),"  "," "),"  "," "),"  "," "),"  "," "))&amp;" ","")</f>
        <v xml:space="preserve"> cive botte </v>
      </c>
      <c r="AB17" s="493">
        <f>IF(17=17,IF($U17="","",SUMPRODUCT(--ISNUMBER(SEARCH(" "&amp;$CR$2:$CR$101&amp;" ",$AD17)))),"")</f>
        <v>0</v>
      </c>
      <c r="AC17" s="493">
        <f>IF(17=17,IF($U17="","",SUMPRODUCT(--ISNUMBER(SEARCH(" "&amp;$CR$102:$CR$151&amp;" ",$AD17)))),"")</f>
        <v>0</v>
      </c>
      <c r="AD17" s="493" t="str">
        <f t="shared" si="1"/>
        <v xml:space="preserve"> cive botte </v>
      </c>
      <c r="AE17" s="493">
        <f t="shared" si="2"/>
        <v>0</v>
      </c>
      <c r="AF17" s="493" t="str">
        <f>IF(17=17,IF($U17="","",IF(SUM(AB17:AC17)+SUMPRODUCT(--ISNUMBER(SEARCH(" "&amp;$CR$2418:$CR$2420&amp;" ",$AD17)))&gt;0,"X",IF(AE17&gt;0,"?",""))),"")</f>
        <v/>
      </c>
      <c r="AG17" s="493">
        <f>IF(17=17,IF($U17="","",SUMPRODUCT(--ISNUMBER(SEARCH(" "&amp;$CR$206:$CR$305&amp;" ",$AA17)))),"")</f>
        <v>0</v>
      </c>
      <c r="AH17" s="493">
        <f>IF(17=17,IF($U17="","",SUMPRODUCT(--ISNUMBER(SEARCH(" "&amp;$CR$306:$CR$340&amp;" ",$AA17)))),"")</f>
        <v>0</v>
      </c>
      <c r="AI17" s="493" t="str">
        <f>IF(17=17,IF($U17="","",IF((SUM(AG17:AH17))-(0)&gt;0,"X",IF((0)-(0)&gt;0,"?",""))),"")</f>
        <v/>
      </c>
      <c r="AJ17" s="493">
        <f>IF(17=17,IF($U17="","",SUMPRODUCT(--ISNUMBER(SEARCH(" "&amp;$CR$341:$CR$398&amp;" ",$AA17)))),"")</f>
        <v>0</v>
      </c>
      <c r="AK17" s="493">
        <f>IF(17=17,IF($U17="","",SUMPRODUCT(--ISNUMBER(SEARCH(" "&amp;$CR$399:$CR$426&amp;" ",$AL17)))+SUMPRODUCT(--ISNUMBER(SEARCH(" "&amp;$CR$2440:$CR$2453&amp;" ",$AL17)))),"")</f>
        <v>0</v>
      </c>
      <c r="AL17" s="493" t="str">
        <f>IF(17=17,IF($U17="","",SUBSTITUTE(SUBSTITUTE(SUBSTITUTE(SUBSTITUTE(SUBSTITUTE(SUBSTITUTE(SUBSTITUTE(SUBSTITUTE(SUBSTITUTE(SUBSTITUTE(SUBSTITUTE(SUBSTITUTE(SUBSTITUTE(SUBSTITUTE($AA17," "&amp;$CR$2455&amp;" "," ")," "&amp;$CR$433&amp;" "," ")," "&amp;$CR$431&amp;" "," ")," "&amp;$CR$2438&amp;" "," ")," "&amp;$CR$2439&amp;" "," ")," "&amp;$CR$428&amp;" "," ")," "&amp;$CR$432&amp;" "," ")," "&amp;$CR$434&amp;" "," ")," "&amp;$CR$429&amp;" "," ")," "&amp;$CR$427&amp;" "," ")," "&amp;$CR$1367&amp;" "," ")," "&amp;$CR$435&amp;" "," ")," "&amp;$CR$1366&amp;" "," ")," "&amp;$CR$430&amp;" "," ")),"")</f>
        <v xml:space="preserve"> cive botte </v>
      </c>
      <c r="AM17" s="493" t="str">
        <f>IF(17=17,IF($U17="","",IF(AJ17&gt;0,"X",IF(AK17&gt;0,"?",""))),"")</f>
        <v/>
      </c>
      <c r="AN17" s="493">
        <f>IF(17=17,IF($U17="","",SUMPRODUCT(--ISNUMBER(SEARCH(" "&amp;$CR$436:$CR$535&amp;" ",$AX17)))),"")</f>
        <v>0</v>
      </c>
      <c r="AO17" s="493">
        <f>IF(17=17,IF($U17="","",SUMPRODUCT(--ISNUMBER(SEARCH(" "&amp;$CR$536:$CR$635&amp;" ",$AX17)))),"")</f>
        <v>0</v>
      </c>
      <c r="AP17" s="493">
        <f>IF(17=17,IF($U17="","",SUMPRODUCT(--ISNUMBER(SEARCH(" "&amp;$CR$636:$CR$735&amp;" ",$AX17)))),"")</f>
        <v>0</v>
      </c>
      <c r="AQ17" s="493">
        <f>IF(17=17,IF($U17="","",SUMPRODUCT(--ISNUMBER(SEARCH(" "&amp;$CR$736:$CR$835&amp;" ",$AX17)))),"")</f>
        <v>0</v>
      </c>
      <c r="AR17" s="493">
        <f>IF(17=17,IF($U17="","",SUMPRODUCT(--ISNUMBER(SEARCH(" "&amp;$CR$836:$CR$935&amp;" ",$AX17)))),"")</f>
        <v>0</v>
      </c>
      <c r="AS17" s="493">
        <f>IF(17=17,IF($U17="","",SUMPRODUCT(--ISNUMBER(SEARCH(" "&amp;$CR$936:$CR$1035&amp;" ",$AX17)))),"")</f>
        <v>0</v>
      </c>
      <c r="AT17" s="493">
        <f>IF(17=17,IF($U17="","",SUMPRODUCT(--ISNUMBER(SEARCH(" "&amp;$CR$1036:$CR$1135&amp;" ",$AX17)))),"")</f>
        <v>0</v>
      </c>
      <c r="AU17" s="493">
        <f>IF(17=17,IF($U17="","",SUMPRODUCT(--ISNUMBER(SEARCH(" "&amp;$CR$1136:$CR$1235&amp;" ",$AX17)))),"")</f>
        <v>0</v>
      </c>
      <c r="AV17" s="493">
        <f>IF(17=17,IF($U17="","",SUMPRODUCT(--ISNUMBER(SEARCH(" "&amp;$CR$1236:$CR$1335&amp;" ",$AX17)))),"")</f>
        <v>0</v>
      </c>
      <c r="AW17" s="493">
        <f>IF(17=17,IF($U17="","",SUMPRODUCT(--ISNUMBER(SEARCH(" "&amp;$CR$1336:$CR$1363&amp;" ",$AX17)))),"")</f>
        <v>0</v>
      </c>
      <c r="AX17" s="493" t="str">
        <f>IF(17=17,IF($U17="","",SUBSTITUTE(SUBSTITUTE(SUBSTITUTE(SUBSTITUTE(SUBSTITUTE(SUBSTITUTE(SUBSTITUTE(SUBSTITUTE(SUBSTITUTE($AA17," "&amp;$CR$1365&amp;" "," ")," "&amp;$CR$1364&amp;" "," ")," "&amp;$CR$1370&amp;" "," ")," "&amp;$CR$1371&amp;" "," ")," "&amp;$CR$1367&amp;" "," ")," "&amp;$CR$1369&amp;" "," ")," "&amp;$CR$1366&amp;" "," ")," "&amp;$CR$1368&amp;" "," ")," "&amp;$CR$1372&amp;" "," ")),"")</f>
        <v xml:space="preserve"> cive botte </v>
      </c>
      <c r="AY17" s="493">
        <f>IF(17=17,IF($U17="","",SUMPRODUCT(--ISNUMBER(SEARCH(" "&amp;$CR$1373:$CR$1383&amp;" ",$AX17)))),"")</f>
        <v>0</v>
      </c>
      <c r="AZ17" s="493" t="str">
        <f>IF(17=17,IF($U17="","",IF(SUM(AN17:AW17)+SUMPRODUCT(--ISNUMBER(SEARCH(" "&amp;$CR$2421:$CR$2422&amp;" ",$AX17)))&gt;0,"X",IF(AY17&gt;0,"?",""))),"")</f>
        <v/>
      </c>
      <c r="BA17" s="493">
        <f>IF(17=17,IF($U17="","",SUMPRODUCT(--ISNUMBER(SEARCH(" "&amp;$CR$1384:$CR$1404&amp;" ",$AA17)))),"")</f>
        <v>0</v>
      </c>
      <c r="BB17" s="493" t="str">
        <f>IF(17=17,IF($U17="","",IF((BA17)-(0)&gt;0,"X",IF((0)-(0)&gt;0,"?",""))),"")</f>
        <v/>
      </c>
      <c r="BC17" s="493">
        <f>IF(17=17,IF($U17="","",SUMPRODUCT(--ISNUMBER(SEARCH(" "&amp;$CR$1405:$CR$1442&amp;" ",$BD17)))),"")</f>
        <v>0</v>
      </c>
      <c r="BD17" s="493" t="str">
        <f>IF(17=17,IF($U17="","",SUBSTITUTE(SUBSTITUTE($AA17," "&amp;$CR$1443&amp;" "," ")," "&amp;$CR$1444&amp;" "," ")),"")</f>
        <v xml:space="preserve"> cive botte </v>
      </c>
      <c r="BE17" s="493">
        <f>IF(17=17,IF($U17="","",SUMPRODUCT(--ISNUMBER(SEARCH(" "&amp;$CR$1445:$CR$1455&amp;" ",$BD17)))),"")</f>
        <v>0</v>
      </c>
      <c r="BF17" s="493" t="str">
        <f>IF(17=17,IF($U17="","",IF(BC17&gt;0,"X",IF(BE17&gt;0,"?",""))),"")</f>
        <v/>
      </c>
      <c r="BG17" s="493">
        <f>IF(17=17,IF($U17="","",SUMPRODUCT(--ISNUMBER(SEARCH(" "&amp;$CR$1456:$CR$1555&amp;" ",$BJ17)))),"")</f>
        <v>0</v>
      </c>
      <c r="BH17" s="493">
        <f>IF(17=17,IF($U17="","",SUMPRODUCT(--ISNUMBER(SEARCH(" "&amp;$CR$1556:$CR$1655&amp;" ",$BJ17)))),"")</f>
        <v>0</v>
      </c>
      <c r="BI17" s="493">
        <f>IF(17=17,IF($U17="","",SUMPRODUCT(--ISNUMBER(SEARCH(" "&amp;$CR$1656:$CR$1739&amp;" ",$BJ17)))),"")</f>
        <v>0</v>
      </c>
      <c r="BJ17" s="493" t="str">
        <f>IF(17=17,IF($U17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cive botte </v>
      </c>
      <c r="BK17" s="493">
        <f>IF(17=17,IF($U17="","",SUMPRODUCT(--ISNUMBER(SEARCH(" "&amp;$CR$1790:$CR$1869&amp;" ",$BL17)))+SUMPRODUCT(--ISNUMBER(SEARCH(" "&amp;$CR$2440:$CR$2453&amp;" ",$BL17)))),"")</f>
        <v>0</v>
      </c>
      <c r="BL17" s="493" t="str">
        <f>IF(17=17,IF($U17="","",SUBSTITUTE(SUBSTITUTE(SUBSTITUTE(SUBSTITUTE(SUBSTITUTE(SUBSTITUTE(SUBSTITUTE(SUBSTITUTE(SUBSTITUTE(SUBSTITUTE(SUBSTITUTE(SUBSTITUTE(SUBSTITUTE($BJ17," "&amp;$CR$1876&amp;" "," ")," "&amp;$CR$1874&amp;" "," ")," "&amp;$CR$2438&amp;" "," ")," "&amp;$CR$2439&amp;" "," ")," "&amp;$CR$1871&amp;" "," ")," "&amp;$CR$1875&amp;" "," ")," "&amp;$CR$1877&amp;" "," ")," "&amp;$CR$1872&amp;" "," ")," "&amp;$CR$1870&amp;" "," ")," "&amp;$CR$1367&amp;" "," ")," "&amp;$CR$1878&amp;" "," ")," "&amp;$CR$1366&amp;" "," ")," "&amp;$CR$1873&amp;" "," ")),"")</f>
        <v xml:space="preserve"> cive botte </v>
      </c>
      <c r="BM17" s="493" t="str">
        <f>IF(17=17,IF($U17="","",IF(SUM(BG17:BI17)+SUMPRODUCT(--ISNUMBER(SEARCH(" "&amp;$CR$2423:$CR$2424&amp;" ",$BJ17)))&gt;0,"X",IF(BK17&gt;0,"?",""))),"")</f>
        <v/>
      </c>
      <c r="BN17" s="493">
        <f>IF(17=17,IF($U17="","",SUMPRODUCT(--ISNUMBER(SEARCH(" "&amp;$CR$1879:$CR$1936&amp;" ",$BO17)))),"")</f>
        <v>0</v>
      </c>
      <c r="BO17" s="493" t="str">
        <f>IF(17=17,IF($U17="","",SUBSTITUTE(SUBSTITUTE(SUBSTITUTE(SUBSTITUTE(SUBSTITUTE(SUBSTITUTE(SUBSTITUTE(SUBSTITUTE(SUBSTITUTE(SUBSTITUTE(SUBSTITUTE(SUBSTITUTE(SUBSTITUTE(SUBSTITUTE(SUBSTITUTE(SUBSTITUTE(SUBSTITUTE(SUBSTITUTE(SUBSTITUTE(SUBSTITUTE(SUBSTITUTE(SUBSTITUTE(SUBSTITUTE($AA17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cive botte </v>
      </c>
      <c r="BP17" s="493">
        <f>IF(17=17,IF($U17="","",SUMPRODUCT(--ISNUMBER(SEARCH(" "&amp;$CR$1960:$CR$1976&amp;" ",$BO17)))),"")</f>
        <v>0</v>
      </c>
      <c r="BQ17" s="493" t="str">
        <f>IF(17=17,IF($U17="","",IF(BN17&gt;0,"X",IF(BP17&gt;0,"?",""))),"")</f>
        <v/>
      </c>
      <c r="BR17" s="493">
        <f>IF(17=17,IF($U17="","",SUMPRODUCT(--ISNUMBER(SEARCH(" "&amp;$CR$1977:$CR$1990&amp;" ",$AA17)))),"")</f>
        <v>0</v>
      </c>
      <c r="BS17" s="493">
        <f>IF(17=17,IF($U17="","",SUMPRODUCT(--ISNUMBER(SEARCH(" "&amp;$CR$1991:$CR$2005&amp;" ",$AA17)))),"")</f>
        <v>0</v>
      </c>
      <c r="BT17" s="493" t="str">
        <f>IF(17=17,IF($U17="","",IF((BR17)-(0)&gt;0,"X",IF((BS17)-(0)&gt;0,"?",""))),"")</f>
        <v/>
      </c>
      <c r="BU17" s="493">
        <f>IF(17=17,IF($U17="","",SUMPRODUCT(--ISNUMBER(SEARCH(" "&amp;$CR$2006:$CR$2023&amp;" ",$AA17)))),"")</f>
        <v>0</v>
      </c>
      <c r="BV17" s="493">
        <f>IF(17=17,IF($U17="","",SUMPRODUCT(--ISNUMBER(SEARCH(" "&amp;$CR$2024:$CR$2038&amp;" ",$AA17)))),"")</f>
        <v>0</v>
      </c>
      <c r="BW17" s="493" t="str">
        <f>IF(17=17,IF($U17="","",IF((BU17)-(0)&gt;0,"X",IF((BV17)-(0)&gt;0,"?",""))),"")</f>
        <v/>
      </c>
      <c r="BX17" s="493">
        <f>IF(17=17,IF($U17="","",SUMPRODUCT(--ISNUMBER(SEARCH(" "&amp;$CR$2039:$CR$2057&amp;" ",$AA17)))),"")</f>
        <v>0</v>
      </c>
      <c r="BY17" s="493">
        <f>IF(17=17,IF($U17="","",SUMPRODUCT(--ISNUMBER(SEARCH(" "&amp;$CR$2058:$CR$2072&amp;" ",$AA17)))),"")</f>
        <v>0</v>
      </c>
      <c r="BZ17" s="493" t="str">
        <f>IF(17=17,IF($U17="","",IF((BX17)-(0)&gt;0,"X",IF((BY17)-(0)&gt;0,"?",""))),"")</f>
        <v/>
      </c>
      <c r="CA17" s="493">
        <f>IF(17=17,IF($U17="","",SUMPRODUCT(--ISNUMBER(SEARCH(" "&amp;$CR$2073:$CR$2093&amp;" ",$AA17)))),"")</f>
        <v>0</v>
      </c>
      <c r="CB17" s="493">
        <f>IF(17=17,IF($U17="","",SUMPRODUCT(--ISNUMBER(SEARCH(" "&amp;$CR$2094:$CR$2133&amp;" ",SUBSTITUTE(SUBSTITUTE($AA17," "&amp;$CR$1367&amp;" "," ")," "&amp;$CR$1366&amp;" "," "))))+--ISNUMBER(SEARCH("poiré",$V17))),"")</f>
        <v>0</v>
      </c>
      <c r="CC17" s="493" t="str">
        <f>IF(17=17,IF($U17="","",IF(OR(CA17&gt;0,ISNUMBER(SEARCH(" vinaigre de vin ",$AA17)),ISNUMBER(SEARCH(" vinaigre au vin ",$AA17))),"X",IF(CB17&gt;0,"?",""))),"")</f>
        <v/>
      </c>
      <c r="CD17" s="493">
        <f>IF(17=17,IF($U17="","",SUMPRODUCT(--ISNUMBER(SEARCH(" "&amp;$CR$2134:$CR$2146&amp;" ",$AA17)))),"")</f>
        <v>0</v>
      </c>
      <c r="CE17" s="493">
        <f>IF(17=17,IF($U17="","",SUMPRODUCT(--ISNUMBER(SEARCH(" "&amp;$CR$2147:$CR$2152&amp;" ",$AA17)))),"")</f>
        <v>0</v>
      </c>
      <c r="CF17" s="493" t="str">
        <f>IF(17=17,IF($U17="","",IF((CD17)-(0)&gt;0,"X",IF((CE17)-(0)&gt;0,"?",""))),"")</f>
        <v/>
      </c>
      <c r="CG17" s="493">
        <f>IF(17=17,IF($U17="","",SUMPRODUCT(--ISNUMBER(SEARCH(" "&amp;$CR$2153:$CR$2252&amp;" ",$CJ17)))),"")</f>
        <v>0</v>
      </c>
      <c r="CH17" s="493">
        <f>IF(17=17,IF($U17="","",SUMPRODUCT(--ISNUMBER(SEARCH(" "&amp;$CR$2253:$CR$2352&amp;" ",$CJ17)))),"")</f>
        <v>0</v>
      </c>
      <c r="CI17" s="493">
        <f>IF(17=17,IF($U17="","",SUMPRODUCT(--ISNUMBER(SEARCH(" "&amp;$CR$2353:$CR$2395&amp;" ",$CJ17)))),"")</f>
        <v>0</v>
      </c>
      <c r="CJ17" s="493" t="str">
        <f>IF(17=17,IF($U17="","",SUBSTITUTE(SUBSTITUTE(SUBSTITUTE(SUBSTITUTE(SUBSTITUTE(SUBSTITUTE(SUBSTITUTE(SUBSTITUTE(SUBSTITUTE(SUBSTITUTE(SUBSTITUTE(SUBSTITUTE(SUBSTITUTE(SUBSTITUTE(SUBSTITUTE(SUBSTITUTE($AA17," "&amp;$CR$2401&amp;" "," ")," "&amp;$CR$2400&amp;" "," ")," "&amp;$CR$2399&amp;" "," ")," "&amp;$CR$2406&amp;" "," ")," "&amp;$CR$2398&amp;" "," ")," "&amp;$CR$2410&amp;" "," ")," "&amp;$CR$2397&amp;" "," ")," "&amp;$CR$2402&amp;" "," ")," "&amp;$CR$2405&amp;" "," ")," "&amp;$CR$2396&amp;" "," ")," "&amp;$CR$2404&amp;" "," ")," "&amp;$CR$2411&amp;" "," ")," "&amp;$CR$2408&amp;" "," ")," "&amp;$CR$2403&amp;" "," ")," "&amp;$CR$2407&amp;" "," ")," "&amp;$CR$2409&amp;" "," ")),"")</f>
        <v xml:space="preserve"> cive botte </v>
      </c>
      <c r="CK17" s="493">
        <f>IF(17=17,IF($U17="","",SUMPRODUCT(--ISNUMBER(SEARCH(" "&amp;$CR$2412:$CR$2416&amp;" ",$CJ17)))),"")</f>
        <v>0</v>
      </c>
      <c r="CL17" s="493" t="str">
        <f>IF(17=17,IF($U17="","",IF(SUM(CG17:CI17)&gt;0,"X",IF(CK17&gt;0,"?",""))),"")</f>
        <v/>
      </c>
      <c r="CM17" s="494"/>
      <c r="CN17" s="496" t="s">
        <v>1174</v>
      </c>
      <c r="CO17" s="496" t="s">
        <v>1083</v>
      </c>
      <c r="CP17" s="496" t="s">
        <v>689</v>
      </c>
      <c r="CQ17" s="496" t="s">
        <v>1175</v>
      </c>
      <c r="CR17" s="496" t="s">
        <v>1175</v>
      </c>
      <c r="CS17" s="496" t="s">
        <v>1151</v>
      </c>
      <c r="CT17" s="496" t="s">
        <v>1152</v>
      </c>
      <c r="CU17" s="496" t="s">
        <v>1087</v>
      </c>
      <c r="CV17" s="497" t="s">
        <v>1153</v>
      </c>
      <c r="CX17" s="543">
        <v>1</v>
      </c>
    </row>
    <row r="18" spans="1:102" ht="21" customHeight="1">
      <c r="A18" s="509">
        <v>12</v>
      </c>
      <c r="B18" s="510" t="s">
        <v>5856</v>
      </c>
      <c r="C18" s="511" t="str">
        <f t="shared" si="0"/>
        <v>Clous de girofle</v>
      </c>
      <c r="D18" s="512" t="str">
        <f>IF(18=18,IF($B18="","",IF(E18="X",""&amp;"Céréales contenant du gluten","")&amp;IF(F18="X",IF(COUNTIF($E18:$E18,"X")&gt;0,", ","")&amp;"Crustacés","")&amp;IF(G18="X",IF(COUNTIF($E18:$F18,"X")&gt;0,", ","")&amp;"Œufs","")&amp;IF(H18="X",IF(COUNTIF($E18:$G18,"X")&gt;0,", ","")&amp;"Poissons","")&amp;IF(I18="X",IF(COUNTIF($E18:$H18,"X")&gt;0,", ","")&amp;"Arachides","")&amp;IF(J18="X",IF(COUNTIF($E18:$I18,"X")&gt;0,", ","")&amp;"Soja","")&amp;IF(K18="X",IF(COUNTIF($E18:$J18,"X")&gt;0,", ","")&amp;"Lait","")&amp;IF(L18="X",IF(COUNTIF($E18:$K18,"X")&gt;0,", ","")&amp;"Fruits à coque","")&amp;IF(M18="X",IF(COUNTIF($E18:$L18,"X")&gt;0,", ","")&amp;"Céleri","")&amp;IF(N18="X",IF(COUNTIF($E18:$M18,"X")&gt;0,", ","")&amp;"Moutarde","")&amp;IF(O18="X",IF(COUNTIF($E18:$N18,"X")&gt;0,", ","")&amp;"Sésame","")&amp;IF(P18="X",IF(COUNTIF($E18:$O18,"X")&gt;0,", ","")&amp;"Sulfites","")&amp;IF(Q18="X",IF(COUNTIF($E18:$P18,"X")&gt;0,", ","")&amp;"Lupin","")&amp;IF(R18="X",IF(COUNTIF($E18:$Q18,"X")&gt;0,", ","")&amp;"Mollusques","")),"")</f>
        <v/>
      </c>
      <c r="E18" s="513" t="str">
        <f>IF(18=18,IF($B18="","",AF18),"")</f>
        <v/>
      </c>
      <c r="F18" s="513" t="str">
        <f>IF(18=18,IF($B18="","",AI18),"")</f>
        <v/>
      </c>
      <c r="G18" s="513" t="str">
        <f>IF(18=18,IF($B18="","",AM18),"")</f>
        <v/>
      </c>
      <c r="H18" s="513" t="str">
        <f>IF(18=18,IF($B18="","",IF(ISNUMBER(SEARCH(" colin ",$AA18)),"X",AZ18)),"")</f>
        <v/>
      </c>
      <c r="I18" s="513" t="str">
        <f>IF(18=18,IF($B18="","",BB18),"")</f>
        <v/>
      </c>
      <c r="J18" s="513" t="str">
        <f>IF(18=18,IF($B18="","",BF18),"")</f>
        <v/>
      </c>
      <c r="K18" s="513" t="str">
        <f>IF(18=18,IF($B18="","",BM18),"")</f>
        <v/>
      </c>
      <c r="L18" s="513" t="str">
        <f>IF(18=18,IF($B18="","",BQ18),"")</f>
        <v/>
      </c>
      <c r="M18" s="513" t="str">
        <f>IF(18=18,IF($B18="","",BT18),"")</f>
        <v/>
      </c>
      <c r="N18" s="513" t="str">
        <f>IF(18=18,IF($B18="","",BW18),"")</f>
        <v/>
      </c>
      <c r="O18" s="513" t="str">
        <f>IF(18=18,IF($B18="","",BZ18),"")</f>
        <v/>
      </c>
      <c r="P18" s="513" t="str">
        <f>IF(18=18,IF($B18="","",CC18),"")</f>
        <v/>
      </c>
      <c r="Q18" s="513" t="str">
        <f>IF(18=18,IF($B18="","",CF18),"")</f>
        <v/>
      </c>
      <c r="R18" s="513" t="str">
        <f>IF(18=18,IF($B18="","",CL18),"")</f>
        <v/>
      </c>
      <c r="S18" s="514" t="str">
        <f>IF(18=18,IF($B18="","",IF(E18="?",""&amp;"Céréales contenant du gluten","")&amp;IF(F18="?",IF(COUNTIF($E18:$E18,"~?")&gt;0,", ","")&amp;"Crustacés","")&amp;IF(G18="?",IF(COUNTIF($E18:$F18,"~?")&gt;0,", ","")&amp;"Œufs","")&amp;IF(H18="?",IF(COUNTIF($E18:$G18,"~?")&gt;0,", ","")&amp;"Poissons","")&amp;IF(I18="?",IF(COUNTIF($E18:$H18,"~?")&gt;0,", ","")&amp;"Arachides","")&amp;IF(J18="?",IF(COUNTIF($E18:$I18,"~?")&gt;0,", ","")&amp;"Soja","")&amp;IF(K18="?",IF(COUNTIF($E18:$J18,"~?")&gt;0,", ","")&amp;"Lait","")&amp;IF(L18="?",IF(COUNTIF($E18:$K18,"~?")&gt;0,", ","")&amp;"Fruits à coque","")&amp;IF(M18="?",IF(COUNTIF($E18:$L18,"~?")&gt;0,", ","")&amp;"Céleri","")&amp;IF(N18="?",IF(COUNTIF($E18:$M18,"~?")&gt;0,", ","")&amp;"Moutarde","")&amp;IF(O18="?",IF(COUNTIF($E18:$N18,"~?")&gt;0,", ","")&amp;"Sésame","")&amp;IF(P18="?",IF(COUNTIF($E18:$O18,"~?")&gt;0,", ","")&amp;"Sulfites","")&amp;IF(Q18="?",IF(COUNTIF($E18:$P18,"~?")&gt;0,", ","")&amp;"Lupin","")&amp;IF(R18="?",IF(COUNTIF($E18:$Q18,"~?")&gt;0,", ","")&amp;"Mollusques","")),"")</f>
        <v/>
      </c>
      <c r="U18" s="493" t="str">
        <f>IF(18=18,IF($B18="","",$B18),"")</f>
        <v>Clous de girofle</v>
      </c>
      <c r="V18" s="493" t="str">
        <f>IF(18=18,LOWER(CLEAN(SUBSTITUTE(SUBSTITUTE(SUBSTITUTE(SUBSTITUTE($U18,CHAR(160)," ")," "," "),CHAR(10)," "),CHAR(13)," "))),"")</f>
        <v>clous de girofle</v>
      </c>
      <c r="W18" s="493" t="str">
        <f>IF(18=18,SUBSTITUTE(SUBSTITUTE(SUBSTITUTE(SUBSTITUTE(SUBSTITUTE(SUBSTITUTE(SUBSTITUTE(SUBSTITUTE(SUBSTITUTE(SUBSTITUTE(SUBSTITUTE(SUBSTITUTE($V18,"œ","oe"),"æ","ae"),"à","a"),"á","a"),"â","a"),"ä","a"),"ã","a"),"ç","c"),"è","e"),"é","e"),"ê","e"),"ë","e"),"")</f>
        <v>clous de girofle</v>
      </c>
      <c r="X18" s="493" t="str">
        <f>IF(18=18,SUBSTITUTE(SUBSTITUTE(SUBSTITUTE(SUBSTITUTE(SUBSTITUTE(SUBSTITUTE(SUBSTITUTE(SUBSTITUTE(SUBSTITUTE(SUBSTITUTE(SUBSTITUTE(SUBSTITUTE(SUBSTITUTE(SUBSTITUTE(SUBSTITUTE(SUBSTITUTE($W18,"ì","i"),"í","i"),"î","i"),"ï","i"),"ñ","n"),"ò","o"),"ó","o"),"ô","o"),"ö","o"),"õ","o"),"ù","u"),"ú","u"),"û","u"),"ü","u"),"ý","y"),"ÿ","y"),"")</f>
        <v>clous de girofle</v>
      </c>
      <c r="Y18" s="493" t="str">
        <f>IF(18=18,SUBSTITUTE(SUBSTITUTE(SUBSTITUTE(SUBSTITUTE(SUBSTITUTE(SUBSTITUTE(SUBSTITUTE(SUBSTITUTE(SUBSTITUTE(SUBSTITUTE(SUBSTITUTE(SUBSTITUTE(SUBSTITUTE(SUBSTITUTE($X18,"’"," "),"`"," "),"–"," "),"—"," "),"-"," "),"'"," "),"/"," "),"_"," "),","," "),"."," "),"("," "),")"," "),";"," "),":"," "),"")</f>
        <v>clous de girofle</v>
      </c>
      <c r="Z18" s="493" t="str">
        <f>IF(18=18,SUBSTITUTE(SUBSTITUTE(SUBSTITUTE(SUBSTITUTE(SUBSTITUTE(SUBSTITUTE(SUBSTITUTE(SUBSTITUTE(SUBSTITUTE(SUBSTITUTE(SUBSTITUTE(SUBSTITUTE(SUBSTITUTE(SUBSTITUTE(SUBSTITUTE($Y18,"!"," "),"?"," "),"+"," "),"*"," "),"&amp;"," "),"["," "),"]"," "),"{"," "),"}"," "),"%"," "),"="," "),"\"," "),"|"," "),"&lt;"," "),"&gt;"," "),"")</f>
        <v>clous de girofle</v>
      </c>
      <c r="AA18" s="493" t="str">
        <f>IF(18=18," "&amp;TRIM(SUBSTITUTE(SUBSTITUTE(SUBSTITUTE(SUBSTITUTE(SUBSTITUTE(SUBSTITUTE($Z18,CHAR(34)," "),"  "," "),"  "," "),"  "," "),"  "," "),"  "," "))&amp;" ","")</f>
        <v xml:space="preserve"> clous de girofle </v>
      </c>
      <c r="AB18" s="493">
        <f>IF(18=18,IF($U18="","",SUMPRODUCT(--ISNUMBER(SEARCH(" "&amp;$CR$2:$CR$101&amp;" ",$AD18)))),"")</f>
        <v>0</v>
      </c>
      <c r="AC18" s="493">
        <f>IF(18=18,IF($U18="","",SUMPRODUCT(--ISNUMBER(SEARCH(" "&amp;$CR$102:$CR$151&amp;" ",$AD18)))),"")</f>
        <v>0</v>
      </c>
      <c r="AD18" s="493" t="str">
        <f t="shared" si="1"/>
        <v xml:space="preserve"> clous de girofle </v>
      </c>
      <c r="AE18" s="493">
        <f t="shared" si="2"/>
        <v>0</v>
      </c>
      <c r="AF18" s="493" t="str">
        <f>IF(18=18,IF($U18="","",IF(SUM(AB18:AC18)+SUMPRODUCT(--ISNUMBER(SEARCH(" "&amp;$CR$2418:$CR$2420&amp;" ",$AD18)))&gt;0,"X",IF(AE18&gt;0,"?",""))),"")</f>
        <v/>
      </c>
      <c r="AG18" s="493">
        <f>IF(18=18,IF($U18="","",SUMPRODUCT(--ISNUMBER(SEARCH(" "&amp;$CR$206:$CR$305&amp;" ",$AA18)))),"")</f>
        <v>0</v>
      </c>
      <c r="AH18" s="493">
        <f>IF(18=18,IF($U18="","",SUMPRODUCT(--ISNUMBER(SEARCH(" "&amp;$CR$306:$CR$340&amp;" ",$AA18)))),"")</f>
        <v>0</v>
      </c>
      <c r="AI18" s="493" t="str">
        <f>IF(18=18,IF($U18="","",IF((SUM(AG18:AH18))-(0)&gt;0,"X",IF((0)-(0)&gt;0,"?",""))),"")</f>
        <v/>
      </c>
      <c r="AJ18" s="493">
        <f>IF(18=18,IF($U18="","",SUMPRODUCT(--ISNUMBER(SEARCH(" "&amp;$CR$341:$CR$398&amp;" ",$AA18)))),"")</f>
        <v>0</v>
      </c>
      <c r="AK18" s="493">
        <f>IF(18=18,IF($U18="","",SUMPRODUCT(--ISNUMBER(SEARCH(" "&amp;$CR$399:$CR$426&amp;" ",$AL18)))+SUMPRODUCT(--ISNUMBER(SEARCH(" "&amp;$CR$2440:$CR$2453&amp;" ",$AL18)))),"")</f>
        <v>0</v>
      </c>
      <c r="AL18" s="493" t="str">
        <f>IF(18=18,IF($U18="","",SUBSTITUTE(SUBSTITUTE(SUBSTITUTE(SUBSTITUTE(SUBSTITUTE(SUBSTITUTE(SUBSTITUTE(SUBSTITUTE(SUBSTITUTE(SUBSTITUTE(SUBSTITUTE(SUBSTITUTE(SUBSTITUTE(SUBSTITUTE($AA18," "&amp;$CR$2455&amp;" "," ")," "&amp;$CR$433&amp;" "," ")," "&amp;$CR$431&amp;" "," ")," "&amp;$CR$2438&amp;" "," ")," "&amp;$CR$2439&amp;" "," ")," "&amp;$CR$428&amp;" "," ")," "&amp;$CR$432&amp;" "," ")," "&amp;$CR$434&amp;" "," ")," "&amp;$CR$429&amp;" "," ")," "&amp;$CR$427&amp;" "," ")," "&amp;$CR$1367&amp;" "," ")," "&amp;$CR$435&amp;" "," ")," "&amp;$CR$1366&amp;" "," ")," "&amp;$CR$430&amp;" "," ")),"")</f>
        <v xml:space="preserve"> clous de girofle </v>
      </c>
      <c r="AM18" s="493" t="str">
        <f>IF(18=18,IF($U18="","",IF(AJ18&gt;0,"X",IF(AK18&gt;0,"?",""))),"")</f>
        <v/>
      </c>
      <c r="AN18" s="493">
        <f>IF(18=18,IF($U18="","",SUMPRODUCT(--ISNUMBER(SEARCH(" "&amp;$CR$436:$CR$535&amp;" ",$AX18)))),"")</f>
        <v>0</v>
      </c>
      <c r="AO18" s="493">
        <f>IF(18=18,IF($U18="","",SUMPRODUCT(--ISNUMBER(SEARCH(" "&amp;$CR$536:$CR$635&amp;" ",$AX18)))),"")</f>
        <v>0</v>
      </c>
      <c r="AP18" s="493">
        <f>IF(18=18,IF($U18="","",SUMPRODUCT(--ISNUMBER(SEARCH(" "&amp;$CR$636:$CR$735&amp;" ",$AX18)))),"")</f>
        <v>0</v>
      </c>
      <c r="AQ18" s="493">
        <f>IF(18=18,IF($U18="","",SUMPRODUCT(--ISNUMBER(SEARCH(" "&amp;$CR$736:$CR$835&amp;" ",$AX18)))),"")</f>
        <v>0</v>
      </c>
      <c r="AR18" s="493">
        <f>IF(18=18,IF($U18="","",SUMPRODUCT(--ISNUMBER(SEARCH(" "&amp;$CR$836:$CR$935&amp;" ",$AX18)))),"")</f>
        <v>0</v>
      </c>
      <c r="AS18" s="493">
        <f>IF(18=18,IF($U18="","",SUMPRODUCT(--ISNUMBER(SEARCH(" "&amp;$CR$936:$CR$1035&amp;" ",$AX18)))),"")</f>
        <v>0</v>
      </c>
      <c r="AT18" s="493">
        <f>IF(18=18,IF($U18="","",SUMPRODUCT(--ISNUMBER(SEARCH(" "&amp;$CR$1036:$CR$1135&amp;" ",$AX18)))),"")</f>
        <v>0</v>
      </c>
      <c r="AU18" s="493">
        <f>IF(18=18,IF($U18="","",SUMPRODUCT(--ISNUMBER(SEARCH(" "&amp;$CR$1136:$CR$1235&amp;" ",$AX18)))),"")</f>
        <v>0</v>
      </c>
      <c r="AV18" s="493">
        <f>IF(18=18,IF($U18="","",SUMPRODUCT(--ISNUMBER(SEARCH(" "&amp;$CR$1236:$CR$1335&amp;" ",$AX18)))),"")</f>
        <v>0</v>
      </c>
      <c r="AW18" s="493">
        <f>IF(18=18,IF($U18="","",SUMPRODUCT(--ISNUMBER(SEARCH(" "&amp;$CR$1336:$CR$1363&amp;" ",$AX18)))),"")</f>
        <v>0</v>
      </c>
      <c r="AX18" s="493" t="str">
        <f>IF(18=18,IF($U18="","",SUBSTITUTE(SUBSTITUTE(SUBSTITUTE(SUBSTITUTE(SUBSTITUTE(SUBSTITUTE(SUBSTITUTE(SUBSTITUTE(SUBSTITUTE($AA18," "&amp;$CR$1365&amp;" "," ")," "&amp;$CR$1364&amp;" "," ")," "&amp;$CR$1370&amp;" "," ")," "&amp;$CR$1371&amp;" "," ")," "&amp;$CR$1367&amp;" "," ")," "&amp;$CR$1369&amp;" "," ")," "&amp;$CR$1366&amp;" "," ")," "&amp;$CR$1368&amp;" "," ")," "&amp;$CR$1372&amp;" "," ")),"")</f>
        <v xml:space="preserve"> clous de girofle </v>
      </c>
      <c r="AY18" s="493">
        <f>IF(18=18,IF($U18="","",SUMPRODUCT(--ISNUMBER(SEARCH(" "&amp;$CR$1373:$CR$1383&amp;" ",$AX18)))),"")</f>
        <v>0</v>
      </c>
      <c r="AZ18" s="493" t="str">
        <f>IF(18=18,IF($U18="","",IF(SUM(AN18:AW18)+SUMPRODUCT(--ISNUMBER(SEARCH(" "&amp;$CR$2421:$CR$2422&amp;" ",$AX18)))&gt;0,"X",IF(AY18&gt;0,"?",""))),"")</f>
        <v/>
      </c>
      <c r="BA18" s="493">
        <f>IF(18=18,IF($U18="","",SUMPRODUCT(--ISNUMBER(SEARCH(" "&amp;$CR$1384:$CR$1404&amp;" ",$AA18)))),"")</f>
        <v>0</v>
      </c>
      <c r="BB18" s="493" t="str">
        <f>IF(18=18,IF($U18="","",IF((BA18)-(0)&gt;0,"X",IF((0)-(0)&gt;0,"?",""))),"")</f>
        <v/>
      </c>
      <c r="BC18" s="493">
        <f>IF(18=18,IF($U18="","",SUMPRODUCT(--ISNUMBER(SEARCH(" "&amp;$CR$1405:$CR$1442&amp;" ",$BD18)))),"")</f>
        <v>0</v>
      </c>
      <c r="BD18" s="493" t="str">
        <f>IF(18=18,IF($U18="","",SUBSTITUTE(SUBSTITUTE($AA18," "&amp;$CR$1443&amp;" "," ")," "&amp;$CR$1444&amp;" "," ")),"")</f>
        <v xml:space="preserve"> clous de girofle </v>
      </c>
      <c r="BE18" s="493">
        <f>IF(18=18,IF($U18="","",SUMPRODUCT(--ISNUMBER(SEARCH(" "&amp;$CR$1445:$CR$1455&amp;" ",$BD18)))),"")</f>
        <v>0</v>
      </c>
      <c r="BF18" s="493" t="str">
        <f>IF(18=18,IF($U18="","",IF(BC18&gt;0,"X",IF(BE18&gt;0,"?",""))),"")</f>
        <v/>
      </c>
      <c r="BG18" s="493">
        <f>IF(18=18,IF($U18="","",SUMPRODUCT(--ISNUMBER(SEARCH(" "&amp;$CR$1456:$CR$1555&amp;" ",$BJ18)))),"")</f>
        <v>0</v>
      </c>
      <c r="BH18" s="493">
        <f>IF(18=18,IF($U18="","",SUMPRODUCT(--ISNUMBER(SEARCH(" "&amp;$CR$1556:$CR$1655&amp;" ",$BJ18)))),"")</f>
        <v>0</v>
      </c>
      <c r="BI18" s="493">
        <f>IF(18=18,IF($U18="","",SUMPRODUCT(--ISNUMBER(SEARCH(" "&amp;$CR$1656:$CR$1739&amp;" ",$BJ18)))),"")</f>
        <v>0</v>
      </c>
      <c r="BJ18" s="493" t="str">
        <f>IF(18=18,IF($U18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clous de girofle </v>
      </c>
      <c r="BK18" s="493">
        <f>IF(18=18,IF($U18="","",SUMPRODUCT(--ISNUMBER(SEARCH(" "&amp;$CR$1790:$CR$1869&amp;" ",$BL18)))+SUMPRODUCT(--ISNUMBER(SEARCH(" "&amp;$CR$2440:$CR$2453&amp;" ",$BL18)))),"")</f>
        <v>0</v>
      </c>
      <c r="BL18" s="493" t="str">
        <f>IF(18=18,IF($U18="","",SUBSTITUTE(SUBSTITUTE(SUBSTITUTE(SUBSTITUTE(SUBSTITUTE(SUBSTITUTE(SUBSTITUTE(SUBSTITUTE(SUBSTITUTE(SUBSTITUTE(SUBSTITUTE(SUBSTITUTE(SUBSTITUTE($BJ18," "&amp;$CR$1876&amp;" "," ")," "&amp;$CR$1874&amp;" "," ")," "&amp;$CR$2438&amp;" "," ")," "&amp;$CR$2439&amp;" "," ")," "&amp;$CR$1871&amp;" "," ")," "&amp;$CR$1875&amp;" "," ")," "&amp;$CR$1877&amp;" "," ")," "&amp;$CR$1872&amp;" "," ")," "&amp;$CR$1870&amp;" "," ")," "&amp;$CR$1367&amp;" "," ")," "&amp;$CR$1878&amp;" "," ")," "&amp;$CR$1366&amp;" "," ")," "&amp;$CR$1873&amp;" "," ")),"")</f>
        <v xml:space="preserve"> clous de girofle </v>
      </c>
      <c r="BM18" s="493" t="str">
        <f>IF(18=18,IF($U18="","",IF(SUM(BG18:BI18)+SUMPRODUCT(--ISNUMBER(SEARCH(" "&amp;$CR$2423:$CR$2424&amp;" ",$BJ18)))&gt;0,"X",IF(BK18&gt;0,"?",""))),"")</f>
        <v/>
      </c>
      <c r="BN18" s="493">
        <f>IF(18=18,IF($U18="","",SUMPRODUCT(--ISNUMBER(SEARCH(" "&amp;$CR$1879:$CR$1936&amp;" ",$BO18)))),"")</f>
        <v>0</v>
      </c>
      <c r="BO18" s="493" t="str">
        <f>IF(18=18,IF($U18="","",SUBSTITUTE(SUBSTITUTE(SUBSTITUTE(SUBSTITUTE(SUBSTITUTE(SUBSTITUTE(SUBSTITUTE(SUBSTITUTE(SUBSTITUTE(SUBSTITUTE(SUBSTITUTE(SUBSTITUTE(SUBSTITUTE(SUBSTITUTE(SUBSTITUTE(SUBSTITUTE(SUBSTITUTE(SUBSTITUTE(SUBSTITUTE(SUBSTITUTE(SUBSTITUTE(SUBSTITUTE(SUBSTITUTE($AA18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clous de girofle </v>
      </c>
      <c r="BP18" s="493">
        <f>IF(18=18,IF($U18="","",SUMPRODUCT(--ISNUMBER(SEARCH(" "&amp;$CR$1960:$CR$1976&amp;" ",$BO18)))),"")</f>
        <v>0</v>
      </c>
      <c r="BQ18" s="493" t="str">
        <f>IF(18=18,IF($U18="","",IF(BN18&gt;0,"X",IF(BP18&gt;0,"?",""))),"")</f>
        <v/>
      </c>
      <c r="BR18" s="493">
        <f>IF(18=18,IF($U18="","",SUMPRODUCT(--ISNUMBER(SEARCH(" "&amp;$CR$1977:$CR$1990&amp;" ",$AA18)))),"")</f>
        <v>0</v>
      </c>
      <c r="BS18" s="493">
        <f>IF(18=18,IF($U18="","",SUMPRODUCT(--ISNUMBER(SEARCH(" "&amp;$CR$1991:$CR$2005&amp;" ",$AA18)))),"")</f>
        <v>0</v>
      </c>
      <c r="BT18" s="493" t="str">
        <f>IF(18=18,IF($U18="","",IF((BR18)-(0)&gt;0,"X",IF((BS18)-(0)&gt;0,"?",""))),"")</f>
        <v/>
      </c>
      <c r="BU18" s="493">
        <f>IF(18=18,IF($U18="","",SUMPRODUCT(--ISNUMBER(SEARCH(" "&amp;$CR$2006:$CR$2023&amp;" ",$AA18)))),"")</f>
        <v>0</v>
      </c>
      <c r="BV18" s="493">
        <f>IF(18=18,IF($U18="","",SUMPRODUCT(--ISNUMBER(SEARCH(" "&amp;$CR$2024:$CR$2038&amp;" ",$AA18)))),"")</f>
        <v>0</v>
      </c>
      <c r="BW18" s="493" t="str">
        <f>IF(18=18,IF($U18="","",IF((BU18)-(0)&gt;0,"X",IF((BV18)-(0)&gt;0,"?",""))),"")</f>
        <v/>
      </c>
      <c r="BX18" s="493">
        <f>IF(18=18,IF($U18="","",SUMPRODUCT(--ISNUMBER(SEARCH(" "&amp;$CR$2039:$CR$2057&amp;" ",$AA18)))),"")</f>
        <v>0</v>
      </c>
      <c r="BY18" s="493">
        <f>IF(18=18,IF($U18="","",SUMPRODUCT(--ISNUMBER(SEARCH(" "&amp;$CR$2058:$CR$2072&amp;" ",$AA18)))),"")</f>
        <v>0</v>
      </c>
      <c r="BZ18" s="493" t="str">
        <f>IF(18=18,IF($U18="","",IF((BX18)-(0)&gt;0,"X",IF((BY18)-(0)&gt;0,"?",""))),"")</f>
        <v/>
      </c>
      <c r="CA18" s="493">
        <f>IF(18=18,IF($U18="","",SUMPRODUCT(--ISNUMBER(SEARCH(" "&amp;$CR$2073:$CR$2093&amp;" ",$AA18)))),"")</f>
        <v>0</v>
      </c>
      <c r="CB18" s="493">
        <f>IF(18=18,IF($U18="","",SUMPRODUCT(--ISNUMBER(SEARCH(" "&amp;$CR$2094:$CR$2133&amp;" ",SUBSTITUTE(SUBSTITUTE($AA18," "&amp;$CR$1367&amp;" "," ")," "&amp;$CR$1366&amp;" "," "))))+--ISNUMBER(SEARCH("poiré",$V18))),"")</f>
        <v>0</v>
      </c>
      <c r="CC18" s="493" t="str">
        <f>IF(18=18,IF($U18="","",IF(OR(CA18&gt;0,ISNUMBER(SEARCH(" vinaigre de vin ",$AA18)),ISNUMBER(SEARCH(" vinaigre au vin ",$AA18))),"X",IF(CB18&gt;0,"?",""))),"")</f>
        <v/>
      </c>
      <c r="CD18" s="493">
        <f>IF(18=18,IF($U18="","",SUMPRODUCT(--ISNUMBER(SEARCH(" "&amp;$CR$2134:$CR$2146&amp;" ",$AA18)))),"")</f>
        <v>0</v>
      </c>
      <c r="CE18" s="493">
        <f>IF(18=18,IF($U18="","",SUMPRODUCT(--ISNUMBER(SEARCH(" "&amp;$CR$2147:$CR$2152&amp;" ",$AA18)))),"")</f>
        <v>0</v>
      </c>
      <c r="CF18" s="493" t="str">
        <f>IF(18=18,IF($U18="","",IF((CD18)-(0)&gt;0,"X",IF((CE18)-(0)&gt;0,"?",""))),"")</f>
        <v/>
      </c>
      <c r="CG18" s="493">
        <f>IF(18=18,IF($U18="","",SUMPRODUCT(--ISNUMBER(SEARCH(" "&amp;$CR$2153:$CR$2252&amp;" ",$CJ18)))),"")</f>
        <v>0</v>
      </c>
      <c r="CH18" s="493">
        <f>IF(18=18,IF($U18="","",SUMPRODUCT(--ISNUMBER(SEARCH(" "&amp;$CR$2253:$CR$2352&amp;" ",$CJ18)))),"")</f>
        <v>0</v>
      </c>
      <c r="CI18" s="493">
        <f>IF(18=18,IF($U18="","",SUMPRODUCT(--ISNUMBER(SEARCH(" "&amp;$CR$2353:$CR$2395&amp;" ",$CJ18)))),"")</f>
        <v>0</v>
      </c>
      <c r="CJ18" s="493" t="str">
        <f>IF(18=18,IF($U18="","",SUBSTITUTE(SUBSTITUTE(SUBSTITUTE(SUBSTITUTE(SUBSTITUTE(SUBSTITUTE(SUBSTITUTE(SUBSTITUTE(SUBSTITUTE(SUBSTITUTE(SUBSTITUTE(SUBSTITUTE(SUBSTITUTE(SUBSTITUTE(SUBSTITUTE(SUBSTITUTE($AA18," "&amp;$CR$2401&amp;" "," ")," "&amp;$CR$2400&amp;" "," ")," "&amp;$CR$2399&amp;" "," ")," "&amp;$CR$2406&amp;" "," ")," "&amp;$CR$2398&amp;" "," ")," "&amp;$CR$2410&amp;" "," ")," "&amp;$CR$2397&amp;" "," ")," "&amp;$CR$2402&amp;" "," ")," "&amp;$CR$2405&amp;" "," ")," "&amp;$CR$2396&amp;" "," ")," "&amp;$CR$2404&amp;" "," ")," "&amp;$CR$2411&amp;" "," ")," "&amp;$CR$2408&amp;" "," ")," "&amp;$CR$2403&amp;" "," ")," "&amp;$CR$2407&amp;" "," ")," "&amp;$CR$2409&amp;" "," ")),"")</f>
        <v xml:space="preserve"> clous de girofle </v>
      </c>
      <c r="CK18" s="493">
        <f>IF(18=18,IF($U18="","",SUMPRODUCT(--ISNUMBER(SEARCH(" "&amp;$CR$2412:$CR$2416&amp;" ",$CJ18)))),"")</f>
        <v>0</v>
      </c>
      <c r="CL18" s="493" t="str">
        <f>IF(18=18,IF($U18="","",IF(SUM(CG18:CI18)&gt;0,"X",IF(CK18&gt;0,"?",""))),"")</f>
        <v/>
      </c>
      <c r="CM18" s="494"/>
      <c r="CN18" s="496" t="s">
        <v>1176</v>
      </c>
      <c r="CO18" s="496" t="s">
        <v>1083</v>
      </c>
      <c r="CP18" s="496" t="s">
        <v>689</v>
      </c>
      <c r="CQ18" s="496" t="s">
        <v>1177</v>
      </c>
      <c r="CR18" s="496" t="s">
        <v>1177</v>
      </c>
      <c r="CS18" s="496" t="s">
        <v>1151</v>
      </c>
      <c r="CT18" s="496" t="s">
        <v>1152</v>
      </c>
      <c r="CU18" s="496" t="s">
        <v>1087</v>
      </c>
      <c r="CV18" s="497" t="s">
        <v>1153</v>
      </c>
      <c r="CX18" s="543">
        <v>1</v>
      </c>
    </row>
    <row r="19" spans="1:102" ht="21" customHeight="1">
      <c r="A19" s="509">
        <v>13</v>
      </c>
      <c r="B19" s="510" t="s">
        <v>5857</v>
      </c>
      <c r="C19" s="511" t="str">
        <f t="shared" si="0"/>
        <v>Cocktail de fruits de mer surgelés crus *</v>
      </c>
      <c r="D19" s="512" t="str">
        <f>IF(19=19,IF($B19="","",IF(E19="X",""&amp;"Céréales contenant du gluten","")&amp;IF(F19="X",IF(COUNTIF($E19:$E19,"X")&gt;0,", ","")&amp;"Crustacés","")&amp;IF(G19="X",IF(COUNTIF($E19:$F19,"X")&gt;0,", ","")&amp;"Œufs","")&amp;IF(H19="X",IF(COUNTIF($E19:$G19,"X")&gt;0,", ","")&amp;"Poissons","")&amp;IF(I19="X",IF(COUNTIF($E19:$H19,"X")&gt;0,", ","")&amp;"Arachides","")&amp;IF(J19="X",IF(COUNTIF($E19:$I19,"X")&gt;0,", ","")&amp;"Soja","")&amp;IF(K19="X",IF(COUNTIF($E19:$J19,"X")&gt;0,", ","")&amp;"Lait","")&amp;IF(L19="X",IF(COUNTIF($E19:$K19,"X")&gt;0,", ","")&amp;"Fruits à coque","")&amp;IF(M19="X",IF(COUNTIF($E19:$L19,"X")&gt;0,", ","")&amp;"Céleri","")&amp;IF(N19="X",IF(COUNTIF($E19:$M19,"X")&gt;0,", ","")&amp;"Moutarde","")&amp;IF(O19="X",IF(COUNTIF($E19:$N19,"X")&gt;0,", ","")&amp;"Sésame","")&amp;IF(P19="X",IF(COUNTIF($E19:$O19,"X")&gt;0,", ","")&amp;"Sulfites","")&amp;IF(Q19="X",IF(COUNTIF($E19:$P19,"X")&gt;0,", ","")&amp;"Lupin","")&amp;IF(R19="X",IF(COUNTIF($E19:$Q19,"X")&gt;0,", ","")&amp;"Mollusques","")),"")</f>
        <v>Mollusques</v>
      </c>
      <c r="E19" s="513" t="str">
        <f>IF(19=19,IF($B19="","",AF19),"")</f>
        <v/>
      </c>
      <c r="F19" s="513" t="str">
        <f>IF(19=19,IF($B19="","",AI19),"")</f>
        <v/>
      </c>
      <c r="G19" s="513" t="str">
        <f>IF(19=19,IF($B19="","",AM19),"")</f>
        <v/>
      </c>
      <c r="H19" s="513" t="str">
        <f>IF(19=19,IF($B19="","",IF(ISNUMBER(SEARCH(" colin ",$AA19)),"X",AZ19)),"")</f>
        <v/>
      </c>
      <c r="I19" s="513" t="str">
        <f>IF(19=19,IF($B19="","",BB19),"")</f>
        <v/>
      </c>
      <c r="J19" s="513" t="str">
        <f>IF(19=19,IF($B19="","",BF19),"")</f>
        <v/>
      </c>
      <c r="K19" s="513" t="str">
        <f>IF(19=19,IF($B19="","",BM19),"")</f>
        <v/>
      </c>
      <c r="L19" s="513" t="str">
        <f>IF(19=19,IF($B19="","",BQ19),"")</f>
        <v/>
      </c>
      <c r="M19" s="513" t="str">
        <f>IF(19=19,IF($B19="","",BT19),"")</f>
        <v/>
      </c>
      <c r="N19" s="513" t="str">
        <f>IF(19=19,IF($B19="","",BW19),"")</f>
        <v/>
      </c>
      <c r="O19" s="513" t="str">
        <f>IF(19=19,IF($B19="","",BZ19),"")</f>
        <v/>
      </c>
      <c r="P19" s="513" t="str">
        <f>IF(19=19,IF($B19="","",CC19),"")</f>
        <v/>
      </c>
      <c r="Q19" s="513" t="str">
        <f>IF(19=19,IF($B19="","",CF19),"")</f>
        <v/>
      </c>
      <c r="R19" s="513" t="str">
        <f>IF(19=19,IF($B19="","",CL19),"")</f>
        <v>X</v>
      </c>
      <c r="S19" s="514" t="str">
        <f>IF(19=19,IF($B19="","",IF(E19="?",""&amp;"Céréales contenant du gluten","")&amp;IF(F19="?",IF(COUNTIF($E19:$E19,"~?")&gt;0,", ","")&amp;"Crustacés","")&amp;IF(G19="?",IF(COUNTIF($E19:$F19,"~?")&gt;0,", ","")&amp;"Œufs","")&amp;IF(H19="?",IF(COUNTIF($E19:$G19,"~?")&gt;0,", ","")&amp;"Poissons","")&amp;IF(I19="?",IF(COUNTIF($E19:$H19,"~?")&gt;0,", ","")&amp;"Arachides","")&amp;IF(J19="?",IF(COUNTIF($E19:$I19,"~?")&gt;0,", ","")&amp;"Soja","")&amp;IF(K19="?",IF(COUNTIF($E19:$J19,"~?")&gt;0,", ","")&amp;"Lait","")&amp;IF(L19="?",IF(COUNTIF($E19:$K19,"~?")&gt;0,", ","")&amp;"Fruits à coque","")&amp;IF(M19="?",IF(COUNTIF($E19:$L19,"~?")&gt;0,", ","")&amp;"Céleri","")&amp;IF(N19="?",IF(COUNTIF($E19:$M19,"~?")&gt;0,", ","")&amp;"Moutarde","")&amp;IF(O19="?",IF(COUNTIF($E19:$N19,"~?")&gt;0,", ","")&amp;"Sésame","")&amp;IF(P19="?",IF(COUNTIF($E19:$O19,"~?")&gt;0,", ","")&amp;"Sulfites","")&amp;IF(Q19="?",IF(COUNTIF($E19:$P19,"~?")&gt;0,", ","")&amp;"Lupin","")&amp;IF(R19="?",IF(COUNTIF($E19:$Q19,"~?")&gt;0,", ","")&amp;"Mollusques","")),"")</f>
        <v/>
      </c>
      <c r="U19" s="493" t="str">
        <f>IF(19=19,IF($B19="","",$B19),"")</f>
        <v xml:space="preserve">Cocktail de fruits de mer surgelés crus </v>
      </c>
      <c r="V19" s="493" t="str">
        <f>IF(19=19,LOWER(CLEAN(SUBSTITUTE(SUBSTITUTE(SUBSTITUTE(SUBSTITUTE($U19,CHAR(160)," ")," "," "),CHAR(10)," "),CHAR(13)," "))),"")</f>
        <v xml:space="preserve">cocktail de fruits de mer surgelés crus </v>
      </c>
      <c r="W19" s="493" t="str">
        <f>IF(19=19,SUBSTITUTE(SUBSTITUTE(SUBSTITUTE(SUBSTITUTE(SUBSTITUTE(SUBSTITUTE(SUBSTITUTE(SUBSTITUTE(SUBSTITUTE(SUBSTITUTE(SUBSTITUTE(SUBSTITUTE($V19,"œ","oe"),"æ","ae"),"à","a"),"á","a"),"â","a"),"ä","a"),"ã","a"),"ç","c"),"è","e"),"é","e"),"ê","e"),"ë","e"),"")</f>
        <v xml:space="preserve">cocktail de fruits de mer surgeles crus </v>
      </c>
      <c r="X19" s="493" t="str">
        <f>IF(19=19,SUBSTITUTE(SUBSTITUTE(SUBSTITUTE(SUBSTITUTE(SUBSTITUTE(SUBSTITUTE(SUBSTITUTE(SUBSTITUTE(SUBSTITUTE(SUBSTITUTE(SUBSTITUTE(SUBSTITUTE(SUBSTITUTE(SUBSTITUTE(SUBSTITUTE(SUBSTITUTE($W19,"ì","i"),"í","i"),"î","i"),"ï","i"),"ñ","n"),"ò","o"),"ó","o"),"ô","o"),"ö","o"),"õ","o"),"ù","u"),"ú","u"),"û","u"),"ü","u"),"ý","y"),"ÿ","y"),"")</f>
        <v xml:space="preserve">cocktail de fruits de mer surgeles crus </v>
      </c>
      <c r="Y19" s="493" t="str">
        <f>IF(19=19,SUBSTITUTE(SUBSTITUTE(SUBSTITUTE(SUBSTITUTE(SUBSTITUTE(SUBSTITUTE(SUBSTITUTE(SUBSTITUTE(SUBSTITUTE(SUBSTITUTE(SUBSTITUTE(SUBSTITUTE(SUBSTITUTE(SUBSTITUTE($X19,"’"," "),"`"," "),"–"," "),"—"," "),"-"," "),"'"," "),"/"," "),"_"," "),","," "),"."," "),"("," "),")"," "),";"," "),":"," "),"")</f>
        <v xml:space="preserve">cocktail de fruits de mer surgeles crus </v>
      </c>
      <c r="Z19" s="493" t="str">
        <f>IF(19=19,SUBSTITUTE(SUBSTITUTE(SUBSTITUTE(SUBSTITUTE(SUBSTITUTE(SUBSTITUTE(SUBSTITUTE(SUBSTITUTE(SUBSTITUTE(SUBSTITUTE(SUBSTITUTE(SUBSTITUTE(SUBSTITUTE(SUBSTITUTE(SUBSTITUTE($Y19,"!"," "),"?"," "),"+"," "),"*"," "),"&amp;"," "),"["," "),"]"," "),"{"," "),"}"," "),"%"," "),"="," "),"\"," "),"|"," "),"&lt;"," "),"&gt;"," "),"")</f>
        <v xml:space="preserve">cocktail de fruits de mer surgeles crus </v>
      </c>
      <c r="AA19" s="493" t="str">
        <f>IF(19=19," "&amp;TRIM(SUBSTITUTE(SUBSTITUTE(SUBSTITUTE(SUBSTITUTE(SUBSTITUTE(SUBSTITUTE($Z19,CHAR(34)," "),"  "," "),"  "," "),"  "," "),"  "," "),"  "," "))&amp;" ","")</f>
        <v xml:space="preserve"> cocktail de fruits de mer surgeles crus </v>
      </c>
      <c r="AB19" s="493">
        <f>IF(19=19,IF($U19="","",SUMPRODUCT(--ISNUMBER(SEARCH(" "&amp;$CR$2:$CR$101&amp;" ",$AD19)))),"")</f>
        <v>0</v>
      </c>
      <c r="AC19" s="493">
        <f>IF(19=19,IF($U19="","",SUMPRODUCT(--ISNUMBER(SEARCH(" "&amp;$CR$102:$CR$151&amp;" ",$AD19)))),"")</f>
        <v>0</v>
      </c>
      <c r="AD19" s="493" t="str">
        <f t="shared" si="1"/>
        <v xml:space="preserve"> cocktail de fruits de mer surgeles crus </v>
      </c>
      <c r="AE19" s="493">
        <f t="shared" si="2"/>
        <v>0</v>
      </c>
      <c r="AF19" s="493" t="str">
        <f>IF(19=19,IF($U19="","",IF(SUM(AB19:AC19)+SUMPRODUCT(--ISNUMBER(SEARCH(" "&amp;$CR$2418:$CR$2420&amp;" ",$AD19)))&gt;0,"X",IF(AE19&gt;0,"?",""))),"")</f>
        <v/>
      </c>
      <c r="AG19" s="493">
        <f>IF(19=19,IF($U19="","",SUMPRODUCT(--ISNUMBER(SEARCH(" "&amp;$CR$206:$CR$305&amp;" ",$AA19)))),"")</f>
        <v>0</v>
      </c>
      <c r="AH19" s="493">
        <f>IF(19=19,IF($U19="","",SUMPRODUCT(--ISNUMBER(SEARCH(" "&amp;$CR$306:$CR$340&amp;" ",$AA19)))),"")</f>
        <v>0</v>
      </c>
      <c r="AI19" s="493" t="str">
        <f>IF(19=19,IF($U19="","",IF((SUM(AG19:AH19))-(0)&gt;0,"X",IF((0)-(0)&gt;0,"?",""))),"")</f>
        <v/>
      </c>
      <c r="AJ19" s="493">
        <f>IF(19=19,IF($U19="","",SUMPRODUCT(--ISNUMBER(SEARCH(" "&amp;$CR$341:$CR$398&amp;" ",$AA19)))),"")</f>
        <v>0</v>
      </c>
      <c r="AK19" s="493">
        <f>IF(19=19,IF($U19="","",SUMPRODUCT(--ISNUMBER(SEARCH(" "&amp;$CR$399:$CR$426&amp;" ",$AL19)))+SUMPRODUCT(--ISNUMBER(SEARCH(" "&amp;$CR$2440:$CR$2453&amp;" ",$AL19)))),"")</f>
        <v>0</v>
      </c>
      <c r="AL19" s="493" t="str">
        <f>IF(19=19,IF($U19="","",SUBSTITUTE(SUBSTITUTE(SUBSTITUTE(SUBSTITUTE(SUBSTITUTE(SUBSTITUTE(SUBSTITUTE(SUBSTITUTE(SUBSTITUTE(SUBSTITUTE(SUBSTITUTE(SUBSTITUTE(SUBSTITUTE(SUBSTITUTE($AA19," "&amp;$CR$2455&amp;" "," ")," "&amp;$CR$433&amp;" "," ")," "&amp;$CR$431&amp;" "," ")," "&amp;$CR$2438&amp;" "," ")," "&amp;$CR$2439&amp;" "," ")," "&amp;$CR$428&amp;" "," ")," "&amp;$CR$432&amp;" "," ")," "&amp;$CR$434&amp;" "," ")," "&amp;$CR$429&amp;" "," ")," "&amp;$CR$427&amp;" "," ")," "&amp;$CR$1367&amp;" "," ")," "&amp;$CR$435&amp;" "," ")," "&amp;$CR$1366&amp;" "," ")," "&amp;$CR$430&amp;" "," ")),"")</f>
        <v xml:space="preserve"> cocktail de fruits de mer surgeles crus </v>
      </c>
      <c r="AM19" s="493" t="str">
        <f>IF(19=19,IF($U19="","",IF(AJ19&gt;0,"X",IF(AK19&gt;0,"?",""))),"")</f>
        <v/>
      </c>
      <c r="AN19" s="493">
        <f>IF(19=19,IF($U19="","",SUMPRODUCT(--ISNUMBER(SEARCH(" "&amp;$CR$436:$CR$535&amp;" ",$AX19)))),"")</f>
        <v>0</v>
      </c>
      <c r="AO19" s="493">
        <f>IF(19=19,IF($U19="","",SUMPRODUCT(--ISNUMBER(SEARCH(" "&amp;$CR$536:$CR$635&amp;" ",$AX19)))),"")</f>
        <v>0</v>
      </c>
      <c r="AP19" s="493">
        <f>IF(19=19,IF($U19="","",SUMPRODUCT(--ISNUMBER(SEARCH(" "&amp;$CR$636:$CR$735&amp;" ",$AX19)))),"")</f>
        <v>0</v>
      </c>
      <c r="AQ19" s="493">
        <f>IF(19=19,IF($U19="","",SUMPRODUCT(--ISNUMBER(SEARCH(" "&amp;$CR$736:$CR$835&amp;" ",$AX19)))),"")</f>
        <v>0</v>
      </c>
      <c r="AR19" s="493">
        <f>IF(19=19,IF($U19="","",SUMPRODUCT(--ISNUMBER(SEARCH(" "&amp;$CR$836:$CR$935&amp;" ",$AX19)))),"")</f>
        <v>0</v>
      </c>
      <c r="AS19" s="493">
        <f>IF(19=19,IF($U19="","",SUMPRODUCT(--ISNUMBER(SEARCH(" "&amp;$CR$936:$CR$1035&amp;" ",$AX19)))),"")</f>
        <v>0</v>
      </c>
      <c r="AT19" s="493">
        <f>IF(19=19,IF($U19="","",SUMPRODUCT(--ISNUMBER(SEARCH(" "&amp;$CR$1036:$CR$1135&amp;" ",$AX19)))),"")</f>
        <v>0</v>
      </c>
      <c r="AU19" s="493">
        <f>IF(19=19,IF($U19="","",SUMPRODUCT(--ISNUMBER(SEARCH(" "&amp;$CR$1136:$CR$1235&amp;" ",$AX19)))),"")</f>
        <v>0</v>
      </c>
      <c r="AV19" s="493">
        <f>IF(19=19,IF($U19="","",SUMPRODUCT(--ISNUMBER(SEARCH(" "&amp;$CR$1236:$CR$1335&amp;" ",$AX19)))),"")</f>
        <v>0</v>
      </c>
      <c r="AW19" s="493">
        <f>IF(19=19,IF($U19="","",SUMPRODUCT(--ISNUMBER(SEARCH(" "&amp;$CR$1336:$CR$1363&amp;" ",$AX19)))),"")</f>
        <v>0</v>
      </c>
      <c r="AX19" s="493" t="str">
        <f>IF(19=19,IF($U19="","",SUBSTITUTE(SUBSTITUTE(SUBSTITUTE(SUBSTITUTE(SUBSTITUTE(SUBSTITUTE(SUBSTITUTE(SUBSTITUTE(SUBSTITUTE($AA19," "&amp;$CR$1365&amp;" "," ")," "&amp;$CR$1364&amp;" "," ")," "&amp;$CR$1370&amp;" "," ")," "&amp;$CR$1371&amp;" "," ")," "&amp;$CR$1367&amp;" "," ")," "&amp;$CR$1369&amp;" "," ")," "&amp;$CR$1366&amp;" "," ")," "&amp;$CR$1368&amp;" "," ")," "&amp;$CR$1372&amp;" "," ")),"")</f>
        <v xml:space="preserve"> cocktail de fruits de mer surgeles crus </v>
      </c>
      <c r="AY19" s="493">
        <f>IF(19=19,IF($U19="","",SUMPRODUCT(--ISNUMBER(SEARCH(" "&amp;$CR$1373:$CR$1383&amp;" ",$AX19)))),"")</f>
        <v>0</v>
      </c>
      <c r="AZ19" s="493" t="str">
        <f>IF(19=19,IF($U19="","",IF(SUM(AN19:AW19)+SUMPRODUCT(--ISNUMBER(SEARCH(" "&amp;$CR$2421:$CR$2422&amp;" ",$AX19)))&gt;0,"X",IF(AY19&gt;0,"?",""))),"")</f>
        <v/>
      </c>
      <c r="BA19" s="493">
        <f>IF(19=19,IF($U19="","",SUMPRODUCT(--ISNUMBER(SEARCH(" "&amp;$CR$1384:$CR$1404&amp;" ",$AA19)))),"")</f>
        <v>0</v>
      </c>
      <c r="BB19" s="493" t="str">
        <f>IF(19=19,IF($U19="","",IF((BA19)-(0)&gt;0,"X",IF((0)-(0)&gt;0,"?",""))),"")</f>
        <v/>
      </c>
      <c r="BC19" s="493">
        <f>IF(19=19,IF($U19="","",SUMPRODUCT(--ISNUMBER(SEARCH(" "&amp;$CR$1405:$CR$1442&amp;" ",$BD19)))),"")</f>
        <v>0</v>
      </c>
      <c r="BD19" s="493" t="str">
        <f>IF(19=19,IF($U19="","",SUBSTITUTE(SUBSTITUTE($AA19," "&amp;$CR$1443&amp;" "," ")," "&amp;$CR$1444&amp;" "," ")),"")</f>
        <v xml:space="preserve"> cocktail de fruits de mer surgeles crus </v>
      </c>
      <c r="BE19" s="493">
        <f>IF(19=19,IF($U19="","",SUMPRODUCT(--ISNUMBER(SEARCH(" "&amp;$CR$1445:$CR$1455&amp;" ",$BD19)))),"")</f>
        <v>0</v>
      </c>
      <c r="BF19" s="493" t="str">
        <f>IF(19=19,IF($U19="","",IF(BC19&gt;0,"X",IF(BE19&gt;0,"?",""))),"")</f>
        <v/>
      </c>
      <c r="BG19" s="493">
        <f>IF(19=19,IF($U19="","",SUMPRODUCT(--ISNUMBER(SEARCH(" "&amp;$CR$1456:$CR$1555&amp;" ",$BJ19)))),"")</f>
        <v>0</v>
      </c>
      <c r="BH19" s="493">
        <f>IF(19=19,IF($U19="","",SUMPRODUCT(--ISNUMBER(SEARCH(" "&amp;$CR$1556:$CR$1655&amp;" ",$BJ19)))),"")</f>
        <v>0</v>
      </c>
      <c r="BI19" s="493">
        <f>IF(19=19,IF($U19="","",SUMPRODUCT(--ISNUMBER(SEARCH(" "&amp;$CR$1656:$CR$1739&amp;" ",$BJ19)))),"")</f>
        <v>0</v>
      </c>
      <c r="BJ19" s="493" t="str">
        <f>IF(19=19,IF($U19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cocktail de fruits de mer surgeles crus </v>
      </c>
      <c r="BK19" s="493">
        <f>IF(19=19,IF($U19="","",SUMPRODUCT(--ISNUMBER(SEARCH(" "&amp;$CR$1790:$CR$1869&amp;" ",$BL19)))+SUMPRODUCT(--ISNUMBER(SEARCH(" "&amp;$CR$2440:$CR$2453&amp;" ",$BL19)))),"")</f>
        <v>0</v>
      </c>
      <c r="BL19" s="493" t="str">
        <f>IF(19=19,IF($U19="","",SUBSTITUTE(SUBSTITUTE(SUBSTITUTE(SUBSTITUTE(SUBSTITUTE(SUBSTITUTE(SUBSTITUTE(SUBSTITUTE(SUBSTITUTE(SUBSTITUTE(SUBSTITUTE(SUBSTITUTE(SUBSTITUTE($BJ19," "&amp;$CR$1876&amp;" "," ")," "&amp;$CR$1874&amp;" "," ")," "&amp;$CR$2438&amp;" "," ")," "&amp;$CR$2439&amp;" "," ")," "&amp;$CR$1871&amp;" "," ")," "&amp;$CR$1875&amp;" "," ")," "&amp;$CR$1877&amp;" "," ")," "&amp;$CR$1872&amp;" "," ")," "&amp;$CR$1870&amp;" "," ")," "&amp;$CR$1367&amp;" "," ")," "&amp;$CR$1878&amp;" "," ")," "&amp;$CR$1366&amp;" "," ")," "&amp;$CR$1873&amp;" "," ")),"")</f>
        <v xml:space="preserve"> cocktail de fruits de mer surgeles crus </v>
      </c>
      <c r="BM19" s="493" t="str">
        <f>IF(19=19,IF($U19="","",IF(SUM(BG19:BI19)+SUMPRODUCT(--ISNUMBER(SEARCH(" "&amp;$CR$2423:$CR$2424&amp;" ",$BJ19)))&gt;0,"X",IF(BK19&gt;0,"?",""))),"")</f>
        <v/>
      </c>
      <c r="BN19" s="493">
        <f>IF(19=19,IF($U19="","",SUMPRODUCT(--ISNUMBER(SEARCH(" "&amp;$CR$1879:$CR$1936&amp;" ",$BO19)))),"")</f>
        <v>0</v>
      </c>
      <c r="BO19" s="493" t="str">
        <f>IF(19=19,IF($U19="","",SUBSTITUTE(SUBSTITUTE(SUBSTITUTE(SUBSTITUTE(SUBSTITUTE(SUBSTITUTE(SUBSTITUTE(SUBSTITUTE(SUBSTITUTE(SUBSTITUTE(SUBSTITUTE(SUBSTITUTE(SUBSTITUTE(SUBSTITUTE(SUBSTITUTE(SUBSTITUTE(SUBSTITUTE(SUBSTITUTE(SUBSTITUTE(SUBSTITUTE(SUBSTITUTE(SUBSTITUTE(SUBSTITUTE($AA19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cocktail de fruits de mer surgeles crus </v>
      </c>
      <c r="BP19" s="493">
        <f>IF(19=19,IF($U19="","",SUMPRODUCT(--ISNUMBER(SEARCH(" "&amp;$CR$1960:$CR$1976&amp;" ",$BO19)))),"")</f>
        <v>0</v>
      </c>
      <c r="BQ19" s="493" t="str">
        <f>IF(19=19,IF($U19="","",IF(BN19&gt;0,"X",IF(BP19&gt;0,"?",""))),"")</f>
        <v/>
      </c>
      <c r="BR19" s="493">
        <f>IF(19=19,IF($U19="","",SUMPRODUCT(--ISNUMBER(SEARCH(" "&amp;$CR$1977:$CR$1990&amp;" ",$AA19)))),"")</f>
        <v>0</v>
      </c>
      <c r="BS19" s="493">
        <f>IF(19=19,IF($U19="","",SUMPRODUCT(--ISNUMBER(SEARCH(" "&amp;$CR$1991:$CR$2005&amp;" ",$AA19)))),"")</f>
        <v>0</v>
      </c>
      <c r="BT19" s="493" t="str">
        <f>IF(19=19,IF($U19="","",IF((BR19)-(0)&gt;0,"X",IF((BS19)-(0)&gt;0,"?",""))),"")</f>
        <v/>
      </c>
      <c r="BU19" s="493">
        <f>IF(19=19,IF($U19="","",SUMPRODUCT(--ISNUMBER(SEARCH(" "&amp;$CR$2006:$CR$2023&amp;" ",$AA19)))),"")</f>
        <v>0</v>
      </c>
      <c r="BV19" s="493">
        <f>IF(19=19,IF($U19="","",SUMPRODUCT(--ISNUMBER(SEARCH(" "&amp;$CR$2024:$CR$2038&amp;" ",$AA19)))),"")</f>
        <v>0</v>
      </c>
      <c r="BW19" s="493" t="str">
        <f>IF(19=19,IF($U19="","",IF((BU19)-(0)&gt;0,"X",IF((BV19)-(0)&gt;0,"?",""))),"")</f>
        <v/>
      </c>
      <c r="BX19" s="493">
        <f>IF(19=19,IF($U19="","",SUMPRODUCT(--ISNUMBER(SEARCH(" "&amp;$CR$2039:$CR$2057&amp;" ",$AA19)))),"")</f>
        <v>0</v>
      </c>
      <c r="BY19" s="493">
        <f>IF(19=19,IF($U19="","",SUMPRODUCT(--ISNUMBER(SEARCH(" "&amp;$CR$2058:$CR$2072&amp;" ",$AA19)))),"")</f>
        <v>0</v>
      </c>
      <c r="BZ19" s="493" t="str">
        <f>IF(19=19,IF($U19="","",IF((BX19)-(0)&gt;0,"X",IF((BY19)-(0)&gt;0,"?",""))),"")</f>
        <v/>
      </c>
      <c r="CA19" s="493">
        <f>IF(19=19,IF($U19="","",SUMPRODUCT(--ISNUMBER(SEARCH(" "&amp;$CR$2073:$CR$2093&amp;" ",$AA19)))),"")</f>
        <v>0</v>
      </c>
      <c r="CB19" s="493">
        <f>IF(19=19,IF($U19="","",SUMPRODUCT(--ISNUMBER(SEARCH(" "&amp;$CR$2094:$CR$2133&amp;" ",SUBSTITUTE(SUBSTITUTE($AA19," "&amp;$CR$1367&amp;" "," ")," "&amp;$CR$1366&amp;" "," "))))+--ISNUMBER(SEARCH("poiré",$V19))),"")</f>
        <v>0</v>
      </c>
      <c r="CC19" s="493" t="str">
        <f>IF(19=19,IF($U19="","",IF(OR(CA19&gt;0,ISNUMBER(SEARCH(" vinaigre de vin ",$AA19)),ISNUMBER(SEARCH(" vinaigre au vin ",$AA19))),"X",IF(CB19&gt;0,"?",""))),"")</f>
        <v/>
      </c>
      <c r="CD19" s="493">
        <f>IF(19=19,IF($U19="","",SUMPRODUCT(--ISNUMBER(SEARCH(" "&amp;$CR$2134:$CR$2146&amp;" ",$AA19)))),"")</f>
        <v>0</v>
      </c>
      <c r="CE19" s="493">
        <f>IF(19=19,IF($U19="","",SUMPRODUCT(--ISNUMBER(SEARCH(" "&amp;$CR$2147:$CR$2152&amp;" ",$AA19)))),"")</f>
        <v>0</v>
      </c>
      <c r="CF19" s="493" t="str">
        <f>IF(19=19,IF($U19="","",IF((CD19)-(0)&gt;0,"X",IF((CE19)-(0)&gt;0,"?",""))),"")</f>
        <v/>
      </c>
      <c r="CG19" s="493">
        <f>IF(19=19,IF($U19="","",SUMPRODUCT(--ISNUMBER(SEARCH(" "&amp;$CR$2153:$CR$2252&amp;" ",$CJ19)))),"")</f>
        <v>1</v>
      </c>
      <c r="CH19" s="493">
        <f>IF(19=19,IF($U19="","",SUMPRODUCT(--ISNUMBER(SEARCH(" "&amp;$CR$2253:$CR$2352&amp;" ",$CJ19)))),"")</f>
        <v>0</v>
      </c>
      <c r="CI19" s="493">
        <f>IF(19=19,IF($U19="","",SUMPRODUCT(--ISNUMBER(SEARCH(" "&amp;$CR$2353:$CR$2395&amp;" ",$CJ19)))),"")</f>
        <v>0</v>
      </c>
      <c r="CJ19" s="493" t="str">
        <f>IF(19=19,IF($U19="","",SUBSTITUTE(SUBSTITUTE(SUBSTITUTE(SUBSTITUTE(SUBSTITUTE(SUBSTITUTE(SUBSTITUTE(SUBSTITUTE(SUBSTITUTE(SUBSTITUTE(SUBSTITUTE(SUBSTITUTE(SUBSTITUTE(SUBSTITUTE(SUBSTITUTE(SUBSTITUTE($AA19," "&amp;$CR$2401&amp;" "," ")," "&amp;$CR$2400&amp;" "," ")," "&amp;$CR$2399&amp;" "," ")," "&amp;$CR$2406&amp;" "," ")," "&amp;$CR$2398&amp;" "," ")," "&amp;$CR$2410&amp;" "," ")," "&amp;$CR$2397&amp;" "," ")," "&amp;$CR$2402&amp;" "," ")," "&amp;$CR$2405&amp;" "," ")," "&amp;$CR$2396&amp;" "," ")," "&amp;$CR$2404&amp;" "," ")," "&amp;$CR$2411&amp;" "," ")," "&amp;$CR$2408&amp;" "," ")," "&amp;$CR$2403&amp;" "," ")," "&amp;$CR$2407&amp;" "," ")," "&amp;$CR$2409&amp;" "," ")),"")</f>
        <v xml:space="preserve"> cocktail de fruits de mer surgeles crus </v>
      </c>
      <c r="CK19" s="493">
        <f>IF(19=19,IF($U19="","",SUMPRODUCT(--ISNUMBER(SEARCH(" "&amp;$CR$2412:$CR$2416&amp;" ",$CJ19)))),"")</f>
        <v>1</v>
      </c>
      <c r="CL19" s="493" t="str">
        <f>IF(19=19,IF($U19="","",IF(SUM(CG19:CI19)&gt;0,"X",IF(CK19&gt;0,"?",""))),"")</f>
        <v>X</v>
      </c>
      <c r="CM19" s="494"/>
      <c r="CN19" s="496" t="s">
        <v>1178</v>
      </c>
      <c r="CO19" s="496" t="s">
        <v>1083</v>
      </c>
      <c r="CP19" s="496" t="s">
        <v>689</v>
      </c>
      <c r="CQ19" s="496" t="s">
        <v>1179</v>
      </c>
      <c r="CR19" s="496" t="s">
        <v>1179</v>
      </c>
      <c r="CS19" s="496" t="s">
        <v>1085</v>
      </c>
      <c r="CT19" s="496" t="s">
        <v>1086</v>
      </c>
      <c r="CU19" s="496" t="s">
        <v>1087</v>
      </c>
      <c r="CV19" s="497" t="s">
        <v>1088</v>
      </c>
      <c r="CX19" s="543">
        <v>1</v>
      </c>
    </row>
    <row r="20" spans="1:102" ht="21" customHeight="1">
      <c r="A20" s="509">
        <v>14</v>
      </c>
      <c r="B20" s="510" t="s">
        <v>5858</v>
      </c>
      <c r="C20" s="511" t="str">
        <f t="shared" si="0"/>
        <v>Courgettes</v>
      </c>
      <c r="D20" s="512" t="str">
        <f>IF(20=20,IF($B20="","",IF(E20="X",""&amp;"Céréales contenant du gluten","")&amp;IF(F20="X",IF(COUNTIF($E20:$E20,"X")&gt;0,", ","")&amp;"Crustacés","")&amp;IF(G20="X",IF(COUNTIF($E20:$F20,"X")&gt;0,", ","")&amp;"Œufs","")&amp;IF(H20="X",IF(COUNTIF($E20:$G20,"X")&gt;0,", ","")&amp;"Poissons","")&amp;IF(I20="X",IF(COUNTIF($E20:$H20,"X")&gt;0,", ","")&amp;"Arachides","")&amp;IF(J20="X",IF(COUNTIF($E20:$I20,"X")&gt;0,", ","")&amp;"Soja","")&amp;IF(K20="X",IF(COUNTIF($E20:$J20,"X")&gt;0,", ","")&amp;"Lait","")&amp;IF(L20="X",IF(COUNTIF($E20:$K20,"X")&gt;0,", ","")&amp;"Fruits à coque","")&amp;IF(M20="X",IF(COUNTIF($E20:$L20,"X")&gt;0,", ","")&amp;"Céleri","")&amp;IF(N20="X",IF(COUNTIF($E20:$M20,"X")&gt;0,", ","")&amp;"Moutarde","")&amp;IF(O20="X",IF(COUNTIF($E20:$N20,"X")&gt;0,", ","")&amp;"Sésame","")&amp;IF(P20="X",IF(COUNTIF($E20:$O20,"X")&gt;0,", ","")&amp;"Sulfites","")&amp;IF(Q20="X",IF(COUNTIF($E20:$P20,"X")&gt;0,", ","")&amp;"Lupin","")&amp;IF(R20="X",IF(COUNTIF($E20:$Q20,"X")&gt;0,", ","")&amp;"Mollusques","")),"")</f>
        <v/>
      </c>
      <c r="E20" s="513" t="str">
        <f>IF(20=20,IF($B20="","",AF20),"")</f>
        <v/>
      </c>
      <c r="F20" s="513" t="str">
        <f>IF(20=20,IF($B20="","",AI20),"")</f>
        <v/>
      </c>
      <c r="G20" s="513" t="str">
        <f>IF(20=20,IF($B20="","",AM20),"")</f>
        <v/>
      </c>
      <c r="H20" s="513" t="str">
        <f>IF(20=20,IF($B20="","",IF(ISNUMBER(SEARCH(" colin ",$AA20)),"X",AZ20)),"")</f>
        <v/>
      </c>
      <c r="I20" s="513" t="str">
        <f>IF(20=20,IF($B20="","",BB20),"")</f>
        <v/>
      </c>
      <c r="J20" s="513" t="str">
        <f>IF(20=20,IF($B20="","",BF20),"")</f>
        <v/>
      </c>
      <c r="K20" s="513" t="str">
        <f>IF(20=20,IF($B20="","",BM20),"")</f>
        <v/>
      </c>
      <c r="L20" s="513" t="str">
        <f>IF(20=20,IF($B20="","",BQ20),"")</f>
        <v/>
      </c>
      <c r="M20" s="513" t="str">
        <f>IF(20=20,IF($B20="","",BT20),"")</f>
        <v/>
      </c>
      <c r="N20" s="513" t="str">
        <f>IF(20=20,IF($B20="","",BW20),"")</f>
        <v/>
      </c>
      <c r="O20" s="513" t="str">
        <f>IF(20=20,IF($B20="","",BZ20),"")</f>
        <v/>
      </c>
      <c r="P20" s="513" t="str">
        <f>IF(20=20,IF($B20="","",CC20),"")</f>
        <v/>
      </c>
      <c r="Q20" s="513" t="str">
        <f>IF(20=20,IF($B20="","",CF20),"")</f>
        <v/>
      </c>
      <c r="R20" s="513" t="str">
        <f>IF(20=20,IF($B20="","",CL20),"")</f>
        <v/>
      </c>
      <c r="S20" s="514" t="str">
        <f>IF(20=20,IF($B20="","",IF(E20="?",""&amp;"Céréales contenant du gluten","")&amp;IF(F20="?",IF(COUNTIF($E20:$E20,"~?")&gt;0,", ","")&amp;"Crustacés","")&amp;IF(G20="?",IF(COUNTIF($E20:$F20,"~?")&gt;0,", ","")&amp;"Œufs","")&amp;IF(H20="?",IF(COUNTIF($E20:$G20,"~?")&gt;0,", ","")&amp;"Poissons","")&amp;IF(I20="?",IF(COUNTIF($E20:$H20,"~?")&gt;0,", ","")&amp;"Arachides","")&amp;IF(J20="?",IF(COUNTIF($E20:$I20,"~?")&gt;0,", ","")&amp;"Soja","")&amp;IF(K20="?",IF(COUNTIF($E20:$J20,"~?")&gt;0,", ","")&amp;"Lait","")&amp;IF(L20="?",IF(COUNTIF($E20:$K20,"~?")&gt;0,", ","")&amp;"Fruits à coque","")&amp;IF(M20="?",IF(COUNTIF($E20:$L20,"~?")&gt;0,", ","")&amp;"Céleri","")&amp;IF(N20="?",IF(COUNTIF($E20:$M20,"~?")&gt;0,", ","")&amp;"Moutarde","")&amp;IF(O20="?",IF(COUNTIF($E20:$N20,"~?")&gt;0,", ","")&amp;"Sésame","")&amp;IF(P20="?",IF(COUNTIF($E20:$O20,"~?")&gt;0,", ","")&amp;"Sulfites","")&amp;IF(Q20="?",IF(COUNTIF($E20:$P20,"~?")&gt;0,", ","")&amp;"Lupin","")&amp;IF(R20="?",IF(COUNTIF($E20:$Q20,"~?")&gt;0,", ","")&amp;"Mollusques","")),"")</f>
        <v/>
      </c>
      <c r="U20" s="493" t="str">
        <f>IF(20=20,IF($B20="","",$B20),"")</f>
        <v>Courgettes</v>
      </c>
      <c r="V20" s="493" t="str">
        <f>IF(20=20,LOWER(CLEAN(SUBSTITUTE(SUBSTITUTE(SUBSTITUTE(SUBSTITUTE($U20,CHAR(160)," ")," "," "),CHAR(10)," "),CHAR(13)," "))),"")</f>
        <v>courgettes</v>
      </c>
      <c r="W20" s="493" t="str">
        <f>IF(20=20,SUBSTITUTE(SUBSTITUTE(SUBSTITUTE(SUBSTITUTE(SUBSTITUTE(SUBSTITUTE(SUBSTITUTE(SUBSTITUTE(SUBSTITUTE(SUBSTITUTE(SUBSTITUTE(SUBSTITUTE($V20,"œ","oe"),"æ","ae"),"à","a"),"á","a"),"â","a"),"ä","a"),"ã","a"),"ç","c"),"è","e"),"é","e"),"ê","e"),"ë","e"),"")</f>
        <v>courgettes</v>
      </c>
      <c r="X20" s="493" t="str">
        <f>IF(20=20,SUBSTITUTE(SUBSTITUTE(SUBSTITUTE(SUBSTITUTE(SUBSTITUTE(SUBSTITUTE(SUBSTITUTE(SUBSTITUTE(SUBSTITUTE(SUBSTITUTE(SUBSTITUTE(SUBSTITUTE(SUBSTITUTE(SUBSTITUTE(SUBSTITUTE(SUBSTITUTE($W20,"ì","i"),"í","i"),"î","i"),"ï","i"),"ñ","n"),"ò","o"),"ó","o"),"ô","o"),"ö","o"),"õ","o"),"ù","u"),"ú","u"),"û","u"),"ü","u"),"ý","y"),"ÿ","y"),"")</f>
        <v>courgettes</v>
      </c>
      <c r="Y20" s="493" t="str">
        <f>IF(20=20,SUBSTITUTE(SUBSTITUTE(SUBSTITUTE(SUBSTITUTE(SUBSTITUTE(SUBSTITUTE(SUBSTITUTE(SUBSTITUTE(SUBSTITUTE(SUBSTITUTE(SUBSTITUTE(SUBSTITUTE(SUBSTITUTE(SUBSTITUTE($X20,"’"," "),"`"," "),"–"," "),"—"," "),"-"," "),"'"," "),"/"," "),"_"," "),","," "),"."," "),"("," "),")"," "),";"," "),":"," "),"")</f>
        <v>courgettes</v>
      </c>
      <c r="Z20" s="493" t="str">
        <f>IF(20=20,SUBSTITUTE(SUBSTITUTE(SUBSTITUTE(SUBSTITUTE(SUBSTITUTE(SUBSTITUTE(SUBSTITUTE(SUBSTITUTE(SUBSTITUTE(SUBSTITUTE(SUBSTITUTE(SUBSTITUTE(SUBSTITUTE(SUBSTITUTE(SUBSTITUTE($Y20,"!"," "),"?"," "),"+"," "),"*"," "),"&amp;"," "),"["," "),"]"," "),"{"," "),"}"," "),"%"," "),"="," "),"\"," "),"|"," "),"&lt;"," "),"&gt;"," "),"")</f>
        <v>courgettes</v>
      </c>
      <c r="AA20" s="493" t="str">
        <f>IF(20=20," "&amp;TRIM(SUBSTITUTE(SUBSTITUTE(SUBSTITUTE(SUBSTITUTE(SUBSTITUTE(SUBSTITUTE($Z20,CHAR(34)," "),"  "," "),"  "," "),"  "," "),"  "," "),"  "," "))&amp;" ","")</f>
        <v xml:space="preserve"> courgettes </v>
      </c>
      <c r="AB20" s="493">
        <f>IF(20=20,IF($U20="","",SUMPRODUCT(--ISNUMBER(SEARCH(" "&amp;$CR$2:$CR$101&amp;" ",$AD20)))),"")</f>
        <v>0</v>
      </c>
      <c r="AC20" s="493">
        <f>IF(20=20,IF($U20="","",SUMPRODUCT(--ISNUMBER(SEARCH(" "&amp;$CR$102:$CR$151&amp;" ",$AD20)))),"")</f>
        <v>0</v>
      </c>
      <c r="AD20" s="493" t="str">
        <f t="shared" si="1"/>
        <v xml:space="preserve"> courgettes </v>
      </c>
      <c r="AE20" s="493">
        <f t="shared" si="2"/>
        <v>0</v>
      </c>
      <c r="AF20" s="493" t="str">
        <f>IF(20=20,IF($U20="","",IF(SUM(AB20:AC20)+SUMPRODUCT(--ISNUMBER(SEARCH(" "&amp;$CR$2418:$CR$2420&amp;" ",$AD20)))&gt;0,"X",IF(AE20&gt;0,"?",""))),"")</f>
        <v/>
      </c>
      <c r="AG20" s="493">
        <f>IF(20=20,IF($U20="","",SUMPRODUCT(--ISNUMBER(SEARCH(" "&amp;$CR$206:$CR$305&amp;" ",$AA20)))),"")</f>
        <v>0</v>
      </c>
      <c r="AH20" s="493">
        <f>IF(20=20,IF($U20="","",SUMPRODUCT(--ISNUMBER(SEARCH(" "&amp;$CR$306:$CR$340&amp;" ",$AA20)))),"")</f>
        <v>0</v>
      </c>
      <c r="AI20" s="493" t="str">
        <f>IF(20=20,IF($U20="","",IF((SUM(AG20:AH20))-(0)&gt;0,"X",IF((0)-(0)&gt;0,"?",""))),"")</f>
        <v/>
      </c>
      <c r="AJ20" s="493">
        <f>IF(20=20,IF($U20="","",SUMPRODUCT(--ISNUMBER(SEARCH(" "&amp;$CR$341:$CR$398&amp;" ",$AA20)))),"")</f>
        <v>0</v>
      </c>
      <c r="AK20" s="493">
        <f>IF(20=20,IF($U20="","",SUMPRODUCT(--ISNUMBER(SEARCH(" "&amp;$CR$399:$CR$426&amp;" ",$AL20)))+SUMPRODUCT(--ISNUMBER(SEARCH(" "&amp;$CR$2440:$CR$2453&amp;" ",$AL20)))),"")</f>
        <v>0</v>
      </c>
      <c r="AL20" s="493" t="str">
        <f>IF(20=20,IF($U20="","",SUBSTITUTE(SUBSTITUTE(SUBSTITUTE(SUBSTITUTE(SUBSTITUTE(SUBSTITUTE(SUBSTITUTE(SUBSTITUTE(SUBSTITUTE(SUBSTITUTE(SUBSTITUTE(SUBSTITUTE(SUBSTITUTE(SUBSTITUTE($AA20," "&amp;$CR$2455&amp;" "," ")," "&amp;$CR$433&amp;" "," ")," "&amp;$CR$431&amp;" "," ")," "&amp;$CR$2438&amp;" "," ")," "&amp;$CR$2439&amp;" "," ")," "&amp;$CR$428&amp;" "," ")," "&amp;$CR$432&amp;" "," ")," "&amp;$CR$434&amp;" "," ")," "&amp;$CR$429&amp;" "," ")," "&amp;$CR$427&amp;" "," ")," "&amp;$CR$1367&amp;" "," ")," "&amp;$CR$435&amp;" "," ")," "&amp;$CR$1366&amp;" "," ")," "&amp;$CR$430&amp;" "," ")),"")</f>
        <v xml:space="preserve"> courgettes </v>
      </c>
      <c r="AM20" s="493" t="str">
        <f>IF(20=20,IF($U20="","",IF(AJ20&gt;0,"X",IF(AK20&gt;0,"?",""))),"")</f>
        <v/>
      </c>
      <c r="AN20" s="493">
        <f>IF(20=20,IF($U20="","",SUMPRODUCT(--ISNUMBER(SEARCH(" "&amp;$CR$436:$CR$535&amp;" ",$AX20)))),"")</f>
        <v>0</v>
      </c>
      <c r="AO20" s="493">
        <f>IF(20=20,IF($U20="","",SUMPRODUCT(--ISNUMBER(SEARCH(" "&amp;$CR$536:$CR$635&amp;" ",$AX20)))),"")</f>
        <v>0</v>
      </c>
      <c r="AP20" s="493">
        <f>IF(20=20,IF($U20="","",SUMPRODUCT(--ISNUMBER(SEARCH(" "&amp;$CR$636:$CR$735&amp;" ",$AX20)))),"")</f>
        <v>0</v>
      </c>
      <c r="AQ20" s="493">
        <f>IF(20=20,IF($U20="","",SUMPRODUCT(--ISNUMBER(SEARCH(" "&amp;$CR$736:$CR$835&amp;" ",$AX20)))),"")</f>
        <v>0</v>
      </c>
      <c r="AR20" s="493">
        <f>IF(20=20,IF($U20="","",SUMPRODUCT(--ISNUMBER(SEARCH(" "&amp;$CR$836:$CR$935&amp;" ",$AX20)))),"")</f>
        <v>0</v>
      </c>
      <c r="AS20" s="493">
        <f>IF(20=20,IF($U20="","",SUMPRODUCT(--ISNUMBER(SEARCH(" "&amp;$CR$936:$CR$1035&amp;" ",$AX20)))),"")</f>
        <v>0</v>
      </c>
      <c r="AT20" s="493">
        <f>IF(20=20,IF($U20="","",SUMPRODUCT(--ISNUMBER(SEARCH(" "&amp;$CR$1036:$CR$1135&amp;" ",$AX20)))),"")</f>
        <v>0</v>
      </c>
      <c r="AU20" s="493">
        <f>IF(20=20,IF($U20="","",SUMPRODUCT(--ISNUMBER(SEARCH(" "&amp;$CR$1136:$CR$1235&amp;" ",$AX20)))),"")</f>
        <v>0</v>
      </c>
      <c r="AV20" s="493">
        <f>IF(20=20,IF($U20="","",SUMPRODUCT(--ISNUMBER(SEARCH(" "&amp;$CR$1236:$CR$1335&amp;" ",$AX20)))),"")</f>
        <v>0</v>
      </c>
      <c r="AW20" s="493">
        <f>IF(20=20,IF($U20="","",SUMPRODUCT(--ISNUMBER(SEARCH(" "&amp;$CR$1336:$CR$1363&amp;" ",$AX20)))),"")</f>
        <v>0</v>
      </c>
      <c r="AX20" s="493" t="str">
        <f>IF(20=20,IF($U20="","",SUBSTITUTE(SUBSTITUTE(SUBSTITUTE(SUBSTITUTE(SUBSTITUTE(SUBSTITUTE(SUBSTITUTE(SUBSTITUTE(SUBSTITUTE($AA20," "&amp;$CR$1365&amp;" "," ")," "&amp;$CR$1364&amp;" "," ")," "&amp;$CR$1370&amp;" "," ")," "&amp;$CR$1371&amp;" "," ")," "&amp;$CR$1367&amp;" "," ")," "&amp;$CR$1369&amp;" "," ")," "&amp;$CR$1366&amp;" "," ")," "&amp;$CR$1368&amp;" "," ")," "&amp;$CR$1372&amp;" "," ")),"")</f>
        <v xml:space="preserve"> courgettes </v>
      </c>
      <c r="AY20" s="493">
        <f>IF(20=20,IF($U20="","",SUMPRODUCT(--ISNUMBER(SEARCH(" "&amp;$CR$1373:$CR$1383&amp;" ",$AX20)))),"")</f>
        <v>0</v>
      </c>
      <c r="AZ20" s="493" t="str">
        <f>IF(20=20,IF($U20="","",IF(SUM(AN20:AW20)+SUMPRODUCT(--ISNUMBER(SEARCH(" "&amp;$CR$2421:$CR$2422&amp;" ",$AX20)))&gt;0,"X",IF(AY20&gt;0,"?",""))),"")</f>
        <v/>
      </c>
      <c r="BA20" s="493">
        <f>IF(20=20,IF($U20="","",SUMPRODUCT(--ISNUMBER(SEARCH(" "&amp;$CR$1384:$CR$1404&amp;" ",$AA20)))),"")</f>
        <v>0</v>
      </c>
      <c r="BB20" s="493" t="str">
        <f>IF(20=20,IF($U20="","",IF((BA20)-(0)&gt;0,"X",IF((0)-(0)&gt;0,"?",""))),"")</f>
        <v/>
      </c>
      <c r="BC20" s="493">
        <f>IF(20=20,IF($U20="","",SUMPRODUCT(--ISNUMBER(SEARCH(" "&amp;$CR$1405:$CR$1442&amp;" ",$BD20)))),"")</f>
        <v>0</v>
      </c>
      <c r="BD20" s="493" t="str">
        <f>IF(20=20,IF($U20="","",SUBSTITUTE(SUBSTITUTE($AA20," "&amp;$CR$1443&amp;" "," ")," "&amp;$CR$1444&amp;" "," ")),"")</f>
        <v xml:space="preserve"> courgettes </v>
      </c>
      <c r="BE20" s="493">
        <f>IF(20=20,IF($U20="","",SUMPRODUCT(--ISNUMBER(SEARCH(" "&amp;$CR$1445:$CR$1455&amp;" ",$BD20)))),"")</f>
        <v>0</v>
      </c>
      <c r="BF20" s="493" t="str">
        <f>IF(20=20,IF($U20="","",IF(BC20&gt;0,"X",IF(BE20&gt;0,"?",""))),"")</f>
        <v/>
      </c>
      <c r="BG20" s="493">
        <f>IF(20=20,IF($U20="","",SUMPRODUCT(--ISNUMBER(SEARCH(" "&amp;$CR$1456:$CR$1555&amp;" ",$BJ20)))),"")</f>
        <v>0</v>
      </c>
      <c r="BH20" s="493">
        <f>IF(20=20,IF($U20="","",SUMPRODUCT(--ISNUMBER(SEARCH(" "&amp;$CR$1556:$CR$1655&amp;" ",$BJ20)))),"")</f>
        <v>0</v>
      </c>
      <c r="BI20" s="493">
        <f>IF(20=20,IF($U20="","",SUMPRODUCT(--ISNUMBER(SEARCH(" "&amp;$CR$1656:$CR$1739&amp;" ",$BJ20)))),"")</f>
        <v>0</v>
      </c>
      <c r="BJ20" s="493" t="str">
        <f>IF(20=20,IF($U20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courgettes </v>
      </c>
      <c r="BK20" s="493">
        <f>IF(20=20,IF($U20="","",SUMPRODUCT(--ISNUMBER(SEARCH(" "&amp;$CR$1790:$CR$1869&amp;" ",$BL20)))+SUMPRODUCT(--ISNUMBER(SEARCH(" "&amp;$CR$2440:$CR$2453&amp;" ",$BL20)))),"")</f>
        <v>0</v>
      </c>
      <c r="BL20" s="493" t="str">
        <f>IF(20=20,IF($U20="","",SUBSTITUTE(SUBSTITUTE(SUBSTITUTE(SUBSTITUTE(SUBSTITUTE(SUBSTITUTE(SUBSTITUTE(SUBSTITUTE(SUBSTITUTE(SUBSTITUTE(SUBSTITUTE(SUBSTITUTE(SUBSTITUTE($BJ20," "&amp;$CR$1876&amp;" "," ")," "&amp;$CR$1874&amp;" "," ")," "&amp;$CR$2438&amp;" "," ")," "&amp;$CR$2439&amp;" "," ")," "&amp;$CR$1871&amp;" "," ")," "&amp;$CR$1875&amp;" "," ")," "&amp;$CR$1877&amp;" "," ")," "&amp;$CR$1872&amp;" "," ")," "&amp;$CR$1870&amp;" "," ")," "&amp;$CR$1367&amp;" "," ")," "&amp;$CR$1878&amp;" "," ")," "&amp;$CR$1366&amp;" "," ")," "&amp;$CR$1873&amp;" "," ")),"")</f>
        <v xml:space="preserve"> courgettes </v>
      </c>
      <c r="BM20" s="493" t="str">
        <f>IF(20=20,IF($U20="","",IF(SUM(BG20:BI20)+SUMPRODUCT(--ISNUMBER(SEARCH(" "&amp;$CR$2423:$CR$2424&amp;" ",$BJ20)))&gt;0,"X",IF(BK20&gt;0,"?",""))),"")</f>
        <v/>
      </c>
      <c r="BN20" s="493">
        <f>IF(20=20,IF($U20="","",SUMPRODUCT(--ISNUMBER(SEARCH(" "&amp;$CR$1879:$CR$1936&amp;" ",$BO20)))),"")</f>
        <v>0</v>
      </c>
      <c r="BO20" s="493" t="str">
        <f>IF(20=20,IF($U20="","",SUBSTITUTE(SUBSTITUTE(SUBSTITUTE(SUBSTITUTE(SUBSTITUTE(SUBSTITUTE(SUBSTITUTE(SUBSTITUTE(SUBSTITUTE(SUBSTITUTE(SUBSTITUTE(SUBSTITUTE(SUBSTITUTE(SUBSTITUTE(SUBSTITUTE(SUBSTITUTE(SUBSTITUTE(SUBSTITUTE(SUBSTITUTE(SUBSTITUTE(SUBSTITUTE(SUBSTITUTE(SUBSTITUTE($AA20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courgettes </v>
      </c>
      <c r="BP20" s="493">
        <f>IF(20=20,IF($U20="","",SUMPRODUCT(--ISNUMBER(SEARCH(" "&amp;$CR$1960:$CR$1976&amp;" ",$BO20)))),"")</f>
        <v>0</v>
      </c>
      <c r="BQ20" s="493" t="str">
        <f>IF(20=20,IF($U20="","",IF(BN20&gt;0,"X",IF(BP20&gt;0,"?",""))),"")</f>
        <v/>
      </c>
      <c r="BR20" s="493">
        <f>IF(20=20,IF($U20="","",SUMPRODUCT(--ISNUMBER(SEARCH(" "&amp;$CR$1977:$CR$1990&amp;" ",$AA20)))),"")</f>
        <v>0</v>
      </c>
      <c r="BS20" s="493">
        <f>IF(20=20,IF($U20="","",SUMPRODUCT(--ISNUMBER(SEARCH(" "&amp;$CR$1991:$CR$2005&amp;" ",$AA20)))),"")</f>
        <v>0</v>
      </c>
      <c r="BT20" s="493" t="str">
        <f>IF(20=20,IF($U20="","",IF((BR20)-(0)&gt;0,"X",IF((BS20)-(0)&gt;0,"?",""))),"")</f>
        <v/>
      </c>
      <c r="BU20" s="493">
        <f>IF(20=20,IF($U20="","",SUMPRODUCT(--ISNUMBER(SEARCH(" "&amp;$CR$2006:$CR$2023&amp;" ",$AA20)))),"")</f>
        <v>0</v>
      </c>
      <c r="BV20" s="493">
        <f>IF(20=20,IF($U20="","",SUMPRODUCT(--ISNUMBER(SEARCH(" "&amp;$CR$2024:$CR$2038&amp;" ",$AA20)))),"")</f>
        <v>0</v>
      </c>
      <c r="BW20" s="493" t="str">
        <f>IF(20=20,IF($U20="","",IF((BU20)-(0)&gt;0,"X",IF((BV20)-(0)&gt;0,"?",""))),"")</f>
        <v/>
      </c>
      <c r="BX20" s="493">
        <f>IF(20=20,IF($U20="","",SUMPRODUCT(--ISNUMBER(SEARCH(" "&amp;$CR$2039:$CR$2057&amp;" ",$AA20)))),"")</f>
        <v>0</v>
      </c>
      <c r="BY20" s="493">
        <f>IF(20=20,IF($U20="","",SUMPRODUCT(--ISNUMBER(SEARCH(" "&amp;$CR$2058:$CR$2072&amp;" ",$AA20)))),"")</f>
        <v>0</v>
      </c>
      <c r="BZ20" s="493" t="str">
        <f>IF(20=20,IF($U20="","",IF((BX20)-(0)&gt;0,"X",IF((BY20)-(0)&gt;0,"?",""))),"")</f>
        <v/>
      </c>
      <c r="CA20" s="493">
        <f>IF(20=20,IF($U20="","",SUMPRODUCT(--ISNUMBER(SEARCH(" "&amp;$CR$2073:$CR$2093&amp;" ",$AA20)))),"")</f>
        <v>0</v>
      </c>
      <c r="CB20" s="493">
        <f>IF(20=20,IF($U20="","",SUMPRODUCT(--ISNUMBER(SEARCH(" "&amp;$CR$2094:$CR$2133&amp;" ",SUBSTITUTE(SUBSTITUTE($AA20," "&amp;$CR$1367&amp;" "," ")," "&amp;$CR$1366&amp;" "," "))))+--ISNUMBER(SEARCH("poiré",$V20))),"")</f>
        <v>0</v>
      </c>
      <c r="CC20" s="493" t="str">
        <f>IF(20=20,IF($U20="","",IF(OR(CA20&gt;0,ISNUMBER(SEARCH(" vinaigre de vin ",$AA20)),ISNUMBER(SEARCH(" vinaigre au vin ",$AA20))),"X",IF(CB20&gt;0,"?",""))),"")</f>
        <v/>
      </c>
      <c r="CD20" s="493">
        <f>IF(20=20,IF($U20="","",SUMPRODUCT(--ISNUMBER(SEARCH(" "&amp;$CR$2134:$CR$2146&amp;" ",$AA20)))),"")</f>
        <v>0</v>
      </c>
      <c r="CE20" s="493">
        <f>IF(20=20,IF($U20="","",SUMPRODUCT(--ISNUMBER(SEARCH(" "&amp;$CR$2147:$CR$2152&amp;" ",$AA20)))),"")</f>
        <v>0</v>
      </c>
      <c r="CF20" s="493" t="str">
        <f>IF(20=20,IF($U20="","",IF((CD20)-(0)&gt;0,"X",IF((CE20)-(0)&gt;0,"?",""))),"")</f>
        <v/>
      </c>
      <c r="CG20" s="493">
        <f>IF(20=20,IF($U20="","",SUMPRODUCT(--ISNUMBER(SEARCH(" "&amp;$CR$2153:$CR$2252&amp;" ",$CJ20)))),"")</f>
        <v>0</v>
      </c>
      <c r="CH20" s="493">
        <f>IF(20=20,IF($U20="","",SUMPRODUCT(--ISNUMBER(SEARCH(" "&amp;$CR$2253:$CR$2352&amp;" ",$CJ20)))),"")</f>
        <v>0</v>
      </c>
      <c r="CI20" s="493">
        <f>IF(20=20,IF($U20="","",SUMPRODUCT(--ISNUMBER(SEARCH(" "&amp;$CR$2353:$CR$2395&amp;" ",$CJ20)))),"")</f>
        <v>0</v>
      </c>
      <c r="CJ20" s="493" t="str">
        <f>IF(20=20,IF($U20="","",SUBSTITUTE(SUBSTITUTE(SUBSTITUTE(SUBSTITUTE(SUBSTITUTE(SUBSTITUTE(SUBSTITUTE(SUBSTITUTE(SUBSTITUTE(SUBSTITUTE(SUBSTITUTE(SUBSTITUTE(SUBSTITUTE(SUBSTITUTE(SUBSTITUTE(SUBSTITUTE($AA20," "&amp;$CR$2401&amp;" "," ")," "&amp;$CR$2400&amp;" "," ")," "&amp;$CR$2399&amp;" "," ")," "&amp;$CR$2406&amp;" "," ")," "&amp;$CR$2398&amp;" "," ")," "&amp;$CR$2410&amp;" "," ")," "&amp;$CR$2397&amp;" "," ")," "&amp;$CR$2402&amp;" "," ")," "&amp;$CR$2405&amp;" "," ")," "&amp;$CR$2396&amp;" "," ")," "&amp;$CR$2404&amp;" "," ")," "&amp;$CR$2411&amp;" "," ")," "&amp;$CR$2408&amp;" "," ")," "&amp;$CR$2403&amp;" "," ")," "&amp;$CR$2407&amp;" "," ")," "&amp;$CR$2409&amp;" "," ")),"")</f>
        <v xml:space="preserve"> courgettes </v>
      </c>
      <c r="CK20" s="493">
        <f>IF(20=20,IF($U20="","",SUMPRODUCT(--ISNUMBER(SEARCH(" "&amp;$CR$2412:$CR$2416&amp;" ",$CJ20)))),"")</f>
        <v>0</v>
      </c>
      <c r="CL20" s="493" t="str">
        <f>IF(20=20,IF($U20="","",IF(SUM(CG20:CI20)&gt;0,"X",IF(CK20&gt;0,"?",""))),"")</f>
        <v/>
      </c>
      <c r="CM20" s="494"/>
      <c r="CN20" s="496" t="s">
        <v>1180</v>
      </c>
      <c r="CO20" s="496" t="s">
        <v>1083</v>
      </c>
      <c r="CP20" s="496" t="s">
        <v>689</v>
      </c>
      <c r="CQ20" s="496" t="s">
        <v>1181</v>
      </c>
      <c r="CR20" s="496" t="s">
        <v>1181</v>
      </c>
      <c r="CS20" s="496" t="s">
        <v>1085</v>
      </c>
      <c r="CT20" s="496" t="s">
        <v>1086</v>
      </c>
      <c r="CU20" s="496" t="s">
        <v>1087</v>
      </c>
      <c r="CV20" s="497" t="s">
        <v>1088</v>
      </c>
      <c r="CX20" s="543">
        <v>1</v>
      </c>
    </row>
    <row r="21" spans="1:102" ht="21" customHeight="1">
      <c r="A21" s="509">
        <v>15</v>
      </c>
      <c r="B21" s="510" t="s">
        <v>5859</v>
      </c>
      <c r="C21" s="511" t="str">
        <f t="shared" si="0"/>
        <v>Crème fraîche *</v>
      </c>
      <c r="D21" s="512" t="str">
        <f>IF(21=21,IF($B21="","",IF(E21="X",""&amp;"Céréales contenant du gluten","")&amp;IF(F21="X",IF(COUNTIF($E21:$E21,"X")&gt;0,", ","")&amp;"Crustacés","")&amp;IF(G21="X",IF(COUNTIF($E21:$F21,"X")&gt;0,", ","")&amp;"Œufs","")&amp;IF(H21="X",IF(COUNTIF($E21:$G21,"X")&gt;0,", ","")&amp;"Poissons","")&amp;IF(I21="X",IF(COUNTIF($E21:$H21,"X")&gt;0,", ","")&amp;"Arachides","")&amp;IF(J21="X",IF(COUNTIF($E21:$I21,"X")&gt;0,", ","")&amp;"Soja","")&amp;IF(K21="X",IF(COUNTIF($E21:$J21,"X")&gt;0,", ","")&amp;"Lait","")&amp;IF(L21="X",IF(COUNTIF($E21:$K21,"X")&gt;0,", ","")&amp;"Fruits à coque","")&amp;IF(M21="X",IF(COUNTIF($E21:$L21,"X")&gt;0,", ","")&amp;"Céleri","")&amp;IF(N21="X",IF(COUNTIF($E21:$M21,"X")&gt;0,", ","")&amp;"Moutarde","")&amp;IF(O21="X",IF(COUNTIF($E21:$N21,"X")&gt;0,", ","")&amp;"Sésame","")&amp;IF(P21="X",IF(COUNTIF($E21:$O21,"X")&gt;0,", ","")&amp;"Sulfites","")&amp;IF(Q21="X",IF(COUNTIF($E21:$P21,"X")&gt;0,", ","")&amp;"Lupin","")&amp;IF(R21="X",IF(COUNTIF($E21:$Q21,"X")&gt;0,", ","")&amp;"Mollusques","")),"")</f>
        <v>Lait</v>
      </c>
      <c r="E21" s="513" t="str">
        <f>IF(21=21,IF($B21="","",AF21),"")</f>
        <v/>
      </c>
      <c r="F21" s="513" t="str">
        <f>IF(21=21,IF($B21="","",AI21),"")</f>
        <v/>
      </c>
      <c r="G21" s="513" t="str">
        <f>IF(21=21,IF($B21="","",AM21),"")</f>
        <v/>
      </c>
      <c r="H21" s="513" t="str">
        <f>IF(21=21,IF($B21="","",IF(ISNUMBER(SEARCH(" colin ",$AA21)),"X",AZ21)),"")</f>
        <v/>
      </c>
      <c r="I21" s="513" t="str">
        <f>IF(21=21,IF($B21="","",BB21),"")</f>
        <v/>
      </c>
      <c r="J21" s="513" t="str">
        <f>IF(21=21,IF($B21="","",BF21),"")</f>
        <v/>
      </c>
      <c r="K21" s="513" t="str">
        <f>IF(21=21,IF($B21="","",BM21),"")</f>
        <v>X</v>
      </c>
      <c r="L21" s="513" t="str">
        <f>IF(21=21,IF($B21="","",BQ21),"")</f>
        <v/>
      </c>
      <c r="M21" s="513" t="str">
        <f>IF(21=21,IF($B21="","",BT21),"")</f>
        <v/>
      </c>
      <c r="N21" s="513" t="str">
        <f>IF(21=21,IF($B21="","",BW21),"")</f>
        <v/>
      </c>
      <c r="O21" s="513" t="str">
        <f>IF(21=21,IF($B21="","",BZ21),"")</f>
        <v/>
      </c>
      <c r="P21" s="513" t="str">
        <f>IF(21=21,IF($B21="","",CC21),"")</f>
        <v/>
      </c>
      <c r="Q21" s="513" t="str">
        <f>IF(21=21,IF($B21="","",CF21),"")</f>
        <v/>
      </c>
      <c r="R21" s="513" t="str">
        <f>IF(21=21,IF($B21="","",CL21),"")</f>
        <v/>
      </c>
      <c r="S21" s="514" t="str">
        <f>IF(21=21,IF($B21="","",IF(E21="?",""&amp;"Céréales contenant du gluten","")&amp;IF(F21="?",IF(COUNTIF($E21:$E21,"~?")&gt;0,", ","")&amp;"Crustacés","")&amp;IF(G21="?",IF(COUNTIF($E21:$F21,"~?")&gt;0,", ","")&amp;"Œufs","")&amp;IF(H21="?",IF(COUNTIF($E21:$G21,"~?")&gt;0,", ","")&amp;"Poissons","")&amp;IF(I21="?",IF(COUNTIF($E21:$H21,"~?")&gt;0,", ","")&amp;"Arachides","")&amp;IF(J21="?",IF(COUNTIF($E21:$I21,"~?")&gt;0,", ","")&amp;"Soja","")&amp;IF(K21="?",IF(COUNTIF($E21:$J21,"~?")&gt;0,", ","")&amp;"Lait","")&amp;IF(L21="?",IF(COUNTIF($E21:$K21,"~?")&gt;0,", ","")&amp;"Fruits à coque","")&amp;IF(M21="?",IF(COUNTIF($E21:$L21,"~?")&gt;0,", ","")&amp;"Céleri","")&amp;IF(N21="?",IF(COUNTIF($E21:$M21,"~?")&gt;0,", ","")&amp;"Moutarde","")&amp;IF(O21="?",IF(COUNTIF($E21:$N21,"~?")&gt;0,", ","")&amp;"Sésame","")&amp;IF(P21="?",IF(COUNTIF($E21:$O21,"~?")&gt;0,", ","")&amp;"Sulfites","")&amp;IF(Q21="?",IF(COUNTIF($E21:$P21,"~?")&gt;0,", ","")&amp;"Lupin","")&amp;IF(R21="?",IF(COUNTIF($E21:$Q21,"~?")&gt;0,", ","")&amp;"Mollusques","")),"")</f>
        <v/>
      </c>
      <c r="U21" s="493" t="str">
        <f>IF(21=21,IF($B21="","",$B21),"")</f>
        <v xml:space="preserve">Crème fraîche </v>
      </c>
      <c r="V21" s="493" t="str">
        <f>IF(21=21,LOWER(CLEAN(SUBSTITUTE(SUBSTITUTE(SUBSTITUTE(SUBSTITUTE($U21,CHAR(160)," ")," "," "),CHAR(10)," "),CHAR(13)," "))),"")</f>
        <v xml:space="preserve">crème fraîche </v>
      </c>
      <c r="W21" s="493" t="str">
        <f>IF(21=21,SUBSTITUTE(SUBSTITUTE(SUBSTITUTE(SUBSTITUTE(SUBSTITUTE(SUBSTITUTE(SUBSTITUTE(SUBSTITUTE(SUBSTITUTE(SUBSTITUTE(SUBSTITUTE(SUBSTITUTE($V21,"œ","oe"),"æ","ae"),"à","a"),"á","a"),"â","a"),"ä","a"),"ã","a"),"ç","c"),"è","e"),"é","e"),"ê","e"),"ë","e"),"")</f>
        <v xml:space="preserve">creme fraîche </v>
      </c>
      <c r="X21" s="493" t="str">
        <f>IF(21=21,SUBSTITUTE(SUBSTITUTE(SUBSTITUTE(SUBSTITUTE(SUBSTITUTE(SUBSTITUTE(SUBSTITUTE(SUBSTITUTE(SUBSTITUTE(SUBSTITUTE(SUBSTITUTE(SUBSTITUTE(SUBSTITUTE(SUBSTITUTE(SUBSTITUTE(SUBSTITUTE($W21,"ì","i"),"í","i"),"î","i"),"ï","i"),"ñ","n"),"ò","o"),"ó","o"),"ô","o"),"ö","o"),"õ","o"),"ù","u"),"ú","u"),"û","u"),"ü","u"),"ý","y"),"ÿ","y"),"")</f>
        <v xml:space="preserve">creme fraiche </v>
      </c>
      <c r="Y21" s="493" t="str">
        <f>IF(21=21,SUBSTITUTE(SUBSTITUTE(SUBSTITUTE(SUBSTITUTE(SUBSTITUTE(SUBSTITUTE(SUBSTITUTE(SUBSTITUTE(SUBSTITUTE(SUBSTITUTE(SUBSTITUTE(SUBSTITUTE(SUBSTITUTE(SUBSTITUTE($X21,"’"," "),"`"," "),"–"," "),"—"," "),"-"," "),"'"," "),"/"," "),"_"," "),","," "),"."," "),"("," "),")"," "),";"," "),":"," "),"")</f>
        <v xml:space="preserve">creme fraiche </v>
      </c>
      <c r="Z21" s="493" t="str">
        <f>IF(21=21,SUBSTITUTE(SUBSTITUTE(SUBSTITUTE(SUBSTITUTE(SUBSTITUTE(SUBSTITUTE(SUBSTITUTE(SUBSTITUTE(SUBSTITUTE(SUBSTITUTE(SUBSTITUTE(SUBSTITUTE(SUBSTITUTE(SUBSTITUTE(SUBSTITUTE($Y21,"!"," "),"?"," "),"+"," "),"*"," "),"&amp;"," "),"["," "),"]"," "),"{"," "),"}"," "),"%"," "),"="," "),"\"," "),"|"," "),"&lt;"," "),"&gt;"," "),"")</f>
        <v xml:space="preserve">creme fraiche </v>
      </c>
      <c r="AA21" s="493" t="str">
        <f>IF(21=21," "&amp;TRIM(SUBSTITUTE(SUBSTITUTE(SUBSTITUTE(SUBSTITUTE(SUBSTITUTE(SUBSTITUTE($Z21,CHAR(34)," "),"  "," "),"  "," "),"  "," "),"  "," "),"  "," "))&amp;" ","")</f>
        <v xml:space="preserve"> creme fraiche </v>
      </c>
      <c r="AB21" s="493">
        <f>IF(21=21,IF($U21="","",SUMPRODUCT(--ISNUMBER(SEARCH(" "&amp;$CR$2:$CR$101&amp;" ",$AD21)))),"")</f>
        <v>0</v>
      </c>
      <c r="AC21" s="493">
        <f>IF(21=21,IF($U21="","",SUMPRODUCT(--ISNUMBER(SEARCH(" "&amp;$CR$102:$CR$151&amp;" ",$AD21)))),"")</f>
        <v>0</v>
      </c>
      <c r="AD21" s="493" t="str">
        <f t="shared" si="1"/>
        <v xml:space="preserve"> creme fraiche </v>
      </c>
      <c r="AE21" s="493">
        <f t="shared" si="2"/>
        <v>0</v>
      </c>
      <c r="AF21" s="493" t="str">
        <f>IF(21=21,IF($U21="","",IF(SUM(AB21:AC21)+SUMPRODUCT(--ISNUMBER(SEARCH(" "&amp;$CR$2418:$CR$2420&amp;" ",$AD21)))&gt;0,"X",IF(AE21&gt;0,"?",""))),"")</f>
        <v/>
      </c>
      <c r="AG21" s="493">
        <f>IF(21=21,IF($U21="","",SUMPRODUCT(--ISNUMBER(SEARCH(" "&amp;$CR$206:$CR$305&amp;" ",$AA21)))),"")</f>
        <v>0</v>
      </c>
      <c r="AH21" s="493">
        <f>IF(21=21,IF($U21="","",SUMPRODUCT(--ISNUMBER(SEARCH(" "&amp;$CR$306:$CR$340&amp;" ",$AA21)))),"")</f>
        <v>0</v>
      </c>
      <c r="AI21" s="493" t="str">
        <f>IF(21=21,IF($U21="","",IF((SUM(AG21:AH21))-(0)&gt;0,"X",IF((0)-(0)&gt;0,"?",""))),"")</f>
        <v/>
      </c>
      <c r="AJ21" s="493">
        <f>IF(21=21,IF($U21="","",SUMPRODUCT(--ISNUMBER(SEARCH(" "&amp;$CR$341:$CR$398&amp;" ",$AA21)))),"")</f>
        <v>0</v>
      </c>
      <c r="AK21" s="493">
        <f>IF(21=21,IF($U21="","",SUMPRODUCT(--ISNUMBER(SEARCH(" "&amp;$CR$399:$CR$426&amp;" ",$AL21)))+SUMPRODUCT(--ISNUMBER(SEARCH(" "&amp;$CR$2440:$CR$2453&amp;" ",$AL21)))),"")</f>
        <v>0</v>
      </c>
      <c r="AL21" s="493" t="str">
        <f>IF(21=21,IF($U21="","",SUBSTITUTE(SUBSTITUTE(SUBSTITUTE(SUBSTITUTE(SUBSTITUTE(SUBSTITUTE(SUBSTITUTE(SUBSTITUTE(SUBSTITUTE(SUBSTITUTE(SUBSTITUTE(SUBSTITUTE(SUBSTITUTE(SUBSTITUTE($AA21," "&amp;$CR$2455&amp;" "," ")," "&amp;$CR$433&amp;" "," ")," "&amp;$CR$431&amp;" "," ")," "&amp;$CR$2438&amp;" "," ")," "&amp;$CR$2439&amp;" "," ")," "&amp;$CR$428&amp;" "," ")," "&amp;$CR$432&amp;" "," ")," "&amp;$CR$434&amp;" "," ")," "&amp;$CR$429&amp;" "," ")," "&amp;$CR$427&amp;" "," ")," "&amp;$CR$1367&amp;" "," ")," "&amp;$CR$435&amp;" "," ")," "&amp;$CR$1366&amp;" "," ")," "&amp;$CR$430&amp;" "," ")),"")</f>
        <v xml:space="preserve"> creme fraiche </v>
      </c>
      <c r="AM21" s="493" t="str">
        <f>IF(21=21,IF($U21="","",IF(AJ21&gt;0,"X",IF(AK21&gt;0,"?",""))),"")</f>
        <v/>
      </c>
      <c r="AN21" s="493">
        <f>IF(21=21,IF($U21="","",SUMPRODUCT(--ISNUMBER(SEARCH(" "&amp;$CR$436:$CR$535&amp;" ",$AX21)))),"")</f>
        <v>0</v>
      </c>
      <c r="AO21" s="493">
        <f>IF(21=21,IF($U21="","",SUMPRODUCT(--ISNUMBER(SEARCH(" "&amp;$CR$536:$CR$635&amp;" ",$AX21)))),"")</f>
        <v>0</v>
      </c>
      <c r="AP21" s="493">
        <f>IF(21=21,IF($U21="","",SUMPRODUCT(--ISNUMBER(SEARCH(" "&amp;$CR$636:$CR$735&amp;" ",$AX21)))),"")</f>
        <v>0</v>
      </c>
      <c r="AQ21" s="493">
        <f>IF(21=21,IF($U21="","",SUMPRODUCT(--ISNUMBER(SEARCH(" "&amp;$CR$736:$CR$835&amp;" ",$AX21)))),"")</f>
        <v>0</v>
      </c>
      <c r="AR21" s="493">
        <f>IF(21=21,IF($U21="","",SUMPRODUCT(--ISNUMBER(SEARCH(" "&amp;$CR$836:$CR$935&amp;" ",$AX21)))),"")</f>
        <v>0</v>
      </c>
      <c r="AS21" s="493">
        <f>IF(21=21,IF($U21="","",SUMPRODUCT(--ISNUMBER(SEARCH(" "&amp;$CR$936:$CR$1035&amp;" ",$AX21)))),"")</f>
        <v>0</v>
      </c>
      <c r="AT21" s="493">
        <f>IF(21=21,IF($U21="","",SUMPRODUCT(--ISNUMBER(SEARCH(" "&amp;$CR$1036:$CR$1135&amp;" ",$AX21)))),"")</f>
        <v>0</v>
      </c>
      <c r="AU21" s="493">
        <f>IF(21=21,IF($U21="","",SUMPRODUCT(--ISNUMBER(SEARCH(" "&amp;$CR$1136:$CR$1235&amp;" ",$AX21)))),"")</f>
        <v>0</v>
      </c>
      <c r="AV21" s="493">
        <f>IF(21=21,IF($U21="","",SUMPRODUCT(--ISNUMBER(SEARCH(" "&amp;$CR$1236:$CR$1335&amp;" ",$AX21)))),"")</f>
        <v>0</v>
      </c>
      <c r="AW21" s="493">
        <f>IF(21=21,IF($U21="","",SUMPRODUCT(--ISNUMBER(SEARCH(" "&amp;$CR$1336:$CR$1363&amp;" ",$AX21)))),"")</f>
        <v>0</v>
      </c>
      <c r="AX21" s="493" t="str">
        <f>IF(21=21,IF($U21="","",SUBSTITUTE(SUBSTITUTE(SUBSTITUTE(SUBSTITUTE(SUBSTITUTE(SUBSTITUTE(SUBSTITUTE(SUBSTITUTE(SUBSTITUTE($AA21," "&amp;$CR$1365&amp;" "," ")," "&amp;$CR$1364&amp;" "," ")," "&amp;$CR$1370&amp;" "," ")," "&amp;$CR$1371&amp;" "," ")," "&amp;$CR$1367&amp;" "," ")," "&amp;$CR$1369&amp;" "," ")," "&amp;$CR$1366&amp;" "," ")," "&amp;$CR$1368&amp;" "," ")," "&amp;$CR$1372&amp;" "," ")),"")</f>
        <v xml:space="preserve"> creme fraiche </v>
      </c>
      <c r="AY21" s="493">
        <f>IF(21=21,IF($U21="","",SUMPRODUCT(--ISNUMBER(SEARCH(" "&amp;$CR$1373:$CR$1383&amp;" ",$AX21)))),"")</f>
        <v>0</v>
      </c>
      <c r="AZ21" s="493" t="str">
        <f>IF(21=21,IF($U21="","",IF(SUM(AN21:AW21)+SUMPRODUCT(--ISNUMBER(SEARCH(" "&amp;$CR$2421:$CR$2422&amp;" ",$AX21)))&gt;0,"X",IF(AY21&gt;0,"?",""))),"")</f>
        <v/>
      </c>
      <c r="BA21" s="493">
        <f>IF(21=21,IF($U21="","",SUMPRODUCT(--ISNUMBER(SEARCH(" "&amp;$CR$1384:$CR$1404&amp;" ",$AA21)))),"")</f>
        <v>0</v>
      </c>
      <c r="BB21" s="493" t="str">
        <f>IF(21=21,IF($U21="","",IF((BA21)-(0)&gt;0,"X",IF((0)-(0)&gt;0,"?",""))),"")</f>
        <v/>
      </c>
      <c r="BC21" s="493">
        <f>IF(21=21,IF($U21="","",SUMPRODUCT(--ISNUMBER(SEARCH(" "&amp;$CR$1405:$CR$1442&amp;" ",$BD21)))),"")</f>
        <v>0</v>
      </c>
      <c r="BD21" s="493" t="str">
        <f>IF(21=21,IF($U21="","",SUBSTITUTE(SUBSTITUTE($AA21," "&amp;$CR$1443&amp;" "," ")," "&amp;$CR$1444&amp;" "," ")),"")</f>
        <v xml:space="preserve"> creme fraiche </v>
      </c>
      <c r="BE21" s="493">
        <f>IF(21=21,IF($U21="","",SUMPRODUCT(--ISNUMBER(SEARCH(" "&amp;$CR$1445:$CR$1455&amp;" ",$BD21)))),"")</f>
        <v>0</v>
      </c>
      <c r="BF21" s="493" t="str">
        <f>IF(21=21,IF($U21="","",IF(BC21&gt;0,"X",IF(BE21&gt;0,"?",""))),"")</f>
        <v/>
      </c>
      <c r="BG21" s="493">
        <f>IF(21=21,IF($U21="","",SUMPRODUCT(--ISNUMBER(SEARCH(" "&amp;$CR$1456:$CR$1555&amp;" ",$BJ21)))),"")</f>
        <v>2</v>
      </c>
      <c r="BH21" s="493">
        <f>IF(21=21,IF($U21="","",SUMPRODUCT(--ISNUMBER(SEARCH(" "&amp;$CR$1556:$CR$1655&amp;" ",$BJ21)))),"")</f>
        <v>0</v>
      </c>
      <c r="BI21" s="493">
        <f>IF(21=21,IF($U21="","",SUMPRODUCT(--ISNUMBER(SEARCH(" "&amp;$CR$1656:$CR$1739&amp;" ",$BJ21)))),"")</f>
        <v>0</v>
      </c>
      <c r="BJ21" s="493" t="str">
        <f>IF(21=21,IF($U21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creme fraiche </v>
      </c>
      <c r="BK21" s="493">
        <f>IF(21=21,IF($U21="","",SUMPRODUCT(--ISNUMBER(SEARCH(" "&amp;$CR$1790:$CR$1869&amp;" ",$BL21)))+SUMPRODUCT(--ISNUMBER(SEARCH(" "&amp;$CR$2440:$CR$2453&amp;" ",$BL21)))),"")</f>
        <v>0</v>
      </c>
      <c r="BL21" s="493" t="str">
        <f>IF(21=21,IF($U21="","",SUBSTITUTE(SUBSTITUTE(SUBSTITUTE(SUBSTITUTE(SUBSTITUTE(SUBSTITUTE(SUBSTITUTE(SUBSTITUTE(SUBSTITUTE(SUBSTITUTE(SUBSTITUTE(SUBSTITUTE(SUBSTITUTE($BJ21," "&amp;$CR$1876&amp;" "," ")," "&amp;$CR$1874&amp;" "," ")," "&amp;$CR$2438&amp;" "," ")," "&amp;$CR$2439&amp;" "," ")," "&amp;$CR$1871&amp;" "," ")," "&amp;$CR$1875&amp;" "," ")," "&amp;$CR$1877&amp;" "," ")," "&amp;$CR$1872&amp;" "," ")," "&amp;$CR$1870&amp;" "," ")," "&amp;$CR$1367&amp;" "," ")," "&amp;$CR$1878&amp;" "," ")," "&amp;$CR$1366&amp;" "," ")," "&amp;$CR$1873&amp;" "," ")),"")</f>
        <v xml:space="preserve"> creme fraiche </v>
      </c>
      <c r="BM21" s="493" t="str">
        <f>IF(21=21,IF($U21="","",IF(SUM(BG21:BI21)+SUMPRODUCT(--ISNUMBER(SEARCH(" "&amp;$CR$2423:$CR$2424&amp;" ",$BJ21)))&gt;0,"X",IF(BK21&gt;0,"?",""))),"")</f>
        <v>X</v>
      </c>
      <c r="BN21" s="493">
        <f>IF(21=21,IF($U21="","",SUMPRODUCT(--ISNUMBER(SEARCH(" "&amp;$CR$1879:$CR$1936&amp;" ",$BO21)))),"")</f>
        <v>0</v>
      </c>
      <c r="BO21" s="493" t="str">
        <f>IF(21=21,IF($U21="","",SUBSTITUTE(SUBSTITUTE(SUBSTITUTE(SUBSTITUTE(SUBSTITUTE(SUBSTITUTE(SUBSTITUTE(SUBSTITUTE(SUBSTITUTE(SUBSTITUTE(SUBSTITUTE(SUBSTITUTE(SUBSTITUTE(SUBSTITUTE(SUBSTITUTE(SUBSTITUTE(SUBSTITUTE(SUBSTITUTE(SUBSTITUTE(SUBSTITUTE(SUBSTITUTE(SUBSTITUTE(SUBSTITUTE($AA21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creme fraiche </v>
      </c>
      <c r="BP21" s="493">
        <f>IF(21=21,IF($U21="","",SUMPRODUCT(--ISNUMBER(SEARCH(" "&amp;$CR$1960:$CR$1976&amp;" ",$BO21)))),"")</f>
        <v>0</v>
      </c>
      <c r="BQ21" s="493" t="str">
        <f>IF(21=21,IF($U21="","",IF(BN21&gt;0,"X",IF(BP21&gt;0,"?",""))),"")</f>
        <v/>
      </c>
      <c r="BR21" s="493">
        <f>IF(21=21,IF($U21="","",SUMPRODUCT(--ISNUMBER(SEARCH(" "&amp;$CR$1977:$CR$1990&amp;" ",$AA21)))),"")</f>
        <v>0</v>
      </c>
      <c r="BS21" s="493">
        <f>IF(21=21,IF($U21="","",SUMPRODUCT(--ISNUMBER(SEARCH(" "&amp;$CR$1991:$CR$2005&amp;" ",$AA21)))),"")</f>
        <v>0</v>
      </c>
      <c r="BT21" s="493" t="str">
        <f>IF(21=21,IF($U21="","",IF((BR21)-(0)&gt;0,"X",IF((BS21)-(0)&gt;0,"?",""))),"")</f>
        <v/>
      </c>
      <c r="BU21" s="493">
        <f>IF(21=21,IF($U21="","",SUMPRODUCT(--ISNUMBER(SEARCH(" "&amp;$CR$2006:$CR$2023&amp;" ",$AA21)))),"")</f>
        <v>0</v>
      </c>
      <c r="BV21" s="493">
        <f>IF(21=21,IF($U21="","",SUMPRODUCT(--ISNUMBER(SEARCH(" "&amp;$CR$2024:$CR$2038&amp;" ",$AA21)))),"")</f>
        <v>0</v>
      </c>
      <c r="BW21" s="493" t="str">
        <f>IF(21=21,IF($U21="","",IF((BU21)-(0)&gt;0,"X",IF((BV21)-(0)&gt;0,"?",""))),"")</f>
        <v/>
      </c>
      <c r="BX21" s="493">
        <f>IF(21=21,IF($U21="","",SUMPRODUCT(--ISNUMBER(SEARCH(" "&amp;$CR$2039:$CR$2057&amp;" ",$AA21)))),"")</f>
        <v>0</v>
      </c>
      <c r="BY21" s="493">
        <f>IF(21=21,IF($U21="","",SUMPRODUCT(--ISNUMBER(SEARCH(" "&amp;$CR$2058:$CR$2072&amp;" ",$AA21)))),"")</f>
        <v>0</v>
      </c>
      <c r="BZ21" s="493" t="str">
        <f>IF(21=21,IF($U21="","",IF((BX21)-(0)&gt;0,"X",IF((BY21)-(0)&gt;0,"?",""))),"")</f>
        <v/>
      </c>
      <c r="CA21" s="493">
        <f>IF(21=21,IF($U21="","",SUMPRODUCT(--ISNUMBER(SEARCH(" "&amp;$CR$2073:$CR$2093&amp;" ",$AA21)))),"")</f>
        <v>0</v>
      </c>
      <c r="CB21" s="493">
        <f>IF(21=21,IF($U21="","",SUMPRODUCT(--ISNUMBER(SEARCH(" "&amp;$CR$2094:$CR$2133&amp;" ",SUBSTITUTE(SUBSTITUTE($AA21," "&amp;$CR$1367&amp;" "," ")," "&amp;$CR$1366&amp;" "," "))))+--ISNUMBER(SEARCH("poiré",$V21))),"")</f>
        <v>0</v>
      </c>
      <c r="CC21" s="493" t="str">
        <f>IF(21=21,IF($U21="","",IF(OR(CA21&gt;0,ISNUMBER(SEARCH(" vinaigre de vin ",$AA21)),ISNUMBER(SEARCH(" vinaigre au vin ",$AA21))),"X",IF(CB21&gt;0,"?",""))),"")</f>
        <v/>
      </c>
      <c r="CD21" s="493">
        <f>IF(21=21,IF($U21="","",SUMPRODUCT(--ISNUMBER(SEARCH(" "&amp;$CR$2134:$CR$2146&amp;" ",$AA21)))),"")</f>
        <v>0</v>
      </c>
      <c r="CE21" s="493">
        <f>IF(21=21,IF($U21="","",SUMPRODUCT(--ISNUMBER(SEARCH(" "&amp;$CR$2147:$CR$2152&amp;" ",$AA21)))),"")</f>
        <v>0</v>
      </c>
      <c r="CF21" s="493" t="str">
        <f>IF(21=21,IF($U21="","",IF((CD21)-(0)&gt;0,"X",IF((CE21)-(0)&gt;0,"?",""))),"")</f>
        <v/>
      </c>
      <c r="CG21" s="493">
        <f>IF(21=21,IF($U21="","",SUMPRODUCT(--ISNUMBER(SEARCH(" "&amp;$CR$2153:$CR$2252&amp;" ",$CJ21)))),"")</f>
        <v>0</v>
      </c>
      <c r="CH21" s="493">
        <f>IF(21=21,IF($U21="","",SUMPRODUCT(--ISNUMBER(SEARCH(" "&amp;$CR$2253:$CR$2352&amp;" ",$CJ21)))),"")</f>
        <v>0</v>
      </c>
      <c r="CI21" s="493">
        <f>IF(21=21,IF($U21="","",SUMPRODUCT(--ISNUMBER(SEARCH(" "&amp;$CR$2353:$CR$2395&amp;" ",$CJ21)))),"")</f>
        <v>0</v>
      </c>
      <c r="CJ21" s="493" t="str">
        <f>IF(21=21,IF($U21="","",SUBSTITUTE(SUBSTITUTE(SUBSTITUTE(SUBSTITUTE(SUBSTITUTE(SUBSTITUTE(SUBSTITUTE(SUBSTITUTE(SUBSTITUTE(SUBSTITUTE(SUBSTITUTE(SUBSTITUTE(SUBSTITUTE(SUBSTITUTE(SUBSTITUTE(SUBSTITUTE($AA21," "&amp;$CR$2401&amp;" "," ")," "&amp;$CR$2400&amp;" "," ")," "&amp;$CR$2399&amp;" "," ")," "&amp;$CR$2406&amp;" "," ")," "&amp;$CR$2398&amp;" "," ")," "&amp;$CR$2410&amp;" "," ")," "&amp;$CR$2397&amp;" "," ")," "&amp;$CR$2402&amp;" "," ")," "&amp;$CR$2405&amp;" "," ")," "&amp;$CR$2396&amp;" "," ")," "&amp;$CR$2404&amp;" "," ")," "&amp;$CR$2411&amp;" "," ")," "&amp;$CR$2408&amp;" "," ")," "&amp;$CR$2403&amp;" "," ")," "&amp;$CR$2407&amp;" "," ")," "&amp;$CR$2409&amp;" "," ")),"")</f>
        <v xml:space="preserve"> creme fraiche </v>
      </c>
      <c r="CK21" s="493">
        <f>IF(21=21,IF($U21="","",SUMPRODUCT(--ISNUMBER(SEARCH(" "&amp;$CR$2412:$CR$2416&amp;" ",$CJ21)))),"")</f>
        <v>0</v>
      </c>
      <c r="CL21" s="493" t="str">
        <f>IF(21=21,IF($U21="","",IF(SUM(CG21:CI21)&gt;0,"X",IF(CK21&gt;0,"?",""))),"")</f>
        <v/>
      </c>
      <c r="CM21" s="494"/>
      <c r="CN21" s="496" t="s">
        <v>1182</v>
      </c>
      <c r="CO21" s="496" t="s">
        <v>1083</v>
      </c>
      <c r="CP21" s="496" t="s">
        <v>689</v>
      </c>
      <c r="CQ21" s="496" t="s">
        <v>888</v>
      </c>
      <c r="CR21" s="496" t="s">
        <v>888</v>
      </c>
      <c r="CS21" s="496" t="s">
        <v>1085</v>
      </c>
      <c r="CT21" s="496" t="s">
        <v>1086</v>
      </c>
      <c r="CU21" s="496" t="s">
        <v>1087</v>
      </c>
      <c r="CV21" s="497" t="s">
        <v>1088</v>
      </c>
      <c r="CX21" s="543">
        <v>1</v>
      </c>
    </row>
    <row r="22" spans="1:102" ht="21" customHeight="1">
      <c r="A22" s="509">
        <v>16</v>
      </c>
      <c r="B22" s="510" t="s">
        <v>5860</v>
      </c>
      <c r="C22" s="511" t="str">
        <f t="shared" si="0"/>
        <v>Crème fraîche double *</v>
      </c>
      <c r="D22" s="512" t="str">
        <f>IF(22=22,IF($B22="","",IF(E22="X",""&amp;"Céréales contenant du gluten","")&amp;IF(F22="X",IF(COUNTIF($E22:$E22,"X")&gt;0,", ","")&amp;"Crustacés","")&amp;IF(G22="X",IF(COUNTIF($E22:$F22,"X")&gt;0,", ","")&amp;"Œufs","")&amp;IF(H22="X",IF(COUNTIF($E22:$G22,"X")&gt;0,", ","")&amp;"Poissons","")&amp;IF(I22="X",IF(COUNTIF($E22:$H22,"X")&gt;0,", ","")&amp;"Arachides","")&amp;IF(J22="X",IF(COUNTIF($E22:$I22,"X")&gt;0,", ","")&amp;"Soja","")&amp;IF(K22="X",IF(COUNTIF($E22:$J22,"X")&gt;0,", ","")&amp;"Lait","")&amp;IF(L22="X",IF(COUNTIF($E22:$K22,"X")&gt;0,", ","")&amp;"Fruits à coque","")&amp;IF(M22="X",IF(COUNTIF($E22:$L22,"X")&gt;0,", ","")&amp;"Céleri","")&amp;IF(N22="X",IF(COUNTIF($E22:$M22,"X")&gt;0,", ","")&amp;"Moutarde","")&amp;IF(O22="X",IF(COUNTIF($E22:$N22,"X")&gt;0,", ","")&amp;"Sésame","")&amp;IF(P22="X",IF(COUNTIF($E22:$O22,"X")&gt;0,", ","")&amp;"Sulfites","")&amp;IF(Q22="X",IF(COUNTIF($E22:$P22,"X")&gt;0,", ","")&amp;"Lupin","")&amp;IF(R22="X",IF(COUNTIF($E22:$Q22,"X")&gt;0,", ","")&amp;"Mollusques","")),"")</f>
        <v>Lait</v>
      </c>
      <c r="E22" s="513" t="str">
        <f>IF(22=22,IF($B22="","",AF22),"")</f>
        <v/>
      </c>
      <c r="F22" s="513" t="str">
        <f>IF(22=22,IF($B22="","",AI22),"")</f>
        <v/>
      </c>
      <c r="G22" s="513" t="str">
        <f>IF(22=22,IF($B22="","",AM22),"")</f>
        <v/>
      </c>
      <c r="H22" s="513" t="str">
        <f>IF(22=22,IF($B22="","",IF(ISNUMBER(SEARCH(" colin ",$AA22)),"X",AZ22)),"")</f>
        <v/>
      </c>
      <c r="I22" s="513" t="str">
        <f>IF(22=22,IF($B22="","",BB22),"")</f>
        <v/>
      </c>
      <c r="J22" s="513" t="str">
        <f>IF(22=22,IF($B22="","",BF22),"")</f>
        <v/>
      </c>
      <c r="K22" s="513" t="str">
        <f>IF(22=22,IF($B22="","",BM22),"")</f>
        <v>X</v>
      </c>
      <c r="L22" s="513" t="str">
        <f>IF(22=22,IF($B22="","",BQ22),"")</f>
        <v/>
      </c>
      <c r="M22" s="513" t="str">
        <f>IF(22=22,IF($B22="","",BT22),"")</f>
        <v/>
      </c>
      <c r="N22" s="513" t="str">
        <f>IF(22=22,IF($B22="","",BW22),"")</f>
        <v/>
      </c>
      <c r="O22" s="513" t="str">
        <f>IF(22=22,IF($B22="","",BZ22),"")</f>
        <v/>
      </c>
      <c r="P22" s="513" t="str">
        <f>IF(22=22,IF($B22="","",CC22),"")</f>
        <v/>
      </c>
      <c r="Q22" s="513" t="str">
        <f>IF(22=22,IF($B22="","",CF22),"")</f>
        <v/>
      </c>
      <c r="R22" s="513" t="str">
        <f>IF(22=22,IF($B22="","",CL22),"")</f>
        <v/>
      </c>
      <c r="S22" s="514" t="str">
        <f>IF(22=22,IF($B22="","",IF(E22="?",""&amp;"Céréales contenant du gluten","")&amp;IF(F22="?",IF(COUNTIF($E22:$E22,"~?")&gt;0,", ","")&amp;"Crustacés","")&amp;IF(G22="?",IF(COUNTIF($E22:$F22,"~?")&gt;0,", ","")&amp;"Œufs","")&amp;IF(H22="?",IF(COUNTIF($E22:$G22,"~?")&gt;0,", ","")&amp;"Poissons","")&amp;IF(I22="?",IF(COUNTIF($E22:$H22,"~?")&gt;0,", ","")&amp;"Arachides","")&amp;IF(J22="?",IF(COUNTIF($E22:$I22,"~?")&gt;0,", ","")&amp;"Soja","")&amp;IF(K22="?",IF(COUNTIF($E22:$J22,"~?")&gt;0,", ","")&amp;"Lait","")&amp;IF(L22="?",IF(COUNTIF($E22:$K22,"~?")&gt;0,", ","")&amp;"Fruits à coque","")&amp;IF(M22="?",IF(COUNTIF($E22:$L22,"~?")&gt;0,", ","")&amp;"Céleri","")&amp;IF(N22="?",IF(COUNTIF($E22:$M22,"~?")&gt;0,", ","")&amp;"Moutarde","")&amp;IF(O22="?",IF(COUNTIF($E22:$N22,"~?")&gt;0,", ","")&amp;"Sésame","")&amp;IF(P22="?",IF(COUNTIF($E22:$O22,"~?")&gt;0,", ","")&amp;"Sulfites","")&amp;IF(Q22="?",IF(COUNTIF($E22:$P22,"~?")&gt;0,", ","")&amp;"Lupin","")&amp;IF(R22="?",IF(COUNTIF($E22:$Q22,"~?")&gt;0,", ","")&amp;"Mollusques","")),"")</f>
        <v/>
      </c>
      <c r="U22" s="493" t="str">
        <f>IF(22=22,IF($B22="","",$B22),"")</f>
        <v>Crème fraîche double</v>
      </c>
      <c r="V22" s="493" t="str">
        <f>IF(22=22,LOWER(CLEAN(SUBSTITUTE(SUBSTITUTE(SUBSTITUTE(SUBSTITUTE($U22,CHAR(160)," ")," "," "),CHAR(10)," "),CHAR(13)," "))),"")</f>
        <v>crème fraîche double</v>
      </c>
      <c r="W22" s="493" t="str">
        <f>IF(22=22,SUBSTITUTE(SUBSTITUTE(SUBSTITUTE(SUBSTITUTE(SUBSTITUTE(SUBSTITUTE(SUBSTITUTE(SUBSTITUTE(SUBSTITUTE(SUBSTITUTE(SUBSTITUTE(SUBSTITUTE($V22,"œ","oe"),"æ","ae"),"à","a"),"á","a"),"â","a"),"ä","a"),"ã","a"),"ç","c"),"è","e"),"é","e"),"ê","e"),"ë","e"),"")</f>
        <v>creme fraîche double</v>
      </c>
      <c r="X22" s="493" t="str">
        <f>IF(22=22,SUBSTITUTE(SUBSTITUTE(SUBSTITUTE(SUBSTITUTE(SUBSTITUTE(SUBSTITUTE(SUBSTITUTE(SUBSTITUTE(SUBSTITUTE(SUBSTITUTE(SUBSTITUTE(SUBSTITUTE(SUBSTITUTE(SUBSTITUTE(SUBSTITUTE(SUBSTITUTE($W22,"ì","i"),"í","i"),"î","i"),"ï","i"),"ñ","n"),"ò","o"),"ó","o"),"ô","o"),"ö","o"),"õ","o"),"ù","u"),"ú","u"),"û","u"),"ü","u"),"ý","y"),"ÿ","y"),"")</f>
        <v>creme fraiche double</v>
      </c>
      <c r="Y22" s="493" t="str">
        <f>IF(22=22,SUBSTITUTE(SUBSTITUTE(SUBSTITUTE(SUBSTITUTE(SUBSTITUTE(SUBSTITUTE(SUBSTITUTE(SUBSTITUTE(SUBSTITUTE(SUBSTITUTE(SUBSTITUTE(SUBSTITUTE(SUBSTITUTE(SUBSTITUTE($X22,"’"," "),"`"," "),"–"," "),"—"," "),"-"," "),"'"," "),"/"," "),"_"," "),","," "),"."," "),"("," "),")"," "),";"," "),":"," "),"")</f>
        <v>creme fraiche double</v>
      </c>
      <c r="Z22" s="493" t="str">
        <f>IF(22=22,SUBSTITUTE(SUBSTITUTE(SUBSTITUTE(SUBSTITUTE(SUBSTITUTE(SUBSTITUTE(SUBSTITUTE(SUBSTITUTE(SUBSTITUTE(SUBSTITUTE(SUBSTITUTE(SUBSTITUTE(SUBSTITUTE(SUBSTITUTE(SUBSTITUTE($Y22,"!"," "),"?"," "),"+"," "),"*"," "),"&amp;"," "),"["," "),"]"," "),"{"," "),"}"," "),"%"," "),"="," "),"\"," "),"|"," "),"&lt;"," "),"&gt;"," "),"")</f>
        <v>creme fraiche double</v>
      </c>
      <c r="AA22" s="493" t="str">
        <f>IF(22=22," "&amp;TRIM(SUBSTITUTE(SUBSTITUTE(SUBSTITUTE(SUBSTITUTE(SUBSTITUTE(SUBSTITUTE($Z22,CHAR(34)," "),"  "," "),"  "," "),"  "," "),"  "," "),"  "," "))&amp;" ","")</f>
        <v xml:space="preserve"> creme fraiche double </v>
      </c>
      <c r="AB22" s="493">
        <f>IF(22=22,IF($U22="","",SUMPRODUCT(--ISNUMBER(SEARCH(" "&amp;$CR$2:$CR$101&amp;" ",$AD22)))),"")</f>
        <v>0</v>
      </c>
      <c r="AC22" s="493">
        <f>IF(22=22,IF($U22="","",SUMPRODUCT(--ISNUMBER(SEARCH(" "&amp;$CR$102:$CR$151&amp;" ",$AD22)))),"")</f>
        <v>0</v>
      </c>
      <c r="AD22" s="493" t="str">
        <f t="shared" si="1"/>
        <v xml:space="preserve"> creme fraiche double </v>
      </c>
      <c r="AE22" s="493">
        <f t="shared" si="2"/>
        <v>0</v>
      </c>
      <c r="AF22" s="493" t="str">
        <f>IF(22=22,IF($U22="","",IF(SUM(AB22:AC22)+SUMPRODUCT(--ISNUMBER(SEARCH(" "&amp;$CR$2418:$CR$2420&amp;" ",$AD22)))&gt;0,"X",IF(AE22&gt;0,"?",""))),"")</f>
        <v/>
      </c>
      <c r="AG22" s="493">
        <f>IF(22=22,IF($U22="","",SUMPRODUCT(--ISNUMBER(SEARCH(" "&amp;$CR$206:$CR$305&amp;" ",$AA22)))),"")</f>
        <v>0</v>
      </c>
      <c r="AH22" s="493">
        <f>IF(22=22,IF($U22="","",SUMPRODUCT(--ISNUMBER(SEARCH(" "&amp;$CR$306:$CR$340&amp;" ",$AA22)))),"")</f>
        <v>0</v>
      </c>
      <c r="AI22" s="493" t="str">
        <f>IF(22=22,IF($U22="","",IF((SUM(AG22:AH22))-(0)&gt;0,"X",IF((0)-(0)&gt;0,"?",""))),"")</f>
        <v/>
      </c>
      <c r="AJ22" s="493">
        <f>IF(22=22,IF($U22="","",SUMPRODUCT(--ISNUMBER(SEARCH(" "&amp;$CR$341:$CR$398&amp;" ",$AA22)))),"")</f>
        <v>0</v>
      </c>
      <c r="AK22" s="493">
        <f>IF(22=22,IF($U22="","",SUMPRODUCT(--ISNUMBER(SEARCH(" "&amp;$CR$399:$CR$426&amp;" ",$AL22)))+SUMPRODUCT(--ISNUMBER(SEARCH(" "&amp;$CR$2440:$CR$2453&amp;" ",$AL22)))),"")</f>
        <v>0</v>
      </c>
      <c r="AL22" s="493" t="str">
        <f>IF(22=22,IF($U22="","",SUBSTITUTE(SUBSTITUTE(SUBSTITUTE(SUBSTITUTE(SUBSTITUTE(SUBSTITUTE(SUBSTITUTE(SUBSTITUTE(SUBSTITUTE(SUBSTITUTE(SUBSTITUTE(SUBSTITUTE(SUBSTITUTE(SUBSTITUTE($AA22," "&amp;$CR$2455&amp;" "," ")," "&amp;$CR$433&amp;" "," ")," "&amp;$CR$431&amp;" "," ")," "&amp;$CR$2438&amp;" "," ")," "&amp;$CR$2439&amp;" "," ")," "&amp;$CR$428&amp;" "," ")," "&amp;$CR$432&amp;" "," ")," "&amp;$CR$434&amp;" "," ")," "&amp;$CR$429&amp;" "," ")," "&amp;$CR$427&amp;" "," ")," "&amp;$CR$1367&amp;" "," ")," "&amp;$CR$435&amp;" "," ")," "&amp;$CR$1366&amp;" "," ")," "&amp;$CR$430&amp;" "," ")),"")</f>
        <v xml:space="preserve"> creme fraiche double </v>
      </c>
      <c r="AM22" s="493" t="str">
        <f>IF(22=22,IF($U22="","",IF(AJ22&gt;0,"X",IF(AK22&gt;0,"?",""))),"")</f>
        <v/>
      </c>
      <c r="AN22" s="493">
        <f>IF(22=22,IF($U22="","",SUMPRODUCT(--ISNUMBER(SEARCH(" "&amp;$CR$436:$CR$535&amp;" ",$AX22)))),"")</f>
        <v>0</v>
      </c>
      <c r="AO22" s="493">
        <f>IF(22=22,IF($U22="","",SUMPRODUCT(--ISNUMBER(SEARCH(" "&amp;$CR$536:$CR$635&amp;" ",$AX22)))),"")</f>
        <v>0</v>
      </c>
      <c r="AP22" s="493">
        <f>IF(22=22,IF($U22="","",SUMPRODUCT(--ISNUMBER(SEARCH(" "&amp;$CR$636:$CR$735&amp;" ",$AX22)))),"")</f>
        <v>0</v>
      </c>
      <c r="AQ22" s="493">
        <f>IF(22=22,IF($U22="","",SUMPRODUCT(--ISNUMBER(SEARCH(" "&amp;$CR$736:$CR$835&amp;" ",$AX22)))),"")</f>
        <v>0</v>
      </c>
      <c r="AR22" s="493">
        <f>IF(22=22,IF($U22="","",SUMPRODUCT(--ISNUMBER(SEARCH(" "&amp;$CR$836:$CR$935&amp;" ",$AX22)))),"")</f>
        <v>0</v>
      </c>
      <c r="AS22" s="493">
        <f>IF(22=22,IF($U22="","",SUMPRODUCT(--ISNUMBER(SEARCH(" "&amp;$CR$936:$CR$1035&amp;" ",$AX22)))),"")</f>
        <v>0</v>
      </c>
      <c r="AT22" s="493">
        <f>IF(22=22,IF($U22="","",SUMPRODUCT(--ISNUMBER(SEARCH(" "&amp;$CR$1036:$CR$1135&amp;" ",$AX22)))),"")</f>
        <v>0</v>
      </c>
      <c r="AU22" s="493">
        <f>IF(22=22,IF($U22="","",SUMPRODUCT(--ISNUMBER(SEARCH(" "&amp;$CR$1136:$CR$1235&amp;" ",$AX22)))),"")</f>
        <v>0</v>
      </c>
      <c r="AV22" s="493">
        <f>IF(22=22,IF($U22="","",SUMPRODUCT(--ISNUMBER(SEARCH(" "&amp;$CR$1236:$CR$1335&amp;" ",$AX22)))),"")</f>
        <v>0</v>
      </c>
      <c r="AW22" s="493">
        <f>IF(22=22,IF($U22="","",SUMPRODUCT(--ISNUMBER(SEARCH(" "&amp;$CR$1336:$CR$1363&amp;" ",$AX22)))),"")</f>
        <v>0</v>
      </c>
      <c r="AX22" s="493" t="str">
        <f>IF(22=22,IF($U22="","",SUBSTITUTE(SUBSTITUTE(SUBSTITUTE(SUBSTITUTE(SUBSTITUTE(SUBSTITUTE(SUBSTITUTE(SUBSTITUTE(SUBSTITUTE($AA22," "&amp;$CR$1365&amp;" "," ")," "&amp;$CR$1364&amp;" "," ")," "&amp;$CR$1370&amp;" "," ")," "&amp;$CR$1371&amp;" "," ")," "&amp;$CR$1367&amp;" "," ")," "&amp;$CR$1369&amp;" "," ")," "&amp;$CR$1366&amp;" "," ")," "&amp;$CR$1368&amp;" "," ")," "&amp;$CR$1372&amp;" "," ")),"")</f>
        <v xml:space="preserve"> creme fraiche double </v>
      </c>
      <c r="AY22" s="493">
        <f>IF(22=22,IF($U22="","",SUMPRODUCT(--ISNUMBER(SEARCH(" "&amp;$CR$1373:$CR$1383&amp;" ",$AX22)))),"")</f>
        <v>0</v>
      </c>
      <c r="AZ22" s="493" t="str">
        <f>IF(22=22,IF($U22="","",IF(SUM(AN22:AW22)+SUMPRODUCT(--ISNUMBER(SEARCH(" "&amp;$CR$2421:$CR$2422&amp;" ",$AX22)))&gt;0,"X",IF(AY22&gt;0,"?",""))),"")</f>
        <v/>
      </c>
      <c r="BA22" s="493">
        <f>IF(22=22,IF($U22="","",SUMPRODUCT(--ISNUMBER(SEARCH(" "&amp;$CR$1384:$CR$1404&amp;" ",$AA22)))),"")</f>
        <v>0</v>
      </c>
      <c r="BB22" s="493" t="str">
        <f>IF(22=22,IF($U22="","",IF((BA22)-(0)&gt;0,"X",IF((0)-(0)&gt;0,"?",""))),"")</f>
        <v/>
      </c>
      <c r="BC22" s="493">
        <f>IF(22=22,IF($U22="","",SUMPRODUCT(--ISNUMBER(SEARCH(" "&amp;$CR$1405:$CR$1442&amp;" ",$BD22)))),"")</f>
        <v>0</v>
      </c>
      <c r="BD22" s="493" t="str">
        <f>IF(22=22,IF($U22="","",SUBSTITUTE(SUBSTITUTE($AA22," "&amp;$CR$1443&amp;" "," ")," "&amp;$CR$1444&amp;" "," ")),"")</f>
        <v xml:space="preserve"> creme fraiche double </v>
      </c>
      <c r="BE22" s="493">
        <f>IF(22=22,IF($U22="","",SUMPRODUCT(--ISNUMBER(SEARCH(" "&amp;$CR$1445:$CR$1455&amp;" ",$BD22)))),"")</f>
        <v>0</v>
      </c>
      <c r="BF22" s="493" t="str">
        <f>IF(22=22,IF($U22="","",IF(BC22&gt;0,"X",IF(BE22&gt;0,"?",""))),"")</f>
        <v/>
      </c>
      <c r="BG22" s="493">
        <f>IF(22=22,IF($U22="","",SUMPRODUCT(--ISNUMBER(SEARCH(" "&amp;$CR$1456:$CR$1555&amp;" ",$BJ22)))),"")</f>
        <v>2</v>
      </c>
      <c r="BH22" s="493">
        <f>IF(22=22,IF($U22="","",SUMPRODUCT(--ISNUMBER(SEARCH(" "&amp;$CR$1556:$CR$1655&amp;" ",$BJ22)))),"")</f>
        <v>0</v>
      </c>
      <c r="BI22" s="493">
        <f>IF(22=22,IF($U22="","",SUMPRODUCT(--ISNUMBER(SEARCH(" "&amp;$CR$1656:$CR$1739&amp;" ",$BJ22)))),"")</f>
        <v>0</v>
      </c>
      <c r="BJ22" s="493" t="str">
        <f>IF(22=22,IF($U22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creme fraiche double </v>
      </c>
      <c r="BK22" s="493">
        <f>IF(22=22,IF($U22="","",SUMPRODUCT(--ISNUMBER(SEARCH(" "&amp;$CR$1790:$CR$1869&amp;" ",$BL22)))+SUMPRODUCT(--ISNUMBER(SEARCH(" "&amp;$CR$2440:$CR$2453&amp;" ",$BL22)))),"")</f>
        <v>0</v>
      </c>
      <c r="BL22" s="493" t="str">
        <f>IF(22=22,IF($U22="","",SUBSTITUTE(SUBSTITUTE(SUBSTITUTE(SUBSTITUTE(SUBSTITUTE(SUBSTITUTE(SUBSTITUTE(SUBSTITUTE(SUBSTITUTE(SUBSTITUTE(SUBSTITUTE(SUBSTITUTE(SUBSTITUTE($BJ22," "&amp;$CR$1876&amp;" "," ")," "&amp;$CR$1874&amp;" "," ")," "&amp;$CR$2438&amp;" "," ")," "&amp;$CR$2439&amp;" "," ")," "&amp;$CR$1871&amp;" "," ")," "&amp;$CR$1875&amp;" "," ")," "&amp;$CR$1877&amp;" "," ")," "&amp;$CR$1872&amp;" "," ")," "&amp;$CR$1870&amp;" "," ")," "&amp;$CR$1367&amp;" "," ")," "&amp;$CR$1878&amp;" "," ")," "&amp;$CR$1366&amp;" "," ")," "&amp;$CR$1873&amp;" "," ")),"")</f>
        <v xml:space="preserve"> creme fraiche double </v>
      </c>
      <c r="BM22" s="493" t="str">
        <f>IF(22=22,IF($U22="","",IF(SUM(BG22:BI22)+SUMPRODUCT(--ISNUMBER(SEARCH(" "&amp;$CR$2423:$CR$2424&amp;" ",$BJ22)))&gt;0,"X",IF(BK22&gt;0,"?",""))),"")</f>
        <v>X</v>
      </c>
      <c r="BN22" s="493">
        <f>IF(22=22,IF($U22="","",SUMPRODUCT(--ISNUMBER(SEARCH(" "&amp;$CR$1879:$CR$1936&amp;" ",$BO22)))),"")</f>
        <v>0</v>
      </c>
      <c r="BO22" s="493" t="str">
        <f>IF(22=22,IF($U22="","",SUBSTITUTE(SUBSTITUTE(SUBSTITUTE(SUBSTITUTE(SUBSTITUTE(SUBSTITUTE(SUBSTITUTE(SUBSTITUTE(SUBSTITUTE(SUBSTITUTE(SUBSTITUTE(SUBSTITUTE(SUBSTITUTE(SUBSTITUTE(SUBSTITUTE(SUBSTITUTE(SUBSTITUTE(SUBSTITUTE(SUBSTITUTE(SUBSTITUTE(SUBSTITUTE(SUBSTITUTE(SUBSTITUTE($AA22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creme fraiche double </v>
      </c>
      <c r="BP22" s="493">
        <f>IF(22=22,IF($U22="","",SUMPRODUCT(--ISNUMBER(SEARCH(" "&amp;$CR$1960:$CR$1976&amp;" ",$BO22)))),"")</f>
        <v>0</v>
      </c>
      <c r="BQ22" s="493" t="str">
        <f>IF(22=22,IF($U22="","",IF(BN22&gt;0,"X",IF(BP22&gt;0,"?",""))),"")</f>
        <v/>
      </c>
      <c r="BR22" s="493">
        <f>IF(22=22,IF($U22="","",SUMPRODUCT(--ISNUMBER(SEARCH(" "&amp;$CR$1977:$CR$1990&amp;" ",$AA22)))),"")</f>
        <v>0</v>
      </c>
      <c r="BS22" s="493">
        <f>IF(22=22,IF($U22="","",SUMPRODUCT(--ISNUMBER(SEARCH(" "&amp;$CR$1991:$CR$2005&amp;" ",$AA22)))),"")</f>
        <v>0</v>
      </c>
      <c r="BT22" s="493" t="str">
        <f>IF(22=22,IF($U22="","",IF((BR22)-(0)&gt;0,"X",IF((BS22)-(0)&gt;0,"?",""))),"")</f>
        <v/>
      </c>
      <c r="BU22" s="493">
        <f>IF(22=22,IF($U22="","",SUMPRODUCT(--ISNUMBER(SEARCH(" "&amp;$CR$2006:$CR$2023&amp;" ",$AA22)))),"")</f>
        <v>0</v>
      </c>
      <c r="BV22" s="493">
        <f>IF(22=22,IF($U22="","",SUMPRODUCT(--ISNUMBER(SEARCH(" "&amp;$CR$2024:$CR$2038&amp;" ",$AA22)))),"")</f>
        <v>0</v>
      </c>
      <c r="BW22" s="493" t="str">
        <f>IF(22=22,IF($U22="","",IF((BU22)-(0)&gt;0,"X",IF((BV22)-(0)&gt;0,"?",""))),"")</f>
        <v/>
      </c>
      <c r="BX22" s="493">
        <f>IF(22=22,IF($U22="","",SUMPRODUCT(--ISNUMBER(SEARCH(" "&amp;$CR$2039:$CR$2057&amp;" ",$AA22)))),"")</f>
        <v>0</v>
      </c>
      <c r="BY22" s="493">
        <f>IF(22=22,IF($U22="","",SUMPRODUCT(--ISNUMBER(SEARCH(" "&amp;$CR$2058:$CR$2072&amp;" ",$AA22)))),"")</f>
        <v>0</v>
      </c>
      <c r="BZ22" s="493" t="str">
        <f>IF(22=22,IF($U22="","",IF((BX22)-(0)&gt;0,"X",IF((BY22)-(0)&gt;0,"?",""))),"")</f>
        <v/>
      </c>
      <c r="CA22" s="493">
        <f>IF(22=22,IF($U22="","",SUMPRODUCT(--ISNUMBER(SEARCH(" "&amp;$CR$2073:$CR$2093&amp;" ",$AA22)))),"")</f>
        <v>0</v>
      </c>
      <c r="CB22" s="493">
        <f>IF(22=22,IF($U22="","",SUMPRODUCT(--ISNUMBER(SEARCH(" "&amp;$CR$2094:$CR$2133&amp;" ",SUBSTITUTE(SUBSTITUTE($AA22," "&amp;$CR$1367&amp;" "," ")," "&amp;$CR$1366&amp;" "," "))))+--ISNUMBER(SEARCH("poiré",$V22))),"")</f>
        <v>0</v>
      </c>
      <c r="CC22" s="493" t="str">
        <f>IF(22=22,IF($U22="","",IF(OR(CA22&gt;0,ISNUMBER(SEARCH(" vinaigre de vin ",$AA22)),ISNUMBER(SEARCH(" vinaigre au vin ",$AA22))),"X",IF(CB22&gt;0,"?",""))),"")</f>
        <v/>
      </c>
      <c r="CD22" s="493">
        <f>IF(22=22,IF($U22="","",SUMPRODUCT(--ISNUMBER(SEARCH(" "&amp;$CR$2134:$CR$2146&amp;" ",$AA22)))),"")</f>
        <v>0</v>
      </c>
      <c r="CE22" s="493">
        <f>IF(22=22,IF($U22="","",SUMPRODUCT(--ISNUMBER(SEARCH(" "&amp;$CR$2147:$CR$2152&amp;" ",$AA22)))),"")</f>
        <v>0</v>
      </c>
      <c r="CF22" s="493" t="str">
        <f>IF(22=22,IF($U22="","",IF((CD22)-(0)&gt;0,"X",IF((CE22)-(0)&gt;0,"?",""))),"")</f>
        <v/>
      </c>
      <c r="CG22" s="493">
        <f>IF(22=22,IF($U22="","",SUMPRODUCT(--ISNUMBER(SEARCH(" "&amp;$CR$2153:$CR$2252&amp;" ",$CJ22)))),"")</f>
        <v>0</v>
      </c>
      <c r="CH22" s="493">
        <f>IF(22=22,IF($U22="","",SUMPRODUCT(--ISNUMBER(SEARCH(" "&amp;$CR$2253:$CR$2352&amp;" ",$CJ22)))),"")</f>
        <v>0</v>
      </c>
      <c r="CI22" s="493">
        <f>IF(22=22,IF($U22="","",SUMPRODUCT(--ISNUMBER(SEARCH(" "&amp;$CR$2353:$CR$2395&amp;" ",$CJ22)))),"")</f>
        <v>0</v>
      </c>
      <c r="CJ22" s="493" t="str">
        <f>IF(22=22,IF($U22="","",SUBSTITUTE(SUBSTITUTE(SUBSTITUTE(SUBSTITUTE(SUBSTITUTE(SUBSTITUTE(SUBSTITUTE(SUBSTITUTE(SUBSTITUTE(SUBSTITUTE(SUBSTITUTE(SUBSTITUTE(SUBSTITUTE(SUBSTITUTE(SUBSTITUTE(SUBSTITUTE($AA22," "&amp;$CR$2401&amp;" "," ")," "&amp;$CR$2400&amp;" "," ")," "&amp;$CR$2399&amp;" "," ")," "&amp;$CR$2406&amp;" "," ")," "&amp;$CR$2398&amp;" "," ")," "&amp;$CR$2410&amp;" "," ")," "&amp;$CR$2397&amp;" "," ")," "&amp;$CR$2402&amp;" "," ")," "&amp;$CR$2405&amp;" "," ")," "&amp;$CR$2396&amp;" "," ")," "&amp;$CR$2404&amp;" "," ")," "&amp;$CR$2411&amp;" "," ")," "&amp;$CR$2408&amp;" "," ")," "&amp;$CR$2403&amp;" "," ")," "&amp;$CR$2407&amp;" "," ")," "&amp;$CR$2409&amp;" "," ")),"")</f>
        <v xml:space="preserve"> creme fraiche double </v>
      </c>
      <c r="CK22" s="493">
        <f>IF(22=22,IF($U22="","",SUMPRODUCT(--ISNUMBER(SEARCH(" "&amp;$CR$2412:$CR$2416&amp;" ",$CJ22)))),"")</f>
        <v>0</v>
      </c>
      <c r="CL22" s="493" t="str">
        <f>IF(22=22,IF($U22="","",IF(SUM(CG22:CI22)&gt;0,"X",IF(CK22&gt;0,"?",""))),"")</f>
        <v/>
      </c>
      <c r="CM22" s="494"/>
      <c r="CN22" s="496" t="s">
        <v>1183</v>
      </c>
      <c r="CO22" s="496" t="s">
        <v>1083</v>
      </c>
      <c r="CP22" s="496" t="s">
        <v>689</v>
      </c>
      <c r="CQ22" s="496" t="s">
        <v>889</v>
      </c>
      <c r="CR22" s="496" t="s">
        <v>889</v>
      </c>
      <c r="CS22" s="496" t="s">
        <v>1085</v>
      </c>
      <c r="CT22" s="496" t="s">
        <v>1086</v>
      </c>
      <c r="CU22" s="496" t="s">
        <v>1087</v>
      </c>
      <c r="CV22" s="497" t="s">
        <v>1088</v>
      </c>
      <c r="CX22" s="543">
        <v>1</v>
      </c>
    </row>
    <row r="23" spans="1:102" ht="21" customHeight="1">
      <c r="A23" s="509">
        <v>17</v>
      </c>
      <c r="B23" s="510" t="s">
        <v>5861</v>
      </c>
      <c r="C23" s="511" t="str">
        <f t="shared" si="0"/>
        <v>Crevettes décortiquées *</v>
      </c>
      <c r="D23" s="512" t="str">
        <f>IF(23=23,IF($B23="","",IF(E23="X",""&amp;"Céréales contenant du gluten","")&amp;IF(F23="X",IF(COUNTIF($E23:$E23,"X")&gt;0,", ","")&amp;"Crustacés","")&amp;IF(G23="X",IF(COUNTIF($E23:$F23,"X")&gt;0,", ","")&amp;"Œufs","")&amp;IF(H23="X",IF(COUNTIF($E23:$G23,"X")&gt;0,", ","")&amp;"Poissons","")&amp;IF(I23="X",IF(COUNTIF($E23:$H23,"X")&gt;0,", ","")&amp;"Arachides","")&amp;IF(J23="X",IF(COUNTIF($E23:$I23,"X")&gt;0,", ","")&amp;"Soja","")&amp;IF(K23="X",IF(COUNTIF($E23:$J23,"X")&gt;0,", ","")&amp;"Lait","")&amp;IF(L23="X",IF(COUNTIF($E23:$K23,"X")&gt;0,", ","")&amp;"Fruits à coque","")&amp;IF(M23="X",IF(COUNTIF($E23:$L23,"X")&gt;0,", ","")&amp;"Céleri","")&amp;IF(N23="X",IF(COUNTIF($E23:$M23,"X")&gt;0,", ","")&amp;"Moutarde","")&amp;IF(O23="X",IF(COUNTIF($E23:$N23,"X")&gt;0,", ","")&amp;"Sésame","")&amp;IF(P23="X",IF(COUNTIF($E23:$O23,"X")&gt;0,", ","")&amp;"Sulfites","")&amp;IF(Q23="X",IF(COUNTIF($E23:$P23,"X")&gt;0,", ","")&amp;"Lupin","")&amp;IF(R23="X",IF(COUNTIF($E23:$Q23,"X")&gt;0,", ","")&amp;"Mollusques","")),"")</f>
        <v>Crustacés</v>
      </c>
      <c r="E23" s="513" t="str">
        <f>IF(23=23,IF($B23="","",AF23),"")</f>
        <v/>
      </c>
      <c r="F23" s="513" t="str">
        <f>IF(23=23,IF($B23="","",AI23),"")</f>
        <v>X</v>
      </c>
      <c r="G23" s="513" t="str">
        <f>IF(23=23,IF($B23="","",AM23),"")</f>
        <v/>
      </c>
      <c r="H23" s="513" t="str">
        <f>IF(23=23,IF($B23="","",IF(ISNUMBER(SEARCH(" colin ",$AA23)),"X",AZ23)),"")</f>
        <v/>
      </c>
      <c r="I23" s="513" t="str">
        <f>IF(23=23,IF($B23="","",BB23),"")</f>
        <v/>
      </c>
      <c r="J23" s="513" t="str">
        <f>IF(23=23,IF($B23="","",BF23),"")</f>
        <v/>
      </c>
      <c r="K23" s="513" t="str">
        <f>IF(23=23,IF($B23="","",BM23),"")</f>
        <v/>
      </c>
      <c r="L23" s="513" t="str">
        <f>IF(23=23,IF($B23="","",BQ23),"")</f>
        <v/>
      </c>
      <c r="M23" s="513" t="str">
        <f>IF(23=23,IF($B23="","",BT23),"")</f>
        <v/>
      </c>
      <c r="N23" s="513" t="str">
        <f>IF(23=23,IF($B23="","",BW23),"")</f>
        <v/>
      </c>
      <c r="O23" s="513" t="str">
        <f>IF(23=23,IF($B23="","",BZ23),"")</f>
        <v/>
      </c>
      <c r="P23" s="513" t="str">
        <f>IF(23=23,IF($B23="","",CC23),"")</f>
        <v/>
      </c>
      <c r="Q23" s="513" t="str">
        <f>IF(23=23,IF($B23="","",CF23),"")</f>
        <v/>
      </c>
      <c r="R23" s="513" t="str">
        <f>IF(23=23,IF($B23="","",CL23),"")</f>
        <v/>
      </c>
      <c r="S23" s="514" t="str">
        <f>IF(23=23,IF($B23="","",IF(E23="?",""&amp;"Céréales contenant du gluten","")&amp;IF(F23="?",IF(COUNTIF($E23:$E23,"~?")&gt;0,", ","")&amp;"Crustacés","")&amp;IF(G23="?",IF(COUNTIF($E23:$F23,"~?")&gt;0,", ","")&amp;"Œufs","")&amp;IF(H23="?",IF(COUNTIF($E23:$G23,"~?")&gt;0,", ","")&amp;"Poissons","")&amp;IF(I23="?",IF(COUNTIF($E23:$H23,"~?")&gt;0,", ","")&amp;"Arachides","")&amp;IF(J23="?",IF(COUNTIF($E23:$I23,"~?")&gt;0,", ","")&amp;"Soja","")&amp;IF(K23="?",IF(COUNTIF($E23:$J23,"~?")&gt;0,", ","")&amp;"Lait","")&amp;IF(L23="?",IF(COUNTIF($E23:$K23,"~?")&gt;0,", ","")&amp;"Fruits à coque","")&amp;IF(M23="?",IF(COUNTIF($E23:$L23,"~?")&gt;0,", ","")&amp;"Céleri","")&amp;IF(N23="?",IF(COUNTIF($E23:$M23,"~?")&gt;0,", ","")&amp;"Moutarde","")&amp;IF(O23="?",IF(COUNTIF($E23:$N23,"~?")&gt;0,", ","")&amp;"Sésame","")&amp;IF(P23="?",IF(COUNTIF($E23:$O23,"~?")&gt;0,", ","")&amp;"Sulfites","")&amp;IF(Q23="?",IF(COUNTIF($E23:$P23,"~?")&gt;0,", ","")&amp;"Lupin","")&amp;IF(R23="?",IF(COUNTIF($E23:$Q23,"~?")&gt;0,", ","")&amp;"Mollusques","")),"")</f>
        <v/>
      </c>
      <c r="U23" s="493" t="str">
        <f>IF(23=23,IF($B23="","",$B23),"")</f>
        <v xml:space="preserve">Crevettes décortiquées </v>
      </c>
      <c r="V23" s="493" t="str">
        <f>IF(23=23,LOWER(CLEAN(SUBSTITUTE(SUBSTITUTE(SUBSTITUTE(SUBSTITUTE($U23,CHAR(160)," ")," "," "),CHAR(10)," "),CHAR(13)," "))),"")</f>
        <v xml:space="preserve">crevettes décortiquées </v>
      </c>
      <c r="W23" s="493" t="str">
        <f>IF(23=23,SUBSTITUTE(SUBSTITUTE(SUBSTITUTE(SUBSTITUTE(SUBSTITUTE(SUBSTITUTE(SUBSTITUTE(SUBSTITUTE(SUBSTITUTE(SUBSTITUTE(SUBSTITUTE(SUBSTITUTE($V23,"œ","oe"),"æ","ae"),"à","a"),"á","a"),"â","a"),"ä","a"),"ã","a"),"ç","c"),"è","e"),"é","e"),"ê","e"),"ë","e"),"")</f>
        <v xml:space="preserve">crevettes decortiquees </v>
      </c>
      <c r="X23" s="493" t="str">
        <f>IF(23=23,SUBSTITUTE(SUBSTITUTE(SUBSTITUTE(SUBSTITUTE(SUBSTITUTE(SUBSTITUTE(SUBSTITUTE(SUBSTITUTE(SUBSTITUTE(SUBSTITUTE(SUBSTITUTE(SUBSTITUTE(SUBSTITUTE(SUBSTITUTE(SUBSTITUTE(SUBSTITUTE($W23,"ì","i"),"í","i"),"î","i"),"ï","i"),"ñ","n"),"ò","o"),"ó","o"),"ô","o"),"ö","o"),"õ","o"),"ù","u"),"ú","u"),"û","u"),"ü","u"),"ý","y"),"ÿ","y"),"")</f>
        <v xml:space="preserve">crevettes decortiquees </v>
      </c>
      <c r="Y23" s="493" t="str">
        <f>IF(23=23,SUBSTITUTE(SUBSTITUTE(SUBSTITUTE(SUBSTITUTE(SUBSTITUTE(SUBSTITUTE(SUBSTITUTE(SUBSTITUTE(SUBSTITUTE(SUBSTITUTE(SUBSTITUTE(SUBSTITUTE(SUBSTITUTE(SUBSTITUTE($X23,"’"," "),"`"," "),"–"," "),"—"," "),"-"," "),"'"," "),"/"," "),"_"," "),","," "),"."," "),"("," "),")"," "),";"," "),":"," "),"")</f>
        <v xml:space="preserve">crevettes decortiquees </v>
      </c>
      <c r="Z23" s="493" t="str">
        <f>IF(23=23,SUBSTITUTE(SUBSTITUTE(SUBSTITUTE(SUBSTITUTE(SUBSTITUTE(SUBSTITUTE(SUBSTITUTE(SUBSTITUTE(SUBSTITUTE(SUBSTITUTE(SUBSTITUTE(SUBSTITUTE(SUBSTITUTE(SUBSTITUTE(SUBSTITUTE($Y23,"!"," "),"?"," "),"+"," "),"*"," "),"&amp;"," "),"["," "),"]"," "),"{"," "),"}"," "),"%"," "),"="," "),"\"," "),"|"," "),"&lt;"," "),"&gt;"," "),"")</f>
        <v xml:space="preserve">crevettes decortiquees </v>
      </c>
      <c r="AA23" s="493" t="str">
        <f>IF(23=23," "&amp;TRIM(SUBSTITUTE(SUBSTITUTE(SUBSTITUTE(SUBSTITUTE(SUBSTITUTE(SUBSTITUTE($Z23,CHAR(34)," "),"  "," "),"  "," "),"  "," "),"  "," "),"  "," "))&amp;" ","")</f>
        <v xml:space="preserve"> crevettes decortiquees </v>
      </c>
      <c r="AB23" s="493">
        <f>IF(23=23,IF($U23="","",SUMPRODUCT(--ISNUMBER(SEARCH(" "&amp;$CR$2:$CR$101&amp;" ",$AD23)))),"")</f>
        <v>0</v>
      </c>
      <c r="AC23" s="493">
        <f>IF(23=23,IF($U23="","",SUMPRODUCT(--ISNUMBER(SEARCH(" "&amp;$CR$102:$CR$151&amp;" ",$AD23)))),"")</f>
        <v>0</v>
      </c>
      <c r="AD23" s="493" t="str">
        <f t="shared" si="1"/>
        <v xml:space="preserve"> crevettes decortiquees </v>
      </c>
      <c r="AE23" s="493">
        <f t="shared" si="2"/>
        <v>0</v>
      </c>
      <c r="AF23" s="493" t="str">
        <f>IF(23=23,IF($U23="","",IF(SUM(AB23:AC23)+SUMPRODUCT(--ISNUMBER(SEARCH(" "&amp;$CR$2418:$CR$2420&amp;" ",$AD23)))&gt;0,"X",IF(AE23&gt;0,"?",""))),"")</f>
        <v/>
      </c>
      <c r="AG23" s="493">
        <f>IF(23=23,IF($U23="","",SUMPRODUCT(--ISNUMBER(SEARCH(" "&amp;$CR$206:$CR$305&amp;" ",$AA23)))),"")</f>
        <v>1</v>
      </c>
      <c r="AH23" s="493">
        <f>IF(23=23,IF($U23="","",SUMPRODUCT(--ISNUMBER(SEARCH(" "&amp;$CR$306:$CR$340&amp;" ",$AA23)))),"")</f>
        <v>0</v>
      </c>
      <c r="AI23" s="493" t="str">
        <f>IF(23=23,IF($U23="","",IF((SUM(AG23:AH23))-(0)&gt;0,"X",IF((0)-(0)&gt;0,"?",""))),"")</f>
        <v>X</v>
      </c>
      <c r="AJ23" s="493">
        <f>IF(23=23,IF($U23="","",SUMPRODUCT(--ISNUMBER(SEARCH(" "&amp;$CR$341:$CR$398&amp;" ",$AA23)))),"")</f>
        <v>0</v>
      </c>
      <c r="AK23" s="493">
        <f>IF(23=23,IF($U23="","",SUMPRODUCT(--ISNUMBER(SEARCH(" "&amp;$CR$399:$CR$426&amp;" ",$AL23)))+SUMPRODUCT(--ISNUMBER(SEARCH(" "&amp;$CR$2440:$CR$2453&amp;" ",$AL23)))),"")</f>
        <v>0</v>
      </c>
      <c r="AL23" s="493" t="str">
        <f>IF(23=23,IF($U23="","",SUBSTITUTE(SUBSTITUTE(SUBSTITUTE(SUBSTITUTE(SUBSTITUTE(SUBSTITUTE(SUBSTITUTE(SUBSTITUTE(SUBSTITUTE(SUBSTITUTE(SUBSTITUTE(SUBSTITUTE(SUBSTITUTE(SUBSTITUTE($AA23," "&amp;$CR$2455&amp;" "," ")," "&amp;$CR$433&amp;" "," ")," "&amp;$CR$431&amp;" "," ")," "&amp;$CR$2438&amp;" "," ")," "&amp;$CR$2439&amp;" "," ")," "&amp;$CR$428&amp;" "," ")," "&amp;$CR$432&amp;" "," ")," "&amp;$CR$434&amp;" "," ")," "&amp;$CR$429&amp;" "," ")," "&amp;$CR$427&amp;" "," ")," "&amp;$CR$1367&amp;" "," ")," "&amp;$CR$435&amp;" "," ")," "&amp;$CR$1366&amp;" "," ")," "&amp;$CR$430&amp;" "," ")),"")</f>
        <v xml:space="preserve"> crevettes decortiquees </v>
      </c>
      <c r="AM23" s="493" t="str">
        <f>IF(23=23,IF($U23="","",IF(AJ23&gt;0,"X",IF(AK23&gt;0,"?",""))),"")</f>
        <v/>
      </c>
      <c r="AN23" s="493">
        <f>IF(23=23,IF($U23="","",SUMPRODUCT(--ISNUMBER(SEARCH(" "&amp;$CR$436:$CR$535&amp;" ",$AX23)))),"")</f>
        <v>0</v>
      </c>
      <c r="AO23" s="493">
        <f>IF(23=23,IF($U23="","",SUMPRODUCT(--ISNUMBER(SEARCH(" "&amp;$CR$536:$CR$635&amp;" ",$AX23)))),"")</f>
        <v>0</v>
      </c>
      <c r="AP23" s="493">
        <f>IF(23=23,IF($U23="","",SUMPRODUCT(--ISNUMBER(SEARCH(" "&amp;$CR$636:$CR$735&amp;" ",$AX23)))),"")</f>
        <v>0</v>
      </c>
      <c r="AQ23" s="493">
        <f>IF(23=23,IF($U23="","",SUMPRODUCT(--ISNUMBER(SEARCH(" "&amp;$CR$736:$CR$835&amp;" ",$AX23)))),"")</f>
        <v>0</v>
      </c>
      <c r="AR23" s="493">
        <f>IF(23=23,IF($U23="","",SUMPRODUCT(--ISNUMBER(SEARCH(" "&amp;$CR$836:$CR$935&amp;" ",$AX23)))),"")</f>
        <v>0</v>
      </c>
      <c r="AS23" s="493">
        <f>IF(23=23,IF($U23="","",SUMPRODUCT(--ISNUMBER(SEARCH(" "&amp;$CR$936:$CR$1035&amp;" ",$AX23)))),"")</f>
        <v>0</v>
      </c>
      <c r="AT23" s="493">
        <f>IF(23=23,IF($U23="","",SUMPRODUCT(--ISNUMBER(SEARCH(" "&amp;$CR$1036:$CR$1135&amp;" ",$AX23)))),"")</f>
        <v>0</v>
      </c>
      <c r="AU23" s="493">
        <f>IF(23=23,IF($U23="","",SUMPRODUCT(--ISNUMBER(SEARCH(" "&amp;$CR$1136:$CR$1235&amp;" ",$AX23)))),"")</f>
        <v>0</v>
      </c>
      <c r="AV23" s="493">
        <f>IF(23=23,IF($U23="","",SUMPRODUCT(--ISNUMBER(SEARCH(" "&amp;$CR$1236:$CR$1335&amp;" ",$AX23)))),"")</f>
        <v>0</v>
      </c>
      <c r="AW23" s="493">
        <f>IF(23=23,IF($U23="","",SUMPRODUCT(--ISNUMBER(SEARCH(" "&amp;$CR$1336:$CR$1363&amp;" ",$AX23)))),"")</f>
        <v>0</v>
      </c>
      <c r="AX23" s="493" t="str">
        <f>IF(23=23,IF($U23="","",SUBSTITUTE(SUBSTITUTE(SUBSTITUTE(SUBSTITUTE(SUBSTITUTE(SUBSTITUTE(SUBSTITUTE(SUBSTITUTE(SUBSTITUTE($AA23," "&amp;$CR$1365&amp;" "," ")," "&amp;$CR$1364&amp;" "," ")," "&amp;$CR$1370&amp;" "," ")," "&amp;$CR$1371&amp;" "," ")," "&amp;$CR$1367&amp;" "," ")," "&amp;$CR$1369&amp;" "," ")," "&amp;$CR$1366&amp;" "," ")," "&amp;$CR$1368&amp;" "," ")," "&amp;$CR$1372&amp;" "," ")),"")</f>
        <v xml:space="preserve"> crevettes decortiquees </v>
      </c>
      <c r="AY23" s="493">
        <f>IF(23=23,IF($U23="","",SUMPRODUCT(--ISNUMBER(SEARCH(" "&amp;$CR$1373:$CR$1383&amp;" ",$AX23)))),"")</f>
        <v>0</v>
      </c>
      <c r="AZ23" s="493" t="str">
        <f>IF(23=23,IF($U23="","",IF(SUM(AN23:AW23)+SUMPRODUCT(--ISNUMBER(SEARCH(" "&amp;$CR$2421:$CR$2422&amp;" ",$AX23)))&gt;0,"X",IF(AY23&gt;0,"?",""))),"")</f>
        <v/>
      </c>
      <c r="BA23" s="493">
        <f>IF(23=23,IF($U23="","",SUMPRODUCT(--ISNUMBER(SEARCH(" "&amp;$CR$1384:$CR$1404&amp;" ",$AA23)))),"")</f>
        <v>0</v>
      </c>
      <c r="BB23" s="493" t="str">
        <f>IF(23=23,IF($U23="","",IF((BA23)-(0)&gt;0,"X",IF((0)-(0)&gt;0,"?",""))),"")</f>
        <v/>
      </c>
      <c r="BC23" s="493">
        <f>IF(23=23,IF($U23="","",SUMPRODUCT(--ISNUMBER(SEARCH(" "&amp;$CR$1405:$CR$1442&amp;" ",$BD23)))),"")</f>
        <v>0</v>
      </c>
      <c r="BD23" s="493" t="str">
        <f>IF(23=23,IF($U23="","",SUBSTITUTE(SUBSTITUTE($AA23," "&amp;$CR$1443&amp;" "," ")," "&amp;$CR$1444&amp;" "," ")),"")</f>
        <v xml:space="preserve"> crevettes decortiquees </v>
      </c>
      <c r="BE23" s="493">
        <f>IF(23=23,IF($U23="","",SUMPRODUCT(--ISNUMBER(SEARCH(" "&amp;$CR$1445:$CR$1455&amp;" ",$BD23)))),"")</f>
        <v>0</v>
      </c>
      <c r="BF23" s="493" t="str">
        <f>IF(23=23,IF($U23="","",IF(BC23&gt;0,"X",IF(BE23&gt;0,"?",""))),"")</f>
        <v/>
      </c>
      <c r="BG23" s="493">
        <f>IF(23=23,IF($U23="","",SUMPRODUCT(--ISNUMBER(SEARCH(" "&amp;$CR$1456:$CR$1555&amp;" ",$BJ23)))),"")</f>
        <v>0</v>
      </c>
      <c r="BH23" s="493">
        <f>IF(23=23,IF($U23="","",SUMPRODUCT(--ISNUMBER(SEARCH(" "&amp;$CR$1556:$CR$1655&amp;" ",$BJ23)))),"")</f>
        <v>0</v>
      </c>
      <c r="BI23" s="493">
        <f>IF(23=23,IF($U23="","",SUMPRODUCT(--ISNUMBER(SEARCH(" "&amp;$CR$1656:$CR$1739&amp;" ",$BJ23)))),"")</f>
        <v>0</v>
      </c>
      <c r="BJ23" s="493" t="str">
        <f>IF(23=23,IF($U23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crevettes decortiquees </v>
      </c>
      <c r="BK23" s="493">
        <f>IF(23=23,IF($U23="","",SUMPRODUCT(--ISNUMBER(SEARCH(" "&amp;$CR$1790:$CR$1869&amp;" ",$BL23)))+SUMPRODUCT(--ISNUMBER(SEARCH(" "&amp;$CR$2440:$CR$2453&amp;" ",$BL23)))),"")</f>
        <v>0</v>
      </c>
      <c r="BL23" s="493" t="str">
        <f>IF(23=23,IF($U23="","",SUBSTITUTE(SUBSTITUTE(SUBSTITUTE(SUBSTITUTE(SUBSTITUTE(SUBSTITUTE(SUBSTITUTE(SUBSTITUTE(SUBSTITUTE(SUBSTITUTE(SUBSTITUTE(SUBSTITUTE(SUBSTITUTE($BJ23," "&amp;$CR$1876&amp;" "," ")," "&amp;$CR$1874&amp;" "," ")," "&amp;$CR$2438&amp;" "," ")," "&amp;$CR$2439&amp;" "," ")," "&amp;$CR$1871&amp;" "," ")," "&amp;$CR$1875&amp;" "," ")," "&amp;$CR$1877&amp;" "," ")," "&amp;$CR$1872&amp;" "," ")," "&amp;$CR$1870&amp;" "," ")," "&amp;$CR$1367&amp;" "," ")," "&amp;$CR$1878&amp;" "," ")," "&amp;$CR$1366&amp;" "," ")," "&amp;$CR$1873&amp;" "," ")),"")</f>
        <v xml:space="preserve"> crevettes decortiquees </v>
      </c>
      <c r="BM23" s="493" t="str">
        <f>IF(23=23,IF($U23="","",IF(SUM(BG23:BI23)+SUMPRODUCT(--ISNUMBER(SEARCH(" "&amp;$CR$2423:$CR$2424&amp;" ",$BJ23)))&gt;0,"X",IF(BK23&gt;0,"?",""))),"")</f>
        <v/>
      </c>
      <c r="BN23" s="493">
        <f>IF(23=23,IF($U23="","",SUMPRODUCT(--ISNUMBER(SEARCH(" "&amp;$CR$1879:$CR$1936&amp;" ",$BO23)))),"")</f>
        <v>0</v>
      </c>
      <c r="BO23" s="493" t="str">
        <f>IF(23=23,IF($U23="","",SUBSTITUTE(SUBSTITUTE(SUBSTITUTE(SUBSTITUTE(SUBSTITUTE(SUBSTITUTE(SUBSTITUTE(SUBSTITUTE(SUBSTITUTE(SUBSTITUTE(SUBSTITUTE(SUBSTITUTE(SUBSTITUTE(SUBSTITUTE(SUBSTITUTE(SUBSTITUTE(SUBSTITUTE(SUBSTITUTE(SUBSTITUTE(SUBSTITUTE(SUBSTITUTE(SUBSTITUTE(SUBSTITUTE($AA23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crevettes decortiquees </v>
      </c>
      <c r="BP23" s="493">
        <f>IF(23=23,IF($U23="","",SUMPRODUCT(--ISNUMBER(SEARCH(" "&amp;$CR$1960:$CR$1976&amp;" ",$BO23)))),"")</f>
        <v>0</v>
      </c>
      <c r="BQ23" s="493" t="str">
        <f>IF(23=23,IF($U23="","",IF(BN23&gt;0,"X",IF(BP23&gt;0,"?",""))),"")</f>
        <v/>
      </c>
      <c r="BR23" s="493">
        <f>IF(23=23,IF($U23="","",SUMPRODUCT(--ISNUMBER(SEARCH(" "&amp;$CR$1977:$CR$1990&amp;" ",$AA23)))),"")</f>
        <v>0</v>
      </c>
      <c r="BS23" s="493">
        <f>IF(23=23,IF($U23="","",SUMPRODUCT(--ISNUMBER(SEARCH(" "&amp;$CR$1991:$CR$2005&amp;" ",$AA23)))),"")</f>
        <v>0</v>
      </c>
      <c r="BT23" s="493" t="str">
        <f>IF(23=23,IF($U23="","",IF((BR23)-(0)&gt;0,"X",IF((BS23)-(0)&gt;0,"?",""))),"")</f>
        <v/>
      </c>
      <c r="BU23" s="493">
        <f>IF(23=23,IF($U23="","",SUMPRODUCT(--ISNUMBER(SEARCH(" "&amp;$CR$2006:$CR$2023&amp;" ",$AA23)))),"")</f>
        <v>0</v>
      </c>
      <c r="BV23" s="493">
        <f>IF(23=23,IF($U23="","",SUMPRODUCT(--ISNUMBER(SEARCH(" "&amp;$CR$2024:$CR$2038&amp;" ",$AA23)))),"")</f>
        <v>0</v>
      </c>
      <c r="BW23" s="493" t="str">
        <f>IF(23=23,IF($U23="","",IF((BU23)-(0)&gt;0,"X",IF((BV23)-(0)&gt;0,"?",""))),"")</f>
        <v/>
      </c>
      <c r="BX23" s="493">
        <f>IF(23=23,IF($U23="","",SUMPRODUCT(--ISNUMBER(SEARCH(" "&amp;$CR$2039:$CR$2057&amp;" ",$AA23)))),"")</f>
        <v>0</v>
      </c>
      <c r="BY23" s="493">
        <f>IF(23=23,IF($U23="","",SUMPRODUCT(--ISNUMBER(SEARCH(" "&amp;$CR$2058:$CR$2072&amp;" ",$AA23)))),"")</f>
        <v>0</v>
      </c>
      <c r="BZ23" s="493" t="str">
        <f>IF(23=23,IF($U23="","",IF((BX23)-(0)&gt;0,"X",IF((BY23)-(0)&gt;0,"?",""))),"")</f>
        <v/>
      </c>
      <c r="CA23" s="493">
        <f>IF(23=23,IF($U23="","",SUMPRODUCT(--ISNUMBER(SEARCH(" "&amp;$CR$2073:$CR$2093&amp;" ",$AA23)))),"")</f>
        <v>0</v>
      </c>
      <c r="CB23" s="493">
        <f>IF(23=23,IF($U23="","",SUMPRODUCT(--ISNUMBER(SEARCH(" "&amp;$CR$2094:$CR$2133&amp;" ",SUBSTITUTE(SUBSTITUTE($AA23," "&amp;$CR$1367&amp;" "," ")," "&amp;$CR$1366&amp;" "," "))))+--ISNUMBER(SEARCH("poiré",$V23))),"")</f>
        <v>0</v>
      </c>
      <c r="CC23" s="493" t="str">
        <f>IF(23=23,IF($U23="","",IF(OR(CA23&gt;0,ISNUMBER(SEARCH(" vinaigre de vin ",$AA23)),ISNUMBER(SEARCH(" vinaigre au vin ",$AA23))),"X",IF(CB23&gt;0,"?",""))),"")</f>
        <v/>
      </c>
      <c r="CD23" s="493">
        <f>IF(23=23,IF($U23="","",SUMPRODUCT(--ISNUMBER(SEARCH(" "&amp;$CR$2134:$CR$2146&amp;" ",$AA23)))),"")</f>
        <v>0</v>
      </c>
      <c r="CE23" s="493">
        <f>IF(23=23,IF($U23="","",SUMPRODUCT(--ISNUMBER(SEARCH(" "&amp;$CR$2147:$CR$2152&amp;" ",$AA23)))),"")</f>
        <v>0</v>
      </c>
      <c r="CF23" s="493" t="str">
        <f>IF(23=23,IF($U23="","",IF((CD23)-(0)&gt;0,"X",IF((CE23)-(0)&gt;0,"?",""))),"")</f>
        <v/>
      </c>
      <c r="CG23" s="493">
        <f>IF(23=23,IF($U23="","",SUMPRODUCT(--ISNUMBER(SEARCH(" "&amp;$CR$2153:$CR$2252&amp;" ",$CJ23)))),"")</f>
        <v>0</v>
      </c>
      <c r="CH23" s="493">
        <f>IF(23=23,IF($U23="","",SUMPRODUCT(--ISNUMBER(SEARCH(" "&amp;$CR$2253:$CR$2352&amp;" ",$CJ23)))),"")</f>
        <v>0</v>
      </c>
      <c r="CI23" s="493">
        <f>IF(23=23,IF($U23="","",SUMPRODUCT(--ISNUMBER(SEARCH(" "&amp;$CR$2353:$CR$2395&amp;" ",$CJ23)))),"")</f>
        <v>0</v>
      </c>
      <c r="CJ23" s="493" t="str">
        <f>IF(23=23,IF($U23="","",SUBSTITUTE(SUBSTITUTE(SUBSTITUTE(SUBSTITUTE(SUBSTITUTE(SUBSTITUTE(SUBSTITUTE(SUBSTITUTE(SUBSTITUTE(SUBSTITUTE(SUBSTITUTE(SUBSTITUTE(SUBSTITUTE(SUBSTITUTE(SUBSTITUTE(SUBSTITUTE($AA23," "&amp;$CR$2401&amp;" "," ")," "&amp;$CR$2400&amp;" "," ")," "&amp;$CR$2399&amp;" "," ")," "&amp;$CR$2406&amp;" "," ")," "&amp;$CR$2398&amp;" "," ")," "&amp;$CR$2410&amp;" "," ")," "&amp;$CR$2397&amp;" "," ")," "&amp;$CR$2402&amp;" "," ")," "&amp;$CR$2405&amp;" "," ")," "&amp;$CR$2396&amp;" "," ")," "&amp;$CR$2404&amp;" "," ")," "&amp;$CR$2411&amp;" "," ")," "&amp;$CR$2408&amp;" "," ")," "&amp;$CR$2403&amp;" "," ")," "&amp;$CR$2407&amp;" "," ")," "&amp;$CR$2409&amp;" "," ")),"")</f>
        <v xml:space="preserve"> crevettes decortiquees </v>
      </c>
      <c r="CK23" s="493">
        <f>IF(23=23,IF($U23="","",SUMPRODUCT(--ISNUMBER(SEARCH(" "&amp;$CR$2412:$CR$2416&amp;" ",$CJ23)))),"")</f>
        <v>0</v>
      </c>
      <c r="CL23" s="493" t="str">
        <f>IF(23=23,IF($U23="","",IF(SUM(CG23:CI23)&gt;0,"X",IF(CK23&gt;0,"?",""))),"")</f>
        <v/>
      </c>
      <c r="CM23" s="494"/>
      <c r="CN23" s="496" t="s">
        <v>1184</v>
      </c>
      <c r="CO23" s="496" t="s">
        <v>1083</v>
      </c>
      <c r="CP23" s="496" t="s">
        <v>689</v>
      </c>
      <c r="CQ23" s="496" t="s">
        <v>1185</v>
      </c>
      <c r="CR23" s="496" t="s">
        <v>1185</v>
      </c>
      <c r="CS23" s="496" t="s">
        <v>1085</v>
      </c>
      <c r="CT23" s="496" t="s">
        <v>1086</v>
      </c>
      <c r="CU23" s="496" t="s">
        <v>1087</v>
      </c>
      <c r="CV23" s="497" t="s">
        <v>1088</v>
      </c>
      <c r="CX23" s="543">
        <v>1</v>
      </c>
    </row>
    <row r="24" spans="1:102" ht="21" customHeight="1">
      <c r="A24" s="509">
        <v>18</v>
      </c>
      <c r="B24" s="510" t="s">
        <v>5862</v>
      </c>
      <c r="C24" s="511" t="str">
        <f t="shared" si="0"/>
        <v>Cuisses de poulet</v>
      </c>
      <c r="D24" s="512" t="str">
        <f>IF(24=24,IF($B24="","",IF(E24="X",""&amp;"Céréales contenant du gluten","")&amp;IF(F24="X",IF(COUNTIF($E24:$E24,"X")&gt;0,", ","")&amp;"Crustacés","")&amp;IF(G24="X",IF(COUNTIF($E24:$F24,"X")&gt;0,", ","")&amp;"Œufs","")&amp;IF(H24="X",IF(COUNTIF($E24:$G24,"X")&gt;0,", ","")&amp;"Poissons","")&amp;IF(I24="X",IF(COUNTIF($E24:$H24,"X")&gt;0,", ","")&amp;"Arachides","")&amp;IF(J24="X",IF(COUNTIF($E24:$I24,"X")&gt;0,", ","")&amp;"Soja","")&amp;IF(K24="X",IF(COUNTIF($E24:$J24,"X")&gt;0,", ","")&amp;"Lait","")&amp;IF(L24="X",IF(COUNTIF($E24:$K24,"X")&gt;0,", ","")&amp;"Fruits à coque","")&amp;IF(M24="X",IF(COUNTIF($E24:$L24,"X")&gt;0,", ","")&amp;"Céleri","")&amp;IF(N24="X",IF(COUNTIF($E24:$M24,"X")&gt;0,", ","")&amp;"Moutarde","")&amp;IF(O24="X",IF(COUNTIF($E24:$N24,"X")&gt;0,", ","")&amp;"Sésame","")&amp;IF(P24="X",IF(COUNTIF($E24:$O24,"X")&gt;0,", ","")&amp;"Sulfites","")&amp;IF(Q24="X",IF(COUNTIF($E24:$P24,"X")&gt;0,", ","")&amp;"Lupin","")&amp;IF(R24="X",IF(COUNTIF($E24:$Q24,"X")&gt;0,", ","")&amp;"Mollusques","")),"")</f>
        <v/>
      </c>
      <c r="E24" s="513" t="str">
        <f>IF(24=24,IF($B24="","",AF24),"")</f>
        <v/>
      </c>
      <c r="F24" s="513" t="str">
        <f>IF(24=24,IF($B24="","",AI24),"")</f>
        <v/>
      </c>
      <c r="G24" s="513" t="str">
        <f>IF(24=24,IF($B24="","",AM24),"")</f>
        <v/>
      </c>
      <c r="H24" s="513" t="str">
        <f>IF(24=24,IF($B24="","",IF(ISNUMBER(SEARCH(" colin ",$AA24)),"X",AZ24)),"")</f>
        <v/>
      </c>
      <c r="I24" s="513" t="str">
        <f>IF(24=24,IF($B24="","",BB24),"")</f>
        <v/>
      </c>
      <c r="J24" s="513" t="str">
        <f>IF(24=24,IF($B24="","",BF24),"")</f>
        <v/>
      </c>
      <c r="K24" s="513" t="str">
        <f>IF(24=24,IF($B24="","",BM24),"")</f>
        <v/>
      </c>
      <c r="L24" s="513" t="str">
        <f>IF(24=24,IF($B24="","",BQ24),"")</f>
        <v/>
      </c>
      <c r="M24" s="513" t="str">
        <f>IF(24=24,IF($B24="","",BT24),"")</f>
        <v/>
      </c>
      <c r="N24" s="513" t="str">
        <f>IF(24=24,IF($B24="","",BW24),"")</f>
        <v/>
      </c>
      <c r="O24" s="513" t="str">
        <f>IF(24=24,IF($B24="","",BZ24),"")</f>
        <v/>
      </c>
      <c r="P24" s="513" t="str">
        <f>IF(24=24,IF($B24="","",CC24),"")</f>
        <v/>
      </c>
      <c r="Q24" s="513" t="str">
        <f>IF(24=24,IF($B24="","",CF24),"")</f>
        <v/>
      </c>
      <c r="R24" s="513" t="str">
        <f>IF(24=24,IF($B24="","",CL24),"")</f>
        <v/>
      </c>
      <c r="S24" s="514" t="str">
        <f>IF(24=24,IF($B24="","",IF(E24="?",""&amp;"Céréales contenant du gluten","")&amp;IF(F24="?",IF(COUNTIF($E24:$E24,"~?")&gt;0,", ","")&amp;"Crustacés","")&amp;IF(G24="?",IF(COUNTIF($E24:$F24,"~?")&gt;0,", ","")&amp;"Œufs","")&amp;IF(H24="?",IF(COUNTIF($E24:$G24,"~?")&gt;0,", ","")&amp;"Poissons","")&amp;IF(I24="?",IF(COUNTIF($E24:$H24,"~?")&gt;0,", ","")&amp;"Arachides","")&amp;IF(J24="?",IF(COUNTIF($E24:$I24,"~?")&gt;0,", ","")&amp;"Soja","")&amp;IF(K24="?",IF(COUNTIF($E24:$J24,"~?")&gt;0,", ","")&amp;"Lait","")&amp;IF(L24="?",IF(COUNTIF($E24:$K24,"~?")&gt;0,", ","")&amp;"Fruits à coque","")&amp;IF(M24="?",IF(COUNTIF($E24:$L24,"~?")&gt;0,", ","")&amp;"Céleri","")&amp;IF(N24="?",IF(COUNTIF($E24:$M24,"~?")&gt;0,", ","")&amp;"Moutarde","")&amp;IF(O24="?",IF(COUNTIF($E24:$N24,"~?")&gt;0,", ","")&amp;"Sésame","")&amp;IF(P24="?",IF(COUNTIF($E24:$O24,"~?")&gt;0,", ","")&amp;"Sulfites","")&amp;IF(Q24="?",IF(COUNTIF($E24:$P24,"~?")&gt;0,", ","")&amp;"Lupin","")&amp;IF(R24="?",IF(COUNTIF($E24:$Q24,"~?")&gt;0,", ","")&amp;"Mollusques","")),"")</f>
        <v/>
      </c>
      <c r="U24" s="493" t="str">
        <f>IF(24=24,IF($B24="","",$B24),"")</f>
        <v>Cuisses de poulet</v>
      </c>
      <c r="V24" s="493" t="str">
        <f>IF(24=24,LOWER(CLEAN(SUBSTITUTE(SUBSTITUTE(SUBSTITUTE(SUBSTITUTE($U24,CHAR(160)," ")," "," "),CHAR(10)," "),CHAR(13)," "))),"")</f>
        <v>cuisses de poulet</v>
      </c>
      <c r="W24" s="493" t="str">
        <f>IF(24=24,SUBSTITUTE(SUBSTITUTE(SUBSTITUTE(SUBSTITUTE(SUBSTITUTE(SUBSTITUTE(SUBSTITUTE(SUBSTITUTE(SUBSTITUTE(SUBSTITUTE(SUBSTITUTE(SUBSTITUTE($V24,"œ","oe"),"æ","ae"),"à","a"),"á","a"),"â","a"),"ä","a"),"ã","a"),"ç","c"),"è","e"),"é","e"),"ê","e"),"ë","e"),"")</f>
        <v>cuisses de poulet</v>
      </c>
      <c r="X24" s="493" t="str">
        <f>IF(24=24,SUBSTITUTE(SUBSTITUTE(SUBSTITUTE(SUBSTITUTE(SUBSTITUTE(SUBSTITUTE(SUBSTITUTE(SUBSTITUTE(SUBSTITUTE(SUBSTITUTE(SUBSTITUTE(SUBSTITUTE(SUBSTITUTE(SUBSTITUTE(SUBSTITUTE(SUBSTITUTE($W24,"ì","i"),"í","i"),"î","i"),"ï","i"),"ñ","n"),"ò","o"),"ó","o"),"ô","o"),"ö","o"),"õ","o"),"ù","u"),"ú","u"),"û","u"),"ü","u"),"ý","y"),"ÿ","y"),"")</f>
        <v>cuisses de poulet</v>
      </c>
      <c r="Y24" s="493" t="str">
        <f>IF(24=24,SUBSTITUTE(SUBSTITUTE(SUBSTITUTE(SUBSTITUTE(SUBSTITUTE(SUBSTITUTE(SUBSTITUTE(SUBSTITUTE(SUBSTITUTE(SUBSTITUTE(SUBSTITUTE(SUBSTITUTE(SUBSTITUTE(SUBSTITUTE($X24,"’"," "),"`"," "),"–"," "),"—"," "),"-"," "),"'"," "),"/"," "),"_"," "),","," "),"."," "),"("," "),")"," "),";"," "),":"," "),"")</f>
        <v>cuisses de poulet</v>
      </c>
      <c r="Z24" s="493" t="str">
        <f>IF(24=24,SUBSTITUTE(SUBSTITUTE(SUBSTITUTE(SUBSTITUTE(SUBSTITUTE(SUBSTITUTE(SUBSTITUTE(SUBSTITUTE(SUBSTITUTE(SUBSTITUTE(SUBSTITUTE(SUBSTITUTE(SUBSTITUTE(SUBSTITUTE(SUBSTITUTE($Y24,"!"," "),"?"," "),"+"," "),"*"," "),"&amp;"," "),"["," "),"]"," "),"{"," "),"}"," "),"%"," "),"="," "),"\"," "),"|"," "),"&lt;"," "),"&gt;"," "),"")</f>
        <v>cuisses de poulet</v>
      </c>
      <c r="AA24" s="493" t="str">
        <f>IF(24=24," "&amp;TRIM(SUBSTITUTE(SUBSTITUTE(SUBSTITUTE(SUBSTITUTE(SUBSTITUTE(SUBSTITUTE($Z24,CHAR(34)," "),"  "," "),"  "," "),"  "," "),"  "," "),"  "," "))&amp;" ","")</f>
        <v xml:space="preserve"> cuisses de poulet </v>
      </c>
      <c r="AB24" s="493">
        <f>IF(24=24,IF($U24="","",SUMPRODUCT(--ISNUMBER(SEARCH(" "&amp;$CR$2:$CR$101&amp;" ",$AD24)))),"")</f>
        <v>0</v>
      </c>
      <c r="AC24" s="493">
        <f>IF(24=24,IF($U24="","",SUMPRODUCT(--ISNUMBER(SEARCH(" "&amp;$CR$102:$CR$151&amp;" ",$AD24)))),"")</f>
        <v>0</v>
      </c>
      <c r="AD24" s="493" t="str">
        <f t="shared" si="1"/>
        <v xml:space="preserve"> cuisses de poulet </v>
      </c>
      <c r="AE24" s="493">
        <f t="shared" si="2"/>
        <v>0</v>
      </c>
      <c r="AF24" s="493" t="str">
        <f>IF(24=24,IF($U24="","",IF(SUM(AB24:AC24)+SUMPRODUCT(--ISNUMBER(SEARCH(" "&amp;$CR$2418:$CR$2420&amp;" ",$AD24)))&gt;0,"X",IF(AE24&gt;0,"?",""))),"")</f>
        <v/>
      </c>
      <c r="AG24" s="493">
        <f>IF(24=24,IF($U24="","",SUMPRODUCT(--ISNUMBER(SEARCH(" "&amp;$CR$206:$CR$305&amp;" ",$AA24)))),"")</f>
        <v>0</v>
      </c>
      <c r="AH24" s="493">
        <f>IF(24=24,IF($U24="","",SUMPRODUCT(--ISNUMBER(SEARCH(" "&amp;$CR$306:$CR$340&amp;" ",$AA24)))),"")</f>
        <v>0</v>
      </c>
      <c r="AI24" s="493" t="str">
        <f>IF(24=24,IF($U24="","",IF((SUM(AG24:AH24))-(0)&gt;0,"X",IF((0)-(0)&gt;0,"?",""))),"")</f>
        <v/>
      </c>
      <c r="AJ24" s="493">
        <f>IF(24=24,IF($U24="","",SUMPRODUCT(--ISNUMBER(SEARCH(" "&amp;$CR$341:$CR$398&amp;" ",$AA24)))),"")</f>
        <v>0</v>
      </c>
      <c r="AK24" s="493">
        <f>IF(24=24,IF($U24="","",SUMPRODUCT(--ISNUMBER(SEARCH(" "&amp;$CR$399:$CR$426&amp;" ",$AL24)))+SUMPRODUCT(--ISNUMBER(SEARCH(" "&amp;$CR$2440:$CR$2453&amp;" ",$AL24)))),"")</f>
        <v>0</v>
      </c>
      <c r="AL24" s="493" t="str">
        <f>IF(24=24,IF($U24="","",SUBSTITUTE(SUBSTITUTE(SUBSTITUTE(SUBSTITUTE(SUBSTITUTE(SUBSTITUTE(SUBSTITUTE(SUBSTITUTE(SUBSTITUTE(SUBSTITUTE(SUBSTITUTE(SUBSTITUTE(SUBSTITUTE(SUBSTITUTE($AA24," "&amp;$CR$2455&amp;" "," ")," "&amp;$CR$433&amp;" "," ")," "&amp;$CR$431&amp;" "," ")," "&amp;$CR$2438&amp;" "," ")," "&amp;$CR$2439&amp;" "," ")," "&amp;$CR$428&amp;" "," ")," "&amp;$CR$432&amp;" "," ")," "&amp;$CR$434&amp;" "," ")," "&amp;$CR$429&amp;" "," ")," "&amp;$CR$427&amp;" "," ")," "&amp;$CR$1367&amp;" "," ")," "&amp;$CR$435&amp;" "," ")," "&amp;$CR$1366&amp;" "," ")," "&amp;$CR$430&amp;" "," ")),"")</f>
        <v xml:space="preserve"> cuisses de poulet </v>
      </c>
      <c r="AM24" s="493" t="str">
        <f>IF(24=24,IF($U24="","",IF(AJ24&gt;0,"X",IF(AK24&gt;0,"?",""))),"")</f>
        <v/>
      </c>
      <c r="AN24" s="493">
        <f>IF(24=24,IF($U24="","",SUMPRODUCT(--ISNUMBER(SEARCH(" "&amp;$CR$436:$CR$535&amp;" ",$AX24)))),"")</f>
        <v>0</v>
      </c>
      <c r="AO24" s="493">
        <f>IF(24=24,IF($U24="","",SUMPRODUCT(--ISNUMBER(SEARCH(" "&amp;$CR$536:$CR$635&amp;" ",$AX24)))),"")</f>
        <v>0</v>
      </c>
      <c r="AP24" s="493">
        <f>IF(24=24,IF($U24="","",SUMPRODUCT(--ISNUMBER(SEARCH(" "&amp;$CR$636:$CR$735&amp;" ",$AX24)))),"")</f>
        <v>0</v>
      </c>
      <c r="AQ24" s="493">
        <f>IF(24=24,IF($U24="","",SUMPRODUCT(--ISNUMBER(SEARCH(" "&amp;$CR$736:$CR$835&amp;" ",$AX24)))),"")</f>
        <v>0</v>
      </c>
      <c r="AR24" s="493">
        <f>IF(24=24,IF($U24="","",SUMPRODUCT(--ISNUMBER(SEARCH(" "&amp;$CR$836:$CR$935&amp;" ",$AX24)))),"")</f>
        <v>0</v>
      </c>
      <c r="AS24" s="493">
        <f>IF(24=24,IF($U24="","",SUMPRODUCT(--ISNUMBER(SEARCH(" "&amp;$CR$936:$CR$1035&amp;" ",$AX24)))),"")</f>
        <v>0</v>
      </c>
      <c r="AT24" s="493">
        <f>IF(24=24,IF($U24="","",SUMPRODUCT(--ISNUMBER(SEARCH(" "&amp;$CR$1036:$CR$1135&amp;" ",$AX24)))),"")</f>
        <v>0</v>
      </c>
      <c r="AU24" s="493">
        <f>IF(24=24,IF($U24="","",SUMPRODUCT(--ISNUMBER(SEARCH(" "&amp;$CR$1136:$CR$1235&amp;" ",$AX24)))),"")</f>
        <v>0</v>
      </c>
      <c r="AV24" s="493">
        <f>IF(24=24,IF($U24="","",SUMPRODUCT(--ISNUMBER(SEARCH(" "&amp;$CR$1236:$CR$1335&amp;" ",$AX24)))),"")</f>
        <v>0</v>
      </c>
      <c r="AW24" s="493">
        <f>IF(24=24,IF($U24="","",SUMPRODUCT(--ISNUMBER(SEARCH(" "&amp;$CR$1336:$CR$1363&amp;" ",$AX24)))),"")</f>
        <v>0</v>
      </c>
      <c r="AX24" s="493" t="str">
        <f>IF(24=24,IF($U24="","",SUBSTITUTE(SUBSTITUTE(SUBSTITUTE(SUBSTITUTE(SUBSTITUTE(SUBSTITUTE(SUBSTITUTE(SUBSTITUTE(SUBSTITUTE($AA24," "&amp;$CR$1365&amp;" "," ")," "&amp;$CR$1364&amp;" "," ")," "&amp;$CR$1370&amp;" "," ")," "&amp;$CR$1371&amp;" "," ")," "&amp;$CR$1367&amp;" "," ")," "&amp;$CR$1369&amp;" "," ")," "&amp;$CR$1366&amp;" "," ")," "&amp;$CR$1368&amp;" "," ")," "&amp;$CR$1372&amp;" "," ")),"")</f>
        <v xml:space="preserve"> cuisses de poulet </v>
      </c>
      <c r="AY24" s="493">
        <f>IF(24=24,IF($U24="","",SUMPRODUCT(--ISNUMBER(SEARCH(" "&amp;$CR$1373:$CR$1383&amp;" ",$AX24)))),"")</f>
        <v>0</v>
      </c>
      <c r="AZ24" s="493" t="str">
        <f>IF(24=24,IF($U24="","",IF(SUM(AN24:AW24)+SUMPRODUCT(--ISNUMBER(SEARCH(" "&amp;$CR$2421:$CR$2422&amp;" ",$AX24)))&gt;0,"X",IF(AY24&gt;0,"?",""))),"")</f>
        <v/>
      </c>
      <c r="BA24" s="493">
        <f>IF(24=24,IF($U24="","",SUMPRODUCT(--ISNUMBER(SEARCH(" "&amp;$CR$1384:$CR$1404&amp;" ",$AA24)))),"")</f>
        <v>0</v>
      </c>
      <c r="BB24" s="493" t="str">
        <f>IF(24=24,IF($U24="","",IF((BA24)-(0)&gt;0,"X",IF((0)-(0)&gt;0,"?",""))),"")</f>
        <v/>
      </c>
      <c r="BC24" s="493">
        <f>IF(24=24,IF($U24="","",SUMPRODUCT(--ISNUMBER(SEARCH(" "&amp;$CR$1405:$CR$1442&amp;" ",$BD24)))),"")</f>
        <v>0</v>
      </c>
      <c r="BD24" s="493" t="str">
        <f>IF(24=24,IF($U24="","",SUBSTITUTE(SUBSTITUTE($AA24," "&amp;$CR$1443&amp;" "," ")," "&amp;$CR$1444&amp;" "," ")),"")</f>
        <v xml:space="preserve"> cuisses de poulet </v>
      </c>
      <c r="BE24" s="493">
        <f>IF(24=24,IF($U24="","",SUMPRODUCT(--ISNUMBER(SEARCH(" "&amp;$CR$1445:$CR$1455&amp;" ",$BD24)))),"")</f>
        <v>0</v>
      </c>
      <c r="BF24" s="493" t="str">
        <f>IF(24=24,IF($U24="","",IF(BC24&gt;0,"X",IF(BE24&gt;0,"?",""))),"")</f>
        <v/>
      </c>
      <c r="BG24" s="493">
        <f>IF(24=24,IF($U24="","",SUMPRODUCT(--ISNUMBER(SEARCH(" "&amp;$CR$1456:$CR$1555&amp;" ",$BJ24)))),"")</f>
        <v>0</v>
      </c>
      <c r="BH24" s="493">
        <f>IF(24=24,IF($U24="","",SUMPRODUCT(--ISNUMBER(SEARCH(" "&amp;$CR$1556:$CR$1655&amp;" ",$BJ24)))),"")</f>
        <v>0</v>
      </c>
      <c r="BI24" s="493">
        <f>IF(24=24,IF($U24="","",SUMPRODUCT(--ISNUMBER(SEARCH(" "&amp;$CR$1656:$CR$1739&amp;" ",$BJ24)))),"")</f>
        <v>0</v>
      </c>
      <c r="BJ24" s="493" t="str">
        <f>IF(24=24,IF($U24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cuisses de poulet </v>
      </c>
      <c r="BK24" s="493">
        <f>IF(24=24,IF($U24="","",SUMPRODUCT(--ISNUMBER(SEARCH(" "&amp;$CR$1790:$CR$1869&amp;" ",$BL24)))+SUMPRODUCT(--ISNUMBER(SEARCH(" "&amp;$CR$2440:$CR$2453&amp;" ",$BL24)))),"")</f>
        <v>0</v>
      </c>
      <c r="BL24" s="493" t="str">
        <f>IF(24=24,IF($U24="","",SUBSTITUTE(SUBSTITUTE(SUBSTITUTE(SUBSTITUTE(SUBSTITUTE(SUBSTITUTE(SUBSTITUTE(SUBSTITUTE(SUBSTITUTE(SUBSTITUTE(SUBSTITUTE(SUBSTITUTE(SUBSTITUTE($BJ24," "&amp;$CR$1876&amp;" "," ")," "&amp;$CR$1874&amp;" "," ")," "&amp;$CR$2438&amp;" "," ")," "&amp;$CR$2439&amp;" "," ")," "&amp;$CR$1871&amp;" "," ")," "&amp;$CR$1875&amp;" "," ")," "&amp;$CR$1877&amp;" "," ")," "&amp;$CR$1872&amp;" "," ")," "&amp;$CR$1870&amp;" "," ")," "&amp;$CR$1367&amp;" "," ")," "&amp;$CR$1878&amp;" "," ")," "&amp;$CR$1366&amp;" "," ")," "&amp;$CR$1873&amp;" "," ")),"")</f>
        <v xml:space="preserve"> cuisses de poulet </v>
      </c>
      <c r="BM24" s="493" t="str">
        <f>IF(24=24,IF($U24="","",IF(SUM(BG24:BI24)+SUMPRODUCT(--ISNUMBER(SEARCH(" "&amp;$CR$2423:$CR$2424&amp;" ",$BJ24)))&gt;0,"X",IF(BK24&gt;0,"?",""))),"")</f>
        <v/>
      </c>
      <c r="BN24" s="493">
        <f>IF(24=24,IF($U24="","",SUMPRODUCT(--ISNUMBER(SEARCH(" "&amp;$CR$1879:$CR$1936&amp;" ",$BO24)))),"")</f>
        <v>0</v>
      </c>
      <c r="BO24" s="493" t="str">
        <f>IF(24=24,IF($U24="","",SUBSTITUTE(SUBSTITUTE(SUBSTITUTE(SUBSTITUTE(SUBSTITUTE(SUBSTITUTE(SUBSTITUTE(SUBSTITUTE(SUBSTITUTE(SUBSTITUTE(SUBSTITUTE(SUBSTITUTE(SUBSTITUTE(SUBSTITUTE(SUBSTITUTE(SUBSTITUTE(SUBSTITUTE(SUBSTITUTE(SUBSTITUTE(SUBSTITUTE(SUBSTITUTE(SUBSTITUTE(SUBSTITUTE($AA24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cuisses de poulet </v>
      </c>
      <c r="BP24" s="493">
        <f>IF(24=24,IF($U24="","",SUMPRODUCT(--ISNUMBER(SEARCH(" "&amp;$CR$1960:$CR$1976&amp;" ",$BO24)))),"")</f>
        <v>0</v>
      </c>
      <c r="BQ24" s="493" t="str">
        <f>IF(24=24,IF($U24="","",IF(BN24&gt;0,"X",IF(BP24&gt;0,"?",""))),"")</f>
        <v/>
      </c>
      <c r="BR24" s="493">
        <f>IF(24=24,IF($U24="","",SUMPRODUCT(--ISNUMBER(SEARCH(" "&amp;$CR$1977:$CR$1990&amp;" ",$AA24)))),"")</f>
        <v>0</v>
      </c>
      <c r="BS24" s="493">
        <f>IF(24=24,IF($U24="","",SUMPRODUCT(--ISNUMBER(SEARCH(" "&amp;$CR$1991:$CR$2005&amp;" ",$AA24)))),"")</f>
        <v>0</v>
      </c>
      <c r="BT24" s="493" t="str">
        <f>IF(24=24,IF($U24="","",IF((BR24)-(0)&gt;0,"X",IF((BS24)-(0)&gt;0,"?",""))),"")</f>
        <v/>
      </c>
      <c r="BU24" s="493">
        <f>IF(24=24,IF($U24="","",SUMPRODUCT(--ISNUMBER(SEARCH(" "&amp;$CR$2006:$CR$2023&amp;" ",$AA24)))),"")</f>
        <v>0</v>
      </c>
      <c r="BV24" s="493">
        <f>IF(24=24,IF($U24="","",SUMPRODUCT(--ISNUMBER(SEARCH(" "&amp;$CR$2024:$CR$2038&amp;" ",$AA24)))),"")</f>
        <v>0</v>
      </c>
      <c r="BW24" s="493" t="str">
        <f>IF(24=24,IF($U24="","",IF((BU24)-(0)&gt;0,"X",IF((BV24)-(0)&gt;0,"?",""))),"")</f>
        <v/>
      </c>
      <c r="BX24" s="493">
        <f>IF(24=24,IF($U24="","",SUMPRODUCT(--ISNUMBER(SEARCH(" "&amp;$CR$2039:$CR$2057&amp;" ",$AA24)))),"")</f>
        <v>0</v>
      </c>
      <c r="BY24" s="493">
        <f>IF(24=24,IF($U24="","",SUMPRODUCT(--ISNUMBER(SEARCH(" "&amp;$CR$2058:$CR$2072&amp;" ",$AA24)))),"")</f>
        <v>0</v>
      </c>
      <c r="BZ24" s="493" t="str">
        <f>IF(24=24,IF($U24="","",IF((BX24)-(0)&gt;0,"X",IF((BY24)-(0)&gt;0,"?",""))),"")</f>
        <v/>
      </c>
      <c r="CA24" s="493">
        <f>IF(24=24,IF($U24="","",SUMPRODUCT(--ISNUMBER(SEARCH(" "&amp;$CR$2073:$CR$2093&amp;" ",$AA24)))),"")</f>
        <v>0</v>
      </c>
      <c r="CB24" s="493">
        <f>IF(24=24,IF($U24="","",SUMPRODUCT(--ISNUMBER(SEARCH(" "&amp;$CR$2094:$CR$2133&amp;" ",SUBSTITUTE(SUBSTITUTE($AA24," "&amp;$CR$1367&amp;" "," ")," "&amp;$CR$1366&amp;" "," "))))+--ISNUMBER(SEARCH("poiré",$V24))),"")</f>
        <v>0</v>
      </c>
      <c r="CC24" s="493" t="str">
        <f>IF(24=24,IF($U24="","",IF(OR(CA24&gt;0,ISNUMBER(SEARCH(" vinaigre de vin ",$AA24)),ISNUMBER(SEARCH(" vinaigre au vin ",$AA24))),"X",IF(CB24&gt;0,"?",""))),"")</f>
        <v/>
      </c>
      <c r="CD24" s="493">
        <f>IF(24=24,IF($U24="","",SUMPRODUCT(--ISNUMBER(SEARCH(" "&amp;$CR$2134:$CR$2146&amp;" ",$AA24)))),"")</f>
        <v>0</v>
      </c>
      <c r="CE24" s="493">
        <f>IF(24=24,IF($U24="","",SUMPRODUCT(--ISNUMBER(SEARCH(" "&amp;$CR$2147:$CR$2152&amp;" ",$AA24)))),"")</f>
        <v>0</v>
      </c>
      <c r="CF24" s="493" t="str">
        <f>IF(24=24,IF($U24="","",IF((CD24)-(0)&gt;0,"X",IF((CE24)-(0)&gt;0,"?",""))),"")</f>
        <v/>
      </c>
      <c r="CG24" s="493">
        <f>IF(24=24,IF($U24="","",SUMPRODUCT(--ISNUMBER(SEARCH(" "&amp;$CR$2153:$CR$2252&amp;" ",$CJ24)))),"")</f>
        <v>0</v>
      </c>
      <c r="CH24" s="493">
        <f>IF(24=24,IF($U24="","",SUMPRODUCT(--ISNUMBER(SEARCH(" "&amp;$CR$2253:$CR$2352&amp;" ",$CJ24)))),"")</f>
        <v>0</v>
      </c>
      <c r="CI24" s="493">
        <f>IF(24=24,IF($U24="","",SUMPRODUCT(--ISNUMBER(SEARCH(" "&amp;$CR$2353:$CR$2395&amp;" ",$CJ24)))),"")</f>
        <v>0</v>
      </c>
      <c r="CJ24" s="493" t="str">
        <f>IF(24=24,IF($U24="","",SUBSTITUTE(SUBSTITUTE(SUBSTITUTE(SUBSTITUTE(SUBSTITUTE(SUBSTITUTE(SUBSTITUTE(SUBSTITUTE(SUBSTITUTE(SUBSTITUTE(SUBSTITUTE(SUBSTITUTE(SUBSTITUTE(SUBSTITUTE(SUBSTITUTE(SUBSTITUTE($AA24," "&amp;$CR$2401&amp;" "," ")," "&amp;$CR$2400&amp;" "," ")," "&amp;$CR$2399&amp;" "," ")," "&amp;$CR$2406&amp;" "," ")," "&amp;$CR$2398&amp;" "," ")," "&amp;$CR$2410&amp;" "," ")," "&amp;$CR$2397&amp;" "," ")," "&amp;$CR$2402&amp;" "," ")," "&amp;$CR$2405&amp;" "," ")," "&amp;$CR$2396&amp;" "," ")," "&amp;$CR$2404&amp;" "," ")," "&amp;$CR$2411&amp;" "," ")," "&amp;$CR$2408&amp;" "," ")," "&amp;$CR$2403&amp;" "," ")," "&amp;$CR$2407&amp;" "," ")," "&amp;$CR$2409&amp;" "," ")),"")</f>
        <v xml:space="preserve"> cuisses de poulet </v>
      </c>
      <c r="CK24" s="493">
        <f>IF(24=24,IF($U24="","",SUMPRODUCT(--ISNUMBER(SEARCH(" "&amp;$CR$2412:$CR$2416&amp;" ",$CJ24)))),"")</f>
        <v>0</v>
      </c>
      <c r="CL24" s="493" t="str">
        <f>IF(24=24,IF($U24="","",IF(SUM(CG24:CI24)&gt;0,"X",IF(CK24&gt;0,"?",""))),"")</f>
        <v/>
      </c>
      <c r="CM24" s="494"/>
      <c r="CN24" s="496" t="s">
        <v>1187</v>
      </c>
      <c r="CO24" s="496" t="s">
        <v>1083</v>
      </c>
      <c r="CP24" s="496" t="s">
        <v>689</v>
      </c>
      <c r="CQ24" s="496" t="s">
        <v>890</v>
      </c>
      <c r="CR24" s="496" t="s">
        <v>890</v>
      </c>
      <c r="CS24" s="496" t="s">
        <v>1085</v>
      </c>
      <c r="CT24" s="496" t="s">
        <v>1086</v>
      </c>
      <c r="CU24" s="496" t="s">
        <v>1087</v>
      </c>
      <c r="CV24" s="497" t="s">
        <v>1088</v>
      </c>
      <c r="CX24" s="543">
        <v>1</v>
      </c>
    </row>
    <row r="25" spans="1:102" ht="21" customHeight="1">
      <c r="A25" s="509">
        <v>19</v>
      </c>
      <c r="B25" s="510" t="s">
        <v>5863</v>
      </c>
      <c r="C25" s="511" t="str">
        <f t="shared" si="0"/>
        <v>Dos de colin *</v>
      </c>
      <c r="D25" s="512" t="str">
        <f>IF(25=25,IF($B25="","",IF(E25="X",""&amp;"Céréales contenant du gluten","")&amp;IF(F25="X",IF(COUNTIF($E25:$E25,"X")&gt;0,", ","")&amp;"Crustacés","")&amp;IF(G25="X",IF(COUNTIF($E25:$F25,"X")&gt;0,", ","")&amp;"Œufs","")&amp;IF(H25="X",IF(COUNTIF($E25:$G25,"X")&gt;0,", ","")&amp;"Poissons","")&amp;IF(I25="X",IF(COUNTIF($E25:$H25,"X")&gt;0,", ","")&amp;"Arachides","")&amp;IF(J25="X",IF(COUNTIF($E25:$I25,"X")&gt;0,", ","")&amp;"Soja","")&amp;IF(K25="X",IF(COUNTIF($E25:$J25,"X")&gt;0,", ","")&amp;"Lait","")&amp;IF(L25="X",IF(COUNTIF($E25:$K25,"X")&gt;0,", ","")&amp;"Fruits à coque","")&amp;IF(M25="X",IF(COUNTIF($E25:$L25,"X")&gt;0,", ","")&amp;"Céleri","")&amp;IF(N25="X",IF(COUNTIF($E25:$M25,"X")&gt;0,", ","")&amp;"Moutarde","")&amp;IF(O25="X",IF(COUNTIF($E25:$N25,"X")&gt;0,", ","")&amp;"Sésame","")&amp;IF(P25="X",IF(COUNTIF($E25:$O25,"X")&gt;0,", ","")&amp;"Sulfites","")&amp;IF(Q25="X",IF(COUNTIF($E25:$P25,"X")&gt;0,", ","")&amp;"Lupin","")&amp;IF(R25="X",IF(COUNTIF($E25:$Q25,"X")&gt;0,", ","")&amp;"Mollusques","")),"")</f>
        <v>Poissons</v>
      </c>
      <c r="E25" s="513" t="str">
        <f>IF(25=25,IF($B25="","",AF25),"")</f>
        <v/>
      </c>
      <c r="F25" s="513" t="str">
        <f>IF(25=25,IF($B25="","",AI25),"")</f>
        <v/>
      </c>
      <c r="G25" s="513" t="str">
        <f>IF(25=25,IF($B25="","",AM25),"")</f>
        <v/>
      </c>
      <c r="H25" s="513" t="str">
        <f>IF(25=25,IF($B25="","",IF(ISNUMBER(SEARCH(" colin ",$AA25)),"X",AZ25)),"")</f>
        <v>X</v>
      </c>
      <c r="I25" s="513" t="str">
        <f>IF(25=25,IF($B25="","",BB25),"")</f>
        <v/>
      </c>
      <c r="J25" s="513" t="str">
        <f>IF(25=25,IF($B25="","",BF25),"")</f>
        <v/>
      </c>
      <c r="K25" s="513" t="str">
        <f>IF(25=25,IF($B25="","",BM25),"")</f>
        <v/>
      </c>
      <c r="L25" s="513" t="str">
        <f>IF(25=25,IF($B25="","",BQ25),"")</f>
        <v/>
      </c>
      <c r="M25" s="513" t="str">
        <f>IF(25=25,IF($B25="","",BT25),"")</f>
        <v/>
      </c>
      <c r="N25" s="513" t="str">
        <f>IF(25=25,IF($B25="","",BW25),"")</f>
        <v/>
      </c>
      <c r="O25" s="513" t="str">
        <f>IF(25=25,IF($B25="","",BZ25),"")</f>
        <v/>
      </c>
      <c r="P25" s="513" t="str">
        <f>IF(25=25,IF($B25="","",CC25),"")</f>
        <v/>
      </c>
      <c r="Q25" s="513" t="str">
        <f>IF(25=25,IF($B25="","",CF25),"")</f>
        <v/>
      </c>
      <c r="R25" s="513" t="str">
        <f>IF(25=25,IF($B25="","",CL25),"")</f>
        <v/>
      </c>
      <c r="S25" s="514" t="str">
        <f>IF(25=25,IF($B25="","",IF(E25="?",""&amp;"Céréales contenant du gluten","")&amp;IF(F25="?",IF(COUNTIF($E25:$E25,"~?")&gt;0,", ","")&amp;"Crustacés","")&amp;IF(G25="?",IF(COUNTIF($E25:$F25,"~?")&gt;0,", ","")&amp;"Œufs","")&amp;IF(H25="?",IF(COUNTIF($E25:$G25,"~?")&gt;0,", ","")&amp;"Poissons","")&amp;IF(I25="?",IF(COUNTIF($E25:$H25,"~?")&gt;0,", ","")&amp;"Arachides","")&amp;IF(J25="?",IF(COUNTIF($E25:$I25,"~?")&gt;0,", ","")&amp;"Soja","")&amp;IF(K25="?",IF(COUNTIF($E25:$J25,"~?")&gt;0,", ","")&amp;"Lait","")&amp;IF(L25="?",IF(COUNTIF($E25:$K25,"~?")&gt;0,", ","")&amp;"Fruits à coque","")&amp;IF(M25="?",IF(COUNTIF($E25:$L25,"~?")&gt;0,", ","")&amp;"Céleri","")&amp;IF(N25="?",IF(COUNTIF($E25:$M25,"~?")&gt;0,", ","")&amp;"Moutarde","")&amp;IF(O25="?",IF(COUNTIF($E25:$N25,"~?")&gt;0,", ","")&amp;"Sésame","")&amp;IF(P25="?",IF(COUNTIF($E25:$O25,"~?")&gt;0,", ","")&amp;"Sulfites","")&amp;IF(Q25="?",IF(COUNTIF($E25:$P25,"~?")&gt;0,", ","")&amp;"Lupin","")&amp;IF(R25="?",IF(COUNTIF($E25:$Q25,"~?")&gt;0,", ","")&amp;"Mollusques","")),"")</f>
        <v/>
      </c>
      <c r="U25" s="493" t="str">
        <f>IF(25=25,IF($B25="","",$B25),"")</f>
        <v>Dos de colin</v>
      </c>
      <c r="V25" s="493" t="str">
        <f>IF(25=25,LOWER(CLEAN(SUBSTITUTE(SUBSTITUTE(SUBSTITUTE(SUBSTITUTE($U25,CHAR(160)," ")," "," "),CHAR(10)," "),CHAR(13)," "))),"")</f>
        <v>dos de colin</v>
      </c>
      <c r="W25" s="493" t="str">
        <f>IF(25=25,SUBSTITUTE(SUBSTITUTE(SUBSTITUTE(SUBSTITUTE(SUBSTITUTE(SUBSTITUTE(SUBSTITUTE(SUBSTITUTE(SUBSTITUTE(SUBSTITUTE(SUBSTITUTE(SUBSTITUTE($V25,"œ","oe"),"æ","ae"),"à","a"),"á","a"),"â","a"),"ä","a"),"ã","a"),"ç","c"),"è","e"),"é","e"),"ê","e"),"ë","e"),"")</f>
        <v>dos de colin</v>
      </c>
      <c r="X25" s="493" t="str">
        <f>IF(25=25,SUBSTITUTE(SUBSTITUTE(SUBSTITUTE(SUBSTITUTE(SUBSTITUTE(SUBSTITUTE(SUBSTITUTE(SUBSTITUTE(SUBSTITUTE(SUBSTITUTE(SUBSTITUTE(SUBSTITUTE(SUBSTITUTE(SUBSTITUTE(SUBSTITUTE(SUBSTITUTE($W25,"ì","i"),"í","i"),"î","i"),"ï","i"),"ñ","n"),"ò","o"),"ó","o"),"ô","o"),"ö","o"),"õ","o"),"ù","u"),"ú","u"),"û","u"),"ü","u"),"ý","y"),"ÿ","y"),"")</f>
        <v>dos de colin</v>
      </c>
      <c r="Y25" s="493" t="str">
        <f>IF(25=25,SUBSTITUTE(SUBSTITUTE(SUBSTITUTE(SUBSTITUTE(SUBSTITUTE(SUBSTITUTE(SUBSTITUTE(SUBSTITUTE(SUBSTITUTE(SUBSTITUTE(SUBSTITUTE(SUBSTITUTE(SUBSTITUTE(SUBSTITUTE($X25,"’"," "),"`"," "),"–"," "),"—"," "),"-"," "),"'"," "),"/"," "),"_"," "),","," "),"."," "),"("," "),")"," "),";"," "),":"," "),"")</f>
        <v>dos de colin</v>
      </c>
      <c r="Z25" s="493" t="str">
        <f>IF(25=25,SUBSTITUTE(SUBSTITUTE(SUBSTITUTE(SUBSTITUTE(SUBSTITUTE(SUBSTITUTE(SUBSTITUTE(SUBSTITUTE(SUBSTITUTE(SUBSTITUTE(SUBSTITUTE(SUBSTITUTE(SUBSTITUTE(SUBSTITUTE(SUBSTITUTE($Y25,"!"," "),"?"," "),"+"," "),"*"," "),"&amp;"," "),"["," "),"]"," "),"{"," "),"}"," "),"%"," "),"="," "),"\"," "),"|"," "),"&lt;"," "),"&gt;"," "),"")</f>
        <v>dos de colin</v>
      </c>
      <c r="AA25" s="493" t="str">
        <f>IF(25=25," "&amp;TRIM(SUBSTITUTE(SUBSTITUTE(SUBSTITUTE(SUBSTITUTE(SUBSTITUTE(SUBSTITUTE($Z25,CHAR(34)," "),"  "," "),"  "," "),"  "," "),"  "," "),"  "," "))&amp;" ","")</f>
        <v xml:space="preserve"> dos de colin </v>
      </c>
      <c r="AB25" s="493">
        <f>IF(25=25,IF($U25="","",SUMPRODUCT(--ISNUMBER(SEARCH(" "&amp;$CR$2:$CR$101&amp;" ",$AD25)))),"")</f>
        <v>0</v>
      </c>
      <c r="AC25" s="493">
        <f>IF(25=25,IF($U25="","",SUMPRODUCT(--ISNUMBER(SEARCH(" "&amp;$CR$102:$CR$151&amp;" ",$AD25)))),"")</f>
        <v>0</v>
      </c>
      <c r="AD25" s="493" t="str">
        <f t="shared" si="1"/>
        <v xml:space="preserve"> dos de colin </v>
      </c>
      <c r="AE25" s="493">
        <f t="shared" si="2"/>
        <v>0</v>
      </c>
      <c r="AF25" s="493" t="str">
        <f>IF(25=25,IF($U25="","",IF(SUM(AB25:AC25)+SUMPRODUCT(--ISNUMBER(SEARCH(" "&amp;$CR$2418:$CR$2420&amp;" ",$AD25)))&gt;0,"X",IF(AE25&gt;0,"?",""))),"")</f>
        <v/>
      </c>
      <c r="AG25" s="493">
        <f>IF(25=25,IF($U25="","",SUMPRODUCT(--ISNUMBER(SEARCH(" "&amp;$CR$206:$CR$305&amp;" ",$AA25)))),"")</f>
        <v>0</v>
      </c>
      <c r="AH25" s="493">
        <f>IF(25=25,IF($U25="","",SUMPRODUCT(--ISNUMBER(SEARCH(" "&amp;$CR$306:$CR$340&amp;" ",$AA25)))),"")</f>
        <v>0</v>
      </c>
      <c r="AI25" s="493" t="str">
        <f>IF(25=25,IF($U25="","",IF((SUM(AG25:AH25))-(0)&gt;0,"X",IF((0)-(0)&gt;0,"?",""))),"")</f>
        <v/>
      </c>
      <c r="AJ25" s="493">
        <f>IF(25=25,IF($U25="","",SUMPRODUCT(--ISNUMBER(SEARCH(" "&amp;$CR$341:$CR$398&amp;" ",$AA25)))),"")</f>
        <v>0</v>
      </c>
      <c r="AK25" s="493">
        <f>IF(25=25,IF($U25="","",SUMPRODUCT(--ISNUMBER(SEARCH(" "&amp;$CR$399:$CR$426&amp;" ",$AL25)))+SUMPRODUCT(--ISNUMBER(SEARCH(" "&amp;$CR$2440:$CR$2453&amp;" ",$AL25)))),"")</f>
        <v>0</v>
      </c>
      <c r="AL25" s="493" t="str">
        <f>IF(25=25,IF($U25="","",SUBSTITUTE(SUBSTITUTE(SUBSTITUTE(SUBSTITUTE(SUBSTITUTE(SUBSTITUTE(SUBSTITUTE(SUBSTITUTE(SUBSTITUTE(SUBSTITUTE(SUBSTITUTE(SUBSTITUTE(SUBSTITUTE(SUBSTITUTE($AA25," "&amp;$CR$2455&amp;" "," ")," "&amp;$CR$433&amp;" "," ")," "&amp;$CR$431&amp;" "," ")," "&amp;$CR$2438&amp;" "," ")," "&amp;$CR$2439&amp;" "," ")," "&amp;$CR$428&amp;" "," ")," "&amp;$CR$432&amp;" "," ")," "&amp;$CR$434&amp;" "," ")," "&amp;$CR$429&amp;" "," ")," "&amp;$CR$427&amp;" "," ")," "&amp;$CR$1367&amp;" "," ")," "&amp;$CR$435&amp;" "," ")," "&amp;$CR$1366&amp;" "," ")," "&amp;$CR$430&amp;" "," ")),"")</f>
        <v xml:space="preserve"> dos de colin </v>
      </c>
      <c r="AM25" s="493" t="str">
        <f>IF(25=25,IF($U25="","",IF(AJ25&gt;0,"X",IF(AK25&gt;0,"?",""))),"")</f>
        <v/>
      </c>
      <c r="AN25" s="493">
        <f>IF(25=25,IF($U25="","",SUMPRODUCT(--ISNUMBER(SEARCH(" "&amp;$CR$436:$CR$535&amp;" ",$AX25)))),"")</f>
        <v>0</v>
      </c>
      <c r="AO25" s="493">
        <f>IF(25=25,IF($U25="","",SUMPRODUCT(--ISNUMBER(SEARCH(" "&amp;$CR$536:$CR$635&amp;" ",$AX25)))),"")</f>
        <v>1</v>
      </c>
      <c r="AP25" s="493">
        <f>IF(25=25,IF($U25="","",SUMPRODUCT(--ISNUMBER(SEARCH(" "&amp;$CR$636:$CR$735&amp;" ",$AX25)))),"")</f>
        <v>0</v>
      </c>
      <c r="AQ25" s="493">
        <f>IF(25=25,IF($U25="","",SUMPRODUCT(--ISNUMBER(SEARCH(" "&amp;$CR$736:$CR$835&amp;" ",$AX25)))),"")</f>
        <v>0</v>
      </c>
      <c r="AR25" s="493">
        <f>IF(25=25,IF($U25="","",SUMPRODUCT(--ISNUMBER(SEARCH(" "&amp;$CR$836:$CR$935&amp;" ",$AX25)))),"")</f>
        <v>0</v>
      </c>
      <c r="AS25" s="493">
        <f>IF(25=25,IF($U25="","",SUMPRODUCT(--ISNUMBER(SEARCH(" "&amp;$CR$936:$CR$1035&amp;" ",$AX25)))),"")</f>
        <v>0</v>
      </c>
      <c r="AT25" s="493">
        <f>IF(25=25,IF($U25="","",SUMPRODUCT(--ISNUMBER(SEARCH(" "&amp;$CR$1036:$CR$1135&amp;" ",$AX25)))),"")</f>
        <v>0</v>
      </c>
      <c r="AU25" s="493">
        <f>IF(25=25,IF($U25="","",SUMPRODUCT(--ISNUMBER(SEARCH(" "&amp;$CR$1136:$CR$1235&amp;" ",$AX25)))),"")</f>
        <v>0</v>
      </c>
      <c r="AV25" s="493">
        <f>IF(25=25,IF($U25="","",SUMPRODUCT(--ISNUMBER(SEARCH(" "&amp;$CR$1236:$CR$1335&amp;" ",$AX25)))),"")</f>
        <v>0</v>
      </c>
      <c r="AW25" s="493">
        <f>IF(25=25,IF($U25="","",SUMPRODUCT(--ISNUMBER(SEARCH(" "&amp;$CR$1336:$CR$1363&amp;" ",$AX25)))),"")</f>
        <v>0</v>
      </c>
      <c r="AX25" s="493" t="str">
        <f>IF(25=25,IF($U25="","",SUBSTITUTE(SUBSTITUTE(SUBSTITUTE(SUBSTITUTE(SUBSTITUTE(SUBSTITUTE(SUBSTITUTE(SUBSTITUTE(SUBSTITUTE($AA25," "&amp;$CR$1365&amp;" "," ")," "&amp;$CR$1364&amp;" "," ")," "&amp;$CR$1370&amp;" "," ")," "&amp;$CR$1371&amp;" "," ")," "&amp;$CR$1367&amp;" "," ")," "&amp;$CR$1369&amp;" "," ")," "&amp;$CR$1366&amp;" "," ")," "&amp;$CR$1368&amp;" "," ")," "&amp;$CR$1372&amp;" "," ")),"")</f>
        <v xml:space="preserve"> dos de colin </v>
      </c>
      <c r="AY25" s="493">
        <f>IF(25=25,IF($U25="","",SUMPRODUCT(--ISNUMBER(SEARCH(" "&amp;$CR$1373:$CR$1383&amp;" ",$AX25)))),"")</f>
        <v>0</v>
      </c>
      <c r="AZ25" s="493" t="str">
        <f>IF(25=25,IF($U25="","",IF(SUM(AN25:AW25)+SUMPRODUCT(--ISNUMBER(SEARCH(" "&amp;$CR$2421:$CR$2422&amp;" ",$AX25)))&gt;0,"X",IF(AY25&gt;0,"?",""))),"")</f>
        <v>X</v>
      </c>
      <c r="BA25" s="493">
        <f>IF(25=25,IF($U25="","",SUMPRODUCT(--ISNUMBER(SEARCH(" "&amp;$CR$1384:$CR$1404&amp;" ",$AA25)))),"")</f>
        <v>0</v>
      </c>
      <c r="BB25" s="493" t="str">
        <f>IF(25=25,IF($U25="","",IF((BA25)-(0)&gt;0,"X",IF((0)-(0)&gt;0,"?",""))),"")</f>
        <v/>
      </c>
      <c r="BC25" s="493">
        <f>IF(25=25,IF($U25="","",SUMPRODUCT(--ISNUMBER(SEARCH(" "&amp;$CR$1405:$CR$1442&amp;" ",$BD25)))),"")</f>
        <v>0</v>
      </c>
      <c r="BD25" s="493" t="str">
        <f>IF(25=25,IF($U25="","",SUBSTITUTE(SUBSTITUTE($AA25," "&amp;$CR$1443&amp;" "," ")," "&amp;$CR$1444&amp;" "," ")),"")</f>
        <v xml:space="preserve"> dos de colin </v>
      </c>
      <c r="BE25" s="493">
        <f>IF(25=25,IF($U25="","",SUMPRODUCT(--ISNUMBER(SEARCH(" "&amp;$CR$1445:$CR$1455&amp;" ",$BD25)))),"")</f>
        <v>0</v>
      </c>
      <c r="BF25" s="493" t="str">
        <f>IF(25=25,IF($U25="","",IF(BC25&gt;0,"X",IF(BE25&gt;0,"?",""))),"")</f>
        <v/>
      </c>
      <c r="BG25" s="493">
        <f>IF(25=25,IF($U25="","",SUMPRODUCT(--ISNUMBER(SEARCH(" "&amp;$CR$1456:$CR$1555&amp;" ",$BJ25)))),"")</f>
        <v>0</v>
      </c>
      <c r="BH25" s="493">
        <f>IF(25=25,IF($U25="","",SUMPRODUCT(--ISNUMBER(SEARCH(" "&amp;$CR$1556:$CR$1655&amp;" ",$BJ25)))),"")</f>
        <v>0</v>
      </c>
      <c r="BI25" s="493">
        <f>IF(25=25,IF($U25="","",SUMPRODUCT(--ISNUMBER(SEARCH(" "&amp;$CR$1656:$CR$1739&amp;" ",$BJ25)))),"")</f>
        <v>0</v>
      </c>
      <c r="BJ25" s="493" t="str">
        <f>IF(25=25,IF($U25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dos de colin </v>
      </c>
      <c r="BK25" s="493">
        <f>IF(25=25,IF($U25="","",SUMPRODUCT(--ISNUMBER(SEARCH(" "&amp;$CR$1790:$CR$1869&amp;" ",$BL25)))+SUMPRODUCT(--ISNUMBER(SEARCH(" "&amp;$CR$2440:$CR$2453&amp;" ",$BL25)))),"")</f>
        <v>0</v>
      </c>
      <c r="BL25" s="493" t="str">
        <f>IF(25=25,IF($U25="","",SUBSTITUTE(SUBSTITUTE(SUBSTITUTE(SUBSTITUTE(SUBSTITUTE(SUBSTITUTE(SUBSTITUTE(SUBSTITUTE(SUBSTITUTE(SUBSTITUTE(SUBSTITUTE(SUBSTITUTE(SUBSTITUTE($BJ25," "&amp;$CR$1876&amp;" "," ")," "&amp;$CR$1874&amp;" "," ")," "&amp;$CR$2438&amp;" "," ")," "&amp;$CR$2439&amp;" "," ")," "&amp;$CR$1871&amp;" "," ")," "&amp;$CR$1875&amp;" "," ")," "&amp;$CR$1877&amp;" "," ")," "&amp;$CR$1872&amp;" "," ")," "&amp;$CR$1870&amp;" "," ")," "&amp;$CR$1367&amp;" "," ")," "&amp;$CR$1878&amp;" "," ")," "&amp;$CR$1366&amp;" "," ")," "&amp;$CR$1873&amp;" "," ")),"")</f>
        <v xml:space="preserve"> dos de colin </v>
      </c>
      <c r="BM25" s="493" t="str">
        <f>IF(25=25,IF($U25="","",IF(SUM(BG25:BI25)+SUMPRODUCT(--ISNUMBER(SEARCH(" "&amp;$CR$2423:$CR$2424&amp;" ",$BJ25)))&gt;0,"X",IF(BK25&gt;0,"?",""))),"")</f>
        <v/>
      </c>
      <c r="BN25" s="493">
        <f>IF(25=25,IF($U25="","",SUMPRODUCT(--ISNUMBER(SEARCH(" "&amp;$CR$1879:$CR$1936&amp;" ",$BO25)))),"")</f>
        <v>0</v>
      </c>
      <c r="BO25" s="493" t="str">
        <f>IF(25=25,IF($U25="","",SUBSTITUTE(SUBSTITUTE(SUBSTITUTE(SUBSTITUTE(SUBSTITUTE(SUBSTITUTE(SUBSTITUTE(SUBSTITUTE(SUBSTITUTE(SUBSTITUTE(SUBSTITUTE(SUBSTITUTE(SUBSTITUTE(SUBSTITUTE(SUBSTITUTE(SUBSTITUTE(SUBSTITUTE(SUBSTITUTE(SUBSTITUTE(SUBSTITUTE(SUBSTITUTE(SUBSTITUTE(SUBSTITUTE($AA25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dos de colin </v>
      </c>
      <c r="BP25" s="493">
        <f>IF(25=25,IF($U25="","",SUMPRODUCT(--ISNUMBER(SEARCH(" "&amp;$CR$1960:$CR$1976&amp;" ",$BO25)))),"")</f>
        <v>0</v>
      </c>
      <c r="BQ25" s="493" t="str">
        <f>IF(25=25,IF($U25="","",IF(BN25&gt;0,"X",IF(BP25&gt;0,"?",""))),"")</f>
        <v/>
      </c>
      <c r="BR25" s="493">
        <f>IF(25=25,IF($U25="","",SUMPRODUCT(--ISNUMBER(SEARCH(" "&amp;$CR$1977:$CR$1990&amp;" ",$AA25)))),"")</f>
        <v>0</v>
      </c>
      <c r="BS25" s="493">
        <f>IF(25=25,IF($U25="","",SUMPRODUCT(--ISNUMBER(SEARCH(" "&amp;$CR$1991:$CR$2005&amp;" ",$AA25)))),"")</f>
        <v>0</v>
      </c>
      <c r="BT25" s="493" t="str">
        <f>IF(25=25,IF($U25="","",IF((BR25)-(0)&gt;0,"X",IF((BS25)-(0)&gt;0,"?",""))),"")</f>
        <v/>
      </c>
      <c r="BU25" s="493">
        <f>IF(25=25,IF($U25="","",SUMPRODUCT(--ISNUMBER(SEARCH(" "&amp;$CR$2006:$CR$2023&amp;" ",$AA25)))),"")</f>
        <v>0</v>
      </c>
      <c r="BV25" s="493">
        <f>IF(25=25,IF($U25="","",SUMPRODUCT(--ISNUMBER(SEARCH(" "&amp;$CR$2024:$CR$2038&amp;" ",$AA25)))),"")</f>
        <v>0</v>
      </c>
      <c r="BW25" s="493" t="str">
        <f>IF(25=25,IF($U25="","",IF((BU25)-(0)&gt;0,"X",IF((BV25)-(0)&gt;0,"?",""))),"")</f>
        <v/>
      </c>
      <c r="BX25" s="493">
        <f>IF(25=25,IF($U25="","",SUMPRODUCT(--ISNUMBER(SEARCH(" "&amp;$CR$2039:$CR$2057&amp;" ",$AA25)))),"")</f>
        <v>0</v>
      </c>
      <c r="BY25" s="493">
        <f>IF(25=25,IF($U25="","",SUMPRODUCT(--ISNUMBER(SEARCH(" "&amp;$CR$2058:$CR$2072&amp;" ",$AA25)))),"")</f>
        <v>0</v>
      </c>
      <c r="BZ25" s="493" t="str">
        <f>IF(25=25,IF($U25="","",IF((BX25)-(0)&gt;0,"X",IF((BY25)-(0)&gt;0,"?",""))),"")</f>
        <v/>
      </c>
      <c r="CA25" s="493">
        <f>IF(25=25,IF($U25="","",SUMPRODUCT(--ISNUMBER(SEARCH(" "&amp;$CR$2073:$CR$2093&amp;" ",$AA25)))),"")</f>
        <v>0</v>
      </c>
      <c r="CB25" s="493">
        <f>IF(25=25,IF($U25="","",SUMPRODUCT(--ISNUMBER(SEARCH(" "&amp;$CR$2094:$CR$2133&amp;" ",SUBSTITUTE(SUBSTITUTE($AA25," "&amp;$CR$1367&amp;" "," ")," "&amp;$CR$1366&amp;" "," "))))+--ISNUMBER(SEARCH("poiré",$V25))),"")</f>
        <v>0</v>
      </c>
      <c r="CC25" s="493" t="str">
        <f>IF(25=25,IF($U25="","",IF(OR(CA25&gt;0,ISNUMBER(SEARCH(" vinaigre de vin ",$AA25)),ISNUMBER(SEARCH(" vinaigre au vin ",$AA25))),"X",IF(CB25&gt;0,"?",""))),"")</f>
        <v/>
      </c>
      <c r="CD25" s="493">
        <f>IF(25=25,IF($U25="","",SUMPRODUCT(--ISNUMBER(SEARCH(" "&amp;$CR$2134:$CR$2146&amp;" ",$AA25)))),"")</f>
        <v>0</v>
      </c>
      <c r="CE25" s="493">
        <f>IF(25=25,IF($U25="","",SUMPRODUCT(--ISNUMBER(SEARCH(" "&amp;$CR$2147:$CR$2152&amp;" ",$AA25)))),"")</f>
        <v>0</v>
      </c>
      <c r="CF25" s="493" t="str">
        <f>IF(25=25,IF($U25="","",IF((CD25)-(0)&gt;0,"X",IF((CE25)-(0)&gt;0,"?",""))),"")</f>
        <v/>
      </c>
      <c r="CG25" s="493">
        <f>IF(25=25,IF($U25="","",SUMPRODUCT(--ISNUMBER(SEARCH(" "&amp;$CR$2153:$CR$2252&amp;" ",$CJ25)))),"")</f>
        <v>0</v>
      </c>
      <c r="CH25" s="493">
        <f>IF(25=25,IF($U25="","",SUMPRODUCT(--ISNUMBER(SEARCH(" "&amp;$CR$2253:$CR$2352&amp;" ",$CJ25)))),"")</f>
        <v>0</v>
      </c>
      <c r="CI25" s="493">
        <f>IF(25=25,IF($U25="","",SUMPRODUCT(--ISNUMBER(SEARCH(" "&amp;$CR$2353:$CR$2395&amp;" ",$CJ25)))),"")</f>
        <v>0</v>
      </c>
      <c r="CJ25" s="493" t="str">
        <f>IF(25=25,IF($U25="","",SUBSTITUTE(SUBSTITUTE(SUBSTITUTE(SUBSTITUTE(SUBSTITUTE(SUBSTITUTE(SUBSTITUTE(SUBSTITUTE(SUBSTITUTE(SUBSTITUTE(SUBSTITUTE(SUBSTITUTE(SUBSTITUTE(SUBSTITUTE(SUBSTITUTE(SUBSTITUTE($AA25," "&amp;$CR$2401&amp;" "," ")," "&amp;$CR$2400&amp;" "," ")," "&amp;$CR$2399&amp;" "," ")," "&amp;$CR$2406&amp;" "," ")," "&amp;$CR$2398&amp;" "," ")," "&amp;$CR$2410&amp;" "," ")," "&amp;$CR$2397&amp;" "," ")," "&amp;$CR$2402&amp;" "," ")," "&amp;$CR$2405&amp;" "," ")," "&amp;$CR$2396&amp;" "," ")," "&amp;$CR$2404&amp;" "," ")," "&amp;$CR$2411&amp;" "," ")," "&amp;$CR$2408&amp;" "," ")," "&amp;$CR$2403&amp;" "," ")," "&amp;$CR$2407&amp;" "," ")," "&amp;$CR$2409&amp;" "," ")),"")</f>
        <v xml:space="preserve"> dos de colin </v>
      </c>
      <c r="CK25" s="493">
        <f>IF(25=25,IF($U25="","",SUMPRODUCT(--ISNUMBER(SEARCH(" "&amp;$CR$2412:$CR$2416&amp;" ",$CJ25)))),"")</f>
        <v>0</v>
      </c>
      <c r="CL25" s="493" t="str">
        <f>IF(25=25,IF($U25="","",IF(SUM(CG25:CI25)&gt;0,"X",IF(CK25&gt;0,"?",""))),"")</f>
        <v/>
      </c>
      <c r="CM25" s="494"/>
      <c r="CN25" s="496" t="s">
        <v>1188</v>
      </c>
      <c r="CO25" s="496" t="s">
        <v>1083</v>
      </c>
      <c r="CP25" s="496" t="s">
        <v>689</v>
      </c>
      <c r="CQ25" s="496" t="s">
        <v>891</v>
      </c>
      <c r="CR25" s="496" t="s">
        <v>891</v>
      </c>
      <c r="CS25" s="496" t="s">
        <v>1085</v>
      </c>
      <c r="CT25" s="496" t="s">
        <v>1086</v>
      </c>
      <c r="CU25" s="496" t="s">
        <v>1087</v>
      </c>
      <c r="CV25" s="497" t="s">
        <v>1088</v>
      </c>
      <c r="CX25" s="543">
        <v>1</v>
      </c>
    </row>
    <row r="26" spans="1:102" ht="21" customHeight="1">
      <c r="A26" s="509">
        <v>20</v>
      </c>
      <c r="B26" s="510" t="s">
        <v>5864</v>
      </c>
      <c r="C26" s="511" t="str">
        <f t="shared" si="0"/>
        <v>Echalotes fraîches ou émincées surgelées</v>
      </c>
      <c r="D26" s="512" t="str">
        <f>IF(26=26,IF($B26="","",IF(E26="X",""&amp;"Céréales contenant du gluten","")&amp;IF(F26="X",IF(COUNTIF($E26:$E26,"X")&gt;0,", ","")&amp;"Crustacés","")&amp;IF(G26="X",IF(COUNTIF($E26:$F26,"X")&gt;0,", ","")&amp;"Œufs","")&amp;IF(H26="X",IF(COUNTIF($E26:$G26,"X")&gt;0,", ","")&amp;"Poissons","")&amp;IF(I26="X",IF(COUNTIF($E26:$H26,"X")&gt;0,", ","")&amp;"Arachides","")&amp;IF(J26="X",IF(COUNTIF($E26:$I26,"X")&gt;0,", ","")&amp;"Soja","")&amp;IF(K26="X",IF(COUNTIF($E26:$J26,"X")&gt;0,", ","")&amp;"Lait","")&amp;IF(L26="X",IF(COUNTIF($E26:$K26,"X")&gt;0,", ","")&amp;"Fruits à coque","")&amp;IF(M26="X",IF(COUNTIF($E26:$L26,"X")&gt;0,", ","")&amp;"Céleri","")&amp;IF(N26="X",IF(COUNTIF($E26:$M26,"X")&gt;0,", ","")&amp;"Moutarde","")&amp;IF(O26="X",IF(COUNTIF($E26:$N26,"X")&gt;0,", ","")&amp;"Sésame","")&amp;IF(P26="X",IF(COUNTIF($E26:$O26,"X")&gt;0,", ","")&amp;"Sulfites","")&amp;IF(Q26="X",IF(COUNTIF($E26:$P26,"X")&gt;0,", ","")&amp;"Lupin","")&amp;IF(R26="X",IF(COUNTIF($E26:$Q26,"X")&gt;0,", ","")&amp;"Mollusques","")),"")</f>
        <v/>
      </c>
      <c r="E26" s="513" t="str">
        <f>IF(26=26,IF($B26="","",AF26),"")</f>
        <v/>
      </c>
      <c r="F26" s="513" t="str">
        <f>IF(26=26,IF($B26="","",AI26),"")</f>
        <v/>
      </c>
      <c r="G26" s="513" t="str">
        <f>IF(26=26,IF($B26="","",AM26),"")</f>
        <v/>
      </c>
      <c r="H26" s="513" t="str">
        <f>IF(26=26,IF($B26="","",IF(ISNUMBER(SEARCH(" colin ",$AA26)),"X",AZ26)),"")</f>
        <v/>
      </c>
      <c r="I26" s="513" t="str">
        <f>IF(26=26,IF($B26="","",BB26),"")</f>
        <v/>
      </c>
      <c r="J26" s="513" t="str">
        <f>IF(26=26,IF($B26="","",BF26),"")</f>
        <v/>
      </c>
      <c r="K26" s="513" t="str">
        <f>IF(26=26,IF($B26="","",BM26),"")</f>
        <v/>
      </c>
      <c r="L26" s="513" t="str">
        <f>IF(26=26,IF($B26="","",BQ26),"")</f>
        <v/>
      </c>
      <c r="M26" s="513" t="str">
        <f>IF(26=26,IF($B26="","",BT26),"")</f>
        <v/>
      </c>
      <c r="N26" s="513" t="str">
        <f>IF(26=26,IF($B26="","",BW26),"")</f>
        <v/>
      </c>
      <c r="O26" s="513" t="str">
        <f>IF(26=26,IF($B26="","",BZ26),"")</f>
        <v/>
      </c>
      <c r="P26" s="513" t="str">
        <f>IF(26=26,IF($B26="","",CC26),"")</f>
        <v/>
      </c>
      <c r="Q26" s="513" t="str">
        <f>IF(26=26,IF($B26="","",CF26),"")</f>
        <v/>
      </c>
      <c r="R26" s="513" t="str">
        <f>IF(26=26,IF($B26="","",CL26),"")</f>
        <v/>
      </c>
      <c r="S26" s="514" t="str">
        <f>IF(26=26,IF($B26="","",IF(E26="?",""&amp;"Céréales contenant du gluten","")&amp;IF(F26="?",IF(COUNTIF($E26:$E26,"~?")&gt;0,", ","")&amp;"Crustacés","")&amp;IF(G26="?",IF(COUNTIF($E26:$F26,"~?")&gt;0,", ","")&amp;"Œufs","")&amp;IF(H26="?",IF(COUNTIF($E26:$G26,"~?")&gt;0,", ","")&amp;"Poissons","")&amp;IF(I26="?",IF(COUNTIF($E26:$H26,"~?")&gt;0,", ","")&amp;"Arachides","")&amp;IF(J26="?",IF(COUNTIF($E26:$I26,"~?")&gt;0,", ","")&amp;"Soja","")&amp;IF(K26="?",IF(COUNTIF($E26:$J26,"~?")&gt;0,", ","")&amp;"Lait","")&amp;IF(L26="?",IF(COUNTIF($E26:$K26,"~?")&gt;0,", ","")&amp;"Fruits à coque","")&amp;IF(M26="?",IF(COUNTIF($E26:$L26,"~?")&gt;0,", ","")&amp;"Céleri","")&amp;IF(N26="?",IF(COUNTIF($E26:$M26,"~?")&gt;0,", ","")&amp;"Moutarde","")&amp;IF(O26="?",IF(COUNTIF($E26:$N26,"~?")&gt;0,", ","")&amp;"Sésame","")&amp;IF(P26="?",IF(COUNTIF($E26:$O26,"~?")&gt;0,", ","")&amp;"Sulfites","")&amp;IF(Q26="?",IF(COUNTIF($E26:$P26,"~?")&gt;0,", ","")&amp;"Lupin","")&amp;IF(R26="?",IF(COUNTIF($E26:$Q26,"~?")&gt;0,", ","")&amp;"Mollusques","")),"")</f>
        <v/>
      </c>
      <c r="U26" s="493" t="str">
        <f>IF(26=26,IF($B26="","",$B26),"")</f>
        <v>Echalotes fraîches ou émincées surgelées</v>
      </c>
      <c r="V26" s="493" t="str">
        <f>IF(26=26,LOWER(CLEAN(SUBSTITUTE(SUBSTITUTE(SUBSTITUTE(SUBSTITUTE($U26,CHAR(160)," ")," "," "),CHAR(10)," "),CHAR(13)," "))),"")</f>
        <v>echalotes fraîches ou émincées surgelées</v>
      </c>
      <c r="W26" s="493" t="str">
        <f>IF(26=26,SUBSTITUTE(SUBSTITUTE(SUBSTITUTE(SUBSTITUTE(SUBSTITUTE(SUBSTITUTE(SUBSTITUTE(SUBSTITUTE(SUBSTITUTE(SUBSTITUTE(SUBSTITUTE(SUBSTITUTE($V26,"œ","oe"),"æ","ae"),"à","a"),"á","a"),"â","a"),"ä","a"),"ã","a"),"ç","c"),"è","e"),"é","e"),"ê","e"),"ë","e"),"")</f>
        <v>echalotes fraîches ou emincees surgelees</v>
      </c>
      <c r="X26" s="493" t="str">
        <f>IF(26=26,SUBSTITUTE(SUBSTITUTE(SUBSTITUTE(SUBSTITUTE(SUBSTITUTE(SUBSTITUTE(SUBSTITUTE(SUBSTITUTE(SUBSTITUTE(SUBSTITUTE(SUBSTITUTE(SUBSTITUTE(SUBSTITUTE(SUBSTITUTE(SUBSTITUTE(SUBSTITUTE($W26,"ì","i"),"í","i"),"î","i"),"ï","i"),"ñ","n"),"ò","o"),"ó","o"),"ô","o"),"ö","o"),"õ","o"),"ù","u"),"ú","u"),"û","u"),"ü","u"),"ý","y"),"ÿ","y"),"")</f>
        <v>echalotes fraiches ou emincees surgelees</v>
      </c>
      <c r="Y26" s="493" t="str">
        <f>IF(26=26,SUBSTITUTE(SUBSTITUTE(SUBSTITUTE(SUBSTITUTE(SUBSTITUTE(SUBSTITUTE(SUBSTITUTE(SUBSTITUTE(SUBSTITUTE(SUBSTITUTE(SUBSTITUTE(SUBSTITUTE(SUBSTITUTE(SUBSTITUTE($X26,"’"," "),"`"," "),"–"," "),"—"," "),"-"," "),"'"," "),"/"," "),"_"," "),","," "),"."," "),"("," "),")"," "),";"," "),":"," "),"")</f>
        <v>echalotes fraiches ou emincees surgelees</v>
      </c>
      <c r="Z26" s="493" t="str">
        <f>IF(26=26,SUBSTITUTE(SUBSTITUTE(SUBSTITUTE(SUBSTITUTE(SUBSTITUTE(SUBSTITUTE(SUBSTITUTE(SUBSTITUTE(SUBSTITUTE(SUBSTITUTE(SUBSTITUTE(SUBSTITUTE(SUBSTITUTE(SUBSTITUTE(SUBSTITUTE($Y26,"!"," "),"?"," "),"+"," "),"*"," "),"&amp;"," "),"["," "),"]"," "),"{"," "),"}"," "),"%"," "),"="," "),"\"," "),"|"," "),"&lt;"," "),"&gt;"," "),"")</f>
        <v>echalotes fraiches ou emincees surgelees</v>
      </c>
      <c r="AA26" s="493" t="str">
        <f>IF(26=26," "&amp;TRIM(SUBSTITUTE(SUBSTITUTE(SUBSTITUTE(SUBSTITUTE(SUBSTITUTE(SUBSTITUTE($Z26,CHAR(34)," "),"  "," "),"  "," "),"  "," "),"  "," "),"  "," "))&amp;" ","")</f>
        <v xml:space="preserve"> echalotes fraiches ou emincees surgelees </v>
      </c>
      <c r="AB26" s="493">
        <f>IF(26=26,IF($U26="","",SUMPRODUCT(--ISNUMBER(SEARCH(" "&amp;$CR$2:$CR$101&amp;" ",$AD26)))),"")</f>
        <v>0</v>
      </c>
      <c r="AC26" s="493">
        <f>IF(26=26,IF($U26="","",SUMPRODUCT(--ISNUMBER(SEARCH(" "&amp;$CR$102:$CR$151&amp;" ",$AD26)))),"")</f>
        <v>0</v>
      </c>
      <c r="AD26" s="493" t="str">
        <f t="shared" si="1"/>
        <v xml:space="preserve"> echalotes fraiches ou emincees surgelees </v>
      </c>
      <c r="AE26" s="493">
        <f t="shared" si="2"/>
        <v>0</v>
      </c>
      <c r="AF26" s="493" t="str">
        <f>IF(26=26,IF($U26="","",IF(SUM(AB26:AC26)+SUMPRODUCT(--ISNUMBER(SEARCH(" "&amp;$CR$2418:$CR$2420&amp;" ",$AD26)))&gt;0,"X",IF(AE26&gt;0,"?",""))),"")</f>
        <v/>
      </c>
      <c r="AG26" s="493">
        <f>IF(26=26,IF($U26="","",SUMPRODUCT(--ISNUMBER(SEARCH(" "&amp;$CR$206:$CR$305&amp;" ",$AA26)))),"")</f>
        <v>0</v>
      </c>
      <c r="AH26" s="493">
        <f>IF(26=26,IF($U26="","",SUMPRODUCT(--ISNUMBER(SEARCH(" "&amp;$CR$306:$CR$340&amp;" ",$AA26)))),"")</f>
        <v>0</v>
      </c>
      <c r="AI26" s="493" t="str">
        <f>IF(26=26,IF($U26="","",IF((SUM(AG26:AH26))-(0)&gt;0,"X",IF((0)-(0)&gt;0,"?",""))),"")</f>
        <v/>
      </c>
      <c r="AJ26" s="493">
        <f>IF(26=26,IF($U26="","",SUMPRODUCT(--ISNUMBER(SEARCH(" "&amp;$CR$341:$CR$398&amp;" ",$AA26)))),"")</f>
        <v>0</v>
      </c>
      <c r="AK26" s="493">
        <f>IF(26=26,IF($U26="","",SUMPRODUCT(--ISNUMBER(SEARCH(" "&amp;$CR$399:$CR$426&amp;" ",$AL26)))+SUMPRODUCT(--ISNUMBER(SEARCH(" "&amp;$CR$2440:$CR$2453&amp;" ",$AL26)))),"")</f>
        <v>0</v>
      </c>
      <c r="AL26" s="493" t="str">
        <f>IF(26=26,IF($U26="","",SUBSTITUTE(SUBSTITUTE(SUBSTITUTE(SUBSTITUTE(SUBSTITUTE(SUBSTITUTE(SUBSTITUTE(SUBSTITUTE(SUBSTITUTE(SUBSTITUTE(SUBSTITUTE(SUBSTITUTE(SUBSTITUTE(SUBSTITUTE($AA26," "&amp;$CR$2455&amp;" "," ")," "&amp;$CR$433&amp;" "," ")," "&amp;$CR$431&amp;" "," ")," "&amp;$CR$2438&amp;" "," ")," "&amp;$CR$2439&amp;" "," ")," "&amp;$CR$428&amp;" "," ")," "&amp;$CR$432&amp;" "," ")," "&amp;$CR$434&amp;" "," ")," "&amp;$CR$429&amp;" "," ")," "&amp;$CR$427&amp;" "," ")," "&amp;$CR$1367&amp;" "," ")," "&amp;$CR$435&amp;" "," ")," "&amp;$CR$1366&amp;" "," ")," "&amp;$CR$430&amp;" "," ")),"")</f>
        <v xml:space="preserve"> echalotes fraiches ou emincees surgelees </v>
      </c>
      <c r="AM26" s="493" t="str">
        <f>IF(26=26,IF($U26="","",IF(AJ26&gt;0,"X",IF(AK26&gt;0,"?",""))),"")</f>
        <v/>
      </c>
      <c r="AN26" s="493">
        <f>IF(26=26,IF($U26="","",SUMPRODUCT(--ISNUMBER(SEARCH(" "&amp;$CR$436:$CR$535&amp;" ",$AX26)))),"")</f>
        <v>0</v>
      </c>
      <c r="AO26" s="493">
        <f>IF(26=26,IF($U26="","",SUMPRODUCT(--ISNUMBER(SEARCH(" "&amp;$CR$536:$CR$635&amp;" ",$AX26)))),"")</f>
        <v>0</v>
      </c>
      <c r="AP26" s="493">
        <f>IF(26=26,IF($U26="","",SUMPRODUCT(--ISNUMBER(SEARCH(" "&amp;$CR$636:$CR$735&amp;" ",$AX26)))),"")</f>
        <v>0</v>
      </c>
      <c r="AQ26" s="493">
        <f>IF(26=26,IF($U26="","",SUMPRODUCT(--ISNUMBER(SEARCH(" "&amp;$CR$736:$CR$835&amp;" ",$AX26)))),"")</f>
        <v>0</v>
      </c>
      <c r="AR26" s="493">
        <f>IF(26=26,IF($U26="","",SUMPRODUCT(--ISNUMBER(SEARCH(" "&amp;$CR$836:$CR$935&amp;" ",$AX26)))),"")</f>
        <v>0</v>
      </c>
      <c r="AS26" s="493">
        <f>IF(26=26,IF($U26="","",SUMPRODUCT(--ISNUMBER(SEARCH(" "&amp;$CR$936:$CR$1035&amp;" ",$AX26)))),"")</f>
        <v>0</v>
      </c>
      <c r="AT26" s="493">
        <f>IF(26=26,IF($U26="","",SUMPRODUCT(--ISNUMBER(SEARCH(" "&amp;$CR$1036:$CR$1135&amp;" ",$AX26)))),"")</f>
        <v>0</v>
      </c>
      <c r="AU26" s="493">
        <f>IF(26=26,IF($U26="","",SUMPRODUCT(--ISNUMBER(SEARCH(" "&amp;$CR$1136:$CR$1235&amp;" ",$AX26)))),"")</f>
        <v>0</v>
      </c>
      <c r="AV26" s="493">
        <f>IF(26=26,IF($U26="","",SUMPRODUCT(--ISNUMBER(SEARCH(" "&amp;$CR$1236:$CR$1335&amp;" ",$AX26)))),"")</f>
        <v>0</v>
      </c>
      <c r="AW26" s="493">
        <f>IF(26=26,IF($U26="","",SUMPRODUCT(--ISNUMBER(SEARCH(" "&amp;$CR$1336:$CR$1363&amp;" ",$AX26)))),"")</f>
        <v>0</v>
      </c>
      <c r="AX26" s="493" t="str">
        <f>IF(26=26,IF($U26="","",SUBSTITUTE(SUBSTITUTE(SUBSTITUTE(SUBSTITUTE(SUBSTITUTE(SUBSTITUTE(SUBSTITUTE(SUBSTITUTE(SUBSTITUTE($AA26," "&amp;$CR$1365&amp;" "," ")," "&amp;$CR$1364&amp;" "," ")," "&amp;$CR$1370&amp;" "," ")," "&amp;$CR$1371&amp;" "," ")," "&amp;$CR$1367&amp;" "," ")," "&amp;$CR$1369&amp;" "," ")," "&amp;$CR$1366&amp;" "," ")," "&amp;$CR$1368&amp;" "," ")," "&amp;$CR$1372&amp;" "," ")),"")</f>
        <v xml:space="preserve"> echalotes fraiches ou emincees surgelees </v>
      </c>
      <c r="AY26" s="493">
        <f>IF(26=26,IF($U26="","",SUMPRODUCT(--ISNUMBER(SEARCH(" "&amp;$CR$1373:$CR$1383&amp;" ",$AX26)))),"")</f>
        <v>0</v>
      </c>
      <c r="AZ26" s="493" t="str">
        <f>IF(26=26,IF($U26="","",IF(SUM(AN26:AW26)+SUMPRODUCT(--ISNUMBER(SEARCH(" "&amp;$CR$2421:$CR$2422&amp;" ",$AX26)))&gt;0,"X",IF(AY26&gt;0,"?",""))),"")</f>
        <v/>
      </c>
      <c r="BA26" s="493">
        <f>IF(26=26,IF($U26="","",SUMPRODUCT(--ISNUMBER(SEARCH(" "&amp;$CR$1384:$CR$1404&amp;" ",$AA26)))),"")</f>
        <v>0</v>
      </c>
      <c r="BB26" s="493" t="str">
        <f>IF(26=26,IF($U26="","",IF((BA26)-(0)&gt;0,"X",IF((0)-(0)&gt;0,"?",""))),"")</f>
        <v/>
      </c>
      <c r="BC26" s="493">
        <f>IF(26=26,IF($U26="","",SUMPRODUCT(--ISNUMBER(SEARCH(" "&amp;$CR$1405:$CR$1442&amp;" ",$BD26)))),"")</f>
        <v>0</v>
      </c>
      <c r="BD26" s="493" t="str">
        <f>IF(26=26,IF($U26="","",SUBSTITUTE(SUBSTITUTE($AA26," "&amp;$CR$1443&amp;" "," ")," "&amp;$CR$1444&amp;" "," ")),"")</f>
        <v xml:space="preserve"> echalotes fraiches ou emincees surgelees </v>
      </c>
      <c r="BE26" s="493">
        <f>IF(26=26,IF($U26="","",SUMPRODUCT(--ISNUMBER(SEARCH(" "&amp;$CR$1445:$CR$1455&amp;" ",$BD26)))),"")</f>
        <v>0</v>
      </c>
      <c r="BF26" s="493" t="str">
        <f>IF(26=26,IF($U26="","",IF(BC26&gt;0,"X",IF(BE26&gt;0,"?",""))),"")</f>
        <v/>
      </c>
      <c r="BG26" s="493">
        <f>IF(26=26,IF($U26="","",SUMPRODUCT(--ISNUMBER(SEARCH(" "&amp;$CR$1456:$CR$1555&amp;" ",$BJ26)))),"")</f>
        <v>0</v>
      </c>
      <c r="BH26" s="493">
        <f>IF(26=26,IF($U26="","",SUMPRODUCT(--ISNUMBER(SEARCH(" "&amp;$CR$1556:$CR$1655&amp;" ",$BJ26)))),"")</f>
        <v>0</v>
      </c>
      <c r="BI26" s="493">
        <f>IF(26=26,IF($U26="","",SUMPRODUCT(--ISNUMBER(SEARCH(" "&amp;$CR$1656:$CR$1739&amp;" ",$BJ26)))),"")</f>
        <v>0</v>
      </c>
      <c r="BJ26" s="493" t="str">
        <f>IF(26=26,IF($U26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echalotes fraiches ou emincees surgelees </v>
      </c>
      <c r="BK26" s="493">
        <f>IF(26=26,IF($U26="","",SUMPRODUCT(--ISNUMBER(SEARCH(" "&amp;$CR$1790:$CR$1869&amp;" ",$BL26)))+SUMPRODUCT(--ISNUMBER(SEARCH(" "&amp;$CR$2440:$CR$2453&amp;" ",$BL26)))),"")</f>
        <v>0</v>
      </c>
      <c r="BL26" s="493" t="str">
        <f>IF(26=26,IF($U26="","",SUBSTITUTE(SUBSTITUTE(SUBSTITUTE(SUBSTITUTE(SUBSTITUTE(SUBSTITUTE(SUBSTITUTE(SUBSTITUTE(SUBSTITUTE(SUBSTITUTE(SUBSTITUTE(SUBSTITUTE(SUBSTITUTE($BJ26," "&amp;$CR$1876&amp;" "," ")," "&amp;$CR$1874&amp;" "," ")," "&amp;$CR$2438&amp;" "," ")," "&amp;$CR$2439&amp;" "," ")," "&amp;$CR$1871&amp;" "," ")," "&amp;$CR$1875&amp;" "," ")," "&amp;$CR$1877&amp;" "," ")," "&amp;$CR$1872&amp;" "," ")," "&amp;$CR$1870&amp;" "," ")," "&amp;$CR$1367&amp;" "," ")," "&amp;$CR$1878&amp;" "," ")," "&amp;$CR$1366&amp;" "," ")," "&amp;$CR$1873&amp;" "," ")),"")</f>
        <v xml:space="preserve"> echalotes fraiches ou emincees surgelees </v>
      </c>
      <c r="BM26" s="493" t="str">
        <f>IF(26=26,IF($U26="","",IF(SUM(BG26:BI26)+SUMPRODUCT(--ISNUMBER(SEARCH(" "&amp;$CR$2423:$CR$2424&amp;" ",$BJ26)))&gt;0,"X",IF(BK26&gt;0,"?",""))),"")</f>
        <v/>
      </c>
      <c r="BN26" s="493">
        <f>IF(26=26,IF($U26="","",SUMPRODUCT(--ISNUMBER(SEARCH(" "&amp;$CR$1879:$CR$1936&amp;" ",$BO26)))),"")</f>
        <v>0</v>
      </c>
      <c r="BO26" s="493" t="str">
        <f>IF(26=26,IF($U26="","",SUBSTITUTE(SUBSTITUTE(SUBSTITUTE(SUBSTITUTE(SUBSTITUTE(SUBSTITUTE(SUBSTITUTE(SUBSTITUTE(SUBSTITUTE(SUBSTITUTE(SUBSTITUTE(SUBSTITUTE(SUBSTITUTE(SUBSTITUTE(SUBSTITUTE(SUBSTITUTE(SUBSTITUTE(SUBSTITUTE(SUBSTITUTE(SUBSTITUTE(SUBSTITUTE(SUBSTITUTE(SUBSTITUTE($AA26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echalotes fraiches ou emincees surgelees </v>
      </c>
      <c r="BP26" s="493">
        <f>IF(26=26,IF($U26="","",SUMPRODUCT(--ISNUMBER(SEARCH(" "&amp;$CR$1960:$CR$1976&amp;" ",$BO26)))),"")</f>
        <v>0</v>
      </c>
      <c r="BQ26" s="493" t="str">
        <f>IF(26=26,IF($U26="","",IF(BN26&gt;0,"X",IF(BP26&gt;0,"?",""))),"")</f>
        <v/>
      </c>
      <c r="BR26" s="493">
        <f>IF(26=26,IF($U26="","",SUMPRODUCT(--ISNUMBER(SEARCH(" "&amp;$CR$1977:$CR$1990&amp;" ",$AA26)))),"")</f>
        <v>0</v>
      </c>
      <c r="BS26" s="493">
        <f>IF(26=26,IF($U26="","",SUMPRODUCT(--ISNUMBER(SEARCH(" "&amp;$CR$1991:$CR$2005&amp;" ",$AA26)))),"")</f>
        <v>0</v>
      </c>
      <c r="BT26" s="493" t="str">
        <f>IF(26=26,IF($U26="","",IF((BR26)-(0)&gt;0,"X",IF((BS26)-(0)&gt;0,"?",""))),"")</f>
        <v/>
      </c>
      <c r="BU26" s="493">
        <f>IF(26=26,IF($U26="","",SUMPRODUCT(--ISNUMBER(SEARCH(" "&amp;$CR$2006:$CR$2023&amp;" ",$AA26)))),"")</f>
        <v>0</v>
      </c>
      <c r="BV26" s="493">
        <f>IF(26=26,IF($U26="","",SUMPRODUCT(--ISNUMBER(SEARCH(" "&amp;$CR$2024:$CR$2038&amp;" ",$AA26)))),"")</f>
        <v>0</v>
      </c>
      <c r="BW26" s="493" t="str">
        <f>IF(26=26,IF($U26="","",IF((BU26)-(0)&gt;0,"X",IF((BV26)-(0)&gt;0,"?",""))),"")</f>
        <v/>
      </c>
      <c r="BX26" s="493">
        <f>IF(26=26,IF($U26="","",SUMPRODUCT(--ISNUMBER(SEARCH(" "&amp;$CR$2039:$CR$2057&amp;" ",$AA26)))),"")</f>
        <v>0</v>
      </c>
      <c r="BY26" s="493">
        <f>IF(26=26,IF($U26="","",SUMPRODUCT(--ISNUMBER(SEARCH(" "&amp;$CR$2058:$CR$2072&amp;" ",$AA26)))),"")</f>
        <v>0</v>
      </c>
      <c r="BZ26" s="493" t="str">
        <f>IF(26=26,IF($U26="","",IF((BX26)-(0)&gt;0,"X",IF((BY26)-(0)&gt;0,"?",""))),"")</f>
        <v/>
      </c>
      <c r="CA26" s="493">
        <f>IF(26=26,IF($U26="","",SUMPRODUCT(--ISNUMBER(SEARCH(" "&amp;$CR$2073:$CR$2093&amp;" ",$AA26)))),"")</f>
        <v>0</v>
      </c>
      <c r="CB26" s="493">
        <f>IF(26=26,IF($U26="","",SUMPRODUCT(--ISNUMBER(SEARCH(" "&amp;$CR$2094:$CR$2133&amp;" ",SUBSTITUTE(SUBSTITUTE($AA26," "&amp;$CR$1367&amp;" "," ")," "&amp;$CR$1366&amp;" "," "))))+--ISNUMBER(SEARCH("poiré",$V26))),"")</f>
        <v>0</v>
      </c>
      <c r="CC26" s="493" t="str">
        <f>IF(26=26,IF($U26="","",IF(OR(CA26&gt;0,ISNUMBER(SEARCH(" vinaigre de vin ",$AA26)),ISNUMBER(SEARCH(" vinaigre au vin ",$AA26))),"X",IF(CB26&gt;0,"?",""))),"")</f>
        <v/>
      </c>
      <c r="CD26" s="493">
        <f>IF(26=26,IF($U26="","",SUMPRODUCT(--ISNUMBER(SEARCH(" "&amp;$CR$2134:$CR$2146&amp;" ",$AA26)))),"")</f>
        <v>0</v>
      </c>
      <c r="CE26" s="493">
        <f>IF(26=26,IF($U26="","",SUMPRODUCT(--ISNUMBER(SEARCH(" "&amp;$CR$2147:$CR$2152&amp;" ",$AA26)))),"")</f>
        <v>0</v>
      </c>
      <c r="CF26" s="493" t="str">
        <f>IF(26=26,IF($U26="","",IF((CD26)-(0)&gt;0,"X",IF((CE26)-(0)&gt;0,"?",""))),"")</f>
        <v/>
      </c>
      <c r="CG26" s="493">
        <f>IF(26=26,IF($U26="","",SUMPRODUCT(--ISNUMBER(SEARCH(" "&amp;$CR$2153:$CR$2252&amp;" ",$CJ26)))),"")</f>
        <v>0</v>
      </c>
      <c r="CH26" s="493">
        <f>IF(26=26,IF($U26="","",SUMPRODUCT(--ISNUMBER(SEARCH(" "&amp;$CR$2253:$CR$2352&amp;" ",$CJ26)))),"")</f>
        <v>0</v>
      </c>
      <c r="CI26" s="493">
        <f>IF(26=26,IF($U26="","",SUMPRODUCT(--ISNUMBER(SEARCH(" "&amp;$CR$2353:$CR$2395&amp;" ",$CJ26)))),"")</f>
        <v>0</v>
      </c>
      <c r="CJ26" s="493" t="str">
        <f>IF(26=26,IF($U26="","",SUBSTITUTE(SUBSTITUTE(SUBSTITUTE(SUBSTITUTE(SUBSTITUTE(SUBSTITUTE(SUBSTITUTE(SUBSTITUTE(SUBSTITUTE(SUBSTITUTE(SUBSTITUTE(SUBSTITUTE(SUBSTITUTE(SUBSTITUTE(SUBSTITUTE(SUBSTITUTE($AA26," "&amp;$CR$2401&amp;" "," ")," "&amp;$CR$2400&amp;" "," ")," "&amp;$CR$2399&amp;" "," ")," "&amp;$CR$2406&amp;" "," ")," "&amp;$CR$2398&amp;" "," ")," "&amp;$CR$2410&amp;" "," ")," "&amp;$CR$2397&amp;" "," ")," "&amp;$CR$2402&amp;" "," ")," "&amp;$CR$2405&amp;" "," ")," "&amp;$CR$2396&amp;" "," ")," "&amp;$CR$2404&amp;" "," ")," "&amp;$CR$2411&amp;" "," ")," "&amp;$CR$2408&amp;" "," ")," "&amp;$CR$2403&amp;" "," ")," "&amp;$CR$2407&amp;" "," ")," "&amp;$CR$2409&amp;" "," ")),"")</f>
        <v xml:space="preserve"> echalotes fraiches ou emincees surgelees </v>
      </c>
      <c r="CK26" s="493">
        <f>IF(26=26,IF($U26="","",SUMPRODUCT(--ISNUMBER(SEARCH(" "&amp;$CR$2412:$CR$2416&amp;" ",$CJ26)))),"")</f>
        <v>0</v>
      </c>
      <c r="CL26" s="493" t="str">
        <f>IF(26=26,IF($U26="","",IF(SUM(CG26:CI26)&gt;0,"X",IF(CK26&gt;0,"?",""))),"")</f>
        <v/>
      </c>
      <c r="CM26" s="494"/>
      <c r="CN26" s="496" t="s">
        <v>1189</v>
      </c>
      <c r="CO26" s="496" t="s">
        <v>1083</v>
      </c>
      <c r="CP26" s="496" t="s">
        <v>689</v>
      </c>
      <c r="CQ26" s="496" t="s">
        <v>198</v>
      </c>
      <c r="CR26" s="496" t="s">
        <v>198</v>
      </c>
      <c r="CS26" s="496" t="s">
        <v>1085</v>
      </c>
      <c r="CT26" s="496" t="s">
        <v>1086</v>
      </c>
      <c r="CU26" s="496" t="s">
        <v>1087</v>
      </c>
      <c r="CV26" s="497" t="s">
        <v>1088</v>
      </c>
      <c r="CX26" s="543">
        <v>1</v>
      </c>
    </row>
    <row r="27" spans="1:102" ht="21" customHeight="1">
      <c r="A27" s="509">
        <v>21</v>
      </c>
      <c r="B27" s="510" t="s">
        <v>5865</v>
      </c>
      <c r="C27" s="511" t="str">
        <f t="shared" si="0"/>
        <v>Farine ?</v>
      </c>
      <c r="D27" s="512" t="str">
        <f>IF(27=27,IF($B27="","",IF(E27="X",""&amp;"Céréales contenant du gluten","")&amp;IF(F27="X",IF(COUNTIF($E27:$E27,"X")&gt;0,", ","")&amp;"Crustacés","")&amp;IF(G27="X",IF(COUNTIF($E27:$F27,"X")&gt;0,", ","")&amp;"Œufs","")&amp;IF(H27="X",IF(COUNTIF($E27:$G27,"X")&gt;0,", ","")&amp;"Poissons","")&amp;IF(I27="X",IF(COUNTIF($E27:$H27,"X")&gt;0,", ","")&amp;"Arachides","")&amp;IF(J27="X",IF(COUNTIF($E27:$I27,"X")&gt;0,", ","")&amp;"Soja","")&amp;IF(K27="X",IF(COUNTIF($E27:$J27,"X")&gt;0,", ","")&amp;"Lait","")&amp;IF(L27="X",IF(COUNTIF($E27:$K27,"X")&gt;0,", ","")&amp;"Fruits à coque","")&amp;IF(M27="X",IF(COUNTIF($E27:$L27,"X")&gt;0,", ","")&amp;"Céleri","")&amp;IF(N27="X",IF(COUNTIF($E27:$M27,"X")&gt;0,", ","")&amp;"Moutarde","")&amp;IF(O27="X",IF(COUNTIF($E27:$N27,"X")&gt;0,", ","")&amp;"Sésame","")&amp;IF(P27="X",IF(COUNTIF($E27:$O27,"X")&gt;0,", ","")&amp;"Sulfites","")&amp;IF(Q27="X",IF(COUNTIF($E27:$P27,"X")&gt;0,", ","")&amp;"Lupin","")&amp;IF(R27="X",IF(COUNTIF($E27:$Q27,"X")&gt;0,", ","")&amp;"Mollusques","")),"")</f>
        <v/>
      </c>
      <c r="E27" s="513" t="str">
        <f>IF(27=27,IF($B27="","",AF27),"")</f>
        <v>?</v>
      </c>
      <c r="F27" s="513" t="str">
        <f>IF(27=27,IF($B27="","",AI27),"")</f>
        <v/>
      </c>
      <c r="G27" s="513" t="str">
        <f>IF(27=27,IF($B27="","",AM27),"")</f>
        <v/>
      </c>
      <c r="H27" s="513" t="str">
        <f>IF(27=27,IF($B27="","",IF(ISNUMBER(SEARCH(" colin ",$AA27)),"X",AZ27)),"")</f>
        <v/>
      </c>
      <c r="I27" s="513" t="str">
        <f>IF(27=27,IF($B27="","",BB27),"")</f>
        <v/>
      </c>
      <c r="J27" s="513" t="str">
        <f>IF(27=27,IF($B27="","",BF27),"")</f>
        <v/>
      </c>
      <c r="K27" s="513" t="str">
        <f>IF(27=27,IF($B27="","",BM27),"")</f>
        <v/>
      </c>
      <c r="L27" s="513" t="str">
        <f>IF(27=27,IF($B27="","",BQ27),"")</f>
        <v/>
      </c>
      <c r="M27" s="513" t="str">
        <f>IF(27=27,IF($B27="","",BT27),"")</f>
        <v/>
      </c>
      <c r="N27" s="513" t="str">
        <f>IF(27=27,IF($B27="","",BW27),"")</f>
        <v/>
      </c>
      <c r="O27" s="513" t="str">
        <f>IF(27=27,IF($B27="","",BZ27),"")</f>
        <v/>
      </c>
      <c r="P27" s="513" t="str">
        <f>IF(27=27,IF($B27="","",CC27),"")</f>
        <v/>
      </c>
      <c r="Q27" s="513" t="str">
        <f>IF(27=27,IF($B27="","",CF27),"")</f>
        <v/>
      </c>
      <c r="R27" s="513" t="str">
        <f>IF(27=27,IF($B27="","",CL27),"")</f>
        <v/>
      </c>
      <c r="S27" s="514" t="str">
        <f>IF(27=27,IF($B27="","",IF(E27="?",""&amp;"Céréales contenant du gluten","")&amp;IF(F27="?",IF(COUNTIF($E27:$E27,"~?")&gt;0,", ","")&amp;"Crustacés","")&amp;IF(G27="?",IF(COUNTIF($E27:$F27,"~?")&gt;0,", ","")&amp;"Œufs","")&amp;IF(H27="?",IF(COUNTIF($E27:$G27,"~?")&gt;0,", ","")&amp;"Poissons","")&amp;IF(I27="?",IF(COUNTIF($E27:$H27,"~?")&gt;0,", ","")&amp;"Arachides","")&amp;IF(J27="?",IF(COUNTIF($E27:$I27,"~?")&gt;0,", ","")&amp;"Soja","")&amp;IF(K27="?",IF(COUNTIF($E27:$J27,"~?")&gt;0,", ","")&amp;"Lait","")&amp;IF(L27="?",IF(COUNTIF($E27:$K27,"~?")&gt;0,", ","")&amp;"Fruits à coque","")&amp;IF(M27="?",IF(COUNTIF($E27:$L27,"~?")&gt;0,", ","")&amp;"Céleri","")&amp;IF(N27="?",IF(COUNTIF($E27:$M27,"~?")&gt;0,", ","")&amp;"Moutarde","")&amp;IF(O27="?",IF(COUNTIF($E27:$N27,"~?")&gt;0,", ","")&amp;"Sésame","")&amp;IF(P27="?",IF(COUNTIF($E27:$O27,"~?")&gt;0,", ","")&amp;"Sulfites","")&amp;IF(Q27="?",IF(COUNTIF($E27:$P27,"~?")&gt;0,", ","")&amp;"Lupin","")&amp;IF(R27="?",IF(COUNTIF($E27:$Q27,"~?")&gt;0,", ","")&amp;"Mollusques","")),"")</f>
        <v>Céréales contenant du gluten</v>
      </c>
      <c r="U27" s="493" t="str">
        <f>IF(27=27,IF($B27="","",$B27),"")</f>
        <v xml:space="preserve">Farine </v>
      </c>
      <c r="V27" s="493" t="str">
        <f>IF(27=27,LOWER(CLEAN(SUBSTITUTE(SUBSTITUTE(SUBSTITUTE(SUBSTITUTE($U27,CHAR(160)," ")," "," "),CHAR(10)," "),CHAR(13)," "))),"")</f>
        <v xml:space="preserve">farine </v>
      </c>
      <c r="W27" s="493" t="str">
        <f>IF(27=27,SUBSTITUTE(SUBSTITUTE(SUBSTITUTE(SUBSTITUTE(SUBSTITUTE(SUBSTITUTE(SUBSTITUTE(SUBSTITUTE(SUBSTITUTE(SUBSTITUTE(SUBSTITUTE(SUBSTITUTE($V27,"œ","oe"),"æ","ae"),"à","a"),"á","a"),"â","a"),"ä","a"),"ã","a"),"ç","c"),"è","e"),"é","e"),"ê","e"),"ë","e"),"")</f>
        <v xml:space="preserve">farine </v>
      </c>
      <c r="X27" s="493" t="str">
        <f>IF(27=27,SUBSTITUTE(SUBSTITUTE(SUBSTITUTE(SUBSTITUTE(SUBSTITUTE(SUBSTITUTE(SUBSTITUTE(SUBSTITUTE(SUBSTITUTE(SUBSTITUTE(SUBSTITUTE(SUBSTITUTE(SUBSTITUTE(SUBSTITUTE(SUBSTITUTE(SUBSTITUTE($W27,"ì","i"),"í","i"),"î","i"),"ï","i"),"ñ","n"),"ò","o"),"ó","o"),"ô","o"),"ö","o"),"õ","o"),"ù","u"),"ú","u"),"û","u"),"ü","u"),"ý","y"),"ÿ","y"),"")</f>
        <v xml:space="preserve">farine </v>
      </c>
      <c r="Y27" s="493" t="str">
        <f>IF(27=27,SUBSTITUTE(SUBSTITUTE(SUBSTITUTE(SUBSTITUTE(SUBSTITUTE(SUBSTITUTE(SUBSTITUTE(SUBSTITUTE(SUBSTITUTE(SUBSTITUTE(SUBSTITUTE(SUBSTITUTE(SUBSTITUTE(SUBSTITUTE($X27,"’"," "),"`"," "),"–"," "),"—"," "),"-"," "),"'"," "),"/"," "),"_"," "),","," "),"."," "),"("," "),")"," "),";"," "),":"," "),"")</f>
        <v xml:space="preserve">farine </v>
      </c>
      <c r="Z27" s="493" t="str">
        <f>IF(27=27,SUBSTITUTE(SUBSTITUTE(SUBSTITUTE(SUBSTITUTE(SUBSTITUTE(SUBSTITUTE(SUBSTITUTE(SUBSTITUTE(SUBSTITUTE(SUBSTITUTE(SUBSTITUTE(SUBSTITUTE(SUBSTITUTE(SUBSTITUTE(SUBSTITUTE($Y27,"!"," "),"?"," "),"+"," "),"*"," "),"&amp;"," "),"["," "),"]"," "),"{"," "),"}"," "),"%"," "),"="," "),"\"," "),"|"," "),"&lt;"," "),"&gt;"," "),"")</f>
        <v xml:space="preserve">farine </v>
      </c>
      <c r="AA27" s="493" t="str">
        <f>IF(27=27," "&amp;TRIM(SUBSTITUTE(SUBSTITUTE(SUBSTITUTE(SUBSTITUTE(SUBSTITUTE(SUBSTITUTE($Z27,CHAR(34)," "),"  "," "),"  "," "),"  "," "),"  "," "),"  "," "))&amp;" ","")</f>
        <v xml:space="preserve"> farine </v>
      </c>
      <c r="AB27" s="493">
        <f>IF(27=27,IF($U27="","",SUMPRODUCT(--ISNUMBER(SEARCH(" "&amp;$CR$2:$CR$101&amp;" ",$AD27)))),"")</f>
        <v>0</v>
      </c>
      <c r="AC27" s="493">
        <f>IF(27=27,IF($U27="","",SUMPRODUCT(--ISNUMBER(SEARCH(" "&amp;$CR$102:$CR$151&amp;" ",$AD27)))),"")</f>
        <v>0</v>
      </c>
      <c r="AD27" s="493" t="str">
        <f t="shared" si="1"/>
        <v xml:space="preserve"> farine </v>
      </c>
      <c r="AE27" s="493">
        <f t="shared" si="2"/>
        <v>1</v>
      </c>
      <c r="AF27" s="493" t="str">
        <f>IF(27=27,IF($U27="","",IF(SUM(AB27:AC27)+SUMPRODUCT(--ISNUMBER(SEARCH(" "&amp;$CR$2418:$CR$2420&amp;" ",$AD27)))&gt;0,"X",IF(AE27&gt;0,"?",""))),"")</f>
        <v>?</v>
      </c>
      <c r="AG27" s="493">
        <f>IF(27=27,IF($U27="","",SUMPRODUCT(--ISNUMBER(SEARCH(" "&amp;$CR$206:$CR$305&amp;" ",$AA27)))),"")</f>
        <v>0</v>
      </c>
      <c r="AH27" s="493">
        <f>IF(27=27,IF($U27="","",SUMPRODUCT(--ISNUMBER(SEARCH(" "&amp;$CR$306:$CR$340&amp;" ",$AA27)))),"")</f>
        <v>0</v>
      </c>
      <c r="AI27" s="493" t="str">
        <f>IF(27=27,IF($U27="","",IF((SUM(AG27:AH27))-(0)&gt;0,"X",IF((0)-(0)&gt;0,"?",""))),"")</f>
        <v/>
      </c>
      <c r="AJ27" s="493">
        <f>IF(27=27,IF($U27="","",SUMPRODUCT(--ISNUMBER(SEARCH(" "&amp;$CR$341:$CR$398&amp;" ",$AA27)))),"")</f>
        <v>0</v>
      </c>
      <c r="AK27" s="493">
        <f>IF(27=27,IF($U27="","",SUMPRODUCT(--ISNUMBER(SEARCH(" "&amp;$CR$399:$CR$426&amp;" ",$AL27)))+SUMPRODUCT(--ISNUMBER(SEARCH(" "&amp;$CR$2440:$CR$2453&amp;" ",$AL27)))),"")</f>
        <v>0</v>
      </c>
      <c r="AL27" s="493" t="str">
        <f>IF(27=27,IF($U27="","",SUBSTITUTE(SUBSTITUTE(SUBSTITUTE(SUBSTITUTE(SUBSTITUTE(SUBSTITUTE(SUBSTITUTE(SUBSTITUTE(SUBSTITUTE(SUBSTITUTE(SUBSTITUTE(SUBSTITUTE(SUBSTITUTE(SUBSTITUTE($AA27," "&amp;$CR$2455&amp;" "," ")," "&amp;$CR$433&amp;" "," ")," "&amp;$CR$431&amp;" "," ")," "&amp;$CR$2438&amp;" "," ")," "&amp;$CR$2439&amp;" "," ")," "&amp;$CR$428&amp;" "," ")," "&amp;$CR$432&amp;" "," ")," "&amp;$CR$434&amp;" "," ")," "&amp;$CR$429&amp;" "," ")," "&amp;$CR$427&amp;" "," ")," "&amp;$CR$1367&amp;" "," ")," "&amp;$CR$435&amp;" "," ")," "&amp;$CR$1366&amp;" "," ")," "&amp;$CR$430&amp;" "," ")),"")</f>
        <v xml:space="preserve"> farine </v>
      </c>
      <c r="AM27" s="493" t="str">
        <f>IF(27=27,IF($U27="","",IF(AJ27&gt;0,"X",IF(AK27&gt;0,"?",""))),"")</f>
        <v/>
      </c>
      <c r="AN27" s="493">
        <f>IF(27=27,IF($U27="","",SUMPRODUCT(--ISNUMBER(SEARCH(" "&amp;$CR$436:$CR$535&amp;" ",$AX27)))),"")</f>
        <v>0</v>
      </c>
      <c r="AO27" s="493">
        <f>IF(27=27,IF($U27="","",SUMPRODUCT(--ISNUMBER(SEARCH(" "&amp;$CR$536:$CR$635&amp;" ",$AX27)))),"")</f>
        <v>0</v>
      </c>
      <c r="AP27" s="493">
        <f>IF(27=27,IF($U27="","",SUMPRODUCT(--ISNUMBER(SEARCH(" "&amp;$CR$636:$CR$735&amp;" ",$AX27)))),"")</f>
        <v>0</v>
      </c>
      <c r="AQ27" s="493">
        <f>IF(27=27,IF($U27="","",SUMPRODUCT(--ISNUMBER(SEARCH(" "&amp;$CR$736:$CR$835&amp;" ",$AX27)))),"")</f>
        <v>0</v>
      </c>
      <c r="AR27" s="493">
        <f>IF(27=27,IF($U27="","",SUMPRODUCT(--ISNUMBER(SEARCH(" "&amp;$CR$836:$CR$935&amp;" ",$AX27)))),"")</f>
        <v>0</v>
      </c>
      <c r="AS27" s="493">
        <f>IF(27=27,IF($U27="","",SUMPRODUCT(--ISNUMBER(SEARCH(" "&amp;$CR$936:$CR$1035&amp;" ",$AX27)))),"")</f>
        <v>0</v>
      </c>
      <c r="AT27" s="493">
        <f>IF(27=27,IF($U27="","",SUMPRODUCT(--ISNUMBER(SEARCH(" "&amp;$CR$1036:$CR$1135&amp;" ",$AX27)))),"")</f>
        <v>0</v>
      </c>
      <c r="AU27" s="493">
        <f>IF(27=27,IF($U27="","",SUMPRODUCT(--ISNUMBER(SEARCH(" "&amp;$CR$1136:$CR$1235&amp;" ",$AX27)))),"")</f>
        <v>0</v>
      </c>
      <c r="AV27" s="493">
        <f>IF(27=27,IF($U27="","",SUMPRODUCT(--ISNUMBER(SEARCH(" "&amp;$CR$1236:$CR$1335&amp;" ",$AX27)))),"")</f>
        <v>0</v>
      </c>
      <c r="AW27" s="493">
        <f>IF(27=27,IF($U27="","",SUMPRODUCT(--ISNUMBER(SEARCH(" "&amp;$CR$1336:$CR$1363&amp;" ",$AX27)))),"")</f>
        <v>0</v>
      </c>
      <c r="AX27" s="493" t="str">
        <f>IF(27=27,IF($U27="","",SUBSTITUTE(SUBSTITUTE(SUBSTITUTE(SUBSTITUTE(SUBSTITUTE(SUBSTITUTE(SUBSTITUTE(SUBSTITUTE(SUBSTITUTE($AA27," "&amp;$CR$1365&amp;" "," ")," "&amp;$CR$1364&amp;" "," ")," "&amp;$CR$1370&amp;" "," ")," "&amp;$CR$1371&amp;" "," ")," "&amp;$CR$1367&amp;" "," ")," "&amp;$CR$1369&amp;" "," ")," "&amp;$CR$1366&amp;" "," ")," "&amp;$CR$1368&amp;" "," ")," "&amp;$CR$1372&amp;" "," ")),"")</f>
        <v xml:space="preserve"> farine </v>
      </c>
      <c r="AY27" s="493">
        <f>IF(27=27,IF($U27="","",SUMPRODUCT(--ISNUMBER(SEARCH(" "&amp;$CR$1373:$CR$1383&amp;" ",$AX27)))),"")</f>
        <v>0</v>
      </c>
      <c r="AZ27" s="493" t="str">
        <f>IF(27=27,IF($U27="","",IF(SUM(AN27:AW27)+SUMPRODUCT(--ISNUMBER(SEARCH(" "&amp;$CR$2421:$CR$2422&amp;" ",$AX27)))&gt;0,"X",IF(AY27&gt;0,"?",""))),"")</f>
        <v/>
      </c>
      <c r="BA27" s="493">
        <f>IF(27=27,IF($U27="","",SUMPRODUCT(--ISNUMBER(SEARCH(" "&amp;$CR$1384:$CR$1404&amp;" ",$AA27)))),"")</f>
        <v>0</v>
      </c>
      <c r="BB27" s="493" t="str">
        <f>IF(27=27,IF($U27="","",IF((BA27)-(0)&gt;0,"X",IF((0)-(0)&gt;0,"?",""))),"")</f>
        <v/>
      </c>
      <c r="BC27" s="493">
        <f>IF(27=27,IF($U27="","",SUMPRODUCT(--ISNUMBER(SEARCH(" "&amp;$CR$1405:$CR$1442&amp;" ",$BD27)))),"")</f>
        <v>0</v>
      </c>
      <c r="BD27" s="493" t="str">
        <f>IF(27=27,IF($U27="","",SUBSTITUTE(SUBSTITUTE($AA27," "&amp;$CR$1443&amp;" "," ")," "&amp;$CR$1444&amp;" "," ")),"")</f>
        <v xml:space="preserve"> farine </v>
      </c>
      <c r="BE27" s="493">
        <f>IF(27=27,IF($U27="","",SUMPRODUCT(--ISNUMBER(SEARCH(" "&amp;$CR$1445:$CR$1455&amp;" ",$BD27)))),"")</f>
        <v>0</v>
      </c>
      <c r="BF27" s="493" t="str">
        <f>IF(27=27,IF($U27="","",IF(BC27&gt;0,"X",IF(BE27&gt;0,"?",""))),"")</f>
        <v/>
      </c>
      <c r="BG27" s="493">
        <f>IF(27=27,IF($U27="","",SUMPRODUCT(--ISNUMBER(SEARCH(" "&amp;$CR$1456:$CR$1555&amp;" ",$BJ27)))),"")</f>
        <v>0</v>
      </c>
      <c r="BH27" s="493">
        <f>IF(27=27,IF($U27="","",SUMPRODUCT(--ISNUMBER(SEARCH(" "&amp;$CR$1556:$CR$1655&amp;" ",$BJ27)))),"")</f>
        <v>0</v>
      </c>
      <c r="BI27" s="493">
        <f>IF(27=27,IF($U27="","",SUMPRODUCT(--ISNUMBER(SEARCH(" "&amp;$CR$1656:$CR$1739&amp;" ",$BJ27)))),"")</f>
        <v>0</v>
      </c>
      <c r="BJ27" s="493" t="str">
        <f>IF(27=27,IF($U27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farine </v>
      </c>
      <c r="BK27" s="493">
        <f>IF(27=27,IF($U27="","",SUMPRODUCT(--ISNUMBER(SEARCH(" "&amp;$CR$1790:$CR$1869&amp;" ",$BL27)))+SUMPRODUCT(--ISNUMBER(SEARCH(" "&amp;$CR$2440:$CR$2453&amp;" ",$BL27)))),"")</f>
        <v>0</v>
      </c>
      <c r="BL27" s="493" t="str">
        <f>IF(27=27,IF($U27="","",SUBSTITUTE(SUBSTITUTE(SUBSTITUTE(SUBSTITUTE(SUBSTITUTE(SUBSTITUTE(SUBSTITUTE(SUBSTITUTE(SUBSTITUTE(SUBSTITUTE(SUBSTITUTE(SUBSTITUTE(SUBSTITUTE($BJ27," "&amp;$CR$1876&amp;" "," ")," "&amp;$CR$1874&amp;" "," ")," "&amp;$CR$2438&amp;" "," ")," "&amp;$CR$2439&amp;" "," ")," "&amp;$CR$1871&amp;" "," ")," "&amp;$CR$1875&amp;" "," ")," "&amp;$CR$1877&amp;" "," ")," "&amp;$CR$1872&amp;" "," ")," "&amp;$CR$1870&amp;" "," ")," "&amp;$CR$1367&amp;" "," ")," "&amp;$CR$1878&amp;" "," ")," "&amp;$CR$1366&amp;" "," ")," "&amp;$CR$1873&amp;" "," ")),"")</f>
        <v xml:space="preserve"> farine </v>
      </c>
      <c r="BM27" s="493" t="str">
        <f>IF(27=27,IF($U27="","",IF(SUM(BG27:BI27)+SUMPRODUCT(--ISNUMBER(SEARCH(" "&amp;$CR$2423:$CR$2424&amp;" ",$BJ27)))&gt;0,"X",IF(BK27&gt;0,"?",""))),"")</f>
        <v/>
      </c>
      <c r="BN27" s="493">
        <f>IF(27=27,IF($U27="","",SUMPRODUCT(--ISNUMBER(SEARCH(" "&amp;$CR$1879:$CR$1936&amp;" ",$BO27)))),"")</f>
        <v>0</v>
      </c>
      <c r="BO27" s="493" t="str">
        <f>IF(27=27,IF($U27="","",SUBSTITUTE(SUBSTITUTE(SUBSTITUTE(SUBSTITUTE(SUBSTITUTE(SUBSTITUTE(SUBSTITUTE(SUBSTITUTE(SUBSTITUTE(SUBSTITUTE(SUBSTITUTE(SUBSTITUTE(SUBSTITUTE(SUBSTITUTE(SUBSTITUTE(SUBSTITUTE(SUBSTITUTE(SUBSTITUTE(SUBSTITUTE(SUBSTITUTE(SUBSTITUTE(SUBSTITUTE(SUBSTITUTE($AA27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farine </v>
      </c>
      <c r="BP27" s="493">
        <f>IF(27=27,IF($U27="","",SUMPRODUCT(--ISNUMBER(SEARCH(" "&amp;$CR$1960:$CR$1976&amp;" ",$BO27)))),"")</f>
        <v>0</v>
      </c>
      <c r="BQ27" s="493" t="str">
        <f>IF(27=27,IF($U27="","",IF(BN27&gt;0,"X",IF(BP27&gt;0,"?",""))),"")</f>
        <v/>
      </c>
      <c r="BR27" s="493">
        <f>IF(27=27,IF($U27="","",SUMPRODUCT(--ISNUMBER(SEARCH(" "&amp;$CR$1977:$CR$1990&amp;" ",$AA27)))),"")</f>
        <v>0</v>
      </c>
      <c r="BS27" s="493">
        <f>IF(27=27,IF($U27="","",SUMPRODUCT(--ISNUMBER(SEARCH(" "&amp;$CR$1991:$CR$2005&amp;" ",$AA27)))),"")</f>
        <v>0</v>
      </c>
      <c r="BT27" s="493" t="str">
        <f>IF(27=27,IF($U27="","",IF((BR27)-(0)&gt;0,"X",IF((BS27)-(0)&gt;0,"?",""))),"")</f>
        <v/>
      </c>
      <c r="BU27" s="493">
        <f>IF(27=27,IF($U27="","",SUMPRODUCT(--ISNUMBER(SEARCH(" "&amp;$CR$2006:$CR$2023&amp;" ",$AA27)))),"")</f>
        <v>0</v>
      </c>
      <c r="BV27" s="493">
        <f>IF(27=27,IF($U27="","",SUMPRODUCT(--ISNUMBER(SEARCH(" "&amp;$CR$2024:$CR$2038&amp;" ",$AA27)))),"")</f>
        <v>0</v>
      </c>
      <c r="BW27" s="493" t="str">
        <f>IF(27=27,IF($U27="","",IF((BU27)-(0)&gt;0,"X",IF((BV27)-(0)&gt;0,"?",""))),"")</f>
        <v/>
      </c>
      <c r="BX27" s="493">
        <f>IF(27=27,IF($U27="","",SUMPRODUCT(--ISNUMBER(SEARCH(" "&amp;$CR$2039:$CR$2057&amp;" ",$AA27)))),"")</f>
        <v>0</v>
      </c>
      <c r="BY27" s="493">
        <f>IF(27=27,IF($U27="","",SUMPRODUCT(--ISNUMBER(SEARCH(" "&amp;$CR$2058:$CR$2072&amp;" ",$AA27)))),"")</f>
        <v>0</v>
      </c>
      <c r="BZ27" s="493" t="str">
        <f>IF(27=27,IF($U27="","",IF((BX27)-(0)&gt;0,"X",IF((BY27)-(0)&gt;0,"?",""))),"")</f>
        <v/>
      </c>
      <c r="CA27" s="493">
        <f>IF(27=27,IF($U27="","",SUMPRODUCT(--ISNUMBER(SEARCH(" "&amp;$CR$2073:$CR$2093&amp;" ",$AA27)))),"")</f>
        <v>0</v>
      </c>
      <c r="CB27" s="493">
        <f>IF(27=27,IF($U27="","",SUMPRODUCT(--ISNUMBER(SEARCH(" "&amp;$CR$2094:$CR$2133&amp;" ",SUBSTITUTE(SUBSTITUTE($AA27," "&amp;$CR$1367&amp;" "," ")," "&amp;$CR$1366&amp;" "," "))))+--ISNUMBER(SEARCH("poiré",$V27))),"")</f>
        <v>0</v>
      </c>
      <c r="CC27" s="493" t="str">
        <f>IF(27=27,IF($U27="","",IF(OR(CA27&gt;0,ISNUMBER(SEARCH(" vinaigre de vin ",$AA27)),ISNUMBER(SEARCH(" vinaigre au vin ",$AA27))),"X",IF(CB27&gt;0,"?",""))),"")</f>
        <v/>
      </c>
      <c r="CD27" s="493">
        <f>IF(27=27,IF($U27="","",SUMPRODUCT(--ISNUMBER(SEARCH(" "&amp;$CR$2134:$CR$2146&amp;" ",$AA27)))),"")</f>
        <v>0</v>
      </c>
      <c r="CE27" s="493">
        <f>IF(27=27,IF($U27="","",SUMPRODUCT(--ISNUMBER(SEARCH(" "&amp;$CR$2147:$CR$2152&amp;" ",$AA27)))),"")</f>
        <v>0</v>
      </c>
      <c r="CF27" s="493" t="str">
        <f>IF(27=27,IF($U27="","",IF((CD27)-(0)&gt;0,"X",IF((CE27)-(0)&gt;0,"?",""))),"")</f>
        <v/>
      </c>
      <c r="CG27" s="493">
        <f>IF(27=27,IF($U27="","",SUMPRODUCT(--ISNUMBER(SEARCH(" "&amp;$CR$2153:$CR$2252&amp;" ",$CJ27)))),"")</f>
        <v>0</v>
      </c>
      <c r="CH27" s="493">
        <f>IF(27=27,IF($U27="","",SUMPRODUCT(--ISNUMBER(SEARCH(" "&amp;$CR$2253:$CR$2352&amp;" ",$CJ27)))),"")</f>
        <v>0</v>
      </c>
      <c r="CI27" s="493">
        <f>IF(27=27,IF($U27="","",SUMPRODUCT(--ISNUMBER(SEARCH(" "&amp;$CR$2353:$CR$2395&amp;" ",$CJ27)))),"")</f>
        <v>0</v>
      </c>
      <c r="CJ27" s="493" t="str">
        <f>IF(27=27,IF($U27="","",SUBSTITUTE(SUBSTITUTE(SUBSTITUTE(SUBSTITUTE(SUBSTITUTE(SUBSTITUTE(SUBSTITUTE(SUBSTITUTE(SUBSTITUTE(SUBSTITUTE(SUBSTITUTE(SUBSTITUTE(SUBSTITUTE(SUBSTITUTE(SUBSTITUTE(SUBSTITUTE($AA27," "&amp;$CR$2401&amp;" "," ")," "&amp;$CR$2400&amp;" "," ")," "&amp;$CR$2399&amp;" "," ")," "&amp;$CR$2406&amp;" "," ")," "&amp;$CR$2398&amp;" "," ")," "&amp;$CR$2410&amp;" "," ")," "&amp;$CR$2397&amp;" "," ")," "&amp;$CR$2402&amp;" "," ")," "&amp;$CR$2405&amp;" "," ")," "&amp;$CR$2396&amp;" "," ")," "&amp;$CR$2404&amp;" "," ")," "&amp;$CR$2411&amp;" "," ")," "&amp;$CR$2408&amp;" "," ")," "&amp;$CR$2403&amp;" "," ")," "&amp;$CR$2407&amp;" "," ")," "&amp;$CR$2409&amp;" "," ")),"")</f>
        <v xml:space="preserve"> farine </v>
      </c>
      <c r="CK27" s="493">
        <f>IF(27=27,IF($U27="","",SUMPRODUCT(--ISNUMBER(SEARCH(" "&amp;$CR$2412:$CR$2416&amp;" ",$CJ27)))),"")</f>
        <v>0</v>
      </c>
      <c r="CL27" s="493" t="str">
        <f>IF(27=27,IF($U27="","",IF(SUM(CG27:CI27)&gt;0,"X",IF(CK27&gt;0,"?",""))),"")</f>
        <v/>
      </c>
      <c r="CM27" s="494"/>
      <c r="CN27" s="496" t="s">
        <v>1190</v>
      </c>
      <c r="CO27" s="496" t="s">
        <v>1083</v>
      </c>
      <c r="CP27" s="496" t="s">
        <v>689</v>
      </c>
      <c r="CQ27" s="496" t="s">
        <v>1191</v>
      </c>
      <c r="CR27" s="496" t="s">
        <v>1192</v>
      </c>
      <c r="CS27" s="496" t="s">
        <v>1085</v>
      </c>
      <c r="CT27" s="496" t="s">
        <v>1086</v>
      </c>
      <c r="CU27" s="496" t="s">
        <v>1087</v>
      </c>
      <c r="CV27" s="497" t="s">
        <v>1088</v>
      </c>
      <c r="CX27" s="543">
        <v>1</v>
      </c>
    </row>
    <row r="28" spans="1:102" ht="21" customHeight="1">
      <c r="A28" s="509">
        <v>22</v>
      </c>
      <c r="B28" s="510" t="s">
        <v>5866</v>
      </c>
      <c r="C28" s="511" t="str">
        <f t="shared" si="0"/>
        <v>Filets de morue dessalés *</v>
      </c>
      <c r="D28" s="512" t="str">
        <f>IF(28=28,IF($B28="","",IF(E28="X",""&amp;"Céréales contenant du gluten","")&amp;IF(F28="X",IF(COUNTIF($E28:$E28,"X")&gt;0,", ","")&amp;"Crustacés","")&amp;IF(G28="X",IF(COUNTIF($E28:$F28,"X")&gt;0,", ","")&amp;"Œufs","")&amp;IF(H28="X",IF(COUNTIF($E28:$G28,"X")&gt;0,", ","")&amp;"Poissons","")&amp;IF(I28="X",IF(COUNTIF($E28:$H28,"X")&gt;0,", ","")&amp;"Arachides","")&amp;IF(J28="X",IF(COUNTIF($E28:$I28,"X")&gt;0,", ","")&amp;"Soja","")&amp;IF(K28="X",IF(COUNTIF($E28:$J28,"X")&gt;0,", ","")&amp;"Lait","")&amp;IF(L28="X",IF(COUNTIF($E28:$K28,"X")&gt;0,", ","")&amp;"Fruits à coque","")&amp;IF(M28="X",IF(COUNTIF($E28:$L28,"X")&gt;0,", ","")&amp;"Céleri","")&amp;IF(N28="X",IF(COUNTIF($E28:$M28,"X")&gt;0,", ","")&amp;"Moutarde","")&amp;IF(O28="X",IF(COUNTIF($E28:$N28,"X")&gt;0,", ","")&amp;"Sésame","")&amp;IF(P28="X",IF(COUNTIF($E28:$O28,"X")&gt;0,", ","")&amp;"Sulfites","")&amp;IF(Q28="X",IF(COUNTIF($E28:$P28,"X")&gt;0,", ","")&amp;"Lupin","")&amp;IF(R28="X",IF(COUNTIF($E28:$Q28,"X")&gt;0,", ","")&amp;"Mollusques","")),"")</f>
        <v>Poissons</v>
      </c>
      <c r="E28" s="513" t="str">
        <f>IF(28=28,IF($B28="","",AF28),"")</f>
        <v/>
      </c>
      <c r="F28" s="513" t="str">
        <f>IF(28=28,IF($B28="","",AI28),"")</f>
        <v/>
      </c>
      <c r="G28" s="513" t="str">
        <f>IF(28=28,IF($B28="","",AM28),"")</f>
        <v/>
      </c>
      <c r="H28" s="513" t="str">
        <f>IF(28=28,IF($B28="","",IF(ISNUMBER(SEARCH(" colin ",$AA28)),"X",AZ28)),"")</f>
        <v>X</v>
      </c>
      <c r="I28" s="513" t="str">
        <f>IF(28=28,IF($B28="","",BB28),"")</f>
        <v/>
      </c>
      <c r="J28" s="513" t="str">
        <f>IF(28=28,IF($B28="","",BF28),"")</f>
        <v/>
      </c>
      <c r="K28" s="513" t="str">
        <f>IF(28=28,IF($B28="","",BM28),"")</f>
        <v/>
      </c>
      <c r="L28" s="513" t="str">
        <f>IF(28=28,IF($B28="","",BQ28),"")</f>
        <v/>
      </c>
      <c r="M28" s="513" t="str">
        <f>IF(28=28,IF($B28="","",BT28),"")</f>
        <v/>
      </c>
      <c r="N28" s="513" t="str">
        <f>IF(28=28,IF($B28="","",BW28),"")</f>
        <v/>
      </c>
      <c r="O28" s="513" t="str">
        <f>IF(28=28,IF($B28="","",BZ28),"")</f>
        <v/>
      </c>
      <c r="P28" s="513" t="str">
        <f>IF(28=28,IF($B28="","",CC28),"")</f>
        <v/>
      </c>
      <c r="Q28" s="513" t="str">
        <f>IF(28=28,IF($B28="","",CF28),"")</f>
        <v/>
      </c>
      <c r="R28" s="513" t="str">
        <f>IF(28=28,IF($B28="","",CL28),"")</f>
        <v/>
      </c>
      <c r="S28" s="514" t="str">
        <f>IF(28=28,IF($B28="","",IF(E28="?",""&amp;"Céréales contenant du gluten","")&amp;IF(F28="?",IF(COUNTIF($E28:$E28,"~?")&gt;0,", ","")&amp;"Crustacés","")&amp;IF(G28="?",IF(COUNTIF($E28:$F28,"~?")&gt;0,", ","")&amp;"Œufs","")&amp;IF(H28="?",IF(COUNTIF($E28:$G28,"~?")&gt;0,", ","")&amp;"Poissons","")&amp;IF(I28="?",IF(COUNTIF($E28:$H28,"~?")&gt;0,", ","")&amp;"Arachides","")&amp;IF(J28="?",IF(COUNTIF($E28:$I28,"~?")&gt;0,", ","")&amp;"Soja","")&amp;IF(K28="?",IF(COUNTIF($E28:$J28,"~?")&gt;0,", ","")&amp;"Lait","")&amp;IF(L28="?",IF(COUNTIF($E28:$K28,"~?")&gt;0,", ","")&amp;"Fruits à coque","")&amp;IF(M28="?",IF(COUNTIF($E28:$L28,"~?")&gt;0,", ","")&amp;"Céleri","")&amp;IF(N28="?",IF(COUNTIF($E28:$M28,"~?")&gt;0,", ","")&amp;"Moutarde","")&amp;IF(O28="?",IF(COUNTIF($E28:$N28,"~?")&gt;0,", ","")&amp;"Sésame","")&amp;IF(P28="?",IF(COUNTIF($E28:$O28,"~?")&gt;0,", ","")&amp;"Sulfites","")&amp;IF(Q28="?",IF(COUNTIF($E28:$P28,"~?")&gt;0,", ","")&amp;"Lupin","")&amp;IF(R28="?",IF(COUNTIF($E28:$Q28,"~?")&gt;0,", ","")&amp;"Mollusques","")),"")</f>
        <v/>
      </c>
      <c r="U28" s="493" t="str">
        <f>IF(28=28,IF($B28="","",$B28),"")</f>
        <v>Filets de morue dessalés</v>
      </c>
      <c r="V28" s="493" t="str">
        <f>IF(28=28,LOWER(CLEAN(SUBSTITUTE(SUBSTITUTE(SUBSTITUTE(SUBSTITUTE($U28,CHAR(160)," ")," "," "),CHAR(10)," "),CHAR(13)," "))),"")</f>
        <v>filets de morue dessalés</v>
      </c>
      <c r="W28" s="493" t="str">
        <f>IF(28=28,SUBSTITUTE(SUBSTITUTE(SUBSTITUTE(SUBSTITUTE(SUBSTITUTE(SUBSTITUTE(SUBSTITUTE(SUBSTITUTE(SUBSTITUTE(SUBSTITUTE(SUBSTITUTE(SUBSTITUTE($V28,"œ","oe"),"æ","ae"),"à","a"),"á","a"),"â","a"),"ä","a"),"ã","a"),"ç","c"),"è","e"),"é","e"),"ê","e"),"ë","e"),"")</f>
        <v>filets de morue dessales</v>
      </c>
      <c r="X28" s="493" t="str">
        <f>IF(28=28,SUBSTITUTE(SUBSTITUTE(SUBSTITUTE(SUBSTITUTE(SUBSTITUTE(SUBSTITUTE(SUBSTITUTE(SUBSTITUTE(SUBSTITUTE(SUBSTITUTE(SUBSTITUTE(SUBSTITUTE(SUBSTITUTE(SUBSTITUTE(SUBSTITUTE(SUBSTITUTE($W28,"ì","i"),"í","i"),"î","i"),"ï","i"),"ñ","n"),"ò","o"),"ó","o"),"ô","o"),"ö","o"),"õ","o"),"ù","u"),"ú","u"),"û","u"),"ü","u"),"ý","y"),"ÿ","y"),"")</f>
        <v>filets de morue dessales</v>
      </c>
      <c r="Y28" s="493" t="str">
        <f>IF(28=28,SUBSTITUTE(SUBSTITUTE(SUBSTITUTE(SUBSTITUTE(SUBSTITUTE(SUBSTITUTE(SUBSTITUTE(SUBSTITUTE(SUBSTITUTE(SUBSTITUTE(SUBSTITUTE(SUBSTITUTE(SUBSTITUTE(SUBSTITUTE($X28,"’"," "),"`"," "),"–"," "),"—"," "),"-"," "),"'"," "),"/"," "),"_"," "),","," "),"."," "),"("," "),")"," "),";"," "),":"," "),"")</f>
        <v>filets de morue dessales</v>
      </c>
      <c r="Z28" s="493" t="str">
        <f>IF(28=28,SUBSTITUTE(SUBSTITUTE(SUBSTITUTE(SUBSTITUTE(SUBSTITUTE(SUBSTITUTE(SUBSTITUTE(SUBSTITUTE(SUBSTITUTE(SUBSTITUTE(SUBSTITUTE(SUBSTITUTE(SUBSTITUTE(SUBSTITUTE(SUBSTITUTE($Y28,"!"," "),"?"," "),"+"," "),"*"," "),"&amp;"," "),"["," "),"]"," "),"{"," "),"}"," "),"%"," "),"="," "),"\"," "),"|"," "),"&lt;"," "),"&gt;"," "),"")</f>
        <v>filets de morue dessales</v>
      </c>
      <c r="AA28" s="493" t="str">
        <f>IF(28=28," "&amp;TRIM(SUBSTITUTE(SUBSTITUTE(SUBSTITUTE(SUBSTITUTE(SUBSTITUTE(SUBSTITUTE($Z28,CHAR(34)," "),"  "," "),"  "," "),"  "," "),"  "," "),"  "," "))&amp;" ","")</f>
        <v xml:space="preserve"> filets de morue dessales </v>
      </c>
      <c r="AB28" s="493">
        <f>IF(28=28,IF($U28="","",SUMPRODUCT(--ISNUMBER(SEARCH(" "&amp;$CR$2:$CR$101&amp;" ",$AD28)))),"")</f>
        <v>0</v>
      </c>
      <c r="AC28" s="493">
        <f>IF(28=28,IF($U28="","",SUMPRODUCT(--ISNUMBER(SEARCH(" "&amp;$CR$102:$CR$151&amp;" ",$AD28)))),"")</f>
        <v>0</v>
      </c>
      <c r="AD28" s="493" t="str">
        <f t="shared" si="1"/>
        <v xml:space="preserve"> filets de morue dessales </v>
      </c>
      <c r="AE28" s="493">
        <f t="shared" si="2"/>
        <v>0</v>
      </c>
      <c r="AF28" s="493" t="str">
        <f>IF(28=28,IF($U28="","",IF(SUM(AB28:AC28)+SUMPRODUCT(--ISNUMBER(SEARCH(" "&amp;$CR$2418:$CR$2420&amp;" ",$AD28)))&gt;0,"X",IF(AE28&gt;0,"?",""))),"")</f>
        <v/>
      </c>
      <c r="AG28" s="493">
        <f>IF(28=28,IF($U28="","",SUMPRODUCT(--ISNUMBER(SEARCH(" "&amp;$CR$206:$CR$305&amp;" ",$AA28)))),"")</f>
        <v>0</v>
      </c>
      <c r="AH28" s="493">
        <f>IF(28=28,IF($U28="","",SUMPRODUCT(--ISNUMBER(SEARCH(" "&amp;$CR$306:$CR$340&amp;" ",$AA28)))),"")</f>
        <v>0</v>
      </c>
      <c r="AI28" s="493" t="str">
        <f>IF(28=28,IF($U28="","",IF((SUM(AG28:AH28))-(0)&gt;0,"X",IF((0)-(0)&gt;0,"?",""))),"")</f>
        <v/>
      </c>
      <c r="AJ28" s="493">
        <f>IF(28=28,IF($U28="","",SUMPRODUCT(--ISNUMBER(SEARCH(" "&amp;$CR$341:$CR$398&amp;" ",$AA28)))),"")</f>
        <v>0</v>
      </c>
      <c r="AK28" s="493">
        <f>IF(28=28,IF($U28="","",SUMPRODUCT(--ISNUMBER(SEARCH(" "&amp;$CR$399:$CR$426&amp;" ",$AL28)))+SUMPRODUCT(--ISNUMBER(SEARCH(" "&amp;$CR$2440:$CR$2453&amp;" ",$AL28)))),"")</f>
        <v>0</v>
      </c>
      <c r="AL28" s="493" t="str">
        <f>IF(28=28,IF($U28="","",SUBSTITUTE(SUBSTITUTE(SUBSTITUTE(SUBSTITUTE(SUBSTITUTE(SUBSTITUTE(SUBSTITUTE(SUBSTITUTE(SUBSTITUTE(SUBSTITUTE(SUBSTITUTE(SUBSTITUTE(SUBSTITUTE(SUBSTITUTE($AA28," "&amp;$CR$2455&amp;" "," ")," "&amp;$CR$433&amp;" "," ")," "&amp;$CR$431&amp;" "," ")," "&amp;$CR$2438&amp;" "," ")," "&amp;$CR$2439&amp;" "," ")," "&amp;$CR$428&amp;" "," ")," "&amp;$CR$432&amp;" "," ")," "&amp;$CR$434&amp;" "," ")," "&amp;$CR$429&amp;" "," ")," "&amp;$CR$427&amp;" "," ")," "&amp;$CR$1367&amp;" "," ")," "&amp;$CR$435&amp;" "," ")," "&amp;$CR$1366&amp;" "," ")," "&amp;$CR$430&amp;" "," ")),"")</f>
        <v xml:space="preserve"> filets de morue dessales </v>
      </c>
      <c r="AM28" s="493" t="str">
        <f>IF(28=28,IF($U28="","",IF(AJ28&gt;0,"X",IF(AK28&gt;0,"?",""))),"")</f>
        <v/>
      </c>
      <c r="AN28" s="493">
        <f>IF(28=28,IF($U28="","",SUMPRODUCT(--ISNUMBER(SEARCH(" "&amp;$CR$436:$CR$535&amp;" ",$AX28)))),"")</f>
        <v>0</v>
      </c>
      <c r="AO28" s="493">
        <f>IF(28=28,IF($U28="","",SUMPRODUCT(--ISNUMBER(SEARCH(" "&amp;$CR$536:$CR$635&amp;" ",$AX28)))),"")</f>
        <v>0</v>
      </c>
      <c r="AP28" s="493">
        <f>IF(28=28,IF($U28="","",SUMPRODUCT(--ISNUMBER(SEARCH(" "&amp;$CR$636:$CR$735&amp;" ",$AX28)))),"")</f>
        <v>0</v>
      </c>
      <c r="AQ28" s="493">
        <f>IF(28=28,IF($U28="","",SUMPRODUCT(--ISNUMBER(SEARCH(" "&amp;$CR$736:$CR$835&amp;" ",$AX28)))),"")</f>
        <v>0</v>
      </c>
      <c r="AR28" s="493">
        <f>IF(28=28,IF($U28="","",SUMPRODUCT(--ISNUMBER(SEARCH(" "&amp;$CR$836:$CR$935&amp;" ",$AX28)))),"")</f>
        <v>0</v>
      </c>
      <c r="AS28" s="493">
        <f>IF(28=28,IF($U28="","",SUMPRODUCT(--ISNUMBER(SEARCH(" "&amp;$CR$936:$CR$1035&amp;" ",$AX28)))),"")</f>
        <v>1</v>
      </c>
      <c r="AT28" s="493">
        <f>IF(28=28,IF($U28="","",SUMPRODUCT(--ISNUMBER(SEARCH(" "&amp;$CR$1036:$CR$1135&amp;" ",$AX28)))),"")</f>
        <v>0</v>
      </c>
      <c r="AU28" s="493">
        <f>IF(28=28,IF($U28="","",SUMPRODUCT(--ISNUMBER(SEARCH(" "&amp;$CR$1136:$CR$1235&amp;" ",$AX28)))),"")</f>
        <v>0</v>
      </c>
      <c r="AV28" s="493">
        <f>IF(28=28,IF($U28="","",SUMPRODUCT(--ISNUMBER(SEARCH(" "&amp;$CR$1236:$CR$1335&amp;" ",$AX28)))),"")</f>
        <v>0</v>
      </c>
      <c r="AW28" s="493">
        <f>IF(28=28,IF($U28="","",SUMPRODUCT(--ISNUMBER(SEARCH(" "&amp;$CR$1336:$CR$1363&amp;" ",$AX28)))),"")</f>
        <v>0</v>
      </c>
      <c r="AX28" s="493" t="str">
        <f>IF(28=28,IF($U28="","",SUBSTITUTE(SUBSTITUTE(SUBSTITUTE(SUBSTITUTE(SUBSTITUTE(SUBSTITUTE(SUBSTITUTE(SUBSTITUTE(SUBSTITUTE($AA28," "&amp;$CR$1365&amp;" "," ")," "&amp;$CR$1364&amp;" "," ")," "&amp;$CR$1370&amp;" "," ")," "&amp;$CR$1371&amp;" "," ")," "&amp;$CR$1367&amp;" "," ")," "&amp;$CR$1369&amp;" "," ")," "&amp;$CR$1366&amp;" "," ")," "&amp;$CR$1368&amp;" "," ")," "&amp;$CR$1372&amp;" "," ")),"")</f>
        <v xml:space="preserve"> filets de morue dessales </v>
      </c>
      <c r="AY28" s="493">
        <f>IF(28=28,IF($U28="","",SUMPRODUCT(--ISNUMBER(SEARCH(" "&amp;$CR$1373:$CR$1383&amp;" ",$AX28)))),"")</f>
        <v>0</v>
      </c>
      <c r="AZ28" s="493" t="str">
        <f>IF(28=28,IF($U28="","",IF(SUM(AN28:AW28)+SUMPRODUCT(--ISNUMBER(SEARCH(" "&amp;$CR$2421:$CR$2422&amp;" ",$AX28)))&gt;0,"X",IF(AY28&gt;0,"?",""))),"")</f>
        <v>X</v>
      </c>
      <c r="BA28" s="493">
        <f>IF(28=28,IF($U28="","",SUMPRODUCT(--ISNUMBER(SEARCH(" "&amp;$CR$1384:$CR$1404&amp;" ",$AA28)))),"")</f>
        <v>0</v>
      </c>
      <c r="BB28" s="493" t="str">
        <f>IF(28=28,IF($U28="","",IF((BA28)-(0)&gt;0,"X",IF((0)-(0)&gt;0,"?",""))),"")</f>
        <v/>
      </c>
      <c r="BC28" s="493">
        <f>IF(28=28,IF($U28="","",SUMPRODUCT(--ISNUMBER(SEARCH(" "&amp;$CR$1405:$CR$1442&amp;" ",$BD28)))),"")</f>
        <v>0</v>
      </c>
      <c r="BD28" s="493" t="str">
        <f>IF(28=28,IF($U28="","",SUBSTITUTE(SUBSTITUTE($AA28," "&amp;$CR$1443&amp;" "," ")," "&amp;$CR$1444&amp;" "," ")),"")</f>
        <v xml:space="preserve"> filets de morue dessales </v>
      </c>
      <c r="BE28" s="493">
        <f>IF(28=28,IF($U28="","",SUMPRODUCT(--ISNUMBER(SEARCH(" "&amp;$CR$1445:$CR$1455&amp;" ",$BD28)))),"")</f>
        <v>0</v>
      </c>
      <c r="BF28" s="493" t="str">
        <f>IF(28=28,IF($U28="","",IF(BC28&gt;0,"X",IF(BE28&gt;0,"?",""))),"")</f>
        <v/>
      </c>
      <c r="BG28" s="493">
        <f>IF(28=28,IF($U28="","",SUMPRODUCT(--ISNUMBER(SEARCH(" "&amp;$CR$1456:$CR$1555&amp;" ",$BJ28)))),"")</f>
        <v>0</v>
      </c>
      <c r="BH28" s="493">
        <f>IF(28=28,IF($U28="","",SUMPRODUCT(--ISNUMBER(SEARCH(" "&amp;$CR$1556:$CR$1655&amp;" ",$BJ28)))),"")</f>
        <v>0</v>
      </c>
      <c r="BI28" s="493">
        <f>IF(28=28,IF($U28="","",SUMPRODUCT(--ISNUMBER(SEARCH(" "&amp;$CR$1656:$CR$1739&amp;" ",$BJ28)))),"")</f>
        <v>0</v>
      </c>
      <c r="BJ28" s="493" t="str">
        <f>IF(28=28,IF($U28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filets de morue dessales </v>
      </c>
      <c r="BK28" s="493">
        <f>IF(28=28,IF($U28="","",SUMPRODUCT(--ISNUMBER(SEARCH(" "&amp;$CR$1790:$CR$1869&amp;" ",$BL28)))+SUMPRODUCT(--ISNUMBER(SEARCH(" "&amp;$CR$2440:$CR$2453&amp;" ",$BL28)))),"")</f>
        <v>0</v>
      </c>
      <c r="BL28" s="493" t="str">
        <f>IF(28=28,IF($U28="","",SUBSTITUTE(SUBSTITUTE(SUBSTITUTE(SUBSTITUTE(SUBSTITUTE(SUBSTITUTE(SUBSTITUTE(SUBSTITUTE(SUBSTITUTE(SUBSTITUTE(SUBSTITUTE(SUBSTITUTE(SUBSTITUTE($BJ28," "&amp;$CR$1876&amp;" "," ")," "&amp;$CR$1874&amp;" "," ")," "&amp;$CR$2438&amp;" "," ")," "&amp;$CR$2439&amp;" "," ")," "&amp;$CR$1871&amp;" "," ")," "&amp;$CR$1875&amp;" "," ")," "&amp;$CR$1877&amp;" "," ")," "&amp;$CR$1872&amp;" "," ")," "&amp;$CR$1870&amp;" "," ")," "&amp;$CR$1367&amp;" "," ")," "&amp;$CR$1878&amp;" "," ")," "&amp;$CR$1366&amp;" "," ")," "&amp;$CR$1873&amp;" "," ")),"")</f>
        <v xml:space="preserve"> filets de morue dessales </v>
      </c>
      <c r="BM28" s="493" t="str">
        <f>IF(28=28,IF($U28="","",IF(SUM(BG28:BI28)+SUMPRODUCT(--ISNUMBER(SEARCH(" "&amp;$CR$2423:$CR$2424&amp;" ",$BJ28)))&gt;0,"X",IF(BK28&gt;0,"?",""))),"")</f>
        <v/>
      </c>
      <c r="BN28" s="493">
        <f>IF(28=28,IF($U28="","",SUMPRODUCT(--ISNUMBER(SEARCH(" "&amp;$CR$1879:$CR$1936&amp;" ",$BO28)))),"")</f>
        <v>0</v>
      </c>
      <c r="BO28" s="493" t="str">
        <f>IF(28=28,IF($U28="","",SUBSTITUTE(SUBSTITUTE(SUBSTITUTE(SUBSTITUTE(SUBSTITUTE(SUBSTITUTE(SUBSTITUTE(SUBSTITUTE(SUBSTITUTE(SUBSTITUTE(SUBSTITUTE(SUBSTITUTE(SUBSTITUTE(SUBSTITUTE(SUBSTITUTE(SUBSTITUTE(SUBSTITUTE(SUBSTITUTE(SUBSTITUTE(SUBSTITUTE(SUBSTITUTE(SUBSTITUTE(SUBSTITUTE($AA28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filets de morue dessales </v>
      </c>
      <c r="BP28" s="493">
        <f>IF(28=28,IF($U28="","",SUMPRODUCT(--ISNUMBER(SEARCH(" "&amp;$CR$1960:$CR$1976&amp;" ",$BO28)))),"")</f>
        <v>0</v>
      </c>
      <c r="BQ28" s="493" t="str">
        <f>IF(28=28,IF($U28="","",IF(BN28&gt;0,"X",IF(BP28&gt;0,"?",""))),"")</f>
        <v/>
      </c>
      <c r="BR28" s="493">
        <f>IF(28=28,IF($U28="","",SUMPRODUCT(--ISNUMBER(SEARCH(" "&amp;$CR$1977:$CR$1990&amp;" ",$AA28)))),"")</f>
        <v>0</v>
      </c>
      <c r="BS28" s="493">
        <f>IF(28=28,IF($U28="","",SUMPRODUCT(--ISNUMBER(SEARCH(" "&amp;$CR$1991:$CR$2005&amp;" ",$AA28)))),"")</f>
        <v>0</v>
      </c>
      <c r="BT28" s="493" t="str">
        <f>IF(28=28,IF($U28="","",IF((BR28)-(0)&gt;0,"X",IF((BS28)-(0)&gt;0,"?",""))),"")</f>
        <v/>
      </c>
      <c r="BU28" s="493">
        <f>IF(28=28,IF($U28="","",SUMPRODUCT(--ISNUMBER(SEARCH(" "&amp;$CR$2006:$CR$2023&amp;" ",$AA28)))),"")</f>
        <v>0</v>
      </c>
      <c r="BV28" s="493">
        <f>IF(28=28,IF($U28="","",SUMPRODUCT(--ISNUMBER(SEARCH(" "&amp;$CR$2024:$CR$2038&amp;" ",$AA28)))),"")</f>
        <v>0</v>
      </c>
      <c r="BW28" s="493" t="str">
        <f>IF(28=28,IF($U28="","",IF((BU28)-(0)&gt;0,"X",IF((BV28)-(0)&gt;0,"?",""))),"")</f>
        <v/>
      </c>
      <c r="BX28" s="493">
        <f>IF(28=28,IF($U28="","",SUMPRODUCT(--ISNUMBER(SEARCH(" "&amp;$CR$2039:$CR$2057&amp;" ",$AA28)))),"")</f>
        <v>0</v>
      </c>
      <c r="BY28" s="493">
        <f>IF(28=28,IF($U28="","",SUMPRODUCT(--ISNUMBER(SEARCH(" "&amp;$CR$2058:$CR$2072&amp;" ",$AA28)))),"")</f>
        <v>0</v>
      </c>
      <c r="BZ28" s="493" t="str">
        <f>IF(28=28,IF($U28="","",IF((BX28)-(0)&gt;0,"X",IF((BY28)-(0)&gt;0,"?",""))),"")</f>
        <v/>
      </c>
      <c r="CA28" s="493">
        <f>IF(28=28,IF($U28="","",SUMPRODUCT(--ISNUMBER(SEARCH(" "&amp;$CR$2073:$CR$2093&amp;" ",$AA28)))),"")</f>
        <v>0</v>
      </c>
      <c r="CB28" s="493">
        <f>IF(28=28,IF($U28="","",SUMPRODUCT(--ISNUMBER(SEARCH(" "&amp;$CR$2094:$CR$2133&amp;" ",SUBSTITUTE(SUBSTITUTE($AA28," "&amp;$CR$1367&amp;" "," ")," "&amp;$CR$1366&amp;" "," "))))+--ISNUMBER(SEARCH("poiré",$V28))),"")</f>
        <v>0</v>
      </c>
      <c r="CC28" s="493" t="str">
        <f>IF(28=28,IF($U28="","",IF(OR(CA28&gt;0,ISNUMBER(SEARCH(" vinaigre de vin ",$AA28)),ISNUMBER(SEARCH(" vinaigre au vin ",$AA28))),"X",IF(CB28&gt;0,"?",""))),"")</f>
        <v/>
      </c>
      <c r="CD28" s="493">
        <f>IF(28=28,IF($U28="","",SUMPRODUCT(--ISNUMBER(SEARCH(" "&amp;$CR$2134:$CR$2146&amp;" ",$AA28)))),"")</f>
        <v>0</v>
      </c>
      <c r="CE28" s="493">
        <f>IF(28=28,IF($U28="","",SUMPRODUCT(--ISNUMBER(SEARCH(" "&amp;$CR$2147:$CR$2152&amp;" ",$AA28)))),"")</f>
        <v>0</v>
      </c>
      <c r="CF28" s="493" t="str">
        <f>IF(28=28,IF($U28="","",IF((CD28)-(0)&gt;0,"X",IF((CE28)-(0)&gt;0,"?",""))),"")</f>
        <v/>
      </c>
      <c r="CG28" s="493">
        <f>IF(28=28,IF($U28="","",SUMPRODUCT(--ISNUMBER(SEARCH(" "&amp;$CR$2153:$CR$2252&amp;" ",$CJ28)))),"")</f>
        <v>0</v>
      </c>
      <c r="CH28" s="493">
        <f>IF(28=28,IF($U28="","",SUMPRODUCT(--ISNUMBER(SEARCH(" "&amp;$CR$2253:$CR$2352&amp;" ",$CJ28)))),"")</f>
        <v>0</v>
      </c>
      <c r="CI28" s="493">
        <f>IF(28=28,IF($U28="","",SUMPRODUCT(--ISNUMBER(SEARCH(" "&amp;$CR$2353:$CR$2395&amp;" ",$CJ28)))),"")</f>
        <v>0</v>
      </c>
      <c r="CJ28" s="493" t="str">
        <f>IF(28=28,IF($U28="","",SUBSTITUTE(SUBSTITUTE(SUBSTITUTE(SUBSTITUTE(SUBSTITUTE(SUBSTITUTE(SUBSTITUTE(SUBSTITUTE(SUBSTITUTE(SUBSTITUTE(SUBSTITUTE(SUBSTITUTE(SUBSTITUTE(SUBSTITUTE(SUBSTITUTE(SUBSTITUTE($AA28," "&amp;$CR$2401&amp;" "," ")," "&amp;$CR$2400&amp;" "," ")," "&amp;$CR$2399&amp;" "," ")," "&amp;$CR$2406&amp;" "," ")," "&amp;$CR$2398&amp;" "," ")," "&amp;$CR$2410&amp;" "," ")," "&amp;$CR$2397&amp;" "," ")," "&amp;$CR$2402&amp;" "," ")," "&amp;$CR$2405&amp;" "," ")," "&amp;$CR$2396&amp;" "," ")," "&amp;$CR$2404&amp;" "," ")," "&amp;$CR$2411&amp;" "," ")," "&amp;$CR$2408&amp;" "," ")," "&amp;$CR$2403&amp;" "," ")," "&amp;$CR$2407&amp;" "," ")," "&amp;$CR$2409&amp;" "," ")),"")</f>
        <v xml:space="preserve"> filets de morue dessales </v>
      </c>
      <c r="CK28" s="493">
        <f>IF(28=28,IF($U28="","",SUMPRODUCT(--ISNUMBER(SEARCH(" "&amp;$CR$2412:$CR$2416&amp;" ",$CJ28)))),"")</f>
        <v>0</v>
      </c>
      <c r="CL28" s="493" t="str">
        <f>IF(28=28,IF($U28="","",IF(SUM(CG28:CI28)&gt;0,"X",IF(CK28&gt;0,"?",""))),"")</f>
        <v/>
      </c>
      <c r="CM28" s="494"/>
      <c r="CN28" s="496" t="s">
        <v>1193</v>
      </c>
      <c r="CO28" s="496" t="s">
        <v>1083</v>
      </c>
      <c r="CP28" s="496" t="s">
        <v>689</v>
      </c>
      <c r="CQ28" s="496" t="s">
        <v>311</v>
      </c>
      <c r="CR28" s="496" t="s">
        <v>311</v>
      </c>
      <c r="CS28" s="496" t="s">
        <v>1085</v>
      </c>
      <c r="CT28" s="496" t="s">
        <v>1086</v>
      </c>
      <c r="CU28" s="496" t="s">
        <v>1087</v>
      </c>
      <c r="CV28" s="497" t="s">
        <v>1088</v>
      </c>
      <c r="CX28" s="543">
        <v>1</v>
      </c>
    </row>
    <row r="29" spans="1:102" ht="21" customHeight="1">
      <c r="A29" s="509">
        <v>23</v>
      </c>
      <c r="B29" s="510" t="s">
        <v>5867</v>
      </c>
      <c r="C29" s="511" t="str">
        <f t="shared" si="0"/>
        <v>Fond blanc de veau ?</v>
      </c>
      <c r="D29" s="512" t="str">
        <f>IF(29=29,IF($B29="","",IF(E29="X",""&amp;"Céréales contenant du gluten","")&amp;IF(F29="X",IF(COUNTIF($E29:$E29,"X")&gt;0,", ","")&amp;"Crustacés","")&amp;IF(G29="X",IF(COUNTIF($E29:$F29,"X")&gt;0,", ","")&amp;"Œufs","")&amp;IF(H29="X",IF(COUNTIF($E29:$G29,"X")&gt;0,", ","")&amp;"Poissons","")&amp;IF(I29="X",IF(COUNTIF($E29:$H29,"X")&gt;0,", ","")&amp;"Arachides","")&amp;IF(J29="X",IF(COUNTIF($E29:$I29,"X")&gt;0,", ","")&amp;"Soja","")&amp;IF(K29="X",IF(COUNTIF($E29:$J29,"X")&gt;0,", ","")&amp;"Lait","")&amp;IF(L29="X",IF(COUNTIF($E29:$K29,"X")&gt;0,", ","")&amp;"Fruits à coque","")&amp;IF(M29="X",IF(COUNTIF($E29:$L29,"X")&gt;0,", ","")&amp;"Céleri","")&amp;IF(N29="X",IF(COUNTIF($E29:$M29,"X")&gt;0,", ","")&amp;"Moutarde","")&amp;IF(O29="X",IF(COUNTIF($E29:$N29,"X")&gt;0,", ","")&amp;"Sésame","")&amp;IF(P29="X",IF(COUNTIF($E29:$O29,"X")&gt;0,", ","")&amp;"Sulfites","")&amp;IF(Q29="X",IF(COUNTIF($E29:$P29,"X")&gt;0,", ","")&amp;"Lupin","")&amp;IF(R29="X",IF(COUNTIF($E29:$Q29,"X")&gt;0,", ","")&amp;"Mollusques","")),"")</f>
        <v/>
      </c>
      <c r="E29" s="513" t="str">
        <f>IF(29=29,IF($B29="","",AF29),"")</f>
        <v>?</v>
      </c>
      <c r="F29" s="513" t="str">
        <f>IF(29=29,IF($B29="","",AI29),"")</f>
        <v/>
      </c>
      <c r="G29" s="513" t="str">
        <f>IF(29=29,IF($B29="","",AM29),"")</f>
        <v/>
      </c>
      <c r="H29" s="513" t="str">
        <f>IF(29=29,IF($B29="","",IF(ISNUMBER(SEARCH(" colin ",$AA29)),"X",AZ29)),"")</f>
        <v/>
      </c>
      <c r="I29" s="513" t="str">
        <f>IF(29=29,IF($B29="","",BB29),"")</f>
        <v/>
      </c>
      <c r="J29" s="513" t="str">
        <f>IF(29=29,IF($B29="","",BF29),"")</f>
        <v/>
      </c>
      <c r="K29" s="513" t="str">
        <f>IF(29=29,IF($B29="","",BM29),"")</f>
        <v/>
      </c>
      <c r="L29" s="513" t="str">
        <f>IF(29=29,IF($B29="","",BQ29),"")</f>
        <v/>
      </c>
      <c r="M29" s="513" t="str">
        <f>IF(29=29,IF($B29="","",BT29),"")</f>
        <v>?</v>
      </c>
      <c r="N29" s="513" t="str">
        <f>IF(29=29,IF($B29="","",BW29),"")</f>
        <v/>
      </c>
      <c r="O29" s="513" t="str">
        <f>IF(29=29,IF($B29="","",BZ29),"")</f>
        <v/>
      </c>
      <c r="P29" s="513" t="str">
        <f>IF(29=29,IF($B29="","",CC29),"")</f>
        <v/>
      </c>
      <c r="Q29" s="513" t="str">
        <f>IF(29=29,IF($B29="","",CF29),"")</f>
        <v/>
      </c>
      <c r="R29" s="513" t="str">
        <f>IF(29=29,IF($B29="","",CL29),"")</f>
        <v/>
      </c>
      <c r="S29" s="514" t="str">
        <f>IF(29=29,IF($B29="","",IF(E29="?",""&amp;"Céréales contenant du gluten","")&amp;IF(F29="?",IF(COUNTIF($E29:$E29,"~?")&gt;0,", ","")&amp;"Crustacés","")&amp;IF(G29="?",IF(COUNTIF($E29:$F29,"~?")&gt;0,", ","")&amp;"Œufs","")&amp;IF(H29="?",IF(COUNTIF($E29:$G29,"~?")&gt;0,", ","")&amp;"Poissons","")&amp;IF(I29="?",IF(COUNTIF($E29:$H29,"~?")&gt;0,", ","")&amp;"Arachides","")&amp;IF(J29="?",IF(COUNTIF($E29:$I29,"~?")&gt;0,", ","")&amp;"Soja","")&amp;IF(K29="?",IF(COUNTIF($E29:$J29,"~?")&gt;0,", ","")&amp;"Lait","")&amp;IF(L29="?",IF(COUNTIF($E29:$K29,"~?")&gt;0,", ","")&amp;"Fruits à coque","")&amp;IF(M29="?",IF(COUNTIF($E29:$L29,"~?")&gt;0,", ","")&amp;"Céleri","")&amp;IF(N29="?",IF(COUNTIF($E29:$M29,"~?")&gt;0,", ","")&amp;"Moutarde","")&amp;IF(O29="?",IF(COUNTIF($E29:$N29,"~?")&gt;0,", ","")&amp;"Sésame","")&amp;IF(P29="?",IF(COUNTIF($E29:$O29,"~?")&gt;0,", ","")&amp;"Sulfites","")&amp;IF(Q29="?",IF(COUNTIF($E29:$P29,"~?")&gt;0,", ","")&amp;"Lupin","")&amp;IF(R29="?",IF(COUNTIF($E29:$Q29,"~?")&gt;0,", ","")&amp;"Mollusques","")),"")</f>
        <v>Céréales contenant du gluten, Céleri</v>
      </c>
      <c r="U29" s="493" t="str">
        <f>IF(29=29,IF($B29="","",$B29),"")</f>
        <v>Fond blanc de veau</v>
      </c>
      <c r="V29" s="493" t="str">
        <f>IF(29=29,LOWER(CLEAN(SUBSTITUTE(SUBSTITUTE(SUBSTITUTE(SUBSTITUTE($U29,CHAR(160)," ")," "," "),CHAR(10)," "),CHAR(13)," "))),"")</f>
        <v>fond blanc de veau</v>
      </c>
      <c r="W29" s="493" t="str">
        <f>IF(29=29,SUBSTITUTE(SUBSTITUTE(SUBSTITUTE(SUBSTITUTE(SUBSTITUTE(SUBSTITUTE(SUBSTITUTE(SUBSTITUTE(SUBSTITUTE(SUBSTITUTE(SUBSTITUTE(SUBSTITUTE($V29,"œ","oe"),"æ","ae"),"à","a"),"á","a"),"â","a"),"ä","a"),"ã","a"),"ç","c"),"è","e"),"é","e"),"ê","e"),"ë","e"),"")</f>
        <v>fond blanc de veau</v>
      </c>
      <c r="X29" s="493" t="str">
        <f>IF(29=29,SUBSTITUTE(SUBSTITUTE(SUBSTITUTE(SUBSTITUTE(SUBSTITUTE(SUBSTITUTE(SUBSTITUTE(SUBSTITUTE(SUBSTITUTE(SUBSTITUTE(SUBSTITUTE(SUBSTITUTE(SUBSTITUTE(SUBSTITUTE(SUBSTITUTE(SUBSTITUTE($W29,"ì","i"),"í","i"),"î","i"),"ï","i"),"ñ","n"),"ò","o"),"ó","o"),"ô","o"),"ö","o"),"õ","o"),"ù","u"),"ú","u"),"û","u"),"ü","u"),"ý","y"),"ÿ","y"),"")</f>
        <v>fond blanc de veau</v>
      </c>
      <c r="Y29" s="493" t="str">
        <f>IF(29=29,SUBSTITUTE(SUBSTITUTE(SUBSTITUTE(SUBSTITUTE(SUBSTITUTE(SUBSTITUTE(SUBSTITUTE(SUBSTITUTE(SUBSTITUTE(SUBSTITUTE(SUBSTITUTE(SUBSTITUTE(SUBSTITUTE(SUBSTITUTE($X29,"’"," "),"`"," "),"–"," "),"—"," "),"-"," "),"'"," "),"/"," "),"_"," "),","," "),"."," "),"("," "),")"," "),";"," "),":"," "),"")</f>
        <v>fond blanc de veau</v>
      </c>
      <c r="Z29" s="493" t="str">
        <f>IF(29=29,SUBSTITUTE(SUBSTITUTE(SUBSTITUTE(SUBSTITUTE(SUBSTITUTE(SUBSTITUTE(SUBSTITUTE(SUBSTITUTE(SUBSTITUTE(SUBSTITUTE(SUBSTITUTE(SUBSTITUTE(SUBSTITUTE(SUBSTITUTE(SUBSTITUTE($Y29,"!"," "),"?"," "),"+"," "),"*"," "),"&amp;"," "),"["," "),"]"," "),"{"," "),"}"," "),"%"," "),"="," "),"\"," "),"|"," "),"&lt;"," "),"&gt;"," "),"")</f>
        <v>fond blanc de veau</v>
      </c>
      <c r="AA29" s="493" t="str">
        <f>IF(29=29," "&amp;TRIM(SUBSTITUTE(SUBSTITUTE(SUBSTITUTE(SUBSTITUTE(SUBSTITUTE(SUBSTITUTE($Z29,CHAR(34)," "),"  "," "),"  "," "),"  "," "),"  "," "),"  "," "))&amp;" ","")</f>
        <v xml:space="preserve"> fond blanc de veau </v>
      </c>
      <c r="AB29" s="493">
        <f>IF(29=29,IF($U29="","",SUMPRODUCT(--ISNUMBER(SEARCH(" "&amp;$CR$2:$CR$101&amp;" ",$AD29)))),"")</f>
        <v>0</v>
      </c>
      <c r="AC29" s="493">
        <f>IF(29=29,IF($U29="","",SUMPRODUCT(--ISNUMBER(SEARCH(" "&amp;$CR$102:$CR$151&amp;" ",$AD29)))),"")</f>
        <v>0</v>
      </c>
      <c r="AD29" s="493" t="str">
        <f t="shared" si="1"/>
        <v xml:space="preserve"> fond blanc de veau </v>
      </c>
      <c r="AE29" s="493">
        <f t="shared" si="2"/>
        <v>1</v>
      </c>
      <c r="AF29" s="493" t="str">
        <f>IF(29=29,IF($U29="","",IF(SUM(AB29:AC29)+SUMPRODUCT(--ISNUMBER(SEARCH(" "&amp;$CR$2418:$CR$2420&amp;" ",$AD29)))&gt;0,"X",IF(AE29&gt;0,"?",""))),"")</f>
        <v>?</v>
      </c>
      <c r="AG29" s="493">
        <f>IF(29=29,IF($U29="","",SUMPRODUCT(--ISNUMBER(SEARCH(" "&amp;$CR$206:$CR$305&amp;" ",$AA29)))),"")</f>
        <v>0</v>
      </c>
      <c r="AH29" s="493">
        <f>IF(29=29,IF($U29="","",SUMPRODUCT(--ISNUMBER(SEARCH(" "&amp;$CR$306:$CR$340&amp;" ",$AA29)))),"")</f>
        <v>0</v>
      </c>
      <c r="AI29" s="493" t="str">
        <f>IF(29=29,IF($U29="","",IF((SUM(AG29:AH29))-(0)&gt;0,"X",IF((0)-(0)&gt;0,"?",""))),"")</f>
        <v/>
      </c>
      <c r="AJ29" s="493">
        <f>IF(29=29,IF($U29="","",SUMPRODUCT(--ISNUMBER(SEARCH(" "&amp;$CR$341:$CR$398&amp;" ",$AA29)))),"")</f>
        <v>0</v>
      </c>
      <c r="AK29" s="493">
        <f>IF(29=29,IF($U29="","",SUMPRODUCT(--ISNUMBER(SEARCH(" "&amp;$CR$399:$CR$426&amp;" ",$AL29)))+SUMPRODUCT(--ISNUMBER(SEARCH(" "&amp;$CR$2440:$CR$2453&amp;" ",$AL29)))),"")</f>
        <v>0</v>
      </c>
      <c r="AL29" s="493" t="str">
        <f>IF(29=29,IF($U29="","",SUBSTITUTE(SUBSTITUTE(SUBSTITUTE(SUBSTITUTE(SUBSTITUTE(SUBSTITUTE(SUBSTITUTE(SUBSTITUTE(SUBSTITUTE(SUBSTITUTE(SUBSTITUTE(SUBSTITUTE(SUBSTITUTE(SUBSTITUTE($AA29," "&amp;$CR$2455&amp;" "," ")," "&amp;$CR$433&amp;" "," ")," "&amp;$CR$431&amp;" "," ")," "&amp;$CR$2438&amp;" "," ")," "&amp;$CR$2439&amp;" "," ")," "&amp;$CR$428&amp;" "," ")," "&amp;$CR$432&amp;" "," ")," "&amp;$CR$434&amp;" "," ")," "&amp;$CR$429&amp;" "," ")," "&amp;$CR$427&amp;" "," ")," "&amp;$CR$1367&amp;" "," ")," "&amp;$CR$435&amp;" "," ")," "&amp;$CR$1366&amp;" "," ")," "&amp;$CR$430&amp;" "," ")),"")</f>
        <v xml:space="preserve"> fond blanc de veau </v>
      </c>
      <c r="AM29" s="493" t="str">
        <f>IF(29=29,IF($U29="","",IF(AJ29&gt;0,"X",IF(AK29&gt;0,"?",""))),"")</f>
        <v/>
      </c>
      <c r="AN29" s="493">
        <f>IF(29=29,IF($U29="","",SUMPRODUCT(--ISNUMBER(SEARCH(" "&amp;$CR$436:$CR$535&amp;" ",$AX29)))),"")</f>
        <v>0</v>
      </c>
      <c r="AO29" s="493">
        <f>IF(29=29,IF($U29="","",SUMPRODUCT(--ISNUMBER(SEARCH(" "&amp;$CR$536:$CR$635&amp;" ",$AX29)))),"")</f>
        <v>0</v>
      </c>
      <c r="AP29" s="493">
        <f>IF(29=29,IF($U29="","",SUMPRODUCT(--ISNUMBER(SEARCH(" "&amp;$CR$636:$CR$735&amp;" ",$AX29)))),"")</f>
        <v>0</v>
      </c>
      <c r="AQ29" s="493">
        <f>IF(29=29,IF($U29="","",SUMPRODUCT(--ISNUMBER(SEARCH(" "&amp;$CR$736:$CR$835&amp;" ",$AX29)))),"")</f>
        <v>0</v>
      </c>
      <c r="AR29" s="493">
        <f>IF(29=29,IF($U29="","",SUMPRODUCT(--ISNUMBER(SEARCH(" "&amp;$CR$836:$CR$935&amp;" ",$AX29)))),"")</f>
        <v>0</v>
      </c>
      <c r="AS29" s="493">
        <f>IF(29=29,IF($U29="","",SUMPRODUCT(--ISNUMBER(SEARCH(" "&amp;$CR$936:$CR$1035&amp;" ",$AX29)))),"")</f>
        <v>0</v>
      </c>
      <c r="AT29" s="493">
        <f>IF(29=29,IF($U29="","",SUMPRODUCT(--ISNUMBER(SEARCH(" "&amp;$CR$1036:$CR$1135&amp;" ",$AX29)))),"")</f>
        <v>0</v>
      </c>
      <c r="AU29" s="493">
        <f>IF(29=29,IF($U29="","",SUMPRODUCT(--ISNUMBER(SEARCH(" "&amp;$CR$1136:$CR$1235&amp;" ",$AX29)))),"")</f>
        <v>0</v>
      </c>
      <c r="AV29" s="493">
        <f>IF(29=29,IF($U29="","",SUMPRODUCT(--ISNUMBER(SEARCH(" "&amp;$CR$1236:$CR$1335&amp;" ",$AX29)))),"")</f>
        <v>0</v>
      </c>
      <c r="AW29" s="493">
        <f>IF(29=29,IF($U29="","",SUMPRODUCT(--ISNUMBER(SEARCH(" "&amp;$CR$1336:$CR$1363&amp;" ",$AX29)))),"")</f>
        <v>0</v>
      </c>
      <c r="AX29" s="493" t="str">
        <f>IF(29=29,IF($U29="","",SUBSTITUTE(SUBSTITUTE(SUBSTITUTE(SUBSTITUTE(SUBSTITUTE(SUBSTITUTE(SUBSTITUTE(SUBSTITUTE(SUBSTITUTE($AA29," "&amp;$CR$1365&amp;" "," ")," "&amp;$CR$1364&amp;" "," ")," "&amp;$CR$1370&amp;" "," ")," "&amp;$CR$1371&amp;" "," ")," "&amp;$CR$1367&amp;" "," ")," "&amp;$CR$1369&amp;" "," ")," "&amp;$CR$1366&amp;" "," ")," "&amp;$CR$1368&amp;" "," ")," "&amp;$CR$1372&amp;" "," ")),"")</f>
        <v xml:space="preserve"> fond blanc de veau </v>
      </c>
      <c r="AY29" s="493">
        <f>IF(29=29,IF($U29="","",SUMPRODUCT(--ISNUMBER(SEARCH(" "&amp;$CR$1373:$CR$1383&amp;" ",$AX29)))),"")</f>
        <v>0</v>
      </c>
      <c r="AZ29" s="493" t="str">
        <f>IF(29=29,IF($U29="","",IF(SUM(AN29:AW29)+SUMPRODUCT(--ISNUMBER(SEARCH(" "&amp;$CR$2421:$CR$2422&amp;" ",$AX29)))&gt;0,"X",IF(AY29&gt;0,"?",""))),"")</f>
        <v/>
      </c>
      <c r="BA29" s="493">
        <f>IF(29=29,IF($U29="","",SUMPRODUCT(--ISNUMBER(SEARCH(" "&amp;$CR$1384:$CR$1404&amp;" ",$AA29)))),"")</f>
        <v>0</v>
      </c>
      <c r="BB29" s="493" t="str">
        <f>IF(29=29,IF($U29="","",IF((BA29)-(0)&gt;0,"X",IF((0)-(0)&gt;0,"?",""))),"")</f>
        <v/>
      </c>
      <c r="BC29" s="493">
        <f>IF(29=29,IF($U29="","",SUMPRODUCT(--ISNUMBER(SEARCH(" "&amp;$CR$1405:$CR$1442&amp;" ",$BD29)))),"")</f>
        <v>0</v>
      </c>
      <c r="BD29" s="493" t="str">
        <f>IF(29=29,IF($U29="","",SUBSTITUTE(SUBSTITUTE($AA29," "&amp;$CR$1443&amp;" "," ")," "&amp;$CR$1444&amp;" "," ")),"")</f>
        <v xml:space="preserve"> fond blanc de veau </v>
      </c>
      <c r="BE29" s="493">
        <f>IF(29=29,IF($U29="","",SUMPRODUCT(--ISNUMBER(SEARCH(" "&amp;$CR$1445:$CR$1455&amp;" ",$BD29)))),"")</f>
        <v>0</v>
      </c>
      <c r="BF29" s="493" t="str">
        <f>IF(29=29,IF($U29="","",IF(BC29&gt;0,"X",IF(BE29&gt;0,"?",""))),"")</f>
        <v/>
      </c>
      <c r="BG29" s="493">
        <f>IF(29=29,IF($U29="","",SUMPRODUCT(--ISNUMBER(SEARCH(" "&amp;$CR$1456:$CR$1555&amp;" ",$BJ29)))),"")</f>
        <v>0</v>
      </c>
      <c r="BH29" s="493">
        <f>IF(29=29,IF($U29="","",SUMPRODUCT(--ISNUMBER(SEARCH(" "&amp;$CR$1556:$CR$1655&amp;" ",$BJ29)))),"")</f>
        <v>0</v>
      </c>
      <c r="BI29" s="493">
        <f>IF(29=29,IF($U29="","",SUMPRODUCT(--ISNUMBER(SEARCH(" "&amp;$CR$1656:$CR$1739&amp;" ",$BJ29)))),"")</f>
        <v>0</v>
      </c>
      <c r="BJ29" s="493" t="str">
        <f>IF(29=29,IF($U29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fond blanc de veau </v>
      </c>
      <c r="BK29" s="493">
        <f>IF(29=29,IF($U29="","",SUMPRODUCT(--ISNUMBER(SEARCH(" "&amp;$CR$1790:$CR$1869&amp;" ",$BL29)))+SUMPRODUCT(--ISNUMBER(SEARCH(" "&amp;$CR$2440:$CR$2453&amp;" ",$BL29)))),"")</f>
        <v>0</v>
      </c>
      <c r="BL29" s="493" t="str">
        <f>IF(29=29,IF($U29="","",SUBSTITUTE(SUBSTITUTE(SUBSTITUTE(SUBSTITUTE(SUBSTITUTE(SUBSTITUTE(SUBSTITUTE(SUBSTITUTE(SUBSTITUTE(SUBSTITUTE(SUBSTITUTE(SUBSTITUTE(SUBSTITUTE($BJ29," "&amp;$CR$1876&amp;" "," ")," "&amp;$CR$1874&amp;" "," ")," "&amp;$CR$2438&amp;" "," ")," "&amp;$CR$2439&amp;" "," ")," "&amp;$CR$1871&amp;" "," ")," "&amp;$CR$1875&amp;" "," ")," "&amp;$CR$1877&amp;" "," ")," "&amp;$CR$1872&amp;" "," ")," "&amp;$CR$1870&amp;" "," ")," "&amp;$CR$1367&amp;" "," ")," "&amp;$CR$1878&amp;" "," ")," "&amp;$CR$1366&amp;" "," ")," "&amp;$CR$1873&amp;" "," ")),"")</f>
        <v xml:space="preserve"> fond blanc de veau </v>
      </c>
      <c r="BM29" s="493" t="str">
        <f>IF(29=29,IF($U29="","",IF(SUM(BG29:BI29)+SUMPRODUCT(--ISNUMBER(SEARCH(" "&amp;$CR$2423:$CR$2424&amp;" ",$BJ29)))&gt;0,"X",IF(BK29&gt;0,"?",""))),"")</f>
        <v/>
      </c>
      <c r="BN29" s="493">
        <f>IF(29=29,IF($U29="","",SUMPRODUCT(--ISNUMBER(SEARCH(" "&amp;$CR$1879:$CR$1936&amp;" ",$BO29)))),"")</f>
        <v>0</v>
      </c>
      <c r="BO29" s="493" t="str">
        <f>IF(29=29,IF($U29="","",SUBSTITUTE(SUBSTITUTE(SUBSTITUTE(SUBSTITUTE(SUBSTITUTE(SUBSTITUTE(SUBSTITUTE(SUBSTITUTE(SUBSTITUTE(SUBSTITUTE(SUBSTITUTE(SUBSTITUTE(SUBSTITUTE(SUBSTITUTE(SUBSTITUTE(SUBSTITUTE(SUBSTITUTE(SUBSTITUTE(SUBSTITUTE(SUBSTITUTE(SUBSTITUTE(SUBSTITUTE(SUBSTITUTE($AA29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fond blanc de veau </v>
      </c>
      <c r="BP29" s="493">
        <f>IF(29=29,IF($U29="","",SUMPRODUCT(--ISNUMBER(SEARCH(" "&amp;$CR$1960:$CR$1976&amp;" ",$BO29)))),"")</f>
        <v>0</v>
      </c>
      <c r="BQ29" s="493" t="str">
        <f>IF(29=29,IF($U29="","",IF(BN29&gt;0,"X",IF(BP29&gt;0,"?",""))),"")</f>
        <v/>
      </c>
      <c r="BR29" s="493">
        <f>IF(29=29,IF($U29="","",SUMPRODUCT(--ISNUMBER(SEARCH(" "&amp;$CR$1977:$CR$1990&amp;" ",$AA29)))),"")</f>
        <v>0</v>
      </c>
      <c r="BS29" s="493">
        <f>IF(29=29,IF($U29="","",SUMPRODUCT(--ISNUMBER(SEARCH(" "&amp;$CR$1991:$CR$2005&amp;" ",$AA29)))),"")</f>
        <v>1</v>
      </c>
      <c r="BT29" s="493" t="str">
        <f>IF(29=29,IF($U29="","",IF((BR29)-(0)&gt;0,"X",IF((BS29)-(0)&gt;0,"?",""))),"")</f>
        <v>?</v>
      </c>
      <c r="BU29" s="493">
        <f>IF(29=29,IF($U29="","",SUMPRODUCT(--ISNUMBER(SEARCH(" "&amp;$CR$2006:$CR$2023&amp;" ",$AA29)))),"")</f>
        <v>0</v>
      </c>
      <c r="BV29" s="493">
        <f>IF(29=29,IF($U29="","",SUMPRODUCT(--ISNUMBER(SEARCH(" "&amp;$CR$2024:$CR$2038&amp;" ",$AA29)))),"")</f>
        <v>0</v>
      </c>
      <c r="BW29" s="493" t="str">
        <f>IF(29=29,IF($U29="","",IF((BU29)-(0)&gt;0,"X",IF((BV29)-(0)&gt;0,"?",""))),"")</f>
        <v/>
      </c>
      <c r="BX29" s="493">
        <f>IF(29=29,IF($U29="","",SUMPRODUCT(--ISNUMBER(SEARCH(" "&amp;$CR$2039:$CR$2057&amp;" ",$AA29)))),"")</f>
        <v>0</v>
      </c>
      <c r="BY29" s="493">
        <f>IF(29=29,IF($U29="","",SUMPRODUCT(--ISNUMBER(SEARCH(" "&amp;$CR$2058:$CR$2072&amp;" ",$AA29)))),"")</f>
        <v>0</v>
      </c>
      <c r="BZ29" s="493" t="str">
        <f>IF(29=29,IF($U29="","",IF((BX29)-(0)&gt;0,"X",IF((BY29)-(0)&gt;0,"?",""))),"")</f>
        <v/>
      </c>
      <c r="CA29" s="493">
        <f>IF(29=29,IF($U29="","",SUMPRODUCT(--ISNUMBER(SEARCH(" "&amp;$CR$2073:$CR$2093&amp;" ",$AA29)))),"")</f>
        <v>0</v>
      </c>
      <c r="CB29" s="493">
        <f>IF(29=29,IF($U29="","",SUMPRODUCT(--ISNUMBER(SEARCH(" "&amp;$CR$2094:$CR$2133&amp;" ",SUBSTITUTE(SUBSTITUTE($AA29," "&amp;$CR$1367&amp;" "," ")," "&amp;$CR$1366&amp;" "," "))))+--ISNUMBER(SEARCH("poiré",$V29))),"")</f>
        <v>0</v>
      </c>
      <c r="CC29" s="493" t="str">
        <f>IF(29=29,IF($U29="","",IF(OR(CA29&gt;0,ISNUMBER(SEARCH(" vinaigre de vin ",$AA29)),ISNUMBER(SEARCH(" vinaigre au vin ",$AA29))),"X",IF(CB29&gt;0,"?",""))),"")</f>
        <v/>
      </c>
      <c r="CD29" s="493">
        <f>IF(29=29,IF($U29="","",SUMPRODUCT(--ISNUMBER(SEARCH(" "&amp;$CR$2134:$CR$2146&amp;" ",$AA29)))),"")</f>
        <v>0</v>
      </c>
      <c r="CE29" s="493">
        <f>IF(29=29,IF($U29="","",SUMPRODUCT(--ISNUMBER(SEARCH(" "&amp;$CR$2147:$CR$2152&amp;" ",$AA29)))),"")</f>
        <v>0</v>
      </c>
      <c r="CF29" s="493" t="str">
        <f>IF(29=29,IF($U29="","",IF((CD29)-(0)&gt;0,"X",IF((CE29)-(0)&gt;0,"?",""))),"")</f>
        <v/>
      </c>
      <c r="CG29" s="493">
        <f>IF(29=29,IF($U29="","",SUMPRODUCT(--ISNUMBER(SEARCH(" "&amp;$CR$2153:$CR$2252&amp;" ",$CJ29)))),"")</f>
        <v>0</v>
      </c>
      <c r="CH29" s="493">
        <f>IF(29=29,IF($U29="","",SUMPRODUCT(--ISNUMBER(SEARCH(" "&amp;$CR$2253:$CR$2352&amp;" ",$CJ29)))),"")</f>
        <v>0</v>
      </c>
      <c r="CI29" s="493">
        <f>IF(29=29,IF($U29="","",SUMPRODUCT(--ISNUMBER(SEARCH(" "&amp;$CR$2353:$CR$2395&amp;" ",$CJ29)))),"")</f>
        <v>0</v>
      </c>
      <c r="CJ29" s="493" t="str">
        <f>IF(29=29,IF($U29="","",SUBSTITUTE(SUBSTITUTE(SUBSTITUTE(SUBSTITUTE(SUBSTITUTE(SUBSTITUTE(SUBSTITUTE(SUBSTITUTE(SUBSTITUTE(SUBSTITUTE(SUBSTITUTE(SUBSTITUTE(SUBSTITUTE(SUBSTITUTE(SUBSTITUTE(SUBSTITUTE($AA29," "&amp;$CR$2401&amp;" "," ")," "&amp;$CR$2400&amp;" "," ")," "&amp;$CR$2399&amp;" "," ")," "&amp;$CR$2406&amp;" "," ")," "&amp;$CR$2398&amp;" "," ")," "&amp;$CR$2410&amp;" "," ")," "&amp;$CR$2397&amp;" "," ")," "&amp;$CR$2402&amp;" "," ")," "&amp;$CR$2405&amp;" "," ")," "&amp;$CR$2396&amp;" "," ")," "&amp;$CR$2404&amp;" "," ")," "&amp;$CR$2411&amp;" "," ")," "&amp;$CR$2408&amp;" "," ")," "&amp;$CR$2403&amp;" "," ")," "&amp;$CR$2407&amp;" "," ")," "&amp;$CR$2409&amp;" "," ")),"")</f>
        <v xml:space="preserve"> fond blanc de veau </v>
      </c>
      <c r="CK29" s="493">
        <f>IF(29=29,IF($U29="","",SUMPRODUCT(--ISNUMBER(SEARCH(" "&amp;$CR$2412:$CR$2416&amp;" ",$CJ29)))),"")</f>
        <v>0</v>
      </c>
      <c r="CL29" s="493" t="str">
        <f>IF(29=29,IF($U29="","",IF(SUM(CG29:CI29)&gt;0,"X",IF(CK29&gt;0,"?",""))),"")</f>
        <v/>
      </c>
      <c r="CM29" s="494"/>
      <c r="CN29" s="496" t="s">
        <v>1194</v>
      </c>
      <c r="CO29" s="496" t="s">
        <v>1083</v>
      </c>
      <c r="CP29" s="496" t="s">
        <v>689</v>
      </c>
      <c r="CQ29" s="496" t="s">
        <v>893</v>
      </c>
      <c r="CR29" s="496" t="s">
        <v>893</v>
      </c>
      <c r="CS29" s="496" t="s">
        <v>1085</v>
      </c>
      <c r="CT29" s="496" t="s">
        <v>1086</v>
      </c>
      <c r="CU29" s="496" t="s">
        <v>1087</v>
      </c>
      <c r="CV29" s="497" t="s">
        <v>1088</v>
      </c>
      <c r="CX29" s="543">
        <v>1</v>
      </c>
    </row>
    <row r="30" spans="1:102" ht="21" customHeight="1">
      <c r="A30" s="509">
        <v>24</v>
      </c>
      <c r="B30" s="510" t="s">
        <v>5868</v>
      </c>
      <c r="C30" s="511" t="str">
        <f t="shared" si="0"/>
        <v>Fumet de crustacés *</v>
      </c>
      <c r="D30" s="512" t="str">
        <f>IF(30=30,IF($B30="","",IF(E30="X",""&amp;"Céréales contenant du gluten","")&amp;IF(F30="X",IF(COUNTIF($E30:$E30,"X")&gt;0,", ","")&amp;"Crustacés","")&amp;IF(G30="X",IF(COUNTIF($E30:$F30,"X")&gt;0,", ","")&amp;"Œufs","")&amp;IF(H30="X",IF(COUNTIF($E30:$G30,"X")&gt;0,", ","")&amp;"Poissons","")&amp;IF(I30="X",IF(COUNTIF($E30:$H30,"X")&gt;0,", ","")&amp;"Arachides","")&amp;IF(J30="X",IF(COUNTIF($E30:$I30,"X")&gt;0,", ","")&amp;"Soja","")&amp;IF(K30="X",IF(COUNTIF($E30:$J30,"X")&gt;0,", ","")&amp;"Lait","")&amp;IF(L30="X",IF(COUNTIF($E30:$K30,"X")&gt;0,", ","")&amp;"Fruits à coque","")&amp;IF(M30="X",IF(COUNTIF($E30:$L30,"X")&gt;0,", ","")&amp;"Céleri","")&amp;IF(N30="X",IF(COUNTIF($E30:$M30,"X")&gt;0,", ","")&amp;"Moutarde","")&amp;IF(O30="X",IF(COUNTIF($E30:$N30,"X")&gt;0,", ","")&amp;"Sésame","")&amp;IF(P30="X",IF(COUNTIF($E30:$O30,"X")&gt;0,", ","")&amp;"Sulfites","")&amp;IF(Q30="X",IF(COUNTIF($E30:$P30,"X")&gt;0,", ","")&amp;"Lupin","")&amp;IF(R30="X",IF(COUNTIF($E30:$Q30,"X")&gt;0,", ","")&amp;"Mollusques","")),"")</f>
        <v>Crustacés</v>
      </c>
      <c r="E30" s="513" t="str">
        <f>IF(30=30,IF($B30="","",AF30),"")</f>
        <v/>
      </c>
      <c r="F30" s="513" t="str">
        <f>IF(30=30,IF($B30="","",AI30),"")</f>
        <v>X</v>
      </c>
      <c r="G30" s="513" t="str">
        <f>IF(30=30,IF($B30="","",AM30),"")</f>
        <v/>
      </c>
      <c r="H30" s="513" t="str">
        <f>IF(30=30,IF($B30="","",IF(ISNUMBER(SEARCH(" colin ",$AA30)),"X",AZ30)),"")</f>
        <v/>
      </c>
      <c r="I30" s="513" t="str">
        <f>IF(30=30,IF($B30="","",BB30),"")</f>
        <v/>
      </c>
      <c r="J30" s="513" t="str">
        <f>IF(30=30,IF($B30="","",BF30),"")</f>
        <v/>
      </c>
      <c r="K30" s="513" t="str">
        <f>IF(30=30,IF($B30="","",BM30),"")</f>
        <v/>
      </c>
      <c r="L30" s="513" t="str">
        <f>IF(30=30,IF($B30="","",BQ30),"")</f>
        <v/>
      </c>
      <c r="M30" s="513" t="str">
        <f>IF(30=30,IF($B30="","",BT30),"")</f>
        <v/>
      </c>
      <c r="N30" s="513" t="str">
        <f>IF(30=30,IF($B30="","",BW30),"")</f>
        <v/>
      </c>
      <c r="O30" s="513" t="str">
        <f>IF(30=30,IF($B30="","",BZ30),"")</f>
        <v/>
      </c>
      <c r="P30" s="513" t="str">
        <f>IF(30=30,IF($B30="","",CC30),"")</f>
        <v/>
      </c>
      <c r="Q30" s="513" t="str">
        <f>IF(30=30,IF($B30="","",CF30),"")</f>
        <v/>
      </c>
      <c r="R30" s="513" t="str">
        <f>IF(30=30,IF($B30="","",CL30),"")</f>
        <v/>
      </c>
      <c r="S30" s="514" t="str">
        <f>IF(30=30,IF($B30="","",IF(E30="?",""&amp;"Céréales contenant du gluten","")&amp;IF(F30="?",IF(COUNTIF($E30:$E30,"~?")&gt;0,", ","")&amp;"Crustacés","")&amp;IF(G30="?",IF(COUNTIF($E30:$F30,"~?")&gt;0,", ","")&amp;"Œufs","")&amp;IF(H30="?",IF(COUNTIF($E30:$G30,"~?")&gt;0,", ","")&amp;"Poissons","")&amp;IF(I30="?",IF(COUNTIF($E30:$H30,"~?")&gt;0,", ","")&amp;"Arachides","")&amp;IF(J30="?",IF(COUNTIF($E30:$I30,"~?")&gt;0,", ","")&amp;"Soja","")&amp;IF(K30="?",IF(COUNTIF($E30:$J30,"~?")&gt;0,", ","")&amp;"Lait","")&amp;IF(L30="?",IF(COUNTIF($E30:$K30,"~?")&gt;0,", ","")&amp;"Fruits à coque","")&amp;IF(M30="?",IF(COUNTIF($E30:$L30,"~?")&gt;0,", ","")&amp;"Céleri","")&amp;IF(N30="?",IF(COUNTIF($E30:$M30,"~?")&gt;0,", ","")&amp;"Moutarde","")&amp;IF(O30="?",IF(COUNTIF($E30:$N30,"~?")&gt;0,", ","")&amp;"Sésame","")&amp;IF(P30="?",IF(COUNTIF($E30:$O30,"~?")&gt;0,", ","")&amp;"Sulfites","")&amp;IF(Q30="?",IF(COUNTIF($E30:$P30,"~?")&gt;0,", ","")&amp;"Lupin","")&amp;IF(R30="?",IF(COUNTIF($E30:$Q30,"~?")&gt;0,", ","")&amp;"Mollusques","")),"")</f>
        <v/>
      </c>
      <c r="U30" s="493" t="str">
        <f>IF(30=30,IF($B30="","",$B30),"")</f>
        <v xml:space="preserve">Fumet de crustacés </v>
      </c>
      <c r="V30" s="493" t="str">
        <f>IF(30=30,LOWER(CLEAN(SUBSTITUTE(SUBSTITUTE(SUBSTITUTE(SUBSTITUTE($U30,CHAR(160)," ")," "," "),CHAR(10)," "),CHAR(13)," "))),"")</f>
        <v xml:space="preserve">fumet de crustacés </v>
      </c>
      <c r="W30" s="493" t="str">
        <f>IF(30=30,SUBSTITUTE(SUBSTITUTE(SUBSTITUTE(SUBSTITUTE(SUBSTITUTE(SUBSTITUTE(SUBSTITUTE(SUBSTITUTE(SUBSTITUTE(SUBSTITUTE(SUBSTITUTE(SUBSTITUTE($V30,"œ","oe"),"æ","ae"),"à","a"),"á","a"),"â","a"),"ä","a"),"ã","a"),"ç","c"),"è","e"),"é","e"),"ê","e"),"ë","e"),"")</f>
        <v xml:space="preserve">fumet de crustaces </v>
      </c>
      <c r="X30" s="493" t="str">
        <f>IF(30=30,SUBSTITUTE(SUBSTITUTE(SUBSTITUTE(SUBSTITUTE(SUBSTITUTE(SUBSTITUTE(SUBSTITUTE(SUBSTITUTE(SUBSTITUTE(SUBSTITUTE(SUBSTITUTE(SUBSTITUTE(SUBSTITUTE(SUBSTITUTE(SUBSTITUTE(SUBSTITUTE($W30,"ì","i"),"í","i"),"î","i"),"ï","i"),"ñ","n"),"ò","o"),"ó","o"),"ô","o"),"ö","o"),"õ","o"),"ù","u"),"ú","u"),"û","u"),"ü","u"),"ý","y"),"ÿ","y"),"")</f>
        <v xml:space="preserve">fumet de crustaces </v>
      </c>
      <c r="Y30" s="493" t="str">
        <f>IF(30=30,SUBSTITUTE(SUBSTITUTE(SUBSTITUTE(SUBSTITUTE(SUBSTITUTE(SUBSTITUTE(SUBSTITUTE(SUBSTITUTE(SUBSTITUTE(SUBSTITUTE(SUBSTITUTE(SUBSTITUTE(SUBSTITUTE(SUBSTITUTE($X30,"’"," "),"`"," "),"–"," "),"—"," "),"-"," "),"'"," "),"/"," "),"_"," "),","," "),"."," "),"("," "),")"," "),";"," "),":"," "),"")</f>
        <v xml:space="preserve">fumet de crustaces </v>
      </c>
      <c r="Z30" s="493" t="str">
        <f>IF(30=30,SUBSTITUTE(SUBSTITUTE(SUBSTITUTE(SUBSTITUTE(SUBSTITUTE(SUBSTITUTE(SUBSTITUTE(SUBSTITUTE(SUBSTITUTE(SUBSTITUTE(SUBSTITUTE(SUBSTITUTE(SUBSTITUTE(SUBSTITUTE(SUBSTITUTE($Y30,"!"," "),"?"," "),"+"," "),"*"," "),"&amp;"," "),"["," "),"]"," "),"{"," "),"}"," "),"%"," "),"="," "),"\"," "),"|"," "),"&lt;"," "),"&gt;"," "),"")</f>
        <v xml:space="preserve">fumet de crustaces </v>
      </c>
      <c r="AA30" s="493" t="str">
        <f>IF(30=30," "&amp;TRIM(SUBSTITUTE(SUBSTITUTE(SUBSTITUTE(SUBSTITUTE(SUBSTITUTE(SUBSTITUTE($Z30,CHAR(34)," "),"  "," "),"  "," "),"  "," "),"  "," "),"  "," "))&amp;" ","")</f>
        <v xml:space="preserve"> fumet de crustaces </v>
      </c>
      <c r="AB30" s="493">
        <f>IF(30=30,IF($U30="","",SUMPRODUCT(--ISNUMBER(SEARCH(" "&amp;$CR$2:$CR$101&amp;" ",$AD30)))),"")</f>
        <v>0</v>
      </c>
      <c r="AC30" s="493">
        <f>IF(30=30,IF($U30="","",SUMPRODUCT(--ISNUMBER(SEARCH(" "&amp;$CR$102:$CR$151&amp;" ",$AD30)))),"")</f>
        <v>0</v>
      </c>
      <c r="AD30" s="493" t="str">
        <f t="shared" si="1"/>
        <v xml:space="preserve"> fumet de crustaces </v>
      </c>
      <c r="AE30" s="493">
        <f t="shared" si="2"/>
        <v>0</v>
      </c>
      <c r="AF30" s="493" t="str">
        <f>IF(30=30,IF($U30="","",IF(SUM(AB30:AC30)+SUMPRODUCT(--ISNUMBER(SEARCH(" "&amp;$CR$2418:$CR$2420&amp;" ",$AD30)))&gt;0,"X",IF(AE30&gt;0,"?",""))),"")</f>
        <v/>
      </c>
      <c r="AG30" s="493">
        <f>IF(30=30,IF($U30="","",SUMPRODUCT(--ISNUMBER(SEARCH(" "&amp;$CR$206:$CR$305&amp;" ",$AA30)))),"")</f>
        <v>1</v>
      </c>
      <c r="AH30" s="493">
        <f>IF(30=30,IF($U30="","",SUMPRODUCT(--ISNUMBER(SEARCH(" "&amp;$CR$306:$CR$340&amp;" ",$AA30)))),"")</f>
        <v>0</v>
      </c>
      <c r="AI30" s="493" t="str">
        <f>IF(30=30,IF($U30="","",IF((SUM(AG30:AH30))-(0)&gt;0,"X",IF((0)-(0)&gt;0,"?",""))),"")</f>
        <v>X</v>
      </c>
      <c r="AJ30" s="493">
        <f>IF(30=30,IF($U30="","",SUMPRODUCT(--ISNUMBER(SEARCH(" "&amp;$CR$341:$CR$398&amp;" ",$AA30)))),"")</f>
        <v>0</v>
      </c>
      <c r="AK30" s="493">
        <f>IF(30=30,IF($U30="","",SUMPRODUCT(--ISNUMBER(SEARCH(" "&amp;$CR$399:$CR$426&amp;" ",$AL30)))+SUMPRODUCT(--ISNUMBER(SEARCH(" "&amp;$CR$2440:$CR$2453&amp;" ",$AL30)))),"")</f>
        <v>0</v>
      </c>
      <c r="AL30" s="493" t="str">
        <f>IF(30=30,IF($U30="","",SUBSTITUTE(SUBSTITUTE(SUBSTITUTE(SUBSTITUTE(SUBSTITUTE(SUBSTITUTE(SUBSTITUTE(SUBSTITUTE(SUBSTITUTE(SUBSTITUTE(SUBSTITUTE(SUBSTITUTE(SUBSTITUTE(SUBSTITUTE($AA30," "&amp;$CR$2455&amp;" "," ")," "&amp;$CR$433&amp;" "," ")," "&amp;$CR$431&amp;" "," ")," "&amp;$CR$2438&amp;" "," ")," "&amp;$CR$2439&amp;" "," ")," "&amp;$CR$428&amp;" "," ")," "&amp;$CR$432&amp;" "," ")," "&amp;$CR$434&amp;" "," ")," "&amp;$CR$429&amp;" "," ")," "&amp;$CR$427&amp;" "," ")," "&amp;$CR$1367&amp;" "," ")," "&amp;$CR$435&amp;" "," ")," "&amp;$CR$1366&amp;" "," ")," "&amp;$CR$430&amp;" "," ")),"")</f>
        <v xml:space="preserve"> fumet de crustaces </v>
      </c>
      <c r="AM30" s="493" t="str">
        <f>IF(30=30,IF($U30="","",IF(AJ30&gt;0,"X",IF(AK30&gt;0,"?",""))),"")</f>
        <v/>
      </c>
      <c r="AN30" s="493">
        <f>IF(30=30,IF($U30="","",SUMPRODUCT(--ISNUMBER(SEARCH(" "&amp;$CR$436:$CR$535&amp;" ",$AX30)))),"")</f>
        <v>0</v>
      </c>
      <c r="AO30" s="493">
        <f>IF(30=30,IF($U30="","",SUMPRODUCT(--ISNUMBER(SEARCH(" "&amp;$CR$536:$CR$635&amp;" ",$AX30)))),"")</f>
        <v>0</v>
      </c>
      <c r="AP30" s="493">
        <f>IF(30=30,IF($U30="","",SUMPRODUCT(--ISNUMBER(SEARCH(" "&amp;$CR$636:$CR$735&amp;" ",$AX30)))),"")</f>
        <v>0</v>
      </c>
      <c r="AQ30" s="493">
        <f>IF(30=30,IF($U30="","",SUMPRODUCT(--ISNUMBER(SEARCH(" "&amp;$CR$736:$CR$835&amp;" ",$AX30)))),"")</f>
        <v>0</v>
      </c>
      <c r="AR30" s="493">
        <f>IF(30=30,IF($U30="","",SUMPRODUCT(--ISNUMBER(SEARCH(" "&amp;$CR$836:$CR$935&amp;" ",$AX30)))),"")</f>
        <v>0</v>
      </c>
      <c r="AS30" s="493">
        <f>IF(30=30,IF($U30="","",SUMPRODUCT(--ISNUMBER(SEARCH(" "&amp;$CR$936:$CR$1035&amp;" ",$AX30)))),"")</f>
        <v>0</v>
      </c>
      <c r="AT30" s="493">
        <f>IF(30=30,IF($U30="","",SUMPRODUCT(--ISNUMBER(SEARCH(" "&amp;$CR$1036:$CR$1135&amp;" ",$AX30)))),"")</f>
        <v>0</v>
      </c>
      <c r="AU30" s="493">
        <f>IF(30=30,IF($U30="","",SUMPRODUCT(--ISNUMBER(SEARCH(" "&amp;$CR$1136:$CR$1235&amp;" ",$AX30)))),"")</f>
        <v>0</v>
      </c>
      <c r="AV30" s="493">
        <f>IF(30=30,IF($U30="","",SUMPRODUCT(--ISNUMBER(SEARCH(" "&amp;$CR$1236:$CR$1335&amp;" ",$AX30)))),"")</f>
        <v>0</v>
      </c>
      <c r="AW30" s="493">
        <f>IF(30=30,IF($U30="","",SUMPRODUCT(--ISNUMBER(SEARCH(" "&amp;$CR$1336:$CR$1363&amp;" ",$AX30)))),"")</f>
        <v>0</v>
      </c>
      <c r="AX30" s="493" t="str">
        <f>IF(30=30,IF($U30="","",SUBSTITUTE(SUBSTITUTE(SUBSTITUTE(SUBSTITUTE(SUBSTITUTE(SUBSTITUTE(SUBSTITUTE(SUBSTITUTE(SUBSTITUTE($AA30," "&amp;$CR$1365&amp;" "," ")," "&amp;$CR$1364&amp;" "," ")," "&amp;$CR$1370&amp;" "," ")," "&amp;$CR$1371&amp;" "," ")," "&amp;$CR$1367&amp;" "," ")," "&amp;$CR$1369&amp;" "," ")," "&amp;$CR$1366&amp;" "," ")," "&amp;$CR$1368&amp;" "," ")," "&amp;$CR$1372&amp;" "," ")),"")</f>
        <v xml:space="preserve"> fumet de crustaces </v>
      </c>
      <c r="AY30" s="493">
        <f>IF(30=30,IF($U30="","",SUMPRODUCT(--ISNUMBER(SEARCH(" "&amp;$CR$1373:$CR$1383&amp;" ",$AX30)))),"")</f>
        <v>0</v>
      </c>
      <c r="AZ30" s="493" t="str">
        <f>IF(30=30,IF($U30="","",IF(SUM(AN30:AW30)+SUMPRODUCT(--ISNUMBER(SEARCH(" "&amp;$CR$2421:$CR$2422&amp;" ",$AX30)))&gt;0,"X",IF(AY30&gt;0,"?",""))),"")</f>
        <v/>
      </c>
      <c r="BA30" s="493">
        <f>IF(30=30,IF($U30="","",SUMPRODUCT(--ISNUMBER(SEARCH(" "&amp;$CR$1384:$CR$1404&amp;" ",$AA30)))),"")</f>
        <v>0</v>
      </c>
      <c r="BB30" s="493" t="str">
        <f>IF(30=30,IF($U30="","",IF((BA30)-(0)&gt;0,"X",IF((0)-(0)&gt;0,"?",""))),"")</f>
        <v/>
      </c>
      <c r="BC30" s="493">
        <f>IF(30=30,IF($U30="","",SUMPRODUCT(--ISNUMBER(SEARCH(" "&amp;$CR$1405:$CR$1442&amp;" ",$BD30)))),"")</f>
        <v>0</v>
      </c>
      <c r="BD30" s="493" t="str">
        <f>IF(30=30,IF($U30="","",SUBSTITUTE(SUBSTITUTE($AA30," "&amp;$CR$1443&amp;" "," ")," "&amp;$CR$1444&amp;" "," ")),"")</f>
        <v xml:space="preserve"> fumet de crustaces </v>
      </c>
      <c r="BE30" s="493">
        <f>IF(30=30,IF($U30="","",SUMPRODUCT(--ISNUMBER(SEARCH(" "&amp;$CR$1445:$CR$1455&amp;" ",$BD30)))),"")</f>
        <v>0</v>
      </c>
      <c r="BF30" s="493" t="str">
        <f>IF(30=30,IF($U30="","",IF(BC30&gt;0,"X",IF(BE30&gt;0,"?",""))),"")</f>
        <v/>
      </c>
      <c r="BG30" s="493">
        <f>IF(30=30,IF($U30="","",SUMPRODUCT(--ISNUMBER(SEARCH(" "&amp;$CR$1456:$CR$1555&amp;" ",$BJ30)))),"")</f>
        <v>0</v>
      </c>
      <c r="BH30" s="493">
        <f>IF(30=30,IF($U30="","",SUMPRODUCT(--ISNUMBER(SEARCH(" "&amp;$CR$1556:$CR$1655&amp;" ",$BJ30)))),"")</f>
        <v>0</v>
      </c>
      <c r="BI30" s="493">
        <f>IF(30=30,IF($U30="","",SUMPRODUCT(--ISNUMBER(SEARCH(" "&amp;$CR$1656:$CR$1739&amp;" ",$BJ30)))),"")</f>
        <v>0</v>
      </c>
      <c r="BJ30" s="493" t="str">
        <f>IF(30=30,IF($U30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fumet de crustaces </v>
      </c>
      <c r="BK30" s="493">
        <f>IF(30=30,IF($U30="","",SUMPRODUCT(--ISNUMBER(SEARCH(" "&amp;$CR$1790:$CR$1869&amp;" ",$BL30)))+SUMPRODUCT(--ISNUMBER(SEARCH(" "&amp;$CR$2440:$CR$2453&amp;" ",$BL30)))),"")</f>
        <v>0</v>
      </c>
      <c r="BL30" s="493" t="str">
        <f>IF(30=30,IF($U30="","",SUBSTITUTE(SUBSTITUTE(SUBSTITUTE(SUBSTITUTE(SUBSTITUTE(SUBSTITUTE(SUBSTITUTE(SUBSTITUTE(SUBSTITUTE(SUBSTITUTE(SUBSTITUTE(SUBSTITUTE(SUBSTITUTE($BJ30," "&amp;$CR$1876&amp;" "," ")," "&amp;$CR$1874&amp;" "," ")," "&amp;$CR$2438&amp;" "," ")," "&amp;$CR$2439&amp;" "," ")," "&amp;$CR$1871&amp;" "," ")," "&amp;$CR$1875&amp;" "," ")," "&amp;$CR$1877&amp;" "," ")," "&amp;$CR$1872&amp;" "," ")," "&amp;$CR$1870&amp;" "," ")," "&amp;$CR$1367&amp;" "," ")," "&amp;$CR$1878&amp;" "," ")," "&amp;$CR$1366&amp;" "," ")," "&amp;$CR$1873&amp;" "," ")),"")</f>
        <v xml:space="preserve"> fumet de crustaces </v>
      </c>
      <c r="BM30" s="493" t="str">
        <f>IF(30=30,IF($U30="","",IF(SUM(BG30:BI30)+SUMPRODUCT(--ISNUMBER(SEARCH(" "&amp;$CR$2423:$CR$2424&amp;" ",$BJ30)))&gt;0,"X",IF(BK30&gt;0,"?",""))),"")</f>
        <v/>
      </c>
      <c r="BN30" s="493">
        <f>IF(30=30,IF($U30="","",SUMPRODUCT(--ISNUMBER(SEARCH(" "&amp;$CR$1879:$CR$1936&amp;" ",$BO30)))),"")</f>
        <v>0</v>
      </c>
      <c r="BO30" s="493" t="str">
        <f>IF(30=30,IF($U30="","",SUBSTITUTE(SUBSTITUTE(SUBSTITUTE(SUBSTITUTE(SUBSTITUTE(SUBSTITUTE(SUBSTITUTE(SUBSTITUTE(SUBSTITUTE(SUBSTITUTE(SUBSTITUTE(SUBSTITUTE(SUBSTITUTE(SUBSTITUTE(SUBSTITUTE(SUBSTITUTE(SUBSTITUTE(SUBSTITUTE(SUBSTITUTE(SUBSTITUTE(SUBSTITUTE(SUBSTITUTE(SUBSTITUTE($AA30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fumet de crustaces </v>
      </c>
      <c r="BP30" s="493">
        <f>IF(30=30,IF($U30="","",SUMPRODUCT(--ISNUMBER(SEARCH(" "&amp;$CR$1960:$CR$1976&amp;" ",$BO30)))),"")</f>
        <v>0</v>
      </c>
      <c r="BQ30" s="493" t="str">
        <f>IF(30=30,IF($U30="","",IF(BN30&gt;0,"X",IF(BP30&gt;0,"?",""))),"")</f>
        <v/>
      </c>
      <c r="BR30" s="493">
        <f>IF(30=30,IF($U30="","",SUMPRODUCT(--ISNUMBER(SEARCH(" "&amp;$CR$1977:$CR$1990&amp;" ",$AA30)))),"")</f>
        <v>0</v>
      </c>
      <c r="BS30" s="493">
        <f>IF(30=30,IF($U30="","",SUMPRODUCT(--ISNUMBER(SEARCH(" "&amp;$CR$1991:$CR$2005&amp;" ",$AA30)))),"")</f>
        <v>0</v>
      </c>
      <c r="BT30" s="493" t="str">
        <f>IF(30=30,IF($U30="","",IF((BR30)-(0)&gt;0,"X",IF((BS30)-(0)&gt;0,"?",""))),"")</f>
        <v/>
      </c>
      <c r="BU30" s="493">
        <f>IF(30=30,IF($U30="","",SUMPRODUCT(--ISNUMBER(SEARCH(" "&amp;$CR$2006:$CR$2023&amp;" ",$AA30)))),"")</f>
        <v>0</v>
      </c>
      <c r="BV30" s="493">
        <f>IF(30=30,IF($U30="","",SUMPRODUCT(--ISNUMBER(SEARCH(" "&amp;$CR$2024:$CR$2038&amp;" ",$AA30)))),"")</f>
        <v>0</v>
      </c>
      <c r="BW30" s="493" t="str">
        <f>IF(30=30,IF($U30="","",IF((BU30)-(0)&gt;0,"X",IF((BV30)-(0)&gt;0,"?",""))),"")</f>
        <v/>
      </c>
      <c r="BX30" s="493">
        <f>IF(30=30,IF($U30="","",SUMPRODUCT(--ISNUMBER(SEARCH(" "&amp;$CR$2039:$CR$2057&amp;" ",$AA30)))),"")</f>
        <v>0</v>
      </c>
      <c r="BY30" s="493">
        <f>IF(30=30,IF($U30="","",SUMPRODUCT(--ISNUMBER(SEARCH(" "&amp;$CR$2058:$CR$2072&amp;" ",$AA30)))),"")</f>
        <v>0</v>
      </c>
      <c r="BZ30" s="493" t="str">
        <f>IF(30=30,IF($U30="","",IF((BX30)-(0)&gt;0,"X",IF((BY30)-(0)&gt;0,"?",""))),"")</f>
        <v/>
      </c>
      <c r="CA30" s="493">
        <f>IF(30=30,IF($U30="","",SUMPRODUCT(--ISNUMBER(SEARCH(" "&amp;$CR$2073:$CR$2093&amp;" ",$AA30)))),"")</f>
        <v>0</v>
      </c>
      <c r="CB30" s="493">
        <f>IF(30=30,IF($U30="","",SUMPRODUCT(--ISNUMBER(SEARCH(" "&amp;$CR$2094:$CR$2133&amp;" ",SUBSTITUTE(SUBSTITUTE($AA30," "&amp;$CR$1367&amp;" "," ")," "&amp;$CR$1366&amp;" "," "))))+--ISNUMBER(SEARCH("poiré",$V30))),"")</f>
        <v>0</v>
      </c>
      <c r="CC30" s="493" t="str">
        <f>IF(30=30,IF($U30="","",IF(OR(CA30&gt;0,ISNUMBER(SEARCH(" vinaigre de vin ",$AA30)),ISNUMBER(SEARCH(" vinaigre au vin ",$AA30))),"X",IF(CB30&gt;0,"?",""))),"")</f>
        <v/>
      </c>
      <c r="CD30" s="493">
        <f>IF(30=30,IF($U30="","",SUMPRODUCT(--ISNUMBER(SEARCH(" "&amp;$CR$2134:$CR$2146&amp;" ",$AA30)))),"")</f>
        <v>0</v>
      </c>
      <c r="CE30" s="493">
        <f>IF(30=30,IF($U30="","",SUMPRODUCT(--ISNUMBER(SEARCH(" "&amp;$CR$2147:$CR$2152&amp;" ",$AA30)))),"")</f>
        <v>0</v>
      </c>
      <c r="CF30" s="493" t="str">
        <f>IF(30=30,IF($U30="","",IF((CD30)-(0)&gt;0,"X",IF((CE30)-(0)&gt;0,"?",""))),"")</f>
        <v/>
      </c>
      <c r="CG30" s="493">
        <f>IF(30=30,IF($U30="","",SUMPRODUCT(--ISNUMBER(SEARCH(" "&amp;$CR$2153:$CR$2252&amp;" ",$CJ30)))),"")</f>
        <v>0</v>
      </c>
      <c r="CH30" s="493">
        <f>IF(30=30,IF($U30="","",SUMPRODUCT(--ISNUMBER(SEARCH(" "&amp;$CR$2253:$CR$2352&amp;" ",$CJ30)))),"")</f>
        <v>0</v>
      </c>
      <c r="CI30" s="493">
        <f>IF(30=30,IF($U30="","",SUMPRODUCT(--ISNUMBER(SEARCH(" "&amp;$CR$2353:$CR$2395&amp;" ",$CJ30)))),"")</f>
        <v>0</v>
      </c>
      <c r="CJ30" s="493" t="str">
        <f>IF(30=30,IF($U30="","",SUBSTITUTE(SUBSTITUTE(SUBSTITUTE(SUBSTITUTE(SUBSTITUTE(SUBSTITUTE(SUBSTITUTE(SUBSTITUTE(SUBSTITUTE(SUBSTITUTE(SUBSTITUTE(SUBSTITUTE(SUBSTITUTE(SUBSTITUTE(SUBSTITUTE(SUBSTITUTE($AA30," "&amp;$CR$2401&amp;" "," ")," "&amp;$CR$2400&amp;" "," ")," "&amp;$CR$2399&amp;" "," ")," "&amp;$CR$2406&amp;" "," ")," "&amp;$CR$2398&amp;" "," ")," "&amp;$CR$2410&amp;" "," ")," "&amp;$CR$2397&amp;" "," ")," "&amp;$CR$2402&amp;" "," ")," "&amp;$CR$2405&amp;" "," ")," "&amp;$CR$2396&amp;" "," ")," "&amp;$CR$2404&amp;" "," ")," "&amp;$CR$2411&amp;" "," ")," "&amp;$CR$2408&amp;" "," ")," "&amp;$CR$2403&amp;" "," ")," "&amp;$CR$2407&amp;" "," ")," "&amp;$CR$2409&amp;" "," ")),"")</f>
        <v xml:space="preserve"> fumet de crustaces </v>
      </c>
      <c r="CK30" s="493">
        <f>IF(30=30,IF($U30="","",SUMPRODUCT(--ISNUMBER(SEARCH(" "&amp;$CR$2412:$CR$2416&amp;" ",$CJ30)))),"")</f>
        <v>0</v>
      </c>
      <c r="CL30" s="493" t="str">
        <f>IF(30=30,IF($U30="","",IF(SUM(CG30:CI30)&gt;0,"X",IF(CK30&gt;0,"?",""))),"")</f>
        <v/>
      </c>
      <c r="CM30" s="494"/>
      <c r="CN30" s="496" t="s">
        <v>1195</v>
      </c>
      <c r="CO30" s="496" t="s">
        <v>1083</v>
      </c>
      <c r="CP30" s="496" t="s">
        <v>689</v>
      </c>
      <c r="CQ30" s="496" t="s">
        <v>187</v>
      </c>
      <c r="CR30" s="496" t="s">
        <v>187</v>
      </c>
      <c r="CS30" s="496" t="s">
        <v>1085</v>
      </c>
      <c r="CT30" s="496" t="s">
        <v>1086</v>
      </c>
      <c r="CU30" s="496" t="s">
        <v>1087</v>
      </c>
      <c r="CV30" s="497" t="s">
        <v>1088</v>
      </c>
      <c r="CX30" s="543">
        <v>1</v>
      </c>
    </row>
    <row r="31" spans="1:102" ht="21" customHeight="1">
      <c r="A31" s="509">
        <v>25</v>
      </c>
      <c r="B31" s="510" t="s">
        <v>5869</v>
      </c>
      <c r="C31" s="511" t="str">
        <f t="shared" si="0"/>
        <v>Glace de poisson *</v>
      </c>
      <c r="D31" s="512" t="str">
        <f>IF(31=31,IF($B31="","",IF(E31="X",""&amp;"Céréales contenant du gluten","")&amp;IF(F31="X",IF(COUNTIF($E31:$E31,"X")&gt;0,", ","")&amp;"Crustacés","")&amp;IF(G31="X",IF(COUNTIF($E31:$F31,"X")&gt;0,", ","")&amp;"Œufs","")&amp;IF(H31="X",IF(COUNTIF($E31:$G31,"X")&gt;0,", ","")&amp;"Poissons","")&amp;IF(I31="X",IF(COUNTIF($E31:$H31,"X")&gt;0,", ","")&amp;"Arachides","")&amp;IF(J31="X",IF(COUNTIF($E31:$I31,"X")&gt;0,", ","")&amp;"Soja","")&amp;IF(K31="X",IF(COUNTIF($E31:$J31,"X")&gt;0,", ","")&amp;"Lait","")&amp;IF(L31="X",IF(COUNTIF($E31:$K31,"X")&gt;0,", ","")&amp;"Fruits à coque","")&amp;IF(M31="X",IF(COUNTIF($E31:$L31,"X")&gt;0,", ","")&amp;"Céleri","")&amp;IF(N31="X",IF(COUNTIF($E31:$M31,"X")&gt;0,", ","")&amp;"Moutarde","")&amp;IF(O31="X",IF(COUNTIF($E31:$N31,"X")&gt;0,", ","")&amp;"Sésame","")&amp;IF(P31="X",IF(COUNTIF($E31:$O31,"X")&gt;0,", ","")&amp;"Sulfites","")&amp;IF(Q31="X",IF(COUNTIF($E31:$P31,"X")&gt;0,", ","")&amp;"Lupin","")&amp;IF(R31="X",IF(COUNTIF($E31:$Q31,"X")&gt;0,", ","")&amp;"Mollusques","")),"")</f>
        <v>Poissons</v>
      </c>
      <c r="E31" s="513" t="str">
        <f>IF(31=31,IF($B31="","",AF31),"")</f>
        <v/>
      </c>
      <c r="F31" s="513" t="str">
        <f>IF(31=31,IF($B31="","",AI31),"")</f>
        <v/>
      </c>
      <c r="G31" s="513" t="str">
        <f>IF(31=31,IF($B31="","",AM31),"")</f>
        <v>?</v>
      </c>
      <c r="H31" s="513" t="str">
        <f>IF(31=31,IF($B31="","",IF(ISNUMBER(SEARCH(" colin ",$AA31)),"X",AZ31)),"")</f>
        <v>X</v>
      </c>
      <c r="I31" s="513" t="str">
        <f>IF(31=31,IF($B31="","",BB31),"")</f>
        <v/>
      </c>
      <c r="J31" s="513" t="str">
        <f>IF(31=31,IF($B31="","",BF31),"")</f>
        <v/>
      </c>
      <c r="K31" s="513" t="str">
        <f>IF(31=31,IF($B31="","",BM31),"")</f>
        <v>?</v>
      </c>
      <c r="L31" s="513" t="str">
        <f>IF(31=31,IF($B31="","",BQ31),"")</f>
        <v/>
      </c>
      <c r="M31" s="513" t="str">
        <f>IF(31=31,IF($B31="","",BT31),"")</f>
        <v/>
      </c>
      <c r="N31" s="513" t="str">
        <f>IF(31=31,IF($B31="","",BW31),"")</f>
        <v/>
      </c>
      <c r="O31" s="513" t="str">
        <f>IF(31=31,IF($B31="","",BZ31),"")</f>
        <v/>
      </c>
      <c r="P31" s="513" t="str">
        <f>IF(31=31,IF($B31="","",CC31),"")</f>
        <v/>
      </c>
      <c r="Q31" s="513" t="str">
        <f>IF(31=31,IF($B31="","",CF31),"")</f>
        <v/>
      </c>
      <c r="R31" s="513" t="str">
        <f>IF(31=31,IF($B31="","",CL31),"")</f>
        <v/>
      </c>
      <c r="S31" s="514" t="str">
        <f>IF(31=31,IF($B31="","",IF(E31="?",""&amp;"Céréales contenant du gluten","")&amp;IF(F31="?",IF(COUNTIF($E31:$E31,"~?")&gt;0,", ","")&amp;"Crustacés","")&amp;IF(G31="?",IF(COUNTIF($E31:$F31,"~?")&gt;0,", ","")&amp;"Œufs","")&amp;IF(H31="?",IF(COUNTIF($E31:$G31,"~?")&gt;0,", ","")&amp;"Poissons","")&amp;IF(I31="?",IF(COUNTIF($E31:$H31,"~?")&gt;0,", ","")&amp;"Arachides","")&amp;IF(J31="?",IF(COUNTIF($E31:$I31,"~?")&gt;0,", ","")&amp;"Soja","")&amp;IF(K31="?",IF(COUNTIF($E31:$J31,"~?")&gt;0,", ","")&amp;"Lait","")&amp;IF(L31="?",IF(COUNTIF($E31:$K31,"~?")&gt;0,", ","")&amp;"Fruits à coque","")&amp;IF(M31="?",IF(COUNTIF($E31:$L31,"~?")&gt;0,", ","")&amp;"Céleri","")&amp;IF(N31="?",IF(COUNTIF($E31:$M31,"~?")&gt;0,", ","")&amp;"Moutarde","")&amp;IF(O31="?",IF(COUNTIF($E31:$N31,"~?")&gt;0,", ","")&amp;"Sésame","")&amp;IF(P31="?",IF(COUNTIF($E31:$O31,"~?")&gt;0,", ","")&amp;"Sulfites","")&amp;IF(Q31="?",IF(COUNTIF($E31:$P31,"~?")&gt;0,", ","")&amp;"Lupin","")&amp;IF(R31="?",IF(COUNTIF($E31:$Q31,"~?")&gt;0,", ","")&amp;"Mollusques","")),"")</f>
        <v>Œufs, Lait</v>
      </c>
      <c r="U31" s="493" t="str">
        <f>IF(31=31,IF($B31="","",$B31),"")</f>
        <v xml:space="preserve">Glace de poisson </v>
      </c>
      <c r="V31" s="493" t="str">
        <f>IF(31=31,LOWER(CLEAN(SUBSTITUTE(SUBSTITUTE(SUBSTITUTE(SUBSTITUTE($U31,CHAR(160)," ")," "," "),CHAR(10)," "),CHAR(13)," "))),"")</f>
        <v xml:space="preserve">glace de poisson </v>
      </c>
      <c r="W31" s="493" t="str">
        <f>IF(31=31,SUBSTITUTE(SUBSTITUTE(SUBSTITUTE(SUBSTITUTE(SUBSTITUTE(SUBSTITUTE(SUBSTITUTE(SUBSTITUTE(SUBSTITUTE(SUBSTITUTE(SUBSTITUTE(SUBSTITUTE($V31,"œ","oe"),"æ","ae"),"à","a"),"á","a"),"â","a"),"ä","a"),"ã","a"),"ç","c"),"è","e"),"é","e"),"ê","e"),"ë","e"),"")</f>
        <v xml:space="preserve">glace de poisson </v>
      </c>
      <c r="X31" s="493" t="str">
        <f>IF(31=31,SUBSTITUTE(SUBSTITUTE(SUBSTITUTE(SUBSTITUTE(SUBSTITUTE(SUBSTITUTE(SUBSTITUTE(SUBSTITUTE(SUBSTITUTE(SUBSTITUTE(SUBSTITUTE(SUBSTITUTE(SUBSTITUTE(SUBSTITUTE(SUBSTITUTE(SUBSTITUTE($W31,"ì","i"),"í","i"),"î","i"),"ï","i"),"ñ","n"),"ò","o"),"ó","o"),"ô","o"),"ö","o"),"õ","o"),"ù","u"),"ú","u"),"û","u"),"ü","u"),"ý","y"),"ÿ","y"),"")</f>
        <v xml:space="preserve">glace de poisson </v>
      </c>
      <c r="Y31" s="493" t="str">
        <f>IF(31=31,SUBSTITUTE(SUBSTITUTE(SUBSTITUTE(SUBSTITUTE(SUBSTITUTE(SUBSTITUTE(SUBSTITUTE(SUBSTITUTE(SUBSTITUTE(SUBSTITUTE(SUBSTITUTE(SUBSTITUTE(SUBSTITUTE(SUBSTITUTE($X31,"’"," "),"`"," "),"–"," "),"—"," "),"-"," "),"'"," "),"/"," "),"_"," "),","," "),"."," "),"("," "),")"," "),";"," "),":"," "),"")</f>
        <v xml:space="preserve">glace de poisson </v>
      </c>
      <c r="Z31" s="493" t="str">
        <f>IF(31=31,SUBSTITUTE(SUBSTITUTE(SUBSTITUTE(SUBSTITUTE(SUBSTITUTE(SUBSTITUTE(SUBSTITUTE(SUBSTITUTE(SUBSTITUTE(SUBSTITUTE(SUBSTITUTE(SUBSTITUTE(SUBSTITUTE(SUBSTITUTE(SUBSTITUTE($Y31,"!"," "),"?"," "),"+"," "),"*"," "),"&amp;"," "),"["," "),"]"," "),"{"," "),"}"," "),"%"," "),"="," "),"\"," "),"|"," "),"&lt;"," "),"&gt;"," "),"")</f>
        <v xml:space="preserve">glace de poisson </v>
      </c>
      <c r="AA31" s="493" t="str">
        <f>IF(31=31," "&amp;TRIM(SUBSTITUTE(SUBSTITUTE(SUBSTITUTE(SUBSTITUTE(SUBSTITUTE(SUBSTITUTE($Z31,CHAR(34)," "),"  "," "),"  "," "),"  "," "),"  "," "),"  "," "))&amp;" ","")</f>
        <v xml:space="preserve"> glace de poisson </v>
      </c>
      <c r="AB31" s="493">
        <f>IF(31=31,IF($U31="","",SUMPRODUCT(--ISNUMBER(SEARCH(" "&amp;$CR$2:$CR$101&amp;" ",$AD31)))),"")</f>
        <v>0</v>
      </c>
      <c r="AC31" s="493">
        <f>IF(31=31,IF($U31="","",SUMPRODUCT(--ISNUMBER(SEARCH(" "&amp;$CR$102:$CR$151&amp;" ",$AD31)))),"")</f>
        <v>0</v>
      </c>
      <c r="AD31" s="493" t="str">
        <f t="shared" si="1"/>
        <v xml:space="preserve"> glace de poisson </v>
      </c>
      <c r="AE31" s="493">
        <f t="shared" si="2"/>
        <v>0</v>
      </c>
      <c r="AF31" s="493" t="str">
        <f>IF(31=31,IF($U31="","",IF(SUM(AB31:AC31)+SUMPRODUCT(--ISNUMBER(SEARCH(" "&amp;$CR$2418:$CR$2420&amp;" ",$AD31)))&gt;0,"X",IF(AE31&gt;0,"?",""))),"")</f>
        <v/>
      </c>
      <c r="AG31" s="493">
        <f>IF(31=31,IF($U31="","",SUMPRODUCT(--ISNUMBER(SEARCH(" "&amp;$CR$206:$CR$305&amp;" ",$AA31)))),"")</f>
        <v>0</v>
      </c>
      <c r="AH31" s="493">
        <f>IF(31=31,IF($U31="","",SUMPRODUCT(--ISNUMBER(SEARCH(" "&amp;$CR$306:$CR$340&amp;" ",$AA31)))),"")</f>
        <v>0</v>
      </c>
      <c r="AI31" s="493" t="str">
        <f>IF(31=31,IF($U31="","",IF((SUM(AG31:AH31))-(0)&gt;0,"X",IF((0)-(0)&gt;0,"?",""))),"")</f>
        <v/>
      </c>
      <c r="AJ31" s="493">
        <f>IF(31=31,IF($U31="","",SUMPRODUCT(--ISNUMBER(SEARCH(" "&amp;$CR$341:$CR$398&amp;" ",$AA31)))),"")</f>
        <v>0</v>
      </c>
      <c r="AK31" s="493">
        <f>IF(31=31,IF($U31="","",SUMPRODUCT(--ISNUMBER(SEARCH(" "&amp;$CR$399:$CR$426&amp;" ",$AL31)))+SUMPRODUCT(--ISNUMBER(SEARCH(" "&amp;$CR$2440:$CR$2453&amp;" ",$AL31)))),"")</f>
        <v>1</v>
      </c>
      <c r="AL31" s="493" t="str">
        <f>IF(31=31,IF($U31="","",SUBSTITUTE(SUBSTITUTE(SUBSTITUTE(SUBSTITUTE(SUBSTITUTE(SUBSTITUTE(SUBSTITUTE(SUBSTITUTE(SUBSTITUTE(SUBSTITUTE(SUBSTITUTE(SUBSTITUTE(SUBSTITUTE(SUBSTITUTE($AA31," "&amp;$CR$2455&amp;" "," ")," "&amp;$CR$433&amp;" "," ")," "&amp;$CR$431&amp;" "," ")," "&amp;$CR$2438&amp;" "," ")," "&amp;$CR$2439&amp;" "," ")," "&amp;$CR$428&amp;" "," ")," "&amp;$CR$432&amp;" "," ")," "&amp;$CR$434&amp;" "," ")," "&amp;$CR$429&amp;" "," ")," "&amp;$CR$427&amp;" "," ")," "&amp;$CR$1367&amp;" "," ")," "&amp;$CR$435&amp;" "," ")," "&amp;$CR$1366&amp;" "," ")," "&amp;$CR$430&amp;" "," ")),"")</f>
        <v xml:space="preserve"> glace de poisson </v>
      </c>
      <c r="AM31" s="493" t="str">
        <f>IF(31=31,IF($U31="","",IF(AJ31&gt;0,"X",IF(AK31&gt;0,"?",""))),"")</f>
        <v>?</v>
      </c>
      <c r="AN31" s="493">
        <f>IF(31=31,IF($U31="","",SUMPRODUCT(--ISNUMBER(SEARCH(" "&amp;$CR$436:$CR$535&amp;" ",$AX31)))),"")</f>
        <v>0</v>
      </c>
      <c r="AO31" s="493">
        <f>IF(31=31,IF($U31="","",SUMPRODUCT(--ISNUMBER(SEARCH(" "&amp;$CR$536:$CR$635&amp;" ",$AX31)))),"")</f>
        <v>0</v>
      </c>
      <c r="AP31" s="493">
        <f>IF(31=31,IF($U31="","",SUMPRODUCT(--ISNUMBER(SEARCH(" "&amp;$CR$636:$CR$735&amp;" ",$AX31)))),"")</f>
        <v>0</v>
      </c>
      <c r="AQ31" s="493">
        <f>IF(31=31,IF($U31="","",SUMPRODUCT(--ISNUMBER(SEARCH(" "&amp;$CR$736:$CR$835&amp;" ",$AX31)))),"")</f>
        <v>0</v>
      </c>
      <c r="AR31" s="493">
        <f>IF(31=31,IF($U31="","",SUMPRODUCT(--ISNUMBER(SEARCH(" "&amp;$CR$836:$CR$935&amp;" ",$AX31)))),"")</f>
        <v>0</v>
      </c>
      <c r="AS31" s="493">
        <f>IF(31=31,IF($U31="","",SUMPRODUCT(--ISNUMBER(SEARCH(" "&amp;$CR$936:$CR$1035&amp;" ",$AX31)))),"")</f>
        <v>0</v>
      </c>
      <c r="AT31" s="493">
        <f>IF(31=31,IF($U31="","",SUMPRODUCT(--ISNUMBER(SEARCH(" "&amp;$CR$1036:$CR$1135&amp;" ",$AX31)))),"")</f>
        <v>1</v>
      </c>
      <c r="AU31" s="493">
        <f>IF(31=31,IF($U31="","",SUMPRODUCT(--ISNUMBER(SEARCH(" "&amp;$CR$1136:$CR$1235&amp;" ",$AX31)))),"")</f>
        <v>0</v>
      </c>
      <c r="AV31" s="493">
        <f>IF(31=31,IF($U31="","",SUMPRODUCT(--ISNUMBER(SEARCH(" "&amp;$CR$1236:$CR$1335&amp;" ",$AX31)))),"")</f>
        <v>0</v>
      </c>
      <c r="AW31" s="493">
        <f>IF(31=31,IF($U31="","",SUMPRODUCT(--ISNUMBER(SEARCH(" "&amp;$CR$1336:$CR$1363&amp;" ",$AX31)))),"")</f>
        <v>0</v>
      </c>
      <c r="AX31" s="493" t="str">
        <f>IF(31=31,IF($U31="","",SUBSTITUTE(SUBSTITUTE(SUBSTITUTE(SUBSTITUTE(SUBSTITUTE(SUBSTITUTE(SUBSTITUTE(SUBSTITUTE(SUBSTITUTE($AA31," "&amp;$CR$1365&amp;" "," ")," "&amp;$CR$1364&amp;" "," ")," "&amp;$CR$1370&amp;" "," ")," "&amp;$CR$1371&amp;" "," ")," "&amp;$CR$1367&amp;" "," ")," "&amp;$CR$1369&amp;" "," ")," "&amp;$CR$1366&amp;" "," ")," "&amp;$CR$1368&amp;" "," ")," "&amp;$CR$1372&amp;" "," ")),"")</f>
        <v xml:space="preserve"> glace de poisson </v>
      </c>
      <c r="AY31" s="493">
        <f>IF(31=31,IF($U31="","",SUMPRODUCT(--ISNUMBER(SEARCH(" "&amp;$CR$1373:$CR$1383&amp;" ",$AX31)))),"")</f>
        <v>0</v>
      </c>
      <c r="AZ31" s="493" t="str">
        <f>IF(31=31,IF($U31="","",IF(SUM(AN31:AW31)+SUMPRODUCT(--ISNUMBER(SEARCH(" "&amp;$CR$2421:$CR$2422&amp;" ",$AX31)))&gt;0,"X",IF(AY31&gt;0,"?",""))),"")</f>
        <v>X</v>
      </c>
      <c r="BA31" s="493">
        <f>IF(31=31,IF($U31="","",SUMPRODUCT(--ISNUMBER(SEARCH(" "&amp;$CR$1384:$CR$1404&amp;" ",$AA31)))),"")</f>
        <v>0</v>
      </c>
      <c r="BB31" s="493" t="str">
        <f>IF(31=31,IF($U31="","",IF((BA31)-(0)&gt;0,"X",IF((0)-(0)&gt;0,"?",""))),"")</f>
        <v/>
      </c>
      <c r="BC31" s="493">
        <f>IF(31=31,IF($U31="","",SUMPRODUCT(--ISNUMBER(SEARCH(" "&amp;$CR$1405:$CR$1442&amp;" ",$BD31)))),"")</f>
        <v>0</v>
      </c>
      <c r="BD31" s="493" t="str">
        <f>IF(31=31,IF($U31="","",SUBSTITUTE(SUBSTITUTE($AA31," "&amp;$CR$1443&amp;" "," ")," "&amp;$CR$1444&amp;" "," ")),"")</f>
        <v xml:space="preserve"> glace de poisson </v>
      </c>
      <c r="BE31" s="493">
        <f>IF(31=31,IF($U31="","",SUMPRODUCT(--ISNUMBER(SEARCH(" "&amp;$CR$1445:$CR$1455&amp;" ",$BD31)))),"")</f>
        <v>0</v>
      </c>
      <c r="BF31" s="493" t="str">
        <f>IF(31=31,IF($U31="","",IF(BC31&gt;0,"X",IF(BE31&gt;0,"?",""))),"")</f>
        <v/>
      </c>
      <c r="BG31" s="493">
        <f>IF(31=31,IF($U31="","",SUMPRODUCT(--ISNUMBER(SEARCH(" "&amp;$CR$1456:$CR$1555&amp;" ",$BJ31)))),"")</f>
        <v>0</v>
      </c>
      <c r="BH31" s="493">
        <f>IF(31=31,IF($U31="","",SUMPRODUCT(--ISNUMBER(SEARCH(" "&amp;$CR$1556:$CR$1655&amp;" ",$BJ31)))),"")</f>
        <v>0</v>
      </c>
      <c r="BI31" s="493">
        <f>IF(31=31,IF($U31="","",SUMPRODUCT(--ISNUMBER(SEARCH(" "&amp;$CR$1656:$CR$1739&amp;" ",$BJ31)))),"")</f>
        <v>0</v>
      </c>
      <c r="BJ31" s="493" t="str">
        <f>IF(31=31,IF($U31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glace de poisson </v>
      </c>
      <c r="BK31" s="493">
        <f>IF(31=31,IF($U31="","",SUMPRODUCT(--ISNUMBER(SEARCH(" "&amp;$CR$1790:$CR$1869&amp;" ",$BL31)))+SUMPRODUCT(--ISNUMBER(SEARCH(" "&amp;$CR$2440:$CR$2453&amp;" ",$BL31)))),"")</f>
        <v>1</v>
      </c>
      <c r="BL31" s="493" t="str">
        <f>IF(31=31,IF($U31="","",SUBSTITUTE(SUBSTITUTE(SUBSTITUTE(SUBSTITUTE(SUBSTITUTE(SUBSTITUTE(SUBSTITUTE(SUBSTITUTE(SUBSTITUTE(SUBSTITUTE(SUBSTITUTE(SUBSTITUTE(SUBSTITUTE($BJ31," "&amp;$CR$1876&amp;" "," ")," "&amp;$CR$1874&amp;" "," ")," "&amp;$CR$2438&amp;" "," ")," "&amp;$CR$2439&amp;" "," ")," "&amp;$CR$1871&amp;" "," ")," "&amp;$CR$1875&amp;" "," ")," "&amp;$CR$1877&amp;" "," ")," "&amp;$CR$1872&amp;" "," ")," "&amp;$CR$1870&amp;" "," ")," "&amp;$CR$1367&amp;" "," ")," "&amp;$CR$1878&amp;" "," ")," "&amp;$CR$1366&amp;" "," ")," "&amp;$CR$1873&amp;" "," ")),"")</f>
        <v xml:space="preserve"> glace de poisson </v>
      </c>
      <c r="BM31" s="493" t="str">
        <f>IF(31=31,IF($U31="","",IF(SUM(BG31:BI31)+SUMPRODUCT(--ISNUMBER(SEARCH(" "&amp;$CR$2423:$CR$2424&amp;" ",$BJ31)))&gt;0,"X",IF(BK31&gt;0,"?",""))),"")</f>
        <v>?</v>
      </c>
      <c r="BN31" s="493">
        <f>IF(31=31,IF($U31="","",SUMPRODUCT(--ISNUMBER(SEARCH(" "&amp;$CR$1879:$CR$1936&amp;" ",$BO31)))),"")</f>
        <v>0</v>
      </c>
      <c r="BO31" s="493" t="str">
        <f>IF(31=31,IF($U31="","",SUBSTITUTE(SUBSTITUTE(SUBSTITUTE(SUBSTITUTE(SUBSTITUTE(SUBSTITUTE(SUBSTITUTE(SUBSTITUTE(SUBSTITUTE(SUBSTITUTE(SUBSTITUTE(SUBSTITUTE(SUBSTITUTE(SUBSTITUTE(SUBSTITUTE(SUBSTITUTE(SUBSTITUTE(SUBSTITUTE(SUBSTITUTE(SUBSTITUTE(SUBSTITUTE(SUBSTITUTE(SUBSTITUTE($AA31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glace de poisson </v>
      </c>
      <c r="BP31" s="493">
        <f>IF(31=31,IF($U31="","",SUMPRODUCT(--ISNUMBER(SEARCH(" "&amp;$CR$1960:$CR$1976&amp;" ",$BO31)))),"")</f>
        <v>0</v>
      </c>
      <c r="BQ31" s="493" t="str">
        <f>IF(31=31,IF($U31="","",IF(BN31&gt;0,"X",IF(BP31&gt;0,"?",""))),"")</f>
        <v/>
      </c>
      <c r="BR31" s="493">
        <f>IF(31=31,IF($U31="","",SUMPRODUCT(--ISNUMBER(SEARCH(" "&amp;$CR$1977:$CR$1990&amp;" ",$AA31)))),"")</f>
        <v>0</v>
      </c>
      <c r="BS31" s="493">
        <f>IF(31=31,IF($U31="","",SUMPRODUCT(--ISNUMBER(SEARCH(" "&amp;$CR$1991:$CR$2005&amp;" ",$AA31)))),"")</f>
        <v>0</v>
      </c>
      <c r="BT31" s="493" t="str">
        <f>IF(31=31,IF($U31="","",IF((BR31)-(0)&gt;0,"X",IF((BS31)-(0)&gt;0,"?",""))),"")</f>
        <v/>
      </c>
      <c r="BU31" s="493">
        <f>IF(31=31,IF($U31="","",SUMPRODUCT(--ISNUMBER(SEARCH(" "&amp;$CR$2006:$CR$2023&amp;" ",$AA31)))),"")</f>
        <v>0</v>
      </c>
      <c r="BV31" s="493">
        <f>IF(31=31,IF($U31="","",SUMPRODUCT(--ISNUMBER(SEARCH(" "&amp;$CR$2024:$CR$2038&amp;" ",$AA31)))),"")</f>
        <v>0</v>
      </c>
      <c r="BW31" s="493" t="str">
        <f>IF(31=31,IF($U31="","",IF((BU31)-(0)&gt;0,"X",IF((BV31)-(0)&gt;0,"?",""))),"")</f>
        <v/>
      </c>
      <c r="BX31" s="493">
        <f>IF(31=31,IF($U31="","",SUMPRODUCT(--ISNUMBER(SEARCH(" "&amp;$CR$2039:$CR$2057&amp;" ",$AA31)))),"")</f>
        <v>0</v>
      </c>
      <c r="BY31" s="493">
        <f>IF(31=31,IF($U31="","",SUMPRODUCT(--ISNUMBER(SEARCH(" "&amp;$CR$2058:$CR$2072&amp;" ",$AA31)))),"")</f>
        <v>0</v>
      </c>
      <c r="BZ31" s="493" t="str">
        <f>IF(31=31,IF($U31="","",IF((BX31)-(0)&gt;0,"X",IF((BY31)-(0)&gt;0,"?",""))),"")</f>
        <v/>
      </c>
      <c r="CA31" s="493">
        <f>IF(31=31,IF($U31="","",SUMPRODUCT(--ISNUMBER(SEARCH(" "&amp;$CR$2073:$CR$2093&amp;" ",$AA31)))),"")</f>
        <v>0</v>
      </c>
      <c r="CB31" s="493">
        <f>IF(31=31,IF($U31="","",SUMPRODUCT(--ISNUMBER(SEARCH(" "&amp;$CR$2094:$CR$2133&amp;" ",SUBSTITUTE(SUBSTITUTE($AA31," "&amp;$CR$1367&amp;" "," ")," "&amp;$CR$1366&amp;" "," "))))+--ISNUMBER(SEARCH("poiré",$V31))),"")</f>
        <v>0</v>
      </c>
      <c r="CC31" s="493" t="str">
        <f>IF(31=31,IF($U31="","",IF(OR(CA31&gt;0,ISNUMBER(SEARCH(" vinaigre de vin ",$AA31)),ISNUMBER(SEARCH(" vinaigre au vin ",$AA31))),"X",IF(CB31&gt;0,"?",""))),"")</f>
        <v/>
      </c>
      <c r="CD31" s="493">
        <f>IF(31=31,IF($U31="","",SUMPRODUCT(--ISNUMBER(SEARCH(" "&amp;$CR$2134:$CR$2146&amp;" ",$AA31)))),"")</f>
        <v>0</v>
      </c>
      <c r="CE31" s="493">
        <f>IF(31=31,IF($U31="","",SUMPRODUCT(--ISNUMBER(SEARCH(" "&amp;$CR$2147:$CR$2152&amp;" ",$AA31)))),"")</f>
        <v>0</v>
      </c>
      <c r="CF31" s="493" t="str">
        <f>IF(31=31,IF($U31="","",IF((CD31)-(0)&gt;0,"X",IF((CE31)-(0)&gt;0,"?",""))),"")</f>
        <v/>
      </c>
      <c r="CG31" s="493">
        <f>IF(31=31,IF($U31="","",SUMPRODUCT(--ISNUMBER(SEARCH(" "&amp;$CR$2153:$CR$2252&amp;" ",$CJ31)))),"")</f>
        <v>0</v>
      </c>
      <c r="CH31" s="493">
        <f>IF(31=31,IF($U31="","",SUMPRODUCT(--ISNUMBER(SEARCH(" "&amp;$CR$2253:$CR$2352&amp;" ",$CJ31)))),"")</f>
        <v>0</v>
      </c>
      <c r="CI31" s="493">
        <f>IF(31=31,IF($U31="","",SUMPRODUCT(--ISNUMBER(SEARCH(" "&amp;$CR$2353:$CR$2395&amp;" ",$CJ31)))),"")</f>
        <v>0</v>
      </c>
      <c r="CJ31" s="493" t="str">
        <f>IF(31=31,IF($U31="","",SUBSTITUTE(SUBSTITUTE(SUBSTITUTE(SUBSTITUTE(SUBSTITUTE(SUBSTITUTE(SUBSTITUTE(SUBSTITUTE(SUBSTITUTE(SUBSTITUTE(SUBSTITUTE(SUBSTITUTE(SUBSTITUTE(SUBSTITUTE(SUBSTITUTE(SUBSTITUTE($AA31," "&amp;$CR$2401&amp;" "," ")," "&amp;$CR$2400&amp;" "," ")," "&amp;$CR$2399&amp;" "," ")," "&amp;$CR$2406&amp;" "," ")," "&amp;$CR$2398&amp;" "," ")," "&amp;$CR$2410&amp;" "," ")," "&amp;$CR$2397&amp;" "," ")," "&amp;$CR$2402&amp;" "," ")," "&amp;$CR$2405&amp;" "," ")," "&amp;$CR$2396&amp;" "," ")," "&amp;$CR$2404&amp;" "," ")," "&amp;$CR$2411&amp;" "," ")," "&amp;$CR$2408&amp;" "," ")," "&amp;$CR$2403&amp;" "," ")," "&amp;$CR$2407&amp;" "," ")," "&amp;$CR$2409&amp;" "," ")),"")</f>
        <v xml:space="preserve"> glace de poisson </v>
      </c>
      <c r="CK31" s="493">
        <f>IF(31=31,IF($U31="","",SUMPRODUCT(--ISNUMBER(SEARCH(" "&amp;$CR$2412:$CR$2416&amp;" ",$CJ31)))),"")</f>
        <v>0</v>
      </c>
      <c r="CL31" s="493" t="str">
        <f>IF(31=31,IF($U31="","",IF(SUM(CG31:CI31)&gt;0,"X",IF(CK31&gt;0,"?",""))),"")</f>
        <v/>
      </c>
      <c r="CM31" s="494"/>
      <c r="CN31" s="496" t="s">
        <v>1196</v>
      </c>
      <c r="CO31" s="496" t="s">
        <v>1083</v>
      </c>
      <c r="CP31" s="496" t="s">
        <v>689</v>
      </c>
      <c r="CQ31" s="496" t="s">
        <v>1197</v>
      </c>
      <c r="CR31" s="496" t="s">
        <v>1197</v>
      </c>
      <c r="CS31" s="496" t="s">
        <v>1085</v>
      </c>
      <c r="CT31" s="496" t="s">
        <v>1086</v>
      </c>
      <c r="CU31" s="496" t="s">
        <v>1087</v>
      </c>
      <c r="CV31" s="497" t="s">
        <v>1088</v>
      </c>
      <c r="CX31" s="543">
        <v>1</v>
      </c>
    </row>
    <row r="32" spans="1:102" ht="21" customHeight="1">
      <c r="A32" s="509">
        <v>26</v>
      </c>
      <c r="B32" s="510" t="s">
        <v>5870</v>
      </c>
      <c r="C32" s="511" t="str">
        <f t="shared" si="0"/>
        <v>Haricots plats d’Espagne surgelés</v>
      </c>
      <c r="D32" s="512" t="str">
        <f>IF(32=32,IF($B32="","",IF(E32="X",""&amp;"Céréales contenant du gluten","")&amp;IF(F32="X",IF(COUNTIF($E32:$E32,"X")&gt;0,", ","")&amp;"Crustacés","")&amp;IF(G32="X",IF(COUNTIF($E32:$F32,"X")&gt;0,", ","")&amp;"Œufs","")&amp;IF(H32="X",IF(COUNTIF($E32:$G32,"X")&gt;0,", ","")&amp;"Poissons","")&amp;IF(I32="X",IF(COUNTIF($E32:$H32,"X")&gt;0,", ","")&amp;"Arachides","")&amp;IF(J32="X",IF(COUNTIF($E32:$I32,"X")&gt;0,", ","")&amp;"Soja","")&amp;IF(K32="X",IF(COUNTIF($E32:$J32,"X")&gt;0,", ","")&amp;"Lait","")&amp;IF(L32="X",IF(COUNTIF($E32:$K32,"X")&gt;0,", ","")&amp;"Fruits à coque","")&amp;IF(M32="X",IF(COUNTIF($E32:$L32,"X")&gt;0,", ","")&amp;"Céleri","")&amp;IF(N32="X",IF(COUNTIF($E32:$M32,"X")&gt;0,", ","")&amp;"Moutarde","")&amp;IF(O32="X",IF(COUNTIF($E32:$N32,"X")&gt;0,", ","")&amp;"Sésame","")&amp;IF(P32="X",IF(COUNTIF($E32:$O32,"X")&gt;0,", ","")&amp;"Sulfites","")&amp;IF(Q32="X",IF(COUNTIF($E32:$P32,"X")&gt;0,", ","")&amp;"Lupin","")&amp;IF(R32="X",IF(COUNTIF($E32:$Q32,"X")&gt;0,", ","")&amp;"Mollusques","")),"")</f>
        <v/>
      </c>
      <c r="E32" s="513" t="str">
        <f>IF(32=32,IF($B32="","",AF32),"")</f>
        <v/>
      </c>
      <c r="F32" s="513" t="str">
        <f>IF(32=32,IF($B32="","",AI32),"")</f>
        <v/>
      </c>
      <c r="G32" s="513" t="str">
        <f>IF(32=32,IF($B32="","",AM32),"")</f>
        <v/>
      </c>
      <c r="H32" s="513" t="str">
        <f>IF(32=32,IF($B32="","",IF(ISNUMBER(SEARCH(" colin ",$AA32)),"X",AZ32)),"")</f>
        <v/>
      </c>
      <c r="I32" s="513" t="str">
        <f>IF(32=32,IF($B32="","",BB32),"")</f>
        <v/>
      </c>
      <c r="J32" s="513" t="str">
        <f>IF(32=32,IF($B32="","",BF32),"")</f>
        <v/>
      </c>
      <c r="K32" s="513" t="str">
        <f>IF(32=32,IF($B32="","",BM32),"")</f>
        <v/>
      </c>
      <c r="L32" s="513" t="str">
        <f>IF(32=32,IF($B32="","",BQ32),"")</f>
        <v/>
      </c>
      <c r="M32" s="513" t="str">
        <f>IF(32=32,IF($B32="","",BT32),"")</f>
        <v/>
      </c>
      <c r="N32" s="513" t="str">
        <f>IF(32=32,IF($B32="","",BW32),"")</f>
        <v/>
      </c>
      <c r="O32" s="513" t="str">
        <f>IF(32=32,IF($B32="","",BZ32),"")</f>
        <v/>
      </c>
      <c r="P32" s="513" t="str">
        <f>IF(32=32,IF($B32="","",CC32),"")</f>
        <v/>
      </c>
      <c r="Q32" s="513" t="str">
        <f>IF(32=32,IF($B32="","",CF32),"")</f>
        <v/>
      </c>
      <c r="R32" s="513" t="str">
        <f>IF(32=32,IF($B32="","",CL32),"")</f>
        <v/>
      </c>
      <c r="S32" s="514" t="str">
        <f>IF(32=32,IF($B32="","",IF(E32="?",""&amp;"Céréales contenant du gluten","")&amp;IF(F32="?",IF(COUNTIF($E32:$E32,"~?")&gt;0,", ","")&amp;"Crustacés","")&amp;IF(G32="?",IF(COUNTIF($E32:$F32,"~?")&gt;0,", ","")&amp;"Œufs","")&amp;IF(H32="?",IF(COUNTIF($E32:$G32,"~?")&gt;0,", ","")&amp;"Poissons","")&amp;IF(I32="?",IF(COUNTIF($E32:$H32,"~?")&gt;0,", ","")&amp;"Arachides","")&amp;IF(J32="?",IF(COUNTIF($E32:$I32,"~?")&gt;0,", ","")&amp;"Soja","")&amp;IF(K32="?",IF(COUNTIF($E32:$J32,"~?")&gt;0,", ","")&amp;"Lait","")&amp;IF(L32="?",IF(COUNTIF($E32:$K32,"~?")&gt;0,", ","")&amp;"Fruits à coque","")&amp;IF(M32="?",IF(COUNTIF($E32:$L32,"~?")&gt;0,", ","")&amp;"Céleri","")&amp;IF(N32="?",IF(COUNTIF($E32:$M32,"~?")&gt;0,", ","")&amp;"Moutarde","")&amp;IF(O32="?",IF(COUNTIF($E32:$N32,"~?")&gt;0,", ","")&amp;"Sésame","")&amp;IF(P32="?",IF(COUNTIF($E32:$O32,"~?")&gt;0,", ","")&amp;"Sulfites","")&amp;IF(Q32="?",IF(COUNTIF($E32:$P32,"~?")&gt;0,", ","")&amp;"Lupin","")&amp;IF(R32="?",IF(COUNTIF($E32:$Q32,"~?")&gt;0,", ","")&amp;"Mollusques","")),"")</f>
        <v/>
      </c>
      <c r="U32" s="493" t="str">
        <f>IF(32=32,IF($B32="","",$B32),"")</f>
        <v>Haricots plats d’Espagne surgelés</v>
      </c>
      <c r="V32" s="493" t="str">
        <f>IF(32=32,LOWER(CLEAN(SUBSTITUTE(SUBSTITUTE(SUBSTITUTE(SUBSTITUTE($U32,CHAR(160)," ")," "," "),CHAR(10)," "),CHAR(13)," "))),"")</f>
        <v>haricots plats d’espagne surgelés</v>
      </c>
      <c r="W32" s="493" t="str">
        <f>IF(32=32,SUBSTITUTE(SUBSTITUTE(SUBSTITUTE(SUBSTITUTE(SUBSTITUTE(SUBSTITUTE(SUBSTITUTE(SUBSTITUTE(SUBSTITUTE(SUBSTITUTE(SUBSTITUTE(SUBSTITUTE($V32,"œ","oe"),"æ","ae"),"à","a"),"á","a"),"â","a"),"ä","a"),"ã","a"),"ç","c"),"è","e"),"é","e"),"ê","e"),"ë","e"),"")</f>
        <v>haricots plats d’espagne surgeles</v>
      </c>
      <c r="X32" s="493" t="str">
        <f>IF(32=32,SUBSTITUTE(SUBSTITUTE(SUBSTITUTE(SUBSTITUTE(SUBSTITUTE(SUBSTITUTE(SUBSTITUTE(SUBSTITUTE(SUBSTITUTE(SUBSTITUTE(SUBSTITUTE(SUBSTITUTE(SUBSTITUTE(SUBSTITUTE(SUBSTITUTE(SUBSTITUTE($W32,"ì","i"),"í","i"),"î","i"),"ï","i"),"ñ","n"),"ò","o"),"ó","o"),"ô","o"),"ö","o"),"õ","o"),"ù","u"),"ú","u"),"û","u"),"ü","u"),"ý","y"),"ÿ","y"),"")</f>
        <v>haricots plats d’espagne surgeles</v>
      </c>
      <c r="Y32" s="493" t="str">
        <f>IF(32=32,SUBSTITUTE(SUBSTITUTE(SUBSTITUTE(SUBSTITUTE(SUBSTITUTE(SUBSTITUTE(SUBSTITUTE(SUBSTITUTE(SUBSTITUTE(SUBSTITUTE(SUBSTITUTE(SUBSTITUTE(SUBSTITUTE(SUBSTITUTE($X32,"’"," "),"`"," "),"–"," "),"—"," "),"-"," "),"'"," "),"/"," "),"_"," "),","," "),"."," "),"("," "),")"," "),";"," "),":"," "),"")</f>
        <v>haricots plats d espagne surgeles</v>
      </c>
      <c r="Z32" s="493" t="str">
        <f>IF(32=32,SUBSTITUTE(SUBSTITUTE(SUBSTITUTE(SUBSTITUTE(SUBSTITUTE(SUBSTITUTE(SUBSTITUTE(SUBSTITUTE(SUBSTITUTE(SUBSTITUTE(SUBSTITUTE(SUBSTITUTE(SUBSTITUTE(SUBSTITUTE(SUBSTITUTE($Y32,"!"," "),"?"," "),"+"," "),"*"," "),"&amp;"," "),"["," "),"]"," "),"{"," "),"}"," "),"%"," "),"="," "),"\"," "),"|"," "),"&lt;"," "),"&gt;"," "),"")</f>
        <v>haricots plats d espagne surgeles</v>
      </c>
      <c r="AA32" s="493" t="str">
        <f>IF(32=32," "&amp;TRIM(SUBSTITUTE(SUBSTITUTE(SUBSTITUTE(SUBSTITUTE(SUBSTITUTE(SUBSTITUTE($Z32,CHAR(34)," "),"  "," "),"  "," "),"  "," "),"  "," "),"  "," "))&amp;" ","")</f>
        <v xml:space="preserve"> haricots plats d espagne surgeles </v>
      </c>
      <c r="AB32" s="493">
        <f>IF(32=32,IF($U32="","",SUMPRODUCT(--ISNUMBER(SEARCH(" "&amp;$CR$2:$CR$101&amp;" ",$AD32)))),"")</f>
        <v>0</v>
      </c>
      <c r="AC32" s="493">
        <f>IF(32=32,IF($U32="","",SUMPRODUCT(--ISNUMBER(SEARCH(" "&amp;$CR$102:$CR$151&amp;" ",$AD32)))),"")</f>
        <v>0</v>
      </c>
      <c r="AD32" s="493" t="str">
        <f t="shared" si="1"/>
        <v xml:space="preserve"> haricots plats d espagne surgeles </v>
      </c>
      <c r="AE32" s="493">
        <f t="shared" si="2"/>
        <v>0</v>
      </c>
      <c r="AF32" s="493" t="str">
        <f>IF(32=32,IF($U32="","",IF(SUM(AB32:AC32)+SUMPRODUCT(--ISNUMBER(SEARCH(" "&amp;$CR$2418:$CR$2420&amp;" ",$AD32)))&gt;0,"X",IF(AE32&gt;0,"?",""))),"")</f>
        <v/>
      </c>
      <c r="AG32" s="493">
        <f>IF(32=32,IF($U32="","",SUMPRODUCT(--ISNUMBER(SEARCH(" "&amp;$CR$206:$CR$305&amp;" ",$AA32)))),"")</f>
        <v>0</v>
      </c>
      <c r="AH32" s="493">
        <f>IF(32=32,IF($U32="","",SUMPRODUCT(--ISNUMBER(SEARCH(" "&amp;$CR$306:$CR$340&amp;" ",$AA32)))),"")</f>
        <v>0</v>
      </c>
      <c r="AI32" s="493" t="str">
        <f>IF(32=32,IF($U32="","",IF((SUM(AG32:AH32))-(0)&gt;0,"X",IF((0)-(0)&gt;0,"?",""))),"")</f>
        <v/>
      </c>
      <c r="AJ32" s="493">
        <f>IF(32=32,IF($U32="","",SUMPRODUCT(--ISNUMBER(SEARCH(" "&amp;$CR$341:$CR$398&amp;" ",$AA32)))),"")</f>
        <v>0</v>
      </c>
      <c r="AK32" s="493">
        <f>IF(32=32,IF($U32="","",SUMPRODUCT(--ISNUMBER(SEARCH(" "&amp;$CR$399:$CR$426&amp;" ",$AL32)))+SUMPRODUCT(--ISNUMBER(SEARCH(" "&amp;$CR$2440:$CR$2453&amp;" ",$AL32)))),"")</f>
        <v>0</v>
      </c>
      <c r="AL32" s="493" t="str">
        <f>IF(32=32,IF($U32="","",SUBSTITUTE(SUBSTITUTE(SUBSTITUTE(SUBSTITUTE(SUBSTITUTE(SUBSTITUTE(SUBSTITUTE(SUBSTITUTE(SUBSTITUTE(SUBSTITUTE(SUBSTITUTE(SUBSTITUTE(SUBSTITUTE(SUBSTITUTE($AA32," "&amp;$CR$2455&amp;" "," ")," "&amp;$CR$433&amp;" "," ")," "&amp;$CR$431&amp;" "," ")," "&amp;$CR$2438&amp;" "," ")," "&amp;$CR$2439&amp;" "," ")," "&amp;$CR$428&amp;" "," ")," "&amp;$CR$432&amp;" "," ")," "&amp;$CR$434&amp;" "," ")," "&amp;$CR$429&amp;" "," ")," "&amp;$CR$427&amp;" "," ")," "&amp;$CR$1367&amp;" "," ")," "&amp;$CR$435&amp;" "," ")," "&amp;$CR$1366&amp;" "," ")," "&amp;$CR$430&amp;" "," ")),"")</f>
        <v xml:space="preserve"> haricots plats d espagne surgeles </v>
      </c>
      <c r="AM32" s="493" t="str">
        <f>IF(32=32,IF($U32="","",IF(AJ32&gt;0,"X",IF(AK32&gt;0,"?",""))),"")</f>
        <v/>
      </c>
      <c r="AN32" s="493">
        <f>IF(32=32,IF($U32="","",SUMPRODUCT(--ISNUMBER(SEARCH(" "&amp;$CR$436:$CR$535&amp;" ",$AX32)))),"")</f>
        <v>0</v>
      </c>
      <c r="AO32" s="493">
        <f>IF(32=32,IF($U32="","",SUMPRODUCT(--ISNUMBER(SEARCH(" "&amp;$CR$536:$CR$635&amp;" ",$AX32)))),"")</f>
        <v>0</v>
      </c>
      <c r="AP32" s="493">
        <f>IF(32=32,IF($U32="","",SUMPRODUCT(--ISNUMBER(SEARCH(" "&amp;$CR$636:$CR$735&amp;" ",$AX32)))),"")</f>
        <v>0</v>
      </c>
      <c r="AQ32" s="493">
        <f>IF(32=32,IF($U32="","",SUMPRODUCT(--ISNUMBER(SEARCH(" "&amp;$CR$736:$CR$835&amp;" ",$AX32)))),"")</f>
        <v>0</v>
      </c>
      <c r="AR32" s="493">
        <f>IF(32=32,IF($U32="","",SUMPRODUCT(--ISNUMBER(SEARCH(" "&amp;$CR$836:$CR$935&amp;" ",$AX32)))),"")</f>
        <v>0</v>
      </c>
      <c r="AS32" s="493">
        <f>IF(32=32,IF($U32="","",SUMPRODUCT(--ISNUMBER(SEARCH(" "&amp;$CR$936:$CR$1035&amp;" ",$AX32)))),"")</f>
        <v>0</v>
      </c>
      <c r="AT32" s="493">
        <f>IF(32=32,IF($U32="","",SUMPRODUCT(--ISNUMBER(SEARCH(" "&amp;$CR$1036:$CR$1135&amp;" ",$AX32)))),"")</f>
        <v>0</v>
      </c>
      <c r="AU32" s="493">
        <f>IF(32=32,IF($U32="","",SUMPRODUCT(--ISNUMBER(SEARCH(" "&amp;$CR$1136:$CR$1235&amp;" ",$AX32)))),"")</f>
        <v>0</v>
      </c>
      <c r="AV32" s="493">
        <f>IF(32=32,IF($U32="","",SUMPRODUCT(--ISNUMBER(SEARCH(" "&amp;$CR$1236:$CR$1335&amp;" ",$AX32)))),"")</f>
        <v>0</v>
      </c>
      <c r="AW32" s="493">
        <f>IF(32=32,IF($U32="","",SUMPRODUCT(--ISNUMBER(SEARCH(" "&amp;$CR$1336:$CR$1363&amp;" ",$AX32)))),"")</f>
        <v>0</v>
      </c>
      <c r="AX32" s="493" t="str">
        <f>IF(32=32,IF($U32="","",SUBSTITUTE(SUBSTITUTE(SUBSTITUTE(SUBSTITUTE(SUBSTITUTE(SUBSTITUTE(SUBSTITUTE(SUBSTITUTE(SUBSTITUTE($AA32," "&amp;$CR$1365&amp;" "," ")," "&amp;$CR$1364&amp;" "," ")," "&amp;$CR$1370&amp;" "," ")," "&amp;$CR$1371&amp;" "," ")," "&amp;$CR$1367&amp;" "," ")," "&amp;$CR$1369&amp;" "," ")," "&amp;$CR$1366&amp;" "," ")," "&amp;$CR$1368&amp;" "," ")," "&amp;$CR$1372&amp;" "," ")),"")</f>
        <v xml:space="preserve"> haricots plats d espagne surgeles </v>
      </c>
      <c r="AY32" s="493">
        <f>IF(32=32,IF($U32="","",SUMPRODUCT(--ISNUMBER(SEARCH(" "&amp;$CR$1373:$CR$1383&amp;" ",$AX32)))),"")</f>
        <v>0</v>
      </c>
      <c r="AZ32" s="493" t="str">
        <f>IF(32=32,IF($U32="","",IF(SUM(AN32:AW32)+SUMPRODUCT(--ISNUMBER(SEARCH(" "&amp;$CR$2421:$CR$2422&amp;" ",$AX32)))&gt;0,"X",IF(AY32&gt;0,"?",""))),"")</f>
        <v/>
      </c>
      <c r="BA32" s="493">
        <f>IF(32=32,IF($U32="","",SUMPRODUCT(--ISNUMBER(SEARCH(" "&amp;$CR$1384:$CR$1404&amp;" ",$AA32)))),"")</f>
        <v>0</v>
      </c>
      <c r="BB32" s="493" t="str">
        <f>IF(32=32,IF($U32="","",IF((BA32)-(0)&gt;0,"X",IF((0)-(0)&gt;0,"?",""))),"")</f>
        <v/>
      </c>
      <c r="BC32" s="493">
        <f>IF(32=32,IF($U32="","",SUMPRODUCT(--ISNUMBER(SEARCH(" "&amp;$CR$1405:$CR$1442&amp;" ",$BD32)))),"")</f>
        <v>0</v>
      </c>
      <c r="BD32" s="493" t="str">
        <f>IF(32=32,IF($U32="","",SUBSTITUTE(SUBSTITUTE($AA32," "&amp;$CR$1443&amp;" "," ")," "&amp;$CR$1444&amp;" "," ")),"")</f>
        <v xml:space="preserve"> haricots plats d espagne surgeles </v>
      </c>
      <c r="BE32" s="493">
        <f>IF(32=32,IF($U32="","",SUMPRODUCT(--ISNUMBER(SEARCH(" "&amp;$CR$1445:$CR$1455&amp;" ",$BD32)))),"")</f>
        <v>0</v>
      </c>
      <c r="BF32" s="493" t="str">
        <f>IF(32=32,IF($U32="","",IF(BC32&gt;0,"X",IF(BE32&gt;0,"?",""))),"")</f>
        <v/>
      </c>
      <c r="BG32" s="493">
        <f>IF(32=32,IF($U32="","",SUMPRODUCT(--ISNUMBER(SEARCH(" "&amp;$CR$1456:$CR$1555&amp;" ",$BJ32)))),"")</f>
        <v>0</v>
      </c>
      <c r="BH32" s="493">
        <f>IF(32=32,IF($U32="","",SUMPRODUCT(--ISNUMBER(SEARCH(" "&amp;$CR$1556:$CR$1655&amp;" ",$BJ32)))),"")</f>
        <v>0</v>
      </c>
      <c r="BI32" s="493">
        <f>IF(32=32,IF($U32="","",SUMPRODUCT(--ISNUMBER(SEARCH(" "&amp;$CR$1656:$CR$1739&amp;" ",$BJ32)))),"")</f>
        <v>0</v>
      </c>
      <c r="BJ32" s="493" t="str">
        <f>IF(32=32,IF($U32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haricots plats d espagne surgeles </v>
      </c>
      <c r="BK32" s="493">
        <f>IF(32=32,IF($U32="","",SUMPRODUCT(--ISNUMBER(SEARCH(" "&amp;$CR$1790:$CR$1869&amp;" ",$BL32)))+SUMPRODUCT(--ISNUMBER(SEARCH(" "&amp;$CR$2440:$CR$2453&amp;" ",$BL32)))),"")</f>
        <v>0</v>
      </c>
      <c r="BL32" s="493" t="str">
        <f>IF(32=32,IF($U32="","",SUBSTITUTE(SUBSTITUTE(SUBSTITUTE(SUBSTITUTE(SUBSTITUTE(SUBSTITUTE(SUBSTITUTE(SUBSTITUTE(SUBSTITUTE(SUBSTITUTE(SUBSTITUTE(SUBSTITUTE(SUBSTITUTE($BJ32," "&amp;$CR$1876&amp;" "," ")," "&amp;$CR$1874&amp;" "," ")," "&amp;$CR$2438&amp;" "," ")," "&amp;$CR$2439&amp;" "," ")," "&amp;$CR$1871&amp;" "," ")," "&amp;$CR$1875&amp;" "," ")," "&amp;$CR$1877&amp;" "," ")," "&amp;$CR$1872&amp;" "," ")," "&amp;$CR$1870&amp;" "," ")," "&amp;$CR$1367&amp;" "," ")," "&amp;$CR$1878&amp;" "," ")," "&amp;$CR$1366&amp;" "," ")," "&amp;$CR$1873&amp;" "," ")),"")</f>
        <v xml:space="preserve"> haricots plats d espagne surgeles </v>
      </c>
      <c r="BM32" s="493" t="str">
        <f>IF(32=32,IF($U32="","",IF(SUM(BG32:BI32)+SUMPRODUCT(--ISNUMBER(SEARCH(" "&amp;$CR$2423:$CR$2424&amp;" ",$BJ32)))&gt;0,"X",IF(BK32&gt;0,"?",""))),"")</f>
        <v/>
      </c>
      <c r="BN32" s="493">
        <f>IF(32=32,IF($U32="","",SUMPRODUCT(--ISNUMBER(SEARCH(" "&amp;$CR$1879:$CR$1936&amp;" ",$BO32)))),"")</f>
        <v>0</v>
      </c>
      <c r="BO32" s="493" t="str">
        <f>IF(32=32,IF($U32="","",SUBSTITUTE(SUBSTITUTE(SUBSTITUTE(SUBSTITUTE(SUBSTITUTE(SUBSTITUTE(SUBSTITUTE(SUBSTITUTE(SUBSTITUTE(SUBSTITUTE(SUBSTITUTE(SUBSTITUTE(SUBSTITUTE(SUBSTITUTE(SUBSTITUTE(SUBSTITUTE(SUBSTITUTE(SUBSTITUTE(SUBSTITUTE(SUBSTITUTE(SUBSTITUTE(SUBSTITUTE(SUBSTITUTE($AA32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haricots plats d espagne surgeles </v>
      </c>
      <c r="BP32" s="493">
        <f>IF(32=32,IF($U32="","",SUMPRODUCT(--ISNUMBER(SEARCH(" "&amp;$CR$1960:$CR$1976&amp;" ",$BO32)))),"")</f>
        <v>0</v>
      </c>
      <c r="BQ32" s="493" t="str">
        <f>IF(32=32,IF($U32="","",IF(BN32&gt;0,"X",IF(BP32&gt;0,"?",""))),"")</f>
        <v/>
      </c>
      <c r="BR32" s="493">
        <f>IF(32=32,IF($U32="","",SUMPRODUCT(--ISNUMBER(SEARCH(" "&amp;$CR$1977:$CR$1990&amp;" ",$AA32)))),"")</f>
        <v>0</v>
      </c>
      <c r="BS32" s="493">
        <f>IF(32=32,IF($U32="","",SUMPRODUCT(--ISNUMBER(SEARCH(" "&amp;$CR$1991:$CR$2005&amp;" ",$AA32)))),"")</f>
        <v>0</v>
      </c>
      <c r="BT32" s="493" t="str">
        <f>IF(32=32,IF($U32="","",IF((BR32)-(0)&gt;0,"X",IF((BS32)-(0)&gt;0,"?",""))),"")</f>
        <v/>
      </c>
      <c r="BU32" s="493">
        <f>IF(32=32,IF($U32="","",SUMPRODUCT(--ISNUMBER(SEARCH(" "&amp;$CR$2006:$CR$2023&amp;" ",$AA32)))),"")</f>
        <v>0</v>
      </c>
      <c r="BV32" s="493">
        <f>IF(32=32,IF($U32="","",SUMPRODUCT(--ISNUMBER(SEARCH(" "&amp;$CR$2024:$CR$2038&amp;" ",$AA32)))),"")</f>
        <v>0</v>
      </c>
      <c r="BW32" s="493" t="str">
        <f>IF(32=32,IF($U32="","",IF((BU32)-(0)&gt;0,"X",IF((BV32)-(0)&gt;0,"?",""))),"")</f>
        <v/>
      </c>
      <c r="BX32" s="493">
        <f>IF(32=32,IF($U32="","",SUMPRODUCT(--ISNUMBER(SEARCH(" "&amp;$CR$2039:$CR$2057&amp;" ",$AA32)))),"")</f>
        <v>0</v>
      </c>
      <c r="BY32" s="493">
        <f>IF(32=32,IF($U32="","",SUMPRODUCT(--ISNUMBER(SEARCH(" "&amp;$CR$2058:$CR$2072&amp;" ",$AA32)))),"")</f>
        <v>0</v>
      </c>
      <c r="BZ32" s="493" t="str">
        <f>IF(32=32,IF($U32="","",IF((BX32)-(0)&gt;0,"X",IF((BY32)-(0)&gt;0,"?",""))),"")</f>
        <v/>
      </c>
      <c r="CA32" s="493">
        <f>IF(32=32,IF($U32="","",SUMPRODUCT(--ISNUMBER(SEARCH(" "&amp;$CR$2073:$CR$2093&amp;" ",$AA32)))),"")</f>
        <v>0</v>
      </c>
      <c r="CB32" s="493">
        <f>IF(32=32,IF($U32="","",SUMPRODUCT(--ISNUMBER(SEARCH(" "&amp;$CR$2094:$CR$2133&amp;" ",SUBSTITUTE(SUBSTITUTE($AA32," "&amp;$CR$1367&amp;" "," ")," "&amp;$CR$1366&amp;" "," "))))+--ISNUMBER(SEARCH("poiré",$V32))),"")</f>
        <v>0</v>
      </c>
      <c r="CC32" s="493" t="str">
        <f>IF(32=32,IF($U32="","",IF(OR(CA32&gt;0,ISNUMBER(SEARCH(" vinaigre de vin ",$AA32)),ISNUMBER(SEARCH(" vinaigre au vin ",$AA32))),"X",IF(CB32&gt;0,"?",""))),"")</f>
        <v/>
      </c>
      <c r="CD32" s="493">
        <f>IF(32=32,IF($U32="","",SUMPRODUCT(--ISNUMBER(SEARCH(" "&amp;$CR$2134:$CR$2146&amp;" ",$AA32)))),"")</f>
        <v>0</v>
      </c>
      <c r="CE32" s="493">
        <f>IF(32=32,IF($U32="","",SUMPRODUCT(--ISNUMBER(SEARCH(" "&amp;$CR$2147:$CR$2152&amp;" ",$AA32)))),"")</f>
        <v>0</v>
      </c>
      <c r="CF32" s="493" t="str">
        <f>IF(32=32,IF($U32="","",IF((CD32)-(0)&gt;0,"X",IF((CE32)-(0)&gt;0,"?",""))),"")</f>
        <v/>
      </c>
      <c r="CG32" s="493">
        <f>IF(32=32,IF($U32="","",SUMPRODUCT(--ISNUMBER(SEARCH(" "&amp;$CR$2153:$CR$2252&amp;" ",$CJ32)))),"")</f>
        <v>0</v>
      </c>
      <c r="CH32" s="493">
        <f>IF(32=32,IF($U32="","",SUMPRODUCT(--ISNUMBER(SEARCH(" "&amp;$CR$2253:$CR$2352&amp;" ",$CJ32)))),"")</f>
        <v>0</v>
      </c>
      <c r="CI32" s="493">
        <f>IF(32=32,IF($U32="","",SUMPRODUCT(--ISNUMBER(SEARCH(" "&amp;$CR$2353:$CR$2395&amp;" ",$CJ32)))),"")</f>
        <v>0</v>
      </c>
      <c r="CJ32" s="493" t="str">
        <f>IF(32=32,IF($U32="","",SUBSTITUTE(SUBSTITUTE(SUBSTITUTE(SUBSTITUTE(SUBSTITUTE(SUBSTITUTE(SUBSTITUTE(SUBSTITUTE(SUBSTITUTE(SUBSTITUTE(SUBSTITUTE(SUBSTITUTE(SUBSTITUTE(SUBSTITUTE(SUBSTITUTE(SUBSTITUTE($AA32," "&amp;$CR$2401&amp;" "," ")," "&amp;$CR$2400&amp;" "," ")," "&amp;$CR$2399&amp;" "," ")," "&amp;$CR$2406&amp;" "," ")," "&amp;$CR$2398&amp;" "," ")," "&amp;$CR$2410&amp;" "," ")," "&amp;$CR$2397&amp;" "," ")," "&amp;$CR$2402&amp;" "," ")," "&amp;$CR$2405&amp;" "," ")," "&amp;$CR$2396&amp;" "," ")," "&amp;$CR$2404&amp;" "," ")," "&amp;$CR$2411&amp;" "," ")," "&amp;$CR$2408&amp;" "," ")," "&amp;$CR$2403&amp;" "," ")," "&amp;$CR$2407&amp;" "," ")," "&amp;$CR$2409&amp;" "," ")),"")</f>
        <v xml:space="preserve"> haricots plats d espagne surgeles </v>
      </c>
      <c r="CK32" s="493">
        <f>IF(32=32,IF($U32="","",SUMPRODUCT(--ISNUMBER(SEARCH(" "&amp;$CR$2412:$CR$2416&amp;" ",$CJ32)))),"")</f>
        <v>0</v>
      </c>
      <c r="CL32" s="493" t="str">
        <f>IF(32=32,IF($U32="","",IF(SUM(CG32:CI32)&gt;0,"X",IF(CK32&gt;0,"?",""))),"")</f>
        <v/>
      </c>
      <c r="CM32" s="494"/>
      <c r="CN32" s="496" t="s">
        <v>1198</v>
      </c>
      <c r="CO32" s="496" t="s">
        <v>1083</v>
      </c>
      <c r="CP32" s="496" t="s">
        <v>689</v>
      </c>
      <c r="CQ32" s="496" t="s">
        <v>1199</v>
      </c>
      <c r="CR32" s="496" t="s">
        <v>1199</v>
      </c>
      <c r="CS32" s="496" t="s">
        <v>1085</v>
      </c>
      <c r="CT32" s="496" t="s">
        <v>1086</v>
      </c>
      <c r="CU32" s="496" t="s">
        <v>1087</v>
      </c>
      <c r="CV32" s="497" t="s">
        <v>1088</v>
      </c>
      <c r="CX32" s="543">
        <v>1</v>
      </c>
    </row>
    <row r="33" spans="1:102" ht="21" customHeight="1">
      <c r="A33" s="509">
        <v>27</v>
      </c>
      <c r="B33" s="510" t="s">
        <v>5871</v>
      </c>
      <c r="C33" s="511" t="str">
        <f t="shared" si="0"/>
        <v>Herbes de Provence</v>
      </c>
      <c r="D33" s="512" t="str">
        <f>IF(33=33,IF($B33="","",IF(E33="X",""&amp;"Céréales contenant du gluten","")&amp;IF(F33="X",IF(COUNTIF($E33:$E33,"X")&gt;0,", ","")&amp;"Crustacés","")&amp;IF(G33="X",IF(COUNTIF($E33:$F33,"X")&gt;0,", ","")&amp;"Œufs","")&amp;IF(H33="X",IF(COUNTIF($E33:$G33,"X")&gt;0,", ","")&amp;"Poissons","")&amp;IF(I33="X",IF(COUNTIF($E33:$H33,"X")&gt;0,", ","")&amp;"Arachides","")&amp;IF(J33="X",IF(COUNTIF($E33:$I33,"X")&gt;0,", ","")&amp;"Soja","")&amp;IF(K33="X",IF(COUNTIF($E33:$J33,"X")&gt;0,", ","")&amp;"Lait","")&amp;IF(L33="X",IF(COUNTIF($E33:$K33,"X")&gt;0,", ","")&amp;"Fruits à coque","")&amp;IF(M33="X",IF(COUNTIF($E33:$L33,"X")&gt;0,", ","")&amp;"Céleri","")&amp;IF(N33="X",IF(COUNTIF($E33:$M33,"X")&gt;0,", ","")&amp;"Moutarde","")&amp;IF(O33="X",IF(COUNTIF($E33:$N33,"X")&gt;0,", ","")&amp;"Sésame","")&amp;IF(P33="X",IF(COUNTIF($E33:$O33,"X")&gt;0,", ","")&amp;"Sulfites","")&amp;IF(Q33="X",IF(COUNTIF($E33:$P33,"X")&gt;0,", ","")&amp;"Lupin","")&amp;IF(R33="X",IF(COUNTIF($E33:$Q33,"X")&gt;0,", ","")&amp;"Mollusques","")),"")</f>
        <v/>
      </c>
      <c r="E33" s="513" t="str">
        <f>IF(33=33,IF($B33="","",AF33),"")</f>
        <v/>
      </c>
      <c r="F33" s="513" t="str">
        <f>IF(33=33,IF($B33="","",AI33),"")</f>
        <v/>
      </c>
      <c r="G33" s="513" t="str">
        <f>IF(33=33,IF($B33="","",AM33),"")</f>
        <v/>
      </c>
      <c r="H33" s="513" t="str">
        <f>IF(33=33,IF($B33="","",IF(ISNUMBER(SEARCH(" colin ",$AA33)),"X",AZ33)),"")</f>
        <v/>
      </c>
      <c r="I33" s="513" t="str">
        <f>IF(33=33,IF($B33="","",BB33),"")</f>
        <v/>
      </c>
      <c r="J33" s="513" t="str">
        <f>IF(33=33,IF($B33="","",BF33),"")</f>
        <v/>
      </c>
      <c r="K33" s="513" t="str">
        <f>IF(33=33,IF($B33="","",BM33),"")</f>
        <v/>
      </c>
      <c r="L33" s="513" t="str">
        <f>IF(33=33,IF($B33="","",BQ33),"")</f>
        <v/>
      </c>
      <c r="M33" s="513" t="str">
        <f>IF(33=33,IF($B33="","",BT33),"")</f>
        <v/>
      </c>
      <c r="N33" s="513" t="str">
        <f>IF(33=33,IF($B33="","",BW33),"")</f>
        <v/>
      </c>
      <c r="O33" s="513" t="str">
        <f>IF(33=33,IF($B33="","",BZ33),"")</f>
        <v/>
      </c>
      <c r="P33" s="513" t="str">
        <f>IF(33=33,IF($B33="","",CC33),"")</f>
        <v/>
      </c>
      <c r="Q33" s="513" t="str">
        <f>IF(33=33,IF($B33="","",CF33),"")</f>
        <v/>
      </c>
      <c r="R33" s="513" t="str">
        <f>IF(33=33,IF($B33="","",CL33),"")</f>
        <v/>
      </c>
      <c r="S33" s="514" t="str">
        <f>IF(33=33,IF($B33="","",IF(E33="?",""&amp;"Céréales contenant du gluten","")&amp;IF(F33="?",IF(COUNTIF($E33:$E33,"~?")&gt;0,", ","")&amp;"Crustacés","")&amp;IF(G33="?",IF(COUNTIF($E33:$F33,"~?")&gt;0,", ","")&amp;"Œufs","")&amp;IF(H33="?",IF(COUNTIF($E33:$G33,"~?")&gt;0,", ","")&amp;"Poissons","")&amp;IF(I33="?",IF(COUNTIF($E33:$H33,"~?")&gt;0,", ","")&amp;"Arachides","")&amp;IF(J33="?",IF(COUNTIF($E33:$I33,"~?")&gt;0,", ","")&amp;"Soja","")&amp;IF(K33="?",IF(COUNTIF($E33:$J33,"~?")&gt;0,", ","")&amp;"Lait","")&amp;IF(L33="?",IF(COUNTIF($E33:$K33,"~?")&gt;0,", ","")&amp;"Fruits à coque","")&amp;IF(M33="?",IF(COUNTIF($E33:$L33,"~?")&gt;0,", ","")&amp;"Céleri","")&amp;IF(N33="?",IF(COUNTIF($E33:$M33,"~?")&gt;0,", ","")&amp;"Moutarde","")&amp;IF(O33="?",IF(COUNTIF($E33:$N33,"~?")&gt;0,", ","")&amp;"Sésame","")&amp;IF(P33="?",IF(COUNTIF($E33:$O33,"~?")&gt;0,", ","")&amp;"Sulfites","")&amp;IF(Q33="?",IF(COUNTIF($E33:$P33,"~?")&gt;0,", ","")&amp;"Lupin","")&amp;IF(R33="?",IF(COUNTIF($E33:$Q33,"~?")&gt;0,", ","")&amp;"Mollusques","")),"")</f>
        <v/>
      </c>
      <c r="U33" s="493" t="str">
        <f>IF(33=33,IF($B33="","",$B33),"")</f>
        <v>Herbes de Provence</v>
      </c>
      <c r="V33" s="493" t="str">
        <f>IF(33=33,LOWER(CLEAN(SUBSTITUTE(SUBSTITUTE(SUBSTITUTE(SUBSTITUTE($U33,CHAR(160)," ")," "," "),CHAR(10)," "),CHAR(13)," "))),"")</f>
        <v>herbes de provence</v>
      </c>
      <c r="W33" s="493" t="str">
        <f>IF(33=33,SUBSTITUTE(SUBSTITUTE(SUBSTITUTE(SUBSTITUTE(SUBSTITUTE(SUBSTITUTE(SUBSTITUTE(SUBSTITUTE(SUBSTITUTE(SUBSTITUTE(SUBSTITUTE(SUBSTITUTE($V33,"œ","oe"),"æ","ae"),"à","a"),"á","a"),"â","a"),"ä","a"),"ã","a"),"ç","c"),"è","e"),"é","e"),"ê","e"),"ë","e"),"")</f>
        <v>herbes de provence</v>
      </c>
      <c r="X33" s="493" t="str">
        <f>IF(33=33,SUBSTITUTE(SUBSTITUTE(SUBSTITUTE(SUBSTITUTE(SUBSTITUTE(SUBSTITUTE(SUBSTITUTE(SUBSTITUTE(SUBSTITUTE(SUBSTITUTE(SUBSTITUTE(SUBSTITUTE(SUBSTITUTE(SUBSTITUTE(SUBSTITUTE(SUBSTITUTE($W33,"ì","i"),"í","i"),"î","i"),"ï","i"),"ñ","n"),"ò","o"),"ó","o"),"ô","o"),"ö","o"),"õ","o"),"ù","u"),"ú","u"),"û","u"),"ü","u"),"ý","y"),"ÿ","y"),"")</f>
        <v>herbes de provence</v>
      </c>
      <c r="Y33" s="493" t="str">
        <f>IF(33=33,SUBSTITUTE(SUBSTITUTE(SUBSTITUTE(SUBSTITUTE(SUBSTITUTE(SUBSTITUTE(SUBSTITUTE(SUBSTITUTE(SUBSTITUTE(SUBSTITUTE(SUBSTITUTE(SUBSTITUTE(SUBSTITUTE(SUBSTITUTE($X33,"’"," "),"`"," "),"–"," "),"—"," "),"-"," "),"'"," "),"/"," "),"_"," "),","," "),"."," "),"("," "),")"," "),";"," "),":"," "),"")</f>
        <v>herbes de provence</v>
      </c>
      <c r="Z33" s="493" t="str">
        <f>IF(33=33,SUBSTITUTE(SUBSTITUTE(SUBSTITUTE(SUBSTITUTE(SUBSTITUTE(SUBSTITUTE(SUBSTITUTE(SUBSTITUTE(SUBSTITUTE(SUBSTITUTE(SUBSTITUTE(SUBSTITUTE(SUBSTITUTE(SUBSTITUTE(SUBSTITUTE($Y33,"!"," "),"?"," "),"+"," "),"*"," "),"&amp;"," "),"["," "),"]"," "),"{"," "),"}"," "),"%"," "),"="," "),"\"," "),"|"," "),"&lt;"," "),"&gt;"," "),"")</f>
        <v>herbes de provence</v>
      </c>
      <c r="AA33" s="493" t="str">
        <f>IF(33=33," "&amp;TRIM(SUBSTITUTE(SUBSTITUTE(SUBSTITUTE(SUBSTITUTE(SUBSTITUTE(SUBSTITUTE($Z33,CHAR(34)," "),"  "," "),"  "," "),"  "," "),"  "," "),"  "," "))&amp;" ","")</f>
        <v xml:space="preserve"> herbes de provence </v>
      </c>
      <c r="AB33" s="493">
        <f>IF(33=33,IF($U33="","",SUMPRODUCT(--ISNUMBER(SEARCH(" "&amp;$CR$2:$CR$101&amp;" ",$AD33)))),"")</f>
        <v>0</v>
      </c>
      <c r="AC33" s="493">
        <f>IF(33=33,IF($U33="","",SUMPRODUCT(--ISNUMBER(SEARCH(" "&amp;$CR$102:$CR$151&amp;" ",$AD33)))),"")</f>
        <v>0</v>
      </c>
      <c r="AD33" s="493" t="str">
        <f t="shared" si="1"/>
        <v xml:space="preserve"> herbes de provence </v>
      </c>
      <c r="AE33" s="493">
        <f t="shared" si="2"/>
        <v>0</v>
      </c>
      <c r="AF33" s="493" t="str">
        <f>IF(33=33,IF($U33="","",IF(SUM(AB33:AC33)+SUMPRODUCT(--ISNUMBER(SEARCH(" "&amp;$CR$2418:$CR$2420&amp;" ",$AD33)))&gt;0,"X",IF(AE33&gt;0,"?",""))),"")</f>
        <v/>
      </c>
      <c r="AG33" s="493">
        <f>IF(33=33,IF($U33="","",SUMPRODUCT(--ISNUMBER(SEARCH(" "&amp;$CR$206:$CR$305&amp;" ",$AA33)))),"")</f>
        <v>0</v>
      </c>
      <c r="AH33" s="493">
        <f>IF(33=33,IF($U33="","",SUMPRODUCT(--ISNUMBER(SEARCH(" "&amp;$CR$306:$CR$340&amp;" ",$AA33)))),"")</f>
        <v>0</v>
      </c>
      <c r="AI33" s="493" t="str">
        <f>IF(33=33,IF($U33="","",IF((SUM(AG33:AH33))-(0)&gt;0,"X",IF((0)-(0)&gt;0,"?",""))),"")</f>
        <v/>
      </c>
      <c r="AJ33" s="493">
        <f>IF(33=33,IF($U33="","",SUMPRODUCT(--ISNUMBER(SEARCH(" "&amp;$CR$341:$CR$398&amp;" ",$AA33)))),"")</f>
        <v>0</v>
      </c>
      <c r="AK33" s="493">
        <f>IF(33=33,IF($U33="","",SUMPRODUCT(--ISNUMBER(SEARCH(" "&amp;$CR$399:$CR$426&amp;" ",$AL33)))+SUMPRODUCT(--ISNUMBER(SEARCH(" "&amp;$CR$2440:$CR$2453&amp;" ",$AL33)))),"")</f>
        <v>0</v>
      </c>
      <c r="AL33" s="493" t="str">
        <f>IF(33=33,IF($U33="","",SUBSTITUTE(SUBSTITUTE(SUBSTITUTE(SUBSTITUTE(SUBSTITUTE(SUBSTITUTE(SUBSTITUTE(SUBSTITUTE(SUBSTITUTE(SUBSTITUTE(SUBSTITUTE(SUBSTITUTE(SUBSTITUTE(SUBSTITUTE($AA33," "&amp;$CR$2455&amp;" "," ")," "&amp;$CR$433&amp;" "," ")," "&amp;$CR$431&amp;" "," ")," "&amp;$CR$2438&amp;" "," ")," "&amp;$CR$2439&amp;" "," ")," "&amp;$CR$428&amp;" "," ")," "&amp;$CR$432&amp;" "," ")," "&amp;$CR$434&amp;" "," ")," "&amp;$CR$429&amp;" "," ")," "&amp;$CR$427&amp;" "," ")," "&amp;$CR$1367&amp;" "," ")," "&amp;$CR$435&amp;" "," ")," "&amp;$CR$1366&amp;" "," ")," "&amp;$CR$430&amp;" "," ")),"")</f>
        <v xml:space="preserve"> herbes de provence </v>
      </c>
      <c r="AM33" s="493" t="str">
        <f>IF(33=33,IF($U33="","",IF(AJ33&gt;0,"X",IF(AK33&gt;0,"?",""))),"")</f>
        <v/>
      </c>
      <c r="AN33" s="493">
        <f>IF(33=33,IF($U33="","",SUMPRODUCT(--ISNUMBER(SEARCH(" "&amp;$CR$436:$CR$535&amp;" ",$AX33)))),"")</f>
        <v>0</v>
      </c>
      <c r="AO33" s="493">
        <f>IF(33=33,IF($U33="","",SUMPRODUCT(--ISNUMBER(SEARCH(" "&amp;$CR$536:$CR$635&amp;" ",$AX33)))),"")</f>
        <v>0</v>
      </c>
      <c r="AP33" s="493">
        <f>IF(33=33,IF($U33="","",SUMPRODUCT(--ISNUMBER(SEARCH(" "&amp;$CR$636:$CR$735&amp;" ",$AX33)))),"")</f>
        <v>0</v>
      </c>
      <c r="AQ33" s="493">
        <f>IF(33=33,IF($U33="","",SUMPRODUCT(--ISNUMBER(SEARCH(" "&amp;$CR$736:$CR$835&amp;" ",$AX33)))),"")</f>
        <v>0</v>
      </c>
      <c r="AR33" s="493">
        <f>IF(33=33,IF($U33="","",SUMPRODUCT(--ISNUMBER(SEARCH(" "&amp;$CR$836:$CR$935&amp;" ",$AX33)))),"")</f>
        <v>0</v>
      </c>
      <c r="AS33" s="493">
        <f>IF(33=33,IF($U33="","",SUMPRODUCT(--ISNUMBER(SEARCH(" "&amp;$CR$936:$CR$1035&amp;" ",$AX33)))),"")</f>
        <v>0</v>
      </c>
      <c r="AT33" s="493">
        <f>IF(33=33,IF($U33="","",SUMPRODUCT(--ISNUMBER(SEARCH(" "&amp;$CR$1036:$CR$1135&amp;" ",$AX33)))),"")</f>
        <v>0</v>
      </c>
      <c r="AU33" s="493">
        <f>IF(33=33,IF($U33="","",SUMPRODUCT(--ISNUMBER(SEARCH(" "&amp;$CR$1136:$CR$1235&amp;" ",$AX33)))),"")</f>
        <v>0</v>
      </c>
      <c r="AV33" s="493">
        <f>IF(33=33,IF($U33="","",SUMPRODUCT(--ISNUMBER(SEARCH(" "&amp;$CR$1236:$CR$1335&amp;" ",$AX33)))),"")</f>
        <v>0</v>
      </c>
      <c r="AW33" s="493">
        <f>IF(33=33,IF($U33="","",SUMPRODUCT(--ISNUMBER(SEARCH(" "&amp;$CR$1336:$CR$1363&amp;" ",$AX33)))),"")</f>
        <v>0</v>
      </c>
      <c r="AX33" s="493" t="str">
        <f>IF(33=33,IF($U33="","",SUBSTITUTE(SUBSTITUTE(SUBSTITUTE(SUBSTITUTE(SUBSTITUTE(SUBSTITUTE(SUBSTITUTE(SUBSTITUTE(SUBSTITUTE($AA33," "&amp;$CR$1365&amp;" "," ")," "&amp;$CR$1364&amp;" "," ")," "&amp;$CR$1370&amp;" "," ")," "&amp;$CR$1371&amp;" "," ")," "&amp;$CR$1367&amp;" "," ")," "&amp;$CR$1369&amp;" "," ")," "&amp;$CR$1366&amp;" "," ")," "&amp;$CR$1368&amp;" "," ")," "&amp;$CR$1372&amp;" "," ")),"")</f>
        <v xml:space="preserve"> herbes de provence </v>
      </c>
      <c r="AY33" s="493">
        <f>IF(33=33,IF($U33="","",SUMPRODUCT(--ISNUMBER(SEARCH(" "&amp;$CR$1373:$CR$1383&amp;" ",$AX33)))),"")</f>
        <v>0</v>
      </c>
      <c r="AZ33" s="493" t="str">
        <f>IF(33=33,IF($U33="","",IF(SUM(AN33:AW33)+SUMPRODUCT(--ISNUMBER(SEARCH(" "&amp;$CR$2421:$CR$2422&amp;" ",$AX33)))&gt;0,"X",IF(AY33&gt;0,"?",""))),"")</f>
        <v/>
      </c>
      <c r="BA33" s="493">
        <f>IF(33=33,IF($U33="","",SUMPRODUCT(--ISNUMBER(SEARCH(" "&amp;$CR$1384:$CR$1404&amp;" ",$AA33)))),"")</f>
        <v>0</v>
      </c>
      <c r="BB33" s="493" t="str">
        <f>IF(33=33,IF($U33="","",IF((BA33)-(0)&gt;0,"X",IF((0)-(0)&gt;0,"?",""))),"")</f>
        <v/>
      </c>
      <c r="BC33" s="493">
        <f>IF(33=33,IF($U33="","",SUMPRODUCT(--ISNUMBER(SEARCH(" "&amp;$CR$1405:$CR$1442&amp;" ",$BD33)))),"")</f>
        <v>0</v>
      </c>
      <c r="BD33" s="493" t="str">
        <f>IF(33=33,IF($U33="","",SUBSTITUTE(SUBSTITUTE($AA33," "&amp;$CR$1443&amp;" "," ")," "&amp;$CR$1444&amp;" "," ")),"")</f>
        <v xml:space="preserve"> herbes de provence </v>
      </c>
      <c r="BE33" s="493">
        <f>IF(33=33,IF($U33="","",SUMPRODUCT(--ISNUMBER(SEARCH(" "&amp;$CR$1445:$CR$1455&amp;" ",$BD33)))),"")</f>
        <v>0</v>
      </c>
      <c r="BF33" s="493" t="str">
        <f>IF(33=33,IF($U33="","",IF(BC33&gt;0,"X",IF(BE33&gt;0,"?",""))),"")</f>
        <v/>
      </c>
      <c r="BG33" s="493">
        <f>IF(33=33,IF($U33="","",SUMPRODUCT(--ISNUMBER(SEARCH(" "&amp;$CR$1456:$CR$1555&amp;" ",$BJ33)))),"")</f>
        <v>0</v>
      </c>
      <c r="BH33" s="493">
        <f>IF(33=33,IF($U33="","",SUMPRODUCT(--ISNUMBER(SEARCH(" "&amp;$CR$1556:$CR$1655&amp;" ",$BJ33)))),"")</f>
        <v>0</v>
      </c>
      <c r="BI33" s="493">
        <f>IF(33=33,IF($U33="","",SUMPRODUCT(--ISNUMBER(SEARCH(" "&amp;$CR$1656:$CR$1739&amp;" ",$BJ33)))),"")</f>
        <v>0</v>
      </c>
      <c r="BJ33" s="493" t="str">
        <f>IF(33=33,IF($U33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herbes de provence </v>
      </c>
      <c r="BK33" s="493">
        <f>IF(33=33,IF($U33="","",SUMPRODUCT(--ISNUMBER(SEARCH(" "&amp;$CR$1790:$CR$1869&amp;" ",$BL33)))+SUMPRODUCT(--ISNUMBER(SEARCH(" "&amp;$CR$2440:$CR$2453&amp;" ",$BL33)))),"")</f>
        <v>0</v>
      </c>
      <c r="BL33" s="493" t="str">
        <f>IF(33=33,IF($U33="","",SUBSTITUTE(SUBSTITUTE(SUBSTITUTE(SUBSTITUTE(SUBSTITUTE(SUBSTITUTE(SUBSTITUTE(SUBSTITUTE(SUBSTITUTE(SUBSTITUTE(SUBSTITUTE(SUBSTITUTE(SUBSTITUTE($BJ33," "&amp;$CR$1876&amp;" "," ")," "&amp;$CR$1874&amp;" "," ")," "&amp;$CR$2438&amp;" "," ")," "&amp;$CR$2439&amp;" "," ")," "&amp;$CR$1871&amp;" "," ")," "&amp;$CR$1875&amp;" "," ")," "&amp;$CR$1877&amp;" "," ")," "&amp;$CR$1872&amp;" "," ")," "&amp;$CR$1870&amp;" "," ")," "&amp;$CR$1367&amp;" "," ")," "&amp;$CR$1878&amp;" "," ")," "&amp;$CR$1366&amp;" "," ")," "&amp;$CR$1873&amp;" "," ")),"")</f>
        <v xml:space="preserve"> herbes de provence </v>
      </c>
      <c r="BM33" s="493" t="str">
        <f>IF(33=33,IF($U33="","",IF(SUM(BG33:BI33)+SUMPRODUCT(--ISNUMBER(SEARCH(" "&amp;$CR$2423:$CR$2424&amp;" ",$BJ33)))&gt;0,"X",IF(BK33&gt;0,"?",""))),"")</f>
        <v/>
      </c>
      <c r="BN33" s="493">
        <f>IF(33=33,IF($U33="","",SUMPRODUCT(--ISNUMBER(SEARCH(" "&amp;$CR$1879:$CR$1936&amp;" ",$BO33)))),"")</f>
        <v>0</v>
      </c>
      <c r="BO33" s="493" t="str">
        <f>IF(33=33,IF($U33="","",SUBSTITUTE(SUBSTITUTE(SUBSTITUTE(SUBSTITUTE(SUBSTITUTE(SUBSTITUTE(SUBSTITUTE(SUBSTITUTE(SUBSTITUTE(SUBSTITUTE(SUBSTITUTE(SUBSTITUTE(SUBSTITUTE(SUBSTITUTE(SUBSTITUTE(SUBSTITUTE(SUBSTITUTE(SUBSTITUTE(SUBSTITUTE(SUBSTITUTE(SUBSTITUTE(SUBSTITUTE(SUBSTITUTE($AA33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herbes de provence </v>
      </c>
      <c r="BP33" s="493">
        <f>IF(33=33,IF($U33="","",SUMPRODUCT(--ISNUMBER(SEARCH(" "&amp;$CR$1960:$CR$1976&amp;" ",$BO33)))),"")</f>
        <v>0</v>
      </c>
      <c r="BQ33" s="493" t="str">
        <f>IF(33=33,IF($U33="","",IF(BN33&gt;0,"X",IF(BP33&gt;0,"?",""))),"")</f>
        <v/>
      </c>
      <c r="BR33" s="493">
        <f>IF(33=33,IF($U33="","",SUMPRODUCT(--ISNUMBER(SEARCH(" "&amp;$CR$1977:$CR$1990&amp;" ",$AA33)))),"")</f>
        <v>0</v>
      </c>
      <c r="BS33" s="493">
        <f>IF(33=33,IF($U33="","",SUMPRODUCT(--ISNUMBER(SEARCH(" "&amp;$CR$1991:$CR$2005&amp;" ",$AA33)))),"")</f>
        <v>0</v>
      </c>
      <c r="BT33" s="493" t="str">
        <f>IF(33=33,IF($U33="","",IF((BR33)-(0)&gt;0,"X",IF((BS33)-(0)&gt;0,"?",""))),"")</f>
        <v/>
      </c>
      <c r="BU33" s="493">
        <f>IF(33=33,IF($U33="","",SUMPRODUCT(--ISNUMBER(SEARCH(" "&amp;$CR$2006:$CR$2023&amp;" ",$AA33)))),"")</f>
        <v>0</v>
      </c>
      <c r="BV33" s="493">
        <f>IF(33=33,IF($U33="","",SUMPRODUCT(--ISNUMBER(SEARCH(" "&amp;$CR$2024:$CR$2038&amp;" ",$AA33)))),"")</f>
        <v>0</v>
      </c>
      <c r="BW33" s="493" t="str">
        <f>IF(33=33,IF($U33="","",IF((BU33)-(0)&gt;0,"X",IF((BV33)-(0)&gt;0,"?",""))),"")</f>
        <v/>
      </c>
      <c r="BX33" s="493">
        <f>IF(33=33,IF($U33="","",SUMPRODUCT(--ISNUMBER(SEARCH(" "&amp;$CR$2039:$CR$2057&amp;" ",$AA33)))),"")</f>
        <v>0</v>
      </c>
      <c r="BY33" s="493">
        <f>IF(33=33,IF($U33="","",SUMPRODUCT(--ISNUMBER(SEARCH(" "&amp;$CR$2058:$CR$2072&amp;" ",$AA33)))),"")</f>
        <v>0</v>
      </c>
      <c r="BZ33" s="493" t="str">
        <f>IF(33=33,IF($U33="","",IF((BX33)-(0)&gt;0,"X",IF((BY33)-(0)&gt;0,"?",""))),"")</f>
        <v/>
      </c>
      <c r="CA33" s="493">
        <f>IF(33=33,IF($U33="","",SUMPRODUCT(--ISNUMBER(SEARCH(" "&amp;$CR$2073:$CR$2093&amp;" ",$AA33)))),"")</f>
        <v>0</v>
      </c>
      <c r="CB33" s="493">
        <f>IF(33=33,IF($U33="","",SUMPRODUCT(--ISNUMBER(SEARCH(" "&amp;$CR$2094:$CR$2133&amp;" ",SUBSTITUTE(SUBSTITUTE($AA33," "&amp;$CR$1367&amp;" "," ")," "&amp;$CR$1366&amp;" "," "))))+--ISNUMBER(SEARCH("poiré",$V33))),"")</f>
        <v>0</v>
      </c>
      <c r="CC33" s="493" t="str">
        <f>IF(33=33,IF($U33="","",IF(OR(CA33&gt;0,ISNUMBER(SEARCH(" vinaigre de vin ",$AA33)),ISNUMBER(SEARCH(" vinaigre au vin ",$AA33))),"X",IF(CB33&gt;0,"?",""))),"")</f>
        <v/>
      </c>
      <c r="CD33" s="493">
        <f>IF(33=33,IF($U33="","",SUMPRODUCT(--ISNUMBER(SEARCH(" "&amp;$CR$2134:$CR$2146&amp;" ",$AA33)))),"")</f>
        <v>0</v>
      </c>
      <c r="CE33" s="493">
        <f>IF(33=33,IF($U33="","",SUMPRODUCT(--ISNUMBER(SEARCH(" "&amp;$CR$2147:$CR$2152&amp;" ",$AA33)))),"")</f>
        <v>0</v>
      </c>
      <c r="CF33" s="493" t="str">
        <f>IF(33=33,IF($U33="","",IF((CD33)-(0)&gt;0,"X",IF((CE33)-(0)&gt;0,"?",""))),"")</f>
        <v/>
      </c>
      <c r="CG33" s="493">
        <f>IF(33=33,IF($U33="","",SUMPRODUCT(--ISNUMBER(SEARCH(" "&amp;$CR$2153:$CR$2252&amp;" ",$CJ33)))),"")</f>
        <v>0</v>
      </c>
      <c r="CH33" s="493">
        <f>IF(33=33,IF($U33="","",SUMPRODUCT(--ISNUMBER(SEARCH(" "&amp;$CR$2253:$CR$2352&amp;" ",$CJ33)))),"")</f>
        <v>0</v>
      </c>
      <c r="CI33" s="493">
        <f>IF(33=33,IF($U33="","",SUMPRODUCT(--ISNUMBER(SEARCH(" "&amp;$CR$2353:$CR$2395&amp;" ",$CJ33)))),"")</f>
        <v>0</v>
      </c>
      <c r="CJ33" s="493" t="str">
        <f>IF(33=33,IF($U33="","",SUBSTITUTE(SUBSTITUTE(SUBSTITUTE(SUBSTITUTE(SUBSTITUTE(SUBSTITUTE(SUBSTITUTE(SUBSTITUTE(SUBSTITUTE(SUBSTITUTE(SUBSTITUTE(SUBSTITUTE(SUBSTITUTE(SUBSTITUTE(SUBSTITUTE(SUBSTITUTE($AA33," "&amp;$CR$2401&amp;" "," ")," "&amp;$CR$2400&amp;" "," ")," "&amp;$CR$2399&amp;" "," ")," "&amp;$CR$2406&amp;" "," ")," "&amp;$CR$2398&amp;" "," ")," "&amp;$CR$2410&amp;" "," ")," "&amp;$CR$2397&amp;" "," ")," "&amp;$CR$2402&amp;" "," ")," "&amp;$CR$2405&amp;" "," ")," "&amp;$CR$2396&amp;" "," ")," "&amp;$CR$2404&amp;" "," ")," "&amp;$CR$2411&amp;" "," ")," "&amp;$CR$2408&amp;" "," ")," "&amp;$CR$2403&amp;" "," ")," "&amp;$CR$2407&amp;" "," ")," "&amp;$CR$2409&amp;" "," ")),"")</f>
        <v xml:space="preserve"> herbes de provence </v>
      </c>
      <c r="CK33" s="493">
        <f>IF(33=33,IF($U33="","",SUMPRODUCT(--ISNUMBER(SEARCH(" "&amp;$CR$2412:$CR$2416&amp;" ",$CJ33)))),"")</f>
        <v>0</v>
      </c>
      <c r="CL33" s="493" t="str">
        <f>IF(33=33,IF($U33="","",IF(SUM(CG33:CI33)&gt;0,"X",IF(CK33&gt;0,"?",""))),"")</f>
        <v/>
      </c>
      <c r="CM33" s="494"/>
      <c r="CN33" s="496" t="s">
        <v>1200</v>
      </c>
      <c r="CO33" s="496" t="s">
        <v>1083</v>
      </c>
      <c r="CP33" s="496" t="s">
        <v>689</v>
      </c>
      <c r="CQ33" s="496" t="s">
        <v>1201</v>
      </c>
      <c r="CR33" s="496" t="s">
        <v>895</v>
      </c>
      <c r="CS33" s="496" t="s">
        <v>1085</v>
      </c>
      <c r="CT33" s="496" t="s">
        <v>1086</v>
      </c>
      <c r="CU33" s="496" t="s">
        <v>1087</v>
      </c>
      <c r="CV33" s="497" t="s">
        <v>1088</v>
      </c>
      <c r="CX33" s="543">
        <v>1</v>
      </c>
    </row>
    <row r="34" spans="1:102" ht="21" customHeight="1">
      <c r="A34" s="509">
        <v>28</v>
      </c>
      <c r="B34" s="510" t="s">
        <v>5872</v>
      </c>
      <c r="C34" s="511" t="str">
        <f t="shared" si="0"/>
        <v>Huile</v>
      </c>
      <c r="D34" s="512" t="str">
        <f>IF(34=34,IF($B34="","",IF(E34="X",""&amp;"Céréales contenant du gluten","")&amp;IF(F34="X",IF(COUNTIF($E34:$E34,"X")&gt;0,", ","")&amp;"Crustacés","")&amp;IF(G34="X",IF(COUNTIF($E34:$F34,"X")&gt;0,", ","")&amp;"Œufs","")&amp;IF(H34="X",IF(COUNTIF($E34:$G34,"X")&gt;0,", ","")&amp;"Poissons","")&amp;IF(I34="X",IF(COUNTIF($E34:$H34,"X")&gt;0,", ","")&amp;"Arachides","")&amp;IF(J34="X",IF(COUNTIF($E34:$I34,"X")&gt;0,", ","")&amp;"Soja","")&amp;IF(K34="X",IF(COUNTIF($E34:$J34,"X")&gt;0,", ","")&amp;"Lait","")&amp;IF(L34="X",IF(COUNTIF($E34:$K34,"X")&gt;0,", ","")&amp;"Fruits à coque","")&amp;IF(M34="X",IF(COUNTIF($E34:$L34,"X")&gt;0,", ","")&amp;"Céleri","")&amp;IF(N34="X",IF(COUNTIF($E34:$M34,"X")&gt;0,", ","")&amp;"Moutarde","")&amp;IF(O34="X",IF(COUNTIF($E34:$N34,"X")&gt;0,", ","")&amp;"Sésame","")&amp;IF(P34="X",IF(COUNTIF($E34:$O34,"X")&gt;0,", ","")&amp;"Sulfites","")&amp;IF(Q34="X",IF(COUNTIF($E34:$P34,"X")&gt;0,", ","")&amp;"Lupin","")&amp;IF(R34="X",IF(COUNTIF($E34:$Q34,"X")&gt;0,", ","")&amp;"Mollusques","")),"")</f>
        <v/>
      </c>
      <c r="E34" s="513" t="str">
        <f>IF(34=34,IF($B34="","",AF34),"")</f>
        <v/>
      </c>
      <c r="F34" s="513" t="str">
        <f>IF(34=34,IF($B34="","",AI34),"")</f>
        <v/>
      </c>
      <c r="G34" s="513" t="str">
        <f>IF(34=34,IF($B34="","",AM34),"")</f>
        <v/>
      </c>
      <c r="H34" s="513" t="str">
        <f>IF(34=34,IF($B34="","",IF(ISNUMBER(SEARCH(" colin ",$AA34)),"X",AZ34)),"")</f>
        <v/>
      </c>
      <c r="I34" s="513" t="str">
        <f>IF(34=34,IF($B34="","",BB34),"")</f>
        <v/>
      </c>
      <c r="J34" s="513" t="str">
        <f>IF(34=34,IF($B34="","",BF34),"")</f>
        <v/>
      </c>
      <c r="K34" s="513" t="str">
        <f>IF(34=34,IF($B34="","",BM34),"")</f>
        <v/>
      </c>
      <c r="L34" s="513" t="str">
        <f>IF(34=34,IF($B34="","",BQ34),"")</f>
        <v/>
      </c>
      <c r="M34" s="513" t="str">
        <f>IF(34=34,IF($B34="","",BT34),"")</f>
        <v/>
      </c>
      <c r="N34" s="513" t="str">
        <f>IF(34=34,IF($B34="","",BW34),"")</f>
        <v/>
      </c>
      <c r="O34" s="513" t="str">
        <f>IF(34=34,IF($B34="","",BZ34),"")</f>
        <v/>
      </c>
      <c r="P34" s="513" t="str">
        <f>IF(34=34,IF($B34="","",CC34),"")</f>
        <v/>
      </c>
      <c r="Q34" s="513" t="str">
        <f>IF(34=34,IF($B34="","",CF34),"")</f>
        <v/>
      </c>
      <c r="R34" s="513" t="str">
        <f>IF(34=34,IF($B34="","",CL34),"")</f>
        <v/>
      </c>
      <c r="S34" s="514" t="str">
        <f>IF(34=34,IF($B34="","",IF(E34="?",""&amp;"Céréales contenant du gluten","")&amp;IF(F34="?",IF(COUNTIF($E34:$E34,"~?")&gt;0,", ","")&amp;"Crustacés","")&amp;IF(G34="?",IF(COUNTIF($E34:$F34,"~?")&gt;0,", ","")&amp;"Œufs","")&amp;IF(H34="?",IF(COUNTIF($E34:$G34,"~?")&gt;0,", ","")&amp;"Poissons","")&amp;IF(I34="?",IF(COUNTIF($E34:$H34,"~?")&gt;0,", ","")&amp;"Arachides","")&amp;IF(J34="?",IF(COUNTIF($E34:$I34,"~?")&gt;0,", ","")&amp;"Soja","")&amp;IF(K34="?",IF(COUNTIF($E34:$J34,"~?")&gt;0,", ","")&amp;"Lait","")&amp;IF(L34="?",IF(COUNTIF($E34:$K34,"~?")&gt;0,", ","")&amp;"Fruits à coque","")&amp;IF(M34="?",IF(COUNTIF($E34:$L34,"~?")&gt;0,", ","")&amp;"Céleri","")&amp;IF(N34="?",IF(COUNTIF($E34:$M34,"~?")&gt;0,", ","")&amp;"Moutarde","")&amp;IF(O34="?",IF(COUNTIF($E34:$N34,"~?")&gt;0,", ","")&amp;"Sésame","")&amp;IF(P34="?",IF(COUNTIF($E34:$O34,"~?")&gt;0,", ","")&amp;"Sulfites","")&amp;IF(Q34="?",IF(COUNTIF($E34:$P34,"~?")&gt;0,", ","")&amp;"Lupin","")&amp;IF(R34="?",IF(COUNTIF($E34:$Q34,"~?")&gt;0,", ","")&amp;"Mollusques","")),"")</f>
        <v/>
      </c>
      <c r="U34" s="493" t="str">
        <f>IF(34=34,IF($B34="","",$B34),"")</f>
        <v>Huile</v>
      </c>
      <c r="V34" s="493" t="str">
        <f>IF(34=34,LOWER(CLEAN(SUBSTITUTE(SUBSTITUTE(SUBSTITUTE(SUBSTITUTE($U34,CHAR(160)," ")," "," "),CHAR(10)," "),CHAR(13)," "))),"")</f>
        <v>huile</v>
      </c>
      <c r="W34" s="493" t="str">
        <f>IF(34=34,SUBSTITUTE(SUBSTITUTE(SUBSTITUTE(SUBSTITUTE(SUBSTITUTE(SUBSTITUTE(SUBSTITUTE(SUBSTITUTE(SUBSTITUTE(SUBSTITUTE(SUBSTITUTE(SUBSTITUTE($V34,"œ","oe"),"æ","ae"),"à","a"),"á","a"),"â","a"),"ä","a"),"ã","a"),"ç","c"),"è","e"),"é","e"),"ê","e"),"ë","e"),"")</f>
        <v>huile</v>
      </c>
      <c r="X34" s="493" t="str">
        <f>IF(34=34,SUBSTITUTE(SUBSTITUTE(SUBSTITUTE(SUBSTITUTE(SUBSTITUTE(SUBSTITUTE(SUBSTITUTE(SUBSTITUTE(SUBSTITUTE(SUBSTITUTE(SUBSTITUTE(SUBSTITUTE(SUBSTITUTE(SUBSTITUTE(SUBSTITUTE(SUBSTITUTE($W34,"ì","i"),"í","i"),"î","i"),"ï","i"),"ñ","n"),"ò","o"),"ó","o"),"ô","o"),"ö","o"),"õ","o"),"ù","u"),"ú","u"),"û","u"),"ü","u"),"ý","y"),"ÿ","y"),"")</f>
        <v>huile</v>
      </c>
      <c r="Y34" s="493" t="str">
        <f>IF(34=34,SUBSTITUTE(SUBSTITUTE(SUBSTITUTE(SUBSTITUTE(SUBSTITUTE(SUBSTITUTE(SUBSTITUTE(SUBSTITUTE(SUBSTITUTE(SUBSTITUTE(SUBSTITUTE(SUBSTITUTE(SUBSTITUTE(SUBSTITUTE($X34,"’"," "),"`"," "),"–"," "),"—"," "),"-"," "),"'"," "),"/"," "),"_"," "),","," "),"."," "),"("," "),")"," "),";"," "),":"," "),"")</f>
        <v>huile</v>
      </c>
      <c r="Z34" s="493" t="str">
        <f>IF(34=34,SUBSTITUTE(SUBSTITUTE(SUBSTITUTE(SUBSTITUTE(SUBSTITUTE(SUBSTITUTE(SUBSTITUTE(SUBSTITUTE(SUBSTITUTE(SUBSTITUTE(SUBSTITUTE(SUBSTITUTE(SUBSTITUTE(SUBSTITUTE(SUBSTITUTE($Y34,"!"," "),"?"," "),"+"," "),"*"," "),"&amp;"," "),"["," "),"]"," "),"{"," "),"}"," "),"%"," "),"="," "),"\"," "),"|"," "),"&lt;"," "),"&gt;"," "),"")</f>
        <v>huile</v>
      </c>
      <c r="AA34" s="493" t="str">
        <f>IF(34=34," "&amp;TRIM(SUBSTITUTE(SUBSTITUTE(SUBSTITUTE(SUBSTITUTE(SUBSTITUTE(SUBSTITUTE($Z34,CHAR(34)," "),"  "," "),"  "," "),"  "," "),"  "," "),"  "," "))&amp;" ","")</f>
        <v xml:space="preserve"> huile </v>
      </c>
      <c r="AB34" s="493">
        <f>IF(34=34,IF($U34="","",SUMPRODUCT(--ISNUMBER(SEARCH(" "&amp;$CR$2:$CR$101&amp;" ",$AD34)))),"")</f>
        <v>0</v>
      </c>
      <c r="AC34" s="493">
        <f>IF(34=34,IF($U34="","",SUMPRODUCT(--ISNUMBER(SEARCH(" "&amp;$CR$102:$CR$151&amp;" ",$AD34)))),"")</f>
        <v>0</v>
      </c>
      <c r="AD34" s="493" t="str">
        <f t="shared" si="1"/>
        <v xml:space="preserve"> huile </v>
      </c>
      <c r="AE34" s="493">
        <f t="shared" si="2"/>
        <v>0</v>
      </c>
      <c r="AF34" s="493" t="str">
        <f>IF(34=34,IF($U34="","",IF(SUM(AB34:AC34)+SUMPRODUCT(--ISNUMBER(SEARCH(" "&amp;$CR$2418:$CR$2420&amp;" ",$AD34)))&gt;0,"X",IF(AE34&gt;0,"?",""))),"")</f>
        <v/>
      </c>
      <c r="AG34" s="493">
        <f>IF(34=34,IF($U34="","",SUMPRODUCT(--ISNUMBER(SEARCH(" "&amp;$CR$206:$CR$305&amp;" ",$AA34)))),"")</f>
        <v>0</v>
      </c>
      <c r="AH34" s="493">
        <f>IF(34=34,IF($U34="","",SUMPRODUCT(--ISNUMBER(SEARCH(" "&amp;$CR$306:$CR$340&amp;" ",$AA34)))),"")</f>
        <v>0</v>
      </c>
      <c r="AI34" s="493" t="str">
        <f>IF(34=34,IF($U34="","",IF((SUM(AG34:AH34))-(0)&gt;0,"X",IF((0)-(0)&gt;0,"?",""))),"")</f>
        <v/>
      </c>
      <c r="AJ34" s="493">
        <f>IF(34=34,IF($U34="","",SUMPRODUCT(--ISNUMBER(SEARCH(" "&amp;$CR$341:$CR$398&amp;" ",$AA34)))),"")</f>
        <v>0</v>
      </c>
      <c r="AK34" s="493">
        <f>IF(34=34,IF($U34="","",SUMPRODUCT(--ISNUMBER(SEARCH(" "&amp;$CR$399:$CR$426&amp;" ",$AL34)))+SUMPRODUCT(--ISNUMBER(SEARCH(" "&amp;$CR$2440:$CR$2453&amp;" ",$AL34)))),"")</f>
        <v>0</v>
      </c>
      <c r="AL34" s="493" t="str">
        <f>IF(34=34,IF($U34="","",SUBSTITUTE(SUBSTITUTE(SUBSTITUTE(SUBSTITUTE(SUBSTITUTE(SUBSTITUTE(SUBSTITUTE(SUBSTITUTE(SUBSTITUTE(SUBSTITUTE(SUBSTITUTE(SUBSTITUTE(SUBSTITUTE(SUBSTITUTE($AA34," "&amp;$CR$2455&amp;" "," ")," "&amp;$CR$433&amp;" "," ")," "&amp;$CR$431&amp;" "," ")," "&amp;$CR$2438&amp;" "," ")," "&amp;$CR$2439&amp;" "," ")," "&amp;$CR$428&amp;" "," ")," "&amp;$CR$432&amp;" "," ")," "&amp;$CR$434&amp;" "," ")," "&amp;$CR$429&amp;" "," ")," "&amp;$CR$427&amp;" "," ")," "&amp;$CR$1367&amp;" "," ")," "&amp;$CR$435&amp;" "," ")," "&amp;$CR$1366&amp;" "," ")," "&amp;$CR$430&amp;" "," ")),"")</f>
        <v xml:space="preserve"> huile </v>
      </c>
      <c r="AM34" s="493" t="str">
        <f>IF(34=34,IF($U34="","",IF(AJ34&gt;0,"X",IF(AK34&gt;0,"?",""))),"")</f>
        <v/>
      </c>
      <c r="AN34" s="493">
        <f>IF(34=34,IF($U34="","",SUMPRODUCT(--ISNUMBER(SEARCH(" "&amp;$CR$436:$CR$535&amp;" ",$AX34)))),"")</f>
        <v>0</v>
      </c>
      <c r="AO34" s="493">
        <f>IF(34=34,IF($U34="","",SUMPRODUCT(--ISNUMBER(SEARCH(" "&amp;$CR$536:$CR$635&amp;" ",$AX34)))),"")</f>
        <v>0</v>
      </c>
      <c r="AP34" s="493">
        <f>IF(34=34,IF($U34="","",SUMPRODUCT(--ISNUMBER(SEARCH(" "&amp;$CR$636:$CR$735&amp;" ",$AX34)))),"")</f>
        <v>0</v>
      </c>
      <c r="AQ34" s="493">
        <f>IF(34=34,IF($U34="","",SUMPRODUCT(--ISNUMBER(SEARCH(" "&amp;$CR$736:$CR$835&amp;" ",$AX34)))),"")</f>
        <v>0</v>
      </c>
      <c r="AR34" s="493">
        <f>IF(34=34,IF($U34="","",SUMPRODUCT(--ISNUMBER(SEARCH(" "&amp;$CR$836:$CR$935&amp;" ",$AX34)))),"")</f>
        <v>0</v>
      </c>
      <c r="AS34" s="493">
        <f>IF(34=34,IF($U34="","",SUMPRODUCT(--ISNUMBER(SEARCH(" "&amp;$CR$936:$CR$1035&amp;" ",$AX34)))),"")</f>
        <v>0</v>
      </c>
      <c r="AT34" s="493">
        <f>IF(34=34,IF($U34="","",SUMPRODUCT(--ISNUMBER(SEARCH(" "&amp;$CR$1036:$CR$1135&amp;" ",$AX34)))),"")</f>
        <v>0</v>
      </c>
      <c r="AU34" s="493">
        <f>IF(34=34,IF($U34="","",SUMPRODUCT(--ISNUMBER(SEARCH(" "&amp;$CR$1136:$CR$1235&amp;" ",$AX34)))),"")</f>
        <v>0</v>
      </c>
      <c r="AV34" s="493">
        <f>IF(34=34,IF($U34="","",SUMPRODUCT(--ISNUMBER(SEARCH(" "&amp;$CR$1236:$CR$1335&amp;" ",$AX34)))),"")</f>
        <v>0</v>
      </c>
      <c r="AW34" s="493">
        <f>IF(34=34,IF($U34="","",SUMPRODUCT(--ISNUMBER(SEARCH(" "&amp;$CR$1336:$CR$1363&amp;" ",$AX34)))),"")</f>
        <v>0</v>
      </c>
      <c r="AX34" s="493" t="str">
        <f>IF(34=34,IF($U34="","",SUBSTITUTE(SUBSTITUTE(SUBSTITUTE(SUBSTITUTE(SUBSTITUTE(SUBSTITUTE(SUBSTITUTE(SUBSTITUTE(SUBSTITUTE($AA34," "&amp;$CR$1365&amp;" "," ")," "&amp;$CR$1364&amp;" "," ")," "&amp;$CR$1370&amp;" "," ")," "&amp;$CR$1371&amp;" "," ")," "&amp;$CR$1367&amp;" "," ")," "&amp;$CR$1369&amp;" "," ")," "&amp;$CR$1366&amp;" "," ")," "&amp;$CR$1368&amp;" "," ")," "&amp;$CR$1372&amp;" "," ")),"")</f>
        <v xml:space="preserve"> huile </v>
      </c>
      <c r="AY34" s="493">
        <f>IF(34=34,IF($U34="","",SUMPRODUCT(--ISNUMBER(SEARCH(" "&amp;$CR$1373:$CR$1383&amp;" ",$AX34)))),"")</f>
        <v>0</v>
      </c>
      <c r="AZ34" s="493" t="str">
        <f>IF(34=34,IF($U34="","",IF(SUM(AN34:AW34)+SUMPRODUCT(--ISNUMBER(SEARCH(" "&amp;$CR$2421:$CR$2422&amp;" ",$AX34)))&gt;0,"X",IF(AY34&gt;0,"?",""))),"")</f>
        <v/>
      </c>
      <c r="BA34" s="493">
        <f>IF(34=34,IF($U34="","",SUMPRODUCT(--ISNUMBER(SEARCH(" "&amp;$CR$1384:$CR$1404&amp;" ",$AA34)))),"")</f>
        <v>0</v>
      </c>
      <c r="BB34" s="493" t="str">
        <f>IF(34=34,IF($U34="","",IF((BA34)-(0)&gt;0,"X",IF((0)-(0)&gt;0,"?",""))),"")</f>
        <v/>
      </c>
      <c r="BC34" s="493">
        <f>IF(34=34,IF($U34="","",SUMPRODUCT(--ISNUMBER(SEARCH(" "&amp;$CR$1405:$CR$1442&amp;" ",$BD34)))),"")</f>
        <v>0</v>
      </c>
      <c r="BD34" s="493" t="str">
        <f>IF(34=34,IF($U34="","",SUBSTITUTE(SUBSTITUTE($AA34," "&amp;$CR$1443&amp;" "," ")," "&amp;$CR$1444&amp;" "," ")),"")</f>
        <v xml:space="preserve"> huile </v>
      </c>
      <c r="BE34" s="493">
        <f>IF(34=34,IF($U34="","",SUMPRODUCT(--ISNUMBER(SEARCH(" "&amp;$CR$1445:$CR$1455&amp;" ",$BD34)))),"")</f>
        <v>0</v>
      </c>
      <c r="BF34" s="493" t="str">
        <f>IF(34=34,IF($U34="","",IF(BC34&gt;0,"X",IF(BE34&gt;0,"?",""))),"")</f>
        <v/>
      </c>
      <c r="BG34" s="493">
        <f>IF(34=34,IF($U34="","",SUMPRODUCT(--ISNUMBER(SEARCH(" "&amp;$CR$1456:$CR$1555&amp;" ",$BJ34)))),"")</f>
        <v>0</v>
      </c>
      <c r="BH34" s="493">
        <f>IF(34=34,IF($U34="","",SUMPRODUCT(--ISNUMBER(SEARCH(" "&amp;$CR$1556:$CR$1655&amp;" ",$BJ34)))),"")</f>
        <v>0</v>
      </c>
      <c r="BI34" s="493">
        <f>IF(34=34,IF($U34="","",SUMPRODUCT(--ISNUMBER(SEARCH(" "&amp;$CR$1656:$CR$1739&amp;" ",$BJ34)))),"")</f>
        <v>0</v>
      </c>
      <c r="BJ34" s="493" t="str">
        <f>IF(34=34,IF($U34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v>
      </c>
      <c r="BK34" s="493">
        <f>IF(34=34,IF($U34="","",SUMPRODUCT(--ISNUMBER(SEARCH(" "&amp;$CR$1790:$CR$1869&amp;" ",$BL34)))+SUMPRODUCT(--ISNUMBER(SEARCH(" "&amp;$CR$2440:$CR$2453&amp;" ",$BL34)))),"")</f>
        <v>0</v>
      </c>
      <c r="BL34" s="493" t="str">
        <f>IF(34=34,IF($U34="","",SUBSTITUTE(SUBSTITUTE(SUBSTITUTE(SUBSTITUTE(SUBSTITUTE(SUBSTITUTE(SUBSTITUTE(SUBSTITUTE(SUBSTITUTE(SUBSTITUTE(SUBSTITUTE(SUBSTITUTE(SUBSTITUTE($BJ34," "&amp;$CR$1876&amp;" "," ")," "&amp;$CR$1874&amp;" "," ")," "&amp;$CR$2438&amp;" "," ")," "&amp;$CR$2439&amp;" "," ")," "&amp;$CR$1871&amp;" "," ")," "&amp;$CR$1875&amp;" "," ")," "&amp;$CR$1877&amp;" "," ")," "&amp;$CR$1872&amp;" "," ")," "&amp;$CR$1870&amp;" "," ")," "&amp;$CR$1367&amp;" "," ")," "&amp;$CR$1878&amp;" "," ")," "&amp;$CR$1366&amp;" "," ")," "&amp;$CR$1873&amp;" "," ")),"")</f>
        <v xml:space="preserve"> huile </v>
      </c>
      <c r="BM34" s="493" t="str">
        <f>IF(34=34,IF($U34="","",IF(SUM(BG34:BI34)+SUMPRODUCT(--ISNUMBER(SEARCH(" "&amp;$CR$2423:$CR$2424&amp;" ",$BJ34)))&gt;0,"X",IF(BK34&gt;0,"?",""))),"")</f>
        <v/>
      </c>
      <c r="BN34" s="493">
        <f>IF(34=34,IF($U34="","",SUMPRODUCT(--ISNUMBER(SEARCH(" "&amp;$CR$1879:$CR$1936&amp;" ",$BO34)))),"")</f>
        <v>0</v>
      </c>
      <c r="BO34" s="493" t="str">
        <f>IF(34=34,IF($U34="","",SUBSTITUTE(SUBSTITUTE(SUBSTITUTE(SUBSTITUTE(SUBSTITUTE(SUBSTITUTE(SUBSTITUTE(SUBSTITUTE(SUBSTITUTE(SUBSTITUTE(SUBSTITUTE(SUBSTITUTE(SUBSTITUTE(SUBSTITUTE(SUBSTITUTE(SUBSTITUTE(SUBSTITUTE(SUBSTITUTE(SUBSTITUTE(SUBSTITUTE(SUBSTITUTE(SUBSTITUTE(SUBSTITUTE($AA34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v>
      </c>
      <c r="BP34" s="493">
        <f>IF(34=34,IF($U34="","",SUMPRODUCT(--ISNUMBER(SEARCH(" "&amp;$CR$1960:$CR$1976&amp;" ",$BO34)))),"")</f>
        <v>0</v>
      </c>
      <c r="BQ34" s="493" t="str">
        <f>IF(34=34,IF($U34="","",IF(BN34&gt;0,"X",IF(BP34&gt;0,"?",""))),"")</f>
        <v/>
      </c>
      <c r="BR34" s="493">
        <f>IF(34=34,IF($U34="","",SUMPRODUCT(--ISNUMBER(SEARCH(" "&amp;$CR$1977:$CR$1990&amp;" ",$AA34)))),"")</f>
        <v>0</v>
      </c>
      <c r="BS34" s="493">
        <f>IF(34=34,IF($U34="","",SUMPRODUCT(--ISNUMBER(SEARCH(" "&amp;$CR$1991:$CR$2005&amp;" ",$AA34)))),"")</f>
        <v>0</v>
      </c>
      <c r="BT34" s="493" t="str">
        <f>IF(34=34,IF($U34="","",IF((BR34)-(0)&gt;0,"X",IF((BS34)-(0)&gt;0,"?",""))),"")</f>
        <v/>
      </c>
      <c r="BU34" s="493">
        <f>IF(34=34,IF($U34="","",SUMPRODUCT(--ISNUMBER(SEARCH(" "&amp;$CR$2006:$CR$2023&amp;" ",$AA34)))),"")</f>
        <v>0</v>
      </c>
      <c r="BV34" s="493">
        <f>IF(34=34,IF($U34="","",SUMPRODUCT(--ISNUMBER(SEARCH(" "&amp;$CR$2024:$CR$2038&amp;" ",$AA34)))),"")</f>
        <v>0</v>
      </c>
      <c r="BW34" s="493" t="str">
        <f>IF(34=34,IF($U34="","",IF((BU34)-(0)&gt;0,"X",IF((BV34)-(0)&gt;0,"?",""))),"")</f>
        <v/>
      </c>
      <c r="BX34" s="493">
        <f>IF(34=34,IF($U34="","",SUMPRODUCT(--ISNUMBER(SEARCH(" "&amp;$CR$2039:$CR$2057&amp;" ",$AA34)))),"")</f>
        <v>0</v>
      </c>
      <c r="BY34" s="493">
        <f>IF(34=34,IF($U34="","",SUMPRODUCT(--ISNUMBER(SEARCH(" "&amp;$CR$2058:$CR$2072&amp;" ",$AA34)))),"")</f>
        <v>0</v>
      </c>
      <c r="BZ34" s="493" t="str">
        <f>IF(34=34,IF($U34="","",IF((BX34)-(0)&gt;0,"X",IF((BY34)-(0)&gt;0,"?",""))),"")</f>
        <v/>
      </c>
      <c r="CA34" s="493">
        <f>IF(34=34,IF($U34="","",SUMPRODUCT(--ISNUMBER(SEARCH(" "&amp;$CR$2073:$CR$2093&amp;" ",$AA34)))),"")</f>
        <v>0</v>
      </c>
      <c r="CB34" s="493">
        <f>IF(34=34,IF($U34="","",SUMPRODUCT(--ISNUMBER(SEARCH(" "&amp;$CR$2094:$CR$2133&amp;" ",SUBSTITUTE(SUBSTITUTE($AA34," "&amp;$CR$1367&amp;" "," ")," "&amp;$CR$1366&amp;" "," "))))+--ISNUMBER(SEARCH("poiré",$V34))),"")</f>
        <v>0</v>
      </c>
      <c r="CC34" s="493" t="str">
        <f>IF(34=34,IF($U34="","",IF(OR(CA34&gt;0,ISNUMBER(SEARCH(" vinaigre de vin ",$AA34)),ISNUMBER(SEARCH(" vinaigre au vin ",$AA34))),"X",IF(CB34&gt;0,"?",""))),"")</f>
        <v/>
      </c>
      <c r="CD34" s="493">
        <f>IF(34=34,IF($U34="","",SUMPRODUCT(--ISNUMBER(SEARCH(" "&amp;$CR$2134:$CR$2146&amp;" ",$AA34)))),"")</f>
        <v>0</v>
      </c>
      <c r="CE34" s="493">
        <f>IF(34=34,IF($U34="","",SUMPRODUCT(--ISNUMBER(SEARCH(" "&amp;$CR$2147:$CR$2152&amp;" ",$AA34)))),"")</f>
        <v>0</v>
      </c>
      <c r="CF34" s="493" t="str">
        <f>IF(34=34,IF($U34="","",IF((CD34)-(0)&gt;0,"X",IF((CE34)-(0)&gt;0,"?",""))),"")</f>
        <v/>
      </c>
      <c r="CG34" s="493">
        <f>IF(34=34,IF($U34="","",SUMPRODUCT(--ISNUMBER(SEARCH(" "&amp;$CR$2153:$CR$2252&amp;" ",$CJ34)))),"")</f>
        <v>0</v>
      </c>
      <c r="CH34" s="493">
        <f>IF(34=34,IF($U34="","",SUMPRODUCT(--ISNUMBER(SEARCH(" "&amp;$CR$2253:$CR$2352&amp;" ",$CJ34)))),"")</f>
        <v>0</v>
      </c>
      <c r="CI34" s="493">
        <f>IF(34=34,IF($U34="","",SUMPRODUCT(--ISNUMBER(SEARCH(" "&amp;$CR$2353:$CR$2395&amp;" ",$CJ34)))),"")</f>
        <v>0</v>
      </c>
      <c r="CJ34" s="493" t="str">
        <f>IF(34=34,IF($U34="","",SUBSTITUTE(SUBSTITUTE(SUBSTITUTE(SUBSTITUTE(SUBSTITUTE(SUBSTITUTE(SUBSTITUTE(SUBSTITUTE(SUBSTITUTE(SUBSTITUTE(SUBSTITUTE(SUBSTITUTE(SUBSTITUTE(SUBSTITUTE(SUBSTITUTE(SUBSTITUTE($AA34," "&amp;$CR$2401&amp;" "," ")," "&amp;$CR$2400&amp;" "," ")," "&amp;$CR$2399&amp;" "," ")," "&amp;$CR$2406&amp;" "," ")," "&amp;$CR$2398&amp;" "," ")," "&amp;$CR$2410&amp;" "," ")," "&amp;$CR$2397&amp;" "," ")," "&amp;$CR$2402&amp;" "," ")," "&amp;$CR$2405&amp;" "," ")," "&amp;$CR$2396&amp;" "," ")," "&amp;$CR$2404&amp;" "," ")," "&amp;$CR$2411&amp;" "," ")," "&amp;$CR$2408&amp;" "," ")," "&amp;$CR$2403&amp;" "," ")," "&amp;$CR$2407&amp;" "," ")," "&amp;$CR$2409&amp;" "," ")),"")</f>
        <v xml:space="preserve"> huile </v>
      </c>
      <c r="CK34" s="493">
        <f>IF(34=34,IF($U34="","",SUMPRODUCT(--ISNUMBER(SEARCH(" "&amp;$CR$2412:$CR$2416&amp;" ",$CJ34)))),"")</f>
        <v>0</v>
      </c>
      <c r="CL34" s="493" t="str">
        <f>IF(34=34,IF($U34="","",IF(SUM(CG34:CI34)&gt;0,"X",IF(CK34&gt;0,"?",""))),"")</f>
        <v/>
      </c>
      <c r="CM34" s="494"/>
      <c r="CN34" s="496" t="s">
        <v>1202</v>
      </c>
      <c r="CO34" s="496" t="s">
        <v>1083</v>
      </c>
      <c r="CP34" s="496" t="s">
        <v>689</v>
      </c>
      <c r="CQ34" s="496" t="s">
        <v>1203</v>
      </c>
      <c r="CR34" s="496" t="s">
        <v>896</v>
      </c>
      <c r="CS34" s="496" t="s">
        <v>1085</v>
      </c>
      <c r="CT34" s="496" t="s">
        <v>1086</v>
      </c>
      <c r="CU34" s="496" t="s">
        <v>1087</v>
      </c>
      <c r="CV34" s="497" t="s">
        <v>1088</v>
      </c>
      <c r="CX34" s="543">
        <v>1</v>
      </c>
    </row>
    <row r="35" spans="1:102" ht="21" customHeight="1">
      <c r="A35" s="509">
        <v>29</v>
      </c>
      <c r="B35" s="510" t="s">
        <v>5873</v>
      </c>
      <c r="C35" s="511" t="str">
        <f t="shared" si="0"/>
        <v>Huile d’olive</v>
      </c>
      <c r="D35" s="512" t="str">
        <f>IF(35=35,IF($B35="","",IF(E35="X",""&amp;"Céréales contenant du gluten","")&amp;IF(F35="X",IF(COUNTIF($E35:$E35,"X")&gt;0,", ","")&amp;"Crustacés","")&amp;IF(G35="X",IF(COUNTIF($E35:$F35,"X")&gt;0,", ","")&amp;"Œufs","")&amp;IF(H35="X",IF(COUNTIF($E35:$G35,"X")&gt;0,", ","")&amp;"Poissons","")&amp;IF(I35="X",IF(COUNTIF($E35:$H35,"X")&gt;0,", ","")&amp;"Arachides","")&amp;IF(J35="X",IF(COUNTIF($E35:$I35,"X")&gt;0,", ","")&amp;"Soja","")&amp;IF(K35="X",IF(COUNTIF($E35:$J35,"X")&gt;0,", ","")&amp;"Lait","")&amp;IF(L35="X",IF(COUNTIF($E35:$K35,"X")&gt;0,", ","")&amp;"Fruits à coque","")&amp;IF(M35="X",IF(COUNTIF($E35:$L35,"X")&gt;0,", ","")&amp;"Céleri","")&amp;IF(N35="X",IF(COUNTIF($E35:$M35,"X")&gt;0,", ","")&amp;"Moutarde","")&amp;IF(O35="X",IF(COUNTIF($E35:$N35,"X")&gt;0,", ","")&amp;"Sésame","")&amp;IF(P35="X",IF(COUNTIF($E35:$O35,"X")&gt;0,", ","")&amp;"Sulfites","")&amp;IF(Q35="X",IF(COUNTIF($E35:$P35,"X")&gt;0,", ","")&amp;"Lupin","")&amp;IF(R35="X",IF(COUNTIF($E35:$Q35,"X")&gt;0,", ","")&amp;"Mollusques","")),"")</f>
        <v/>
      </c>
      <c r="E35" s="513" t="str">
        <f>IF(35=35,IF($B35="","",AF35),"")</f>
        <v/>
      </c>
      <c r="F35" s="513" t="str">
        <f>IF(35=35,IF($B35="","",AI35),"")</f>
        <v/>
      </c>
      <c r="G35" s="513" t="str">
        <f>IF(35=35,IF($B35="","",AM35),"")</f>
        <v/>
      </c>
      <c r="H35" s="513" t="str">
        <f>IF(35=35,IF($B35="","",IF(ISNUMBER(SEARCH(" colin ",$AA35)),"X",AZ35)),"")</f>
        <v/>
      </c>
      <c r="I35" s="513" t="str">
        <f>IF(35=35,IF($B35="","",BB35),"")</f>
        <v/>
      </c>
      <c r="J35" s="513" t="str">
        <f>IF(35=35,IF($B35="","",BF35),"")</f>
        <v/>
      </c>
      <c r="K35" s="513" t="str">
        <f>IF(35=35,IF($B35="","",BM35),"")</f>
        <v/>
      </c>
      <c r="L35" s="513" t="str">
        <f>IF(35=35,IF($B35="","",BQ35),"")</f>
        <v/>
      </c>
      <c r="M35" s="513" t="str">
        <f>IF(35=35,IF($B35="","",BT35),"")</f>
        <v/>
      </c>
      <c r="N35" s="513" t="str">
        <f>IF(35=35,IF($B35="","",BW35),"")</f>
        <v/>
      </c>
      <c r="O35" s="513" t="str">
        <f>IF(35=35,IF($B35="","",BZ35),"")</f>
        <v/>
      </c>
      <c r="P35" s="513" t="str">
        <f>IF(35=35,IF($B35="","",CC35),"")</f>
        <v/>
      </c>
      <c r="Q35" s="513" t="str">
        <f>IF(35=35,IF($B35="","",CF35),"")</f>
        <v/>
      </c>
      <c r="R35" s="513" t="str">
        <f>IF(35=35,IF($B35="","",CL35),"")</f>
        <v/>
      </c>
      <c r="S35" s="514" t="str">
        <f>IF(35=35,IF($B35="","",IF(E35="?",""&amp;"Céréales contenant du gluten","")&amp;IF(F35="?",IF(COUNTIF($E35:$E35,"~?")&gt;0,", ","")&amp;"Crustacés","")&amp;IF(G35="?",IF(COUNTIF($E35:$F35,"~?")&gt;0,", ","")&amp;"Œufs","")&amp;IF(H35="?",IF(COUNTIF($E35:$G35,"~?")&gt;0,", ","")&amp;"Poissons","")&amp;IF(I35="?",IF(COUNTIF($E35:$H35,"~?")&gt;0,", ","")&amp;"Arachides","")&amp;IF(J35="?",IF(COUNTIF($E35:$I35,"~?")&gt;0,", ","")&amp;"Soja","")&amp;IF(K35="?",IF(COUNTIF($E35:$J35,"~?")&gt;0,", ","")&amp;"Lait","")&amp;IF(L35="?",IF(COUNTIF($E35:$K35,"~?")&gt;0,", ","")&amp;"Fruits à coque","")&amp;IF(M35="?",IF(COUNTIF($E35:$L35,"~?")&gt;0,", ","")&amp;"Céleri","")&amp;IF(N35="?",IF(COUNTIF($E35:$M35,"~?")&gt;0,", ","")&amp;"Moutarde","")&amp;IF(O35="?",IF(COUNTIF($E35:$N35,"~?")&gt;0,", ","")&amp;"Sésame","")&amp;IF(P35="?",IF(COUNTIF($E35:$O35,"~?")&gt;0,", ","")&amp;"Sulfites","")&amp;IF(Q35="?",IF(COUNTIF($E35:$P35,"~?")&gt;0,", ","")&amp;"Lupin","")&amp;IF(R35="?",IF(COUNTIF($E35:$Q35,"~?")&gt;0,", ","")&amp;"Mollusques","")),"")</f>
        <v/>
      </c>
      <c r="U35" s="493" t="str">
        <f>IF(35=35,IF($B35="","",$B35),"")</f>
        <v>Huile d’olive</v>
      </c>
      <c r="V35" s="493" t="str">
        <f>IF(35=35,LOWER(CLEAN(SUBSTITUTE(SUBSTITUTE(SUBSTITUTE(SUBSTITUTE($U35,CHAR(160)," ")," "," "),CHAR(10)," "),CHAR(13)," "))),"")</f>
        <v>huile d’olive</v>
      </c>
      <c r="W35" s="493" t="str">
        <f>IF(35=35,SUBSTITUTE(SUBSTITUTE(SUBSTITUTE(SUBSTITUTE(SUBSTITUTE(SUBSTITUTE(SUBSTITUTE(SUBSTITUTE(SUBSTITUTE(SUBSTITUTE(SUBSTITUTE(SUBSTITUTE($V35,"œ","oe"),"æ","ae"),"à","a"),"á","a"),"â","a"),"ä","a"),"ã","a"),"ç","c"),"è","e"),"é","e"),"ê","e"),"ë","e"),"")</f>
        <v>huile d’olive</v>
      </c>
      <c r="X35" s="493" t="str">
        <f>IF(35=35,SUBSTITUTE(SUBSTITUTE(SUBSTITUTE(SUBSTITUTE(SUBSTITUTE(SUBSTITUTE(SUBSTITUTE(SUBSTITUTE(SUBSTITUTE(SUBSTITUTE(SUBSTITUTE(SUBSTITUTE(SUBSTITUTE(SUBSTITUTE(SUBSTITUTE(SUBSTITUTE($W35,"ì","i"),"í","i"),"î","i"),"ï","i"),"ñ","n"),"ò","o"),"ó","o"),"ô","o"),"ö","o"),"õ","o"),"ù","u"),"ú","u"),"û","u"),"ü","u"),"ý","y"),"ÿ","y"),"")</f>
        <v>huile d’olive</v>
      </c>
      <c r="Y35" s="493" t="str">
        <f>IF(35=35,SUBSTITUTE(SUBSTITUTE(SUBSTITUTE(SUBSTITUTE(SUBSTITUTE(SUBSTITUTE(SUBSTITUTE(SUBSTITUTE(SUBSTITUTE(SUBSTITUTE(SUBSTITUTE(SUBSTITUTE(SUBSTITUTE(SUBSTITUTE($X35,"’"," "),"`"," "),"–"," "),"—"," "),"-"," "),"'"," "),"/"," "),"_"," "),","," "),"."," "),"("," "),")"," "),";"," "),":"," "),"")</f>
        <v>huile d olive</v>
      </c>
      <c r="Z35" s="493" t="str">
        <f>IF(35=35,SUBSTITUTE(SUBSTITUTE(SUBSTITUTE(SUBSTITUTE(SUBSTITUTE(SUBSTITUTE(SUBSTITUTE(SUBSTITUTE(SUBSTITUTE(SUBSTITUTE(SUBSTITUTE(SUBSTITUTE(SUBSTITUTE(SUBSTITUTE(SUBSTITUTE($Y35,"!"," "),"?"," "),"+"," "),"*"," "),"&amp;"," "),"["," "),"]"," "),"{"," "),"}"," "),"%"," "),"="," "),"\"," "),"|"," "),"&lt;"," "),"&gt;"," "),"")</f>
        <v>huile d olive</v>
      </c>
      <c r="AA35" s="493" t="str">
        <f>IF(35=35," "&amp;TRIM(SUBSTITUTE(SUBSTITUTE(SUBSTITUTE(SUBSTITUTE(SUBSTITUTE(SUBSTITUTE($Z35,CHAR(34)," "),"  "," "),"  "," "),"  "," "),"  "," "),"  "," "))&amp;" ","")</f>
        <v xml:space="preserve"> huile d olive </v>
      </c>
      <c r="AB35" s="493">
        <f>IF(35=35,IF($U35="","",SUMPRODUCT(--ISNUMBER(SEARCH(" "&amp;$CR$2:$CR$101&amp;" ",$AD35)))),"")</f>
        <v>0</v>
      </c>
      <c r="AC35" s="493">
        <f>IF(35=35,IF($U35="","",SUMPRODUCT(--ISNUMBER(SEARCH(" "&amp;$CR$102:$CR$151&amp;" ",$AD35)))),"")</f>
        <v>0</v>
      </c>
      <c r="AD35" s="493" t="str">
        <f t="shared" si="1"/>
        <v xml:space="preserve"> huile d olive </v>
      </c>
      <c r="AE35" s="493">
        <f t="shared" si="2"/>
        <v>0</v>
      </c>
      <c r="AF35" s="493" t="str">
        <f>IF(35=35,IF($U35="","",IF(SUM(AB35:AC35)+SUMPRODUCT(--ISNUMBER(SEARCH(" "&amp;$CR$2418:$CR$2420&amp;" ",$AD35)))&gt;0,"X",IF(AE35&gt;0,"?",""))),"")</f>
        <v/>
      </c>
      <c r="AG35" s="493">
        <f>IF(35=35,IF($U35="","",SUMPRODUCT(--ISNUMBER(SEARCH(" "&amp;$CR$206:$CR$305&amp;" ",$AA35)))),"")</f>
        <v>0</v>
      </c>
      <c r="AH35" s="493">
        <f>IF(35=35,IF($U35="","",SUMPRODUCT(--ISNUMBER(SEARCH(" "&amp;$CR$306:$CR$340&amp;" ",$AA35)))),"")</f>
        <v>0</v>
      </c>
      <c r="AI35" s="493" t="str">
        <f>IF(35=35,IF($U35="","",IF((SUM(AG35:AH35))-(0)&gt;0,"X",IF((0)-(0)&gt;0,"?",""))),"")</f>
        <v/>
      </c>
      <c r="AJ35" s="493">
        <f>IF(35=35,IF($U35="","",SUMPRODUCT(--ISNUMBER(SEARCH(" "&amp;$CR$341:$CR$398&amp;" ",$AA35)))),"")</f>
        <v>0</v>
      </c>
      <c r="AK35" s="493">
        <f>IF(35=35,IF($U35="","",SUMPRODUCT(--ISNUMBER(SEARCH(" "&amp;$CR$399:$CR$426&amp;" ",$AL35)))+SUMPRODUCT(--ISNUMBER(SEARCH(" "&amp;$CR$2440:$CR$2453&amp;" ",$AL35)))),"")</f>
        <v>0</v>
      </c>
      <c r="AL35" s="493" t="str">
        <f>IF(35=35,IF($U35="","",SUBSTITUTE(SUBSTITUTE(SUBSTITUTE(SUBSTITUTE(SUBSTITUTE(SUBSTITUTE(SUBSTITUTE(SUBSTITUTE(SUBSTITUTE(SUBSTITUTE(SUBSTITUTE(SUBSTITUTE(SUBSTITUTE(SUBSTITUTE($AA35," "&amp;$CR$2455&amp;" "," ")," "&amp;$CR$433&amp;" "," ")," "&amp;$CR$431&amp;" "," ")," "&amp;$CR$2438&amp;" "," ")," "&amp;$CR$2439&amp;" "," ")," "&amp;$CR$428&amp;" "," ")," "&amp;$CR$432&amp;" "," ")," "&amp;$CR$434&amp;" "," ")," "&amp;$CR$429&amp;" "," ")," "&amp;$CR$427&amp;" "," ")," "&amp;$CR$1367&amp;" "," ")," "&amp;$CR$435&amp;" "," ")," "&amp;$CR$1366&amp;" "," ")," "&amp;$CR$430&amp;" "," ")),"")</f>
        <v xml:space="preserve"> huile d olive </v>
      </c>
      <c r="AM35" s="493" t="str">
        <f>IF(35=35,IF($U35="","",IF(AJ35&gt;0,"X",IF(AK35&gt;0,"?",""))),"")</f>
        <v/>
      </c>
      <c r="AN35" s="493">
        <f>IF(35=35,IF($U35="","",SUMPRODUCT(--ISNUMBER(SEARCH(" "&amp;$CR$436:$CR$535&amp;" ",$AX35)))),"")</f>
        <v>0</v>
      </c>
      <c r="AO35" s="493">
        <f>IF(35=35,IF($U35="","",SUMPRODUCT(--ISNUMBER(SEARCH(" "&amp;$CR$536:$CR$635&amp;" ",$AX35)))),"")</f>
        <v>0</v>
      </c>
      <c r="AP35" s="493">
        <f>IF(35=35,IF($U35="","",SUMPRODUCT(--ISNUMBER(SEARCH(" "&amp;$CR$636:$CR$735&amp;" ",$AX35)))),"")</f>
        <v>0</v>
      </c>
      <c r="AQ35" s="493">
        <f>IF(35=35,IF($U35="","",SUMPRODUCT(--ISNUMBER(SEARCH(" "&amp;$CR$736:$CR$835&amp;" ",$AX35)))),"")</f>
        <v>0</v>
      </c>
      <c r="AR35" s="493">
        <f>IF(35=35,IF($U35="","",SUMPRODUCT(--ISNUMBER(SEARCH(" "&amp;$CR$836:$CR$935&amp;" ",$AX35)))),"")</f>
        <v>0</v>
      </c>
      <c r="AS35" s="493">
        <f>IF(35=35,IF($U35="","",SUMPRODUCT(--ISNUMBER(SEARCH(" "&amp;$CR$936:$CR$1035&amp;" ",$AX35)))),"")</f>
        <v>0</v>
      </c>
      <c r="AT35" s="493">
        <f>IF(35=35,IF($U35="","",SUMPRODUCT(--ISNUMBER(SEARCH(" "&amp;$CR$1036:$CR$1135&amp;" ",$AX35)))),"")</f>
        <v>0</v>
      </c>
      <c r="AU35" s="493">
        <f>IF(35=35,IF($U35="","",SUMPRODUCT(--ISNUMBER(SEARCH(" "&amp;$CR$1136:$CR$1235&amp;" ",$AX35)))),"")</f>
        <v>0</v>
      </c>
      <c r="AV35" s="493">
        <f>IF(35=35,IF($U35="","",SUMPRODUCT(--ISNUMBER(SEARCH(" "&amp;$CR$1236:$CR$1335&amp;" ",$AX35)))),"")</f>
        <v>0</v>
      </c>
      <c r="AW35" s="493">
        <f>IF(35=35,IF($U35="","",SUMPRODUCT(--ISNUMBER(SEARCH(" "&amp;$CR$1336:$CR$1363&amp;" ",$AX35)))),"")</f>
        <v>0</v>
      </c>
      <c r="AX35" s="493" t="str">
        <f>IF(35=35,IF($U35="","",SUBSTITUTE(SUBSTITUTE(SUBSTITUTE(SUBSTITUTE(SUBSTITUTE(SUBSTITUTE(SUBSTITUTE(SUBSTITUTE(SUBSTITUTE($AA35," "&amp;$CR$1365&amp;" "," ")," "&amp;$CR$1364&amp;" "," ")," "&amp;$CR$1370&amp;" "," ")," "&amp;$CR$1371&amp;" "," ")," "&amp;$CR$1367&amp;" "," ")," "&amp;$CR$1369&amp;" "," ")," "&amp;$CR$1366&amp;" "," ")," "&amp;$CR$1368&amp;" "," ")," "&amp;$CR$1372&amp;" "," ")),"")</f>
        <v xml:space="preserve"> huile d olive </v>
      </c>
      <c r="AY35" s="493">
        <f>IF(35=35,IF($U35="","",SUMPRODUCT(--ISNUMBER(SEARCH(" "&amp;$CR$1373:$CR$1383&amp;" ",$AX35)))),"")</f>
        <v>0</v>
      </c>
      <c r="AZ35" s="493" t="str">
        <f>IF(35=35,IF($U35="","",IF(SUM(AN35:AW35)+SUMPRODUCT(--ISNUMBER(SEARCH(" "&amp;$CR$2421:$CR$2422&amp;" ",$AX35)))&gt;0,"X",IF(AY35&gt;0,"?",""))),"")</f>
        <v/>
      </c>
      <c r="BA35" s="493">
        <f>IF(35=35,IF($U35="","",SUMPRODUCT(--ISNUMBER(SEARCH(" "&amp;$CR$1384:$CR$1404&amp;" ",$AA35)))),"")</f>
        <v>0</v>
      </c>
      <c r="BB35" s="493" t="str">
        <f>IF(35=35,IF($U35="","",IF((BA35)-(0)&gt;0,"X",IF((0)-(0)&gt;0,"?",""))),"")</f>
        <v/>
      </c>
      <c r="BC35" s="493">
        <f>IF(35=35,IF($U35="","",SUMPRODUCT(--ISNUMBER(SEARCH(" "&amp;$CR$1405:$CR$1442&amp;" ",$BD35)))),"")</f>
        <v>0</v>
      </c>
      <c r="BD35" s="493" t="str">
        <f>IF(35=35,IF($U35="","",SUBSTITUTE(SUBSTITUTE($AA35," "&amp;$CR$1443&amp;" "," ")," "&amp;$CR$1444&amp;" "," ")),"")</f>
        <v xml:space="preserve"> huile d olive </v>
      </c>
      <c r="BE35" s="493">
        <f>IF(35=35,IF($U35="","",SUMPRODUCT(--ISNUMBER(SEARCH(" "&amp;$CR$1445:$CR$1455&amp;" ",$BD35)))),"")</f>
        <v>0</v>
      </c>
      <c r="BF35" s="493" t="str">
        <f>IF(35=35,IF($U35="","",IF(BC35&gt;0,"X",IF(BE35&gt;0,"?",""))),"")</f>
        <v/>
      </c>
      <c r="BG35" s="493">
        <f>IF(35=35,IF($U35="","",SUMPRODUCT(--ISNUMBER(SEARCH(" "&amp;$CR$1456:$CR$1555&amp;" ",$BJ35)))),"")</f>
        <v>0</v>
      </c>
      <c r="BH35" s="493">
        <f>IF(35=35,IF($U35="","",SUMPRODUCT(--ISNUMBER(SEARCH(" "&amp;$CR$1556:$CR$1655&amp;" ",$BJ35)))),"")</f>
        <v>0</v>
      </c>
      <c r="BI35" s="493">
        <f>IF(35=35,IF($U35="","",SUMPRODUCT(--ISNUMBER(SEARCH(" "&amp;$CR$1656:$CR$1739&amp;" ",$BJ35)))),"")</f>
        <v>0</v>
      </c>
      <c r="BJ35" s="493" t="str">
        <f>IF(35=35,IF($U35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d olive </v>
      </c>
      <c r="BK35" s="493">
        <f>IF(35=35,IF($U35="","",SUMPRODUCT(--ISNUMBER(SEARCH(" "&amp;$CR$1790:$CR$1869&amp;" ",$BL35)))+SUMPRODUCT(--ISNUMBER(SEARCH(" "&amp;$CR$2440:$CR$2453&amp;" ",$BL35)))),"")</f>
        <v>0</v>
      </c>
      <c r="BL35" s="493" t="str">
        <f>IF(35=35,IF($U35="","",SUBSTITUTE(SUBSTITUTE(SUBSTITUTE(SUBSTITUTE(SUBSTITUTE(SUBSTITUTE(SUBSTITUTE(SUBSTITUTE(SUBSTITUTE(SUBSTITUTE(SUBSTITUTE(SUBSTITUTE(SUBSTITUTE($BJ35," "&amp;$CR$1876&amp;" "," ")," "&amp;$CR$1874&amp;" "," ")," "&amp;$CR$2438&amp;" "," ")," "&amp;$CR$2439&amp;" "," ")," "&amp;$CR$1871&amp;" "," ")," "&amp;$CR$1875&amp;" "," ")," "&amp;$CR$1877&amp;" "," ")," "&amp;$CR$1872&amp;" "," ")," "&amp;$CR$1870&amp;" "," ")," "&amp;$CR$1367&amp;" "," ")," "&amp;$CR$1878&amp;" "," ")," "&amp;$CR$1366&amp;" "," ")," "&amp;$CR$1873&amp;" "," ")),"")</f>
        <v xml:space="preserve"> huile d olive </v>
      </c>
      <c r="BM35" s="493" t="str">
        <f>IF(35=35,IF($U35="","",IF(SUM(BG35:BI35)+SUMPRODUCT(--ISNUMBER(SEARCH(" "&amp;$CR$2423:$CR$2424&amp;" ",$BJ35)))&gt;0,"X",IF(BK35&gt;0,"?",""))),"")</f>
        <v/>
      </c>
      <c r="BN35" s="493">
        <f>IF(35=35,IF($U35="","",SUMPRODUCT(--ISNUMBER(SEARCH(" "&amp;$CR$1879:$CR$1936&amp;" ",$BO35)))),"")</f>
        <v>0</v>
      </c>
      <c r="BO35" s="493" t="str">
        <f>IF(35=35,IF($U35="","",SUBSTITUTE(SUBSTITUTE(SUBSTITUTE(SUBSTITUTE(SUBSTITUTE(SUBSTITUTE(SUBSTITUTE(SUBSTITUTE(SUBSTITUTE(SUBSTITUTE(SUBSTITUTE(SUBSTITUTE(SUBSTITUTE(SUBSTITUTE(SUBSTITUTE(SUBSTITUTE(SUBSTITUTE(SUBSTITUTE(SUBSTITUTE(SUBSTITUTE(SUBSTITUTE(SUBSTITUTE(SUBSTITUTE($AA35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d olive </v>
      </c>
      <c r="BP35" s="493">
        <f>IF(35=35,IF($U35="","",SUMPRODUCT(--ISNUMBER(SEARCH(" "&amp;$CR$1960:$CR$1976&amp;" ",$BO35)))),"")</f>
        <v>0</v>
      </c>
      <c r="BQ35" s="493" t="str">
        <f>IF(35=35,IF($U35="","",IF(BN35&gt;0,"X",IF(BP35&gt;0,"?",""))),"")</f>
        <v/>
      </c>
      <c r="BR35" s="493">
        <f>IF(35=35,IF($U35="","",SUMPRODUCT(--ISNUMBER(SEARCH(" "&amp;$CR$1977:$CR$1990&amp;" ",$AA35)))),"")</f>
        <v>0</v>
      </c>
      <c r="BS35" s="493">
        <f>IF(35=35,IF($U35="","",SUMPRODUCT(--ISNUMBER(SEARCH(" "&amp;$CR$1991:$CR$2005&amp;" ",$AA35)))),"")</f>
        <v>0</v>
      </c>
      <c r="BT35" s="493" t="str">
        <f>IF(35=35,IF($U35="","",IF((BR35)-(0)&gt;0,"X",IF((BS35)-(0)&gt;0,"?",""))),"")</f>
        <v/>
      </c>
      <c r="BU35" s="493">
        <f>IF(35=35,IF($U35="","",SUMPRODUCT(--ISNUMBER(SEARCH(" "&amp;$CR$2006:$CR$2023&amp;" ",$AA35)))),"")</f>
        <v>0</v>
      </c>
      <c r="BV35" s="493">
        <f>IF(35=35,IF($U35="","",SUMPRODUCT(--ISNUMBER(SEARCH(" "&amp;$CR$2024:$CR$2038&amp;" ",$AA35)))),"")</f>
        <v>0</v>
      </c>
      <c r="BW35" s="493" t="str">
        <f>IF(35=35,IF($U35="","",IF((BU35)-(0)&gt;0,"X",IF((BV35)-(0)&gt;0,"?",""))),"")</f>
        <v/>
      </c>
      <c r="BX35" s="493">
        <f>IF(35=35,IF($U35="","",SUMPRODUCT(--ISNUMBER(SEARCH(" "&amp;$CR$2039:$CR$2057&amp;" ",$AA35)))),"")</f>
        <v>0</v>
      </c>
      <c r="BY35" s="493">
        <f>IF(35=35,IF($U35="","",SUMPRODUCT(--ISNUMBER(SEARCH(" "&amp;$CR$2058:$CR$2072&amp;" ",$AA35)))),"")</f>
        <v>0</v>
      </c>
      <c r="BZ35" s="493" t="str">
        <f>IF(35=35,IF($U35="","",IF((BX35)-(0)&gt;0,"X",IF((BY35)-(0)&gt;0,"?",""))),"")</f>
        <v/>
      </c>
      <c r="CA35" s="493">
        <f>IF(35=35,IF($U35="","",SUMPRODUCT(--ISNUMBER(SEARCH(" "&amp;$CR$2073:$CR$2093&amp;" ",$AA35)))),"")</f>
        <v>0</v>
      </c>
      <c r="CB35" s="493">
        <f>IF(35=35,IF($U35="","",SUMPRODUCT(--ISNUMBER(SEARCH(" "&amp;$CR$2094:$CR$2133&amp;" ",SUBSTITUTE(SUBSTITUTE($AA35," "&amp;$CR$1367&amp;" "," ")," "&amp;$CR$1366&amp;" "," "))))+--ISNUMBER(SEARCH("poiré",$V35))),"")</f>
        <v>0</v>
      </c>
      <c r="CC35" s="493" t="str">
        <f>IF(35=35,IF($U35="","",IF(OR(CA35&gt;0,ISNUMBER(SEARCH(" vinaigre de vin ",$AA35)),ISNUMBER(SEARCH(" vinaigre au vin ",$AA35))),"X",IF(CB35&gt;0,"?",""))),"")</f>
        <v/>
      </c>
      <c r="CD35" s="493">
        <f>IF(35=35,IF($U35="","",SUMPRODUCT(--ISNUMBER(SEARCH(" "&amp;$CR$2134:$CR$2146&amp;" ",$AA35)))),"")</f>
        <v>0</v>
      </c>
      <c r="CE35" s="493">
        <f>IF(35=35,IF($U35="","",SUMPRODUCT(--ISNUMBER(SEARCH(" "&amp;$CR$2147:$CR$2152&amp;" ",$AA35)))),"")</f>
        <v>0</v>
      </c>
      <c r="CF35" s="493" t="str">
        <f>IF(35=35,IF($U35="","",IF((CD35)-(0)&gt;0,"X",IF((CE35)-(0)&gt;0,"?",""))),"")</f>
        <v/>
      </c>
      <c r="CG35" s="493">
        <f>IF(35=35,IF($U35="","",SUMPRODUCT(--ISNUMBER(SEARCH(" "&amp;$CR$2153:$CR$2252&amp;" ",$CJ35)))),"")</f>
        <v>0</v>
      </c>
      <c r="CH35" s="493">
        <f>IF(35=35,IF($U35="","",SUMPRODUCT(--ISNUMBER(SEARCH(" "&amp;$CR$2253:$CR$2352&amp;" ",$CJ35)))),"")</f>
        <v>0</v>
      </c>
      <c r="CI35" s="493">
        <f>IF(35=35,IF($U35="","",SUMPRODUCT(--ISNUMBER(SEARCH(" "&amp;$CR$2353:$CR$2395&amp;" ",$CJ35)))),"")</f>
        <v>0</v>
      </c>
      <c r="CJ35" s="493" t="str">
        <f>IF(35=35,IF($U35="","",SUBSTITUTE(SUBSTITUTE(SUBSTITUTE(SUBSTITUTE(SUBSTITUTE(SUBSTITUTE(SUBSTITUTE(SUBSTITUTE(SUBSTITUTE(SUBSTITUTE(SUBSTITUTE(SUBSTITUTE(SUBSTITUTE(SUBSTITUTE(SUBSTITUTE(SUBSTITUTE($AA35," "&amp;$CR$2401&amp;" "," ")," "&amp;$CR$2400&amp;" "," ")," "&amp;$CR$2399&amp;" "," ")," "&amp;$CR$2406&amp;" "," ")," "&amp;$CR$2398&amp;" "," ")," "&amp;$CR$2410&amp;" "," ")," "&amp;$CR$2397&amp;" "," ")," "&amp;$CR$2402&amp;" "," ")," "&amp;$CR$2405&amp;" "," ")," "&amp;$CR$2396&amp;" "," ")," "&amp;$CR$2404&amp;" "," ")," "&amp;$CR$2411&amp;" "," ")," "&amp;$CR$2408&amp;" "," ")," "&amp;$CR$2403&amp;" "," ")," "&amp;$CR$2407&amp;" "," ")," "&amp;$CR$2409&amp;" "," ")),"")</f>
        <v xml:space="preserve"> huile d olive </v>
      </c>
      <c r="CK35" s="493">
        <f>IF(35=35,IF($U35="","",SUMPRODUCT(--ISNUMBER(SEARCH(" "&amp;$CR$2412:$CR$2416&amp;" ",$CJ35)))),"")</f>
        <v>0</v>
      </c>
      <c r="CL35" s="493" t="str">
        <f>IF(35=35,IF($U35="","",IF(SUM(CG35:CI35)&gt;0,"X",IF(CK35&gt;0,"?",""))),"")</f>
        <v/>
      </c>
      <c r="CM35" s="494"/>
      <c r="CN35" s="496" t="s">
        <v>1204</v>
      </c>
      <c r="CO35" s="496" t="s">
        <v>1083</v>
      </c>
      <c r="CP35" s="496" t="s">
        <v>689</v>
      </c>
      <c r="CQ35" s="496" t="s">
        <v>897</v>
      </c>
      <c r="CR35" s="496" t="s">
        <v>897</v>
      </c>
      <c r="CS35" s="496" t="s">
        <v>1085</v>
      </c>
      <c r="CT35" s="496" t="s">
        <v>1086</v>
      </c>
      <c r="CU35" s="496" t="s">
        <v>1087</v>
      </c>
      <c r="CV35" s="497" t="s">
        <v>1088</v>
      </c>
      <c r="CX35" s="543">
        <v>1</v>
      </c>
    </row>
    <row r="36" spans="1:102" ht="21" customHeight="1">
      <c r="A36" s="509">
        <v>30</v>
      </c>
      <c r="B36" s="510" t="s">
        <v>5874</v>
      </c>
      <c r="C36" s="511" t="str">
        <f t="shared" si="0"/>
        <v>Jaune d’œuf pasteurisé *</v>
      </c>
      <c r="D36" s="512" t="str">
        <f>IF(36=36,IF($B36="","",IF(E36="X",""&amp;"Céréales contenant du gluten","")&amp;IF(F36="X",IF(COUNTIF($E36:$E36,"X")&gt;0,", ","")&amp;"Crustacés","")&amp;IF(G36="X",IF(COUNTIF($E36:$F36,"X")&gt;0,", ","")&amp;"Œufs","")&amp;IF(H36="X",IF(COUNTIF($E36:$G36,"X")&gt;0,", ","")&amp;"Poissons","")&amp;IF(I36="X",IF(COUNTIF($E36:$H36,"X")&gt;0,", ","")&amp;"Arachides","")&amp;IF(J36="X",IF(COUNTIF($E36:$I36,"X")&gt;0,", ","")&amp;"Soja","")&amp;IF(K36="X",IF(COUNTIF($E36:$J36,"X")&gt;0,", ","")&amp;"Lait","")&amp;IF(L36="X",IF(COUNTIF($E36:$K36,"X")&gt;0,", ","")&amp;"Fruits à coque","")&amp;IF(M36="X",IF(COUNTIF($E36:$L36,"X")&gt;0,", ","")&amp;"Céleri","")&amp;IF(N36="X",IF(COUNTIF($E36:$M36,"X")&gt;0,", ","")&amp;"Moutarde","")&amp;IF(O36="X",IF(COUNTIF($E36:$N36,"X")&gt;0,", ","")&amp;"Sésame","")&amp;IF(P36="X",IF(COUNTIF($E36:$O36,"X")&gt;0,", ","")&amp;"Sulfites","")&amp;IF(Q36="X",IF(COUNTIF($E36:$P36,"X")&gt;0,", ","")&amp;"Lupin","")&amp;IF(R36="X",IF(COUNTIF($E36:$Q36,"X")&gt;0,", ","")&amp;"Mollusques","")),"")</f>
        <v>Œufs</v>
      </c>
      <c r="E36" s="513" t="str">
        <f>IF(36=36,IF($B36="","",AF36),"")</f>
        <v/>
      </c>
      <c r="F36" s="513" t="str">
        <f>IF(36=36,IF($B36="","",AI36),"")</f>
        <v/>
      </c>
      <c r="G36" s="513" t="str">
        <f>IF(36=36,IF($B36="","",AM36),"")</f>
        <v>X</v>
      </c>
      <c r="H36" s="513" t="str">
        <f>IF(36=36,IF($B36="","",IF(ISNUMBER(SEARCH(" colin ",$AA36)),"X",AZ36)),"")</f>
        <v/>
      </c>
      <c r="I36" s="513" t="str">
        <f>IF(36=36,IF($B36="","",BB36),"")</f>
        <v/>
      </c>
      <c r="J36" s="513" t="str">
        <f>IF(36=36,IF($B36="","",BF36),"")</f>
        <v/>
      </c>
      <c r="K36" s="513" t="str">
        <f>IF(36=36,IF($B36="","",BM36),"")</f>
        <v/>
      </c>
      <c r="L36" s="513" t="str">
        <f>IF(36=36,IF($B36="","",BQ36),"")</f>
        <v/>
      </c>
      <c r="M36" s="513" t="str">
        <f>IF(36=36,IF($B36="","",BT36),"")</f>
        <v/>
      </c>
      <c r="N36" s="513" t="str">
        <f>IF(36=36,IF($B36="","",BW36),"")</f>
        <v/>
      </c>
      <c r="O36" s="513" t="str">
        <f>IF(36=36,IF($B36="","",BZ36),"")</f>
        <v/>
      </c>
      <c r="P36" s="513" t="str">
        <f>IF(36=36,IF($B36="","",CC36),"")</f>
        <v/>
      </c>
      <c r="Q36" s="513" t="str">
        <f>IF(36=36,IF($B36="","",CF36),"")</f>
        <v/>
      </c>
      <c r="R36" s="513" t="str">
        <f>IF(36=36,IF($B36="","",CL36),"")</f>
        <v/>
      </c>
      <c r="S36" s="514" t="str">
        <f>IF(36=36,IF($B36="","",IF(E36="?",""&amp;"Céréales contenant du gluten","")&amp;IF(F36="?",IF(COUNTIF($E36:$E36,"~?")&gt;0,", ","")&amp;"Crustacés","")&amp;IF(G36="?",IF(COUNTIF($E36:$F36,"~?")&gt;0,", ","")&amp;"Œufs","")&amp;IF(H36="?",IF(COUNTIF($E36:$G36,"~?")&gt;0,", ","")&amp;"Poissons","")&amp;IF(I36="?",IF(COUNTIF($E36:$H36,"~?")&gt;0,", ","")&amp;"Arachides","")&amp;IF(J36="?",IF(COUNTIF($E36:$I36,"~?")&gt;0,", ","")&amp;"Soja","")&amp;IF(K36="?",IF(COUNTIF($E36:$J36,"~?")&gt;0,", ","")&amp;"Lait","")&amp;IF(L36="?",IF(COUNTIF($E36:$K36,"~?")&gt;0,", ","")&amp;"Fruits à coque","")&amp;IF(M36="?",IF(COUNTIF($E36:$L36,"~?")&gt;0,", ","")&amp;"Céleri","")&amp;IF(N36="?",IF(COUNTIF($E36:$M36,"~?")&gt;0,", ","")&amp;"Moutarde","")&amp;IF(O36="?",IF(COUNTIF($E36:$N36,"~?")&gt;0,", ","")&amp;"Sésame","")&amp;IF(P36="?",IF(COUNTIF($E36:$O36,"~?")&gt;0,", ","")&amp;"Sulfites","")&amp;IF(Q36="?",IF(COUNTIF($E36:$P36,"~?")&gt;0,", ","")&amp;"Lupin","")&amp;IF(R36="?",IF(COUNTIF($E36:$Q36,"~?")&gt;0,", ","")&amp;"Mollusques","")),"")</f>
        <v/>
      </c>
      <c r="U36" s="493" t="str">
        <f>IF(36=36,IF($B36="","",$B36),"")</f>
        <v>Jaune d’œuf pasteurisé</v>
      </c>
      <c r="V36" s="493" t="str">
        <f>IF(36=36,LOWER(CLEAN(SUBSTITUTE(SUBSTITUTE(SUBSTITUTE(SUBSTITUTE($U36,CHAR(160)," ")," "," "),CHAR(10)," "),CHAR(13)," "))),"")</f>
        <v>jaune d’œuf pasteurisé</v>
      </c>
      <c r="W36" s="493" t="str">
        <f>IF(36=36,SUBSTITUTE(SUBSTITUTE(SUBSTITUTE(SUBSTITUTE(SUBSTITUTE(SUBSTITUTE(SUBSTITUTE(SUBSTITUTE(SUBSTITUTE(SUBSTITUTE(SUBSTITUTE(SUBSTITUTE($V36,"œ","oe"),"æ","ae"),"à","a"),"á","a"),"â","a"),"ä","a"),"ã","a"),"ç","c"),"è","e"),"é","e"),"ê","e"),"ë","e"),"")</f>
        <v>jaune d’oeuf pasteurise</v>
      </c>
      <c r="X36" s="493" t="str">
        <f>IF(36=36,SUBSTITUTE(SUBSTITUTE(SUBSTITUTE(SUBSTITUTE(SUBSTITUTE(SUBSTITUTE(SUBSTITUTE(SUBSTITUTE(SUBSTITUTE(SUBSTITUTE(SUBSTITUTE(SUBSTITUTE(SUBSTITUTE(SUBSTITUTE(SUBSTITUTE(SUBSTITUTE($W36,"ì","i"),"í","i"),"î","i"),"ï","i"),"ñ","n"),"ò","o"),"ó","o"),"ô","o"),"ö","o"),"õ","o"),"ù","u"),"ú","u"),"û","u"),"ü","u"),"ý","y"),"ÿ","y"),"")</f>
        <v>jaune d’oeuf pasteurise</v>
      </c>
      <c r="Y36" s="493" t="str">
        <f>IF(36=36,SUBSTITUTE(SUBSTITUTE(SUBSTITUTE(SUBSTITUTE(SUBSTITUTE(SUBSTITUTE(SUBSTITUTE(SUBSTITUTE(SUBSTITUTE(SUBSTITUTE(SUBSTITUTE(SUBSTITUTE(SUBSTITUTE(SUBSTITUTE($X36,"’"," "),"`"," "),"–"," "),"—"," "),"-"," "),"'"," "),"/"," "),"_"," "),","," "),"."," "),"("," "),")"," "),";"," "),":"," "),"")</f>
        <v>jaune d oeuf pasteurise</v>
      </c>
      <c r="Z36" s="493" t="str">
        <f>IF(36=36,SUBSTITUTE(SUBSTITUTE(SUBSTITUTE(SUBSTITUTE(SUBSTITUTE(SUBSTITUTE(SUBSTITUTE(SUBSTITUTE(SUBSTITUTE(SUBSTITUTE(SUBSTITUTE(SUBSTITUTE(SUBSTITUTE(SUBSTITUTE(SUBSTITUTE($Y36,"!"," "),"?"," "),"+"," "),"*"," "),"&amp;"," "),"["," "),"]"," "),"{"," "),"}"," "),"%"," "),"="," "),"\"," "),"|"," "),"&lt;"," "),"&gt;"," "),"")</f>
        <v>jaune d oeuf pasteurise</v>
      </c>
      <c r="AA36" s="493" t="str">
        <f>IF(36=36," "&amp;TRIM(SUBSTITUTE(SUBSTITUTE(SUBSTITUTE(SUBSTITUTE(SUBSTITUTE(SUBSTITUTE($Z36,CHAR(34)," "),"  "," "),"  "," "),"  "," "),"  "," "),"  "," "))&amp;" ","")</f>
        <v xml:space="preserve"> jaune d oeuf pasteurise </v>
      </c>
      <c r="AB36" s="493">
        <f>IF(36=36,IF($U36="","",SUMPRODUCT(--ISNUMBER(SEARCH(" "&amp;$CR$2:$CR$101&amp;" ",$AD36)))),"")</f>
        <v>0</v>
      </c>
      <c r="AC36" s="493">
        <f>IF(36=36,IF($U36="","",SUMPRODUCT(--ISNUMBER(SEARCH(" "&amp;$CR$102:$CR$151&amp;" ",$AD36)))),"")</f>
        <v>0</v>
      </c>
      <c r="AD36" s="493" t="str">
        <f t="shared" si="1"/>
        <v xml:space="preserve"> jaune d oeuf pasteurise </v>
      </c>
      <c r="AE36" s="493">
        <f t="shared" si="2"/>
        <v>0</v>
      </c>
      <c r="AF36" s="493" t="str">
        <f>IF(36=36,IF($U36="","",IF(SUM(AB36:AC36)+SUMPRODUCT(--ISNUMBER(SEARCH(" "&amp;$CR$2418:$CR$2420&amp;" ",$AD36)))&gt;0,"X",IF(AE36&gt;0,"?",""))),"")</f>
        <v/>
      </c>
      <c r="AG36" s="493">
        <f>IF(36=36,IF($U36="","",SUMPRODUCT(--ISNUMBER(SEARCH(" "&amp;$CR$206:$CR$305&amp;" ",$AA36)))),"")</f>
        <v>0</v>
      </c>
      <c r="AH36" s="493">
        <f>IF(36=36,IF($U36="","",SUMPRODUCT(--ISNUMBER(SEARCH(" "&amp;$CR$306:$CR$340&amp;" ",$AA36)))),"")</f>
        <v>0</v>
      </c>
      <c r="AI36" s="493" t="str">
        <f>IF(36=36,IF($U36="","",IF((SUM(AG36:AH36))-(0)&gt;0,"X",IF((0)-(0)&gt;0,"?",""))),"")</f>
        <v/>
      </c>
      <c r="AJ36" s="493">
        <f>IF(36=36,IF($U36="","",SUMPRODUCT(--ISNUMBER(SEARCH(" "&amp;$CR$341:$CR$398&amp;" ",$AA36)))),"")</f>
        <v>2</v>
      </c>
      <c r="AK36" s="493">
        <f>IF(36=36,IF($U36="","",SUMPRODUCT(--ISNUMBER(SEARCH(" "&amp;$CR$399:$CR$426&amp;" ",$AL36)))+SUMPRODUCT(--ISNUMBER(SEARCH(" "&amp;$CR$2440:$CR$2453&amp;" ",$AL36)))),"")</f>
        <v>0</v>
      </c>
      <c r="AL36" s="493" t="str">
        <f>IF(36=36,IF($U36="","",SUBSTITUTE(SUBSTITUTE(SUBSTITUTE(SUBSTITUTE(SUBSTITUTE(SUBSTITUTE(SUBSTITUTE(SUBSTITUTE(SUBSTITUTE(SUBSTITUTE(SUBSTITUTE(SUBSTITUTE(SUBSTITUTE(SUBSTITUTE($AA36," "&amp;$CR$2455&amp;" "," ")," "&amp;$CR$433&amp;" "," ")," "&amp;$CR$431&amp;" "," ")," "&amp;$CR$2438&amp;" "," ")," "&amp;$CR$2439&amp;" "," ")," "&amp;$CR$428&amp;" "," ")," "&amp;$CR$432&amp;" "," ")," "&amp;$CR$434&amp;" "," ")," "&amp;$CR$429&amp;" "," ")," "&amp;$CR$427&amp;" "," ")," "&amp;$CR$1367&amp;" "," ")," "&amp;$CR$435&amp;" "," ")," "&amp;$CR$1366&amp;" "," ")," "&amp;$CR$430&amp;" "," ")),"")</f>
        <v xml:space="preserve"> jaune d oeuf pasteurise </v>
      </c>
      <c r="AM36" s="493" t="str">
        <f>IF(36=36,IF($U36="","",IF(AJ36&gt;0,"X",IF(AK36&gt;0,"?",""))),"")</f>
        <v>X</v>
      </c>
      <c r="AN36" s="493">
        <f>IF(36=36,IF($U36="","",SUMPRODUCT(--ISNUMBER(SEARCH(" "&amp;$CR$436:$CR$535&amp;" ",$AX36)))),"")</f>
        <v>0</v>
      </c>
      <c r="AO36" s="493">
        <f>IF(36=36,IF($U36="","",SUMPRODUCT(--ISNUMBER(SEARCH(" "&amp;$CR$536:$CR$635&amp;" ",$AX36)))),"")</f>
        <v>0</v>
      </c>
      <c r="AP36" s="493">
        <f>IF(36=36,IF($U36="","",SUMPRODUCT(--ISNUMBER(SEARCH(" "&amp;$CR$636:$CR$735&amp;" ",$AX36)))),"")</f>
        <v>0</v>
      </c>
      <c r="AQ36" s="493">
        <f>IF(36=36,IF($U36="","",SUMPRODUCT(--ISNUMBER(SEARCH(" "&amp;$CR$736:$CR$835&amp;" ",$AX36)))),"")</f>
        <v>0</v>
      </c>
      <c r="AR36" s="493">
        <f>IF(36=36,IF($U36="","",SUMPRODUCT(--ISNUMBER(SEARCH(" "&amp;$CR$836:$CR$935&amp;" ",$AX36)))),"")</f>
        <v>0</v>
      </c>
      <c r="AS36" s="493">
        <f>IF(36=36,IF($U36="","",SUMPRODUCT(--ISNUMBER(SEARCH(" "&amp;$CR$936:$CR$1035&amp;" ",$AX36)))),"")</f>
        <v>0</v>
      </c>
      <c r="AT36" s="493">
        <f>IF(36=36,IF($U36="","",SUMPRODUCT(--ISNUMBER(SEARCH(" "&amp;$CR$1036:$CR$1135&amp;" ",$AX36)))),"")</f>
        <v>0</v>
      </c>
      <c r="AU36" s="493">
        <f>IF(36=36,IF($U36="","",SUMPRODUCT(--ISNUMBER(SEARCH(" "&amp;$CR$1136:$CR$1235&amp;" ",$AX36)))),"")</f>
        <v>0</v>
      </c>
      <c r="AV36" s="493">
        <f>IF(36=36,IF($U36="","",SUMPRODUCT(--ISNUMBER(SEARCH(" "&amp;$CR$1236:$CR$1335&amp;" ",$AX36)))),"")</f>
        <v>0</v>
      </c>
      <c r="AW36" s="493">
        <f>IF(36=36,IF($U36="","",SUMPRODUCT(--ISNUMBER(SEARCH(" "&amp;$CR$1336:$CR$1363&amp;" ",$AX36)))),"")</f>
        <v>0</v>
      </c>
      <c r="AX36" s="493" t="str">
        <f>IF(36=36,IF($U36="","",SUBSTITUTE(SUBSTITUTE(SUBSTITUTE(SUBSTITUTE(SUBSTITUTE(SUBSTITUTE(SUBSTITUTE(SUBSTITUTE(SUBSTITUTE($AA36," "&amp;$CR$1365&amp;" "," ")," "&amp;$CR$1364&amp;" "," ")," "&amp;$CR$1370&amp;" "," ")," "&amp;$CR$1371&amp;" "," ")," "&amp;$CR$1367&amp;" "," ")," "&amp;$CR$1369&amp;" "," ")," "&amp;$CR$1366&amp;" "," ")," "&amp;$CR$1368&amp;" "," ")," "&amp;$CR$1372&amp;" "," ")),"")</f>
        <v xml:space="preserve"> jaune d oeuf pasteurise </v>
      </c>
      <c r="AY36" s="493">
        <f>IF(36=36,IF($U36="","",SUMPRODUCT(--ISNUMBER(SEARCH(" "&amp;$CR$1373:$CR$1383&amp;" ",$AX36)))),"")</f>
        <v>0</v>
      </c>
      <c r="AZ36" s="493" t="str">
        <f>IF(36=36,IF($U36="","",IF(SUM(AN36:AW36)+SUMPRODUCT(--ISNUMBER(SEARCH(" "&amp;$CR$2421:$CR$2422&amp;" ",$AX36)))&gt;0,"X",IF(AY36&gt;0,"?",""))),"")</f>
        <v/>
      </c>
      <c r="BA36" s="493">
        <f>IF(36=36,IF($U36="","",SUMPRODUCT(--ISNUMBER(SEARCH(" "&amp;$CR$1384:$CR$1404&amp;" ",$AA36)))),"")</f>
        <v>0</v>
      </c>
      <c r="BB36" s="493" t="str">
        <f>IF(36=36,IF($U36="","",IF((BA36)-(0)&gt;0,"X",IF((0)-(0)&gt;0,"?",""))),"")</f>
        <v/>
      </c>
      <c r="BC36" s="493">
        <f>IF(36=36,IF($U36="","",SUMPRODUCT(--ISNUMBER(SEARCH(" "&amp;$CR$1405:$CR$1442&amp;" ",$BD36)))),"")</f>
        <v>0</v>
      </c>
      <c r="BD36" s="493" t="str">
        <f>IF(36=36,IF($U36="","",SUBSTITUTE(SUBSTITUTE($AA36," "&amp;$CR$1443&amp;" "," ")," "&amp;$CR$1444&amp;" "," ")),"")</f>
        <v xml:space="preserve"> jaune d oeuf pasteurise </v>
      </c>
      <c r="BE36" s="493">
        <f>IF(36=36,IF($U36="","",SUMPRODUCT(--ISNUMBER(SEARCH(" "&amp;$CR$1445:$CR$1455&amp;" ",$BD36)))),"")</f>
        <v>0</v>
      </c>
      <c r="BF36" s="493" t="str">
        <f>IF(36=36,IF($U36="","",IF(BC36&gt;0,"X",IF(BE36&gt;0,"?",""))),"")</f>
        <v/>
      </c>
      <c r="BG36" s="493">
        <f>IF(36=36,IF($U36="","",SUMPRODUCT(--ISNUMBER(SEARCH(" "&amp;$CR$1456:$CR$1555&amp;" ",$BJ36)))),"")</f>
        <v>0</v>
      </c>
      <c r="BH36" s="493">
        <f>IF(36=36,IF($U36="","",SUMPRODUCT(--ISNUMBER(SEARCH(" "&amp;$CR$1556:$CR$1655&amp;" ",$BJ36)))),"")</f>
        <v>0</v>
      </c>
      <c r="BI36" s="493">
        <f>IF(36=36,IF($U36="","",SUMPRODUCT(--ISNUMBER(SEARCH(" "&amp;$CR$1656:$CR$1739&amp;" ",$BJ36)))),"")</f>
        <v>0</v>
      </c>
      <c r="BJ36" s="493" t="str">
        <f>IF(36=36,IF($U36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jaune d oeuf pasteurise </v>
      </c>
      <c r="BK36" s="493">
        <f>IF(36=36,IF($U36="","",SUMPRODUCT(--ISNUMBER(SEARCH(" "&amp;$CR$1790:$CR$1869&amp;" ",$BL36)))+SUMPRODUCT(--ISNUMBER(SEARCH(" "&amp;$CR$2440:$CR$2453&amp;" ",$BL36)))),"")</f>
        <v>0</v>
      </c>
      <c r="BL36" s="493" t="str">
        <f>IF(36=36,IF($U36="","",SUBSTITUTE(SUBSTITUTE(SUBSTITUTE(SUBSTITUTE(SUBSTITUTE(SUBSTITUTE(SUBSTITUTE(SUBSTITUTE(SUBSTITUTE(SUBSTITUTE(SUBSTITUTE(SUBSTITUTE(SUBSTITUTE($BJ36," "&amp;$CR$1876&amp;" "," ")," "&amp;$CR$1874&amp;" "," ")," "&amp;$CR$2438&amp;" "," ")," "&amp;$CR$2439&amp;" "," ")," "&amp;$CR$1871&amp;" "," ")," "&amp;$CR$1875&amp;" "," ")," "&amp;$CR$1877&amp;" "," ")," "&amp;$CR$1872&amp;" "," ")," "&amp;$CR$1870&amp;" "," ")," "&amp;$CR$1367&amp;" "," ")," "&amp;$CR$1878&amp;" "," ")," "&amp;$CR$1366&amp;" "," ")," "&amp;$CR$1873&amp;" "," ")),"")</f>
        <v xml:space="preserve"> jaune d oeuf pasteurise </v>
      </c>
      <c r="BM36" s="493" t="str">
        <f>IF(36=36,IF($U36="","",IF(SUM(BG36:BI36)+SUMPRODUCT(--ISNUMBER(SEARCH(" "&amp;$CR$2423:$CR$2424&amp;" ",$BJ36)))&gt;0,"X",IF(BK36&gt;0,"?",""))),"")</f>
        <v/>
      </c>
      <c r="BN36" s="493">
        <f>IF(36=36,IF($U36="","",SUMPRODUCT(--ISNUMBER(SEARCH(" "&amp;$CR$1879:$CR$1936&amp;" ",$BO36)))),"")</f>
        <v>0</v>
      </c>
      <c r="BO36" s="493" t="str">
        <f>IF(36=36,IF($U36="","",SUBSTITUTE(SUBSTITUTE(SUBSTITUTE(SUBSTITUTE(SUBSTITUTE(SUBSTITUTE(SUBSTITUTE(SUBSTITUTE(SUBSTITUTE(SUBSTITUTE(SUBSTITUTE(SUBSTITUTE(SUBSTITUTE(SUBSTITUTE(SUBSTITUTE(SUBSTITUTE(SUBSTITUTE(SUBSTITUTE(SUBSTITUTE(SUBSTITUTE(SUBSTITUTE(SUBSTITUTE(SUBSTITUTE($AA36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jaune d oeuf pasteurise </v>
      </c>
      <c r="BP36" s="493">
        <f>IF(36=36,IF($U36="","",SUMPRODUCT(--ISNUMBER(SEARCH(" "&amp;$CR$1960:$CR$1976&amp;" ",$BO36)))),"")</f>
        <v>0</v>
      </c>
      <c r="BQ36" s="493" t="str">
        <f>IF(36=36,IF($U36="","",IF(BN36&gt;0,"X",IF(BP36&gt;0,"?",""))),"")</f>
        <v/>
      </c>
      <c r="BR36" s="493">
        <f>IF(36=36,IF($U36="","",SUMPRODUCT(--ISNUMBER(SEARCH(" "&amp;$CR$1977:$CR$1990&amp;" ",$AA36)))),"")</f>
        <v>0</v>
      </c>
      <c r="BS36" s="493">
        <f>IF(36=36,IF($U36="","",SUMPRODUCT(--ISNUMBER(SEARCH(" "&amp;$CR$1991:$CR$2005&amp;" ",$AA36)))),"")</f>
        <v>0</v>
      </c>
      <c r="BT36" s="493" t="str">
        <f>IF(36=36,IF($U36="","",IF((BR36)-(0)&gt;0,"X",IF((BS36)-(0)&gt;0,"?",""))),"")</f>
        <v/>
      </c>
      <c r="BU36" s="493">
        <f>IF(36=36,IF($U36="","",SUMPRODUCT(--ISNUMBER(SEARCH(" "&amp;$CR$2006:$CR$2023&amp;" ",$AA36)))),"")</f>
        <v>0</v>
      </c>
      <c r="BV36" s="493">
        <f>IF(36=36,IF($U36="","",SUMPRODUCT(--ISNUMBER(SEARCH(" "&amp;$CR$2024:$CR$2038&amp;" ",$AA36)))),"")</f>
        <v>0</v>
      </c>
      <c r="BW36" s="493" t="str">
        <f>IF(36=36,IF($U36="","",IF((BU36)-(0)&gt;0,"X",IF((BV36)-(0)&gt;0,"?",""))),"")</f>
        <v/>
      </c>
      <c r="BX36" s="493">
        <f>IF(36=36,IF($U36="","",SUMPRODUCT(--ISNUMBER(SEARCH(" "&amp;$CR$2039:$CR$2057&amp;" ",$AA36)))),"")</f>
        <v>0</v>
      </c>
      <c r="BY36" s="493">
        <f>IF(36=36,IF($U36="","",SUMPRODUCT(--ISNUMBER(SEARCH(" "&amp;$CR$2058:$CR$2072&amp;" ",$AA36)))),"")</f>
        <v>0</v>
      </c>
      <c r="BZ36" s="493" t="str">
        <f>IF(36=36,IF($U36="","",IF((BX36)-(0)&gt;0,"X",IF((BY36)-(0)&gt;0,"?",""))),"")</f>
        <v/>
      </c>
      <c r="CA36" s="493">
        <f>IF(36=36,IF($U36="","",SUMPRODUCT(--ISNUMBER(SEARCH(" "&amp;$CR$2073:$CR$2093&amp;" ",$AA36)))),"")</f>
        <v>0</v>
      </c>
      <c r="CB36" s="493">
        <f>IF(36=36,IF($U36="","",SUMPRODUCT(--ISNUMBER(SEARCH(" "&amp;$CR$2094:$CR$2133&amp;" ",SUBSTITUTE(SUBSTITUTE($AA36," "&amp;$CR$1367&amp;" "," ")," "&amp;$CR$1366&amp;" "," "))))+--ISNUMBER(SEARCH("poiré",$V36))),"")</f>
        <v>0</v>
      </c>
      <c r="CC36" s="493" t="str">
        <f>IF(36=36,IF($U36="","",IF(OR(CA36&gt;0,ISNUMBER(SEARCH(" vinaigre de vin ",$AA36)),ISNUMBER(SEARCH(" vinaigre au vin ",$AA36))),"X",IF(CB36&gt;0,"?",""))),"")</f>
        <v/>
      </c>
      <c r="CD36" s="493">
        <f>IF(36=36,IF($U36="","",SUMPRODUCT(--ISNUMBER(SEARCH(" "&amp;$CR$2134:$CR$2146&amp;" ",$AA36)))),"")</f>
        <v>0</v>
      </c>
      <c r="CE36" s="493">
        <f>IF(36=36,IF($U36="","",SUMPRODUCT(--ISNUMBER(SEARCH(" "&amp;$CR$2147:$CR$2152&amp;" ",$AA36)))),"")</f>
        <v>0</v>
      </c>
      <c r="CF36" s="493" t="str">
        <f>IF(36=36,IF($U36="","",IF((CD36)-(0)&gt;0,"X",IF((CE36)-(0)&gt;0,"?",""))),"")</f>
        <v/>
      </c>
      <c r="CG36" s="493">
        <f>IF(36=36,IF($U36="","",SUMPRODUCT(--ISNUMBER(SEARCH(" "&amp;$CR$2153:$CR$2252&amp;" ",$CJ36)))),"")</f>
        <v>0</v>
      </c>
      <c r="CH36" s="493">
        <f>IF(36=36,IF($U36="","",SUMPRODUCT(--ISNUMBER(SEARCH(" "&amp;$CR$2253:$CR$2352&amp;" ",$CJ36)))),"")</f>
        <v>0</v>
      </c>
      <c r="CI36" s="493">
        <f>IF(36=36,IF($U36="","",SUMPRODUCT(--ISNUMBER(SEARCH(" "&amp;$CR$2353:$CR$2395&amp;" ",$CJ36)))),"")</f>
        <v>0</v>
      </c>
      <c r="CJ36" s="493" t="str">
        <f>IF(36=36,IF($U36="","",SUBSTITUTE(SUBSTITUTE(SUBSTITUTE(SUBSTITUTE(SUBSTITUTE(SUBSTITUTE(SUBSTITUTE(SUBSTITUTE(SUBSTITUTE(SUBSTITUTE(SUBSTITUTE(SUBSTITUTE(SUBSTITUTE(SUBSTITUTE(SUBSTITUTE(SUBSTITUTE($AA36," "&amp;$CR$2401&amp;" "," ")," "&amp;$CR$2400&amp;" "," ")," "&amp;$CR$2399&amp;" "," ")," "&amp;$CR$2406&amp;" "," ")," "&amp;$CR$2398&amp;" "," ")," "&amp;$CR$2410&amp;" "," ")," "&amp;$CR$2397&amp;" "," ")," "&amp;$CR$2402&amp;" "," ")," "&amp;$CR$2405&amp;" "," ")," "&amp;$CR$2396&amp;" "," ")," "&amp;$CR$2404&amp;" "," ")," "&amp;$CR$2411&amp;" "," ")," "&amp;$CR$2408&amp;" "," ")," "&amp;$CR$2403&amp;" "," ")," "&amp;$CR$2407&amp;" "," ")," "&amp;$CR$2409&amp;" "," ")),"")</f>
        <v xml:space="preserve"> jaune d oeuf pasteurise </v>
      </c>
      <c r="CK36" s="493">
        <f>IF(36=36,IF($U36="","",SUMPRODUCT(--ISNUMBER(SEARCH(" "&amp;$CR$2412:$CR$2416&amp;" ",$CJ36)))),"")</f>
        <v>0</v>
      </c>
      <c r="CL36" s="493" t="str">
        <f>IF(36=36,IF($U36="","",IF(SUM(CG36:CI36)&gt;0,"X",IF(CK36&gt;0,"?",""))),"")</f>
        <v/>
      </c>
      <c r="CM36" s="494"/>
      <c r="CN36" s="496" t="s">
        <v>1205</v>
      </c>
      <c r="CO36" s="496" t="s">
        <v>1083</v>
      </c>
      <c r="CP36" s="496" t="s">
        <v>689</v>
      </c>
      <c r="CQ36" s="496" t="s">
        <v>1206</v>
      </c>
      <c r="CR36" s="496" t="s">
        <v>312</v>
      </c>
      <c r="CS36" s="496" t="s">
        <v>1085</v>
      </c>
      <c r="CT36" s="496" t="s">
        <v>1086</v>
      </c>
      <c r="CU36" s="496" t="s">
        <v>1087</v>
      </c>
      <c r="CV36" s="497" t="s">
        <v>1088</v>
      </c>
      <c r="CX36" s="543">
        <v>1</v>
      </c>
    </row>
    <row r="37" spans="1:102" ht="21" customHeight="1">
      <c r="A37" s="509">
        <v>31</v>
      </c>
      <c r="B37" s="510" t="s">
        <v>5875</v>
      </c>
      <c r="C37" s="511" t="str">
        <f t="shared" si="0"/>
        <v>Jus de citron (Pulco)</v>
      </c>
      <c r="D37" s="512" t="str">
        <f>IF(37=37,IF($B37="","",IF(E37="X",""&amp;"Céréales contenant du gluten","")&amp;IF(F37="X",IF(COUNTIF($E37:$E37,"X")&gt;0,", ","")&amp;"Crustacés","")&amp;IF(G37="X",IF(COUNTIF($E37:$F37,"X")&gt;0,", ","")&amp;"Œufs","")&amp;IF(H37="X",IF(COUNTIF($E37:$G37,"X")&gt;0,", ","")&amp;"Poissons","")&amp;IF(I37="X",IF(COUNTIF($E37:$H37,"X")&gt;0,", ","")&amp;"Arachides","")&amp;IF(J37="X",IF(COUNTIF($E37:$I37,"X")&gt;0,", ","")&amp;"Soja","")&amp;IF(K37="X",IF(COUNTIF($E37:$J37,"X")&gt;0,", ","")&amp;"Lait","")&amp;IF(L37="X",IF(COUNTIF($E37:$K37,"X")&gt;0,", ","")&amp;"Fruits à coque","")&amp;IF(M37="X",IF(COUNTIF($E37:$L37,"X")&gt;0,", ","")&amp;"Céleri","")&amp;IF(N37="X",IF(COUNTIF($E37:$M37,"X")&gt;0,", ","")&amp;"Moutarde","")&amp;IF(O37="X",IF(COUNTIF($E37:$N37,"X")&gt;0,", ","")&amp;"Sésame","")&amp;IF(P37="X",IF(COUNTIF($E37:$O37,"X")&gt;0,", ","")&amp;"Sulfites","")&amp;IF(Q37="X",IF(COUNTIF($E37:$P37,"X")&gt;0,", ","")&amp;"Lupin","")&amp;IF(R37="X",IF(COUNTIF($E37:$Q37,"X")&gt;0,", ","")&amp;"Mollusques","")),"")</f>
        <v/>
      </c>
      <c r="E37" s="513" t="str">
        <f>IF(37=37,IF($B37="","",AF37),"")</f>
        <v/>
      </c>
      <c r="F37" s="513" t="str">
        <f>IF(37=37,IF($B37="","",AI37),"")</f>
        <v/>
      </c>
      <c r="G37" s="513" t="str">
        <f>IF(37=37,IF($B37="","",AM37),"")</f>
        <v/>
      </c>
      <c r="H37" s="513" t="str">
        <f>IF(37=37,IF($B37="","",IF(ISNUMBER(SEARCH(" colin ",$AA37)),"X",AZ37)),"")</f>
        <v/>
      </c>
      <c r="I37" s="513" t="str">
        <f>IF(37=37,IF($B37="","",BB37),"")</f>
        <v/>
      </c>
      <c r="J37" s="513" t="str">
        <f>IF(37=37,IF($B37="","",BF37),"")</f>
        <v/>
      </c>
      <c r="K37" s="513" t="str">
        <f>IF(37=37,IF($B37="","",BM37),"")</f>
        <v/>
      </c>
      <c r="L37" s="513" t="str">
        <f>IF(37=37,IF($B37="","",BQ37),"")</f>
        <v/>
      </c>
      <c r="M37" s="513" t="str">
        <f>IF(37=37,IF($B37="","",BT37),"")</f>
        <v/>
      </c>
      <c r="N37" s="513" t="str">
        <f>IF(37=37,IF($B37="","",BW37),"")</f>
        <v/>
      </c>
      <c r="O37" s="513" t="str">
        <f>IF(37=37,IF($B37="","",BZ37),"")</f>
        <v/>
      </c>
      <c r="P37" s="513" t="str">
        <f>IF(37=37,IF($B37="","",CC37),"")</f>
        <v/>
      </c>
      <c r="Q37" s="513" t="str">
        <f>IF(37=37,IF($B37="","",CF37),"")</f>
        <v/>
      </c>
      <c r="R37" s="513" t="str">
        <f>IF(37=37,IF($B37="","",CL37),"")</f>
        <v/>
      </c>
      <c r="S37" s="514" t="str">
        <f>IF(37=37,IF($B37="","",IF(E37="?",""&amp;"Céréales contenant du gluten","")&amp;IF(F37="?",IF(COUNTIF($E37:$E37,"~?")&gt;0,", ","")&amp;"Crustacés","")&amp;IF(G37="?",IF(COUNTIF($E37:$F37,"~?")&gt;0,", ","")&amp;"Œufs","")&amp;IF(H37="?",IF(COUNTIF($E37:$G37,"~?")&gt;0,", ","")&amp;"Poissons","")&amp;IF(I37="?",IF(COUNTIF($E37:$H37,"~?")&gt;0,", ","")&amp;"Arachides","")&amp;IF(J37="?",IF(COUNTIF($E37:$I37,"~?")&gt;0,", ","")&amp;"Soja","")&amp;IF(K37="?",IF(COUNTIF($E37:$J37,"~?")&gt;0,", ","")&amp;"Lait","")&amp;IF(L37="?",IF(COUNTIF($E37:$K37,"~?")&gt;0,", ","")&amp;"Fruits à coque","")&amp;IF(M37="?",IF(COUNTIF($E37:$L37,"~?")&gt;0,", ","")&amp;"Céleri","")&amp;IF(N37="?",IF(COUNTIF($E37:$M37,"~?")&gt;0,", ","")&amp;"Moutarde","")&amp;IF(O37="?",IF(COUNTIF($E37:$N37,"~?")&gt;0,", ","")&amp;"Sésame","")&amp;IF(P37="?",IF(COUNTIF($E37:$O37,"~?")&gt;0,", ","")&amp;"Sulfites","")&amp;IF(Q37="?",IF(COUNTIF($E37:$P37,"~?")&gt;0,", ","")&amp;"Lupin","")&amp;IF(R37="?",IF(COUNTIF($E37:$Q37,"~?")&gt;0,", ","")&amp;"Mollusques","")),"")</f>
        <v/>
      </c>
      <c r="U37" s="493" t="str">
        <f>IF(37=37,IF($B37="","",$B37),"")</f>
        <v>Jus de citron (Pulco)</v>
      </c>
      <c r="V37" s="493" t="str">
        <f>IF(37=37,LOWER(CLEAN(SUBSTITUTE(SUBSTITUTE(SUBSTITUTE(SUBSTITUTE($U37,CHAR(160)," ")," "," "),CHAR(10)," "),CHAR(13)," "))),"")</f>
        <v>jus de citron (pulco)</v>
      </c>
      <c r="W37" s="493" t="str">
        <f>IF(37=37,SUBSTITUTE(SUBSTITUTE(SUBSTITUTE(SUBSTITUTE(SUBSTITUTE(SUBSTITUTE(SUBSTITUTE(SUBSTITUTE(SUBSTITUTE(SUBSTITUTE(SUBSTITUTE(SUBSTITUTE($V37,"œ","oe"),"æ","ae"),"à","a"),"á","a"),"â","a"),"ä","a"),"ã","a"),"ç","c"),"è","e"),"é","e"),"ê","e"),"ë","e"),"")</f>
        <v>jus de citron (pulco)</v>
      </c>
      <c r="X37" s="493" t="str">
        <f>IF(37=37,SUBSTITUTE(SUBSTITUTE(SUBSTITUTE(SUBSTITUTE(SUBSTITUTE(SUBSTITUTE(SUBSTITUTE(SUBSTITUTE(SUBSTITUTE(SUBSTITUTE(SUBSTITUTE(SUBSTITUTE(SUBSTITUTE(SUBSTITUTE(SUBSTITUTE(SUBSTITUTE($W37,"ì","i"),"í","i"),"î","i"),"ï","i"),"ñ","n"),"ò","o"),"ó","o"),"ô","o"),"ö","o"),"õ","o"),"ù","u"),"ú","u"),"û","u"),"ü","u"),"ý","y"),"ÿ","y"),"")</f>
        <v>jus de citron (pulco)</v>
      </c>
      <c r="Y37" s="493" t="str">
        <f>IF(37=37,SUBSTITUTE(SUBSTITUTE(SUBSTITUTE(SUBSTITUTE(SUBSTITUTE(SUBSTITUTE(SUBSTITUTE(SUBSTITUTE(SUBSTITUTE(SUBSTITUTE(SUBSTITUTE(SUBSTITUTE(SUBSTITUTE(SUBSTITUTE($X37,"’"," "),"`"," "),"–"," "),"—"," "),"-"," "),"'"," "),"/"," "),"_"," "),","," "),"."," "),"("," "),")"," "),";"," "),":"," "),"")</f>
        <v xml:space="preserve">jus de citron  pulco </v>
      </c>
      <c r="Z37" s="493" t="str">
        <f>IF(37=37,SUBSTITUTE(SUBSTITUTE(SUBSTITUTE(SUBSTITUTE(SUBSTITUTE(SUBSTITUTE(SUBSTITUTE(SUBSTITUTE(SUBSTITUTE(SUBSTITUTE(SUBSTITUTE(SUBSTITUTE(SUBSTITUTE(SUBSTITUTE(SUBSTITUTE($Y37,"!"," "),"?"," "),"+"," "),"*"," "),"&amp;"," "),"["," "),"]"," "),"{"," "),"}"," "),"%"," "),"="," "),"\"," "),"|"," "),"&lt;"," "),"&gt;"," "),"")</f>
        <v xml:space="preserve">jus de citron  pulco </v>
      </c>
      <c r="AA37" s="493" t="str">
        <f>IF(37=37," "&amp;TRIM(SUBSTITUTE(SUBSTITUTE(SUBSTITUTE(SUBSTITUTE(SUBSTITUTE(SUBSTITUTE($Z37,CHAR(34)," "),"  "," "),"  "," "),"  "," "),"  "," "),"  "," "))&amp;" ","")</f>
        <v xml:space="preserve"> jus de citron pulco </v>
      </c>
      <c r="AB37" s="493">
        <f>IF(37=37,IF($U37="","",SUMPRODUCT(--ISNUMBER(SEARCH(" "&amp;$CR$2:$CR$101&amp;" ",$AD37)))),"")</f>
        <v>0</v>
      </c>
      <c r="AC37" s="493">
        <f>IF(37=37,IF($U37="","",SUMPRODUCT(--ISNUMBER(SEARCH(" "&amp;$CR$102:$CR$151&amp;" ",$AD37)))),"")</f>
        <v>0</v>
      </c>
      <c r="AD37" s="493" t="str">
        <f t="shared" si="1"/>
        <v xml:space="preserve"> jus de citron pulco </v>
      </c>
      <c r="AE37" s="493">
        <f t="shared" si="2"/>
        <v>0</v>
      </c>
      <c r="AF37" s="493" t="str">
        <f>IF(37=37,IF($U37="","",IF(SUM(AB37:AC37)+SUMPRODUCT(--ISNUMBER(SEARCH(" "&amp;$CR$2418:$CR$2420&amp;" ",$AD37)))&gt;0,"X",IF(AE37&gt;0,"?",""))),"")</f>
        <v/>
      </c>
      <c r="AG37" s="493">
        <f>IF(37=37,IF($U37="","",SUMPRODUCT(--ISNUMBER(SEARCH(" "&amp;$CR$206:$CR$305&amp;" ",$AA37)))),"")</f>
        <v>0</v>
      </c>
      <c r="AH37" s="493">
        <f>IF(37=37,IF($U37="","",SUMPRODUCT(--ISNUMBER(SEARCH(" "&amp;$CR$306:$CR$340&amp;" ",$AA37)))),"")</f>
        <v>0</v>
      </c>
      <c r="AI37" s="493" t="str">
        <f>IF(37=37,IF($U37="","",IF((SUM(AG37:AH37))-(0)&gt;0,"X",IF((0)-(0)&gt;0,"?",""))),"")</f>
        <v/>
      </c>
      <c r="AJ37" s="493">
        <f>IF(37=37,IF($U37="","",SUMPRODUCT(--ISNUMBER(SEARCH(" "&amp;$CR$341:$CR$398&amp;" ",$AA37)))),"")</f>
        <v>0</v>
      </c>
      <c r="AK37" s="493">
        <f>IF(37=37,IF($U37="","",SUMPRODUCT(--ISNUMBER(SEARCH(" "&amp;$CR$399:$CR$426&amp;" ",$AL37)))+SUMPRODUCT(--ISNUMBER(SEARCH(" "&amp;$CR$2440:$CR$2453&amp;" ",$AL37)))),"")</f>
        <v>0</v>
      </c>
      <c r="AL37" s="493" t="str">
        <f>IF(37=37,IF($U37="","",SUBSTITUTE(SUBSTITUTE(SUBSTITUTE(SUBSTITUTE(SUBSTITUTE(SUBSTITUTE(SUBSTITUTE(SUBSTITUTE(SUBSTITUTE(SUBSTITUTE(SUBSTITUTE(SUBSTITUTE(SUBSTITUTE(SUBSTITUTE($AA37," "&amp;$CR$2455&amp;" "," ")," "&amp;$CR$433&amp;" "," ")," "&amp;$CR$431&amp;" "," ")," "&amp;$CR$2438&amp;" "," ")," "&amp;$CR$2439&amp;" "," ")," "&amp;$CR$428&amp;" "," ")," "&amp;$CR$432&amp;" "," ")," "&amp;$CR$434&amp;" "," ")," "&amp;$CR$429&amp;" "," ")," "&amp;$CR$427&amp;" "," ")," "&amp;$CR$1367&amp;" "," ")," "&amp;$CR$435&amp;" "," ")," "&amp;$CR$1366&amp;" "," ")," "&amp;$CR$430&amp;" "," ")),"")</f>
        <v xml:space="preserve"> jus de citron pulco </v>
      </c>
      <c r="AM37" s="493" t="str">
        <f>IF(37=37,IF($U37="","",IF(AJ37&gt;0,"X",IF(AK37&gt;0,"?",""))),"")</f>
        <v/>
      </c>
      <c r="AN37" s="493">
        <f>IF(37=37,IF($U37="","",SUMPRODUCT(--ISNUMBER(SEARCH(" "&amp;$CR$436:$CR$535&amp;" ",$AX37)))),"")</f>
        <v>0</v>
      </c>
      <c r="AO37" s="493">
        <f>IF(37=37,IF($U37="","",SUMPRODUCT(--ISNUMBER(SEARCH(" "&amp;$CR$536:$CR$635&amp;" ",$AX37)))),"")</f>
        <v>0</v>
      </c>
      <c r="AP37" s="493">
        <f>IF(37=37,IF($U37="","",SUMPRODUCT(--ISNUMBER(SEARCH(" "&amp;$CR$636:$CR$735&amp;" ",$AX37)))),"")</f>
        <v>0</v>
      </c>
      <c r="AQ37" s="493">
        <f>IF(37=37,IF($U37="","",SUMPRODUCT(--ISNUMBER(SEARCH(" "&amp;$CR$736:$CR$835&amp;" ",$AX37)))),"")</f>
        <v>0</v>
      </c>
      <c r="AR37" s="493">
        <f>IF(37=37,IF($U37="","",SUMPRODUCT(--ISNUMBER(SEARCH(" "&amp;$CR$836:$CR$935&amp;" ",$AX37)))),"")</f>
        <v>0</v>
      </c>
      <c r="AS37" s="493">
        <f>IF(37=37,IF($U37="","",SUMPRODUCT(--ISNUMBER(SEARCH(" "&amp;$CR$936:$CR$1035&amp;" ",$AX37)))),"")</f>
        <v>0</v>
      </c>
      <c r="AT37" s="493">
        <f>IF(37=37,IF($U37="","",SUMPRODUCT(--ISNUMBER(SEARCH(" "&amp;$CR$1036:$CR$1135&amp;" ",$AX37)))),"")</f>
        <v>0</v>
      </c>
      <c r="AU37" s="493">
        <f>IF(37=37,IF($U37="","",SUMPRODUCT(--ISNUMBER(SEARCH(" "&amp;$CR$1136:$CR$1235&amp;" ",$AX37)))),"")</f>
        <v>0</v>
      </c>
      <c r="AV37" s="493">
        <f>IF(37=37,IF($U37="","",SUMPRODUCT(--ISNUMBER(SEARCH(" "&amp;$CR$1236:$CR$1335&amp;" ",$AX37)))),"")</f>
        <v>0</v>
      </c>
      <c r="AW37" s="493">
        <f>IF(37=37,IF($U37="","",SUMPRODUCT(--ISNUMBER(SEARCH(" "&amp;$CR$1336:$CR$1363&amp;" ",$AX37)))),"")</f>
        <v>0</v>
      </c>
      <c r="AX37" s="493" t="str">
        <f>IF(37=37,IF($U37="","",SUBSTITUTE(SUBSTITUTE(SUBSTITUTE(SUBSTITUTE(SUBSTITUTE(SUBSTITUTE(SUBSTITUTE(SUBSTITUTE(SUBSTITUTE($AA37," "&amp;$CR$1365&amp;" "," ")," "&amp;$CR$1364&amp;" "," ")," "&amp;$CR$1370&amp;" "," ")," "&amp;$CR$1371&amp;" "," ")," "&amp;$CR$1367&amp;" "," ")," "&amp;$CR$1369&amp;" "," ")," "&amp;$CR$1366&amp;" "," ")," "&amp;$CR$1368&amp;" "," ")," "&amp;$CR$1372&amp;" "," ")),"")</f>
        <v xml:space="preserve"> jus de citron pulco </v>
      </c>
      <c r="AY37" s="493">
        <f>IF(37=37,IF($U37="","",SUMPRODUCT(--ISNUMBER(SEARCH(" "&amp;$CR$1373:$CR$1383&amp;" ",$AX37)))),"")</f>
        <v>0</v>
      </c>
      <c r="AZ37" s="493" t="str">
        <f>IF(37=37,IF($U37="","",IF(SUM(AN37:AW37)+SUMPRODUCT(--ISNUMBER(SEARCH(" "&amp;$CR$2421:$CR$2422&amp;" ",$AX37)))&gt;0,"X",IF(AY37&gt;0,"?",""))),"")</f>
        <v/>
      </c>
      <c r="BA37" s="493">
        <f>IF(37=37,IF($U37="","",SUMPRODUCT(--ISNUMBER(SEARCH(" "&amp;$CR$1384:$CR$1404&amp;" ",$AA37)))),"")</f>
        <v>0</v>
      </c>
      <c r="BB37" s="493" t="str">
        <f>IF(37=37,IF($U37="","",IF((BA37)-(0)&gt;0,"X",IF((0)-(0)&gt;0,"?",""))),"")</f>
        <v/>
      </c>
      <c r="BC37" s="493">
        <f>IF(37=37,IF($U37="","",SUMPRODUCT(--ISNUMBER(SEARCH(" "&amp;$CR$1405:$CR$1442&amp;" ",$BD37)))),"")</f>
        <v>0</v>
      </c>
      <c r="BD37" s="493" t="str">
        <f>IF(37=37,IF($U37="","",SUBSTITUTE(SUBSTITUTE($AA37," "&amp;$CR$1443&amp;" "," ")," "&amp;$CR$1444&amp;" "," ")),"")</f>
        <v xml:space="preserve"> jus de citron pulco </v>
      </c>
      <c r="BE37" s="493">
        <f>IF(37=37,IF($U37="","",SUMPRODUCT(--ISNUMBER(SEARCH(" "&amp;$CR$1445:$CR$1455&amp;" ",$BD37)))),"")</f>
        <v>0</v>
      </c>
      <c r="BF37" s="493" t="str">
        <f>IF(37=37,IF($U37="","",IF(BC37&gt;0,"X",IF(BE37&gt;0,"?",""))),"")</f>
        <v/>
      </c>
      <c r="BG37" s="493">
        <f>IF(37=37,IF($U37="","",SUMPRODUCT(--ISNUMBER(SEARCH(" "&amp;$CR$1456:$CR$1555&amp;" ",$BJ37)))),"")</f>
        <v>0</v>
      </c>
      <c r="BH37" s="493">
        <f>IF(37=37,IF($U37="","",SUMPRODUCT(--ISNUMBER(SEARCH(" "&amp;$CR$1556:$CR$1655&amp;" ",$BJ37)))),"")</f>
        <v>0</v>
      </c>
      <c r="BI37" s="493">
        <f>IF(37=37,IF($U37="","",SUMPRODUCT(--ISNUMBER(SEARCH(" "&amp;$CR$1656:$CR$1739&amp;" ",$BJ37)))),"")</f>
        <v>0</v>
      </c>
      <c r="BJ37" s="493" t="str">
        <f>IF(37=37,IF($U37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jus de citron pulco </v>
      </c>
      <c r="BK37" s="493">
        <f>IF(37=37,IF($U37="","",SUMPRODUCT(--ISNUMBER(SEARCH(" "&amp;$CR$1790:$CR$1869&amp;" ",$BL37)))+SUMPRODUCT(--ISNUMBER(SEARCH(" "&amp;$CR$2440:$CR$2453&amp;" ",$BL37)))),"")</f>
        <v>0</v>
      </c>
      <c r="BL37" s="493" t="str">
        <f>IF(37=37,IF($U37="","",SUBSTITUTE(SUBSTITUTE(SUBSTITUTE(SUBSTITUTE(SUBSTITUTE(SUBSTITUTE(SUBSTITUTE(SUBSTITUTE(SUBSTITUTE(SUBSTITUTE(SUBSTITUTE(SUBSTITUTE(SUBSTITUTE($BJ37," "&amp;$CR$1876&amp;" "," ")," "&amp;$CR$1874&amp;" "," ")," "&amp;$CR$2438&amp;" "," ")," "&amp;$CR$2439&amp;" "," ")," "&amp;$CR$1871&amp;" "," ")," "&amp;$CR$1875&amp;" "," ")," "&amp;$CR$1877&amp;" "," ")," "&amp;$CR$1872&amp;" "," ")," "&amp;$CR$1870&amp;" "," ")," "&amp;$CR$1367&amp;" "," ")," "&amp;$CR$1878&amp;" "," ")," "&amp;$CR$1366&amp;" "," ")," "&amp;$CR$1873&amp;" "," ")),"")</f>
        <v xml:space="preserve"> jus de citron pulco </v>
      </c>
      <c r="BM37" s="493" t="str">
        <f>IF(37=37,IF($U37="","",IF(SUM(BG37:BI37)+SUMPRODUCT(--ISNUMBER(SEARCH(" "&amp;$CR$2423:$CR$2424&amp;" ",$BJ37)))&gt;0,"X",IF(BK37&gt;0,"?",""))),"")</f>
        <v/>
      </c>
      <c r="BN37" s="493">
        <f>IF(37=37,IF($U37="","",SUMPRODUCT(--ISNUMBER(SEARCH(" "&amp;$CR$1879:$CR$1936&amp;" ",$BO37)))),"")</f>
        <v>0</v>
      </c>
      <c r="BO37" s="493" t="str">
        <f>IF(37=37,IF($U37="","",SUBSTITUTE(SUBSTITUTE(SUBSTITUTE(SUBSTITUTE(SUBSTITUTE(SUBSTITUTE(SUBSTITUTE(SUBSTITUTE(SUBSTITUTE(SUBSTITUTE(SUBSTITUTE(SUBSTITUTE(SUBSTITUTE(SUBSTITUTE(SUBSTITUTE(SUBSTITUTE(SUBSTITUTE(SUBSTITUTE(SUBSTITUTE(SUBSTITUTE(SUBSTITUTE(SUBSTITUTE(SUBSTITUTE($AA37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jus de citron pulco </v>
      </c>
      <c r="BP37" s="493">
        <f>IF(37=37,IF($U37="","",SUMPRODUCT(--ISNUMBER(SEARCH(" "&amp;$CR$1960:$CR$1976&amp;" ",$BO37)))),"")</f>
        <v>0</v>
      </c>
      <c r="BQ37" s="493" t="str">
        <f>IF(37=37,IF($U37="","",IF(BN37&gt;0,"X",IF(BP37&gt;0,"?",""))),"")</f>
        <v/>
      </c>
      <c r="BR37" s="493">
        <f>IF(37=37,IF($U37="","",SUMPRODUCT(--ISNUMBER(SEARCH(" "&amp;$CR$1977:$CR$1990&amp;" ",$AA37)))),"")</f>
        <v>0</v>
      </c>
      <c r="BS37" s="493">
        <f>IF(37=37,IF($U37="","",SUMPRODUCT(--ISNUMBER(SEARCH(" "&amp;$CR$1991:$CR$2005&amp;" ",$AA37)))),"")</f>
        <v>0</v>
      </c>
      <c r="BT37" s="493" t="str">
        <f>IF(37=37,IF($U37="","",IF((BR37)-(0)&gt;0,"X",IF((BS37)-(0)&gt;0,"?",""))),"")</f>
        <v/>
      </c>
      <c r="BU37" s="493">
        <f>IF(37=37,IF($U37="","",SUMPRODUCT(--ISNUMBER(SEARCH(" "&amp;$CR$2006:$CR$2023&amp;" ",$AA37)))),"")</f>
        <v>0</v>
      </c>
      <c r="BV37" s="493">
        <f>IF(37=37,IF($U37="","",SUMPRODUCT(--ISNUMBER(SEARCH(" "&amp;$CR$2024:$CR$2038&amp;" ",$AA37)))),"")</f>
        <v>0</v>
      </c>
      <c r="BW37" s="493" t="str">
        <f>IF(37=37,IF($U37="","",IF((BU37)-(0)&gt;0,"X",IF((BV37)-(0)&gt;0,"?",""))),"")</f>
        <v/>
      </c>
      <c r="BX37" s="493">
        <f>IF(37=37,IF($U37="","",SUMPRODUCT(--ISNUMBER(SEARCH(" "&amp;$CR$2039:$CR$2057&amp;" ",$AA37)))),"")</f>
        <v>0</v>
      </c>
      <c r="BY37" s="493">
        <f>IF(37=37,IF($U37="","",SUMPRODUCT(--ISNUMBER(SEARCH(" "&amp;$CR$2058:$CR$2072&amp;" ",$AA37)))),"")</f>
        <v>0</v>
      </c>
      <c r="BZ37" s="493" t="str">
        <f>IF(37=37,IF($U37="","",IF((BX37)-(0)&gt;0,"X",IF((BY37)-(0)&gt;0,"?",""))),"")</f>
        <v/>
      </c>
      <c r="CA37" s="493">
        <f>IF(37=37,IF($U37="","",SUMPRODUCT(--ISNUMBER(SEARCH(" "&amp;$CR$2073:$CR$2093&amp;" ",$AA37)))),"")</f>
        <v>0</v>
      </c>
      <c r="CB37" s="493">
        <f>IF(37=37,IF($U37="","",SUMPRODUCT(--ISNUMBER(SEARCH(" "&amp;$CR$2094:$CR$2133&amp;" ",SUBSTITUTE(SUBSTITUTE($AA37," "&amp;$CR$1367&amp;" "," ")," "&amp;$CR$1366&amp;" "," "))))+--ISNUMBER(SEARCH("poiré",$V37))),"")</f>
        <v>0</v>
      </c>
      <c r="CC37" s="493" t="str">
        <f>IF(37=37,IF($U37="","",IF(OR(CA37&gt;0,ISNUMBER(SEARCH(" vinaigre de vin ",$AA37)),ISNUMBER(SEARCH(" vinaigre au vin ",$AA37))),"X",IF(CB37&gt;0,"?",""))),"")</f>
        <v/>
      </c>
      <c r="CD37" s="493">
        <f>IF(37=37,IF($U37="","",SUMPRODUCT(--ISNUMBER(SEARCH(" "&amp;$CR$2134:$CR$2146&amp;" ",$AA37)))),"")</f>
        <v>0</v>
      </c>
      <c r="CE37" s="493">
        <f>IF(37=37,IF($U37="","",SUMPRODUCT(--ISNUMBER(SEARCH(" "&amp;$CR$2147:$CR$2152&amp;" ",$AA37)))),"")</f>
        <v>0</v>
      </c>
      <c r="CF37" s="493" t="str">
        <f>IF(37=37,IF($U37="","",IF((CD37)-(0)&gt;0,"X",IF((CE37)-(0)&gt;0,"?",""))),"")</f>
        <v/>
      </c>
      <c r="CG37" s="493">
        <f>IF(37=37,IF($U37="","",SUMPRODUCT(--ISNUMBER(SEARCH(" "&amp;$CR$2153:$CR$2252&amp;" ",$CJ37)))),"")</f>
        <v>0</v>
      </c>
      <c r="CH37" s="493">
        <f>IF(37=37,IF($U37="","",SUMPRODUCT(--ISNUMBER(SEARCH(" "&amp;$CR$2253:$CR$2352&amp;" ",$CJ37)))),"")</f>
        <v>0</v>
      </c>
      <c r="CI37" s="493">
        <f>IF(37=37,IF($U37="","",SUMPRODUCT(--ISNUMBER(SEARCH(" "&amp;$CR$2353:$CR$2395&amp;" ",$CJ37)))),"")</f>
        <v>0</v>
      </c>
      <c r="CJ37" s="493" t="str">
        <f>IF(37=37,IF($U37="","",SUBSTITUTE(SUBSTITUTE(SUBSTITUTE(SUBSTITUTE(SUBSTITUTE(SUBSTITUTE(SUBSTITUTE(SUBSTITUTE(SUBSTITUTE(SUBSTITUTE(SUBSTITUTE(SUBSTITUTE(SUBSTITUTE(SUBSTITUTE(SUBSTITUTE(SUBSTITUTE($AA37," "&amp;$CR$2401&amp;" "," ")," "&amp;$CR$2400&amp;" "," ")," "&amp;$CR$2399&amp;" "," ")," "&amp;$CR$2406&amp;" "," ")," "&amp;$CR$2398&amp;" "," ")," "&amp;$CR$2410&amp;" "," ")," "&amp;$CR$2397&amp;" "," ")," "&amp;$CR$2402&amp;" "," ")," "&amp;$CR$2405&amp;" "," ")," "&amp;$CR$2396&amp;" "," ")," "&amp;$CR$2404&amp;" "," ")," "&amp;$CR$2411&amp;" "," ")," "&amp;$CR$2408&amp;" "," ")," "&amp;$CR$2403&amp;" "," ")," "&amp;$CR$2407&amp;" "," ")," "&amp;$CR$2409&amp;" "," ")),"")</f>
        <v xml:space="preserve"> jus de citron pulco </v>
      </c>
      <c r="CK37" s="493">
        <f>IF(37=37,IF($U37="","",SUMPRODUCT(--ISNUMBER(SEARCH(" "&amp;$CR$2412:$CR$2416&amp;" ",$CJ37)))),"")</f>
        <v>0</v>
      </c>
      <c r="CL37" s="493" t="str">
        <f>IF(37=37,IF($U37="","",IF(SUM(CG37:CI37)&gt;0,"X",IF(CK37&gt;0,"?",""))),"")</f>
        <v/>
      </c>
      <c r="CM37" s="494"/>
      <c r="CN37" s="496" t="s">
        <v>1207</v>
      </c>
      <c r="CO37" s="496" t="s">
        <v>1083</v>
      </c>
      <c r="CP37" s="496" t="s">
        <v>689</v>
      </c>
      <c r="CQ37" s="496" t="s">
        <v>321</v>
      </c>
      <c r="CR37" s="496" t="s">
        <v>320</v>
      </c>
      <c r="CS37" s="496" t="s">
        <v>1085</v>
      </c>
      <c r="CT37" s="496" t="s">
        <v>1086</v>
      </c>
      <c r="CU37" s="496" t="s">
        <v>1087</v>
      </c>
      <c r="CV37" s="497" t="s">
        <v>1088</v>
      </c>
      <c r="CX37" s="543">
        <v>1</v>
      </c>
    </row>
    <row r="38" spans="1:102" ht="21" customHeight="1">
      <c r="A38" s="509">
        <v>32</v>
      </c>
      <c r="B38" s="510" t="s">
        <v>11</v>
      </c>
      <c r="C38" s="511" t="str">
        <f t="shared" si="0"/>
        <v>Lait *</v>
      </c>
      <c r="D38" s="512" t="str">
        <f>IF(38=38,IF($B38="","",IF(E38="X",""&amp;"Céréales contenant du gluten","")&amp;IF(F38="X",IF(COUNTIF($E38:$E38,"X")&gt;0,", ","")&amp;"Crustacés","")&amp;IF(G38="X",IF(COUNTIF($E38:$F38,"X")&gt;0,", ","")&amp;"Œufs","")&amp;IF(H38="X",IF(COUNTIF($E38:$G38,"X")&gt;0,", ","")&amp;"Poissons","")&amp;IF(I38="X",IF(COUNTIF($E38:$H38,"X")&gt;0,", ","")&amp;"Arachides","")&amp;IF(J38="X",IF(COUNTIF($E38:$I38,"X")&gt;0,", ","")&amp;"Soja","")&amp;IF(K38="X",IF(COUNTIF($E38:$J38,"X")&gt;0,", ","")&amp;"Lait","")&amp;IF(L38="X",IF(COUNTIF($E38:$K38,"X")&gt;0,", ","")&amp;"Fruits à coque","")&amp;IF(M38="X",IF(COUNTIF($E38:$L38,"X")&gt;0,", ","")&amp;"Céleri","")&amp;IF(N38="X",IF(COUNTIF($E38:$M38,"X")&gt;0,", ","")&amp;"Moutarde","")&amp;IF(O38="X",IF(COUNTIF($E38:$N38,"X")&gt;0,", ","")&amp;"Sésame","")&amp;IF(P38="X",IF(COUNTIF($E38:$O38,"X")&gt;0,", ","")&amp;"Sulfites","")&amp;IF(Q38="X",IF(COUNTIF($E38:$P38,"X")&gt;0,", ","")&amp;"Lupin","")&amp;IF(R38="X",IF(COUNTIF($E38:$Q38,"X")&gt;0,", ","")&amp;"Mollusques","")),"")</f>
        <v>Lait</v>
      </c>
      <c r="E38" s="513" t="str">
        <f>IF(38=38,IF($B38="","",AF38),"")</f>
        <v/>
      </c>
      <c r="F38" s="513" t="str">
        <f>IF(38=38,IF($B38="","",AI38),"")</f>
        <v/>
      </c>
      <c r="G38" s="513" t="str">
        <f>IF(38=38,IF($B38="","",AM38),"")</f>
        <v/>
      </c>
      <c r="H38" s="513" t="str">
        <f>IF(38=38,IF($B38="","",IF(ISNUMBER(SEARCH(" colin ",$AA38)),"X",AZ38)),"")</f>
        <v/>
      </c>
      <c r="I38" s="513" t="str">
        <f>IF(38=38,IF($B38="","",BB38),"")</f>
        <v/>
      </c>
      <c r="J38" s="513" t="str">
        <f>IF(38=38,IF($B38="","",BF38),"")</f>
        <v/>
      </c>
      <c r="K38" s="513" t="str">
        <f>IF(38=38,IF($B38="","",BM38),"")</f>
        <v>X</v>
      </c>
      <c r="L38" s="513" t="str">
        <f>IF(38=38,IF($B38="","",BQ38),"")</f>
        <v/>
      </c>
      <c r="M38" s="513" t="str">
        <f>IF(38=38,IF($B38="","",BT38),"")</f>
        <v/>
      </c>
      <c r="N38" s="513" t="str">
        <f>IF(38=38,IF($B38="","",BW38),"")</f>
        <v/>
      </c>
      <c r="O38" s="513" t="str">
        <f>IF(38=38,IF($B38="","",BZ38),"")</f>
        <v/>
      </c>
      <c r="P38" s="513" t="str">
        <f>IF(38=38,IF($B38="","",CC38),"")</f>
        <v/>
      </c>
      <c r="Q38" s="513" t="str">
        <f>IF(38=38,IF($B38="","",CF38),"")</f>
        <v/>
      </c>
      <c r="R38" s="513" t="str">
        <f>IF(38=38,IF($B38="","",CL38),"")</f>
        <v/>
      </c>
      <c r="S38" s="514" t="str">
        <f>IF(38=38,IF($B38="","",IF(E38="?",""&amp;"Céréales contenant du gluten","")&amp;IF(F38="?",IF(COUNTIF($E38:$E38,"~?")&gt;0,", ","")&amp;"Crustacés","")&amp;IF(G38="?",IF(COUNTIF($E38:$F38,"~?")&gt;0,", ","")&amp;"Œufs","")&amp;IF(H38="?",IF(COUNTIF($E38:$G38,"~?")&gt;0,", ","")&amp;"Poissons","")&amp;IF(I38="?",IF(COUNTIF($E38:$H38,"~?")&gt;0,", ","")&amp;"Arachides","")&amp;IF(J38="?",IF(COUNTIF($E38:$I38,"~?")&gt;0,", ","")&amp;"Soja","")&amp;IF(K38="?",IF(COUNTIF($E38:$J38,"~?")&gt;0,", ","")&amp;"Lait","")&amp;IF(L38="?",IF(COUNTIF($E38:$K38,"~?")&gt;0,", ","")&amp;"Fruits à coque","")&amp;IF(M38="?",IF(COUNTIF($E38:$L38,"~?")&gt;0,", ","")&amp;"Céleri","")&amp;IF(N38="?",IF(COUNTIF($E38:$M38,"~?")&gt;0,", ","")&amp;"Moutarde","")&amp;IF(O38="?",IF(COUNTIF($E38:$N38,"~?")&gt;0,", ","")&amp;"Sésame","")&amp;IF(P38="?",IF(COUNTIF($E38:$O38,"~?")&gt;0,", ","")&amp;"Sulfites","")&amp;IF(Q38="?",IF(COUNTIF($E38:$P38,"~?")&gt;0,", ","")&amp;"Lupin","")&amp;IF(R38="?",IF(COUNTIF($E38:$Q38,"~?")&gt;0,", ","")&amp;"Mollusques","")),"")</f>
        <v/>
      </c>
      <c r="U38" s="493" t="str">
        <f>IF(38=38,IF($B38="","",$B38),"")</f>
        <v>Lait</v>
      </c>
      <c r="V38" s="493" t="str">
        <f>IF(38=38,LOWER(CLEAN(SUBSTITUTE(SUBSTITUTE(SUBSTITUTE(SUBSTITUTE($U38,CHAR(160)," ")," "," "),CHAR(10)," "),CHAR(13)," "))),"")</f>
        <v>lait</v>
      </c>
      <c r="W38" s="493" t="str">
        <f>IF(38=38,SUBSTITUTE(SUBSTITUTE(SUBSTITUTE(SUBSTITUTE(SUBSTITUTE(SUBSTITUTE(SUBSTITUTE(SUBSTITUTE(SUBSTITUTE(SUBSTITUTE(SUBSTITUTE(SUBSTITUTE($V38,"œ","oe"),"æ","ae"),"à","a"),"á","a"),"â","a"),"ä","a"),"ã","a"),"ç","c"),"è","e"),"é","e"),"ê","e"),"ë","e"),"")</f>
        <v>lait</v>
      </c>
      <c r="X38" s="493" t="str">
        <f>IF(38=38,SUBSTITUTE(SUBSTITUTE(SUBSTITUTE(SUBSTITUTE(SUBSTITUTE(SUBSTITUTE(SUBSTITUTE(SUBSTITUTE(SUBSTITUTE(SUBSTITUTE(SUBSTITUTE(SUBSTITUTE(SUBSTITUTE(SUBSTITUTE(SUBSTITUTE(SUBSTITUTE($W38,"ì","i"),"í","i"),"î","i"),"ï","i"),"ñ","n"),"ò","o"),"ó","o"),"ô","o"),"ö","o"),"õ","o"),"ù","u"),"ú","u"),"û","u"),"ü","u"),"ý","y"),"ÿ","y"),"")</f>
        <v>lait</v>
      </c>
      <c r="Y38" s="493" t="str">
        <f>IF(38=38,SUBSTITUTE(SUBSTITUTE(SUBSTITUTE(SUBSTITUTE(SUBSTITUTE(SUBSTITUTE(SUBSTITUTE(SUBSTITUTE(SUBSTITUTE(SUBSTITUTE(SUBSTITUTE(SUBSTITUTE(SUBSTITUTE(SUBSTITUTE($X38,"’"," "),"`"," "),"–"," "),"—"," "),"-"," "),"'"," "),"/"," "),"_"," "),","," "),"."," "),"("," "),")"," "),";"," "),":"," "),"")</f>
        <v>lait</v>
      </c>
      <c r="Z38" s="493" t="str">
        <f>IF(38=38,SUBSTITUTE(SUBSTITUTE(SUBSTITUTE(SUBSTITUTE(SUBSTITUTE(SUBSTITUTE(SUBSTITUTE(SUBSTITUTE(SUBSTITUTE(SUBSTITUTE(SUBSTITUTE(SUBSTITUTE(SUBSTITUTE(SUBSTITUTE(SUBSTITUTE($Y38,"!"," "),"?"," "),"+"," "),"*"," "),"&amp;"," "),"["," "),"]"," "),"{"," "),"}"," "),"%"," "),"="," "),"\"," "),"|"," "),"&lt;"," "),"&gt;"," "),"")</f>
        <v>lait</v>
      </c>
      <c r="AA38" s="493" t="str">
        <f>IF(38=38," "&amp;TRIM(SUBSTITUTE(SUBSTITUTE(SUBSTITUTE(SUBSTITUTE(SUBSTITUTE(SUBSTITUTE($Z38,CHAR(34)," "),"  "," "),"  "," "),"  "," "),"  "," "),"  "," "))&amp;" ","")</f>
        <v xml:space="preserve"> lait </v>
      </c>
      <c r="AB38" s="493">
        <f>IF(38=38,IF($U38="","",SUMPRODUCT(--ISNUMBER(SEARCH(" "&amp;$CR$2:$CR$101&amp;" ",$AD38)))),"")</f>
        <v>0</v>
      </c>
      <c r="AC38" s="493">
        <f>IF(38=38,IF($U38="","",SUMPRODUCT(--ISNUMBER(SEARCH(" "&amp;$CR$102:$CR$151&amp;" ",$AD38)))),"")</f>
        <v>0</v>
      </c>
      <c r="AD38" s="493" t="str">
        <f t="shared" si="1"/>
        <v xml:space="preserve"> lait </v>
      </c>
      <c r="AE38" s="493">
        <f t="shared" si="2"/>
        <v>0</v>
      </c>
      <c r="AF38" s="493" t="str">
        <f>IF(38=38,IF($U38="","",IF(SUM(AB38:AC38)+SUMPRODUCT(--ISNUMBER(SEARCH(" "&amp;$CR$2418:$CR$2420&amp;" ",$AD38)))&gt;0,"X",IF(AE38&gt;0,"?",""))),"")</f>
        <v/>
      </c>
      <c r="AG38" s="493">
        <f>IF(38=38,IF($U38="","",SUMPRODUCT(--ISNUMBER(SEARCH(" "&amp;$CR$206:$CR$305&amp;" ",$AA38)))),"")</f>
        <v>0</v>
      </c>
      <c r="AH38" s="493">
        <f>IF(38=38,IF($U38="","",SUMPRODUCT(--ISNUMBER(SEARCH(" "&amp;$CR$306:$CR$340&amp;" ",$AA38)))),"")</f>
        <v>0</v>
      </c>
      <c r="AI38" s="493" t="str">
        <f>IF(38=38,IF($U38="","",IF((SUM(AG38:AH38))-(0)&gt;0,"X",IF((0)-(0)&gt;0,"?",""))),"")</f>
        <v/>
      </c>
      <c r="AJ38" s="493">
        <f>IF(38=38,IF($U38="","",SUMPRODUCT(--ISNUMBER(SEARCH(" "&amp;$CR$341:$CR$398&amp;" ",$AA38)))),"")</f>
        <v>0</v>
      </c>
      <c r="AK38" s="493">
        <f>IF(38=38,IF($U38="","",SUMPRODUCT(--ISNUMBER(SEARCH(" "&amp;$CR$399:$CR$426&amp;" ",$AL38)))+SUMPRODUCT(--ISNUMBER(SEARCH(" "&amp;$CR$2440:$CR$2453&amp;" ",$AL38)))),"")</f>
        <v>0</v>
      </c>
      <c r="AL38" s="493" t="str">
        <f>IF(38=38,IF($U38="","",SUBSTITUTE(SUBSTITUTE(SUBSTITUTE(SUBSTITUTE(SUBSTITUTE(SUBSTITUTE(SUBSTITUTE(SUBSTITUTE(SUBSTITUTE(SUBSTITUTE(SUBSTITUTE(SUBSTITUTE(SUBSTITUTE(SUBSTITUTE($AA38," "&amp;$CR$2455&amp;" "," ")," "&amp;$CR$433&amp;" "," ")," "&amp;$CR$431&amp;" "," ")," "&amp;$CR$2438&amp;" "," ")," "&amp;$CR$2439&amp;" "," ")," "&amp;$CR$428&amp;" "," ")," "&amp;$CR$432&amp;" "," ")," "&amp;$CR$434&amp;" "," ")," "&amp;$CR$429&amp;" "," ")," "&amp;$CR$427&amp;" "," ")," "&amp;$CR$1367&amp;" "," ")," "&amp;$CR$435&amp;" "," ")," "&amp;$CR$1366&amp;" "," ")," "&amp;$CR$430&amp;" "," ")),"")</f>
        <v xml:space="preserve"> lait </v>
      </c>
      <c r="AM38" s="493" t="str">
        <f>IF(38=38,IF($U38="","",IF(AJ38&gt;0,"X",IF(AK38&gt;0,"?",""))),"")</f>
        <v/>
      </c>
      <c r="AN38" s="493">
        <f>IF(38=38,IF($U38="","",SUMPRODUCT(--ISNUMBER(SEARCH(" "&amp;$CR$436:$CR$535&amp;" ",$AX38)))),"")</f>
        <v>0</v>
      </c>
      <c r="AO38" s="493">
        <f>IF(38=38,IF($U38="","",SUMPRODUCT(--ISNUMBER(SEARCH(" "&amp;$CR$536:$CR$635&amp;" ",$AX38)))),"")</f>
        <v>0</v>
      </c>
      <c r="AP38" s="493">
        <f>IF(38=38,IF($U38="","",SUMPRODUCT(--ISNUMBER(SEARCH(" "&amp;$CR$636:$CR$735&amp;" ",$AX38)))),"")</f>
        <v>0</v>
      </c>
      <c r="AQ38" s="493">
        <f>IF(38=38,IF($U38="","",SUMPRODUCT(--ISNUMBER(SEARCH(" "&amp;$CR$736:$CR$835&amp;" ",$AX38)))),"")</f>
        <v>0</v>
      </c>
      <c r="AR38" s="493">
        <f>IF(38=38,IF($U38="","",SUMPRODUCT(--ISNUMBER(SEARCH(" "&amp;$CR$836:$CR$935&amp;" ",$AX38)))),"")</f>
        <v>0</v>
      </c>
      <c r="AS38" s="493">
        <f>IF(38=38,IF($U38="","",SUMPRODUCT(--ISNUMBER(SEARCH(" "&amp;$CR$936:$CR$1035&amp;" ",$AX38)))),"")</f>
        <v>0</v>
      </c>
      <c r="AT38" s="493">
        <f>IF(38=38,IF($U38="","",SUMPRODUCT(--ISNUMBER(SEARCH(" "&amp;$CR$1036:$CR$1135&amp;" ",$AX38)))),"")</f>
        <v>0</v>
      </c>
      <c r="AU38" s="493">
        <f>IF(38=38,IF($U38="","",SUMPRODUCT(--ISNUMBER(SEARCH(" "&amp;$CR$1136:$CR$1235&amp;" ",$AX38)))),"")</f>
        <v>0</v>
      </c>
      <c r="AV38" s="493">
        <f>IF(38=38,IF($U38="","",SUMPRODUCT(--ISNUMBER(SEARCH(" "&amp;$CR$1236:$CR$1335&amp;" ",$AX38)))),"")</f>
        <v>0</v>
      </c>
      <c r="AW38" s="493">
        <f>IF(38=38,IF($U38="","",SUMPRODUCT(--ISNUMBER(SEARCH(" "&amp;$CR$1336:$CR$1363&amp;" ",$AX38)))),"")</f>
        <v>0</v>
      </c>
      <c r="AX38" s="493" t="str">
        <f>IF(38=38,IF($U38="","",SUBSTITUTE(SUBSTITUTE(SUBSTITUTE(SUBSTITUTE(SUBSTITUTE(SUBSTITUTE(SUBSTITUTE(SUBSTITUTE(SUBSTITUTE($AA38," "&amp;$CR$1365&amp;" "," ")," "&amp;$CR$1364&amp;" "," ")," "&amp;$CR$1370&amp;" "," ")," "&amp;$CR$1371&amp;" "," ")," "&amp;$CR$1367&amp;" "," ")," "&amp;$CR$1369&amp;" "," ")," "&amp;$CR$1366&amp;" "," ")," "&amp;$CR$1368&amp;" "," ")," "&amp;$CR$1372&amp;" "," ")),"")</f>
        <v xml:space="preserve"> lait </v>
      </c>
      <c r="AY38" s="493">
        <f>IF(38=38,IF($U38="","",SUMPRODUCT(--ISNUMBER(SEARCH(" "&amp;$CR$1373:$CR$1383&amp;" ",$AX38)))),"")</f>
        <v>0</v>
      </c>
      <c r="AZ38" s="493" t="str">
        <f>IF(38=38,IF($U38="","",IF(SUM(AN38:AW38)+SUMPRODUCT(--ISNUMBER(SEARCH(" "&amp;$CR$2421:$CR$2422&amp;" ",$AX38)))&gt;0,"X",IF(AY38&gt;0,"?",""))),"")</f>
        <v/>
      </c>
      <c r="BA38" s="493">
        <f>IF(38=38,IF($U38="","",SUMPRODUCT(--ISNUMBER(SEARCH(" "&amp;$CR$1384:$CR$1404&amp;" ",$AA38)))),"")</f>
        <v>0</v>
      </c>
      <c r="BB38" s="493" t="str">
        <f>IF(38=38,IF($U38="","",IF((BA38)-(0)&gt;0,"X",IF((0)-(0)&gt;0,"?",""))),"")</f>
        <v/>
      </c>
      <c r="BC38" s="493">
        <f>IF(38=38,IF($U38="","",SUMPRODUCT(--ISNUMBER(SEARCH(" "&amp;$CR$1405:$CR$1442&amp;" ",$BD38)))),"")</f>
        <v>0</v>
      </c>
      <c r="BD38" s="493" t="str">
        <f>IF(38=38,IF($U38="","",SUBSTITUTE(SUBSTITUTE($AA38," "&amp;$CR$1443&amp;" "," ")," "&amp;$CR$1444&amp;" "," ")),"")</f>
        <v xml:space="preserve"> lait </v>
      </c>
      <c r="BE38" s="493">
        <f>IF(38=38,IF($U38="","",SUMPRODUCT(--ISNUMBER(SEARCH(" "&amp;$CR$1445:$CR$1455&amp;" ",$BD38)))),"")</f>
        <v>0</v>
      </c>
      <c r="BF38" s="493" t="str">
        <f>IF(38=38,IF($U38="","",IF(BC38&gt;0,"X",IF(BE38&gt;0,"?",""))),"")</f>
        <v/>
      </c>
      <c r="BG38" s="493">
        <f>IF(38=38,IF($U38="","",SUMPRODUCT(--ISNUMBER(SEARCH(" "&amp;$CR$1456:$CR$1555&amp;" ",$BJ38)))),"")</f>
        <v>0</v>
      </c>
      <c r="BH38" s="493">
        <f>IF(38=38,IF($U38="","",SUMPRODUCT(--ISNUMBER(SEARCH(" "&amp;$CR$1556:$CR$1655&amp;" ",$BJ38)))),"")</f>
        <v>1</v>
      </c>
      <c r="BI38" s="493">
        <f>IF(38=38,IF($U38="","",SUMPRODUCT(--ISNUMBER(SEARCH(" "&amp;$CR$1656:$CR$1739&amp;" ",$BJ38)))),"")</f>
        <v>0</v>
      </c>
      <c r="BJ38" s="493" t="str">
        <f>IF(38=38,IF($U38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lait </v>
      </c>
      <c r="BK38" s="493">
        <f>IF(38=38,IF($U38="","",SUMPRODUCT(--ISNUMBER(SEARCH(" "&amp;$CR$1790:$CR$1869&amp;" ",$BL38)))+SUMPRODUCT(--ISNUMBER(SEARCH(" "&amp;$CR$2440:$CR$2453&amp;" ",$BL38)))),"")</f>
        <v>0</v>
      </c>
      <c r="BL38" s="493" t="str">
        <f>IF(38=38,IF($U38="","",SUBSTITUTE(SUBSTITUTE(SUBSTITUTE(SUBSTITUTE(SUBSTITUTE(SUBSTITUTE(SUBSTITUTE(SUBSTITUTE(SUBSTITUTE(SUBSTITUTE(SUBSTITUTE(SUBSTITUTE(SUBSTITUTE($BJ38," "&amp;$CR$1876&amp;" "," ")," "&amp;$CR$1874&amp;" "," ")," "&amp;$CR$2438&amp;" "," ")," "&amp;$CR$2439&amp;" "," ")," "&amp;$CR$1871&amp;" "," ")," "&amp;$CR$1875&amp;" "," ")," "&amp;$CR$1877&amp;" "," ")," "&amp;$CR$1872&amp;" "," ")," "&amp;$CR$1870&amp;" "," ")," "&amp;$CR$1367&amp;" "," ")," "&amp;$CR$1878&amp;" "," ")," "&amp;$CR$1366&amp;" "," ")," "&amp;$CR$1873&amp;" "," ")),"")</f>
        <v xml:space="preserve"> lait </v>
      </c>
      <c r="BM38" s="493" t="str">
        <f>IF(38=38,IF($U38="","",IF(SUM(BG38:BI38)+SUMPRODUCT(--ISNUMBER(SEARCH(" "&amp;$CR$2423:$CR$2424&amp;" ",$BJ38)))&gt;0,"X",IF(BK38&gt;0,"?",""))),"")</f>
        <v>X</v>
      </c>
      <c r="BN38" s="493">
        <f>IF(38=38,IF($U38="","",SUMPRODUCT(--ISNUMBER(SEARCH(" "&amp;$CR$1879:$CR$1936&amp;" ",$BO38)))),"")</f>
        <v>0</v>
      </c>
      <c r="BO38" s="493" t="str">
        <f>IF(38=38,IF($U38="","",SUBSTITUTE(SUBSTITUTE(SUBSTITUTE(SUBSTITUTE(SUBSTITUTE(SUBSTITUTE(SUBSTITUTE(SUBSTITUTE(SUBSTITUTE(SUBSTITUTE(SUBSTITUTE(SUBSTITUTE(SUBSTITUTE(SUBSTITUTE(SUBSTITUTE(SUBSTITUTE(SUBSTITUTE(SUBSTITUTE(SUBSTITUTE(SUBSTITUTE(SUBSTITUTE(SUBSTITUTE(SUBSTITUTE($AA38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lait </v>
      </c>
      <c r="BP38" s="493">
        <f>IF(38=38,IF($U38="","",SUMPRODUCT(--ISNUMBER(SEARCH(" "&amp;$CR$1960:$CR$1976&amp;" ",$BO38)))),"")</f>
        <v>0</v>
      </c>
      <c r="BQ38" s="493" t="str">
        <f>IF(38=38,IF($U38="","",IF(BN38&gt;0,"X",IF(BP38&gt;0,"?",""))),"")</f>
        <v/>
      </c>
      <c r="BR38" s="493">
        <f>IF(38=38,IF($U38="","",SUMPRODUCT(--ISNUMBER(SEARCH(" "&amp;$CR$1977:$CR$1990&amp;" ",$AA38)))),"")</f>
        <v>0</v>
      </c>
      <c r="BS38" s="493">
        <f>IF(38=38,IF($U38="","",SUMPRODUCT(--ISNUMBER(SEARCH(" "&amp;$CR$1991:$CR$2005&amp;" ",$AA38)))),"")</f>
        <v>0</v>
      </c>
      <c r="BT38" s="493" t="str">
        <f>IF(38=38,IF($U38="","",IF((BR38)-(0)&gt;0,"X",IF((BS38)-(0)&gt;0,"?",""))),"")</f>
        <v/>
      </c>
      <c r="BU38" s="493">
        <f>IF(38=38,IF($U38="","",SUMPRODUCT(--ISNUMBER(SEARCH(" "&amp;$CR$2006:$CR$2023&amp;" ",$AA38)))),"")</f>
        <v>0</v>
      </c>
      <c r="BV38" s="493">
        <f>IF(38=38,IF($U38="","",SUMPRODUCT(--ISNUMBER(SEARCH(" "&amp;$CR$2024:$CR$2038&amp;" ",$AA38)))),"")</f>
        <v>0</v>
      </c>
      <c r="BW38" s="493" t="str">
        <f>IF(38=38,IF($U38="","",IF((BU38)-(0)&gt;0,"X",IF((BV38)-(0)&gt;0,"?",""))),"")</f>
        <v/>
      </c>
      <c r="BX38" s="493">
        <f>IF(38=38,IF($U38="","",SUMPRODUCT(--ISNUMBER(SEARCH(" "&amp;$CR$2039:$CR$2057&amp;" ",$AA38)))),"")</f>
        <v>0</v>
      </c>
      <c r="BY38" s="493">
        <f>IF(38=38,IF($U38="","",SUMPRODUCT(--ISNUMBER(SEARCH(" "&amp;$CR$2058:$CR$2072&amp;" ",$AA38)))),"")</f>
        <v>0</v>
      </c>
      <c r="BZ38" s="493" t="str">
        <f>IF(38=38,IF($U38="","",IF((BX38)-(0)&gt;0,"X",IF((BY38)-(0)&gt;0,"?",""))),"")</f>
        <v/>
      </c>
      <c r="CA38" s="493">
        <f>IF(38=38,IF($U38="","",SUMPRODUCT(--ISNUMBER(SEARCH(" "&amp;$CR$2073:$CR$2093&amp;" ",$AA38)))),"")</f>
        <v>0</v>
      </c>
      <c r="CB38" s="493">
        <f>IF(38=38,IF($U38="","",SUMPRODUCT(--ISNUMBER(SEARCH(" "&amp;$CR$2094:$CR$2133&amp;" ",SUBSTITUTE(SUBSTITUTE($AA38," "&amp;$CR$1367&amp;" "," ")," "&amp;$CR$1366&amp;" "," "))))+--ISNUMBER(SEARCH("poiré",$V38))),"")</f>
        <v>0</v>
      </c>
      <c r="CC38" s="493" t="str">
        <f>IF(38=38,IF($U38="","",IF(OR(CA38&gt;0,ISNUMBER(SEARCH(" vinaigre de vin ",$AA38)),ISNUMBER(SEARCH(" vinaigre au vin ",$AA38))),"X",IF(CB38&gt;0,"?",""))),"")</f>
        <v/>
      </c>
      <c r="CD38" s="493">
        <f>IF(38=38,IF($U38="","",SUMPRODUCT(--ISNUMBER(SEARCH(" "&amp;$CR$2134:$CR$2146&amp;" ",$AA38)))),"")</f>
        <v>0</v>
      </c>
      <c r="CE38" s="493">
        <f>IF(38=38,IF($U38="","",SUMPRODUCT(--ISNUMBER(SEARCH(" "&amp;$CR$2147:$CR$2152&amp;" ",$AA38)))),"")</f>
        <v>0</v>
      </c>
      <c r="CF38" s="493" t="str">
        <f>IF(38=38,IF($U38="","",IF((CD38)-(0)&gt;0,"X",IF((CE38)-(0)&gt;0,"?",""))),"")</f>
        <v/>
      </c>
      <c r="CG38" s="493">
        <f>IF(38=38,IF($U38="","",SUMPRODUCT(--ISNUMBER(SEARCH(" "&amp;$CR$2153:$CR$2252&amp;" ",$CJ38)))),"")</f>
        <v>0</v>
      </c>
      <c r="CH38" s="493">
        <f>IF(38=38,IF($U38="","",SUMPRODUCT(--ISNUMBER(SEARCH(" "&amp;$CR$2253:$CR$2352&amp;" ",$CJ38)))),"")</f>
        <v>0</v>
      </c>
      <c r="CI38" s="493">
        <f>IF(38=38,IF($U38="","",SUMPRODUCT(--ISNUMBER(SEARCH(" "&amp;$CR$2353:$CR$2395&amp;" ",$CJ38)))),"")</f>
        <v>0</v>
      </c>
      <c r="CJ38" s="493" t="str">
        <f>IF(38=38,IF($U38="","",SUBSTITUTE(SUBSTITUTE(SUBSTITUTE(SUBSTITUTE(SUBSTITUTE(SUBSTITUTE(SUBSTITUTE(SUBSTITUTE(SUBSTITUTE(SUBSTITUTE(SUBSTITUTE(SUBSTITUTE(SUBSTITUTE(SUBSTITUTE(SUBSTITUTE(SUBSTITUTE($AA38," "&amp;$CR$2401&amp;" "," ")," "&amp;$CR$2400&amp;" "," ")," "&amp;$CR$2399&amp;" "," ")," "&amp;$CR$2406&amp;" "," ")," "&amp;$CR$2398&amp;" "," ")," "&amp;$CR$2410&amp;" "," ")," "&amp;$CR$2397&amp;" "," ")," "&amp;$CR$2402&amp;" "," ")," "&amp;$CR$2405&amp;" "," ")," "&amp;$CR$2396&amp;" "," ")," "&amp;$CR$2404&amp;" "," ")," "&amp;$CR$2411&amp;" "," ")," "&amp;$CR$2408&amp;" "," ")," "&amp;$CR$2403&amp;" "," ")," "&amp;$CR$2407&amp;" "," ")," "&amp;$CR$2409&amp;" "," ")),"")</f>
        <v xml:space="preserve"> lait </v>
      </c>
      <c r="CK38" s="493">
        <f>IF(38=38,IF($U38="","",SUMPRODUCT(--ISNUMBER(SEARCH(" "&amp;$CR$2412:$CR$2416&amp;" ",$CJ38)))),"")</f>
        <v>0</v>
      </c>
      <c r="CL38" s="493" t="str">
        <f>IF(38=38,IF($U38="","",IF(SUM(CG38:CI38)&gt;0,"X",IF(CK38&gt;0,"?",""))),"")</f>
        <v/>
      </c>
      <c r="CM38" s="494"/>
      <c r="CN38" s="496" t="s">
        <v>1208</v>
      </c>
      <c r="CO38" s="496" t="s">
        <v>1083</v>
      </c>
      <c r="CP38" s="496" t="s">
        <v>689</v>
      </c>
      <c r="CQ38" s="496" t="s">
        <v>899</v>
      </c>
      <c r="CR38" s="496" t="s">
        <v>899</v>
      </c>
      <c r="CS38" s="496" t="s">
        <v>1085</v>
      </c>
      <c r="CT38" s="496" t="s">
        <v>1086</v>
      </c>
      <c r="CU38" s="496" t="s">
        <v>1087</v>
      </c>
      <c r="CV38" s="497" t="s">
        <v>1088</v>
      </c>
      <c r="CX38" s="543">
        <v>1</v>
      </c>
    </row>
    <row r="39" spans="1:102" ht="21" customHeight="1">
      <c r="A39" s="509">
        <v>33</v>
      </c>
      <c r="B39" s="510" t="s">
        <v>5876</v>
      </c>
      <c r="C39" s="511" t="str">
        <f t="shared" si="0"/>
        <v>Laurier ou bois d’Inde</v>
      </c>
      <c r="D39" s="512" t="str">
        <f>IF(39=39,IF($B39="","",IF(E39="X",""&amp;"Céréales contenant du gluten","")&amp;IF(F39="X",IF(COUNTIF($E39:$E39,"X")&gt;0,", ","")&amp;"Crustacés","")&amp;IF(G39="X",IF(COUNTIF($E39:$F39,"X")&gt;0,", ","")&amp;"Œufs","")&amp;IF(H39="X",IF(COUNTIF($E39:$G39,"X")&gt;0,", ","")&amp;"Poissons","")&amp;IF(I39="X",IF(COUNTIF($E39:$H39,"X")&gt;0,", ","")&amp;"Arachides","")&amp;IF(J39="X",IF(COUNTIF($E39:$I39,"X")&gt;0,", ","")&amp;"Soja","")&amp;IF(K39="X",IF(COUNTIF($E39:$J39,"X")&gt;0,", ","")&amp;"Lait","")&amp;IF(L39="X",IF(COUNTIF($E39:$K39,"X")&gt;0,", ","")&amp;"Fruits à coque","")&amp;IF(M39="X",IF(COUNTIF($E39:$L39,"X")&gt;0,", ","")&amp;"Céleri","")&amp;IF(N39="X",IF(COUNTIF($E39:$M39,"X")&gt;0,", ","")&amp;"Moutarde","")&amp;IF(O39="X",IF(COUNTIF($E39:$N39,"X")&gt;0,", ","")&amp;"Sésame","")&amp;IF(P39="X",IF(COUNTIF($E39:$O39,"X")&gt;0,", ","")&amp;"Sulfites","")&amp;IF(Q39="X",IF(COUNTIF($E39:$P39,"X")&gt;0,", ","")&amp;"Lupin","")&amp;IF(R39="X",IF(COUNTIF($E39:$Q39,"X")&gt;0,", ","")&amp;"Mollusques","")),"")</f>
        <v/>
      </c>
      <c r="E39" s="513" t="str">
        <f>IF(39=39,IF($B39="","",AF39),"")</f>
        <v/>
      </c>
      <c r="F39" s="513" t="str">
        <f>IF(39=39,IF($B39="","",AI39),"")</f>
        <v/>
      </c>
      <c r="G39" s="513" t="str">
        <f>IF(39=39,IF($B39="","",AM39),"")</f>
        <v/>
      </c>
      <c r="H39" s="513" t="str">
        <f>IF(39=39,IF($B39="","",IF(ISNUMBER(SEARCH(" colin ",$AA39)),"X",AZ39)),"")</f>
        <v/>
      </c>
      <c r="I39" s="513" t="str">
        <f>IF(39=39,IF($B39="","",BB39),"")</f>
        <v/>
      </c>
      <c r="J39" s="513" t="str">
        <f>IF(39=39,IF($B39="","",BF39),"")</f>
        <v/>
      </c>
      <c r="K39" s="513" t="str">
        <f>IF(39=39,IF($B39="","",BM39),"")</f>
        <v/>
      </c>
      <c r="L39" s="513" t="str">
        <f>IF(39=39,IF($B39="","",BQ39),"")</f>
        <v/>
      </c>
      <c r="M39" s="513" t="str">
        <f>IF(39=39,IF($B39="","",BT39),"")</f>
        <v/>
      </c>
      <c r="N39" s="513" t="str">
        <f>IF(39=39,IF($B39="","",BW39),"")</f>
        <v/>
      </c>
      <c r="O39" s="513" t="str">
        <f>IF(39=39,IF($B39="","",BZ39),"")</f>
        <v/>
      </c>
      <c r="P39" s="513" t="str">
        <f>IF(39=39,IF($B39="","",CC39),"")</f>
        <v/>
      </c>
      <c r="Q39" s="513" t="str">
        <f>IF(39=39,IF($B39="","",CF39),"")</f>
        <v/>
      </c>
      <c r="R39" s="513" t="str">
        <f>IF(39=39,IF($B39="","",CL39),"")</f>
        <v/>
      </c>
      <c r="S39" s="514" t="str">
        <f>IF(39=39,IF($B39="","",IF(E39="?",""&amp;"Céréales contenant du gluten","")&amp;IF(F39="?",IF(COUNTIF($E39:$E39,"~?")&gt;0,", ","")&amp;"Crustacés","")&amp;IF(G39="?",IF(COUNTIF($E39:$F39,"~?")&gt;0,", ","")&amp;"Œufs","")&amp;IF(H39="?",IF(COUNTIF($E39:$G39,"~?")&gt;0,", ","")&amp;"Poissons","")&amp;IF(I39="?",IF(COUNTIF($E39:$H39,"~?")&gt;0,", ","")&amp;"Arachides","")&amp;IF(J39="?",IF(COUNTIF($E39:$I39,"~?")&gt;0,", ","")&amp;"Soja","")&amp;IF(K39="?",IF(COUNTIF($E39:$J39,"~?")&gt;0,", ","")&amp;"Lait","")&amp;IF(L39="?",IF(COUNTIF($E39:$K39,"~?")&gt;0,", ","")&amp;"Fruits à coque","")&amp;IF(M39="?",IF(COUNTIF($E39:$L39,"~?")&gt;0,", ","")&amp;"Céleri","")&amp;IF(N39="?",IF(COUNTIF($E39:$M39,"~?")&gt;0,", ","")&amp;"Moutarde","")&amp;IF(O39="?",IF(COUNTIF($E39:$N39,"~?")&gt;0,", ","")&amp;"Sésame","")&amp;IF(P39="?",IF(COUNTIF($E39:$O39,"~?")&gt;0,", ","")&amp;"Sulfites","")&amp;IF(Q39="?",IF(COUNTIF($E39:$P39,"~?")&gt;0,", ","")&amp;"Lupin","")&amp;IF(R39="?",IF(COUNTIF($E39:$Q39,"~?")&gt;0,", ","")&amp;"Mollusques","")),"")</f>
        <v/>
      </c>
      <c r="U39" s="493" t="str">
        <f>IF(39=39,IF($B39="","",$B39),"")</f>
        <v>Laurier ou bois d’Inde</v>
      </c>
      <c r="V39" s="493" t="str">
        <f>IF(39=39,LOWER(CLEAN(SUBSTITUTE(SUBSTITUTE(SUBSTITUTE(SUBSTITUTE($U39,CHAR(160)," ")," "," "),CHAR(10)," "),CHAR(13)," "))),"")</f>
        <v>laurier ou bois d’inde</v>
      </c>
      <c r="W39" s="493" t="str">
        <f>IF(39=39,SUBSTITUTE(SUBSTITUTE(SUBSTITUTE(SUBSTITUTE(SUBSTITUTE(SUBSTITUTE(SUBSTITUTE(SUBSTITUTE(SUBSTITUTE(SUBSTITUTE(SUBSTITUTE(SUBSTITUTE($V39,"œ","oe"),"æ","ae"),"à","a"),"á","a"),"â","a"),"ä","a"),"ã","a"),"ç","c"),"è","e"),"é","e"),"ê","e"),"ë","e"),"")</f>
        <v>laurier ou bois d’inde</v>
      </c>
      <c r="X39" s="493" t="str">
        <f>IF(39=39,SUBSTITUTE(SUBSTITUTE(SUBSTITUTE(SUBSTITUTE(SUBSTITUTE(SUBSTITUTE(SUBSTITUTE(SUBSTITUTE(SUBSTITUTE(SUBSTITUTE(SUBSTITUTE(SUBSTITUTE(SUBSTITUTE(SUBSTITUTE(SUBSTITUTE(SUBSTITUTE($W39,"ì","i"),"í","i"),"î","i"),"ï","i"),"ñ","n"),"ò","o"),"ó","o"),"ô","o"),"ö","o"),"õ","o"),"ù","u"),"ú","u"),"û","u"),"ü","u"),"ý","y"),"ÿ","y"),"")</f>
        <v>laurier ou bois d’inde</v>
      </c>
      <c r="Y39" s="493" t="str">
        <f>IF(39=39,SUBSTITUTE(SUBSTITUTE(SUBSTITUTE(SUBSTITUTE(SUBSTITUTE(SUBSTITUTE(SUBSTITUTE(SUBSTITUTE(SUBSTITUTE(SUBSTITUTE(SUBSTITUTE(SUBSTITUTE(SUBSTITUTE(SUBSTITUTE($X39,"’"," "),"`"," "),"–"," "),"—"," "),"-"," "),"'"," "),"/"," "),"_"," "),","," "),"."," "),"("," "),")"," "),";"," "),":"," "),"")</f>
        <v>laurier ou bois d inde</v>
      </c>
      <c r="Z39" s="493" t="str">
        <f>IF(39=39,SUBSTITUTE(SUBSTITUTE(SUBSTITUTE(SUBSTITUTE(SUBSTITUTE(SUBSTITUTE(SUBSTITUTE(SUBSTITUTE(SUBSTITUTE(SUBSTITUTE(SUBSTITUTE(SUBSTITUTE(SUBSTITUTE(SUBSTITUTE(SUBSTITUTE($Y39,"!"," "),"?"," "),"+"," "),"*"," "),"&amp;"," "),"["," "),"]"," "),"{"," "),"}"," "),"%"," "),"="," "),"\"," "),"|"," "),"&lt;"," "),"&gt;"," "),"")</f>
        <v>laurier ou bois d inde</v>
      </c>
      <c r="AA39" s="493" t="str">
        <f>IF(39=39," "&amp;TRIM(SUBSTITUTE(SUBSTITUTE(SUBSTITUTE(SUBSTITUTE(SUBSTITUTE(SUBSTITUTE($Z39,CHAR(34)," "),"  "," "),"  "," "),"  "," "),"  "," "),"  "," "))&amp;" ","")</f>
        <v xml:space="preserve"> laurier ou bois d inde </v>
      </c>
      <c r="AB39" s="493">
        <f>IF(39=39,IF($U39="","",SUMPRODUCT(--ISNUMBER(SEARCH(" "&amp;$CR$2:$CR$101&amp;" ",$AD39)))),"")</f>
        <v>0</v>
      </c>
      <c r="AC39" s="493">
        <f>IF(39=39,IF($U39="","",SUMPRODUCT(--ISNUMBER(SEARCH(" "&amp;$CR$102:$CR$151&amp;" ",$AD39)))),"")</f>
        <v>0</v>
      </c>
      <c r="AD39" s="493" t="str">
        <f t="shared" si="1"/>
        <v xml:space="preserve"> laurier ou bois d inde </v>
      </c>
      <c r="AE39" s="493">
        <f t="shared" si="2"/>
        <v>0</v>
      </c>
      <c r="AF39" s="493" t="str">
        <f>IF(39=39,IF($U39="","",IF(SUM(AB39:AC39)+SUMPRODUCT(--ISNUMBER(SEARCH(" "&amp;$CR$2418:$CR$2420&amp;" ",$AD39)))&gt;0,"X",IF(AE39&gt;0,"?",""))),"")</f>
        <v/>
      </c>
      <c r="AG39" s="493">
        <f>IF(39=39,IF($U39="","",SUMPRODUCT(--ISNUMBER(SEARCH(" "&amp;$CR$206:$CR$305&amp;" ",$AA39)))),"")</f>
        <v>0</v>
      </c>
      <c r="AH39" s="493">
        <f>IF(39=39,IF($U39="","",SUMPRODUCT(--ISNUMBER(SEARCH(" "&amp;$CR$306:$CR$340&amp;" ",$AA39)))),"")</f>
        <v>0</v>
      </c>
      <c r="AI39" s="493" t="str">
        <f>IF(39=39,IF($U39="","",IF((SUM(AG39:AH39))-(0)&gt;0,"X",IF((0)-(0)&gt;0,"?",""))),"")</f>
        <v/>
      </c>
      <c r="AJ39" s="493">
        <f>IF(39=39,IF($U39="","",SUMPRODUCT(--ISNUMBER(SEARCH(" "&amp;$CR$341:$CR$398&amp;" ",$AA39)))),"")</f>
        <v>0</v>
      </c>
      <c r="AK39" s="493">
        <f>IF(39=39,IF($U39="","",SUMPRODUCT(--ISNUMBER(SEARCH(" "&amp;$CR$399:$CR$426&amp;" ",$AL39)))+SUMPRODUCT(--ISNUMBER(SEARCH(" "&amp;$CR$2440:$CR$2453&amp;" ",$AL39)))),"")</f>
        <v>0</v>
      </c>
      <c r="AL39" s="493" t="str">
        <f>IF(39=39,IF($U39="","",SUBSTITUTE(SUBSTITUTE(SUBSTITUTE(SUBSTITUTE(SUBSTITUTE(SUBSTITUTE(SUBSTITUTE(SUBSTITUTE(SUBSTITUTE(SUBSTITUTE(SUBSTITUTE(SUBSTITUTE(SUBSTITUTE(SUBSTITUTE($AA39," "&amp;$CR$2455&amp;" "," ")," "&amp;$CR$433&amp;" "," ")," "&amp;$CR$431&amp;" "," ")," "&amp;$CR$2438&amp;" "," ")," "&amp;$CR$2439&amp;" "," ")," "&amp;$CR$428&amp;" "," ")," "&amp;$CR$432&amp;" "," ")," "&amp;$CR$434&amp;" "," ")," "&amp;$CR$429&amp;" "," ")," "&amp;$CR$427&amp;" "," ")," "&amp;$CR$1367&amp;" "," ")," "&amp;$CR$435&amp;" "," ")," "&amp;$CR$1366&amp;" "," ")," "&amp;$CR$430&amp;" "," ")),"")</f>
        <v xml:space="preserve"> laurier ou bois d inde </v>
      </c>
      <c r="AM39" s="493" t="str">
        <f>IF(39=39,IF($U39="","",IF(AJ39&gt;0,"X",IF(AK39&gt;0,"?",""))),"")</f>
        <v/>
      </c>
      <c r="AN39" s="493">
        <f>IF(39=39,IF($U39="","",SUMPRODUCT(--ISNUMBER(SEARCH(" "&amp;$CR$436:$CR$535&amp;" ",$AX39)))),"")</f>
        <v>0</v>
      </c>
      <c r="AO39" s="493">
        <f>IF(39=39,IF($U39="","",SUMPRODUCT(--ISNUMBER(SEARCH(" "&amp;$CR$536:$CR$635&amp;" ",$AX39)))),"")</f>
        <v>0</v>
      </c>
      <c r="AP39" s="493">
        <f>IF(39=39,IF($U39="","",SUMPRODUCT(--ISNUMBER(SEARCH(" "&amp;$CR$636:$CR$735&amp;" ",$AX39)))),"")</f>
        <v>0</v>
      </c>
      <c r="AQ39" s="493">
        <f>IF(39=39,IF($U39="","",SUMPRODUCT(--ISNUMBER(SEARCH(" "&amp;$CR$736:$CR$835&amp;" ",$AX39)))),"")</f>
        <v>0</v>
      </c>
      <c r="AR39" s="493">
        <f>IF(39=39,IF($U39="","",SUMPRODUCT(--ISNUMBER(SEARCH(" "&amp;$CR$836:$CR$935&amp;" ",$AX39)))),"")</f>
        <v>0</v>
      </c>
      <c r="AS39" s="493">
        <f>IF(39=39,IF($U39="","",SUMPRODUCT(--ISNUMBER(SEARCH(" "&amp;$CR$936:$CR$1035&amp;" ",$AX39)))),"")</f>
        <v>0</v>
      </c>
      <c r="AT39" s="493">
        <f>IF(39=39,IF($U39="","",SUMPRODUCT(--ISNUMBER(SEARCH(" "&amp;$CR$1036:$CR$1135&amp;" ",$AX39)))),"")</f>
        <v>0</v>
      </c>
      <c r="AU39" s="493">
        <f>IF(39=39,IF($U39="","",SUMPRODUCT(--ISNUMBER(SEARCH(" "&amp;$CR$1136:$CR$1235&amp;" ",$AX39)))),"")</f>
        <v>0</v>
      </c>
      <c r="AV39" s="493">
        <f>IF(39=39,IF($U39="","",SUMPRODUCT(--ISNUMBER(SEARCH(" "&amp;$CR$1236:$CR$1335&amp;" ",$AX39)))),"")</f>
        <v>0</v>
      </c>
      <c r="AW39" s="493">
        <f>IF(39=39,IF($U39="","",SUMPRODUCT(--ISNUMBER(SEARCH(" "&amp;$CR$1336:$CR$1363&amp;" ",$AX39)))),"")</f>
        <v>0</v>
      </c>
      <c r="AX39" s="493" t="str">
        <f>IF(39=39,IF($U39="","",SUBSTITUTE(SUBSTITUTE(SUBSTITUTE(SUBSTITUTE(SUBSTITUTE(SUBSTITUTE(SUBSTITUTE(SUBSTITUTE(SUBSTITUTE($AA39," "&amp;$CR$1365&amp;" "," ")," "&amp;$CR$1364&amp;" "," ")," "&amp;$CR$1370&amp;" "," ")," "&amp;$CR$1371&amp;" "," ")," "&amp;$CR$1367&amp;" "," ")," "&amp;$CR$1369&amp;" "," ")," "&amp;$CR$1366&amp;" "," ")," "&amp;$CR$1368&amp;" "," ")," "&amp;$CR$1372&amp;" "," ")),"")</f>
        <v xml:space="preserve"> laurier ou bois d inde </v>
      </c>
      <c r="AY39" s="493">
        <f>IF(39=39,IF($U39="","",SUMPRODUCT(--ISNUMBER(SEARCH(" "&amp;$CR$1373:$CR$1383&amp;" ",$AX39)))),"")</f>
        <v>0</v>
      </c>
      <c r="AZ39" s="493" t="str">
        <f>IF(39=39,IF($U39="","",IF(SUM(AN39:AW39)+SUMPRODUCT(--ISNUMBER(SEARCH(" "&amp;$CR$2421:$CR$2422&amp;" ",$AX39)))&gt;0,"X",IF(AY39&gt;0,"?",""))),"")</f>
        <v/>
      </c>
      <c r="BA39" s="493">
        <f>IF(39=39,IF($U39="","",SUMPRODUCT(--ISNUMBER(SEARCH(" "&amp;$CR$1384:$CR$1404&amp;" ",$AA39)))),"")</f>
        <v>0</v>
      </c>
      <c r="BB39" s="493" t="str">
        <f>IF(39=39,IF($U39="","",IF((BA39)-(0)&gt;0,"X",IF((0)-(0)&gt;0,"?",""))),"")</f>
        <v/>
      </c>
      <c r="BC39" s="493">
        <f>IF(39=39,IF($U39="","",SUMPRODUCT(--ISNUMBER(SEARCH(" "&amp;$CR$1405:$CR$1442&amp;" ",$BD39)))),"")</f>
        <v>0</v>
      </c>
      <c r="BD39" s="493" t="str">
        <f>IF(39=39,IF($U39="","",SUBSTITUTE(SUBSTITUTE($AA39," "&amp;$CR$1443&amp;" "," ")," "&amp;$CR$1444&amp;" "," ")),"")</f>
        <v xml:space="preserve"> laurier ou bois d inde </v>
      </c>
      <c r="BE39" s="493">
        <f>IF(39=39,IF($U39="","",SUMPRODUCT(--ISNUMBER(SEARCH(" "&amp;$CR$1445:$CR$1455&amp;" ",$BD39)))),"")</f>
        <v>0</v>
      </c>
      <c r="BF39" s="493" t="str">
        <f>IF(39=39,IF($U39="","",IF(BC39&gt;0,"X",IF(BE39&gt;0,"?",""))),"")</f>
        <v/>
      </c>
      <c r="BG39" s="493">
        <f>IF(39=39,IF($U39="","",SUMPRODUCT(--ISNUMBER(SEARCH(" "&amp;$CR$1456:$CR$1555&amp;" ",$BJ39)))),"")</f>
        <v>0</v>
      </c>
      <c r="BH39" s="493">
        <f>IF(39=39,IF($U39="","",SUMPRODUCT(--ISNUMBER(SEARCH(" "&amp;$CR$1556:$CR$1655&amp;" ",$BJ39)))),"")</f>
        <v>0</v>
      </c>
      <c r="BI39" s="493">
        <f>IF(39=39,IF($U39="","",SUMPRODUCT(--ISNUMBER(SEARCH(" "&amp;$CR$1656:$CR$1739&amp;" ",$BJ39)))),"")</f>
        <v>0</v>
      </c>
      <c r="BJ39" s="493" t="str">
        <f>IF(39=39,IF($U39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laurier ou bois d inde </v>
      </c>
      <c r="BK39" s="493">
        <f>IF(39=39,IF($U39="","",SUMPRODUCT(--ISNUMBER(SEARCH(" "&amp;$CR$1790:$CR$1869&amp;" ",$BL39)))+SUMPRODUCT(--ISNUMBER(SEARCH(" "&amp;$CR$2440:$CR$2453&amp;" ",$BL39)))),"")</f>
        <v>0</v>
      </c>
      <c r="BL39" s="493" t="str">
        <f>IF(39=39,IF($U39="","",SUBSTITUTE(SUBSTITUTE(SUBSTITUTE(SUBSTITUTE(SUBSTITUTE(SUBSTITUTE(SUBSTITUTE(SUBSTITUTE(SUBSTITUTE(SUBSTITUTE(SUBSTITUTE(SUBSTITUTE(SUBSTITUTE($BJ39," "&amp;$CR$1876&amp;" "," ")," "&amp;$CR$1874&amp;" "," ")," "&amp;$CR$2438&amp;" "," ")," "&amp;$CR$2439&amp;" "," ")," "&amp;$CR$1871&amp;" "," ")," "&amp;$CR$1875&amp;" "," ")," "&amp;$CR$1877&amp;" "," ")," "&amp;$CR$1872&amp;" "," ")," "&amp;$CR$1870&amp;" "," ")," "&amp;$CR$1367&amp;" "," ")," "&amp;$CR$1878&amp;" "," ")," "&amp;$CR$1366&amp;" "," ")," "&amp;$CR$1873&amp;" "," ")),"")</f>
        <v xml:space="preserve"> laurier ou bois d inde </v>
      </c>
      <c r="BM39" s="493" t="str">
        <f>IF(39=39,IF($U39="","",IF(SUM(BG39:BI39)+SUMPRODUCT(--ISNUMBER(SEARCH(" "&amp;$CR$2423:$CR$2424&amp;" ",$BJ39)))&gt;0,"X",IF(BK39&gt;0,"?",""))),"")</f>
        <v/>
      </c>
      <c r="BN39" s="493">
        <f>IF(39=39,IF($U39="","",SUMPRODUCT(--ISNUMBER(SEARCH(" "&amp;$CR$1879:$CR$1936&amp;" ",$BO39)))),"")</f>
        <v>0</v>
      </c>
      <c r="BO39" s="493" t="str">
        <f>IF(39=39,IF($U39="","",SUBSTITUTE(SUBSTITUTE(SUBSTITUTE(SUBSTITUTE(SUBSTITUTE(SUBSTITUTE(SUBSTITUTE(SUBSTITUTE(SUBSTITUTE(SUBSTITUTE(SUBSTITUTE(SUBSTITUTE(SUBSTITUTE(SUBSTITUTE(SUBSTITUTE(SUBSTITUTE(SUBSTITUTE(SUBSTITUTE(SUBSTITUTE(SUBSTITUTE(SUBSTITUTE(SUBSTITUTE(SUBSTITUTE($AA39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laurier ou bois d inde </v>
      </c>
      <c r="BP39" s="493">
        <f>IF(39=39,IF($U39="","",SUMPRODUCT(--ISNUMBER(SEARCH(" "&amp;$CR$1960:$CR$1976&amp;" ",$BO39)))),"")</f>
        <v>0</v>
      </c>
      <c r="BQ39" s="493" t="str">
        <f>IF(39=39,IF($U39="","",IF(BN39&gt;0,"X",IF(BP39&gt;0,"?",""))),"")</f>
        <v/>
      </c>
      <c r="BR39" s="493">
        <f>IF(39=39,IF($U39="","",SUMPRODUCT(--ISNUMBER(SEARCH(" "&amp;$CR$1977:$CR$1990&amp;" ",$AA39)))),"")</f>
        <v>0</v>
      </c>
      <c r="BS39" s="493">
        <f>IF(39=39,IF($U39="","",SUMPRODUCT(--ISNUMBER(SEARCH(" "&amp;$CR$1991:$CR$2005&amp;" ",$AA39)))),"")</f>
        <v>0</v>
      </c>
      <c r="BT39" s="493" t="str">
        <f>IF(39=39,IF($U39="","",IF((BR39)-(0)&gt;0,"X",IF((BS39)-(0)&gt;0,"?",""))),"")</f>
        <v/>
      </c>
      <c r="BU39" s="493">
        <f>IF(39=39,IF($U39="","",SUMPRODUCT(--ISNUMBER(SEARCH(" "&amp;$CR$2006:$CR$2023&amp;" ",$AA39)))),"")</f>
        <v>0</v>
      </c>
      <c r="BV39" s="493">
        <f>IF(39=39,IF($U39="","",SUMPRODUCT(--ISNUMBER(SEARCH(" "&amp;$CR$2024:$CR$2038&amp;" ",$AA39)))),"")</f>
        <v>0</v>
      </c>
      <c r="BW39" s="493" t="str">
        <f>IF(39=39,IF($U39="","",IF((BU39)-(0)&gt;0,"X",IF((BV39)-(0)&gt;0,"?",""))),"")</f>
        <v/>
      </c>
      <c r="BX39" s="493">
        <f>IF(39=39,IF($U39="","",SUMPRODUCT(--ISNUMBER(SEARCH(" "&amp;$CR$2039:$CR$2057&amp;" ",$AA39)))),"")</f>
        <v>0</v>
      </c>
      <c r="BY39" s="493">
        <f>IF(39=39,IF($U39="","",SUMPRODUCT(--ISNUMBER(SEARCH(" "&amp;$CR$2058:$CR$2072&amp;" ",$AA39)))),"")</f>
        <v>0</v>
      </c>
      <c r="BZ39" s="493" t="str">
        <f>IF(39=39,IF($U39="","",IF((BX39)-(0)&gt;0,"X",IF((BY39)-(0)&gt;0,"?",""))),"")</f>
        <v/>
      </c>
      <c r="CA39" s="493">
        <f>IF(39=39,IF($U39="","",SUMPRODUCT(--ISNUMBER(SEARCH(" "&amp;$CR$2073:$CR$2093&amp;" ",$AA39)))),"")</f>
        <v>0</v>
      </c>
      <c r="CB39" s="493">
        <f>IF(39=39,IF($U39="","",SUMPRODUCT(--ISNUMBER(SEARCH(" "&amp;$CR$2094:$CR$2133&amp;" ",SUBSTITUTE(SUBSTITUTE($AA39," "&amp;$CR$1367&amp;" "," ")," "&amp;$CR$1366&amp;" "," "))))+--ISNUMBER(SEARCH("poiré",$V39))),"")</f>
        <v>0</v>
      </c>
      <c r="CC39" s="493" t="str">
        <f>IF(39=39,IF($U39="","",IF(OR(CA39&gt;0,ISNUMBER(SEARCH(" vinaigre de vin ",$AA39)),ISNUMBER(SEARCH(" vinaigre au vin ",$AA39))),"X",IF(CB39&gt;0,"?",""))),"")</f>
        <v/>
      </c>
      <c r="CD39" s="493">
        <f>IF(39=39,IF($U39="","",SUMPRODUCT(--ISNUMBER(SEARCH(" "&amp;$CR$2134:$CR$2146&amp;" ",$AA39)))),"")</f>
        <v>0</v>
      </c>
      <c r="CE39" s="493">
        <f>IF(39=39,IF($U39="","",SUMPRODUCT(--ISNUMBER(SEARCH(" "&amp;$CR$2147:$CR$2152&amp;" ",$AA39)))),"")</f>
        <v>0</v>
      </c>
      <c r="CF39" s="493" t="str">
        <f>IF(39=39,IF($U39="","",IF((CD39)-(0)&gt;0,"X",IF((CE39)-(0)&gt;0,"?",""))),"")</f>
        <v/>
      </c>
      <c r="CG39" s="493">
        <f>IF(39=39,IF($U39="","",SUMPRODUCT(--ISNUMBER(SEARCH(" "&amp;$CR$2153:$CR$2252&amp;" ",$CJ39)))),"")</f>
        <v>0</v>
      </c>
      <c r="CH39" s="493">
        <f>IF(39=39,IF($U39="","",SUMPRODUCT(--ISNUMBER(SEARCH(" "&amp;$CR$2253:$CR$2352&amp;" ",$CJ39)))),"")</f>
        <v>0</v>
      </c>
      <c r="CI39" s="493">
        <f>IF(39=39,IF($U39="","",SUMPRODUCT(--ISNUMBER(SEARCH(" "&amp;$CR$2353:$CR$2395&amp;" ",$CJ39)))),"")</f>
        <v>0</v>
      </c>
      <c r="CJ39" s="493" t="str">
        <f>IF(39=39,IF($U39="","",SUBSTITUTE(SUBSTITUTE(SUBSTITUTE(SUBSTITUTE(SUBSTITUTE(SUBSTITUTE(SUBSTITUTE(SUBSTITUTE(SUBSTITUTE(SUBSTITUTE(SUBSTITUTE(SUBSTITUTE(SUBSTITUTE(SUBSTITUTE(SUBSTITUTE(SUBSTITUTE($AA39," "&amp;$CR$2401&amp;" "," ")," "&amp;$CR$2400&amp;" "," ")," "&amp;$CR$2399&amp;" "," ")," "&amp;$CR$2406&amp;" "," ")," "&amp;$CR$2398&amp;" "," ")," "&amp;$CR$2410&amp;" "," ")," "&amp;$CR$2397&amp;" "," ")," "&amp;$CR$2402&amp;" "," ")," "&amp;$CR$2405&amp;" "," ")," "&amp;$CR$2396&amp;" "," ")," "&amp;$CR$2404&amp;" "," ")," "&amp;$CR$2411&amp;" "," ")," "&amp;$CR$2408&amp;" "," ")," "&amp;$CR$2403&amp;" "," ")," "&amp;$CR$2407&amp;" "," ")," "&amp;$CR$2409&amp;" "," ")),"")</f>
        <v xml:space="preserve"> laurier ou bois d inde </v>
      </c>
      <c r="CK39" s="493">
        <f>IF(39=39,IF($U39="","",SUMPRODUCT(--ISNUMBER(SEARCH(" "&amp;$CR$2412:$CR$2416&amp;" ",$CJ39)))),"")</f>
        <v>0</v>
      </c>
      <c r="CL39" s="493" t="str">
        <f>IF(39=39,IF($U39="","",IF(SUM(CG39:CI39)&gt;0,"X",IF(CK39&gt;0,"?",""))),"")</f>
        <v/>
      </c>
      <c r="CM39" s="494"/>
      <c r="CN39" s="496" t="s">
        <v>1209</v>
      </c>
      <c r="CO39" s="496" t="s">
        <v>1083</v>
      </c>
      <c r="CP39" s="496" t="s">
        <v>689</v>
      </c>
      <c r="CQ39" s="496" t="s">
        <v>1210</v>
      </c>
      <c r="CR39" s="496" t="s">
        <v>900</v>
      </c>
      <c r="CS39" s="496" t="s">
        <v>1085</v>
      </c>
      <c r="CT39" s="496" t="s">
        <v>1086</v>
      </c>
      <c r="CU39" s="496" t="s">
        <v>1087</v>
      </c>
      <c r="CV39" s="497" t="s">
        <v>1088</v>
      </c>
      <c r="CX39" s="543">
        <v>1</v>
      </c>
    </row>
    <row r="40" spans="1:102" ht="21" customHeight="1">
      <c r="A40" s="509">
        <v>34</v>
      </c>
      <c r="B40" s="510" t="s">
        <v>5835</v>
      </c>
      <c r="C40" s="511" t="str">
        <f t="shared" si="0"/>
        <v>Margarine ?</v>
      </c>
      <c r="D40" s="512" t="str">
        <f>IF(40=40,IF($B40="","",IF(E40="X",""&amp;"Céréales contenant du gluten","")&amp;IF(F40="X",IF(COUNTIF($E40:$E40,"X")&gt;0,", ","")&amp;"Crustacés","")&amp;IF(G40="X",IF(COUNTIF($E40:$F40,"X")&gt;0,", ","")&amp;"Œufs","")&amp;IF(H40="X",IF(COUNTIF($E40:$G40,"X")&gt;0,", ","")&amp;"Poissons","")&amp;IF(I40="X",IF(COUNTIF($E40:$H40,"X")&gt;0,", ","")&amp;"Arachides","")&amp;IF(J40="X",IF(COUNTIF($E40:$I40,"X")&gt;0,", ","")&amp;"Soja","")&amp;IF(K40="X",IF(COUNTIF($E40:$J40,"X")&gt;0,", ","")&amp;"Lait","")&amp;IF(L40="X",IF(COUNTIF($E40:$K40,"X")&gt;0,", ","")&amp;"Fruits à coque","")&amp;IF(M40="X",IF(COUNTIF($E40:$L40,"X")&gt;0,", ","")&amp;"Céleri","")&amp;IF(N40="X",IF(COUNTIF($E40:$M40,"X")&gt;0,", ","")&amp;"Moutarde","")&amp;IF(O40="X",IF(COUNTIF($E40:$N40,"X")&gt;0,", ","")&amp;"Sésame","")&amp;IF(P40="X",IF(COUNTIF($E40:$O40,"X")&gt;0,", ","")&amp;"Sulfites","")&amp;IF(Q40="X",IF(COUNTIF($E40:$P40,"X")&gt;0,", ","")&amp;"Lupin","")&amp;IF(R40="X",IF(COUNTIF($E40:$Q40,"X")&gt;0,", ","")&amp;"Mollusques","")),"")</f>
        <v/>
      </c>
      <c r="E40" s="513" t="str">
        <f>IF(40=40,IF($B40="","",AF40),"")</f>
        <v/>
      </c>
      <c r="F40" s="513" t="str">
        <f>IF(40=40,IF($B40="","",AI40),"")</f>
        <v/>
      </c>
      <c r="G40" s="513" t="str">
        <f>IF(40=40,IF($B40="","",AM40),"")</f>
        <v/>
      </c>
      <c r="H40" s="513" t="str">
        <f>IF(40=40,IF($B40="","",IF(ISNUMBER(SEARCH(" colin ",$AA40)),"X",AZ40)),"")</f>
        <v/>
      </c>
      <c r="I40" s="513" t="str">
        <f>IF(40=40,IF($B40="","",BB40),"")</f>
        <v/>
      </c>
      <c r="J40" s="513" t="str">
        <f>IF(40=40,IF($B40="","",BF40),"")</f>
        <v>?</v>
      </c>
      <c r="K40" s="513" t="str">
        <f>IF(40=40,IF($B40="","",BM40),"")</f>
        <v>?</v>
      </c>
      <c r="L40" s="513" t="str">
        <f>IF(40=40,IF($B40="","",BQ40),"")</f>
        <v/>
      </c>
      <c r="M40" s="513" t="str">
        <f>IF(40=40,IF($B40="","",BT40),"")</f>
        <v/>
      </c>
      <c r="N40" s="513" t="str">
        <f>IF(40=40,IF($B40="","",BW40),"")</f>
        <v/>
      </c>
      <c r="O40" s="513" t="str">
        <f>IF(40=40,IF($B40="","",BZ40),"")</f>
        <v/>
      </c>
      <c r="P40" s="513" t="str">
        <f>IF(40=40,IF($B40="","",CC40),"")</f>
        <v/>
      </c>
      <c r="Q40" s="513" t="str">
        <f>IF(40=40,IF($B40="","",CF40),"")</f>
        <v/>
      </c>
      <c r="R40" s="513" t="str">
        <f>IF(40=40,IF($B40="","",CL40),"")</f>
        <v/>
      </c>
      <c r="S40" s="514" t="str">
        <f>IF(40=40,IF($B40="","",IF(E40="?",""&amp;"Céréales contenant du gluten","")&amp;IF(F40="?",IF(COUNTIF($E40:$E40,"~?")&gt;0,", ","")&amp;"Crustacés","")&amp;IF(G40="?",IF(COUNTIF($E40:$F40,"~?")&gt;0,", ","")&amp;"Œufs","")&amp;IF(H40="?",IF(COUNTIF($E40:$G40,"~?")&gt;0,", ","")&amp;"Poissons","")&amp;IF(I40="?",IF(COUNTIF($E40:$H40,"~?")&gt;0,", ","")&amp;"Arachides","")&amp;IF(J40="?",IF(COUNTIF($E40:$I40,"~?")&gt;0,", ","")&amp;"Soja","")&amp;IF(K40="?",IF(COUNTIF($E40:$J40,"~?")&gt;0,", ","")&amp;"Lait","")&amp;IF(L40="?",IF(COUNTIF($E40:$K40,"~?")&gt;0,", ","")&amp;"Fruits à coque","")&amp;IF(M40="?",IF(COUNTIF($E40:$L40,"~?")&gt;0,", ","")&amp;"Céleri","")&amp;IF(N40="?",IF(COUNTIF($E40:$M40,"~?")&gt;0,", ","")&amp;"Moutarde","")&amp;IF(O40="?",IF(COUNTIF($E40:$N40,"~?")&gt;0,", ","")&amp;"Sésame","")&amp;IF(P40="?",IF(COUNTIF($E40:$O40,"~?")&gt;0,", ","")&amp;"Sulfites","")&amp;IF(Q40="?",IF(COUNTIF($E40:$P40,"~?")&gt;0,", ","")&amp;"Lupin","")&amp;IF(R40="?",IF(COUNTIF($E40:$Q40,"~?")&gt;0,", ","")&amp;"Mollusques","")),"")</f>
        <v>Soja, Lait</v>
      </c>
      <c r="U40" s="493" t="str">
        <f>IF(40=40,IF($B40="","",$B40),"")</f>
        <v>Margarine</v>
      </c>
      <c r="V40" s="493" t="str">
        <f>IF(40=40,LOWER(CLEAN(SUBSTITUTE(SUBSTITUTE(SUBSTITUTE(SUBSTITUTE($U40,CHAR(160)," ")," "," "),CHAR(10)," "),CHAR(13)," "))),"")</f>
        <v>margarine</v>
      </c>
      <c r="W40" s="493" t="str">
        <f>IF(40=40,SUBSTITUTE(SUBSTITUTE(SUBSTITUTE(SUBSTITUTE(SUBSTITUTE(SUBSTITUTE(SUBSTITUTE(SUBSTITUTE(SUBSTITUTE(SUBSTITUTE(SUBSTITUTE(SUBSTITUTE($V40,"œ","oe"),"æ","ae"),"à","a"),"á","a"),"â","a"),"ä","a"),"ã","a"),"ç","c"),"è","e"),"é","e"),"ê","e"),"ë","e"),"")</f>
        <v>margarine</v>
      </c>
      <c r="X40" s="493" t="str">
        <f>IF(40=40,SUBSTITUTE(SUBSTITUTE(SUBSTITUTE(SUBSTITUTE(SUBSTITUTE(SUBSTITUTE(SUBSTITUTE(SUBSTITUTE(SUBSTITUTE(SUBSTITUTE(SUBSTITUTE(SUBSTITUTE(SUBSTITUTE(SUBSTITUTE(SUBSTITUTE(SUBSTITUTE($W40,"ì","i"),"í","i"),"î","i"),"ï","i"),"ñ","n"),"ò","o"),"ó","o"),"ô","o"),"ö","o"),"õ","o"),"ù","u"),"ú","u"),"û","u"),"ü","u"),"ý","y"),"ÿ","y"),"")</f>
        <v>margarine</v>
      </c>
      <c r="Y40" s="493" t="str">
        <f>IF(40=40,SUBSTITUTE(SUBSTITUTE(SUBSTITUTE(SUBSTITUTE(SUBSTITUTE(SUBSTITUTE(SUBSTITUTE(SUBSTITUTE(SUBSTITUTE(SUBSTITUTE(SUBSTITUTE(SUBSTITUTE(SUBSTITUTE(SUBSTITUTE($X40,"’"," "),"`"," "),"–"," "),"—"," "),"-"," "),"'"," "),"/"," "),"_"," "),","," "),"."," "),"("," "),")"," "),";"," "),":"," "),"")</f>
        <v>margarine</v>
      </c>
      <c r="Z40" s="493" t="str">
        <f>IF(40=40,SUBSTITUTE(SUBSTITUTE(SUBSTITUTE(SUBSTITUTE(SUBSTITUTE(SUBSTITUTE(SUBSTITUTE(SUBSTITUTE(SUBSTITUTE(SUBSTITUTE(SUBSTITUTE(SUBSTITUTE(SUBSTITUTE(SUBSTITUTE(SUBSTITUTE($Y40,"!"," "),"?"," "),"+"," "),"*"," "),"&amp;"," "),"["," "),"]"," "),"{"," "),"}"," "),"%"," "),"="," "),"\"," "),"|"," "),"&lt;"," "),"&gt;"," "),"")</f>
        <v>margarine</v>
      </c>
      <c r="AA40" s="493" t="str">
        <f>IF(40=40," "&amp;TRIM(SUBSTITUTE(SUBSTITUTE(SUBSTITUTE(SUBSTITUTE(SUBSTITUTE(SUBSTITUTE($Z40,CHAR(34)," "),"  "," "),"  "," "),"  "," "),"  "," "),"  "," "))&amp;" ","")</f>
        <v xml:space="preserve"> margarine </v>
      </c>
      <c r="AB40" s="493">
        <f>IF(40=40,IF($U40="","",SUMPRODUCT(--ISNUMBER(SEARCH(" "&amp;$CR$2:$CR$101&amp;" ",$AD40)))),"")</f>
        <v>0</v>
      </c>
      <c r="AC40" s="493">
        <f>IF(40=40,IF($U40="","",SUMPRODUCT(--ISNUMBER(SEARCH(" "&amp;$CR$102:$CR$151&amp;" ",$AD40)))),"")</f>
        <v>0</v>
      </c>
      <c r="AD40" s="493" t="str">
        <f t="shared" si="1"/>
        <v xml:space="preserve"> margarine </v>
      </c>
      <c r="AE40" s="493">
        <f t="shared" si="2"/>
        <v>0</v>
      </c>
      <c r="AF40" s="493" t="str">
        <f>IF(40=40,IF($U40="","",IF(SUM(AB40:AC40)+SUMPRODUCT(--ISNUMBER(SEARCH(" "&amp;$CR$2418:$CR$2420&amp;" ",$AD40)))&gt;0,"X",IF(AE40&gt;0,"?",""))),"")</f>
        <v/>
      </c>
      <c r="AG40" s="493">
        <f>IF(40=40,IF($U40="","",SUMPRODUCT(--ISNUMBER(SEARCH(" "&amp;$CR$206:$CR$305&amp;" ",$AA40)))),"")</f>
        <v>0</v>
      </c>
      <c r="AH40" s="493">
        <f>IF(40=40,IF($U40="","",SUMPRODUCT(--ISNUMBER(SEARCH(" "&amp;$CR$306:$CR$340&amp;" ",$AA40)))),"")</f>
        <v>0</v>
      </c>
      <c r="AI40" s="493" t="str">
        <f>IF(40=40,IF($U40="","",IF((SUM(AG40:AH40))-(0)&gt;0,"X",IF((0)-(0)&gt;0,"?",""))),"")</f>
        <v/>
      </c>
      <c r="AJ40" s="493">
        <f>IF(40=40,IF($U40="","",SUMPRODUCT(--ISNUMBER(SEARCH(" "&amp;$CR$341:$CR$398&amp;" ",$AA40)))),"")</f>
        <v>0</v>
      </c>
      <c r="AK40" s="493">
        <f>IF(40=40,IF($U40="","",SUMPRODUCT(--ISNUMBER(SEARCH(" "&amp;$CR$399:$CR$426&amp;" ",$AL40)))+SUMPRODUCT(--ISNUMBER(SEARCH(" "&amp;$CR$2440:$CR$2453&amp;" ",$AL40)))),"")</f>
        <v>0</v>
      </c>
      <c r="AL40" s="493" t="str">
        <f>IF(40=40,IF($U40="","",SUBSTITUTE(SUBSTITUTE(SUBSTITUTE(SUBSTITUTE(SUBSTITUTE(SUBSTITUTE(SUBSTITUTE(SUBSTITUTE(SUBSTITUTE(SUBSTITUTE(SUBSTITUTE(SUBSTITUTE(SUBSTITUTE(SUBSTITUTE($AA40," "&amp;$CR$2455&amp;" "," ")," "&amp;$CR$433&amp;" "," ")," "&amp;$CR$431&amp;" "," ")," "&amp;$CR$2438&amp;" "," ")," "&amp;$CR$2439&amp;" "," ")," "&amp;$CR$428&amp;" "," ")," "&amp;$CR$432&amp;" "," ")," "&amp;$CR$434&amp;" "," ")," "&amp;$CR$429&amp;" "," ")," "&amp;$CR$427&amp;" "," ")," "&amp;$CR$1367&amp;" "," ")," "&amp;$CR$435&amp;" "," ")," "&amp;$CR$1366&amp;" "," ")," "&amp;$CR$430&amp;" "," ")),"")</f>
        <v xml:space="preserve"> margarine </v>
      </c>
      <c r="AM40" s="493" t="str">
        <f>IF(40=40,IF($U40="","",IF(AJ40&gt;0,"X",IF(AK40&gt;0,"?",""))),"")</f>
        <v/>
      </c>
      <c r="AN40" s="493">
        <f>IF(40=40,IF($U40="","",SUMPRODUCT(--ISNUMBER(SEARCH(" "&amp;$CR$436:$CR$535&amp;" ",$AX40)))),"")</f>
        <v>0</v>
      </c>
      <c r="AO40" s="493">
        <f>IF(40=40,IF($U40="","",SUMPRODUCT(--ISNUMBER(SEARCH(" "&amp;$CR$536:$CR$635&amp;" ",$AX40)))),"")</f>
        <v>0</v>
      </c>
      <c r="AP40" s="493">
        <f>IF(40=40,IF($U40="","",SUMPRODUCT(--ISNUMBER(SEARCH(" "&amp;$CR$636:$CR$735&amp;" ",$AX40)))),"")</f>
        <v>0</v>
      </c>
      <c r="AQ40" s="493">
        <f>IF(40=40,IF($U40="","",SUMPRODUCT(--ISNUMBER(SEARCH(" "&amp;$CR$736:$CR$835&amp;" ",$AX40)))),"")</f>
        <v>0</v>
      </c>
      <c r="AR40" s="493">
        <f>IF(40=40,IF($U40="","",SUMPRODUCT(--ISNUMBER(SEARCH(" "&amp;$CR$836:$CR$935&amp;" ",$AX40)))),"")</f>
        <v>0</v>
      </c>
      <c r="AS40" s="493">
        <f>IF(40=40,IF($U40="","",SUMPRODUCT(--ISNUMBER(SEARCH(" "&amp;$CR$936:$CR$1035&amp;" ",$AX40)))),"")</f>
        <v>0</v>
      </c>
      <c r="AT40" s="493">
        <f>IF(40=40,IF($U40="","",SUMPRODUCT(--ISNUMBER(SEARCH(" "&amp;$CR$1036:$CR$1135&amp;" ",$AX40)))),"")</f>
        <v>0</v>
      </c>
      <c r="AU40" s="493">
        <f>IF(40=40,IF($U40="","",SUMPRODUCT(--ISNUMBER(SEARCH(" "&amp;$CR$1136:$CR$1235&amp;" ",$AX40)))),"")</f>
        <v>0</v>
      </c>
      <c r="AV40" s="493">
        <f>IF(40=40,IF($U40="","",SUMPRODUCT(--ISNUMBER(SEARCH(" "&amp;$CR$1236:$CR$1335&amp;" ",$AX40)))),"")</f>
        <v>0</v>
      </c>
      <c r="AW40" s="493">
        <f>IF(40=40,IF($U40="","",SUMPRODUCT(--ISNUMBER(SEARCH(" "&amp;$CR$1336:$CR$1363&amp;" ",$AX40)))),"")</f>
        <v>0</v>
      </c>
      <c r="AX40" s="493" t="str">
        <f>IF(40=40,IF($U40="","",SUBSTITUTE(SUBSTITUTE(SUBSTITUTE(SUBSTITUTE(SUBSTITUTE(SUBSTITUTE(SUBSTITUTE(SUBSTITUTE(SUBSTITUTE($AA40," "&amp;$CR$1365&amp;" "," ")," "&amp;$CR$1364&amp;" "," ")," "&amp;$CR$1370&amp;" "," ")," "&amp;$CR$1371&amp;" "," ")," "&amp;$CR$1367&amp;" "," ")," "&amp;$CR$1369&amp;" "," ")," "&amp;$CR$1366&amp;" "," ")," "&amp;$CR$1368&amp;" "," ")," "&amp;$CR$1372&amp;" "," ")),"")</f>
        <v xml:space="preserve"> margarine </v>
      </c>
      <c r="AY40" s="493">
        <f>IF(40=40,IF($U40="","",SUMPRODUCT(--ISNUMBER(SEARCH(" "&amp;$CR$1373:$CR$1383&amp;" ",$AX40)))),"")</f>
        <v>0</v>
      </c>
      <c r="AZ40" s="493" t="str">
        <f>IF(40=40,IF($U40="","",IF(SUM(AN40:AW40)+SUMPRODUCT(--ISNUMBER(SEARCH(" "&amp;$CR$2421:$CR$2422&amp;" ",$AX40)))&gt;0,"X",IF(AY40&gt;0,"?",""))),"")</f>
        <v/>
      </c>
      <c r="BA40" s="493">
        <f>IF(40=40,IF($U40="","",SUMPRODUCT(--ISNUMBER(SEARCH(" "&amp;$CR$1384:$CR$1404&amp;" ",$AA40)))),"")</f>
        <v>0</v>
      </c>
      <c r="BB40" s="493" t="str">
        <f>IF(40=40,IF($U40="","",IF((BA40)-(0)&gt;0,"X",IF((0)-(0)&gt;0,"?",""))),"")</f>
        <v/>
      </c>
      <c r="BC40" s="493">
        <f>IF(40=40,IF($U40="","",SUMPRODUCT(--ISNUMBER(SEARCH(" "&amp;$CR$1405:$CR$1442&amp;" ",$BD40)))),"")</f>
        <v>0</v>
      </c>
      <c r="BD40" s="493" t="str">
        <f>IF(40=40,IF($U40="","",SUBSTITUTE(SUBSTITUTE($AA40," "&amp;$CR$1443&amp;" "," ")," "&amp;$CR$1444&amp;" "," ")),"")</f>
        <v xml:space="preserve"> margarine </v>
      </c>
      <c r="BE40" s="493">
        <f>IF(40=40,IF($U40="","",SUMPRODUCT(--ISNUMBER(SEARCH(" "&amp;$CR$1445:$CR$1455&amp;" ",$BD40)))),"")</f>
        <v>1</v>
      </c>
      <c r="BF40" s="493" t="str">
        <f>IF(40=40,IF($U40="","",IF(BC40&gt;0,"X",IF(BE40&gt;0,"?",""))),"")</f>
        <v>?</v>
      </c>
      <c r="BG40" s="493">
        <f>IF(40=40,IF($U40="","",SUMPRODUCT(--ISNUMBER(SEARCH(" "&amp;$CR$1456:$CR$1555&amp;" ",$BJ40)))),"")</f>
        <v>0</v>
      </c>
      <c r="BH40" s="493">
        <f>IF(40=40,IF($U40="","",SUMPRODUCT(--ISNUMBER(SEARCH(" "&amp;$CR$1556:$CR$1655&amp;" ",$BJ40)))),"")</f>
        <v>0</v>
      </c>
      <c r="BI40" s="493">
        <f>IF(40=40,IF($U40="","",SUMPRODUCT(--ISNUMBER(SEARCH(" "&amp;$CR$1656:$CR$1739&amp;" ",$BJ40)))),"")</f>
        <v>0</v>
      </c>
      <c r="BJ40" s="493" t="str">
        <f>IF(40=40,IF($U40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margarine </v>
      </c>
      <c r="BK40" s="493">
        <f>IF(40=40,IF($U40="","",SUMPRODUCT(--ISNUMBER(SEARCH(" "&amp;$CR$1790:$CR$1869&amp;" ",$BL40)))+SUMPRODUCT(--ISNUMBER(SEARCH(" "&amp;$CR$2440:$CR$2453&amp;" ",$BL40)))),"")</f>
        <v>1</v>
      </c>
      <c r="BL40" s="493" t="str">
        <f>IF(40=40,IF($U40="","",SUBSTITUTE(SUBSTITUTE(SUBSTITUTE(SUBSTITUTE(SUBSTITUTE(SUBSTITUTE(SUBSTITUTE(SUBSTITUTE(SUBSTITUTE(SUBSTITUTE(SUBSTITUTE(SUBSTITUTE(SUBSTITUTE($BJ40," "&amp;$CR$1876&amp;" "," ")," "&amp;$CR$1874&amp;" "," ")," "&amp;$CR$2438&amp;" "," ")," "&amp;$CR$2439&amp;" "," ")," "&amp;$CR$1871&amp;" "," ")," "&amp;$CR$1875&amp;" "," ")," "&amp;$CR$1877&amp;" "," ")," "&amp;$CR$1872&amp;" "," ")," "&amp;$CR$1870&amp;" "," ")," "&amp;$CR$1367&amp;" "," ")," "&amp;$CR$1878&amp;" "," ")," "&amp;$CR$1366&amp;" "," ")," "&amp;$CR$1873&amp;" "," ")),"")</f>
        <v xml:space="preserve"> margarine </v>
      </c>
      <c r="BM40" s="493" t="str">
        <f>IF(40=40,IF($U40="","",IF(SUM(BG40:BI40)+SUMPRODUCT(--ISNUMBER(SEARCH(" "&amp;$CR$2423:$CR$2424&amp;" ",$BJ40)))&gt;0,"X",IF(BK40&gt;0,"?",""))),"")</f>
        <v>?</v>
      </c>
      <c r="BN40" s="493">
        <f>IF(40=40,IF($U40="","",SUMPRODUCT(--ISNUMBER(SEARCH(" "&amp;$CR$1879:$CR$1936&amp;" ",$BO40)))),"")</f>
        <v>0</v>
      </c>
      <c r="BO40" s="493" t="str">
        <f>IF(40=40,IF($U40="","",SUBSTITUTE(SUBSTITUTE(SUBSTITUTE(SUBSTITUTE(SUBSTITUTE(SUBSTITUTE(SUBSTITUTE(SUBSTITUTE(SUBSTITUTE(SUBSTITUTE(SUBSTITUTE(SUBSTITUTE(SUBSTITUTE(SUBSTITUTE(SUBSTITUTE(SUBSTITUTE(SUBSTITUTE(SUBSTITUTE(SUBSTITUTE(SUBSTITUTE(SUBSTITUTE(SUBSTITUTE(SUBSTITUTE($AA40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margarine </v>
      </c>
      <c r="BP40" s="493">
        <f>IF(40=40,IF($U40="","",SUMPRODUCT(--ISNUMBER(SEARCH(" "&amp;$CR$1960:$CR$1976&amp;" ",$BO40)))),"")</f>
        <v>0</v>
      </c>
      <c r="BQ40" s="493" t="str">
        <f>IF(40=40,IF($U40="","",IF(BN40&gt;0,"X",IF(BP40&gt;0,"?",""))),"")</f>
        <v/>
      </c>
      <c r="BR40" s="493">
        <f>IF(40=40,IF($U40="","",SUMPRODUCT(--ISNUMBER(SEARCH(" "&amp;$CR$1977:$CR$1990&amp;" ",$AA40)))),"")</f>
        <v>0</v>
      </c>
      <c r="BS40" s="493">
        <f>IF(40=40,IF($U40="","",SUMPRODUCT(--ISNUMBER(SEARCH(" "&amp;$CR$1991:$CR$2005&amp;" ",$AA40)))),"")</f>
        <v>0</v>
      </c>
      <c r="BT40" s="493" t="str">
        <f>IF(40=40,IF($U40="","",IF((BR40)-(0)&gt;0,"X",IF((BS40)-(0)&gt;0,"?",""))),"")</f>
        <v/>
      </c>
      <c r="BU40" s="493">
        <f>IF(40=40,IF($U40="","",SUMPRODUCT(--ISNUMBER(SEARCH(" "&amp;$CR$2006:$CR$2023&amp;" ",$AA40)))),"")</f>
        <v>0</v>
      </c>
      <c r="BV40" s="493">
        <f>IF(40=40,IF($U40="","",SUMPRODUCT(--ISNUMBER(SEARCH(" "&amp;$CR$2024:$CR$2038&amp;" ",$AA40)))),"")</f>
        <v>0</v>
      </c>
      <c r="BW40" s="493" t="str">
        <f>IF(40=40,IF($U40="","",IF((BU40)-(0)&gt;0,"X",IF((BV40)-(0)&gt;0,"?",""))),"")</f>
        <v/>
      </c>
      <c r="BX40" s="493">
        <f>IF(40=40,IF($U40="","",SUMPRODUCT(--ISNUMBER(SEARCH(" "&amp;$CR$2039:$CR$2057&amp;" ",$AA40)))),"")</f>
        <v>0</v>
      </c>
      <c r="BY40" s="493">
        <f>IF(40=40,IF($U40="","",SUMPRODUCT(--ISNUMBER(SEARCH(" "&amp;$CR$2058:$CR$2072&amp;" ",$AA40)))),"")</f>
        <v>0</v>
      </c>
      <c r="BZ40" s="493" t="str">
        <f>IF(40=40,IF($U40="","",IF((BX40)-(0)&gt;0,"X",IF((BY40)-(0)&gt;0,"?",""))),"")</f>
        <v/>
      </c>
      <c r="CA40" s="493">
        <f>IF(40=40,IF($U40="","",SUMPRODUCT(--ISNUMBER(SEARCH(" "&amp;$CR$2073:$CR$2093&amp;" ",$AA40)))),"")</f>
        <v>0</v>
      </c>
      <c r="CB40" s="493">
        <f>IF(40=40,IF($U40="","",SUMPRODUCT(--ISNUMBER(SEARCH(" "&amp;$CR$2094:$CR$2133&amp;" ",SUBSTITUTE(SUBSTITUTE($AA40," "&amp;$CR$1367&amp;" "," ")," "&amp;$CR$1366&amp;" "," "))))+--ISNUMBER(SEARCH("poiré",$V40))),"")</f>
        <v>0</v>
      </c>
      <c r="CC40" s="493" t="str">
        <f>IF(40=40,IF($U40="","",IF(OR(CA40&gt;0,ISNUMBER(SEARCH(" vinaigre de vin ",$AA40)),ISNUMBER(SEARCH(" vinaigre au vin ",$AA40))),"X",IF(CB40&gt;0,"?",""))),"")</f>
        <v/>
      </c>
      <c r="CD40" s="493">
        <f>IF(40=40,IF($U40="","",SUMPRODUCT(--ISNUMBER(SEARCH(" "&amp;$CR$2134:$CR$2146&amp;" ",$AA40)))),"")</f>
        <v>0</v>
      </c>
      <c r="CE40" s="493">
        <f>IF(40=40,IF($U40="","",SUMPRODUCT(--ISNUMBER(SEARCH(" "&amp;$CR$2147:$CR$2152&amp;" ",$AA40)))),"")</f>
        <v>0</v>
      </c>
      <c r="CF40" s="493" t="str">
        <f>IF(40=40,IF($U40="","",IF((CD40)-(0)&gt;0,"X",IF((CE40)-(0)&gt;0,"?",""))),"")</f>
        <v/>
      </c>
      <c r="CG40" s="493">
        <f>IF(40=40,IF($U40="","",SUMPRODUCT(--ISNUMBER(SEARCH(" "&amp;$CR$2153:$CR$2252&amp;" ",$CJ40)))),"")</f>
        <v>0</v>
      </c>
      <c r="CH40" s="493">
        <f>IF(40=40,IF($U40="","",SUMPRODUCT(--ISNUMBER(SEARCH(" "&amp;$CR$2253:$CR$2352&amp;" ",$CJ40)))),"")</f>
        <v>0</v>
      </c>
      <c r="CI40" s="493">
        <f>IF(40=40,IF($U40="","",SUMPRODUCT(--ISNUMBER(SEARCH(" "&amp;$CR$2353:$CR$2395&amp;" ",$CJ40)))),"")</f>
        <v>0</v>
      </c>
      <c r="CJ40" s="493" t="str">
        <f>IF(40=40,IF($U40="","",SUBSTITUTE(SUBSTITUTE(SUBSTITUTE(SUBSTITUTE(SUBSTITUTE(SUBSTITUTE(SUBSTITUTE(SUBSTITUTE(SUBSTITUTE(SUBSTITUTE(SUBSTITUTE(SUBSTITUTE(SUBSTITUTE(SUBSTITUTE(SUBSTITUTE(SUBSTITUTE($AA40," "&amp;$CR$2401&amp;" "," ")," "&amp;$CR$2400&amp;" "," ")," "&amp;$CR$2399&amp;" "," ")," "&amp;$CR$2406&amp;" "," ")," "&amp;$CR$2398&amp;" "," ")," "&amp;$CR$2410&amp;" "," ")," "&amp;$CR$2397&amp;" "," ")," "&amp;$CR$2402&amp;" "," ")," "&amp;$CR$2405&amp;" "," ")," "&amp;$CR$2396&amp;" "," ")," "&amp;$CR$2404&amp;" "," ")," "&amp;$CR$2411&amp;" "," ")," "&amp;$CR$2408&amp;" "," ")," "&amp;$CR$2403&amp;" "," ")," "&amp;$CR$2407&amp;" "," ")," "&amp;$CR$2409&amp;" "," ")),"")</f>
        <v xml:space="preserve"> margarine </v>
      </c>
      <c r="CK40" s="493">
        <f>IF(40=40,IF($U40="","",SUMPRODUCT(--ISNUMBER(SEARCH(" "&amp;$CR$2412:$CR$2416&amp;" ",$CJ40)))),"")</f>
        <v>0</v>
      </c>
      <c r="CL40" s="493" t="str">
        <f>IF(40=40,IF($U40="","",IF(SUM(CG40:CI40)&gt;0,"X",IF(CK40&gt;0,"?",""))),"")</f>
        <v/>
      </c>
      <c r="CM40" s="494"/>
      <c r="CN40" s="496" t="s">
        <v>1211</v>
      </c>
      <c r="CO40" s="496" t="s">
        <v>1083</v>
      </c>
      <c r="CP40" s="496" t="s">
        <v>689</v>
      </c>
      <c r="CQ40" s="496" t="s">
        <v>1212</v>
      </c>
      <c r="CR40" s="496" t="s">
        <v>901</v>
      </c>
      <c r="CS40" s="496" t="s">
        <v>1085</v>
      </c>
      <c r="CT40" s="496" t="s">
        <v>1086</v>
      </c>
      <c r="CU40" s="496" t="s">
        <v>1087</v>
      </c>
      <c r="CV40" s="497" t="s">
        <v>1088</v>
      </c>
      <c r="CX40" s="543">
        <v>1</v>
      </c>
    </row>
    <row r="41" spans="1:102" ht="21" customHeight="1">
      <c r="A41" s="509">
        <v>35</v>
      </c>
      <c r="B41" s="510" t="s">
        <v>5877</v>
      </c>
      <c r="C41" s="511" t="str">
        <f t="shared" si="0"/>
        <v>Morue (filets dessalés) *</v>
      </c>
      <c r="D41" s="512" t="str">
        <f>IF(41=41,IF($B41="","",IF(E41="X",""&amp;"Céréales contenant du gluten","")&amp;IF(F41="X",IF(COUNTIF($E41:$E41,"X")&gt;0,", ","")&amp;"Crustacés","")&amp;IF(G41="X",IF(COUNTIF($E41:$F41,"X")&gt;0,", ","")&amp;"Œufs","")&amp;IF(H41="X",IF(COUNTIF($E41:$G41,"X")&gt;0,", ","")&amp;"Poissons","")&amp;IF(I41="X",IF(COUNTIF($E41:$H41,"X")&gt;0,", ","")&amp;"Arachides","")&amp;IF(J41="X",IF(COUNTIF($E41:$I41,"X")&gt;0,", ","")&amp;"Soja","")&amp;IF(K41="X",IF(COUNTIF($E41:$J41,"X")&gt;0,", ","")&amp;"Lait","")&amp;IF(L41="X",IF(COUNTIF($E41:$K41,"X")&gt;0,", ","")&amp;"Fruits à coque","")&amp;IF(M41="X",IF(COUNTIF($E41:$L41,"X")&gt;0,", ","")&amp;"Céleri","")&amp;IF(N41="X",IF(COUNTIF($E41:$M41,"X")&gt;0,", ","")&amp;"Moutarde","")&amp;IF(O41="X",IF(COUNTIF($E41:$N41,"X")&gt;0,", ","")&amp;"Sésame","")&amp;IF(P41="X",IF(COUNTIF($E41:$O41,"X")&gt;0,", ","")&amp;"Sulfites","")&amp;IF(Q41="X",IF(COUNTIF($E41:$P41,"X")&gt;0,", ","")&amp;"Lupin","")&amp;IF(R41="X",IF(COUNTIF($E41:$Q41,"X")&gt;0,", ","")&amp;"Mollusques","")),"")</f>
        <v>Poissons</v>
      </c>
      <c r="E41" s="513" t="str">
        <f>IF(41=41,IF($B41="","",AF41),"")</f>
        <v/>
      </c>
      <c r="F41" s="513" t="str">
        <f>IF(41=41,IF($B41="","",AI41),"")</f>
        <v/>
      </c>
      <c r="G41" s="513" t="str">
        <f>IF(41=41,IF($B41="","",AM41),"")</f>
        <v/>
      </c>
      <c r="H41" s="513" t="str">
        <f>IF(41=41,IF($B41="","",IF(ISNUMBER(SEARCH(" colin ",$AA41)),"X",AZ41)),"")</f>
        <v>X</v>
      </c>
      <c r="I41" s="513" t="str">
        <f>IF(41=41,IF($B41="","",BB41),"")</f>
        <v/>
      </c>
      <c r="J41" s="513" t="str">
        <f>IF(41=41,IF($B41="","",BF41),"")</f>
        <v/>
      </c>
      <c r="K41" s="513" t="str">
        <f>IF(41=41,IF($B41="","",BM41),"")</f>
        <v/>
      </c>
      <c r="L41" s="513" t="str">
        <f>IF(41=41,IF($B41="","",BQ41),"")</f>
        <v/>
      </c>
      <c r="M41" s="513" t="str">
        <f>IF(41=41,IF($B41="","",BT41),"")</f>
        <v/>
      </c>
      <c r="N41" s="513" t="str">
        <f>IF(41=41,IF($B41="","",BW41),"")</f>
        <v/>
      </c>
      <c r="O41" s="513" t="str">
        <f>IF(41=41,IF($B41="","",BZ41),"")</f>
        <v/>
      </c>
      <c r="P41" s="513" t="str">
        <f>IF(41=41,IF($B41="","",CC41),"")</f>
        <v/>
      </c>
      <c r="Q41" s="513" t="str">
        <f>IF(41=41,IF($B41="","",CF41),"")</f>
        <v/>
      </c>
      <c r="R41" s="513" t="str">
        <f>IF(41=41,IF($B41="","",CL41),"")</f>
        <v/>
      </c>
      <c r="S41" s="514" t="str">
        <f>IF(41=41,IF($B41="","",IF(E41="?",""&amp;"Céréales contenant du gluten","")&amp;IF(F41="?",IF(COUNTIF($E41:$E41,"~?")&gt;0,", ","")&amp;"Crustacés","")&amp;IF(G41="?",IF(COUNTIF($E41:$F41,"~?")&gt;0,", ","")&amp;"Œufs","")&amp;IF(H41="?",IF(COUNTIF($E41:$G41,"~?")&gt;0,", ","")&amp;"Poissons","")&amp;IF(I41="?",IF(COUNTIF($E41:$H41,"~?")&gt;0,", ","")&amp;"Arachides","")&amp;IF(J41="?",IF(COUNTIF($E41:$I41,"~?")&gt;0,", ","")&amp;"Soja","")&amp;IF(K41="?",IF(COUNTIF($E41:$J41,"~?")&gt;0,", ","")&amp;"Lait","")&amp;IF(L41="?",IF(COUNTIF($E41:$K41,"~?")&gt;0,", ","")&amp;"Fruits à coque","")&amp;IF(M41="?",IF(COUNTIF($E41:$L41,"~?")&gt;0,", ","")&amp;"Céleri","")&amp;IF(N41="?",IF(COUNTIF($E41:$M41,"~?")&gt;0,", ","")&amp;"Moutarde","")&amp;IF(O41="?",IF(COUNTIF($E41:$N41,"~?")&gt;0,", ","")&amp;"Sésame","")&amp;IF(P41="?",IF(COUNTIF($E41:$O41,"~?")&gt;0,", ","")&amp;"Sulfites","")&amp;IF(Q41="?",IF(COUNTIF($E41:$P41,"~?")&gt;0,", ","")&amp;"Lupin","")&amp;IF(R41="?",IF(COUNTIF($E41:$Q41,"~?")&gt;0,", ","")&amp;"Mollusques","")),"")</f>
        <v/>
      </c>
      <c r="U41" s="493" t="str">
        <f>IF(41=41,IF($B41="","",$B41),"")</f>
        <v>Morue (filets dessalés)</v>
      </c>
      <c r="V41" s="493" t="str">
        <f>IF(41=41,LOWER(CLEAN(SUBSTITUTE(SUBSTITUTE(SUBSTITUTE(SUBSTITUTE($U41,CHAR(160)," ")," "," "),CHAR(10)," "),CHAR(13)," "))),"")</f>
        <v>morue (filets dessalés)</v>
      </c>
      <c r="W41" s="493" t="str">
        <f>IF(41=41,SUBSTITUTE(SUBSTITUTE(SUBSTITUTE(SUBSTITUTE(SUBSTITUTE(SUBSTITUTE(SUBSTITUTE(SUBSTITUTE(SUBSTITUTE(SUBSTITUTE(SUBSTITUTE(SUBSTITUTE($V41,"œ","oe"),"æ","ae"),"à","a"),"á","a"),"â","a"),"ä","a"),"ã","a"),"ç","c"),"è","e"),"é","e"),"ê","e"),"ë","e"),"")</f>
        <v>morue (filets dessales)</v>
      </c>
      <c r="X41" s="493" t="str">
        <f>IF(41=41,SUBSTITUTE(SUBSTITUTE(SUBSTITUTE(SUBSTITUTE(SUBSTITUTE(SUBSTITUTE(SUBSTITUTE(SUBSTITUTE(SUBSTITUTE(SUBSTITUTE(SUBSTITUTE(SUBSTITUTE(SUBSTITUTE(SUBSTITUTE(SUBSTITUTE(SUBSTITUTE($W41,"ì","i"),"í","i"),"î","i"),"ï","i"),"ñ","n"),"ò","o"),"ó","o"),"ô","o"),"ö","o"),"õ","o"),"ù","u"),"ú","u"),"û","u"),"ü","u"),"ý","y"),"ÿ","y"),"")</f>
        <v>morue (filets dessales)</v>
      </c>
      <c r="Y41" s="493" t="str">
        <f>IF(41=41,SUBSTITUTE(SUBSTITUTE(SUBSTITUTE(SUBSTITUTE(SUBSTITUTE(SUBSTITUTE(SUBSTITUTE(SUBSTITUTE(SUBSTITUTE(SUBSTITUTE(SUBSTITUTE(SUBSTITUTE(SUBSTITUTE(SUBSTITUTE($X41,"’"," "),"`"," "),"–"," "),"—"," "),"-"," "),"'"," "),"/"," "),"_"," "),","," "),"."," "),"("," "),")"," "),";"," "),":"," "),"")</f>
        <v xml:space="preserve">morue  filets dessales </v>
      </c>
      <c r="Z41" s="493" t="str">
        <f>IF(41=41,SUBSTITUTE(SUBSTITUTE(SUBSTITUTE(SUBSTITUTE(SUBSTITUTE(SUBSTITUTE(SUBSTITUTE(SUBSTITUTE(SUBSTITUTE(SUBSTITUTE(SUBSTITUTE(SUBSTITUTE(SUBSTITUTE(SUBSTITUTE(SUBSTITUTE($Y41,"!"," "),"?"," "),"+"," "),"*"," "),"&amp;"," "),"["," "),"]"," "),"{"," "),"}"," "),"%"," "),"="," "),"\"," "),"|"," "),"&lt;"," "),"&gt;"," "),"")</f>
        <v xml:space="preserve">morue  filets dessales </v>
      </c>
      <c r="AA41" s="493" t="str">
        <f>IF(41=41," "&amp;TRIM(SUBSTITUTE(SUBSTITUTE(SUBSTITUTE(SUBSTITUTE(SUBSTITUTE(SUBSTITUTE($Z41,CHAR(34)," "),"  "," "),"  "," "),"  "," "),"  "," "),"  "," "))&amp;" ","")</f>
        <v xml:space="preserve"> morue filets dessales </v>
      </c>
      <c r="AB41" s="493">
        <f>IF(41=41,IF($U41="","",SUMPRODUCT(--ISNUMBER(SEARCH(" "&amp;$CR$2:$CR$101&amp;" ",$AD41)))),"")</f>
        <v>0</v>
      </c>
      <c r="AC41" s="493">
        <f>IF(41=41,IF($U41="","",SUMPRODUCT(--ISNUMBER(SEARCH(" "&amp;$CR$102:$CR$151&amp;" ",$AD41)))),"")</f>
        <v>0</v>
      </c>
      <c r="AD41" s="493" t="str">
        <f t="shared" si="1"/>
        <v xml:space="preserve"> morue filets dessales </v>
      </c>
      <c r="AE41" s="493">
        <f t="shared" si="2"/>
        <v>0</v>
      </c>
      <c r="AF41" s="493" t="str">
        <f>IF(41=41,IF($U41="","",IF(SUM(AB41:AC41)+SUMPRODUCT(--ISNUMBER(SEARCH(" "&amp;$CR$2418:$CR$2420&amp;" ",$AD41)))&gt;0,"X",IF(AE41&gt;0,"?",""))),"")</f>
        <v/>
      </c>
      <c r="AG41" s="493">
        <f>IF(41=41,IF($U41="","",SUMPRODUCT(--ISNUMBER(SEARCH(" "&amp;$CR$206:$CR$305&amp;" ",$AA41)))),"")</f>
        <v>0</v>
      </c>
      <c r="AH41" s="493">
        <f>IF(41=41,IF($U41="","",SUMPRODUCT(--ISNUMBER(SEARCH(" "&amp;$CR$306:$CR$340&amp;" ",$AA41)))),"")</f>
        <v>0</v>
      </c>
      <c r="AI41" s="493" t="str">
        <f>IF(41=41,IF($U41="","",IF((SUM(AG41:AH41))-(0)&gt;0,"X",IF((0)-(0)&gt;0,"?",""))),"")</f>
        <v/>
      </c>
      <c r="AJ41" s="493">
        <f>IF(41=41,IF($U41="","",SUMPRODUCT(--ISNUMBER(SEARCH(" "&amp;$CR$341:$CR$398&amp;" ",$AA41)))),"")</f>
        <v>0</v>
      </c>
      <c r="AK41" s="493">
        <f>IF(41=41,IF($U41="","",SUMPRODUCT(--ISNUMBER(SEARCH(" "&amp;$CR$399:$CR$426&amp;" ",$AL41)))+SUMPRODUCT(--ISNUMBER(SEARCH(" "&amp;$CR$2440:$CR$2453&amp;" ",$AL41)))),"")</f>
        <v>0</v>
      </c>
      <c r="AL41" s="493" t="str">
        <f>IF(41=41,IF($U41="","",SUBSTITUTE(SUBSTITUTE(SUBSTITUTE(SUBSTITUTE(SUBSTITUTE(SUBSTITUTE(SUBSTITUTE(SUBSTITUTE(SUBSTITUTE(SUBSTITUTE(SUBSTITUTE(SUBSTITUTE(SUBSTITUTE(SUBSTITUTE($AA41," "&amp;$CR$2455&amp;" "," ")," "&amp;$CR$433&amp;" "," ")," "&amp;$CR$431&amp;" "," ")," "&amp;$CR$2438&amp;" "," ")," "&amp;$CR$2439&amp;" "," ")," "&amp;$CR$428&amp;" "," ")," "&amp;$CR$432&amp;" "," ")," "&amp;$CR$434&amp;" "," ")," "&amp;$CR$429&amp;" "," ")," "&amp;$CR$427&amp;" "," ")," "&amp;$CR$1367&amp;" "," ")," "&amp;$CR$435&amp;" "," ")," "&amp;$CR$1366&amp;" "," ")," "&amp;$CR$430&amp;" "," ")),"")</f>
        <v xml:space="preserve"> morue filets dessales </v>
      </c>
      <c r="AM41" s="493" t="str">
        <f>IF(41=41,IF($U41="","",IF(AJ41&gt;0,"X",IF(AK41&gt;0,"?",""))),"")</f>
        <v/>
      </c>
      <c r="AN41" s="493">
        <f>IF(41=41,IF($U41="","",SUMPRODUCT(--ISNUMBER(SEARCH(" "&amp;$CR$436:$CR$535&amp;" ",$AX41)))),"")</f>
        <v>0</v>
      </c>
      <c r="AO41" s="493">
        <f>IF(41=41,IF($U41="","",SUMPRODUCT(--ISNUMBER(SEARCH(" "&amp;$CR$536:$CR$635&amp;" ",$AX41)))),"")</f>
        <v>0</v>
      </c>
      <c r="AP41" s="493">
        <f>IF(41=41,IF($U41="","",SUMPRODUCT(--ISNUMBER(SEARCH(" "&amp;$CR$636:$CR$735&amp;" ",$AX41)))),"")</f>
        <v>0</v>
      </c>
      <c r="AQ41" s="493">
        <f>IF(41=41,IF($U41="","",SUMPRODUCT(--ISNUMBER(SEARCH(" "&amp;$CR$736:$CR$835&amp;" ",$AX41)))),"")</f>
        <v>0</v>
      </c>
      <c r="AR41" s="493">
        <f>IF(41=41,IF($U41="","",SUMPRODUCT(--ISNUMBER(SEARCH(" "&amp;$CR$836:$CR$935&amp;" ",$AX41)))),"")</f>
        <v>0</v>
      </c>
      <c r="AS41" s="493">
        <f>IF(41=41,IF($U41="","",SUMPRODUCT(--ISNUMBER(SEARCH(" "&amp;$CR$936:$CR$1035&amp;" ",$AX41)))),"")</f>
        <v>1</v>
      </c>
      <c r="AT41" s="493">
        <f>IF(41=41,IF($U41="","",SUMPRODUCT(--ISNUMBER(SEARCH(" "&amp;$CR$1036:$CR$1135&amp;" ",$AX41)))),"")</f>
        <v>0</v>
      </c>
      <c r="AU41" s="493">
        <f>IF(41=41,IF($U41="","",SUMPRODUCT(--ISNUMBER(SEARCH(" "&amp;$CR$1136:$CR$1235&amp;" ",$AX41)))),"")</f>
        <v>0</v>
      </c>
      <c r="AV41" s="493">
        <f>IF(41=41,IF($U41="","",SUMPRODUCT(--ISNUMBER(SEARCH(" "&amp;$CR$1236:$CR$1335&amp;" ",$AX41)))),"")</f>
        <v>0</v>
      </c>
      <c r="AW41" s="493">
        <f>IF(41=41,IF($U41="","",SUMPRODUCT(--ISNUMBER(SEARCH(" "&amp;$CR$1336:$CR$1363&amp;" ",$AX41)))),"")</f>
        <v>0</v>
      </c>
      <c r="AX41" s="493" t="str">
        <f>IF(41=41,IF($U41="","",SUBSTITUTE(SUBSTITUTE(SUBSTITUTE(SUBSTITUTE(SUBSTITUTE(SUBSTITUTE(SUBSTITUTE(SUBSTITUTE(SUBSTITUTE($AA41," "&amp;$CR$1365&amp;" "," ")," "&amp;$CR$1364&amp;" "," ")," "&amp;$CR$1370&amp;" "," ")," "&amp;$CR$1371&amp;" "," ")," "&amp;$CR$1367&amp;" "," ")," "&amp;$CR$1369&amp;" "," ")," "&amp;$CR$1366&amp;" "," ")," "&amp;$CR$1368&amp;" "," ")," "&amp;$CR$1372&amp;" "," ")),"")</f>
        <v xml:space="preserve"> morue filets dessales </v>
      </c>
      <c r="AY41" s="493">
        <f>IF(41=41,IF($U41="","",SUMPRODUCT(--ISNUMBER(SEARCH(" "&amp;$CR$1373:$CR$1383&amp;" ",$AX41)))),"")</f>
        <v>0</v>
      </c>
      <c r="AZ41" s="493" t="str">
        <f>IF(41=41,IF($U41="","",IF(SUM(AN41:AW41)+SUMPRODUCT(--ISNUMBER(SEARCH(" "&amp;$CR$2421:$CR$2422&amp;" ",$AX41)))&gt;0,"X",IF(AY41&gt;0,"?",""))),"")</f>
        <v>X</v>
      </c>
      <c r="BA41" s="493">
        <f>IF(41=41,IF($U41="","",SUMPRODUCT(--ISNUMBER(SEARCH(" "&amp;$CR$1384:$CR$1404&amp;" ",$AA41)))),"")</f>
        <v>0</v>
      </c>
      <c r="BB41" s="493" t="str">
        <f>IF(41=41,IF($U41="","",IF((BA41)-(0)&gt;0,"X",IF((0)-(0)&gt;0,"?",""))),"")</f>
        <v/>
      </c>
      <c r="BC41" s="493">
        <f>IF(41=41,IF($U41="","",SUMPRODUCT(--ISNUMBER(SEARCH(" "&amp;$CR$1405:$CR$1442&amp;" ",$BD41)))),"")</f>
        <v>0</v>
      </c>
      <c r="BD41" s="493" t="str">
        <f>IF(41=41,IF($U41="","",SUBSTITUTE(SUBSTITUTE($AA41," "&amp;$CR$1443&amp;" "," ")," "&amp;$CR$1444&amp;" "," ")),"")</f>
        <v xml:space="preserve"> morue filets dessales </v>
      </c>
      <c r="BE41" s="493">
        <f>IF(41=41,IF($U41="","",SUMPRODUCT(--ISNUMBER(SEARCH(" "&amp;$CR$1445:$CR$1455&amp;" ",$BD41)))),"")</f>
        <v>0</v>
      </c>
      <c r="BF41" s="493" t="str">
        <f>IF(41=41,IF($U41="","",IF(BC41&gt;0,"X",IF(BE41&gt;0,"?",""))),"")</f>
        <v/>
      </c>
      <c r="BG41" s="493">
        <f>IF(41=41,IF($U41="","",SUMPRODUCT(--ISNUMBER(SEARCH(" "&amp;$CR$1456:$CR$1555&amp;" ",$BJ41)))),"")</f>
        <v>0</v>
      </c>
      <c r="BH41" s="493">
        <f>IF(41=41,IF($U41="","",SUMPRODUCT(--ISNUMBER(SEARCH(" "&amp;$CR$1556:$CR$1655&amp;" ",$BJ41)))),"")</f>
        <v>0</v>
      </c>
      <c r="BI41" s="493">
        <f>IF(41=41,IF($U41="","",SUMPRODUCT(--ISNUMBER(SEARCH(" "&amp;$CR$1656:$CR$1739&amp;" ",$BJ41)))),"")</f>
        <v>0</v>
      </c>
      <c r="BJ41" s="493" t="str">
        <f>IF(41=41,IF($U41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morue filets dessales </v>
      </c>
      <c r="BK41" s="493">
        <f>IF(41=41,IF($U41="","",SUMPRODUCT(--ISNUMBER(SEARCH(" "&amp;$CR$1790:$CR$1869&amp;" ",$BL41)))+SUMPRODUCT(--ISNUMBER(SEARCH(" "&amp;$CR$2440:$CR$2453&amp;" ",$BL41)))),"")</f>
        <v>0</v>
      </c>
      <c r="BL41" s="493" t="str">
        <f>IF(41=41,IF($U41="","",SUBSTITUTE(SUBSTITUTE(SUBSTITUTE(SUBSTITUTE(SUBSTITUTE(SUBSTITUTE(SUBSTITUTE(SUBSTITUTE(SUBSTITUTE(SUBSTITUTE(SUBSTITUTE(SUBSTITUTE(SUBSTITUTE($BJ41," "&amp;$CR$1876&amp;" "," ")," "&amp;$CR$1874&amp;" "," ")," "&amp;$CR$2438&amp;" "," ")," "&amp;$CR$2439&amp;" "," ")," "&amp;$CR$1871&amp;" "," ")," "&amp;$CR$1875&amp;" "," ")," "&amp;$CR$1877&amp;" "," ")," "&amp;$CR$1872&amp;" "," ")," "&amp;$CR$1870&amp;" "," ")," "&amp;$CR$1367&amp;" "," ")," "&amp;$CR$1878&amp;" "," ")," "&amp;$CR$1366&amp;" "," ")," "&amp;$CR$1873&amp;" "," ")),"")</f>
        <v xml:space="preserve"> morue filets dessales </v>
      </c>
      <c r="BM41" s="493" t="str">
        <f>IF(41=41,IF($U41="","",IF(SUM(BG41:BI41)+SUMPRODUCT(--ISNUMBER(SEARCH(" "&amp;$CR$2423:$CR$2424&amp;" ",$BJ41)))&gt;0,"X",IF(BK41&gt;0,"?",""))),"")</f>
        <v/>
      </c>
      <c r="BN41" s="493">
        <f>IF(41=41,IF($U41="","",SUMPRODUCT(--ISNUMBER(SEARCH(" "&amp;$CR$1879:$CR$1936&amp;" ",$BO41)))),"")</f>
        <v>0</v>
      </c>
      <c r="BO41" s="493" t="str">
        <f>IF(41=41,IF($U41="","",SUBSTITUTE(SUBSTITUTE(SUBSTITUTE(SUBSTITUTE(SUBSTITUTE(SUBSTITUTE(SUBSTITUTE(SUBSTITUTE(SUBSTITUTE(SUBSTITUTE(SUBSTITUTE(SUBSTITUTE(SUBSTITUTE(SUBSTITUTE(SUBSTITUTE(SUBSTITUTE(SUBSTITUTE(SUBSTITUTE(SUBSTITUTE(SUBSTITUTE(SUBSTITUTE(SUBSTITUTE(SUBSTITUTE($AA41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morue filets dessales </v>
      </c>
      <c r="BP41" s="493">
        <f>IF(41=41,IF($U41="","",SUMPRODUCT(--ISNUMBER(SEARCH(" "&amp;$CR$1960:$CR$1976&amp;" ",$BO41)))),"")</f>
        <v>0</v>
      </c>
      <c r="BQ41" s="493" t="str">
        <f>IF(41=41,IF($U41="","",IF(BN41&gt;0,"X",IF(BP41&gt;0,"?",""))),"")</f>
        <v/>
      </c>
      <c r="BR41" s="493">
        <f>IF(41=41,IF($U41="","",SUMPRODUCT(--ISNUMBER(SEARCH(" "&amp;$CR$1977:$CR$1990&amp;" ",$AA41)))),"")</f>
        <v>0</v>
      </c>
      <c r="BS41" s="493">
        <f>IF(41=41,IF($U41="","",SUMPRODUCT(--ISNUMBER(SEARCH(" "&amp;$CR$1991:$CR$2005&amp;" ",$AA41)))),"")</f>
        <v>0</v>
      </c>
      <c r="BT41" s="493" t="str">
        <f>IF(41=41,IF($U41="","",IF((BR41)-(0)&gt;0,"X",IF((BS41)-(0)&gt;0,"?",""))),"")</f>
        <v/>
      </c>
      <c r="BU41" s="493">
        <f>IF(41=41,IF($U41="","",SUMPRODUCT(--ISNUMBER(SEARCH(" "&amp;$CR$2006:$CR$2023&amp;" ",$AA41)))),"")</f>
        <v>0</v>
      </c>
      <c r="BV41" s="493">
        <f>IF(41=41,IF($U41="","",SUMPRODUCT(--ISNUMBER(SEARCH(" "&amp;$CR$2024:$CR$2038&amp;" ",$AA41)))),"")</f>
        <v>0</v>
      </c>
      <c r="BW41" s="493" t="str">
        <f>IF(41=41,IF($U41="","",IF((BU41)-(0)&gt;0,"X",IF((BV41)-(0)&gt;0,"?",""))),"")</f>
        <v/>
      </c>
      <c r="BX41" s="493">
        <f>IF(41=41,IF($U41="","",SUMPRODUCT(--ISNUMBER(SEARCH(" "&amp;$CR$2039:$CR$2057&amp;" ",$AA41)))),"")</f>
        <v>0</v>
      </c>
      <c r="BY41" s="493">
        <f>IF(41=41,IF($U41="","",SUMPRODUCT(--ISNUMBER(SEARCH(" "&amp;$CR$2058:$CR$2072&amp;" ",$AA41)))),"")</f>
        <v>0</v>
      </c>
      <c r="BZ41" s="493" t="str">
        <f>IF(41=41,IF($U41="","",IF((BX41)-(0)&gt;0,"X",IF((BY41)-(0)&gt;0,"?",""))),"")</f>
        <v/>
      </c>
      <c r="CA41" s="493">
        <f>IF(41=41,IF($U41="","",SUMPRODUCT(--ISNUMBER(SEARCH(" "&amp;$CR$2073:$CR$2093&amp;" ",$AA41)))),"")</f>
        <v>0</v>
      </c>
      <c r="CB41" s="493">
        <f>IF(41=41,IF($U41="","",SUMPRODUCT(--ISNUMBER(SEARCH(" "&amp;$CR$2094:$CR$2133&amp;" ",SUBSTITUTE(SUBSTITUTE($AA41," "&amp;$CR$1367&amp;" "," ")," "&amp;$CR$1366&amp;" "," "))))+--ISNUMBER(SEARCH("poiré",$V41))),"")</f>
        <v>0</v>
      </c>
      <c r="CC41" s="493" t="str">
        <f>IF(41=41,IF($U41="","",IF(OR(CA41&gt;0,ISNUMBER(SEARCH(" vinaigre de vin ",$AA41)),ISNUMBER(SEARCH(" vinaigre au vin ",$AA41))),"X",IF(CB41&gt;0,"?",""))),"")</f>
        <v/>
      </c>
      <c r="CD41" s="493">
        <f>IF(41=41,IF($U41="","",SUMPRODUCT(--ISNUMBER(SEARCH(" "&amp;$CR$2134:$CR$2146&amp;" ",$AA41)))),"")</f>
        <v>0</v>
      </c>
      <c r="CE41" s="493">
        <f>IF(41=41,IF($U41="","",SUMPRODUCT(--ISNUMBER(SEARCH(" "&amp;$CR$2147:$CR$2152&amp;" ",$AA41)))),"")</f>
        <v>0</v>
      </c>
      <c r="CF41" s="493" t="str">
        <f>IF(41=41,IF($U41="","",IF((CD41)-(0)&gt;0,"X",IF((CE41)-(0)&gt;0,"?",""))),"")</f>
        <v/>
      </c>
      <c r="CG41" s="493">
        <f>IF(41=41,IF($U41="","",SUMPRODUCT(--ISNUMBER(SEARCH(" "&amp;$CR$2153:$CR$2252&amp;" ",$CJ41)))),"")</f>
        <v>0</v>
      </c>
      <c r="CH41" s="493">
        <f>IF(41=41,IF($U41="","",SUMPRODUCT(--ISNUMBER(SEARCH(" "&amp;$CR$2253:$CR$2352&amp;" ",$CJ41)))),"")</f>
        <v>0</v>
      </c>
      <c r="CI41" s="493">
        <f>IF(41=41,IF($U41="","",SUMPRODUCT(--ISNUMBER(SEARCH(" "&amp;$CR$2353:$CR$2395&amp;" ",$CJ41)))),"")</f>
        <v>0</v>
      </c>
      <c r="CJ41" s="493" t="str">
        <f>IF(41=41,IF($U41="","",SUBSTITUTE(SUBSTITUTE(SUBSTITUTE(SUBSTITUTE(SUBSTITUTE(SUBSTITUTE(SUBSTITUTE(SUBSTITUTE(SUBSTITUTE(SUBSTITUTE(SUBSTITUTE(SUBSTITUTE(SUBSTITUTE(SUBSTITUTE(SUBSTITUTE(SUBSTITUTE($AA41," "&amp;$CR$2401&amp;" "," ")," "&amp;$CR$2400&amp;" "," ")," "&amp;$CR$2399&amp;" "," ")," "&amp;$CR$2406&amp;" "," ")," "&amp;$CR$2398&amp;" "," ")," "&amp;$CR$2410&amp;" "," ")," "&amp;$CR$2397&amp;" "," ")," "&amp;$CR$2402&amp;" "," ")," "&amp;$CR$2405&amp;" "," ")," "&amp;$CR$2396&amp;" "," ")," "&amp;$CR$2404&amp;" "," ")," "&amp;$CR$2411&amp;" "," ")," "&amp;$CR$2408&amp;" "," ")," "&amp;$CR$2403&amp;" "," ")," "&amp;$CR$2407&amp;" "," ")," "&amp;$CR$2409&amp;" "," ")),"")</f>
        <v xml:space="preserve"> morue filets dessales </v>
      </c>
      <c r="CK41" s="493">
        <f>IF(41=41,IF($U41="","",SUMPRODUCT(--ISNUMBER(SEARCH(" "&amp;$CR$2412:$CR$2416&amp;" ",$CJ41)))),"")</f>
        <v>0</v>
      </c>
      <c r="CL41" s="493" t="str">
        <f>IF(41=41,IF($U41="","",IF(SUM(CG41:CI41)&gt;0,"X",IF(CK41&gt;0,"?",""))),"")</f>
        <v/>
      </c>
      <c r="CM41" s="494"/>
      <c r="CN41" s="496" t="s">
        <v>1213</v>
      </c>
      <c r="CO41" s="496" t="s">
        <v>1083</v>
      </c>
      <c r="CP41" s="496" t="s">
        <v>689</v>
      </c>
      <c r="CQ41" s="496" t="s">
        <v>1214</v>
      </c>
      <c r="CR41" s="496" t="s">
        <v>1214</v>
      </c>
      <c r="CS41" s="496" t="s">
        <v>1085</v>
      </c>
      <c r="CT41" s="496" t="s">
        <v>1086</v>
      </c>
      <c r="CU41" s="496" t="s">
        <v>1087</v>
      </c>
      <c r="CV41" s="497" t="s">
        <v>1088</v>
      </c>
      <c r="CX41" s="543">
        <v>1</v>
      </c>
    </row>
    <row r="42" spans="1:102" ht="21" customHeight="1">
      <c r="A42" s="509">
        <v>36</v>
      </c>
      <c r="B42" s="510" t="s">
        <v>5878</v>
      </c>
      <c r="C42" s="511" t="str">
        <f t="shared" si="0"/>
        <v>Moules «pleine eau» *</v>
      </c>
      <c r="D42" s="512" t="str">
        <f>IF(42=42,IF($B42="","",IF(E42="X",""&amp;"Céréales contenant du gluten","")&amp;IF(F42="X",IF(COUNTIF($E42:$E42,"X")&gt;0,", ","")&amp;"Crustacés","")&amp;IF(G42="X",IF(COUNTIF($E42:$F42,"X")&gt;0,", ","")&amp;"Œufs","")&amp;IF(H42="X",IF(COUNTIF($E42:$G42,"X")&gt;0,", ","")&amp;"Poissons","")&amp;IF(I42="X",IF(COUNTIF($E42:$H42,"X")&gt;0,", ","")&amp;"Arachides","")&amp;IF(J42="X",IF(COUNTIF($E42:$I42,"X")&gt;0,", ","")&amp;"Soja","")&amp;IF(K42="X",IF(COUNTIF($E42:$J42,"X")&gt;0,", ","")&amp;"Lait","")&amp;IF(L42="X",IF(COUNTIF($E42:$K42,"X")&gt;0,", ","")&amp;"Fruits à coque","")&amp;IF(M42="X",IF(COUNTIF($E42:$L42,"X")&gt;0,", ","")&amp;"Céleri","")&amp;IF(N42="X",IF(COUNTIF($E42:$M42,"X")&gt;0,", ","")&amp;"Moutarde","")&amp;IF(O42="X",IF(COUNTIF($E42:$N42,"X")&gt;0,", ","")&amp;"Sésame","")&amp;IF(P42="X",IF(COUNTIF($E42:$O42,"X")&gt;0,", ","")&amp;"Sulfites","")&amp;IF(Q42="X",IF(COUNTIF($E42:$P42,"X")&gt;0,", ","")&amp;"Lupin","")&amp;IF(R42="X",IF(COUNTIF($E42:$Q42,"X")&gt;0,", ","")&amp;"Mollusques","")),"")</f>
        <v>Mollusques</v>
      </c>
      <c r="E42" s="513" t="str">
        <f>IF(42=42,IF($B42="","",AF42),"")</f>
        <v/>
      </c>
      <c r="F42" s="513" t="str">
        <f>IF(42=42,IF($B42="","",AI42),"")</f>
        <v/>
      </c>
      <c r="G42" s="513" t="str">
        <f>IF(42=42,IF($B42="","",AM42),"")</f>
        <v/>
      </c>
      <c r="H42" s="513" t="str">
        <f>IF(42=42,IF($B42="","",IF(ISNUMBER(SEARCH(" colin ",$AA42)),"X",AZ42)),"")</f>
        <v/>
      </c>
      <c r="I42" s="513" t="str">
        <f>IF(42=42,IF($B42="","",BB42),"")</f>
        <v/>
      </c>
      <c r="J42" s="513" t="str">
        <f>IF(42=42,IF($B42="","",BF42),"")</f>
        <v/>
      </c>
      <c r="K42" s="513" t="str">
        <f>IF(42=42,IF($B42="","",BM42),"")</f>
        <v/>
      </c>
      <c r="L42" s="513" t="str">
        <f>IF(42=42,IF($B42="","",BQ42),"")</f>
        <v/>
      </c>
      <c r="M42" s="513" t="str">
        <f>IF(42=42,IF($B42="","",BT42),"")</f>
        <v/>
      </c>
      <c r="N42" s="513" t="str">
        <f>IF(42=42,IF($B42="","",BW42),"")</f>
        <v/>
      </c>
      <c r="O42" s="513" t="str">
        <f>IF(42=42,IF($B42="","",BZ42),"")</f>
        <v/>
      </c>
      <c r="P42" s="513" t="str">
        <f>IF(42=42,IF($B42="","",CC42),"")</f>
        <v/>
      </c>
      <c r="Q42" s="513" t="str">
        <f>IF(42=42,IF($B42="","",CF42),"")</f>
        <v/>
      </c>
      <c r="R42" s="513" t="str">
        <f>IF(42=42,IF($B42="","",CL42),"")</f>
        <v>X</v>
      </c>
      <c r="S42" s="514" t="str">
        <f>IF(42=42,IF($B42="","",IF(E42="?",""&amp;"Céréales contenant du gluten","")&amp;IF(F42="?",IF(COUNTIF($E42:$E42,"~?")&gt;0,", ","")&amp;"Crustacés","")&amp;IF(G42="?",IF(COUNTIF($E42:$F42,"~?")&gt;0,", ","")&amp;"Œufs","")&amp;IF(H42="?",IF(COUNTIF($E42:$G42,"~?")&gt;0,", ","")&amp;"Poissons","")&amp;IF(I42="?",IF(COUNTIF($E42:$H42,"~?")&gt;0,", ","")&amp;"Arachides","")&amp;IF(J42="?",IF(COUNTIF($E42:$I42,"~?")&gt;0,", ","")&amp;"Soja","")&amp;IF(K42="?",IF(COUNTIF($E42:$J42,"~?")&gt;0,", ","")&amp;"Lait","")&amp;IF(L42="?",IF(COUNTIF($E42:$K42,"~?")&gt;0,", ","")&amp;"Fruits à coque","")&amp;IF(M42="?",IF(COUNTIF($E42:$L42,"~?")&gt;0,", ","")&amp;"Céleri","")&amp;IF(N42="?",IF(COUNTIF($E42:$M42,"~?")&gt;0,", ","")&amp;"Moutarde","")&amp;IF(O42="?",IF(COUNTIF($E42:$N42,"~?")&gt;0,", ","")&amp;"Sésame","")&amp;IF(P42="?",IF(COUNTIF($E42:$O42,"~?")&gt;0,", ","")&amp;"Sulfites","")&amp;IF(Q42="?",IF(COUNTIF($E42:$P42,"~?")&gt;0,", ","")&amp;"Lupin","")&amp;IF(R42="?",IF(COUNTIF($E42:$Q42,"~?")&gt;0,", ","")&amp;"Mollusques","")),"")</f>
        <v/>
      </c>
      <c r="U42" s="493" t="str">
        <f>IF(42=42,IF($B42="","",$B42),"")</f>
        <v>Moules «pleine eau»</v>
      </c>
      <c r="V42" s="493" t="str">
        <f>IF(42=42,LOWER(CLEAN(SUBSTITUTE(SUBSTITUTE(SUBSTITUTE(SUBSTITUTE($U42,CHAR(160)," ")," "," "),CHAR(10)," "),CHAR(13)," "))),"")</f>
        <v>moules «pleine eau»</v>
      </c>
      <c r="W42" s="493" t="str">
        <f>IF(42=42,SUBSTITUTE(SUBSTITUTE(SUBSTITUTE(SUBSTITUTE(SUBSTITUTE(SUBSTITUTE(SUBSTITUTE(SUBSTITUTE(SUBSTITUTE(SUBSTITUTE(SUBSTITUTE(SUBSTITUTE($V42,"œ","oe"),"æ","ae"),"à","a"),"á","a"),"â","a"),"ä","a"),"ã","a"),"ç","c"),"è","e"),"é","e"),"ê","e"),"ë","e"),"")</f>
        <v>moules «pleine eau»</v>
      </c>
      <c r="X42" s="493" t="str">
        <f>IF(42=42,SUBSTITUTE(SUBSTITUTE(SUBSTITUTE(SUBSTITUTE(SUBSTITUTE(SUBSTITUTE(SUBSTITUTE(SUBSTITUTE(SUBSTITUTE(SUBSTITUTE(SUBSTITUTE(SUBSTITUTE(SUBSTITUTE(SUBSTITUTE(SUBSTITUTE(SUBSTITUTE($W42,"ì","i"),"í","i"),"î","i"),"ï","i"),"ñ","n"),"ò","o"),"ó","o"),"ô","o"),"ö","o"),"õ","o"),"ù","u"),"ú","u"),"û","u"),"ü","u"),"ý","y"),"ÿ","y"),"")</f>
        <v>moules «pleine eau»</v>
      </c>
      <c r="Y42" s="493" t="str">
        <f>IF(42=42,SUBSTITUTE(SUBSTITUTE(SUBSTITUTE(SUBSTITUTE(SUBSTITUTE(SUBSTITUTE(SUBSTITUTE(SUBSTITUTE(SUBSTITUTE(SUBSTITUTE(SUBSTITUTE(SUBSTITUTE(SUBSTITUTE(SUBSTITUTE($X42,"’"," "),"`"," "),"–"," "),"—"," "),"-"," "),"'"," "),"/"," "),"_"," "),","," "),"."," "),"("," "),")"," "),";"," "),":"," "),"")</f>
        <v>moules «pleine eau»</v>
      </c>
      <c r="Z42" s="493" t="str">
        <f>IF(42=42,SUBSTITUTE(SUBSTITUTE(SUBSTITUTE(SUBSTITUTE(SUBSTITUTE(SUBSTITUTE(SUBSTITUTE(SUBSTITUTE(SUBSTITUTE(SUBSTITUTE(SUBSTITUTE(SUBSTITUTE(SUBSTITUTE(SUBSTITUTE(SUBSTITUTE($Y42,"!"," "),"?"," "),"+"," "),"*"," "),"&amp;"," "),"["," "),"]"," "),"{"," "),"}"," "),"%"," "),"="," "),"\"," "),"|"," "),"&lt;"," "),"&gt;"," "),"")</f>
        <v>moules «pleine eau»</v>
      </c>
      <c r="AA42" s="493" t="str">
        <f>IF(42=42," "&amp;TRIM(SUBSTITUTE(SUBSTITUTE(SUBSTITUTE(SUBSTITUTE(SUBSTITUTE(SUBSTITUTE($Z42,CHAR(34)," "),"  "," "),"  "," "),"  "," "),"  "," "),"  "," "))&amp;" ","")</f>
        <v xml:space="preserve"> moules «pleine eau» </v>
      </c>
      <c r="AB42" s="493">
        <f>IF(42=42,IF($U42="","",SUMPRODUCT(--ISNUMBER(SEARCH(" "&amp;$CR$2:$CR$101&amp;" ",$AD42)))),"")</f>
        <v>0</v>
      </c>
      <c r="AC42" s="493">
        <f>IF(42=42,IF($U42="","",SUMPRODUCT(--ISNUMBER(SEARCH(" "&amp;$CR$102:$CR$151&amp;" ",$AD42)))),"")</f>
        <v>0</v>
      </c>
      <c r="AD42" s="493" t="str">
        <f t="shared" si="1"/>
        <v xml:space="preserve"> moules «pleine eau» </v>
      </c>
      <c r="AE42" s="493">
        <f t="shared" si="2"/>
        <v>0</v>
      </c>
      <c r="AF42" s="493" t="str">
        <f>IF(42=42,IF($U42="","",IF(SUM(AB42:AC42)+SUMPRODUCT(--ISNUMBER(SEARCH(" "&amp;$CR$2418:$CR$2420&amp;" ",$AD42)))&gt;0,"X",IF(AE42&gt;0,"?",""))),"")</f>
        <v/>
      </c>
      <c r="AG42" s="493">
        <f>IF(42=42,IF($U42="","",SUMPRODUCT(--ISNUMBER(SEARCH(" "&amp;$CR$206:$CR$305&amp;" ",$AA42)))),"")</f>
        <v>0</v>
      </c>
      <c r="AH42" s="493">
        <f>IF(42=42,IF($U42="","",SUMPRODUCT(--ISNUMBER(SEARCH(" "&amp;$CR$306:$CR$340&amp;" ",$AA42)))),"")</f>
        <v>0</v>
      </c>
      <c r="AI42" s="493" t="str">
        <f>IF(42=42,IF($U42="","",IF((SUM(AG42:AH42))-(0)&gt;0,"X",IF((0)-(0)&gt;0,"?",""))),"")</f>
        <v/>
      </c>
      <c r="AJ42" s="493">
        <f>IF(42=42,IF($U42="","",SUMPRODUCT(--ISNUMBER(SEARCH(" "&amp;$CR$341:$CR$398&amp;" ",$AA42)))),"")</f>
        <v>0</v>
      </c>
      <c r="AK42" s="493">
        <f>IF(42=42,IF($U42="","",SUMPRODUCT(--ISNUMBER(SEARCH(" "&amp;$CR$399:$CR$426&amp;" ",$AL42)))+SUMPRODUCT(--ISNUMBER(SEARCH(" "&amp;$CR$2440:$CR$2453&amp;" ",$AL42)))),"")</f>
        <v>0</v>
      </c>
      <c r="AL42" s="493" t="str">
        <f>IF(42=42,IF($U42="","",SUBSTITUTE(SUBSTITUTE(SUBSTITUTE(SUBSTITUTE(SUBSTITUTE(SUBSTITUTE(SUBSTITUTE(SUBSTITUTE(SUBSTITUTE(SUBSTITUTE(SUBSTITUTE(SUBSTITUTE(SUBSTITUTE(SUBSTITUTE($AA42," "&amp;$CR$2455&amp;" "," ")," "&amp;$CR$433&amp;" "," ")," "&amp;$CR$431&amp;" "," ")," "&amp;$CR$2438&amp;" "," ")," "&amp;$CR$2439&amp;" "," ")," "&amp;$CR$428&amp;" "," ")," "&amp;$CR$432&amp;" "," ")," "&amp;$CR$434&amp;" "," ")," "&amp;$CR$429&amp;" "," ")," "&amp;$CR$427&amp;" "," ")," "&amp;$CR$1367&amp;" "," ")," "&amp;$CR$435&amp;" "," ")," "&amp;$CR$1366&amp;" "," ")," "&amp;$CR$430&amp;" "," ")),"")</f>
        <v xml:space="preserve"> moules «pleine eau» </v>
      </c>
      <c r="AM42" s="493" t="str">
        <f>IF(42=42,IF($U42="","",IF(AJ42&gt;0,"X",IF(AK42&gt;0,"?",""))),"")</f>
        <v/>
      </c>
      <c r="AN42" s="493">
        <f>IF(42=42,IF($U42="","",SUMPRODUCT(--ISNUMBER(SEARCH(" "&amp;$CR$436:$CR$535&amp;" ",$AX42)))),"")</f>
        <v>0</v>
      </c>
      <c r="AO42" s="493">
        <f>IF(42=42,IF($U42="","",SUMPRODUCT(--ISNUMBER(SEARCH(" "&amp;$CR$536:$CR$635&amp;" ",$AX42)))),"")</f>
        <v>0</v>
      </c>
      <c r="AP42" s="493">
        <f>IF(42=42,IF($U42="","",SUMPRODUCT(--ISNUMBER(SEARCH(" "&amp;$CR$636:$CR$735&amp;" ",$AX42)))),"")</f>
        <v>0</v>
      </c>
      <c r="AQ42" s="493">
        <f>IF(42=42,IF($U42="","",SUMPRODUCT(--ISNUMBER(SEARCH(" "&amp;$CR$736:$CR$835&amp;" ",$AX42)))),"")</f>
        <v>0</v>
      </c>
      <c r="AR42" s="493">
        <f>IF(42=42,IF($U42="","",SUMPRODUCT(--ISNUMBER(SEARCH(" "&amp;$CR$836:$CR$935&amp;" ",$AX42)))),"")</f>
        <v>0</v>
      </c>
      <c r="AS42" s="493">
        <f>IF(42=42,IF($U42="","",SUMPRODUCT(--ISNUMBER(SEARCH(" "&amp;$CR$936:$CR$1035&amp;" ",$AX42)))),"")</f>
        <v>0</v>
      </c>
      <c r="AT42" s="493">
        <f>IF(42=42,IF($U42="","",SUMPRODUCT(--ISNUMBER(SEARCH(" "&amp;$CR$1036:$CR$1135&amp;" ",$AX42)))),"")</f>
        <v>0</v>
      </c>
      <c r="AU42" s="493">
        <f>IF(42=42,IF($U42="","",SUMPRODUCT(--ISNUMBER(SEARCH(" "&amp;$CR$1136:$CR$1235&amp;" ",$AX42)))),"")</f>
        <v>0</v>
      </c>
      <c r="AV42" s="493">
        <f>IF(42=42,IF($U42="","",SUMPRODUCT(--ISNUMBER(SEARCH(" "&amp;$CR$1236:$CR$1335&amp;" ",$AX42)))),"")</f>
        <v>0</v>
      </c>
      <c r="AW42" s="493">
        <f>IF(42=42,IF($U42="","",SUMPRODUCT(--ISNUMBER(SEARCH(" "&amp;$CR$1336:$CR$1363&amp;" ",$AX42)))),"")</f>
        <v>0</v>
      </c>
      <c r="AX42" s="493" t="str">
        <f>IF(42=42,IF($U42="","",SUBSTITUTE(SUBSTITUTE(SUBSTITUTE(SUBSTITUTE(SUBSTITUTE(SUBSTITUTE(SUBSTITUTE(SUBSTITUTE(SUBSTITUTE($AA42," "&amp;$CR$1365&amp;" "," ")," "&amp;$CR$1364&amp;" "," ")," "&amp;$CR$1370&amp;" "," ")," "&amp;$CR$1371&amp;" "," ")," "&amp;$CR$1367&amp;" "," ")," "&amp;$CR$1369&amp;" "," ")," "&amp;$CR$1366&amp;" "," ")," "&amp;$CR$1368&amp;" "," ")," "&amp;$CR$1372&amp;" "," ")),"")</f>
        <v xml:space="preserve"> moules «pleine eau» </v>
      </c>
      <c r="AY42" s="493">
        <f>IF(42=42,IF($U42="","",SUMPRODUCT(--ISNUMBER(SEARCH(" "&amp;$CR$1373:$CR$1383&amp;" ",$AX42)))),"")</f>
        <v>0</v>
      </c>
      <c r="AZ42" s="493" t="str">
        <f>IF(42=42,IF($U42="","",IF(SUM(AN42:AW42)+SUMPRODUCT(--ISNUMBER(SEARCH(" "&amp;$CR$2421:$CR$2422&amp;" ",$AX42)))&gt;0,"X",IF(AY42&gt;0,"?",""))),"")</f>
        <v/>
      </c>
      <c r="BA42" s="493">
        <f>IF(42=42,IF($U42="","",SUMPRODUCT(--ISNUMBER(SEARCH(" "&amp;$CR$1384:$CR$1404&amp;" ",$AA42)))),"")</f>
        <v>0</v>
      </c>
      <c r="BB42" s="493" t="str">
        <f>IF(42=42,IF($U42="","",IF((BA42)-(0)&gt;0,"X",IF((0)-(0)&gt;0,"?",""))),"")</f>
        <v/>
      </c>
      <c r="BC42" s="493">
        <f>IF(42=42,IF($U42="","",SUMPRODUCT(--ISNUMBER(SEARCH(" "&amp;$CR$1405:$CR$1442&amp;" ",$BD42)))),"")</f>
        <v>0</v>
      </c>
      <c r="BD42" s="493" t="str">
        <f>IF(42=42,IF($U42="","",SUBSTITUTE(SUBSTITUTE($AA42," "&amp;$CR$1443&amp;" "," ")," "&amp;$CR$1444&amp;" "," ")),"")</f>
        <v xml:space="preserve"> moules «pleine eau» </v>
      </c>
      <c r="BE42" s="493">
        <f>IF(42=42,IF($U42="","",SUMPRODUCT(--ISNUMBER(SEARCH(" "&amp;$CR$1445:$CR$1455&amp;" ",$BD42)))),"")</f>
        <v>0</v>
      </c>
      <c r="BF42" s="493" t="str">
        <f>IF(42=42,IF($U42="","",IF(BC42&gt;0,"X",IF(BE42&gt;0,"?",""))),"")</f>
        <v/>
      </c>
      <c r="BG42" s="493">
        <f>IF(42=42,IF($U42="","",SUMPRODUCT(--ISNUMBER(SEARCH(" "&amp;$CR$1456:$CR$1555&amp;" ",$BJ42)))),"")</f>
        <v>0</v>
      </c>
      <c r="BH42" s="493">
        <f>IF(42=42,IF($U42="","",SUMPRODUCT(--ISNUMBER(SEARCH(" "&amp;$CR$1556:$CR$1655&amp;" ",$BJ42)))),"")</f>
        <v>0</v>
      </c>
      <c r="BI42" s="493">
        <f>IF(42=42,IF($U42="","",SUMPRODUCT(--ISNUMBER(SEARCH(" "&amp;$CR$1656:$CR$1739&amp;" ",$BJ42)))),"")</f>
        <v>0</v>
      </c>
      <c r="BJ42" s="493" t="str">
        <f>IF(42=42,IF($U42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moules «pleine eau» </v>
      </c>
      <c r="BK42" s="493">
        <f>IF(42=42,IF($U42="","",SUMPRODUCT(--ISNUMBER(SEARCH(" "&amp;$CR$1790:$CR$1869&amp;" ",$BL42)))+SUMPRODUCT(--ISNUMBER(SEARCH(" "&amp;$CR$2440:$CR$2453&amp;" ",$BL42)))),"")</f>
        <v>0</v>
      </c>
      <c r="BL42" s="493" t="str">
        <f>IF(42=42,IF($U42="","",SUBSTITUTE(SUBSTITUTE(SUBSTITUTE(SUBSTITUTE(SUBSTITUTE(SUBSTITUTE(SUBSTITUTE(SUBSTITUTE(SUBSTITUTE(SUBSTITUTE(SUBSTITUTE(SUBSTITUTE(SUBSTITUTE($BJ42," "&amp;$CR$1876&amp;" "," ")," "&amp;$CR$1874&amp;" "," ")," "&amp;$CR$2438&amp;" "," ")," "&amp;$CR$2439&amp;" "," ")," "&amp;$CR$1871&amp;" "," ")," "&amp;$CR$1875&amp;" "," ")," "&amp;$CR$1877&amp;" "," ")," "&amp;$CR$1872&amp;" "," ")," "&amp;$CR$1870&amp;" "," ")," "&amp;$CR$1367&amp;" "," ")," "&amp;$CR$1878&amp;" "," ")," "&amp;$CR$1366&amp;" "," ")," "&amp;$CR$1873&amp;" "," ")),"")</f>
        <v xml:space="preserve"> moules «pleine eau» </v>
      </c>
      <c r="BM42" s="493" t="str">
        <f>IF(42=42,IF($U42="","",IF(SUM(BG42:BI42)+SUMPRODUCT(--ISNUMBER(SEARCH(" "&amp;$CR$2423:$CR$2424&amp;" ",$BJ42)))&gt;0,"X",IF(BK42&gt;0,"?",""))),"")</f>
        <v/>
      </c>
      <c r="BN42" s="493">
        <f>IF(42=42,IF($U42="","",SUMPRODUCT(--ISNUMBER(SEARCH(" "&amp;$CR$1879:$CR$1936&amp;" ",$BO42)))),"")</f>
        <v>0</v>
      </c>
      <c r="BO42" s="493" t="str">
        <f>IF(42=42,IF($U42="","",SUBSTITUTE(SUBSTITUTE(SUBSTITUTE(SUBSTITUTE(SUBSTITUTE(SUBSTITUTE(SUBSTITUTE(SUBSTITUTE(SUBSTITUTE(SUBSTITUTE(SUBSTITUTE(SUBSTITUTE(SUBSTITUTE(SUBSTITUTE(SUBSTITUTE(SUBSTITUTE(SUBSTITUTE(SUBSTITUTE(SUBSTITUTE(SUBSTITUTE(SUBSTITUTE(SUBSTITUTE(SUBSTITUTE($AA42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moules «pleine eau» </v>
      </c>
      <c r="BP42" s="493">
        <f>IF(42=42,IF($U42="","",SUMPRODUCT(--ISNUMBER(SEARCH(" "&amp;$CR$1960:$CR$1976&amp;" ",$BO42)))),"")</f>
        <v>0</v>
      </c>
      <c r="BQ42" s="493" t="str">
        <f>IF(42=42,IF($U42="","",IF(BN42&gt;0,"X",IF(BP42&gt;0,"?",""))),"")</f>
        <v/>
      </c>
      <c r="BR42" s="493">
        <f>IF(42=42,IF($U42="","",SUMPRODUCT(--ISNUMBER(SEARCH(" "&amp;$CR$1977:$CR$1990&amp;" ",$AA42)))),"")</f>
        <v>0</v>
      </c>
      <c r="BS42" s="493">
        <f>IF(42=42,IF($U42="","",SUMPRODUCT(--ISNUMBER(SEARCH(" "&amp;$CR$1991:$CR$2005&amp;" ",$AA42)))),"")</f>
        <v>0</v>
      </c>
      <c r="BT42" s="493" t="str">
        <f>IF(42=42,IF($U42="","",IF((BR42)-(0)&gt;0,"X",IF((BS42)-(0)&gt;0,"?",""))),"")</f>
        <v/>
      </c>
      <c r="BU42" s="493">
        <f>IF(42=42,IF($U42="","",SUMPRODUCT(--ISNUMBER(SEARCH(" "&amp;$CR$2006:$CR$2023&amp;" ",$AA42)))),"")</f>
        <v>0</v>
      </c>
      <c r="BV42" s="493">
        <f>IF(42=42,IF($U42="","",SUMPRODUCT(--ISNUMBER(SEARCH(" "&amp;$CR$2024:$CR$2038&amp;" ",$AA42)))),"")</f>
        <v>0</v>
      </c>
      <c r="BW42" s="493" t="str">
        <f>IF(42=42,IF($U42="","",IF((BU42)-(0)&gt;0,"X",IF((BV42)-(0)&gt;0,"?",""))),"")</f>
        <v/>
      </c>
      <c r="BX42" s="493">
        <f>IF(42=42,IF($U42="","",SUMPRODUCT(--ISNUMBER(SEARCH(" "&amp;$CR$2039:$CR$2057&amp;" ",$AA42)))),"")</f>
        <v>0</v>
      </c>
      <c r="BY42" s="493">
        <f>IF(42=42,IF($U42="","",SUMPRODUCT(--ISNUMBER(SEARCH(" "&amp;$CR$2058:$CR$2072&amp;" ",$AA42)))),"")</f>
        <v>0</v>
      </c>
      <c r="BZ42" s="493" t="str">
        <f>IF(42=42,IF($U42="","",IF((BX42)-(0)&gt;0,"X",IF((BY42)-(0)&gt;0,"?",""))),"")</f>
        <v/>
      </c>
      <c r="CA42" s="493">
        <f>IF(42=42,IF($U42="","",SUMPRODUCT(--ISNUMBER(SEARCH(" "&amp;$CR$2073:$CR$2093&amp;" ",$AA42)))),"")</f>
        <v>0</v>
      </c>
      <c r="CB42" s="493">
        <f>IF(42=42,IF($U42="","",SUMPRODUCT(--ISNUMBER(SEARCH(" "&amp;$CR$2094:$CR$2133&amp;" ",SUBSTITUTE(SUBSTITUTE($AA42," "&amp;$CR$1367&amp;" "," ")," "&amp;$CR$1366&amp;" "," "))))+--ISNUMBER(SEARCH("poiré",$V42))),"")</f>
        <v>0</v>
      </c>
      <c r="CC42" s="493" t="str">
        <f>IF(42=42,IF($U42="","",IF(OR(CA42&gt;0,ISNUMBER(SEARCH(" vinaigre de vin ",$AA42)),ISNUMBER(SEARCH(" vinaigre au vin ",$AA42))),"X",IF(CB42&gt;0,"?",""))),"")</f>
        <v/>
      </c>
      <c r="CD42" s="493">
        <f>IF(42=42,IF($U42="","",SUMPRODUCT(--ISNUMBER(SEARCH(" "&amp;$CR$2134:$CR$2146&amp;" ",$AA42)))),"")</f>
        <v>0</v>
      </c>
      <c r="CE42" s="493">
        <f>IF(42=42,IF($U42="","",SUMPRODUCT(--ISNUMBER(SEARCH(" "&amp;$CR$2147:$CR$2152&amp;" ",$AA42)))),"")</f>
        <v>0</v>
      </c>
      <c r="CF42" s="493" t="str">
        <f>IF(42=42,IF($U42="","",IF((CD42)-(0)&gt;0,"X",IF((CE42)-(0)&gt;0,"?",""))),"")</f>
        <v/>
      </c>
      <c r="CG42" s="493">
        <f>IF(42=42,IF($U42="","",SUMPRODUCT(--ISNUMBER(SEARCH(" "&amp;$CR$2153:$CR$2252&amp;" ",$CJ42)))),"")</f>
        <v>0</v>
      </c>
      <c r="CH42" s="493">
        <f>IF(42=42,IF($U42="","",SUMPRODUCT(--ISNUMBER(SEARCH(" "&amp;$CR$2253:$CR$2352&amp;" ",$CJ42)))),"")</f>
        <v>1</v>
      </c>
      <c r="CI42" s="493">
        <f>IF(42=42,IF($U42="","",SUMPRODUCT(--ISNUMBER(SEARCH(" "&amp;$CR$2353:$CR$2395&amp;" ",$CJ42)))),"")</f>
        <v>0</v>
      </c>
      <c r="CJ42" s="493" t="str">
        <f>IF(42=42,IF($U42="","",SUBSTITUTE(SUBSTITUTE(SUBSTITUTE(SUBSTITUTE(SUBSTITUTE(SUBSTITUTE(SUBSTITUTE(SUBSTITUTE(SUBSTITUTE(SUBSTITUTE(SUBSTITUTE(SUBSTITUTE(SUBSTITUTE(SUBSTITUTE(SUBSTITUTE(SUBSTITUTE($AA42," "&amp;$CR$2401&amp;" "," ")," "&amp;$CR$2400&amp;" "," ")," "&amp;$CR$2399&amp;" "," ")," "&amp;$CR$2406&amp;" "," ")," "&amp;$CR$2398&amp;" "," ")," "&amp;$CR$2410&amp;" "," ")," "&amp;$CR$2397&amp;" "," ")," "&amp;$CR$2402&amp;" "," ")," "&amp;$CR$2405&amp;" "," ")," "&amp;$CR$2396&amp;" "," ")," "&amp;$CR$2404&amp;" "," ")," "&amp;$CR$2411&amp;" "," ")," "&amp;$CR$2408&amp;" "," ")," "&amp;$CR$2403&amp;" "," ")," "&amp;$CR$2407&amp;" "," ")," "&amp;$CR$2409&amp;" "," ")),"")</f>
        <v xml:space="preserve"> moules «pleine eau» </v>
      </c>
      <c r="CK42" s="493">
        <f>IF(42=42,IF($U42="","",SUMPRODUCT(--ISNUMBER(SEARCH(" "&amp;$CR$2412:$CR$2416&amp;" ",$CJ42)))),"")</f>
        <v>0</v>
      </c>
      <c r="CL42" s="493" t="str">
        <f>IF(42=42,IF($U42="","",IF(SUM(CG42:CI42)&gt;0,"X",IF(CK42&gt;0,"?",""))),"")</f>
        <v>X</v>
      </c>
      <c r="CM42" s="494"/>
      <c r="CN42" s="496" t="s">
        <v>1215</v>
      </c>
      <c r="CO42" s="496" t="s">
        <v>1083</v>
      </c>
      <c r="CP42" s="496" t="s">
        <v>689</v>
      </c>
      <c r="CQ42" s="496" t="s">
        <v>1216</v>
      </c>
      <c r="CR42" s="496" t="s">
        <v>66</v>
      </c>
      <c r="CS42" s="496" t="s">
        <v>1085</v>
      </c>
      <c r="CT42" s="496" t="s">
        <v>1086</v>
      </c>
      <c r="CU42" s="496" t="s">
        <v>1087</v>
      </c>
      <c r="CV42" s="497" t="s">
        <v>1088</v>
      </c>
      <c r="CX42" s="543">
        <v>1</v>
      </c>
    </row>
    <row r="43" spans="1:102" ht="21" customHeight="1">
      <c r="A43" s="509">
        <v>37</v>
      </c>
      <c r="B43" s="510" t="s">
        <v>5879</v>
      </c>
      <c r="C43" s="511" t="str">
        <f t="shared" si="0"/>
        <v>Muscade</v>
      </c>
      <c r="D43" s="512" t="str">
        <f>IF(43=43,IF($B43="","",IF(E43="X",""&amp;"Céréales contenant du gluten","")&amp;IF(F43="X",IF(COUNTIF($E43:$E43,"X")&gt;0,", ","")&amp;"Crustacés","")&amp;IF(G43="X",IF(COUNTIF($E43:$F43,"X")&gt;0,", ","")&amp;"Œufs","")&amp;IF(H43="X",IF(COUNTIF($E43:$G43,"X")&gt;0,", ","")&amp;"Poissons","")&amp;IF(I43="X",IF(COUNTIF($E43:$H43,"X")&gt;0,", ","")&amp;"Arachides","")&amp;IF(J43="X",IF(COUNTIF($E43:$I43,"X")&gt;0,", ","")&amp;"Soja","")&amp;IF(K43="X",IF(COUNTIF($E43:$J43,"X")&gt;0,", ","")&amp;"Lait","")&amp;IF(L43="X",IF(COUNTIF($E43:$K43,"X")&gt;0,", ","")&amp;"Fruits à coque","")&amp;IF(M43="X",IF(COUNTIF($E43:$L43,"X")&gt;0,", ","")&amp;"Céleri","")&amp;IF(N43="X",IF(COUNTIF($E43:$M43,"X")&gt;0,", ","")&amp;"Moutarde","")&amp;IF(O43="X",IF(COUNTIF($E43:$N43,"X")&gt;0,", ","")&amp;"Sésame","")&amp;IF(P43="X",IF(COUNTIF($E43:$O43,"X")&gt;0,", ","")&amp;"Sulfites","")&amp;IF(Q43="X",IF(COUNTIF($E43:$P43,"X")&gt;0,", ","")&amp;"Lupin","")&amp;IF(R43="X",IF(COUNTIF($E43:$Q43,"X")&gt;0,", ","")&amp;"Mollusques","")),"")</f>
        <v/>
      </c>
      <c r="E43" s="513" t="str">
        <f>IF(43=43,IF($B43="","",AF43),"")</f>
        <v/>
      </c>
      <c r="F43" s="513" t="str">
        <f>IF(43=43,IF($B43="","",AI43),"")</f>
        <v/>
      </c>
      <c r="G43" s="513" t="str">
        <f>IF(43=43,IF($B43="","",AM43),"")</f>
        <v/>
      </c>
      <c r="H43" s="513" t="str">
        <f>IF(43=43,IF($B43="","",IF(ISNUMBER(SEARCH(" colin ",$AA43)),"X",AZ43)),"")</f>
        <v/>
      </c>
      <c r="I43" s="513" t="str">
        <f>IF(43=43,IF($B43="","",BB43),"")</f>
        <v/>
      </c>
      <c r="J43" s="513" t="str">
        <f>IF(43=43,IF($B43="","",BF43),"")</f>
        <v/>
      </c>
      <c r="K43" s="513" t="str">
        <f>IF(43=43,IF($B43="","",BM43),"")</f>
        <v/>
      </c>
      <c r="L43" s="513" t="str">
        <f>IF(43=43,IF($B43="","",BQ43),"")</f>
        <v/>
      </c>
      <c r="M43" s="513" t="str">
        <f>IF(43=43,IF($B43="","",BT43),"")</f>
        <v/>
      </c>
      <c r="N43" s="513" t="str">
        <f>IF(43=43,IF($B43="","",BW43),"")</f>
        <v/>
      </c>
      <c r="O43" s="513" t="str">
        <f>IF(43=43,IF($B43="","",BZ43),"")</f>
        <v/>
      </c>
      <c r="P43" s="513" t="str">
        <f>IF(43=43,IF($B43="","",CC43),"")</f>
        <v/>
      </c>
      <c r="Q43" s="513" t="str">
        <f>IF(43=43,IF($B43="","",CF43),"")</f>
        <v/>
      </c>
      <c r="R43" s="513" t="str">
        <f>IF(43=43,IF($B43="","",CL43),"")</f>
        <v/>
      </c>
      <c r="S43" s="514" t="str">
        <f>IF(43=43,IF($B43="","",IF(E43="?",""&amp;"Céréales contenant du gluten","")&amp;IF(F43="?",IF(COUNTIF($E43:$E43,"~?")&gt;0,", ","")&amp;"Crustacés","")&amp;IF(G43="?",IF(COUNTIF($E43:$F43,"~?")&gt;0,", ","")&amp;"Œufs","")&amp;IF(H43="?",IF(COUNTIF($E43:$G43,"~?")&gt;0,", ","")&amp;"Poissons","")&amp;IF(I43="?",IF(COUNTIF($E43:$H43,"~?")&gt;0,", ","")&amp;"Arachides","")&amp;IF(J43="?",IF(COUNTIF($E43:$I43,"~?")&gt;0,", ","")&amp;"Soja","")&amp;IF(K43="?",IF(COUNTIF($E43:$J43,"~?")&gt;0,", ","")&amp;"Lait","")&amp;IF(L43="?",IF(COUNTIF($E43:$K43,"~?")&gt;0,", ","")&amp;"Fruits à coque","")&amp;IF(M43="?",IF(COUNTIF($E43:$L43,"~?")&gt;0,", ","")&amp;"Céleri","")&amp;IF(N43="?",IF(COUNTIF($E43:$M43,"~?")&gt;0,", ","")&amp;"Moutarde","")&amp;IF(O43="?",IF(COUNTIF($E43:$N43,"~?")&gt;0,", ","")&amp;"Sésame","")&amp;IF(P43="?",IF(COUNTIF($E43:$O43,"~?")&gt;0,", ","")&amp;"Sulfites","")&amp;IF(Q43="?",IF(COUNTIF($E43:$P43,"~?")&gt;0,", ","")&amp;"Lupin","")&amp;IF(R43="?",IF(COUNTIF($E43:$Q43,"~?")&gt;0,", ","")&amp;"Mollusques","")),"")</f>
        <v/>
      </c>
      <c r="U43" s="493" t="str">
        <f>IF(43=43,IF($B43="","",$B43),"")</f>
        <v>Muscade</v>
      </c>
      <c r="V43" s="493" t="str">
        <f>IF(43=43,LOWER(CLEAN(SUBSTITUTE(SUBSTITUTE(SUBSTITUTE(SUBSTITUTE($U43,CHAR(160)," ")," "," "),CHAR(10)," "),CHAR(13)," "))),"")</f>
        <v>muscade</v>
      </c>
      <c r="W43" s="493" t="str">
        <f>IF(43=43,SUBSTITUTE(SUBSTITUTE(SUBSTITUTE(SUBSTITUTE(SUBSTITUTE(SUBSTITUTE(SUBSTITUTE(SUBSTITUTE(SUBSTITUTE(SUBSTITUTE(SUBSTITUTE(SUBSTITUTE($V43,"œ","oe"),"æ","ae"),"à","a"),"á","a"),"â","a"),"ä","a"),"ã","a"),"ç","c"),"è","e"),"é","e"),"ê","e"),"ë","e"),"")</f>
        <v>muscade</v>
      </c>
      <c r="X43" s="493" t="str">
        <f>IF(43=43,SUBSTITUTE(SUBSTITUTE(SUBSTITUTE(SUBSTITUTE(SUBSTITUTE(SUBSTITUTE(SUBSTITUTE(SUBSTITUTE(SUBSTITUTE(SUBSTITUTE(SUBSTITUTE(SUBSTITUTE(SUBSTITUTE(SUBSTITUTE(SUBSTITUTE(SUBSTITUTE($W43,"ì","i"),"í","i"),"î","i"),"ï","i"),"ñ","n"),"ò","o"),"ó","o"),"ô","o"),"ö","o"),"õ","o"),"ù","u"),"ú","u"),"û","u"),"ü","u"),"ý","y"),"ÿ","y"),"")</f>
        <v>muscade</v>
      </c>
      <c r="Y43" s="493" t="str">
        <f>IF(43=43,SUBSTITUTE(SUBSTITUTE(SUBSTITUTE(SUBSTITUTE(SUBSTITUTE(SUBSTITUTE(SUBSTITUTE(SUBSTITUTE(SUBSTITUTE(SUBSTITUTE(SUBSTITUTE(SUBSTITUTE(SUBSTITUTE(SUBSTITUTE($X43,"’"," "),"`"," "),"–"," "),"—"," "),"-"," "),"'"," "),"/"," "),"_"," "),","," "),"."," "),"("," "),")"," "),";"," "),":"," "),"")</f>
        <v>muscade</v>
      </c>
      <c r="Z43" s="493" t="str">
        <f>IF(43=43,SUBSTITUTE(SUBSTITUTE(SUBSTITUTE(SUBSTITUTE(SUBSTITUTE(SUBSTITUTE(SUBSTITUTE(SUBSTITUTE(SUBSTITUTE(SUBSTITUTE(SUBSTITUTE(SUBSTITUTE(SUBSTITUTE(SUBSTITUTE(SUBSTITUTE($Y43,"!"," "),"?"," "),"+"," "),"*"," "),"&amp;"," "),"["," "),"]"," "),"{"," "),"}"," "),"%"," "),"="," "),"\"," "),"|"," "),"&lt;"," "),"&gt;"," "),"")</f>
        <v>muscade</v>
      </c>
      <c r="AA43" s="493" t="str">
        <f>IF(43=43," "&amp;TRIM(SUBSTITUTE(SUBSTITUTE(SUBSTITUTE(SUBSTITUTE(SUBSTITUTE(SUBSTITUTE($Z43,CHAR(34)," "),"  "," "),"  "," "),"  "," "),"  "," "),"  "," "))&amp;" ","")</f>
        <v xml:space="preserve"> muscade </v>
      </c>
      <c r="AB43" s="493">
        <f>IF(43=43,IF($U43="","",SUMPRODUCT(--ISNUMBER(SEARCH(" "&amp;$CR$2:$CR$101&amp;" ",$AD43)))),"")</f>
        <v>0</v>
      </c>
      <c r="AC43" s="493">
        <f>IF(43=43,IF($U43="","",SUMPRODUCT(--ISNUMBER(SEARCH(" "&amp;$CR$102:$CR$151&amp;" ",$AD43)))),"")</f>
        <v>0</v>
      </c>
      <c r="AD43" s="493" t="str">
        <f t="shared" si="1"/>
        <v xml:space="preserve"> muscade </v>
      </c>
      <c r="AE43" s="493">
        <f t="shared" si="2"/>
        <v>0</v>
      </c>
      <c r="AF43" s="493" t="str">
        <f>IF(43=43,IF($U43="","",IF(SUM(AB43:AC43)+SUMPRODUCT(--ISNUMBER(SEARCH(" "&amp;$CR$2418:$CR$2420&amp;" ",$AD43)))&gt;0,"X",IF(AE43&gt;0,"?",""))),"")</f>
        <v/>
      </c>
      <c r="AG43" s="493">
        <f>IF(43=43,IF($U43="","",SUMPRODUCT(--ISNUMBER(SEARCH(" "&amp;$CR$206:$CR$305&amp;" ",$AA43)))),"")</f>
        <v>0</v>
      </c>
      <c r="AH43" s="493">
        <f>IF(43=43,IF($U43="","",SUMPRODUCT(--ISNUMBER(SEARCH(" "&amp;$CR$306:$CR$340&amp;" ",$AA43)))),"")</f>
        <v>0</v>
      </c>
      <c r="AI43" s="493" t="str">
        <f>IF(43=43,IF($U43="","",IF((SUM(AG43:AH43))-(0)&gt;0,"X",IF((0)-(0)&gt;0,"?",""))),"")</f>
        <v/>
      </c>
      <c r="AJ43" s="493">
        <f>IF(43=43,IF($U43="","",SUMPRODUCT(--ISNUMBER(SEARCH(" "&amp;$CR$341:$CR$398&amp;" ",$AA43)))),"")</f>
        <v>0</v>
      </c>
      <c r="AK43" s="493">
        <f>IF(43=43,IF($U43="","",SUMPRODUCT(--ISNUMBER(SEARCH(" "&amp;$CR$399:$CR$426&amp;" ",$AL43)))+SUMPRODUCT(--ISNUMBER(SEARCH(" "&amp;$CR$2440:$CR$2453&amp;" ",$AL43)))),"")</f>
        <v>0</v>
      </c>
      <c r="AL43" s="493" t="str">
        <f>IF(43=43,IF($U43="","",SUBSTITUTE(SUBSTITUTE(SUBSTITUTE(SUBSTITUTE(SUBSTITUTE(SUBSTITUTE(SUBSTITUTE(SUBSTITUTE(SUBSTITUTE(SUBSTITUTE(SUBSTITUTE(SUBSTITUTE(SUBSTITUTE(SUBSTITUTE($AA43," "&amp;$CR$2455&amp;" "," ")," "&amp;$CR$433&amp;" "," ")," "&amp;$CR$431&amp;" "," ")," "&amp;$CR$2438&amp;" "," ")," "&amp;$CR$2439&amp;" "," ")," "&amp;$CR$428&amp;" "," ")," "&amp;$CR$432&amp;" "," ")," "&amp;$CR$434&amp;" "," ")," "&amp;$CR$429&amp;" "," ")," "&amp;$CR$427&amp;" "," ")," "&amp;$CR$1367&amp;" "," ")," "&amp;$CR$435&amp;" "," ")," "&amp;$CR$1366&amp;" "," ")," "&amp;$CR$430&amp;" "," ")),"")</f>
        <v xml:space="preserve"> muscade </v>
      </c>
      <c r="AM43" s="493" t="str">
        <f>IF(43=43,IF($U43="","",IF(AJ43&gt;0,"X",IF(AK43&gt;0,"?",""))),"")</f>
        <v/>
      </c>
      <c r="AN43" s="493">
        <f>IF(43=43,IF($U43="","",SUMPRODUCT(--ISNUMBER(SEARCH(" "&amp;$CR$436:$CR$535&amp;" ",$AX43)))),"")</f>
        <v>0</v>
      </c>
      <c r="AO43" s="493">
        <f>IF(43=43,IF($U43="","",SUMPRODUCT(--ISNUMBER(SEARCH(" "&amp;$CR$536:$CR$635&amp;" ",$AX43)))),"")</f>
        <v>0</v>
      </c>
      <c r="AP43" s="493">
        <f>IF(43=43,IF($U43="","",SUMPRODUCT(--ISNUMBER(SEARCH(" "&amp;$CR$636:$CR$735&amp;" ",$AX43)))),"")</f>
        <v>0</v>
      </c>
      <c r="AQ43" s="493">
        <f>IF(43=43,IF($U43="","",SUMPRODUCT(--ISNUMBER(SEARCH(" "&amp;$CR$736:$CR$835&amp;" ",$AX43)))),"")</f>
        <v>0</v>
      </c>
      <c r="AR43" s="493">
        <f>IF(43=43,IF($U43="","",SUMPRODUCT(--ISNUMBER(SEARCH(" "&amp;$CR$836:$CR$935&amp;" ",$AX43)))),"")</f>
        <v>0</v>
      </c>
      <c r="AS43" s="493">
        <f>IF(43=43,IF($U43="","",SUMPRODUCT(--ISNUMBER(SEARCH(" "&amp;$CR$936:$CR$1035&amp;" ",$AX43)))),"")</f>
        <v>0</v>
      </c>
      <c r="AT43" s="493">
        <f>IF(43=43,IF($U43="","",SUMPRODUCT(--ISNUMBER(SEARCH(" "&amp;$CR$1036:$CR$1135&amp;" ",$AX43)))),"")</f>
        <v>0</v>
      </c>
      <c r="AU43" s="493">
        <f>IF(43=43,IF($U43="","",SUMPRODUCT(--ISNUMBER(SEARCH(" "&amp;$CR$1136:$CR$1235&amp;" ",$AX43)))),"")</f>
        <v>0</v>
      </c>
      <c r="AV43" s="493">
        <f>IF(43=43,IF($U43="","",SUMPRODUCT(--ISNUMBER(SEARCH(" "&amp;$CR$1236:$CR$1335&amp;" ",$AX43)))),"")</f>
        <v>0</v>
      </c>
      <c r="AW43" s="493">
        <f>IF(43=43,IF($U43="","",SUMPRODUCT(--ISNUMBER(SEARCH(" "&amp;$CR$1336:$CR$1363&amp;" ",$AX43)))),"")</f>
        <v>0</v>
      </c>
      <c r="AX43" s="493" t="str">
        <f>IF(43=43,IF($U43="","",SUBSTITUTE(SUBSTITUTE(SUBSTITUTE(SUBSTITUTE(SUBSTITUTE(SUBSTITUTE(SUBSTITUTE(SUBSTITUTE(SUBSTITUTE($AA43," "&amp;$CR$1365&amp;" "," ")," "&amp;$CR$1364&amp;" "," ")," "&amp;$CR$1370&amp;" "," ")," "&amp;$CR$1371&amp;" "," ")," "&amp;$CR$1367&amp;" "," ")," "&amp;$CR$1369&amp;" "," ")," "&amp;$CR$1366&amp;" "," ")," "&amp;$CR$1368&amp;" "," ")," "&amp;$CR$1372&amp;" "," ")),"")</f>
        <v xml:space="preserve"> muscade </v>
      </c>
      <c r="AY43" s="493">
        <f>IF(43=43,IF($U43="","",SUMPRODUCT(--ISNUMBER(SEARCH(" "&amp;$CR$1373:$CR$1383&amp;" ",$AX43)))),"")</f>
        <v>0</v>
      </c>
      <c r="AZ43" s="493" t="str">
        <f>IF(43=43,IF($U43="","",IF(SUM(AN43:AW43)+SUMPRODUCT(--ISNUMBER(SEARCH(" "&amp;$CR$2421:$CR$2422&amp;" ",$AX43)))&gt;0,"X",IF(AY43&gt;0,"?",""))),"")</f>
        <v/>
      </c>
      <c r="BA43" s="493">
        <f>IF(43=43,IF($U43="","",SUMPRODUCT(--ISNUMBER(SEARCH(" "&amp;$CR$1384:$CR$1404&amp;" ",$AA43)))),"")</f>
        <v>0</v>
      </c>
      <c r="BB43" s="493" t="str">
        <f>IF(43=43,IF($U43="","",IF((BA43)-(0)&gt;0,"X",IF((0)-(0)&gt;0,"?",""))),"")</f>
        <v/>
      </c>
      <c r="BC43" s="493">
        <f>IF(43=43,IF($U43="","",SUMPRODUCT(--ISNUMBER(SEARCH(" "&amp;$CR$1405:$CR$1442&amp;" ",$BD43)))),"")</f>
        <v>0</v>
      </c>
      <c r="BD43" s="493" t="str">
        <f>IF(43=43,IF($U43="","",SUBSTITUTE(SUBSTITUTE($AA43," "&amp;$CR$1443&amp;" "," ")," "&amp;$CR$1444&amp;" "," ")),"")</f>
        <v xml:space="preserve"> muscade </v>
      </c>
      <c r="BE43" s="493">
        <f>IF(43=43,IF($U43="","",SUMPRODUCT(--ISNUMBER(SEARCH(" "&amp;$CR$1445:$CR$1455&amp;" ",$BD43)))),"")</f>
        <v>0</v>
      </c>
      <c r="BF43" s="493" t="str">
        <f>IF(43=43,IF($U43="","",IF(BC43&gt;0,"X",IF(BE43&gt;0,"?",""))),"")</f>
        <v/>
      </c>
      <c r="BG43" s="493">
        <f>IF(43=43,IF($U43="","",SUMPRODUCT(--ISNUMBER(SEARCH(" "&amp;$CR$1456:$CR$1555&amp;" ",$BJ43)))),"")</f>
        <v>0</v>
      </c>
      <c r="BH43" s="493">
        <f>IF(43=43,IF($U43="","",SUMPRODUCT(--ISNUMBER(SEARCH(" "&amp;$CR$1556:$CR$1655&amp;" ",$BJ43)))),"")</f>
        <v>0</v>
      </c>
      <c r="BI43" s="493">
        <f>IF(43=43,IF($U43="","",SUMPRODUCT(--ISNUMBER(SEARCH(" "&amp;$CR$1656:$CR$1739&amp;" ",$BJ43)))),"")</f>
        <v>0</v>
      </c>
      <c r="BJ43" s="493" t="str">
        <f>IF(43=43,IF($U43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muscade </v>
      </c>
      <c r="BK43" s="493">
        <f>IF(43=43,IF($U43="","",SUMPRODUCT(--ISNUMBER(SEARCH(" "&amp;$CR$1790:$CR$1869&amp;" ",$BL43)))+SUMPRODUCT(--ISNUMBER(SEARCH(" "&amp;$CR$2440:$CR$2453&amp;" ",$BL43)))),"")</f>
        <v>0</v>
      </c>
      <c r="BL43" s="493" t="str">
        <f>IF(43=43,IF($U43="","",SUBSTITUTE(SUBSTITUTE(SUBSTITUTE(SUBSTITUTE(SUBSTITUTE(SUBSTITUTE(SUBSTITUTE(SUBSTITUTE(SUBSTITUTE(SUBSTITUTE(SUBSTITUTE(SUBSTITUTE(SUBSTITUTE($BJ43," "&amp;$CR$1876&amp;" "," ")," "&amp;$CR$1874&amp;" "," ")," "&amp;$CR$2438&amp;" "," ")," "&amp;$CR$2439&amp;" "," ")," "&amp;$CR$1871&amp;" "," ")," "&amp;$CR$1875&amp;" "," ")," "&amp;$CR$1877&amp;" "," ")," "&amp;$CR$1872&amp;" "," ")," "&amp;$CR$1870&amp;" "," ")," "&amp;$CR$1367&amp;" "," ")," "&amp;$CR$1878&amp;" "," ")," "&amp;$CR$1366&amp;" "," ")," "&amp;$CR$1873&amp;" "," ")),"")</f>
        <v xml:space="preserve"> muscade </v>
      </c>
      <c r="BM43" s="493" t="str">
        <f>IF(43=43,IF($U43="","",IF(SUM(BG43:BI43)+SUMPRODUCT(--ISNUMBER(SEARCH(" "&amp;$CR$2423:$CR$2424&amp;" ",$BJ43)))&gt;0,"X",IF(BK43&gt;0,"?",""))),"")</f>
        <v/>
      </c>
      <c r="BN43" s="493">
        <f>IF(43=43,IF($U43="","",SUMPRODUCT(--ISNUMBER(SEARCH(" "&amp;$CR$1879:$CR$1936&amp;" ",$BO43)))),"")</f>
        <v>0</v>
      </c>
      <c r="BO43" s="493" t="str">
        <f>IF(43=43,IF($U43="","",SUBSTITUTE(SUBSTITUTE(SUBSTITUTE(SUBSTITUTE(SUBSTITUTE(SUBSTITUTE(SUBSTITUTE(SUBSTITUTE(SUBSTITUTE(SUBSTITUTE(SUBSTITUTE(SUBSTITUTE(SUBSTITUTE(SUBSTITUTE(SUBSTITUTE(SUBSTITUTE(SUBSTITUTE(SUBSTITUTE(SUBSTITUTE(SUBSTITUTE(SUBSTITUTE(SUBSTITUTE(SUBSTITUTE($AA43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v>
      </c>
      <c r="BP43" s="493">
        <f>IF(43=43,IF($U43="","",SUMPRODUCT(--ISNUMBER(SEARCH(" "&amp;$CR$1960:$CR$1976&amp;" ",$BO43)))),"")</f>
        <v>0</v>
      </c>
      <c r="BQ43" s="493" t="str">
        <f>IF(43=43,IF($U43="","",IF(BN43&gt;0,"X",IF(BP43&gt;0,"?",""))),"")</f>
        <v/>
      </c>
      <c r="BR43" s="493">
        <f>IF(43=43,IF($U43="","",SUMPRODUCT(--ISNUMBER(SEARCH(" "&amp;$CR$1977:$CR$1990&amp;" ",$AA43)))),"")</f>
        <v>0</v>
      </c>
      <c r="BS43" s="493">
        <f>IF(43=43,IF($U43="","",SUMPRODUCT(--ISNUMBER(SEARCH(" "&amp;$CR$1991:$CR$2005&amp;" ",$AA43)))),"")</f>
        <v>0</v>
      </c>
      <c r="BT43" s="493" t="str">
        <f>IF(43=43,IF($U43="","",IF((BR43)-(0)&gt;0,"X",IF((BS43)-(0)&gt;0,"?",""))),"")</f>
        <v/>
      </c>
      <c r="BU43" s="493">
        <f>IF(43=43,IF($U43="","",SUMPRODUCT(--ISNUMBER(SEARCH(" "&amp;$CR$2006:$CR$2023&amp;" ",$AA43)))),"")</f>
        <v>0</v>
      </c>
      <c r="BV43" s="493">
        <f>IF(43=43,IF($U43="","",SUMPRODUCT(--ISNUMBER(SEARCH(" "&amp;$CR$2024:$CR$2038&amp;" ",$AA43)))),"")</f>
        <v>0</v>
      </c>
      <c r="BW43" s="493" t="str">
        <f>IF(43=43,IF($U43="","",IF((BU43)-(0)&gt;0,"X",IF((BV43)-(0)&gt;0,"?",""))),"")</f>
        <v/>
      </c>
      <c r="BX43" s="493">
        <f>IF(43=43,IF($U43="","",SUMPRODUCT(--ISNUMBER(SEARCH(" "&amp;$CR$2039:$CR$2057&amp;" ",$AA43)))),"")</f>
        <v>0</v>
      </c>
      <c r="BY43" s="493">
        <f>IF(43=43,IF($U43="","",SUMPRODUCT(--ISNUMBER(SEARCH(" "&amp;$CR$2058:$CR$2072&amp;" ",$AA43)))),"")</f>
        <v>0</v>
      </c>
      <c r="BZ43" s="493" t="str">
        <f>IF(43=43,IF($U43="","",IF((BX43)-(0)&gt;0,"X",IF((BY43)-(0)&gt;0,"?",""))),"")</f>
        <v/>
      </c>
      <c r="CA43" s="493">
        <f>IF(43=43,IF($U43="","",SUMPRODUCT(--ISNUMBER(SEARCH(" "&amp;$CR$2073:$CR$2093&amp;" ",$AA43)))),"")</f>
        <v>0</v>
      </c>
      <c r="CB43" s="493">
        <f>IF(43=43,IF($U43="","",SUMPRODUCT(--ISNUMBER(SEARCH(" "&amp;$CR$2094:$CR$2133&amp;" ",SUBSTITUTE(SUBSTITUTE($AA43," "&amp;$CR$1367&amp;" "," ")," "&amp;$CR$1366&amp;" "," "))))+--ISNUMBER(SEARCH("poiré",$V43))),"")</f>
        <v>0</v>
      </c>
      <c r="CC43" s="493" t="str">
        <f>IF(43=43,IF($U43="","",IF(OR(CA43&gt;0,ISNUMBER(SEARCH(" vinaigre de vin ",$AA43)),ISNUMBER(SEARCH(" vinaigre au vin ",$AA43))),"X",IF(CB43&gt;0,"?",""))),"")</f>
        <v/>
      </c>
      <c r="CD43" s="493">
        <f>IF(43=43,IF($U43="","",SUMPRODUCT(--ISNUMBER(SEARCH(" "&amp;$CR$2134:$CR$2146&amp;" ",$AA43)))),"")</f>
        <v>0</v>
      </c>
      <c r="CE43" s="493">
        <f>IF(43=43,IF($U43="","",SUMPRODUCT(--ISNUMBER(SEARCH(" "&amp;$CR$2147:$CR$2152&amp;" ",$AA43)))),"")</f>
        <v>0</v>
      </c>
      <c r="CF43" s="493" t="str">
        <f>IF(43=43,IF($U43="","",IF((CD43)-(0)&gt;0,"X",IF((CE43)-(0)&gt;0,"?",""))),"")</f>
        <v/>
      </c>
      <c r="CG43" s="493">
        <f>IF(43=43,IF($U43="","",SUMPRODUCT(--ISNUMBER(SEARCH(" "&amp;$CR$2153:$CR$2252&amp;" ",$CJ43)))),"")</f>
        <v>0</v>
      </c>
      <c r="CH43" s="493">
        <f>IF(43=43,IF($U43="","",SUMPRODUCT(--ISNUMBER(SEARCH(" "&amp;$CR$2253:$CR$2352&amp;" ",$CJ43)))),"")</f>
        <v>0</v>
      </c>
      <c r="CI43" s="493">
        <f>IF(43=43,IF($U43="","",SUMPRODUCT(--ISNUMBER(SEARCH(" "&amp;$CR$2353:$CR$2395&amp;" ",$CJ43)))),"")</f>
        <v>0</v>
      </c>
      <c r="CJ43" s="493" t="str">
        <f>IF(43=43,IF($U43="","",SUBSTITUTE(SUBSTITUTE(SUBSTITUTE(SUBSTITUTE(SUBSTITUTE(SUBSTITUTE(SUBSTITUTE(SUBSTITUTE(SUBSTITUTE(SUBSTITUTE(SUBSTITUTE(SUBSTITUTE(SUBSTITUTE(SUBSTITUTE(SUBSTITUTE(SUBSTITUTE($AA43," "&amp;$CR$2401&amp;" "," ")," "&amp;$CR$2400&amp;" "," ")," "&amp;$CR$2399&amp;" "," ")," "&amp;$CR$2406&amp;" "," ")," "&amp;$CR$2398&amp;" "," ")," "&amp;$CR$2410&amp;" "," ")," "&amp;$CR$2397&amp;" "," ")," "&amp;$CR$2402&amp;" "," ")," "&amp;$CR$2405&amp;" "," ")," "&amp;$CR$2396&amp;" "," ")," "&amp;$CR$2404&amp;" "," ")," "&amp;$CR$2411&amp;" "," ")," "&amp;$CR$2408&amp;" "," ")," "&amp;$CR$2403&amp;" "," ")," "&amp;$CR$2407&amp;" "," ")," "&amp;$CR$2409&amp;" "," ")),"")</f>
        <v xml:space="preserve"> muscade </v>
      </c>
      <c r="CK43" s="493">
        <f>IF(43=43,IF($U43="","",SUMPRODUCT(--ISNUMBER(SEARCH(" "&amp;$CR$2412:$CR$2416&amp;" ",$CJ43)))),"")</f>
        <v>0</v>
      </c>
      <c r="CL43" s="493" t="str">
        <f>IF(43=43,IF($U43="","",IF(SUM(CG43:CI43)&gt;0,"X",IF(CK43&gt;0,"?",""))),"")</f>
        <v/>
      </c>
      <c r="CM43" s="494"/>
      <c r="CN43" s="496" t="s">
        <v>1217</v>
      </c>
      <c r="CO43" s="496" t="s">
        <v>1083</v>
      </c>
      <c r="CP43" s="496" t="s">
        <v>689</v>
      </c>
      <c r="CQ43" s="496" t="s">
        <v>170</v>
      </c>
      <c r="CR43" s="496" t="s">
        <v>170</v>
      </c>
      <c r="CS43" s="496" t="s">
        <v>1085</v>
      </c>
      <c r="CT43" s="496" t="s">
        <v>1086</v>
      </c>
      <c r="CU43" s="496" t="s">
        <v>1087</v>
      </c>
      <c r="CV43" s="497" t="s">
        <v>1088</v>
      </c>
      <c r="CX43" s="543">
        <v>1</v>
      </c>
    </row>
    <row r="44" spans="1:102" ht="21" customHeight="1">
      <c r="A44" s="509">
        <v>38</v>
      </c>
      <c r="B44" s="510" t="s">
        <v>345</v>
      </c>
      <c r="C44" s="511" t="str">
        <f t="shared" si="0"/>
        <v>Œufs *</v>
      </c>
      <c r="D44" s="512" t="str">
        <f>IF(44=44,IF($B44="","",IF(E44="X",""&amp;"Céréales contenant du gluten","")&amp;IF(F44="X",IF(COUNTIF($E44:$E44,"X")&gt;0,", ","")&amp;"Crustacés","")&amp;IF(G44="X",IF(COUNTIF($E44:$F44,"X")&gt;0,", ","")&amp;"Œufs","")&amp;IF(H44="X",IF(COUNTIF($E44:$G44,"X")&gt;0,", ","")&amp;"Poissons","")&amp;IF(I44="X",IF(COUNTIF($E44:$H44,"X")&gt;0,", ","")&amp;"Arachides","")&amp;IF(J44="X",IF(COUNTIF($E44:$I44,"X")&gt;0,", ","")&amp;"Soja","")&amp;IF(K44="X",IF(COUNTIF($E44:$J44,"X")&gt;0,", ","")&amp;"Lait","")&amp;IF(L44="X",IF(COUNTIF($E44:$K44,"X")&gt;0,", ","")&amp;"Fruits à coque","")&amp;IF(M44="X",IF(COUNTIF($E44:$L44,"X")&gt;0,", ","")&amp;"Céleri","")&amp;IF(N44="X",IF(COUNTIF($E44:$M44,"X")&gt;0,", ","")&amp;"Moutarde","")&amp;IF(O44="X",IF(COUNTIF($E44:$N44,"X")&gt;0,", ","")&amp;"Sésame","")&amp;IF(P44="X",IF(COUNTIF($E44:$O44,"X")&gt;0,", ","")&amp;"Sulfites","")&amp;IF(Q44="X",IF(COUNTIF($E44:$P44,"X")&gt;0,", ","")&amp;"Lupin","")&amp;IF(R44="X",IF(COUNTIF($E44:$Q44,"X")&gt;0,", ","")&amp;"Mollusques","")),"")</f>
        <v>Œufs</v>
      </c>
      <c r="E44" s="513" t="str">
        <f>IF(44=44,IF($B44="","",AF44),"")</f>
        <v/>
      </c>
      <c r="F44" s="513" t="str">
        <f>IF(44=44,IF($B44="","",AI44),"")</f>
        <v/>
      </c>
      <c r="G44" s="513" t="str">
        <f>IF(44=44,IF($B44="","",AM44),"")</f>
        <v>X</v>
      </c>
      <c r="H44" s="513" t="str">
        <f>IF(44=44,IF($B44="","",IF(ISNUMBER(SEARCH(" colin ",$AA44)),"X",AZ44)),"")</f>
        <v/>
      </c>
      <c r="I44" s="513" t="str">
        <f>IF(44=44,IF($B44="","",BB44),"")</f>
        <v/>
      </c>
      <c r="J44" s="513" t="str">
        <f>IF(44=44,IF($B44="","",BF44),"")</f>
        <v/>
      </c>
      <c r="K44" s="513" t="str">
        <f>IF(44=44,IF($B44="","",BM44),"")</f>
        <v/>
      </c>
      <c r="L44" s="513" t="str">
        <f>IF(44=44,IF($B44="","",BQ44),"")</f>
        <v/>
      </c>
      <c r="M44" s="513" t="str">
        <f>IF(44=44,IF($B44="","",BT44),"")</f>
        <v/>
      </c>
      <c r="N44" s="513" t="str">
        <f>IF(44=44,IF($B44="","",BW44),"")</f>
        <v/>
      </c>
      <c r="O44" s="513" t="str">
        <f>IF(44=44,IF($B44="","",BZ44),"")</f>
        <v/>
      </c>
      <c r="P44" s="513" t="str">
        <f>IF(44=44,IF($B44="","",CC44),"")</f>
        <v/>
      </c>
      <c r="Q44" s="513" t="str">
        <f>IF(44=44,IF($B44="","",CF44),"")</f>
        <v/>
      </c>
      <c r="R44" s="513" t="str">
        <f>IF(44=44,IF($B44="","",CL44),"")</f>
        <v/>
      </c>
      <c r="S44" s="514" t="str">
        <f>IF(44=44,IF($B44="","",IF(E44="?",""&amp;"Céréales contenant du gluten","")&amp;IF(F44="?",IF(COUNTIF($E44:$E44,"~?")&gt;0,", ","")&amp;"Crustacés","")&amp;IF(G44="?",IF(COUNTIF($E44:$F44,"~?")&gt;0,", ","")&amp;"Œufs","")&amp;IF(H44="?",IF(COUNTIF($E44:$G44,"~?")&gt;0,", ","")&amp;"Poissons","")&amp;IF(I44="?",IF(COUNTIF($E44:$H44,"~?")&gt;0,", ","")&amp;"Arachides","")&amp;IF(J44="?",IF(COUNTIF($E44:$I44,"~?")&gt;0,", ","")&amp;"Soja","")&amp;IF(K44="?",IF(COUNTIF($E44:$J44,"~?")&gt;0,", ","")&amp;"Lait","")&amp;IF(L44="?",IF(COUNTIF($E44:$K44,"~?")&gt;0,", ","")&amp;"Fruits à coque","")&amp;IF(M44="?",IF(COUNTIF($E44:$L44,"~?")&gt;0,", ","")&amp;"Céleri","")&amp;IF(N44="?",IF(COUNTIF($E44:$M44,"~?")&gt;0,", ","")&amp;"Moutarde","")&amp;IF(O44="?",IF(COUNTIF($E44:$N44,"~?")&gt;0,", ","")&amp;"Sésame","")&amp;IF(P44="?",IF(COUNTIF($E44:$O44,"~?")&gt;0,", ","")&amp;"Sulfites","")&amp;IF(Q44="?",IF(COUNTIF($E44:$P44,"~?")&gt;0,", ","")&amp;"Lupin","")&amp;IF(R44="?",IF(COUNTIF($E44:$Q44,"~?")&gt;0,", ","")&amp;"Mollusques","")),"")</f>
        <v/>
      </c>
      <c r="U44" s="493" t="str">
        <f>IF(44=44,IF($B44="","",$B44),"")</f>
        <v>Œufs</v>
      </c>
      <c r="V44" s="493" t="str">
        <f>IF(44=44,LOWER(CLEAN(SUBSTITUTE(SUBSTITUTE(SUBSTITUTE(SUBSTITUTE($U44,CHAR(160)," ")," "," "),CHAR(10)," "),CHAR(13)," "))),"")</f>
        <v>œufs</v>
      </c>
      <c r="W44" s="493" t="str">
        <f>IF(44=44,SUBSTITUTE(SUBSTITUTE(SUBSTITUTE(SUBSTITUTE(SUBSTITUTE(SUBSTITUTE(SUBSTITUTE(SUBSTITUTE(SUBSTITUTE(SUBSTITUTE(SUBSTITUTE(SUBSTITUTE($V44,"œ","oe"),"æ","ae"),"à","a"),"á","a"),"â","a"),"ä","a"),"ã","a"),"ç","c"),"è","e"),"é","e"),"ê","e"),"ë","e"),"")</f>
        <v>oeufs</v>
      </c>
      <c r="X44" s="493" t="str">
        <f>IF(44=44,SUBSTITUTE(SUBSTITUTE(SUBSTITUTE(SUBSTITUTE(SUBSTITUTE(SUBSTITUTE(SUBSTITUTE(SUBSTITUTE(SUBSTITUTE(SUBSTITUTE(SUBSTITUTE(SUBSTITUTE(SUBSTITUTE(SUBSTITUTE(SUBSTITUTE(SUBSTITUTE($W44,"ì","i"),"í","i"),"î","i"),"ï","i"),"ñ","n"),"ò","o"),"ó","o"),"ô","o"),"ö","o"),"õ","o"),"ù","u"),"ú","u"),"û","u"),"ü","u"),"ý","y"),"ÿ","y"),"")</f>
        <v>oeufs</v>
      </c>
      <c r="Y44" s="493" t="str">
        <f>IF(44=44,SUBSTITUTE(SUBSTITUTE(SUBSTITUTE(SUBSTITUTE(SUBSTITUTE(SUBSTITUTE(SUBSTITUTE(SUBSTITUTE(SUBSTITUTE(SUBSTITUTE(SUBSTITUTE(SUBSTITUTE(SUBSTITUTE(SUBSTITUTE($X44,"’"," "),"`"," "),"–"," "),"—"," "),"-"," "),"'"," "),"/"," "),"_"," "),","," "),"."," "),"("," "),")"," "),";"," "),":"," "),"")</f>
        <v>oeufs</v>
      </c>
      <c r="Z44" s="493" t="str">
        <f>IF(44=44,SUBSTITUTE(SUBSTITUTE(SUBSTITUTE(SUBSTITUTE(SUBSTITUTE(SUBSTITUTE(SUBSTITUTE(SUBSTITUTE(SUBSTITUTE(SUBSTITUTE(SUBSTITUTE(SUBSTITUTE(SUBSTITUTE(SUBSTITUTE(SUBSTITUTE($Y44,"!"," "),"?"," "),"+"," "),"*"," "),"&amp;"," "),"["," "),"]"," "),"{"," "),"}"," "),"%"," "),"="," "),"\"," "),"|"," "),"&lt;"," "),"&gt;"," "),"")</f>
        <v>oeufs</v>
      </c>
      <c r="AA44" s="493" t="str">
        <f>IF(44=44," "&amp;TRIM(SUBSTITUTE(SUBSTITUTE(SUBSTITUTE(SUBSTITUTE(SUBSTITUTE(SUBSTITUTE($Z44,CHAR(34)," "),"  "," "),"  "," "),"  "," "),"  "," "),"  "," "))&amp;" ","")</f>
        <v xml:space="preserve"> oeufs </v>
      </c>
      <c r="AB44" s="493">
        <f>IF(44=44,IF($U44="","",SUMPRODUCT(--ISNUMBER(SEARCH(" "&amp;$CR$2:$CR$101&amp;" ",$AD44)))),"")</f>
        <v>0</v>
      </c>
      <c r="AC44" s="493">
        <f>IF(44=44,IF($U44="","",SUMPRODUCT(--ISNUMBER(SEARCH(" "&amp;$CR$102:$CR$151&amp;" ",$AD44)))),"")</f>
        <v>0</v>
      </c>
      <c r="AD44" s="493" t="str">
        <f t="shared" si="1"/>
        <v xml:space="preserve"> oeufs </v>
      </c>
      <c r="AE44" s="493">
        <f t="shared" si="2"/>
        <v>0</v>
      </c>
      <c r="AF44" s="493" t="str">
        <f>IF(44=44,IF($U44="","",IF(SUM(AB44:AC44)+SUMPRODUCT(--ISNUMBER(SEARCH(" "&amp;$CR$2418:$CR$2420&amp;" ",$AD44)))&gt;0,"X",IF(AE44&gt;0,"?",""))),"")</f>
        <v/>
      </c>
      <c r="AG44" s="493">
        <f>IF(44=44,IF($U44="","",SUMPRODUCT(--ISNUMBER(SEARCH(" "&amp;$CR$206:$CR$305&amp;" ",$AA44)))),"")</f>
        <v>0</v>
      </c>
      <c r="AH44" s="493">
        <f>IF(44=44,IF($U44="","",SUMPRODUCT(--ISNUMBER(SEARCH(" "&amp;$CR$306:$CR$340&amp;" ",$AA44)))),"")</f>
        <v>0</v>
      </c>
      <c r="AI44" s="493" t="str">
        <f>IF(44=44,IF($U44="","",IF((SUM(AG44:AH44))-(0)&gt;0,"X",IF((0)-(0)&gt;0,"?",""))),"")</f>
        <v/>
      </c>
      <c r="AJ44" s="493">
        <f>IF(44=44,IF($U44="","",SUMPRODUCT(--ISNUMBER(SEARCH(" "&amp;$CR$341:$CR$398&amp;" ",$AA44)))),"")</f>
        <v>1</v>
      </c>
      <c r="AK44" s="493">
        <f>IF(44=44,IF($U44="","",SUMPRODUCT(--ISNUMBER(SEARCH(" "&amp;$CR$399:$CR$426&amp;" ",$AL44)))+SUMPRODUCT(--ISNUMBER(SEARCH(" "&amp;$CR$2440:$CR$2453&amp;" ",$AL44)))),"")</f>
        <v>0</v>
      </c>
      <c r="AL44" s="493" t="str">
        <f>IF(44=44,IF($U44="","",SUBSTITUTE(SUBSTITUTE(SUBSTITUTE(SUBSTITUTE(SUBSTITUTE(SUBSTITUTE(SUBSTITUTE(SUBSTITUTE(SUBSTITUTE(SUBSTITUTE(SUBSTITUTE(SUBSTITUTE(SUBSTITUTE(SUBSTITUTE($AA44," "&amp;$CR$2455&amp;" "," ")," "&amp;$CR$433&amp;" "," ")," "&amp;$CR$431&amp;" "," ")," "&amp;$CR$2438&amp;" "," ")," "&amp;$CR$2439&amp;" "," ")," "&amp;$CR$428&amp;" "," ")," "&amp;$CR$432&amp;" "," ")," "&amp;$CR$434&amp;" "," ")," "&amp;$CR$429&amp;" "," ")," "&amp;$CR$427&amp;" "," ")," "&amp;$CR$1367&amp;" "," ")," "&amp;$CR$435&amp;" "," ")," "&amp;$CR$1366&amp;" "," ")," "&amp;$CR$430&amp;" "," ")),"")</f>
        <v xml:space="preserve"> oeufs </v>
      </c>
      <c r="AM44" s="493" t="str">
        <f>IF(44=44,IF($U44="","",IF(AJ44&gt;0,"X",IF(AK44&gt;0,"?",""))),"")</f>
        <v>X</v>
      </c>
      <c r="AN44" s="493">
        <f>IF(44=44,IF($U44="","",SUMPRODUCT(--ISNUMBER(SEARCH(" "&amp;$CR$436:$CR$535&amp;" ",$AX44)))),"")</f>
        <v>0</v>
      </c>
      <c r="AO44" s="493">
        <f>IF(44=44,IF($U44="","",SUMPRODUCT(--ISNUMBER(SEARCH(" "&amp;$CR$536:$CR$635&amp;" ",$AX44)))),"")</f>
        <v>0</v>
      </c>
      <c r="AP44" s="493">
        <f>IF(44=44,IF($U44="","",SUMPRODUCT(--ISNUMBER(SEARCH(" "&amp;$CR$636:$CR$735&amp;" ",$AX44)))),"")</f>
        <v>0</v>
      </c>
      <c r="AQ44" s="493">
        <f>IF(44=44,IF($U44="","",SUMPRODUCT(--ISNUMBER(SEARCH(" "&amp;$CR$736:$CR$835&amp;" ",$AX44)))),"")</f>
        <v>0</v>
      </c>
      <c r="AR44" s="493">
        <f>IF(44=44,IF($U44="","",SUMPRODUCT(--ISNUMBER(SEARCH(" "&amp;$CR$836:$CR$935&amp;" ",$AX44)))),"")</f>
        <v>0</v>
      </c>
      <c r="AS44" s="493">
        <f>IF(44=44,IF($U44="","",SUMPRODUCT(--ISNUMBER(SEARCH(" "&amp;$CR$936:$CR$1035&amp;" ",$AX44)))),"")</f>
        <v>0</v>
      </c>
      <c r="AT44" s="493">
        <f>IF(44=44,IF($U44="","",SUMPRODUCT(--ISNUMBER(SEARCH(" "&amp;$CR$1036:$CR$1135&amp;" ",$AX44)))),"")</f>
        <v>0</v>
      </c>
      <c r="AU44" s="493">
        <f>IF(44=44,IF($U44="","",SUMPRODUCT(--ISNUMBER(SEARCH(" "&amp;$CR$1136:$CR$1235&amp;" ",$AX44)))),"")</f>
        <v>0</v>
      </c>
      <c r="AV44" s="493">
        <f>IF(44=44,IF($U44="","",SUMPRODUCT(--ISNUMBER(SEARCH(" "&amp;$CR$1236:$CR$1335&amp;" ",$AX44)))),"")</f>
        <v>0</v>
      </c>
      <c r="AW44" s="493">
        <f>IF(44=44,IF($U44="","",SUMPRODUCT(--ISNUMBER(SEARCH(" "&amp;$CR$1336:$CR$1363&amp;" ",$AX44)))),"")</f>
        <v>0</v>
      </c>
      <c r="AX44" s="493" t="str">
        <f>IF(44=44,IF($U44="","",SUBSTITUTE(SUBSTITUTE(SUBSTITUTE(SUBSTITUTE(SUBSTITUTE(SUBSTITUTE(SUBSTITUTE(SUBSTITUTE(SUBSTITUTE($AA44," "&amp;$CR$1365&amp;" "," ")," "&amp;$CR$1364&amp;" "," ")," "&amp;$CR$1370&amp;" "," ")," "&amp;$CR$1371&amp;" "," ")," "&amp;$CR$1367&amp;" "," ")," "&amp;$CR$1369&amp;" "," ")," "&amp;$CR$1366&amp;" "," ")," "&amp;$CR$1368&amp;" "," ")," "&amp;$CR$1372&amp;" "," ")),"")</f>
        <v xml:space="preserve"> oeufs </v>
      </c>
      <c r="AY44" s="493">
        <f>IF(44=44,IF($U44="","",SUMPRODUCT(--ISNUMBER(SEARCH(" "&amp;$CR$1373:$CR$1383&amp;" ",$AX44)))),"")</f>
        <v>0</v>
      </c>
      <c r="AZ44" s="493" t="str">
        <f>IF(44=44,IF($U44="","",IF(SUM(AN44:AW44)+SUMPRODUCT(--ISNUMBER(SEARCH(" "&amp;$CR$2421:$CR$2422&amp;" ",$AX44)))&gt;0,"X",IF(AY44&gt;0,"?",""))),"")</f>
        <v/>
      </c>
      <c r="BA44" s="493">
        <f>IF(44=44,IF($U44="","",SUMPRODUCT(--ISNUMBER(SEARCH(" "&amp;$CR$1384:$CR$1404&amp;" ",$AA44)))),"")</f>
        <v>0</v>
      </c>
      <c r="BB44" s="493" t="str">
        <f>IF(44=44,IF($U44="","",IF((BA44)-(0)&gt;0,"X",IF((0)-(0)&gt;0,"?",""))),"")</f>
        <v/>
      </c>
      <c r="BC44" s="493">
        <f>IF(44=44,IF($U44="","",SUMPRODUCT(--ISNUMBER(SEARCH(" "&amp;$CR$1405:$CR$1442&amp;" ",$BD44)))),"")</f>
        <v>0</v>
      </c>
      <c r="BD44" s="493" t="str">
        <f>IF(44=44,IF($U44="","",SUBSTITUTE(SUBSTITUTE($AA44," "&amp;$CR$1443&amp;" "," ")," "&amp;$CR$1444&amp;" "," ")),"")</f>
        <v xml:space="preserve"> oeufs </v>
      </c>
      <c r="BE44" s="493">
        <f>IF(44=44,IF($U44="","",SUMPRODUCT(--ISNUMBER(SEARCH(" "&amp;$CR$1445:$CR$1455&amp;" ",$BD44)))),"")</f>
        <v>0</v>
      </c>
      <c r="BF44" s="493" t="str">
        <f>IF(44=44,IF($U44="","",IF(BC44&gt;0,"X",IF(BE44&gt;0,"?",""))),"")</f>
        <v/>
      </c>
      <c r="BG44" s="493">
        <f>IF(44=44,IF($U44="","",SUMPRODUCT(--ISNUMBER(SEARCH(" "&amp;$CR$1456:$CR$1555&amp;" ",$BJ44)))),"")</f>
        <v>0</v>
      </c>
      <c r="BH44" s="493">
        <f>IF(44=44,IF($U44="","",SUMPRODUCT(--ISNUMBER(SEARCH(" "&amp;$CR$1556:$CR$1655&amp;" ",$BJ44)))),"")</f>
        <v>0</v>
      </c>
      <c r="BI44" s="493">
        <f>IF(44=44,IF($U44="","",SUMPRODUCT(--ISNUMBER(SEARCH(" "&amp;$CR$1656:$CR$1739&amp;" ",$BJ44)))),"")</f>
        <v>0</v>
      </c>
      <c r="BJ44" s="493" t="str">
        <f>IF(44=44,IF($U44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oeufs </v>
      </c>
      <c r="BK44" s="493">
        <f>IF(44=44,IF($U44="","",SUMPRODUCT(--ISNUMBER(SEARCH(" "&amp;$CR$1790:$CR$1869&amp;" ",$BL44)))+SUMPRODUCT(--ISNUMBER(SEARCH(" "&amp;$CR$2440:$CR$2453&amp;" ",$BL44)))),"")</f>
        <v>0</v>
      </c>
      <c r="BL44" s="493" t="str">
        <f>IF(44=44,IF($U44="","",SUBSTITUTE(SUBSTITUTE(SUBSTITUTE(SUBSTITUTE(SUBSTITUTE(SUBSTITUTE(SUBSTITUTE(SUBSTITUTE(SUBSTITUTE(SUBSTITUTE(SUBSTITUTE(SUBSTITUTE(SUBSTITUTE($BJ44," "&amp;$CR$1876&amp;" "," ")," "&amp;$CR$1874&amp;" "," ")," "&amp;$CR$2438&amp;" "," ")," "&amp;$CR$2439&amp;" "," ")," "&amp;$CR$1871&amp;" "," ")," "&amp;$CR$1875&amp;" "," ")," "&amp;$CR$1877&amp;" "," ")," "&amp;$CR$1872&amp;" "," ")," "&amp;$CR$1870&amp;" "," ")," "&amp;$CR$1367&amp;" "," ")," "&amp;$CR$1878&amp;" "," ")," "&amp;$CR$1366&amp;" "," ")," "&amp;$CR$1873&amp;" "," ")),"")</f>
        <v xml:space="preserve"> oeufs </v>
      </c>
      <c r="BM44" s="493" t="str">
        <f>IF(44=44,IF($U44="","",IF(SUM(BG44:BI44)+SUMPRODUCT(--ISNUMBER(SEARCH(" "&amp;$CR$2423:$CR$2424&amp;" ",$BJ44)))&gt;0,"X",IF(BK44&gt;0,"?",""))),"")</f>
        <v/>
      </c>
      <c r="BN44" s="493">
        <f>IF(44=44,IF($U44="","",SUMPRODUCT(--ISNUMBER(SEARCH(" "&amp;$CR$1879:$CR$1936&amp;" ",$BO44)))),"")</f>
        <v>0</v>
      </c>
      <c r="BO44" s="493" t="str">
        <f>IF(44=44,IF($U44="","",SUBSTITUTE(SUBSTITUTE(SUBSTITUTE(SUBSTITUTE(SUBSTITUTE(SUBSTITUTE(SUBSTITUTE(SUBSTITUTE(SUBSTITUTE(SUBSTITUTE(SUBSTITUTE(SUBSTITUTE(SUBSTITUTE(SUBSTITUTE(SUBSTITUTE(SUBSTITUTE(SUBSTITUTE(SUBSTITUTE(SUBSTITUTE(SUBSTITUTE(SUBSTITUTE(SUBSTITUTE(SUBSTITUTE($AA44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oeufs </v>
      </c>
      <c r="BP44" s="493">
        <f>IF(44=44,IF($U44="","",SUMPRODUCT(--ISNUMBER(SEARCH(" "&amp;$CR$1960:$CR$1976&amp;" ",$BO44)))),"")</f>
        <v>0</v>
      </c>
      <c r="BQ44" s="493" t="str">
        <f>IF(44=44,IF($U44="","",IF(BN44&gt;0,"X",IF(BP44&gt;0,"?",""))),"")</f>
        <v/>
      </c>
      <c r="BR44" s="493">
        <f>IF(44=44,IF($U44="","",SUMPRODUCT(--ISNUMBER(SEARCH(" "&amp;$CR$1977:$CR$1990&amp;" ",$AA44)))),"")</f>
        <v>0</v>
      </c>
      <c r="BS44" s="493">
        <f>IF(44=44,IF($U44="","",SUMPRODUCT(--ISNUMBER(SEARCH(" "&amp;$CR$1991:$CR$2005&amp;" ",$AA44)))),"")</f>
        <v>0</v>
      </c>
      <c r="BT44" s="493" t="str">
        <f>IF(44=44,IF($U44="","",IF((BR44)-(0)&gt;0,"X",IF((BS44)-(0)&gt;0,"?",""))),"")</f>
        <v/>
      </c>
      <c r="BU44" s="493">
        <f>IF(44=44,IF($U44="","",SUMPRODUCT(--ISNUMBER(SEARCH(" "&amp;$CR$2006:$CR$2023&amp;" ",$AA44)))),"")</f>
        <v>0</v>
      </c>
      <c r="BV44" s="493">
        <f>IF(44=44,IF($U44="","",SUMPRODUCT(--ISNUMBER(SEARCH(" "&amp;$CR$2024:$CR$2038&amp;" ",$AA44)))),"")</f>
        <v>0</v>
      </c>
      <c r="BW44" s="493" t="str">
        <f>IF(44=44,IF($U44="","",IF((BU44)-(0)&gt;0,"X",IF((BV44)-(0)&gt;0,"?",""))),"")</f>
        <v/>
      </c>
      <c r="BX44" s="493">
        <f>IF(44=44,IF($U44="","",SUMPRODUCT(--ISNUMBER(SEARCH(" "&amp;$CR$2039:$CR$2057&amp;" ",$AA44)))),"")</f>
        <v>0</v>
      </c>
      <c r="BY44" s="493">
        <f>IF(44=44,IF($U44="","",SUMPRODUCT(--ISNUMBER(SEARCH(" "&amp;$CR$2058:$CR$2072&amp;" ",$AA44)))),"")</f>
        <v>0</v>
      </c>
      <c r="BZ44" s="493" t="str">
        <f>IF(44=44,IF($U44="","",IF((BX44)-(0)&gt;0,"X",IF((BY44)-(0)&gt;0,"?",""))),"")</f>
        <v/>
      </c>
      <c r="CA44" s="493">
        <f>IF(44=44,IF($U44="","",SUMPRODUCT(--ISNUMBER(SEARCH(" "&amp;$CR$2073:$CR$2093&amp;" ",$AA44)))),"")</f>
        <v>0</v>
      </c>
      <c r="CB44" s="493">
        <f>IF(44=44,IF($U44="","",SUMPRODUCT(--ISNUMBER(SEARCH(" "&amp;$CR$2094:$CR$2133&amp;" ",SUBSTITUTE(SUBSTITUTE($AA44," "&amp;$CR$1367&amp;" "," ")," "&amp;$CR$1366&amp;" "," "))))+--ISNUMBER(SEARCH("poiré",$V44))),"")</f>
        <v>0</v>
      </c>
      <c r="CC44" s="493" t="str">
        <f>IF(44=44,IF($U44="","",IF(OR(CA44&gt;0,ISNUMBER(SEARCH(" vinaigre de vin ",$AA44)),ISNUMBER(SEARCH(" vinaigre au vin ",$AA44))),"X",IF(CB44&gt;0,"?",""))),"")</f>
        <v/>
      </c>
      <c r="CD44" s="493">
        <f>IF(44=44,IF($U44="","",SUMPRODUCT(--ISNUMBER(SEARCH(" "&amp;$CR$2134:$CR$2146&amp;" ",$AA44)))),"")</f>
        <v>0</v>
      </c>
      <c r="CE44" s="493">
        <f>IF(44=44,IF($U44="","",SUMPRODUCT(--ISNUMBER(SEARCH(" "&amp;$CR$2147:$CR$2152&amp;" ",$AA44)))),"")</f>
        <v>0</v>
      </c>
      <c r="CF44" s="493" t="str">
        <f>IF(44=44,IF($U44="","",IF((CD44)-(0)&gt;0,"X",IF((CE44)-(0)&gt;0,"?",""))),"")</f>
        <v/>
      </c>
      <c r="CG44" s="493">
        <f>IF(44=44,IF($U44="","",SUMPRODUCT(--ISNUMBER(SEARCH(" "&amp;$CR$2153:$CR$2252&amp;" ",$CJ44)))),"")</f>
        <v>0</v>
      </c>
      <c r="CH44" s="493">
        <f>IF(44=44,IF($U44="","",SUMPRODUCT(--ISNUMBER(SEARCH(" "&amp;$CR$2253:$CR$2352&amp;" ",$CJ44)))),"")</f>
        <v>0</v>
      </c>
      <c r="CI44" s="493">
        <f>IF(44=44,IF($U44="","",SUMPRODUCT(--ISNUMBER(SEARCH(" "&amp;$CR$2353:$CR$2395&amp;" ",$CJ44)))),"")</f>
        <v>0</v>
      </c>
      <c r="CJ44" s="493" t="str">
        <f>IF(44=44,IF($U44="","",SUBSTITUTE(SUBSTITUTE(SUBSTITUTE(SUBSTITUTE(SUBSTITUTE(SUBSTITUTE(SUBSTITUTE(SUBSTITUTE(SUBSTITUTE(SUBSTITUTE(SUBSTITUTE(SUBSTITUTE(SUBSTITUTE(SUBSTITUTE(SUBSTITUTE(SUBSTITUTE($AA44," "&amp;$CR$2401&amp;" "," ")," "&amp;$CR$2400&amp;" "," ")," "&amp;$CR$2399&amp;" "," ")," "&amp;$CR$2406&amp;" "," ")," "&amp;$CR$2398&amp;" "," ")," "&amp;$CR$2410&amp;" "," ")," "&amp;$CR$2397&amp;" "," ")," "&amp;$CR$2402&amp;" "," ")," "&amp;$CR$2405&amp;" "," ")," "&amp;$CR$2396&amp;" "," ")," "&amp;$CR$2404&amp;" "," ")," "&amp;$CR$2411&amp;" "," ")," "&amp;$CR$2408&amp;" "," ")," "&amp;$CR$2403&amp;" "," ")," "&amp;$CR$2407&amp;" "," ")," "&amp;$CR$2409&amp;" "," ")),"")</f>
        <v xml:space="preserve"> oeufs </v>
      </c>
      <c r="CK44" s="493">
        <f>IF(44=44,IF($U44="","",SUMPRODUCT(--ISNUMBER(SEARCH(" "&amp;$CR$2412:$CR$2416&amp;" ",$CJ44)))),"")</f>
        <v>0</v>
      </c>
      <c r="CL44" s="493" t="str">
        <f>IF(44=44,IF($U44="","",IF(SUM(CG44:CI44)&gt;0,"X",IF(CK44&gt;0,"?",""))),"")</f>
        <v/>
      </c>
      <c r="CM44" s="494"/>
      <c r="CN44" s="496" t="s">
        <v>1218</v>
      </c>
      <c r="CO44" s="496" t="s">
        <v>1083</v>
      </c>
      <c r="CP44" s="496" t="s">
        <v>689</v>
      </c>
      <c r="CQ44" s="496" t="s">
        <v>5880</v>
      </c>
      <c r="CR44" s="496" t="s">
        <v>5881</v>
      </c>
      <c r="CS44" s="496" t="s">
        <v>1085</v>
      </c>
      <c r="CT44" s="496" t="s">
        <v>5882</v>
      </c>
      <c r="CU44" s="496" t="s">
        <v>1087</v>
      </c>
      <c r="CV44" s="497" t="s">
        <v>1088</v>
      </c>
      <c r="CX44" s="543">
        <v>1</v>
      </c>
    </row>
    <row r="45" spans="1:102" ht="21" customHeight="1">
      <c r="A45" s="509">
        <v>39</v>
      </c>
      <c r="B45" s="510" t="s">
        <v>1154</v>
      </c>
      <c r="C45" s="511" t="str">
        <f t="shared" si="0"/>
        <v>Oignons émincés surgelés</v>
      </c>
      <c r="D45" s="512" t="str">
        <f>IF(45=45,IF($B45="","",IF(E45="X",""&amp;"Céréales contenant du gluten","")&amp;IF(F45="X",IF(COUNTIF($E45:$E45,"X")&gt;0,", ","")&amp;"Crustacés","")&amp;IF(G45="X",IF(COUNTIF($E45:$F45,"X")&gt;0,", ","")&amp;"Œufs","")&amp;IF(H45="X",IF(COUNTIF($E45:$G45,"X")&gt;0,", ","")&amp;"Poissons","")&amp;IF(I45="X",IF(COUNTIF($E45:$H45,"X")&gt;0,", ","")&amp;"Arachides","")&amp;IF(J45="X",IF(COUNTIF($E45:$I45,"X")&gt;0,", ","")&amp;"Soja","")&amp;IF(K45="X",IF(COUNTIF($E45:$J45,"X")&gt;0,", ","")&amp;"Lait","")&amp;IF(L45="X",IF(COUNTIF($E45:$K45,"X")&gt;0,", ","")&amp;"Fruits à coque","")&amp;IF(M45="X",IF(COUNTIF($E45:$L45,"X")&gt;0,", ","")&amp;"Céleri","")&amp;IF(N45="X",IF(COUNTIF($E45:$M45,"X")&gt;0,", ","")&amp;"Moutarde","")&amp;IF(O45="X",IF(COUNTIF($E45:$N45,"X")&gt;0,", ","")&amp;"Sésame","")&amp;IF(P45="X",IF(COUNTIF($E45:$O45,"X")&gt;0,", ","")&amp;"Sulfites","")&amp;IF(Q45="X",IF(COUNTIF($E45:$P45,"X")&gt;0,", ","")&amp;"Lupin","")&amp;IF(R45="X",IF(COUNTIF($E45:$Q45,"X")&gt;0,", ","")&amp;"Mollusques","")),"")</f>
        <v/>
      </c>
      <c r="E45" s="513" t="str">
        <f>IF(45=45,IF($B45="","",AF45),"")</f>
        <v/>
      </c>
      <c r="F45" s="513" t="str">
        <f>IF(45=45,IF($B45="","",AI45),"")</f>
        <v/>
      </c>
      <c r="G45" s="513" t="str">
        <f>IF(45=45,IF($B45="","",AM45),"")</f>
        <v/>
      </c>
      <c r="H45" s="513" t="str">
        <f>IF(45=45,IF($B45="","",IF(ISNUMBER(SEARCH(" colin ",$AA45)),"X",AZ45)),"")</f>
        <v/>
      </c>
      <c r="I45" s="513" t="str">
        <f>IF(45=45,IF($B45="","",BB45),"")</f>
        <v/>
      </c>
      <c r="J45" s="513" t="str">
        <f>IF(45=45,IF($B45="","",BF45),"")</f>
        <v/>
      </c>
      <c r="K45" s="513" t="str">
        <f>IF(45=45,IF($B45="","",BM45),"")</f>
        <v/>
      </c>
      <c r="L45" s="513" t="str">
        <f>IF(45=45,IF($B45="","",BQ45),"")</f>
        <v/>
      </c>
      <c r="M45" s="513" t="str">
        <f>IF(45=45,IF($B45="","",BT45),"")</f>
        <v/>
      </c>
      <c r="N45" s="513" t="str">
        <f>IF(45=45,IF($B45="","",BW45),"")</f>
        <v/>
      </c>
      <c r="O45" s="513" t="str">
        <f>IF(45=45,IF($B45="","",BZ45),"")</f>
        <v/>
      </c>
      <c r="P45" s="513" t="str">
        <f>IF(45=45,IF($B45="","",CC45),"")</f>
        <v/>
      </c>
      <c r="Q45" s="513" t="str">
        <f>IF(45=45,IF($B45="","",CF45),"")</f>
        <v/>
      </c>
      <c r="R45" s="513" t="str">
        <f>IF(45=45,IF($B45="","",CL45),"")</f>
        <v/>
      </c>
      <c r="S45" s="514" t="str">
        <f>IF(45=45,IF($B45="","",IF(E45="?",""&amp;"Céréales contenant du gluten","")&amp;IF(F45="?",IF(COUNTIF($E45:$E45,"~?")&gt;0,", ","")&amp;"Crustacés","")&amp;IF(G45="?",IF(COUNTIF($E45:$F45,"~?")&gt;0,", ","")&amp;"Œufs","")&amp;IF(H45="?",IF(COUNTIF($E45:$G45,"~?")&gt;0,", ","")&amp;"Poissons","")&amp;IF(I45="?",IF(COUNTIF($E45:$H45,"~?")&gt;0,", ","")&amp;"Arachides","")&amp;IF(J45="?",IF(COUNTIF($E45:$I45,"~?")&gt;0,", ","")&amp;"Soja","")&amp;IF(K45="?",IF(COUNTIF($E45:$J45,"~?")&gt;0,", ","")&amp;"Lait","")&amp;IF(L45="?",IF(COUNTIF($E45:$K45,"~?")&gt;0,", ","")&amp;"Fruits à coque","")&amp;IF(M45="?",IF(COUNTIF($E45:$L45,"~?")&gt;0,", ","")&amp;"Céleri","")&amp;IF(N45="?",IF(COUNTIF($E45:$M45,"~?")&gt;0,", ","")&amp;"Moutarde","")&amp;IF(O45="?",IF(COUNTIF($E45:$N45,"~?")&gt;0,", ","")&amp;"Sésame","")&amp;IF(P45="?",IF(COUNTIF($E45:$O45,"~?")&gt;0,", ","")&amp;"Sulfites","")&amp;IF(Q45="?",IF(COUNTIF($E45:$P45,"~?")&gt;0,", ","")&amp;"Lupin","")&amp;IF(R45="?",IF(COUNTIF($E45:$Q45,"~?")&gt;0,", ","")&amp;"Mollusques","")),"")</f>
        <v/>
      </c>
      <c r="U45" s="493" t="str">
        <f>IF(45=45,IF($B45="","",$B45),"")</f>
        <v>Oignons émincés surgelés</v>
      </c>
      <c r="V45" s="493" t="str">
        <f>IF(45=45,LOWER(CLEAN(SUBSTITUTE(SUBSTITUTE(SUBSTITUTE(SUBSTITUTE($U45,CHAR(160)," ")," "," "),CHAR(10)," "),CHAR(13)," "))),"")</f>
        <v>oignons émincés surgelés</v>
      </c>
      <c r="W45" s="493" t="str">
        <f>IF(45=45,SUBSTITUTE(SUBSTITUTE(SUBSTITUTE(SUBSTITUTE(SUBSTITUTE(SUBSTITUTE(SUBSTITUTE(SUBSTITUTE(SUBSTITUTE(SUBSTITUTE(SUBSTITUTE(SUBSTITUTE($V45,"œ","oe"),"æ","ae"),"à","a"),"á","a"),"â","a"),"ä","a"),"ã","a"),"ç","c"),"è","e"),"é","e"),"ê","e"),"ë","e"),"")</f>
        <v>oignons eminces surgeles</v>
      </c>
      <c r="X45" s="493" t="str">
        <f>IF(45=45,SUBSTITUTE(SUBSTITUTE(SUBSTITUTE(SUBSTITUTE(SUBSTITUTE(SUBSTITUTE(SUBSTITUTE(SUBSTITUTE(SUBSTITUTE(SUBSTITUTE(SUBSTITUTE(SUBSTITUTE(SUBSTITUTE(SUBSTITUTE(SUBSTITUTE(SUBSTITUTE($W45,"ì","i"),"í","i"),"î","i"),"ï","i"),"ñ","n"),"ò","o"),"ó","o"),"ô","o"),"ö","o"),"õ","o"),"ù","u"),"ú","u"),"û","u"),"ü","u"),"ý","y"),"ÿ","y"),"")</f>
        <v>oignons eminces surgeles</v>
      </c>
      <c r="Y45" s="493" t="str">
        <f>IF(45=45,SUBSTITUTE(SUBSTITUTE(SUBSTITUTE(SUBSTITUTE(SUBSTITUTE(SUBSTITUTE(SUBSTITUTE(SUBSTITUTE(SUBSTITUTE(SUBSTITUTE(SUBSTITUTE(SUBSTITUTE(SUBSTITUTE(SUBSTITUTE($X45,"’"," "),"`"," "),"–"," "),"—"," "),"-"," "),"'"," "),"/"," "),"_"," "),","," "),"."," "),"("," "),")"," "),";"," "),":"," "),"")</f>
        <v>oignons eminces surgeles</v>
      </c>
      <c r="Z45" s="493" t="str">
        <f>IF(45=45,SUBSTITUTE(SUBSTITUTE(SUBSTITUTE(SUBSTITUTE(SUBSTITUTE(SUBSTITUTE(SUBSTITUTE(SUBSTITUTE(SUBSTITUTE(SUBSTITUTE(SUBSTITUTE(SUBSTITUTE(SUBSTITUTE(SUBSTITUTE(SUBSTITUTE($Y45,"!"," "),"?"," "),"+"," "),"*"," "),"&amp;"," "),"["," "),"]"," "),"{"," "),"}"," "),"%"," "),"="," "),"\"," "),"|"," "),"&lt;"," "),"&gt;"," "),"")</f>
        <v>oignons eminces surgeles</v>
      </c>
      <c r="AA45" s="493" t="str">
        <f>IF(45=45," "&amp;TRIM(SUBSTITUTE(SUBSTITUTE(SUBSTITUTE(SUBSTITUTE(SUBSTITUTE(SUBSTITUTE($Z45,CHAR(34)," "),"  "," "),"  "," "),"  "," "),"  "," "),"  "," "))&amp;" ","")</f>
        <v xml:space="preserve"> oignons eminces surgeles </v>
      </c>
      <c r="AB45" s="493">
        <f>IF(45=45,IF($U45="","",SUMPRODUCT(--ISNUMBER(SEARCH(" "&amp;$CR$2:$CR$101&amp;" ",$AD45)))),"")</f>
        <v>0</v>
      </c>
      <c r="AC45" s="493">
        <f>IF(45=45,IF($U45="","",SUMPRODUCT(--ISNUMBER(SEARCH(" "&amp;$CR$102:$CR$151&amp;" ",$AD45)))),"")</f>
        <v>0</v>
      </c>
      <c r="AD45" s="493" t="str">
        <f t="shared" si="1"/>
        <v xml:space="preserve"> oignons eminces surgeles </v>
      </c>
      <c r="AE45" s="493">
        <f t="shared" si="2"/>
        <v>0</v>
      </c>
      <c r="AF45" s="493" t="str">
        <f>IF(45=45,IF($U45="","",IF(SUM(AB45:AC45)+SUMPRODUCT(--ISNUMBER(SEARCH(" "&amp;$CR$2418:$CR$2420&amp;" ",$AD45)))&gt;0,"X",IF(AE45&gt;0,"?",""))),"")</f>
        <v/>
      </c>
      <c r="AG45" s="493">
        <f>IF(45=45,IF($U45="","",SUMPRODUCT(--ISNUMBER(SEARCH(" "&amp;$CR$206:$CR$305&amp;" ",$AA45)))),"")</f>
        <v>0</v>
      </c>
      <c r="AH45" s="493">
        <f>IF(45=45,IF($U45="","",SUMPRODUCT(--ISNUMBER(SEARCH(" "&amp;$CR$306:$CR$340&amp;" ",$AA45)))),"")</f>
        <v>0</v>
      </c>
      <c r="AI45" s="493" t="str">
        <f>IF(45=45,IF($U45="","",IF((SUM(AG45:AH45))-(0)&gt;0,"X",IF((0)-(0)&gt;0,"?",""))),"")</f>
        <v/>
      </c>
      <c r="AJ45" s="493">
        <f>IF(45=45,IF($U45="","",SUMPRODUCT(--ISNUMBER(SEARCH(" "&amp;$CR$341:$CR$398&amp;" ",$AA45)))),"")</f>
        <v>0</v>
      </c>
      <c r="AK45" s="493">
        <f>IF(45=45,IF($U45="","",SUMPRODUCT(--ISNUMBER(SEARCH(" "&amp;$CR$399:$CR$426&amp;" ",$AL45)))+SUMPRODUCT(--ISNUMBER(SEARCH(" "&amp;$CR$2440:$CR$2453&amp;" ",$AL45)))),"")</f>
        <v>0</v>
      </c>
      <c r="AL45" s="493" t="str">
        <f>IF(45=45,IF($U45="","",SUBSTITUTE(SUBSTITUTE(SUBSTITUTE(SUBSTITUTE(SUBSTITUTE(SUBSTITUTE(SUBSTITUTE(SUBSTITUTE(SUBSTITUTE(SUBSTITUTE(SUBSTITUTE(SUBSTITUTE(SUBSTITUTE(SUBSTITUTE($AA45," "&amp;$CR$2455&amp;" "," ")," "&amp;$CR$433&amp;" "," ")," "&amp;$CR$431&amp;" "," ")," "&amp;$CR$2438&amp;" "," ")," "&amp;$CR$2439&amp;" "," ")," "&amp;$CR$428&amp;" "," ")," "&amp;$CR$432&amp;" "," ")," "&amp;$CR$434&amp;" "," ")," "&amp;$CR$429&amp;" "," ")," "&amp;$CR$427&amp;" "," ")," "&amp;$CR$1367&amp;" "," ")," "&amp;$CR$435&amp;" "," ")," "&amp;$CR$1366&amp;" "," ")," "&amp;$CR$430&amp;" "," ")),"")</f>
        <v xml:space="preserve"> oignons eminces surgeles </v>
      </c>
      <c r="AM45" s="493" t="str">
        <f>IF(45=45,IF($U45="","",IF(AJ45&gt;0,"X",IF(AK45&gt;0,"?",""))),"")</f>
        <v/>
      </c>
      <c r="AN45" s="493">
        <f>IF(45=45,IF($U45="","",SUMPRODUCT(--ISNUMBER(SEARCH(" "&amp;$CR$436:$CR$535&amp;" ",$AX45)))),"")</f>
        <v>0</v>
      </c>
      <c r="AO45" s="493">
        <f>IF(45=45,IF($U45="","",SUMPRODUCT(--ISNUMBER(SEARCH(" "&amp;$CR$536:$CR$635&amp;" ",$AX45)))),"")</f>
        <v>0</v>
      </c>
      <c r="AP45" s="493">
        <f>IF(45=45,IF($U45="","",SUMPRODUCT(--ISNUMBER(SEARCH(" "&amp;$CR$636:$CR$735&amp;" ",$AX45)))),"")</f>
        <v>0</v>
      </c>
      <c r="AQ45" s="493">
        <f>IF(45=45,IF($U45="","",SUMPRODUCT(--ISNUMBER(SEARCH(" "&amp;$CR$736:$CR$835&amp;" ",$AX45)))),"")</f>
        <v>0</v>
      </c>
      <c r="AR45" s="493">
        <f>IF(45=45,IF($U45="","",SUMPRODUCT(--ISNUMBER(SEARCH(" "&amp;$CR$836:$CR$935&amp;" ",$AX45)))),"")</f>
        <v>0</v>
      </c>
      <c r="AS45" s="493">
        <f>IF(45=45,IF($U45="","",SUMPRODUCT(--ISNUMBER(SEARCH(" "&amp;$CR$936:$CR$1035&amp;" ",$AX45)))),"")</f>
        <v>0</v>
      </c>
      <c r="AT45" s="493">
        <f>IF(45=45,IF($U45="","",SUMPRODUCT(--ISNUMBER(SEARCH(" "&amp;$CR$1036:$CR$1135&amp;" ",$AX45)))),"")</f>
        <v>0</v>
      </c>
      <c r="AU45" s="493">
        <f>IF(45=45,IF($U45="","",SUMPRODUCT(--ISNUMBER(SEARCH(" "&amp;$CR$1136:$CR$1235&amp;" ",$AX45)))),"")</f>
        <v>0</v>
      </c>
      <c r="AV45" s="493">
        <f>IF(45=45,IF($U45="","",SUMPRODUCT(--ISNUMBER(SEARCH(" "&amp;$CR$1236:$CR$1335&amp;" ",$AX45)))),"")</f>
        <v>0</v>
      </c>
      <c r="AW45" s="493">
        <f>IF(45=45,IF($U45="","",SUMPRODUCT(--ISNUMBER(SEARCH(" "&amp;$CR$1336:$CR$1363&amp;" ",$AX45)))),"")</f>
        <v>0</v>
      </c>
      <c r="AX45" s="493" t="str">
        <f>IF(45=45,IF($U45="","",SUBSTITUTE(SUBSTITUTE(SUBSTITUTE(SUBSTITUTE(SUBSTITUTE(SUBSTITUTE(SUBSTITUTE(SUBSTITUTE(SUBSTITUTE($AA45," "&amp;$CR$1365&amp;" "," ")," "&amp;$CR$1364&amp;" "," ")," "&amp;$CR$1370&amp;" "," ")," "&amp;$CR$1371&amp;" "," ")," "&amp;$CR$1367&amp;" "," ")," "&amp;$CR$1369&amp;" "," ")," "&amp;$CR$1366&amp;" "," ")," "&amp;$CR$1368&amp;" "," ")," "&amp;$CR$1372&amp;" "," ")),"")</f>
        <v xml:space="preserve"> oignons eminces surgeles </v>
      </c>
      <c r="AY45" s="493">
        <f>IF(45=45,IF($U45="","",SUMPRODUCT(--ISNUMBER(SEARCH(" "&amp;$CR$1373:$CR$1383&amp;" ",$AX45)))),"")</f>
        <v>0</v>
      </c>
      <c r="AZ45" s="493" t="str">
        <f>IF(45=45,IF($U45="","",IF(SUM(AN45:AW45)+SUMPRODUCT(--ISNUMBER(SEARCH(" "&amp;$CR$2421:$CR$2422&amp;" ",$AX45)))&gt;0,"X",IF(AY45&gt;0,"?",""))),"")</f>
        <v/>
      </c>
      <c r="BA45" s="493">
        <f>IF(45=45,IF($U45="","",SUMPRODUCT(--ISNUMBER(SEARCH(" "&amp;$CR$1384:$CR$1404&amp;" ",$AA45)))),"")</f>
        <v>0</v>
      </c>
      <c r="BB45" s="493" t="str">
        <f>IF(45=45,IF($U45="","",IF((BA45)-(0)&gt;0,"X",IF((0)-(0)&gt;0,"?",""))),"")</f>
        <v/>
      </c>
      <c r="BC45" s="493">
        <f>IF(45=45,IF($U45="","",SUMPRODUCT(--ISNUMBER(SEARCH(" "&amp;$CR$1405:$CR$1442&amp;" ",$BD45)))),"")</f>
        <v>0</v>
      </c>
      <c r="BD45" s="493" t="str">
        <f>IF(45=45,IF($U45="","",SUBSTITUTE(SUBSTITUTE($AA45," "&amp;$CR$1443&amp;" "," ")," "&amp;$CR$1444&amp;" "," ")),"")</f>
        <v xml:space="preserve"> oignons eminces surgeles </v>
      </c>
      <c r="BE45" s="493">
        <f>IF(45=45,IF($U45="","",SUMPRODUCT(--ISNUMBER(SEARCH(" "&amp;$CR$1445:$CR$1455&amp;" ",$BD45)))),"")</f>
        <v>0</v>
      </c>
      <c r="BF45" s="493" t="str">
        <f>IF(45=45,IF($U45="","",IF(BC45&gt;0,"X",IF(BE45&gt;0,"?",""))),"")</f>
        <v/>
      </c>
      <c r="BG45" s="493">
        <f>IF(45=45,IF($U45="","",SUMPRODUCT(--ISNUMBER(SEARCH(" "&amp;$CR$1456:$CR$1555&amp;" ",$BJ45)))),"")</f>
        <v>0</v>
      </c>
      <c r="BH45" s="493">
        <f>IF(45=45,IF($U45="","",SUMPRODUCT(--ISNUMBER(SEARCH(" "&amp;$CR$1556:$CR$1655&amp;" ",$BJ45)))),"")</f>
        <v>0</v>
      </c>
      <c r="BI45" s="493">
        <f>IF(45=45,IF($U45="","",SUMPRODUCT(--ISNUMBER(SEARCH(" "&amp;$CR$1656:$CR$1739&amp;" ",$BJ45)))),"")</f>
        <v>0</v>
      </c>
      <c r="BJ45" s="493" t="str">
        <f>IF(45=45,IF($U45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oignons eminces surgeles </v>
      </c>
      <c r="BK45" s="493">
        <f>IF(45=45,IF($U45="","",SUMPRODUCT(--ISNUMBER(SEARCH(" "&amp;$CR$1790:$CR$1869&amp;" ",$BL45)))+SUMPRODUCT(--ISNUMBER(SEARCH(" "&amp;$CR$2440:$CR$2453&amp;" ",$BL45)))),"")</f>
        <v>0</v>
      </c>
      <c r="BL45" s="493" t="str">
        <f>IF(45=45,IF($U45="","",SUBSTITUTE(SUBSTITUTE(SUBSTITUTE(SUBSTITUTE(SUBSTITUTE(SUBSTITUTE(SUBSTITUTE(SUBSTITUTE(SUBSTITUTE(SUBSTITUTE(SUBSTITUTE(SUBSTITUTE(SUBSTITUTE($BJ45," "&amp;$CR$1876&amp;" "," ")," "&amp;$CR$1874&amp;" "," ")," "&amp;$CR$2438&amp;" "," ")," "&amp;$CR$2439&amp;" "," ")," "&amp;$CR$1871&amp;" "," ")," "&amp;$CR$1875&amp;" "," ")," "&amp;$CR$1877&amp;" "," ")," "&amp;$CR$1872&amp;" "," ")," "&amp;$CR$1870&amp;" "," ")," "&amp;$CR$1367&amp;" "," ")," "&amp;$CR$1878&amp;" "," ")," "&amp;$CR$1366&amp;" "," ")," "&amp;$CR$1873&amp;" "," ")),"")</f>
        <v xml:space="preserve"> oignons eminces surgeles </v>
      </c>
      <c r="BM45" s="493" t="str">
        <f>IF(45=45,IF($U45="","",IF(SUM(BG45:BI45)+SUMPRODUCT(--ISNUMBER(SEARCH(" "&amp;$CR$2423:$CR$2424&amp;" ",$BJ45)))&gt;0,"X",IF(BK45&gt;0,"?",""))),"")</f>
        <v/>
      </c>
      <c r="BN45" s="493">
        <f>IF(45=45,IF($U45="","",SUMPRODUCT(--ISNUMBER(SEARCH(" "&amp;$CR$1879:$CR$1936&amp;" ",$BO45)))),"")</f>
        <v>0</v>
      </c>
      <c r="BO45" s="493" t="str">
        <f>IF(45=45,IF($U45="","",SUBSTITUTE(SUBSTITUTE(SUBSTITUTE(SUBSTITUTE(SUBSTITUTE(SUBSTITUTE(SUBSTITUTE(SUBSTITUTE(SUBSTITUTE(SUBSTITUTE(SUBSTITUTE(SUBSTITUTE(SUBSTITUTE(SUBSTITUTE(SUBSTITUTE(SUBSTITUTE(SUBSTITUTE(SUBSTITUTE(SUBSTITUTE(SUBSTITUTE(SUBSTITUTE(SUBSTITUTE(SUBSTITUTE($AA45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oignons eminces surgeles </v>
      </c>
      <c r="BP45" s="493">
        <f>IF(45=45,IF($U45="","",SUMPRODUCT(--ISNUMBER(SEARCH(" "&amp;$CR$1960:$CR$1976&amp;" ",$BO45)))),"")</f>
        <v>0</v>
      </c>
      <c r="BQ45" s="493" t="str">
        <f>IF(45=45,IF($U45="","",IF(BN45&gt;0,"X",IF(BP45&gt;0,"?",""))),"")</f>
        <v/>
      </c>
      <c r="BR45" s="493">
        <f>IF(45=45,IF($U45="","",SUMPRODUCT(--ISNUMBER(SEARCH(" "&amp;$CR$1977:$CR$1990&amp;" ",$AA45)))),"")</f>
        <v>0</v>
      </c>
      <c r="BS45" s="493">
        <f>IF(45=45,IF($U45="","",SUMPRODUCT(--ISNUMBER(SEARCH(" "&amp;$CR$1991:$CR$2005&amp;" ",$AA45)))),"")</f>
        <v>0</v>
      </c>
      <c r="BT45" s="493" t="str">
        <f>IF(45=45,IF($U45="","",IF((BR45)-(0)&gt;0,"X",IF((BS45)-(0)&gt;0,"?",""))),"")</f>
        <v/>
      </c>
      <c r="BU45" s="493">
        <f>IF(45=45,IF($U45="","",SUMPRODUCT(--ISNUMBER(SEARCH(" "&amp;$CR$2006:$CR$2023&amp;" ",$AA45)))),"")</f>
        <v>0</v>
      </c>
      <c r="BV45" s="493">
        <f>IF(45=45,IF($U45="","",SUMPRODUCT(--ISNUMBER(SEARCH(" "&amp;$CR$2024:$CR$2038&amp;" ",$AA45)))),"")</f>
        <v>0</v>
      </c>
      <c r="BW45" s="493" t="str">
        <f>IF(45=45,IF($U45="","",IF((BU45)-(0)&gt;0,"X",IF((BV45)-(0)&gt;0,"?",""))),"")</f>
        <v/>
      </c>
      <c r="BX45" s="493">
        <f>IF(45=45,IF($U45="","",SUMPRODUCT(--ISNUMBER(SEARCH(" "&amp;$CR$2039:$CR$2057&amp;" ",$AA45)))),"")</f>
        <v>0</v>
      </c>
      <c r="BY45" s="493">
        <f>IF(45=45,IF($U45="","",SUMPRODUCT(--ISNUMBER(SEARCH(" "&amp;$CR$2058:$CR$2072&amp;" ",$AA45)))),"")</f>
        <v>0</v>
      </c>
      <c r="BZ45" s="493" t="str">
        <f>IF(45=45,IF($U45="","",IF((BX45)-(0)&gt;0,"X",IF((BY45)-(0)&gt;0,"?",""))),"")</f>
        <v/>
      </c>
      <c r="CA45" s="493">
        <f>IF(45=45,IF($U45="","",SUMPRODUCT(--ISNUMBER(SEARCH(" "&amp;$CR$2073:$CR$2093&amp;" ",$AA45)))),"")</f>
        <v>0</v>
      </c>
      <c r="CB45" s="493">
        <f>IF(45=45,IF($U45="","",SUMPRODUCT(--ISNUMBER(SEARCH(" "&amp;$CR$2094:$CR$2133&amp;" ",SUBSTITUTE(SUBSTITUTE($AA45," "&amp;$CR$1367&amp;" "," ")," "&amp;$CR$1366&amp;" "," "))))+--ISNUMBER(SEARCH("poiré",$V45))),"")</f>
        <v>0</v>
      </c>
      <c r="CC45" s="493" t="str">
        <f>IF(45=45,IF($U45="","",IF(OR(CA45&gt;0,ISNUMBER(SEARCH(" vinaigre de vin ",$AA45)),ISNUMBER(SEARCH(" vinaigre au vin ",$AA45))),"X",IF(CB45&gt;0,"?",""))),"")</f>
        <v/>
      </c>
      <c r="CD45" s="493">
        <f>IF(45=45,IF($U45="","",SUMPRODUCT(--ISNUMBER(SEARCH(" "&amp;$CR$2134:$CR$2146&amp;" ",$AA45)))),"")</f>
        <v>0</v>
      </c>
      <c r="CE45" s="493">
        <f>IF(45=45,IF($U45="","",SUMPRODUCT(--ISNUMBER(SEARCH(" "&amp;$CR$2147:$CR$2152&amp;" ",$AA45)))),"")</f>
        <v>0</v>
      </c>
      <c r="CF45" s="493" t="str">
        <f>IF(45=45,IF($U45="","",IF((CD45)-(0)&gt;0,"X",IF((CE45)-(0)&gt;0,"?",""))),"")</f>
        <v/>
      </c>
      <c r="CG45" s="493">
        <f>IF(45=45,IF($U45="","",SUMPRODUCT(--ISNUMBER(SEARCH(" "&amp;$CR$2153:$CR$2252&amp;" ",$CJ45)))),"")</f>
        <v>0</v>
      </c>
      <c r="CH45" s="493">
        <f>IF(45=45,IF($U45="","",SUMPRODUCT(--ISNUMBER(SEARCH(" "&amp;$CR$2253:$CR$2352&amp;" ",$CJ45)))),"")</f>
        <v>0</v>
      </c>
      <c r="CI45" s="493">
        <f>IF(45=45,IF($U45="","",SUMPRODUCT(--ISNUMBER(SEARCH(" "&amp;$CR$2353:$CR$2395&amp;" ",$CJ45)))),"")</f>
        <v>0</v>
      </c>
      <c r="CJ45" s="493" t="str">
        <f>IF(45=45,IF($U45="","",SUBSTITUTE(SUBSTITUTE(SUBSTITUTE(SUBSTITUTE(SUBSTITUTE(SUBSTITUTE(SUBSTITUTE(SUBSTITUTE(SUBSTITUTE(SUBSTITUTE(SUBSTITUTE(SUBSTITUTE(SUBSTITUTE(SUBSTITUTE(SUBSTITUTE(SUBSTITUTE($AA45," "&amp;$CR$2401&amp;" "," ")," "&amp;$CR$2400&amp;" "," ")," "&amp;$CR$2399&amp;" "," ")," "&amp;$CR$2406&amp;" "," ")," "&amp;$CR$2398&amp;" "," ")," "&amp;$CR$2410&amp;" "," ")," "&amp;$CR$2397&amp;" "," ")," "&amp;$CR$2402&amp;" "," ")," "&amp;$CR$2405&amp;" "," ")," "&amp;$CR$2396&amp;" "," ")," "&amp;$CR$2404&amp;" "," ")," "&amp;$CR$2411&amp;" "," ")," "&amp;$CR$2408&amp;" "," ")," "&amp;$CR$2403&amp;" "," ")," "&amp;$CR$2407&amp;" "," ")," "&amp;$CR$2409&amp;" "," ")),"")</f>
        <v xml:space="preserve"> oignons eminces surgeles </v>
      </c>
      <c r="CK45" s="493">
        <f>IF(45=45,IF($U45="","",SUMPRODUCT(--ISNUMBER(SEARCH(" "&amp;$CR$2412:$CR$2416&amp;" ",$CJ45)))),"")</f>
        <v>0</v>
      </c>
      <c r="CL45" s="493" t="str">
        <f>IF(45=45,IF($U45="","",IF(SUM(CG45:CI45)&gt;0,"X",IF(CK45&gt;0,"?",""))),"")</f>
        <v/>
      </c>
      <c r="CM45" s="494"/>
      <c r="CN45" s="496" t="s">
        <v>1219</v>
      </c>
      <c r="CO45" s="496" t="s">
        <v>1083</v>
      </c>
      <c r="CP45" s="496" t="s">
        <v>689</v>
      </c>
      <c r="CQ45" s="496" t="s">
        <v>1220</v>
      </c>
      <c r="CR45" s="496" t="s">
        <v>1220</v>
      </c>
      <c r="CS45" s="496" t="s">
        <v>1085</v>
      </c>
      <c r="CT45" s="496" t="s">
        <v>1086</v>
      </c>
      <c r="CU45" s="496" t="s">
        <v>1087</v>
      </c>
      <c r="CV45" s="497" t="s">
        <v>1088</v>
      </c>
      <c r="CX45" s="543">
        <v>1</v>
      </c>
    </row>
    <row r="46" spans="1:102" ht="21" customHeight="1">
      <c r="A46" s="509">
        <v>40</v>
      </c>
      <c r="B46" s="510" t="s">
        <v>5883</v>
      </c>
      <c r="C46" s="511" t="str">
        <f t="shared" si="0"/>
        <v>Persil plat</v>
      </c>
      <c r="D46" s="512" t="str">
        <f>IF(46=46,IF($B46="","",IF(E46="X",""&amp;"Céréales contenant du gluten","")&amp;IF(F46="X",IF(COUNTIF($E46:$E46,"X")&gt;0,", ","")&amp;"Crustacés","")&amp;IF(G46="X",IF(COUNTIF($E46:$F46,"X")&gt;0,", ","")&amp;"Œufs","")&amp;IF(H46="X",IF(COUNTIF($E46:$G46,"X")&gt;0,", ","")&amp;"Poissons","")&amp;IF(I46="X",IF(COUNTIF($E46:$H46,"X")&gt;0,", ","")&amp;"Arachides","")&amp;IF(J46="X",IF(COUNTIF($E46:$I46,"X")&gt;0,", ","")&amp;"Soja","")&amp;IF(K46="X",IF(COUNTIF($E46:$J46,"X")&gt;0,", ","")&amp;"Lait","")&amp;IF(L46="X",IF(COUNTIF($E46:$K46,"X")&gt;0,", ","")&amp;"Fruits à coque","")&amp;IF(M46="X",IF(COUNTIF($E46:$L46,"X")&gt;0,", ","")&amp;"Céleri","")&amp;IF(N46="X",IF(COUNTIF($E46:$M46,"X")&gt;0,", ","")&amp;"Moutarde","")&amp;IF(O46="X",IF(COUNTIF($E46:$N46,"X")&gt;0,", ","")&amp;"Sésame","")&amp;IF(P46="X",IF(COUNTIF($E46:$O46,"X")&gt;0,", ","")&amp;"Sulfites","")&amp;IF(Q46="X",IF(COUNTIF($E46:$P46,"X")&gt;0,", ","")&amp;"Lupin","")&amp;IF(R46="X",IF(COUNTIF($E46:$Q46,"X")&gt;0,", ","")&amp;"Mollusques","")),"")</f>
        <v/>
      </c>
      <c r="E46" s="513" t="str">
        <f>IF(46=46,IF($B46="","",AF46),"")</f>
        <v/>
      </c>
      <c r="F46" s="513" t="str">
        <f>IF(46=46,IF($B46="","",AI46),"")</f>
        <v/>
      </c>
      <c r="G46" s="513" t="str">
        <f>IF(46=46,IF($B46="","",AM46),"")</f>
        <v/>
      </c>
      <c r="H46" s="513" t="str">
        <f>IF(46=46,IF($B46="","",IF(ISNUMBER(SEARCH(" colin ",$AA46)),"X",AZ46)),"")</f>
        <v/>
      </c>
      <c r="I46" s="513" t="str">
        <f>IF(46=46,IF($B46="","",BB46),"")</f>
        <v/>
      </c>
      <c r="J46" s="513" t="str">
        <f>IF(46=46,IF($B46="","",BF46),"")</f>
        <v/>
      </c>
      <c r="K46" s="513" t="str">
        <f>IF(46=46,IF($B46="","",BM46),"")</f>
        <v/>
      </c>
      <c r="L46" s="513" t="str">
        <f>IF(46=46,IF($B46="","",BQ46),"")</f>
        <v/>
      </c>
      <c r="M46" s="513" t="str">
        <f>IF(46=46,IF($B46="","",BT46),"")</f>
        <v/>
      </c>
      <c r="N46" s="513" t="str">
        <f>IF(46=46,IF($B46="","",BW46),"")</f>
        <v/>
      </c>
      <c r="O46" s="513" t="str">
        <f>IF(46=46,IF($B46="","",BZ46),"")</f>
        <v/>
      </c>
      <c r="P46" s="513" t="str">
        <f>IF(46=46,IF($B46="","",CC46),"")</f>
        <v/>
      </c>
      <c r="Q46" s="513" t="str">
        <f>IF(46=46,IF($B46="","",CF46),"")</f>
        <v/>
      </c>
      <c r="R46" s="513" t="str">
        <f>IF(46=46,IF($B46="","",CL46),"")</f>
        <v/>
      </c>
      <c r="S46" s="514" t="str">
        <f>IF(46=46,IF($B46="","",IF(E46="?",""&amp;"Céréales contenant du gluten","")&amp;IF(F46="?",IF(COUNTIF($E46:$E46,"~?")&gt;0,", ","")&amp;"Crustacés","")&amp;IF(G46="?",IF(COUNTIF($E46:$F46,"~?")&gt;0,", ","")&amp;"Œufs","")&amp;IF(H46="?",IF(COUNTIF($E46:$G46,"~?")&gt;0,", ","")&amp;"Poissons","")&amp;IF(I46="?",IF(COUNTIF($E46:$H46,"~?")&gt;0,", ","")&amp;"Arachides","")&amp;IF(J46="?",IF(COUNTIF($E46:$I46,"~?")&gt;0,", ","")&amp;"Soja","")&amp;IF(K46="?",IF(COUNTIF($E46:$J46,"~?")&gt;0,", ","")&amp;"Lait","")&amp;IF(L46="?",IF(COUNTIF($E46:$K46,"~?")&gt;0,", ","")&amp;"Fruits à coque","")&amp;IF(M46="?",IF(COUNTIF($E46:$L46,"~?")&gt;0,", ","")&amp;"Céleri","")&amp;IF(N46="?",IF(COUNTIF($E46:$M46,"~?")&gt;0,", ","")&amp;"Moutarde","")&amp;IF(O46="?",IF(COUNTIF($E46:$N46,"~?")&gt;0,", ","")&amp;"Sésame","")&amp;IF(P46="?",IF(COUNTIF($E46:$O46,"~?")&gt;0,", ","")&amp;"Sulfites","")&amp;IF(Q46="?",IF(COUNTIF($E46:$P46,"~?")&gt;0,", ","")&amp;"Lupin","")&amp;IF(R46="?",IF(COUNTIF($E46:$Q46,"~?")&gt;0,", ","")&amp;"Mollusques","")),"")</f>
        <v/>
      </c>
      <c r="U46" s="493" t="str">
        <f>IF(46=46,IF($B46="","",$B46),"")</f>
        <v>Persil plat</v>
      </c>
      <c r="V46" s="493" t="str">
        <f>IF(46=46,LOWER(CLEAN(SUBSTITUTE(SUBSTITUTE(SUBSTITUTE(SUBSTITUTE($U46,CHAR(160)," ")," "," "),CHAR(10)," "),CHAR(13)," "))),"")</f>
        <v>persil plat</v>
      </c>
      <c r="W46" s="493" t="str">
        <f>IF(46=46,SUBSTITUTE(SUBSTITUTE(SUBSTITUTE(SUBSTITUTE(SUBSTITUTE(SUBSTITUTE(SUBSTITUTE(SUBSTITUTE(SUBSTITUTE(SUBSTITUTE(SUBSTITUTE(SUBSTITUTE($V46,"œ","oe"),"æ","ae"),"à","a"),"á","a"),"â","a"),"ä","a"),"ã","a"),"ç","c"),"è","e"),"é","e"),"ê","e"),"ë","e"),"")</f>
        <v>persil plat</v>
      </c>
      <c r="X46" s="493" t="str">
        <f>IF(46=46,SUBSTITUTE(SUBSTITUTE(SUBSTITUTE(SUBSTITUTE(SUBSTITUTE(SUBSTITUTE(SUBSTITUTE(SUBSTITUTE(SUBSTITUTE(SUBSTITUTE(SUBSTITUTE(SUBSTITUTE(SUBSTITUTE(SUBSTITUTE(SUBSTITUTE(SUBSTITUTE($W46,"ì","i"),"í","i"),"î","i"),"ï","i"),"ñ","n"),"ò","o"),"ó","o"),"ô","o"),"ö","o"),"õ","o"),"ù","u"),"ú","u"),"û","u"),"ü","u"),"ý","y"),"ÿ","y"),"")</f>
        <v>persil plat</v>
      </c>
      <c r="Y46" s="493" t="str">
        <f>IF(46=46,SUBSTITUTE(SUBSTITUTE(SUBSTITUTE(SUBSTITUTE(SUBSTITUTE(SUBSTITUTE(SUBSTITUTE(SUBSTITUTE(SUBSTITUTE(SUBSTITUTE(SUBSTITUTE(SUBSTITUTE(SUBSTITUTE(SUBSTITUTE($X46,"’"," "),"`"," "),"–"," "),"—"," "),"-"," "),"'"," "),"/"," "),"_"," "),","," "),"."," "),"("," "),")"," "),";"," "),":"," "),"")</f>
        <v>persil plat</v>
      </c>
      <c r="Z46" s="493" t="str">
        <f>IF(46=46,SUBSTITUTE(SUBSTITUTE(SUBSTITUTE(SUBSTITUTE(SUBSTITUTE(SUBSTITUTE(SUBSTITUTE(SUBSTITUTE(SUBSTITUTE(SUBSTITUTE(SUBSTITUTE(SUBSTITUTE(SUBSTITUTE(SUBSTITUTE(SUBSTITUTE($Y46,"!"," "),"?"," "),"+"," "),"*"," "),"&amp;"," "),"["," "),"]"," "),"{"," "),"}"," "),"%"," "),"="," "),"\"," "),"|"," "),"&lt;"," "),"&gt;"," "),"")</f>
        <v>persil plat</v>
      </c>
      <c r="AA46" s="493" t="str">
        <f>IF(46=46," "&amp;TRIM(SUBSTITUTE(SUBSTITUTE(SUBSTITUTE(SUBSTITUTE(SUBSTITUTE(SUBSTITUTE($Z46,CHAR(34)," "),"  "," "),"  "," "),"  "," "),"  "," "),"  "," "))&amp;" ","")</f>
        <v xml:space="preserve"> persil plat </v>
      </c>
      <c r="AB46" s="493">
        <f>IF(46=46,IF($U46="","",SUMPRODUCT(--ISNUMBER(SEARCH(" "&amp;$CR$2:$CR$101&amp;" ",$AD46)))),"")</f>
        <v>0</v>
      </c>
      <c r="AC46" s="493">
        <f>IF(46=46,IF($U46="","",SUMPRODUCT(--ISNUMBER(SEARCH(" "&amp;$CR$102:$CR$151&amp;" ",$AD46)))),"")</f>
        <v>0</v>
      </c>
      <c r="AD46" s="493" t="str">
        <f t="shared" si="1"/>
        <v xml:space="preserve"> persil plat </v>
      </c>
      <c r="AE46" s="493">
        <f t="shared" si="2"/>
        <v>0</v>
      </c>
      <c r="AF46" s="493" t="str">
        <f>IF(46=46,IF($U46="","",IF(SUM(AB46:AC46)+SUMPRODUCT(--ISNUMBER(SEARCH(" "&amp;$CR$2418:$CR$2420&amp;" ",$AD46)))&gt;0,"X",IF(AE46&gt;0,"?",""))),"")</f>
        <v/>
      </c>
      <c r="AG46" s="493">
        <f>IF(46=46,IF($U46="","",SUMPRODUCT(--ISNUMBER(SEARCH(" "&amp;$CR$206:$CR$305&amp;" ",$AA46)))),"")</f>
        <v>0</v>
      </c>
      <c r="AH46" s="493">
        <f>IF(46=46,IF($U46="","",SUMPRODUCT(--ISNUMBER(SEARCH(" "&amp;$CR$306:$CR$340&amp;" ",$AA46)))),"")</f>
        <v>0</v>
      </c>
      <c r="AI46" s="493" t="str">
        <f>IF(46=46,IF($U46="","",IF((SUM(AG46:AH46))-(0)&gt;0,"X",IF((0)-(0)&gt;0,"?",""))),"")</f>
        <v/>
      </c>
      <c r="AJ46" s="493">
        <f>IF(46=46,IF($U46="","",SUMPRODUCT(--ISNUMBER(SEARCH(" "&amp;$CR$341:$CR$398&amp;" ",$AA46)))),"")</f>
        <v>0</v>
      </c>
      <c r="AK46" s="493">
        <f>IF(46=46,IF($U46="","",SUMPRODUCT(--ISNUMBER(SEARCH(" "&amp;$CR$399:$CR$426&amp;" ",$AL46)))+SUMPRODUCT(--ISNUMBER(SEARCH(" "&amp;$CR$2440:$CR$2453&amp;" ",$AL46)))),"")</f>
        <v>0</v>
      </c>
      <c r="AL46" s="493" t="str">
        <f>IF(46=46,IF($U46="","",SUBSTITUTE(SUBSTITUTE(SUBSTITUTE(SUBSTITUTE(SUBSTITUTE(SUBSTITUTE(SUBSTITUTE(SUBSTITUTE(SUBSTITUTE(SUBSTITUTE(SUBSTITUTE(SUBSTITUTE(SUBSTITUTE(SUBSTITUTE($AA46," "&amp;$CR$2455&amp;" "," ")," "&amp;$CR$433&amp;" "," ")," "&amp;$CR$431&amp;" "," ")," "&amp;$CR$2438&amp;" "," ")," "&amp;$CR$2439&amp;" "," ")," "&amp;$CR$428&amp;" "," ")," "&amp;$CR$432&amp;" "," ")," "&amp;$CR$434&amp;" "," ")," "&amp;$CR$429&amp;" "," ")," "&amp;$CR$427&amp;" "," ")," "&amp;$CR$1367&amp;" "," ")," "&amp;$CR$435&amp;" "," ")," "&amp;$CR$1366&amp;" "," ")," "&amp;$CR$430&amp;" "," ")),"")</f>
        <v xml:space="preserve"> persil plat </v>
      </c>
      <c r="AM46" s="493" t="str">
        <f>IF(46=46,IF($U46="","",IF(AJ46&gt;0,"X",IF(AK46&gt;0,"?",""))),"")</f>
        <v/>
      </c>
      <c r="AN46" s="493">
        <f>IF(46=46,IF($U46="","",SUMPRODUCT(--ISNUMBER(SEARCH(" "&amp;$CR$436:$CR$535&amp;" ",$AX46)))),"")</f>
        <v>0</v>
      </c>
      <c r="AO46" s="493">
        <f>IF(46=46,IF($U46="","",SUMPRODUCT(--ISNUMBER(SEARCH(" "&amp;$CR$536:$CR$635&amp;" ",$AX46)))),"")</f>
        <v>0</v>
      </c>
      <c r="AP46" s="493">
        <f>IF(46=46,IF($U46="","",SUMPRODUCT(--ISNUMBER(SEARCH(" "&amp;$CR$636:$CR$735&amp;" ",$AX46)))),"")</f>
        <v>0</v>
      </c>
      <c r="AQ46" s="493">
        <f>IF(46=46,IF($U46="","",SUMPRODUCT(--ISNUMBER(SEARCH(" "&amp;$CR$736:$CR$835&amp;" ",$AX46)))),"")</f>
        <v>0</v>
      </c>
      <c r="AR46" s="493">
        <f>IF(46=46,IF($U46="","",SUMPRODUCT(--ISNUMBER(SEARCH(" "&amp;$CR$836:$CR$935&amp;" ",$AX46)))),"")</f>
        <v>0</v>
      </c>
      <c r="AS46" s="493">
        <f>IF(46=46,IF($U46="","",SUMPRODUCT(--ISNUMBER(SEARCH(" "&amp;$CR$936:$CR$1035&amp;" ",$AX46)))),"")</f>
        <v>0</v>
      </c>
      <c r="AT46" s="493">
        <f>IF(46=46,IF($U46="","",SUMPRODUCT(--ISNUMBER(SEARCH(" "&amp;$CR$1036:$CR$1135&amp;" ",$AX46)))),"")</f>
        <v>0</v>
      </c>
      <c r="AU46" s="493">
        <f>IF(46=46,IF($U46="","",SUMPRODUCT(--ISNUMBER(SEARCH(" "&amp;$CR$1136:$CR$1235&amp;" ",$AX46)))),"")</f>
        <v>0</v>
      </c>
      <c r="AV46" s="493">
        <f>IF(46=46,IF($U46="","",SUMPRODUCT(--ISNUMBER(SEARCH(" "&amp;$CR$1236:$CR$1335&amp;" ",$AX46)))),"")</f>
        <v>0</v>
      </c>
      <c r="AW46" s="493">
        <f>IF(46=46,IF($U46="","",SUMPRODUCT(--ISNUMBER(SEARCH(" "&amp;$CR$1336:$CR$1363&amp;" ",$AX46)))),"")</f>
        <v>0</v>
      </c>
      <c r="AX46" s="493" t="str">
        <f>IF(46=46,IF($U46="","",SUBSTITUTE(SUBSTITUTE(SUBSTITUTE(SUBSTITUTE(SUBSTITUTE(SUBSTITUTE(SUBSTITUTE(SUBSTITUTE(SUBSTITUTE($AA46," "&amp;$CR$1365&amp;" "," ")," "&amp;$CR$1364&amp;" "," ")," "&amp;$CR$1370&amp;" "," ")," "&amp;$CR$1371&amp;" "," ")," "&amp;$CR$1367&amp;" "," ")," "&amp;$CR$1369&amp;" "," ")," "&amp;$CR$1366&amp;" "," ")," "&amp;$CR$1368&amp;" "," ")," "&amp;$CR$1372&amp;" "," ")),"")</f>
        <v xml:space="preserve"> persil plat </v>
      </c>
      <c r="AY46" s="493">
        <f>IF(46=46,IF($U46="","",SUMPRODUCT(--ISNUMBER(SEARCH(" "&amp;$CR$1373:$CR$1383&amp;" ",$AX46)))),"")</f>
        <v>0</v>
      </c>
      <c r="AZ46" s="493" t="str">
        <f>IF(46=46,IF($U46="","",IF(SUM(AN46:AW46)+SUMPRODUCT(--ISNUMBER(SEARCH(" "&amp;$CR$2421:$CR$2422&amp;" ",$AX46)))&gt;0,"X",IF(AY46&gt;0,"?",""))),"")</f>
        <v/>
      </c>
      <c r="BA46" s="493">
        <f>IF(46=46,IF($U46="","",SUMPRODUCT(--ISNUMBER(SEARCH(" "&amp;$CR$1384:$CR$1404&amp;" ",$AA46)))),"")</f>
        <v>0</v>
      </c>
      <c r="BB46" s="493" t="str">
        <f>IF(46=46,IF($U46="","",IF((BA46)-(0)&gt;0,"X",IF((0)-(0)&gt;0,"?",""))),"")</f>
        <v/>
      </c>
      <c r="BC46" s="493">
        <f>IF(46=46,IF($U46="","",SUMPRODUCT(--ISNUMBER(SEARCH(" "&amp;$CR$1405:$CR$1442&amp;" ",$BD46)))),"")</f>
        <v>0</v>
      </c>
      <c r="BD46" s="493" t="str">
        <f>IF(46=46,IF($U46="","",SUBSTITUTE(SUBSTITUTE($AA46," "&amp;$CR$1443&amp;" "," ")," "&amp;$CR$1444&amp;" "," ")),"")</f>
        <v xml:space="preserve"> persil plat </v>
      </c>
      <c r="BE46" s="493">
        <f>IF(46=46,IF($U46="","",SUMPRODUCT(--ISNUMBER(SEARCH(" "&amp;$CR$1445:$CR$1455&amp;" ",$BD46)))),"")</f>
        <v>0</v>
      </c>
      <c r="BF46" s="493" t="str">
        <f>IF(46=46,IF($U46="","",IF(BC46&gt;0,"X",IF(BE46&gt;0,"?",""))),"")</f>
        <v/>
      </c>
      <c r="BG46" s="493">
        <f>IF(46=46,IF($U46="","",SUMPRODUCT(--ISNUMBER(SEARCH(" "&amp;$CR$1456:$CR$1555&amp;" ",$BJ46)))),"")</f>
        <v>0</v>
      </c>
      <c r="BH46" s="493">
        <f>IF(46=46,IF($U46="","",SUMPRODUCT(--ISNUMBER(SEARCH(" "&amp;$CR$1556:$CR$1655&amp;" ",$BJ46)))),"")</f>
        <v>0</v>
      </c>
      <c r="BI46" s="493">
        <f>IF(46=46,IF($U46="","",SUMPRODUCT(--ISNUMBER(SEARCH(" "&amp;$CR$1656:$CR$1739&amp;" ",$BJ46)))),"")</f>
        <v>0</v>
      </c>
      <c r="BJ46" s="493" t="str">
        <f>IF(46=46,IF($U46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persil plat </v>
      </c>
      <c r="BK46" s="493">
        <f>IF(46=46,IF($U46="","",SUMPRODUCT(--ISNUMBER(SEARCH(" "&amp;$CR$1790:$CR$1869&amp;" ",$BL46)))+SUMPRODUCT(--ISNUMBER(SEARCH(" "&amp;$CR$2440:$CR$2453&amp;" ",$BL46)))),"")</f>
        <v>0</v>
      </c>
      <c r="BL46" s="493" t="str">
        <f>IF(46=46,IF($U46="","",SUBSTITUTE(SUBSTITUTE(SUBSTITUTE(SUBSTITUTE(SUBSTITUTE(SUBSTITUTE(SUBSTITUTE(SUBSTITUTE(SUBSTITUTE(SUBSTITUTE(SUBSTITUTE(SUBSTITUTE(SUBSTITUTE($BJ46," "&amp;$CR$1876&amp;" "," ")," "&amp;$CR$1874&amp;" "," ")," "&amp;$CR$2438&amp;" "," ")," "&amp;$CR$2439&amp;" "," ")," "&amp;$CR$1871&amp;" "," ")," "&amp;$CR$1875&amp;" "," ")," "&amp;$CR$1877&amp;" "," ")," "&amp;$CR$1872&amp;" "," ")," "&amp;$CR$1870&amp;" "," ")," "&amp;$CR$1367&amp;" "," ")," "&amp;$CR$1878&amp;" "," ")," "&amp;$CR$1366&amp;" "," ")," "&amp;$CR$1873&amp;" "," ")),"")</f>
        <v xml:space="preserve"> persil plat </v>
      </c>
      <c r="BM46" s="493" t="str">
        <f>IF(46=46,IF($U46="","",IF(SUM(BG46:BI46)+SUMPRODUCT(--ISNUMBER(SEARCH(" "&amp;$CR$2423:$CR$2424&amp;" ",$BJ46)))&gt;0,"X",IF(BK46&gt;0,"?",""))),"")</f>
        <v/>
      </c>
      <c r="BN46" s="493">
        <f>IF(46=46,IF($U46="","",SUMPRODUCT(--ISNUMBER(SEARCH(" "&amp;$CR$1879:$CR$1936&amp;" ",$BO46)))),"")</f>
        <v>0</v>
      </c>
      <c r="BO46" s="493" t="str">
        <f>IF(46=46,IF($U46="","",SUBSTITUTE(SUBSTITUTE(SUBSTITUTE(SUBSTITUTE(SUBSTITUTE(SUBSTITUTE(SUBSTITUTE(SUBSTITUTE(SUBSTITUTE(SUBSTITUTE(SUBSTITUTE(SUBSTITUTE(SUBSTITUTE(SUBSTITUTE(SUBSTITUTE(SUBSTITUTE(SUBSTITUTE(SUBSTITUTE(SUBSTITUTE(SUBSTITUTE(SUBSTITUTE(SUBSTITUTE(SUBSTITUTE($AA46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persil plat </v>
      </c>
      <c r="BP46" s="493">
        <f>IF(46=46,IF($U46="","",SUMPRODUCT(--ISNUMBER(SEARCH(" "&amp;$CR$1960:$CR$1976&amp;" ",$BO46)))),"")</f>
        <v>0</v>
      </c>
      <c r="BQ46" s="493" t="str">
        <f>IF(46=46,IF($U46="","",IF(BN46&gt;0,"X",IF(BP46&gt;0,"?",""))),"")</f>
        <v/>
      </c>
      <c r="BR46" s="493">
        <f>IF(46=46,IF($U46="","",SUMPRODUCT(--ISNUMBER(SEARCH(" "&amp;$CR$1977:$CR$1990&amp;" ",$AA46)))),"")</f>
        <v>0</v>
      </c>
      <c r="BS46" s="493">
        <f>IF(46=46,IF($U46="","",SUMPRODUCT(--ISNUMBER(SEARCH(" "&amp;$CR$1991:$CR$2005&amp;" ",$AA46)))),"")</f>
        <v>0</v>
      </c>
      <c r="BT46" s="493" t="str">
        <f>IF(46=46,IF($U46="","",IF((BR46)-(0)&gt;0,"X",IF((BS46)-(0)&gt;0,"?",""))),"")</f>
        <v/>
      </c>
      <c r="BU46" s="493">
        <f>IF(46=46,IF($U46="","",SUMPRODUCT(--ISNUMBER(SEARCH(" "&amp;$CR$2006:$CR$2023&amp;" ",$AA46)))),"")</f>
        <v>0</v>
      </c>
      <c r="BV46" s="493">
        <f>IF(46=46,IF($U46="","",SUMPRODUCT(--ISNUMBER(SEARCH(" "&amp;$CR$2024:$CR$2038&amp;" ",$AA46)))),"")</f>
        <v>0</v>
      </c>
      <c r="BW46" s="493" t="str">
        <f>IF(46=46,IF($U46="","",IF((BU46)-(0)&gt;0,"X",IF((BV46)-(0)&gt;0,"?",""))),"")</f>
        <v/>
      </c>
      <c r="BX46" s="493">
        <f>IF(46=46,IF($U46="","",SUMPRODUCT(--ISNUMBER(SEARCH(" "&amp;$CR$2039:$CR$2057&amp;" ",$AA46)))),"")</f>
        <v>0</v>
      </c>
      <c r="BY46" s="493">
        <f>IF(46=46,IF($U46="","",SUMPRODUCT(--ISNUMBER(SEARCH(" "&amp;$CR$2058:$CR$2072&amp;" ",$AA46)))),"")</f>
        <v>0</v>
      </c>
      <c r="BZ46" s="493" t="str">
        <f>IF(46=46,IF($U46="","",IF((BX46)-(0)&gt;0,"X",IF((BY46)-(0)&gt;0,"?",""))),"")</f>
        <v/>
      </c>
      <c r="CA46" s="493">
        <f>IF(46=46,IF($U46="","",SUMPRODUCT(--ISNUMBER(SEARCH(" "&amp;$CR$2073:$CR$2093&amp;" ",$AA46)))),"")</f>
        <v>0</v>
      </c>
      <c r="CB46" s="493">
        <f>IF(46=46,IF($U46="","",SUMPRODUCT(--ISNUMBER(SEARCH(" "&amp;$CR$2094:$CR$2133&amp;" ",SUBSTITUTE(SUBSTITUTE($AA46," "&amp;$CR$1367&amp;" "," ")," "&amp;$CR$1366&amp;" "," "))))+--ISNUMBER(SEARCH("poiré",$V46))),"")</f>
        <v>0</v>
      </c>
      <c r="CC46" s="493" t="str">
        <f>IF(46=46,IF($U46="","",IF(OR(CA46&gt;0,ISNUMBER(SEARCH(" vinaigre de vin ",$AA46)),ISNUMBER(SEARCH(" vinaigre au vin ",$AA46))),"X",IF(CB46&gt;0,"?",""))),"")</f>
        <v/>
      </c>
      <c r="CD46" s="493">
        <f>IF(46=46,IF($U46="","",SUMPRODUCT(--ISNUMBER(SEARCH(" "&amp;$CR$2134:$CR$2146&amp;" ",$AA46)))),"")</f>
        <v>0</v>
      </c>
      <c r="CE46" s="493">
        <f>IF(46=46,IF($U46="","",SUMPRODUCT(--ISNUMBER(SEARCH(" "&amp;$CR$2147:$CR$2152&amp;" ",$AA46)))),"")</f>
        <v>0</v>
      </c>
      <c r="CF46" s="493" t="str">
        <f>IF(46=46,IF($U46="","",IF((CD46)-(0)&gt;0,"X",IF((CE46)-(0)&gt;0,"?",""))),"")</f>
        <v/>
      </c>
      <c r="CG46" s="493">
        <f>IF(46=46,IF($U46="","",SUMPRODUCT(--ISNUMBER(SEARCH(" "&amp;$CR$2153:$CR$2252&amp;" ",$CJ46)))),"")</f>
        <v>0</v>
      </c>
      <c r="CH46" s="493">
        <f>IF(46=46,IF($U46="","",SUMPRODUCT(--ISNUMBER(SEARCH(" "&amp;$CR$2253:$CR$2352&amp;" ",$CJ46)))),"")</f>
        <v>0</v>
      </c>
      <c r="CI46" s="493">
        <f>IF(46=46,IF($U46="","",SUMPRODUCT(--ISNUMBER(SEARCH(" "&amp;$CR$2353:$CR$2395&amp;" ",$CJ46)))),"")</f>
        <v>0</v>
      </c>
      <c r="CJ46" s="493" t="str">
        <f>IF(46=46,IF($U46="","",SUBSTITUTE(SUBSTITUTE(SUBSTITUTE(SUBSTITUTE(SUBSTITUTE(SUBSTITUTE(SUBSTITUTE(SUBSTITUTE(SUBSTITUTE(SUBSTITUTE(SUBSTITUTE(SUBSTITUTE(SUBSTITUTE(SUBSTITUTE(SUBSTITUTE(SUBSTITUTE($AA46," "&amp;$CR$2401&amp;" "," ")," "&amp;$CR$2400&amp;" "," ")," "&amp;$CR$2399&amp;" "," ")," "&amp;$CR$2406&amp;" "," ")," "&amp;$CR$2398&amp;" "," ")," "&amp;$CR$2410&amp;" "," ")," "&amp;$CR$2397&amp;" "," ")," "&amp;$CR$2402&amp;" "," ")," "&amp;$CR$2405&amp;" "," ")," "&amp;$CR$2396&amp;" "," ")," "&amp;$CR$2404&amp;" "," ")," "&amp;$CR$2411&amp;" "," ")," "&amp;$CR$2408&amp;" "," ")," "&amp;$CR$2403&amp;" "," ")," "&amp;$CR$2407&amp;" "," ")," "&amp;$CR$2409&amp;" "," ")),"")</f>
        <v xml:space="preserve"> persil plat </v>
      </c>
      <c r="CK46" s="493">
        <f>IF(46=46,IF($U46="","",SUMPRODUCT(--ISNUMBER(SEARCH(" "&amp;$CR$2412:$CR$2416&amp;" ",$CJ46)))),"")</f>
        <v>0</v>
      </c>
      <c r="CL46" s="493" t="str">
        <f>IF(46=46,IF($U46="","",IF(SUM(CG46:CI46)&gt;0,"X",IF(CK46&gt;0,"?",""))),"")</f>
        <v/>
      </c>
      <c r="CM46" s="494"/>
      <c r="CN46" s="496" t="s">
        <v>1221</v>
      </c>
      <c r="CO46" s="496" t="s">
        <v>1083</v>
      </c>
      <c r="CP46" s="496" t="s">
        <v>689</v>
      </c>
      <c r="CQ46" s="496" t="s">
        <v>1222</v>
      </c>
      <c r="CR46" s="496" t="s">
        <v>1222</v>
      </c>
      <c r="CS46" s="496" t="s">
        <v>1085</v>
      </c>
      <c r="CT46" s="496" t="s">
        <v>1086</v>
      </c>
      <c r="CU46" s="496" t="s">
        <v>1087</v>
      </c>
      <c r="CV46" s="497" t="s">
        <v>1088</v>
      </c>
      <c r="CX46" s="543">
        <v>1</v>
      </c>
    </row>
    <row r="47" spans="1:102" ht="21" customHeight="1">
      <c r="A47" s="509">
        <v>41</v>
      </c>
      <c r="B47" s="510" t="s">
        <v>5884</v>
      </c>
      <c r="C47" s="511" t="str">
        <f t="shared" si="0"/>
        <v>Petits pois surgelés</v>
      </c>
      <c r="D47" s="512" t="str">
        <f>IF(47=47,IF($B47="","",IF(E47="X",""&amp;"Céréales contenant du gluten","")&amp;IF(F47="X",IF(COUNTIF($E47:$E47,"X")&gt;0,", ","")&amp;"Crustacés","")&amp;IF(G47="X",IF(COUNTIF($E47:$F47,"X")&gt;0,", ","")&amp;"Œufs","")&amp;IF(H47="X",IF(COUNTIF($E47:$G47,"X")&gt;0,", ","")&amp;"Poissons","")&amp;IF(I47="X",IF(COUNTIF($E47:$H47,"X")&gt;0,", ","")&amp;"Arachides","")&amp;IF(J47="X",IF(COUNTIF($E47:$I47,"X")&gt;0,", ","")&amp;"Soja","")&amp;IF(K47="X",IF(COUNTIF($E47:$J47,"X")&gt;0,", ","")&amp;"Lait","")&amp;IF(L47="X",IF(COUNTIF($E47:$K47,"X")&gt;0,", ","")&amp;"Fruits à coque","")&amp;IF(M47="X",IF(COUNTIF($E47:$L47,"X")&gt;0,", ","")&amp;"Céleri","")&amp;IF(N47="X",IF(COUNTIF($E47:$M47,"X")&gt;0,", ","")&amp;"Moutarde","")&amp;IF(O47="X",IF(COUNTIF($E47:$N47,"X")&gt;0,", ","")&amp;"Sésame","")&amp;IF(P47="X",IF(COUNTIF($E47:$O47,"X")&gt;0,", ","")&amp;"Sulfites","")&amp;IF(Q47="X",IF(COUNTIF($E47:$P47,"X")&gt;0,", ","")&amp;"Lupin","")&amp;IF(R47="X",IF(COUNTIF($E47:$Q47,"X")&gt;0,", ","")&amp;"Mollusques","")),"")</f>
        <v/>
      </c>
      <c r="E47" s="513" t="str">
        <f>IF(47=47,IF($B47="","",AF47),"")</f>
        <v/>
      </c>
      <c r="F47" s="513" t="str">
        <f>IF(47=47,IF($B47="","",AI47),"")</f>
        <v/>
      </c>
      <c r="G47" s="513" t="str">
        <f>IF(47=47,IF($B47="","",AM47),"")</f>
        <v/>
      </c>
      <c r="H47" s="513" t="str">
        <f>IF(47=47,IF($B47="","",IF(ISNUMBER(SEARCH(" colin ",$AA47)),"X",AZ47)),"")</f>
        <v/>
      </c>
      <c r="I47" s="513" t="str">
        <f>IF(47=47,IF($B47="","",BB47),"")</f>
        <v/>
      </c>
      <c r="J47" s="513" t="str">
        <f>IF(47=47,IF($B47="","",BF47),"")</f>
        <v/>
      </c>
      <c r="K47" s="513" t="str">
        <f>IF(47=47,IF($B47="","",BM47),"")</f>
        <v/>
      </c>
      <c r="L47" s="513" t="str">
        <f>IF(47=47,IF($B47="","",BQ47),"")</f>
        <v/>
      </c>
      <c r="M47" s="513" t="str">
        <f>IF(47=47,IF($B47="","",BT47),"")</f>
        <v/>
      </c>
      <c r="N47" s="513" t="str">
        <f>IF(47=47,IF($B47="","",BW47),"")</f>
        <v/>
      </c>
      <c r="O47" s="513" t="str">
        <f>IF(47=47,IF($B47="","",BZ47),"")</f>
        <v/>
      </c>
      <c r="P47" s="513" t="str">
        <f>IF(47=47,IF($B47="","",CC47),"")</f>
        <v/>
      </c>
      <c r="Q47" s="513" t="str">
        <f>IF(47=47,IF($B47="","",CF47),"")</f>
        <v/>
      </c>
      <c r="R47" s="513" t="str">
        <f>IF(47=47,IF($B47="","",CL47),"")</f>
        <v/>
      </c>
      <c r="S47" s="514" t="str">
        <f>IF(47=47,IF($B47="","",IF(E47="?",""&amp;"Céréales contenant du gluten","")&amp;IF(F47="?",IF(COUNTIF($E47:$E47,"~?")&gt;0,", ","")&amp;"Crustacés","")&amp;IF(G47="?",IF(COUNTIF($E47:$F47,"~?")&gt;0,", ","")&amp;"Œufs","")&amp;IF(H47="?",IF(COUNTIF($E47:$G47,"~?")&gt;0,", ","")&amp;"Poissons","")&amp;IF(I47="?",IF(COUNTIF($E47:$H47,"~?")&gt;0,", ","")&amp;"Arachides","")&amp;IF(J47="?",IF(COUNTIF($E47:$I47,"~?")&gt;0,", ","")&amp;"Soja","")&amp;IF(K47="?",IF(COUNTIF($E47:$J47,"~?")&gt;0,", ","")&amp;"Lait","")&amp;IF(L47="?",IF(COUNTIF($E47:$K47,"~?")&gt;0,", ","")&amp;"Fruits à coque","")&amp;IF(M47="?",IF(COUNTIF($E47:$L47,"~?")&gt;0,", ","")&amp;"Céleri","")&amp;IF(N47="?",IF(COUNTIF($E47:$M47,"~?")&gt;0,", ","")&amp;"Moutarde","")&amp;IF(O47="?",IF(COUNTIF($E47:$N47,"~?")&gt;0,", ","")&amp;"Sésame","")&amp;IF(P47="?",IF(COUNTIF($E47:$O47,"~?")&gt;0,", ","")&amp;"Sulfites","")&amp;IF(Q47="?",IF(COUNTIF($E47:$P47,"~?")&gt;0,", ","")&amp;"Lupin","")&amp;IF(R47="?",IF(COUNTIF($E47:$Q47,"~?")&gt;0,", ","")&amp;"Mollusques","")),"")</f>
        <v/>
      </c>
      <c r="U47" s="493" t="str">
        <f>IF(47=47,IF($B47="","",$B47),"")</f>
        <v>Petits pois surgelés</v>
      </c>
      <c r="V47" s="493" t="str">
        <f>IF(47=47,LOWER(CLEAN(SUBSTITUTE(SUBSTITUTE(SUBSTITUTE(SUBSTITUTE($U47,CHAR(160)," ")," "," "),CHAR(10)," "),CHAR(13)," "))),"")</f>
        <v>petits pois surgelés</v>
      </c>
      <c r="W47" s="493" t="str">
        <f>IF(47=47,SUBSTITUTE(SUBSTITUTE(SUBSTITUTE(SUBSTITUTE(SUBSTITUTE(SUBSTITUTE(SUBSTITUTE(SUBSTITUTE(SUBSTITUTE(SUBSTITUTE(SUBSTITUTE(SUBSTITUTE($V47,"œ","oe"),"æ","ae"),"à","a"),"á","a"),"â","a"),"ä","a"),"ã","a"),"ç","c"),"è","e"),"é","e"),"ê","e"),"ë","e"),"")</f>
        <v>petits pois surgeles</v>
      </c>
      <c r="X47" s="493" t="str">
        <f>IF(47=47,SUBSTITUTE(SUBSTITUTE(SUBSTITUTE(SUBSTITUTE(SUBSTITUTE(SUBSTITUTE(SUBSTITUTE(SUBSTITUTE(SUBSTITUTE(SUBSTITUTE(SUBSTITUTE(SUBSTITUTE(SUBSTITUTE(SUBSTITUTE(SUBSTITUTE(SUBSTITUTE($W47,"ì","i"),"í","i"),"î","i"),"ï","i"),"ñ","n"),"ò","o"),"ó","o"),"ô","o"),"ö","o"),"õ","o"),"ù","u"),"ú","u"),"û","u"),"ü","u"),"ý","y"),"ÿ","y"),"")</f>
        <v>petits pois surgeles</v>
      </c>
      <c r="Y47" s="493" t="str">
        <f>IF(47=47,SUBSTITUTE(SUBSTITUTE(SUBSTITUTE(SUBSTITUTE(SUBSTITUTE(SUBSTITUTE(SUBSTITUTE(SUBSTITUTE(SUBSTITUTE(SUBSTITUTE(SUBSTITUTE(SUBSTITUTE(SUBSTITUTE(SUBSTITUTE($X47,"’"," "),"`"," "),"–"," "),"—"," "),"-"," "),"'"," "),"/"," "),"_"," "),","," "),"."," "),"("," "),")"," "),";"," "),":"," "),"")</f>
        <v>petits pois surgeles</v>
      </c>
      <c r="Z47" s="493" t="str">
        <f>IF(47=47,SUBSTITUTE(SUBSTITUTE(SUBSTITUTE(SUBSTITUTE(SUBSTITUTE(SUBSTITUTE(SUBSTITUTE(SUBSTITUTE(SUBSTITUTE(SUBSTITUTE(SUBSTITUTE(SUBSTITUTE(SUBSTITUTE(SUBSTITUTE(SUBSTITUTE($Y47,"!"," "),"?"," "),"+"," "),"*"," "),"&amp;"," "),"["," "),"]"," "),"{"," "),"}"," "),"%"," "),"="," "),"\"," "),"|"," "),"&lt;"," "),"&gt;"," "),"")</f>
        <v>petits pois surgeles</v>
      </c>
      <c r="AA47" s="493" t="str">
        <f>IF(47=47," "&amp;TRIM(SUBSTITUTE(SUBSTITUTE(SUBSTITUTE(SUBSTITUTE(SUBSTITUTE(SUBSTITUTE($Z47,CHAR(34)," "),"  "," "),"  "," "),"  "," "),"  "," "),"  "," "))&amp;" ","")</f>
        <v xml:space="preserve"> petits pois surgeles </v>
      </c>
      <c r="AB47" s="493">
        <f>IF(47=47,IF($U47="","",SUMPRODUCT(--ISNUMBER(SEARCH(" "&amp;$CR$2:$CR$101&amp;" ",$AD47)))),"")</f>
        <v>0</v>
      </c>
      <c r="AC47" s="493">
        <f>IF(47=47,IF($U47="","",SUMPRODUCT(--ISNUMBER(SEARCH(" "&amp;$CR$102:$CR$151&amp;" ",$AD47)))),"")</f>
        <v>0</v>
      </c>
      <c r="AD47" s="493" t="str">
        <f t="shared" si="1"/>
        <v xml:space="preserve"> petits pois surgeles </v>
      </c>
      <c r="AE47" s="493">
        <f t="shared" si="2"/>
        <v>0</v>
      </c>
      <c r="AF47" s="493" t="str">
        <f>IF(47=47,IF($U47="","",IF(SUM(AB47:AC47)+SUMPRODUCT(--ISNUMBER(SEARCH(" "&amp;$CR$2418:$CR$2420&amp;" ",$AD47)))&gt;0,"X",IF(AE47&gt;0,"?",""))),"")</f>
        <v/>
      </c>
      <c r="AG47" s="493">
        <f>IF(47=47,IF($U47="","",SUMPRODUCT(--ISNUMBER(SEARCH(" "&amp;$CR$206:$CR$305&amp;" ",$AA47)))),"")</f>
        <v>0</v>
      </c>
      <c r="AH47" s="493">
        <f>IF(47=47,IF($U47="","",SUMPRODUCT(--ISNUMBER(SEARCH(" "&amp;$CR$306:$CR$340&amp;" ",$AA47)))),"")</f>
        <v>0</v>
      </c>
      <c r="AI47" s="493" t="str">
        <f>IF(47=47,IF($U47="","",IF((SUM(AG47:AH47))-(0)&gt;0,"X",IF((0)-(0)&gt;0,"?",""))),"")</f>
        <v/>
      </c>
      <c r="AJ47" s="493">
        <f>IF(47=47,IF($U47="","",SUMPRODUCT(--ISNUMBER(SEARCH(" "&amp;$CR$341:$CR$398&amp;" ",$AA47)))),"")</f>
        <v>0</v>
      </c>
      <c r="AK47" s="493">
        <f>IF(47=47,IF($U47="","",SUMPRODUCT(--ISNUMBER(SEARCH(" "&amp;$CR$399:$CR$426&amp;" ",$AL47)))+SUMPRODUCT(--ISNUMBER(SEARCH(" "&amp;$CR$2440:$CR$2453&amp;" ",$AL47)))),"")</f>
        <v>0</v>
      </c>
      <c r="AL47" s="493" t="str">
        <f>IF(47=47,IF($U47="","",SUBSTITUTE(SUBSTITUTE(SUBSTITUTE(SUBSTITUTE(SUBSTITUTE(SUBSTITUTE(SUBSTITUTE(SUBSTITUTE(SUBSTITUTE(SUBSTITUTE(SUBSTITUTE(SUBSTITUTE(SUBSTITUTE(SUBSTITUTE($AA47," "&amp;$CR$2455&amp;" "," ")," "&amp;$CR$433&amp;" "," ")," "&amp;$CR$431&amp;" "," ")," "&amp;$CR$2438&amp;" "," ")," "&amp;$CR$2439&amp;" "," ")," "&amp;$CR$428&amp;" "," ")," "&amp;$CR$432&amp;" "," ")," "&amp;$CR$434&amp;" "," ")," "&amp;$CR$429&amp;" "," ")," "&amp;$CR$427&amp;" "," ")," "&amp;$CR$1367&amp;" "," ")," "&amp;$CR$435&amp;" "," ")," "&amp;$CR$1366&amp;" "," ")," "&amp;$CR$430&amp;" "," ")),"")</f>
        <v xml:space="preserve"> petits pois surgeles </v>
      </c>
      <c r="AM47" s="493" t="str">
        <f>IF(47=47,IF($U47="","",IF(AJ47&gt;0,"X",IF(AK47&gt;0,"?",""))),"")</f>
        <v/>
      </c>
      <c r="AN47" s="493">
        <f>IF(47=47,IF($U47="","",SUMPRODUCT(--ISNUMBER(SEARCH(" "&amp;$CR$436:$CR$535&amp;" ",$AX47)))),"")</f>
        <v>0</v>
      </c>
      <c r="AO47" s="493">
        <f>IF(47=47,IF($U47="","",SUMPRODUCT(--ISNUMBER(SEARCH(" "&amp;$CR$536:$CR$635&amp;" ",$AX47)))),"")</f>
        <v>0</v>
      </c>
      <c r="AP47" s="493">
        <f>IF(47=47,IF($U47="","",SUMPRODUCT(--ISNUMBER(SEARCH(" "&amp;$CR$636:$CR$735&amp;" ",$AX47)))),"")</f>
        <v>0</v>
      </c>
      <c r="AQ47" s="493">
        <f>IF(47=47,IF($U47="","",SUMPRODUCT(--ISNUMBER(SEARCH(" "&amp;$CR$736:$CR$835&amp;" ",$AX47)))),"")</f>
        <v>0</v>
      </c>
      <c r="AR47" s="493">
        <f>IF(47=47,IF($U47="","",SUMPRODUCT(--ISNUMBER(SEARCH(" "&amp;$CR$836:$CR$935&amp;" ",$AX47)))),"")</f>
        <v>0</v>
      </c>
      <c r="AS47" s="493">
        <f>IF(47=47,IF($U47="","",SUMPRODUCT(--ISNUMBER(SEARCH(" "&amp;$CR$936:$CR$1035&amp;" ",$AX47)))),"")</f>
        <v>0</v>
      </c>
      <c r="AT47" s="493">
        <f>IF(47=47,IF($U47="","",SUMPRODUCT(--ISNUMBER(SEARCH(" "&amp;$CR$1036:$CR$1135&amp;" ",$AX47)))),"")</f>
        <v>0</v>
      </c>
      <c r="AU47" s="493">
        <f>IF(47=47,IF($U47="","",SUMPRODUCT(--ISNUMBER(SEARCH(" "&amp;$CR$1136:$CR$1235&amp;" ",$AX47)))),"")</f>
        <v>0</v>
      </c>
      <c r="AV47" s="493">
        <f>IF(47=47,IF($U47="","",SUMPRODUCT(--ISNUMBER(SEARCH(" "&amp;$CR$1236:$CR$1335&amp;" ",$AX47)))),"")</f>
        <v>0</v>
      </c>
      <c r="AW47" s="493">
        <f>IF(47=47,IF($U47="","",SUMPRODUCT(--ISNUMBER(SEARCH(" "&amp;$CR$1336:$CR$1363&amp;" ",$AX47)))),"")</f>
        <v>0</v>
      </c>
      <c r="AX47" s="493" t="str">
        <f>IF(47=47,IF($U47="","",SUBSTITUTE(SUBSTITUTE(SUBSTITUTE(SUBSTITUTE(SUBSTITUTE(SUBSTITUTE(SUBSTITUTE(SUBSTITUTE(SUBSTITUTE($AA47," "&amp;$CR$1365&amp;" "," ")," "&amp;$CR$1364&amp;" "," ")," "&amp;$CR$1370&amp;" "," ")," "&amp;$CR$1371&amp;" "," ")," "&amp;$CR$1367&amp;" "," ")," "&amp;$CR$1369&amp;" "," ")," "&amp;$CR$1366&amp;" "," ")," "&amp;$CR$1368&amp;" "," ")," "&amp;$CR$1372&amp;" "," ")),"")</f>
        <v xml:space="preserve"> petits pois surgeles </v>
      </c>
      <c r="AY47" s="493">
        <f>IF(47=47,IF($U47="","",SUMPRODUCT(--ISNUMBER(SEARCH(" "&amp;$CR$1373:$CR$1383&amp;" ",$AX47)))),"")</f>
        <v>0</v>
      </c>
      <c r="AZ47" s="493" t="str">
        <f>IF(47=47,IF($U47="","",IF(SUM(AN47:AW47)+SUMPRODUCT(--ISNUMBER(SEARCH(" "&amp;$CR$2421:$CR$2422&amp;" ",$AX47)))&gt;0,"X",IF(AY47&gt;0,"?",""))),"")</f>
        <v/>
      </c>
      <c r="BA47" s="493">
        <f>IF(47=47,IF($U47="","",SUMPRODUCT(--ISNUMBER(SEARCH(" "&amp;$CR$1384:$CR$1404&amp;" ",$AA47)))),"")</f>
        <v>0</v>
      </c>
      <c r="BB47" s="493" t="str">
        <f>IF(47=47,IF($U47="","",IF((BA47)-(0)&gt;0,"X",IF((0)-(0)&gt;0,"?",""))),"")</f>
        <v/>
      </c>
      <c r="BC47" s="493">
        <f>IF(47=47,IF($U47="","",SUMPRODUCT(--ISNUMBER(SEARCH(" "&amp;$CR$1405:$CR$1442&amp;" ",$BD47)))),"")</f>
        <v>0</v>
      </c>
      <c r="BD47" s="493" t="str">
        <f>IF(47=47,IF($U47="","",SUBSTITUTE(SUBSTITUTE($AA47," "&amp;$CR$1443&amp;" "," ")," "&amp;$CR$1444&amp;" "," ")),"")</f>
        <v xml:space="preserve"> petits pois surgeles </v>
      </c>
      <c r="BE47" s="493">
        <f>IF(47=47,IF($U47="","",SUMPRODUCT(--ISNUMBER(SEARCH(" "&amp;$CR$1445:$CR$1455&amp;" ",$BD47)))),"")</f>
        <v>0</v>
      </c>
      <c r="BF47" s="493" t="str">
        <f>IF(47=47,IF($U47="","",IF(BC47&gt;0,"X",IF(BE47&gt;0,"?",""))),"")</f>
        <v/>
      </c>
      <c r="BG47" s="493">
        <f>IF(47=47,IF($U47="","",SUMPRODUCT(--ISNUMBER(SEARCH(" "&amp;$CR$1456:$CR$1555&amp;" ",$BJ47)))),"")</f>
        <v>0</v>
      </c>
      <c r="BH47" s="493">
        <f>IF(47=47,IF($U47="","",SUMPRODUCT(--ISNUMBER(SEARCH(" "&amp;$CR$1556:$CR$1655&amp;" ",$BJ47)))),"")</f>
        <v>0</v>
      </c>
      <c r="BI47" s="493">
        <f>IF(47=47,IF($U47="","",SUMPRODUCT(--ISNUMBER(SEARCH(" "&amp;$CR$1656:$CR$1739&amp;" ",$BJ47)))),"")</f>
        <v>0</v>
      </c>
      <c r="BJ47" s="493" t="str">
        <f>IF(47=47,IF($U47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petits pois surgeles </v>
      </c>
      <c r="BK47" s="493">
        <f>IF(47=47,IF($U47="","",SUMPRODUCT(--ISNUMBER(SEARCH(" "&amp;$CR$1790:$CR$1869&amp;" ",$BL47)))+SUMPRODUCT(--ISNUMBER(SEARCH(" "&amp;$CR$2440:$CR$2453&amp;" ",$BL47)))),"")</f>
        <v>0</v>
      </c>
      <c r="BL47" s="493" t="str">
        <f>IF(47=47,IF($U47="","",SUBSTITUTE(SUBSTITUTE(SUBSTITUTE(SUBSTITUTE(SUBSTITUTE(SUBSTITUTE(SUBSTITUTE(SUBSTITUTE(SUBSTITUTE(SUBSTITUTE(SUBSTITUTE(SUBSTITUTE(SUBSTITUTE($BJ47," "&amp;$CR$1876&amp;" "," ")," "&amp;$CR$1874&amp;" "," ")," "&amp;$CR$2438&amp;" "," ")," "&amp;$CR$2439&amp;" "," ")," "&amp;$CR$1871&amp;" "," ")," "&amp;$CR$1875&amp;" "," ")," "&amp;$CR$1877&amp;" "," ")," "&amp;$CR$1872&amp;" "," ")," "&amp;$CR$1870&amp;" "," ")," "&amp;$CR$1367&amp;" "," ")," "&amp;$CR$1878&amp;" "," ")," "&amp;$CR$1366&amp;" "," ")," "&amp;$CR$1873&amp;" "," ")),"")</f>
        <v xml:space="preserve"> petits pois surgeles </v>
      </c>
      <c r="BM47" s="493" t="str">
        <f>IF(47=47,IF($U47="","",IF(SUM(BG47:BI47)+SUMPRODUCT(--ISNUMBER(SEARCH(" "&amp;$CR$2423:$CR$2424&amp;" ",$BJ47)))&gt;0,"X",IF(BK47&gt;0,"?",""))),"")</f>
        <v/>
      </c>
      <c r="BN47" s="493">
        <f>IF(47=47,IF($U47="","",SUMPRODUCT(--ISNUMBER(SEARCH(" "&amp;$CR$1879:$CR$1936&amp;" ",$BO47)))),"")</f>
        <v>0</v>
      </c>
      <c r="BO47" s="493" t="str">
        <f>IF(47=47,IF($U47="","",SUBSTITUTE(SUBSTITUTE(SUBSTITUTE(SUBSTITUTE(SUBSTITUTE(SUBSTITUTE(SUBSTITUTE(SUBSTITUTE(SUBSTITUTE(SUBSTITUTE(SUBSTITUTE(SUBSTITUTE(SUBSTITUTE(SUBSTITUTE(SUBSTITUTE(SUBSTITUTE(SUBSTITUTE(SUBSTITUTE(SUBSTITUTE(SUBSTITUTE(SUBSTITUTE(SUBSTITUTE(SUBSTITUTE($AA47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petits pois surgeles </v>
      </c>
      <c r="BP47" s="493">
        <f>IF(47=47,IF($U47="","",SUMPRODUCT(--ISNUMBER(SEARCH(" "&amp;$CR$1960:$CR$1976&amp;" ",$BO47)))),"")</f>
        <v>0</v>
      </c>
      <c r="BQ47" s="493" t="str">
        <f>IF(47=47,IF($U47="","",IF(BN47&gt;0,"X",IF(BP47&gt;0,"?",""))),"")</f>
        <v/>
      </c>
      <c r="BR47" s="493">
        <f>IF(47=47,IF($U47="","",SUMPRODUCT(--ISNUMBER(SEARCH(" "&amp;$CR$1977:$CR$1990&amp;" ",$AA47)))),"")</f>
        <v>0</v>
      </c>
      <c r="BS47" s="493">
        <f>IF(47=47,IF($U47="","",SUMPRODUCT(--ISNUMBER(SEARCH(" "&amp;$CR$1991:$CR$2005&amp;" ",$AA47)))),"")</f>
        <v>0</v>
      </c>
      <c r="BT47" s="493" t="str">
        <f>IF(47=47,IF($U47="","",IF((BR47)-(0)&gt;0,"X",IF((BS47)-(0)&gt;0,"?",""))),"")</f>
        <v/>
      </c>
      <c r="BU47" s="493">
        <f>IF(47=47,IF($U47="","",SUMPRODUCT(--ISNUMBER(SEARCH(" "&amp;$CR$2006:$CR$2023&amp;" ",$AA47)))),"")</f>
        <v>0</v>
      </c>
      <c r="BV47" s="493">
        <f>IF(47=47,IF($U47="","",SUMPRODUCT(--ISNUMBER(SEARCH(" "&amp;$CR$2024:$CR$2038&amp;" ",$AA47)))),"")</f>
        <v>0</v>
      </c>
      <c r="BW47" s="493" t="str">
        <f>IF(47=47,IF($U47="","",IF((BU47)-(0)&gt;0,"X",IF((BV47)-(0)&gt;0,"?",""))),"")</f>
        <v/>
      </c>
      <c r="BX47" s="493">
        <f>IF(47=47,IF($U47="","",SUMPRODUCT(--ISNUMBER(SEARCH(" "&amp;$CR$2039:$CR$2057&amp;" ",$AA47)))),"")</f>
        <v>0</v>
      </c>
      <c r="BY47" s="493">
        <f>IF(47=47,IF($U47="","",SUMPRODUCT(--ISNUMBER(SEARCH(" "&amp;$CR$2058:$CR$2072&amp;" ",$AA47)))),"")</f>
        <v>0</v>
      </c>
      <c r="BZ47" s="493" t="str">
        <f>IF(47=47,IF($U47="","",IF((BX47)-(0)&gt;0,"X",IF((BY47)-(0)&gt;0,"?",""))),"")</f>
        <v/>
      </c>
      <c r="CA47" s="493">
        <f>IF(47=47,IF($U47="","",SUMPRODUCT(--ISNUMBER(SEARCH(" "&amp;$CR$2073:$CR$2093&amp;" ",$AA47)))),"")</f>
        <v>0</v>
      </c>
      <c r="CB47" s="493">
        <f>IF(47=47,IF($U47="","",SUMPRODUCT(--ISNUMBER(SEARCH(" "&amp;$CR$2094:$CR$2133&amp;" ",SUBSTITUTE(SUBSTITUTE($AA47," "&amp;$CR$1367&amp;" "," ")," "&amp;$CR$1366&amp;" "," "))))+--ISNUMBER(SEARCH("poiré",$V47))),"")</f>
        <v>0</v>
      </c>
      <c r="CC47" s="493" t="str">
        <f>IF(47=47,IF($U47="","",IF(OR(CA47&gt;0,ISNUMBER(SEARCH(" vinaigre de vin ",$AA47)),ISNUMBER(SEARCH(" vinaigre au vin ",$AA47))),"X",IF(CB47&gt;0,"?",""))),"")</f>
        <v/>
      </c>
      <c r="CD47" s="493">
        <f>IF(47=47,IF($U47="","",SUMPRODUCT(--ISNUMBER(SEARCH(" "&amp;$CR$2134:$CR$2146&amp;" ",$AA47)))),"")</f>
        <v>0</v>
      </c>
      <c r="CE47" s="493">
        <f>IF(47=47,IF($U47="","",SUMPRODUCT(--ISNUMBER(SEARCH(" "&amp;$CR$2147:$CR$2152&amp;" ",$AA47)))),"")</f>
        <v>0</v>
      </c>
      <c r="CF47" s="493" t="str">
        <f>IF(47=47,IF($U47="","",IF((CD47)-(0)&gt;0,"X",IF((CE47)-(0)&gt;0,"?",""))),"")</f>
        <v/>
      </c>
      <c r="CG47" s="493">
        <f>IF(47=47,IF($U47="","",SUMPRODUCT(--ISNUMBER(SEARCH(" "&amp;$CR$2153:$CR$2252&amp;" ",$CJ47)))),"")</f>
        <v>0</v>
      </c>
      <c r="CH47" s="493">
        <f>IF(47=47,IF($U47="","",SUMPRODUCT(--ISNUMBER(SEARCH(" "&amp;$CR$2253:$CR$2352&amp;" ",$CJ47)))),"")</f>
        <v>0</v>
      </c>
      <c r="CI47" s="493">
        <f>IF(47=47,IF($U47="","",SUMPRODUCT(--ISNUMBER(SEARCH(" "&amp;$CR$2353:$CR$2395&amp;" ",$CJ47)))),"")</f>
        <v>0</v>
      </c>
      <c r="CJ47" s="493" t="str">
        <f>IF(47=47,IF($U47="","",SUBSTITUTE(SUBSTITUTE(SUBSTITUTE(SUBSTITUTE(SUBSTITUTE(SUBSTITUTE(SUBSTITUTE(SUBSTITUTE(SUBSTITUTE(SUBSTITUTE(SUBSTITUTE(SUBSTITUTE(SUBSTITUTE(SUBSTITUTE(SUBSTITUTE(SUBSTITUTE($AA47," "&amp;$CR$2401&amp;" "," ")," "&amp;$CR$2400&amp;" "," ")," "&amp;$CR$2399&amp;" "," ")," "&amp;$CR$2406&amp;" "," ")," "&amp;$CR$2398&amp;" "," ")," "&amp;$CR$2410&amp;" "," ")," "&amp;$CR$2397&amp;" "," ")," "&amp;$CR$2402&amp;" "," ")," "&amp;$CR$2405&amp;" "," ")," "&amp;$CR$2396&amp;" "," ")," "&amp;$CR$2404&amp;" "," ")," "&amp;$CR$2411&amp;" "," ")," "&amp;$CR$2408&amp;" "," ")," "&amp;$CR$2403&amp;" "," ")," "&amp;$CR$2407&amp;" "," ")," "&amp;$CR$2409&amp;" "," ")),"")</f>
        <v xml:space="preserve"> petits pois surgeles </v>
      </c>
      <c r="CK47" s="493">
        <f>IF(47=47,IF($U47="","",SUMPRODUCT(--ISNUMBER(SEARCH(" "&amp;$CR$2412:$CR$2416&amp;" ",$CJ47)))),"")</f>
        <v>0</v>
      </c>
      <c r="CL47" s="493" t="str">
        <f>IF(47=47,IF($U47="","",IF(SUM(CG47:CI47)&gt;0,"X",IF(CK47&gt;0,"?",""))),"")</f>
        <v/>
      </c>
      <c r="CM47" s="494"/>
      <c r="CN47" s="496" t="s">
        <v>1223</v>
      </c>
      <c r="CO47" s="496" t="s">
        <v>1083</v>
      </c>
      <c r="CP47" s="496" t="s">
        <v>689</v>
      </c>
      <c r="CQ47" s="496" t="s">
        <v>1224</v>
      </c>
      <c r="CR47" s="496" t="s">
        <v>1225</v>
      </c>
      <c r="CS47" s="496" t="s">
        <v>1085</v>
      </c>
      <c r="CT47" s="496" t="s">
        <v>1086</v>
      </c>
      <c r="CU47" s="496" t="s">
        <v>1087</v>
      </c>
      <c r="CV47" s="497" t="s">
        <v>1088</v>
      </c>
      <c r="CX47" s="543">
        <v>1</v>
      </c>
    </row>
    <row r="48" spans="1:102" ht="21" customHeight="1">
      <c r="A48" s="509">
        <v>42</v>
      </c>
      <c r="B48" s="510" t="s">
        <v>5885</v>
      </c>
      <c r="C48" s="511" t="str">
        <f t="shared" si="0"/>
        <v>Piment (man jack)</v>
      </c>
      <c r="D48" s="512" t="str">
        <f>IF(48=48,IF($B48="","",IF(E48="X",""&amp;"Céréales contenant du gluten","")&amp;IF(F48="X",IF(COUNTIF($E48:$E48,"X")&gt;0,", ","")&amp;"Crustacés","")&amp;IF(G48="X",IF(COUNTIF($E48:$F48,"X")&gt;0,", ","")&amp;"Œufs","")&amp;IF(H48="X",IF(COUNTIF($E48:$G48,"X")&gt;0,", ","")&amp;"Poissons","")&amp;IF(I48="X",IF(COUNTIF($E48:$H48,"X")&gt;0,", ","")&amp;"Arachides","")&amp;IF(J48="X",IF(COUNTIF($E48:$I48,"X")&gt;0,", ","")&amp;"Soja","")&amp;IF(K48="X",IF(COUNTIF($E48:$J48,"X")&gt;0,", ","")&amp;"Lait","")&amp;IF(L48="X",IF(COUNTIF($E48:$K48,"X")&gt;0,", ","")&amp;"Fruits à coque","")&amp;IF(M48="X",IF(COUNTIF($E48:$L48,"X")&gt;0,", ","")&amp;"Céleri","")&amp;IF(N48="X",IF(COUNTIF($E48:$M48,"X")&gt;0,", ","")&amp;"Moutarde","")&amp;IF(O48="X",IF(COUNTIF($E48:$N48,"X")&gt;0,", ","")&amp;"Sésame","")&amp;IF(P48="X",IF(COUNTIF($E48:$O48,"X")&gt;0,", ","")&amp;"Sulfites","")&amp;IF(Q48="X",IF(COUNTIF($E48:$P48,"X")&gt;0,", ","")&amp;"Lupin","")&amp;IF(R48="X",IF(COUNTIF($E48:$Q48,"X")&gt;0,", ","")&amp;"Mollusques","")),"")</f>
        <v/>
      </c>
      <c r="E48" s="513" t="str">
        <f>IF(48=48,IF($B48="","",AF48),"")</f>
        <v/>
      </c>
      <c r="F48" s="513" t="str">
        <f>IF(48=48,IF($B48="","",AI48),"")</f>
        <v/>
      </c>
      <c r="G48" s="513" t="str">
        <f>IF(48=48,IF($B48="","",AM48),"")</f>
        <v/>
      </c>
      <c r="H48" s="513" t="str">
        <f>IF(48=48,IF($B48="","",IF(ISNUMBER(SEARCH(" colin ",$AA48)),"X",AZ48)),"")</f>
        <v/>
      </c>
      <c r="I48" s="513" t="str">
        <f>IF(48=48,IF($B48="","",BB48),"")</f>
        <v/>
      </c>
      <c r="J48" s="513" t="str">
        <f>IF(48=48,IF($B48="","",BF48),"")</f>
        <v/>
      </c>
      <c r="K48" s="513" t="str">
        <f>IF(48=48,IF($B48="","",BM48),"")</f>
        <v/>
      </c>
      <c r="L48" s="513" t="str">
        <f>IF(48=48,IF($B48="","",BQ48),"")</f>
        <v/>
      </c>
      <c r="M48" s="513" t="str">
        <f>IF(48=48,IF($B48="","",BT48),"")</f>
        <v/>
      </c>
      <c r="N48" s="513" t="str">
        <f>IF(48=48,IF($B48="","",BW48),"")</f>
        <v/>
      </c>
      <c r="O48" s="513" t="str">
        <f>IF(48=48,IF($B48="","",BZ48),"")</f>
        <v/>
      </c>
      <c r="P48" s="513" t="str">
        <f>IF(48=48,IF($B48="","",CC48),"")</f>
        <v/>
      </c>
      <c r="Q48" s="513" t="str">
        <f>IF(48=48,IF($B48="","",CF48),"")</f>
        <v/>
      </c>
      <c r="R48" s="513" t="str">
        <f>IF(48=48,IF($B48="","",CL48),"")</f>
        <v/>
      </c>
      <c r="S48" s="514" t="str">
        <f>IF(48=48,IF($B48="","",IF(E48="?",""&amp;"Céréales contenant du gluten","")&amp;IF(F48="?",IF(COUNTIF($E48:$E48,"~?")&gt;0,", ","")&amp;"Crustacés","")&amp;IF(G48="?",IF(COUNTIF($E48:$F48,"~?")&gt;0,", ","")&amp;"Œufs","")&amp;IF(H48="?",IF(COUNTIF($E48:$G48,"~?")&gt;0,", ","")&amp;"Poissons","")&amp;IF(I48="?",IF(COUNTIF($E48:$H48,"~?")&gt;0,", ","")&amp;"Arachides","")&amp;IF(J48="?",IF(COUNTIF($E48:$I48,"~?")&gt;0,", ","")&amp;"Soja","")&amp;IF(K48="?",IF(COUNTIF($E48:$J48,"~?")&gt;0,", ","")&amp;"Lait","")&amp;IF(L48="?",IF(COUNTIF($E48:$K48,"~?")&gt;0,", ","")&amp;"Fruits à coque","")&amp;IF(M48="?",IF(COUNTIF($E48:$L48,"~?")&gt;0,", ","")&amp;"Céleri","")&amp;IF(N48="?",IF(COUNTIF($E48:$M48,"~?")&gt;0,", ","")&amp;"Moutarde","")&amp;IF(O48="?",IF(COUNTIF($E48:$N48,"~?")&gt;0,", ","")&amp;"Sésame","")&amp;IF(P48="?",IF(COUNTIF($E48:$O48,"~?")&gt;0,", ","")&amp;"Sulfites","")&amp;IF(Q48="?",IF(COUNTIF($E48:$P48,"~?")&gt;0,", ","")&amp;"Lupin","")&amp;IF(R48="?",IF(COUNTIF($E48:$Q48,"~?")&gt;0,", ","")&amp;"Mollusques","")),"")</f>
        <v/>
      </c>
      <c r="U48" s="493" t="str">
        <f>IF(48=48,IF($B48="","",$B48),"")</f>
        <v>Piment (man jack)</v>
      </c>
      <c r="V48" s="493" t="str">
        <f>IF(48=48,LOWER(CLEAN(SUBSTITUTE(SUBSTITUTE(SUBSTITUTE(SUBSTITUTE($U48,CHAR(160)," ")," "," "),CHAR(10)," "),CHAR(13)," "))),"")</f>
        <v>piment (man jack)</v>
      </c>
      <c r="W48" s="493" t="str">
        <f>IF(48=48,SUBSTITUTE(SUBSTITUTE(SUBSTITUTE(SUBSTITUTE(SUBSTITUTE(SUBSTITUTE(SUBSTITUTE(SUBSTITUTE(SUBSTITUTE(SUBSTITUTE(SUBSTITUTE(SUBSTITUTE($V48,"œ","oe"),"æ","ae"),"à","a"),"á","a"),"â","a"),"ä","a"),"ã","a"),"ç","c"),"è","e"),"é","e"),"ê","e"),"ë","e"),"")</f>
        <v>piment (man jack)</v>
      </c>
      <c r="X48" s="493" t="str">
        <f>IF(48=48,SUBSTITUTE(SUBSTITUTE(SUBSTITUTE(SUBSTITUTE(SUBSTITUTE(SUBSTITUTE(SUBSTITUTE(SUBSTITUTE(SUBSTITUTE(SUBSTITUTE(SUBSTITUTE(SUBSTITUTE(SUBSTITUTE(SUBSTITUTE(SUBSTITUTE(SUBSTITUTE($W48,"ì","i"),"í","i"),"î","i"),"ï","i"),"ñ","n"),"ò","o"),"ó","o"),"ô","o"),"ö","o"),"õ","o"),"ù","u"),"ú","u"),"û","u"),"ü","u"),"ý","y"),"ÿ","y"),"")</f>
        <v>piment (man jack)</v>
      </c>
      <c r="Y48" s="493" t="str">
        <f>IF(48=48,SUBSTITUTE(SUBSTITUTE(SUBSTITUTE(SUBSTITUTE(SUBSTITUTE(SUBSTITUTE(SUBSTITUTE(SUBSTITUTE(SUBSTITUTE(SUBSTITUTE(SUBSTITUTE(SUBSTITUTE(SUBSTITUTE(SUBSTITUTE($X48,"’"," "),"`"," "),"–"," "),"—"," "),"-"," "),"'"," "),"/"," "),"_"," "),","," "),"."," "),"("," "),")"," "),";"," "),":"," "),"")</f>
        <v xml:space="preserve">piment  man jack </v>
      </c>
      <c r="Z48" s="493" t="str">
        <f>IF(48=48,SUBSTITUTE(SUBSTITUTE(SUBSTITUTE(SUBSTITUTE(SUBSTITUTE(SUBSTITUTE(SUBSTITUTE(SUBSTITUTE(SUBSTITUTE(SUBSTITUTE(SUBSTITUTE(SUBSTITUTE(SUBSTITUTE(SUBSTITUTE(SUBSTITUTE($Y48,"!"," "),"?"," "),"+"," "),"*"," "),"&amp;"," "),"["," "),"]"," "),"{"," "),"}"," "),"%"," "),"="," "),"\"," "),"|"," "),"&lt;"," "),"&gt;"," "),"")</f>
        <v xml:space="preserve">piment  man jack </v>
      </c>
      <c r="AA48" s="493" t="str">
        <f>IF(48=48," "&amp;TRIM(SUBSTITUTE(SUBSTITUTE(SUBSTITUTE(SUBSTITUTE(SUBSTITUTE(SUBSTITUTE($Z48,CHAR(34)," "),"  "," "),"  "," "),"  "," "),"  "," "),"  "," "))&amp;" ","")</f>
        <v xml:space="preserve"> piment man jack </v>
      </c>
      <c r="AB48" s="493">
        <f>IF(48=48,IF($U48="","",SUMPRODUCT(--ISNUMBER(SEARCH(" "&amp;$CR$2:$CR$101&amp;" ",$AD48)))),"")</f>
        <v>0</v>
      </c>
      <c r="AC48" s="493">
        <f>IF(48=48,IF($U48="","",SUMPRODUCT(--ISNUMBER(SEARCH(" "&amp;$CR$102:$CR$151&amp;" ",$AD48)))),"")</f>
        <v>0</v>
      </c>
      <c r="AD48" s="493" t="str">
        <f t="shared" si="1"/>
        <v xml:space="preserve"> piment man jack </v>
      </c>
      <c r="AE48" s="493">
        <f t="shared" si="2"/>
        <v>0</v>
      </c>
      <c r="AF48" s="493" t="str">
        <f>IF(48=48,IF($U48="","",IF(SUM(AB48:AC48)+SUMPRODUCT(--ISNUMBER(SEARCH(" "&amp;$CR$2418:$CR$2420&amp;" ",$AD48)))&gt;0,"X",IF(AE48&gt;0,"?",""))),"")</f>
        <v/>
      </c>
      <c r="AG48" s="493">
        <f>IF(48=48,IF($U48="","",SUMPRODUCT(--ISNUMBER(SEARCH(" "&amp;$CR$206:$CR$305&amp;" ",$AA48)))),"")</f>
        <v>0</v>
      </c>
      <c r="AH48" s="493">
        <f>IF(48=48,IF($U48="","",SUMPRODUCT(--ISNUMBER(SEARCH(" "&amp;$CR$306:$CR$340&amp;" ",$AA48)))),"")</f>
        <v>0</v>
      </c>
      <c r="AI48" s="493" t="str">
        <f>IF(48=48,IF($U48="","",IF((SUM(AG48:AH48))-(0)&gt;0,"X",IF((0)-(0)&gt;0,"?",""))),"")</f>
        <v/>
      </c>
      <c r="AJ48" s="493">
        <f>IF(48=48,IF($U48="","",SUMPRODUCT(--ISNUMBER(SEARCH(" "&amp;$CR$341:$CR$398&amp;" ",$AA48)))),"")</f>
        <v>0</v>
      </c>
      <c r="AK48" s="493">
        <f>IF(48=48,IF($U48="","",SUMPRODUCT(--ISNUMBER(SEARCH(" "&amp;$CR$399:$CR$426&amp;" ",$AL48)))+SUMPRODUCT(--ISNUMBER(SEARCH(" "&amp;$CR$2440:$CR$2453&amp;" ",$AL48)))),"")</f>
        <v>0</v>
      </c>
      <c r="AL48" s="493" t="str">
        <f>IF(48=48,IF($U48="","",SUBSTITUTE(SUBSTITUTE(SUBSTITUTE(SUBSTITUTE(SUBSTITUTE(SUBSTITUTE(SUBSTITUTE(SUBSTITUTE(SUBSTITUTE(SUBSTITUTE(SUBSTITUTE(SUBSTITUTE(SUBSTITUTE(SUBSTITUTE($AA48," "&amp;$CR$2455&amp;" "," ")," "&amp;$CR$433&amp;" "," ")," "&amp;$CR$431&amp;" "," ")," "&amp;$CR$2438&amp;" "," ")," "&amp;$CR$2439&amp;" "," ")," "&amp;$CR$428&amp;" "," ")," "&amp;$CR$432&amp;" "," ")," "&amp;$CR$434&amp;" "," ")," "&amp;$CR$429&amp;" "," ")," "&amp;$CR$427&amp;" "," ")," "&amp;$CR$1367&amp;" "," ")," "&amp;$CR$435&amp;" "," ")," "&amp;$CR$1366&amp;" "," ")," "&amp;$CR$430&amp;" "," ")),"")</f>
        <v xml:space="preserve"> piment man jack </v>
      </c>
      <c r="AM48" s="493" t="str">
        <f>IF(48=48,IF($U48="","",IF(AJ48&gt;0,"X",IF(AK48&gt;0,"?",""))),"")</f>
        <v/>
      </c>
      <c r="AN48" s="493">
        <f>IF(48=48,IF($U48="","",SUMPRODUCT(--ISNUMBER(SEARCH(" "&amp;$CR$436:$CR$535&amp;" ",$AX48)))),"")</f>
        <v>0</v>
      </c>
      <c r="AO48" s="493">
        <f>IF(48=48,IF($U48="","",SUMPRODUCT(--ISNUMBER(SEARCH(" "&amp;$CR$536:$CR$635&amp;" ",$AX48)))),"")</f>
        <v>0</v>
      </c>
      <c r="AP48" s="493">
        <f>IF(48=48,IF($U48="","",SUMPRODUCT(--ISNUMBER(SEARCH(" "&amp;$CR$636:$CR$735&amp;" ",$AX48)))),"")</f>
        <v>0</v>
      </c>
      <c r="AQ48" s="493">
        <f>IF(48=48,IF($U48="","",SUMPRODUCT(--ISNUMBER(SEARCH(" "&amp;$CR$736:$CR$835&amp;" ",$AX48)))),"")</f>
        <v>0</v>
      </c>
      <c r="AR48" s="493">
        <f>IF(48=48,IF($U48="","",SUMPRODUCT(--ISNUMBER(SEARCH(" "&amp;$CR$836:$CR$935&amp;" ",$AX48)))),"")</f>
        <v>0</v>
      </c>
      <c r="AS48" s="493">
        <f>IF(48=48,IF($U48="","",SUMPRODUCT(--ISNUMBER(SEARCH(" "&amp;$CR$936:$CR$1035&amp;" ",$AX48)))),"")</f>
        <v>0</v>
      </c>
      <c r="AT48" s="493">
        <f>IF(48=48,IF($U48="","",SUMPRODUCT(--ISNUMBER(SEARCH(" "&amp;$CR$1036:$CR$1135&amp;" ",$AX48)))),"")</f>
        <v>0</v>
      </c>
      <c r="AU48" s="493">
        <f>IF(48=48,IF($U48="","",SUMPRODUCT(--ISNUMBER(SEARCH(" "&amp;$CR$1136:$CR$1235&amp;" ",$AX48)))),"")</f>
        <v>0</v>
      </c>
      <c r="AV48" s="493">
        <f>IF(48=48,IF($U48="","",SUMPRODUCT(--ISNUMBER(SEARCH(" "&amp;$CR$1236:$CR$1335&amp;" ",$AX48)))),"")</f>
        <v>0</v>
      </c>
      <c r="AW48" s="493">
        <f>IF(48=48,IF($U48="","",SUMPRODUCT(--ISNUMBER(SEARCH(" "&amp;$CR$1336:$CR$1363&amp;" ",$AX48)))),"")</f>
        <v>0</v>
      </c>
      <c r="AX48" s="493" t="str">
        <f>IF(48=48,IF($U48="","",SUBSTITUTE(SUBSTITUTE(SUBSTITUTE(SUBSTITUTE(SUBSTITUTE(SUBSTITUTE(SUBSTITUTE(SUBSTITUTE(SUBSTITUTE($AA48," "&amp;$CR$1365&amp;" "," ")," "&amp;$CR$1364&amp;" "," ")," "&amp;$CR$1370&amp;" "," ")," "&amp;$CR$1371&amp;" "," ")," "&amp;$CR$1367&amp;" "," ")," "&amp;$CR$1369&amp;" "," ")," "&amp;$CR$1366&amp;" "," ")," "&amp;$CR$1368&amp;" "," ")," "&amp;$CR$1372&amp;" "," ")),"")</f>
        <v xml:space="preserve"> piment man jack </v>
      </c>
      <c r="AY48" s="493">
        <f>IF(48=48,IF($U48="","",SUMPRODUCT(--ISNUMBER(SEARCH(" "&amp;$CR$1373:$CR$1383&amp;" ",$AX48)))),"")</f>
        <v>0</v>
      </c>
      <c r="AZ48" s="493" t="str">
        <f>IF(48=48,IF($U48="","",IF(SUM(AN48:AW48)+SUMPRODUCT(--ISNUMBER(SEARCH(" "&amp;$CR$2421:$CR$2422&amp;" ",$AX48)))&gt;0,"X",IF(AY48&gt;0,"?",""))),"")</f>
        <v/>
      </c>
      <c r="BA48" s="493">
        <f>IF(48=48,IF($U48="","",SUMPRODUCT(--ISNUMBER(SEARCH(" "&amp;$CR$1384:$CR$1404&amp;" ",$AA48)))),"")</f>
        <v>0</v>
      </c>
      <c r="BB48" s="493" t="str">
        <f>IF(48=48,IF($U48="","",IF((BA48)-(0)&gt;0,"X",IF((0)-(0)&gt;0,"?",""))),"")</f>
        <v/>
      </c>
      <c r="BC48" s="493">
        <f>IF(48=48,IF($U48="","",SUMPRODUCT(--ISNUMBER(SEARCH(" "&amp;$CR$1405:$CR$1442&amp;" ",$BD48)))),"")</f>
        <v>0</v>
      </c>
      <c r="BD48" s="493" t="str">
        <f>IF(48=48,IF($U48="","",SUBSTITUTE(SUBSTITUTE($AA48," "&amp;$CR$1443&amp;" "," ")," "&amp;$CR$1444&amp;" "," ")),"")</f>
        <v xml:space="preserve"> piment man jack </v>
      </c>
      <c r="BE48" s="493">
        <f>IF(48=48,IF($U48="","",SUMPRODUCT(--ISNUMBER(SEARCH(" "&amp;$CR$1445:$CR$1455&amp;" ",$BD48)))),"")</f>
        <v>0</v>
      </c>
      <c r="BF48" s="493" t="str">
        <f>IF(48=48,IF($U48="","",IF(BC48&gt;0,"X",IF(BE48&gt;0,"?",""))),"")</f>
        <v/>
      </c>
      <c r="BG48" s="493">
        <f>IF(48=48,IF($U48="","",SUMPRODUCT(--ISNUMBER(SEARCH(" "&amp;$CR$1456:$CR$1555&amp;" ",$BJ48)))),"")</f>
        <v>0</v>
      </c>
      <c r="BH48" s="493">
        <f>IF(48=48,IF($U48="","",SUMPRODUCT(--ISNUMBER(SEARCH(" "&amp;$CR$1556:$CR$1655&amp;" ",$BJ48)))),"")</f>
        <v>0</v>
      </c>
      <c r="BI48" s="493">
        <f>IF(48=48,IF($U48="","",SUMPRODUCT(--ISNUMBER(SEARCH(" "&amp;$CR$1656:$CR$1739&amp;" ",$BJ48)))),"")</f>
        <v>0</v>
      </c>
      <c r="BJ48" s="493" t="str">
        <f>IF(48=48,IF($U48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piment man jack </v>
      </c>
      <c r="BK48" s="493">
        <f>IF(48=48,IF($U48="","",SUMPRODUCT(--ISNUMBER(SEARCH(" "&amp;$CR$1790:$CR$1869&amp;" ",$BL48)))+SUMPRODUCT(--ISNUMBER(SEARCH(" "&amp;$CR$2440:$CR$2453&amp;" ",$BL48)))),"")</f>
        <v>0</v>
      </c>
      <c r="BL48" s="493" t="str">
        <f>IF(48=48,IF($U48="","",SUBSTITUTE(SUBSTITUTE(SUBSTITUTE(SUBSTITUTE(SUBSTITUTE(SUBSTITUTE(SUBSTITUTE(SUBSTITUTE(SUBSTITUTE(SUBSTITUTE(SUBSTITUTE(SUBSTITUTE(SUBSTITUTE($BJ48," "&amp;$CR$1876&amp;" "," ")," "&amp;$CR$1874&amp;" "," ")," "&amp;$CR$2438&amp;" "," ")," "&amp;$CR$2439&amp;" "," ")," "&amp;$CR$1871&amp;" "," ")," "&amp;$CR$1875&amp;" "," ")," "&amp;$CR$1877&amp;" "," ")," "&amp;$CR$1872&amp;" "," ")," "&amp;$CR$1870&amp;" "," ")," "&amp;$CR$1367&amp;" "," ")," "&amp;$CR$1878&amp;" "," ")," "&amp;$CR$1366&amp;" "," ")," "&amp;$CR$1873&amp;" "," ")),"")</f>
        <v xml:space="preserve"> piment man jack </v>
      </c>
      <c r="BM48" s="493" t="str">
        <f>IF(48=48,IF($U48="","",IF(SUM(BG48:BI48)+SUMPRODUCT(--ISNUMBER(SEARCH(" "&amp;$CR$2423:$CR$2424&amp;" ",$BJ48)))&gt;0,"X",IF(BK48&gt;0,"?",""))),"")</f>
        <v/>
      </c>
      <c r="BN48" s="493">
        <f>IF(48=48,IF($U48="","",SUMPRODUCT(--ISNUMBER(SEARCH(" "&amp;$CR$1879:$CR$1936&amp;" ",$BO48)))),"")</f>
        <v>0</v>
      </c>
      <c r="BO48" s="493" t="str">
        <f>IF(48=48,IF($U48="","",SUBSTITUTE(SUBSTITUTE(SUBSTITUTE(SUBSTITUTE(SUBSTITUTE(SUBSTITUTE(SUBSTITUTE(SUBSTITUTE(SUBSTITUTE(SUBSTITUTE(SUBSTITUTE(SUBSTITUTE(SUBSTITUTE(SUBSTITUTE(SUBSTITUTE(SUBSTITUTE(SUBSTITUTE(SUBSTITUTE(SUBSTITUTE(SUBSTITUTE(SUBSTITUTE(SUBSTITUTE(SUBSTITUTE($AA48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piment man jack </v>
      </c>
      <c r="BP48" s="493">
        <f>IF(48=48,IF($U48="","",SUMPRODUCT(--ISNUMBER(SEARCH(" "&amp;$CR$1960:$CR$1976&amp;" ",$BO48)))),"")</f>
        <v>0</v>
      </c>
      <c r="BQ48" s="493" t="str">
        <f>IF(48=48,IF($U48="","",IF(BN48&gt;0,"X",IF(BP48&gt;0,"?",""))),"")</f>
        <v/>
      </c>
      <c r="BR48" s="493">
        <f>IF(48=48,IF($U48="","",SUMPRODUCT(--ISNUMBER(SEARCH(" "&amp;$CR$1977:$CR$1990&amp;" ",$AA48)))),"")</f>
        <v>0</v>
      </c>
      <c r="BS48" s="493">
        <f>IF(48=48,IF($U48="","",SUMPRODUCT(--ISNUMBER(SEARCH(" "&amp;$CR$1991:$CR$2005&amp;" ",$AA48)))),"")</f>
        <v>0</v>
      </c>
      <c r="BT48" s="493" t="str">
        <f>IF(48=48,IF($U48="","",IF((BR48)-(0)&gt;0,"X",IF((BS48)-(0)&gt;0,"?",""))),"")</f>
        <v/>
      </c>
      <c r="BU48" s="493">
        <f>IF(48=48,IF($U48="","",SUMPRODUCT(--ISNUMBER(SEARCH(" "&amp;$CR$2006:$CR$2023&amp;" ",$AA48)))),"")</f>
        <v>0</v>
      </c>
      <c r="BV48" s="493">
        <f>IF(48=48,IF($U48="","",SUMPRODUCT(--ISNUMBER(SEARCH(" "&amp;$CR$2024:$CR$2038&amp;" ",$AA48)))),"")</f>
        <v>0</v>
      </c>
      <c r="BW48" s="493" t="str">
        <f>IF(48=48,IF($U48="","",IF((BU48)-(0)&gt;0,"X",IF((BV48)-(0)&gt;0,"?",""))),"")</f>
        <v/>
      </c>
      <c r="BX48" s="493">
        <f>IF(48=48,IF($U48="","",SUMPRODUCT(--ISNUMBER(SEARCH(" "&amp;$CR$2039:$CR$2057&amp;" ",$AA48)))),"")</f>
        <v>0</v>
      </c>
      <c r="BY48" s="493">
        <f>IF(48=48,IF($U48="","",SUMPRODUCT(--ISNUMBER(SEARCH(" "&amp;$CR$2058:$CR$2072&amp;" ",$AA48)))),"")</f>
        <v>0</v>
      </c>
      <c r="BZ48" s="493" t="str">
        <f>IF(48=48,IF($U48="","",IF((BX48)-(0)&gt;0,"X",IF((BY48)-(0)&gt;0,"?",""))),"")</f>
        <v/>
      </c>
      <c r="CA48" s="493">
        <f>IF(48=48,IF($U48="","",SUMPRODUCT(--ISNUMBER(SEARCH(" "&amp;$CR$2073:$CR$2093&amp;" ",$AA48)))),"")</f>
        <v>0</v>
      </c>
      <c r="CB48" s="493">
        <f>IF(48=48,IF($U48="","",SUMPRODUCT(--ISNUMBER(SEARCH(" "&amp;$CR$2094:$CR$2133&amp;" ",SUBSTITUTE(SUBSTITUTE($AA48," "&amp;$CR$1367&amp;" "," ")," "&amp;$CR$1366&amp;" "," "))))+--ISNUMBER(SEARCH("poiré",$V48))),"")</f>
        <v>0</v>
      </c>
      <c r="CC48" s="493" t="str">
        <f>IF(48=48,IF($U48="","",IF(OR(CA48&gt;0,ISNUMBER(SEARCH(" vinaigre de vin ",$AA48)),ISNUMBER(SEARCH(" vinaigre au vin ",$AA48))),"X",IF(CB48&gt;0,"?",""))),"")</f>
        <v/>
      </c>
      <c r="CD48" s="493">
        <f>IF(48=48,IF($U48="","",SUMPRODUCT(--ISNUMBER(SEARCH(" "&amp;$CR$2134:$CR$2146&amp;" ",$AA48)))),"")</f>
        <v>0</v>
      </c>
      <c r="CE48" s="493">
        <f>IF(48=48,IF($U48="","",SUMPRODUCT(--ISNUMBER(SEARCH(" "&amp;$CR$2147:$CR$2152&amp;" ",$AA48)))),"")</f>
        <v>0</v>
      </c>
      <c r="CF48" s="493" t="str">
        <f>IF(48=48,IF($U48="","",IF((CD48)-(0)&gt;0,"X",IF((CE48)-(0)&gt;0,"?",""))),"")</f>
        <v/>
      </c>
      <c r="CG48" s="493">
        <f>IF(48=48,IF($U48="","",SUMPRODUCT(--ISNUMBER(SEARCH(" "&amp;$CR$2153:$CR$2252&amp;" ",$CJ48)))),"")</f>
        <v>0</v>
      </c>
      <c r="CH48" s="493">
        <f>IF(48=48,IF($U48="","",SUMPRODUCT(--ISNUMBER(SEARCH(" "&amp;$CR$2253:$CR$2352&amp;" ",$CJ48)))),"")</f>
        <v>0</v>
      </c>
      <c r="CI48" s="493">
        <f>IF(48=48,IF($U48="","",SUMPRODUCT(--ISNUMBER(SEARCH(" "&amp;$CR$2353:$CR$2395&amp;" ",$CJ48)))),"")</f>
        <v>0</v>
      </c>
      <c r="CJ48" s="493" t="str">
        <f>IF(48=48,IF($U48="","",SUBSTITUTE(SUBSTITUTE(SUBSTITUTE(SUBSTITUTE(SUBSTITUTE(SUBSTITUTE(SUBSTITUTE(SUBSTITUTE(SUBSTITUTE(SUBSTITUTE(SUBSTITUTE(SUBSTITUTE(SUBSTITUTE(SUBSTITUTE(SUBSTITUTE(SUBSTITUTE($AA48," "&amp;$CR$2401&amp;" "," ")," "&amp;$CR$2400&amp;" "," ")," "&amp;$CR$2399&amp;" "," ")," "&amp;$CR$2406&amp;" "," ")," "&amp;$CR$2398&amp;" "," ")," "&amp;$CR$2410&amp;" "," ")," "&amp;$CR$2397&amp;" "," ")," "&amp;$CR$2402&amp;" "," ")," "&amp;$CR$2405&amp;" "," ")," "&amp;$CR$2396&amp;" "," ")," "&amp;$CR$2404&amp;" "," ")," "&amp;$CR$2411&amp;" "," ")," "&amp;$CR$2408&amp;" "," ")," "&amp;$CR$2403&amp;" "," ")," "&amp;$CR$2407&amp;" "," ")," "&amp;$CR$2409&amp;" "," ")),"")</f>
        <v xml:space="preserve"> piment man jack </v>
      </c>
      <c r="CK48" s="493">
        <f>IF(48=48,IF($U48="","",SUMPRODUCT(--ISNUMBER(SEARCH(" "&amp;$CR$2412:$CR$2416&amp;" ",$CJ48)))),"")</f>
        <v>0</v>
      </c>
      <c r="CL48" s="493" t="str">
        <f>IF(48=48,IF($U48="","",IF(SUM(CG48:CI48)&gt;0,"X",IF(CK48&gt;0,"?",""))),"")</f>
        <v/>
      </c>
      <c r="CM48" s="494"/>
      <c r="CN48" s="496" t="s">
        <v>1226</v>
      </c>
      <c r="CO48" s="496" t="s">
        <v>1083</v>
      </c>
      <c r="CP48" s="496" t="s">
        <v>689</v>
      </c>
      <c r="CQ48" s="496" t="s">
        <v>1227</v>
      </c>
      <c r="CR48" s="496" t="s">
        <v>1227</v>
      </c>
      <c r="CS48" s="496" t="s">
        <v>1085</v>
      </c>
      <c r="CT48" s="496" t="s">
        <v>1086</v>
      </c>
      <c r="CU48" s="496" t="s">
        <v>1087</v>
      </c>
      <c r="CV48" s="497" t="s">
        <v>1088</v>
      </c>
      <c r="CX48" s="543">
        <v>1</v>
      </c>
    </row>
    <row r="49" spans="1:102" ht="21" customHeight="1">
      <c r="A49" s="509">
        <v>43</v>
      </c>
      <c r="B49" s="510" t="s">
        <v>5886</v>
      </c>
      <c r="C49" s="511" t="str">
        <f t="shared" si="0"/>
        <v>Poivre blanc moulu</v>
      </c>
      <c r="D49" s="512" t="str">
        <f>IF(49=49,IF($B49="","",IF(E49="X",""&amp;"Céréales contenant du gluten","")&amp;IF(F49="X",IF(COUNTIF($E49:$E49,"X")&gt;0,", ","")&amp;"Crustacés","")&amp;IF(G49="X",IF(COUNTIF($E49:$F49,"X")&gt;0,", ","")&amp;"Œufs","")&amp;IF(H49="X",IF(COUNTIF($E49:$G49,"X")&gt;0,", ","")&amp;"Poissons","")&amp;IF(I49="X",IF(COUNTIF($E49:$H49,"X")&gt;0,", ","")&amp;"Arachides","")&amp;IF(J49="X",IF(COUNTIF($E49:$I49,"X")&gt;0,", ","")&amp;"Soja","")&amp;IF(K49="X",IF(COUNTIF($E49:$J49,"X")&gt;0,", ","")&amp;"Lait","")&amp;IF(L49="X",IF(COUNTIF($E49:$K49,"X")&gt;0,", ","")&amp;"Fruits à coque","")&amp;IF(M49="X",IF(COUNTIF($E49:$L49,"X")&gt;0,", ","")&amp;"Céleri","")&amp;IF(N49="X",IF(COUNTIF($E49:$M49,"X")&gt;0,", ","")&amp;"Moutarde","")&amp;IF(O49="X",IF(COUNTIF($E49:$N49,"X")&gt;0,", ","")&amp;"Sésame","")&amp;IF(P49="X",IF(COUNTIF($E49:$O49,"X")&gt;0,", ","")&amp;"Sulfites","")&amp;IF(Q49="X",IF(COUNTIF($E49:$P49,"X")&gt;0,", ","")&amp;"Lupin","")&amp;IF(R49="X",IF(COUNTIF($E49:$Q49,"X")&gt;0,", ","")&amp;"Mollusques","")),"")</f>
        <v/>
      </c>
      <c r="E49" s="513" t="str">
        <f>IF(49=49,IF($B49="","",AF49),"")</f>
        <v/>
      </c>
      <c r="F49" s="513" t="str">
        <f>IF(49=49,IF($B49="","",AI49),"")</f>
        <v/>
      </c>
      <c r="G49" s="513" t="str">
        <f>IF(49=49,IF($B49="","",AM49),"")</f>
        <v/>
      </c>
      <c r="H49" s="513" t="str">
        <f>IF(49=49,IF($B49="","",IF(ISNUMBER(SEARCH(" colin ",$AA49)),"X",AZ49)),"")</f>
        <v/>
      </c>
      <c r="I49" s="513" t="str">
        <f>IF(49=49,IF($B49="","",BB49),"")</f>
        <v/>
      </c>
      <c r="J49" s="513" t="str">
        <f>IF(49=49,IF($B49="","",BF49),"")</f>
        <v/>
      </c>
      <c r="K49" s="513" t="str">
        <f>IF(49=49,IF($B49="","",BM49),"")</f>
        <v/>
      </c>
      <c r="L49" s="513" t="str">
        <f>IF(49=49,IF($B49="","",BQ49),"")</f>
        <v/>
      </c>
      <c r="M49" s="513" t="str">
        <f>IF(49=49,IF($B49="","",BT49),"")</f>
        <v/>
      </c>
      <c r="N49" s="513" t="str">
        <f>IF(49=49,IF($B49="","",BW49),"")</f>
        <v/>
      </c>
      <c r="O49" s="513" t="str">
        <f>IF(49=49,IF($B49="","",BZ49),"")</f>
        <v/>
      </c>
      <c r="P49" s="513" t="str">
        <f>IF(49=49,IF($B49="","",CC49),"")</f>
        <v/>
      </c>
      <c r="Q49" s="513" t="str">
        <f>IF(49=49,IF($B49="","",CF49),"")</f>
        <v/>
      </c>
      <c r="R49" s="513" t="str">
        <f>IF(49=49,IF($B49="","",CL49),"")</f>
        <v/>
      </c>
      <c r="S49" s="514" t="str">
        <f>IF(49=49,IF($B49="","",IF(E49="?",""&amp;"Céréales contenant du gluten","")&amp;IF(F49="?",IF(COUNTIF($E49:$E49,"~?")&gt;0,", ","")&amp;"Crustacés","")&amp;IF(G49="?",IF(COUNTIF($E49:$F49,"~?")&gt;0,", ","")&amp;"Œufs","")&amp;IF(H49="?",IF(COUNTIF($E49:$G49,"~?")&gt;0,", ","")&amp;"Poissons","")&amp;IF(I49="?",IF(COUNTIF($E49:$H49,"~?")&gt;0,", ","")&amp;"Arachides","")&amp;IF(J49="?",IF(COUNTIF($E49:$I49,"~?")&gt;0,", ","")&amp;"Soja","")&amp;IF(K49="?",IF(COUNTIF($E49:$J49,"~?")&gt;0,", ","")&amp;"Lait","")&amp;IF(L49="?",IF(COUNTIF($E49:$K49,"~?")&gt;0,", ","")&amp;"Fruits à coque","")&amp;IF(M49="?",IF(COUNTIF($E49:$L49,"~?")&gt;0,", ","")&amp;"Céleri","")&amp;IF(N49="?",IF(COUNTIF($E49:$M49,"~?")&gt;0,", ","")&amp;"Moutarde","")&amp;IF(O49="?",IF(COUNTIF($E49:$N49,"~?")&gt;0,", ","")&amp;"Sésame","")&amp;IF(P49="?",IF(COUNTIF($E49:$O49,"~?")&gt;0,", ","")&amp;"Sulfites","")&amp;IF(Q49="?",IF(COUNTIF($E49:$P49,"~?")&gt;0,", ","")&amp;"Lupin","")&amp;IF(R49="?",IF(COUNTIF($E49:$Q49,"~?")&gt;0,", ","")&amp;"Mollusques","")),"")</f>
        <v/>
      </c>
      <c r="U49" s="493" t="str">
        <f>IF(49=49,IF($B49="","",$B49),"")</f>
        <v>Poivre blanc moulu</v>
      </c>
      <c r="V49" s="493" t="str">
        <f>IF(49=49,LOWER(CLEAN(SUBSTITUTE(SUBSTITUTE(SUBSTITUTE(SUBSTITUTE($U49,CHAR(160)," ")," "," "),CHAR(10)," "),CHAR(13)," "))),"")</f>
        <v>poivre blanc moulu</v>
      </c>
      <c r="W49" s="493" t="str">
        <f>IF(49=49,SUBSTITUTE(SUBSTITUTE(SUBSTITUTE(SUBSTITUTE(SUBSTITUTE(SUBSTITUTE(SUBSTITUTE(SUBSTITUTE(SUBSTITUTE(SUBSTITUTE(SUBSTITUTE(SUBSTITUTE($V49,"œ","oe"),"æ","ae"),"à","a"),"á","a"),"â","a"),"ä","a"),"ã","a"),"ç","c"),"è","e"),"é","e"),"ê","e"),"ë","e"),"")</f>
        <v>poivre blanc moulu</v>
      </c>
      <c r="X49" s="493" t="str">
        <f>IF(49=49,SUBSTITUTE(SUBSTITUTE(SUBSTITUTE(SUBSTITUTE(SUBSTITUTE(SUBSTITUTE(SUBSTITUTE(SUBSTITUTE(SUBSTITUTE(SUBSTITUTE(SUBSTITUTE(SUBSTITUTE(SUBSTITUTE(SUBSTITUTE(SUBSTITUTE(SUBSTITUTE($W49,"ì","i"),"í","i"),"î","i"),"ï","i"),"ñ","n"),"ò","o"),"ó","o"),"ô","o"),"ö","o"),"õ","o"),"ù","u"),"ú","u"),"û","u"),"ü","u"),"ý","y"),"ÿ","y"),"")</f>
        <v>poivre blanc moulu</v>
      </c>
      <c r="Y49" s="493" t="str">
        <f>IF(49=49,SUBSTITUTE(SUBSTITUTE(SUBSTITUTE(SUBSTITUTE(SUBSTITUTE(SUBSTITUTE(SUBSTITUTE(SUBSTITUTE(SUBSTITUTE(SUBSTITUTE(SUBSTITUTE(SUBSTITUTE(SUBSTITUTE(SUBSTITUTE($X49,"’"," "),"`"," "),"–"," "),"—"," "),"-"," "),"'"," "),"/"," "),"_"," "),","," "),"."," "),"("," "),")"," "),";"," "),":"," "),"")</f>
        <v>poivre blanc moulu</v>
      </c>
      <c r="Z49" s="493" t="str">
        <f>IF(49=49,SUBSTITUTE(SUBSTITUTE(SUBSTITUTE(SUBSTITUTE(SUBSTITUTE(SUBSTITUTE(SUBSTITUTE(SUBSTITUTE(SUBSTITUTE(SUBSTITUTE(SUBSTITUTE(SUBSTITUTE(SUBSTITUTE(SUBSTITUTE(SUBSTITUTE($Y49,"!"," "),"?"," "),"+"," "),"*"," "),"&amp;"," "),"["," "),"]"," "),"{"," "),"}"," "),"%"," "),"="," "),"\"," "),"|"," "),"&lt;"," "),"&gt;"," "),"")</f>
        <v>poivre blanc moulu</v>
      </c>
      <c r="AA49" s="493" t="str">
        <f>IF(49=49," "&amp;TRIM(SUBSTITUTE(SUBSTITUTE(SUBSTITUTE(SUBSTITUTE(SUBSTITUTE(SUBSTITUTE($Z49,CHAR(34)," "),"  "," "),"  "," "),"  "," "),"  "," "),"  "," "))&amp;" ","")</f>
        <v xml:space="preserve"> poivre blanc moulu </v>
      </c>
      <c r="AB49" s="493">
        <f>IF(49=49,IF($U49="","",SUMPRODUCT(--ISNUMBER(SEARCH(" "&amp;$CR$2:$CR$101&amp;" ",$AD49)))),"")</f>
        <v>0</v>
      </c>
      <c r="AC49" s="493">
        <f>IF(49=49,IF($U49="","",SUMPRODUCT(--ISNUMBER(SEARCH(" "&amp;$CR$102:$CR$151&amp;" ",$AD49)))),"")</f>
        <v>0</v>
      </c>
      <c r="AD49" s="493" t="str">
        <f t="shared" si="1"/>
        <v xml:space="preserve"> poivre blanc moulu </v>
      </c>
      <c r="AE49" s="493">
        <f t="shared" si="2"/>
        <v>0</v>
      </c>
      <c r="AF49" s="493" t="str">
        <f>IF(49=49,IF($U49="","",IF(SUM(AB49:AC49)+SUMPRODUCT(--ISNUMBER(SEARCH(" "&amp;$CR$2418:$CR$2420&amp;" ",$AD49)))&gt;0,"X",IF(AE49&gt;0,"?",""))),"")</f>
        <v/>
      </c>
      <c r="AG49" s="493">
        <f>IF(49=49,IF($U49="","",SUMPRODUCT(--ISNUMBER(SEARCH(" "&amp;$CR$206:$CR$305&amp;" ",$AA49)))),"")</f>
        <v>0</v>
      </c>
      <c r="AH49" s="493">
        <f>IF(49=49,IF($U49="","",SUMPRODUCT(--ISNUMBER(SEARCH(" "&amp;$CR$306:$CR$340&amp;" ",$AA49)))),"")</f>
        <v>0</v>
      </c>
      <c r="AI49" s="493" t="str">
        <f>IF(49=49,IF($U49="","",IF((SUM(AG49:AH49))-(0)&gt;0,"X",IF((0)-(0)&gt;0,"?",""))),"")</f>
        <v/>
      </c>
      <c r="AJ49" s="493">
        <f>IF(49=49,IF($U49="","",SUMPRODUCT(--ISNUMBER(SEARCH(" "&amp;$CR$341:$CR$398&amp;" ",$AA49)))),"")</f>
        <v>0</v>
      </c>
      <c r="AK49" s="493">
        <f>IF(49=49,IF($U49="","",SUMPRODUCT(--ISNUMBER(SEARCH(" "&amp;$CR$399:$CR$426&amp;" ",$AL49)))+SUMPRODUCT(--ISNUMBER(SEARCH(" "&amp;$CR$2440:$CR$2453&amp;" ",$AL49)))),"")</f>
        <v>0</v>
      </c>
      <c r="AL49" s="493" t="str">
        <f>IF(49=49,IF($U49="","",SUBSTITUTE(SUBSTITUTE(SUBSTITUTE(SUBSTITUTE(SUBSTITUTE(SUBSTITUTE(SUBSTITUTE(SUBSTITUTE(SUBSTITUTE(SUBSTITUTE(SUBSTITUTE(SUBSTITUTE(SUBSTITUTE(SUBSTITUTE($AA49," "&amp;$CR$2455&amp;" "," ")," "&amp;$CR$433&amp;" "," ")," "&amp;$CR$431&amp;" "," ")," "&amp;$CR$2438&amp;" "," ")," "&amp;$CR$2439&amp;" "," ")," "&amp;$CR$428&amp;" "," ")," "&amp;$CR$432&amp;" "," ")," "&amp;$CR$434&amp;" "," ")," "&amp;$CR$429&amp;" "," ")," "&amp;$CR$427&amp;" "," ")," "&amp;$CR$1367&amp;" "," ")," "&amp;$CR$435&amp;" "," ")," "&amp;$CR$1366&amp;" "," ")," "&amp;$CR$430&amp;" "," ")),"")</f>
        <v xml:space="preserve"> poivre blanc moulu </v>
      </c>
      <c r="AM49" s="493" t="str">
        <f>IF(49=49,IF($U49="","",IF(AJ49&gt;0,"X",IF(AK49&gt;0,"?",""))),"")</f>
        <v/>
      </c>
      <c r="AN49" s="493">
        <f>IF(49=49,IF($U49="","",SUMPRODUCT(--ISNUMBER(SEARCH(" "&amp;$CR$436:$CR$535&amp;" ",$AX49)))),"")</f>
        <v>0</v>
      </c>
      <c r="AO49" s="493">
        <f>IF(49=49,IF($U49="","",SUMPRODUCT(--ISNUMBER(SEARCH(" "&amp;$CR$536:$CR$635&amp;" ",$AX49)))),"")</f>
        <v>0</v>
      </c>
      <c r="AP49" s="493">
        <f>IF(49=49,IF($U49="","",SUMPRODUCT(--ISNUMBER(SEARCH(" "&amp;$CR$636:$CR$735&amp;" ",$AX49)))),"")</f>
        <v>0</v>
      </c>
      <c r="AQ49" s="493">
        <f>IF(49=49,IF($U49="","",SUMPRODUCT(--ISNUMBER(SEARCH(" "&amp;$CR$736:$CR$835&amp;" ",$AX49)))),"")</f>
        <v>0</v>
      </c>
      <c r="AR49" s="493">
        <f>IF(49=49,IF($U49="","",SUMPRODUCT(--ISNUMBER(SEARCH(" "&amp;$CR$836:$CR$935&amp;" ",$AX49)))),"")</f>
        <v>0</v>
      </c>
      <c r="AS49" s="493">
        <f>IF(49=49,IF($U49="","",SUMPRODUCT(--ISNUMBER(SEARCH(" "&amp;$CR$936:$CR$1035&amp;" ",$AX49)))),"")</f>
        <v>0</v>
      </c>
      <c r="AT49" s="493">
        <f>IF(49=49,IF($U49="","",SUMPRODUCT(--ISNUMBER(SEARCH(" "&amp;$CR$1036:$CR$1135&amp;" ",$AX49)))),"")</f>
        <v>0</v>
      </c>
      <c r="AU49" s="493">
        <f>IF(49=49,IF($U49="","",SUMPRODUCT(--ISNUMBER(SEARCH(" "&amp;$CR$1136:$CR$1235&amp;" ",$AX49)))),"")</f>
        <v>0</v>
      </c>
      <c r="AV49" s="493">
        <f>IF(49=49,IF($U49="","",SUMPRODUCT(--ISNUMBER(SEARCH(" "&amp;$CR$1236:$CR$1335&amp;" ",$AX49)))),"")</f>
        <v>0</v>
      </c>
      <c r="AW49" s="493">
        <f>IF(49=49,IF($U49="","",SUMPRODUCT(--ISNUMBER(SEARCH(" "&amp;$CR$1336:$CR$1363&amp;" ",$AX49)))),"")</f>
        <v>0</v>
      </c>
      <c r="AX49" s="493" t="str">
        <f>IF(49=49,IF($U49="","",SUBSTITUTE(SUBSTITUTE(SUBSTITUTE(SUBSTITUTE(SUBSTITUTE(SUBSTITUTE(SUBSTITUTE(SUBSTITUTE(SUBSTITUTE($AA49," "&amp;$CR$1365&amp;" "," ")," "&amp;$CR$1364&amp;" "," ")," "&amp;$CR$1370&amp;" "," ")," "&amp;$CR$1371&amp;" "," ")," "&amp;$CR$1367&amp;" "," ")," "&amp;$CR$1369&amp;" "," ")," "&amp;$CR$1366&amp;" "," ")," "&amp;$CR$1368&amp;" "," ")," "&amp;$CR$1372&amp;" "," ")),"")</f>
        <v xml:space="preserve"> poivre blanc moulu </v>
      </c>
      <c r="AY49" s="493">
        <f>IF(49=49,IF($U49="","",SUMPRODUCT(--ISNUMBER(SEARCH(" "&amp;$CR$1373:$CR$1383&amp;" ",$AX49)))),"")</f>
        <v>0</v>
      </c>
      <c r="AZ49" s="493" t="str">
        <f>IF(49=49,IF($U49="","",IF(SUM(AN49:AW49)+SUMPRODUCT(--ISNUMBER(SEARCH(" "&amp;$CR$2421:$CR$2422&amp;" ",$AX49)))&gt;0,"X",IF(AY49&gt;0,"?",""))),"")</f>
        <v/>
      </c>
      <c r="BA49" s="493">
        <f>IF(49=49,IF($U49="","",SUMPRODUCT(--ISNUMBER(SEARCH(" "&amp;$CR$1384:$CR$1404&amp;" ",$AA49)))),"")</f>
        <v>0</v>
      </c>
      <c r="BB49" s="493" t="str">
        <f>IF(49=49,IF($U49="","",IF((BA49)-(0)&gt;0,"X",IF((0)-(0)&gt;0,"?",""))),"")</f>
        <v/>
      </c>
      <c r="BC49" s="493">
        <f>IF(49=49,IF($U49="","",SUMPRODUCT(--ISNUMBER(SEARCH(" "&amp;$CR$1405:$CR$1442&amp;" ",$BD49)))),"")</f>
        <v>0</v>
      </c>
      <c r="BD49" s="493" t="str">
        <f>IF(49=49,IF($U49="","",SUBSTITUTE(SUBSTITUTE($AA49," "&amp;$CR$1443&amp;" "," ")," "&amp;$CR$1444&amp;" "," ")),"")</f>
        <v xml:space="preserve"> poivre blanc moulu </v>
      </c>
      <c r="BE49" s="493">
        <f>IF(49=49,IF($U49="","",SUMPRODUCT(--ISNUMBER(SEARCH(" "&amp;$CR$1445:$CR$1455&amp;" ",$BD49)))),"")</f>
        <v>0</v>
      </c>
      <c r="BF49" s="493" t="str">
        <f>IF(49=49,IF($U49="","",IF(BC49&gt;0,"X",IF(BE49&gt;0,"?",""))),"")</f>
        <v/>
      </c>
      <c r="BG49" s="493">
        <f>IF(49=49,IF($U49="","",SUMPRODUCT(--ISNUMBER(SEARCH(" "&amp;$CR$1456:$CR$1555&amp;" ",$BJ49)))),"")</f>
        <v>0</v>
      </c>
      <c r="BH49" s="493">
        <f>IF(49=49,IF($U49="","",SUMPRODUCT(--ISNUMBER(SEARCH(" "&amp;$CR$1556:$CR$1655&amp;" ",$BJ49)))),"")</f>
        <v>0</v>
      </c>
      <c r="BI49" s="493">
        <f>IF(49=49,IF($U49="","",SUMPRODUCT(--ISNUMBER(SEARCH(" "&amp;$CR$1656:$CR$1739&amp;" ",$BJ49)))),"")</f>
        <v>0</v>
      </c>
      <c r="BJ49" s="493" t="str">
        <f>IF(49=49,IF($U49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poivre blanc moulu </v>
      </c>
      <c r="BK49" s="493">
        <f>IF(49=49,IF($U49="","",SUMPRODUCT(--ISNUMBER(SEARCH(" "&amp;$CR$1790:$CR$1869&amp;" ",$BL49)))+SUMPRODUCT(--ISNUMBER(SEARCH(" "&amp;$CR$2440:$CR$2453&amp;" ",$BL49)))),"")</f>
        <v>0</v>
      </c>
      <c r="BL49" s="493" t="str">
        <f>IF(49=49,IF($U49="","",SUBSTITUTE(SUBSTITUTE(SUBSTITUTE(SUBSTITUTE(SUBSTITUTE(SUBSTITUTE(SUBSTITUTE(SUBSTITUTE(SUBSTITUTE(SUBSTITUTE(SUBSTITUTE(SUBSTITUTE(SUBSTITUTE($BJ49," "&amp;$CR$1876&amp;" "," ")," "&amp;$CR$1874&amp;" "," ")," "&amp;$CR$2438&amp;" "," ")," "&amp;$CR$2439&amp;" "," ")," "&amp;$CR$1871&amp;" "," ")," "&amp;$CR$1875&amp;" "," ")," "&amp;$CR$1877&amp;" "," ")," "&amp;$CR$1872&amp;" "," ")," "&amp;$CR$1870&amp;" "," ")," "&amp;$CR$1367&amp;" "," ")," "&amp;$CR$1878&amp;" "," ")," "&amp;$CR$1366&amp;" "," ")," "&amp;$CR$1873&amp;" "," ")),"")</f>
        <v xml:space="preserve"> poivre blanc moulu </v>
      </c>
      <c r="BM49" s="493" t="str">
        <f>IF(49=49,IF($U49="","",IF(SUM(BG49:BI49)+SUMPRODUCT(--ISNUMBER(SEARCH(" "&amp;$CR$2423:$CR$2424&amp;" ",$BJ49)))&gt;0,"X",IF(BK49&gt;0,"?",""))),"")</f>
        <v/>
      </c>
      <c r="BN49" s="493">
        <f>IF(49=49,IF($U49="","",SUMPRODUCT(--ISNUMBER(SEARCH(" "&amp;$CR$1879:$CR$1936&amp;" ",$BO49)))),"")</f>
        <v>0</v>
      </c>
      <c r="BO49" s="493" t="str">
        <f>IF(49=49,IF($U49="","",SUBSTITUTE(SUBSTITUTE(SUBSTITUTE(SUBSTITUTE(SUBSTITUTE(SUBSTITUTE(SUBSTITUTE(SUBSTITUTE(SUBSTITUTE(SUBSTITUTE(SUBSTITUTE(SUBSTITUTE(SUBSTITUTE(SUBSTITUTE(SUBSTITUTE(SUBSTITUTE(SUBSTITUTE(SUBSTITUTE(SUBSTITUTE(SUBSTITUTE(SUBSTITUTE(SUBSTITUTE(SUBSTITUTE($AA49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poivre blanc moulu </v>
      </c>
      <c r="BP49" s="493">
        <f>IF(49=49,IF($U49="","",SUMPRODUCT(--ISNUMBER(SEARCH(" "&amp;$CR$1960:$CR$1976&amp;" ",$BO49)))),"")</f>
        <v>0</v>
      </c>
      <c r="BQ49" s="493" t="str">
        <f>IF(49=49,IF($U49="","",IF(BN49&gt;0,"X",IF(BP49&gt;0,"?",""))),"")</f>
        <v/>
      </c>
      <c r="BR49" s="493">
        <f>IF(49=49,IF($U49="","",SUMPRODUCT(--ISNUMBER(SEARCH(" "&amp;$CR$1977:$CR$1990&amp;" ",$AA49)))),"")</f>
        <v>0</v>
      </c>
      <c r="BS49" s="493">
        <f>IF(49=49,IF($U49="","",SUMPRODUCT(--ISNUMBER(SEARCH(" "&amp;$CR$1991:$CR$2005&amp;" ",$AA49)))),"")</f>
        <v>0</v>
      </c>
      <c r="BT49" s="493" t="str">
        <f>IF(49=49,IF($U49="","",IF((BR49)-(0)&gt;0,"X",IF((BS49)-(0)&gt;0,"?",""))),"")</f>
        <v/>
      </c>
      <c r="BU49" s="493">
        <f>IF(49=49,IF($U49="","",SUMPRODUCT(--ISNUMBER(SEARCH(" "&amp;$CR$2006:$CR$2023&amp;" ",$AA49)))),"")</f>
        <v>0</v>
      </c>
      <c r="BV49" s="493">
        <f>IF(49=49,IF($U49="","",SUMPRODUCT(--ISNUMBER(SEARCH(" "&amp;$CR$2024:$CR$2038&amp;" ",$AA49)))),"")</f>
        <v>0</v>
      </c>
      <c r="BW49" s="493" t="str">
        <f>IF(49=49,IF($U49="","",IF((BU49)-(0)&gt;0,"X",IF((BV49)-(0)&gt;0,"?",""))),"")</f>
        <v/>
      </c>
      <c r="BX49" s="493">
        <f>IF(49=49,IF($U49="","",SUMPRODUCT(--ISNUMBER(SEARCH(" "&amp;$CR$2039:$CR$2057&amp;" ",$AA49)))),"")</f>
        <v>0</v>
      </c>
      <c r="BY49" s="493">
        <f>IF(49=49,IF($U49="","",SUMPRODUCT(--ISNUMBER(SEARCH(" "&amp;$CR$2058:$CR$2072&amp;" ",$AA49)))),"")</f>
        <v>0</v>
      </c>
      <c r="BZ49" s="493" t="str">
        <f>IF(49=49,IF($U49="","",IF((BX49)-(0)&gt;0,"X",IF((BY49)-(0)&gt;0,"?",""))),"")</f>
        <v/>
      </c>
      <c r="CA49" s="493">
        <f>IF(49=49,IF($U49="","",SUMPRODUCT(--ISNUMBER(SEARCH(" "&amp;$CR$2073:$CR$2093&amp;" ",$AA49)))),"")</f>
        <v>0</v>
      </c>
      <c r="CB49" s="493">
        <f>IF(49=49,IF($U49="","",SUMPRODUCT(--ISNUMBER(SEARCH(" "&amp;$CR$2094:$CR$2133&amp;" ",SUBSTITUTE(SUBSTITUTE($AA49," "&amp;$CR$1367&amp;" "," ")," "&amp;$CR$1366&amp;" "," "))))+--ISNUMBER(SEARCH("poiré",$V49))),"")</f>
        <v>0</v>
      </c>
      <c r="CC49" s="493" t="str">
        <f>IF(49=49,IF($U49="","",IF(OR(CA49&gt;0,ISNUMBER(SEARCH(" vinaigre de vin ",$AA49)),ISNUMBER(SEARCH(" vinaigre au vin ",$AA49))),"X",IF(CB49&gt;0,"?",""))),"")</f>
        <v/>
      </c>
      <c r="CD49" s="493">
        <f>IF(49=49,IF($U49="","",SUMPRODUCT(--ISNUMBER(SEARCH(" "&amp;$CR$2134:$CR$2146&amp;" ",$AA49)))),"")</f>
        <v>0</v>
      </c>
      <c r="CE49" s="493">
        <f>IF(49=49,IF($U49="","",SUMPRODUCT(--ISNUMBER(SEARCH(" "&amp;$CR$2147:$CR$2152&amp;" ",$AA49)))),"")</f>
        <v>0</v>
      </c>
      <c r="CF49" s="493" t="str">
        <f>IF(49=49,IF($U49="","",IF((CD49)-(0)&gt;0,"X",IF((CE49)-(0)&gt;0,"?",""))),"")</f>
        <v/>
      </c>
      <c r="CG49" s="493">
        <f>IF(49=49,IF($U49="","",SUMPRODUCT(--ISNUMBER(SEARCH(" "&amp;$CR$2153:$CR$2252&amp;" ",$CJ49)))),"")</f>
        <v>0</v>
      </c>
      <c r="CH49" s="493">
        <f>IF(49=49,IF($U49="","",SUMPRODUCT(--ISNUMBER(SEARCH(" "&amp;$CR$2253:$CR$2352&amp;" ",$CJ49)))),"")</f>
        <v>0</v>
      </c>
      <c r="CI49" s="493">
        <f>IF(49=49,IF($U49="","",SUMPRODUCT(--ISNUMBER(SEARCH(" "&amp;$CR$2353:$CR$2395&amp;" ",$CJ49)))),"")</f>
        <v>0</v>
      </c>
      <c r="CJ49" s="493" t="str">
        <f>IF(49=49,IF($U49="","",SUBSTITUTE(SUBSTITUTE(SUBSTITUTE(SUBSTITUTE(SUBSTITUTE(SUBSTITUTE(SUBSTITUTE(SUBSTITUTE(SUBSTITUTE(SUBSTITUTE(SUBSTITUTE(SUBSTITUTE(SUBSTITUTE(SUBSTITUTE(SUBSTITUTE(SUBSTITUTE($AA49," "&amp;$CR$2401&amp;" "," ")," "&amp;$CR$2400&amp;" "," ")," "&amp;$CR$2399&amp;" "," ")," "&amp;$CR$2406&amp;" "," ")," "&amp;$CR$2398&amp;" "," ")," "&amp;$CR$2410&amp;" "," ")," "&amp;$CR$2397&amp;" "," ")," "&amp;$CR$2402&amp;" "," ")," "&amp;$CR$2405&amp;" "," ")," "&amp;$CR$2396&amp;" "," ")," "&amp;$CR$2404&amp;" "," ")," "&amp;$CR$2411&amp;" "," ")," "&amp;$CR$2408&amp;" "," ")," "&amp;$CR$2403&amp;" "," ")," "&amp;$CR$2407&amp;" "," ")," "&amp;$CR$2409&amp;" "," ")),"")</f>
        <v xml:space="preserve"> poivre blanc moulu </v>
      </c>
      <c r="CK49" s="493">
        <f>IF(49=49,IF($U49="","",SUMPRODUCT(--ISNUMBER(SEARCH(" "&amp;$CR$2412:$CR$2416&amp;" ",$CJ49)))),"")</f>
        <v>0</v>
      </c>
      <c r="CL49" s="493" t="str">
        <f>IF(49=49,IF($U49="","",IF(SUM(CG49:CI49)&gt;0,"X",IF(CK49&gt;0,"?",""))),"")</f>
        <v/>
      </c>
      <c r="CM49" s="494"/>
      <c r="CN49" s="496" t="s">
        <v>1228</v>
      </c>
      <c r="CO49" s="496" t="s">
        <v>1083</v>
      </c>
      <c r="CP49" s="496" t="s">
        <v>689</v>
      </c>
      <c r="CQ49" s="496" t="s">
        <v>1229</v>
      </c>
      <c r="CR49" s="496" t="s">
        <v>1230</v>
      </c>
      <c r="CS49" s="496" t="s">
        <v>1085</v>
      </c>
      <c r="CT49" s="496" t="s">
        <v>1086</v>
      </c>
      <c r="CU49" s="496" t="s">
        <v>1087</v>
      </c>
      <c r="CV49" s="497" t="s">
        <v>1088</v>
      </c>
      <c r="CX49" s="543">
        <v>1</v>
      </c>
    </row>
    <row r="50" spans="1:102" ht="21" customHeight="1">
      <c r="A50" s="509">
        <v>44</v>
      </c>
      <c r="B50" s="510" t="s">
        <v>5887</v>
      </c>
      <c r="C50" s="511" t="str">
        <f t="shared" si="0"/>
        <v>Poivre de Cayenne</v>
      </c>
      <c r="D50" s="512" t="str">
        <f>IF(50=50,IF($B50="","",IF(E50="X",""&amp;"Céréales contenant du gluten","")&amp;IF(F50="X",IF(COUNTIF($E50:$E50,"X")&gt;0,", ","")&amp;"Crustacés","")&amp;IF(G50="X",IF(COUNTIF($E50:$F50,"X")&gt;0,", ","")&amp;"Œufs","")&amp;IF(H50="X",IF(COUNTIF($E50:$G50,"X")&gt;0,", ","")&amp;"Poissons","")&amp;IF(I50="X",IF(COUNTIF($E50:$H50,"X")&gt;0,", ","")&amp;"Arachides","")&amp;IF(J50="X",IF(COUNTIF($E50:$I50,"X")&gt;0,", ","")&amp;"Soja","")&amp;IF(K50="X",IF(COUNTIF($E50:$J50,"X")&gt;0,", ","")&amp;"Lait","")&amp;IF(L50="X",IF(COUNTIF($E50:$K50,"X")&gt;0,", ","")&amp;"Fruits à coque","")&amp;IF(M50="X",IF(COUNTIF($E50:$L50,"X")&gt;0,", ","")&amp;"Céleri","")&amp;IF(N50="X",IF(COUNTIF($E50:$M50,"X")&gt;0,", ","")&amp;"Moutarde","")&amp;IF(O50="X",IF(COUNTIF($E50:$N50,"X")&gt;0,", ","")&amp;"Sésame","")&amp;IF(P50="X",IF(COUNTIF($E50:$O50,"X")&gt;0,", ","")&amp;"Sulfites","")&amp;IF(Q50="X",IF(COUNTIF($E50:$P50,"X")&gt;0,", ","")&amp;"Lupin","")&amp;IF(R50="X",IF(COUNTIF($E50:$Q50,"X")&gt;0,", ","")&amp;"Mollusques","")),"")</f>
        <v/>
      </c>
      <c r="E50" s="513" t="str">
        <f>IF(50=50,IF($B50="","",AF50),"")</f>
        <v/>
      </c>
      <c r="F50" s="513" t="str">
        <f>IF(50=50,IF($B50="","",AI50),"")</f>
        <v/>
      </c>
      <c r="G50" s="513" t="str">
        <f>IF(50=50,IF($B50="","",AM50),"")</f>
        <v/>
      </c>
      <c r="H50" s="513" t="str">
        <f>IF(50=50,IF($B50="","",IF(ISNUMBER(SEARCH(" colin ",$AA50)),"X",AZ50)),"")</f>
        <v/>
      </c>
      <c r="I50" s="513" t="str">
        <f>IF(50=50,IF($B50="","",BB50),"")</f>
        <v/>
      </c>
      <c r="J50" s="513" t="str">
        <f>IF(50=50,IF($B50="","",BF50),"")</f>
        <v/>
      </c>
      <c r="K50" s="513" t="str">
        <f>IF(50=50,IF($B50="","",BM50),"")</f>
        <v/>
      </c>
      <c r="L50" s="513" t="str">
        <f>IF(50=50,IF($B50="","",BQ50),"")</f>
        <v/>
      </c>
      <c r="M50" s="513" t="str">
        <f>IF(50=50,IF($B50="","",BT50),"")</f>
        <v/>
      </c>
      <c r="N50" s="513" t="str">
        <f>IF(50=50,IF($B50="","",BW50),"")</f>
        <v/>
      </c>
      <c r="O50" s="513" t="str">
        <f>IF(50=50,IF($B50="","",BZ50),"")</f>
        <v/>
      </c>
      <c r="P50" s="513" t="str">
        <f>IF(50=50,IF($B50="","",CC50),"")</f>
        <v/>
      </c>
      <c r="Q50" s="513" t="str">
        <f>IF(50=50,IF($B50="","",CF50),"")</f>
        <v/>
      </c>
      <c r="R50" s="513" t="str">
        <f>IF(50=50,IF($B50="","",CL50),"")</f>
        <v/>
      </c>
      <c r="S50" s="514" t="str">
        <f>IF(50=50,IF($B50="","",IF(E50="?",""&amp;"Céréales contenant du gluten","")&amp;IF(F50="?",IF(COUNTIF($E50:$E50,"~?")&gt;0,", ","")&amp;"Crustacés","")&amp;IF(G50="?",IF(COUNTIF($E50:$F50,"~?")&gt;0,", ","")&amp;"Œufs","")&amp;IF(H50="?",IF(COUNTIF($E50:$G50,"~?")&gt;0,", ","")&amp;"Poissons","")&amp;IF(I50="?",IF(COUNTIF($E50:$H50,"~?")&gt;0,", ","")&amp;"Arachides","")&amp;IF(J50="?",IF(COUNTIF($E50:$I50,"~?")&gt;0,", ","")&amp;"Soja","")&amp;IF(K50="?",IF(COUNTIF($E50:$J50,"~?")&gt;0,", ","")&amp;"Lait","")&amp;IF(L50="?",IF(COUNTIF($E50:$K50,"~?")&gt;0,", ","")&amp;"Fruits à coque","")&amp;IF(M50="?",IF(COUNTIF($E50:$L50,"~?")&gt;0,", ","")&amp;"Céleri","")&amp;IF(N50="?",IF(COUNTIF($E50:$M50,"~?")&gt;0,", ","")&amp;"Moutarde","")&amp;IF(O50="?",IF(COUNTIF($E50:$N50,"~?")&gt;0,", ","")&amp;"Sésame","")&amp;IF(P50="?",IF(COUNTIF($E50:$O50,"~?")&gt;0,", ","")&amp;"Sulfites","")&amp;IF(Q50="?",IF(COUNTIF($E50:$P50,"~?")&gt;0,", ","")&amp;"Lupin","")&amp;IF(R50="?",IF(COUNTIF($E50:$Q50,"~?")&gt;0,", ","")&amp;"Mollusques","")),"")</f>
        <v/>
      </c>
      <c r="U50" s="493" t="str">
        <f>IF(50=50,IF($B50="","",$B50),"")</f>
        <v>Poivre de Cayenne</v>
      </c>
      <c r="V50" s="493" t="str">
        <f>IF(50=50,LOWER(CLEAN(SUBSTITUTE(SUBSTITUTE(SUBSTITUTE(SUBSTITUTE($U50,CHAR(160)," ")," "," "),CHAR(10)," "),CHAR(13)," "))),"")</f>
        <v>poivre de cayenne</v>
      </c>
      <c r="W50" s="493" t="str">
        <f>IF(50=50,SUBSTITUTE(SUBSTITUTE(SUBSTITUTE(SUBSTITUTE(SUBSTITUTE(SUBSTITUTE(SUBSTITUTE(SUBSTITUTE(SUBSTITUTE(SUBSTITUTE(SUBSTITUTE(SUBSTITUTE($V50,"œ","oe"),"æ","ae"),"à","a"),"á","a"),"â","a"),"ä","a"),"ã","a"),"ç","c"),"è","e"),"é","e"),"ê","e"),"ë","e"),"")</f>
        <v>poivre de cayenne</v>
      </c>
      <c r="X50" s="493" t="str">
        <f>IF(50=50,SUBSTITUTE(SUBSTITUTE(SUBSTITUTE(SUBSTITUTE(SUBSTITUTE(SUBSTITUTE(SUBSTITUTE(SUBSTITUTE(SUBSTITUTE(SUBSTITUTE(SUBSTITUTE(SUBSTITUTE(SUBSTITUTE(SUBSTITUTE(SUBSTITUTE(SUBSTITUTE($W50,"ì","i"),"í","i"),"î","i"),"ï","i"),"ñ","n"),"ò","o"),"ó","o"),"ô","o"),"ö","o"),"õ","o"),"ù","u"),"ú","u"),"û","u"),"ü","u"),"ý","y"),"ÿ","y"),"")</f>
        <v>poivre de cayenne</v>
      </c>
      <c r="Y50" s="493" t="str">
        <f>IF(50=50,SUBSTITUTE(SUBSTITUTE(SUBSTITUTE(SUBSTITUTE(SUBSTITUTE(SUBSTITUTE(SUBSTITUTE(SUBSTITUTE(SUBSTITUTE(SUBSTITUTE(SUBSTITUTE(SUBSTITUTE(SUBSTITUTE(SUBSTITUTE($X50,"’"," "),"`"," "),"–"," "),"—"," "),"-"," "),"'"," "),"/"," "),"_"," "),","," "),"."," "),"("," "),")"," "),";"," "),":"," "),"")</f>
        <v>poivre de cayenne</v>
      </c>
      <c r="Z50" s="493" t="str">
        <f>IF(50=50,SUBSTITUTE(SUBSTITUTE(SUBSTITUTE(SUBSTITUTE(SUBSTITUTE(SUBSTITUTE(SUBSTITUTE(SUBSTITUTE(SUBSTITUTE(SUBSTITUTE(SUBSTITUTE(SUBSTITUTE(SUBSTITUTE(SUBSTITUTE(SUBSTITUTE($Y50,"!"," "),"?"," "),"+"," "),"*"," "),"&amp;"," "),"["," "),"]"," "),"{"," "),"}"," "),"%"," "),"="," "),"\"," "),"|"," "),"&lt;"," "),"&gt;"," "),"")</f>
        <v>poivre de cayenne</v>
      </c>
      <c r="AA50" s="493" t="str">
        <f>IF(50=50," "&amp;TRIM(SUBSTITUTE(SUBSTITUTE(SUBSTITUTE(SUBSTITUTE(SUBSTITUTE(SUBSTITUTE($Z50,CHAR(34)," "),"  "," "),"  "," "),"  "," "),"  "," "),"  "," "))&amp;" ","")</f>
        <v xml:space="preserve"> poivre de cayenne </v>
      </c>
      <c r="AB50" s="493">
        <f>IF(50=50,IF($U50="","",SUMPRODUCT(--ISNUMBER(SEARCH(" "&amp;$CR$2:$CR$101&amp;" ",$AD50)))),"")</f>
        <v>0</v>
      </c>
      <c r="AC50" s="493">
        <f>IF(50=50,IF($U50="","",SUMPRODUCT(--ISNUMBER(SEARCH(" "&amp;$CR$102:$CR$151&amp;" ",$AD50)))),"")</f>
        <v>0</v>
      </c>
      <c r="AD50" s="493" t="str">
        <f t="shared" si="1"/>
        <v xml:space="preserve"> poivre de cayenne </v>
      </c>
      <c r="AE50" s="493">
        <f t="shared" si="2"/>
        <v>0</v>
      </c>
      <c r="AF50" s="493" t="str">
        <f>IF(50=50,IF($U50="","",IF(SUM(AB50:AC50)+SUMPRODUCT(--ISNUMBER(SEARCH(" "&amp;$CR$2418:$CR$2420&amp;" ",$AD50)))&gt;0,"X",IF(AE50&gt;0,"?",""))),"")</f>
        <v/>
      </c>
      <c r="AG50" s="493">
        <f>IF(50=50,IF($U50="","",SUMPRODUCT(--ISNUMBER(SEARCH(" "&amp;$CR$206:$CR$305&amp;" ",$AA50)))),"")</f>
        <v>0</v>
      </c>
      <c r="AH50" s="493">
        <f>IF(50=50,IF($U50="","",SUMPRODUCT(--ISNUMBER(SEARCH(" "&amp;$CR$306:$CR$340&amp;" ",$AA50)))),"")</f>
        <v>0</v>
      </c>
      <c r="AI50" s="493" t="str">
        <f>IF(50=50,IF($U50="","",IF((SUM(AG50:AH50))-(0)&gt;0,"X",IF((0)-(0)&gt;0,"?",""))),"")</f>
        <v/>
      </c>
      <c r="AJ50" s="493">
        <f>IF(50=50,IF($U50="","",SUMPRODUCT(--ISNUMBER(SEARCH(" "&amp;$CR$341:$CR$398&amp;" ",$AA50)))),"")</f>
        <v>0</v>
      </c>
      <c r="AK50" s="493">
        <f>IF(50=50,IF($U50="","",SUMPRODUCT(--ISNUMBER(SEARCH(" "&amp;$CR$399:$CR$426&amp;" ",$AL50)))+SUMPRODUCT(--ISNUMBER(SEARCH(" "&amp;$CR$2440:$CR$2453&amp;" ",$AL50)))),"")</f>
        <v>0</v>
      </c>
      <c r="AL50" s="493" t="str">
        <f>IF(50=50,IF($U50="","",SUBSTITUTE(SUBSTITUTE(SUBSTITUTE(SUBSTITUTE(SUBSTITUTE(SUBSTITUTE(SUBSTITUTE(SUBSTITUTE(SUBSTITUTE(SUBSTITUTE(SUBSTITUTE(SUBSTITUTE(SUBSTITUTE(SUBSTITUTE($AA50," "&amp;$CR$2455&amp;" "," ")," "&amp;$CR$433&amp;" "," ")," "&amp;$CR$431&amp;" "," ")," "&amp;$CR$2438&amp;" "," ")," "&amp;$CR$2439&amp;" "," ")," "&amp;$CR$428&amp;" "," ")," "&amp;$CR$432&amp;" "," ")," "&amp;$CR$434&amp;" "," ")," "&amp;$CR$429&amp;" "," ")," "&amp;$CR$427&amp;" "," ")," "&amp;$CR$1367&amp;" "," ")," "&amp;$CR$435&amp;" "," ")," "&amp;$CR$1366&amp;" "," ")," "&amp;$CR$430&amp;" "," ")),"")</f>
        <v xml:space="preserve"> poivre de cayenne </v>
      </c>
      <c r="AM50" s="493" t="str">
        <f>IF(50=50,IF($U50="","",IF(AJ50&gt;0,"X",IF(AK50&gt;0,"?",""))),"")</f>
        <v/>
      </c>
      <c r="AN50" s="493">
        <f>IF(50=50,IF($U50="","",SUMPRODUCT(--ISNUMBER(SEARCH(" "&amp;$CR$436:$CR$535&amp;" ",$AX50)))),"")</f>
        <v>0</v>
      </c>
      <c r="AO50" s="493">
        <f>IF(50=50,IF($U50="","",SUMPRODUCT(--ISNUMBER(SEARCH(" "&amp;$CR$536:$CR$635&amp;" ",$AX50)))),"")</f>
        <v>0</v>
      </c>
      <c r="AP50" s="493">
        <f>IF(50=50,IF($U50="","",SUMPRODUCT(--ISNUMBER(SEARCH(" "&amp;$CR$636:$CR$735&amp;" ",$AX50)))),"")</f>
        <v>0</v>
      </c>
      <c r="AQ50" s="493">
        <f>IF(50=50,IF($U50="","",SUMPRODUCT(--ISNUMBER(SEARCH(" "&amp;$CR$736:$CR$835&amp;" ",$AX50)))),"")</f>
        <v>0</v>
      </c>
      <c r="AR50" s="493">
        <f>IF(50=50,IF($U50="","",SUMPRODUCT(--ISNUMBER(SEARCH(" "&amp;$CR$836:$CR$935&amp;" ",$AX50)))),"")</f>
        <v>0</v>
      </c>
      <c r="AS50" s="493">
        <f>IF(50=50,IF($U50="","",SUMPRODUCT(--ISNUMBER(SEARCH(" "&amp;$CR$936:$CR$1035&amp;" ",$AX50)))),"")</f>
        <v>0</v>
      </c>
      <c r="AT50" s="493">
        <f>IF(50=50,IF($U50="","",SUMPRODUCT(--ISNUMBER(SEARCH(" "&amp;$CR$1036:$CR$1135&amp;" ",$AX50)))),"")</f>
        <v>0</v>
      </c>
      <c r="AU50" s="493">
        <f>IF(50=50,IF($U50="","",SUMPRODUCT(--ISNUMBER(SEARCH(" "&amp;$CR$1136:$CR$1235&amp;" ",$AX50)))),"")</f>
        <v>0</v>
      </c>
      <c r="AV50" s="493">
        <f>IF(50=50,IF($U50="","",SUMPRODUCT(--ISNUMBER(SEARCH(" "&amp;$CR$1236:$CR$1335&amp;" ",$AX50)))),"")</f>
        <v>0</v>
      </c>
      <c r="AW50" s="493">
        <f>IF(50=50,IF($U50="","",SUMPRODUCT(--ISNUMBER(SEARCH(" "&amp;$CR$1336:$CR$1363&amp;" ",$AX50)))),"")</f>
        <v>0</v>
      </c>
      <c r="AX50" s="493" t="str">
        <f>IF(50=50,IF($U50="","",SUBSTITUTE(SUBSTITUTE(SUBSTITUTE(SUBSTITUTE(SUBSTITUTE(SUBSTITUTE(SUBSTITUTE(SUBSTITUTE(SUBSTITUTE($AA50," "&amp;$CR$1365&amp;" "," ")," "&amp;$CR$1364&amp;" "," ")," "&amp;$CR$1370&amp;" "," ")," "&amp;$CR$1371&amp;" "," ")," "&amp;$CR$1367&amp;" "," ")," "&amp;$CR$1369&amp;" "," ")," "&amp;$CR$1366&amp;" "," ")," "&amp;$CR$1368&amp;" "," ")," "&amp;$CR$1372&amp;" "," ")),"")</f>
        <v xml:space="preserve"> poivre de cayenne </v>
      </c>
      <c r="AY50" s="493">
        <f>IF(50=50,IF($U50="","",SUMPRODUCT(--ISNUMBER(SEARCH(" "&amp;$CR$1373:$CR$1383&amp;" ",$AX50)))),"")</f>
        <v>0</v>
      </c>
      <c r="AZ50" s="493" t="str">
        <f>IF(50=50,IF($U50="","",IF(SUM(AN50:AW50)+SUMPRODUCT(--ISNUMBER(SEARCH(" "&amp;$CR$2421:$CR$2422&amp;" ",$AX50)))&gt;0,"X",IF(AY50&gt;0,"?",""))),"")</f>
        <v/>
      </c>
      <c r="BA50" s="493">
        <f>IF(50=50,IF($U50="","",SUMPRODUCT(--ISNUMBER(SEARCH(" "&amp;$CR$1384:$CR$1404&amp;" ",$AA50)))),"")</f>
        <v>0</v>
      </c>
      <c r="BB50" s="493" t="str">
        <f>IF(50=50,IF($U50="","",IF((BA50)-(0)&gt;0,"X",IF((0)-(0)&gt;0,"?",""))),"")</f>
        <v/>
      </c>
      <c r="BC50" s="493">
        <f>IF(50=50,IF($U50="","",SUMPRODUCT(--ISNUMBER(SEARCH(" "&amp;$CR$1405:$CR$1442&amp;" ",$BD50)))),"")</f>
        <v>0</v>
      </c>
      <c r="BD50" s="493" t="str">
        <f>IF(50=50,IF($U50="","",SUBSTITUTE(SUBSTITUTE($AA50," "&amp;$CR$1443&amp;" "," ")," "&amp;$CR$1444&amp;" "," ")),"")</f>
        <v xml:space="preserve"> poivre de cayenne </v>
      </c>
      <c r="BE50" s="493">
        <f>IF(50=50,IF($U50="","",SUMPRODUCT(--ISNUMBER(SEARCH(" "&amp;$CR$1445:$CR$1455&amp;" ",$BD50)))),"")</f>
        <v>0</v>
      </c>
      <c r="BF50" s="493" t="str">
        <f>IF(50=50,IF($U50="","",IF(BC50&gt;0,"X",IF(BE50&gt;0,"?",""))),"")</f>
        <v/>
      </c>
      <c r="BG50" s="493">
        <f>IF(50=50,IF($U50="","",SUMPRODUCT(--ISNUMBER(SEARCH(" "&amp;$CR$1456:$CR$1555&amp;" ",$BJ50)))),"")</f>
        <v>0</v>
      </c>
      <c r="BH50" s="493">
        <f>IF(50=50,IF($U50="","",SUMPRODUCT(--ISNUMBER(SEARCH(" "&amp;$CR$1556:$CR$1655&amp;" ",$BJ50)))),"")</f>
        <v>0</v>
      </c>
      <c r="BI50" s="493">
        <f>IF(50=50,IF($U50="","",SUMPRODUCT(--ISNUMBER(SEARCH(" "&amp;$CR$1656:$CR$1739&amp;" ",$BJ50)))),"")</f>
        <v>0</v>
      </c>
      <c r="BJ50" s="493" t="str">
        <f>IF(50=50,IF($U50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poivre de cayenne </v>
      </c>
      <c r="BK50" s="493">
        <f>IF(50=50,IF($U50="","",SUMPRODUCT(--ISNUMBER(SEARCH(" "&amp;$CR$1790:$CR$1869&amp;" ",$BL50)))+SUMPRODUCT(--ISNUMBER(SEARCH(" "&amp;$CR$2440:$CR$2453&amp;" ",$BL50)))),"")</f>
        <v>0</v>
      </c>
      <c r="BL50" s="493" t="str">
        <f>IF(50=50,IF($U50="","",SUBSTITUTE(SUBSTITUTE(SUBSTITUTE(SUBSTITUTE(SUBSTITUTE(SUBSTITUTE(SUBSTITUTE(SUBSTITUTE(SUBSTITUTE(SUBSTITUTE(SUBSTITUTE(SUBSTITUTE(SUBSTITUTE($BJ50," "&amp;$CR$1876&amp;" "," ")," "&amp;$CR$1874&amp;" "," ")," "&amp;$CR$2438&amp;" "," ")," "&amp;$CR$2439&amp;" "," ")," "&amp;$CR$1871&amp;" "," ")," "&amp;$CR$1875&amp;" "," ")," "&amp;$CR$1877&amp;" "," ")," "&amp;$CR$1872&amp;" "," ")," "&amp;$CR$1870&amp;" "," ")," "&amp;$CR$1367&amp;" "," ")," "&amp;$CR$1878&amp;" "," ")," "&amp;$CR$1366&amp;" "," ")," "&amp;$CR$1873&amp;" "," ")),"")</f>
        <v xml:space="preserve"> poivre de cayenne </v>
      </c>
      <c r="BM50" s="493" t="str">
        <f>IF(50=50,IF($U50="","",IF(SUM(BG50:BI50)+SUMPRODUCT(--ISNUMBER(SEARCH(" "&amp;$CR$2423:$CR$2424&amp;" ",$BJ50)))&gt;0,"X",IF(BK50&gt;0,"?",""))),"")</f>
        <v/>
      </c>
      <c r="BN50" s="493">
        <f>IF(50=50,IF($U50="","",SUMPRODUCT(--ISNUMBER(SEARCH(" "&amp;$CR$1879:$CR$1936&amp;" ",$BO50)))),"")</f>
        <v>0</v>
      </c>
      <c r="BO50" s="493" t="str">
        <f>IF(50=50,IF($U50="","",SUBSTITUTE(SUBSTITUTE(SUBSTITUTE(SUBSTITUTE(SUBSTITUTE(SUBSTITUTE(SUBSTITUTE(SUBSTITUTE(SUBSTITUTE(SUBSTITUTE(SUBSTITUTE(SUBSTITUTE(SUBSTITUTE(SUBSTITUTE(SUBSTITUTE(SUBSTITUTE(SUBSTITUTE(SUBSTITUTE(SUBSTITUTE(SUBSTITUTE(SUBSTITUTE(SUBSTITUTE(SUBSTITUTE($AA50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poivre de cayenne </v>
      </c>
      <c r="BP50" s="493">
        <f>IF(50=50,IF($U50="","",SUMPRODUCT(--ISNUMBER(SEARCH(" "&amp;$CR$1960:$CR$1976&amp;" ",$BO50)))),"")</f>
        <v>0</v>
      </c>
      <c r="BQ50" s="493" t="str">
        <f>IF(50=50,IF($U50="","",IF(BN50&gt;0,"X",IF(BP50&gt;0,"?",""))),"")</f>
        <v/>
      </c>
      <c r="BR50" s="493">
        <f>IF(50=50,IF($U50="","",SUMPRODUCT(--ISNUMBER(SEARCH(" "&amp;$CR$1977:$CR$1990&amp;" ",$AA50)))),"")</f>
        <v>0</v>
      </c>
      <c r="BS50" s="493">
        <f>IF(50=50,IF($U50="","",SUMPRODUCT(--ISNUMBER(SEARCH(" "&amp;$CR$1991:$CR$2005&amp;" ",$AA50)))),"")</f>
        <v>0</v>
      </c>
      <c r="BT50" s="493" t="str">
        <f>IF(50=50,IF($U50="","",IF((BR50)-(0)&gt;0,"X",IF((BS50)-(0)&gt;0,"?",""))),"")</f>
        <v/>
      </c>
      <c r="BU50" s="493">
        <f>IF(50=50,IF($U50="","",SUMPRODUCT(--ISNUMBER(SEARCH(" "&amp;$CR$2006:$CR$2023&amp;" ",$AA50)))),"")</f>
        <v>0</v>
      </c>
      <c r="BV50" s="493">
        <f>IF(50=50,IF($U50="","",SUMPRODUCT(--ISNUMBER(SEARCH(" "&amp;$CR$2024:$CR$2038&amp;" ",$AA50)))),"")</f>
        <v>0</v>
      </c>
      <c r="BW50" s="493" t="str">
        <f>IF(50=50,IF($U50="","",IF((BU50)-(0)&gt;0,"X",IF((BV50)-(0)&gt;0,"?",""))),"")</f>
        <v/>
      </c>
      <c r="BX50" s="493">
        <f>IF(50=50,IF($U50="","",SUMPRODUCT(--ISNUMBER(SEARCH(" "&amp;$CR$2039:$CR$2057&amp;" ",$AA50)))),"")</f>
        <v>0</v>
      </c>
      <c r="BY50" s="493">
        <f>IF(50=50,IF($U50="","",SUMPRODUCT(--ISNUMBER(SEARCH(" "&amp;$CR$2058:$CR$2072&amp;" ",$AA50)))),"")</f>
        <v>0</v>
      </c>
      <c r="BZ50" s="493" t="str">
        <f>IF(50=50,IF($U50="","",IF((BX50)-(0)&gt;0,"X",IF((BY50)-(0)&gt;0,"?",""))),"")</f>
        <v/>
      </c>
      <c r="CA50" s="493">
        <f>IF(50=50,IF($U50="","",SUMPRODUCT(--ISNUMBER(SEARCH(" "&amp;$CR$2073:$CR$2093&amp;" ",$AA50)))),"")</f>
        <v>0</v>
      </c>
      <c r="CB50" s="493">
        <f>IF(50=50,IF($U50="","",SUMPRODUCT(--ISNUMBER(SEARCH(" "&amp;$CR$2094:$CR$2133&amp;" ",SUBSTITUTE(SUBSTITUTE($AA50," "&amp;$CR$1367&amp;" "," ")," "&amp;$CR$1366&amp;" "," "))))+--ISNUMBER(SEARCH("poiré",$V50))),"")</f>
        <v>0</v>
      </c>
      <c r="CC50" s="493" t="str">
        <f>IF(50=50,IF($U50="","",IF(OR(CA50&gt;0,ISNUMBER(SEARCH(" vinaigre de vin ",$AA50)),ISNUMBER(SEARCH(" vinaigre au vin ",$AA50))),"X",IF(CB50&gt;0,"?",""))),"")</f>
        <v/>
      </c>
      <c r="CD50" s="493">
        <f>IF(50=50,IF($U50="","",SUMPRODUCT(--ISNUMBER(SEARCH(" "&amp;$CR$2134:$CR$2146&amp;" ",$AA50)))),"")</f>
        <v>0</v>
      </c>
      <c r="CE50" s="493">
        <f>IF(50=50,IF($U50="","",SUMPRODUCT(--ISNUMBER(SEARCH(" "&amp;$CR$2147:$CR$2152&amp;" ",$AA50)))),"")</f>
        <v>0</v>
      </c>
      <c r="CF50" s="493" t="str">
        <f>IF(50=50,IF($U50="","",IF((CD50)-(0)&gt;0,"X",IF((CE50)-(0)&gt;0,"?",""))),"")</f>
        <v/>
      </c>
      <c r="CG50" s="493">
        <f>IF(50=50,IF($U50="","",SUMPRODUCT(--ISNUMBER(SEARCH(" "&amp;$CR$2153:$CR$2252&amp;" ",$CJ50)))),"")</f>
        <v>0</v>
      </c>
      <c r="CH50" s="493">
        <f>IF(50=50,IF($U50="","",SUMPRODUCT(--ISNUMBER(SEARCH(" "&amp;$CR$2253:$CR$2352&amp;" ",$CJ50)))),"")</f>
        <v>0</v>
      </c>
      <c r="CI50" s="493">
        <f>IF(50=50,IF($U50="","",SUMPRODUCT(--ISNUMBER(SEARCH(" "&amp;$CR$2353:$CR$2395&amp;" ",$CJ50)))),"")</f>
        <v>0</v>
      </c>
      <c r="CJ50" s="493" t="str">
        <f>IF(50=50,IF($U50="","",SUBSTITUTE(SUBSTITUTE(SUBSTITUTE(SUBSTITUTE(SUBSTITUTE(SUBSTITUTE(SUBSTITUTE(SUBSTITUTE(SUBSTITUTE(SUBSTITUTE(SUBSTITUTE(SUBSTITUTE(SUBSTITUTE(SUBSTITUTE(SUBSTITUTE(SUBSTITUTE($AA50," "&amp;$CR$2401&amp;" "," ")," "&amp;$CR$2400&amp;" "," ")," "&amp;$CR$2399&amp;" "," ")," "&amp;$CR$2406&amp;" "," ")," "&amp;$CR$2398&amp;" "," ")," "&amp;$CR$2410&amp;" "," ")," "&amp;$CR$2397&amp;" "," ")," "&amp;$CR$2402&amp;" "," ")," "&amp;$CR$2405&amp;" "," ")," "&amp;$CR$2396&amp;" "," ")," "&amp;$CR$2404&amp;" "," ")," "&amp;$CR$2411&amp;" "," ")," "&amp;$CR$2408&amp;" "," ")," "&amp;$CR$2403&amp;" "," ")," "&amp;$CR$2407&amp;" "," ")," "&amp;$CR$2409&amp;" "," ")),"")</f>
        <v xml:space="preserve"> poivre de cayenne </v>
      </c>
      <c r="CK50" s="493">
        <f>IF(50=50,IF($U50="","",SUMPRODUCT(--ISNUMBER(SEARCH(" "&amp;$CR$2412:$CR$2416&amp;" ",$CJ50)))),"")</f>
        <v>0</v>
      </c>
      <c r="CL50" s="493" t="str">
        <f>IF(50=50,IF($U50="","",IF(SUM(CG50:CI50)&gt;0,"X",IF(CK50&gt;0,"?",""))),"")</f>
        <v/>
      </c>
      <c r="CM50" s="494"/>
      <c r="CN50" s="496" t="s">
        <v>1231</v>
      </c>
      <c r="CO50" s="496" t="s">
        <v>1083</v>
      </c>
      <c r="CP50" s="496" t="s">
        <v>689</v>
      </c>
      <c r="CQ50" s="496" t="s">
        <v>1232</v>
      </c>
      <c r="CR50" s="496" t="s">
        <v>1232</v>
      </c>
      <c r="CS50" s="496" t="s">
        <v>1085</v>
      </c>
      <c r="CT50" s="496" t="s">
        <v>1086</v>
      </c>
      <c r="CU50" s="496" t="s">
        <v>1087</v>
      </c>
      <c r="CV50" s="497" t="s">
        <v>1088</v>
      </c>
      <c r="CX50" s="543">
        <v>1</v>
      </c>
    </row>
    <row r="51" spans="1:102" ht="21" customHeight="1">
      <c r="A51" s="509">
        <v>45</v>
      </c>
      <c r="B51" s="510" t="s">
        <v>5888</v>
      </c>
      <c r="C51" s="511" t="str">
        <f t="shared" si="0"/>
        <v>Poivrons en lanières surgelés</v>
      </c>
      <c r="D51" s="512" t="str">
        <f>IF(51=51,IF($B51="","",IF(E51="X",""&amp;"Céréales contenant du gluten","")&amp;IF(F51="X",IF(COUNTIF($E51:$E51,"X")&gt;0,", ","")&amp;"Crustacés","")&amp;IF(G51="X",IF(COUNTIF($E51:$F51,"X")&gt;0,", ","")&amp;"Œufs","")&amp;IF(H51="X",IF(COUNTIF($E51:$G51,"X")&gt;0,", ","")&amp;"Poissons","")&amp;IF(I51="X",IF(COUNTIF($E51:$H51,"X")&gt;0,", ","")&amp;"Arachides","")&amp;IF(J51="X",IF(COUNTIF($E51:$I51,"X")&gt;0,", ","")&amp;"Soja","")&amp;IF(K51="X",IF(COUNTIF($E51:$J51,"X")&gt;0,", ","")&amp;"Lait","")&amp;IF(L51="X",IF(COUNTIF($E51:$K51,"X")&gt;0,", ","")&amp;"Fruits à coque","")&amp;IF(M51="X",IF(COUNTIF($E51:$L51,"X")&gt;0,", ","")&amp;"Céleri","")&amp;IF(N51="X",IF(COUNTIF($E51:$M51,"X")&gt;0,", ","")&amp;"Moutarde","")&amp;IF(O51="X",IF(COUNTIF($E51:$N51,"X")&gt;0,", ","")&amp;"Sésame","")&amp;IF(P51="X",IF(COUNTIF($E51:$O51,"X")&gt;0,", ","")&amp;"Sulfites","")&amp;IF(Q51="X",IF(COUNTIF($E51:$P51,"X")&gt;0,", ","")&amp;"Lupin","")&amp;IF(R51="X",IF(COUNTIF($E51:$Q51,"X")&gt;0,", ","")&amp;"Mollusques","")),"")</f>
        <v/>
      </c>
      <c r="E51" s="513" t="str">
        <f>IF(51=51,IF($B51="","",AF51),"")</f>
        <v/>
      </c>
      <c r="F51" s="513" t="str">
        <f>IF(51=51,IF($B51="","",AI51),"")</f>
        <v/>
      </c>
      <c r="G51" s="513" t="str">
        <f>IF(51=51,IF($B51="","",AM51),"")</f>
        <v/>
      </c>
      <c r="H51" s="513" t="str">
        <f>IF(51=51,IF($B51="","",IF(ISNUMBER(SEARCH(" colin ",$AA51)),"X",AZ51)),"")</f>
        <v/>
      </c>
      <c r="I51" s="513" t="str">
        <f>IF(51=51,IF($B51="","",BB51),"")</f>
        <v/>
      </c>
      <c r="J51" s="513" t="str">
        <f>IF(51=51,IF($B51="","",BF51),"")</f>
        <v/>
      </c>
      <c r="K51" s="513" t="str">
        <f>IF(51=51,IF($B51="","",BM51),"")</f>
        <v/>
      </c>
      <c r="L51" s="513" t="str">
        <f>IF(51=51,IF($B51="","",BQ51),"")</f>
        <v/>
      </c>
      <c r="M51" s="513" t="str">
        <f>IF(51=51,IF($B51="","",BT51),"")</f>
        <v/>
      </c>
      <c r="N51" s="513" t="str">
        <f>IF(51=51,IF($B51="","",BW51),"")</f>
        <v/>
      </c>
      <c r="O51" s="513" t="str">
        <f>IF(51=51,IF($B51="","",BZ51),"")</f>
        <v/>
      </c>
      <c r="P51" s="513" t="str">
        <f>IF(51=51,IF($B51="","",CC51),"")</f>
        <v/>
      </c>
      <c r="Q51" s="513" t="str">
        <f>IF(51=51,IF($B51="","",CF51),"")</f>
        <v/>
      </c>
      <c r="R51" s="513" t="str">
        <f>IF(51=51,IF($B51="","",CL51),"")</f>
        <v/>
      </c>
      <c r="S51" s="514" t="str">
        <f>IF(51=51,IF($B51="","",IF(E51="?",""&amp;"Céréales contenant du gluten","")&amp;IF(F51="?",IF(COUNTIF($E51:$E51,"~?")&gt;0,", ","")&amp;"Crustacés","")&amp;IF(G51="?",IF(COUNTIF($E51:$F51,"~?")&gt;0,", ","")&amp;"Œufs","")&amp;IF(H51="?",IF(COUNTIF($E51:$G51,"~?")&gt;0,", ","")&amp;"Poissons","")&amp;IF(I51="?",IF(COUNTIF($E51:$H51,"~?")&gt;0,", ","")&amp;"Arachides","")&amp;IF(J51="?",IF(COUNTIF($E51:$I51,"~?")&gt;0,", ","")&amp;"Soja","")&amp;IF(K51="?",IF(COUNTIF($E51:$J51,"~?")&gt;0,", ","")&amp;"Lait","")&amp;IF(L51="?",IF(COUNTIF($E51:$K51,"~?")&gt;0,", ","")&amp;"Fruits à coque","")&amp;IF(M51="?",IF(COUNTIF($E51:$L51,"~?")&gt;0,", ","")&amp;"Céleri","")&amp;IF(N51="?",IF(COUNTIF($E51:$M51,"~?")&gt;0,", ","")&amp;"Moutarde","")&amp;IF(O51="?",IF(COUNTIF($E51:$N51,"~?")&gt;0,", ","")&amp;"Sésame","")&amp;IF(P51="?",IF(COUNTIF($E51:$O51,"~?")&gt;0,", ","")&amp;"Sulfites","")&amp;IF(Q51="?",IF(COUNTIF($E51:$P51,"~?")&gt;0,", ","")&amp;"Lupin","")&amp;IF(R51="?",IF(COUNTIF($E51:$Q51,"~?")&gt;0,", ","")&amp;"Mollusques","")),"")</f>
        <v/>
      </c>
      <c r="U51" s="493" t="str">
        <f>IF(51=51,IF($B51="","",$B51),"")</f>
        <v>Poivrons en lanières surgelés</v>
      </c>
      <c r="V51" s="493" t="str">
        <f>IF(51=51,LOWER(CLEAN(SUBSTITUTE(SUBSTITUTE(SUBSTITUTE(SUBSTITUTE($U51,CHAR(160)," ")," "," "),CHAR(10)," "),CHAR(13)," "))),"")</f>
        <v>poivrons en lanières surgelés</v>
      </c>
      <c r="W51" s="493" t="str">
        <f>IF(51=51,SUBSTITUTE(SUBSTITUTE(SUBSTITUTE(SUBSTITUTE(SUBSTITUTE(SUBSTITUTE(SUBSTITUTE(SUBSTITUTE(SUBSTITUTE(SUBSTITUTE(SUBSTITUTE(SUBSTITUTE($V51,"œ","oe"),"æ","ae"),"à","a"),"á","a"),"â","a"),"ä","a"),"ã","a"),"ç","c"),"è","e"),"é","e"),"ê","e"),"ë","e"),"")</f>
        <v>poivrons en lanieres surgeles</v>
      </c>
      <c r="X51" s="493" t="str">
        <f>IF(51=51,SUBSTITUTE(SUBSTITUTE(SUBSTITUTE(SUBSTITUTE(SUBSTITUTE(SUBSTITUTE(SUBSTITUTE(SUBSTITUTE(SUBSTITUTE(SUBSTITUTE(SUBSTITUTE(SUBSTITUTE(SUBSTITUTE(SUBSTITUTE(SUBSTITUTE(SUBSTITUTE($W51,"ì","i"),"í","i"),"î","i"),"ï","i"),"ñ","n"),"ò","o"),"ó","o"),"ô","o"),"ö","o"),"õ","o"),"ù","u"),"ú","u"),"û","u"),"ü","u"),"ý","y"),"ÿ","y"),"")</f>
        <v>poivrons en lanieres surgeles</v>
      </c>
      <c r="Y51" s="493" t="str">
        <f>IF(51=51,SUBSTITUTE(SUBSTITUTE(SUBSTITUTE(SUBSTITUTE(SUBSTITUTE(SUBSTITUTE(SUBSTITUTE(SUBSTITUTE(SUBSTITUTE(SUBSTITUTE(SUBSTITUTE(SUBSTITUTE(SUBSTITUTE(SUBSTITUTE($X51,"’"," "),"`"," "),"–"," "),"—"," "),"-"," "),"'"," "),"/"," "),"_"," "),","," "),"."," "),"("," "),")"," "),";"," "),":"," "),"")</f>
        <v>poivrons en lanieres surgeles</v>
      </c>
      <c r="Z51" s="493" t="str">
        <f>IF(51=51,SUBSTITUTE(SUBSTITUTE(SUBSTITUTE(SUBSTITUTE(SUBSTITUTE(SUBSTITUTE(SUBSTITUTE(SUBSTITUTE(SUBSTITUTE(SUBSTITUTE(SUBSTITUTE(SUBSTITUTE(SUBSTITUTE(SUBSTITUTE(SUBSTITUTE($Y51,"!"," "),"?"," "),"+"," "),"*"," "),"&amp;"," "),"["," "),"]"," "),"{"," "),"}"," "),"%"," "),"="," "),"\"," "),"|"," "),"&lt;"," "),"&gt;"," "),"")</f>
        <v>poivrons en lanieres surgeles</v>
      </c>
      <c r="AA51" s="493" t="str">
        <f>IF(51=51," "&amp;TRIM(SUBSTITUTE(SUBSTITUTE(SUBSTITUTE(SUBSTITUTE(SUBSTITUTE(SUBSTITUTE($Z51,CHAR(34)," "),"  "," "),"  "," "),"  "," "),"  "," "),"  "," "))&amp;" ","")</f>
        <v xml:space="preserve"> poivrons en lanieres surgeles </v>
      </c>
      <c r="AB51" s="493">
        <f>IF(51=51,IF($U51="","",SUMPRODUCT(--ISNUMBER(SEARCH(" "&amp;$CR$2:$CR$101&amp;" ",$AD51)))),"")</f>
        <v>0</v>
      </c>
      <c r="AC51" s="493">
        <f>IF(51=51,IF($U51="","",SUMPRODUCT(--ISNUMBER(SEARCH(" "&amp;$CR$102:$CR$151&amp;" ",$AD51)))),"")</f>
        <v>0</v>
      </c>
      <c r="AD51" s="493" t="str">
        <f t="shared" si="1"/>
        <v xml:space="preserve"> poivrons en lanieres surgeles </v>
      </c>
      <c r="AE51" s="493">
        <f t="shared" si="2"/>
        <v>0</v>
      </c>
      <c r="AF51" s="493" t="str">
        <f>IF(51=51,IF($U51="","",IF(SUM(AB51:AC51)+SUMPRODUCT(--ISNUMBER(SEARCH(" "&amp;$CR$2418:$CR$2420&amp;" ",$AD51)))&gt;0,"X",IF(AE51&gt;0,"?",""))),"")</f>
        <v/>
      </c>
      <c r="AG51" s="493">
        <f>IF(51=51,IF($U51="","",SUMPRODUCT(--ISNUMBER(SEARCH(" "&amp;$CR$206:$CR$305&amp;" ",$AA51)))),"")</f>
        <v>0</v>
      </c>
      <c r="AH51" s="493">
        <f>IF(51=51,IF($U51="","",SUMPRODUCT(--ISNUMBER(SEARCH(" "&amp;$CR$306:$CR$340&amp;" ",$AA51)))),"")</f>
        <v>0</v>
      </c>
      <c r="AI51" s="493" t="str">
        <f>IF(51=51,IF($U51="","",IF((SUM(AG51:AH51))-(0)&gt;0,"X",IF((0)-(0)&gt;0,"?",""))),"")</f>
        <v/>
      </c>
      <c r="AJ51" s="493">
        <f>IF(51=51,IF($U51="","",SUMPRODUCT(--ISNUMBER(SEARCH(" "&amp;$CR$341:$CR$398&amp;" ",$AA51)))),"")</f>
        <v>0</v>
      </c>
      <c r="AK51" s="493">
        <f>IF(51=51,IF($U51="","",SUMPRODUCT(--ISNUMBER(SEARCH(" "&amp;$CR$399:$CR$426&amp;" ",$AL51)))+SUMPRODUCT(--ISNUMBER(SEARCH(" "&amp;$CR$2440:$CR$2453&amp;" ",$AL51)))),"")</f>
        <v>0</v>
      </c>
      <c r="AL51" s="493" t="str">
        <f>IF(51=51,IF($U51="","",SUBSTITUTE(SUBSTITUTE(SUBSTITUTE(SUBSTITUTE(SUBSTITUTE(SUBSTITUTE(SUBSTITUTE(SUBSTITUTE(SUBSTITUTE(SUBSTITUTE(SUBSTITUTE(SUBSTITUTE(SUBSTITUTE(SUBSTITUTE($AA51," "&amp;$CR$2455&amp;" "," ")," "&amp;$CR$433&amp;" "," ")," "&amp;$CR$431&amp;" "," ")," "&amp;$CR$2438&amp;" "," ")," "&amp;$CR$2439&amp;" "," ")," "&amp;$CR$428&amp;" "," ")," "&amp;$CR$432&amp;" "," ")," "&amp;$CR$434&amp;" "," ")," "&amp;$CR$429&amp;" "," ")," "&amp;$CR$427&amp;" "," ")," "&amp;$CR$1367&amp;" "," ")," "&amp;$CR$435&amp;" "," ")," "&amp;$CR$1366&amp;" "," ")," "&amp;$CR$430&amp;" "," ")),"")</f>
        <v xml:space="preserve"> poivrons en lanieres surgeles </v>
      </c>
      <c r="AM51" s="493" t="str">
        <f>IF(51=51,IF($U51="","",IF(AJ51&gt;0,"X",IF(AK51&gt;0,"?",""))),"")</f>
        <v/>
      </c>
      <c r="AN51" s="493">
        <f>IF(51=51,IF($U51="","",SUMPRODUCT(--ISNUMBER(SEARCH(" "&amp;$CR$436:$CR$535&amp;" ",$AX51)))),"")</f>
        <v>0</v>
      </c>
      <c r="AO51" s="493">
        <f>IF(51=51,IF($U51="","",SUMPRODUCT(--ISNUMBER(SEARCH(" "&amp;$CR$536:$CR$635&amp;" ",$AX51)))),"")</f>
        <v>0</v>
      </c>
      <c r="AP51" s="493">
        <f>IF(51=51,IF($U51="","",SUMPRODUCT(--ISNUMBER(SEARCH(" "&amp;$CR$636:$CR$735&amp;" ",$AX51)))),"")</f>
        <v>0</v>
      </c>
      <c r="AQ51" s="493">
        <f>IF(51=51,IF($U51="","",SUMPRODUCT(--ISNUMBER(SEARCH(" "&amp;$CR$736:$CR$835&amp;" ",$AX51)))),"")</f>
        <v>0</v>
      </c>
      <c r="AR51" s="493">
        <f>IF(51=51,IF($U51="","",SUMPRODUCT(--ISNUMBER(SEARCH(" "&amp;$CR$836:$CR$935&amp;" ",$AX51)))),"")</f>
        <v>0</v>
      </c>
      <c r="AS51" s="493">
        <f>IF(51=51,IF($U51="","",SUMPRODUCT(--ISNUMBER(SEARCH(" "&amp;$CR$936:$CR$1035&amp;" ",$AX51)))),"")</f>
        <v>0</v>
      </c>
      <c r="AT51" s="493">
        <f>IF(51=51,IF($U51="","",SUMPRODUCT(--ISNUMBER(SEARCH(" "&amp;$CR$1036:$CR$1135&amp;" ",$AX51)))),"")</f>
        <v>0</v>
      </c>
      <c r="AU51" s="493">
        <f>IF(51=51,IF($U51="","",SUMPRODUCT(--ISNUMBER(SEARCH(" "&amp;$CR$1136:$CR$1235&amp;" ",$AX51)))),"")</f>
        <v>0</v>
      </c>
      <c r="AV51" s="493">
        <f>IF(51=51,IF($U51="","",SUMPRODUCT(--ISNUMBER(SEARCH(" "&amp;$CR$1236:$CR$1335&amp;" ",$AX51)))),"")</f>
        <v>0</v>
      </c>
      <c r="AW51" s="493">
        <f>IF(51=51,IF($U51="","",SUMPRODUCT(--ISNUMBER(SEARCH(" "&amp;$CR$1336:$CR$1363&amp;" ",$AX51)))),"")</f>
        <v>0</v>
      </c>
      <c r="AX51" s="493" t="str">
        <f>IF(51=51,IF($U51="","",SUBSTITUTE(SUBSTITUTE(SUBSTITUTE(SUBSTITUTE(SUBSTITUTE(SUBSTITUTE(SUBSTITUTE(SUBSTITUTE(SUBSTITUTE($AA51," "&amp;$CR$1365&amp;" "," ")," "&amp;$CR$1364&amp;" "," ")," "&amp;$CR$1370&amp;" "," ")," "&amp;$CR$1371&amp;" "," ")," "&amp;$CR$1367&amp;" "," ")," "&amp;$CR$1369&amp;" "," ")," "&amp;$CR$1366&amp;" "," ")," "&amp;$CR$1368&amp;" "," ")," "&amp;$CR$1372&amp;" "," ")),"")</f>
        <v xml:space="preserve"> poivrons en lanieres surgeles </v>
      </c>
      <c r="AY51" s="493">
        <f>IF(51=51,IF($U51="","",SUMPRODUCT(--ISNUMBER(SEARCH(" "&amp;$CR$1373:$CR$1383&amp;" ",$AX51)))),"")</f>
        <v>0</v>
      </c>
      <c r="AZ51" s="493" t="str">
        <f>IF(51=51,IF($U51="","",IF(SUM(AN51:AW51)+SUMPRODUCT(--ISNUMBER(SEARCH(" "&amp;$CR$2421:$CR$2422&amp;" ",$AX51)))&gt;0,"X",IF(AY51&gt;0,"?",""))),"")</f>
        <v/>
      </c>
      <c r="BA51" s="493">
        <f>IF(51=51,IF($U51="","",SUMPRODUCT(--ISNUMBER(SEARCH(" "&amp;$CR$1384:$CR$1404&amp;" ",$AA51)))),"")</f>
        <v>0</v>
      </c>
      <c r="BB51" s="493" t="str">
        <f>IF(51=51,IF($U51="","",IF((BA51)-(0)&gt;0,"X",IF((0)-(0)&gt;0,"?",""))),"")</f>
        <v/>
      </c>
      <c r="BC51" s="493">
        <f>IF(51=51,IF($U51="","",SUMPRODUCT(--ISNUMBER(SEARCH(" "&amp;$CR$1405:$CR$1442&amp;" ",$BD51)))),"")</f>
        <v>0</v>
      </c>
      <c r="BD51" s="493" t="str">
        <f>IF(51=51,IF($U51="","",SUBSTITUTE(SUBSTITUTE($AA51," "&amp;$CR$1443&amp;" "," ")," "&amp;$CR$1444&amp;" "," ")),"")</f>
        <v xml:space="preserve"> poivrons en lanieres surgeles </v>
      </c>
      <c r="BE51" s="493">
        <f>IF(51=51,IF($U51="","",SUMPRODUCT(--ISNUMBER(SEARCH(" "&amp;$CR$1445:$CR$1455&amp;" ",$BD51)))),"")</f>
        <v>0</v>
      </c>
      <c r="BF51" s="493" t="str">
        <f>IF(51=51,IF($U51="","",IF(BC51&gt;0,"X",IF(BE51&gt;0,"?",""))),"")</f>
        <v/>
      </c>
      <c r="BG51" s="493">
        <f>IF(51=51,IF($U51="","",SUMPRODUCT(--ISNUMBER(SEARCH(" "&amp;$CR$1456:$CR$1555&amp;" ",$BJ51)))),"")</f>
        <v>0</v>
      </c>
      <c r="BH51" s="493">
        <f>IF(51=51,IF($U51="","",SUMPRODUCT(--ISNUMBER(SEARCH(" "&amp;$CR$1556:$CR$1655&amp;" ",$BJ51)))),"")</f>
        <v>0</v>
      </c>
      <c r="BI51" s="493">
        <f>IF(51=51,IF($U51="","",SUMPRODUCT(--ISNUMBER(SEARCH(" "&amp;$CR$1656:$CR$1739&amp;" ",$BJ51)))),"")</f>
        <v>0</v>
      </c>
      <c r="BJ51" s="493" t="str">
        <f>IF(51=51,IF($U51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poivrons en lanieres surgeles </v>
      </c>
      <c r="BK51" s="493">
        <f>IF(51=51,IF($U51="","",SUMPRODUCT(--ISNUMBER(SEARCH(" "&amp;$CR$1790:$CR$1869&amp;" ",$BL51)))+SUMPRODUCT(--ISNUMBER(SEARCH(" "&amp;$CR$2440:$CR$2453&amp;" ",$BL51)))),"")</f>
        <v>0</v>
      </c>
      <c r="BL51" s="493" t="str">
        <f>IF(51=51,IF($U51="","",SUBSTITUTE(SUBSTITUTE(SUBSTITUTE(SUBSTITUTE(SUBSTITUTE(SUBSTITUTE(SUBSTITUTE(SUBSTITUTE(SUBSTITUTE(SUBSTITUTE(SUBSTITUTE(SUBSTITUTE(SUBSTITUTE($BJ51," "&amp;$CR$1876&amp;" "," ")," "&amp;$CR$1874&amp;" "," ")," "&amp;$CR$2438&amp;" "," ")," "&amp;$CR$2439&amp;" "," ")," "&amp;$CR$1871&amp;" "," ")," "&amp;$CR$1875&amp;" "," ")," "&amp;$CR$1877&amp;" "," ")," "&amp;$CR$1872&amp;" "," ")," "&amp;$CR$1870&amp;" "," ")," "&amp;$CR$1367&amp;" "," ")," "&amp;$CR$1878&amp;" "," ")," "&amp;$CR$1366&amp;" "," ")," "&amp;$CR$1873&amp;" "," ")),"")</f>
        <v xml:space="preserve"> poivrons en lanieres surgeles </v>
      </c>
      <c r="BM51" s="493" t="str">
        <f>IF(51=51,IF($U51="","",IF(SUM(BG51:BI51)+SUMPRODUCT(--ISNUMBER(SEARCH(" "&amp;$CR$2423:$CR$2424&amp;" ",$BJ51)))&gt;0,"X",IF(BK51&gt;0,"?",""))),"")</f>
        <v/>
      </c>
      <c r="BN51" s="493">
        <f>IF(51=51,IF($U51="","",SUMPRODUCT(--ISNUMBER(SEARCH(" "&amp;$CR$1879:$CR$1936&amp;" ",$BO51)))),"")</f>
        <v>0</v>
      </c>
      <c r="BO51" s="493" t="str">
        <f>IF(51=51,IF($U51="","",SUBSTITUTE(SUBSTITUTE(SUBSTITUTE(SUBSTITUTE(SUBSTITUTE(SUBSTITUTE(SUBSTITUTE(SUBSTITUTE(SUBSTITUTE(SUBSTITUTE(SUBSTITUTE(SUBSTITUTE(SUBSTITUTE(SUBSTITUTE(SUBSTITUTE(SUBSTITUTE(SUBSTITUTE(SUBSTITUTE(SUBSTITUTE(SUBSTITUTE(SUBSTITUTE(SUBSTITUTE(SUBSTITUTE($AA51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poivrons en lanieres surgeles </v>
      </c>
      <c r="BP51" s="493">
        <f>IF(51=51,IF($U51="","",SUMPRODUCT(--ISNUMBER(SEARCH(" "&amp;$CR$1960:$CR$1976&amp;" ",$BO51)))),"")</f>
        <v>0</v>
      </c>
      <c r="BQ51" s="493" t="str">
        <f>IF(51=51,IF($U51="","",IF(BN51&gt;0,"X",IF(BP51&gt;0,"?",""))),"")</f>
        <v/>
      </c>
      <c r="BR51" s="493">
        <f>IF(51=51,IF($U51="","",SUMPRODUCT(--ISNUMBER(SEARCH(" "&amp;$CR$1977:$CR$1990&amp;" ",$AA51)))),"")</f>
        <v>0</v>
      </c>
      <c r="BS51" s="493">
        <f>IF(51=51,IF($U51="","",SUMPRODUCT(--ISNUMBER(SEARCH(" "&amp;$CR$1991:$CR$2005&amp;" ",$AA51)))),"")</f>
        <v>0</v>
      </c>
      <c r="BT51" s="493" t="str">
        <f>IF(51=51,IF($U51="","",IF((BR51)-(0)&gt;0,"X",IF((BS51)-(0)&gt;0,"?",""))),"")</f>
        <v/>
      </c>
      <c r="BU51" s="493">
        <f>IF(51=51,IF($U51="","",SUMPRODUCT(--ISNUMBER(SEARCH(" "&amp;$CR$2006:$CR$2023&amp;" ",$AA51)))),"")</f>
        <v>0</v>
      </c>
      <c r="BV51" s="493">
        <f>IF(51=51,IF($U51="","",SUMPRODUCT(--ISNUMBER(SEARCH(" "&amp;$CR$2024:$CR$2038&amp;" ",$AA51)))),"")</f>
        <v>0</v>
      </c>
      <c r="BW51" s="493" t="str">
        <f>IF(51=51,IF($U51="","",IF((BU51)-(0)&gt;0,"X",IF((BV51)-(0)&gt;0,"?",""))),"")</f>
        <v/>
      </c>
      <c r="BX51" s="493">
        <f>IF(51=51,IF($U51="","",SUMPRODUCT(--ISNUMBER(SEARCH(" "&amp;$CR$2039:$CR$2057&amp;" ",$AA51)))),"")</f>
        <v>0</v>
      </c>
      <c r="BY51" s="493">
        <f>IF(51=51,IF($U51="","",SUMPRODUCT(--ISNUMBER(SEARCH(" "&amp;$CR$2058:$CR$2072&amp;" ",$AA51)))),"")</f>
        <v>0</v>
      </c>
      <c r="BZ51" s="493" t="str">
        <f>IF(51=51,IF($U51="","",IF((BX51)-(0)&gt;0,"X",IF((BY51)-(0)&gt;0,"?",""))),"")</f>
        <v/>
      </c>
      <c r="CA51" s="493">
        <f>IF(51=51,IF($U51="","",SUMPRODUCT(--ISNUMBER(SEARCH(" "&amp;$CR$2073:$CR$2093&amp;" ",$AA51)))),"")</f>
        <v>0</v>
      </c>
      <c r="CB51" s="493">
        <f>IF(51=51,IF($U51="","",SUMPRODUCT(--ISNUMBER(SEARCH(" "&amp;$CR$2094:$CR$2133&amp;" ",SUBSTITUTE(SUBSTITUTE($AA51," "&amp;$CR$1367&amp;" "," ")," "&amp;$CR$1366&amp;" "," "))))+--ISNUMBER(SEARCH("poiré",$V51))),"")</f>
        <v>0</v>
      </c>
      <c r="CC51" s="493" t="str">
        <f>IF(51=51,IF($U51="","",IF(OR(CA51&gt;0,ISNUMBER(SEARCH(" vinaigre de vin ",$AA51)),ISNUMBER(SEARCH(" vinaigre au vin ",$AA51))),"X",IF(CB51&gt;0,"?",""))),"")</f>
        <v/>
      </c>
      <c r="CD51" s="493">
        <f>IF(51=51,IF($U51="","",SUMPRODUCT(--ISNUMBER(SEARCH(" "&amp;$CR$2134:$CR$2146&amp;" ",$AA51)))),"")</f>
        <v>0</v>
      </c>
      <c r="CE51" s="493">
        <f>IF(51=51,IF($U51="","",SUMPRODUCT(--ISNUMBER(SEARCH(" "&amp;$CR$2147:$CR$2152&amp;" ",$AA51)))),"")</f>
        <v>0</v>
      </c>
      <c r="CF51" s="493" t="str">
        <f>IF(51=51,IF($U51="","",IF((CD51)-(0)&gt;0,"X",IF((CE51)-(0)&gt;0,"?",""))),"")</f>
        <v/>
      </c>
      <c r="CG51" s="493">
        <f>IF(51=51,IF($U51="","",SUMPRODUCT(--ISNUMBER(SEARCH(" "&amp;$CR$2153:$CR$2252&amp;" ",$CJ51)))),"")</f>
        <v>0</v>
      </c>
      <c r="CH51" s="493">
        <f>IF(51=51,IF($U51="","",SUMPRODUCT(--ISNUMBER(SEARCH(" "&amp;$CR$2253:$CR$2352&amp;" ",$CJ51)))),"")</f>
        <v>0</v>
      </c>
      <c r="CI51" s="493">
        <f>IF(51=51,IF($U51="","",SUMPRODUCT(--ISNUMBER(SEARCH(" "&amp;$CR$2353:$CR$2395&amp;" ",$CJ51)))),"")</f>
        <v>0</v>
      </c>
      <c r="CJ51" s="493" t="str">
        <f>IF(51=51,IF($U51="","",SUBSTITUTE(SUBSTITUTE(SUBSTITUTE(SUBSTITUTE(SUBSTITUTE(SUBSTITUTE(SUBSTITUTE(SUBSTITUTE(SUBSTITUTE(SUBSTITUTE(SUBSTITUTE(SUBSTITUTE(SUBSTITUTE(SUBSTITUTE(SUBSTITUTE(SUBSTITUTE($AA51," "&amp;$CR$2401&amp;" "," ")," "&amp;$CR$2400&amp;" "," ")," "&amp;$CR$2399&amp;" "," ")," "&amp;$CR$2406&amp;" "," ")," "&amp;$CR$2398&amp;" "," ")," "&amp;$CR$2410&amp;" "," ")," "&amp;$CR$2397&amp;" "," ")," "&amp;$CR$2402&amp;" "," ")," "&amp;$CR$2405&amp;" "," ")," "&amp;$CR$2396&amp;" "," ")," "&amp;$CR$2404&amp;" "," ")," "&amp;$CR$2411&amp;" "," ")," "&amp;$CR$2408&amp;" "," ")," "&amp;$CR$2403&amp;" "," ")," "&amp;$CR$2407&amp;" "," ")," "&amp;$CR$2409&amp;" "," ")),"")</f>
        <v xml:space="preserve"> poivrons en lanieres surgeles </v>
      </c>
      <c r="CK51" s="493">
        <f>IF(51=51,IF($U51="","",SUMPRODUCT(--ISNUMBER(SEARCH(" "&amp;$CR$2412:$CR$2416&amp;" ",$CJ51)))),"")</f>
        <v>0</v>
      </c>
      <c r="CL51" s="493" t="str">
        <f>IF(51=51,IF($U51="","",IF(SUM(CG51:CI51)&gt;0,"X",IF(CK51&gt;0,"?",""))),"")</f>
        <v/>
      </c>
      <c r="CM51" s="494"/>
      <c r="CN51" s="496" t="s">
        <v>1233</v>
      </c>
      <c r="CO51" s="496" t="s">
        <v>1083</v>
      </c>
      <c r="CP51" s="496" t="s">
        <v>689</v>
      </c>
      <c r="CQ51" s="496" t="s">
        <v>1234</v>
      </c>
      <c r="CR51" s="496" t="s">
        <v>41</v>
      </c>
      <c r="CS51" s="496" t="s">
        <v>1085</v>
      </c>
      <c r="CT51" s="496" t="s">
        <v>1086</v>
      </c>
      <c r="CU51" s="496" t="s">
        <v>1087</v>
      </c>
      <c r="CV51" s="497" t="s">
        <v>1088</v>
      </c>
      <c r="CX51" s="543">
        <v>1</v>
      </c>
    </row>
    <row r="52" spans="1:102" ht="21" customHeight="1">
      <c r="A52" s="509">
        <v>46</v>
      </c>
      <c r="B52" s="510" t="s">
        <v>5889</v>
      </c>
      <c r="C52" s="511" t="str">
        <f t="shared" si="0"/>
        <v>Pommes de terre BF 15</v>
      </c>
      <c r="D52" s="512" t="str">
        <f>IF(52=52,IF($B52="","",IF(E52="X",""&amp;"Céréales contenant du gluten","")&amp;IF(F52="X",IF(COUNTIF($E52:$E52,"X")&gt;0,", ","")&amp;"Crustacés","")&amp;IF(G52="X",IF(COUNTIF($E52:$F52,"X")&gt;0,", ","")&amp;"Œufs","")&amp;IF(H52="X",IF(COUNTIF($E52:$G52,"X")&gt;0,", ","")&amp;"Poissons","")&amp;IF(I52="X",IF(COUNTIF($E52:$H52,"X")&gt;0,", ","")&amp;"Arachides","")&amp;IF(J52="X",IF(COUNTIF($E52:$I52,"X")&gt;0,", ","")&amp;"Soja","")&amp;IF(K52="X",IF(COUNTIF($E52:$J52,"X")&gt;0,", ","")&amp;"Lait","")&amp;IF(L52="X",IF(COUNTIF($E52:$K52,"X")&gt;0,", ","")&amp;"Fruits à coque","")&amp;IF(M52="X",IF(COUNTIF($E52:$L52,"X")&gt;0,", ","")&amp;"Céleri","")&amp;IF(N52="X",IF(COUNTIF($E52:$M52,"X")&gt;0,", ","")&amp;"Moutarde","")&amp;IF(O52="X",IF(COUNTIF($E52:$N52,"X")&gt;0,", ","")&amp;"Sésame","")&amp;IF(P52="X",IF(COUNTIF($E52:$O52,"X")&gt;0,", ","")&amp;"Sulfites","")&amp;IF(Q52="X",IF(COUNTIF($E52:$P52,"X")&gt;0,", ","")&amp;"Lupin","")&amp;IF(R52="X",IF(COUNTIF($E52:$Q52,"X")&gt;0,", ","")&amp;"Mollusques","")),"")</f>
        <v/>
      </c>
      <c r="E52" s="513" t="str">
        <f>IF(52=52,IF($B52="","",AF52),"")</f>
        <v/>
      </c>
      <c r="F52" s="513" t="str">
        <f>IF(52=52,IF($B52="","",AI52),"")</f>
        <v/>
      </c>
      <c r="G52" s="513" t="str">
        <f>IF(52=52,IF($B52="","",AM52),"")</f>
        <v/>
      </c>
      <c r="H52" s="513" t="str">
        <f>IF(52=52,IF($B52="","",IF(ISNUMBER(SEARCH(" colin ",$AA52)),"X",AZ52)),"")</f>
        <v/>
      </c>
      <c r="I52" s="513" t="str">
        <f>IF(52=52,IF($B52="","",BB52),"")</f>
        <v/>
      </c>
      <c r="J52" s="513" t="str">
        <f>IF(52=52,IF($B52="","",BF52),"")</f>
        <v/>
      </c>
      <c r="K52" s="513" t="str">
        <f>IF(52=52,IF($B52="","",BM52),"")</f>
        <v/>
      </c>
      <c r="L52" s="513" t="str">
        <f>IF(52=52,IF($B52="","",BQ52),"")</f>
        <v/>
      </c>
      <c r="M52" s="513" t="str">
        <f>IF(52=52,IF($B52="","",BT52),"")</f>
        <v/>
      </c>
      <c r="N52" s="513" t="str">
        <f>IF(52=52,IF($B52="","",BW52),"")</f>
        <v/>
      </c>
      <c r="O52" s="513" t="str">
        <f>IF(52=52,IF($B52="","",BZ52),"")</f>
        <v/>
      </c>
      <c r="P52" s="513" t="str">
        <f>IF(52=52,IF($B52="","",CC52),"")</f>
        <v/>
      </c>
      <c r="Q52" s="513" t="str">
        <f>IF(52=52,IF($B52="","",CF52),"")</f>
        <v/>
      </c>
      <c r="R52" s="513" t="str">
        <f>IF(52=52,IF($B52="","",CL52),"")</f>
        <v/>
      </c>
      <c r="S52" s="514" t="str">
        <f>IF(52=52,IF($B52="","",IF(E52="?",""&amp;"Céréales contenant du gluten","")&amp;IF(F52="?",IF(COUNTIF($E52:$E52,"~?")&gt;0,", ","")&amp;"Crustacés","")&amp;IF(G52="?",IF(COUNTIF($E52:$F52,"~?")&gt;0,", ","")&amp;"Œufs","")&amp;IF(H52="?",IF(COUNTIF($E52:$G52,"~?")&gt;0,", ","")&amp;"Poissons","")&amp;IF(I52="?",IF(COUNTIF($E52:$H52,"~?")&gt;0,", ","")&amp;"Arachides","")&amp;IF(J52="?",IF(COUNTIF($E52:$I52,"~?")&gt;0,", ","")&amp;"Soja","")&amp;IF(K52="?",IF(COUNTIF($E52:$J52,"~?")&gt;0,", ","")&amp;"Lait","")&amp;IF(L52="?",IF(COUNTIF($E52:$K52,"~?")&gt;0,", ","")&amp;"Fruits à coque","")&amp;IF(M52="?",IF(COUNTIF($E52:$L52,"~?")&gt;0,", ","")&amp;"Céleri","")&amp;IF(N52="?",IF(COUNTIF($E52:$M52,"~?")&gt;0,", ","")&amp;"Moutarde","")&amp;IF(O52="?",IF(COUNTIF($E52:$N52,"~?")&gt;0,", ","")&amp;"Sésame","")&amp;IF(P52="?",IF(COUNTIF($E52:$O52,"~?")&gt;0,", ","")&amp;"Sulfites","")&amp;IF(Q52="?",IF(COUNTIF($E52:$P52,"~?")&gt;0,", ","")&amp;"Lupin","")&amp;IF(R52="?",IF(COUNTIF($E52:$Q52,"~?")&gt;0,", ","")&amp;"Mollusques","")),"")</f>
        <v/>
      </c>
      <c r="U52" s="493" t="str">
        <f>IF(52=52,IF($B52="","",$B52),"")</f>
        <v>Pommes de terre BF 15</v>
      </c>
      <c r="V52" s="493" t="str">
        <f>IF(52=52,LOWER(CLEAN(SUBSTITUTE(SUBSTITUTE(SUBSTITUTE(SUBSTITUTE($U52,CHAR(160)," ")," "," "),CHAR(10)," "),CHAR(13)," "))),"")</f>
        <v>pommes de terre bf 15</v>
      </c>
      <c r="W52" s="493" t="str">
        <f>IF(52=52,SUBSTITUTE(SUBSTITUTE(SUBSTITUTE(SUBSTITUTE(SUBSTITUTE(SUBSTITUTE(SUBSTITUTE(SUBSTITUTE(SUBSTITUTE(SUBSTITUTE(SUBSTITUTE(SUBSTITUTE($V52,"œ","oe"),"æ","ae"),"à","a"),"á","a"),"â","a"),"ä","a"),"ã","a"),"ç","c"),"è","e"),"é","e"),"ê","e"),"ë","e"),"")</f>
        <v>pommes de terre bf 15</v>
      </c>
      <c r="X52" s="493" t="str">
        <f>IF(52=52,SUBSTITUTE(SUBSTITUTE(SUBSTITUTE(SUBSTITUTE(SUBSTITUTE(SUBSTITUTE(SUBSTITUTE(SUBSTITUTE(SUBSTITUTE(SUBSTITUTE(SUBSTITUTE(SUBSTITUTE(SUBSTITUTE(SUBSTITUTE(SUBSTITUTE(SUBSTITUTE($W52,"ì","i"),"í","i"),"î","i"),"ï","i"),"ñ","n"),"ò","o"),"ó","o"),"ô","o"),"ö","o"),"õ","o"),"ù","u"),"ú","u"),"û","u"),"ü","u"),"ý","y"),"ÿ","y"),"")</f>
        <v>pommes de terre bf 15</v>
      </c>
      <c r="Y52" s="493" t="str">
        <f>IF(52=52,SUBSTITUTE(SUBSTITUTE(SUBSTITUTE(SUBSTITUTE(SUBSTITUTE(SUBSTITUTE(SUBSTITUTE(SUBSTITUTE(SUBSTITUTE(SUBSTITUTE(SUBSTITUTE(SUBSTITUTE(SUBSTITUTE(SUBSTITUTE($X52,"’"," "),"`"," "),"–"," "),"—"," "),"-"," "),"'"," "),"/"," "),"_"," "),","," "),"."," "),"("," "),")"," "),";"," "),":"," "),"")</f>
        <v>pommes de terre bf 15</v>
      </c>
      <c r="Z52" s="493" t="str">
        <f>IF(52=52,SUBSTITUTE(SUBSTITUTE(SUBSTITUTE(SUBSTITUTE(SUBSTITUTE(SUBSTITUTE(SUBSTITUTE(SUBSTITUTE(SUBSTITUTE(SUBSTITUTE(SUBSTITUTE(SUBSTITUTE(SUBSTITUTE(SUBSTITUTE(SUBSTITUTE($Y52,"!"," "),"?"," "),"+"," "),"*"," "),"&amp;"," "),"["," "),"]"," "),"{"," "),"}"," "),"%"," "),"="," "),"\"," "),"|"," "),"&lt;"," "),"&gt;"," "),"")</f>
        <v>pommes de terre bf 15</v>
      </c>
      <c r="AA52" s="493" t="str">
        <f>IF(52=52," "&amp;TRIM(SUBSTITUTE(SUBSTITUTE(SUBSTITUTE(SUBSTITUTE(SUBSTITUTE(SUBSTITUTE($Z52,CHAR(34)," "),"  "," "),"  "," "),"  "," "),"  "," "),"  "," "))&amp;" ","")</f>
        <v xml:space="preserve"> pommes de terre bf 15 </v>
      </c>
      <c r="AB52" s="493">
        <f>IF(52=52,IF($U52="","",SUMPRODUCT(--ISNUMBER(SEARCH(" "&amp;$CR$2:$CR$101&amp;" ",$AD52)))),"")</f>
        <v>0</v>
      </c>
      <c r="AC52" s="493">
        <f>IF(52=52,IF($U52="","",SUMPRODUCT(--ISNUMBER(SEARCH(" "&amp;$CR$102:$CR$151&amp;" ",$AD52)))),"")</f>
        <v>0</v>
      </c>
      <c r="AD52" s="493" t="str">
        <f t="shared" si="1"/>
        <v xml:space="preserve"> pommes de terre bf 15 </v>
      </c>
      <c r="AE52" s="493">
        <f t="shared" si="2"/>
        <v>0</v>
      </c>
      <c r="AF52" s="493" t="str">
        <f>IF(52=52,IF($U52="","",IF(SUM(AB52:AC52)+SUMPRODUCT(--ISNUMBER(SEARCH(" "&amp;$CR$2418:$CR$2420&amp;" ",$AD52)))&gt;0,"X",IF(AE52&gt;0,"?",""))),"")</f>
        <v/>
      </c>
      <c r="AG52" s="493">
        <f>IF(52=52,IF($U52="","",SUMPRODUCT(--ISNUMBER(SEARCH(" "&amp;$CR$206:$CR$305&amp;" ",$AA52)))),"")</f>
        <v>0</v>
      </c>
      <c r="AH52" s="493">
        <f>IF(52=52,IF($U52="","",SUMPRODUCT(--ISNUMBER(SEARCH(" "&amp;$CR$306:$CR$340&amp;" ",$AA52)))),"")</f>
        <v>0</v>
      </c>
      <c r="AI52" s="493" t="str">
        <f>IF(52=52,IF($U52="","",IF((SUM(AG52:AH52))-(0)&gt;0,"X",IF((0)-(0)&gt;0,"?",""))),"")</f>
        <v/>
      </c>
      <c r="AJ52" s="493">
        <f>IF(52=52,IF($U52="","",SUMPRODUCT(--ISNUMBER(SEARCH(" "&amp;$CR$341:$CR$398&amp;" ",$AA52)))),"")</f>
        <v>0</v>
      </c>
      <c r="AK52" s="493">
        <f>IF(52=52,IF($U52="","",SUMPRODUCT(--ISNUMBER(SEARCH(" "&amp;$CR$399:$CR$426&amp;" ",$AL52)))+SUMPRODUCT(--ISNUMBER(SEARCH(" "&amp;$CR$2440:$CR$2453&amp;" ",$AL52)))),"")</f>
        <v>0</v>
      </c>
      <c r="AL52" s="493" t="str">
        <f>IF(52=52,IF($U52="","",SUBSTITUTE(SUBSTITUTE(SUBSTITUTE(SUBSTITUTE(SUBSTITUTE(SUBSTITUTE(SUBSTITUTE(SUBSTITUTE(SUBSTITUTE(SUBSTITUTE(SUBSTITUTE(SUBSTITUTE(SUBSTITUTE(SUBSTITUTE($AA52," "&amp;$CR$2455&amp;" "," ")," "&amp;$CR$433&amp;" "," ")," "&amp;$CR$431&amp;" "," ")," "&amp;$CR$2438&amp;" "," ")," "&amp;$CR$2439&amp;" "," ")," "&amp;$CR$428&amp;" "," ")," "&amp;$CR$432&amp;" "," ")," "&amp;$CR$434&amp;" "," ")," "&amp;$CR$429&amp;" "," ")," "&amp;$CR$427&amp;" "," ")," "&amp;$CR$1367&amp;" "," ")," "&amp;$CR$435&amp;" "," ")," "&amp;$CR$1366&amp;" "," ")," "&amp;$CR$430&amp;" "," ")),"")</f>
        <v xml:space="preserve"> pommes de terre bf 15 </v>
      </c>
      <c r="AM52" s="493" t="str">
        <f>IF(52=52,IF($U52="","",IF(AJ52&gt;0,"X",IF(AK52&gt;0,"?",""))),"")</f>
        <v/>
      </c>
      <c r="AN52" s="493">
        <f>IF(52=52,IF($U52="","",SUMPRODUCT(--ISNUMBER(SEARCH(" "&amp;$CR$436:$CR$535&amp;" ",$AX52)))),"")</f>
        <v>0</v>
      </c>
      <c r="AO52" s="493">
        <f>IF(52=52,IF($U52="","",SUMPRODUCT(--ISNUMBER(SEARCH(" "&amp;$CR$536:$CR$635&amp;" ",$AX52)))),"")</f>
        <v>0</v>
      </c>
      <c r="AP52" s="493">
        <f>IF(52=52,IF($U52="","",SUMPRODUCT(--ISNUMBER(SEARCH(" "&amp;$CR$636:$CR$735&amp;" ",$AX52)))),"")</f>
        <v>0</v>
      </c>
      <c r="AQ52" s="493">
        <f>IF(52=52,IF($U52="","",SUMPRODUCT(--ISNUMBER(SEARCH(" "&amp;$CR$736:$CR$835&amp;" ",$AX52)))),"")</f>
        <v>0</v>
      </c>
      <c r="AR52" s="493">
        <f>IF(52=52,IF($U52="","",SUMPRODUCT(--ISNUMBER(SEARCH(" "&amp;$CR$836:$CR$935&amp;" ",$AX52)))),"")</f>
        <v>0</v>
      </c>
      <c r="AS52" s="493">
        <f>IF(52=52,IF($U52="","",SUMPRODUCT(--ISNUMBER(SEARCH(" "&amp;$CR$936:$CR$1035&amp;" ",$AX52)))),"")</f>
        <v>0</v>
      </c>
      <c r="AT52" s="493">
        <f>IF(52=52,IF($U52="","",SUMPRODUCT(--ISNUMBER(SEARCH(" "&amp;$CR$1036:$CR$1135&amp;" ",$AX52)))),"")</f>
        <v>0</v>
      </c>
      <c r="AU52" s="493">
        <f>IF(52=52,IF($U52="","",SUMPRODUCT(--ISNUMBER(SEARCH(" "&amp;$CR$1136:$CR$1235&amp;" ",$AX52)))),"")</f>
        <v>0</v>
      </c>
      <c r="AV52" s="493">
        <f>IF(52=52,IF($U52="","",SUMPRODUCT(--ISNUMBER(SEARCH(" "&amp;$CR$1236:$CR$1335&amp;" ",$AX52)))),"")</f>
        <v>0</v>
      </c>
      <c r="AW52" s="493">
        <f>IF(52=52,IF($U52="","",SUMPRODUCT(--ISNUMBER(SEARCH(" "&amp;$CR$1336:$CR$1363&amp;" ",$AX52)))),"")</f>
        <v>0</v>
      </c>
      <c r="AX52" s="493" t="str">
        <f>IF(52=52,IF($U52="","",SUBSTITUTE(SUBSTITUTE(SUBSTITUTE(SUBSTITUTE(SUBSTITUTE(SUBSTITUTE(SUBSTITUTE(SUBSTITUTE(SUBSTITUTE($AA52," "&amp;$CR$1365&amp;" "," ")," "&amp;$CR$1364&amp;" "," ")," "&amp;$CR$1370&amp;" "," ")," "&amp;$CR$1371&amp;" "," ")," "&amp;$CR$1367&amp;" "," ")," "&amp;$CR$1369&amp;" "," ")," "&amp;$CR$1366&amp;" "," ")," "&amp;$CR$1368&amp;" "," ")," "&amp;$CR$1372&amp;" "," ")),"")</f>
        <v xml:space="preserve"> pommes de terre bf 15 </v>
      </c>
      <c r="AY52" s="493">
        <f>IF(52=52,IF($U52="","",SUMPRODUCT(--ISNUMBER(SEARCH(" "&amp;$CR$1373:$CR$1383&amp;" ",$AX52)))),"")</f>
        <v>0</v>
      </c>
      <c r="AZ52" s="493" t="str">
        <f>IF(52=52,IF($U52="","",IF(SUM(AN52:AW52)+SUMPRODUCT(--ISNUMBER(SEARCH(" "&amp;$CR$2421:$CR$2422&amp;" ",$AX52)))&gt;0,"X",IF(AY52&gt;0,"?",""))),"")</f>
        <v/>
      </c>
      <c r="BA52" s="493">
        <f>IF(52=52,IF($U52="","",SUMPRODUCT(--ISNUMBER(SEARCH(" "&amp;$CR$1384:$CR$1404&amp;" ",$AA52)))),"")</f>
        <v>0</v>
      </c>
      <c r="BB52" s="493" t="str">
        <f>IF(52=52,IF($U52="","",IF((BA52)-(0)&gt;0,"X",IF((0)-(0)&gt;0,"?",""))),"")</f>
        <v/>
      </c>
      <c r="BC52" s="493">
        <f>IF(52=52,IF($U52="","",SUMPRODUCT(--ISNUMBER(SEARCH(" "&amp;$CR$1405:$CR$1442&amp;" ",$BD52)))),"")</f>
        <v>0</v>
      </c>
      <c r="BD52" s="493" t="str">
        <f>IF(52=52,IF($U52="","",SUBSTITUTE(SUBSTITUTE($AA52," "&amp;$CR$1443&amp;" "," ")," "&amp;$CR$1444&amp;" "," ")),"")</f>
        <v xml:space="preserve"> pommes de terre bf 15 </v>
      </c>
      <c r="BE52" s="493">
        <f>IF(52=52,IF($U52="","",SUMPRODUCT(--ISNUMBER(SEARCH(" "&amp;$CR$1445:$CR$1455&amp;" ",$BD52)))),"")</f>
        <v>0</v>
      </c>
      <c r="BF52" s="493" t="str">
        <f>IF(52=52,IF($U52="","",IF(BC52&gt;0,"X",IF(BE52&gt;0,"?",""))),"")</f>
        <v/>
      </c>
      <c r="BG52" s="493">
        <f>IF(52=52,IF($U52="","",SUMPRODUCT(--ISNUMBER(SEARCH(" "&amp;$CR$1456:$CR$1555&amp;" ",$BJ52)))),"")</f>
        <v>0</v>
      </c>
      <c r="BH52" s="493">
        <f>IF(52=52,IF($U52="","",SUMPRODUCT(--ISNUMBER(SEARCH(" "&amp;$CR$1556:$CR$1655&amp;" ",$BJ52)))),"")</f>
        <v>0</v>
      </c>
      <c r="BI52" s="493">
        <f>IF(52=52,IF($U52="","",SUMPRODUCT(--ISNUMBER(SEARCH(" "&amp;$CR$1656:$CR$1739&amp;" ",$BJ52)))),"")</f>
        <v>0</v>
      </c>
      <c r="BJ52" s="493" t="str">
        <f>IF(52=52,IF($U52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pommes de terre bf 15 </v>
      </c>
      <c r="BK52" s="493">
        <f>IF(52=52,IF($U52="","",SUMPRODUCT(--ISNUMBER(SEARCH(" "&amp;$CR$1790:$CR$1869&amp;" ",$BL52)))+SUMPRODUCT(--ISNUMBER(SEARCH(" "&amp;$CR$2440:$CR$2453&amp;" ",$BL52)))),"")</f>
        <v>0</v>
      </c>
      <c r="BL52" s="493" t="str">
        <f>IF(52=52,IF($U52="","",SUBSTITUTE(SUBSTITUTE(SUBSTITUTE(SUBSTITUTE(SUBSTITUTE(SUBSTITUTE(SUBSTITUTE(SUBSTITUTE(SUBSTITUTE(SUBSTITUTE(SUBSTITUTE(SUBSTITUTE(SUBSTITUTE($BJ52," "&amp;$CR$1876&amp;" "," ")," "&amp;$CR$1874&amp;" "," ")," "&amp;$CR$2438&amp;" "," ")," "&amp;$CR$2439&amp;" "," ")," "&amp;$CR$1871&amp;" "," ")," "&amp;$CR$1875&amp;" "," ")," "&amp;$CR$1877&amp;" "," ")," "&amp;$CR$1872&amp;" "," ")," "&amp;$CR$1870&amp;" "," ")," "&amp;$CR$1367&amp;" "," ")," "&amp;$CR$1878&amp;" "," ")," "&amp;$CR$1366&amp;" "," ")," "&amp;$CR$1873&amp;" "," ")),"")</f>
        <v xml:space="preserve"> pommes de terre bf 15 </v>
      </c>
      <c r="BM52" s="493" t="str">
        <f>IF(52=52,IF($U52="","",IF(SUM(BG52:BI52)+SUMPRODUCT(--ISNUMBER(SEARCH(" "&amp;$CR$2423:$CR$2424&amp;" ",$BJ52)))&gt;0,"X",IF(BK52&gt;0,"?",""))),"")</f>
        <v/>
      </c>
      <c r="BN52" s="493">
        <f>IF(52=52,IF($U52="","",SUMPRODUCT(--ISNUMBER(SEARCH(" "&amp;$CR$1879:$CR$1936&amp;" ",$BO52)))),"")</f>
        <v>0</v>
      </c>
      <c r="BO52" s="493" t="str">
        <f>IF(52=52,IF($U52="","",SUBSTITUTE(SUBSTITUTE(SUBSTITUTE(SUBSTITUTE(SUBSTITUTE(SUBSTITUTE(SUBSTITUTE(SUBSTITUTE(SUBSTITUTE(SUBSTITUTE(SUBSTITUTE(SUBSTITUTE(SUBSTITUTE(SUBSTITUTE(SUBSTITUTE(SUBSTITUTE(SUBSTITUTE(SUBSTITUTE(SUBSTITUTE(SUBSTITUTE(SUBSTITUTE(SUBSTITUTE(SUBSTITUTE($AA52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pommes de terre bf 15 </v>
      </c>
      <c r="BP52" s="493">
        <f>IF(52=52,IF($U52="","",SUMPRODUCT(--ISNUMBER(SEARCH(" "&amp;$CR$1960:$CR$1976&amp;" ",$BO52)))),"")</f>
        <v>0</v>
      </c>
      <c r="BQ52" s="493" t="str">
        <f>IF(52=52,IF($U52="","",IF(BN52&gt;0,"X",IF(BP52&gt;0,"?",""))),"")</f>
        <v/>
      </c>
      <c r="BR52" s="493">
        <f>IF(52=52,IF($U52="","",SUMPRODUCT(--ISNUMBER(SEARCH(" "&amp;$CR$1977:$CR$1990&amp;" ",$AA52)))),"")</f>
        <v>0</v>
      </c>
      <c r="BS52" s="493">
        <f>IF(52=52,IF($U52="","",SUMPRODUCT(--ISNUMBER(SEARCH(" "&amp;$CR$1991:$CR$2005&amp;" ",$AA52)))),"")</f>
        <v>0</v>
      </c>
      <c r="BT52" s="493" t="str">
        <f>IF(52=52,IF($U52="","",IF((BR52)-(0)&gt;0,"X",IF((BS52)-(0)&gt;0,"?",""))),"")</f>
        <v/>
      </c>
      <c r="BU52" s="493">
        <f>IF(52=52,IF($U52="","",SUMPRODUCT(--ISNUMBER(SEARCH(" "&amp;$CR$2006:$CR$2023&amp;" ",$AA52)))),"")</f>
        <v>0</v>
      </c>
      <c r="BV52" s="493">
        <f>IF(52=52,IF($U52="","",SUMPRODUCT(--ISNUMBER(SEARCH(" "&amp;$CR$2024:$CR$2038&amp;" ",$AA52)))),"")</f>
        <v>0</v>
      </c>
      <c r="BW52" s="493" t="str">
        <f>IF(52=52,IF($U52="","",IF((BU52)-(0)&gt;0,"X",IF((BV52)-(0)&gt;0,"?",""))),"")</f>
        <v/>
      </c>
      <c r="BX52" s="493">
        <f>IF(52=52,IF($U52="","",SUMPRODUCT(--ISNUMBER(SEARCH(" "&amp;$CR$2039:$CR$2057&amp;" ",$AA52)))),"")</f>
        <v>0</v>
      </c>
      <c r="BY52" s="493">
        <f>IF(52=52,IF($U52="","",SUMPRODUCT(--ISNUMBER(SEARCH(" "&amp;$CR$2058:$CR$2072&amp;" ",$AA52)))),"")</f>
        <v>0</v>
      </c>
      <c r="BZ52" s="493" t="str">
        <f>IF(52=52,IF($U52="","",IF((BX52)-(0)&gt;0,"X",IF((BY52)-(0)&gt;0,"?",""))),"")</f>
        <v/>
      </c>
      <c r="CA52" s="493">
        <f>IF(52=52,IF($U52="","",SUMPRODUCT(--ISNUMBER(SEARCH(" "&amp;$CR$2073:$CR$2093&amp;" ",$AA52)))),"")</f>
        <v>0</v>
      </c>
      <c r="CB52" s="493">
        <f>IF(52=52,IF($U52="","",SUMPRODUCT(--ISNUMBER(SEARCH(" "&amp;$CR$2094:$CR$2133&amp;" ",SUBSTITUTE(SUBSTITUTE($AA52," "&amp;$CR$1367&amp;" "," ")," "&amp;$CR$1366&amp;" "," "))))+--ISNUMBER(SEARCH("poiré",$V52))),"")</f>
        <v>0</v>
      </c>
      <c r="CC52" s="493" t="str">
        <f>IF(52=52,IF($U52="","",IF(OR(CA52&gt;0,ISNUMBER(SEARCH(" vinaigre de vin ",$AA52)),ISNUMBER(SEARCH(" vinaigre au vin ",$AA52))),"X",IF(CB52&gt;0,"?",""))),"")</f>
        <v/>
      </c>
      <c r="CD52" s="493">
        <f>IF(52=52,IF($U52="","",SUMPRODUCT(--ISNUMBER(SEARCH(" "&amp;$CR$2134:$CR$2146&amp;" ",$AA52)))),"")</f>
        <v>0</v>
      </c>
      <c r="CE52" s="493">
        <f>IF(52=52,IF($U52="","",SUMPRODUCT(--ISNUMBER(SEARCH(" "&amp;$CR$2147:$CR$2152&amp;" ",$AA52)))),"")</f>
        <v>0</v>
      </c>
      <c r="CF52" s="493" t="str">
        <f>IF(52=52,IF($U52="","",IF((CD52)-(0)&gt;0,"X",IF((CE52)-(0)&gt;0,"?",""))),"")</f>
        <v/>
      </c>
      <c r="CG52" s="493">
        <f>IF(52=52,IF($U52="","",SUMPRODUCT(--ISNUMBER(SEARCH(" "&amp;$CR$2153:$CR$2252&amp;" ",$CJ52)))),"")</f>
        <v>0</v>
      </c>
      <c r="CH52" s="493">
        <f>IF(52=52,IF($U52="","",SUMPRODUCT(--ISNUMBER(SEARCH(" "&amp;$CR$2253:$CR$2352&amp;" ",$CJ52)))),"")</f>
        <v>0</v>
      </c>
      <c r="CI52" s="493">
        <f>IF(52=52,IF($U52="","",SUMPRODUCT(--ISNUMBER(SEARCH(" "&amp;$CR$2353:$CR$2395&amp;" ",$CJ52)))),"")</f>
        <v>0</v>
      </c>
      <c r="CJ52" s="493" t="str">
        <f>IF(52=52,IF($U52="","",SUBSTITUTE(SUBSTITUTE(SUBSTITUTE(SUBSTITUTE(SUBSTITUTE(SUBSTITUTE(SUBSTITUTE(SUBSTITUTE(SUBSTITUTE(SUBSTITUTE(SUBSTITUTE(SUBSTITUTE(SUBSTITUTE(SUBSTITUTE(SUBSTITUTE(SUBSTITUTE($AA52," "&amp;$CR$2401&amp;" "," ")," "&amp;$CR$2400&amp;" "," ")," "&amp;$CR$2399&amp;" "," ")," "&amp;$CR$2406&amp;" "," ")," "&amp;$CR$2398&amp;" "," ")," "&amp;$CR$2410&amp;" "," ")," "&amp;$CR$2397&amp;" "," ")," "&amp;$CR$2402&amp;" "," ")," "&amp;$CR$2405&amp;" "," ")," "&amp;$CR$2396&amp;" "," ")," "&amp;$CR$2404&amp;" "," ")," "&amp;$CR$2411&amp;" "," ")," "&amp;$CR$2408&amp;" "," ")," "&amp;$CR$2403&amp;" "," ")," "&amp;$CR$2407&amp;" "," ")," "&amp;$CR$2409&amp;" "," ")),"")</f>
        <v xml:space="preserve"> pommes de terre bf 15 </v>
      </c>
      <c r="CK52" s="493">
        <f>IF(52=52,IF($U52="","",SUMPRODUCT(--ISNUMBER(SEARCH(" "&amp;$CR$2412:$CR$2416&amp;" ",$CJ52)))),"")</f>
        <v>0</v>
      </c>
      <c r="CL52" s="493" t="str">
        <f>IF(52=52,IF($U52="","",IF(SUM(CG52:CI52)&gt;0,"X",IF(CK52&gt;0,"?",""))),"")</f>
        <v/>
      </c>
      <c r="CM52" s="494"/>
      <c r="CN52" s="496" t="s">
        <v>1235</v>
      </c>
      <c r="CO52" s="496" t="s">
        <v>1083</v>
      </c>
      <c r="CP52" s="496" t="s">
        <v>689</v>
      </c>
      <c r="CQ52" s="496" t="s">
        <v>1236</v>
      </c>
      <c r="CR52" s="496" t="s">
        <v>1236</v>
      </c>
      <c r="CS52" s="496" t="s">
        <v>1085</v>
      </c>
      <c r="CT52" s="496" t="s">
        <v>1086</v>
      </c>
      <c r="CU52" s="496" t="s">
        <v>1087</v>
      </c>
      <c r="CV52" s="497" t="s">
        <v>1088</v>
      </c>
      <c r="CX52" s="543">
        <v>1</v>
      </c>
    </row>
    <row r="53" spans="1:102" ht="21" customHeight="1">
      <c r="A53" s="509">
        <v>47</v>
      </c>
      <c r="B53" s="510" t="s">
        <v>5890</v>
      </c>
      <c r="C53" s="511" t="str">
        <f t="shared" si="0"/>
        <v>Pommes de terre sautées en rondelles précuites surgelées</v>
      </c>
      <c r="D53" s="512" t="str">
        <f>IF(53=53,IF($B53="","",IF(E53="X",""&amp;"Céréales contenant du gluten","")&amp;IF(F53="X",IF(COUNTIF($E53:$E53,"X")&gt;0,", ","")&amp;"Crustacés","")&amp;IF(G53="X",IF(COUNTIF($E53:$F53,"X")&gt;0,", ","")&amp;"Œufs","")&amp;IF(H53="X",IF(COUNTIF($E53:$G53,"X")&gt;0,", ","")&amp;"Poissons","")&amp;IF(I53="X",IF(COUNTIF($E53:$H53,"X")&gt;0,", ","")&amp;"Arachides","")&amp;IF(J53="X",IF(COUNTIF($E53:$I53,"X")&gt;0,", ","")&amp;"Soja","")&amp;IF(K53="X",IF(COUNTIF($E53:$J53,"X")&gt;0,", ","")&amp;"Lait","")&amp;IF(L53="X",IF(COUNTIF($E53:$K53,"X")&gt;0,", ","")&amp;"Fruits à coque","")&amp;IF(M53="X",IF(COUNTIF($E53:$L53,"X")&gt;0,", ","")&amp;"Céleri","")&amp;IF(N53="X",IF(COUNTIF($E53:$M53,"X")&gt;0,", ","")&amp;"Moutarde","")&amp;IF(O53="X",IF(COUNTIF($E53:$N53,"X")&gt;0,", ","")&amp;"Sésame","")&amp;IF(P53="X",IF(COUNTIF($E53:$O53,"X")&gt;0,", ","")&amp;"Sulfites","")&amp;IF(Q53="X",IF(COUNTIF($E53:$P53,"X")&gt;0,", ","")&amp;"Lupin","")&amp;IF(R53="X",IF(COUNTIF($E53:$Q53,"X")&gt;0,", ","")&amp;"Mollusques","")),"")</f>
        <v/>
      </c>
      <c r="E53" s="513" t="str">
        <f>IF(53=53,IF($B53="","",AF53),"")</f>
        <v/>
      </c>
      <c r="F53" s="513" t="str">
        <f>IF(53=53,IF($B53="","",AI53),"")</f>
        <v/>
      </c>
      <c r="G53" s="513" t="str">
        <f>IF(53=53,IF($B53="","",AM53),"")</f>
        <v/>
      </c>
      <c r="H53" s="513" t="str">
        <f>IF(53=53,IF($B53="","",IF(ISNUMBER(SEARCH(" colin ",$AA53)),"X",AZ53)),"")</f>
        <v/>
      </c>
      <c r="I53" s="513" t="str">
        <f>IF(53=53,IF($B53="","",BB53),"")</f>
        <v/>
      </c>
      <c r="J53" s="513" t="str">
        <f>IF(53=53,IF($B53="","",BF53),"")</f>
        <v/>
      </c>
      <c r="K53" s="513" t="str">
        <f>IF(53=53,IF($B53="","",BM53),"")</f>
        <v/>
      </c>
      <c r="L53" s="513" t="str">
        <f>IF(53=53,IF($B53="","",BQ53),"")</f>
        <v/>
      </c>
      <c r="M53" s="513" t="str">
        <f>IF(53=53,IF($B53="","",BT53),"")</f>
        <v/>
      </c>
      <c r="N53" s="513" t="str">
        <f>IF(53=53,IF($B53="","",BW53),"")</f>
        <v/>
      </c>
      <c r="O53" s="513" t="str">
        <f>IF(53=53,IF($B53="","",BZ53),"")</f>
        <v/>
      </c>
      <c r="P53" s="513" t="str">
        <f>IF(53=53,IF($B53="","",CC53),"")</f>
        <v/>
      </c>
      <c r="Q53" s="513" t="str">
        <f>IF(53=53,IF($B53="","",CF53),"")</f>
        <v/>
      </c>
      <c r="R53" s="513" t="str">
        <f>IF(53=53,IF($B53="","",CL53),"")</f>
        <v/>
      </c>
      <c r="S53" s="514" t="str">
        <f>IF(53=53,IF($B53="","",IF(E53="?",""&amp;"Céréales contenant du gluten","")&amp;IF(F53="?",IF(COUNTIF($E53:$E53,"~?")&gt;0,", ","")&amp;"Crustacés","")&amp;IF(G53="?",IF(COUNTIF($E53:$F53,"~?")&gt;0,", ","")&amp;"Œufs","")&amp;IF(H53="?",IF(COUNTIF($E53:$G53,"~?")&gt;0,", ","")&amp;"Poissons","")&amp;IF(I53="?",IF(COUNTIF($E53:$H53,"~?")&gt;0,", ","")&amp;"Arachides","")&amp;IF(J53="?",IF(COUNTIF($E53:$I53,"~?")&gt;0,", ","")&amp;"Soja","")&amp;IF(K53="?",IF(COUNTIF($E53:$J53,"~?")&gt;0,", ","")&amp;"Lait","")&amp;IF(L53="?",IF(COUNTIF($E53:$K53,"~?")&gt;0,", ","")&amp;"Fruits à coque","")&amp;IF(M53="?",IF(COUNTIF($E53:$L53,"~?")&gt;0,", ","")&amp;"Céleri","")&amp;IF(N53="?",IF(COUNTIF($E53:$M53,"~?")&gt;0,", ","")&amp;"Moutarde","")&amp;IF(O53="?",IF(COUNTIF($E53:$N53,"~?")&gt;0,", ","")&amp;"Sésame","")&amp;IF(P53="?",IF(COUNTIF($E53:$O53,"~?")&gt;0,", ","")&amp;"Sulfites","")&amp;IF(Q53="?",IF(COUNTIF($E53:$P53,"~?")&gt;0,", ","")&amp;"Lupin","")&amp;IF(R53="?",IF(COUNTIF($E53:$Q53,"~?")&gt;0,", ","")&amp;"Mollusques","")),"")</f>
        <v/>
      </c>
      <c r="U53" s="493" t="str">
        <f>IF(53=53,IF($B53="","",$B53),"")</f>
        <v>Pommes de terre sautées en rondelles précuites surgelées</v>
      </c>
      <c r="V53" s="493" t="str">
        <f>IF(53=53,LOWER(CLEAN(SUBSTITUTE(SUBSTITUTE(SUBSTITUTE(SUBSTITUTE($U53,CHAR(160)," ")," "," "),CHAR(10)," "),CHAR(13)," "))),"")</f>
        <v>pommes de terre sautées en rondelles précuites surgelées</v>
      </c>
      <c r="W53" s="493" t="str">
        <f>IF(53=53,SUBSTITUTE(SUBSTITUTE(SUBSTITUTE(SUBSTITUTE(SUBSTITUTE(SUBSTITUTE(SUBSTITUTE(SUBSTITUTE(SUBSTITUTE(SUBSTITUTE(SUBSTITUTE(SUBSTITUTE($V53,"œ","oe"),"æ","ae"),"à","a"),"á","a"),"â","a"),"ä","a"),"ã","a"),"ç","c"),"è","e"),"é","e"),"ê","e"),"ë","e"),"")</f>
        <v>pommes de terre sautees en rondelles precuites surgelees</v>
      </c>
      <c r="X53" s="493" t="str">
        <f>IF(53=53,SUBSTITUTE(SUBSTITUTE(SUBSTITUTE(SUBSTITUTE(SUBSTITUTE(SUBSTITUTE(SUBSTITUTE(SUBSTITUTE(SUBSTITUTE(SUBSTITUTE(SUBSTITUTE(SUBSTITUTE(SUBSTITUTE(SUBSTITUTE(SUBSTITUTE(SUBSTITUTE($W53,"ì","i"),"í","i"),"î","i"),"ï","i"),"ñ","n"),"ò","o"),"ó","o"),"ô","o"),"ö","o"),"õ","o"),"ù","u"),"ú","u"),"û","u"),"ü","u"),"ý","y"),"ÿ","y"),"")</f>
        <v>pommes de terre sautees en rondelles precuites surgelees</v>
      </c>
      <c r="Y53" s="493" t="str">
        <f>IF(53=53,SUBSTITUTE(SUBSTITUTE(SUBSTITUTE(SUBSTITUTE(SUBSTITUTE(SUBSTITUTE(SUBSTITUTE(SUBSTITUTE(SUBSTITUTE(SUBSTITUTE(SUBSTITUTE(SUBSTITUTE(SUBSTITUTE(SUBSTITUTE($X53,"’"," "),"`"," "),"–"," "),"—"," "),"-"," "),"'"," "),"/"," "),"_"," "),","," "),"."," "),"("," "),")"," "),";"," "),":"," "),"")</f>
        <v>pommes de terre sautees en rondelles precuites surgelees</v>
      </c>
      <c r="Z53" s="493" t="str">
        <f>IF(53=53,SUBSTITUTE(SUBSTITUTE(SUBSTITUTE(SUBSTITUTE(SUBSTITUTE(SUBSTITUTE(SUBSTITUTE(SUBSTITUTE(SUBSTITUTE(SUBSTITUTE(SUBSTITUTE(SUBSTITUTE(SUBSTITUTE(SUBSTITUTE(SUBSTITUTE($Y53,"!"," "),"?"," "),"+"," "),"*"," "),"&amp;"," "),"["," "),"]"," "),"{"," "),"}"," "),"%"," "),"="," "),"\"," "),"|"," "),"&lt;"," "),"&gt;"," "),"")</f>
        <v>pommes de terre sautees en rondelles precuites surgelees</v>
      </c>
      <c r="AA53" s="493" t="str">
        <f>IF(53=53," "&amp;TRIM(SUBSTITUTE(SUBSTITUTE(SUBSTITUTE(SUBSTITUTE(SUBSTITUTE(SUBSTITUTE($Z53,CHAR(34)," "),"  "," "),"  "," "),"  "," "),"  "," "),"  "," "))&amp;" ","")</f>
        <v xml:space="preserve"> pommes de terre sautees en rondelles precuites surgelees </v>
      </c>
      <c r="AB53" s="493">
        <f>IF(53=53,IF($U53="","",SUMPRODUCT(--ISNUMBER(SEARCH(" "&amp;$CR$2:$CR$101&amp;" ",$AD53)))),"")</f>
        <v>0</v>
      </c>
      <c r="AC53" s="493">
        <f>IF(53=53,IF($U53="","",SUMPRODUCT(--ISNUMBER(SEARCH(" "&amp;$CR$102:$CR$151&amp;" ",$AD53)))),"")</f>
        <v>0</v>
      </c>
      <c r="AD53" s="493" t="str">
        <f t="shared" si="1"/>
        <v xml:space="preserve"> pommes de terre sautees en rondelles precuites surgelees </v>
      </c>
      <c r="AE53" s="493">
        <f t="shared" si="2"/>
        <v>0</v>
      </c>
      <c r="AF53" s="493" t="str">
        <f>IF(53=53,IF($U53="","",IF(SUM(AB53:AC53)+SUMPRODUCT(--ISNUMBER(SEARCH(" "&amp;$CR$2418:$CR$2420&amp;" ",$AD53)))&gt;0,"X",IF(AE53&gt;0,"?",""))),"")</f>
        <v/>
      </c>
      <c r="AG53" s="493">
        <f>IF(53=53,IF($U53="","",SUMPRODUCT(--ISNUMBER(SEARCH(" "&amp;$CR$206:$CR$305&amp;" ",$AA53)))),"")</f>
        <v>0</v>
      </c>
      <c r="AH53" s="493">
        <f>IF(53=53,IF($U53="","",SUMPRODUCT(--ISNUMBER(SEARCH(" "&amp;$CR$306:$CR$340&amp;" ",$AA53)))),"")</f>
        <v>0</v>
      </c>
      <c r="AI53" s="493" t="str">
        <f>IF(53=53,IF($U53="","",IF((SUM(AG53:AH53))-(0)&gt;0,"X",IF((0)-(0)&gt;0,"?",""))),"")</f>
        <v/>
      </c>
      <c r="AJ53" s="493">
        <f>IF(53=53,IF($U53="","",SUMPRODUCT(--ISNUMBER(SEARCH(" "&amp;$CR$341:$CR$398&amp;" ",$AA53)))),"")</f>
        <v>0</v>
      </c>
      <c r="AK53" s="493">
        <f>IF(53=53,IF($U53="","",SUMPRODUCT(--ISNUMBER(SEARCH(" "&amp;$CR$399:$CR$426&amp;" ",$AL53)))+SUMPRODUCT(--ISNUMBER(SEARCH(" "&amp;$CR$2440:$CR$2453&amp;" ",$AL53)))),"")</f>
        <v>0</v>
      </c>
      <c r="AL53" s="493" t="str">
        <f>IF(53=53,IF($U53="","",SUBSTITUTE(SUBSTITUTE(SUBSTITUTE(SUBSTITUTE(SUBSTITUTE(SUBSTITUTE(SUBSTITUTE(SUBSTITUTE(SUBSTITUTE(SUBSTITUTE(SUBSTITUTE(SUBSTITUTE(SUBSTITUTE(SUBSTITUTE($AA53," "&amp;$CR$2455&amp;" "," ")," "&amp;$CR$433&amp;" "," ")," "&amp;$CR$431&amp;" "," ")," "&amp;$CR$2438&amp;" "," ")," "&amp;$CR$2439&amp;" "," ")," "&amp;$CR$428&amp;" "," ")," "&amp;$CR$432&amp;" "," ")," "&amp;$CR$434&amp;" "," ")," "&amp;$CR$429&amp;" "," ")," "&amp;$CR$427&amp;" "," ")," "&amp;$CR$1367&amp;" "," ")," "&amp;$CR$435&amp;" "," ")," "&amp;$CR$1366&amp;" "," ")," "&amp;$CR$430&amp;" "," ")),"")</f>
        <v xml:space="preserve"> pommes de terre sautees en rondelles precuites surgelees </v>
      </c>
      <c r="AM53" s="493" t="str">
        <f>IF(53=53,IF($U53="","",IF(AJ53&gt;0,"X",IF(AK53&gt;0,"?",""))),"")</f>
        <v/>
      </c>
      <c r="AN53" s="493">
        <f>IF(53=53,IF($U53="","",SUMPRODUCT(--ISNUMBER(SEARCH(" "&amp;$CR$436:$CR$535&amp;" ",$AX53)))),"")</f>
        <v>0</v>
      </c>
      <c r="AO53" s="493">
        <f>IF(53=53,IF($U53="","",SUMPRODUCT(--ISNUMBER(SEARCH(" "&amp;$CR$536:$CR$635&amp;" ",$AX53)))),"")</f>
        <v>0</v>
      </c>
      <c r="AP53" s="493">
        <f>IF(53=53,IF($U53="","",SUMPRODUCT(--ISNUMBER(SEARCH(" "&amp;$CR$636:$CR$735&amp;" ",$AX53)))),"")</f>
        <v>0</v>
      </c>
      <c r="AQ53" s="493">
        <f>IF(53=53,IF($U53="","",SUMPRODUCT(--ISNUMBER(SEARCH(" "&amp;$CR$736:$CR$835&amp;" ",$AX53)))),"")</f>
        <v>0</v>
      </c>
      <c r="AR53" s="493">
        <f>IF(53=53,IF($U53="","",SUMPRODUCT(--ISNUMBER(SEARCH(" "&amp;$CR$836:$CR$935&amp;" ",$AX53)))),"")</f>
        <v>0</v>
      </c>
      <c r="AS53" s="493">
        <f>IF(53=53,IF($U53="","",SUMPRODUCT(--ISNUMBER(SEARCH(" "&amp;$CR$936:$CR$1035&amp;" ",$AX53)))),"")</f>
        <v>0</v>
      </c>
      <c r="AT53" s="493">
        <f>IF(53=53,IF($U53="","",SUMPRODUCT(--ISNUMBER(SEARCH(" "&amp;$CR$1036:$CR$1135&amp;" ",$AX53)))),"")</f>
        <v>0</v>
      </c>
      <c r="AU53" s="493">
        <f>IF(53=53,IF($U53="","",SUMPRODUCT(--ISNUMBER(SEARCH(" "&amp;$CR$1136:$CR$1235&amp;" ",$AX53)))),"")</f>
        <v>0</v>
      </c>
      <c r="AV53" s="493">
        <f>IF(53=53,IF($U53="","",SUMPRODUCT(--ISNUMBER(SEARCH(" "&amp;$CR$1236:$CR$1335&amp;" ",$AX53)))),"")</f>
        <v>0</v>
      </c>
      <c r="AW53" s="493">
        <f>IF(53=53,IF($U53="","",SUMPRODUCT(--ISNUMBER(SEARCH(" "&amp;$CR$1336:$CR$1363&amp;" ",$AX53)))),"")</f>
        <v>0</v>
      </c>
      <c r="AX53" s="493" t="str">
        <f>IF(53=53,IF($U53="","",SUBSTITUTE(SUBSTITUTE(SUBSTITUTE(SUBSTITUTE(SUBSTITUTE(SUBSTITUTE(SUBSTITUTE(SUBSTITUTE(SUBSTITUTE($AA53," "&amp;$CR$1365&amp;" "," ")," "&amp;$CR$1364&amp;" "," ")," "&amp;$CR$1370&amp;" "," ")," "&amp;$CR$1371&amp;" "," ")," "&amp;$CR$1367&amp;" "," ")," "&amp;$CR$1369&amp;" "," ")," "&amp;$CR$1366&amp;" "," ")," "&amp;$CR$1368&amp;" "," ")," "&amp;$CR$1372&amp;" "," ")),"")</f>
        <v xml:space="preserve"> pommes de terre sautees en rondelles precuites surgelees </v>
      </c>
      <c r="AY53" s="493">
        <f>IF(53=53,IF($U53="","",SUMPRODUCT(--ISNUMBER(SEARCH(" "&amp;$CR$1373:$CR$1383&amp;" ",$AX53)))),"")</f>
        <v>0</v>
      </c>
      <c r="AZ53" s="493" t="str">
        <f>IF(53=53,IF($U53="","",IF(SUM(AN53:AW53)+SUMPRODUCT(--ISNUMBER(SEARCH(" "&amp;$CR$2421:$CR$2422&amp;" ",$AX53)))&gt;0,"X",IF(AY53&gt;0,"?",""))),"")</f>
        <v/>
      </c>
      <c r="BA53" s="493">
        <f>IF(53=53,IF($U53="","",SUMPRODUCT(--ISNUMBER(SEARCH(" "&amp;$CR$1384:$CR$1404&amp;" ",$AA53)))),"")</f>
        <v>0</v>
      </c>
      <c r="BB53" s="493" t="str">
        <f>IF(53=53,IF($U53="","",IF((BA53)-(0)&gt;0,"X",IF((0)-(0)&gt;0,"?",""))),"")</f>
        <v/>
      </c>
      <c r="BC53" s="493">
        <f>IF(53=53,IF($U53="","",SUMPRODUCT(--ISNUMBER(SEARCH(" "&amp;$CR$1405:$CR$1442&amp;" ",$BD53)))),"")</f>
        <v>0</v>
      </c>
      <c r="BD53" s="493" t="str">
        <f>IF(53=53,IF($U53="","",SUBSTITUTE(SUBSTITUTE($AA53," "&amp;$CR$1443&amp;" "," ")," "&amp;$CR$1444&amp;" "," ")),"")</f>
        <v xml:space="preserve"> pommes de terre sautees en rondelles precuites surgelees </v>
      </c>
      <c r="BE53" s="493">
        <f>IF(53=53,IF($U53="","",SUMPRODUCT(--ISNUMBER(SEARCH(" "&amp;$CR$1445:$CR$1455&amp;" ",$BD53)))),"")</f>
        <v>0</v>
      </c>
      <c r="BF53" s="493" t="str">
        <f>IF(53=53,IF($U53="","",IF(BC53&gt;0,"X",IF(BE53&gt;0,"?",""))),"")</f>
        <v/>
      </c>
      <c r="BG53" s="493">
        <f>IF(53=53,IF($U53="","",SUMPRODUCT(--ISNUMBER(SEARCH(" "&amp;$CR$1456:$CR$1555&amp;" ",$BJ53)))),"")</f>
        <v>0</v>
      </c>
      <c r="BH53" s="493">
        <f>IF(53=53,IF($U53="","",SUMPRODUCT(--ISNUMBER(SEARCH(" "&amp;$CR$1556:$CR$1655&amp;" ",$BJ53)))),"")</f>
        <v>0</v>
      </c>
      <c r="BI53" s="493">
        <f>IF(53=53,IF($U53="","",SUMPRODUCT(--ISNUMBER(SEARCH(" "&amp;$CR$1656:$CR$1739&amp;" ",$BJ53)))),"")</f>
        <v>0</v>
      </c>
      <c r="BJ53" s="493" t="str">
        <f>IF(53=53,IF($U53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pommes de terre sautees en rondelles precuites surgelees </v>
      </c>
      <c r="BK53" s="493">
        <f>IF(53=53,IF($U53="","",SUMPRODUCT(--ISNUMBER(SEARCH(" "&amp;$CR$1790:$CR$1869&amp;" ",$BL53)))+SUMPRODUCT(--ISNUMBER(SEARCH(" "&amp;$CR$2440:$CR$2453&amp;" ",$BL53)))),"")</f>
        <v>0</v>
      </c>
      <c r="BL53" s="493" t="str">
        <f>IF(53=53,IF($U53="","",SUBSTITUTE(SUBSTITUTE(SUBSTITUTE(SUBSTITUTE(SUBSTITUTE(SUBSTITUTE(SUBSTITUTE(SUBSTITUTE(SUBSTITUTE(SUBSTITUTE(SUBSTITUTE(SUBSTITUTE(SUBSTITUTE($BJ53," "&amp;$CR$1876&amp;" "," ")," "&amp;$CR$1874&amp;" "," ")," "&amp;$CR$2438&amp;" "," ")," "&amp;$CR$2439&amp;" "," ")," "&amp;$CR$1871&amp;" "," ")," "&amp;$CR$1875&amp;" "," ")," "&amp;$CR$1877&amp;" "," ")," "&amp;$CR$1872&amp;" "," ")," "&amp;$CR$1870&amp;" "," ")," "&amp;$CR$1367&amp;" "," ")," "&amp;$CR$1878&amp;" "," ")," "&amp;$CR$1366&amp;" "," ")," "&amp;$CR$1873&amp;" "," ")),"")</f>
        <v xml:space="preserve"> pommes de terre sautees en rondelles precuites surgelees </v>
      </c>
      <c r="BM53" s="493" t="str">
        <f>IF(53=53,IF($U53="","",IF(SUM(BG53:BI53)+SUMPRODUCT(--ISNUMBER(SEARCH(" "&amp;$CR$2423:$CR$2424&amp;" ",$BJ53)))&gt;0,"X",IF(BK53&gt;0,"?",""))),"")</f>
        <v/>
      </c>
      <c r="BN53" s="493">
        <f>IF(53=53,IF($U53="","",SUMPRODUCT(--ISNUMBER(SEARCH(" "&amp;$CR$1879:$CR$1936&amp;" ",$BO53)))),"")</f>
        <v>0</v>
      </c>
      <c r="BO53" s="493" t="str">
        <f>IF(53=53,IF($U53="","",SUBSTITUTE(SUBSTITUTE(SUBSTITUTE(SUBSTITUTE(SUBSTITUTE(SUBSTITUTE(SUBSTITUTE(SUBSTITUTE(SUBSTITUTE(SUBSTITUTE(SUBSTITUTE(SUBSTITUTE(SUBSTITUTE(SUBSTITUTE(SUBSTITUTE(SUBSTITUTE(SUBSTITUTE(SUBSTITUTE(SUBSTITUTE(SUBSTITUTE(SUBSTITUTE(SUBSTITUTE(SUBSTITUTE($AA53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pommes de terre sautees en rondelles precuites surgelees </v>
      </c>
      <c r="BP53" s="493">
        <f>IF(53=53,IF($U53="","",SUMPRODUCT(--ISNUMBER(SEARCH(" "&amp;$CR$1960:$CR$1976&amp;" ",$BO53)))),"")</f>
        <v>0</v>
      </c>
      <c r="BQ53" s="493" t="str">
        <f>IF(53=53,IF($U53="","",IF(BN53&gt;0,"X",IF(BP53&gt;0,"?",""))),"")</f>
        <v/>
      </c>
      <c r="BR53" s="493">
        <f>IF(53=53,IF($U53="","",SUMPRODUCT(--ISNUMBER(SEARCH(" "&amp;$CR$1977:$CR$1990&amp;" ",$AA53)))),"")</f>
        <v>0</v>
      </c>
      <c r="BS53" s="493">
        <f>IF(53=53,IF($U53="","",SUMPRODUCT(--ISNUMBER(SEARCH(" "&amp;$CR$1991:$CR$2005&amp;" ",$AA53)))),"")</f>
        <v>0</v>
      </c>
      <c r="BT53" s="493" t="str">
        <f>IF(53=53,IF($U53="","",IF((BR53)-(0)&gt;0,"X",IF((BS53)-(0)&gt;0,"?",""))),"")</f>
        <v/>
      </c>
      <c r="BU53" s="493">
        <f>IF(53=53,IF($U53="","",SUMPRODUCT(--ISNUMBER(SEARCH(" "&amp;$CR$2006:$CR$2023&amp;" ",$AA53)))),"")</f>
        <v>0</v>
      </c>
      <c r="BV53" s="493">
        <f>IF(53=53,IF($U53="","",SUMPRODUCT(--ISNUMBER(SEARCH(" "&amp;$CR$2024:$CR$2038&amp;" ",$AA53)))),"")</f>
        <v>0</v>
      </c>
      <c r="BW53" s="493" t="str">
        <f>IF(53=53,IF($U53="","",IF((BU53)-(0)&gt;0,"X",IF((BV53)-(0)&gt;0,"?",""))),"")</f>
        <v/>
      </c>
      <c r="BX53" s="493">
        <f>IF(53=53,IF($U53="","",SUMPRODUCT(--ISNUMBER(SEARCH(" "&amp;$CR$2039:$CR$2057&amp;" ",$AA53)))),"")</f>
        <v>0</v>
      </c>
      <c r="BY53" s="493">
        <f>IF(53=53,IF($U53="","",SUMPRODUCT(--ISNUMBER(SEARCH(" "&amp;$CR$2058:$CR$2072&amp;" ",$AA53)))),"")</f>
        <v>0</v>
      </c>
      <c r="BZ53" s="493" t="str">
        <f>IF(53=53,IF($U53="","",IF((BX53)-(0)&gt;0,"X",IF((BY53)-(0)&gt;0,"?",""))),"")</f>
        <v/>
      </c>
      <c r="CA53" s="493">
        <f>IF(53=53,IF($U53="","",SUMPRODUCT(--ISNUMBER(SEARCH(" "&amp;$CR$2073:$CR$2093&amp;" ",$AA53)))),"")</f>
        <v>0</v>
      </c>
      <c r="CB53" s="493">
        <f>IF(53=53,IF($U53="","",SUMPRODUCT(--ISNUMBER(SEARCH(" "&amp;$CR$2094:$CR$2133&amp;" ",SUBSTITUTE(SUBSTITUTE($AA53," "&amp;$CR$1367&amp;" "," ")," "&amp;$CR$1366&amp;" "," "))))+--ISNUMBER(SEARCH("poiré",$V53))),"")</f>
        <v>0</v>
      </c>
      <c r="CC53" s="493" t="str">
        <f>IF(53=53,IF($U53="","",IF(OR(CA53&gt;0,ISNUMBER(SEARCH(" vinaigre de vin ",$AA53)),ISNUMBER(SEARCH(" vinaigre au vin ",$AA53))),"X",IF(CB53&gt;0,"?",""))),"")</f>
        <v/>
      </c>
      <c r="CD53" s="493">
        <f>IF(53=53,IF($U53="","",SUMPRODUCT(--ISNUMBER(SEARCH(" "&amp;$CR$2134:$CR$2146&amp;" ",$AA53)))),"")</f>
        <v>0</v>
      </c>
      <c r="CE53" s="493">
        <f>IF(53=53,IF($U53="","",SUMPRODUCT(--ISNUMBER(SEARCH(" "&amp;$CR$2147:$CR$2152&amp;" ",$AA53)))),"")</f>
        <v>0</v>
      </c>
      <c r="CF53" s="493" t="str">
        <f>IF(53=53,IF($U53="","",IF((CD53)-(0)&gt;0,"X",IF((CE53)-(0)&gt;0,"?",""))),"")</f>
        <v/>
      </c>
      <c r="CG53" s="493">
        <f>IF(53=53,IF($U53="","",SUMPRODUCT(--ISNUMBER(SEARCH(" "&amp;$CR$2153:$CR$2252&amp;" ",$CJ53)))),"")</f>
        <v>0</v>
      </c>
      <c r="CH53" s="493">
        <f>IF(53=53,IF($U53="","",SUMPRODUCT(--ISNUMBER(SEARCH(" "&amp;$CR$2253:$CR$2352&amp;" ",$CJ53)))),"")</f>
        <v>0</v>
      </c>
      <c r="CI53" s="493">
        <f>IF(53=53,IF($U53="","",SUMPRODUCT(--ISNUMBER(SEARCH(" "&amp;$CR$2353:$CR$2395&amp;" ",$CJ53)))),"")</f>
        <v>0</v>
      </c>
      <c r="CJ53" s="493" t="str">
        <f>IF(53=53,IF($U53="","",SUBSTITUTE(SUBSTITUTE(SUBSTITUTE(SUBSTITUTE(SUBSTITUTE(SUBSTITUTE(SUBSTITUTE(SUBSTITUTE(SUBSTITUTE(SUBSTITUTE(SUBSTITUTE(SUBSTITUTE(SUBSTITUTE(SUBSTITUTE(SUBSTITUTE(SUBSTITUTE($AA53," "&amp;$CR$2401&amp;" "," ")," "&amp;$CR$2400&amp;" "," ")," "&amp;$CR$2399&amp;" "," ")," "&amp;$CR$2406&amp;" "," ")," "&amp;$CR$2398&amp;" "," ")," "&amp;$CR$2410&amp;" "," ")," "&amp;$CR$2397&amp;" "," ")," "&amp;$CR$2402&amp;" "," ")," "&amp;$CR$2405&amp;" "," ")," "&amp;$CR$2396&amp;" "," ")," "&amp;$CR$2404&amp;" "," ")," "&amp;$CR$2411&amp;" "," ")," "&amp;$CR$2408&amp;" "," ")," "&amp;$CR$2403&amp;" "," ")," "&amp;$CR$2407&amp;" "," ")," "&amp;$CR$2409&amp;" "," ")),"")</f>
        <v xml:space="preserve"> pommes de terre sautees en rondelles precuites surgelees </v>
      </c>
      <c r="CK53" s="493">
        <f>IF(53=53,IF($U53="","",SUMPRODUCT(--ISNUMBER(SEARCH(" "&amp;$CR$2412:$CR$2416&amp;" ",$CJ53)))),"")</f>
        <v>0</v>
      </c>
      <c r="CL53" s="493" t="str">
        <f>IF(53=53,IF($U53="","",IF(SUM(CG53:CI53)&gt;0,"X",IF(CK53&gt;0,"?",""))),"")</f>
        <v/>
      </c>
      <c r="CM53" s="494"/>
      <c r="CN53" s="496" t="s">
        <v>1237</v>
      </c>
      <c r="CO53" s="496" t="s">
        <v>1083</v>
      </c>
      <c r="CP53" s="496" t="s">
        <v>689</v>
      </c>
      <c r="CQ53" s="496" t="s">
        <v>1238</v>
      </c>
      <c r="CR53" s="496" t="s">
        <v>1238</v>
      </c>
      <c r="CS53" s="496" t="s">
        <v>1085</v>
      </c>
      <c r="CT53" s="496" t="s">
        <v>1086</v>
      </c>
      <c r="CU53" s="496" t="s">
        <v>1087</v>
      </c>
      <c r="CV53" s="497" t="s">
        <v>1088</v>
      </c>
      <c r="CX53" s="543">
        <v>1</v>
      </c>
    </row>
    <row r="54" spans="1:102" ht="21" customHeight="1">
      <c r="A54" s="509">
        <v>48</v>
      </c>
      <c r="B54" s="510" t="s">
        <v>5891</v>
      </c>
      <c r="C54" s="511" t="str">
        <f t="shared" si="0"/>
        <v>Purée de pomme de terre ?</v>
      </c>
      <c r="D54" s="512" t="str">
        <f>IF(54=54,IF($B54="","",IF(E54="X",""&amp;"Céréales contenant du gluten","")&amp;IF(F54="X",IF(COUNTIF($E54:$E54,"X")&gt;0,", ","")&amp;"Crustacés","")&amp;IF(G54="X",IF(COUNTIF($E54:$F54,"X")&gt;0,", ","")&amp;"Œufs","")&amp;IF(H54="X",IF(COUNTIF($E54:$G54,"X")&gt;0,", ","")&amp;"Poissons","")&amp;IF(I54="X",IF(COUNTIF($E54:$H54,"X")&gt;0,", ","")&amp;"Arachides","")&amp;IF(J54="X",IF(COUNTIF($E54:$I54,"X")&gt;0,", ","")&amp;"Soja","")&amp;IF(K54="X",IF(COUNTIF($E54:$J54,"X")&gt;0,", ","")&amp;"Lait","")&amp;IF(L54="X",IF(COUNTIF($E54:$K54,"X")&gt;0,", ","")&amp;"Fruits à coque","")&amp;IF(M54="X",IF(COUNTIF($E54:$L54,"X")&gt;0,", ","")&amp;"Céleri","")&amp;IF(N54="X",IF(COUNTIF($E54:$M54,"X")&gt;0,", ","")&amp;"Moutarde","")&amp;IF(O54="X",IF(COUNTIF($E54:$N54,"X")&gt;0,", ","")&amp;"Sésame","")&amp;IF(P54="X",IF(COUNTIF($E54:$O54,"X")&gt;0,", ","")&amp;"Sulfites","")&amp;IF(Q54="X",IF(COUNTIF($E54:$P54,"X")&gt;0,", ","")&amp;"Lupin","")&amp;IF(R54="X",IF(COUNTIF($E54:$Q54,"X")&gt;0,", ","")&amp;"Mollusques","")),"")</f>
        <v/>
      </c>
      <c r="E54" s="513" t="str">
        <f>IF(54=54,IF($B54="","",AF54),"")</f>
        <v/>
      </c>
      <c r="F54" s="513" t="str">
        <f>IF(54=54,IF($B54="","",AI54),"")</f>
        <v/>
      </c>
      <c r="G54" s="513" t="str">
        <f>IF(54=54,IF($B54="","",AM54),"")</f>
        <v/>
      </c>
      <c r="H54" s="513" t="str">
        <f>IF(54=54,IF($B54="","",IF(ISNUMBER(SEARCH(" colin ",$AA54)),"X",AZ54)),"")</f>
        <v/>
      </c>
      <c r="I54" s="513" t="str">
        <f>IF(54=54,IF($B54="","",BB54),"")</f>
        <v/>
      </c>
      <c r="J54" s="513" t="str">
        <f>IF(54=54,IF($B54="","",BF54),"")</f>
        <v/>
      </c>
      <c r="K54" s="513" t="str">
        <f>IF(54=54,IF($B54="","",BM54),"")</f>
        <v>?</v>
      </c>
      <c r="L54" s="513" t="str">
        <f>IF(54=54,IF($B54="","",BQ54),"")</f>
        <v/>
      </c>
      <c r="M54" s="513" t="str">
        <f>IF(54=54,IF($B54="","",BT54),"")</f>
        <v/>
      </c>
      <c r="N54" s="513" t="str">
        <f>IF(54=54,IF($B54="","",BW54),"")</f>
        <v/>
      </c>
      <c r="O54" s="513" t="str">
        <f>IF(54=54,IF($B54="","",BZ54),"")</f>
        <v/>
      </c>
      <c r="P54" s="513" t="str">
        <f>IF(54=54,IF($B54="","",CC54),"")</f>
        <v/>
      </c>
      <c r="Q54" s="513" t="str">
        <f>IF(54=54,IF($B54="","",CF54),"")</f>
        <v/>
      </c>
      <c r="R54" s="513" t="str">
        <f>IF(54=54,IF($B54="","",CL54),"")</f>
        <v/>
      </c>
      <c r="S54" s="514" t="str">
        <f>IF(54=54,IF($B54="","",IF(E54="?",""&amp;"Céréales contenant du gluten","")&amp;IF(F54="?",IF(COUNTIF($E54:$E54,"~?")&gt;0,", ","")&amp;"Crustacés","")&amp;IF(G54="?",IF(COUNTIF($E54:$F54,"~?")&gt;0,", ","")&amp;"Œufs","")&amp;IF(H54="?",IF(COUNTIF($E54:$G54,"~?")&gt;0,", ","")&amp;"Poissons","")&amp;IF(I54="?",IF(COUNTIF($E54:$H54,"~?")&gt;0,", ","")&amp;"Arachides","")&amp;IF(J54="?",IF(COUNTIF($E54:$I54,"~?")&gt;0,", ","")&amp;"Soja","")&amp;IF(K54="?",IF(COUNTIF($E54:$J54,"~?")&gt;0,", ","")&amp;"Lait","")&amp;IF(L54="?",IF(COUNTIF($E54:$K54,"~?")&gt;0,", ","")&amp;"Fruits à coque","")&amp;IF(M54="?",IF(COUNTIF($E54:$L54,"~?")&gt;0,", ","")&amp;"Céleri","")&amp;IF(N54="?",IF(COUNTIF($E54:$M54,"~?")&gt;0,", ","")&amp;"Moutarde","")&amp;IF(O54="?",IF(COUNTIF($E54:$N54,"~?")&gt;0,", ","")&amp;"Sésame","")&amp;IF(P54="?",IF(COUNTIF($E54:$O54,"~?")&gt;0,", ","")&amp;"Sulfites","")&amp;IF(Q54="?",IF(COUNTIF($E54:$P54,"~?")&gt;0,", ","")&amp;"Lupin","")&amp;IF(R54="?",IF(COUNTIF($E54:$Q54,"~?")&gt;0,", ","")&amp;"Mollusques","")),"")</f>
        <v>Lait</v>
      </c>
      <c r="U54" s="493" t="str">
        <f>IF(54=54,IF($B54="","",$B54),"")</f>
        <v>Purée de pomme de terre</v>
      </c>
      <c r="V54" s="493" t="str">
        <f>IF(54=54,LOWER(CLEAN(SUBSTITUTE(SUBSTITUTE(SUBSTITUTE(SUBSTITUTE($U54,CHAR(160)," ")," "," "),CHAR(10)," "),CHAR(13)," "))),"")</f>
        <v>purée de pomme de terre</v>
      </c>
      <c r="W54" s="493" t="str">
        <f>IF(54=54,SUBSTITUTE(SUBSTITUTE(SUBSTITUTE(SUBSTITUTE(SUBSTITUTE(SUBSTITUTE(SUBSTITUTE(SUBSTITUTE(SUBSTITUTE(SUBSTITUTE(SUBSTITUTE(SUBSTITUTE($V54,"œ","oe"),"æ","ae"),"à","a"),"á","a"),"â","a"),"ä","a"),"ã","a"),"ç","c"),"è","e"),"é","e"),"ê","e"),"ë","e"),"")</f>
        <v>puree de pomme de terre</v>
      </c>
      <c r="X54" s="493" t="str">
        <f>IF(54=54,SUBSTITUTE(SUBSTITUTE(SUBSTITUTE(SUBSTITUTE(SUBSTITUTE(SUBSTITUTE(SUBSTITUTE(SUBSTITUTE(SUBSTITUTE(SUBSTITUTE(SUBSTITUTE(SUBSTITUTE(SUBSTITUTE(SUBSTITUTE(SUBSTITUTE(SUBSTITUTE($W54,"ì","i"),"í","i"),"î","i"),"ï","i"),"ñ","n"),"ò","o"),"ó","o"),"ô","o"),"ö","o"),"õ","o"),"ù","u"),"ú","u"),"û","u"),"ü","u"),"ý","y"),"ÿ","y"),"")</f>
        <v>puree de pomme de terre</v>
      </c>
      <c r="Y54" s="493" t="str">
        <f>IF(54=54,SUBSTITUTE(SUBSTITUTE(SUBSTITUTE(SUBSTITUTE(SUBSTITUTE(SUBSTITUTE(SUBSTITUTE(SUBSTITUTE(SUBSTITUTE(SUBSTITUTE(SUBSTITUTE(SUBSTITUTE(SUBSTITUTE(SUBSTITUTE($X54,"’"," "),"`"," "),"–"," "),"—"," "),"-"," "),"'"," "),"/"," "),"_"," "),","," "),"."," "),"("," "),")"," "),";"," "),":"," "),"")</f>
        <v>puree de pomme de terre</v>
      </c>
      <c r="Z54" s="493" t="str">
        <f>IF(54=54,SUBSTITUTE(SUBSTITUTE(SUBSTITUTE(SUBSTITUTE(SUBSTITUTE(SUBSTITUTE(SUBSTITUTE(SUBSTITUTE(SUBSTITUTE(SUBSTITUTE(SUBSTITUTE(SUBSTITUTE(SUBSTITUTE(SUBSTITUTE(SUBSTITUTE($Y54,"!"," "),"?"," "),"+"," "),"*"," "),"&amp;"," "),"["," "),"]"," "),"{"," "),"}"," "),"%"," "),"="," "),"\"," "),"|"," "),"&lt;"," "),"&gt;"," "),"")</f>
        <v>puree de pomme de terre</v>
      </c>
      <c r="AA54" s="493" t="str">
        <f>IF(54=54," "&amp;TRIM(SUBSTITUTE(SUBSTITUTE(SUBSTITUTE(SUBSTITUTE(SUBSTITUTE(SUBSTITUTE($Z54,CHAR(34)," "),"  "," "),"  "," "),"  "," "),"  "," "),"  "," "))&amp;" ","")</f>
        <v xml:space="preserve"> puree de pomme de terre </v>
      </c>
      <c r="AB54" s="493">
        <f>IF(54=54,IF($U54="","",SUMPRODUCT(--ISNUMBER(SEARCH(" "&amp;$CR$2:$CR$101&amp;" ",$AD54)))),"")</f>
        <v>0</v>
      </c>
      <c r="AC54" s="493">
        <f>IF(54=54,IF($U54="","",SUMPRODUCT(--ISNUMBER(SEARCH(" "&amp;$CR$102:$CR$151&amp;" ",$AD54)))),"")</f>
        <v>0</v>
      </c>
      <c r="AD54" s="493" t="str">
        <f t="shared" si="1"/>
        <v xml:space="preserve"> puree de pomme de terre </v>
      </c>
      <c r="AE54" s="493">
        <f t="shared" si="2"/>
        <v>0</v>
      </c>
      <c r="AF54" s="493" t="str">
        <f>IF(54=54,IF($U54="","",IF(SUM(AB54:AC54)+SUMPRODUCT(--ISNUMBER(SEARCH(" "&amp;$CR$2418:$CR$2420&amp;" ",$AD54)))&gt;0,"X",IF(AE54&gt;0,"?",""))),"")</f>
        <v/>
      </c>
      <c r="AG54" s="493">
        <f>IF(54=54,IF($U54="","",SUMPRODUCT(--ISNUMBER(SEARCH(" "&amp;$CR$206:$CR$305&amp;" ",$AA54)))),"")</f>
        <v>0</v>
      </c>
      <c r="AH54" s="493">
        <f>IF(54=54,IF($U54="","",SUMPRODUCT(--ISNUMBER(SEARCH(" "&amp;$CR$306:$CR$340&amp;" ",$AA54)))),"")</f>
        <v>0</v>
      </c>
      <c r="AI54" s="493" t="str">
        <f>IF(54=54,IF($U54="","",IF((SUM(AG54:AH54))-(0)&gt;0,"X",IF((0)-(0)&gt;0,"?",""))),"")</f>
        <v/>
      </c>
      <c r="AJ54" s="493">
        <f>IF(54=54,IF($U54="","",SUMPRODUCT(--ISNUMBER(SEARCH(" "&amp;$CR$341:$CR$398&amp;" ",$AA54)))),"")</f>
        <v>0</v>
      </c>
      <c r="AK54" s="493">
        <f>IF(54=54,IF($U54="","",SUMPRODUCT(--ISNUMBER(SEARCH(" "&amp;$CR$399:$CR$426&amp;" ",$AL54)))+SUMPRODUCT(--ISNUMBER(SEARCH(" "&amp;$CR$2440:$CR$2453&amp;" ",$AL54)))),"")</f>
        <v>0</v>
      </c>
      <c r="AL54" s="493" t="str">
        <f>IF(54=54,IF($U54="","",SUBSTITUTE(SUBSTITUTE(SUBSTITUTE(SUBSTITUTE(SUBSTITUTE(SUBSTITUTE(SUBSTITUTE(SUBSTITUTE(SUBSTITUTE(SUBSTITUTE(SUBSTITUTE(SUBSTITUTE(SUBSTITUTE(SUBSTITUTE($AA54," "&amp;$CR$2455&amp;" "," ")," "&amp;$CR$433&amp;" "," ")," "&amp;$CR$431&amp;" "," ")," "&amp;$CR$2438&amp;" "," ")," "&amp;$CR$2439&amp;" "," ")," "&amp;$CR$428&amp;" "," ")," "&amp;$CR$432&amp;" "," ")," "&amp;$CR$434&amp;" "," ")," "&amp;$CR$429&amp;" "," ")," "&amp;$CR$427&amp;" "," ")," "&amp;$CR$1367&amp;" "," ")," "&amp;$CR$435&amp;" "," ")," "&amp;$CR$1366&amp;" "," ")," "&amp;$CR$430&amp;" "," ")),"")</f>
        <v xml:space="preserve"> puree de pomme de terre </v>
      </c>
      <c r="AM54" s="493" t="str">
        <f>IF(54=54,IF($U54="","",IF(AJ54&gt;0,"X",IF(AK54&gt;0,"?",""))),"")</f>
        <v/>
      </c>
      <c r="AN54" s="493">
        <f>IF(54=54,IF($U54="","",SUMPRODUCT(--ISNUMBER(SEARCH(" "&amp;$CR$436:$CR$535&amp;" ",$AX54)))),"")</f>
        <v>0</v>
      </c>
      <c r="AO54" s="493">
        <f>IF(54=54,IF($U54="","",SUMPRODUCT(--ISNUMBER(SEARCH(" "&amp;$CR$536:$CR$635&amp;" ",$AX54)))),"")</f>
        <v>0</v>
      </c>
      <c r="AP54" s="493">
        <f>IF(54=54,IF($U54="","",SUMPRODUCT(--ISNUMBER(SEARCH(" "&amp;$CR$636:$CR$735&amp;" ",$AX54)))),"")</f>
        <v>0</v>
      </c>
      <c r="AQ54" s="493">
        <f>IF(54=54,IF($U54="","",SUMPRODUCT(--ISNUMBER(SEARCH(" "&amp;$CR$736:$CR$835&amp;" ",$AX54)))),"")</f>
        <v>0</v>
      </c>
      <c r="AR54" s="493">
        <f>IF(54=54,IF($U54="","",SUMPRODUCT(--ISNUMBER(SEARCH(" "&amp;$CR$836:$CR$935&amp;" ",$AX54)))),"")</f>
        <v>0</v>
      </c>
      <c r="AS54" s="493">
        <f>IF(54=54,IF($U54="","",SUMPRODUCT(--ISNUMBER(SEARCH(" "&amp;$CR$936:$CR$1035&amp;" ",$AX54)))),"")</f>
        <v>0</v>
      </c>
      <c r="AT54" s="493">
        <f>IF(54=54,IF($U54="","",SUMPRODUCT(--ISNUMBER(SEARCH(" "&amp;$CR$1036:$CR$1135&amp;" ",$AX54)))),"")</f>
        <v>0</v>
      </c>
      <c r="AU54" s="493">
        <f>IF(54=54,IF($U54="","",SUMPRODUCT(--ISNUMBER(SEARCH(" "&amp;$CR$1136:$CR$1235&amp;" ",$AX54)))),"")</f>
        <v>0</v>
      </c>
      <c r="AV54" s="493">
        <f>IF(54=54,IF($U54="","",SUMPRODUCT(--ISNUMBER(SEARCH(" "&amp;$CR$1236:$CR$1335&amp;" ",$AX54)))),"")</f>
        <v>0</v>
      </c>
      <c r="AW54" s="493">
        <f>IF(54=54,IF($U54="","",SUMPRODUCT(--ISNUMBER(SEARCH(" "&amp;$CR$1336:$CR$1363&amp;" ",$AX54)))),"")</f>
        <v>0</v>
      </c>
      <c r="AX54" s="493" t="str">
        <f>IF(54=54,IF($U54="","",SUBSTITUTE(SUBSTITUTE(SUBSTITUTE(SUBSTITUTE(SUBSTITUTE(SUBSTITUTE(SUBSTITUTE(SUBSTITUTE(SUBSTITUTE($AA54," "&amp;$CR$1365&amp;" "," ")," "&amp;$CR$1364&amp;" "," ")," "&amp;$CR$1370&amp;" "," ")," "&amp;$CR$1371&amp;" "," ")," "&amp;$CR$1367&amp;" "," ")," "&amp;$CR$1369&amp;" "," ")," "&amp;$CR$1366&amp;" "," ")," "&amp;$CR$1368&amp;" "," ")," "&amp;$CR$1372&amp;" "," ")),"")</f>
        <v xml:space="preserve"> puree de pomme de terre </v>
      </c>
      <c r="AY54" s="493">
        <f>IF(54=54,IF($U54="","",SUMPRODUCT(--ISNUMBER(SEARCH(" "&amp;$CR$1373:$CR$1383&amp;" ",$AX54)))),"")</f>
        <v>0</v>
      </c>
      <c r="AZ54" s="493" t="str">
        <f>IF(54=54,IF($U54="","",IF(SUM(AN54:AW54)+SUMPRODUCT(--ISNUMBER(SEARCH(" "&amp;$CR$2421:$CR$2422&amp;" ",$AX54)))&gt;0,"X",IF(AY54&gt;0,"?",""))),"")</f>
        <v/>
      </c>
      <c r="BA54" s="493">
        <f>IF(54=54,IF($U54="","",SUMPRODUCT(--ISNUMBER(SEARCH(" "&amp;$CR$1384:$CR$1404&amp;" ",$AA54)))),"")</f>
        <v>0</v>
      </c>
      <c r="BB54" s="493" t="str">
        <f>IF(54=54,IF($U54="","",IF((BA54)-(0)&gt;0,"X",IF((0)-(0)&gt;0,"?",""))),"")</f>
        <v/>
      </c>
      <c r="BC54" s="493">
        <f>IF(54=54,IF($U54="","",SUMPRODUCT(--ISNUMBER(SEARCH(" "&amp;$CR$1405:$CR$1442&amp;" ",$BD54)))),"")</f>
        <v>0</v>
      </c>
      <c r="BD54" s="493" t="str">
        <f>IF(54=54,IF($U54="","",SUBSTITUTE(SUBSTITUTE($AA54," "&amp;$CR$1443&amp;" "," ")," "&amp;$CR$1444&amp;" "," ")),"")</f>
        <v xml:space="preserve"> puree de pomme de terre </v>
      </c>
      <c r="BE54" s="493">
        <f>IF(54=54,IF($U54="","",SUMPRODUCT(--ISNUMBER(SEARCH(" "&amp;$CR$1445:$CR$1455&amp;" ",$BD54)))),"")</f>
        <v>0</v>
      </c>
      <c r="BF54" s="493" t="str">
        <f>IF(54=54,IF($U54="","",IF(BC54&gt;0,"X",IF(BE54&gt;0,"?",""))),"")</f>
        <v/>
      </c>
      <c r="BG54" s="493">
        <f>IF(54=54,IF($U54="","",SUMPRODUCT(--ISNUMBER(SEARCH(" "&amp;$CR$1456:$CR$1555&amp;" ",$BJ54)))),"")</f>
        <v>0</v>
      </c>
      <c r="BH54" s="493">
        <f>IF(54=54,IF($U54="","",SUMPRODUCT(--ISNUMBER(SEARCH(" "&amp;$CR$1556:$CR$1655&amp;" ",$BJ54)))),"")</f>
        <v>0</v>
      </c>
      <c r="BI54" s="493">
        <f>IF(54=54,IF($U54="","",SUMPRODUCT(--ISNUMBER(SEARCH(" "&amp;$CR$1656:$CR$1739&amp;" ",$BJ54)))),"")</f>
        <v>0</v>
      </c>
      <c r="BJ54" s="493" t="str">
        <f>IF(54=54,IF($U54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puree de pomme de terre </v>
      </c>
      <c r="BK54" s="493">
        <f>IF(54=54,IF($U54="","",SUMPRODUCT(--ISNUMBER(SEARCH(" "&amp;$CR$1790:$CR$1869&amp;" ",$BL54)))+SUMPRODUCT(--ISNUMBER(SEARCH(" "&amp;$CR$2440:$CR$2453&amp;" ",$BL54)))),"")</f>
        <v>1</v>
      </c>
      <c r="BL54" s="493" t="str">
        <f>IF(54=54,IF($U54="","",SUBSTITUTE(SUBSTITUTE(SUBSTITUTE(SUBSTITUTE(SUBSTITUTE(SUBSTITUTE(SUBSTITUTE(SUBSTITUTE(SUBSTITUTE(SUBSTITUTE(SUBSTITUTE(SUBSTITUTE(SUBSTITUTE($BJ54," "&amp;$CR$1876&amp;" "," ")," "&amp;$CR$1874&amp;" "," ")," "&amp;$CR$2438&amp;" "," ")," "&amp;$CR$2439&amp;" "," ")," "&amp;$CR$1871&amp;" "," ")," "&amp;$CR$1875&amp;" "," ")," "&amp;$CR$1877&amp;" "," ")," "&amp;$CR$1872&amp;" "," ")," "&amp;$CR$1870&amp;" "," ")," "&amp;$CR$1367&amp;" "," ")," "&amp;$CR$1878&amp;" "," ")," "&amp;$CR$1366&amp;" "," ")," "&amp;$CR$1873&amp;" "," ")),"")</f>
        <v xml:space="preserve"> puree de pomme de terre </v>
      </c>
      <c r="BM54" s="493" t="str">
        <f>IF(54=54,IF($U54="","",IF(SUM(BG54:BI54)+SUMPRODUCT(--ISNUMBER(SEARCH(" "&amp;$CR$2423:$CR$2424&amp;" ",$BJ54)))&gt;0,"X",IF(BK54&gt;0,"?",""))),"")</f>
        <v>?</v>
      </c>
      <c r="BN54" s="493">
        <f>IF(54=54,IF($U54="","",SUMPRODUCT(--ISNUMBER(SEARCH(" "&amp;$CR$1879:$CR$1936&amp;" ",$BO54)))),"")</f>
        <v>0</v>
      </c>
      <c r="BO54" s="493" t="str">
        <f>IF(54=54,IF($U54="","",SUBSTITUTE(SUBSTITUTE(SUBSTITUTE(SUBSTITUTE(SUBSTITUTE(SUBSTITUTE(SUBSTITUTE(SUBSTITUTE(SUBSTITUTE(SUBSTITUTE(SUBSTITUTE(SUBSTITUTE(SUBSTITUTE(SUBSTITUTE(SUBSTITUTE(SUBSTITUTE(SUBSTITUTE(SUBSTITUTE(SUBSTITUTE(SUBSTITUTE(SUBSTITUTE(SUBSTITUTE(SUBSTITUTE($AA54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puree de pomme de terre </v>
      </c>
      <c r="BP54" s="493">
        <f>IF(54=54,IF($U54="","",SUMPRODUCT(--ISNUMBER(SEARCH(" "&amp;$CR$1960:$CR$1976&amp;" ",$BO54)))),"")</f>
        <v>0</v>
      </c>
      <c r="BQ54" s="493" t="str">
        <f>IF(54=54,IF($U54="","",IF(BN54&gt;0,"X",IF(BP54&gt;0,"?",""))),"")</f>
        <v/>
      </c>
      <c r="BR54" s="493">
        <f>IF(54=54,IF($U54="","",SUMPRODUCT(--ISNUMBER(SEARCH(" "&amp;$CR$1977:$CR$1990&amp;" ",$AA54)))),"")</f>
        <v>0</v>
      </c>
      <c r="BS54" s="493">
        <f>IF(54=54,IF($U54="","",SUMPRODUCT(--ISNUMBER(SEARCH(" "&amp;$CR$1991:$CR$2005&amp;" ",$AA54)))),"")</f>
        <v>0</v>
      </c>
      <c r="BT54" s="493" t="str">
        <f>IF(54=54,IF($U54="","",IF((BR54)-(0)&gt;0,"X",IF((BS54)-(0)&gt;0,"?",""))),"")</f>
        <v/>
      </c>
      <c r="BU54" s="493">
        <f>IF(54=54,IF($U54="","",SUMPRODUCT(--ISNUMBER(SEARCH(" "&amp;$CR$2006:$CR$2023&amp;" ",$AA54)))),"")</f>
        <v>0</v>
      </c>
      <c r="BV54" s="493">
        <f>IF(54=54,IF($U54="","",SUMPRODUCT(--ISNUMBER(SEARCH(" "&amp;$CR$2024:$CR$2038&amp;" ",$AA54)))),"")</f>
        <v>0</v>
      </c>
      <c r="BW54" s="493" t="str">
        <f>IF(54=54,IF($U54="","",IF((BU54)-(0)&gt;0,"X",IF((BV54)-(0)&gt;0,"?",""))),"")</f>
        <v/>
      </c>
      <c r="BX54" s="493">
        <f>IF(54=54,IF($U54="","",SUMPRODUCT(--ISNUMBER(SEARCH(" "&amp;$CR$2039:$CR$2057&amp;" ",$AA54)))),"")</f>
        <v>0</v>
      </c>
      <c r="BY54" s="493">
        <f>IF(54=54,IF($U54="","",SUMPRODUCT(--ISNUMBER(SEARCH(" "&amp;$CR$2058:$CR$2072&amp;" ",$AA54)))),"")</f>
        <v>0</v>
      </c>
      <c r="BZ54" s="493" t="str">
        <f>IF(54=54,IF($U54="","",IF((BX54)-(0)&gt;0,"X",IF((BY54)-(0)&gt;0,"?",""))),"")</f>
        <v/>
      </c>
      <c r="CA54" s="493">
        <f>IF(54=54,IF($U54="","",SUMPRODUCT(--ISNUMBER(SEARCH(" "&amp;$CR$2073:$CR$2093&amp;" ",$AA54)))),"")</f>
        <v>0</v>
      </c>
      <c r="CB54" s="493">
        <f>IF(54=54,IF($U54="","",SUMPRODUCT(--ISNUMBER(SEARCH(" "&amp;$CR$2094:$CR$2133&amp;" ",SUBSTITUTE(SUBSTITUTE($AA54," "&amp;$CR$1367&amp;" "," ")," "&amp;$CR$1366&amp;" "," "))))+--ISNUMBER(SEARCH("poiré",$V54))),"")</f>
        <v>0</v>
      </c>
      <c r="CC54" s="493" t="str">
        <f>IF(54=54,IF($U54="","",IF(OR(CA54&gt;0,ISNUMBER(SEARCH(" vinaigre de vin ",$AA54)),ISNUMBER(SEARCH(" vinaigre au vin ",$AA54))),"X",IF(CB54&gt;0,"?",""))),"")</f>
        <v/>
      </c>
      <c r="CD54" s="493">
        <f>IF(54=54,IF($U54="","",SUMPRODUCT(--ISNUMBER(SEARCH(" "&amp;$CR$2134:$CR$2146&amp;" ",$AA54)))),"")</f>
        <v>0</v>
      </c>
      <c r="CE54" s="493">
        <f>IF(54=54,IF($U54="","",SUMPRODUCT(--ISNUMBER(SEARCH(" "&amp;$CR$2147:$CR$2152&amp;" ",$AA54)))),"")</f>
        <v>0</v>
      </c>
      <c r="CF54" s="493" t="str">
        <f>IF(54=54,IF($U54="","",IF((CD54)-(0)&gt;0,"X",IF((CE54)-(0)&gt;0,"?",""))),"")</f>
        <v/>
      </c>
      <c r="CG54" s="493">
        <f>IF(54=54,IF($U54="","",SUMPRODUCT(--ISNUMBER(SEARCH(" "&amp;$CR$2153:$CR$2252&amp;" ",$CJ54)))),"")</f>
        <v>0</v>
      </c>
      <c r="CH54" s="493">
        <f>IF(54=54,IF($U54="","",SUMPRODUCT(--ISNUMBER(SEARCH(" "&amp;$CR$2253:$CR$2352&amp;" ",$CJ54)))),"")</f>
        <v>0</v>
      </c>
      <c r="CI54" s="493">
        <f>IF(54=54,IF($U54="","",SUMPRODUCT(--ISNUMBER(SEARCH(" "&amp;$CR$2353:$CR$2395&amp;" ",$CJ54)))),"")</f>
        <v>0</v>
      </c>
      <c r="CJ54" s="493" t="str">
        <f>IF(54=54,IF($U54="","",SUBSTITUTE(SUBSTITUTE(SUBSTITUTE(SUBSTITUTE(SUBSTITUTE(SUBSTITUTE(SUBSTITUTE(SUBSTITUTE(SUBSTITUTE(SUBSTITUTE(SUBSTITUTE(SUBSTITUTE(SUBSTITUTE(SUBSTITUTE(SUBSTITUTE(SUBSTITUTE($AA54," "&amp;$CR$2401&amp;" "," ")," "&amp;$CR$2400&amp;" "," ")," "&amp;$CR$2399&amp;" "," ")," "&amp;$CR$2406&amp;" "," ")," "&amp;$CR$2398&amp;" "," ")," "&amp;$CR$2410&amp;" "," ")," "&amp;$CR$2397&amp;" "," ")," "&amp;$CR$2402&amp;" "," ")," "&amp;$CR$2405&amp;" "," ")," "&amp;$CR$2396&amp;" "," ")," "&amp;$CR$2404&amp;" "," ")," "&amp;$CR$2411&amp;" "," ")," "&amp;$CR$2408&amp;" "," ")," "&amp;$CR$2403&amp;" "," ")," "&amp;$CR$2407&amp;" "," ")," "&amp;$CR$2409&amp;" "," ")),"")</f>
        <v xml:space="preserve"> puree de pomme de terre </v>
      </c>
      <c r="CK54" s="493">
        <f>IF(54=54,IF($U54="","",SUMPRODUCT(--ISNUMBER(SEARCH(" "&amp;$CR$2412:$CR$2416&amp;" ",$CJ54)))),"")</f>
        <v>0</v>
      </c>
      <c r="CL54" s="493" t="str">
        <f>IF(54=54,IF($U54="","",IF(SUM(CG54:CI54)&gt;0,"X",IF(CK54&gt;0,"?",""))),"")</f>
        <v/>
      </c>
      <c r="CM54" s="494"/>
      <c r="CN54" s="496" t="s">
        <v>1239</v>
      </c>
      <c r="CO54" s="496" t="s">
        <v>1083</v>
      </c>
      <c r="CP54" s="496" t="s">
        <v>689</v>
      </c>
      <c r="CQ54" s="496" t="s">
        <v>1240</v>
      </c>
      <c r="CR54" s="496" t="s">
        <v>1240</v>
      </c>
      <c r="CS54" s="496" t="s">
        <v>1085</v>
      </c>
      <c r="CT54" s="496" t="s">
        <v>1086</v>
      </c>
      <c r="CU54" s="496" t="s">
        <v>1087</v>
      </c>
      <c r="CV54" s="497" t="s">
        <v>1088</v>
      </c>
      <c r="CX54" s="543">
        <v>1</v>
      </c>
    </row>
    <row r="55" spans="1:102" ht="21" customHeight="1">
      <c r="A55" s="509">
        <v>49</v>
      </c>
      <c r="B55" s="510" t="s">
        <v>5892</v>
      </c>
      <c r="C55" s="511" t="str">
        <f t="shared" si="0"/>
        <v>Spigol, rizdor, etc</v>
      </c>
      <c r="D55" s="512" t="str">
        <f>IF(55=55,IF($B55="","",IF(E55="X",""&amp;"Céréales contenant du gluten","")&amp;IF(F55="X",IF(COUNTIF($E55:$E55,"X")&gt;0,", ","")&amp;"Crustacés","")&amp;IF(G55="X",IF(COUNTIF($E55:$F55,"X")&gt;0,", ","")&amp;"Œufs","")&amp;IF(H55="X",IF(COUNTIF($E55:$G55,"X")&gt;0,", ","")&amp;"Poissons","")&amp;IF(I55="X",IF(COUNTIF($E55:$H55,"X")&gt;0,", ","")&amp;"Arachides","")&amp;IF(J55="X",IF(COUNTIF($E55:$I55,"X")&gt;0,", ","")&amp;"Soja","")&amp;IF(K55="X",IF(COUNTIF($E55:$J55,"X")&gt;0,", ","")&amp;"Lait","")&amp;IF(L55="X",IF(COUNTIF($E55:$K55,"X")&gt;0,", ","")&amp;"Fruits à coque","")&amp;IF(M55="X",IF(COUNTIF($E55:$L55,"X")&gt;0,", ","")&amp;"Céleri","")&amp;IF(N55="X",IF(COUNTIF($E55:$M55,"X")&gt;0,", ","")&amp;"Moutarde","")&amp;IF(O55="X",IF(COUNTIF($E55:$N55,"X")&gt;0,", ","")&amp;"Sésame","")&amp;IF(P55="X",IF(COUNTIF($E55:$O55,"X")&gt;0,", ","")&amp;"Sulfites","")&amp;IF(Q55="X",IF(COUNTIF($E55:$P55,"X")&gt;0,", ","")&amp;"Lupin","")&amp;IF(R55="X",IF(COUNTIF($E55:$Q55,"X")&gt;0,", ","")&amp;"Mollusques","")),"")</f>
        <v/>
      </c>
      <c r="E55" s="513" t="str">
        <f>IF(55=55,IF($B55="","",AF55),"")</f>
        <v/>
      </c>
      <c r="F55" s="513" t="str">
        <f>IF(55=55,IF($B55="","",AI55),"")</f>
        <v/>
      </c>
      <c r="G55" s="513" t="str">
        <f>IF(55=55,IF($B55="","",AM55),"")</f>
        <v/>
      </c>
      <c r="H55" s="513" t="str">
        <f>IF(55=55,IF($B55="","",IF(ISNUMBER(SEARCH(" colin ",$AA55)),"X",AZ55)),"")</f>
        <v/>
      </c>
      <c r="I55" s="513" t="str">
        <f>IF(55=55,IF($B55="","",BB55),"")</f>
        <v/>
      </c>
      <c r="J55" s="513" t="str">
        <f>IF(55=55,IF($B55="","",BF55),"")</f>
        <v/>
      </c>
      <c r="K55" s="513" t="str">
        <f>IF(55=55,IF($B55="","",BM55),"")</f>
        <v/>
      </c>
      <c r="L55" s="513" t="str">
        <f>IF(55=55,IF($B55="","",BQ55),"")</f>
        <v/>
      </c>
      <c r="M55" s="513" t="str">
        <f>IF(55=55,IF($B55="","",BT55),"")</f>
        <v/>
      </c>
      <c r="N55" s="513" t="str">
        <f>IF(55=55,IF($B55="","",BW55),"")</f>
        <v/>
      </c>
      <c r="O55" s="513" t="str">
        <f>IF(55=55,IF($B55="","",BZ55),"")</f>
        <v/>
      </c>
      <c r="P55" s="513" t="str">
        <f>IF(55=55,IF($B55="","",CC55),"")</f>
        <v/>
      </c>
      <c r="Q55" s="513" t="str">
        <f>IF(55=55,IF($B55="","",CF55),"")</f>
        <v/>
      </c>
      <c r="R55" s="513" t="str">
        <f>IF(55=55,IF($B55="","",CL55),"")</f>
        <v/>
      </c>
      <c r="S55" s="514" t="str">
        <f>IF(55=55,IF($B55="","",IF(E55="?",""&amp;"Céréales contenant du gluten","")&amp;IF(F55="?",IF(COUNTIF($E55:$E55,"~?")&gt;0,", ","")&amp;"Crustacés","")&amp;IF(G55="?",IF(COUNTIF($E55:$F55,"~?")&gt;0,", ","")&amp;"Œufs","")&amp;IF(H55="?",IF(COUNTIF($E55:$G55,"~?")&gt;0,", ","")&amp;"Poissons","")&amp;IF(I55="?",IF(COUNTIF($E55:$H55,"~?")&gt;0,", ","")&amp;"Arachides","")&amp;IF(J55="?",IF(COUNTIF($E55:$I55,"~?")&gt;0,", ","")&amp;"Soja","")&amp;IF(K55="?",IF(COUNTIF($E55:$J55,"~?")&gt;0,", ","")&amp;"Lait","")&amp;IF(L55="?",IF(COUNTIF($E55:$K55,"~?")&gt;0,", ","")&amp;"Fruits à coque","")&amp;IF(M55="?",IF(COUNTIF($E55:$L55,"~?")&gt;0,", ","")&amp;"Céleri","")&amp;IF(N55="?",IF(COUNTIF($E55:$M55,"~?")&gt;0,", ","")&amp;"Moutarde","")&amp;IF(O55="?",IF(COUNTIF($E55:$N55,"~?")&gt;0,", ","")&amp;"Sésame","")&amp;IF(P55="?",IF(COUNTIF($E55:$O55,"~?")&gt;0,", ","")&amp;"Sulfites","")&amp;IF(Q55="?",IF(COUNTIF($E55:$P55,"~?")&gt;0,", ","")&amp;"Lupin","")&amp;IF(R55="?",IF(COUNTIF($E55:$Q55,"~?")&gt;0,", ","")&amp;"Mollusques","")),"")</f>
        <v/>
      </c>
      <c r="U55" s="493" t="str">
        <f>IF(55=55,IF($B55="","",$B55),"")</f>
        <v>Spigol, rizdor, etc</v>
      </c>
      <c r="V55" s="493" t="str">
        <f>IF(55=55,LOWER(CLEAN(SUBSTITUTE(SUBSTITUTE(SUBSTITUTE(SUBSTITUTE($U55,CHAR(160)," ")," "," "),CHAR(10)," "),CHAR(13)," "))),"")</f>
        <v>spigol, rizdor, etc</v>
      </c>
      <c r="W55" s="493" t="str">
        <f>IF(55=55,SUBSTITUTE(SUBSTITUTE(SUBSTITUTE(SUBSTITUTE(SUBSTITUTE(SUBSTITUTE(SUBSTITUTE(SUBSTITUTE(SUBSTITUTE(SUBSTITUTE(SUBSTITUTE(SUBSTITUTE($V55,"œ","oe"),"æ","ae"),"à","a"),"á","a"),"â","a"),"ä","a"),"ã","a"),"ç","c"),"è","e"),"é","e"),"ê","e"),"ë","e"),"")</f>
        <v>spigol, rizdor, etc</v>
      </c>
      <c r="X55" s="493" t="str">
        <f>IF(55=55,SUBSTITUTE(SUBSTITUTE(SUBSTITUTE(SUBSTITUTE(SUBSTITUTE(SUBSTITUTE(SUBSTITUTE(SUBSTITUTE(SUBSTITUTE(SUBSTITUTE(SUBSTITUTE(SUBSTITUTE(SUBSTITUTE(SUBSTITUTE(SUBSTITUTE(SUBSTITUTE($W55,"ì","i"),"í","i"),"î","i"),"ï","i"),"ñ","n"),"ò","o"),"ó","o"),"ô","o"),"ö","o"),"õ","o"),"ù","u"),"ú","u"),"û","u"),"ü","u"),"ý","y"),"ÿ","y"),"")</f>
        <v>spigol, rizdor, etc</v>
      </c>
      <c r="Y55" s="493" t="str">
        <f>IF(55=55,SUBSTITUTE(SUBSTITUTE(SUBSTITUTE(SUBSTITUTE(SUBSTITUTE(SUBSTITUTE(SUBSTITUTE(SUBSTITUTE(SUBSTITUTE(SUBSTITUTE(SUBSTITUTE(SUBSTITUTE(SUBSTITUTE(SUBSTITUTE($X55,"’"," "),"`"," "),"–"," "),"—"," "),"-"," "),"'"," "),"/"," "),"_"," "),","," "),"."," "),"("," "),")"," "),";"," "),":"," "),"")</f>
        <v>spigol  rizdor  etc</v>
      </c>
      <c r="Z55" s="493" t="str">
        <f>IF(55=55,SUBSTITUTE(SUBSTITUTE(SUBSTITUTE(SUBSTITUTE(SUBSTITUTE(SUBSTITUTE(SUBSTITUTE(SUBSTITUTE(SUBSTITUTE(SUBSTITUTE(SUBSTITUTE(SUBSTITUTE(SUBSTITUTE(SUBSTITUTE(SUBSTITUTE($Y55,"!"," "),"?"," "),"+"," "),"*"," "),"&amp;"," "),"["," "),"]"," "),"{"," "),"}"," "),"%"," "),"="," "),"\"," "),"|"," "),"&lt;"," "),"&gt;"," "),"")</f>
        <v>spigol  rizdor  etc</v>
      </c>
      <c r="AA55" s="493" t="str">
        <f>IF(55=55," "&amp;TRIM(SUBSTITUTE(SUBSTITUTE(SUBSTITUTE(SUBSTITUTE(SUBSTITUTE(SUBSTITUTE($Z55,CHAR(34)," "),"  "," "),"  "," "),"  "," "),"  "," "),"  "," "))&amp;" ","")</f>
        <v xml:space="preserve"> spigol rizdor etc </v>
      </c>
      <c r="AB55" s="493">
        <f>IF(55=55,IF($U55="","",SUMPRODUCT(--ISNUMBER(SEARCH(" "&amp;$CR$2:$CR$101&amp;" ",$AD55)))),"")</f>
        <v>0</v>
      </c>
      <c r="AC55" s="493">
        <f>IF(55=55,IF($U55="","",SUMPRODUCT(--ISNUMBER(SEARCH(" "&amp;$CR$102:$CR$151&amp;" ",$AD55)))),"")</f>
        <v>0</v>
      </c>
      <c r="AD55" s="493" t="str">
        <f t="shared" si="1"/>
        <v xml:space="preserve"> spigol rizdor etc </v>
      </c>
      <c r="AE55" s="493">
        <f t="shared" si="2"/>
        <v>0</v>
      </c>
      <c r="AF55" s="493" t="str">
        <f>IF(55=55,IF($U55="","",IF(SUM(AB55:AC55)+SUMPRODUCT(--ISNUMBER(SEARCH(" "&amp;$CR$2418:$CR$2420&amp;" ",$AD55)))&gt;0,"X",IF(AE55&gt;0,"?",""))),"")</f>
        <v/>
      </c>
      <c r="AG55" s="493">
        <f>IF(55=55,IF($U55="","",SUMPRODUCT(--ISNUMBER(SEARCH(" "&amp;$CR$206:$CR$305&amp;" ",$AA55)))),"")</f>
        <v>0</v>
      </c>
      <c r="AH55" s="493">
        <f>IF(55=55,IF($U55="","",SUMPRODUCT(--ISNUMBER(SEARCH(" "&amp;$CR$306:$CR$340&amp;" ",$AA55)))),"")</f>
        <v>0</v>
      </c>
      <c r="AI55" s="493" t="str">
        <f>IF(55=55,IF($U55="","",IF((SUM(AG55:AH55))-(0)&gt;0,"X",IF((0)-(0)&gt;0,"?",""))),"")</f>
        <v/>
      </c>
      <c r="AJ55" s="493">
        <f>IF(55=55,IF($U55="","",SUMPRODUCT(--ISNUMBER(SEARCH(" "&amp;$CR$341:$CR$398&amp;" ",$AA55)))),"")</f>
        <v>0</v>
      </c>
      <c r="AK55" s="493">
        <f>IF(55=55,IF($U55="","",SUMPRODUCT(--ISNUMBER(SEARCH(" "&amp;$CR$399:$CR$426&amp;" ",$AL55)))+SUMPRODUCT(--ISNUMBER(SEARCH(" "&amp;$CR$2440:$CR$2453&amp;" ",$AL55)))),"")</f>
        <v>0</v>
      </c>
      <c r="AL55" s="493" t="str">
        <f>IF(55=55,IF($U55="","",SUBSTITUTE(SUBSTITUTE(SUBSTITUTE(SUBSTITUTE(SUBSTITUTE(SUBSTITUTE(SUBSTITUTE(SUBSTITUTE(SUBSTITUTE(SUBSTITUTE(SUBSTITUTE(SUBSTITUTE(SUBSTITUTE(SUBSTITUTE($AA55," "&amp;$CR$2455&amp;" "," ")," "&amp;$CR$433&amp;" "," ")," "&amp;$CR$431&amp;" "," ")," "&amp;$CR$2438&amp;" "," ")," "&amp;$CR$2439&amp;" "," ")," "&amp;$CR$428&amp;" "," ")," "&amp;$CR$432&amp;" "," ")," "&amp;$CR$434&amp;" "," ")," "&amp;$CR$429&amp;" "," ")," "&amp;$CR$427&amp;" "," ")," "&amp;$CR$1367&amp;" "," ")," "&amp;$CR$435&amp;" "," ")," "&amp;$CR$1366&amp;" "," ")," "&amp;$CR$430&amp;" "," ")),"")</f>
        <v xml:space="preserve"> spigol rizdor etc </v>
      </c>
      <c r="AM55" s="493" t="str">
        <f>IF(55=55,IF($U55="","",IF(AJ55&gt;0,"X",IF(AK55&gt;0,"?",""))),"")</f>
        <v/>
      </c>
      <c r="AN55" s="493">
        <f>IF(55=55,IF($U55="","",SUMPRODUCT(--ISNUMBER(SEARCH(" "&amp;$CR$436:$CR$535&amp;" ",$AX55)))),"")</f>
        <v>0</v>
      </c>
      <c r="AO55" s="493">
        <f>IF(55=55,IF($U55="","",SUMPRODUCT(--ISNUMBER(SEARCH(" "&amp;$CR$536:$CR$635&amp;" ",$AX55)))),"")</f>
        <v>0</v>
      </c>
      <c r="AP55" s="493">
        <f>IF(55=55,IF($U55="","",SUMPRODUCT(--ISNUMBER(SEARCH(" "&amp;$CR$636:$CR$735&amp;" ",$AX55)))),"")</f>
        <v>0</v>
      </c>
      <c r="AQ55" s="493">
        <f>IF(55=55,IF($U55="","",SUMPRODUCT(--ISNUMBER(SEARCH(" "&amp;$CR$736:$CR$835&amp;" ",$AX55)))),"")</f>
        <v>0</v>
      </c>
      <c r="AR55" s="493">
        <f>IF(55=55,IF($U55="","",SUMPRODUCT(--ISNUMBER(SEARCH(" "&amp;$CR$836:$CR$935&amp;" ",$AX55)))),"")</f>
        <v>0</v>
      </c>
      <c r="AS55" s="493">
        <f>IF(55=55,IF($U55="","",SUMPRODUCT(--ISNUMBER(SEARCH(" "&amp;$CR$936:$CR$1035&amp;" ",$AX55)))),"")</f>
        <v>0</v>
      </c>
      <c r="AT55" s="493">
        <f>IF(55=55,IF($U55="","",SUMPRODUCT(--ISNUMBER(SEARCH(" "&amp;$CR$1036:$CR$1135&amp;" ",$AX55)))),"")</f>
        <v>0</v>
      </c>
      <c r="AU55" s="493">
        <f>IF(55=55,IF($U55="","",SUMPRODUCT(--ISNUMBER(SEARCH(" "&amp;$CR$1136:$CR$1235&amp;" ",$AX55)))),"")</f>
        <v>0</v>
      </c>
      <c r="AV55" s="493">
        <f>IF(55=55,IF($U55="","",SUMPRODUCT(--ISNUMBER(SEARCH(" "&amp;$CR$1236:$CR$1335&amp;" ",$AX55)))),"")</f>
        <v>0</v>
      </c>
      <c r="AW55" s="493">
        <f>IF(55=55,IF($U55="","",SUMPRODUCT(--ISNUMBER(SEARCH(" "&amp;$CR$1336:$CR$1363&amp;" ",$AX55)))),"")</f>
        <v>0</v>
      </c>
      <c r="AX55" s="493" t="str">
        <f>IF(55=55,IF($U55="","",SUBSTITUTE(SUBSTITUTE(SUBSTITUTE(SUBSTITUTE(SUBSTITUTE(SUBSTITUTE(SUBSTITUTE(SUBSTITUTE(SUBSTITUTE($AA55," "&amp;$CR$1365&amp;" "," ")," "&amp;$CR$1364&amp;" "," ")," "&amp;$CR$1370&amp;" "," ")," "&amp;$CR$1371&amp;" "," ")," "&amp;$CR$1367&amp;" "," ")," "&amp;$CR$1369&amp;" "," ")," "&amp;$CR$1366&amp;" "," ")," "&amp;$CR$1368&amp;" "," ")," "&amp;$CR$1372&amp;" "," ")),"")</f>
        <v xml:space="preserve"> spigol rizdor etc </v>
      </c>
      <c r="AY55" s="493">
        <f>IF(55=55,IF($U55="","",SUMPRODUCT(--ISNUMBER(SEARCH(" "&amp;$CR$1373:$CR$1383&amp;" ",$AX55)))),"")</f>
        <v>0</v>
      </c>
      <c r="AZ55" s="493" t="str">
        <f>IF(55=55,IF($U55="","",IF(SUM(AN55:AW55)+SUMPRODUCT(--ISNUMBER(SEARCH(" "&amp;$CR$2421:$CR$2422&amp;" ",$AX55)))&gt;0,"X",IF(AY55&gt;0,"?",""))),"")</f>
        <v/>
      </c>
      <c r="BA55" s="493">
        <f>IF(55=55,IF($U55="","",SUMPRODUCT(--ISNUMBER(SEARCH(" "&amp;$CR$1384:$CR$1404&amp;" ",$AA55)))),"")</f>
        <v>0</v>
      </c>
      <c r="BB55" s="493" t="str">
        <f>IF(55=55,IF($U55="","",IF((BA55)-(0)&gt;0,"X",IF((0)-(0)&gt;0,"?",""))),"")</f>
        <v/>
      </c>
      <c r="BC55" s="493">
        <f>IF(55=55,IF($U55="","",SUMPRODUCT(--ISNUMBER(SEARCH(" "&amp;$CR$1405:$CR$1442&amp;" ",$BD55)))),"")</f>
        <v>0</v>
      </c>
      <c r="BD55" s="493" t="str">
        <f>IF(55=55,IF($U55="","",SUBSTITUTE(SUBSTITUTE($AA55," "&amp;$CR$1443&amp;" "," ")," "&amp;$CR$1444&amp;" "," ")),"")</f>
        <v xml:space="preserve"> spigol rizdor etc </v>
      </c>
      <c r="BE55" s="493">
        <f>IF(55=55,IF($U55="","",SUMPRODUCT(--ISNUMBER(SEARCH(" "&amp;$CR$1445:$CR$1455&amp;" ",$BD55)))),"")</f>
        <v>0</v>
      </c>
      <c r="BF55" s="493" t="str">
        <f>IF(55=55,IF($U55="","",IF(BC55&gt;0,"X",IF(BE55&gt;0,"?",""))),"")</f>
        <v/>
      </c>
      <c r="BG55" s="493">
        <f>IF(55=55,IF($U55="","",SUMPRODUCT(--ISNUMBER(SEARCH(" "&amp;$CR$1456:$CR$1555&amp;" ",$BJ55)))),"")</f>
        <v>0</v>
      </c>
      <c r="BH55" s="493">
        <f>IF(55=55,IF($U55="","",SUMPRODUCT(--ISNUMBER(SEARCH(" "&amp;$CR$1556:$CR$1655&amp;" ",$BJ55)))),"")</f>
        <v>0</v>
      </c>
      <c r="BI55" s="493">
        <f>IF(55=55,IF($U55="","",SUMPRODUCT(--ISNUMBER(SEARCH(" "&amp;$CR$1656:$CR$1739&amp;" ",$BJ55)))),"")</f>
        <v>0</v>
      </c>
      <c r="BJ55" s="493" t="str">
        <f>IF(55=55,IF($U55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spigol rizdor etc </v>
      </c>
      <c r="BK55" s="493">
        <f>IF(55=55,IF($U55="","",SUMPRODUCT(--ISNUMBER(SEARCH(" "&amp;$CR$1790:$CR$1869&amp;" ",$BL55)))+SUMPRODUCT(--ISNUMBER(SEARCH(" "&amp;$CR$2440:$CR$2453&amp;" ",$BL55)))),"")</f>
        <v>0</v>
      </c>
      <c r="BL55" s="493" t="str">
        <f>IF(55=55,IF($U55="","",SUBSTITUTE(SUBSTITUTE(SUBSTITUTE(SUBSTITUTE(SUBSTITUTE(SUBSTITUTE(SUBSTITUTE(SUBSTITUTE(SUBSTITUTE(SUBSTITUTE(SUBSTITUTE(SUBSTITUTE(SUBSTITUTE($BJ55," "&amp;$CR$1876&amp;" "," ")," "&amp;$CR$1874&amp;" "," ")," "&amp;$CR$2438&amp;" "," ")," "&amp;$CR$2439&amp;" "," ")," "&amp;$CR$1871&amp;" "," ")," "&amp;$CR$1875&amp;" "," ")," "&amp;$CR$1877&amp;" "," ")," "&amp;$CR$1872&amp;" "," ")," "&amp;$CR$1870&amp;" "," ")," "&amp;$CR$1367&amp;" "," ")," "&amp;$CR$1878&amp;" "," ")," "&amp;$CR$1366&amp;" "," ")," "&amp;$CR$1873&amp;" "," ")),"")</f>
        <v xml:space="preserve"> spigol rizdor etc </v>
      </c>
      <c r="BM55" s="493" t="str">
        <f>IF(55=55,IF($U55="","",IF(SUM(BG55:BI55)+SUMPRODUCT(--ISNUMBER(SEARCH(" "&amp;$CR$2423:$CR$2424&amp;" ",$BJ55)))&gt;0,"X",IF(BK55&gt;0,"?",""))),"")</f>
        <v/>
      </c>
      <c r="BN55" s="493">
        <f>IF(55=55,IF($U55="","",SUMPRODUCT(--ISNUMBER(SEARCH(" "&amp;$CR$1879:$CR$1936&amp;" ",$BO55)))),"")</f>
        <v>0</v>
      </c>
      <c r="BO55" s="493" t="str">
        <f>IF(55=55,IF($U55="","",SUBSTITUTE(SUBSTITUTE(SUBSTITUTE(SUBSTITUTE(SUBSTITUTE(SUBSTITUTE(SUBSTITUTE(SUBSTITUTE(SUBSTITUTE(SUBSTITUTE(SUBSTITUTE(SUBSTITUTE(SUBSTITUTE(SUBSTITUTE(SUBSTITUTE(SUBSTITUTE(SUBSTITUTE(SUBSTITUTE(SUBSTITUTE(SUBSTITUTE(SUBSTITUTE(SUBSTITUTE(SUBSTITUTE($AA55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spigol rizdor etc </v>
      </c>
      <c r="BP55" s="493">
        <f>IF(55=55,IF($U55="","",SUMPRODUCT(--ISNUMBER(SEARCH(" "&amp;$CR$1960:$CR$1976&amp;" ",$BO55)))),"")</f>
        <v>0</v>
      </c>
      <c r="BQ55" s="493" t="str">
        <f>IF(55=55,IF($U55="","",IF(BN55&gt;0,"X",IF(BP55&gt;0,"?",""))),"")</f>
        <v/>
      </c>
      <c r="BR55" s="493">
        <f>IF(55=55,IF($U55="","",SUMPRODUCT(--ISNUMBER(SEARCH(" "&amp;$CR$1977:$CR$1990&amp;" ",$AA55)))),"")</f>
        <v>0</v>
      </c>
      <c r="BS55" s="493">
        <f>IF(55=55,IF($U55="","",SUMPRODUCT(--ISNUMBER(SEARCH(" "&amp;$CR$1991:$CR$2005&amp;" ",$AA55)))),"")</f>
        <v>0</v>
      </c>
      <c r="BT55" s="493" t="str">
        <f>IF(55=55,IF($U55="","",IF((BR55)-(0)&gt;0,"X",IF((BS55)-(0)&gt;0,"?",""))),"")</f>
        <v/>
      </c>
      <c r="BU55" s="493">
        <f>IF(55=55,IF($U55="","",SUMPRODUCT(--ISNUMBER(SEARCH(" "&amp;$CR$2006:$CR$2023&amp;" ",$AA55)))),"")</f>
        <v>0</v>
      </c>
      <c r="BV55" s="493">
        <f>IF(55=55,IF($U55="","",SUMPRODUCT(--ISNUMBER(SEARCH(" "&amp;$CR$2024:$CR$2038&amp;" ",$AA55)))),"")</f>
        <v>0</v>
      </c>
      <c r="BW55" s="493" t="str">
        <f>IF(55=55,IF($U55="","",IF((BU55)-(0)&gt;0,"X",IF((BV55)-(0)&gt;0,"?",""))),"")</f>
        <v/>
      </c>
      <c r="BX55" s="493">
        <f>IF(55=55,IF($U55="","",SUMPRODUCT(--ISNUMBER(SEARCH(" "&amp;$CR$2039:$CR$2057&amp;" ",$AA55)))),"")</f>
        <v>0</v>
      </c>
      <c r="BY55" s="493">
        <f>IF(55=55,IF($U55="","",SUMPRODUCT(--ISNUMBER(SEARCH(" "&amp;$CR$2058:$CR$2072&amp;" ",$AA55)))),"")</f>
        <v>0</v>
      </c>
      <c r="BZ55" s="493" t="str">
        <f>IF(55=55,IF($U55="","",IF((BX55)-(0)&gt;0,"X",IF((BY55)-(0)&gt;0,"?",""))),"")</f>
        <v/>
      </c>
      <c r="CA55" s="493">
        <f>IF(55=55,IF($U55="","",SUMPRODUCT(--ISNUMBER(SEARCH(" "&amp;$CR$2073:$CR$2093&amp;" ",$AA55)))),"")</f>
        <v>0</v>
      </c>
      <c r="CB55" s="493">
        <f>IF(55=55,IF($U55="","",SUMPRODUCT(--ISNUMBER(SEARCH(" "&amp;$CR$2094:$CR$2133&amp;" ",SUBSTITUTE(SUBSTITUTE($AA55," "&amp;$CR$1367&amp;" "," ")," "&amp;$CR$1366&amp;" "," "))))+--ISNUMBER(SEARCH("poiré",$V55))),"")</f>
        <v>0</v>
      </c>
      <c r="CC55" s="493" t="str">
        <f>IF(55=55,IF($U55="","",IF(OR(CA55&gt;0,ISNUMBER(SEARCH(" vinaigre de vin ",$AA55)),ISNUMBER(SEARCH(" vinaigre au vin ",$AA55))),"X",IF(CB55&gt;0,"?",""))),"")</f>
        <v/>
      </c>
      <c r="CD55" s="493">
        <f>IF(55=55,IF($U55="","",SUMPRODUCT(--ISNUMBER(SEARCH(" "&amp;$CR$2134:$CR$2146&amp;" ",$AA55)))),"")</f>
        <v>0</v>
      </c>
      <c r="CE55" s="493">
        <f>IF(55=55,IF($U55="","",SUMPRODUCT(--ISNUMBER(SEARCH(" "&amp;$CR$2147:$CR$2152&amp;" ",$AA55)))),"")</f>
        <v>0</v>
      </c>
      <c r="CF55" s="493" t="str">
        <f>IF(55=55,IF($U55="","",IF((CD55)-(0)&gt;0,"X",IF((CE55)-(0)&gt;0,"?",""))),"")</f>
        <v/>
      </c>
      <c r="CG55" s="493">
        <f>IF(55=55,IF($U55="","",SUMPRODUCT(--ISNUMBER(SEARCH(" "&amp;$CR$2153:$CR$2252&amp;" ",$CJ55)))),"")</f>
        <v>0</v>
      </c>
      <c r="CH55" s="493">
        <f>IF(55=55,IF($U55="","",SUMPRODUCT(--ISNUMBER(SEARCH(" "&amp;$CR$2253:$CR$2352&amp;" ",$CJ55)))),"")</f>
        <v>0</v>
      </c>
      <c r="CI55" s="493">
        <f>IF(55=55,IF($U55="","",SUMPRODUCT(--ISNUMBER(SEARCH(" "&amp;$CR$2353:$CR$2395&amp;" ",$CJ55)))),"")</f>
        <v>0</v>
      </c>
      <c r="CJ55" s="493" t="str">
        <f>IF(55=55,IF($U55="","",SUBSTITUTE(SUBSTITUTE(SUBSTITUTE(SUBSTITUTE(SUBSTITUTE(SUBSTITUTE(SUBSTITUTE(SUBSTITUTE(SUBSTITUTE(SUBSTITUTE(SUBSTITUTE(SUBSTITUTE(SUBSTITUTE(SUBSTITUTE(SUBSTITUTE(SUBSTITUTE($AA55," "&amp;$CR$2401&amp;" "," ")," "&amp;$CR$2400&amp;" "," ")," "&amp;$CR$2399&amp;" "," ")," "&amp;$CR$2406&amp;" "," ")," "&amp;$CR$2398&amp;" "," ")," "&amp;$CR$2410&amp;" "," ")," "&amp;$CR$2397&amp;" "," ")," "&amp;$CR$2402&amp;" "," ")," "&amp;$CR$2405&amp;" "," ")," "&amp;$CR$2396&amp;" "," ")," "&amp;$CR$2404&amp;" "," ")," "&amp;$CR$2411&amp;" "," ")," "&amp;$CR$2408&amp;" "," ")," "&amp;$CR$2403&amp;" "," ")," "&amp;$CR$2407&amp;" "," ")," "&amp;$CR$2409&amp;" "," ")),"")</f>
        <v xml:space="preserve"> spigol rizdor etc </v>
      </c>
      <c r="CK55" s="493">
        <f>IF(55=55,IF($U55="","",SUMPRODUCT(--ISNUMBER(SEARCH(" "&amp;$CR$2412:$CR$2416&amp;" ",$CJ55)))),"")</f>
        <v>0</v>
      </c>
      <c r="CL55" s="493" t="str">
        <f>IF(55=55,IF($U55="","",IF(SUM(CG55:CI55)&gt;0,"X",IF(CK55&gt;0,"?",""))),"")</f>
        <v/>
      </c>
      <c r="CM55" s="494"/>
      <c r="CN55" s="496" t="s">
        <v>1241</v>
      </c>
      <c r="CO55" s="496" t="s">
        <v>1083</v>
      </c>
      <c r="CP55" s="496" t="s">
        <v>689</v>
      </c>
      <c r="CQ55" s="496" t="s">
        <v>1242</v>
      </c>
      <c r="CR55" s="496" t="s">
        <v>1242</v>
      </c>
      <c r="CS55" s="496" t="s">
        <v>1085</v>
      </c>
      <c r="CT55" s="496" t="s">
        <v>1086</v>
      </c>
      <c r="CU55" s="496" t="s">
        <v>1087</v>
      </c>
      <c r="CV55" s="497" t="s">
        <v>1088</v>
      </c>
      <c r="CX55" s="543">
        <v>1</v>
      </c>
    </row>
    <row r="56" spans="1:102" ht="21" customHeight="1">
      <c r="A56" s="509">
        <v>50</v>
      </c>
      <c r="B56" s="510" t="s">
        <v>5893</v>
      </c>
      <c r="C56" s="511" t="str">
        <f t="shared" si="0"/>
        <v>Tomates fraîches ou en cubes surgelés</v>
      </c>
      <c r="D56" s="512" t="str">
        <f>IF(56=56,IF($B56="","",IF(E56="X",""&amp;"Céréales contenant du gluten","")&amp;IF(F56="X",IF(COUNTIF($E56:$E56,"X")&gt;0,", ","")&amp;"Crustacés","")&amp;IF(G56="X",IF(COUNTIF($E56:$F56,"X")&gt;0,", ","")&amp;"Œufs","")&amp;IF(H56="X",IF(COUNTIF($E56:$G56,"X")&gt;0,", ","")&amp;"Poissons","")&amp;IF(I56="X",IF(COUNTIF($E56:$H56,"X")&gt;0,", ","")&amp;"Arachides","")&amp;IF(J56="X",IF(COUNTIF($E56:$I56,"X")&gt;0,", ","")&amp;"Soja","")&amp;IF(K56="X",IF(COUNTIF($E56:$J56,"X")&gt;0,", ","")&amp;"Lait","")&amp;IF(L56="X",IF(COUNTIF($E56:$K56,"X")&gt;0,", ","")&amp;"Fruits à coque","")&amp;IF(M56="X",IF(COUNTIF($E56:$L56,"X")&gt;0,", ","")&amp;"Céleri","")&amp;IF(N56="X",IF(COUNTIF($E56:$M56,"X")&gt;0,", ","")&amp;"Moutarde","")&amp;IF(O56="X",IF(COUNTIF($E56:$N56,"X")&gt;0,", ","")&amp;"Sésame","")&amp;IF(P56="X",IF(COUNTIF($E56:$O56,"X")&gt;0,", ","")&amp;"Sulfites","")&amp;IF(Q56="X",IF(COUNTIF($E56:$P56,"X")&gt;0,", ","")&amp;"Lupin","")&amp;IF(R56="X",IF(COUNTIF($E56:$Q56,"X")&gt;0,", ","")&amp;"Mollusques","")),"")</f>
        <v/>
      </c>
      <c r="E56" s="513" t="str">
        <f>IF(56=56,IF($B56="","",AF56),"")</f>
        <v/>
      </c>
      <c r="F56" s="513" t="str">
        <f>IF(56=56,IF($B56="","",AI56),"")</f>
        <v/>
      </c>
      <c r="G56" s="513" t="str">
        <f>IF(56=56,IF($B56="","",AM56),"")</f>
        <v/>
      </c>
      <c r="H56" s="513" t="str">
        <f>IF(56=56,IF($B56="","",IF(ISNUMBER(SEARCH(" colin ",$AA56)),"X",AZ56)),"")</f>
        <v/>
      </c>
      <c r="I56" s="513" t="str">
        <f>IF(56=56,IF($B56="","",BB56),"")</f>
        <v/>
      </c>
      <c r="J56" s="513" t="str">
        <f>IF(56=56,IF($B56="","",BF56),"")</f>
        <v/>
      </c>
      <c r="K56" s="513" t="str">
        <f>IF(56=56,IF($B56="","",BM56),"")</f>
        <v/>
      </c>
      <c r="L56" s="513" t="str">
        <f>IF(56=56,IF($B56="","",BQ56),"")</f>
        <v/>
      </c>
      <c r="M56" s="513" t="str">
        <f>IF(56=56,IF($B56="","",BT56),"")</f>
        <v/>
      </c>
      <c r="N56" s="513" t="str">
        <f>IF(56=56,IF($B56="","",BW56),"")</f>
        <v/>
      </c>
      <c r="O56" s="513" t="str">
        <f>IF(56=56,IF($B56="","",BZ56),"")</f>
        <v/>
      </c>
      <c r="P56" s="513" t="str">
        <f>IF(56=56,IF($B56="","",CC56),"")</f>
        <v/>
      </c>
      <c r="Q56" s="513" t="str">
        <f>IF(56=56,IF($B56="","",CF56),"")</f>
        <v/>
      </c>
      <c r="R56" s="513" t="str">
        <f>IF(56=56,IF($B56="","",CL56),"")</f>
        <v/>
      </c>
      <c r="S56" s="514" t="str">
        <f>IF(56=56,IF($B56="","",IF(E56="?",""&amp;"Céréales contenant du gluten","")&amp;IF(F56="?",IF(COUNTIF($E56:$E56,"~?")&gt;0,", ","")&amp;"Crustacés","")&amp;IF(G56="?",IF(COUNTIF($E56:$F56,"~?")&gt;0,", ","")&amp;"Œufs","")&amp;IF(H56="?",IF(COUNTIF($E56:$G56,"~?")&gt;0,", ","")&amp;"Poissons","")&amp;IF(I56="?",IF(COUNTIF($E56:$H56,"~?")&gt;0,", ","")&amp;"Arachides","")&amp;IF(J56="?",IF(COUNTIF($E56:$I56,"~?")&gt;0,", ","")&amp;"Soja","")&amp;IF(K56="?",IF(COUNTIF($E56:$J56,"~?")&gt;0,", ","")&amp;"Lait","")&amp;IF(L56="?",IF(COUNTIF($E56:$K56,"~?")&gt;0,", ","")&amp;"Fruits à coque","")&amp;IF(M56="?",IF(COUNTIF($E56:$L56,"~?")&gt;0,", ","")&amp;"Céleri","")&amp;IF(N56="?",IF(COUNTIF($E56:$M56,"~?")&gt;0,", ","")&amp;"Moutarde","")&amp;IF(O56="?",IF(COUNTIF($E56:$N56,"~?")&gt;0,", ","")&amp;"Sésame","")&amp;IF(P56="?",IF(COUNTIF($E56:$O56,"~?")&gt;0,", ","")&amp;"Sulfites","")&amp;IF(Q56="?",IF(COUNTIF($E56:$P56,"~?")&gt;0,", ","")&amp;"Lupin","")&amp;IF(R56="?",IF(COUNTIF($E56:$Q56,"~?")&gt;0,", ","")&amp;"Mollusques","")),"")</f>
        <v/>
      </c>
      <c r="U56" s="493" t="str">
        <f>IF(56=56,IF($B56="","",$B56),"")</f>
        <v>Tomates fraîches ou en cubes surgelés</v>
      </c>
      <c r="V56" s="493" t="str">
        <f>IF(56=56,LOWER(CLEAN(SUBSTITUTE(SUBSTITUTE(SUBSTITUTE(SUBSTITUTE($U56,CHAR(160)," ")," "," "),CHAR(10)," "),CHAR(13)," "))),"")</f>
        <v>tomates fraîches ou en cubes surgelés</v>
      </c>
      <c r="W56" s="493" t="str">
        <f>IF(56=56,SUBSTITUTE(SUBSTITUTE(SUBSTITUTE(SUBSTITUTE(SUBSTITUTE(SUBSTITUTE(SUBSTITUTE(SUBSTITUTE(SUBSTITUTE(SUBSTITUTE(SUBSTITUTE(SUBSTITUTE($V56,"œ","oe"),"æ","ae"),"à","a"),"á","a"),"â","a"),"ä","a"),"ã","a"),"ç","c"),"è","e"),"é","e"),"ê","e"),"ë","e"),"")</f>
        <v>tomates fraîches ou en cubes surgeles</v>
      </c>
      <c r="X56" s="493" t="str">
        <f>IF(56=56,SUBSTITUTE(SUBSTITUTE(SUBSTITUTE(SUBSTITUTE(SUBSTITUTE(SUBSTITUTE(SUBSTITUTE(SUBSTITUTE(SUBSTITUTE(SUBSTITUTE(SUBSTITUTE(SUBSTITUTE(SUBSTITUTE(SUBSTITUTE(SUBSTITUTE(SUBSTITUTE($W56,"ì","i"),"í","i"),"î","i"),"ï","i"),"ñ","n"),"ò","o"),"ó","o"),"ô","o"),"ö","o"),"õ","o"),"ù","u"),"ú","u"),"û","u"),"ü","u"),"ý","y"),"ÿ","y"),"")</f>
        <v>tomates fraiches ou en cubes surgeles</v>
      </c>
      <c r="Y56" s="493" t="str">
        <f>IF(56=56,SUBSTITUTE(SUBSTITUTE(SUBSTITUTE(SUBSTITUTE(SUBSTITUTE(SUBSTITUTE(SUBSTITUTE(SUBSTITUTE(SUBSTITUTE(SUBSTITUTE(SUBSTITUTE(SUBSTITUTE(SUBSTITUTE(SUBSTITUTE($X56,"’"," "),"`"," "),"–"," "),"—"," "),"-"," "),"'"," "),"/"," "),"_"," "),","," "),"."," "),"("," "),")"," "),";"," "),":"," "),"")</f>
        <v>tomates fraiches ou en cubes surgeles</v>
      </c>
      <c r="Z56" s="493" t="str">
        <f>IF(56=56,SUBSTITUTE(SUBSTITUTE(SUBSTITUTE(SUBSTITUTE(SUBSTITUTE(SUBSTITUTE(SUBSTITUTE(SUBSTITUTE(SUBSTITUTE(SUBSTITUTE(SUBSTITUTE(SUBSTITUTE(SUBSTITUTE(SUBSTITUTE(SUBSTITUTE($Y56,"!"," "),"?"," "),"+"," "),"*"," "),"&amp;"," "),"["," "),"]"," "),"{"," "),"}"," "),"%"," "),"="," "),"\"," "),"|"," "),"&lt;"," "),"&gt;"," "),"")</f>
        <v>tomates fraiches ou en cubes surgeles</v>
      </c>
      <c r="AA56" s="493" t="str">
        <f>IF(56=56," "&amp;TRIM(SUBSTITUTE(SUBSTITUTE(SUBSTITUTE(SUBSTITUTE(SUBSTITUTE(SUBSTITUTE($Z56,CHAR(34)," "),"  "," "),"  "," "),"  "," "),"  "," "),"  "," "))&amp;" ","")</f>
        <v xml:space="preserve"> tomates fraiches ou en cubes surgeles </v>
      </c>
      <c r="AB56" s="493">
        <f>IF(56=56,IF($U56="","",SUMPRODUCT(--ISNUMBER(SEARCH(" "&amp;$CR$2:$CR$101&amp;" ",$AD56)))),"")</f>
        <v>0</v>
      </c>
      <c r="AC56" s="493">
        <f>IF(56=56,IF($U56="","",SUMPRODUCT(--ISNUMBER(SEARCH(" "&amp;$CR$102:$CR$151&amp;" ",$AD56)))),"")</f>
        <v>0</v>
      </c>
      <c r="AD56" s="493" t="str">
        <f t="shared" si="1"/>
        <v xml:space="preserve"> tomates fraiches ou en cubes surgeles </v>
      </c>
      <c r="AE56" s="493">
        <f t="shared" si="2"/>
        <v>0</v>
      </c>
      <c r="AF56" s="493" t="str">
        <f>IF(56=56,IF($U56="","",IF(SUM(AB56:AC56)+SUMPRODUCT(--ISNUMBER(SEARCH(" "&amp;$CR$2418:$CR$2420&amp;" ",$AD56)))&gt;0,"X",IF(AE56&gt;0,"?",""))),"")</f>
        <v/>
      </c>
      <c r="AG56" s="493">
        <f>IF(56=56,IF($U56="","",SUMPRODUCT(--ISNUMBER(SEARCH(" "&amp;$CR$206:$CR$305&amp;" ",$AA56)))),"")</f>
        <v>0</v>
      </c>
      <c r="AH56" s="493">
        <f>IF(56=56,IF($U56="","",SUMPRODUCT(--ISNUMBER(SEARCH(" "&amp;$CR$306:$CR$340&amp;" ",$AA56)))),"")</f>
        <v>0</v>
      </c>
      <c r="AI56" s="493" t="str">
        <f>IF(56=56,IF($U56="","",IF((SUM(AG56:AH56))-(0)&gt;0,"X",IF((0)-(0)&gt;0,"?",""))),"")</f>
        <v/>
      </c>
      <c r="AJ56" s="493">
        <f>IF(56=56,IF($U56="","",SUMPRODUCT(--ISNUMBER(SEARCH(" "&amp;$CR$341:$CR$398&amp;" ",$AA56)))),"")</f>
        <v>0</v>
      </c>
      <c r="AK56" s="493">
        <f>IF(56=56,IF($U56="","",SUMPRODUCT(--ISNUMBER(SEARCH(" "&amp;$CR$399:$CR$426&amp;" ",$AL56)))+SUMPRODUCT(--ISNUMBER(SEARCH(" "&amp;$CR$2440:$CR$2453&amp;" ",$AL56)))),"")</f>
        <v>0</v>
      </c>
      <c r="AL56" s="493" t="str">
        <f>IF(56=56,IF($U56="","",SUBSTITUTE(SUBSTITUTE(SUBSTITUTE(SUBSTITUTE(SUBSTITUTE(SUBSTITUTE(SUBSTITUTE(SUBSTITUTE(SUBSTITUTE(SUBSTITUTE(SUBSTITUTE(SUBSTITUTE(SUBSTITUTE(SUBSTITUTE($AA56," "&amp;$CR$2455&amp;" "," ")," "&amp;$CR$433&amp;" "," ")," "&amp;$CR$431&amp;" "," ")," "&amp;$CR$2438&amp;" "," ")," "&amp;$CR$2439&amp;" "," ")," "&amp;$CR$428&amp;" "," ")," "&amp;$CR$432&amp;" "," ")," "&amp;$CR$434&amp;" "," ")," "&amp;$CR$429&amp;" "," ")," "&amp;$CR$427&amp;" "," ")," "&amp;$CR$1367&amp;" "," ")," "&amp;$CR$435&amp;" "," ")," "&amp;$CR$1366&amp;" "," ")," "&amp;$CR$430&amp;" "," ")),"")</f>
        <v xml:space="preserve"> tomates fraiches ou en cubes surgeles </v>
      </c>
      <c r="AM56" s="493" t="str">
        <f>IF(56=56,IF($U56="","",IF(AJ56&gt;0,"X",IF(AK56&gt;0,"?",""))),"")</f>
        <v/>
      </c>
      <c r="AN56" s="493">
        <f>IF(56=56,IF($U56="","",SUMPRODUCT(--ISNUMBER(SEARCH(" "&amp;$CR$436:$CR$535&amp;" ",$AX56)))),"")</f>
        <v>0</v>
      </c>
      <c r="AO56" s="493">
        <f>IF(56=56,IF($U56="","",SUMPRODUCT(--ISNUMBER(SEARCH(" "&amp;$CR$536:$CR$635&amp;" ",$AX56)))),"")</f>
        <v>0</v>
      </c>
      <c r="AP56" s="493">
        <f>IF(56=56,IF($U56="","",SUMPRODUCT(--ISNUMBER(SEARCH(" "&amp;$CR$636:$CR$735&amp;" ",$AX56)))),"")</f>
        <v>0</v>
      </c>
      <c r="AQ56" s="493">
        <f>IF(56=56,IF($U56="","",SUMPRODUCT(--ISNUMBER(SEARCH(" "&amp;$CR$736:$CR$835&amp;" ",$AX56)))),"")</f>
        <v>0</v>
      </c>
      <c r="AR56" s="493">
        <f>IF(56=56,IF($U56="","",SUMPRODUCT(--ISNUMBER(SEARCH(" "&amp;$CR$836:$CR$935&amp;" ",$AX56)))),"")</f>
        <v>0</v>
      </c>
      <c r="AS56" s="493">
        <f>IF(56=56,IF($U56="","",SUMPRODUCT(--ISNUMBER(SEARCH(" "&amp;$CR$936:$CR$1035&amp;" ",$AX56)))),"")</f>
        <v>0</v>
      </c>
      <c r="AT56" s="493">
        <f>IF(56=56,IF($U56="","",SUMPRODUCT(--ISNUMBER(SEARCH(" "&amp;$CR$1036:$CR$1135&amp;" ",$AX56)))),"")</f>
        <v>0</v>
      </c>
      <c r="AU56" s="493">
        <f>IF(56=56,IF($U56="","",SUMPRODUCT(--ISNUMBER(SEARCH(" "&amp;$CR$1136:$CR$1235&amp;" ",$AX56)))),"")</f>
        <v>0</v>
      </c>
      <c r="AV56" s="493">
        <f>IF(56=56,IF($U56="","",SUMPRODUCT(--ISNUMBER(SEARCH(" "&amp;$CR$1236:$CR$1335&amp;" ",$AX56)))),"")</f>
        <v>0</v>
      </c>
      <c r="AW56" s="493">
        <f>IF(56=56,IF($U56="","",SUMPRODUCT(--ISNUMBER(SEARCH(" "&amp;$CR$1336:$CR$1363&amp;" ",$AX56)))),"")</f>
        <v>0</v>
      </c>
      <c r="AX56" s="493" t="str">
        <f>IF(56=56,IF($U56="","",SUBSTITUTE(SUBSTITUTE(SUBSTITUTE(SUBSTITUTE(SUBSTITUTE(SUBSTITUTE(SUBSTITUTE(SUBSTITUTE(SUBSTITUTE($AA56," "&amp;$CR$1365&amp;" "," ")," "&amp;$CR$1364&amp;" "," ")," "&amp;$CR$1370&amp;" "," ")," "&amp;$CR$1371&amp;" "," ")," "&amp;$CR$1367&amp;" "," ")," "&amp;$CR$1369&amp;" "," ")," "&amp;$CR$1366&amp;" "," ")," "&amp;$CR$1368&amp;" "," ")," "&amp;$CR$1372&amp;" "," ")),"")</f>
        <v xml:space="preserve"> tomates fraiches ou en cubes surgeles </v>
      </c>
      <c r="AY56" s="493">
        <f>IF(56=56,IF($U56="","",SUMPRODUCT(--ISNUMBER(SEARCH(" "&amp;$CR$1373:$CR$1383&amp;" ",$AX56)))),"")</f>
        <v>0</v>
      </c>
      <c r="AZ56" s="493" t="str">
        <f>IF(56=56,IF($U56="","",IF(SUM(AN56:AW56)+SUMPRODUCT(--ISNUMBER(SEARCH(" "&amp;$CR$2421:$CR$2422&amp;" ",$AX56)))&gt;0,"X",IF(AY56&gt;0,"?",""))),"")</f>
        <v/>
      </c>
      <c r="BA56" s="493">
        <f>IF(56=56,IF($U56="","",SUMPRODUCT(--ISNUMBER(SEARCH(" "&amp;$CR$1384:$CR$1404&amp;" ",$AA56)))),"")</f>
        <v>0</v>
      </c>
      <c r="BB56" s="493" t="str">
        <f>IF(56=56,IF($U56="","",IF((BA56)-(0)&gt;0,"X",IF((0)-(0)&gt;0,"?",""))),"")</f>
        <v/>
      </c>
      <c r="BC56" s="493">
        <f>IF(56=56,IF($U56="","",SUMPRODUCT(--ISNUMBER(SEARCH(" "&amp;$CR$1405:$CR$1442&amp;" ",$BD56)))),"")</f>
        <v>0</v>
      </c>
      <c r="BD56" s="493" t="str">
        <f>IF(56=56,IF($U56="","",SUBSTITUTE(SUBSTITUTE($AA56," "&amp;$CR$1443&amp;" "," ")," "&amp;$CR$1444&amp;" "," ")),"")</f>
        <v xml:space="preserve"> tomates fraiches ou en cubes surgeles </v>
      </c>
      <c r="BE56" s="493">
        <f>IF(56=56,IF($U56="","",SUMPRODUCT(--ISNUMBER(SEARCH(" "&amp;$CR$1445:$CR$1455&amp;" ",$BD56)))),"")</f>
        <v>0</v>
      </c>
      <c r="BF56" s="493" t="str">
        <f>IF(56=56,IF($U56="","",IF(BC56&gt;0,"X",IF(BE56&gt;0,"?",""))),"")</f>
        <v/>
      </c>
      <c r="BG56" s="493">
        <f>IF(56=56,IF($U56="","",SUMPRODUCT(--ISNUMBER(SEARCH(" "&amp;$CR$1456:$CR$1555&amp;" ",$BJ56)))),"")</f>
        <v>0</v>
      </c>
      <c r="BH56" s="493">
        <f>IF(56=56,IF($U56="","",SUMPRODUCT(--ISNUMBER(SEARCH(" "&amp;$CR$1556:$CR$1655&amp;" ",$BJ56)))),"")</f>
        <v>0</v>
      </c>
      <c r="BI56" s="493">
        <f>IF(56=56,IF($U56="","",SUMPRODUCT(--ISNUMBER(SEARCH(" "&amp;$CR$1656:$CR$1739&amp;" ",$BJ56)))),"")</f>
        <v>0</v>
      </c>
      <c r="BJ56" s="493" t="str">
        <f>IF(56=56,IF($U56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tomates fraiches ou en cubes surgeles </v>
      </c>
      <c r="BK56" s="493">
        <f>IF(56=56,IF($U56="","",SUMPRODUCT(--ISNUMBER(SEARCH(" "&amp;$CR$1790:$CR$1869&amp;" ",$BL56)))+SUMPRODUCT(--ISNUMBER(SEARCH(" "&amp;$CR$2440:$CR$2453&amp;" ",$BL56)))),"")</f>
        <v>0</v>
      </c>
      <c r="BL56" s="493" t="str">
        <f>IF(56=56,IF($U56="","",SUBSTITUTE(SUBSTITUTE(SUBSTITUTE(SUBSTITUTE(SUBSTITUTE(SUBSTITUTE(SUBSTITUTE(SUBSTITUTE(SUBSTITUTE(SUBSTITUTE(SUBSTITUTE(SUBSTITUTE(SUBSTITUTE($BJ56," "&amp;$CR$1876&amp;" "," ")," "&amp;$CR$1874&amp;" "," ")," "&amp;$CR$2438&amp;" "," ")," "&amp;$CR$2439&amp;" "," ")," "&amp;$CR$1871&amp;" "," ")," "&amp;$CR$1875&amp;" "," ")," "&amp;$CR$1877&amp;" "," ")," "&amp;$CR$1872&amp;" "," ")," "&amp;$CR$1870&amp;" "," ")," "&amp;$CR$1367&amp;" "," ")," "&amp;$CR$1878&amp;" "," ")," "&amp;$CR$1366&amp;" "," ")," "&amp;$CR$1873&amp;" "," ")),"")</f>
        <v xml:space="preserve"> tomates fraiches ou en cubes surgeles </v>
      </c>
      <c r="BM56" s="493" t="str">
        <f>IF(56=56,IF($U56="","",IF(SUM(BG56:BI56)+SUMPRODUCT(--ISNUMBER(SEARCH(" "&amp;$CR$2423:$CR$2424&amp;" ",$BJ56)))&gt;0,"X",IF(BK56&gt;0,"?",""))),"")</f>
        <v/>
      </c>
      <c r="BN56" s="493">
        <f>IF(56=56,IF($U56="","",SUMPRODUCT(--ISNUMBER(SEARCH(" "&amp;$CR$1879:$CR$1936&amp;" ",$BO56)))),"")</f>
        <v>0</v>
      </c>
      <c r="BO56" s="493" t="str">
        <f>IF(56=56,IF($U56="","",SUBSTITUTE(SUBSTITUTE(SUBSTITUTE(SUBSTITUTE(SUBSTITUTE(SUBSTITUTE(SUBSTITUTE(SUBSTITUTE(SUBSTITUTE(SUBSTITUTE(SUBSTITUTE(SUBSTITUTE(SUBSTITUTE(SUBSTITUTE(SUBSTITUTE(SUBSTITUTE(SUBSTITUTE(SUBSTITUTE(SUBSTITUTE(SUBSTITUTE(SUBSTITUTE(SUBSTITUTE(SUBSTITUTE($AA56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tomates fraiches ou en cubes surgeles </v>
      </c>
      <c r="BP56" s="493">
        <f>IF(56=56,IF($U56="","",SUMPRODUCT(--ISNUMBER(SEARCH(" "&amp;$CR$1960:$CR$1976&amp;" ",$BO56)))),"")</f>
        <v>0</v>
      </c>
      <c r="BQ56" s="493" t="str">
        <f>IF(56=56,IF($U56="","",IF(BN56&gt;0,"X",IF(BP56&gt;0,"?",""))),"")</f>
        <v/>
      </c>
      <c r="BR56" s="493">
        <f>IF(56=56,IF($U56="","",SUMPRODUCT(--ISNUMBER(SEARCH(" "&amp;$CR$1977:$CR$1990&amp;" ",$AA56)))),"")</f>
        <v>0</v>
      </c>
      <c r="BS56" s="493">
        <f>IF(56=56,IF($U56="","",SUMPRODUCT(--ISNUMBER(SEARCH(" "&amp;$CR$1991:$CR$2005&amp;" ",$AA56)))),"")</f>
        <v>0</v>
      </c>
      <c r="BT56" s="493" t="str">
        <f>IF(56=56,IF($U56="","",IF((BR56)-(0)&gt;0,"X",IF((BS56)-(0)&gt;0,"?",""))),"")</f>
        <v/>
      </c>
      <c r="BU56" s="493">
        <f>IF(56=56,IF($U56="","",SUMPRODUCT(--ISNUMBER(SEARCH(" "&amp;$CR$2006:$CR$2023&amp;" ",$AA56)))),"")</f>
        <v>0</v>
      </c>
      <c r="BV56" s="493">
        <f>IF(56=56,IF($U56="","",SUMPRODUCT(--ISNUMBER(SEARCH(" "&amp;$CR$2024:$CR$2038&amp;" ",$AA56)))),"")</f>
        <v>0</v>
      </c>
      <c r="BW56" s="493" t="str">
        <f>IF(56=56,IF($U56="","",IF((BU56)-(0)&gt;0,"X",IF((BV56)-(0)&gt;0,"?",""))),"")</f>
        <v/>
      </c>
      <c r="BX56" s="493">
        <f>IF(56=56,IF($U56="","",SUMPRODUCT(--ISNUMBER(SEARCH(" "&amp;$CR$2039:$CR$2057&amp;" ",$AA56)))),"")</f>
        <v>0</v>
      </c>
      <c r="BY56" s="493">
        <f>IF(56=56,IF($U56="","",SUMPRODUCT(--ISNUMBER(SEARCH(" "&amp;$CR$2058:$CR$2072&amp;" ",$AA56)))),"")</f>
        <v>0</v>
      </c>
      <c r="BZ56" s="493" t="str">
        <f>IF(56=56,IF($U56="","",IF((BX56)-(0)&gt;0,"X",IF((BY56)-(0)&gt;0,"?",""))),"")</f>
        <v/>
      </c>
      <c r="CA56" s="493">
        <f>IF(56=56,IF($U56="","",SUMPRODUCT(--ISNUMBER(SEARCH(" "&amp;$CR$2073:$CR$2093&amp;" ",$AA56)))),"")</f>
        <v>0</v>
      </c>
      <c r="CB56" s="493">
        <f>IF(56=56,IF($U56="","",SUMPRODUCT(--ISNUMBER(SEARCH(" "&amp;$CR$2094:$CR$2133&amp;" ",SUBSTITUTE(SUBSTITUTE($AA56," "&amp;$CR$1367&amp;" "," ")," "&amp;$CR$1366&amp;" "," "))))+--ISNUMBER(SEARCH("poiré",$V56))),"")</f>
        <v>0</v>
      </c>
      <c r="CC56" s="493" t="str">
        <f>IF(56=56,IF($U56="","",IF(OR(CA56&gt;0,ISNUMBER(SEARCH(" vinaigre de vin ",$AA56)),ISNUMBER(SEARCH(" vinaigre au vin ",$AA56))),"X",IF(CB56&gt;0,"?",""))),"")</f>
        <v/>
      </c>
      <c r="CD56" s="493">
        <f>IF(56=56,IF($U56="","",SUMPRODUCT(--ISNUMBER(SEARCH(" "&amp;$CR$2134:$CR$2146&amp;" ",$AA56)))),"")</f>
        <v>0</v>
      </c>
      <c r="CE56" s="493">
        <f>IF(56=56,IF($U56="","",SUMPRODUCT(--ISNUMBER(SEARCH(" "&amp;$CR$2147:$CR$2152&amp;" ",$AA56)))),"")</f>
        <v>0</v>
      </c>
      <c r="CF56" s="493" t="str">
        <f>IF(56=56,IF($U56="","",IF((CD56)-(0)&gt;0,"X",IF((CE56)-(0)&gt;0,"?",""))),"")</f>
        <v/>
      </c>
      <c r="CG56" s="493">
        <f>IF(56=56,IF($U56="","",SUMPRODUCT(--ISNUMBER(SEARCH(" "&amp;$CR$2153:$CR$2252&amp;" ",$CJ56)))),"")</f>
        <v>0</v>
      </c>
      <c r="CH56" s="493">
        <f>IF(56=56,IF($U56="","",SUMPRODUCT(--ISNUMBER(SEARCH(" "&amp;$CR$2253:$CR$2352&amp;" ",$CJ56)))),"")</f>
        <v>0</v>
      </c>
      <c r="CI56" s="493">
        <f>IF(56=56,IF($U56="","",SUMPRODUCT(--ISNUMBER(SEARCH(" "&amp;$CR$2353:$CR$2395&amp;" ",$CJ56)))),"")</f>
        <v>0</v>
      </c>
      <c r="CJ56" s="493" t="str">
        <f>IF(56=56,IF($U56="","",SUBSTITUTE(SUBSTITUTE(SUBSTITUTE(SUBSTITUTE(SUBSTITUTE(SUBSTITUTE(SUBSTITUTE(SUBSTITUTE(SUBSTITUTE(SUBSTITUTE(SUBSTITUTE(SUBSTITUTE(SUBSTITUTE(SUBSTITUTE(SUBSTITUTE(SUBSTITUTE($AA56," "&amp;$CR$2401&amp;" "," ")," "&amp;$CR$2400&amp;" "," ")," "&amp;$CR$2399&amp;" "," ")," "&amp;$CR$2406&amp;" "," ")," "&amp;$CR$2398&amp;" "," ")," "&amp;$CR$2410&amp;" "," ")," "&amp;$CR$2397&amp;" "," ")," "&amp;$CR$2402&amp;" "," ")," "&amp;$CR$2405&amp;" "," ")," "&amp;$CR$2396&amp;" "," ")," "&amp;$CR$2404&amp;" "," ")," "&amp;$CR$2411&amp;" "," ")," "&amp;$CR$2408&amp;" "," ")," "&amp;$CR$2403&amp;" "," ")," "&amp;$CR$2407&amp;" "," ")," "&amp;$CR$2409&amp;" "," ")),"")</f>
        <v xml:space="preserve"> tomates fraiches ou en cubes surgeles </v>
      </c>
      <c r="CK56" s="493">
        <f>IF(56=56,IF($U56="","",SUMPRODUCT(--ISNUMBER(SEARCH(" "&amp;$CR$2412:$CR$2416&amp;" ",$CJ56)))),"")</f>
        <v>0</v>
      </c>
      <c r="CL56" s="493" t="str">
        <f>IF(56=56,IF($U56="","",IF(SUM(CG56:CI56)&gt;0,"X",IF(CK56&gt;0,"?",""))),"")</f>
        <v/>
      </c>
      <c r="CM56" s="494"/>
      <c r="CN56" s="496" t="s">
        <v>1243</v>
      </c>
      <c r="CO56" s="496" t="s">
        <v>1083</v>
      </c>
      <c r="CP56" s="496" t="s">
        <v>689</v>
      </c>
      <c r="CQ56" s="496" t="s">
        <v>1244</v>
      </c>
      <c r="CR56" s="496" t="s">
        <v>1244</v>
      </c>
      <c r="CS56" s="496" t="s">
        <v>1085</v>
      </c>
      <c r="CT56" s="496" t="s">
        <v>1086</v>
      </c>
      <c r="CU56" s="496" t="s">
        <v>1087</v>
      </c>
      <c r="CV56" s="497" t="s">
        <v>1088</v>
      </c>
      <c r="CX56" s="543">
        <v>1</v>
      </c>
    </row>
    <row r="57" spans="1:102" ht="21" customHeight="1">
      <c r="A57" s="509">
        <v>51</v>
      </c>
      <c r="B57" s="510" t="s">
        <v>5894</v>
      </c>
      <c r="C57" s="511" t="str">
        <f t="shared" si="0"/>
        <v>Vin blanc ?</v>
      </c>
      <c r="D57" s="512" t="str">
        <f>IF(57=57,IF($B57="","",IF(E57="X",""&amp;"Céréales contenant du gluten","")&amp;IF(F57="X",IF(COUNTIF($E57:$E57,"X")&gt;0,", ","")&amp;"Crustacés","")&amp;IF(G57="X",IF(COUNTIF($E57:$F57,"X")&gt;0,", ","")&amp;"Œufs","")&amp;IF(H57="X",IF(COUNTIF($E57:$G57,"X")&gt;0,", ","")&amp;"Poissons","")&amp;IF(I57="X",IF(COUNTIF($E57:$H57,"X")&gt;0,", ","")&amp;"Arachides","")&amp;IF(J57="X",IF(COUNTIF($E57:$I57,"X")&gt;0,", ","")&amp;"Soja","")&amp;IF(K57="X",IF(COUNTIF($E57:$J57,"X")&gt;0,", ","")&amp;"Lait","")&amp;IF(L57="X",IF(COUNTIF($E57:$K57,"X")&gt;0,", ","")&amp;"Fruits à coque","")&amp;IF(M57="X",IF(COUNTIF($E57:$L57,"X")&gt;0,", ","")&amp;"Céleri","")&amp;IF(N57="X",IF(COUNTIF($E57:$M57,"X")&gt;0,", ","")&amp;"Moutarde","")&amp;IF(O57="X",IF(COUNTIF($E57:$N57,"X")&gt;0,", ","")&amp;"Sésame","")&amp;IF(P57="X",IF(COUNTIF($E57:$O57,"X")&gt;0,", ","")&amp;"Sulfites","")&amp;IF(Q57="X",IF(COUNTIF($E57:$P57,"X")&gt;0,", ","")&amp;"Lupin","")&amp;IF(R57="X",IF(COUNTIF($E57:$Q57,"X")&gt;0,", ","")&amp;"Mollusques","")),"")</f>
        <v/>
      </c>
      <c r="E57" s="513" t="str">
        <f>IF(57=57,IF($B57="","",AF57),"")</f>
        <v/>
      </c>
      <c r="F57" s="513" t="str">
        <f>IF(57=57,IF($B57="","",AI57),"")</f>
        <v/>
      </c>
      <c r="G57" s="513" t="str">
        <f>IF(57=57,IF($B57="","",AM57),"")</f>
        <v>?</v>
      </c>
      <c r="H57" s="513" t="str">
        <f>IF(57=57,IF($B57="","",IF(ISNUMBER(SEARCH(" colin ",$AA57)),"X",AZ57)),"")</f>
        <v/>
      </c>
      <c r="I57" s="513" t="str">
        <f>IF(57=57,IF($B57="","",BB57),"")</f>
        <v/>
      </c>
      <c r="J57" s="513" t="str">
        <f>IF(57=57,IF($B57="","",BF57),"")</f>
        <v/>
      </c>
      <c r="K57" s="513" t="str">
        <f>IF(57=57,IF($B57="","",BM57),"")</f>
        <v>?</v>
      </c>
      <c r="L57" s="513" t="str">
        <f>IF(57=57,IF($B57="","",BQ57),"")</f>
        <v/>
      </c>
      <c r="M57" s="513" t="str">
        <f>IF(57=57,IF($B57="","",BT57),"")</f>
        <v/>
      </c>
      <c r="N57" s="513" t="str">
        <f>IF(57=57,IF($B57="","",BW57),"")</f>
        <v/>
      </c>
      <c r="O57" s="513" t="str">
        <f>IF(57=57,IF($B57="","",BZ57),"")</f>
        <v/>
      </c>
      <c r="P57" s="513" t="str">
        <f>IF(57=57,IF($B57="","",CC57),"")</f>
        <v>?</v>
      </c>
      <c r="Q57" s="513" t="str">
        <f>IF(57=57,IF($B57="","",CF57),"")</f>
        <v/>
      </c>
      <c r="R57" s="513" t="str">
        <f>IF(57=57,IF($B57="","",CL57),"")</f>
        <v/>
      </c>
      <c r="S57" s="514" t="str">
        <f>IF(57=57,IF($B57="","",IF(E57="?",""&amp;"Céréales contenant du gluten","")&amp;IF(F57="?",IF(COUNTIF($E57:$E57,"~?")&gt;0,", ","")&amp;"Crustacés","")&amp;IF(G57="?",IF(COUNTIF($E57:$F57,"~?")&gt;0,", ","")&amp;"Œufs","")&amp;IF(H57="?",IF(COUNTIF($E57:$G57,"~?")&gt;0,", ","")&amp;"Poissons","")&amp;IF(I57="?",IF(COUNTIF($E57:$H57,"~?")&gt;0,", ","")&amp;"Arachides","")&amp;IF(J57="?",IF(COUNTIF($E57:$I57,"~?")&gt;0,", ","")&amp;"Soja","")&amp;IF(K57="?",IF(COUNTIF($E57:$J57,"~?")&gt;0,", ","")&amp;"Lait","")&amp;IF(L57="?",IF(COUNTIF($E57:$K57,"~?")&gt;0,", ","")&amp;"Fruits à coque","")&amp;IF(M57="?",IF(COUNTIF($E57:$L57,"~?")&gt;0,", ","")&amp;"Céleri","")&amp;IF(N57="?",IF(COUNTIF($E57:$M57,"~?")&gt;0,", ","")&amp;"Moutarde","")&amp;IF(O57="?",IF(COUNTIF($E57:$N57,"~?")&gt;0,", ","")&amp;"Sésame","")&amp;IF(P57="?",IF(COUNTIF($E57:$O57,"~?")&gt;0,", ","")&amp;"Sulfites","")&amp;IF(Q57="?",IF(COUNTIF($E57:$P57,"~?")&gt;0,", ","")&amp;"Lupin","")&amp;IF(R57="?",IF(COUNTIF($E57:$Q57,"~?")&gt;0,", ","")&amp;"Mollusques","")),"")</f>
        <v>Œufs, Lait, Sulfites</v>
      </c>
      <c r="U57" s="493" t="str">
        <f>IF(57=57,IF($B57="","",$B57),"")</f>
        <v xml:space="preserve">Vin blanc </v>
      </c>
      <c r="V57" s="493" t="str">
        <f>IF(57=57,LOWER(CLEAN(SUBSTITUTE(SUBSTITUTE(SUBSTITUTE(SUBSTITUTE($U57,CHAR(160)," ")," "," "),CHAR(10)," "),CHAR(13)," "))),"")</f>
        <v xml:space="preserve">vin blanc </v>
      </c>
      <c r="W57" s="493" t="str">
        <f>IF(57=57,SUBSTITUTE(SUBSTITUTE(SUBSTITUTE(SUBSTITUTE(SUBSTITUTE(SUBSTITUTE(SUBSTITUTE(SUBSTITUTE(SUBSTITUTE(SUBSTITUTE(SUBSTITUTE(SUBSTITUTE($V57,"œ","oe"),"æ","ae"),"à","a"),"á","a"),"â","a"),"ä","a"),"ã","a"),"ç","c"),"è","e"),"é","e"),"ê","e"),"ë","e"),"")</f>
        <v xml:space="preserve">vin blanc </v>
      </c>
      <c r="X57" s="493" t="str">
        <f>IF(57=57,SUBSTITUTE(SUBSTITUTE(SUBSTITUTE(SUBSTITUTE(SUBSTITUTE(SUBSTITUTE(SUBSTITUTE(SUBSTITUTE(SUBSTITUTE(SUBSTITUTE(SUBSTITUTE(SUBSTITUTE(SUBSTITUTE(SUBSTITUTE(SUBSTITUTE(SUBSTITUTE($W57,"ì","i"),"í","i"),"î","i"),"ï","i"),"ñ","n"),"ò","o"),"ó","o"),"ô","o"),"ö","o"),"õ","o"),"ù","u"),"ú","u"),"û","u"),"ü","u"),"ý","y"),"ÿ","y"),"")</f>
        <v xml:space="preserve">vin blanc </v>
      </c>
      <c r="Y57" s="493" t="str">
        <f>IF(57=57,SUBSTITUTE(SUBSTITUTE(SUBSTITUTE(SUBSTITUTE(SUBSTITUTE(SUBSTITUTE(SUBSTITUTE(SUBSTITUTE(SUBSTITUTE(SUBSTITUTE(SUBSTITUTE(SUBSTITUTE(SUBSTITUTE(SUBSTITUTE($X57,"’"," "),"`"," "),"–"," "),"—"," "),"-"," "),"'"," "),"/"," "),"_"," "),","," "),"."," "),"("," "),")"," "),";"," "),":"," "),"")</f>
        <v xml:space="preserve">vin blanc </v>
      </c>
      <c r="Z57" s="493" t="str">
        <f>IF(57=57,SUBSTITUTE(SUBSTITUTE(SUBSTITUTE(SUBSTITUTE(SUBSTITUTE(SUBSTITUTE(SUBSTITUTE(SUBSTITUTE(SUBSTITUTE(SUBSTITUTE(SUBSTITUTE(SUBSTITUTE(SUBSTITUTE(SUBSTITUTE(SUBSTITUTE($Y57,"!"," "),"?"," "),"+"," "),"*"," "),"&amp;"," "),"["," "),"]"," "),"{"," "),"}"," "),"%"," "),"="," "),"\"," "),"|"," "),"&lt;"," "),"&gt;"," "),"")</f>
        <v xml:space="preserve">vin blanc </v>
      </c>
      <c r="AA57" s="493" t="str">
        <f>IF(57=57," "&amp;TRIM(SUBSTITUTE(SUBSTITUTE(SUBSTITUTE(SUBSTITUTE(SUBSTITUTE(SUBSTITUTE($Z57,CHAR(34)," "),"  "," "),"  "," "),"  "," "),"  "," "),"  "," "))&amp;" ","")</f>
        <v xml:space="preserve"> vin blanc </v>
      </c>
      <c r="AB57" s="493">
        <f>IF(57=57,IF($U57="","",SUMPRODUCT(--ISNUMBER(SEARCH(" "&amp;$CR$2:$CR$101&amp;" ",$AD57)))),"")</f>
        <v>0</v>
      </c>
      <c r="AC57" s="493">
        <f>IF(57=57,IF($U57="","",SUMPRODUCT(--ISNUMBER(SEARCH(" "&amp;$CR$102:$CR$151&amp;" ",$AD57)))),"")</f>
        <v>0</v>
      </c>
      <c r="AD57" s="493" t="str">
        <f t="shared" si="1"/>
        <v xml:space="preserve"> vin blanc </v>
      </c>
      <c r="AE57" s="493">
        <f t="shared" si="2"/>
        <v>0</v>
      </c>
      <c r="AF57" s="493" t="str">
        <f>IF(57=57,IF($U57="","",IF(SUM(AB57:AC57)+SUMPRODUCT(--ISNUMBER(SEARCH(" "&amp;$CR$2418:$CR$2420&amp;" ",$AD57)))&gt;0,"X",IF(AE57&gt;0,"?",""))),"")</f>
        <v/>
      </c>
      <c r="AG57" s="493">
        <f>IF(57=57,IF($U57="","",SUMPRODUCT(--ISNUMBER(SEARCH(" "&amp;$CR$206:$CR$305&amp;" ",$AA57)))),"")</f>
        <v>0</v>
      </c>
      <c r="AH57" s="493">
        <f>IF(57=57,IF($U57="","",SUMPRODUCT(--ISNUMBER(SEARCH(" "&amp;$CR$306:$CR$340&amp;" ",$AA57)))),"")</f>
        <v>0</v>
      </c>
      <c r="AI57" s="493" t="str">
        <f>IF(57=57,IF($U57="","",IF((SUM(AG57:AH57))-(0)&gt;0,"X",IF((0)-(0)&gt;0,"?",""))),"")</f>
        <v/>
      </c>
      <c r="AJ57" s="493">
        <f>IF(57=57,IF($U57="","",SUMPRODUCT(--ISNUMBER(SEARCH(" "&amp;$CR$341:$CR$398&amp;" ",$AA57)))),"")</f>
        <v>0</v>
      </c>
      <c r="AK57" s="493">
        <f>IF(57=57,IF($U57="","",SUMPRODUCT(--ISNUMBER(SEARCH(" "&amp;$CR$399:$CR$426&amp;" ",$AL57)))+SUMPRODUCT(--ISNUMBER(SEARCH(" "&amp;$CR$2440:$CR$2453&amp;" ",$AL57)))),"")</f>
        <v>1</v>
      </c>
      <c r="AL57" s="493" t="str">
        <f>IF(57=57,IF($U57="","",SUBSTITUTE(SUBSTITUTE(SUBSTITUTE(SUBSTITUTE(SUBSTITUTE(SUBSTITUTE(SUBSTITUTE(SUBSTITUTE(SUBSTITUTE(SUBSTITUTE(SUBSTITUTE(SUBSTITUTE(SUBSTITUTE(SUBSTITUTE($AA57," "&amp;$CR$2455&amp;" "," ")," "&amp;$CR$433&amp;" "," ")," "&amp;$CR$431&amp;" "," ")," "&amp;$CR$2438&amp;" "," ")," "&amp;$CR$2439&amp;" "," ")," "&amp;$CR$428&amp;" "," ")," "&amp;$CR$432&amp;" "," ")," "&amp;$CR$434&amp;" "," ")," "&amp;$CR$429&amp;" "," ")," "&amp;$CR$427&amp;" "," ")," "&amp;$CR$1367&amp;" "," ")," "&amp;$CR$435&amp;" "," ")," "&amp;$CR$1366&amp;" "," ")," "&amp;$CR$430&amp;" "," ")),"")</f>
        <v xml:space="preserve"> vin blanc </v>
      </c>
      <c r="AM57" s="493" t="str">
        <f>IF(57=57,IF($U57="","",IF(AJ57&gt;0,"X",IF(AK57&gt;0,"?",""))),"")</f>
        <v>?</v>
      </c>
      <c r="AN57" s="493">
        <f>IF(57=57,IF($U57="","",SUMPRODUCT(--ISNUMBER(SEARCH(" "&amp;$CR$436:$CR$535&amp;" ",$AX57)))),"")</f>
        <v>0</v>
      </c>
      <c r="AO57" s="493">
        <f>IF(57=57,IF($U57="","",SUMPRODUCT(--ISNUMBER(SEARCH(" "&amp;$CR$536:$CR$635&amp;" ",$AX57)))),"")</f>
        <v>0</v>
      </c>
      <c r="AP57" s="493">
        <f>IF(57=57,IF($U57="","",SUMPRODUCT(--ISNUMBER(SEARCH(" "&amp;$CR$636:$CR$735&amp;" ",$AX57)))),"")</f>
        <v>0</v>
      </c>
      <c r="AQ57" s="493">
        <f>IF(57=57,IF($U57="","",SUMPRODUCT(--ISNUMBER(SEARCH(" "&amp;$CR$736:$CR$835&amp;" ",$AX57)))),"")</f>
        <v>0</v>
      </c>
      <c r="AR57" s="493">
        <f>IF(57=57,IF($U57="","",SUMPRODUCT(--ISNUMBER(SEARCH(" "&amp;$CR$836:$CR$935&amp;" ",$AX57)))),"")</f>
        <v>0</v>
      </c>
      <c r="AS57" s="493">
        <f>IF(57=57,IF($U57="","",SUMPRODUCT(--ISNUMBER(SEARCH(" "&amp;$CR$936:$CR$1035&amp;" ",$AX57)))),"")</f>
        <v>0</v>
      </c>
      <c r="AT57" s="493">
        <f>IF(57=57,IF($U57="","",SUMPRODUCT(--ISNUMBER(SEARCH(" "&amp;$CR$1036:$CR$1135&amp;" ",$AX57)))),"")</f>
        <v>0</v>
      </c>
      <c r="AU57" s="493">
        <f>IF(57=57,IF($U57="","",SUMPRODUCT(--ISNUMBER(SEARCH(" "&amp;$CR$1136:$CR$1235&amp;" ",$AX57)))),"")</f>
        <v>0</v>
      </c>
      <c r="AV57" s="493">
        <f>IF(57=57,IF($U57="","",SUMPRODUCT(--ISNUMBER(SEARCH(" "&amp;$CR$1236:$CR$1335&amp;" ",$AX57)))),"")</f>
        <v>0</v>
      </c>
      <c r="AW57" s="493">
        <f>IF(57=57,IF($U57="","",SUMPRODUCT(--ISNUMBER(SEARCH(" "&amp;$CR$1336:$CR$1363&amp;" ",$AX57)))),"")</f>
        <v>0</v>
      </c>
      <c r="AX57" s="493" t="str">
        <f>IF(57=57,IF($U57="","",SUBSTITUTE(SUBSTITUTE(SUBSTITUTE(SUBSTITUTE(SUBSTITUTE(SUBSTITUTE(SUBSTITUTE(SUBSTITUTE(SUBSTITUTE($AA57," "&amp;$CR$1365&amp;" "," ")," "&amp;$CR$1364&amp;" "," ")," "&amp;$CR$1370&amp;" "," ")," "&amp;$CR$1371&amp;" "," ")," "&amp;$CR$1367&amp;" "," ")," "&amp;$CR$1369&amp;" "," ")," "&amp;$CR$1366&amp;" "," ")," "&amp;$CR$1368&amp;" "," ")," "&amp;$CR$1372&amp;" "," ")),"")</f>
        <v xml:space="preserve"> vin blanc </v>
      </c>
      <c r="AY57" s="493">
        <f>IF(57=57,IF($U57="","",SUMPRODUCT(--ISNUMBER(SEARCH(" "&amp;$CR$1373:$CR$1383&amp;" ",$AX57)))),"")</f>
        <v>0</v>
      </c>
      <c r="AZ57" s="493" t="str">
        <f>IF(57=57,IF($U57="","",IF(SUM(AN57:AW57)+SUMPRODUCT(--ISNUMBER(SEARCH(" "&amp;$CR$2421:$CR$2422&amp;" ",$AX57)))&gt;0,"X",IF(AY57&gt;0,"?",""))),"")</f>
        <v/>
      </c>
      <c r="BA57" s="493">
        <f>IF(57=57,IF($U57="","",SUMPRODUCT(--ISNUMBER(SEARCH(" "&amp;$CR$1384:$CR$1404&amp;" ",$AA57)))),"")</f>
        <v>0</v>
      </c>
      <c r="BB57" s="493" t="str">
        <f>IF(57=57,IF($U57="","",IF((BA57)-(0)&gt;0,"X",IF((0)-(0)&gt;0,"?",""))),"")</f>
        <v/>
      </c>
      <c r="BC57" s="493">
        <f>IF(57=57,IF($U57="","",SUMPRODUCT(--ISNUMBER(SEARCH(" "&amp;$CR$1405:$CR$1442&amp;" ",$BD57)))),"")</f>
        <v>0</v>
      </c>
      <c r="BD57" s="493" t="str">
        <f>IF(57=57,IF($U57="","",SUBSTITUTE(SUBSTITUTE($AA57," "&amp;$CR$1443&amp;" "," ")," "&amp;$CR$1444&amp;" "," ")),"")</f>
        <v xml:space="preserve"> vin blanc </v>
      </c>
      <c r="BE57" s="493">
        <f>IF(57=57,IF($U57="","",SUMPRODUCT(--ISNUMBER(SEARCH(" "&amp;$CR$1445:$CR$1455&amp;" ",$BD57)))),"")</f>
        <v>0</v>
      </c>
      <c r="BF57" s="493" t="str">
        <f>IF(57=57,IF($U57="","",IF(BC57&gt;0,"X",IF(BE57&gt;0,"?",""))),"")</f>
        <v/>
      </c>
      <c r="BG57" s="493">
        <f>IF(57=57,IF($U57="","",SUMPRODUCT(--ISNUMBER(SEARCH(" "&amp;$CR$1456:$CR$1555&amp;" ",$BJ57)))),"")</f>
        <v>0</v>
      </c>
      <c r="BH57" s="493">
        <f>IF(57=57,IF($U57="","",SUMPRODUCT(--ISNUMBER(SEARCH(" "&amp;$CR$1556:$CR$1655&amp;" ",$BJ57)))),"")</f>
        <v>0</v>
      </c>
      <c r="BI57" s="493">
        <f>IF(57=57,IF($U57="","",SUMPRODUCT(--ISNUMBER(SEARCH(" "&amp;$CR$1656:$CR$1739&amp;" ",$BJ57)))),"")</f>
        <v>0</v>
      </c>
      <c r="BJ57" s="493" t="str">
        <f>IF(57=57,IF($U57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vin blanc </v>
      </c>
      <c r="BK57" s="493">
        <f>IF(57=57,IF($U57="","",SUMPRODUCT(--ISNUMBER(SEARCH(" "&amp;$CR$1790:$CR$1869&amp;" ",$BL57)))+SUMPRODUCT(--ISNUMBER(SEARCH(" "&amp;$CR$2440:$CR$2453&amp;" ",$BL57)))),"")</f>
        <v>1</v>
      </c>
      <c r="BL57" s="493" t="str">
        <f>IF(57=57,IF($U57="","",SUBSTITUTE(SUBSTITUTE(SUBSTITUTE(SUBSTITUTE(SUBSTITUTE(SUBSTITUTE(SUBSTITUTE(SUBSTITUTE(SUBSTITUTE(SUBSTITUTE(SUBSTITUTE(SUBSTITUTE(SUBSTITUTE($BJ57," "&amp;$CR$1876&amp;" "," ")," "&amp;$CR$1874&amp;" "," ")," "&amp;$CR$2438&amp;" "," ")," "&amp;$CR$2439&amp;" "," ")," "&amp;$CR$1871&amp;" "," ")," "&amp;$CR$1875&amp;" "," ")," "&amp;$CR$1877&amp;" "," ")," "&amp;$CR$1872&amp;" "," ")," "&amp;$CR$1870&amp;" "," ")," "&amp;$CR$1367&amp;" "," ")," "&amp;$CR$1878&amp;" "," ")," "&amp;$CR$1366&amp;" "," ")," "&amp;$CR$1873&amp;" "," ")),"")</f>
        <v xml:space="preserve"> vin blanc </v>
      </c>
      <c r="BM57" s="493" t="str">
        <f>IF(57=57,IF($U57="","",IF(SUM(BG57:BI57)+SUMPRODUCT(--ISNUMBER(SEARCH(" "&amp;$CR$2423:$CR$2424&amp;" ",$BJ57)))&gt;0,"X",IF(BK57&gt;0,"?",""))),"")</f>
        <v>?</v>
      </c>
      <c r="BN57" s="493">
        <f>IF(57=57,IF($U57="","",SUMPRODUCT(--ISNUMBER(SEARCH(" "&amp;$CR$1879:$CR$1936&amp;" ",$BO57)))),"")</f>
        <v>0</v>
      </c>
      <c r="BO57" s="493" t="str">
        <f>IF(57=57,IF($U57="","",SUBSTITUTE(SUBSTITUTE(SUBSTITUTE(SUBSTITUTE(SUBSTITUTE(SUBSTITUTE(SUBSTITUTE(SUBSTITUTE(SUBSTITUTE(SUBSTITUTE(SUBSTITUTE(SUBSTITUTE(SUBSTITUTE(SUBSTITUTE(SUBSTITUTE(SUBSTITUTE(SUBSTITUTE(SUBSTITUTE(SUBSTITUTE(SUBSTITUTE(SUBSTITUTE(SUBSTITUTE(SUBSTITUTE($AA57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vin blanc </v>
      </c>
      <c r="BP57" s="493">
        <f>IF(57=57,IF($U57="","",SUMPRODUCT(--ISNUMBER(SEARCH(" "&amp;$CR$1960:$CR$1976&amp;" ",$BO57)))),"")</f>
        <v>0</v>
      </c>
      <c r="BQ57" s="493" t="str">
        <f>IF(57=57,IF($U57="","",IF(BN57&gt;0,"X",IF(BP57&gt;0,"?",""))),"")</f>
        <v/>
      </c>
      <c r="BR57" s="493">
        <f>IF(57=57,IF($U57="","",SUMPRODUCT(--ISNUMBER(SEARCH(" "&amp;$CR$1977:$CR$1990&amp;" ",$AA57)))),"")</f>
        <v>0</v>
      </c>
      <c r="BS57" s="493">
        <f>IF(57=57,IF($U57="","",SUMPRODUCT(--ISNUMBER(SEARCH(" "&amp;$CR$1991:$CR$2005&amp;" ",$AA57)))),"")</f>
        <v>0</v>
      </c>
      <c r="BT57" s="493" t="str">
        <f>IF(57=57,IF($U57="","",IF((BR57)-(0)&gt;0,"X",IF((BS57)-(0)&gt;0,"?",""))),"")</f>
        <v/>
      </c>
      <c r="BU57" s="493">
        <f>IF(57=57,IF($U57="","",SUMPRODUCT(--ISNUMBER(SEARCH(" "&amp;$CR$2006:$CR$2023&amp;" ",$AA57)))),"")</f>
        <v>0</v>
      </c>
      <c r="BV57" s="493">
        <f>IF(57=57,IF($U57="","",SUMPRODUCT(--ISNUMBER(SEARCH(" "&amp;$CR$2024:$CR$2038&amp;" ",$AA57)))),"")</f>
        <v>0</v>
      </c>
      <c r="BW57" s="493" t="str">
        <f>IF(57=57,IF($U57="","",IF((BU57)-(0)&gt;0,"X",IF((BV57)-(0)&gt;0,"?",""))),"")</f>
        <v/>
      </c>
      <c r="BX57" s="493">
        <f>IF(57=57,IF($U57="","",SUMPRODUCT(--ISNUMBER(SEARCH(" "&amp;$CR$2039:$CR$2057&amp;" ",$AA57)))),"")</f>
        <v>0</v>
      </c>
      <c r="BY57" s="493">
        <f>IF(57=57,IF($U57="","",SUMPRODUCT(--ISNUMBER(SEARCH(" "&amp;$CR$2058:$CR$2072&amp;" ",$AA57)))),"")</f>
        <v>0</v>
      </c>
      <c r="BZ57" s="493" t="str">
        <f>IF(57=57,IF($U57="","",IF((BX57)-(0)&gt;0,"X",IF((BY57)-(0)&gt;0,"?",""))),"")</f>
        <v/>
      </c>
      <c r="CA57" s="493">
        <f>IF(57=57,IF($U57="","",SUMPRODUCT(--ISNUMBER(SEARCH(" "&amp;$CR$2073:$CR$2093&amp;" ",$AA57)))),"")</f>
        <v>0</v>
      </c>
      <c r="CB57" s="493">
        <f>IF(57=57,IF($U57="","",SUMPRODUCT(--ISNUMBER(SEARCH(" "&amp;$CR$2094:$CR$2133&amp;" ",SUBSTITUTE(SUBSTITUTE($AA57," "&amp;$CR$1367&amp;" "," ")," "&amp;$CR$1366&amp;" "," "))))+--ISNUMBER(SEARCH("poiré",$V57))),"")</f>
        <v>2</v>
      </c>
      <c r="CC57" s="493" t="str">
        <f>IF(57=57,IF($U57="","",IF(OR(CA57&gt;0,ISNUMBER(SEARCH(" vinaigre de vin ",$AA57)),ISNUMBER(SEARCH(" vinaigre au vin ",$AA57))),"X",IF(CB57&gt;0,"?",""))),"")</f>
        <v>?</v>
      </c>
      <c r="CD57" s="493">
        <f>IF(57=57,IF($U57="","",SUMPRODUCT(--ISNUMBER(SEARCH(" "&amp;$CR$2134:$CR$2146&amp;" ",$AA57)))),"")</f>
        <v>0</v>
      </c>
      <c r="CE57" s="493">
        <f>IF(57=57,IF($U57="","",SUMPRODUCT(--ISNUMBER(SEARCH(" "&amp;$CR$2147:$CR$2152&amp;" ",$AA57)))),"")</f>
        <v>0</v>
      </c>
      <c r="CF57" s="493" t="str">
        <f>IF(57=57,IF($U57="","",IF((CD57)-(0)&gt;0,"X",IF((CE57)-(0)&gt;0,"?",""))),"")</f>
        <v/>
      </c>
      <c r="CG57" s="493">
        <f>IF(57=57,IF($U57="","",SUMPRODUCT(--ISNUMBER(SEARCH(" "&amp;$CR$2153:$CR$2252&amp;" ",$CJ57)))),"")</f>
        <v>0</v>
      </c>
      <c r="CH57" s="493">
        <f>IF(57=57,IF($U57="","",SUMPRODUCT(--ISNUMBER(SEARCH(" "&amp;$CR$2253:$CR$2352&amp;" ",$CJ57)))),"")</f>
        <v>0</v>
      </c>
      <c r="CI57" s="493">
        <f>IF(57=57,IF($U57="","",SUMPRODUCT(--ISNUMBER(SEARCH(" "&amp;$CR$2353:$CR$2395&amp;" ",$CJ57)))),"")</f>
        <v>0</v>
      </c>
      <c r="CJ57" s="493" t="str">
        <f>IF(57=57,IF($U57="","",SUBSTITUTE(SUBSTITUTE(SUBSTITUTE(SUBSTITUTE(SUBSTITUTE(SUBSTITUTE(SUBSTITUTE(SUBSTITUTE(SUBSTITUTE(SUBSTITUTE(SUBSTITUTE(SUBSTITUTE(SUBSTITUTE(SUBSTITUTE(SUBSTITUTE(SUBSTITUTE($AA57," "&amp;$CR$2401&amp;" "," ")," "&amp;$CR$2400&amp;" "," ")," "&amp;$CR$2399&amp;" "," ")," "&amp;$CR$2406&amp;" "," ")," "&amp;$CR$2398&amp;" "," ")," "&amp;$CR$2410&amp;" "," ")," "&amp;$CR$2397&amp;" "," ")," "&amp;$CR$2402&amp;" "," ")," "&amp;$CR$2405&amp;" "," ")," "&amp;$CR$2396&amp;" "," ")," "&amp;$CR$2404&amp;" "," ")," "&amp;$CR$2411&amp;" "," ")," "&amp;$CR$2408&amp;" "," ")," "&amp;$CR$2403&amp;" "," ")," "&amp;$CR$2407&amp;" "," ")," "&amp;$CR$2409&amp;" "," ")),"")</f>
        <v xml:space="preserve"> vin blanc </v>
      </c>
      <c r="CK57" s="493">
        <f>IF(57=57,IF($U57="","",SUMPRODUCT(--ISNUMBER(SEARCH(" "&amp;$CR$2412:$CR$2416&amp;" ",$CJ57)))),"")</f>
        <v>0</v>
      </c>
      <c r="CL57" s="493" t="str">
        <f>IF(57=57,IF($U57="","",IF(SUM(CG57:CI57)&gt;0,"X",IF(CK57&gt;0,"?",""))),"")</f>
        <v/>
      </c>
      <c r="CM57" s="494"/>
      <c r="CN57" s="496" t="s">
        <v>1245</v>
      </c>
      <c r="CO57" s="496" t="s">
        <v>1083</v>
      </c>
      <c r="CP57" s="496" t="s">
        <v>689</v>
      </c>
      <c r="CQ57" s="496" t="s">
        <v>1246</v>
      </c>
      <c r="CR57" s="496" t="s">
        <v>1247</v>
      </c>
      <c r="CS57" s="496" t="s">
        <v>1085</v>
      </c>
      <c r="CT57" s="496" t="s">
        <v>1086</v>
      </c>
      <c r="CU57" s="496" t="s">
        <v>1087</v>
      </c>
      <c r="CV57" s="497" t="s">
        <v>1088</v>
      </c>
      <c r="CX57" s="543">
        <v>1</v>
      </c>
    </row>
    <row r="58" spans="1:102" ht="21" customHeight="1">
      <c r="A58" s="509">
        <v>52</v>
      </c>
      <c r="B58" s="510" t="s">
        <v>5901</v>
      </c>
      <c r="C58" s="511" t="str">
        <f t="shared" si="0"/>
        <v>sucre glace</v>
      </c>
      <c r="D58" s="512" t="str">
        <f>IF(58=58,IF($B58="","",IF(E58="X",""&amp;"Céréales contenant du gluten","")&amp;IF(F58="X",IF(COUNTIF($E58:$E58,"X")&gt;0,", ","")&amp;"Crustacés","")&amp;IF(G58="X",IF(COUNTIF($E58:$F58,"X")&gt;0,", ","")&amp;"Œufs","")&amp;IF(H58="X",IF(COUNTIF($E58:$G58,"X")&gt;0,", ","")&amp;"Poissons","")&amp;IF(I58="X",IF(COUNTIF($E58:$H58,"X")&gt;0,", ","")&amp;"Arachides","")&amp;IF(J58="X",IF(COUNTIF($E58:$I58,"X")&gt;0,", ","")&amp;"Soja","")&amp;IF(K58="X",IF(COUNTIF($E58:$J58,"X")&gt;0,", ","")&amp;"Lait","")&amp;IF(L58="X",IF(COUNTIF($E58:$K58,"X")&gt;0,", ","")&amp;"Fruits à coque","")&amp;IF(M58="X",IF(COUNTIF($E58:$L58,"X")&gt;0,", ","")&amp;"Céleri","")&amp;IF(N58="X",IF(COUNTIF($E58:$M58,"X")&gt;0,", ","")&amp;"Moutarde","")&amp;IF(O58="X",IF(COUNTIF($E58:$N58,"X")&gt;0,", ","")&amp;"Sésame","")&amp;IF(P58="X",IF(COUNTIF($E58:$O58,"X")&gt;0,", ","")&amp;"Sulfites","")&amp;IF(Q58="X",IF(COUNTIF($E58:$P58,"X")&gt;0,", ","")&amp;"Lupin","")&amp;IF(R58="X",IF(COUNTIF($E58:$Q58,"X")&gt;0,", ","")&amp;"Mollusques","")),"")</f>
        <v/>
      </c>
      <c r="E58" s="513" t="str">
        <f>IF(58=58,IF($B58="","",AF58),"")</f>
        <v/>
      </c>
      <c r="F58" s="513" t="str">
        <f>IF(58=58,IF($B58="","",AI58),"")</f>
        <v/>
      </c>
      <c r="G58" s="513" t="str">
        <f>IF(58=58,IF($B58="","",AM58),"")</f>
        <v/>
      </c>
      <c r="H58" s="513" t="str">
        <f>IF(58=58,IF($B58="","",IF(ISNUMBER(SEARCH(" colin ",$AA58)),"X",AZ58)),"")</f>
        <v/>
      </c>
      <c r="I58" s="513" t="str">
        <f>IF(58=58,IF($B58="","",BB58),"")</f>
        <v/>
      </c>
      <c r="J58" s="513" t="str">
        <f>IF(58=58,IF($B58="","",BF58),"")</f>
        <v/>
      </c>
      <c r="K58" s="513" t="str">
        <f>IF(58=58,IF($B58="","",BM58),"")</f>
        <v/>
      </c>
      <c r="L58" s="513" t="str">
        <f>IF(58=58,IF($B58="","",BQ58),"")</f>
        <v/>
      </c>
      <c r="M58" s="513" t="str">
        <f>IF(58=58,IF($B58="","",BT58),"")</f>
        <v/>
      </c>
      <c r="N58" s="513" t="str">
        <f>IF(58=58,IF($B58="","",BW58),"")</f>
        <v/>
      </c>
      <c r="O58" s="513" t="str">
        <f>IF(58=58,IF($B58="","",BZ58),"")</f>
        <v/>
      </c>
      <c r="P58" s="513" t="str">
        <f>IF(58=58,IF($B58="","",CC58),"")</f>
        <v/>
      </c>
      <c r="Q58" s="513" t="str">
        <f>IF(58=58,IF($B58="","",CF58),"")</f>
        <v/>
      </c>
      <c r="R58" s="513" t="str">
        <f>IF(58=58,IF($B58="","",CL58),"")</f>
        <v/>
      </c>
      <c r="S58" s="514" t="str">
        <f>IF(58=58,IF($B58="","",IF(E58="?",""&amp;"Céréales contenant du gluten","")&amp;IF(F58="?",IF(COUNTIF($E58:$E58,"~?")&gt;0,", ","")&amp;"Crustacés","")&amp;IF(G58="?",IF(COUNTIF($E58:$F58,"~?")&gt;0,", ","")&amp;"Œufs","")&amp;IF(H58="?",IF(COUNTIF($E58:$G58,"~?")&gt;0,", ","")&amp;"Poissons","")&amp;IF(I58="?",IF(COUNTIF($E58:$H58,"~?")&gt;0,", ","")&amp;"Arachides","")&amp;IF(J58="?",IF(COUNTIF($E58:$I58,"~?")&gt;0,", ","")&amp;"Soja","")&amp;IF(K58="?",IF(COUNTIF($E58:$J58,"~?")&gt;0,", ","")&amp;"Lait","")&amp;IF(L58="?",IF(COUNTIF($E58:$K58,"~?")&gt;0,", ","")&amp;"Fruits à coque","")&amp;IF(M58="?",IF(COUNTIF($E58:$L58,"~?")&gt;0,", ","")&amp;"Céleri","")&amp;IF(N58="?",IF(COUNTIF($E58:$M58,"~?")&gt;0,", ","")&amp;"Moutarde","")&amp;IF(O58="?",IF(COUNTIF($E58:$N58,"~?")&gt;0,", ","")&amp;"Sésame","")&amp;IF(P58="?",IF(COUNTIF($E58:$O58,"~?")&gt;0,", ","")&amp;"Sulfites","")&amp;IF(Q58="?",IF(COUNTIF($E58:$P58,"~?")&gt;0,", ","")&amp;"Lupin","")&amp;IF(R58="?",IF(COUNTIF($E58:$Q58,"~?")&gt;0,", ","")&amp;"Mollusques","")),"")</f>
        <v/>
      </c>
      <c r="U58" s="493" t="str">
        <f>IF(58=58,IF($B58="","",$B58),"")</f>
        <v>sucre glace</v>
      </c>
      <c r="V58" s="493" t="str">
        <f>IF(58=58,LOWER(CLEAN(SUBSTITUTE(SUBSTITUTE(SUBSTITUTE(SUBSTITUTE($U58,CHAR(160)," ")," "," "),CHAR(10)," "),CHAR(13)," "))),"")</f>
        <v>sucre glace</v>
      </c>
      <c r="W58" s="493" t="str">
        <f>IF(58=58,SUBSTITUTE(SUBSTITUTE(SUBSTITUTE(SUBSTITUTE(SUBSTITUTE(SUBSTITUTE(SUBSTITUTE(SUBSTITUTE(SUBSTITUTE(SUBSTITUTE(SUBSTITUTE(SUBSTITUTE($V58,"œ","oe"),"æ","ae"),"à","a"),"á","a"),"â","a"),"ä","a"),"ã","a"),"ç","c"),"è","e"),"é","e"),"ê","e"),"ë","e"),"")</f>
        <v>sucre glace</v>
      </c>
      <c r="X58" s="493" t="str">
        <f>IF(58=58,SUBSTITUTE(SUBSTITUTE(SUBSTITUTE(SUBSTITUTE(SUBSTITUTE(SUBSTITUTE(SUBSTITUTE(SUBSTITUTE(SUBSTITUTE(SUBSTITUTE(SUBSTITUTE(SUBSTITUTE(SUBSTITUTE(SUBSTITUTE(SUBSTITUTE(SUBSTITUTE($W58,"ì","i"),"í","i"),"î","i"),"ï","i"),"ñ","n"),"ò","o"),"ó","o"),"ô","o"),"ö","o"),"õ","o"),"ù","u"),"ú","u"),"û","u"),"ü","u"),"ý","y"),"ÿ","y"),"")</f>
        <v>sucre glace</v>
      </c>
      <c r="Y58" s="493" t="str">
        <f>IF(58=58,SUBSTITUTE(SUBSTITUTE(SUBSTITUTE(SUBSTITUTE(SUBSTITUTE(SUBSTITUTE(SUBSTITUTE(SUBSTITUTE(SUBSTITUTE(SUBSTITUTE(SUBSTITUTE(SUBSTITUTE(SUBSTITUTE(SUBSTITUTE($X58,"’"," "),"`"," "),"–"," "),"—"," "),"-"," "),"'"," "),"/"," "),"_"," "),","," "),"."," "),"("," "),")"," "),";"," "),":"," "),"")</f>
        <v>sucre glace</v>
      </c>
      <c r="Z58" s="493" t="str">
        <f>IF(58=58,SUBSTITUTE(SUBSTITUTE(SUBSTITUTE(SUBSTITUTE(SUBSTITUTE(SUBSTITUTE(SUBSTITUTE(SUBSTITUTE(SUBSTITUTE(SUBSTITUTE(SUBSTITUTE(SUBSTITUTE(SUBSTITUTE(SUBSTITUTE(SUBSTITUTE($Y58,"!"," "),"?"," "),"+"," "),"*"," "),"&amp;"," "),"["," "),"]"," "),"{"," "),"}"," "),"%"," "),"="," "),"\"," "),"|"," "),"&lt;"," "),"&gt;"," "),"")</f>
        <v>sucre glace</v>
      </c>
      <c r="AA58" s="493" t="str">
        <f>IF(58=58," "&amp;TRIM(SUBSTITUTE(SUBSTITUTE(SUBSTITUTE(SUBSTITUTE(SUBSTITUTE(SUBSTITUTE($Z58,CHAR(34)," "),"  "," "),"  "," "),"  "," "),"  "," "),"  "," "))&amp;" ","")</f>
        <v xml:space="preserve"> sucre glace </v>
      </c>
      <c r="AB58" s="493">
        <f>IF(58=58,IF($U58="","",SUMPRODUCT(--ISNUMBER(SEARCH(" "&amp;$CR$2:$CR$101&amp;" ",$AD58)))),"")</f>
        <v>0</v>
      </c>
      <c r="AC58" s="493">
        <f>IF(58=58,IF($U58="","",SUMPRODUCT(--ISNUMBER(SEARCH(" "&amp;$CR$102:$CR$151&amp;" ",$AD58)))),"")</f>
        <v>0</v>
      </c>
      <c r="AD58" s="493" t="str">
        <f t="shared" si="1"/>
        <v xml:space="preserve"> sucre glace </v>
      </c>
      <c r="AE58" s="493">
        <f t="shared" si="2"/>
        <v>0</v>
      </c>
      <c r="AF58" s="493" t="str">
        <f>IF(58=58,IF($U58="","",IF(SUM(AB58:AC58)+SUMPRODUCT(--ISNUMBER(SEARCH(" "&amp;$CR$2418:$CR$2420&amp;" ",$AD58)))&gt;0,"X",IF(AE58&gt;0,"?",""))),"")</f>
        <v/>
      </c>
      <c r="AG58" s="493">
        <f>IF(58=58,IF($U58="","",SUMPRODUCT(--ISNUMBER(SEARCH(" "&amp;$CR$206:$CR$305&amp;" ",$AA58)))),"")</f>
        <v>0</v>
      </c>
      <c r="AH58" s="493">
        <f>IF(58=58,IF($U58="","",SUMPRODUCT(--ISNUMBER(SEARCH(" "&amp;$CR$306:$CR$340&amp;" ",$AA58)))),"")</f>
        <v>0</v>
      </c>
      <c r="AI58" s="493" t="str">
        <f>IF(58=58,IF($U58="","",IF((SUM(AG58:AH58))-(0)&gt;0,"X",IF((0)-(0)&gt;0,"?",""))),"")</f>
        <v/>
      </c>
      <c r="AJ58" s="493">
        <f>IF(58=58,IF($U58="","",SUMPRODUCT(--ISNUMBER(SEARCH(" "&amp;$CR$341:$CR$398&amp;" ",$AA58)))),"")</f>
        <v>0</v>
      </c>
      <c r="AK58" s="493">
        <f>IF(58=58,IF($U58="","",SUMPRODUCT(--ISNUMBER(SEARCH(" "&amp;$CR$399:$CR$426&amp;" ",$AL58)))+SUMPRODUCT(--ISNUMBER(SEARCH(" "&amp;$CR$2440:$CR$2453&amp;" ",$AL58)))),"")</f>
        <v>0</v>
      </c>
      <c r="AL58" s="493" t="str">
        <f>IF(58=58,IF($U58="","",SUBSTITUTE(SUBSTITUTE(SUBSTITUTE(SUBSTITUTE(SUBSTITUTE(SUBSTITUTE(SUBSTITUTE(SUBSTITUTE(SUBSTITUTE(SUBSTITUTE(SUBSTITUTE(SUBSTITUTE(SUBSTITUTE(SUBSTITUTE($AA58," "&amp;$CR$2455&amp;" "," ")," "&amp;$CR$433&amp;" "," ")," "&amp;$CR$431&amp;" "," ")," "&amp;$CR$2438&amp;" "," ")," "&amp;$CR$2439&amp;" "," ")," "&amp;$CR$428&amp;" "," ")," "&amp;$CR$432&amp;" "," ")," "&amp;$CR$434&amp;" "," ")," "&amp;$CR$429&amp;" "," ")," "&amp;$CR$427&amp;" "," ")," "&amp;$CR$1367&amp;" "," ")," "&amp;$CR$435&amp;" "," ")," "&amp;$CR$1366&amp;" "," ")," "&amp;$CR$430&amp;" "," ")),"")</f>
        <v xml:space="preserve"> </v>
      </c>
      <c r="AM58" s="493" t="str">
        <f>IF(58=58,IF($U58="","",IF(AJ58&gt;0,"X",IF(AK58&gt;0,"?",""))),"")</f>
        <v/>
      </c>
      <c r="AN58" s="493">
        <f>IF(58=58,IF($U58="","",SUMPRODUCT(--ISNUMBER(SEARCH(" "&amp;$CR$436:$CR$535&amp;" ",$AX58)))),"")</f>
        <v>0</v>
      </c>
      <c r="AO58" s="493">
        <f>IF(58=58,IF($U58="","",SUMPRODUCT(--ISNUMBER(SEARCH(" "&amp;$CR$536:$CR$635&amp;" ",$AX58)))),"")</f>
        <v>0</v>
      </c>
      <c r="AP58" s="493">
        <f>IF(58=58,IF($U58="","",SUMPRODUCT(--ISNUMBER(SEARCH(" "&amp;$CR$636:$CR$735&amp;" ",$AX58)))),"")</f>
        <v>0</v>
      </c>
      <c r="AQ58" s="493">
        <f>IF(58=58,IF($U58="","",SUMPRODUCT(--ISNUMBER(SEARCH(" "&amp;$CR$736:$CR$835&amp;" ",$AX58)))),"")</f>
        <v>0</v>
      </c>
      <c r="AR58" s="493">
        <f>IF(58=58,IF($U58="","",SUMPRODUCT(--ISNUMBER(SEARCH(" "&amp;$CR$836:$CR$935&amp;" ",$AX58)))),"")</f>
        <v>0</v>
      </c>
      <c r="AS58" s="493">
        <f>IF(58=58,IF($U58="","",SUMPRODUCT(--ISNUMBER(SEARCH(" "&amp;$CR$936:$CR$1035&amp;" ",$AX58)))),"")</f>
        <v>0</v>
      </c>
      <c r="AT58" s="493">
        <f>IF(58=58,IF($U58="","",SUMPRODUCT(--ISNUMBER(SEARCH(" "&amp;$CR$1036:$CR$1135&amp;" ",$AX58)))),"")</f>
        <v>0</v>
      </c>
      <c r="AU58" s="493">
        <f>IF(58=58,IF($U58="","",SUMPRODUCT(--ISNUMBER(SEARCH(" "&amp;$CR$1136:$CR$1235&amp;" ",$AX58)))),"")</f>
        <v>0</v>
      </c>
      <c r="AV58" s="493">
        <f>IF(58=58,IF($U58="","",SUMPRODUCT(--ISNUMBER(SEARCH(" "&amp;$CR$1236:$CR$1335&amp;" ",$AX58)))),"")</f>
        <v>0</v>
      </c>
      <c r="AW58" s="493">
        <f>IF(58=58,IF($U58="","",SUMPRODUCT(--ISNUMBER(SEARCH(" "&amp;$CR$1336:$CR$1363&amp;" ",$AX58)))),"")</f>
        <v>0</v>
      </c>
      <c r="AX58" s="493" t="str">
        <f>IF(58=58,IF($U58="","",SUBSTITUTE(SUBSTITUTE(SUBSTITUTE(SUBSTITUTE(SUBSTITUTE(SUBSTITUTE(SUBSTITUTE(SUBSTITUTE(SUBSTITUTE($AA58," "&amp;$CR$1365&amp;" "," ")," "&amp;$CR$1364&amp;" "," ")," "&amp;$CR$1370&amp;" "," ")," "&amp;$CR$1371&amp;" "," ")," "&amp;$CR$1367&amp;" "," ")," "&amp;$CR$1369&amp;" "," ")," "&amp;$CR$1366&amp;" "," ")," "&amp;$CR$1368&amp;" "," ")," "&amp;$CR$1372&amp;" "," ")),"")</f>
        <v xml:space="preserve"> sucre glace </v>
      </c>
      <c r="AY58" s="493">
        <f>IF(58=58,IF($U58="","",SUMPRODUCT(--ISNUMBER(SEARCH(" "&amp;$CR$1373:$CR$1383&amp;" ",$AX58)))),"")</f>
        <v>0</v>
      </c>
      <c r="AZ58" s="493" t="str">
        <f>IF(58=58,IF($U58="","",IF(SUM(AN58:AW58)+SUMPRODUCT(--ISNUMBER(SEARCH(" "&amp;$CR$2421:$CR$2422&amp;" ",$AX58)))&gt;0,"X",IF(AY58&gt;0,"?",""))),"")</f>
        <v/>
      </c>
      <c r="BA58" s="493">
        <f>IF(58=58,IF($U58="","",SUMPRODUCT(--ISNUMBER(SEARCH(" "&amp;$CR$1384:$CR$1404&amp;" ",$AA58)))),"")</f>
        <v>0</v>
      </c>
      <c r="BB58" s="493" t="str">
        <f>IF(58=58,IF($U58="","",IF((BA58)-(0)&gt;0,"X",IF((0)-(0)&gt;0,"?",""))),"")</f>
        <v/>
      </c>
      <c r="BC58" s="493">
        <f>IF(58=58,IF($U58="","",SUMPRODUCT(--ISNUMBER(SEARCH(" "&amp;$CR$1405:$CR$1442&amp;" ",$BD58)))),"")</f>
        <v>0</v>
      </c>
      <c r="BD58" s="493" t="str">
        <f>IF(58=58,IF($U58="","",SUBSTITUTE(SUBSTITUTE($AA58," "&amp;$CR$1443&amp;" "," ")," "&amp;$CR$1444&amp;" "," ")),"")</f>
        <v xml:space="preserve"> sucre glace </v>
      </c>
      <c r="BE58" s="493">
        <f>IF(58=58,IF($U58="","",SUMPRODUCT(--ISNUMBER(SEARCH(" "&amp;$CR$1445:$CR$1455&amp;" ",$BD58)))),"")</f>
        <v>0</v>
      </c>
      <c r="BF58" s="493" t="str">
        <f>IF(58=58,IF($U58="","",IF(BC58&gt;0,"X",IF(BE58&gt;0,"?",""))),"")</f>
        <v/>
      </c>
      <c r="BG58" s="493">
        <f>IF(58=58,IF($U58="","",SUMPRODUCT(--ISNUMBER(SEARCH(" "&amp;$CR$1456:$CR$1555&amp;" ",$BJ58)))),"")</f>
        <v>0</v>
      </c>
      <c r="BH58" s="493">
        <f>IF(58=58,IF($U58="","",SUMPRODUCT(--ISNUMBER(SEARCH(" "&amp;$CR$1556:$CR$1655&amp;" ",$BJ58)))),"")</f>
        <v>0</v>
      </c>
      <c r="BI58" s="493">
        <f>IF(58=58,IF($U58="","",SUMPRODUCT(--ISNUMBER(SEARCH(" "&amp;$CR$1656:$CR$1739&amp;" ",$BJ58)))),"")</f>
        <v>0</v>
      </c>
      <c r="BJ58" s="493" t="str">
        <f>IF(58=58,IF($U58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v>
      </c>
      <c r="BK58" s="493">
        <f>IF(58=58,IF($U58="","",SUMPRODUCT(--ISNUMBER(SEARCH(" "&amp;$CR$1790:$CR$1869&amp;" ",$BL58)))+SUMPRODUCT(--ISNUMBER(SEARCH(" "&amp;$CR$2440:$CR$2453&amp;" ",$BL58)))),"")</f>
        <v>0</v>
      </c>
      <c r="BL58" s="493" t="str">
        <f>IF(58=58,IF($U58="","",SUBSTITUTE(SUBSTITUTE(SUBSTITUTE(SUBSTITUTE(SUBSTITUTE(SUBSTITUTE(SUBSTITUTE(SUBSTITUTE(SUBSTITUTE(SUBSTITUTE(SUBSTITUTE(SUBSTITUTE(SUBSTITUTE($BJ58," "&amp;$CR$1876&amp;" "," ")," "&amp;$CR$1874&amp;" "," ")," "&amp;$CR$2438&amp;" "," ")," "&amp;$CR$2439&amp;" "," ")," "&amp;$CR$1871&amp;" "," ")," "&amp;$CR$1875&amp;" "," ")," "&amp;$CR$1877&amp;" "," ")," "&amp;$CR$1872&amp;" "," ")," "&amp;$CR$1870&amp;" "," ")," "&amp;$CR$1367&amp;" "," ")," "&amp;$CR$1878&amp;" "," ")," "&amp;$CR$1366&amp;" "," ")," "&amp;$CR$1873&amp;" "," ")),"")</f>
        <v xml:space="preserve"> </v>
      </c>
      <c r="BM58" s="493" t="str">
        <f>IF(58=58,IF($U58="","",IF(SUM(BG58:BI58)+SUMPRODUCT(--ISNUMBER(SEARCH(" "&amp;$CR$2423:$CR$2424&amp;" ",$BJ58)))&gt;0,"X",IF(BK58&gt;0,"?",""))),"")</f>
        <v/>
      </c>
      <c r="BN58" s="493">
        <f>IF(58=58,IF($U58="","",SUMPRODUCT(--ISNUMBER(SEARCH(" "&amp;$CR$1879:$CR$1936&amp;" ",$BO58)))),"")</f>
        <v>0</v>
      </c>
      <c r="BO58" s="493" t="str">
        <f>IF(58=58,IF($U58="","",SUBSTITUTE(SUBSTITUTE(SUBSTITUTE(SUBSTITUTE(SUBSTITUTE(SUBSTITUTE(SUBSTITUTE(SUBSTITUTE(SUBSTITUTE(SUBSTITUTE(SUBSTITUTE(SUBSTITUTE(SUBSTITUTE(SUBSTITUTE(SUBSTITUTE(SUBSTITUTE(SUBSTITUTE(SUBSTITUTE(SUBSTITUTE(SUBSTITUTE(SUBSTITUTE(SUBSTITUTE(SUBSTITUTE($AA58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sucre glace </v>
      </c>
      <c r="BP58" s="493">
        <f>IF(58=58,IF($U58="","",SUMPRODUCT(--ISNUMBER(SEARCH(" "&amp;$CR$1960:$CR$1976&amp;" ",$BO58)))),"")</f>
        <v>0</v>
      </c>
      <c r="BQ58" s="493" t="str">
        <f>IF(58=58,IF($U58="","",IF(BN58&gt;0,"X",IF(BP58&gt;0,"?",""))),"")</f>
        <v/>
      </c>
      <c r="BR58" s="493">
        <f>IF(58=58,IF($U58="","",SUMPRODUCT(--ISNUMBER(SEARCH(" "&amp;$CR$1977:$CR$1990&amp;" ",$AA58)))),"")</f>
        <v>0</v>
      </c>
      <c r="BS58" s="493">
        <f>IF(58=58,IF($U58="","",SUMPRODUCT(--ISNUMBER(SEARCH(" "&amp;$CR$1991:$CR$2005&amp;" ",$AA58)))),"")</f>
        <v>0</v>
      </c>
      <c r="BT58" s="493" t="str">
        <f>IF(58=58,IF($U58="","",IF((BR58)-(0)&gt;0,"X",IF((BS58)-(0)&gt;0,"?",""))),"")</f>
        <v/>
      </c>
      <c r="BU58" s="493">
        <f>IF(58=58,IF($U58="","",SUMPRODUCT(--ISNUMBER(SEARCH(" "&amp;$CR$2006:$CR$2023&amp;" ",$AA58)))),"")</f>
        <v>0</v>
      </c>
      <c r="BV58" s="493">
        <f>IF(58=58,IF($U58="","",SUMPRODUCT(--ISNUMBER(SEARCH(" "&amp;$CR$2024:$CR$2038&amp;" ",$AA58)))),"")</f>
        <v>0</v>
      </c>
      <c r="BW58" s="493" t="str">
        <f>IF(58=58,IF($U58="","",IF((BU58)-(0)&gt;0,"X",IF((BV58)-(0)&gt;0,"?",""))),"")</f>
        <v/>
      </c>
      <c r="BX58" s="493">
        <f>IF(58=58,IF($U58="","",SUMPRODUCT(--ISNUMBER(SEARCH(" "&amp;$CR$2039:$CR$2057&amp;" ",$AA58)))),"")</f>
        <v>0</v>
      </c>
      <c r="BY58" s="493">
        <f>IF(58=58,IF($U58="","",SUMPRODUCT(--ISNUMBER(SEARCH(" "&amp;$CR$2058:$CR$2072&amp;" ",$AA58)))),"")</f>
        <v>0</v>
      </c>
      <c r="BZ58" s="493" t="str">
        <f>IF(58=58,IF($U58="","",IF((BX58)-(0)&gt;0,"X",IF((BY58)-(0)&gt;0,"?",""))),"")</f>
        <v/>
      </c>
      <c r="CA58" s="493">
        <f>IF(58=58,IF($U58="","",SUMPRODUCT(--ISNUMBER(SEARCH(" "&amp;$CR$2073:$CR$2093&amp;" ",$AA58)))),"")</f>
        <v>0</v>
      </c>
      <c r="CB58" s="493">
        <f>IF(58=58,IF($U58="","",SUMPRODUCT(--ISNUMBER(SEARCH(" "&amp;$CR$2094:$CR$2133&amp;" ",SUBSTITUTE(SUBSTITUTE($AA58," "&amp;$CR$1367&amp;" "," ")," "&amp;$CR$1366&amp;" "," "))))+--ISNUMBER(SEARCH("poiré",$V58))),"")</f>
        <v>0</v>
      </c>
      <c r="CC58" s="493" t="str">
        <f>IF(58=58,IF($U58="","",IF(OR(CA58&gt;0,ISNUMBER(SEARCH(" vinaigre de vin ",$AA58)),ISNUMBER(SEARCH(" vinaigre au vin ",$AA58))),"X",IF(CB58&gt;0,"?",""))),"")</f>
        <v/>
      </c>
      <c r="CD58" s="493">
        <f>IF(58=58,IF($U58="","",SUMPRODUCT(--ISNUMBER(SEARCH(" "&amp;$CR$2134:$CR$2146&amp;" ",$AA58)))),"")</f>
        <v>0</v>
      </c>
      <c r="CE58" s="493">
        <f>IF(58=58,IF($U58="","",SUMPRODUCT(--ISNUMBER(SEARCH(" "&amp;$CR$2147:$CR$2152&amp;" ",$AA58)))),"")</f>
        <v>0</v>
      </c>
      <c r="CF58" s="493" t="str">
        <f>IF(58=58,IF($U58="","",IF((CD58)-(0)&gt;0,"X",IF((CE58)-(0)&gt;0,"?",""))),"")</f>
        <v/>
      </c>
      <c r="CG58" s="493">
        <f>IF(58=58,IF($U58="","",SUMPRODUCT(--ISNUMBER(SEARCH(" "&amp;$CR$2153:$CR$2252&amp;" ",$CJ58)))),"")</f>
        <v>0</v>
      </c>
      <c r="CH58" s="493">
        <f>IF(58=58,IF($U58="","",SUMPRODUCT(--ISNUMBER(SEARCH(" "&amp;$CR$2253:$CR$2352&amp;" ",$CJ58)))),"")</f>
        <v>0</v>
      </c>
      <c r="CI58" s="493">
        <f>IF(58=58,IF($U58="","",SUMPRODUCT(--ISNUMBER(SEARCH(" "&amp;$CR$2353:$CR$2395&amp;" ",$CJ58)))),"")</f>
        <v>0</v>
      </c>
      <c r="CJ58" s="493" t="str">
        <f>IF(58=58,IF($U58="","",SUBSTITUTE(SUBSTITUTE(SUBSTITUTE(SUBSTITUTE(SUBSTITUTE(SUBSTITUTE(SUBSTITUTE(SUBSTITUTE(SUBSTITUTE(SUBSTITUTE(SUBSTITUTE(SUBSTITUTE(SUBSTITUTE(SUBSTITUTE(SUBSTITUTE(SUBSTITUTE($AA58," "&amp;$CR$2401&amp;" "," ")," "&amp;$CR$2400&amp;" "," ")," "&amp;$CR$2399&amp;" "," ")," "&amp;$CR$2406&amp;" "," ")," "&amp;$CR$2398&amp;" "," ")," "&amp;$CR$2410&amp;" "," ")," "&amp;$CR$2397&amp;" "," ")," "&amp;$CR$2402&amp;" "," ")," "&amp;$CR$2405&amp;" "," ")," "&amp;$CR$2396&amp;" "," ")," "&amp;$CR$2404&amp;" "," ")," "&amp;$CR$2411&amp;" "," ")," "&amp;$CR$2408&amp;" "," ")," "&amp;$CR$2403&amp;" "," ")," "&amp;$CR$2407&amp;" "," ")," "&amp;$CR$2409&amp;" "," ")),"")</f>
        <v xml:space="preserve"> sucre glace </v>
      </c>
      <c r="CK58" s="493">
        <f>IF(58=58,IF($U58="","",SUMPRODUCT(--ISNUMBER(SEARCH(" "&amp;$CR$2412:$CR$2416&amp;" ",$CJ58)))),"")</f>
        <v>0</v>
      </c>
      <c r="CL58" s="493" t="str">
        <f>IF(58=58,IF($U58="","",IF(SUM(CG58:CI58)&gt;0,"X",IF(CK58&gt;0,"?",""))),"")</f>
        <v/>
      </c>
      <c r="CM58" s="494"/>
      <c r="CN58" s="496" t="s">
        <v>1248</v>
      </c>
      <c r="CO58" s="496" t="s">
        <v>1083</v>
      </c>
      <c r="CP58" s="496" t="s">
        <v>689</v>
      </c>
      <c r="CQ58" s="496" t="s">
        <v>1249</v>
      </c>
      <c r="CR58" s="496" t="s">
        <v>1249</v>
      </c>
      <c r="CS58" s="496" t="s">
        <v>1085</v>
      </c>
      <c r="CT58" s="496" t="s">
        <v>1086</v>
      </c>
      <c r="CU58" s="496" t="s">
        <v>1087</v>
      </c>
      <c r="CV58" s="497" t="s">
        <v>1088</v>
      </c>
      <c r="CX58" s="543">
        <v>1</v>
      </c>
    </row>
    <row r="59" spans="1:102" ht="21" customHeight="1">
      <c r="A59" s="509">
        <v>53</v>
      </c>
      <c r="B59" s="510" t="s">
        <v>5902</v>
      </c>
      <c r="C59" s="511" t="str">
        <f t="shared" si="0"/>
        <v>dos de colin *</v>
      </c>
      <c r="D59" s="512" t="str">
        <f>IF(59=59,IF($B59="","",IF(E59="X",""&amp;"Céréales contenant du gluten","")&amp;IF(F59="X",IF(COUNTIF($E59:$E59,"X")&gt;0,", ","")&amp;"Crustacés","")&amp;IF(G59="X",IF(COUNTIF($E59:$F59,"X")&gt;0,", ","")&amp;"Œufs","")&amp;IF(H59="X",IF(COUNTIF($E59:$G59,"X")&gt;0,", ","")&amp;"Poissons","")&amp;IF(I59="X",IF(COUNTIF($E59:$H59,"X")&gt;0,", ","")&amp;"Arachides","")&amp;IF(J59="X",IF(COUNTIF($E59:$I59,"X")&gt;0,", ","")&amp;"Soja","")&amp;IF(K59="X",IF(COUNTIF($E59:$J59,"X")&gt;0,", ","")&amp;"Lait","")&amp;IF(L59="X",IF(COUNTIF($E59:$K59,"X")&gt;0,", ","")&amp;"Fruits à coque","")&amp;IF(M59="X",IF(COUNTIF($E59:$L59,"X")&gt;0,", ","")&amp;"Céleri","")&amp;IF(N59="X",IF(COUNTIF($E59:$M59,"X")&gt;0,", ","")&amp;"Moutarde","")&amp;IF(O59="X",IF(COUNTIF($E59:$N59,"X")&gt;0,", ","")&amp;"Sésame","")&amp;IF(P59="X",IF(COUNTIF($E59:$O59,"X")&gt;0,", ","")&amp;"Sulfites","")&amp;IF(Q59="X",IF(COUNTIF($E59:$P59,"X")&gt;0,", ","")&amp;"Lupin","")&amp;IF(R59="X",IF(COUNTIF($E59:$Q59,"X")&gt;0,", ","")&amp;"Mollusques","")),"")</f>
        <v>Poissons</v>
      </c>
      <c r="E59" s="513" t="str">
        <f>IF(59=59,IF($B59="","",AF59),"")</f>
        <v/>
      </c>
      <c r="F59" s="513" t="str">
        <f>IF(59=59,IF($B59="","",AI59),"")</f>
        <v/>
      </c>
      <c r="G59" s="513" t="str">
        <f>IF(59=59,IF($B59="","",AM59),"")</f>
        <v/>
      </c>
      <c r="H59" s="513" t="str">
        <f>IF(59=59,IF($B59="","",IF(ISNUMBER(SEARCH(" colin ",$AA59)),"X",AZ59)),"")</f>
        <v>X</v>
      </c>
      <c r="I59" s="513" t="str">
        <f>IF(59=59,IF($B59="","",BB59),"")</f>
        <v/>
      </c>
      <c r="J59" s="513" t="str">
        <f>IF(59=59,IF($B59="","",BF59),"")</f>
        <v/>
      </c>
      <c r="K59" s="513" t="str">
        <f>IF(59=59,IF($B59="","",BM59),"")</f>
        <v/>
      </c>
      <c r="L59" s="513" t="str">
        <f>IF(59=59,IF($B59="","",BQ59),"")</f>
        <v/>
      </c>
      <c r="M59" s="513" t="str">
        <f>IF(59=59,IF($B59="","",BT59),"")</f>
        <v/>
      </c>
      <c r="N59" s="513" t="str">
        <f>IF(59=59,IF($B59="","",BW59),"")</f>
        <v/>
      </c>
      <c r="O59" s="513" t="str">
        <f>IF(59=59,IF($B59="","",BZ59),"")</f>
        <v/>
      </c>
      <c r="P59" s="513" t="str">
        <f>IF(59=59,IF($B59="","",CC59),"")</f>
        <v/>
      </c>
      <c r="Q59" s="513" t="str">
        <f>IF(59=59,IF($B59="","",CF59),"")</f>
        <v/>
      </c>
      <c r="R59" s="513" t="str">
        <f>IF(59=59,IF($B59="","",CL59),"")</f>
        <v/>
      </c>
      <c r="S59" s="514" t="str">
        <f>IF(59=59,IF($B59="","",IF(E59="?",""&amp;"Céréales contenant du gluten","")&amp;IF(F59="?",IF(COUNTIF($E59:$E59,"~?")&gt;0,", ","")&amp;"Crustacés","")&amp;IF(G59="?",IF(COUNTIF($E59:$F59,"~?")&gt;0,", ","")&amp;"Œufs","")&amp;IF(H59="?",IF(COUNTIF($E59:$G59,"~?")&gt;0,", ","")&amp;"Poissons","")&amp;IF(I59="?",IF(COUNTIF($E59:$H59,"~?")&gt;0,", ","")&amp;"Arachides","")&amp;IF(J59="?",IF(COUNTIF($E59:$I59,"~?")&gt;0,", ","")&amp;"Soja","")&amp;IF(K59="?",IF(COUNTIF($E59:$J59,"~?")&gt;0,", ","")&amp;"Lait","")&amp;IF(L59="?",IF(COUNTIF($E59:$K59,"~?")&gt;0,", ","")&amp;"Fruits à coque","")&amp;IF(M59="?",IF(COUNTIF($E59:$L59,"~?")&gt;0,", ","")&amp;"Céleri","")&amp;IF(N59="?",IF(COUNTIF($E59:$M59,"~?")&gt;0,", ","")&amp;"Moutarde","")&amp;IF(O59="?",IF(COUNTIF($E59:$N59,"~?")&gt;0,", ","")&amp;"Sésame","")&amp;IF(P59="?",IF(COUNTIF($E59:$O59,"~?")&gt;0,", ","")&amp;"Sulfites","")&amp;IF(Q59="?",IF(COUNTIF($E59:$P59,"~?")&gt;0,", ","")&amp;"Lupin","")&amp;IF(R59="?",IF(COUNTIF($E59:$Q59,"~?")&gt;0,", ","")&amp;"Mollusques","")),"")</f>
        <v/>
      </c>
      <c r="U59" s="493" t="str">
        <f>IF(59=59,IF($B59="","",$B59),"")</f>
        <v>dos de colin</v>
      </c>
      <c r="V59" s="493" t="str">
        <f>IF(59=59,LOWER(CLEAN(SUBSTITUTE(SUBSTITUTE(SUBSTITUTE(SUBSTITUTE($U59,CHAR(160)," ")," "," "),CHAR(10)," "),CHAR(13)," "))),"")</f>
        <v>dos de colin</v>
      </c>
      <c r="W59" s="493" t="str">
        <f>IF(59=59,SUBSTITUTE(SUBSTITUTE(SUBSTITUTE(SUBSTITUTE(SUBSTITUTE(SUBSTITUTE(SUBSTITUTE(SUBSTITUTE(SUBSTITUTE(SUBSTITUTE(SUBSTITUTE(SUBSTITUTE($V59,"œ","oe"),"æ","ae"),"à","a"),"á","a"),"â","a"),"ä","a"),"ã","a"),"ç","c"),"è","e"),"é","e"),"ê","e"),"ë","e"),"")</f>
        <v>dos de colin</v>
      </c>
      <c r="X59" s="493" t="str">
        <f>IF(59=59,SUBSTITUTE(SUBSTITUTE(SUBSTITUTE(SUBSTITUTE(SUBSTITUTE(SUBSTITUTE(SUBSTITUTE(SUBSTITUTE(SUBSTITUTE(SUBSTITUTE(SUBSTITUTE(SUBSTITUTE(SUBSTITUTE(SUBSTITUTE(SUBSTITUTE(SUBSTITUTE($W59,"ì","i"),"í","i"),"î","i"),"ï","i"),"ñ","n"),"ò","o"),"ó","o"),"ô","o"),"ö","o"),"õ","o"),"ù","u"),"ú","u"),"û","u"),"ü","u"),"ý","y"),"ÿ","y"),"")</f>
        <v>dos de colin</v>
      </c>
      <c r="Y59" s="493" t="str">
        <f>IF(59=59,SUBSTITUTE(SUBSTITUTE(SUBSTITUTE(SUBSTITUTE(SUBSTITUTE(SUBSTITUTE(SUBSTITUTE(SUBSTITUTE(SUBSTITUTE(SUBSTITUTE(SUBSTITUTE(SUBSTITUTE(SUBSTITUTE(SUBSTITUTE($X59,"’"," "),"`"," "),"–"," "),"—"," "),"-"," "),"'"," "),"/"," "),"_"," "),","," "),"."," "),"("," "),")"," "),";"," "),":"," "),"")</f>
        <v>dos de colin</v>
      </c>
      <c r="Z59" s="493" t="str">
        <f>IF(59=59,SUBSTITUTE(SUBSTITUTE(SUBSTITUTE(SUBSTITUTE(SUBSTITUTE(SUBSTITUTE(SUBSTITUTE(SUBSTITUTE(SUBSTITUTE(SUBSTITUTE(SUBSTITUTE(SUBSTITUTE(SUBSTITUTE(SUBSTITUTE(SUBSTITUTE($Y59,"!"," "),"?"," "),"+"," "),"*"," "),"&amp;"," "),"["," "),"]"," "),"{"," "),"}"," "),"%"," "),"="," "),"\"," "),"|"," "),"&lt;"," "),"&gt;"," "),"")</f>
        <v>dos de colin</v>
      </c>
      <c r="AA59" s="493" t="str">
        <f>IF(59=59," "&amp;TRIM(SUBSTITUTE(SUBSTITUTE(SUBSTITUTE(SUBSTITUTE(SUBSTITUTE(SUBSTITUTE($Z59,CHAR(34)," "),"  "," "),"  "," "),"  "," "),"  "," "),"  "," "))&amp;" ","")</f>
        <v xml:space="preserve"> dos de colin </v>
      </c>
      <c r="AB59" s="493">
        <f>IF(59=59,IF($U59="","",SUMPRODUCT(--ISNUMBER(SEARCH(" "&amp;$CR$2:$CR$101&amp;" ",$AD59)))),"")</f>
        <v>0</v>
      </c>
      <c r="AC59" s="493">
        <f>IF(59=59,IF($U59="","",SUMPRODUCT(--ISNUMBER(SEARCH(" "&amp;$CR$102:$CR$151&amp;" ",$AD59)))),"")</f>
        <v>0</v>
      </c>
      <c r="AD59" s="493" t="str">
        <f t="shared" si="1"/>
        <v xml:space="preserve"> dos de colin </v>
      </c>
      <c r="AE59" s="493">
        <f t="shared" si="2"/>
        <v>0</v>
      </c>
      <c r="AF59" s="493" t="str">
        <f>IF(59=59,IF($U59="","",IF(SUM(AB59:AC59)+SUMPRODUCT(--ISNUMBER(SEARCH(" "&amp;$CR$2418:$CR$2420&amp;" ",$AD59)))&gt;0,"X",IF(AE59&gt;0,"?",""))),"")</f>
        <v/>
      </c>
      <c r="AG59" s="493">
        <f>IF(59=59,IF($U59="","",SUMPRODUCT(--ISNUMBER(SEARCH(" "&amp;$CR$206:$CR$305&amp;" ",$AA59)))),"")</f>
        <v>0</v>
      </c>
      <c r="AH59" s="493">
        <f>IF(59=59,IF($U59="","",SUMPRODUCT(--ISNUMBER(SEARCH(" "&amp;$CR$306:$CR$340&amp;" ",$AA59)))),"")</f>
        <v>0</v>
      </c>
      <c r="AI59" s="493" t="str">
        <f>IF(59=59,IF($U59="","",IF((SUM(AG59:AH59))-(0)&gt;0,"X",IF((0)-(0)&gt;0,"?",""))),"")</f>
        <v/>
      </c>
      <c r="AJ59" s="493">
        <f>IF(59=59,IF($U59="","",SUMPRODUCT(--ISNUMBER(SEARCH(" "&amp;$CR$341:$CR$398&amp;" ",$AA59)))),"")</f>
        <v>0</v>
      </c>
      <c r="AK59" s="493">
        <f>IF(59=59,IF($U59="","",SUMPRODUCT(--ISNUMBER(SEARCH(" "&amp;$CR$399:$CR$426&amp;" ",$AL59)))+SUMPRODUCT(--ISNUMBER(SEARCH(" "&amp;$CR$2440:$CR$2453&amp;" ",$AL59)))),"")</f>
        <v>0</v>
      </c>
      <c r="AL59" s="493" t="str">
        <f>IF(59=59,IF($U59="","",SUBSTITUTE(SUBSTITUTE(SUBSTITUTE(SUBSTITUTE(SUBSTITUTE(SUBSTITUTE(SUBSTITUTE(SUBSTITUTE(SUBSTITUTE(SUBSTITUTE(SUBSTITUTE(SUBSTITUTE(SUBSTITUTE(SUBSTITUTE($AA59," "&amp;$CR$2455&amp;" "," ")," "&amp;$CR$433&amp;" "," ")," "&amp;$CR$431&amp;" "," ")," "&amp;$CR$2438&amp;" "," ")," "&amp;$CR$2439&amp;" "," ")," "&amp;$CR$428&amp;" "," ")," "&amp;$CR$432&amp;" "," ")," "&amp;$CR$434&amp;" "," ")," "&amp;$CR$429&amp;" "," ")," "&amp;$CR$427&amp;" "," ")," "&amp;$CR$1367&amp;" "," ")," "&amp;$CR$435&amp;" "," ")," "&amp;$CR$1366&amp;" "," ")," "&amp;$CR$430&amp;" "," ")),"")</f>
        <v xml:space="preserve"> dos de colin </v>
      </c>
      <c r="AM59" s="493" t="str">
        <f>IF(59=59,IF($U59="","",IF(AJ59&gt;0,"X",IF(AK59&gt;0,"?",""))),"")</f>
        <v/>
      </c>
      <c r="AN59" s="493">
        <f>IF(59=59,IF($U59="","",SUMPRODUCT(--ISNUMBER(SEARCH(" "&amp;$CR$436:$CR$535&amp;" ",$AX59)))),"")</f>
        <v>0</v>
      </c>
      <c r="AO59" s="493">
        <f>IF(59=59,IF($U59="","",SUMPRODUCT(--ISNUMBER(SEARCH(" "&amp;$CR$536:$CR$635&amp;" ",$AX59)))),"")</f>
        <v>1</v>
      </c>
      <c r="AP59" s="493">
        <f>IF(59=59,IF($U59="","",SUMPRODUCT(--ISNUMBER(SEARCH(" "&amp;$CR$636:$CR$735&amp;" ",$AX59)))),"")</f>
        <v>0</v>
      </c>
      <c r="AQ59" s="493">
        <f>IF(59=59,IF($U59="","",SUMPRODUCT(--ISNUMBER(SEARCH(" "&amp;$CR$736:$CR$835&amp;" ",$AX59)))),"")</f>
        <v>0</v>
      </c>
      <c r="AR59" s="493">
        <f>IF(59=59,IF($U59="","",SUMPRODUCT(--ISNUMBER(SEARCH(" "&amp;$CR$836:$CR$935&amp;" ",$AX59)))),"")</f>
        <v>0</v>
      </c>
      <c r="AS59" s="493">
        <f>IF(59=59,IF($U59="","",SUMPRODUCT(--ISNUMBER(SEARCH(" "&amp;$CR$936:$CR$1035&amp;" ",$AX59)))),"")</f>
        <v>0</v>
      </c>
      <c r="AT59" s="493">
        <f>IF(59=59,IF($U59="","",SUMPRODUCT(--ISNUMBER(SEARCH(" "&amp;$CR$1036:$CR$1135&amp;" ",$AX59)))),"")</f>
        <v>0</v>
      </c>
      <c r="AU59" s="493">
        <f>IF(59=59,IF($U59="","",SUMPRODUCT(--ISNUMBER(SEARCH(" "&amp;$CR$1136:$CR$1235&amp;" ",$AX59)))),"")</f>
        <v>0</v>
      </c>
      <c r="AV59" s="493">
        <f>IF(59=59,IF($U59="","",SUMPRODUCT(--ISNUMBER(SEARCH(" "&amp;$CR$1236:$CR$1335&amp;" ",$AX59)))),"")</f>
        <v>0</v>
      </c>
      <c r="AW59" s="493">
        <f>IF(59=59,IF($U59="","",SUMPRODUCT(--ISNUMBER(SEARCH(" "&amp;$CR$1336:$CR$1363&amp;" ",$AX59)))),"")</f>
        <v>0</v>
      </c>
      <c r="AX59" s="493" t="str">
        <f>IF(59=59,IF($U59="","",SUBSTITUTE(SUBSTITUTE(SUBSTITUTE(SUBSTITUTE(SUBSTITUTE(SUBSTITUTE(SUBSTITUTE(SUBSTITUTE(SUBSTITUTE($AA59," "&amp;$CR$1365&amp;" "," ")," "&amp;$CR$1364&amp;" "," ")," "&amp;$CR$1370&amp;" "," ")," "&amp;$CR$1371&amp;" "," ")," "&amp;$CR$1367&amp;" "," ")," "&amp;$CR$1369&amp;" "," ")," "&amp;$CR$1366&amp;" "," ")," "&amp;$CR$1368&amp;" "," ")," "&amp;$CR$1372&amp;" "," ")),"")</f>
        <v xml:space="preserve"> dos de colin </v>
      </c>
      <c r="AY59" s="493">
        <f>IF(59=59,IF($U59="","",SUMPRODUCT(--ISNUMBER(SEARCH(" "&amp;$CR$1373:$CR$1383&amp;" ",$AX59)))),"")</f>
        <v>0</v>
      </c>
      <c r="AZ59" s="493" t="str">
        <f>IF(59=59,IF($U59="","",IF(SUM(AN59:AW59)+SUMPRODUCT(--ISNUMBER(SEARCH(" "&amp;$CR$2421:$CR$2422&amp;" ",$AX59)))&gt;0,"X",IF(AY59&gt;0,"?",""))),"")</f>
        <v>X</v>
      </c>
      <c r="BA59" s="493">
        <f>IF(59=59,IF($U59="","",SUMPRODUCT(--ISNUMBER(SEARCH(" "&amp;$CR$1384:$CR$1404&amp;" ",$AA59)))),"")</f>
        <v>0</v>
      </c>
      <c r="BB59" s="493" t="str">
        <f>IF(59=59,IF($U59="","",IF((BA59)-(0)&gt;0,"X",IF((0)-(0)&gt;0,"?",""))),"")</f>
        <v/>
      </c>
      <c r="BC59" s="493">
        <f>IF(59=59,IF($U59="","",SUMPRODUCT(--ISNUMBER(SEARCH(" "&amp;$CR$1405:$CR$1442&amp;" ",$BD59)))),"")</f>
        <v>0</v>
      </c>
      <c r="BD59" s="493" t="str">
        <f>IF(59=59,IF($U59="","",SUBSTITUTE(SUBSTITUTE($AA59," "&amp;$CR$1443&amp;" "," ")," "&amp;$CR$1444&amp;" "," ")),"")</f>
        <v xml:space="preserve"> dos de colin </v>
      </c>
      <c r="BE59" s="493">
        <f>IF(59=59,IF($U59="","",SUMPRODUCT(--ISNUMBER(SEARCH(" "&amp;$CR$1445:$CR$1455&amp;" ",$BD59)))),"")</f>
        <v>0</v>
      </c>
      <c r="BF59" s="493" t="str">
        <f>IF(59=59,IF($U59="","",IF(BC59&gt;0,"X",IF(BE59&gt;0,"?",""))),"")</f>
        <v/>
      </c>
      <c r="BG59" s="493">
        <f>IF(59=59,IF($U59="","",SUMPRODUCT(--ISNUMBER(SEARCH(" "&amp;$CR$1456:$CR$1555&amp;" ",$BJ59)))),"")</f>
        <v>0</v>
      </c>
      <c r="BH59" s="493">
        <f>IF(59=59,IF($U59="","",SUMPRODUCT(--ISNUMBER(SEARCH(" "&amp;$CR$1556:$CR$1655&amp;" ",$BJ59)))),"")</f>
        <v>0</v>
      </c>
      <c r="BI59" s="493">
        <f>IF(59=59,IF($U59="","",SUMPRODUCT(--ISNUMBER(SEARCH(" "&amp;$CR$1656:$CR$1739&amp;" ",$BJ59)))),"")</f>
        <v>0</v>
      </c>
      <c r="BJ59" s="493" t="str">
        <f>IF(59=59,IF($U59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dos de colin </v>
      </c>
      <c r="BK59" s="493">
        <f>IF(59=59,IF($U59="","",SUMPRODUCT(--ISNUMBER(SEARCH(" "&amp;$CR$1790:$CR$1869&amp;" ",$BL59)))+SUMPRODUCT(--ISNUMBER(SEARCH(" "&amp;$CR$2440:$CR$2453&amp;" ",$BL59)))),"")</f>
        <v>0</v>
      </c>
      <c r="BL59" s="493" t="str">
        <f>IF(59=59,IF($U59="","",SUBSTITUTE(SUBSTITUTE(SUBSTITUTE(SUBSTITUTE(SUBSTITUTE(SUBSTITUTE(SUBSTITUTE(SUBSTITUTE(SUBSTITUTE(SUBSTITUTE(SUBSTITUTE(SUBSTITUTE(SUBSTITUTE($BJ59," "&amp;$CR$1876&amp;" "," ")," "&amp;$CR$1874&amp;" "," ")," "&amp;$CR$2438&amp;" "," ")," "&amp;$CR$2439&amp;" "," ")," "&amp;$CR$1871&amp;" "," ")," "&amp;$CR$1875&amp;" "," ")," "&amp;$CR$1877&amp;" "," ")," "&amp;$CR$1872&amp;" "," ")," "&amp;$CR$1870&amp;" "," ")," "&amp;$CR$1367&amp;" "," ")," "&amp;$CR$1878&amp;" "," ")," "&amp;$CR$1366&amp;" "," ")," "&amp;$CR$1873&amp;" "," ")),"")</f>
        <v xml:space="preserve"> dos de colin </v>
      </c>
      <c r="BM59" s="493" t="str">
        <f>IF(59=59,IF($U59="","",IF(SUM(BG59:BI59)+SUMPRODUCT(--ISNUMBER(SEARCH(" "&amp;$CR$2423:$CR$2424&amp;" ",$BJ59)))&gt;0,"X",IF(BK59&gt;0,"?",""))),"")</f>
        <v/>
      </c>
      <c r="BN59" s="493">
        <f>IF(59=59,IF($U59="","",SUMPRODUCT(--ISNUMBER(SEARCH(" "&amp;$CR$1879:$CR$1936&amp;" ",$BO59)))),"")</f>
        <v>0</v>
      </c>
      <c r="BO59" s="493" t="str">
        <f>IF(59=59,IF($U59="","",SUBSTITUTE(SUBSTITUTE(SUBSTITUTE(SUBSTITUTE(SUBSTITUTE(SUBSTITUTE(SUBSTITUTE(SUBSTITUTE(SUBSTITUTE(SUBSTITUTE(SUBSTITUTE(SUBSTITUTE(SUBSTITUTE(SUBSTITUTE(SUBSTITUTE(SUBSTITUTE(SUBSTITUTE(SUBSTITUTE(SUBSTITUTE(SUBSTITUTE(SUBSTITUTE(SUBSTITUTE(SUBSTITUTE($AA59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dos de colin </v>
      </c>
      <c r="BP59" s="493">
        <f>IF(59=59,IF($U59="","",SUMPRODUCT(--ISNUMBER(SEARCH(" "&amp;$CR$1960:$CR$1976&amp;" ",$BO59)))),"")</f>
        <v>0</v>
      </c>
      <c r="BQ59" s="493" t="str">
        <f>IF(59=59,IF($U59="","",IF(BN59&gt;0,"X",IF(BP59&gt;0,"?",""))),"")</f>
        <v/>
      </c>
      <c r="BR59" s="493">
        <f>IF(59=59,IF($U59="","",SUMPRODUCT(--ISNUMBER(SEARCH(" "&amp;$CR$1977:$CR$1990&amp;" ",$AA59)))),"")</f>
        <v>0</v>
      </c>
      <c r="BS59" s="493">
        <f>IF(59=59,IF($U59="","",SUMPRODUCT(--ISNUMBER(SEARCH(" "&amp;$CR$1991:$CR$2005&amp;" ",$AA59)))),"")</f>
        <v>0</v>
      </c>
      <c r="BT59" s="493" t="str">
        <f>IF(59=59,IF($U59="","",IF((BR59)-(0)&gt;0,"X",IF((BS59)-(0)&gt;0,"?",""))),"")</f>
        <v/>
      </c>
      <c r="BU59" s="493">
        <f>IF(59=59,IF($U59="","",SUMPRODUCT(--ISNUMBER(SEARCH(" "&amp;$CR$2006:$CR$2023&amp;" ",$AA59)))),"")</f>
        <v>0</v>
      </c>
      <c r="BV59" s="493">
        <f>IF(59=59,IF($U59="","",SUMPRODUCT(--ISNUMBER(SEARCH(" "&amp;$CR$2024:$CR$2038&amp;" ",$AA59)))),"")</f>
        <v>0</v>
      </c>
      <c r="BW59" s="493" t="str">
        <f>IF(59=59,IF($U59="","",IF((BU59)-(0)&gt;0,"X",IF((BV59)-(0)&gt;0,"?",""))),"")</f>
        <v/>
      </c>
      <c r="BX59" s="493">
        <f>IF(59=59,IF($U59="","",SUMPRODUCT(--ISNUMBER(SEARCH(" "&amp;$CR$2039:$CR$2057&amp;" ",$AA59)))),"")</f>
        <v>0</v>
      </c>
      <c r="BY59" s="493">
        <f>IF(59=59,IF($U59="","",SUMPRODUCT(--ISNUMBER(SEARCH(" "&amp;$CR$2058:$CR$2072&amp;" ",$AA59)))),"")</f>
        <v>0</v>
      </c>
      <c r="BZ59" s="493" t="str">
        <f>IF(59=59,IF($U59="","",IF((BX59)-(0)&gt;0,"X",IF((BY59)-(0)&gt;0,"?",""))),"")</f>
        <v/>
      </c>
      <c r="CA59" s="493">
        <f>IF(59=59,IF($U59="","",SUMPRODUCT(--ISNUMBER(SEARCH(" "&amp;$CR$2073:$CR$2093&amp;" ",$AA59)))),"")</f>
        <v>0</v>
      </c>
      <c r="CB59" s="493">
        <f>IF(59=59,IF($U59="","",SUMPRODUCT(--ISNUMBER(SEARCH(" "&amp;$CR$2094:$CR$2133&amp;" ",SUBSTITUTE(SUBSTITUTE($AA59," "&amp;$CR$1367&amp;" "," ")," "&amp;$CR$1366&amp;" "," "))))+--ISNUMBER(SEARCH("poiré",$V59))),"")</f>
        <v>0</v>
      </c>
      <c r="CC59" s="493" t="str">
        <f>IF(59=59,IF($U59="","",IF(OR(CA59&gt;0,ISNUMBER(SEARCH(" vinaigre de vin ",$AA59)),ISNUMBER(SEARCH(" vinaigre au vin ",$AA59))),"X",IF(CB59&gt;0,"?",""))),"")</f>
        <v/>
      </c>
      <c r="CD59" s="493">
        <f>IF(59=59,IF($U59="","",SUMPRODUCT(--ISNUMBER(SEARCH(" "&amp;$CR$2134:$CR$2146&amp;" ",$AA59)))),"")</f>
        <v>0</v>
      </c>
      <c r="CE59" s="493">
        <f>IF(59=59,IF($U59="","",SUMPRODUCT(--ISNUMBER(SEARCH(" "&amp;$CR$2147:$CR$2152&amp;" ",$AA59)))),"")</f>
        <v>0</v>
      </c>
      <c r="CF59" s="493" t="str">
        <f>IF(59=59,IF($U59="","",IF((CD59)-(0)&gt;0,"X",IF((CE59)-(0)&gt;0,"?",""))),"")</f>
        <v/>
      </c>
      <c r="CG59" s="493">
        <f>IF(59=59,IF($U59="","",SUMPRODUCT(--ISNUMBER(SEARCH(" "&amp;$CR$2153:$CR$2252&amp;" ",$CJ59)))),"")</f>
        <v>0</v>
      </c>
      <c r="CH59" s="493">
        <f>IF(59=59,IF($U59="","",SUMPRODUCT(--ISNUMBER(SEARCH(" "&amp;$CR$2253:$CR$2352&amp;" ",$CJ59)))),"")</f>
        <v>0</v>
      </c>
      <c r="CI59" s="493">
        <f>IF(59=59,IF($U59="","",SUMPRODUCT(--ISNUMBER(SEARCH(" "&amp;$CR$2353:$CR$2395&amp;" ",$CJ59)))),"")</f>
        <v>0</v>
      </c>
      <c r="CJ59" s="493" t="str">
        <f>IF(59=59,IF($U59="","",SUBSTITUTE(SUBSTITUTE(SUBSTITUTE(SUBSTITUTE(SUBSTITUTE(SUBSTITUTE(SUBSTITUTE(SUBSTITUTE(SUBSTITUTE(SUBSTITUTE(SUBSTITUTE(SUBSTITUTE(SUBSTITUTE(SUBSTITUTE(SUBSTITUTE(SUBSTITUTE($AA59," "&amp;$CR$2401&amp;" "," ")," "&amp;$CR$2400&amp;" "," ")," "&amp;$CR$2399&amp;" "," ")," "&amp;$CR$2406&amp;" "," ")," "&amp;$CR$2398&amp;" "," ")," "&amp;$CR$2410&amp;" "," ")," "&amp;$CR$2397&amp;" "," ")," "&amp;$CR$2402&amp;" "," ")," "&amp;$CR$2405&amp;" "," ")," "&amp;$CR$2396&amp;" "," ")," "&amp;$CR$2404&amp;" "," ")," "&amp;$CR$2411&amp;" "," ")," "&amp;$CR$2408&amp;" "," ")," "&amp;$CR$2403&amp;" "," ")," "&amp;$CR$2407&amp;" "," ")," "&amp;$CR$2409&amp;" "," ")),"")</f>
        <v xml:space="preserve"> dos de colin </v>
      </c>
      <c r="CK59" s="493">
        <f>IF(59=59,IF($U59="","",SUMPRODUCT(--ISNUMBER(SEARCH(" "&amp;$CR$2412:$CR$2416&amp;" ",$CJ59)))),"")</f>
        <v>0</v>
      </c>
      <c r="CL59" s="493" t="str">
        <f>IF(59=59,IF($U59="","",IF(SUM(CG59:CI59)&gt;0,"X",IF(CK59&gt;0,"?",""))),"")</f>
        <v/>
      </c>
      <c r="CM59" s="494"/>
      <c r="CN59" s="496" t="s">
        <v>1250</v>
      </c>
      <c r="CO59" s="496" t="s">
        <v>1083</v>
      </c>
      <c r="CP59" s="496" t="s">
        <v>689</v>
      </c>
      <c r="CQ59" s="496" t="s">
        <v>1251</v>
      </c>
      <c r="CR59" s="496" t="s">
        <v>1251</v>
      </c>
      <c r="CS59" s="496" t="s">
        <v>1085</v>
      </c>
      <c r="CT59" s="496" t="s">
        <v>1086</v>
      </c>
      <c r="CU59" s="496" t="s">
        <v>1087</v>
      </c>
      <c r="CV59" s="497" t="s">
        <v>1088</v>
      </c>
      <c r="CX59" s="543">
        <v>1</v>
      </c>
    </row>
    <row r="60" spans="1:102" ht="21" customHeight="1">
      <c r="A60" s="509">
        <v>54</v>
      </c>
      <c r="B60" s="510" t="s">
        <v>5844</v>
      </c>
      <c r="C60" s="511" t="str">
        <f t="shared" si="0"/>
        <v>Graines de sésame *</v>
      </c>
      <c r="D60" s="512" t="str">
        <f>IF(60=60,IF($B60="","",IF(E60="X",""&amp;"Céréales contenant du gluten","")&amp;IF(F60="X",IF(COUNTIF($E60:$E60,"X")&gt;0,", ","")&amp;"Crustacés","")&amp;IF(G60="X",IF(COUNTIF($E60:$F60,"X")&gt;0,", ","")&amp;"Œufs","")&amp;IF(H60="X",IF(COUNTIF($E60:$G60,"X")&gt;0,", ","")&amp;"Poissons","")&amp;IF(I60="X",IF(COUNTIF($E60:$H60,"X")&gt;0,", ","")&amp;"Arachides","")&amp;IF(J60="X",IF(COUNTIF($E60:$I60,"X")&gt;0,", ","")&amp;"Soja","")&amp;IF(K60="X",IF(COUNTIF($E60:$J60,"X")&gt;0,", ","")&amp;"Lait","")&amp;IF(L60="X",IF(COUNTIF($E60:$K60,"X")&gt;0,", ","")&amp;"Fruits à coque","")&amp;IF(M60="X",IF(COUNTIF($E60:$L60,"X")&gt;0,", ","")&amp;"Céleri","")&amp;IF(N60="X",IF(COUNTIF($E60:$M60,"X")&gt;0,", ","")&amp;"Moutarde","")&amp;IF(O60="X",IF(COUNTIF($E60:$N60,"X")&gt;0,", ","")&amp;"Sésame","")&amp;IF(P60="X",IF(COUNTIF($E60:$O60,"X")&gt;0,", ","")&amp;"Sulfites","")&amp;IF(Q60="X",IF(COUNTIF($E60:$P60,"X")&gt;0,", ","")&amp;"Lupin","")&amp;IF(R60="X",IF(COUNTIF($E60:$Q60,"X")&gt;0,", ","")&amp;"Mollusques","")),"")</f>
        <v>Sésame</v>
      </c>
      <c r="E60" s="513" t="str">
        <f>IF(60=60,IF($B60="","",AF60),"")</f>
        <v/>
      </c>
      <c r="F60" s="513" t="str">
        <f>IF(60=60,IF($B60="","",AI60),"")</f>
        <v/>
      </c>
      <c r="G60" s="513" t="str">
        <f>IF(60=60,IF($B60="","",AM60),"")</f>
        <v/>
      </c>
      <c r="H60" s="513" t="str">
        <f>IF(60=60,IF($B60="","",IF(ISNUMBER(SEARCH(" colin ",$AA60)),"X",AZ60)),"")</f>
        <v/>
      </c>
      <c r="I60" s="513" t="str">
        <f>IF(60=60,IF($B60="","",BB60),"")</f>
        <v/>
      </c>
      <c r="J60" s="513" t="str">
        <f>IF(60=60,IF($B60="","",BF60),"")</f>
        <v/>
      </c>
      <c r="K60" s="513" t="str">
        <f>IF(60=60,IF($B60="","",BM60),"")</f>
        <v/>
      </c>
      <c r="L60" s="513" t="str">
        <f>IF(60=60,IF($B60="","",BQ60),"")</f>
        <v/>
      </c>
      <c r="M60" s="513" t="str">
        <f>IF(60=60,IF($B60="","",BT60),"")</f>
        <v/>
      </c>
      <c r="N60" s="513" t="str">
        <f>IF(60=60,IF($B60="","",BW60),"")</f>
        <v/>
      </c>
      <c r="O60" s="513" t="str">
        <f>IF(60=60,IF($B60="","",BZ60),"")</f>
        <v>X</v>
      </c>
      <c r="P60" s="513" t="str">
        <f>IF(60=60,IF($B60="","",CC60),"")</f>
        <v/>
      </c>
      <c r="Q60" s="513" t="str">
        <f>IF(60=60,IF($B60="","",CF60),"")</f>
        <v/>
      </c>
      <c r="R60" s="513" t="str">
        <f>IF(60=60,IF($B60="","",CL60),"")</f>
        <v/>
      </c>
      <c r="S60" s="514" t="str">
        <f>IF(60=60,IF($B60="","",IF(E60="?",""&amp;"Céréales contenant du gluten","")&amp;IF(F60="?",IF(COUNTIF($E60:$E60,"~?")&gt;0,", ","")&amp;"Crustacés","")&amp;IF(G60="?",IF(COUNTIF($E60:$F60,"~?")&gt;0,", ","")&amp;"Œufs","")&amp;IF(H60="?",IF(COUNTIF($E60:$G60,"~?")&gt;0,", ","")&amp;"Poissons","")&amp;IF(I60="?",IF(COUNTIF($E60:$H60,"~?")&gt;0,", ","")&amp;"Arachides","")&amp;IF(J60="?",IF(COUNTIF($E60:$I60,"~?")&gt;0,", ","")&amp;"Soja","")&amp;IF(K60="?",IF(COUNTIF($E60:$J60,"~?")&gt;0,", ","")&amp;"Lait","")&amp;IF(L60="?",IF(COUNTIF($E60:$K60,"~?")&gt;0,", ","")&amp;"Fruits à coque","")&amp;IF(M60="?",IF(COUNTIF($E60:$L60,"~?")&gt;0,", ","")&amp;"Céleri","")&amp;IF(N60="?",IF(COUNTIF($E60:$M60,"~?")&gt;0,", ","")&amp;"Moutarde","")&amp;IF(O60="?",IF(COUNTIF($E60:$N60,"~?")&gt;0,", ","")&amp;"Sésame","")&amp;IF(P60="?",IF(COUNTIF($E60:$O60,"~?")&gt;0,", ","")&amp;"Sulfites","")&amp;IF(Q60="?",IF(COUNTIF($E60:$P60,"~?")&gt;0,", ","")&amp;"Lupin","")&amp;IF(R60="?",IF(COUNTIF($E60:$Q60,"~?")&gt;0,", ","")&amp;"Mollusques","")),"")</f>
        <v/>
      </c>
      <c r="U60" s="493" t="str">
        <f>IF(60=60,IF($B60="","",$B60),"")</f>
        <v>Graines de sésame</v>
      </c>
      <c r="V60" s="493" t="str">
        <f>IF(60=60,LOWER(CLEAN(SUBSTITUTE(SUBSTITUTE(SUBSTITUTE(SUBSTITUTE($U60,CHAR(160)," ")," "," "),CHAR(10)," "),CHAR(13)," "))),"")</f>
        <v>graines de sésame</v>
      </c>
      <c r="W60" s="493" t="str">
        <f>IF(60=60,SUBSTITUTE(SUBSTITUTE(SUBSTITUTE(SUBSTITUTE(SUBSTITUTE(SUBSTITUTE(SUBSTITUTE(SUBSTITUTE(SUBSTITUTE(SUBSTITUTE(SUBSTITUTE(SUBSTITUTE($V60,"œ","oe"),"æ","ae"),"à","a"),"á","a"),"â","a"),"ä","a"),"ã","a"),"ç","c"),"è","e"),"é","e"),"ê","e"),"ë","e"),"")</f>
        <v>graines de sesame</v>
      </c>
      <c r="X60" s="493" t="str">
        <f>IF(60=60,SUBSTITUTE(SUBSTITUTE(SUBSTITUTE(SUBSTITUTE(SUBSTITUTE(SUBSTITUTE(SUBSTITUTE(SUBSTITUTE(SUBSTITUTE(SUBSTITUTE(SUBSTITUTE(SUBSTITUTE(SUBSTITUTE(SUBSTITUTE(SUBSTITUTE(SUBSTITUTE($W60,"ì","i"),"í","i"),"î","i"),"ï","i"),"ñ","n"),"ò","o"),"ó","o"),"ô","o"),"ö","o"),"õ","o"),"ù","u"),"ú","u"),"û","u"),"ü","u"),"ý","y"),"ÿ","y"),"")</f>
        <v>graines de sesame</v>
      </c>
      <c r="Y60" s="493" t="str">
        <f>IF(60=60,SUBSTITUTE(SUBSTITUTE(SUBSTITUTE(SUBSTITUTE(SUBSTITUTE(SUBSTITUTE(SUBSTITUTE(SUBSTITUTE(SUBSTITUTE(SUBSTITUTE(SUBSTITUTE(SUBSTITUTE(SUBSTITUTE(SUBSTITUTE($X60,"’"," "),"`"," "),"–"," "),"—"," "),"-"," "),"'"," "),"/"," "),"_"," "),","," "),"."," "),"("," "),")"," "),";"," "),":"," "),"")</f>
        <v>graines de sesame</v>
      </c>
      <c r="Z60" s="493" t="str">
        <f>IF(60=60,SUBSTITUTE(SUBSTITUTE(SUBSTITUTE(SUBSTITUTE(SUBSTITUTE(SUBSTITUTE(SUBSTITUTE(SUBSTITUTE(SUBSTITUTE(SUBSTITUTE(SUBSTITUTE(SUBSTITUTE(SUBSTITUTE(SUBSTITUTE(SUBSTITUTE($Y60,"!"," "),"?"," "),"+"," "),"*"," "),"&amp;"," "),"["," "),"]"," "),"{"," "),"}"," "),"%"," "),"="," "),"\"," "),"|"," "),"&lt;"," "),"&gt;"," "),"")</f>
        <v>graines de sesame</v>
      </c>
      <c r="AA60" s="493" t="str">
        <f>IF(60=60," "&amp;TRIM(SUBSTITUTE(SUBSTITUTE(SUBSTITUTE(SUBSTITUTE(SUBSTITUTE(SUBSTITUTE($Z60,CHAR(34)," "),"  "," "),"  "," "),"  "," "),"  "," "),"  "," "))&amp;" ","")</f>
        <v xml:space="preserve"> graines de sesame </v>
      </c>
      <c r="AB60" s="493">
        <f>IF(60=60,IF($U60="","",SUMPRODUCT(--ISNUMBER(SEARCH(" "&amp;$CR$2:$CR$101&amp;" ",$AD60)))),"")</f>
        <v>0</v>
      </c>
      <c r="AC60" s="493">
        <f>IF(60=60,IF($U60="","",SUMPRODUCT(--ISNUMBER(SEARCH(" "&amp;$CR$102:$CR$151&amp;" ",$AD60)))),"")</f>
        <v>0</v>
      </c>
      <c r="AD60" s="493" t="str">
        <f t="shared" si="1"/>
        <v xml:space="preserve"> graines de sesame </v>
      </c>
      <c r="AE60" s="493">
        <f t="shared" si="2"/>
        <v>0</v>
      </c>
      <c r="AF60" s="493" t="str">
        <f>IF(60=60,IF($U60="","",IF(SUM(AB60:AC60)+SUMPRODUCT(--ISNUMBER(SEARCH(" "&amp;$CR$2418:$CR$2420&amp;" ",$AD60)))&gt;0,"X",IF(AE60&gt;0,"?",""))),"")</f>
        <v/>
      </c>
      <c r="AG60" s="493">
        <f>IF(60=60,IF($U60="","",SUMPRODUCT(--ISNUMBER(SEARCH(" "&amp;$CR$206:$CR$305&amp;" ",$AA60)))),"")</f>
        <v>0</v>
      </c>
      <c r="AH60" s="493">
        <f>IF(60=60,IF($U60="","",SUMPRODUCT(--ISNUMBER(SEARCH(" "&amp;$CR$306:$CR$340&amp;" ",$AA60)))),"")</f>
        <v>0</v>
      </c>
      <c r="AI60" s="493" t="str">
        <f>IF(60=60,IF($U60="","",IF((SUM(AG60:AH60))-(0)&gt;0,"X",IF((0)-(0)&gt;0,"?",""))),"")</f>
        <v/>
      </c>
      <c r="AJ60" s="493">
        <f>IF(60=60,IF($U60="","",SUMPRODUCT(--ISNUMBER(SEARCH(" "&amp;$CR$341:$CR$398&amp;" ",$AA60)))),"")</f>
        <v>0</v>
      </c>
      <c r="AK60" s="493">
        <f>IF(60=60,IF($U60="","",SUMPRODUCT(--ISNUMBER(SEARCH(" "&amp;$CR$399:$CR$426&amp;" ",$AL60)))+SUMPRODUCT(--ISNUMBER(SEARCH(" "&amp;$CR$2440:$CR$2453&amp;" ",$AL60)))),"")</f>
        <v>0</v>
      </c>
      <c r="AL60" s="493" t="str">
        <f>IF(60=60,IF($U60="","",SUBSTITUTE(SUBSTITUTE(SUBSTITUTE(SUBSTITUTE(SUBSTITUTE(SUBSTITUTE(SUBSTITUTE(SUBSTITUTE(SUBSTITUTE(SUBSTITUTE(SUBSTITUTE(SUBSTITUTE(SUBSTITUTE(SUBSTITUTE($AA60," "&amp;$CR$2455&amp;" "," ")," "&amp;$CR$433&amp;" "," ")," "&amp;$CR$431&amp;" "," ")," "&amp;$CR$2438&amp;" "," ")," "&amp;$CR$2439&amp;" "," ")," "&amp;$CR$428&amp;" "," ")," "&amp;$CR$432&amp;" "," ")," "&amp;$CR$434&amp;" "," ")," "&amp;$CR$429&amp;" "," ")," "&amp;$CR$427&amp;" "," ")," "&amp;$CR$1367&amp;" "," ")," "&amp;$CR$435&amp;" "," ")," "&amp;$CR$1366&amp;" "," ")," "&amp;$CR$430&amp;" "," ")),"")</f>
        <v xml:space="preserve"> graines de sesame </v>
      </c>
      <c r="AM60" s="493" t="str">
        <f>IF(60=60,IF($U60="","",IF(AJ60&gt;0,"X",IF(AK60&gt;0,"?",""))),"")</f>
        <v/>
      </c>
      <c r="AN60" s="493">
        <f>IF(60=60,IF($U60="","",SUMPRODUCT(--ISNUMBER(SEARCH(" "&amp;$CR$436:$CR$535&amp;" ",$AX60)))),"")</f>
        <v>0</v>
      </c>
      <c r="AO60" s="493">
        <f>IF(60=60,IF($U60="","",SUMPRODUCT(--ISNUMBER(SEARCH(" "&amp;$CR$536:$CR$635&amp;" ",$AX60)))),"")</f>
        <v>0</v>
      </c>
      <c r="AP60" s="493">
        <f>IF(60=60,IF($U60="","",SUMPRODUCT(--ISNUMBER(SEARCH(" "&amp;$CR$636:$CR$735&amp;" ",$AX60)))),"")</f>
        <v>0</v>
      </c>
      <c r="AQ60" s="493">
        <f>IF(60=60,IF($U60="","",SUMPRODUCT(--ISNUMBER(SEARCH(" "&amp;$CR$736:$CR$835&amp;" ",$AX60)))),"")</f>
        <v>0</v>
      </c>
      <c r="AR60" s="493">
        <f>IF(60=60,IF($U60="","",SUMPRODUCT(--ISNUMBER(SEARCH(" "&amp;$CR$836:$CR$935&amp;" ",$AX60)))),"")</f>
        <v>0</v>
      </c>
      <c r="AS60" s="493">
        <f>IF(60=60,IF($U60="","",SUMPRODUCT(--ISNUMBER(SEARCH(" "&amp;$CR$936:$CR$1035&amp;" ",$AX60)))),"")</f>
        <v>0</v>
      </c>
      <c r="AT60" s="493">
        <f>IF(60=60,IF($U60="","",SUMPRODUCT(--ISNUMBER(SEARCH(" "&amp;$CR$1036:$CR$1135&amp;" ",$AX60)))),"")</f>
        <v>0</v>
      </c>
      <c r="AU60" s="493">
        <f>IF(60=60,IF($U60="","",SUMPRODUCT(--ISNUMBER(SEARCH(" "&amp;$CR$1136:$CR$1235&amp;" ",$AX60)))),"")</f>
        <v>0</v>
      </c>
      <c r="AV60" s="493">
        <f>IF(60=60,IF($U60="","",SUMPRODUCT(--ISNUMBER(SEARCH(" "&amp;$CR$1236:$CR$1335&amp;" ",$AX60)))),"")</f>
        <v>0</v>
      </c>
      <c r="AW60" s="493">
        <f>IF(60=60,IF($U60="","",SUMPRODUCT(--ISNUMBER(SEARCH(" "&amp;$CR$1336:$CR$1363&amp;" ",$AX60)))),"")</f>
        <v>0</v>
      </c>
      <c r="AX60" s="493" t="str">
        <f>IF(60=60,IF($U60="","",SUBSTITUTE(SUBSTITUTE(SUBSTITUTE(SUBSTITUTE(SUBSTITUTE(SUBSTITUTE(SUBSTITUTE(SUBSTITUTE(SUBSTITUTE($AA60," "&amp;$CR$1365&amp;" "," ")," "&amp;$CR$1364&amp;" "," ")," "&amp;$CR$1370&amp;" "," ")," "&amp;$CR$1371&amp;" "," ")," "&amp;$CR$1367&amp;" "," ")," "&amp;$CR$1369&amp;" "," ")," "&amp;$CR$1366&amp;" "," ")," "&amp;$CR$1368&amp;" "," ")," "&amp;$CR$1372&amp;" "," ")),"")</f>
        <v xml:space="preserve"> graines de sesame </v>
      </c>
      <c r="AY60" s="493">
        <f>IF(60=60,IF($U60="","",SUMPRODUCT(--ISNUMBER(SEARCH(" "&amp;$CR$1373:$CR$1383&amp;" ",$AX60)))),"")</f>
        <v>0</v>
      </c>
      <c r="AZ60" s="493" t="str">
        <f>IF(60=60,IF($U60="","",IF(SUM(AN60:AW60)+SUMPRODUCT(--ISNUMBER(SEARCH(" "&amp;$CR$2421:$CR$2422&amp;" ",$AX60)))&gt;0,"X",IF(AY60&gt;0,"?",""))),"")</f>
        <v/>
      </c>
      <c r="BA60" s="493">
        <f>IF(60=60,IF($U60="","",SUMPRODUCT(--ISNUMBER(SEARCH(" "&amp;$CR$1384:$CR$1404&amp;" ",$AA60)))),"")</f>
        <v>0</v>
      </c>
      <c r="BB60" s="493" t="str">
        <f>IF(60=60,IF($U60="","",IF((BA60)-(0)&gt;0,"X",IF((0)-(0)&gt;0,"?",""))),"")</f>
        <v/>
      </c>
      <c r="BC60" s="493">
        <f>IF(60=60,IF($U60="","",SUMPRODUCT(--ISNUMBER(SEARCH(" "&amp;$CR$1405:$CR$1442&amp;" ",$BD60)))),"")</f>
        <v>0</v>
      </c>
      <c r="BD60" s="493" t="str">
        <f>IF(60=60,IF($U60="","",SUBSTITUTE(SUBSTITUTE($AA60," "&amp;$CR$1443&amp;" "," ")," "&amp;$CR$1444&amp;" "," ")),"")</f>
        <v xml:space="preserve"> graines de sesame </v>
      </c>
      <c r="BE60" s="493">
        <f>IF(60=60,IF($U60="","",SUMPRODUCT(--ISNUMBER(SEARCH(" "&amp;$CR$1445:$CR$1455&amp;" ",$BD60)))),"")</f>
        <v>0</v>
      </c>
      <c r="BF60" s="493" t="str">
        <f>IF(60=60,IF($U60="","",IF(BC60&gt;0,"X",IF(BE60&gt;0,"?",""))),"")</f>
        <v/>
      </c>
      <c r="BG60" s="493">
        <f>IF(60=60,IF($U60="","",SUMPRODUCT(--ISNUMBER(SEARCH(" "&amp;$CR$1456:$CR$1555&amp;" ",$BJ60)))),"")</f>
        <v>0</v>
      </c>
      <c r="BH60" s="493">
        <f>IF(60=60,IF($U60="","",SUMPRODUCT(--ISNUMBER(SEARCH(" "&amp;$CR$1556:$CR$1655&amp;" ",$BJ60)))),"")</f>
        <v>0</v>
      </c>
      <c r="BI60" s="493">
        <f>IF(60=60,IF($U60="","",SUMPRODUCT(--ISNUMBER(SEARCH(" "&amp;$CR$1656:$CR$1739&amp;" ",$BJ60)))),"")</f>
        <v>0</v>
      </c>
      <c r="BJ60" s="493" t="str">
        <f>IF(60=60,IF($U60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graines de sesame </v>
      </c>
      <c r="BK60" s="493">
        <f>IF(60=60,IF($U60="","",SUMPRODUCT(--ISNUMBER(SEARCH(" "&amp;$CR$1790:$CR$1869&amp;" ",$BL60)))+SUMPRODUCT(--ISNUMBER(SEARCH(" "&amp;$CR$2440:$CR$2453&amp;" ",$BL60)))),"")</f>
        <v>0</v>
      </c>
      <c r="BL60" s="493" t="str">
        <f>IF(60=60,IF($U60="","",SUBSTITUTE(SUBSTITUTE(SUBSTITUTE(SUBSTITUTE(SUBSTITUTE(SUBSTITUTE(SUBSTITUTE(SUBSTITUTE(SUBSTITUTE(SUBSTITUTE(SUBSTITUTE(SUBSTITUTE(SUBSTITUTE($BJ60," "&amp;$CR$1876&amp;" "," ")," "&amp;$CR$1874&amp;" "," ")," "&amp;$CR$2438&amp;" "," ")," "&amp;$CR$2439&amp;" "," ")," "&amp;$CR$1871&amp;" "," ")," "&amp;$CR$1875&amp;" "," ")," "&amp;$CR$1877&amp;" "," ")," "&amp;$CR$1872&amp;" "," ")," "&amp;$CR$1870&amp;" "," ")," "&amp;$CR$1367&amp;" "," ")," "&amp;$CR$1878&amp;" "," ")," "&amp;$CR$1366&amp;" "," ")," "&amp;$CR$1873&amp;" "," ")),"")</f>
        <v xml:space="preserve"> graines de sesame </v>
      </c>
      <c r="BM60" s="493" t="str">
        <f>IF(60=60,IF($U60="","",IF(SUM(BG60:BI60)+SUMPRODUCT(--ISNUMBER(SEARCH(" "&amp;$CR$2423:$CR$2424&amp;" ",$BJ60)))&gt;0,"X",IF(BK60&gt;0,"?",""))),"")</f>
        <v/>
      </c>
      <c r="BN60" s="493">
        <f>IF(60=60,IF($U60="","",SUMPRODUCT(--ISNUMBER(SEARCH(" "&amp;$CR$1879:$CR$1936&amp;" ",$BO60)))),"")</f>
        <v>0</v>
      </c>
      <c r="BO60" s="493" t="str">
        <f>IF(60=60,IF($U60="","",SUBSTITUTE(SUBSTITUTE(SUBSTITUTE(SUBSTITUTE(SUBSTITUTE(SUBSTITUTE(SUBSTITUTE(SUBSTITUTE(SUBSTITUTE(SUBSTITUTE(SUBSTITUTE(SUBSTITUTE(SUBSTITUTE(SUBSTITUTE(SUBSTITUTE(SUBSTITUTE(SUBSTITUTE(SUBSTITUTE(SUBSTITUTE(SUBSTITUTE(SUBSTITUTE(SUBSTITUTE(SUBSTITUTE($AA60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graines de sesame </v>
      </c>
      <c r="BP60" s="493">
        <f>IF(60=60,IF($U60="","",SUMPRODUCT(--ISNUMBER(SEARCH(" "&amp;$CR$1960:$CR$1976&amp;" ",$BO60)))),"")</f>
        <v>0</v>
      </c>
      <c r="BQ60" s="493" t="str">
        <f>IF(60=60,IF($U60="","",IF(BN60&gt;0,"X",IF(BP60&gt;0,"?",""))),"")</f>
        <v/>
      </c>
      <c r="BR60" s="493">
        <f>IF(60=60,IF($U60="","",SUMPRODUCT(--ISNUMBER(SEARCH(" "&amp;$CR$1977:$CR$1990&amp;" ",$AA60)))),"")</f>
        <v>0</v>
      </c>
      <c r="BS60" s="493">
        <f>IF(60=60,IF($U60="","",SUMPRODUCT(--ISNUMBER(SEARCH(" "&amp;$CR$1991:$CR$2005&amp;" ",$AA60)))),"")</f>
        <v>0</v>
      </c>
      <c r="BT60" s="493" t="str">
        <f>IF(60=60,IF($U60="","",IF((BR60)-(0)&gt;0,"X",IF((BS60)-(0)&gt;0,"?",""))),"")</f>
        <v/>
      </c>
      <c r="BU60" s="493">
        <f>IF(60=60,IF($U60="","",SUMPRODUCT(--ISNUMBER(SEARCH(" "&amp;$CR$2006:$CR$2023&amp;" ",$AA60)))),"")</f>
        <v>0</v>
      </c>
      <c r="BV60" s="493">
        <f>IF(60=60,IF($U60="","",SUMPRODUCT(--ISNUMBER(SEARCH(" "&amp;$CR$2024:$CR$2038&amp;" ",$AA60)))),"")</f>
        <v>0</v>
      </c>
      <c r="BW60" s="493" t="str">
        <f>IF(60=60,IF($U60="","",IF((BU60)-(0)&gt;0,"X",IF((BV60)-(0)&gt;0,"?",""))),"")</f>
        <v/>
      </c>
      <c r="BX60" s="493">
        <f>IF(60=60,IF($U60="","",SUMPRODUCT(--ISNUMBER(SEARCH(" "&amp;$CR$2039:$CR$2057&amp;" ",$AA60)))),"")</f>
        <v>2</v>
      </c>
      <c r="BY60" s="493">
        <f>IF(60=60,IF($U60="","",SUMPRODUCT(--ISNUMBER(SEARCH(" "&amp;$CR$2058:$CR$2072&amp;" ",$AA60)))),"")</f>
        <v>0</v>
      </c>
      <c r="BZ60" s="493" t="str">
        <f>IF(60=60,IF($U60="","",IF((BX60)-(0)&gt;0,"X",IF((BY60)-(0)&gt;0,"?",""))),"")</f>
        <v>X</v>
      </c>
      <c r="CA60" s="493">
        <f>IF(60=60,IF($U60="","",SUMPRODUCT(--ISNUMBER(SEARCH(" "&amp;$CR$2073:$CR$2093&amp;" ",$AA60)))),"")</f>
        <v>0</v>
      </c>
      <c r="CB60" s="493">
        <f>IF(60=60,IF($U60="","",SUMPRODUCT(--ISNUMBER(SEARCH(" "&amp;$CR$2094:$CR$2133&amp;" ",SUBSTITUTE(SUBSTITUTE($AA60," "&amp;$CR$1367&amp;" "," ")," "&amp;$CR$1366&amp;" "," "))))+--ISNUMBER(SEARCH("poiré",$V60))),"")</f>
        <v>0</v>
      </c>
      <c r="CC60" s="493" t="str">
        <f>IF(60=60,IF($U60="","",IF(OR(CA60&gt;0,ISNUMBER(SEARCH(" vinaigre de vin ",$AA60)),ISNUMBER(SEARCH(" vinaigre au vin ",$AA60))),"X",IF(CB60&gt;0,"?",""))),"")</f>
        <v/>
      </c>
      <c r="CD60" s="493">
        <f>IF(60=60,IF($U60="","",SUMPRODUCT(--ISNUMBER(SEARCH(" "&amp;$CR$2134:$CR$2146&amp;" ",$AA60)))),"")</f>
        <v>0</v>
      </c>
      <c r="CE60" s="493">
        <f>IF(60=60,IF($U60="","",SUMPRODUCT(--ISNUMBER(SEARCH(" "&amp;$CR$2147:$CR$2152&amp;" ",$AA60)))),"")</f>
        <v>0</v>
      </c>
      <c r="CF60" s="493" t="str">
        <f>IF(60=60,IF($U60="","",IF((CD60)-(0)&gt;0,"X",IF((CE60)-(0)&gt;0,"?",""))),"")</f>
        <v/>
      </c>
      <c r="CG60" s="493">
        <f>IF(60=60,IF($U60="","",SUMPRODUCT(--ISNUMBER(SEARCH(" "&amp;$CR$2153:$CR$2252&amp;" ",$CJ60)))),"")</f>
        <v>0</v>
      </c>
      <c r="CH60" s="493">
        <f>IF(60=60,IF($U60="","",SUMPRODUCT(--ISNUMBER(SEARCH(" "&amp;$CR$2253:$CR$2352&amp;" ",$CJ60)))),"")</f>
        <v>0</v>
      </c>
      <c r="CI60" s="493">
        <f>IF(60=60,IF($U60="","",SUMPRODUCT(--ISNUMBER(SEARCH(" "&amp;$CR$2353:$CR$2395&amp;" ",$CJ60)))),"")</f>
        <v>0</v>
      </c>
      <c r="CJ60" s="493" t="str">
        <f>IF(60=60,IF($U60="","",SUBSTITUTE(SUBSTITUTE(SUBSTITUTE(SUBSTITUTE(SUBSTITUTE(SUBSTITUTE(SUBSTITUTE(SUBSTITUTE(SUBSTITUTE(SUBSTITUTE(SUBSTITUTE(SUBSTITUTE(SUBSTITUTE(SUBSTITUTE(SUBSTITUTE(SUBSTITUTE($AA60," "&amp;$CR$2401&amp;" "," ")," "&amp;$CR$2400&amp;" "," ")," "&amp;$CR$2399&amp;" "," ")," "&amp;$CR$2406&amp;" "," ")," "&amp;$CR$2398&amp;" "," ")," "&amp;$CR$2410&amp;" "," ")," "&amp;$CR$2397&amp;" "," ")," "&amp;$CR$2402&amp;" "," ")," "&amp;$CR$2405&amp;" "," ")," "&amp;$CR$2396&amp;" "," ")," "&amp;$CR$2404&amp;" "," ")," "&amp;$CR$2411&amp;" "," ")," "&amp;$CR$2408&amp;" "," ")," "&amp;$CR$2403&amp;" "," ")," "&amp;$CR$2407&amp;" "," ")," "&amp;$CR$2409&amp;" "," ")),"")</f>
        <v xml:space="preserve"> graines de sesame </v>
      </c>
      <c r="CK60" s="493">
        <f>IF(60=60,IF($U60="","",SUMPRODUCT(--ISNUMBER(SEARCH(" "&amp;$CR$2412:$CR$2416&amp;" ",$CJ60)))),"")</f>
        <v>0</v>
      </c>
      <c r="CL60" s="493" t="str">
        <f>IF(60=60,IF($U60="","",IF(SUM(CG60:CI60)&gt;0,"X",IF(CK60&gt;0,"?",""))),"")</f>
        <v/>
      </c>
      <c r="CM60" s="494"/>
      <c r="CN60" s="496" t="s">
        <v>1252</v>
      </c>
      <c r="CO60" s="496" t="s">
        <v>1083</v>
      </c>
      <c r="CP60" s="496" t="s">
        <v>689</v>
      </c>
      <c r="CQ60" s="496" t="s">
        <v>876</v>
      </c>
      <c r="CR60" s="496" t="s">
        <v>876</v>
      </c>
      <c r="CS60" s="496" t="s">
        <v>1085</v>
      </c>
      <c r="CT60" s="496" t="s">
        <v>1086</v>
      </c>
      <c r="CU60" s="496" t="s">
        <v>1087</v>
      </c>
      <c r="CV60" s="497" t="s">
        <v>1088</v>
      </c>
      <c r="CX60" s="543">
        <v>1</v>
      </c>
    </row>
    <row r="61" spans="1:102" ht="21" customHeight="1">
      <c r="A61" s="509">
        <v>55</v>
      </c>
      <c r="B61" s="510" t="s">
        <v>5903</v>
      </c>
      <c r="C61" s="511" t="str">
        <f t="shared" si="0"/>
        <v>Anhydride sulfureux et sulfites *</v>
      </c>
      <c r="D61" s="512" t="str">
        <f>IF(61=61,IF($B61="","",IF(E61="X",""&amp;"Céréales contenant du gluten","")&amp;IF(F61="X",IF(COUNTIF($E61:$E61,"X")&gt;0,", ","")&amp;"Crustacés","")&amp;IF(G61="X",IF(COUNTIF($E61:$F61,"X")&gt;0,", ","")&amp;"Œufs","")&amp;IF(H61="X",IF(COUNTIF($E61:$G61,"X")&gt;0,", ","")&amp;"Poissons","")&amp;IF(I61="X",IF(COUNTIF($E61:$H61,"X")&gt;0,", ","")&amp;"Arachides","")&amp;IF(J61="X",IF(COUNTIF($E61:$I61,"X")&gt;0,", ","")&amp;"Soja","")&amp;IF(K61="X",IF(COUNTIF($E61:$J61,"X")&gt;0,", ","")&amp;"Lait","")&amp;IF(L61="X",IF(COUNTIF($E61:$K61,"X")&gt;0,", ","")&amp;"Fruits à coque","")&amp;IF(M61="X",IF(COUNTIF($E61:$L61,"X")&gt;0,", ","")&amp;"Céleri","")&amp;IF(N61="X",IF(COUNTIF($E61:$M61,"X")&gt;0,", ","")&amp;"Moutarde","")&amp;IF(O61="X",IF(COUNTIF($E61:$N61,"X")&gt;0,", ","")&amp;"Sésame","")&amp;IF(P61="X",IF(COUNTIF($E61:$O61,"X")&gt;0,", ","")&amp;"Sulfites","")&amp;IF(Q61="X",IF(COUNTIF($E61:$P61,"X")&gt;0,", ","")&amp;"Lupin","")&amp;IF(R61="X",IF(COUNTIF($E61:$Q61,"X")&gt;0,", ","")&amp;"Mollusques","")),"")</f>
        <v>Sulfites</v>
      </c>
      <c r="E61" s="513" t="str">
        <f>IF(61=61,IF($B61="","",AF61),"")</f>
        <v/>
      </c>
      <c r="F61" s="513" t="str">
        <f>IF(61=61,IF($B61="","",AI61),"")</f>
        <v/>
      </c>
      <c r="G61" s="513" t="str">
        <f>IF(61=61,IF($B61="","",AM61),"")</f>
        <v/>
      </c>
      <c r="H61" s="513" t="str">
        <f>IF(61=61,IF($B61="","",IF(ISNUMBER(SEARCH(" colin ",$AA61)),"X",AZ61)),"")</f>
        <v/>
      </c>
      <c r="I61" s="513" t="str">
        <f>IF(61=61,IF($B61="","",BB61),"")</f>
        <v/>
      </c>
      <c r="J61" s="513" t="str">
        <f>IF(61=61,IF($B61="","",BF61),"")</f>
        <v/>
      </c>
      <c r="K61" s="513" t="str">
        <f>IF(61=61,IF($B61="","",BM61),"")</f>
        <v/>
      </c>
      <c r="L61" s="513" t="str">
        <f>IF(61=61,IF($B61="","",BQ61),"")</f>
        <v/>
      </c>
      <c r="M61" s="513" t="str">
        <f>IF(61=61,IF($B61="","",BT61),"")</f>
        <v/>
      </c>
      <c r="N61" s="513" t="str">
        <f>IF(61=61,IF($B61="","",BW61),"")</f>
        <v/>
      </c>
      <c r="O61" s="513" t="str">
        <f>IF(61=61,IF($B61="","",BZ61),"")</f>
        <v/>
      </c>
      <c r="P61" s="513" t="str">
        <f>IF(61=61,IF($B61="","",CC61),"")</f>
        <v>X</v>
      </c>
      <c r="Q61" s="513" t="str">
        <f>IF(61=61,IF($B61="","",CF61),"")</f>
        <v/>
      </c>
      <c r="R61" s="513" t="str">
        <f>IF(61=61,IF($B61="","",CL61),"")</f>
        <v/>
      </c>
      <c r="S61" s="514" t="str">
        <f>IF(61=61,IF($B61="","",IF(E61="?",""&amp;"Céréales contenant du gluten","")&amp;IF(F61="?",IF(COUNTIF($E61:$E61,"~?")&gt;0,", ","")&amp;"Crustacés","")&amp;IF(G61="?",IF(COUNTIF($E61:$F61,"~?")&gt;0,", ","")&amp;"Œufs","")&amp;IF(H61="?",IF(COUNTIF($E61:$G61,"~?")&gt;0,", ","")&amp;"Poissons","")&amp;IF(I61="?",IF(COUNTIF($E61:$H61,"~?")&gt;0,", ","")&amp;"Arachides","")&amp;IF(J61="?",IF(COUNTIF($E61:$I61,"~?")&gt;0,", ","")&amp;"Soja","")&amp;IF(K61="?",IF(COUNTIF($E61:$J61,"~?")&gt;0,", ","")&amp;"Lait","")&amp;IF(L61="?",IF(COUNTIF($E61:$K61,"~?")&gt;0,", ","")&amp;"Fruits à coque","")&amp;IF(M61="?",IF(COUNTIF($E61:$L61,"~?")&gt;0,", ","")&amp;"Céleri","")&amp;IF(N61="?",IF(COUNTIF($E61:$M61,"~?")&gt;0,", ","")&amp;"Moutarde","")&amp;IF(O61="?",IF(COUNTIF($E61:$N61,"~?")&gt;0,", ","")&amp;"Sésame","")&amp;IF(P61="?",IF(COUNTIF($E61:$O61,"~?")&gt;0,", ","")&amp;"Sulfites","")&amp;IF(Q61="?",IF(COUNTIF($E61:$P61,"~?")&gt;0,", ","")&amp;"Lupin","")&amp;IF(R61="?",IF(COUNTIF($E61:$Q61,"~?")&gt;0,", ","")&amp;"Mollusques","")),"")</f>
        <v/>
      </c>
      <c r="U61" s="493" t="str">
        <f>IF(61=61,IF($B61="","",$B61),"")</f>
        <v xml:space="preserve"> Anhydride sulfureux et sulfites </v>
      </c>
      <c r="V61" s="493" t="str">
        <f>IF(61=61,LOWER(CLEAN(SUBSTITUTE(SUBSTITUTE(SUBSTITUTE(SUBSTITUTE($U61,CHAR(160)," ")," "," "),CHAR(10)," "),CHAR(13)," "))),"")</f>
        <v xml:space="preserve"> anhydride sulfureux et sulfites </v>
      </c>
      <c r="W61" s="493" t="str">
        <f>IF(61=61,SUBSTITUTE(SUBSTITUTE(SUBSTITUTE(SUBSTITUTE(SUBSTITUTE(SUBSTITUTE(SUBSTITUTE(SUBSTITUTE(SUBSTITUTE(SUBSTITUTE(SUBSTITUTE(SUBSTITUTE($V61,"œ","oe"),"æ","ae"),"à","a"),"á","a"),"â","a"),"ä","a"),"ã","a"),"ç","c"),"è","e"),"é","e"),"ê","e"),"ë","e"),"")</f>
        <v xml:space="preserve"> anhydride sulfureux et sulfites </v>
      </c>
      <c r="X61" s="493" t="str">
        <f>IF(61=61,SUBSTITUTE(SUBSTITUTE(SUBSTITUTE(SUBSTITUTE(SUBSTITUTE(SUBSTITUTE(SUBSTITUTE(SUBSTITUTE(SUBSTITUTE(SUBSTITUTE(SUBSTITUTE(SUBSTITUTE(SUBSTITUTE(SUBSTITUTE(SUBSTITUTE(SUBSTITUTE($W61,"ì","i"),"í","i"),"î","i"),"ï","i"),"ñ","n"),"ò","o"),"ó","o"),"ô","o"),"ö","o"),"õ","o"),"ù","u"),"ú","u"),"û","u"),"ü","u"),"ý","y"),"ÿ","y"),"")</f>
        <v xml:space="preserve"> anhydride sulfureux et sulfites </v>
      </c>
      <c r="Y61" s="493" t="str">
        <f>IF(61=61,SUBSTITUTE(SUBSTITUTE(SUBSTITUTE(SUBSTITUTE(SUBSTITUTE(SUBSTITUTE(SUBSTITUTE(SUBSTITUTE(SUBSTITUTE(SUBSTITUTE(SUBSTITUTE(SUBSTITUTE(SUBSTITUTE(SUBSTITUTE($X61,"’"," "),"`"," "),"–"," "),"—"," "),"-"," "),"'"," "),"/"," "),"_"," "),","," "),"."," "),"("," "),")"," "),";"," "),":"," "),"")</f>
        <v xml:space="preserve"> anhydride sulfureux et sulfites </v>
      </c>
      <c r="Z61" s="493" t="str">
        <f>IF(61=61,SUBSTITUTE(SUBSTITUTE(SUBSTITUTE(SUBSTITUTE(SUBSTITUTE(SUBSTITUTE(SUBSTITUTE(SUBSTITUTE(SUBSTITUTE(SUBSTITUTE(SUBSTITUTE(SUBSTITUTE(SUBSTITUTE(SUBSTITUTE(SUBSTITUTE($Y61,"!"," "),"?"," "),"+"," "),"*"," "),"&amp;"," "),"["," "),"]"," "),"{"," "),"}"," "),"%"," "),"="," "),"\"," "),"|"," "),"&lt;"," "),"&gt;"," "),"")</f>
        <v xml:space="preserve"> anhydride sulfureux et sulfites </v>
      </c>
      <c r="AA61" s="493" t="str">
        <f>IF(61=61," "&amp;TRIM(SUBSTITUTE(SUBSTITUTE(SUBSTITUTE(SUBSTITUTE(SUBSTITUTE(SUBSTITUTE($Z61,CHAR(34)," "),"  "," "),"  "," "),"  "," "),"  "," "),"  "," "))&amp;" ","")</f>
        <v xml:space="preserve"> anhydride sulfureux et sulfites </v>
      </c>
      <c r="AB61" s="493">
        <f>IF(61=61,IF($U61="","",SUMPRODUCT(--ISNUMBER(SEARCH(" "&amp;$CR$2:$CR$101&amp;" ",$AD61)))),"")</f>
        <v>0</v>
      </c>
      <c r="AC61" s="493">
        <f>IF(61=61,IF($U61="","",SUMPRODUCT(--ISNUMBER(SEARCH(" "&amp;$CR$102:$CR$151&amp;" ",$AD61)))),"")</f>
        <v>0</v>
      </c>
      <c r="AD61" s="493" t="str">
        <f t="shared" si="1"/>
        <v xml:space="preserve"> anhydride sulfureux et sulfites </v>
      </c>
      <c r="AE61" s="493">
        <f t="shared" si="2"/>
        <v>0</v>
      </c>
      <c r="AF61" s="493" t="str">
        <f>IF(61=61,IF($U61="","",IF(SUM(AB61:AC61)+SUMPRODUCT(--ISNUMBER(SEARCH(" "&amp;$CR$2418:$CR$2420&amp;" ",$AD61)))&gt;0,"X",IF(AE61&gt;0,"?",""))),"")</f>
        <v/>
      </c>
      <c r="AG61" s="493">
        <f>IF(61=61,IF($U61="","",SUMPRODUCT(--ISNUMBER(SEARCH(" "&amp;$CR$206:$CR$305&amp;" ",$AA61)))),"")</f>
        <v>0</v>
      </c>
      <c r="AH61" s="493">
        <f>IF(61=61,IF($U61="","",SUMPRODUCT(--ISNUMBER(SEARCH(" "&amp;$CR$306:$CR$340&amp;" ",$AA61)))),"")</f>
        <v>0</v>
      </c>
      <c r="AI61" s="493" t="str">
        <f>IF(61=61,IF($U61="","",IF((SUM(AG61:AH61))-(0)&gt;0,"X",IF((0)-(0)&gt;0,"?",""))),"")</f>
        <v/>
      </c>
      <c r="AJ61" s="493">
        <f>IF(61=61,IF($U61="","",SUMPRODUCT(--ISNUMBER(SEARCH(" "&amp;$CR$341:$CR$398&amp;" ",$AA61)))),"")</f>
        <v>0</v>
      </c>
      <c r="AK61" s="493">
        <f>IF(61=61,IF($U61="","",SUMPRODUCT(--ISNUMBER(SEARCH(" "&amp;$CR$399:$CR$426&amp;" ",$AL61)))+SUMPRODUCT(--ISNUMBER(SEARCH(" "&amp;$CR$2440:$CR$2453&amp;" ",$AL61)))),"")</f>
        <v>0</v>
      </c>
      <c r="AL61" s="493" t="str">
        <f>IF(61=61,IF($U61="","",SUBSTITUTE(SUBSTITUTE(SUBSTITUTE(SUBSTITUTE(SUBSTITUTE(SUBSTITUTE(SUBSTITUTE(SUBSTITUTE(SUBSTITUTE(SUBSTITUTE(SUBSTITUTE(SUBSTITUTE(SUBSTITUTE(SUBSTITUTE($AA61," "&amp;$CR$2455&amp;" "," ")," "&amp;$CR$433&amp;" "," ")," "&amp;$CR$431&amp;" "," ")," "&amp;$CR$2438&amp;" "," ")," "&amp;$CR$2439&amp;" "," ")," "&amp;$CR$428&amp;" "," ")," "&amp;$CR$432&amp;" "," ")," "&amp;$CR$434&amp;" "," ")," "&amp;$CR$429&amp;" "," ")," "&amp;$CR$427&amp;" "," ")," "&amp;$CR$1367&amp;" "," ")," "&amp;$CR$435&amp;" "," ")," "&amp;$CR$1366&amp;" "," ")," "&amp;$CR$430&amp;" "," ")),"")</f>
        <v xml:space="preserve"> anhydride sulfureux et sulfites </v>
      </c>
      <c r="AM61" s="493" t="str">
        <f>IF(61=61,IF($U61="","",IF(AJ61&gt;0,"X",IF(AK61&gt;0,"?",""))),"")</f>
        <v/>
      </c>
      <c r="AN61" s="493">
        <f>IF(61=61,IF($U61="","",SUMPRODUCT(--ISNUMBER(SEARCH(" "&amp;$CR$436:$CR$535&amp;" ",$AX61)))),"")</f>
        <v>0</v>
      </c>
      <c r="AO61" s="493">
        <f>IF(61=61,IF($U61="","",SUMPRODUCT(--ISNUMBER(SEARCH(" "&amp;$CR$536:$CR$635&amp;" ",$AX61)))),"")</f>
        <v>0</v>
      </c>
      <c r="AP61" s="493">
        <f>IF(61=61,IF($U61="","",SUMPRODUCT(--ISNUMBER(SEARCH(" "&amp;$CR$636:$CR$735&amp;" ",$AX61)))),"")</f>
        <v>0</v>
      </c>
      <c r="AQ61" s="493">
        <f>IF(61=61,IF($U61="","",SUMPRODUCT(--ISNUMBER(SEARCH(" "&amp;$CR$736:$CR$835&amp;" ",$AX61)))),"")</f>
        <v>0</v>
      </c>
      <c r="AR61" s="493">
        <f>IF(61=61,IF($U61="","",SUMPRODUCT(--ISNUMBER(SEARCH(" "&amp;$CR$836:$CR$935&amp;" ",$AX61)))),"")</f>
        <v>0</v>
      </c>
      <c r="AS61" s="493">
        <f>IF(61=61,IF($U61="","",SUMPRODUCT(--ISNUMBER(SEARCH(" "&amp;$CR$936:$CR$1035&amp;" ",$AX61)))),"")</f>
        <v>0</v>
      </c>
      <c r="AT61" s="493">
        <f>IF(61=61,IF($U61="","",SUMPRODUCT(--ISNUMBER(SEARCH(" "&amp;$CR$1036:$CR$1135&amp;" ",$AX61)))),"")</f>
        <v>0</v>
      </c>
      <c r="AU61" s="493">
        <f>IF(61=61,IF($U61="","",SUMPRODUCT(--ISNUMBER(SEARCH(" "&amp;$CR$1136:$CR$1235&amp;" ",$AX61)))),"")</f>
        <v>0</v>
      </c>
      <c r="AV61" s="493">
        <f>IF(61=61,IF($U61="","",SUMPRODUCT(--ISNUMBER(SEARCH(" "&amp;$CR$1236:$CR$1335&amp;" ",$AX61)))),"")</f>
        <v>0</v>
      </c>
      <c r="AW61" s="493">
        <f>IF(61=61,IF($U61="","",SUMPRODUCT(--ISNUMBER(SEARCH(" "&amp;$CR$1336:$CR$1363&amp;" ",$AX61)))),"")</f>
        <v>0</v>
      </c>
      <c r="AX61" s="493" t="str">
        <f>IF(61=61,IF($U61="","",SUBSTITUTE(SUBSTITUTE(SUBSTITUTE(SUBSTITUTE(SUBSTITUTE(SUBSTITUTE(SUBSTITUTE(SUBSTITUTE(SUBSTITUTE($AA61," "&amp;$CR$1365&amp;" "," ")," "&amp;$CR$1364&amp;" "," ")," "&amp;$CR$1370&amp;" "," ")," "&amp;$CR$1371&amp;" "," ")," "&amp;$CR$1367&amp;" "," ")," "&amp;$CR$1369&amp;" "," ")," "&amp;$CR$1366&amp;" "," ")," "&amp;$CR$1368&amp;" "," ")," "&amp;$CR$1372&amp;" "," ")),"")</f>
        <v xml:space="preserve"> anhydride sulfureux et sulfites </v>
      </c>
      <c r="AY61" s="493">
        <f>IF(61=61,IF($U61="","",SUMPRODUCT(--ISNUMBER(SEARCH(" "&amp;$CR$1373:$CR$1383&amp;" ",$AX61)))),"")</f>
        <v>0</v>
      </c>
      <c r="AZ61" s="493" t="str">
        <f>IF(61=61,IF($U61="","",IF(SUM(AN61:AW61)+SUMPRODUCT(--ISNUMBER(SEARCH(" "&amp;$CR$2421:$CR$2422&amp;" ",$AX61)))&gt;0,"X",IF(AY61&gt;0,"?",""))),"")</f>
        <v/>
      </c>
      <c r="BA61" s="493">
        <f>IF(61=61,IF($U61="","",SUMPRODUCT(--ISNUMBER(SEARCH(" "&amp;$CR$1384:$CR$1404&amp;" ",$AA61)))),"")</f>
        <v>0</v>
      </c>
      <c r="BB61" s="493" t="str">
        <f>IF(61=61,IF($U61="","",IF((BA61)-(0)&gt;0,"X",IF((0)-(0)&gt;0,"?",""))),"")</f>
        <v/>
      </c>
      <c r="BC61" s="493">
        <f>IF(61=61,IF($U61="","",SUMPRODUCT(--ISNUMBER(SEARCH(" "&amp;$CR$1405:$CR$1442&amp;" ",$BD61)))),"")</f>
        <v>0</v>
      </c>
      <c r="BD61" s="493" t="str">
        <f>IF(61=61,IF($U61="","",SUBSTITUTE(SUBSTITUTE($AA61," "&amp;$CR$1443&amp;" "," ")," "&amp;$CR$1444&amp;" "," ")),"")</f>
        <v xml:space="preserve"> anhydride sulfureux et sulfites </v>
      </c>
      <c r="BE61" s="493">
        <f>IF(61=61,IF($U61="","",SUMPRODUCT(--ISNUMBER(SEARCH(" "&amp;$CR$1445:$CR$1455&amp;" ",$BD61)))),"")</f>
        <v>0</v>
      </c>
      <c r="BF61" s="493" t="str">
        <f>IF(61=61,IF($U61="","",IF(BC61&gt;0,"X",IF(BE61&gt;0,"?",""))),"")</f>
        <v/>
      </c>
      <c r="BG61" s="493">
        <f>IF(61=61,IF($U61="","",SUMPRODUCT(--ISNUMBER(SEARCH(" "&amp;$CR$1456:$CR$1555&amp;" ",$BJ61)))),"")</f>
        <v>0</v>
      </c>
      <c r="BH61" s="493">
        <f>IF(61=61,IF($U61="","",SUMPRODUCT(--ISNUMBER(SEARCH(" "&amp;$CR$1556:$CR$1655&amp;" ",$BJ61)))),"")</f>
        <v>0</v>
      </c>
      <c r="BI61" s="493">
        <f>IF(61=61,IF($U61="","",SUMPRODUCT(--ISNUMBER(SEARCH(" "&amp;$CR$1656:$CR$1739&amp;" ",$BJ61)))),"")</f>
        <v>0</v>
      </c>
      <c r="BJ61" s="493" t="str">
        <f>IF(61=61,IF($U61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anhydride sulfureux et sulfites </v>
      </c>
      <c r="BK61" s="493">
        <f>IF(61=61,IF($U61="","",SUMPRODUCT(--ISNUMBER(SEARCH(" "&amp;$CR$1790:$CR$1869&amp;" ",$BL61)))+SUMPRODUCT(--ISNUMBER(SEARCH(" "&amp;$CR$2440:$CR$2453&amp;" ",$BL61)))),"")</f>
        <v>0</v>
      </c>
      <c r="BL61" s="493" t="str">
        <f>IF(61=61,IF($U61="","",SUBSTITUTE(SUBSTITUTE(SUBSTITUTE(SUBSTITUTE(SUBSTITUTE(SUBSTITUTE(SUBSTITUTE(SUBSTITUTE(SUBSTITUTE(SUBSTITUTE(SUBSTITUTE(SUBSTITUTE(SUBSTITUTE($BJ61," "&amp;$CR$1876&amp;" "," ")," "&amp;$CR$1874&amp;" "," ")," "&amp;$CR$2438&amp;" "," ")," "&amp;$CR$2439&amp;" "," ")," "&amp;$CR$1871&amp;" "," ")," "&amp;$CR$1875&amp;" "," ")," "&amp;$CR$1877&amp;" "," ")," "&amp;$CR$1872&amp;" "," ")," "&amp;$CR$1870&amp;" "," ")," "&amp;$CR$1367&amp;" "," ")," "&amp;$CR$1878&amp;" "," ")," "&amp;$CR$1366&amp;" "," ")," "&amp;$CR$1873&amp;" "," ")),"")</f>
        <v xml:space="preserve"> anhydride sulfureux et sulfites </v>
      </c>
      <c r="BM61" s="493" t="str">
        <f>IF(61=61,IF($U61="","",IF(SUM(BG61:BI61)+SUMPRODUCT(--ISNUMBER(SEARCH(" "&amp;$CR$2423:$CR$2424&amp;" ",$BJ61)))&gt;0,"X",IF(BK61&gt;0,"?",""))),"")</f>
        <v/>
      </c>
      <c r="BN61" s="493">
        <f>IF(61=61,IF($U61="","",SUMPRODUCT(--ISNUMBER(SEARCH(" "&amp;$CR$1879:$CR$1936&amp;" ",$BO61)))),"")</f>
        <v>0</v>
      </c>
      <c r="BO61" s="493" t="str">
        <f>IF(61=61,IF($U61="","",SUBSTITUTE(SUBSTITUTE(SUBSTITUTE(SUBSTITUTE(SUBSTITUTE(SUBSTITUTE(SUBSTITUTE(SUBSTITUTE(SUBSTITUTE(SUBSTITUTE(SUBSTITUTE(SUBSTITUTE(SUBSTITUTE(SUBSTITUTE(SUBSTITUTE(SUBSTITUTE(SUBSTITUTE(SUBSTITUTE(SUBSTITUTE(SUBSTITUTE(SUBSTITUTE(SUBSTITUTE(SUBSTITUTE($AA61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anhydride sulfureux et sulfites </v>
      </c>
      <c r="BP61" s="493">
        <f>IF(61=61,IF($U61="","",SUMPRODUCT(--ISNUMBER(SEARCH(" "&amp;$CR$1960:$CR$1976&amp;" ",$BO61)))),"")</f>
        <v>0</v>
      </c>
      <c r="BQ61" s="493" t="str">
        <f>IF(61=61,IF($U61="","",IF(BN61&gt;0,"X",IF(BP61&gt;0,"?",""))),"")</f>
        <v/>
      </c>
      <c r="BR61" s="493">
        <f>IF(61=61,IF($U61="","",SUMPRODUCT(--ISNUMBER(SEARCH(" "&amp;$CR$1977:$CR$1990&amp;" ",$AA61)))),"")</f>
        <v>0</v>
      </c>
      <c r="BS61" s="493">
        <f>IF(61=61,IF($U61="","",SUMPRODUCT(--ISNUMBER(SEARCH(" "&amp;$CR$1991:$CR$2005&amp;" ",$AA61)))),"")</f>
        <v>0</v>
      </c>
      <c r="BT61" s="493" t="str">
        <f>IF(61=61,IF($U61="","",IF((BR61)-(0)&gt;0,"X",IF((BS61)-(0)&gt;0,"?",""))),"")</f>
        <v/>
      </c>
      <c r="BU61" s="493">
        <f>IF(61=61,IF($U61="","",SUMPRODUCT(--ISNUMBER(SEARCH(" "&amp;$CR$2006:$CR$2023&amp;" ",$AA61)))),"")</f>
        <v>0</v>
      </c>
      <c r="BV61" s="493">
        <f>IF(61=61,IF($U61="","",SUMPRODUCT(--ISNUMBER(SEARCH(" "&amp;$CR$2024:$CR$2038&amp;" ",$AA61)))),"")</f>
        <v>0</v>
      </c>
      <c r="BW61" s="493" t="str">
        <f>IF(61=61,IF($U61="","",IF((BU61)-(0)&gt;0,"X",IF((BV61)-(0)&gt;0,"?",""))),"")</f>
        <v/>
      </c>
      <c r="BX61" s="493">
        <f>IF(61=61,IF($U61="","",SUMPRODUCT(--ISNUMBER(SEARCH(" "&amp;$CR$2039:$CR$2057&amp;" ",$AA61)))),"")</f>
        <v>0</v>
      </c>
      <c r="BY61" s="493">
        <f>IF(61=61,IF($U61="","",SUMPRODUCT(--ISNUMBER(SEARCH(" "&amp;$CR$2058:$CR$2072&amp;" ",$AA61)))),"")</f>
        <v>0</v>
      </c>
      <c r="BZ61" s="493" t="str">
        <f>IF(61=61,IF($U61="","",IF((BX61)-(0)&gt;0,"X",IF((BY61)-(0)&gt;0,"?",""))),"")</f>
        <v/>
      </c>
      <c r="CA61" s="493">
        <f>IF(61=61,IF($U61="","",SUMPRODUCT(--ISNUMBER(SEARCH(" "&amp;$CR$2073:$CR$2093&amp;" ",$AA61)))),"")</f>
        <v>2</v>
      </c>
      <c r="CB61" s="493">
        <f>IF(61=61,IF($U61="","",SUMPRODUCT(--ISNUMBER(SEARCH(" "&amp;$CR$2094:$CR$2133&amp;" ",SUBSTITUTE(SUBSTITUTE($AA61," "&amp;$CR$1367&amp;" "," ")," "&amp;$CR$1366&amp;" "," "))))+--ISNUMBER(SEARCH("poiré",$V61))),"")</f>
        <v>0</v>
      </c>
      <c r="CC61" s="493" t="str">
        <f>IF(61=61,IF($U61="","",IF(OR(CA61&gt;0,ISNUMBER(SEARCH(" vinaigre de vin ",$AA61)),ISNUMBER(SEARCH(" vinaigre au vin ",$AA61))),"X",IF(CB61&gt;0,"?",""))),"")</f>
        <v>X</v>
      </c>
      <c r="CD61" s="493">
        <f>IF(61=61,IF($U61="","",SUMPRODUCT(--ISNUMBER(SEARCH(" "&amp;$CR$2134:$CR$2146&amp;" ",$AA61)))),"")</f>
        <v>0</v>
      </c>
      <c r="CE61" s="493">
        <f>IF(61=61,IF($U61="","",SUMPRODUCT(--ISNUMBER(SEARCH(" "&amp;$CR$2147:$CR$2152&amp;" ",$AA61)))),"")</f>
        <v>0</v>
      </c>
      <c r="CF61" s="493" t="str">
        <f>IF(61=61,IF($U61="","",IF((CD61)-(0)&gt;0,"X",IF((CE61)-(0)&gt;0,"?",""))),"")</f>
        <v/>
      </c>
      <c r="CG61" s="493">
        <f>IF(61=61,IF($U61="","",SUMPRODUCT(--ISNUMBER(SEARCH(" "&amp;$CR$2153:$CR$2252&amp;" ",$CJ61)))),"")</f>
        <v>0</v>
      </c>
      <c r="CH61" s="493">
        <f>IF(61=61,IF($U61="","",SUMPRODUCT(--ISNUMBER(SEARCH(" "&amp;$CR$2253:$CR$2352&amp;" ",$CJ61)))),"")</f>
        <v>0</v>
      </c>
      <c r="CI61" s="493">
        <f>IF(61=61,IF($U61="","",SUMPRODUCT(--ISNUMBER(SEARCH(" "&amp;$CR$2353:$CR$2395&amp;" ",$CJ61)))),"")</f>
        <v>0</v>
      </c>
      <c r="CJ61" s="493" t="str">
        <f>IF(61=61,IF($U61="","",SUBSTITUTE(SUBSTITUTE(SUBSTITUTE(SUBSTITUTE(SUBSTITUTE(SUBSTITUTE(SUBSTITUTE(SUBSTITUTE(SUBSTITUTE(SUBSTITUTE(SUBSTITUTE(SUBSTITUTE(SUBSTITUTE(SUBSTITUTE(SUBSTITUTE(SUBSTITUTE($AA61," "&amp;$CR$2401&amp;" "," ")," "&amp;$CR$2400&amp;" "," ")," "&amp;$CR$2399&amp;" "," ")," "&amp;$CR$2406&amp;" "," ")," "&amp;$CR$2398&amp;" "," ")," "&amp;$CR$2410&amp;" "," ")," "&amp;$CR$2397&amp;" "," ")," "&amp;$CR$2402&amp;" "," ")," "&amp;$CR$2405&amp;" "," ")," "&amp;$CR$2396&amp;" "," ")," "&amp;$CR$2404&amp;" "," ")," "&amp;$CR$2411&amp;" "," ")," "&amp;$CR$2408&amp;" "," ")," "&amp;$CR$2403&amp;" "," ")," "&amp;$CR$2407&amp;" "," ")," "&amp;$CR$2409&amp;" "," ")),"")</f>
        <v xml:space="preserve"> anhydride sulfureux et sulfites </v>
      </c>
      <c r="CK61" s="493">
        <f>IF(61=61,IF($U61="","",SUMPRODUCT(--ISNUMBER(SEARCH(" "&amp;$CR$2412:$CR$2416&amp;" ",$CJ61)))),"")</f>
        <v>0</v>
      </c>
      <c r="CL61" s="493" t="str">
        <f>IF(61=61,IF($U61="","",IF(SUM(CG61:CI61)&gt;0,"X",IF(CK61&gt;0,"?",""))),"")</f>
        <v/>
      </c>
      <c r="CM61" s="494"/>
      <c r="CN61" s="496" t="s">
        <v>1253</v>
      </c>
      <c r="CO61" s="496" t="s">
        <v>1083</v>
      </c>
      <c r="CP61" s="496" t="s">
        <v>689</v>
      </c>
      <c r="CQ61" s="496" t="s">
        <v>877</v>
      </c>
      <c r="CR61" s="496" t="s">
        <v>877</v>
      </c>
      <c r="CS61" s="496" t="s">
        <v>1085</v>
      </c>
      <c r="CT61" s="496" t="s">
        <v>1086</v>
      </c>
      <c r="CU61" s="496" t="s">
        <v>1087</v>
      </c>
      <c r="CV61" s="497" t="s">
        <v>1088</v>
      </c>
      <c r="CX61" s="543">
        <v>1</v>
      </c>
    </row>
    <row r="62" spans="1:102" ht="21" customHeight="1">
      <c r="A62" s="509">
        <v>56</v>
      </c>
      <c r="B62" s="510" t="s">
        <v>5904</v>
      </c>
      <c r="C62" s="511" t="str">
        <f t="shared" si="0"/>
        <v>Lupin *</v>
      </c>
      <c r="D62" s="512" t="str">
        <f>IF(62=62,IF($B62="","",IF(E62="X",""&amp;"Céréales contenant du gluten","")&amp;IF(F62="X",IF(COUNTIF($E62:$E62,"X")&gt;0,", ","")&amp;"Crustacés","")&amp;IF(G62="X",IF(COUNTIF($E62:$F62,"X")&gt;0,", ","")&amp;"Œufs","")&amp;IF(H62="X",IF(COUNTIF($E62:$G62,"X")&gt;0,", ","")&amp;"Poissons","")&amp;IF(I62="X",IF(COUNTIF($E62:$H62,"X")&gt;0,", ","")&amp;"Arachides","")&amp;IF(J62="X",IF(COUNTIF($E62:$I62,"X")&gt;0,", ","")&amp;"Soja","")&amp;IF(K62="X",IF(COUNTIF($E62:$J62,"X")&gt;0,", ","")&amp;"Lait","")&amp;IF(L62="X",IF(COUNTIF($E62:$K62,"X")&gt;0,", ","")&amp;"Fruits à coque","")&amp;IF(M62="X",IF(COUNTIF($E62:$L62,"X")&gt;0,", ","")&amp;"Céleri","")&amp;IF(N62="X",IF(COUNTIF($E62:$M62,"X")&gt;0,", ","")&amp;"Moutarde","")&amp;IF(O62="X",IF(COUNTIF($E62:$N62,"X")&gt;0,", ","")&amp;"Sésame","")&amp;IF(P62="X",IF(COUNTIF($E62:$O62,"X")&gt;0,", ","")&amp;"Sulfites","")&amp;IF(Q62="X",IF(COUNTIF($E62:$P62,"X")&gt;0,", ","")&amp;"Lupin","")&amp;IF(R62="X",IF(COUNTIF($E62:$Q62,"X")&gt;0,", ","")&amp;"Mollusques","")),"")</f>
        <v>Lupin</v>
      </c>
      <c r="E62" s="513" t="str">
        <f>IF(62=62,IF($B62="","",AF62),"")</f>
        <v/>
      </c>
      <c r="F62" s="513" t="str">
        <f>IF(62=62,IF($B62="","",AI62),"")</f>
        <v/>
      </c>
      <c r="G62" s="513" t="str">
        <f>IF(62=62,IF($B62="","",AM62),"")</f>
        <v/>
      </c>
      <c r="H62" s="513" t="str">
        <f>IF(62=62,IF($B62="","",IF(ISNUMBER(SEARCH(" colin ",$AA62)),"X",AZ62)),"")</f>
        <v/>
      </c>
      <c r="I62" s="513" t="str">
        <f>IF(62=62,IF($B62="","",BB62),"")</f>
        <v/>
      </c>
      <c r="J62" s="513" t="str">
        <f>IF(62=62,IF($B62="","",BF62),"")</f>
        <v/>
      </c>
      <c r="K62" s="513" t="str">
        <f>IF(62=62,IF($B62="","",BM62),"")</f>
        <v/>
      </c>
      <c r="L62" s="513" t="str">
        <f>IF(62=62,IF($B62="","",BQ62),"")</f>
        <v/>
      </c>
      <c r="M62" s="513" t="str">
        <f>IF(62=62,IF($B62="","",BT62),"")</f>
        <v/>
      </c>
      <c r="N62" s="513" t="str">
        <f>IF(62=62,IF($B62="","",BW62),"")</f>
        <v/>
      </c>
      <c r="O62" s="513" t="str">
        <f>IF(62=62,IF($B62="","",BZ62),"")</f>
        <v/>
      </c>
      <c r="P62" s="513" t="str">
        <f>IF(62=62,IF($B62="","",CC62),"")</f>
        <v/>
      </c>
      <c r="Q62" s="513" t="str">
        <f>IF(62=62,IF($B62="","",CF62),"")</f>
        <v>X</v>
      </c>
      <c r="R62" s="513" t="str">
        <f>IF(62=62,IF($B62="","",CL62),"")</f>
        <v/>
      </c>
      <c r="S62" s="514" t="str">
        <f>IF(62=62,IF($B62="","",IF(E62="?",""&amp;"Céréales contenant du gluten","")&amp;IF(F62="?",IF(COUNTIF($E62:$E62,"~?")&gt;0,", ","")&amp;"Crustacés","")&amp;IF(G62="?",IF(COUNTIF($E62:$F62,"~?")&gt;0,", ","")&amp;"Œufs","")&amp;IF(H62="?",IF(COUNTIF($E62:$G62,"~?")&gt;0,", ","")&amp;"Poissons","")&amp;IF(I62="?",IF(COUNTIF($E62:$H62,"~?")&gt;0,", ","")&amp;"Arachides","")&amp;IF(J62="?",IF(COUNTIF($E62:$I62,"~?")&gt;0,", ","")&amp;"Soja","")&amp;IF(K62="?",IF(COUNTIF($E62:$J62,"~?")&gt;0,", ","")&amp;"Lait","")&amp;IF(L62="?",IF(COUNTIF($E62:$K62,"~?")&gt;0,", ","")&amp;"Fruits à coque","")&amp;IF(M62="?",IF(COUNTIF($E62:$L62,"~?")&gt;0,", ","")&amp;"Céleri","")&amp;IF(N62="?",IF(COUNTIF($E62:$M62,"~?")&gt;0,", ","")&amp;"Moutarde","")&amp;IF(O62="?",IF(COUNTIF($E62:$N62,"~?")&gt;0,", ","")&amp;"Sésame","")&amp;IF(P62="?",IF(COUNTIF($E62:$O62,"~?")&gt;0,", ","")&amp;"Sulfites","")&amp;IF(Q62="?",IF(COUNTIF($E62:$P62,"~?")&gt;0,", ","")&amp;"Lupin","")&amp;IF(R62="?",IF(COUNTIF($E62:$Q62,"~?")&gt;0,", ","")&amp;"Mollusques","")),"")</f>
        <v/>
      </c>
      <c r="U62" s="493" t="str">
        <f>IF(62=62,IF($B62="","",$B62),"")</f>
        <v xml:space="preserve">Lupin </v>
      </c>
      <c r="V62" s="493" t="str">
        <f>IF(62=62,LOWER(CLEAN(SUBSTITUTE(SUBSTITUTE(SUBSTITUTE(SUBSTITUTE($U62,CHAR(160)," ")," "," "),CHAR(10)," "),CHAR(13)," "))),"")</f>
        <v xml:space="preserve">lupin </v>
      </c>
      <c r="W62" s="493" t="str">
        <f>IF(62=62,SUBSTITUTE(SUBSTITUTE(SUBSTITUTE(SUBSTITUTE(SUBSTITUTE(SUBSTITUTE(SUBSTITUTE(SUBSTITUTE(SUBSTITUTE(SUBSTITUTE(SUBSTITUTE(SUBSTITUTE($V62,"œ","oe"),"æ","ae"),"à","a"),"á","a"),"â","a"),"ä","a"),"ã","a"),"ç","c"),"è","e"),"é","e"),"ê","e"),"ë","e"),"")</f>
        <v xml:space="preserve">lupin </v>
      </c>
      <c r="X62" s="493" t="str">
        <f>IF(62=62,SUBSTITUTE(SUBSTITUTE(SUBSTITUTE(SUBSTITUTE(SUBSTITUTE(SUBSTITUTE(SUBSTITUTE(SUBSTITUTE(SUBSTITUTE(SUBSTITUTE(SUBSTITUTE(SUBSTITUTE(SUBSTITUTE(SUBSTITUTE(SUBSTITUTE(SUBSTITUTE($W62,"ì","i"),"í","i"),"î","i"),"ï","i"),"ñ","n"),"ò","o"),"ó","o"),"ô","o"),"ö","o"),"õ","o"),"ù","u"),"ú","u"),"û","u"),"ü","u"),"ý","y"),"ÿ","y"),"")</f>
        <v xml:space="preserve">lupin </v>
      </c>
      <c r="Y62" s="493" t="str">
        <f>IF(62=62,SUBSTITUTE(SUBSTITUTE(SUBSTITUTE(SUBSTITUTE(SUBSTITUTE(SUBSTITUTE(SUBSTITUTE(SUBSTITUTE(SUBSTITUTE(SUBSTITUTE(SUBSTITUTE(SUBSTITUTE(SUBSTITUTE(SUBSTITUTE($X62,"’"," "),"`"," "),"–"," "),"—"," "),"-"," "),"'"," "),"/"," "),"_"," "),","," "),"."," "),"("," "),")"," "),";"," "),":"," "),"")</f>
        <v xml:space="preserve">lupin </v>
      </c>
      <c r="Z62" s="493" t="str">
        <f>IF(62=62,SUBSTITUTE(SUBSTITUTE(SUBSTITUTE(SUBSTITUTE(SUBSTITUTE(SUBSTITUTE(SUBSTITUTE(SUBSTITUTE(SUBSTITUTE(SUBSTITUTE(SUBSTITUTE(SUBSTITUTE(SUBSTITUTE(SUBSTITUTE(SUBSTITUTE($Y62,"!"," "),"?"," "),"+"," "),"*"," "),"&amp;"," "),"["," "),"]"," "),"{"," "),"}"," "),"%"," "),"="," "),"\"," "),"|"," "),"&lt;"," "),"&gt;"," "),"")</f>
        <v xml:space="preserve">lupin </v>
      </c>
      <c r="AA62" s="493" t="str">
        <f>IF(62=62," "&amp;TRIM(SUBSTITUTE(SUBSTITUTE(SUBSTITUTE(SUBSTITUTE(SUBSTITUTE(SUBSTITUTE($Z62,CHAR(34)," "),"  "," "),"  "," "),"  "," "),"  "," "),"  "," "))&amp;" ","")</f>
        <v xml:space="preserve"> lupin </v>
      </c>
      <c r="AB62" s="493">
        <f>IF(62=62,IF($U62="","",SUMPRODUCT(--ISNUMBER(SEARCH(" "&amp;$CR$2:$CR$101&amp;" ",$AD62)))),"")</f>
        <v>0</v>
      </c>
      <c r="AC62" s="493">
        <f>IF(62=62,IF($U62="","",SUMPRODUCT(--ISNUMBER(SEARCH(" "&amp;$CR$102:$CR$151&amp;" ",$AD62)))),"")</f>
        <v>0</v>
      </c>
      <c r="AD62" s="493" t="str">
        <f t="shared" si="1"/>
        <v xml:space="preserve"> lupin </v>
      </c>
      <c r="AE62" s="493">
        <f t="shared" si="2"/>
        <v>0</v>
      </c>
      <c r="AF62" s="493" t="str">
        <f>IF(62=62,IF($U62="","",IF(SUM(AB62:AC62)+SUMPRODUCT(--ISNUMBER(SEARCH(" "&amp;$CR$2418:$CR$2420&amp;" ",$AD62)))&gt;0,"X",IF(AE62&gt;0,"?",""))),"")</f>
        <v/>
      </c>
      <c r="AG62" s="493">
        <f>IF(62=62,IF($U62="","",SUMPRODUCT(--ISNUMBER(SEARCH(" "&amp;$CR$206:$CR$305&amp;" ",$AA62)))),"")</f>
        <v>0</v>
      </c>
      <c r="AH62" s="493">
        <f>IF(62=62,IF($U62="","",SUMPRODUCT(--ISNUMBER(SEARCH(" "&amp;$CR$306:$CR$340&amp;" ",$AA62)))),"")</f>
        <v>0</v>
      </c>
      <c r="AI62" s="493" t="str">
        <f>IF(62=62,IF($U62="","",IF((SUM(AG62:AH62))-(0)&gt;0,"X",IF((0)-(0)&gt;0,"?",""))),"")</f>
        <v/>
      </c>
      <c r="AJ62" s="493">
        <f>IF(62=62,IF($U62="","",SUMPRODUCT(--ISNUMBER(SEARCH(" "&amp;$CR$341:$CR$398&amp;" ",$AA62)))),"")</f>
        <v>0</v>
      </c>
      <c r="AK62" s="493">
        <f>IF(62=62,IF($U62="","",SUMPRODUCT(--ISNUMBER(SEARCH(" "&amp;$CR$399:$CR$426&amp;" ",$AL62)))+SUMPRODUCT(--ISNUMBER(SEARCH(" "&amp;$CR$2440:$CR$2453&amp;" ",$AL62)))),"")</f>
        <v>0</v>
      </c>
      <c r="AL62" s="493" t="str">
        <f>IF(62=62,IF($U62="","",SUBSTITUTE(SUBSTITUTE(SUBSTITUTE(SUBSTITUTE(SUBSTITUTE(SUBSTITUTE(SUBSTITUTE(SUBSTITUTE(SUBSTITUTE(SUBSTITUTE(SUBSTITUTE(SUBSTITUTE(SUBSTITUTE(SUBSTITUTE($AA62," "&amp;$CR$2455&amp;" "," ")," "&amp;$CR$433&amp;" "," ")," "&amp;$CR$431&amp;" "," ")," "&amp;$CR$2438&amp;" "," ")," "&amp;$CR$2439&amp;" "," ")," "&amp;$CR$428&amp;" "," ")," "&amp;$CR$432&amp;" "," ")," "&amp;$CR$434&amp;" "," ")," "&amp;$CR$429&amp;" "," ")," "&amp;$CR$427&amp;" "," ")," "&amp;$CR$1367&amp;" "," ")," "&amp;$CR$435&amp;" "," ")," "&amp;$CR$1366&amp;" "," ")," "&amp;$CR$430&amp;" "," ")),"")</f>
        <v xml:space="preserve"> lupin </v>
      </c>
      <c r="AM62" s="493" t="str">
        <f>IF(62=62,IF($U62="","",IF(AJ62&gt;0,"X",IF(AK62&gt;0,"?",""))),"")</f>
        <v/>
      </c>
      <c r="AN62" s="493">
        <f>IF(62=62,IF($U62="","",SUMPRODUCT(--ISNUMBER(SEARCH(" "&amp;$CR$436:$CR$535&amp;" ",$AX62)))),"")</f>
        <v>0</v>
      </c>
      <c r="AO62" s="493">
        <f>IF(62=62,IF($U62="","",SUMPRODUCT(--ISNUMBER(SEARCH(" "&amp;$CR$536:$CR$635&amp;" ",$AX62)))),"")</f>
        <v>0</v>
      </c>
      <c r="AP62" s="493">
        <f>IF(62=62,IF($U62="","",SUMPRODUCT(--ISNUMBER(SEARCH(" "&amp;$CR$636:$CR$735&amp;" ",$AX62)))),"")</f>
        <v>0</v>
      </c>
      <c r="AQ62" s="493">
        <f>IF(62=62,IF($U62="","",SUMPRODUCT(--ISNUMBER(SEARCH(" "&amp;$CR$736:$CR$835&amp;" ",$AX62)))),"")</f>
        <v>0</v>
      </c>
      <c r="AR62" s="493">
        <f>IF(62=62,IF($U62="","",SUMPRODUCT(--ISNUMBER(SEARCH(" "&amp;$CR$836:$CR$935&amp;" ",$AX62)))),"")</f>
        <v>0</v>
      </c>
      <c r="AS62" s="493">
        <f>IF(62=62,IF($U62="","",SUMPRODUCT(--ISNUMBER(SEARCH(" "&amp;$CR$936:$CR$1035&amp;" ",$AX62)))),"")</f>
        <v>0</v>
      </c>
      <c r="AT62" s="493">
        <f>IF(62=62,IF($U62="","",SUMPRODUCT(--ISNUMBER(SEARCH(" "&amp;$CR$1036:$CR$1135&amp;" ",$AX62)))),"")</f>
        <v>0</v>
      </c>
      <c r="AU62" s="493">
        <f>IF(62=62,IF($U62="","",SUMPRODUCT(--ISNUMBER(SEARCH(" "&amp;$CR$1136:$CR$1235&amp;" ",$AX62)))),"")</f>
        <v>0</v>
      </c>
      <c r="AV62" s="493">
        <f>IF(62=62,IF($U62="","",SUMPRODUCT(--ISNUMBER(SEARCH(" "&amp;$CR$1236:$CR$1335&amp;" ",$AX62)))),"")</f>
        <v>0</v>
      </c>
      <c r="AW62" s="493">
        <f>IF(62=62,IF($U62="","",SUMPRODUCT(--ISNUMBER(SEARCH(" "&amp;$CR$1336:$CR$1363&amp;" ",$AX62)))),"")</f>
        <v>0</v>
      </c>
      <c r="AX62" s="493" t="str">
        <f>IF(62=62,IF($U62="","",SUBSTITUTE(SUBSTITUTE(SUBSTITUTE(SUBSTITUTE(SUBSTITUTE(SUBSTITUTE(SUBSTITUTE(SUBSTITUTE(SUBSTITUTE($AA62," "&amp;$CR$1365&amp;" "," ")," "&amp;$CR$1364&amp;" "," ")," "&amp;$CR$1370&amp;" "," ")," "&amp;$CR$1371&amp;" "," ")," "&amp;$CR$1367&amp;" "," ")," "&amp;$CR$1369&amp;" "," ")," "&amp;$CR$1366&amp;" "," ")," "&amp;$CR$1368&amp;" "," ")," "&amp;$CR$1372&amp;" "," ")),"")</f>
        <v xml:space="preserve"> lupin </v>
      </c>
      <c r="AY62" s="493">
        <f>IF(62=62,IF($U62="","",SUMPRODUCT(--ISNUMBER(SEARCH(" "&amp;$CR$1373:$CR$1383&amp;" ",$AX62)))),"")</f>
        <v>0</v>
      </c>
      <c r="AZ62" s="493" t="str">
        <f>IF(62=62,IF($U62="","",IF(SUM(AN62:AW62)+SUMPRODUCT(--ISNUMBER(SEARCH(" "&amp;$CR$2421:$CR$2422&amp;" ",$AX62)))&gt;0,"X",IF(AY62&gt;0,"?",""))),"")</f>
        <v/>
      </c>
      <c r="BA62" s="493">
        <f>IF(62=62,IF($U62="","",SUMPRODUCT(--ISNUMBER(SEARCH(" "&amp;$CR$1384:$CR$1404&amp;" ",$AA62)))),"")</f>
        <v>0</v>
      </c>
      <c r="BB62" s="493" t="str">
        <f>IF(62=62,IF($U62="","",IF((BA62)-(0)&gt;0,"X",IF((0)-(0)&gt;0,"?",""))),"")</f>
        <v/>
      </c>
      <c r="BC62" s="493">
        <f>IF(62=62,IF($U62="","",SUMPRODUCT(--ISNUMBER(SEARCH(" "&amp;$CR$1405:$CR$1442&amp;" ",$BD62)))),"")</f>
        <v>0</v>
      </c>
      <c r="BD62" s="493" t="str">
        <f>IF(62=62,IF($U62="","",SUBSTITUTE(SUBSTITUTE($AA62," "&amp;$CR$1443&amp;" "," ")," "&amp;$CR$1444&amp;" "," ")),"")</f>
        <v xml:space="preserve"> lupin </v>
      </c>
      <c r="BE62" s="493">
        <f>IF(62=62,IF($U62="","",SUMPRODUCT(--ISNUMBER(SEARCH(" "&amp;$CR$1445:$CR$1455&amp;" ",$BD62)))),"")</f>
        <v>0</v>
      </c>
      <c r="BF62" s="493" t="str">
        <f>IF(62=62,IF($U62="","",IF(BC62&gt;0,"X",IF(BE62&gt;0,"?",""))),"")</f>
        <v/>
      </c>
      <c r="BG62" s="493">
        <f>IF(62=62,IF($U62="","",SUMPRODUCT(--ISNUMBER(SEARCH(" "&amp;$CR$1456:$CR$1555&amp;" ",$BJ62)))),"")</f>
        <v>0</v>
      </c>
      <c r="BH62" s="493">
        <f>IF(62=62,IF($U62="","",SUMPRODUCT(--ISNUMBER(SEARCH(" "&amp;$CR$1556:$CR$1655&amp;" ",$BJ62)))),"")</f>
        <v>0</v>
      </c>
      <c r="BI62" s="493">
        <f>IF(62=62,IF($U62="","",SUMPRODUCT(--ISNUMBER(SEARCH(" "&amp;$CR$1656:$CR$1739&amp;" ",$BJ62)))),"")</f>
        <v>0</v>
      </c>
      <c r="BJ62" s="493" t="str">
        <f>IF(62=62,IF($U62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lupin </v>
      </c>
      <c r="BK62" s="493">
        <f>IF(62=62,IF($U62="","",SUMPRODUCT(--ISNUMBER(SEARCH(" "&amp;$CR$1790:$CR$1869&amp;" ",$BL62)))+SUMPRODUCT(--ISNUMBER(SEARCH(" "&amp;$CR$2440:$CR$2453&amp;" ",$BL62)))),"")</f>
        <v>0</v>
      </c>
      <c r="BL62" s="493" t="str">
        <f>IF(62=62,IF($U62="","",SUBSTITUTE(SUBSTITUTE(SUBSTITUTE(SUBSTITUTE(SUBSTITUTE(SUBSTITUTE(SUBSTITUTE(SUBSTITUTE(SUBSTITUTE(SUBSTITUTE(SUBSTITUTE(SUBSTITUTE(SUBSTITUTE($BJ62," "&amp;$CR$1876&amp;" "," ")," "&amp;$CR$1874&amp;" "," ")," "&amp;$CR$2438&amp;" "," ")," "&amp;$CR$2439&amp;" "," ")," "&amp;$CR$1871&amp;" "," ")," "&amp;$CR$1875&amp;" "," ")," "&amp;$CR$1877&amp;" "," ")," "&amp;$CR$1872&amp;" "," ")," "&amp;$CR$1870&amp;" "," ")," "&amp;$CR$1367&amp;" "," ")," "&amp;$CR$1878&amp;" "," ")," "&amp;$CR$1366&amp;" "," ")," "&amp;$CR$1873&amp;" "," ")),"")</f>
        <v xml:space="preserve"> lupin </v>
      </c>
      <c r="BM62" s="493" t="str">
        <f>IF(62=62,IF($U62="","",IF(SUM(BG62:BI62)+SUMPRODUCT(--ISNUMBER(SEARCH(" "&amp;$CR$2423:$CR$2424&amp;" ",$BJ62)))&gt;0,"X",IF(BK62&gt;0,"?",""))),"")</f>
        <v/>
      </c>
      <c r="BN62" s="493">
        <f>IF(62=62,IF($U62="","",SUMPRODUCT(--ISNUMBER(SEARCH(" "&amp;$CR$1879:$CR$1936&amp;" ",$BO62)))),"")</f>
        <v>0</v>
      </c>
      <c r="BO62" s="493" t="str">
        <f>IF(62=62,IF($U62="","",SUBSTITUTE(SUBSTITUTE(SUBSTITUTE(SUBSTITUTE(SUBSTITUTE(SUBSTITUTE(SUBSTITUTE(SUBSTITUTE(SUBSTITUTE(SUBSTITUTE(SUBSTITUTE(SUBSTITUTE(SUBSTITUTE(SUBSTITUTE(SUBSTITUTE(SUBSTITUTE(SUBSTITUTE(SUBSTITUTE(SUBSTITUTE(SUBSTITUTE(SUBSTITUTE(SUBSTITUTE(SUBSTITUTE($AA62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lupin </v>
      </c>
      <c r="BP62" s="493">
        <f>IF(62=62,IF($U62="","",SUMPRODUCT(--ISNUMBER(SEARCH(" "&amp;$CR$1960:$CR$1976&amp;" ",$BO62)))),"")</f>
        <v>0</v>
      </c>
      <c r="BQ62" s="493" t="str">
        <f>IF(62=62,IF($U62="","",IF(BN62&gt;0,"X",IF(BP62&gt;0,"?",""))),"")</f>
        <v/>
      </c>
      <c r="BR62" s="493">
        <f>IF(62=62,IF($U62="","",SUMPRODUCT(--ISNUMBER(SEARCH(" "&amp;$CR$1977:$CR$1990&amp;" ",$AA62)))),"")</f>
        <v>0</v>
      </c>
      <c r="BS62" s="493">
        <f>IF(62=62,IF($U62="","",SUMPRODUCT(--ISNUMBER(SEARCH(" "&amp;$CR$1991:$CR$2005&amp;" ",$AA62)))),"")</f>
        <v>0</v>
      </c>
      <c r="BT62" s="493" t="str">
        <f>IF(62=62,IF($U62="","",IF((BR62)-(0)&gt;0,"X",IF((BS62)-(0)&gt;0,"?",""))),"")</f>
        <v/>
      </c>
      <c r="BU62" s="493">
        <f>IF(62=62,IF($U62="","",SUMPRODUCT(--ISNUMBER(SEARCH(" "&amp;$CR$2006:$CR$2023&amp;" ",$AA62)))),"")</f>
        <v>0</v>
      </c>
      <c r="BV62" s="493">
        <f>IF(62=62,IF($U62="","",SUMPRODUCT(--ISNUMBER(SEARCH(" "&amp;$CR$2024:$CR$2038&amp;" ",$AA62)))),"")</f>
        <v>0</v>
      </c>
      <c r="BW62" s="493" t="str">
        <f>IF(62=62,IF($U62="","",IF((BU62)-(0)&gt;0,"X",IF((BV62)-(0)&gt;0,"?",""))),"")</f>
        <v/>
      </c>
      <c r="BX62" s="493">
        <f>IF(62=62,IF($U62="","",SUMPRODUCT(--ISNUMBER(SEARCH(" "&amp;$CR$2039:$CR$2057&amp;" ",$AA62)))),"")</f>
        <v>0</v>
      </c>
      <c r="BY62" s="493">
        <f>IF(62=62,IF($U62="","",SUMPRODUCT(--ISNUMBER(SEARCH(" "&amp;$CR$2058:$CR$2072&amp;" ",$AA62)))),"")</f>
        <v>0</v>
      </c>
      <c r="BZ62" s="493" t="str">
        <f>IF(62=62,IF($U62="","",IF((BX62)-(0)&gt;0,"X",IF((BY62)-(0)&gt;0,"?",""))),"")</f>
        <v/>
      </c>
      <c r="CA62" s="493">
        <f>IF(62=62,IF($U62="","",SUMPRODUCT(--ISNUMBER(SEARCH(" "&amp;$CR$2073:$CR$2093&amp;" ",$AA62)))),"")</f>
        <v>0</v>
      </c>
      <c r="CB62" s="493">
        <f>IF(62=62,IF($U62="","",SUMPRODUCT(--ISNUMBER(SEARCH(" "&amp;$CR$2094:$CR$2133&amp;" ",SUBSTITUTE(SUBSTITUTE($AA62," "&amp;$CR$1367&amp;" "," ")," "&amp;$CR$1366&amp;" "," "))))+--ISNUMBER(SEARCH("poiré",$V62))),"")</f>
        <v>0</v>
      </c>
      <c r="CC62" s="493" t="str">
        <f>IF(62=62,IF($U62="","",IF(OR(CA62&gt;0,ISNUMBER(SEARCH(" vinaigre de vin ",$AA62)),ISNUMBER(SEARCH(" vinaigre au vin ",$AA62))),"X",IF(CB62&gt;0,"?",""))),"")</f>
        <v/>
      </c>
      <c r="CD62" s="493">
        <f>IF(62=62,IF($U62="","",SUMPRODUCT(--ISNUMBER(SEARCH(" "&amp;$CR$2134:$CR$2146&amp;" ",$AA62)))),"")</f>
        <v>1</v>
      </c>
      <c r="CE62" s="493">
        <f>IF(62=62,IF($U62="","",SUMPRODUCT(--ISNUMBER(SEARCH(" "&amp;$CR$2147:$CR$2152&amp;" ",$AA62)))),"")</f>
        <v>0</v>
      </c>
      <c r="CF62" s="493" t="str">
        <f>IF(62=62,IF($U62="","",IF((CD62)-(0)&gt;0,"X",IF((CE62)-(0)&gt;0,"?",""))),"")</f>
        <v>X</v>
      </c>
      <c r="CG62" s="493">
        <f>IF(62=62,IF($U62="","",SUMPRODUCT(--ISNUMBER(SEARCH(" "&amp;$CR$2153:$CR$2252&amp;" ",$CJ62)))),"")</f>
        <v>0</v>
      </c>
      <c r="CH62" s="493">
        <f>IF(62=62,IF($U62="","",SUMPRODUCT(--ISNUMBER(SEARCH(" "&amp;$CR$2253:$CR$2352&amp;" ",$CJ62)))),"")</f>
        <v>0</v>
      </c>
      <c r="CI62" s="493">
        <f>IF(62=62,IF($U62="","",SUMPRODUCT(--ISNUMBER(SEARCH(" "&amp;$CR$2353:$CR$2395&amp;" ",$CJ62)))),"")</f>
        <v>0</v>
      </c>
      <c r="CJ62" s="493" t="str">
        <f>IF(62=62,IF($U62="","",SUBSTITUTE(SUBSTITUTE(SUBSTITUTE(SUBSTITUTE(SUBSTITUTE(SUBSTITUTE(SUBSTITUTE(SUBSTITUTE(SUBSTITUTE(SUBSTITUTE(SUBSTITUTE(SUBSTITUTE(SUBSTITUTE(SUBSTITUTE(SUBSTITUTE(SUBSTITUTE($AA62," "&amp;$CR$2401&amp;" "," ")," "&amp;$CR$2400&amp;" "," ")," "&amp;$CR$2399&amp;" "," ")," "&amp;$CR$2406&amp;" "," ")," "&amp;$CR$2398&amp;" "," ")," "&amp;$CR$2410&amp;" "," ")," "&amp;$CR$2397&amp;" "," ")," "&amp;$CR$2402&amp;" "," ")," "&amp;$CR$2405&amp;" "," ")," "&amp;$CR$2396&amp;" "," ")," "&amp;$CR$2404&amp;" "," ")," "&amp;$CR$2411&amp;" "," ")," "&amp;$CR$2408&amp;" "," ")," "&amp;$CR$2403&amp;" "," ")," "&amp;$CR$2407&amp;" "," ")," "&amp;$CR$2409&amp;" "," ")),"")</f>
        <v xml:space="preserve"> lupin </v>
      </c>
      <c r="CK62" s="493">
        <f>IF(62=62,IF($U62="","",SUMPRODUCT(--ISNUMBER(SEARCH(" "&amp;$CR$2412:$CR$2416&amp;" ",$CJ62)))),"")</f>
        <v>0</v>
      </c>
      <c r="CL62" s="493" t="str">
        <f>IF(62=62,IF($U62="","",IF(SUM(CG62:CI62)&gt;0,"X",IF(CK62&gt;0,"?",""))),"")</f>
        <v/>
      </c>
      <c r="CM62" s="494"/>
      <c r="CN62" s="496" t="s">
        <v>1254</v>
      </c>
      <c r="CO62" s="496" t="s">
        <v>1083</v>
      </c>
      <c r="CP62" s="496" t="s">
        <v>689</v>
      </c>
      <c r="CQ62" s="496" t="s">
        <v>54</v>
      </c>
      <c r="CR62" s="496" t="s">
        <v>54</v>
      </c>
      <c r="CS62" s="496" t="s">
        <v>1085</v>
      </c>
      <c r="CT62" s="496" t="s">
        <v>1086</v>
      </c>
      <c r="CU62" s="496" t="s">
        <v>1087</v>
      </c>
      <c r="CV62" s="497" t="s">
        <v>1088</v>
      </c>
      <c r="CX62" s="543">
        <v>1</v>
      </c>
    </row>
    <row r="63" spans="1:102" ht="21" customHeight="1">
      <c r="A63" s="509">
        <v>57</v>
      </c>
      <c r="B63" s="510" t="s">
        <v>15</v>
      </c>
      <c r="C63" s="511" t="str">
        <f t="shared" si="0"/>
        <v>Mollusques *</v>
      </c>
      <c r="D63" s="512" t="str">
        <f>IF(63=63,IF($B63="","",IF(E63="X",""&amp;"Céréales contenant du gluten","")&amp;IF(F63="X",IF(COUNTIF($E63:$E63,"X")&gt;0,", ","")&amp;"Crustacés","")&amp;IF(G63="X",IF(COUNTIF($E63:$F63,"X")&gt;0,", ","")&amp;"Œufs","")&amp;IF(H63="X",IF(COUNTIF($E63:$G63,"X")&gt;0,", ","")&amp;"Poissons","")&amp;IF(I63="X",IF(COUNTIF($E63:$H63,"X")&gt;0,", ","")&amp;"Arachides","")&amp;IF(J63="X",IF(COUNTIF($E63:$I63,"X")&gt;0,", ","")&amp;"Soja","")&amp;IF(K63="X",IF(COUNTIF($E63:$J63,"X")&gt;0,", ","")&amp;"Lait","")&amp;IF(L63="X",IF(COUNTIF($E63:$K63,"X")&gt;0,", ","")&amp;"Fruits à coque","")&amp;IF(M63="X",IF(COUNTIF($E63:$L63,"X")&gt;0,", ","")&amp;"Céleri","")&amp;IF(N63="X",IF(COUNTIF($E63:$M63,"X")&gt;0,", ","")&amp;"Moutarde","")&amp;IF(O63="X",IF(COUNTIF($E63:$N63,"X")&gt;0,", ","")&amp;"Sésame","")&amp;IF(P63="X",IF(COUNTIF($E63:$O63,"X")&gt;0,", ","")&amp;"Sulfites","")&amp;IF(Q63="X",IF(COUNTIF($E63:$P63,"X")&gt;0,", ","")&amp;"Lupin","")&amp;IF(R63="X",IF(COUNTIF($E63:$Q63,"X")&gt;0,", ","")&amp;"Mollusques","")),"")</f>
        <v>Mollusques</v>
      </c>
      <c r="E63" s="513" t="str">
        <f>IF(63=63,IF($B63="","",AF63),"")</f>
        <v/>
      </c>
      <c r="F63" s="513" t="str">
        <f>IF(63=63,IF($B63="","",AI63),"")</f>
        <v/>
      </c>
      <c r="G63" s="513" t="str">
        <f>IF(63=63,IF($B63="","",AM63),"")</f>
        <v/>
      </c>
      <c r="H63" s="513" t="str">
        <f>IF(63=63,IF($B63="","",IF(ISNUMBER(SEARCH(" colin ",$AA63)),"X",AZ63)),"")</f>
        <v/>
      </c>
      <c r="I63" s="513" t="str">
        <f>IF(63=63,IF($B63="","",BB63),"")</f>
        <v/>
      </c>
      <c r="J63" s="513" t="str">
        <f>IF(63=63,IF($B63="","",BF63),"")</f>
        <v/>
      </c>
      <c r="K63" s="513" t="str">
        <f>IF(63=63,IF($B63="","",BM63),"")</f>
        <v/>
      </c>
      <c r="L63" s="513" t="str">
        <f>IF(63=63,IF($B63="","",BQ63),"")</f>
        <v/>
      </c>
      <c r="M63" s="513" t="str">
        <f>IF(63=63,IF($B63="","",BT63),"")</f>
        <v/>
      </c>
      <c r="N63" s="513" t="str">
        <f>IF(63=63,IF($B63="","",BW63),"")</f>
        <v/>
      </c>
      <c r="O63" s="513" t="str">
        <f>IF(63=63,IF($B63="","",BZ63),"")</f>
        <v/>
      </c>
      <c r="P63" s="513" t="str">
        <f>IF(63=63,IF($B63="","",CC63),"")</f>
        <v/>
      </c>
      <c r="Q63" s="513" t="str">
        <f>IF(63=63,IF($B63="","",CF63),"")</f>
        <v/>
      </c>
      <c r="R63" s="513" t="str">
        <f>IF(63=63,IF($B63="","",CL63),"")</f>
        <v>X</v>
      </c>
      <c r="S63" s="514" t="str">
        <f>IF(63=63,IF($B63="","",IF(E63="?",""&amp;"Céréales contenant du gluten","")&amp;IF(F63="?",IF(COUNTIF($E63:$E63,"~?")&gt;0,", ","")&amp;"Crustacés","")&amp;IF(G63="?",IF(COUNTIF($E63:$F63,"~?")&gt;0,", ","")&amp;"Œufs","")&amp;IF(H63="?",IF(COUNTIF($E63:$G63,"~?")&gt;0,", ","")&amp;"Poissons","")&amp;IF(I63="?",IF(COUNTIF($E63:$H63,"~?")&gt;0,", ","")&amp;"Arachides","")&amp;IF(J63="?",IF(COUNTIF($E63:$I63,"~?")&gt;0,", ","")&amp;"Soja","")&amp;IF(K63="?",IF(COUNTIF($E63:$J63,"~?")&gt;0,", ","")&amp;"Lait","")&amp;IF(L63="?",IF(COUNTIF($E63:$K63,"~?")&gt;0,", ","")&amp;"Fruits à coque","")&amp;IF(M63="?",IF(COUNTIF($E63:$L63,"~?")&gt;0,", ","")&amp;"Céleri","")&amp;IF(N63="?",IF(COUNTIF($E63:$M63,"~?")&gt;0,", ","")&amp;"Moutarde","")&amp;IF(O63="?",IF(COUNTIF($E63:$N63,"~?")&gt;0,", ","")&amp;"Sésame","")&amp;IF(P63="?",IF(COUNTIF($E63:$O63,"~?")&gt;0,", ","")&amp;"Sulfites","")&amp;IF(Q63="?",IF(COUNTIF($E63:$P63,"~?")&gt;0,", ","")&amp;"Lupin","")&amp;IF(R63="?",IF(COUNTIF($E63:$Q63,"~?")&gt;0,", ","")&amp;"Mollusques","")),"")</f>
        <v/>
      </c>
      <c r="U63" s="493" t="str">
        <f>IF(63=63,IF($B63="","",$B63),"")</f>
        <v>Mollusques</v>
      </c>
      <c r="V63" s="493" t="str">
        <f>IF(63=63,LOWER(CLEAN(SUBSTITUTE(SUBSTITUTE(SUBSTITUTE(SUBSTITUTE($U63,CHAR(160)," ")," "," "),CHAR(10)," "),CHAR(13)," "))),"")</f>
        <v>mollusques</v>
      </c>
      <c r="W63" s="493" t="str">
        <f>IF(63=63,SUBSTITUTE(SUBSTITUTE(SUBSTITUTE(SUBSTITUTE(SUBSTITUTE(SUBSTITUTE(SUBSTITUTE(SUBSTITUTE(SUBSTITUTE(SUBSTITUTE(SUBSTITUTE(SUBSTITUTE($V63,"œ","oe"),"æ","ae"),"à","a"),"á","a"),"â","a"),"ä","a"),"ã","a"),"ç","c"),"è","e"),"é","e"),"ê","e"),"ë","e"),"")</f>
        <v>mollusques</v>
      </c>
      <c r="X63" s="493" t="str">
        <f>IF(63=63,SUBSTITUTE(SUBSTITUTE(SUBSTITUTE(SUBSTITUTE(SUBSTITUTE(SUBSTITUTE(SUBSTITUTE(SUBSTITUTE(SUBSTITUTE(SUBSTITUTE(SUBSTITUTE(SUBSTITUTE(SUBSTITUTE(SUBSTITUTE(SUBSTITUTE(SUBSTITUTE($W63,"ì","i"),"í","i"),"î","i"),"ï","i"),"ñ","n"),"ò","o"),"ó","o"),"ô","o"),"ö","o"),"õ","o"),"ù","u"),"ú","u"),"û","u"),"ü","u"),"ý","y"),"ÿ","y"),"")</f>
        <v>mollusques</v>
      </c>
      <c r="Y63" s="493" t="str">
        <f>IF(63=63,SUBSTITUTE(SUBSTITUTE(SUBSTITUTE(SUBSTITUTE(SUBSTITUTE(SUBSTITUTE(SUBSTITUTE(SUBSTITUTE(SUBSTITUTE(SUBSTITUTE(SUBSTITUTE(SUBSTITUTE(SUBSTITUTE(SUBSTITUTE($X63,"’"," "),"`"," "),"–"," "),"—"," "),"-"," "),"'"," "),"/"," "),"_"," "),","," "),"."," "),"("," "),")"," "),";"," "),":"," "),"")</f>
        <v>mollusques</v>
      </c>
      <c r="Z63" s="493" t="str">
        <f>IF(63=63,SUBSTITUTE(SUBSTITUTE(SUBSTITUTE(SUBSTITUTE(SUBSTITUTE(SUBSTITUTE(SUBSTITUTE(SUBSTITUTE(SUBSTITUTE(SUBSTITUTE(SUBSTITUTE(SUBSTITUTE(SUBSTITUTE(SUBSTITUTE(SUBSTITUTE($Y63,"!"," "),"?"," "),"+"," "),"*"," "),"&amp;"," "),"["," "),"]"," "),"{"," "),"}"," "),"%"," "),"="," "),"\"," "),"|"," "),"&lt;"," "),"&gt;"," "),"")</f>
        <v>mollusques</v>
      </c>
      <c r="AA63" s="493" t="str">
        <f>IF(63=63," "&amp;TRIM(SUBSTITUTE(SUBSTITUTE(SUBSTITUTE(SUBSTITUTE(SUBSTITUTE(SUBSTITUTE($Z63,CHAR(34)," "),"  "," "),"  "," "),"  "," "),"  "," "),"  "," "))&amp;" ","")</f>
        <v xml:space="preserve"> mollusques </v>
      </c>
      <c r="AB63" s="493">
        <f>IF(63=63,IF($U63="","",SUMPRODUCT(--ISNUMBER(SEARCH(" "&amp;$CR$2:$CR$101&amp;" ",$AD63)))),"")</f>
        <v>0</v>
      </c>
      <c r="AC63" s="493">
        <f>IF(63=63,IF($U63="","",SUMPRODUCT(--ISNUMBER(SEARCH(" "&amp;$CR$102:$CR$151&amp;" ",$AD63)))),"")</f>
        <v>0</v>
      </c>
      <c r="AD63" s="493" t="str">
        <f t="shared" si="1"/>
        <v xml:space="preserve"> mollusques </v>
      </c>
      <c r="AE63" s="493">
        <f t="shared" si="2"/>
        <v>0</v>
      </c>
      <c r="AF63" s="493" t="str">
        <f>IF(63=63,IF($U63="","",IF(SUM(AB63:AC63)+SUMPRODUCT(--ISNUMBER(SEARCH(" "&amp;$CR$2418:$CR$2420&amp;" ",$AD63)))&gt;0,"X",IF(AE63&gt;0,"?",""))),"")</f>
        <v/>
      </c>
      <c r="AG63" s="493">
        <f>IF(63=63,IF($U63="","",SUMPRODUCT(--ISNUMBER(SEARCH(" "&amp;$CR$206:$CR$305&amp;" ",$AA63)))),"")</f>
        <v>0</v>
      </c>
      <c r="AH63" s="493">
        <f>IF(63=63,IF($U63="","",SUMPRODUCT(--ISNUMBER(SEARCH(" "&amp;$CR$306:$CR$340&amp;" ",$AA63)))),"")</f>
        <v>0</v>
      </c>
      <c r="AI63" s="493" t="str">
        <f>IF(63=63,IF($U63="","",IF((SUM(AG63:AH63))-(0)&gt;0,"X",IF((0)-(0)&gt;0,"?",""))),"")</f>
        <v/>
      </c>
      <c r="AJ63" s="493">
        <f>IF(63=63,IF($U63="","",SUMPRODUCT(--ISNUMBER(SEARCH(" "&amp;$CR$341:$CR$398&amp;" ",$AA63)))),"")</f>
        <v>0</v>
      </c>
      <c r="AK63" s="493">
        <f>IF(63=63,IF($U63="","",SUMPRODUCT(--ISNUMBER(SEARCH(" "&amp;$CR$399:$CR$426&amp;" ",$AL63)))+SUMPRODUCT(--ISNUMBER(SEARCH(" "&amp;$CR$2440:$CR$2453&amp;" ",$AL63)))),"")</f>
        <v>0</v>
      </c>
      <c r="AL63" s="493" t="str">
        <f>IF(63=63,IF($U63="","",SUBSTITUTE(SUBSTITUTE(SUBSTITUTE(SUBSTITUTE(SUBSTITUTE(SUBSTITUTE(SUBSTITUTE(SUBSTITUTE(SUBSTITUTE(SUBSTITUTE(SUBSTITUTE(SUBSTITUTE(SUBSTITUTE(SUBSTITUTE($AA63," "&amp;$CR$2455&amp;" "," ")," "&amp;$CR$433&amp;" "," ")," "&amp;$CR$431&amp;" "," ")," "&amp;$CR$2438&amp;" "," ")," "&amp;$CR$2439&amp;" "," ")," "&amp;$CR$428&amp;" "," ")," "&amp;$CR$432&amp;" "," ")," "&amp;$CR$434&amp;" "," ")," "&amp;$CR$429&amp;" "," ")," "&amp;$CR$427&amp;" "," ")," "&amp;$CR$1367&amp;" "," ")," "&amp;$CR$435&amp;" "," ")," "&amp;$CR$1366&amp;" "," ")," "&amp;$CR$430&amp;" "," ")),"")</f>
        <v xml:space="preserve"> mollusques </v>
      </c>
      <c r="AM63" s="493" t="str">
        <f>IF(63=63,IF($U63="","",IF(AJ63&gt;0,"X",IF(AK63&gt;0,"?",""))),"")</f>
        <v/>
      </c>
      <c r="AN63" s="493">
        <f>IF(63=63,IF($U63="","",SUMPRODUCT(--ISNUMBER(SEARCH(" "&amp;$CR$436:$CR$535&amp;" ",$AX63)))),"")</f>
        <v>0</v>
      </c>
      <c r="AO63" s="493">
        <f>IF(63=63,IF($U63="","",SUMPRODUCT(--ISNUMBER(SEARCH(" "&amp;$CR$536:$CR$635&amp;" ",$AX63)))),"")</f>
        <v>0</v>
      </c>
      <c r="AP63" s="493">
        <f>IF(63=63,IF($U63="","",SUMPRODUCT(--ISNUMBER(SEARCH(" "&amp;$CR$636:$CR$735&amp;" ",$AX63)))),"")</f>
        <v>0</v>
      </c>
      <c r="AQ63" s="493">
        <f>IF(63=63,IF($U63="","",SUMPRODUCT(--ISNUMBER(SEARCH(" "&amp;$CR$736:$CR$835&amp;" ",$AX63)))),"")</f>
        <v>0</v>
      </c>
      <c r="AR63" s="493">
        <f>IF(63=63,IF($U63="","",SUMPRODUCT(--ISNUMBER(SEARCH(" "&amp;$CR$836:$CR$935&amp;" ",$AX63)))),"")</f>
        <v>0</v>
      </c>
      <c r="AS63" s="493">
        <f>IF(63=63,IF($U63="","",SUMPRODUCT(--ISNUMBER(SEARCH(" "&amp;$CR$936:$CR$1035&amp;" ",$AX63)))),"")</f>
        <v>0</v>
      </c>
      <c r="AT63" s="493">
        <f>IF(63=63,IF($U63="","",SUMPRODUCT(--ISNUMBER(SEARCH(" "&amp;$CR$1036:$CR$1135&amp;" ",$AX63)))),"")</f>
        <v>0</v>
      </c>
      <c r="AU63" s="493">
        <f>IF(63=63,IF($U63="","",SUMPRODUCT(--ISNUMBER(SEARCH(" "&amp;$CR$1136:$CR$1235&amp;" ",$AX63)))),"")</f>
        <v>0</v>
      </c>
      <c r="AV63" s="493">
        <f>IF(63=63,IF($U63="","",SUMPRODUCT(--ISNUMBER(SEARCH(" "&amp;$CR$1236:$CR$1335&amp;" ",$AX63)))),"")</f>
        <v>0</v>
      </c>
      <c r="AW63" s="493">
        <f>IF(63=63,IF($U63="","",SUMPRODUCT(--ISNUMBER(SEARCH(" "&amp;$CR$1336:$CR$1363&amp;" ",$AX63)))),"")</f>
        <v>0</v>
      </c>
      <c r="AX63" s="493" t="str">
        <f>IF(63=63,IF($U63="","",SUBSTITUTE(SUBSTITUTE(SUBSTITUTE(SUBSTITUTE(SUBSTITUTE(SUBSTITUTE(SUBSTITUTE(SUBSTITUTE(SUBSTITUTE($AA63," "&amp;$CR$1365&amp;" "," ")," "&amp;$CR$1364&amp;" "," ")," "&amp;$CR$1370&amp;" "," ")," "&amp;$CR$1371&amp;" "," ")," "&amp;$CR$1367&amp;" "," ")," "&amp;$CR$1369&amp;" "," ")," "&amp;$CR$1366&amp;" "," ")," "&amp;$CR$1368&amp;" "," ")," "&amp;$CR$1372&amp;" "," ")),"")</f>
        <v xml:space="preserve"> mollusques </v>
      </c>
      <c r="AY63" s="493">
        <f>IF(63=63,IF($U63="","",SUMPRODUCT(--ISNUMBER(SEARCH(" "&amp;$CR$1373:$CR$1383&amp;" ",$AX63)))),"")</f>
        <v>0</v>
      </c>
      <c r="AZ63" s="493" t="str">
        <f>IF(63=63,IF($U63="","",IF(SUM(AN63:AW63)+SUMPRODUCT(--ISNUMBER(SEARCH(" "&amp;$CR$2421:$CR$2422&amp;" ",$AX63)))&gt;0,"X",IF(AY63&gt;0,"?",""))),"")</f>
        <v/>
      </c>
      <c r="BA63" s="493">
        <f>IF(63=63,IF($U63="","",SUMPRODUCT(--ISNUMBER(SEARCH(" "&amp;$CR$1384:$CR$1404&amp;" ",$AA63)))),"")</f>
        <v>0</v>
      </c>
      <c r="BB63" s="493" t="str">
        <f>IF(63=63,IF($U63="","",IF((BA63)-(0)&gt;0,"X",IF((0)-(0)&gt;0,"?",""))),"")</f>
        <v/>
      </c>
      <c r="BC63" s="493">
        <f>IF(63=63,IF($U63="","",SUMPRODUCT(--ISNUMBER(SEARCH(" "&amp;$CR$1405:$CR$1442&amp;" ",$BD63)))),"")</f>
        <v>0</v>
      </c>
      <c r="BD63" s="493" t="str">
        <f>IF(63=63,IF($U63="","",SUBSTITUTE(SUBSTITUTE($AA63," "&amp;$CR$1443&amp;" "," ")," "&amp;$CR$1444&amp;" "," ")),"")</f>
        <v xml:space="preserve"> mollusques </v>
      </c>
      <c r="BE63" s="493">
        <f>IF(63=63,IF($U63="","",SUMPRODUCT(--ISNUMBER(SEARCH(" "&amp;$CR$1445:$CR$1455&amp;" ",$BD63)))),"")</f>
        <v>0</v>
      </c>
      <c r="BF63" s="493" t="str">
        <f>IF(63=63,IF($U63="","",IF(BC63&gt;0,"X",IF(BE63&gt;0,"?",""))),"")</f>
        <v/>
      </c>
      <c r="BG63" s="493">
        <f>IF(63=63,IF($U63="","",SUMPRODUCT(--ISNUMBER(SEARCH(" "&amp;$CR$1456:$CR$1555&amp;" ",$BJ63)))),"")</f>
        <v>0</v>
      </c>
      <c r="BH63" s="493">
        <f>IF(63=63,IF($U63="","",SUMPRODUCT(--ISNUMBER(SEARCH(" "&amp;$CR$1556:$CR$1655&amp;" ",$BJ63)))),"")</f>
        <v>0</v>
      </c>
      <c r="BI63" s="493">
        <f>IF(63=63,IF($U63="","",SUMPRODUCT(--ISNUMBER(SEARCH(" "&amp;$CR$1656:$CR$1739&amp;" ",$BJ63)))),"")</f>
        <v>0</v>
      </c>
      <c r="BJ63" s="493" t="str">
        <f>IF(63=63,IF($U63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mollusques </v>
      </c>
      <c r="BK63" s="493">
        <f>IF(63=63,IF($U63="","",SUMPRODUCT(--ISNUMBER(SEARCH(" "&amp;$CR$1790:$CR$1869&amp;" ",$BL63)))+SUMPRODUCT(--ISNUMBER(SEARCH(" "&amp;$CR$2440:$CR$2453&amp;" ",$BL63)))),"")</f>
        <v>0</v>
      </c>
      <c r="BL63" s="493" t="str">
        <f>IF(63=63,IF($U63="","",SUBSTITUTE(SUBSTITUTE(SUBSTITUTE(SUBSTITUTE(SUBSTITUTE(SUBSTITUTE(SUBSTITUTE(SUBSTITUTE(SUBSTITUTE(SUBSTITUTE(SUBSTITUTE(SUBSTITUTE(SUBSTITUTE($BJ63," "&amp;$CR$1876&amp;" "," ")," "&amp;$CR$1874&amp;" "," ")," "&amp;$CR$2438&amp;" "," ")," "&amp;$CR$2439&amp;" "," ")," "&amp;$CR$1871&amp;" "," ")," "&amp;$CR$1875&amp;" "," ")," "&amp;$CR$1877&amp;" "," ")," "&amp;$CR$1872&amp;" "," ")," "&amp;$CR$1870&amp;" "," ")," "&amp;$CR$1367&amp;" "," ")," "&amp;$CR$1878&amp;" "," ")," "&amp;$CR$1366&amp;" "," ")," "&amp;$CR$1873&amp;" "," ")),"")</f>
        <v xml:space="preserve"> mollusques </v>
      </c>
      <c r="BM63" s="493" t="str">
        <f>IF(63=63,IF($U63="","",IF(SUM(BG63:BI63)+SUMPRODUCT(--ISNUMBER(SEARCH(" "&amp;$CR$2423:$CR$2424&amp;" ",$BJ63)))&gt;0,"X",IF(BK63&gt;0,"?",""))),"")</f>
        <v/>
      </c>
      <c r="BN63" s="493">
        <f>IF(63=63,IF($U63="","",SUMPRODUCT(--ISNUMBER(SEARCH(" "&amp;$CR$1879:$CR$1936&amp;" ",$BO63)))),"")</f>
        <v>0</v>
      </c>
      <c r="BO63" s="493" t="str">
        <f>IF(63=63,IF($U63="","",SUBSTITUTE(SUBSTITUTE(SUBSTITUTE(SUBSTITUTE(SUBSTITUTE(SUBSTITUTE(SUBSTITUTE(SUBSTITUTE(SUBSTITUTE(SUBSTITUTE(SUBSTITUTE(SUBSTITUTE(SUBSTITUTE(SUBSTITUTE(SUBSTITUTE(SUBSTITUTE(SUBSTITUTE(SUBSTITUTE(SUBSTITUTE(SUBSTITUTE(SUBSTITUTE(SUBSTITUTE(SUBSTITUTE($AA63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mollusques </v>
      </c>
      <c r="BP63" s="493">
        <f>IF(63=63,IF($U63="","",SUMPRODUCT(--ISNUMBER(SEARCH(" "&amp;$CR$1960:$CR$1976&amp;" ",$BO63)))),"")</f>
        <v>0</v>
      </c>
      <c r="BQ63" s="493" t="str">
        <f>IF(63=63,IF($U63="","",IF(BN63&gt;0,"X",IF(BP63&gt;0,"?",""))),"")</f>
        <v/>
      </c>
      <c r="BR63" s="493">
        <f>IF(63=63,IF($U63="","",SUMPRODUCT(--ISNUMBER(SEARCH(" "&amp;$CR$1977:$CR$1990&amp;" ",$AA63)))),"")</f>
        <v>0</v>
      </c>
      <c r="BS63" s="493">
        <f>IF(63=63,IF($U63="","",SUMPRODUCT(--ISNUMBER(SEARCH(" "&amp;$CR$1991:$CR$2005&amp;" ",$AA63)))),"")</f>
        <v>0</v>
      </c>
      <c r="BT63" s="493" t="str">
        <f>IF(63=63,IF($U63="","",IF((BR63)-(0)&gt;0,"X",IF((BS63)-(0)&gt;0,"?",""))),"")</f>
        <v/>
      </c>
      <c r="BU63" s="493">
        <f>IF(63=63,IF($U63="","",SUMPRODUCT(--ISNUMBER(SEARCH(" "&amp;$CR$2006:$CR$2023&amp;" ",$AA63)))),"")</f>
        <v>0</v>
      </c>
      <c r="BV63" s="493">
        <f>IF(63=63,IF($U63="","",SUMPRODUCT(--ISNUMBER(SEARCH(" "&amp;$CR$2024:$CR$2038&amp;" ",$AA63)))),"")</f>
        <v>0</v>
      </c>
      <c r="BW63" s="493" t="str">
        <f>IF(63=63,IF($U63="","",IF((BU63)-(0)&gt;0,"X",IF((BV63)-(0)&gt;0,"?",""))),"")</f>
        <v/>
      </c>
      <c r="BX63" s="493">
        <f>IF(63=63,IF($U63="","",SUMPRODUCT(--ISNUMBER(SEARCH(" "&amp;$CR$2039:$CR$2057&amp;" ",$AA63)))),"")</f>
        <v>0</v>
      </c>
      <c r="BY63" s="493">
        <f>IF(63=63,IF($U63="","",SUMPRODUCT(--ISNUMBER(SEARCH(" "&amp;$CR$2058:$CR$2072&amp;" ",$AA63)))),"")</f>
        <v>0</v>
      </c>
      <c r="BZ63" s="493" t="str">
        <f>IF(63=63,IF($U63="","",IF((BX63)-(0)&gt;0,"X",IF((BY63)-(0)&gt;0,"?",""))),"")</f>
        <v/>
      </c>
      <c r="CA63" s="493">
        <f>IF(63=63,IF($U63="","",SUMPRODUCT(--ISNUMBER(SEARCH(" "&amp;$CR$2073:$CR$2093&amp;" ",$AA63)))),"")</f>
        <v>0</v>
      </c>
      <c r="CB63" s="493">
        <f>IF(63=63,IF($U63="","",SUMPRODUCT(--ISNUMBER(SEARCH(" "&amp;$CR$2094:$CR$2133&amp;" ",SUBSTITUTE(SUBSTITUTE($AA63," "&amp;$CR$1367&amp;" "," ")," "&amp;$CR$1366&amp;" "," "))))+--ISNUMBER(SEARCH("poiré",$V63))),"")</f>
        <v>0</v>
      </c>
      <c r="CC63" s="493" t="str">
        <f>IF(63=63,IF($U63="","",IF(OR(CA63&gt;0,ISNUMBER(SEARCH(" vinaigre de vin ",$AA63)),ISNUMBER(SEARCH(" vinaigre au vin ",$AA63))),"X",IF(CB63&gt;0,"?",""))),"")</f>
        <v/>
      </c>
      <c r="CD63" s="493">
        <f>IF(63=63,IF($U63="","",SUMPRODUCT(--ISNUMBER(SEARCH(" "&amp;$CR$2134:$CR$2146&amp;" ",$AA63)))),"")</f>
        <v>0</v>
      </c>
      <c r="CE63" s="493">
        <f>IF(63=63,IF($U63="","",SUMPRODUCT(--ISNUMBER(SEARCH(" "&amp;$CR$2147:$CR$2152&amp;" ",$AA63)))),"")</f>
        <v>0</v>
      </c>
      <c r="CF63" s="493" t="str">
        <f>IF(63=63,IF($U63="","",IF((CD63)-(0)&gt;0,"X",IF((CE63)-(0)&gt;0,"?",""))),"")</f>
        <v/>
      </c>
      <c r="CG63" s="493">
        <f>IF(63=63,IF($U63="","",SUMPRODUCT(--ISNUMBER(SEARCH(" "&amp;$CR$2153:$CR$2252&amp;" ",$CJ63)))),"")</f>
        <v>0</v>
      </c>
      <c r="CH63" s="493">
        <f>IF(63=63,IF($U63="","",SUMPRODUCT(--ISNUMBER(SEARCH(" "&amp;$CR$2253:$CR$2352&amp;" ",$CJ63)))),"")</f>
        <v>1</v>
      </c>
      <c r="CI63" s="493">
        <f>IF(63=63,IF($U63="","",SUMPRODUCT(--ISNUMBER(SEARCH(" "&amp;$CR$2353:$CR$2395&amp;" ",$CJ63)))),"")</f>
        <v>0</v>
      </c>
      <c r="CJ63" s="493" t="str">
        <f>IF(63=63,IF($U63="","",SUBSTITUTE(SUBSTITUTE(SUBSTITUTE(SUBSTITUTE(SUBSTITUTE(SUBSTITUTE(SUBSTITUTE(SUBSTITUTE(SUBSTITUTE(SUBSTITUTE(SUBSTITUTE(SUBSTITUTE(SUBSTITUTE(SUBSTITUTE(SUBSTITUTE(SUBSTITUTE($AA63," "&amp;$CR$2401&amp;" "," ")," "&amp;$CR$2400&amp;" "," ")," "&amp;$CR$2399&amp;" "," ")," "&amp;$CR$2406&amp;" "," ")," "&amp;$CR$2398&amp;" "," ")," "&amp;$CR$2410&amp;" "," ")," "&amp;$CR$2397&amp;" "," ")," "&amp;$CR$2402&amp;" "," ")," "&amp;$CR$2405&amp;" "," ")," "&amp;$CR$2396&amp;" "," ")," "&amp;$CR$2404&amp;" "," ")," "&amp;$CR$2411&amp;" "," ")," "&amp;$CR$2408&amp;" "," ")," "&amp;$CR$2403&amp;" "," ")," "&amp;$CR$2407&amp;" "," ")," "&amp;$CR$2409&amp;" "," ")),"")</f>
        <v xml:space="preserve"> mollusques </v>
      </c>
      <c r="CK63" s="493">
        <f>IF(63=63,IF($U63="","",SUMPRODUCT(--ISNUMBER(SEARCH(" "&amp;$CR$2412:$CR$2416&amp;" ",$CJ63)))),"")</f>
        <v>0</v>
      </c>
      <c r="CL63" s="493" t="str">
        <f>IF(63=63,IF($U63="","",IF(SUM(CG63:CI63)&gt;0,"X",IF(CK63&gt;0,"?",""))),"")</f>
        <v>X</v>
      </c>
      <c r="CM63" s="494"/>
      <c r="CN63" s="496" t="s">
        <v>1255</v>
      </c>
      <c r="CO63" s="496" t="s">
        <v>1083</v>
      </c>
      <c r="CP63" s="496" t="s">
        <v>689</v>
      </c>
      <c r="CQ63" s="496" t="s">
        <v>904</v>
      </c>
      <c r="CR63" s="496" t="s">
        <v>904</v>
      </c>
      <c r="CS63" s="496" t="s">
        <v>1085</v>
      </c>
      <c r="CT63" s="496" t="s">
        <v>1086</v>
      </c>
      <c r="CU63" s="496" t="s">
        <v>1087</v>
      </c>
      <c r="CV63" s="497" t="s">
        <v>1088</v>
      </c>
      <c r="CX63" s="543">
        <v>1</v>
      </c>
    </row>
    <row r="64" spans="1:102" ht="21" customHeight="1">
      <c r="A64" s="509">
        <v>58</v>
      </c>
      <c r="B64" s="510" t="s">
        <v>241</v>
      </c>
      <c r="C64" s="511" t="str">
        <f t="shared" si="0"/>
        <v>Fruits à coque *</v>
      </c>
      <c r="D64" s="512" t="str">
        <f>IF(64=64,IF($B64="","",IF(E64="X",""&amp;"Céréales contenant du gluten","")&amp;IF(F64="X",IF(COUNTIF($E64:$E64,"X")&gt;0,", ","")&amp;"Crustacés","")&amp;IF(G64="X",IF(COUNTIF($E64:$F64,"X")&gt;0,", ","")&amp;"Œufs","")&amp;IF(H64="X",IF(COUNTIF($E64:$G64,"X")&gt;0,", ","")&amp;"Poissons","")&amp;IF(I64="X",IF(COUNTIF($E64:$H64,"X")&gt;0,", ","")&amp;"Arachides","")&amp;IF(J64="X",IF(COUNTIF($E64:$I64,"X")&gt;0,", ","")&amp;"Soja","")&amp;IF(K64="X",IF(COUNTIF($E64:$J64,"X")&gt;0,", ","")&amp;"Lait","")&amp;IF(L64="X",IF(COUNTIF($E64:$K64,"X")&gt;0,", ","")&amp;"Fruits à coque","")&amp;IF(M64="X",IF(COUNTIF($E64:$L64,"X")&gt;0,", ","")&amp;"Céleri","")&amp;IF(N64="X",IF(COUNTIF($E64:$M64,"X")&gt;0,", ","")&amp;"Moutarde","")&amp;IF(O64="X",IF(COUNTIF($E64:$N64,"X")&gt;0,", ","")&amp;"Sésame","")&amp;IF(P64="X",IF(COUNTIF($E64:$O64,"X")&gt;0,", ","")&amp;"Sulfites","")&amp;IF(Q64="X",IF(COUNTIF($E64:$P64,"X")&gt;0,", ","")&amp;"Lupin","")&amp;IF(R64="X",IF(COUNTIF($E64:$Q64,"X")&gt;0,", ","")&amp;"Mollusques","")),"")</f>
        <v>Mollusques</v>
      </c>
      <c r="E64" s="513" t="str">
        <f>IF(64=64,IF($B64="","",AF64),"")</f>
        <v/>
      </c>
      <c r="F64" s="513" t="str">
        <f>IF(64=64,IF($B64="","",AI64),"")</f>
        <v/>
      </c>
      <c r="G64" s="513" t="str">
        <f>IF(64=64,IF($B64="","",AM64),"")</f>
        <v/>
      </c>
      <c r="H64" s="513" t="str">
        <f>IF(64=64,IF($B64="","",IF(ISNUMBER(SEARCH(" colin ",$AA64)),"X",AZ64)),"")</f>
        <v/>
      </c>
      <c r="I64" s="513" t="str">
        <f>IF(64=64,IF($B64="","",BB64),"")</f>
        <v/>
      </c>
      <c r="J64" s="513" t="str">
        <f>IF(64=64,IF($B64="","",BF64),"")</f>
        <v/>
      </c>
      <c r="K64" s="513" t="str">
        <f>IF(64=64,IF($B64="","",BM64),"")</f>
        <v/>
      </c>
      <c r="L64" s="513" t="str">
        <f>IF(64=64,IF($B64="","",BQ64),"")</f>
        <v/>
      </c>
      <c r="M64" s="513" t="str">
        <f>IF(64=64,IF($B64="","",BT64),"")</f>
        <v/>
      </c>
      <c r="N64" s="513" t="str">
        <f>IF(64=64,IF($B64="","",BW64),"")</f>
        <v/>
      </c>
      <c r="O64" s="513" t="str">
        <f>IF(64=64,IF($B64="","",BZ64),"")</f>
        <v/>
      </c>
      <c r="P64" s="513" t="str">
        <f>IF(64=64,IF($B64="","",CC64),"")</f>
        <v/>
      </c>
      <c r="Q64" s="513" t="str">
        <f>IF(64=64,IF($B64="","",CF64),"")</f>
        <v/>
      </c>
      <c r="R64" s="513" t="str">
        <f>IF(64=64,IF($B64="","",CL64),"")</f>
        <v>X</v>
      </c>
      <c r="S64" s="514" t="str">
        <f>IF(64=64,IF($B64="","",IF(E64="?",""&amp;"Céréales contenant du gluten","")&amp;IF(F64="?",IF(COUNTIF($E64:$E64,"~?")&gt;0,", ","")&amp;"Crustacés","")&amp;IF(G64="?",IF(COUNTIF($E64:$F64,"~?")&gt;0,", ","")&amp;"Œufs","")&amp;IF(H64="?",IF(COUNTIF($E64:$G64,"~?")&gt;0,", ","")&amp;"Poissons","")&amp;IF(I64="?",IF(COUNTIF($E64:$H64,"~?")&gt;0,", ","")&amp;"Arachides","")&amp;IF(J64="?",IF(COUNTIF($E64:$I64,"~?")&gt;0,", ","")&amp;"Soja","")&amp;IF(K64="?",IF(COUNTIF($E64:$J64,"~?")&gt;0,", ","")&amp;"Lait","")&amp;IF(L64="?",IF(COUNTIF($E64:$K64,"~?")&gt;0,", ","")&amp;"Fruits à coque","")&amp;IF(M64="?",IF(COUNTIF($E64:$L64,"~?")&gt;0,", ","")&amp;"Céleri","")&amp;IF(N64="?",IF(COUNTIF($E64:$M64,"~?")&gt;0,", ","")&amp;"Moutarde","")&amp;IF(O64="?",IF(COUNTIF($E64:$N64,"~?")&gt;0,", ","")&amp;"Sésame","")&amp;IF(P64="?",IF(COUNTIF($E64:$O64,"~?")&gt;0,", ","")&amp;"Sulfites","")&amp;IF(Q64="?",IF(COUNTIF($E64:$P64,"~?")&gt;0,", ","")&amp;"Lupin","")&amp;IF(R64="?",IF(COUNTIF($E64:$Q64,"~?")&gt;0,", ","")&amp;"Mollusques","")),"")</f>
        <v/>
      </c>
      <c r="U64" s="493" t="str">
        <f>IF(64=64,IF($B64="","",$B64),"")</f>
        <v>Fruits à coque</v>
      </c>
      <c r="V64" s="493" t="str">
        <f>IF(64=64,LOWER(CLEAN(SUBSTITUTE(SUBSTITUTE(SUBSTITUTE(SUBSTITUTE($U64,CHAR(160)," ")," "," "),CHAR(10)," "),CHAR(13)," "))),"")</f>
        <v>fruits à coque</v>
      </c>
      <c r="W64" s="493" t="str">
        <f>IF(64=64,SUBSTITUTE(SUBSTITUTE(SUBSTITUTE(SUBSTITUTE(SUBSTITUTE(SUBSTITUTE(SUBSTITUTE(SUBSTITUTE(SUBSTITUTE(SUBSTITUTE(SUBSTITUTE(SUBSTITUTE($V64,"œ","oe"),"æ","ae"),"à","a"),"á","a"),"â","a"),"ä","a"),"ã","a"),"ç","c"),"è","e"),"é","e"),"ê","e"),"ë","e"),"")</f>
        <v>fruits a coque</v>
      </c>
      <c r="X64" s="493" t="str">
        <f>IF(64=64,SUBSTITUTE(SUBSTITUTE(SUBSTITUTE(SUBSTITUTE(SUBSTITUTE(SUBSTITUTE(SUBSTITUTE(SUBSTITUTE(SUBSTITUTE(SUBSTITUTE(SUBSTITUTE(SUBSTITUTE(SUBSTITUTE(SUBSTITUTE(SUBSTITUTE(SUBSTITUTE($W64,"ì","i"),"í","i"),"î","i"),"ï","i"),"ñ","n"),"ò","o"),"ó","o"),"ô","o"),"ö","o"),"õ","o"),"ù","u"),"ú","u"),"û","u"),"ü","u"),"ý","y"),"ÿ","y"),"")</f>
        <v>fruits a coque</v>
      </c>
      <c r="Y64" s="493" t="str">
        <f>IF(64=64,SUBSTITUTE(SUBSTITUTE(SUBSTITUTE(SUBSTITUTE(SUBSTITUTE(SUBSTITUTE(SUBSTITUTE(SUBSTITUTE(SUBSTITUTE(SUBSTITUTE(SUBSTITUTE(SUBSTITUTE(SUBSTITUTE(SUBSTITUTE($X64,"’"," "),"`"," "),"–"," "),"—"," "),"-"," "),"'"," "),"/"," "),"_"," "),","," "),"."," "),"("," "),")"," "),";"," "),":"," "),"")</f>
        <v>fruits a coque</v>
      </c>
      <c r="Z64" s="493" t="str">
        <f>IF(64=64,SUBSTITUTE(SUBSTITUTE(SUBSTITUTE(SUBSTITUTE(SUBSTITUTE(SUBSTITUTE(SUBSTITUTE(SUBSTITUTE(SUBSTITUTE(SUBSTITUTE(SUBSTITUTE(SUBSTITUTE(SUBSTITUTE(SUBSTITUTE(SUBSTITUTE($Y64,"!"," "),"?"," "),"+"," "),"*"," "),"&amp;"," "),"["," "),"]"," "),"{"," "),"}"," "),"%"," "),"="," "),"\"," "),"|"," "),"&lt;"," "),"&gt;"," "),"")</f>
        <v>fruits a coque</v>
      </c>
      <c r="AA64" s="493" t="str">
        <f>IF(64=64," "&amp;TRIM(SUBSTITUTE(SUBSTITUTE(SUBSTITUTE(SUBSTITUTE(SUBSTITUTE(SUBSTITUTE($Z64,CHAR(34)," "),"  "," "),"  "," "),"  "," "),"  "," "),"  "," "))&amp;" ","")</f>
        <v xml:space="preserve"> fruits a coque </v>
      </c>
      <c r="AB64" s="493">
        <f>IF(64=64,IF($U64="","",SUMPRODUCT(--ISNUMBER(SEARCH(" "&amp;$CR$2:$CR$101&amp;" ",$AD64)))),"")</f>
        <v>0</v>
      </c>
      <c r="AC64" s="493">
        <f>IF(64=64,IF($U64="","",SUMPRODUCT(--ISNUMBER(SEARCH(" "&amp;$CR$102:$CR$151&amp;" ",$AD64)))),"")</f>
        <v>0</v>
      </c>
      <c r="AD64" s="493" t="str">
        <f t="shared" si="1"/>
        <v xml:space="preserve"> fruits a coque </v>
      </c>
      <c r="AE64" s="493">
        <f t="shared" si="2"/>
        <v>0</v>
      </c>
      <c r="AF64" s="493" t="str">
        <f>IF(64=64,IF($U64="","",IF(SUM(AB64:AC64)+SUMPRODUCT(--ISNUMBER(SEARCH(" "&amp;$CR$2418:$CR$2420&amp;" ",$AD64)))&gt;0,"X",IF(AE64&gt;0,"?",""))),"")</f>
        <v/>
      </c>
      <c r="AG64" s="493">
        <f>IF(64=64,IF($U64="","",SUMPRODUCT(--ISNUMBER(SEARCH(" "&amp;$CR$206:$CR$305&amp;" ",$AA64)))),"")</f>
        <v>0</v>
      </c>
      <c r="AH64" s="493">
        <f>IF(64=64,IF($U64="","",SUMPRODUCT(--ISNUMBER(SEARCH(" "&amp;$CR$306:$CR$340&amp;" ",$AA64)))),"")</f>
        <v>0</v>
      </c>
      <c r="AI64" s="493" t="str">
        <f>IF(64=64,IF($U64="","",IF((SUM(AG64:AH64))-(0)&gt;0,"X",IF((0)-(0)&gt;0,"?",""))),"")</f>
        <v/>
      </c>
      <c r="AJ64" s="493">
        <f>IF(64=64,IF($U64="","",SUMPRODUCT(--ISNUMBER(SEARCH(" "&amp;$CR$341:$CR$398&amp;" ",$AA64)))),"")</f>
        <v>0</v>
      </c>
      <c r="AK64" s="493">
        <f>IF(64=64,IF($U64="","",SUMPRODUCT(--ISNUMBER(SEARCH(" "&amp;$CR$399:$CR$426&amp;" ",$AL64)))+SUMPRODUCT(--ISNUMBER(SEARCH(" "&amp;$CR$2440:$CR$2453&amp;" ",$AL64)))),"")</f>
        <v>0</v>
      </c>
      <c r="AL64" s="493" t="str">
        <f>IF(64=64,IF($U64="","",SUBSTITUTE(SUBSTITUTE(SUBSTITUTE(SUBSTITUTE(SUBSTITUTE(SUBSTITUTE(SUBSTITUTE(SUBSTITUTE(SUBSTITUTE(SUBSTITUTE(SUBSTITUTE(SUBSTITUTE(SUBSTITUTE(SUBSTITUTE($AA64," "&amp;$CR$2455&amp;" "," ")," "&amp;$CR$433&amp;" "," ")," "&amp;$CR$431&amp;" "," ")," "&amp;$CR$2438&amp;" "," ")," "&amp;$CR$2439&amp;" "," ")," "&amp;$CR$428&amp;" "," ")," "&amp;$CR$432&amp;" "," ")," "&amp;$CR$434&amp;" "," ")," "&amp;$CR$429&amp;" "," ")," "&amp;$CR$427&amp;" "," ")," "&amp;$CR$1367&amp;" "," ")," "&amp;$CR$435&amp;" "," ")," "&amp;$CR$1366&amp;" "," ")," "&amp;$CR$430&amp;" "," ")),"")</f>
        <v xml:space="preserve"> fruits a coque </v>
      </c>
      <c r="AM64" s="493" t="str">
        <f>IF(64=64,IF($U64="","",IF(AJ64&gt;0,"X",IF(AK64&gt;0,"?",""))),"")</f>
        <v/>
      </c>
      <c r="AN64" s="493">
        <f>IF(64=64,IF($U64="","",SUMPRODUCT(--ISNUMBER(SEARCH(" "&amp;$CR$436:$CR$535&amp;" ",$AX64)))),"")</f>
        <v>0</v>
      </c>
      <c r="AO64" s="493">
        <f>IF(64=64,IF($U64="","",SUMPRODUCT(--ISNUMBER(SEARCH(" "&amp;$CR$536:$CR$635&amp;" ",$AX64)))),"")</f>
        <v>0</v>
      </c>
      <c r="AP64" s="493">
        <f>IF(64=64,IF($U64="","",SUMPRODUCT(--ISNUMBER(SEARCH(" "&amp;$CR$636:$CR$735&amp;" ",$AX64)))),"")</f>
        <v>0</v>
      </c>
      <c r="AQ64" s="493">
        <f>IF(64=64,IF($U64="","",SUMPRODUCT(--ISNUMBER(SEARCH(" "&amp;$CR$736:$CR$835&amp;" ",$AX64)))),"")</f>
        <v>0</v>
      </c>
      <c r="AR64" s="493">
        <f>IF(64=64,IF($U64="","",SUMPRODUCT(--ISNUMBER(SEARCH(" "&amp;$CR$836:$CR$935&amp;" ",$AX64)))),"")</f>
        <v>0</v>
      </c>
      <c r="AS64" s="493">
        <f>IF(64=64,IF($U64="","",SUMPRODUCT(--ISNUMBER(SEARCH(" "&amp;$CR$936:$CR$1035&amp;" ",$AX64)))),"")</f>
        <v>0</v>
      </c>
      <c r="AT64" s="493">
        <f>IF(64=64,IF($U64="","",SUMPRODUCT(--ISNUMBER(SEARCH(" "&amp;$CR$1036:$CR$1135&amp;" ",$AX64)))),"")</f>
        <v>0</v>
      </c>
      <c r="AU64" s="493">
        <f>IF(64=64,IF($U64="","",SUMPRODUCT(--ISNUMBER(SEARCH(" "&amp;$CR$1136:$CR$1235&amp;" ",$AX64)))),"")</f>
        <v>0</v>
      </c>
      <c r="AV64" s="493">
        <f>IF(64=64,IF($U64="","",SUMPRODUCT(--ISNUMBER(SEARCH(" "&amp;$CR$1236:$CR$1335&amp;" ",$AX64)))),"")</f>
        <v>0</v>
      </c>
      <c r="AW64" s="493">
        <f>IF(64=64,IF($U64="","",SUMPRODUCT(--ISNUMBER(SEARCH(" "&amp;$CR$1336:$CR$1363&amp;" ",$AX64)))),"")</f>
        <v>0</v>
      </c>
      <c r="AX64" s="493" t="str">
        <f>IF(64=64,IF($U64="","",SUBSTITUTE(SUBSTITUTE(SUBSTITUTE(SUBSTITUTE(SUBSTITUTE(SUBSTITUTE(SUBSTITUTE(SUBSTITUTE(SUBSTITUTE($AA64," "&amp;$CR$1365&amp;" "," ")," "&amp;$CR$1364&amp;" "," ")," "&amp;$CR$1370&amp;" "," ")," "&amp;$CR$1371&amp;" "," ")," "&amp;$CR$1367&amp;" "," ")," "&amp;$CR$1369&amp;" "," ")," "&amp;$CR$1366&amp;" "," ")," "&amp;$CR$1368&amp;" "," ")," "&amp;$CR$1372&amp;" "," ")),"")</f>
        <v xml:space="preserve"> fruits a coque </v>
      </c>
      <c r="AY64" s="493">
        <f>IF(64=64,IF($U64="","",SUMPRODUCT(--ISNUMBER(SEARCH(" "&amp;$CR$1373:$CR$1383&amp;" ",$AX64)))),"")</f>
        <v>0</v>
      </c>
      <c r="AZ64" s="493" t="str">
        <f>IF(64=64,IF($U64="","",IF(SUM(AN64:AW64)+SUMPRODUCT(--ISNUMBER(SEARCH(" "&amp;$CR$2421:$CR$2422&amp;" ",$AX64)))&gt;0,"X",IF(AY64&gt;0,"?",""))),"")</f>
        <v/>
      </c>
      <c r="BA64" s="493">
        <f>IF(64=64,IF($U64="","",SUMPRODUCT(--ISNUMBER(SEARCH(" "&amp;$CR$1384:$CR$1404&amp;" ",$AA64)))),"")</f>
        <v>0</v>
      </c>
      <c r="BB64" s="493" t="str">
        <f>IF(64=64,IF($U64="","",IF((BA64)-(0)&gt;0,"X",IF((0)-(0)&gt;0,"?",""))),"")</f>
        <v/>
      </c>
      <c r="BC64" s="493">
        <f>IF(64=64,IF($U64="","",SUMPRODUCT(--ISNUMBER(SEARCH(" "&amp;$CR$1405:$CR$1442&amp;" ",$BD64)))),"")</f>
        <v>0</v>
      </c>
      <c r="BD64" s="493" t="str">
        <f>IF(64=64,IF($U64="","",SUBSTITUTE(SUBSTITUTE($AA64," "&amp;$CR$1443&amp;" "," ")," "&amp;$CR$1444&amp;" "," ")),"")</f>
        <v xml:space="preserve"> fruits a coque </v>
      </c>
      <c r="BE64" s="493">
        <f>IF(64=64,IF($U64="","",SUMPRODUCT(--ISNUMBER(SEARCH(" "&amp;$CR$1445:$CR$1455&amp;" ",$BD64)))),"")</f>
        <v>0</v>
      </c>
      <c r="BF64" s="493" t="str">
        <f>IF(64=64,IF($U64="","",IF(BC64&gt;0,"X",IF(BE64&gt;0,"?",""))),"")</f>
        <v/>
      </c>
      <c r="BG64" s="493">
        <f>IF(64=64,IF($U64="","",SUMPRODUCT(--ISNUMBER(SEARCH(" "&amp;$CR$1456:$CR$1555&amp;" ",$BJ64)))),"")</f>
        <v>0</v>
      </c>
      <c r="BH64" s="493">
        <f>IF(64=64,IF($U64="","",SUMPRODUCT(--ISNUMBER(SEARCH(" "&amp;$CR$1556:$CR$1655&amp;" ",$BJ64)))),"")</f>
        <v>0</v>
      </c>
      <c r="BI64" s="493">
        <f>IF(64=64,IF($U64="","",SUMPRODUCT(--ISNUMBER(SEARCH(" "&amp;$CR$1656:$CR$1739&amp;" ",$BJ64)))),"")</f>
        <v>0</v>
      </c>
      <c r="BJ64" s="493" t="str">
        <f>IF(64=64,IF($U64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fruits a coque </v>
      </c>
      <c r="BK64" s="493">
        <f>IF(64=64,IF($U64="","",SUMPRODUCT(--ISNUMBER(SEARCH(" "&amp;$CR$1790:$CR$1869&amp;" ",$BL64)))+SUMPRODUCT(--ISNUMBER(SEARCH(" "&amp;$CR$2440:$CR$2453&amp;" ",$BL64)))),"")</f>
        <v>0</v>
      </c>
      <c r="BL64" s="493" t="str">
        <f>IF(64=64,IF($U64="","",SUBSTITUTE(SUBSTITUTE(SUBSTITUTE(SUBSTITUTE(SUBSTITUTE(SUBSTITUTE(SUBSTITUTE(SUBSTITUTE(SUBSTITUTE(SUBSTITUTE(SUBSTITUTE(SUBSTITUTE(SUBSTITUTE($BJ64," "&amp;$CR$1876&amp;" "," ")," "&amp;$CR$1874&amp;" "," ")," "&amp;$CR$2438&amp;" "," ")," "&amp;$CR$2439&amp;" "," ")," "&amp;$CR$1871&amp;" "," ")," "&amp;$CR$1875&amp;" "," ")," "&amp;$CR$1877&amp;" "," ")," "&amp;$CR$1872&amp;" "," ")," "&amp;$CR$1870&amp;" "," ")," "&amp;$CR$1367&amp;" "," ")," "&amp;$CR$1878&amp;" "," ")," "&amp;$CR$1366&amp;" "," ")," "&amp;$CR$1873&amp;" "," ")),"")</f>
        <v xml:space="preserve"> fruits a coque </v>
      </c>
      <c r="BM64" s="493" t="str">
        <f>IF(64=64,IF($U64="","",IF(SUM(BG64:BI64)+SUMPRODUCT(--ISNUMBER(SEARCH(" "&amp;$CR$2423:$CR$2424&amp;" ",$BJ64)))&gt;0,"X",IF(BK64&gt;0,"?",""))),"")</f>
        <v/>
      </c>
      <c r="BN64" s="493">
        <f>IF(64=64,IF($U64="","",SUMPRODUCT(--ISNUMBER(SEARCH(" "&amp;$CR$1879:$CR$1936&amp;" ",$BO64)))),"")</f>
        <v>0</v>
      </c>
      <c r="BO64" s="493" t="str">
        <f>IF(64=64,IF($U64="","",SUBSTITUTE(SUBSTITUTE(SUBSTITUTE(SUBSTITUTE(SUBSTITUTE(SUBSTITUTE(SUBSTITUTE(SUBSTITUTE(SUBSTITUTE(SUBSTITUTE(SUBSTITUTE(SUBSTITUTE(SUBSTITUTE(SUBSTITUTE(SUBSTITUTE(SUBSTITUTE(SUBSTITUTE(SUBSTITUTE(SUBSTITUTE(SUBSTITUTE(SUBSTITUTE(SUBSTITUTE(SUBSTITUTE($AA64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fruits a coque </v>
      </c>
      <c r="BP64" s="493">
        <f>IF(64=64,IF($U64="","",SUMPRODUCT(--ISNUMBER(SEARCH(" "&amp;$CR$1960:$CR$1976&amp;" ",$BO64)))),"")</f>
        <v>0</v>
      </c>
      <c r="BQ64" s="493" t="str">
        <f>IF(64=64,IF($U64="","",IF(BN64&gt;0,"X",IF(BP64&gt;0,"?",""))),"")</f>
        <v/>
      </c>
      <c r="BR64" s="493">
        <f>IF(64=64,IF($U64="","",SUMPRODUCT(--ISNUMBER(SEARCH(" "&amp;$CR$1977:$CR$1990&amp;" ",$AA64)))),"")</f>
        <v>0</v>
      </c>
      <c r="BS64" s="493">
        <f>IF(64=64,IF($U64="","",SUMPRODUCT(--ISNUMBER(SEARCH(" "&amp;$CR$1991:$CR$2005&amp;" ",$AA64)))),"")</f>
        <v>0</v>
      </c>
      <c r="BT64" s="493" t="str">
        <f>IF(64=64,IF($U64="","",IF((BR64)-(0)&gt;0,"X",IF((BS64)-(0)&gt;0,"?",""))),"")</f>
        <v/>
      </c>
      <c r="BU64" s="493">
        <f>IF(64=64,IF($U64="","",SUMPRODUCT(--ISNUMBER(SEARCH(" "&amp;$CR$2006:$CR$2023&amp;" ",$AA64)))),"")</f>
        <v>0</v>
      </c>
      <c r="BV64" s="493">
        <f>IF(64=64,IF($U64="","",SUMPRODUCT(--ISNUMBER(SEARCH(" "&amp;$CR$2024:$CR$2038&amp;" ",$AA64)))),"")</f>
        <v>0</v>
      </c>
      <c r="BW64" s="493" t="str">
        <f>IF(64=64,IF($U64="","",IF((BU64)-(0)&gt;0,"X",IF((BV64)-(0)&gt;0,"?",""))),"")</f>
        <v/>
      </c>
      <c r="BX64" s="493">
        <f>IF(64=64,IF($U64="","",SUMPRODUCT(--ISNUMBER(SEARCH(" "&amp;$CR$2039:$CR$2057&amp;" ",$AA64)))),"")</f>
        <v>0</v>
      </c>
      <c r="BY64" s="493">
        <f>IF(64=64,IF($U64="","",SUMPRODUCT(--ISNUMBER(SEARCH(" "&amp;$CR$2058:$CR$2072&amp;" ",$AA64)))),"")</f>
        <v>0</v>
      </c>
      <c r="BZ64" s="493" t="str">
        <f>IF(64=64,IF($U64="","",IF((BX64)-(0)&gt;0,"X",IF((BY64)-(0)&gt;0,"?",""))),"")</f>
        <v/>
      </c>
      <c r="CA64" s="493">
        <f>IF(64=64,IF($U64="","",SUMPRODUCT(--ISNUMBER(SEARCH(" "&amp;$CR$2073:$CR$2093&amp;" ",$AA64)))),"")</f>
        <v>0</v>
      </c>
      <c r="CB64" s="493">
        <f>IF(64=64,IF($U64="","",SUMPRODUCT(--ISNUMBER(SEARCH(" "&amp;$CR$2094:$CR$2133&amp;" ",SUBSTITUTE(SUBSTITUTE($AA64," "&amp;$CR$1367&amp;" "," ")," "&amp;$CR$1366&amp;" "," "))))+--ISNUMBER(SEARCH("poiré",$V64))),"")</f>
        <v>0</v>
      </c>
      <c r="CC64" s="493" t="str">
        <f>IF(64=64,IF($U64="","",IF(OR(CA64&gt;0,ISNUMBER(SEARCH(" vinaigre de vin ",$AA64)),ISNUMBER(SEARCH(" vinaigre au vin ",$AA64))),"X",IF(CB64&gt;0,"?",""))),"")</f>
        <v/>
      </c>
      <c r="CD64" s="493">
        <f>IF(64=64,IF($U64="","",SUMPRODUCT(--ISNUMBER(SEARCH(" "&amp;$CR$2134:$CR$2146&amp;" ",$AA64)))),"")</f>
        <v>0</v>
      </c>
      <c r="CE64" s="493">
        <f>IF(64=64,IF($U64="","",SUMPRODUCT(--ISNUMBER(SEARCH(" "&amp;$CR$2147:$CR$2152&amp;" ",$AA64)))),"")</f>
        <v>0</v>
      </c>
      <c r="CF64" s="493" t="str">
        <f>IF(64=64,IF($U64="","",IF((CD64)-(0)&gt;0,"X",IF((CE64)-(0)&gt;0,"?",""))),"")</f>
        <v/>
      </c>
      <c r="CG64" s="493">
        <f>IF(64=64,IF($U64="","",SUMPRODUCT(--ISNUMBER(SEARCH(" "&amp;$CR$2153:$CR$2252&amp;" ",$CJ64)))),"")</f>
        <v>1</v>
      </c>
      <c r="CH64" s="493">
        <f>IF(64=64,IF($U64="","",SUMPRODUCT(--ISNUMBER(SEARCH(" "&amp;$CR$2253:$CR$2352&amp;" ",$CJ64)))),"")</f>
        <v>0</v>
      </c>
      <c r="CI64" s="493">
        <f>IF(64=64,IF($U64="","",SUMPRODUCT(--ISNUMBER(SEARCH(" "&amp;$CR$2353:$CR$2395&amp;" ",$CJ64)))),"")</f>
        <v>0</v>
      </c>
      <c r="CJ64" s="493" t="str">
        <f>IF(64=64,IF($U64="","",SUBSTITUTE(SUBSTITUTE(SUBSTITUTE(SUBSTITUTE(SUBSTITUTE(SUBSTITUTE(SUBSTITUTE(SUBSTITUTE(SUBSTITUTE(SUBSTITUTE(SUBSTITUTE(SUBSTITUTE(SUBSTITUTE(SUBSTITUTE(SUBSTITUTE(SUBSTITUTE($AA64," "&amp;$CR$2401&amp;" "," ")," "&amp;$CR$2400&amp;" "," ")," "&amp;$CR$2399&amp;" "," ")," "&amp;$CR$2406&amp;" "," ")," "&amp;$CR$2398&amp;" "," ")," "&amp;$CR$2410&amp;" "," ")," "&amp;$CR$2397&amp;" "," ")," "&amp;$CR$2402&amp;" "," ")," "&amp;$CR$2405&amp;" "," ")," "&amp;$CR$2396&amp;" "," ")," "&amp;$CR$2404&amp;" "," ")," "&amp;$CR$2411&amp;" "," ")," "&amp;$CR$2408&amp;" "," ")," "&amp;$CR$2403&amp;" "," ")," "&amp;$CR$2407&amp;" "," ")," "&amp;$CR$2409&amp;" "," ")),"")</f>
        <v xml:space="preserve"> fruits a coque </v>
      </c>
      <c r="CK64" s="493">
        <f>IF(64=64,IF($U64="","",SUMPRODUCT(--ISNUMBER(SEARCH(" "&amp;$CR$2412:$CR$2416&amp;" ",$CJ64)))),"")</f>
        <v>0</v>
      </c>
      <c r="CL64" s="493" t="str">
        <f>IF(64=64,IF($U64="","",IF(SUM(CG64:CI64)&gt;0,"X",IF(CK64&gt;0,"?",""))),"")</f>
        <v>X</v>
      </c>
      <c r="CM64" s="494"/>
      <c r="CN64" s="496" t="s">
        <v>1256</v>
      </c>
      <c r="CO64" s="496" t="s">
        <v>1083</v>
      </c>
      <c r="CP64" s="496" t="s">
        <v>689</v>
      </c>
      <c r="CQ64" s="496" t="s">
        <v>905</v>
      </c>
      <c r="CR64" s="496" t="s">
        <v>905</v>
      </c>
      <c r="CS64" s="496" t="s">
        <v>1085</v>
      </c>
      <c r="CT64" s="496" t="s">
        <v>1086</v>
      </c>
      <c r="CU64" s="496" t="s">
        <v>1087</v>
      </c>
      <c r="CV64" s="497" t="s">
        <v>1088</v>
      </c>
      <c r="CX64" s="543">
        <v>1</v>
      </c>
    </row>
    <row r="65" spans="1:102" ht="21" customHeight="1">
      <c r="A65" s="509">
        <v>59</v>
      </c>
      <c r="B65" s="510" t="s">
        <v>10</v>
      </c>
      <c r="C65" s="511" t="str">
        <f t="shared" si="0"/>
        <v>Soja *</v>
      </c>
      <c r="D65" s="512" t="str">
        <f>IF(65=65,IF($B65="","",IF(E65="X",""&amp;"Céréales contenant du gluten","")&amp;IF(F65="X",IF(COUNTIF($E65:$E65,"X")&gt;0,", ","")&amp;"Crustacés","")&amp;IF(G65="X",IF(COUNTIF($E65:$F65,"X")&gt;0,", ","")&amp;"Œufs","")&amp;IF(H65="X",IF(COUNTIF($E65:$G65,"X")&gt;0,", ","")&amp;"Poissons","")&amp;IF(I65="X",IF(COUNTIF($E65:$H65,"X")&gt;0,", ","")&amp;"Arachides","")&amp;IF(J65="X",IF(COUNTIF($E65:$I65,"X")&gt;0,", ","")&amp;"Soja","")&amp;IF(K65="X",IF(COUNTIF($E65:$J65,"X")&gt;0,", ","")&amp;"Lait","")&amp;IF(L65="X",IF(COUNTIF($E65:$K65,"X")&gt;0,", ","")&amp;"Fruits à coque","")&amp;IF(M65="X",IF(COUNTIF($E65:$L65,"X")&gt;0,", ","")&amp;"Céleri","")&amp;IF(N65="X",IF(COUNTIF($E65:$M65,"X")&gt;0,", ","")&amp;"Moutarde","")&amp;IF(O65="X",IF(COUNTIF($E65:$N65,"X")&gt;0,", ","")&amp;"Sésame","")&amp;IF(P65="X",IF(COUNTIF($E65:$O65,"X")&gt;0,", ","")&amp;"Sulfites","")&amp;IF(Q65="X",IF(COUNTIF($E65:$P65,"X")&gt;0,", ","")&amp;"Lupin","")&amp;IF(R65="X",IF(COUNTIF($E65:$Q65,"X")&gt;0,", ","")&amp;"Mollusques","")),"")</f>
        <v>Soja</v>
      </c>
      <c r="E65" s="513" t="str">
        <f>IF(65=65,IF($B65="","",AF65),"")</f>
        <v/>
      </c>
      <c r="F65" s="513" t="str">
        <f>IF(65=65,IF($B65="","",AI65),"")</f>
        <v/>
      </c>
      <c r="G65" s="513" t="str">
        <f>IF(65=65,IF($B65="","",AM65),"")</f>
        <v/>
      </c>
      <c r="H65" s="513" t="str">
        <f>IF(65=65,IF($B65="","",IF(ISNUMBER(SEARCH(" colin ",$AA65)),"X",AZ65)),"")</f>
        <v/>
      </c>
      <c r="I65" s="513" t="str">
        <f>IF(65=65,IF($B65="","",BB65),"")</f>
        <v/>
      </c>
      <c r="J65" s="513" t="str">
        <f>IF(65=65,IF($B65="","",BF65),"")</f>
        <v>X</v>
      </c>
      <c r="K65" s="513" t="str">
        <f>IF(65=65,IF($B65="","",BM65),"")</f>
        <v/>
      </c>
      <c r="L65" s="513" t="str">
        <f>IF(65=65,IF($B65="","",BQ65),"")</f>
        <v/>
      </c>
      <c r="M65" s="513" t="str">
        <f>IF(65=65,IF($B65="","",BT65),"")</f>
        <v/>
      </c>
      <c r="N65" s="513" t="str">
        <f>IF(65=65,IF($B65="","",BW65),"")</f>
        <v/>
      </c>
      <c r="O65" s="513" t="str">
        <f>IF(65=65,IF($B65="","",BZ65),"")</f>
        <v/>
      </c>
      <c r="P65" s="513" t="str">
        <f>IF(65=65,IF($B65="","",CC65),"")</f>
        <v/>
      </c>
      <c r="Q65" s="513" t="str">
        <f>IF(65=65,IF($B65="","",CF65),"")</f>
        <v/>
      </c>
      <c r="R65" s="513" t="str">
        <f>IF(65=65,IF($B65="","",CL65),"")</f>
        <v/>
      </c>
      <c r="S65" s="514" t="str">
        <f>IF(65=65,IF($B65="","",IF(E65="?",""&amp;"Céréales contenant du gluten","")&amp;IF(F65="?",IF(COUNTIF($E65:$E65,"~?")&gt;0,", ","")&amp;"Crustacés","")&amp;IF(G65="?",IF(COUNTIF($E65:$F65,"~?")&gt;0,", ","")&amp;"Œufs","")&amp;IF(H65="?",IF(COUNTIF($E65:$G65,"~?")&gt;0,", ","")&amp;"Poissons","")&amp;IF(I65="?",IF(COUNTIF($E65:$H65,"~?")&gt;0,", ","")&amp;"Arachides","")&amp;IF(J65="?",IF(COUNTIF($E65:$I65,"~?")&gt;0,", ","")&amp;"Soja","")&amp;IF(K65="?",IF(COUNTIF($E65:$J65,"~?")&gt;0,", ","")&amp;"Lait","")&amp;IF(L65="?",IF(COUNTIF($E65:$K65,"~?")&gt;0,", ","")&amp;"Fruits à coque","")&amp;IF(M65="?",IF(COUNTIF($E65:$L65,"~?")&gt;0,", ","")&amp;"Céleri","")&amp;IF(N65="?",IF(COUNTIF($E65:$M65,"~?")&gt;0,", ","")&amp;"Moutarde","")&amp;IF(O65="?",IF(COUNTIF($E65:$N65,"~?")&gt;0,", ","")&amp;"Sésame","")&amp;IF(P65="?",IF(COUNTIF($E65:$O65,"~?")&gt;0,", ","")&amp;"Sulfites","")&amp;IF(Q65="?",IF(COUNTIF($E65:$P65,"~?")&gt;0,", ","")&amp;"Lupin","")&amp;IF(R65="?",IF(COUNTIF($E65:$Q65,"~?")&gt;0,", ","")&amp;"Mollusques","")),"")</f>
        <v/>
      </c>
      <c r="U65" s="493" t="str">
        <f>IF(65=65,IF($B65="","",$B65),"")</f>
        <v>Soja</v>
      </c>
      <c r="V65" s="493" t="str">
        <f>IF(65=65,LOWER(CLEAN(SUBSTITUTE(SUBSTITUTE(SUBSTITUTE(SUBSTITUTE($U65,CHAR(160)," ")," "," "),CHAR(10)," "),CHAR(13)," "))),"")</f>
        <v>soja</v>
      </c>
      <c r="W65" s="493" t="str">
        <f>IF(65=65,SUBSTITUTE(SUBSTITUTE(SUBSTITUTE(SUBSTITUTE(SUBSTITUTE(SUBSTITUTE(SUBSTITUTE(SUBSTITUTE(SUBSTITUTE(SUBSTITUTE(SUBSTITUTE(SUBSTITUTE($V65,"œ","oe"),"æ","ae"),"à","a"),"á","a"),"â","a"),"ä","a"),"ã","a"),"ç","c"),"è","e"),"é","e"),"ê","e"),"ë","e"),"")</f>
        <v>soja</v>
      </c>
      <c r="X65" s="493" t="str">
        <f>IF(65=65,SUBSTITUTE(SUBSTITUTE(SUBSTITUTE(SUBSTITUTE(SUBSTITUTE(SUBSTITUTE(SUBSTITUTE(SUBSTITUTE(SUBSTITUTE(SUBSTITUTE(SUBSTITUTE(SUBSTITUTE(SUBSTITUTE(SUBSTITUTE(SUBSTITUTE(SUBSTITUTE($W65,"ì","i"),"í","i"),"î","i"),"ï","i"),"ñ","n"),"ò","o"),"ó","o"),"ô","o"),"ö","o"),"õ","o"),"ù","u"),"ú","u"),"û","u"),"ü","u"),"ý","y"),"ÿ","y"),"")</f>
        <v>soja</v>
      </c>
      <c r="Y65" s="493" t="str">
        <f>IF(65=65,SUBSTITUTE(SUBSTITUTE(SUBSTITUTE(SUBSTITUTE(SUBSTITUTE(SUBSTITUTE(SUBSTITUTE(SUBSTITUTE(SUBSTITUTE(SUBSTITUTE(SUBSTITUTE(SUBSTITUTE(SUBSTITUTE(SUBSTITUTE($X65,"’"," "),"`"," "),"–"," "),"—"," "),"-"," "),"'"," "),"/"," "),"_"," "),","," "),"."," "),"("," "),")"," "),";"," "),":"," "),"")</f>
        <v>soja</v>
      </c>
      <c r="Z65" s="493" t="str">
        <f>IF(65=65,SUBSTITUTE(SUBSTITUTE(SUBSTITUTE(SUBSTITUTE(SUBSTITUTE(SUBSTITUTE(SUBSTITUTE(SUBSTITUTE(SUBSTITUTE(SUBSTITUTE(SUBSTITUTE(SUBSTITUTE(SUBSTITUTE(SUBSTITUTE(SUBSTITUTE($Y65,"!"," "),"?"," "),"+"," "),"*"," "),"&amp;"," "),"["," "),"]"," "),"{"," "),"}"," "),"%"," "),"="," "),"\"," "),"|"," "),"&lt;"," "),"&gt;"," "),"")</f>
        <v>soja</v>
      </c>
      <c r="AA65" s="493" t="str">
        <f>IF(65=65," "&amp;TRIM(SUBSTITUTE(SUBSTITUTE(SUBSTITUTE(SUBSTITUTE(SUBSTITUTE(SUBSTITUTE($Z65,CHAR(34)," "),"  "," "),"  "," "),"  "," "),"  "," "),"  "," "))&amp;" ","")</f>
        <v xml:space="preserve"> soja </v>
      </c>
      <c r="AB65" s="493">
        <f>IF(65=65,IF($U65="","",SUMPRODUCT(--ISNUMBER(SEARCH(" "&amp;$CR$2:$CR$101&amp;" ",$AD65)))),"")</f>
        <v>0</v>
      </c>
      <c r="AC65" s="493">
        <f>IF(65=65,IF($U65="","",SUMPRODUCT(--ISNUMBER(SEARCH(" "&amp;$CR$102:$CR$151&amp;" ",$AD65)))),"")</f>
        <v>0</v>
      </c>
      <c r="AD65" s="493" t="str">
        <f t="shared" si="1"/>
        <v xml:space="preserve"> soja </v>
      </c>
      <c r="AE65" s="493">
        <f t="shared" si="2"/>
        <v>0</v>
      </c>
      <c r="AF65" s="493" t="str">
        <f>IF(65=65,IF($U65="","",IF(SUM(AB65:AC65)+SUMPRODUCT(--ISNUMBER(SEARCH(" "&amp;$CR$2418:$CR$2420&amp;" ",$AD65)))&gt;0,"X",IF(AE65&gt;0,"?",""))),"")</f>
        <v/>
      </c>
      <c r="AG65" s="493">
        <f>IF(65=65,IF($U65="","",SUMPRODUCT(--ISNUMBER(SEARCH(" "&amp;$CR$206:$CR$305&amp;" ",$AA65)))),"")</f>
        <v>0</v>
      </c>
      <c r="AH65" s="493">
        <f>IF(65=65,IF($U65="","",SUMPRODUCT(--ISNUMBER(SEARCH(" "&amp;$CR$306:$CR$340&amp;" ",$AA65)))),"")</f>
        <v>0</v>
      </c>
      <c r="AI65" s="493" t="str">
        <f>IF(65=65,IF($U65="","",IF((SUM(AG65:AH65))-(0)&gt;0,"X",IF((0)-(0)&gt;0,"?",""))),"")</f>
        <v/>
      </c>
      <c r="AJ65" s="493">
        <f>IF(65=65,IF($U65="","",SUMPRODUCT(--ISNUMBER(SEARCH(" "&amp;$CR$341:$CR$398&amp;" ",$AA65)))),"")</f>
        <v>0</v>
      </c>
      <c r="AK65" s="493">
        <f>IF(65=65,IF($U65="","",SUMPRODUCT(--ISNUMBER(SEARCH(" "&amp;$CR$399:$CR$426&amp;" ",$AL65)))+SUMPRODUCT(--ISNUMBER(SEARCH(" "&amp;$CR$2440:$CR$2453&amp;" ",$AL65)))),"")</f>
        <v>0</v>
      </c>
      <c r="AL65" s="493" t="str">
        <f>IF(65=65,IF($U65="","",SUBSTITUTE(SUBSTITUTE(SUBSTITUTE(SUBSTITUTE(SUBSTITUTE(SUBSTITUTE(SUBSTITUTE(SUBSTITUTE(SUBSTITUTE(SUBSTITUTE(SUBSTITUTE(SUBSTITUTE(SUBSTITUTE(SUBSTITUTE($AA65," "&amp;$CR$2455&amp;" "," ")," "&amp;$CR$433&amp;" "," ")," "&amp;$CR$431&amp;" "," ")," "&amp;$CR$2438&amp;" "," ")," "&amp;$CR$2439&amp;" "," ")," "&amp;$CR$428&amp;" "," ")," "&amp;$CR$432&amp;" "," ")," "&amp;$CR$434&amp;" "," ")," "&amp;$CR$429&amp;" "," ")," "&amp;$CR$427&amp;" "," ")," "&amp;$CR$1367&amp;" "," ")," "&amp;$CR$435&amp;" "," ")," "&amp;$CR$1366&amp;" "," ")," "&amp;$CR$430&amp;" "," ")),"")</f>
        <v xml:space="preserve"> soja </v>
      </c>
      <c r="AM65" s="493" t="str">
        <f>IF(65=65,IF($U65="","",IF(AJ65&gt;0,"X",IF(AK65&gt;0,"?",""))),"")</f>
        <v/>
      </c>
      <c r="AN65" s="493">
        <f>IF(65=65,IF($U65="","",SUMPRODUCT(--ISNUMBER(SEARCH(" "&amp;$CR$436:$CR$535&amp;" ",$AX65)))),"")</f>
        <v>0</v>
      </c>
      <c r="AO65" s="493">
        <f>IF(65=65,IF($U65="","",SUMPRODUCT(--ISNUMBER(SEARCH(" "&amp;$CR$536:$CR$635&amp;" ",$AX65)))),"")</f>
        <v>0</v>
      </c>
      <c r="AP65" s="493">
        <f>IF(65=65,IF($U65="","",SUMPRODUCT(--ISNUMBER(SEARCH(" "&amp;$CR$636:$CR$735&amp;" ",$AX65)))),"")</f>
        <v>0</v>
      </c>
      <c r="AQ65" s="493">
        <f>IF(65=65,IF($U65="","",SUMPRODUCT(--ISNUMBER(SEARCH(" "&amp;$CR$736:$CR$835&amp;" ",$AX65)))),"")</f>
        <v>0</v>
      </c>
      <c r="AR65" s="493">
        <f>IF(65=65,IF($U65="","",SUMPRODUCT(--ISNUMBER(SEARCH(" "&amp;$CR$836:$CR$935&amp;" ",$AX65)))),"")</f>
        <v>0</v>
      </c>
      <c r="AS65" s="493">
        <f>IF(65=65,IF($U65="","",SUMPRODUCT(--ISNUMBER(SEARCH(" "&amp;$CR$936:$CR$1035&amp;" ",$AX65)))),"")</f>
        <v>0</v>
      </c>
      <c r="AT65" s="493">
        <f>IF(65=65,IF($U65="","",SUMPRODUCT(--ISNUMBER(SEARCH(" "&amp;$CR$1036:$CR$1135&amp;" ",$AX65)))),"")</f>
        <v>0</v>
      </c>
      <c r="AU65" s="493">
        <f>IF(65=65,IF($U65="","",SUMPRODUCT(--ISNUMBER(SEARCH(" "&amp;$CR$1136:$CR$1235&amp;" ",$AX65)))),"")</f>
        <v>0</v>
      </c>
      <c r="AV65" s="493">
        <f>IF(65=65,IF($U65="","",SUMPRODUCT(--ISNUMBER(SEARCH(" "&amp;$CR$1236:$CR$1335&amp;" ",$AX65)))),"")</f>
        <v>0</v>
      </c>
      <c r="AW65" s="493">
        <f>IF(65=65,IF($U65="","",SUMPRODUCT(--ISNUMBER(SEARCH(" "&amp;$CR$1336:$CR$1363&amp;" ",$AX65)))),"")</f>
        <v>0</v>
      </c>
      <c r="AX65" s="493" t="str">
        <f>IF(65=65,IF($U65="","",SUBSTITUTE(SUBSTITUTE(SUBSTITUTE(SUBSTITUTE(SUBSTITUTE(SUBSTITUTE(SUBSTITUTE(SUBSTITUTE(SUBSTITUTE($AA65," "&amp;$CR$1365&amp;" "," ")," "&amp;$CR$1364&amp;" "," ")," "&amp;$CR$1370&amp;" "," ")," "&amp;$CR$1371&amp;" "," ")," "&amp;$CR$1367&amp;" "," ")," "&amp;$CR$1369&amp;" "," ")," "&amp;$CR$1366&amp;" "," ")," "&amp;$CR$1368&amp;" "," ")," "&amp;$CR$1372&amp;" "," ")),"")</f>
        <v xml:space="preserve"> soja </v>
      </c>
      <c r="AY65" s="493">
        <f>IF(65=65,IF($U65="","",SUMPRODUCT(--ISNUMBER(SEARCH(" "&amp;$CR$1373:$CR$1383&amp;" ",$AX65)))),"")</f>
        <v>0</v>
      </c>
      <c r="AZ65" s="493" t="str">
        <f>IF(65=65,IF($U65="","",IF(SUM(AN65:AW65)+SUMPRODUCT(--ISNUMBER(SEARCH(" "&amp;$CR$2421:$CR$2422&amp;" ",$AX65)))&gt;0,"X",IF(AY65&gt;0,"?",""))),"")</f>
        <v/>
      </c>
      <c r="BA65" s="493">
        <f>IF(65=65,IF($U65="","",SUMPRODUCT(--ISNUMBER(SEARCH(" "&amp;$CR$1384:$CR$1404&amp;" ",$AA65)))),"")</f>
        <v>0</v>
      </c>
      <c r="BB65" s="493" t="str">
        <f>IF(65=65,IF($U65="","",IF((BA65)-(0)&gt;0,"X",IF((0)-(0)&gt;0,"?",""))),"")</f>
        <v/>
      </c>
      <c r="BC65" s="493">
        <f>IF(65=65,IF($U65="","",SUMPRODUCT(--ISNUMBER(SEARCH(" "&amp;$CR$1405:$CR$1442&amp;" ",$BD65)))),"")</f>
        <v>1</v>
      </c>
      <c r="BD65" s="493" t="str">
        <f>IF(65=65,IF($U65="","",SUBSTITUTE(SUBSTITUTE($AA65," "&amp;$CR$1443&amp;" "," ")," "&amp;$CR$1444&amp;" "," ")),"")</f>
        <v xml:space="preserve"> soja </v>
      </c>
      <c r="BE65" s="493">
        <f>IF(65=65,IF($U65="","",SUMPRODUCT(--ISNUMBER(SEARCH(" "&amp;$CR$1445:$CR$1455&amp;" ",$BD65)))),"")</f>
        <v>0</v>
      </c>
      <c r="BF65" s="493" t="str">
        <f>IF(65=65,IF($U65="","",IF(BC65&gt;0,"X",IF(BE65&gt;0,"?",""))),"")</f>
        <v>X</v>
      </c>
      <c r="BG65" s="493">
        <f>IF(65=65,IF($U65="","",SUMPRODUCT(--ISNUMBER(SEARCH(" "&amp;$CR$1456:$CR$1555&amp;" ",$BJ65)))),"")</f>
        <v>0</v>
      </c>
      <c r="BH65" s="493">
        <f>IF(65=65,IF($U65="","",SUMPRODUCT(--ISNUMBER(SEARCH(" "&amp;$CR$1556:$CR$1655&amp;" ",$BJ65)))),"")</f>
        <v>0</v>
      </c>
      <c r="BI65" s="493">
        <f>IF(65=65,IF($U65="","",SUMPRODUCT(--ISNUMBER(SEARCH(" "&amp;$CR$1656:$CR$1739&amp;" ",$BJ65)))),"")</f>
        <v>0</v>
      </c>
      <c r="BJ65" s="493" t="str">
        <f>IF(65=65,IF($U65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soja </v>
      </c>
      <c r="BK65" s="493">
        <f>IF(65=65,IF($U65="","",SUMPRODUCT(--ISNUMBER(SEARCH(" "&amp;$CR$1790:$CR$1869&amp;" ",$BL65)))+SUMPRODUCT(--ISNUMBER(SEARCH(" "&amp;$CR$2440:$CR$2453&amp;" ",$BL65)))),"")</f>
        <v>0</v>
      </c>
      <c r="BL65" s="493" t="str">
        <f>IF(65=65,IF($U65="","",SUBSTITUTE(SUBSTITUTE(SUBSTITUTE(SUBSTITUTE(SUBSTITUTE(SUBSTITUTE(SUBSTITUTE(SUBSTITUTE(SUBSTITUTE(SUBSTITUTE(SUBSTITUTE(SUBSTITUTE(SUBSTITUTE($BJ65," "&amp;$CR$1876&amp;" "," ")," "&amp;$CR$1874&amp;" "," ")," "&amp;$CR$2438&amp;" "," ")," "&amp;$CR$2439&amp;" "," ")," "&amp;$CR$1871&amp;" "," ")," "&amp;$CR$1875&amp;" "," ")," "&amp;$CR$1877&amp;" "," ")," "&amp;$CR$1872&amp;" "," ")," "&amp;$CR$1870&amp;" "," ")," "&amp;$CR$1367&amp;" "," ")," "&amp;$CR$1878&amp;" "," ")," "&amp;$CR$1366&amp;" "," ")," "&amp;$CR$1873&amp;" "," ")),"")</f>
        <v xml:space="preserve"> soja </v>
      </c>
      <c r="BM65" s="493" t="str">
        <f>IF(65=65,IF($U65="","",IF(SUM(BG65:BI65)+SUMPRODUCT(--ISNUMBER(SEARCH(" "&amp;$CR$2423:$CR$2424&amp;" ",$BJ65)))&gt;0,"X",IF(BK65&gt;0,"?",""))),"")</f>
        <v/>
      </c>
      <c r="BN65" s="493">
        <f>IF(65=65,IF($U65="","",SUMPRODUCT(--ISNUMBER(SEARCH(" "&amp;$CR$1879:$CR$1936&amp;" ",$BO65)))),"")</f>
        <v>0</v>
      </c>
      <c r="BO65" s="493" t="str">
        <f>IF(65=65,IF($U65="","",SUBSTITUTE(SUBSTITUTE(SUBSTITUTE(SUBSTITUTE(SUBSTITUTE(SUBSTITUTE(SUBSTITUTE(SUBSTITUTE(SUBSTITUTE(SUBSTITUTE(SUBSTITUTE(SUBSTITUTE(SUBSTITUTE(SUBSTITUTE(SUBSTITUTE(SUBSTITUTE(SUBSTITUTE(SUBSTITUTE(SUBSTITUTE(SUBSTITUTE(SUBSTITUTE(SUBSTITUTE(SUBSTITUTE($AA65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soja </v>
      </c>
      <c r="BP65" s="493">
        <f>IF(65=65,IF($U65="","",SUMPRODUCT(--ISNUMBER(SEARCH(" "&amp;$CR$1960:$CR$1976&amp;" ",$BO65)))),"")</f>
        <v>0</v>
      </c>
      <c r="BQ65" s="493" t="str">
        <f>IF(65=65,IF($U65="","",IF(BN65&gt;0,"X",IF(BP65&gt;0,"?",""))),"")</f>
        <v/>
      </c>
      <c r="BR65" s="493">
        <f>IF(65=65,IF($U65="","",SUMPRODUCT(--ISNUMBER(SEARCH(" "&amp;$CR$1977:$CR$1990&amp;" ",$AA65)))),"")</f>
        <v>0</v>
      </c>
      <c r="BS65" s="493">
        <f>IF(65=65,IF($U65="","",SUMPRODUCT(--ISNUMBER(SEARCH(" "&amp;$CR$1991:$CR$2005&amp;" ",$AA65)))),"")</f>
        <v>0</v>
      </c>
      <c r="BT65" s="493" t="str">
        <f>IF(65=65,IF($U65="","",IF((BR65)-(0)&gt;0,"X",IF((BS65)-(0)&gt;0,"?",""))),"")</f>
        <v/>
      </c>
      <c r="BU65" s="493">
        <f>IF(65=65,IF($U65="","",SUMPRODUCT(--ISNUMBER(SEARCH(" "&amp;$CR$2006:$CR$2023&amp;" ",$AA65)))),"")</f>
        <v>0</v>
      </c>
      <c r="BV65" s="493">
        <f>IF(65=65,IF($U65="","",SUMPRODUCT(--ISNUMBER(SEARCH(" "&amp;$CR$2024:$CR$2038&amp;" ",$AA65)))),"")</f>
        <v>0</v>
      </c>
      <c r="BW65" s="493" t="str">
        <f>IF(65=65,IF($U65="","",IF((BU65)-(0)&gt;0,"X",IF((BV65)-(0)&gt;0,"?",""))),"")</f>
        <v/>
      </c>
      <c r="BX65" s="493">
        <f>IF(65=65,IF($U65="","",SUMPRODUCT(--ISNUMBER(SEARCH(" "&amp;$CR$2039:$CR$2057&amp;" ",$AA65)))),"")</f>
        <v>0</v>
      </c>
      <c r="BY65" s="493">
        <f>IF(65=65,IF($U65="","",SUMPRODUCT(--ISNUMBER(SEARCH(" "&amp;$CR$2058:$CR$2072&amp;" ",$AA65)))),"")</f>
        <v>0</v>
      </c>
      <c r="BZ65" s="493" t="str">
        <f>IF(65=65,IF($U65="","",IF((BX65)-(0)&gt;0,"X",IF((BY65)-(0)&gt;0,"?",""))),"")</f>
        <v/>
      </c>
      <c r="CA65" s="493">
        <f>IF(65=65,IF($U65="","",SUMPRODUCT(--ISNUMBER(SEARCH(" "&amp;$CR$2073:$CR$2093&amp;" ",$AA65)))),"")</f>
        <v>0</v>
      </c>
      <c r="CB65" s="493">
        <f>IF(65=65,IF($U65="","",SUMPRODUCT(--ISNUMBER(SEARCH(" "&amp;$CR$2094:$CR$2133&amp;" ",SUBSTITUTE(SUBSTITUTE($AA65," "&amp;$CR$1367&amp;" "," ")," "&amp;$CR$1366&amp;" "," "))))+--ISNUMBER(SEARCH("poiré",$V65))),"")</f>
        <v>0</v>
      </c>
      <c r="CC65" s="493" t="str">
        <f>IF(65=65,IF($U65="","",IF(OR(CA65&gt;0,ISNUMBER(SEARCH(" vinaigre de vin ",$AA65)),ISNUMBER(SEARCH(" vinaigre au vin ",$AA65))),"X",IF(CB65&gt;0,"?",""))),"")</f>
        <v/>
      </c>
      <c r="CD65" s="493">
        <f>IF(65=65,IF($U65="","",SUMPRODUCT(--ISNUMBER(SEARCH(" "&amp;$CR$2134:$CR$2146&amp;" ",$AA65)))),"")</f>
        <v>0</v>
      </c>
      <c r="CE65" s="493">
        <f>IF(65=65,IF($U65="","",SUMPRODUCT(--ISNUMBER(SEARCH(" "&amp;$CR$2147:$CR$2152&amp;" ",$AA65)))),"")</f>
        <v>0</v>
      </c>
      <c r="CF65" s="493" t="str">
        <f>IF(65=65,IF($U65="","",IF((CD65)-(0)&gt;0,"X",IF((CE65)-(0)&gt;0,"?",""))),"")</f>
        <v/>
      </c>
      <c r="CG65" s="493">
        <f>IF(65=65,IF($U65="","",SUMPRODUCT(--ISNUMBER(SEARCH(" "&amp;$CR$2153:$CR$2252&amp;" ",$CJ65)))),"")</f>
        <v>0</v>
      </c>
      <c r="CH65" s="493">
        <f>IF(65=65,IF($U65="","",SUMPRODUCT(--ISNUMBER(SEARCH(" "&amp;$CR$2253:$CR$2352&amp;" ",$CJ65)))),"")</f>
        <v>0</v>
      </c>
      <c r="CI65" s="493">
        <f>IF(65=65,IF($U65="","",SUMPRODUCT(--ISNUMBER(SEARCH(" "&amp;$CR$2353:$CR$2395&amp;" ",$CJ65)))),"")</f>
        <v>0</v>
      </c>
      <c r="CJ65" s="493" t="str">
        <f>IF(65=65,IF($U65="","",SUBSTITUTE(SUBSTITUTE(SUBSTITUTE(SUBSTITUTE(SUBSTITUTE(SUBSTITUTE(SUBSTITUTE(SUBSTITUTE(SUBSTITUTE(SUBSTITUTE(SUBSTITUTE(SUBSTITUTE(SUBSTITUTE(SUBSTITUTE(SUBSTITUTE(SUBSTITUTE($AA65," "&amp;$CR$2401&amp;" "," ")," "&amp;$CR$2400&amp;" "," ")," "&amp;$CR$2399&amp;" "," ")," "&amp;$CR$2406&amp;" "," ")," "&amp;$CR$2398&amp;" "," ")," "&amp;$CR$2410&amp;" "," ")," "&amp;$CR$2397&amp;" "," ")," "&amp;$CR$2402&amp;" "," ")," "&amp;$CR$2405&amp;" "," ")," "&amp;$CR$2396&amp;" "," ")," "&amp;$CR$2404&amp;" "," ")," "&amp;$CR$2411&amp;" "," ")," "&amp;$CR$2408&amp;" "," ")," "&amp;$CR$2403&amp;" "," ")," "&amp;$CR$2407&amp;" "," ")," "&amp;$CR$2409&amp;" "," ")),"")</f>
        <v xml:space="preserve"> soja </v>
      </c>
      <c r="CK65" s="493">
        <f>IF(65=65,IF($U65="","",SUMPRODUCT(--ISNUMBER(SEARCH(" "&amp;$CR$2412:$CR$2416&amp;" ",$CJ65)))),"")</f>
        <v>0</v>
      </c>
      <c r="CL65" s="493" t="str">
        <f>IF(65=65,IF($U65="","",IF(SUM(CG65:CI65)&gt;0,"X",IF(CK65&gt;0,"?",""))),"")</f>
        <v/>
      </c>
      <c r="CM65" s="494"/>
      <c r="CN65" s="496" t="s">
        <v>1257</v>
      </c>
      <c r="CO65" s="496" t="s">
        <v>1083</v>
      </c>
      <c r="CP65" s="496" t="s">
        <v>689</v>
      </c>
      <c r="CQ65" s="496" t="s">
        <v>1258</v>
      </c>
      <c r="CR65" s="496" t="s">
        <v>906</v>
      </c>
      <c r="CS65" s="496" t="s">
        <v>1085</v>
      </c>
      <c r="CT65" s="496" t="s">
        <v>1086</v>
      </c>
      <c r="CU65" s="496" t="s">
        <v>1087</v>
      </c>
      <c r="CV65" s="497" t="s">
        <v>1088</v>
      </c>
      <c r="CX65" s="543">
        <v>1</v>
      </c>
    </row>
    <row r="66" spans="1:102" ht="21" customHeight="1">
      <c r="A66" s="515">
        <v>60</v>
      </c>
      <c r="B66" s="516" t="s">
        <v>5905</v>
      </c>
      <c r="C66" s="517" t="str">
        <f t="shared" si="0"/>
        <v>huile d'arachide *</v>
      </c>
      <c r="D66" s="518" t="str">
        <f>IF(66=66,IF($B66="","",IF(E66="X",""&amp;"Céréales contenant du gluten","")&amp;IF(F66="X",IF(COUNTIF($E66:$E66,"X")&gt;0,", ","")&amp;"Crustacés","")&amp;IF(G66="X",IF(COUNTIF($E66:$F66,"X")&gt;0,", ","")&amp;"Œufs","")&amp;IF(H66="X",IF(COUNTIF($E66:$G66,"X")&gt;0,", ","")&amp;"Poissons","")&amp;IF(I66="X",IF(COUNTIF($E66:$H66,"X")&gt;0,", ","")&amp;"Arachides","")&amp;IF(J66="X",IF(COUNTIF($E66:$I66,"X")&gt;0,", ","")&amp;"Soja","")&amp;IF(K66="X",IF(COUNTIF($E66:$J66,"X")&gt;0,", ","")&amp;"Lait","")&amp;IF(L66="X",IF(COUNTIF($E66:$K66,"X")&gt;0,", ","")&amp;"Fruits à coque","")&amp;IF(M66="X",IF(COUNTIF($E66:$L66,"X")&gt;0,", ","")&amp;"Céleri","")&amp;IF(N66="X",IF(COUNTIF($E66:$M66,"X")&gt;0,", ","")&amp;"Moutarde","")&amp;IF(O66="X",IF(COUNTIF($E66:$N66,"X")&gt;0,", ","")&amp;"Sésame","")&amp;IF(P66="X",IF(COUNTIF($E66:$O66,"X")&gt;0,", ","")&amp;"Sulfites","")&amp;IF(Q66="X",IF(COUNTIF($E66:$P66,"X")&gt;0,", ","")&amp;"Lupin","")&amp;IF(R66="X",IF(COUNTIF($E66:$Q66,"X")&gt;0,", ","")&amp;"Mollusques","")),"")</f>
        <v>Arachides</v>
      </c>
      <c r="E66" s="519" t="str">
        <f>IF(66=66,IF($B66="","",AF66),"")</f>
        <v/>
      </c>
      <c r="F66" s="519" t="str">
        <f>IF(66=66,IF($B66="","",AI66),"")</f>
        <v/>
      </c>
      <c r="G66" s="519" t="str">
        <f>IF(66=66,IF($B66="","",AM66),"")</f>
        <v/>
      </c>
      <c r="H66" s="519" t="str">
        <f>IF(66=66,IF($B66="","",IF(ISNUMBER(SEARCH(" colin ",$AA66)),"X",AZ66)),"")</f>
        <v/>
      </c>
      <c r="I66" s="519" t="str">
        <f>IF(66=66,IF($B66="","",BB66),"")</f>
        <v>X</v>
      </c>
      <c r="J66" s="519" t="str">
        <f>IF(66=66,IF($B66="","",BF66),"")</f>
        <v/>
      </c>
      <c r="K66" s="519" t="str">
        <f>IF(66=66,IF($B66="","",BM66),"")</f>
        <v/>
      </c>
      <c r="L66" s="519" t="str">
        <f>IF(66=66,IF($B66="","",BQ66),"")</f>
        <v/>
      </c>
      <c r="M66" s="519" t="str">
        <f>IF(66=66,IF($B66="","",BT66),"")</f>
        <v/>
      </c>
      <c r="N66" s="519" t="str">
        <f>IF(66=66,IF($B66="","",BW66),"")</f>
        <v/>
      </c>
      <c r="O66" s="519" t="str">
        <f>IF(66=66,IF($B66="","",BZ66),"")</f>
        <v/>
      </c>
      <c r="P66" s="519" t="str">
        <f>IF(66=66,IF($B66="","",CC66),"")</f>
        <v/>
      </c>
      <c r="Q66" s="519" t="str">
        <f>IF(66=66,IF($B66="","",CF66),"")</f>
        <v/>
      </c>
      <c r="R66" s="519" t="str">
        <f>IF(66=66,IF($B66="","",CL66),"")</f>
        <v/>
      </c>
      <c r="S66" s="520" t="str">
        <f>IF(66=66,IF($B66="","",IF(E66="?",""&amp;"Céréales contenant du gluten","")&amp;IF(F66="?",IF(COUNTIF($E66:$E66,"~?")&gt;0,", ","")&amp;"Crustacés","")&amp;IF(G66="?",IF(COUNTIF($E66:$F66,"~?")&gt;0,", ","")&amp;"Œufs","")&amp;IF(H66="?",IF(COUNTIF($E66:$G66,"~?")&gt;0,", ","")&amp;"Poissons","")&amp;IF(I66="?",IF(COUNTIF($E66:$H66,"~?")&gt;0,", ","")&amp;"Arachides","")&amp;IF(J66="?",IF(COUNTIF($E66:$I66,"~?")&gt;0,", ","")&amp;"Soja","")&amp;IF(K66="?",IF(COUNTIF($E66:$J66,"~?")&gt;0,", ","")&amp;"Lait","")&amp;IF(L66="?",IF(COUNTIF($E66:$K66,"~?")&gt;0,", ","")&amp;"Fruits à coque","")&amp;IF(M66="?",IF(COUNTIF($E66:$L66,"~?")&gt;0,", ","")&amp;"Céleri","")&amp;IF(N66="?",IF(COUNTIF($E66:$M66,"~?")&gt;0,", ","")&amp;"Moutarde","")&amp;IF(O66="?",IF(COUNTIF($E66:$N66,"~?")&gt;0,", ","")&amp;"Sésame","")&amp;IF(P66="?",IF(COUNTIF($E66:$O66,"~?")&gt;0,", ","")&amp;"Sulfites","")&amp;IF(Q66="?",IF(COUNTIF($E66:$P66,"~?")&gt;0,", ","")&amp;"Lupin","")&amp;IF(R66="?",IF(COUNTIF($E66:$Q66,"~?")&gt;0,", ","")&amp;"Mollusques","")),"")</f>
        <v/>
      </c>
      <c r="U66" s="493" t="str">
        <f>IF(66=66,IF($B66="","",$B66),"")</f>
        <v>huile d'arachide</v>
      </c>
      <c r="V66" s="493" t="str">
        <f>IF(66=66,LOWER(CLEAN(SUBSTITUTE(SUBSTITUTE(SUBSTITUTE(SUBSTITUTE($U66,CHAR(160)," ")," "," "),CHAR(10)," "),CHAR(13)," "))),"")</f>
        <v>huile d'arachide</v>
      </c>
      <c r="W66" s="493" t="str">
        <f>IF(66=66,SUBSTITUTE(SUBSTITUTE(SUBSTITUTE(SUBSTITUTE(SUBSTITUTE(SUBSTITUTE(SUBSTITUTE(SUBSTITUTE(SUBSTITUTE(SUBSTITUTE(SUBSTITUTE(SUBSTITUTE($V66,"œ","oe"),"æ","ae"),"à","a"),"á","a"),"â","a"),"ä","a"),"ã","a"),"ç","c"),"è","e"),"é","e"),"ê","e"),"ë","e"),"")</f>
        <v>huile d'arachide</v>
      </c>
      <c r="X66" s="493" t="str">
        <f>IF(66=66,SUBSTITUTE(SUBSTITUTE(SUBSTITUTE(SUBSTITUTE(SUBSTITUTE(SUBSTITUTE(SUBSTITUTE(SUBSTITUTE(SUBSTITUTE(SUBSTITUTE(SUBSTITUTE(SUBSTITUTE(SUBSTITUTE(SUBSTITUTE(SUBSTITUTE(SUBSTITUTE($W66,"ì","i"),"í","i"),"î","i"),"ï","i"),"ñ","n"),"ò","o"),"ó","o"),"ô","o"),"ö","o"),"õ","o"),"ù","u"),"ú","u"),"û","u"),"ü","u"),"ý","y"),"ÿ","y"),"")</f>
        <v>huile d'arachide</v>
      </c>
      <c r="Y66" s="493" t="str">
        <f>IF(66=66,SUBSTITUTE(SUBSTITUTE(SUBSTITUTE(SUBSTITUTE(SUBSTITUTE(SUBSTITUTE(SUBSTITUTE(SUBSTITUTE(SUBSTITUTE(SUBSTITUTE(SUBSTITUTE(SUBSTITUTE(SUBSTITUTE(SUBSTITUTE($X66,"’"," "),"`"," "),"–"," "),"—"," "),"-"," "),"'"," "),"/"," "),"_"," "),","," "),"."," "),"("," "),")"," "),";"," "),":"," "),"")</f>
        <v>huile d arachide</v>
      </c>
      <c r="Z66" s="493" t="str">
        <f>IF(66=66,SUBSTITUTE(SUBSTITUTE(SUBSTITUTE(SUBSTITUTE(SUBSTITUTE(SUBSTITUTE(SUBSTITUTE(SUBSTITUTE(SUBSTITUTE(SUBSTITUTE(SUBSTITUTE(SUBSTITUTE(SUBSTITUTE(SUBSTITUTE(SUBSTITUTE($Y66,"!"," "),"?"," "),"+"," "),"*"," "),"&amp;"," "),"["," "),"]"," "),"{"," "),"}"," "),"%"," "),"="," "),"\"," "),"|"," "),"&lt;"," "),"&gt;"," "),"")</f>
        <v>huile d arachide</v>
      </c>
      <c r="AA66" s="493" t="str">
        <f>IF(66=66," "&amp;TRIM(SUBSTITUTE(SUBSTITUTE(SUBSTITUTE(SUBSTITUTE(SUBSTITUTE(SUBSTITUTE($Z66,CHAR(34)," "),"  "," "),"  "," "),"  "," "),"  "," "),"  "," "))&amp;" ","")</f>
        <v xml:space="preserve"> huile d arachide </v>
      </c>
      <c r="AB66" s="493">
        <f>IF(66=66,IF($U66="","",SUMPRODUCT(--ISNUMBER(SEARCH(" "&amp;$CR$2:$CR$101&amp;" ",$AD66)))),"")</f>
        <v>0</v>
      </c>
      <c r="AC66" s="493">
        <f>IF(66=66,IF($U66="","",SUMPRODUCT(--ISNUMBER(SEARCH(" "&amp;$CR$102:$CR$151&amp;" ",$AD66)))),"")</f>
        <v>0</v>
      </c>
      <c r="AD66" s="493" t="str">
        <f t="shared" si="1"/>
        <v xml:space="preserve"> huile d arachide </v>
      </c>
      <c r="AE66" s="493">
        <f t="shared" si="2"/>
        <v>0</v>
      </c>
      <c r="AF66" s="493" t="str">
        <f>IF(66=66,IF($U66="","",IF(SUM(AB66:AC66)+SUMPRODUCT(--ISNUMBER(SEARCH(" "&amp;$CR$2418:$CR$2420&amp;" ",$AD66)))&gt;0,"X",IF(AE66&gt;0,"?",""))),"")</f>
        <v/>
      </c>
      <c r="AG66" s="493">
        <f>IF(66=66,IF($U66="","",SUMPRODUCT(--ISNUMBER(SEARCH(" "&amp;$CR$206:$CR$305&amp;" ",$AA66)))),"")</f>
        <v>0</v>
      </c>
      <c r="AH66" s="493">
        <f>IF(66=66,IF($U66="","",SUMPRODUCT(--ISNUMBER(SEARCH(" "&amp;$CR$306:$CR$340&amp;" ",$AA66)))),"")</f>
        <v>0</v>
      </c>
      <c r="AI66" s="493" t="str">
        <f>IF(66=66,IF($U66="","",IF((SUM(AG66:AH66))-(0)&gt;0,"X",IF((0)-(0)&gt;0,"?",""))),"")</f>
        <v/>
      </c>
      <c r="AJ66" s="493">
        <f>IF(66=66,IF($U66="","",SUMPRODUCT(--ISNUMBER(SEARCH(" "&amp;$CR$341:$CR$398&amp;" ",$AA66)))),"")</f>
        <v>0</v>
      </c>
      <c r="AK66" s="493">
        <f>IF(66=66,IF($U66="","",SUMPRODUCT(--ISNUMBER(SEARCH(" "&amp;$CR$399:$CR$426&amp;" ",$AL66)))+SUMPRODUCT(--ISNUMBER(SEARCH(" "&amp;$CR$2440:$CR$2453&amp;" ",$AL66)))),"")</f>
        <v>0</v>
      </c>
      <c r="AL66" s="493" t="str">
        <f>IF(66=66,IF($U66="","",SUBSTITUTE(SUBSTITUTE(SUBSTITUTE(SUBSTITUTE(SUBSTITUTE(SUBSTITUTE(SUBSTITUTE(SUBSTITUTE(SUBSTITUTE(SUBSTITUTE(SUBSTITUTE(SUBSTITUTE(SUBSTITUTE(SUBSTITUTE($AA66," "&amp;$CR$2455&amp;" "," ")," "&amp;$CR$433&amp;" "," ")," "&amp;$CR$431&amp;" "," ")," "&amp;$CR$2438&amp;" "," ")," "&amp;$CR$2439&amp;" "," ")," "&amp;$CR$428&amp;" "," ")," "&amp;$CR$432&amp;" "," ")," "&amp;$CR$434&amp;" "," ")," "&amp;$CR$429&amp;" "," ")," "&amp;$CR$427&amp;" "," ")," "&amp;$CR$1367&amp;" "," ")," "&amp;$CR$435&amp;" "," ")," "&amp;$CR$1366&amp;" "," ")," "&amp;$CR$430&amp;" "," ")),"")</f>
        <v xml:space="preserve"> huile d arachide </v>
      </c>
      <c r="AM66" s="493" t="str">
        <f>IF(66=66,IF($U66="","",IF(AJ66&gt;0,"X",IF(AK66&gt;0,"?",""))),"")</f>
        <v/>
      </c>
      <c r="AN66" s="493">
        <f>IF(66=66,IF($U66="","",SUMPRODUCT(--ISNUMBER(SEARCH(" "&amp;$CR$436:$CR$535&amp;" ",$AX66)))),"")</f>
        <v>0</v>
      </c>
      <c r="AO66" s="493">
        <f>IF(66=66,IF($U66="","",SUMPRODUCT(--ISNUMBER(SEARCH(" "&amp;$CR$536:$CR$635&amp;" ",$AX66)))),"")</f>
        <v>0</v>
      </c>
      <c r="AP66" s="493">
        <f>IF(66=66,IF($U66="","",SUMPRODUCT(--ISNUMBER(SEARCH(" "&amp;$CR$636:$CR$735&amp;" ",$AX66)))),"")</f>
        <v>0</v>
      </c>
      <c r="AQ66" s="493">
        <f>IF(66=66,IF($U66="","",SUMPRODUCT(--ISNUMBER(SEARCH(" "&amp;$CR$736:$CR$835&amp;" ",$AX66)))),"")</f>
        <v>0</v>
      </c>
      <c r="AR66" s="493">
        <f>IF(66=66,IF($U66="","",SUMPRODUCT(--ISNUMBER(SEARCH(" "&amp;$CR$836:$CR$935&amp;" ",$AX66)))),"")</f>
        <v>0</v>
      </c>
      <c r="AS66" s="493">
        <f>IF(66=66,IF($U66="","",SUMPRODUCT(--ISNUMBER(SEARCH(" "&amp;$CR$936:$CR$1035&amp;" ",$AX66)))),"")</f>
        <v>0</v>
      </c>
      <c r="AT66" s="493">
        <f>IF(66=66,IF($U66="","",SUMPRODUCT(--ISNUMBER(SEARCH(" "&amp;$CR$1036:$CR$1135&amp;" ",$AX66)))),"")</f>
        <v>0</v>
      </c>
      <c r="AU66" s="493">
        <f>IF(66=66,IF($U66="","",SUMPRODUCT(--ISNUMBER(SEARCH(" "&amp;$CR$1136:$CR$1235&amp;" ",$AX66)))),"")</f>
        <v>0</v>
      </c>
      <c r="AV66" s="493">
        <f>IF(66=66,IF($U66="","",SUMPRODUCT(--ISNUMBER(SEARCH(" "&amp;$CR$1236:$CR$1335&amp;" ",$AX66)))),"")</f>
        <v>0</v>
      </c>
      <c r="AW66" s="493">
        <f>IF(66=66,IF($U66="","",SUMPRODUCT(--ISNUMBER(SEARCH(" "&amp;$CR$1336:$CR$1363&amp;" ",$AX66)))),"")</f>
        <v>0</v>
      </c>
      <c r="AX66" s="493" t="str">
        <f>IF(66=66,IF($U66="","",SUBSTITUTE(SUBSTITUTE(SUBSTITUTE(SUBSTITUTE(SUBSTITUTE(SUBSTITUTE(SUBSTITUTE(SUBSTITUTE(SUBSTITUTE($AA66," "&amp;$CR$1365&amp;" "," ")," "&amp;$CR$1364&amp;" "," ")," "&amp;$CR$1370&amp;" "," ")," "&amp;$CR$1371&amp;" "," ")," "&amp;$CR$1367&amp;" "," ")," "&amp;$CR$1369&amp;" "," ")," "&amp;$CR$1366&amp;" "," ")," "&amp;$CR$1368&amp;" "," ")," "&amp;$CR$1372&amp;" "," ")),"")</f>
        <v xml:space="preserve"> huile d arachide </v>
      </c>
      <c r="AY66" s="493">
        <f>IF(66=66,IF($U66="","",SUMPRODUCT(--ISNUMBER(SEARCH(" "&amp;$CR$1373:$CR$1383&amp;" ",$AX66)))),"")</f>
        <v>0</v>
      </c>
      <c r="AZ66" s="493" t="str">
        <f>IF(66=66,IF($U66="","",IF(SUM(AN66:AW66)+SUMPRODUCT(--ISNUMBER(SEARCH(" "&amp;$CR$2421:$CR$2422&amp;" ",$AX66)))&gt;0,"X",IF(AY66&gt;0,"?",""))),"")</f>
        <v/>
      </c>
      <c r="BA66" s="493">
        <f>IF(66=66,IF($U66="","",SUMPRODUCT(--ISNUMBER(SEARCH(" "&amp;$CR$1384:$CR$1404&amp;" ",$AA66)))),"")</f>
        <v>2</v>
      </c>
      <c r="BB66" s="493" t="str">
        <f>IF(66=66,IF($U66="","",IF((BA66)-(0)&gt;0,"X",IF((0)-(0)&gt;0,"?",""))),"")</f>
        <v>X</v>
      </c>
      <c r="BC66" s="493">
        <f>IF(66=66,IF($U66="","",SUMPRODUCT(--ISNUMBER(SEARCH(" "&amp;$CR$1405:$CR$1442&amp;" ",$BD66)))),"")</f>
        <v>0</v>
      </c>
      <c r="BD66" s="493" t="str">
        <f>IF(66=66,IF($U66="","",SUBSTITUTE(SUBSTITUTE($AA66," "&amp;$CR$1443&amp;" "," ")," "&amp;$CR$1444&amp;" "," ")),"")</f>
        <v xml:space="preserve"> huile d arachide </v>
      </c>
      <c r="BE66" s="493">
        <f>IF(66=66,IF($U66="","",SUMPRODUCT(--ISNUMBER(SEARCH(" "&amp;$CR$1445:$CR$1455&amp;" ",$BD66)))),"")</f>
        <v>0</v>
      </c>
      <c r="BF66" s="493" t="str">
        <f>IF(66=66,IF($U66="","",IF(BC66&gt;0,"X",IF(BE66&gt;0,"?",""))),"")</f>
        <v/>
      </c>
      <c r="BG66" s="493">
        <f>IF(66=66,IF($U66="","",SUMPRODUCT(--ISNUMBER(SEARCH(" "&amp;$CR$1456:$CR$1555&amp;" ",$BJ66)))),"")</f>
        <v>0</v>
      </c>
      <c r="BH66" s="493">
        <f>IF(66=66,IF($U66="","",SUMPRODUCT(--ISNUMBER(SEARCH(" "&amp;$CR$1556:$CR$1655&amp;" ",$BJ66)))),"")</f>
        <v>0</v>
      </c>
      <c r="BI66" s="493">
        <f>IF(66=66,IF($U66="","",SUMPRODUCT(--ISNUMBER(SEARCH(" "&amp;$CR$1656:$CR$1739&amp;" ",$BJ66)))),"")</f>
        <v>0</v>
      </c>
      <c r="BJ66" s="493" t="str">
        <f>IF(66=66,IF($U66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d arachide </v>
      </c>
      <c r="BK66" s="493">
        <f>IF(66=66,IF($U66="","",SUMPRODUCT(--ISNUMBER(SEARCH(" "&amp;$CR$1790:$CR$1869&amp;" ",$BL66)))+SUMPRODUCT(--ISNUMBER(SEARCH(" "&amp;$CR$2440:$CR$2453&amp;" ",$BL66)))),"")</f>
        <v>0</v>
      </c>
      <c r="BL66" s="493" t="str">
        <f>IF(66=66,IF($U66="","",SUBSTITUTE(SUBSTITUTE(SUBSTITUTE(SUBSTITUTE(SUBSTITUTE(SUBSTITUTE(SUBSTITUTE(SUBSTITUTE(SUBSTITUTE(SUBSTITUTE(SUBSTITUTE(SUBSTITUTE(SUBSTITUTE($BJ66," "&amp;$CR$1876&amp;" "," ")," "&amp;$CR$1874&amp;" "," ")," "&amp;$CR$2438&amp;" "," ")," "&amp;$CR$2439&amp;" "," ")," "&amp;$CR$1871&amp;" "," ")," "&amp;$CR$1875&amp;" "," ")," "&amp;$CR$1877&amp;" "," ")," "&amp;$CR$1872&amp;" "," ")," "&amp;$CR$1870&amp;" "," ")," "&amp;$CR$1367&amp;" "," ")," "&amp;$CR$1878&amp;" "," ")," "&amp;$CR$1366&amp;" "," ")," "&amp;$CR$1873&amp;" "," ")),"")</f>
        <v xml:space="preserve"> huile d arachide </v>
      </c>
      <c r="BM66" s="493" t="str">
        <f>IF(66=66,IF($U66="","",IF(SUM(BG66:BI66)+SUMPRODUCT(--ISNUMBER(SEARCH(" "&amp;$CR$2423:$CR$2424&amp;" ",$BJ66)))&gt;0,"X",IF(BK66&gt;0,"?",""))),"")</f>
        <v/>
      </c>
      <c r="BN66" s="493">
        <f>IF(66=66,IF($U66="","",SUMPRODUCT(--ISNUMBER(SEARCH(" "&amp;$CR$1879:$CR$1936&amp;" ",$BO66)))),"")</f>
        <v>0</v>
      </c>
      <c r="BO66" s="493" t="str">
        <f>IF(66=66,IF($U66="","",SUBSTITUTE(SUBSTITUTE(SUBSTITUTE(SUBSTITUTE(SUBSTITUTE(SUBSTITUTE(SUBSTITUTE(SUBSTITUTE(SUBSTITUTE(SUBSTITUTE(SUBSTITUTE(SUBSTITUTE(SUBSTITUTE(SUBSTITUTE(SUBSTITUTE(SUBSTITUTE(SUBSTITUTE(SUBSTITUTE(SUBSTITUTE(SUBSTITUTE(SUBSTITUTE(SUBSTITUTE(SUBSTITUTE($AA66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d arachide </v>
      </c>
      <c r="BP66" s="493">
        <f>IF(66=66,IF($U66="","",SUMPRODUCT(--ISNUMBER(SEARCH(" "&amp;$CR$1960:$CR$1976&amp;" ",$BO66)))),"")</f>
        <v>0</v>
      </c>
      <c r="BQ66" s="493" t="str">
        <f>IF(66=66,IF($U66="","",IF(BN66&gt;0,"X",IF(BP66&gt;0,"?",""))),"")</f>
        <v/>
      </c>
      <c r="BR66" s="493">
        <f>IF(66=66,IF($U66="","",SUMPRODUCT(--ISNUMBER(SEARCH(" "&amp;$CR$1977:$CR$1990&amp;" ",$AA66)))),"")</f>
        <v>0</v>
      </c>
      <c r="BS66" s="493">
        <f>IF(66=66,IF($U66="","",SUMPRODUCT(--ISNUMBER(SEARCH(" "&amp;$CR$1991:$CR$2005&amp;" ",$AA66)))),"")</f>
        <v>0</v>
      </c>
      <c r="BT66" s="493" t="str">
        <f>IF(66=66,IF($U66="","",IF((BR66)-(0)&gt;0,"X",IF((BS66)-(0)&gt;0,"?",""))),"")</f>
        <v/>
      </c>
      <c r="BU66" s="493">
        <f>IF(66=66,IF($U66="","",SUMPRODUCT(--ISNUMBER(SEARCH(" "&amp;$CR$2006:$CR$2023&amp;" ",$AA66)))),"")</f>
        <v>0</v>
      </c>
      <c r="BV66" s="493">
        <f>IF(66=66,IF($U66="","",SUMPRODUCT(--ISNUMBER(SEARCH(" "&amp;$CR$2024:$CR$2038&amp;" ",$AA66)))),"")</f>
        <v>0</v>
      </c>
      <c r="BW66" s="493" t="str">
        <f>IF(66=66,IF($U66="","",IF((BU66)-(0)&gt;0,"X",IF((BV66)-(0)&gt;0,"?",""))),"")</f>
        <v/>
      </c>
      <c r="BX66" s="493">
        <f>IF(66=66,IF($U66="","",SUMPRODUCT(--ISNUMBER(SEARCH(" "&amp;$CR$2039:$CR$2057&amp;" ",$AA66)))),"")</f>
        <v>0</v>
      </c>
      <c r="BY66" s="493">
        <f>IF(66=66,IF($U66="","",SUMPRODUCT(--ISNUMBER(SEARCH(" "&amp;$CR$2058:$CR$2072&amp;" ",$AA66)))),"")</f>
        <v>0</v>
      </c>
      <c r="BZ66" s="493" t="str">
        <f>IF(66=66,IF($U66="","",IF((BX66)-(0)&gt;0,"X",IF((BY66)-(0)&gt;0,"?",""))),"")</f>
        <v/>
      </c>
      <c r="CA66" s="493">
        <f>IF(66=66,IF($U66="","",SUMPRODUCT(--ISNUMBER(SEARCH(" "&amp;$CR$2073:$CR$2093&amp;" ",$AA66)))),"")</f>
        <v>0</v>
      </c>
      <c r="CB66" s="493">
        <f>IF(66=66,IF($U66="","",SUMPRODUCT(--ISNUMBER(SEARCH(" "&amp;$CR$2094:$CR$2133&amp;" ",SUBSTITUTE(SUBSTITUTE($AA66," "&amp;$CR$1367&amp;" "," ")," "&amp;$CR$1366&amp;" "," "))))+--ISNUMBER(SEARCH("poiré",$V66))),"")</f>
        <v>0</v>
      </c>
      <c r="CC66" s="493" t="str">
        <f>IF(66=66,IF($U66="","",IF(OR(CA66&gt;0,ISNUMBER(SEARCH(" vinaigre de vin ",$AA66)),ISNUMBER(SEARCH(" vinaigre au vin ",$AA66))),"X",IF(CB66&gt;0,"?",""))),"")</f>
        <v/>
      </c>
      <c r="CD66" s="493">
        <f>IF(66=66,IF($U66="","",SUMPRODUCT(--ISNUMBER(SEARCH(" "&amp;$CR$2134:$CR$2146&amp;" ",$AA66)))),"")</f>
        <v>0</v>
      </c>
      <c r="CE66" s="493">
        <f>IF(66=66,IF($U66="","",SUMPRODUCT(--ISNUMBER(SEARCH(" "&amp;$CR$2147:$CR$2152&amp;" ",$AA66)))),"")</f>
        <v>0</v>
      </c>
      <c r="CF66" s="493" t="str">
        <f>IF(66=66,IF($U66="","",IF((CD66)-(0)&gt;0,"X",IF((CE66)-(0)&gt;0,"?",""))),"")</f>
        <v/>
      </c>
      <c r="CG66" s="493">
        <f>IF(66=66,IF($U66="","",SUMPRODUCT(--ISNUMBER(SEARCH(" "&amp;$CR$2153:$CR$2252&amp;" ",$CJ66)))),"")</f>
        <v>0</v>
      </c>
      <c r="CH66" s="493">
        <f>IF(66=66,IF($U66="","",SUMPRODUCT(--ISNUMBER(SEARCH(" "&amp;$CR$2253:$CR$2352&amp;" ",$CJ66)))),"")</f>
        <v>0</v>
      </c>
      <c r="CI66" s="493">
        <f>IF(66=66,IF($U66="","",SUMPRODUCT(--ISNUMBER(SEARCH(" "&amp;$CR$2353:$CR$2395&amp;" ",$CJ66)))),"")</f>
        <v>0</v>
      </c>
      <c r="CJ66" s="493" t="str">
        <f>IF(66=66,IF($U66="","",SUBSTITUTE(SUBSTITUTE(SUBSTITUTE(SUBSTITUTE(SUBSTITUTE(SUBSTITUTE(SUBSTITUTE(SUBSTITUTE(SUBSTITUTE(SUBSTITUTE(SUBSTITUTE(SUBSTITUTE(SUBSTITUTE(SUBSTITUTE(SUBSTITUTE(SUBSTITUTE($AA66," "&amp;$CR$2401&amp;" "," ")," "&amp;$CR$2400&amp;" "," ")," "&amp;$CR$2399&amp;" "," ")," "&amp;$CR$2406&amp;" "," ")," "&amp;$CR$2398&amp;" "," ")," "&amp;$CR$2410&amp;" "," ")," "&amp;$CR$2397&amp;" "," ")," "&amp;$CR$2402&amp;" "," ")," "&amp;$CR$2405&amp;" "," ")," "&amp;$CR$2396&amp;" "," ")," "&amp;$CR$2404&amp;" "," ")," "&amp;$CR$2411&amp;" "," ")," "&amp;$CR$2408&amp;" "," ")," "&amp;$CR$2403&amp;" "," ")," "&amp;$CR$2407&amp;" "," ")," "&amp;$CR$2409&amp;" "," ")),"")</f>
        <v xml:space="preserve"> huile d arachide </v>
      </c>
      <c r="CK66" s="493">
        <f>IF(66=66,IF($U66="","",SUMPRODUCT(--ISNUMBER(SEARCH(" "&amp;$CR$2412:$CR$2416&amp;" ",$CJ66)))),"")</f>
        <v>0</v>
      </c>
      <c r="CL66" s="493" t="str">
        <f>IF(66=66,IF($U66="","",IF(SUM(CG66:CI66)&gt;0,"X",IF(CK66&gt;0,"?",""))),"")</f>
        <v/>
      </c>
      <c r="CM66" s="494"/>
      <c r="CN66" s="496" t="s">
        <v>1259</v>
      </c>
      <c r="CO66" s="496" t="s">
        <v>1083</v>
      </c>
      <c r="CP66" s="496" t="s">
        <v>689</v>
      </c>
      <c r="CQ66" s="496" t="s">
        <v>1260</v>
      </c>
      <c r="CR66" s="496" t="s">
        <v>192</v>
      </c>
      <c r="CS66" s="496" t="s">
        <v>1085</v>
      </c>
      <c r="CT66" s="496" t="s">
        <v>1086</v>
      </c>
      <c r="CU66" s="496" t="s">
        <v>1087</v>
      </c>
      <c r="CV66" s="497" t="s">
        <v>1088</v>
      </c>
      <c r="CX66" s="543">
        <v>1</v>
      </c>
    </row>
    <row r="67" spans="1:102" ht="21" customHeight="1">
      <c r="A67" s="498"/>
      <c r="B67" s="521"/>
      <c r="C67" s="522"/>
      <c r="D67" s="522"/>
      <c r="E67" s="498"/>
      <c r="F67" s="498"/>
      <c r="G67" s="498"/>
      <c r="H67" s="498"/>
      <c r="I67" s="498"/>
      <c r="J67" s="498"/>
      <c r="K67" s="498"/>
      <c r="L67" s="498"/>
      <c r="M67" s="498"/>
      <c r="N67" s="498"/>
      <c r="O67" s="498"/>
      <c r="P67" s="498"/>
      <c r="Q67" s="498"/>
      <c r="R67" s="498"/>
      <c r="S67" s="498"/>
      <c r="CM67" s="494"/>
      <c r="CN67" s="496" t="s">
        <v>1261</v>
      </c>
      <c r="CO67" s="496" t="s">
        <v>1083</v>
      </c>
      <c r="CP67" s="496" t="s">
        <v>689</v>
      </c>
      <c r="CQ67" s="496" t="s">
        <v>16</v>
      </c>
      <c r="CR67" s="496" t="s">
        <v>16</v>
      </c>
      <c r="CS67" s="496" t="s">
        <v>1085</v>
      </c>
      <c r="CT67" s="496" t="s">
        <v>1086</v>
      </c>
      <c r="CU67" s="496" t="s">
        <v>1087</v>
      </c>
      <c r="CV67" s="497" t="s">
        <v>1088</v>
      </c>
      <c r="CX67" s="543">
        <v>1</v>
      </c>
    </row>
    <row r="68" spans="1:102" ht="21" customHeight="1">
      <c r="A68" s="498"/>
      <c r="B68" s="521"/>
      <c r="C68" s="522"/>
      <c r="D68" s="522"/>
      <c r="E68" s="498"/>
      <c r="F68" s="498"/>
      <c r="G68" s="498"/>
      <c r="H68" s="498"/>
      <c r="I68" s="498"/>
      <c r="J68" s="498"/>
      <c r="K68" s="498"/>
      <c r="L68" s="498"/>
      <c r="M68" s="498"/>
      <c r="N68" s="498"/>
      <c r="O68" s="498"/>
      <c r="P68" s="498"/>
      <c r="Q68" s="498"/>
      <c r="R68" s="498"/>
      <c r="S68" s="498"/>
      <c r="CM68" s="494"/>
      <c r="CN68" s="496" t="s">
        <v>1262</v>
      </c>
      <c r="CO68" s="496" t="s">
        <v>1083</v>
      </c>
      <c r="CP68" s="496" t="s">
        <v>689</v>
      </c>
      <c r="CQ68" s="496" t="s">
        <v>1263</v>
      </c>
      <c r="CR68" s="496" t="s">
        <v>1264</v>
      </c>
      <c r="CS68" s="496" t="s">
        <v>1085</v>
      </c>
      <c r="CT68" s="496" t="s">
        <v>1086</v>
      </c>
      <c r="CU68" s="496" t="s">
        <v>1087</v>
      </c>
      <c r="CV68" s="497" t="s">
        <v>1088</v>
      </c>
      <c r="CX68" s="543">
        <v>1</v>
      </c>
    </row>
    <row r="69" spans="1:102" ht="21" customHeight="1">
      <c r="A69" s="498"/>
      <c r="B69" s="521"/>
      <c r="C69" s="522"/>
      <c r="D69" s="522"/>
      <c r="E69" s="498"/>
      <c r="F69" s="498"/>
      <c r="G69" s="498"/>
      <c r="H69" s="498"/>
      <c r="I69" s="498"/>
      <c r="J69" s="498"/>
      <c r="K69" s="498"/>
      <c r="L69" s="498"/>
      <c r="M69" s="498"/>
      <c r="N69" s="498"/>
      <c r="O69" s="498"/>
      <c r="P69" s="498"/>
      <c r="Q69" s="498"/>
      <c r="R69" s="498"/>
      <c r="S69" s="498"/>
      <c r="CM69" s="494"/>
      <c r="CN69" s="496" t="s">
        <v>1265</v>
      </c>
      <c r="CO69" s="496" t="s">
        <v>1083</v>
      </c>
      <c r="CP69" s="496" t="s">
        <v>689</v>
      </c>
      <c r="CQ69" s="496" t="s">
        <v>1266</v>
      </c>
      <c r="CR69" s="496" t="s">
        <v>1267</v>
      </c>
      <c r="CS69" s="496" t="s">
        <v>1085</v>
      </c>
      <c r="CT69" s="496" t="s">
        <v>1086</v>
      </c>
      <c r="CU69" s="496" t="s">
        <v>1087</v>
      </c>
      <c r="CV69" s="497" t="s">
        <v>1088</v>
      </c>
      <c r="CX69" s="543">
        <v>1</v>
      </c>
    </row>
    <row r="70" spans="1:102" ht="21" customHeight="1">
      <c r="A70" s="1243" t="s">
        <v>1268</v>
      </c>
      <c r="B70" s="1243"/>
      <c r="C70" s="1243"/>
      <c r="D70" s="1243"/>
      <c r="E70" s="1243"/>
      <c r="F70" s="1243"/>
      <c r="G70" s="1243"/>
      <c r="H70" s="1243"/>
      <c r="I70" s="1243"/>
      <c r="J70" s="1243"/>
      <c r="K70" s="1243"/>
      <c r="L70" s="1243"/>
      <c r="M70" s="1243"/>
      <c r="N70" s="1243"/>
      <c r="O70" s="1243"/>
      <c r="P70" s="1243"/>
      <c r="Q70" s="1243"/>
      <c r="R70" s="1243"/>
      <c r="S70" s="1243"/>
      <c r="CM70" s="494"/>
      <c r="CN70" s="496" t="s">
        <v>1269</v>
      </c>
      <c r="CO70" s="496" t="s">
        <v>1083</v>
      </c>
      <c r="CP70" s="496" t="s">
        <v>689</v>
      </c>
      <c r="CQ70" s="496" t="s">
        <v>92</v>
      </c>
      <c r="CR70" s="496" t="s">
        <v>92</v>
      </c>
      <c r="CS70" s="496" t="s">
        <v>1085</v>
      </c>
      <c r="CT70" s="496" t="s">
        <v>1086</v>
      </c>
      <c r="CU70" s="496" t="s">
        <v>1087</v>
      </c>
      <c r="CV70" s="497" t="s">
        <v>1088</v>
      </c>
      <c r="CX70" s="543">
        <v>1</v>
      </c>
    </row>
    <row r="71" spans="1:102" ht="21" customHeight="1">
      <c r="A71" s="498"/>
      <c r="B71" s="521"/>
      <c r="C71" s="522"/>
      <c r="D71" s="522"/>
      <c r="E71" s="498"/>
      <c r="F71" s="498"/>
      <c r="G71" s="498"/>
      <c r="H71" s="498"/>
      <c r="I71" s="498"/>
      <c r="J71" s="498"/>
      <c r="K71" s="498"/>
      <c r="L71" s="498"/>
      <c r="M71" s="498"/>
      <c r="N71" s="498"/>
      <c r="O71" s="498"/>
      <c r="P71" s="498"/>
      <c r="Q71" s="498"/>
      <c r="R71" s="498"/>
      <c r="S71" s="498"/>
      <c r="CM71" s="494"/>
      <c r="CN71" s="496" t="s">
        <v>1270</v>
      </c>
      <c r="CO71" s="496" t="s">
        <v>1083</v>
      </c>
      <c r="CP71" s="496" t="s">
        <v>689</v>
      </c>
      <c r="CQ71" s="496" t="s">
        <v>1271</v>
      </c>
      <c r="CR71" s="496" t="s">
        <v>1271</v>
      </c>
      <c r="CS71" s="496" t="s">
        <v>1085</v>
      </c>
      <c r="CT71" s="496" t="s">
        <v>1086</v>
      </c>
      <c r="CU71" s="496" t="s">
        <v>1087</v>
      </c>
      <c r="CV71" s="497" t="s">
        <v>1088</v>
      </c>
      <c r="CX71" s="543">
        <v>1</v>
      </c>
    </row>
    <row r="72" spans="1:102" ht="21" customHeight="1">
      <c r="A72" s="498"/>
      <c r="B72" s="521"/>
      <c r="C72" s="546" t="s">
        <v>1272</v>
      </c>
      <c r="D72" s="522"/>
      <c r="E72" s="498"/>
      <c r="F72" s="498"/>
      <c r="G72" s="498"/>
      <c r="H72" s="498"/>
      <c r="I72" s="498"/>
      <c r="J72" s="498"/>
      <c r="K72" s="498"/>
      <c r="L72" s="498"/>
      <c r="M72" s="498"/>
      <c r="N72" s="498"/>
      <c r="O72" s="498"/>
      <c r="P72" s="498"/>
      <c r="Q72" s="498"/>
      <c r="R72" s="498"/>
      <c r="S72" s="498"/>
      <c r="CM72" s="494"/>
      <c r="CN72" s="496" t="s">
        <v>1273</v>
      </c>
      <c r="CO72" s="496" t="s">
        <v>1083</v>
      </c>
      <c r="CP72" s="496" t="s">
        <v>689</v>
      </c>
      <c r="CQ72" s="496" t="s">
        <v>1274</v>
      </c>
      <c r="CR72" s="496" t="s">
        <v>1274</v>
      </c>
      <c r="CS72" s="496" t="s">
        <v>1085</v>
      </c>
      <c r="CT72" s="496" t="s">
        <v>1086</v>
      </c>
      <c r="CU72" s="496" t="s">
        <v>1087</v>
      </c>
      <c r="CV72" s="497" t="s">
        <v>1088</v>
      </c>
      <c r="CX72" s="543">
        <v>1</v>
      </c>
    </row>
    <row r="73" spans="1:102" ht="21" customHeight="1">
      <c r="A73" s="498"/>
      <c r="B73" s="521"/>
      <c r="C73" s="546" t="s">
        <v>1275</v>
      </c>
      <c r="D73" s="522"/>
      <c r="E73" s="498"/>
      <c r="F73" s="498"/>
      <c r="G73" s="498"/>
      <c r="H73" s="498"/>
      <c r="I73" s="498"/>
      <c r="J73" s="498"/>
      <c r="K73" s="498"/>
      <c r="L73" s="498"/>
      <c r="M73" s="498"/>
      <c r="N73" s="498"/>
      <c r="O73" s="498"/>
      <c r="P73" s="498"/>
      <c r="Q73" s="498"/>
      <c r="R73" s="498"/>
      <c r="S73" s="498"/>
      <c r="CM73" s="494"/>
      <c r="CN73" s="496" t="s">
        <v>1276</v>
      </c>
      <c r="CO73" s="496" t="s">
        <v>1083</v>
      </c>
      <c r="CP73" s="496" t="s">
        <v>689</v>
      </c>
      <c r="CQ73" s="496" t="s">
        <v>907</v>
      </c>
      <c r="CR73" s="496" t="s">
        <v>907</v>
      </c>
      <c r="CS73" s="496" t="s">
        <v>1085</v>
      </c>
      <c r="CT73" s="496" t="s">
        <v>1086</v>
      </c>
      <c r="CU73" s="496" t="s">
        <v>1087</v>
      </c>
      <c r="CV73" s="497" t="s">
        <v>1088</v>
      </c>
      <c r="CX73" s="543">
        <v>1</v>
      </c>
    </row>
    <row r="74" spans="1:102" ht="21" customHeight="1">
      <c r="A74" s="498"/>
      <c r="B74" s="521"/>
      <c r="C74" s="546" t="s">
        <v>5739</v>
      </c>
      <c r="D74" s="522"/>
      <c r="E74" s="498"/>
      <c r="F74" s="498"/>
      <c r="G74" s="498"/>
      <c r="H74" s="498"/>
      <c r="I74" s="498"/>
      <c r="J74" s="498"/>
      <c r="K74" s="498"/>
      <c r="L74" s="498"/>
      <c r="M74" s="498"/>
      <c r="N74" s="498"/>
      <c r="O74" s="498"/>
      <c r="P74" s="498"/>
      <c r="Q74" s="498"/>
      <c r="R74" s="498"/>
      <c r="S74" s="498"/>
      <c r="CM74" s="494"/>
      <c r="CN74" s="496" t="s">
        <v>1277</v>
      </c>
      <c r="CO74" s="496" t="s">
        <v>1083</v>
      </c>
      <c r="CP74" s="496" t="s">
        <v>689</v>
      </c>
      <c r="CQ74" s="496" t="s">
        <v>908</v>
      </c>
      <c r="CR74" s="496" t="s">
        <v>908</v>
      </c>
      <c r="CS74" s="496" t="s">
        <v>1085</v>
      </c>
      <c r="CT74" s="496" t="s">
        <v>1086</v>
      </c>
      <c r="CU74" s="496" t="s">
        <v>1087</v>
      </c>
      <c r="CV74" s="497" t="s">
        <v>1088</v>
      </c>
      <c r="CX74" s="543">
        <v>1</v>
      </c>
    </row>
    <row r="75" spans="1:102" ht="21" customHeight="1">
      <c r="A75" s="498"/>
      <c r="B75" s="521"/>
      <c r="C75" s="546" t="s">
        <v>1278</v>
      </c>
      <c r="D75" s="522"/>
      <c r="E75" s="498"/>
      <c r="F75" s="498"/>
      <c r="G75" s="498"/>
      <c r="H75" s="498"/>
      <c r="I75" s="498"/>
      <c r="J75" s="498"/>
      <c r="K75" s="498"/>
      <c r="L75" s="498"/>
      <c r="M75" s="498"/>
      <c r="N75" s="498"/>
      <c r="O75" s="498"/>
      <c r="P75" s="498"/>
      <c r="Q75" s="498"/>
      <c r="R75" s="498"/>
      <c r="S75" s="498"/>
      <c r="CM75" s="494"/>
      <c r="CN75" s="496" t="s">
        <v>1279</v>
      </c>
      <c r="CO75" s="496" t="s">
        <v>1083</v>
      </c>
      <c r="CP75" s="496" t="s">
        <v>689</v>
      </c>
      <c r="CQ75" s="496" t="s">
        <v>909</v>
      </c>
      <c r="CR75" s="496" t="s">
        <v>909</v>
      </c>
      <c r="CS75" s="496" t="s">
        <v>1085</v>
      </c>
      <c r="CT75" s="496" t="s">
        <v>1086</v>
      </c>
      <c r="CU75" s="496" t="s">
        <v>1087</v>
      </c>
      <c r="CV75" s="497" t="s">
        <v>1088</v>
      </c>
      <c r="CX75" s="543">
        <v>1</v>
      </c>
    </row>
    <row r="76" spans="1:102" ht="21" customHeight="1">
      <c r="A76" s="498"/>
      <c r="B76" s="521"/>
      <c r="C76" s="546" t="s">
        <v>5740</v>
      </c>
      <c r="D76" s="522"/>
      <c r="E76" s="498"/>
      <c r="F76" s="498"/>
      <c r="G76" s="498"/>
      <c r="H76" s="498"/>
      <c r="I76" s="498"/>
      <c r="J76" s="498"/>
      <c r="K76" s="498"/>
      <c r="L76" s="498"/>
      <c r="M76" s="498"/>
      <c r="N76" s="498"/>
      <c r="O76" s="498"/>
      <c r="P76" s="498"/>
      <c r="Q76" s="498"/>
      <c r="R76" s="498"/>
      <c r="S76" s="498"/>
      <c r="CM76" s="494"/>
      <c r="CN76" s="496" t="s">
        <v>1280</v>
      </c>
      <c r="CO76" s="496" t="s">
        <v>1083</v>
      </c>
      <c r="CP76" s="496" t="s">
        <v>689</v>
      </c>
      <c r="CQ76" s="496" t="s">
        <v>1281</v>
      </c>
      <c r="CR76" s="496" t="s">
        <v>1281</v>
      </c>
      <c r="CS76" s="496" t="s">
        <v>1085</v>
      </c>
      <c r="CT76" s="496" t="s">
        <v>1086</v>
      </c>
      <c r="CU76" s="496" t="s">
        <v>1087</v>
      </c>
      <c r="CV76" s="497" t="s">
        <v>1088</v>
      </c>
      <c r="CX76" s="543">
        <v>1</v>
      </c>
    </row>
    <row r="77" spans="1:102" ht="21" customHeight="1">
      <c r="A77" s="498"/>
      <c r="B77" s="521"/>
      <c r="C77" s="546" t="s">
        <v>5741</v>
      </c>
      <c r="D77" s="522"/>
      <c r="E77" s="498"/>
      <c r="F77" s="498"/>
      <c r="G77" s="498"/>
      <c r="H77" s="498"/>
      <c r="I77" s="498"/>
      <c r="J77" s="498"/>
      <c r="K77" s="498"/>
      <c r="L77" s="498"/>
      <c r="M77" s="498"/>
      <c r="N77" s="498"/>
      <c r="O77" s="498"/>
      <c r="P77" s="498"/>
      <c r="Q77" s="498"/>
      <c r="R77" s="498"/>
      <c r="S77" s="498"/>
      <c r="CM77" s="494"/>
      <c r="CN77" s="496" t="s">
        <v>1282</v>
      </c>
      <c r="CO77" s="496" t="s">
        <v>1083</v>
      </c>
      <c r="CP77" s="496" t="s">
        <v>689</v>
      </c>
      <c r="CQ77" s="496" t="s">
        <v>159</v>
      </c>
      <c r="CR77" s="496" t="s">
        <v>159</v>
      </c>
      <c r="CS77" s="496" t="s">
        <v>1085</v>
      </c>
      <c r="CT77" s="496" t="s">
        <v>1086</v>
      </c>
      <c r="CU77" s="496" t="s">
        <v>1087</v>
      </c>
      <c r="CV77" s="497" t="s">
        <v>1088</v>
      </c>
      <c r="CX77" s="543">
        <v>1</v>
      </c>
    </row>
    <row r="78" spans="1:102" ht="21" customHeight="1">
      <c r="A78" s="498"/>
      <c r="B78" s="521"/>
      <c r="C78" s="522"/>
      <c r="D78" s="522"/>
      <c r="E78" s="498"/>
      <c r="F78" s="498"/>
      <c r="G78" s="498"/>
      <c r="H78" s="498"/>
      <c r="I78" s="498"/>
      <c r="J78" s="498"/>
      <c r="K78" s="498"/>
      <c r="L78" s="498"/>
      <c r="M78" s="498"/>
      <c r="N78" s="498"/>
      <c r="O78" s="498"/>
      <c r="P78" s="498"/>
      <c r="Q78" s="498"/>
      <c r="R78" s="498"/>
      <c r="S78" s="498"/>
      <c r="CM78" s="494"/>
      <c r="CN78" s="496" t="s">
        <v>1283</v>
      </c>
      <c r="CO78" s="496" t="s">
        <v>1083</v>
      </c>
      <c r="CP78" s="496" t="s">
        <v>689</v>
      </c>
      <c r="CQ78" s="496" t="s">
        <v>164</v>
      </c>
      <c r="CR78" s="496" t="s">
        <v>164</v>
      </c>
      <c r="CS78" s="496" t="s">
        <v>1085</v>
      </c>
      <c r="CT78" s="496" t="s">
        <v>1086</v>
      </c>
      <c r="CU78" s="496" t="s">
        <v>1087</v>
      </c>
      <c r="CV78" s="497" t="s">
        <v>1088</v>
      </c>
      <c r="CX78" s="543">
        <v>1</v>
      </c>
    </row>
    <row r="79" spans="1:102" ht="21" customHeight="1">
      <c r="A79" s="498"/>
      <c r="B79" s="521"/>
      <c r="C79" s="522"/>
      <c r="D79" s="522"/>
      <c r="E79" s="498"/>
      <c r="F79" s="498"/>
      <c r="G79" s="498"/>
      <c r="H79" s="498"/>
      <c r="I79" s="498"/>
      <c r="J79" s="498"/>
      <c r="K79" s="498"/>
      <c r="L79" s="498"/>
      <c r="M79" s="498"/>
      <c r="N79" s="498"/>
      <c r="O79" s="498"/>
      <c r="P79" s="498"/>
      <c r="Q79" s="498"/>
      <c r="R79" s="498"/>
      <c r="S79" s="498"/>
      <c r="CM79" s="494"/>
      <c r="CN79" s="496" t="s">
        <v>1284</v>
      </c>
      <c r="CO79" s="496" t="s">
        <v>1083</v>
      </c>
      <c r="CP79" s="496" t="s">
        <v>689</v>
      </c>
      <c r="CQ79" s="496" t="s">
        <v>1285</v>
      </c>
      <c r="CR79" s="496" t="s">
        <v>5742</v>
      </c>
      <c r="CS79" s="496" t="s">
        <v>1085</v>
      </c>
      <c r="CT79" s="496" t="s">
        <v>5743</v>
      </c>
      <c r="CU79" s="496" t="s">
        <v>3961</v>
      </c>
      <c r="CV79" s="497" t="s">
        <v>1153</v>
      </c>
      <c r="CX79" s="543">
        <v>1</v>
      </c>
    </row>
    <row r="80" spans="1:102" ht="21" customHeight="1">
      <c r="A80" s="1243" t="s">
        <v>1287</v>
      </c>
      <c r="B80" s="1243"/>
      <c r="C80" s="1243"/>
      <c r="D80" s="1243"/>
      <c r="E80" s="1243"/>
      <c r="F80" s="1243"/>
      <c r="G80" s="1243"/>
      <c r="H80" s="1243"/>
      <c r="I80" s="1243"/>
      <c r="J80" s="1243"/>
      <c r="K80" s="1243"/>
      <c r="L80" s="1243"/>
      <c r="M80" s="1243"/>
      <c r="N80" s="1243"/>
      <c r="O80" s="1243"/>
      <c r="P80" s="1243"/>
      <c r="Q80" s="1243"/>
      <c r="R80" s="1243"/>
      <c r="S80" s="1243"/>
      <c r="CM80" s="494"/>
      <c r="CN80" s="496" t="s">
        <v>1288</v>
      </c>
      <c r="CO80" s="496" t="s">
        <v>1083</v>
      </c>
      <c r="CP80" s="496" t="s">
        <v>689</v>
      </c>
      <c r="CQ80" s="496" t="s">
        <v>910</v>
      </c>
      <c r="CR80" s="496" t="s">
        <v>910</v>
      </c>
      <c r="CS80" s="496" t="s">
        <v>1085</v>
      </c>
      <c r="CT80" s="496" t="s">
        <v>1086</v>
      </c>
      <c r="CU80" s="496" t="s">
        <v>1087</v>
      </c>
      <c r="CV80" s="497" t="s">
        <v>1088</v>
      </c>
      <c r="CX80" s="543">
        <v>1</v>
      </c>
    </row>
    <row r="81" spans="1:102" ht="21" customHeight="1">
      <c r="A81" s="547" t="s">
        <v>1289</v>
      </c>
      <c r="B81" s="548" t="s">
        <v>1290</v>
      </c>
      <c r="C81" s="549" t="s">
        <v>1291</v>
      </c>
      <c r="D81" s="550" t="s">
        <v>1292</v>
      </c>
      <c r="E81" s="498"/>
      <c r="F81" s="498"/>
      <c r="G81" s="498"/>
      <c r="H81" s="498"/>
      <c r="I81" s="498"/>
      <c r="J81" s="498"/>
      <c r="K81" s="498"/>
      <c r="L81" s="498"/>
      <c r="M81" s="498"/>
      <c r="N81" s="498"/>
      <c r="O81" s="498"/>
      <c r="P81" s="498"/>
      <c r="Q81" s="498"/>
      <c r="R81" s="498"/>
      <c r="S81" s="498"/>
      <c r="CM81" s="494"/>
      <c r="CN81" s="496" t="s">
        <v>1293</v>
      </c>
      <c r="CO81" s="496" t="s">
        <v>1083</v>
      </c>
      <c r="CP81" s="496" t="s">
        <v>689</v>
      </c>
      <c r="CQ81" s="496" t="s">
        <v>911</v>
      </c>
      <c r="CR81" s="496" t="s">
        <v>911</v>
      </c>
      <c r="CS81" s="496" t="s">
        <v>1085</v>
      </c>
      <c r="CT81" s="496" t="s">
        <v>1086</v>
      </c>
      <c r="CU81" s="496" t="s">
        <v>1087</v>
      </c>
      <c r="CV81" s="497" t="s">
        <v>1088</v>
      </c>
      <c r="CX81" s="543">
        <v>1</v>
      </c>
    </row>
    <row r="82" spans="1:102" ht="21" customHeight="1">
      <c r="A82" s="523">
        <v>1</v>
      </c>
      <c r="B82" s="524" t="s">
        <v>1294</v>
      </c>
      <c r="C82" s="525" t="s">
        <v>1295</v>
      </c>
      <c r="D82" s="526" t="s">
        <v>1296</v>
      </c>
      <c r="E82" s="498"/>
      <c r="F82" s="498"/>
      <c r="G82" s="498"/>
      <c r="H82" s="498"/>
      <c r="I82" s="498"/>
      <c r="J82" s="498"/>
      <c r="K82" s="498"/>
      <c r="L82" s="498"/>
      <c r="M82" s="498"/>
      <c r="N82" s="498"/>
      <c r="O82" s="498"/>
      <c r="P82" s="498"/>
      <c r="Q82" s="498"/>
      <c r="R82" s="498"/>
      <c r="S82" s="498"/>
      <c r="CM82" s="494"/>
      <c r="CN82" s="496" t="s">
        <v>1297</v>
      </c>
      <c r="CO82" s="496" t="s">
        <v>1083</v>
      </c>
      <c r="CP82" s="496" t="s">
        <v>689</v>
      </c>
      <c r="CQ82" s="496" t="s">
        <v>912</v>
      </c>
      <c r="CR82" s="496" t="s">
        <v>912</v>
      </c>
      <c r="CS82" s="496" t="s">
        <v>1085</v>
      </c>
      <c r="CT82" s="496" t="s">
        <v>1086</v>
      </c>
      <c r="CU82" s="496" t="s">
        <v>1087</v>
      </c>
      <c r="CV82" s="497" t="s">
        <v>1088</v>
      </c>
      <c r="CX82" s="543">
        <v>1</v>
      </c>
    </row>
    <row r="83" spans="1:102" ht="21" customHeight="1">
      <c r="A83" s="523">
        <v>2</v>
      </c>
      <c r="B83" s="524" t="s">
        <v>1298</v>
      </c>
      <c r="C83" s="525" t="s">
        <v>1295</v>
      </c>
      <c r="D83" s="526" t="s">
        <v>1299</v>
      </c>
      <c r="E83" s="498"/>
      <c r="F83" s="498"/>
      <c r="G83" s="498"/>
      <c r="H83" s="498"/>
      <c r="I83" s="498"/>
      <c r="J83" s="498"/>
      <c r="K83" s="498"/>
      <c r="L83" s="498"/>
      <c r="M83" s="498"/>
      <c r="N83" s="498"/>
      <c r="O83" s="498"/>
      <c r="P83" s="498"/>
      <c r="Q83" s="498"/>
      <c r="R83" s="498"/>
      <c r="S83" s="498"/>
      <c r="CM83" s="494"/>
      <c r="CN83" s="496" t="s">
        <v>1300</v>
      </c>
      <c r="CO83" s="496" t="s">
        <v>1083</v>
      </c>
      <c r="CP83" s="496" t="s">
        <v>689</v>
      </c>
      <c r="CQ83" s="496" t="s">
        <v>314</v>
      </c>
      <c r="CR83" s="496" t="s">
        <v>314</v>
      </c>
      <c r="CS83" s="496" t="s">
        <v>1085</v>
      </c>
      <c r="CT83" s="496" t="s">
        <v>1086</v>
      </c>
      <c r="CU83" s="496" t="s">
        <v>1087</v>
      </c>
      <c r="CV83" s="497" t="s">
        <v>1088</v>
      </c>
      <c r="CX83" s="543">
        <v>1</v>
      </c>
    </row>
    <row r="84" spans="1:102" ht="21" customHeight="1">
      <c r="A84" s="523">
        <v>3</v>
      </c>
      <c r="B84" s="524" t="s">
        <v>1301</v>
      </c>
      <c r="C84" s="525" t="s">
        <v>1295</v>
      </c>
      <c r="D84" s="526" t="s">
        <v>674</v>
      </c>
      <c r="E84" s="498"/>
      <c r="F84" s="498"/>
      <c r="G84" s="498"/>
      <c r="H84" s="498"/>
      <c r="I84" s="498"/>
      <c r="J84" s="498"/>
      <c r="K84" s="498"/>
      <c r="L84" s="498"/>
      <c r="M84" s="498"/>
      <c r="N84" s="498"/>
      <c r="O84" s="498"/>
      <c r="P84" s="498"/>
      <c r="Q84" s="498"/>
      <c r="R84" s="498"/>
      <c r="S84" s="498"/>
      <c r="CM84" s="494"/>
      <c r="CN84" s="496" t="s">
        <v>1302</v>
      </c>
      <c r="CO84" s="496" t="s">
        <v>1083</v>
      </c>
      <c r="CP84" s="496" t="s">
        <v>689</v>
      </c>
      <c r="CQ84" s="496" t="s">
        <v>1303</v>
      </c>
      <c r="CR84" s="496" t="s">
        <v>1303</v>
      </c>
      <c r="CS84" s="496" t="s">
        <v>1151</v>
      </c>
      <c r="CT84" s="496" t="s">
        <v>1152</v>
      </c>
      <c r="CU84" s="496" t="s">
        <v>1087</v>
      </c>
      <c r="CV84" s="497" t="s">
        <v>1153</v>
      </c>
      <c r="CX84" s="543">
        <v>1</v>
      </c>
    </row>
    <row r="85" spans="1:102" ht="21" customHeight="1">
      <c r="A85" s="523">
        <v>4</v>
      </c>
      <c r="B85" s="524" t="s">
        <v>1304</v>
      </c>
      <c r="C85" s="525" t="s">
        <v>1295</v>
      </c>
      <c r="D85" s="526" t="s">
        <v>1305</v>
      </c>
      <c r="E85" s="498"/>
      <c r="F85" s="498"/>
      <c r="G85" s="498"/>
      <c r="H85" s="498"/>
      <c r="I85" s="498"/>
      <c r="J85" s="498"/>
      <c r="K85" s="498"/>
      <c r="L85" s="498"/>
      <c r="M85" s="498"/>
      <c r="N85" s="498"/>
      <c r="O85" s="498"/>
      <c r="P85" s="498"/>
      <c r="Q85" s="498"/>
      <c r="R85" s="498"/>
      <c r="S85" s="498"/>
      <c r="CM85" s="494"/>
      <c r="CN85" s="496" t="s">
        <v>1306</v>
      </c>
      <c r="CO85" s="496" t="s">
        <v>1083</v>
      </c>
      <c r="CP85" s="496" t="s">
        <v>689</v>
      </c>
      <c r="CQ85" s="496" t="s">
        <v>315</v>
      </c>
      <c r="CR85" s="496" t="s">
        <v>315</v>
      </c>
      <c r="CS85" s="496" t="s">
        <v>1151</v>
      </c>
      <c r="CT85" s="496" t="s">
        <v>1152</v>
      </c>
      <c r="CU85" s="496" t="s">
        <v>1087</v>
      </c>
      <c r="CV85" s="497" t="s">
        <v>1153</v>
      </c>
      <c r="CX85" s="543">
        <v>1</v>
      </c>
    </row>
    <row r="86" spans="1:102" ht="21" customHeight="1">
      <c r="A86" s="523">
        <v>5</v>
      </c>
      <c r="B86" s="524" t="s">
        <v>1307</v>
      </c>
      <c r="C86" s="525" t="s">
        <v>1295</v>
      </c>
      <c r="D86" s="526" t="s">
        <v>1308</v>
      </c>
      <c r="E86" s="498"/>
      <c r="F86" s="498"/>
      <c r="G86" s="498"/>
      <c r="H86" s="498"/>
      <c r="I86" s="498"/>
      <c r="J86" s="498"/>
      <c r="K86" s="498"/>
      <c r="L86" s="498"/>
      <c r="M86" s="498"/>
      <c r="N86" s="498"/>
      <c r="O86" s="498"/>
      <c r="P86" s="498"/>
      <c r="Q86" s="498"/>
      <c r="R86" s="498"/>
      <c r="S86" s="498"/>
      <c r="CM86" s="494"/>
      <c r="CN86" s="496" t="s">
        <v>1309</v>
      </c>
      <c r="CO86" s="496" t="s">
        <v>1083</v>
      </c>
      <c r="CP86" s="496" t="s">
        <v>689</v>
      </c>
      <c r="CQ86" s="496" t="s">
        <v>131</v>
      </c>
      <c r="CR86" s="496" t="s">
        <v>131</v>
      </c>
      <c r="CS86" s="496" t="s">
        <v>1085</v>
      </c>
      <c r="CT86" s="496" t="s">
        <v>1086</v>
      </c>
      <c r="CU86" s="496" t="s">
        <v>1087</v>
      </c>
      <c r="CV86" s="497" t="s">
        <v>1088</v>
      </c>
      <c r="CX86" s="543">
        <v>1</v>
      </c>
    </row>
    <row r="87" spans="1:102" ht="21" customHeight="1">
      <c r="A87" s="523">
        <v>6</v>
      </c>
      <c r="B87" s="524" t="s">
        <v>1310</v>
      </c>
      <c r="C87" s="525" t="s">
        <v>1311</v>
      </c>
      <c r="D87" s="526" t="s">
        <v>1312</v>
      </c>
      <c r="E87" s="498"/>
      <c r="F87" s="498"/>
      <c r="G87" s="498"/>
      <c r="H87" s="498"/>
      <c r="I87" s="498"/>
      <c r="J87" s="498"/>
      <c r="K87" s="498"/>
      <c r="L87" s="498"/>
      <c r="M87" s="498"/>
      <c r="N87" s="498"/>
      <c r="O87" s="498"/>
      <c r="P87" s="498"/>
      <c r="Q87" s="498"/>
      <c r="R87" s="498"/>
      <c r="S87" s="498"/>
      <c r="CM87" s="494"/>
      <c r="CN87" s="496" t="s">
        <v>1313</v>
      </c>
      <c r="CO87" s="496" t="s">
        <v>1083</v>
      </c>
      <c r="CP87" s="496" t="s">
        <v>689</v>
      </c>
      <c r="CQ87" s="496" t="s">
        <v>316</v>
      </c>
      <c r="CR87" s="496" t="s">
        <v>316</v>
      </c>
      <c r="CS87" s="496" t="s">
        <v>1085</v>
      </c>
      <c r="CT87" s="496" t="s">
        <v>1086</v>
      </c>
      <c r="CU87" s="496" t="s">
        <v>1087</v>
      </c>
      <c r="CV87" s="497" t="s">
        <v>1088</v>
      </c>
      <c r="CX87" s="543">
        <v>1</v>
      </c>
    </row>
    <row r="88" spans="1:102" ht="21" customHeight="1">
      <c r="A88" s="523">
        <v>7</v>
      </c>
      <c r="B88" s="524" t="s">
        <v>1314</v>
      </c>
      <c r="C88" s="525" t="s">
        <v>1315</v>
      </c>
      <c r="D88" s="526" t="s">
        <v>1316</v>
      </c>
      <c r="E88" s="498"/>
      <c r="F88" s="498"/>
      <c r="G88" s="498"/>
      <c r="H88" s="498"/>
      <c r="I88" s="498"/>
      <c r="J88" s="498"/>
      <c r="K88" s="498"/>
      <c r="L88" s="498"/>
      <c r="M88" s="498"/>
      <c r="N88" s="498"/>
      <c r="O88" s="498"/>
      <c r="P88" s="498"/>
      <c r="Q88" s="498"/>
      <c r="R88" s="498"/>
      <c r="S88" s="498"/>
      <c r="CM88" s="494"/>
      <c r="CN88" s="496" t="s">
        <v>1317</v>
      </c>
      <c r="CO88" s="496" t="s">
        <v>1083</v>
      </c>
      <c r="CP88" s="496" t="s">
        <v>689</v>
      </c>
      <c r="CQ88" s="496" t="s">
        <v>1318</v>
      </c>
      <c r="CR88" s="496" t="s">
        <v>1319</v>
      </c>
      <c r="CS88" s="496" t="s">
        <v>1085</v>
      </c>
      <c r="CT88" s="496" t="s">
        <v>1086</v>
      </c>
      <c r="CU88" s="496" t="s">
        <v>1087</v>
      </c>
      <c r="CV88" s="497" t="s">
        <v>1088</v>
      </c>
      <c r="CX88" s="543">
        <v>1</v>
      </c>
    </row>
    <row r="89" spans="1:102" ht="21" customHeight="1">
      <c r="A89" s="523">
        <v>8</v>
      </c>
      <c r="B89" s="524" t="s">
        <v>1320</v>
      </c>
      <c r="C89" s="525" t="s">
        <v>1321</v>
      </c>
      <c r="D89" s="526" t="s">
        <v>1322</v>
      </c>
      <c r="E89" s="498"/>
      <c r="F89" s="498"/>
      <c r="G89" s="498"/>
      <c r="H89" s="498"/>
      <c r="I89" s="498"/>
      <c r="J89" s="498"/>
      <c r="K89" s="498"/>
      <c r="L89" s="498"/>
      <c r="M89" s="498"/>
      <c r="N89" s="498"/>
      <c r="O89" s="498"/>
      <c r="P89" s="498"/>
      <c r="Q89" s="498"/>
      <c r="R89" s="498"/>
      <c r="S89" s="498"/>
      <c r="CM89" s="494"/>
      <c r="CN89" s="496" t="s">
        <v>1323</v>
      </c>
      <c r="CO89" s="496" t="s">
        <v>1083</v>
      </c>
      <c r="CP89" s="496" t="s">
        <v>689</v>
      </c>
      <c r="CQ89" s="496" t="s">
        <v>1324</v>
      </c>
      <c r="CR89" s="496" t="s">
        <v>1324</v>
      </c>
      <c r="CS89" s="496" t="s">
        <v>1085</v>
      </c>
      <c r="CT89" s="496" t="s">
        <v>1086</v>
      </c>
      <c r="CU89" s="496" t="s">
        <v>1087</v>
      </c>
      <c r="CV89" s="497" t="s">
        <v>1088</v>
      </c>
      <c r="CX89" s="543">
        <v>1</v>
      </c>
    </row>
    <row r="90" spans="1:102" ht="21" customHeight="1">
      <c r="A90" s="523">
        <v>9</v>
      </c>
      <c r="B90" s="524" t="s">
        <v>1325</v>
      </c>
      <c r="C90" s="525" t="s">
        <v>1326</v>
      </c>
      <c r="D90" s="526" t="s">
        <v>1327</v>
      </c>
      <c r="E90" s="498"/>
      <c r="F90" s="498"/>
      <c r="G90" s="498"/>
      <c r="H90" s="498"/>
      <c r="I90" s="498"/>
      <c r="J90" s="498"/>
      <c r="K90" s="498"/>
      <c r="L90" s="498"/>
      <c r="M90" s="498"/>
      <c r="N90" s="498"/>
      <c r="O90" s="498"/>
      <c r="P90" s="498"/>
      <c r="Q90" s="498"/>
      <c r="R90" s="498"/>
      <c r="S90" s="498"/>
      <c r="CM90" s="494"/>
      <c r="CN90" s="496" t="s">
        <v>1328</v>
      </c>
      <c r="CO90" s="496" t="s">
        <v>1083</v>
      </c>
      <c r="CP90" s="496" t="s">
        <v>689</v>
      </c>
      <c r="CQ90" s="496" t="s">
        <v>1329</v>
      </c>
      <c r="CR90" s="496" t="s">
        <v>1330</v>
      </c>
      <c r="CS90" s="496" t="s">
        <v>1085</v>
      </c>
      <c r="CT90" s="496" t="s">
        <v>1086</v>
      </c>
      <c r="CU90" s="496" t="s">
        <v>1087</v>
      </c>
      <c r="CV90" s="497" t="s">
        <v>1088</v>
      </c>
      <c r="CX90" s="543">
        <v>1</v>
      </c>
    </row>
    <row r="91" spans="1:102" ht="21" customHeight="1">
      <c r="A91" s="527">
        <v>10</v>
      </c>
      <c r="B91" s="528" t="s">
        <v>1331</v>
      </c>
      <c r="C91" s="529" t="s">
        <v>1332</v>
      </c>
      <c r="D91" s="530" t="s">
        <v>1333</v>
      </c>
      <c r="E91" s="498"/>
      <c r="F91" s="498"/>
      <c r="G91" s="498"/>
      <c r="H91" s="498"/>
      <c r="I91" s="498"/>
      <c r="J91" s="498"/>
      <c r="K91" s="498"/>
      <c r="L91" s="498"/>
      <c r="M91" s="498"/>
      <c r="N91" s="498"/>
      <c r="O91" s="498"/>
      <c r="P91" s="498"/>
      <c r="Q91" s="498"/>
      <c r="R91" s="498"/>
      <c r="S91" s="498"/>
      <c r="CM91" s="494"/>
      <c r="CN91" s="496" t="s">
        <v>1334</v>
      </c>
      <c r="CO91" s="496" t="s">
        <v>1083</v>
      </c>
      <c r="CP91" s="496" t="s">
        <v>689</v>
      </c>
      <c r="CQ91" s="496" t="s">
        <v>1335</v>
      </c>
      <c r="CR91" s="496" t="s">
        <v>1335</v>
      </c>
      <c r="CS91" s="496" t="s">
        <v>1085</v>
      </c>
      <c r="CT91" s="496" t="s">
        <v>1086</v>
      </c>
      <c r="CU91" s="496" t="s">
        <v>1087</v>
      </c>
      <c r="CV91" s="497" t="s">
        <v>1088</v>
      </c>
      <c r="CX91" s="543">
        <v>1</v>
      </c>
    </row>
    <row r="92" spans="1:102" ht="21" customHeight="1">
      <c r="A92" s="498"/>
      <c r="B92" s="521"/>
      <c r="C92" s="522"/>
      <c r="D92" s="522"/>
      <c r="E92" s="498"/>
      <c r="F92" s="498"/>
      <c r="G92" s="498"/>
      <c r="H92" s="498"/>
      <c r="I92" s="498"/>
      <c r="J92" s="498"/>
      <c r="K92" s="498"/>
      <c r="L92" s="498"/>
      <c r="M92" s="498"/>
      <c r="N92" s="498"/>
      <c r="O92" s="498"/>
      <c r="P92" s="498"/>
      <c r="Q92" s="498"/>
      <c r="R92" s="498"/>
      <c r="S92" s="498"/>
      <c r="CM92" s="494"/>
      <c r="CN92" s="496" t="s">
        <v>1336</v>
      </c>
      <c r="CO92" s="496" t="s">
        <v>1083</v>
      </c>
      <c r="CP92" s="496" t="s">
        <v>689</v>
      </c>
      <c r="CQ92" s="496" t="s">
        <v>1337</v>
      </c>
      <c r="CR92" s="496" t="s">
        <v>1337</v>
      </c>
      <c r="CS92" s="496" t="s">
        <v>1085</v>
      </c>
      <c r="CT92" s="496" t="s">
        <v>1086</v>
      </c>
      <c r="CU92" s="496" t="s">
        <v>1087</v>
      </c>
      <c r="CV92" s="497" t="s">
        <v>1088</v>
      </c>
      <c r="CX92" s="543">
        <v>1</v>
      </c>
    </row>
    <row r="93" spans="1:102" ht="21" customHeight="1">
      <c r="A93" s="498"/>
      <c r="B93" s="521"/>
      <c r="C93" s="522"/>
      <c r="D93" s="522"/>
      <c r="E93" s="498"/>
      <c r="F93" s="498"/>
      <c r="G93" s="498"/>
      <c r="H93" s="498"/>
      <c r="I93" s="498"/>
      <c r="J93" s="498"/>
      <c r="K93" s="498"/>
      <c r="L93" s="498"/>
      <c r="M93" s="498"/>
      <c r="N93" s="498"/>
      <c r="O93" s="498"/>
      <c r="P93" s="498"/>
      <c r="Q93" s="498"/>
      <c r="R93" s="498"/>
      <c r="S93" s="498"/>
      <c r="CM93" s="494"/>
      <c r="CN93" s="496" t="s">
        <v>1338</v>
      </c>
      <c r="CO93" s="496" t="s">
        <v>1083</v>
      </c>
      <c r="CP93" s="496" t="s">
        <v>689</v>
      </c>
      <c r="CQ93" s="496" t="s">
        <v>1339</v>
      </c>
      <c r="CR93" s="496" t="s">
        <v>1339</v>
      </c>
      <c r="CS93" s="496" t="s">
        <v>1085</v>
      </c>
      <c r="CT93" s="496" t="s">
        <v>1086</v>
      </c>
      <c r="CU93" s="496" t="s">
        <v>1087</v>
      </c>
      <c r="CV93" s="497" t="s">
        <v>1088</v>
      </c>
      <c r="CX93" s="543">
        <v>1</v>
      </c>
    </row>
    <row r="94" spans="1:102" ht="21" customHeight="1">
      <c r="A94" s="1243" t="s">
        <v>1340</v>
      </c>
      <c r="B94" s="1243"/>
      <c r="C94" s="1243"/>
      <c r="D94" s="1243"/>
      <c r="E94" s="1243"/>
      <c r="F94" s="1243"/>
      <c r="G94" s="1243"/>
      <c r="H94" s="1243"/>
      <c r="I94" s="1243"/>
      <c r="J94" s="1243"/>
      <c r="K94" s="1243"/>
      <c r="L94" s="1243"/>
      <c r="M94" s="1243"/>
      <c r="N94" s="1243"/>
      <c r="O94" s="1243"/>
      <c r="P94" s="1243"/>
      <c r="Q94" s="1243"/>
      <c r="R94" s="1243"/>
      <c r="S94" s="1243"/>
      <c r="CM94" s="494"/>
      <c r="CN94" s="496" t="s">
        <v>1341</v>
      </c>
      <c r="CO94" s="496" t="s">
        <v>1083</v>
      </c>
      <c r="CP94" s="496" t="s">
        <v>689</v>
      </c>
      <c r="CQ94" s="496" t="s">
        <v>1342</v>
      </c>
      <c r="CR94" s="496" t="s">
        <v>1343</v>
      </c>
      <c r="CS94" s="496" t="s">
        <v>1085</v>
      </c>
      <c r="CT94" s="496" t="s">
        <v>1086</v>
      </c>
      <c r="CU94" s="496" t="s">
        <v>1087</v>
      </c>
      <c r="CV94" s="497" t="s">
        <v>1088</v>
      </c>
      <c r="CX94" s="543">
        <v>1</v>
      </c>
    </row>
    <row r="95" spans="1:102" ht="21" customHeight="1">
      <c r="A95" s="498"/>
      <c r="B95" s="551" t="s">
        <v>5798</v>
      </c>
      <c r="C95" s="534"/>
      <c r="D95" s="522"/>
      <c r="E95" s="498"/>
      <c r="F95" s="498"/>
      <c r="G95" s="498"/>
      <c r="H95" s="498"/>
      <c r="I95" s="498"/>
      <c r="J95" s="498"/>
      <c r="K95" s="498"/>
      <c r="L95" s="498"/>
      <c r="M95" s="498"/>
      <c r="N95" s="498"/>
      <c r="O95" s="498"/>
      <c r="P95" s="498"/>
      <c r="Q95" s="498"/>
      <c r="R95" s="498"/>
      <c r="S95" s="498"/>
      <c r="CM95" s="494"/>
      <c r="CN95" s="496" t="s">
        <v>1344</v>
      </c>
      <c r="CO95" s="496" t="s">
        <v>1083</v>
      </c>
      <c r="CP95" s="496" t="s">
        <v>689</v>
      </c>
      <c r="CQ95" s="496" t="s">
        <v>1345</v>
      </c>
      <c r="CR95" s="496" t="s">
        <v>1345</v>
      </c>
      <c r="CS95" s="496" t="s">
        <v>1085</v>
      </c>
      <c r="CT95" s="496" t="s">
        <v>1086</v>
      </c>
      <c r="CU95" s="496" t="s">
        <v>1087</v>
      </c>
      <c r="CV95" s="497" t="s">
        <v>1088</v>
      </c>
      <c r="CX95" s="543">
        <v>1</v>
      </c>
    </row>
    <row r="96" spans="1:102" ht="21" customHeight="1">
      <c r="A96" s="498"/>
      <c r="B96" s="535" t="s">
        <v>5799</v>
      </c>
      <c r="C96" s="536" t="s">
        <v>5800</v>
      </c>
      <c r="D96" s="522"/>
      <c r="E96" s="498"/>
      <c r="F96" s="498"/>
      <c r="G96" s="498"/>
      <c r="H96" s="498"/>
      <c r="I96" s="498"/>
      <c r="J96" s="498"/>
      <c r="K96" s="498"/>
      <c r="L96" s="498"/>
      <c r="M96" s="498"/>
      <c r="N96" s="498"/>
      <c r="O96" s="498"/>
      <c r="P96" s="498"/>
      <c r="Q96" s="498"/>
      <c r="R96" s="498"/>
      <c r="S96" s="498"/>
      <c r="CM96" s="494"/>
      <c r="CN96" s="496" t="s">
        <v>1346</v>
      </c>
      <c r="CO96" s="496" t="s">
        <v>1083</v>
      </c>
      <c r="CP96" s="496" t="s">
        <v>689</v>
      </c>
      <c r="CQ96" s="496" t="s">
        <v>202</v>
      </c>
      <c r="CR96" s="496" t="s">
        <v>202</v>
      </c>
      <c r="CS96" s="496" t="s">
        <v>1085</v>
      </c>
      <c r="CT96" s="496" t="s">
        <v>1086</v>
      </c>
      <c r="CU96" s="496" t="s">
        <v>1087</v>
      </c>
      <c r="CV96" s="497" t="s">
        <v>1088</v>
      </c>
      <c r="CX96" s="543">
        <v>1</v>
      </c>
    </row>
    <row r="97" spans="1:102" ht="21" customHeight="1">
      <c r="A97" s="498"/>
      <c r="B97" s="535" t="s">
        <v>5801</v>
      </c>
      <c r="C97" s="536" t="s">
        <v>5802</v>
      </c>
      <c r="D97" s="522"/>
      <c r="E97" s="498"/>
      <c r="F97" s="498"/>
      <c r="G97" s="498"/>
      <c r="H97" s="498"/>
      <c r="I97" s="498"/>
      <c r="J97" s="498"/>
      <c r="K97" s="498"/>
      <c r="L97" s="498"/>
      <c r="M97" s="498"/>
      <c r="N97" s="498"/>
      <c r="O97" s="498"/>
      <c r="P97" s="498"/>
      <c r="Q97" s="498"/>
      <c r="R97" s="498"/>
      <c r="S97" s="498"/>
      <c r="CM97" s="494"/>
      <c r="CN97" s="496" t="s">
        <v>1347</v>
      </c>
      <c r="CO97" s="496" t="s">
        <v>1083</v>
      </c>
      <c r="CP97" s="496" t="s">
        <v>689</v>
      </c>
      <c r="CQ97" s="496" t="s">
        <v>1348</v>
      </c>
      <c r="CR97" s="496" t="s">
        <v>1348</v>
      </c>
      <c r="CS97" s="496" t="s">
        <v>1151</v>
      </c>
      <c r="CT97" s="496" t="s">
        <v>1152</v>
      </c>
      <c r="CU97" s="496" t="s">
        <v>1087</v>
      </c>
      <c r="CV97" s="497" t="s">
        <v>1153</v>
      </c>
      <c r="CX97" s="543">
        <v>1</v>
      </c>
    </row>
    <row r="98" spans="1:102" ht="21" customHeight="1">
      <c r="A98" s="498"/>
      <c r="B98" s="535" t="s">
        <v>5803</v>
      </c>
      <c r="C98" s="536" t="s">
        <v>5804</v>
      </c>
      <c r="D98" s="522"/>
      <c r="E98" s="498"/>
      <c r="F98" s="498"/>
      <c r="G98" s="498"/>
      <c r="H98" s="498"/>
      <c r="I98" s="498"/>
      <c r="J98" s="498"/>
      <c r="K98" s="498"/>
      <c r="L98" s="498"/>
      <c r="M98" s="498"/>
      <c r="N98" s="498"/>
      <c r="O98" s="498"/>
      <c r="P98" s="498"/>
      <c r="Q98" s="498"/>
      <c r="R98" s="498"/>
      <c r="S98" s="498"/>
      <c r="CM98" s="494"/>
      <c r="CN98" s="496" t="s">
        <v>1349</v>
      </c>
      <c r="CO98" s="496" t="s">
        <v>1083</v>
      </c>
      <c r="CP98" s="496" t="s">
        <v>689</v>
      </c>
      <c r="CQ98" s="496" t="s">
        <v>1350</v>
      </c>
      <c r="CR98" s="496" t="s">
        <v>1071</v>
      </c>
      <c r="CS98" s="496" t="s">
        <v>1085</v>
      </c>
      <c r="CT98" s="496" t="s">
        <v>1086</v>
      </c>
      <c r="CU98" s="496" t="s">
        <v>1087</v>
      </c>
      <c r="CV98" s="497" t="s">
        <v>1088</v>
      </c>
      <c r="CX98" s="543">
        <v>1</v>
      </c>
    </row>
    <row r="99" spans="1:102" ht="21" customHeight="1">
      <c r="A99" s="498"/>
      <c r="B99" s="535" t="s">
        <v>5805</v>
      </c>
      <c r="C99" s="536" t="s">
        <v>5806</v>
      </c>
      <c r="D99" s="522"/>
      <c r="E99" s="498"/>
      <c r="F99" s="498"/>
      <c r="G99" s="498"/>
      <c r="H99" s="498"/>
      <c r="I99" s="498"/>
      <c r="J99" s="498"/>
      <c r="K99" s="498"/>
      <c r="L99" s="498"/>
      <c r="M99" s="498"/>
      <c r="N99" s="498"/>
      <c r="O99" s="498"/>
      <c r="P99" s="498"/>
      <c r="Q99" s="498"/>
      <c r="R99" s="498"/>
      <c r="S99" s="498"/>
      <c r="CM99" s="494"/>
      <c r="CN99" s="496" t="s">
        <v>1351</v>
      </c>
      <c r="CO99" s="496" t="s">
        <v>1083</v>
      </c>
      <c r="CP99" s="496" t="s">
        <v>689</v>
      </c>
      <c r="CQ99" s="496" t="s">
        <v>1352</v>
      </c>
      <c r="CR99" s="496" t="s">
        <v>1353</v>
      </c>
      <c r="CS99" s="496" t="s">
        <v>1085</v>
      </c>
      <c r="CT99" s="496" t="s">
        <v>1086</v>
      </c>
      <c r="CU99" s="496" t="s">
        <v>1087</v>
      </c>
      <c r="CV99" s="497" t="s">
        <v>1088</v>
      </c>
      <c r="CX99" s="543">
        <v>1</v>
      </c>
    </row>
    <row r="100" spans="1:102" ht="21" customHeight="1">
      <c r="A100" s="498"/>
      <c r="B100" s="535" t="s">
        <v>5807</v>
      </c>
      <c r="C100" s="536" t="s">
        <v>5808</v>
      </c>
      <c r="D100" s="522"/>
      <c r="E100" s="498"/>
      <c r="F100" s="498"/>
      <c r="G100" s="498"/>
      <c r="H100" s="498"/>
      <c r="I100" s="498"/>
      <c r="J100" s="498"/>
      <c r="K100" s="498"/>
      <c r="L100" s="498"/>
      <c r="M100" s="498"/>
      <c r="N100" s="498"/>
      <c r="O100" s="498"/>
      <c r="P100" s="498"/>
      <c r="Q100" s="498"/>
      <c r="R100" s="498"/>
      <c r="S100" s="498"/>
      <c r="CM100" s="494"/>
      <c r="CN100" s="496" t="s">
        <v>1354</v>
      </c>
      <c r="CO100" s="496" t="s">
        <v>1083</v>
      </c>
      <c r="CP100" s="496" t="s">
        <v>689</v>
      </c>
      <c r="CQ100" s="496" t="s">
        <v>1355</v>
      </c>
      <c r="CR100" s="496" t="s">
        <v>1356</v>
      </c>
      <c r="CS100" s="496" t="s">
        <v>1085</v>
      </c>
      <c r="CT100" s="496" t="s">
        <v>1086</v>
      </c>
      <c r="CU100" s="496" t="s">
        <v>1087</v>
      </c>
      <c r="CV100" s="497" t="s">
        <v>1088</v>
      </c>
      <c r="CX100" s="543">
        <v>1</v>
      </c>
    </row>
    <row r="101" spans="1:102" ht="21" customHeight="1">
      <c r="A101" s="498"/>
      <c r="B101" s="535" t="s">
        <v>5809</v>
      </c>
      <c r="C101" s="536" t="s">
        <v>5810</v>
      </c>
      <c r="D101" s="522"/>
      <c r="E101" s="498"/>
      <c r="F101" s="498"/>
      <c r="G101" s="498"/>
      <c r="H101" s="498"/>
      <c r="I101" s="498"/>
      <c r="J101" s="498"/>
      <c r="K101" s="498"/>
      <c r="L101" s="498"/>
      <c r="M101" s="498"/>
      <c r="N101" s="498"/>
      <c r="O101" s="498"/>
      <c r="P101" s="498"/>
      <c r="Q101" s="498"/>
      <c r="R101" s="498"/>
      <c r="S101" s="498"/>
      <c r="CM101" s="494"/>
      <c r="CN101" s="496" t="s">
        <v>1357</v>
      </c>
      <c r="CO101" s="496" t="s">
        <v>1083</v>
      </c>
      <c r="CP101" s="496" t="s">
        <v>689</v>
      </c>
      <c r="CQ101" s="496" t="s">
        <v>1358</v>
      </c>
      <c r="CR101" s="496" t="s">
        <v>1359</v>
      </c>
      <c r="CS101" s="496" t="s">
        <v>1085</v>
      </c>
      <c r="CT101" s="496" t="s">
        <v>1086</v>
      </c>
      <c r="CU101" s="496" t="s">
        <v>1087</v>
      </c>
      <c r="CV101" s="497" t="s">
        <v>1088</v>
      </c>
      <c r="CX101" s="543">
        <v>1</v>
      </c>
    </row>
    <row r="102" spans="1:102" ht="21" customHeight="1">
      <c r="A102" s="498"/>
      <c r="B102" s="537"/>
      <c r="C102" s="538"/>
      <c r="D102" s="522"/>
      <c r="E102" s="498"/>
      <c r="F102" s="498"/>
      <c r="G102" s="498"/>
      <c r="H102" s="498"/>
      <c r="I102" s="498"/>
      <c r="J102" s="498"/>
      <c r="K102" s="498"/>
      <c r="L102" s="498"/>
      <c r="M102" s="498"/>
      <c r="N102" s="498"/>
      <c r="O102" s="498"/>
      <c r="P102" s="498"/>
      <c r="Q102" s="498"/>
      <c r="R102" s="498"/>
      <c r="S102" s="498"/>
      <c r="CM102" s="494"/>
      <c r="CN102" s="496" t="s">
        <v>1360</v>
      </c>
      <c r="CO102" s="496" t="s">
        <v>1083</v>
      </c>
      <c r="CP102" s="496" t="s">
        <v>689</v>
      </c>
      <c r="CQ102" s="496" t="s">
        <v>1361</v>
      </c>
      <c r="CR102" s="496" t="s">
        <v>1362</v>
      </c>
      <c r="CS102" s="496" t="s">
        <v>1085</v>
      </c>
      <c r="CT102" s="496" t="s">
        <v>1086</v>
      </c>
      <c r="CU102" s="496" t="s">
        <v>1087</v>
      </c>
      <c r="CV102" s="497" t="s">
        <v>1088</v>
      </c>
      <c r="CX102" s="543">
        <v>1</v>
      </c>
    </row>
    <row r="103" spans="1:102" ht="21" customHeight="1">
      <c r="A103" s="498"/>
      <c r="B103" s="552" t="s">
        <v>5811</v>
      </c>
      <c r="C103" s="534"/>
      <c r="D103" s="522"/>
      <c r="E103" s="498"/>
      <c r="F103" s="498"/>
      <c r="G103" s="498"/>
      <c r="H103" s="498"/>
      <c r="I103" s="498"/>
      <c r="J103" s="498"/>
      <c r="K103" s="498"/>
      <c r="L103" s="498"/>
      <c r="M103" s="498"/>
      <c r="N103" s="498"/>
      <c r="O103" s="498"/>
      <c r="P103" s="498"/>
      <c r="Q103" s="498"/>
      <c r="R103" s="498"/>
      <c r="S103" s="498"/>
      <c r="CM103" s="494"/>
      <c r="CN103" s="496" t="s">
        <v>1363</v>
      </c>
      <c r="CO103" s="496" t="s">
        <v>1083</v>
      </c>
      <c r="CP103" s="496" t="s">
        <v>689</v>
      </c>
      <c r="CQ103" s="496" t="s">
        <v>1364</v>
      </c>
      <c r="CR103" s="496" t="s">
        <v>1365</v>
      </c>
      <c r="CS103" s="496" t="s">
        <v>1085</v>
      </c>
      <c r="CT103" s="496" t="s">
        <v>1086</v>
      </c>
      <c r="CU103" s="496" t="s">
        <v>1087</v>
      </c>
      <c r="CV103" s="497" t="s">
        <v>1088</v>
      </c>
      <c r="CX103" s="543">
        <v>1</v>
      </c>
    </row>
    <row r="104" spans="1:102" ht="21" customHeight="1">
      <c r="A104" s="498"/>
      <c r="B104" s="535" t="s">
        <v>5812</v>
      </c>
      <c r="C104" s="536" t="s">
        <v>5813</v>
      </c>
      <c r="D104" s="522"/>
      <c r="E104" s="498"/>
      <c r="F104" s="498"/>
      <c r="G104" s="498"/>
      <c r="H104" s="498"/>
      <c r="I104" s="498"/>
      <c r="J104" s="498"/>
      <c r="K104" s="498"/>
      <c r="L104" s="498"/>
      <c r="M104" s="498"/>
      <c r="N104" s="498"/>
      <c r="O104" s="498"/>
      <c r="P104" s="498"/>
      <c r="Q104" s="498"/>
      <c r="R104" s="498"/>
      <c r="S104" s="498"/>
      <c r="CM104" s="494"/>
      <c r="CN104" s="496" t="s">
        <v>1366</v>
      </c>
      <c r="CO104" s="496" t="s">
        <v>1083</v>
      </c>
      <c r="CP104" s="496" t="s">
        <v>689</v>
      </c>
      <c r="CQ104" s="496" t="s">
        <v>1367</v>
      </c>
      <c r="CR104" s="496" t="s">
        <v>1368</v>
      </c>
      <c r="CS104" s="496" t="s">
        <v>1085</v>
      </c>
      <c r="CT104" s="496" t="s">
        <v>1086</v>
      </c>
      <c r="CU104" s="496" t="s">
        <v>1087</v>
      </c>
      <c r="CV104" s="497" t="s">
        <v>1088</v>
      </c>
      <c r="CX104" s="543">
        <v>1</v>
      </c>
    </row>
    <row r="105" spans="1:102" ht="21" customHeight="1">
      <c r="A105" s="498"/>
      <c r="B105" s="535" t="s">
        <v>5814</v>
      </c>
      <c r="C105" s="536" t="s">
        <v>5815</v>
      </c>
      <c r="D105" s="522"/>
      <c r="E105" s="498"/>
      <c r="F105" s="498"/>
      <c r="G105" s="498"/>
      <c r="H105" s="498"/>
      <c r="I105" s="498"/>
      <c r="J105" s="498"/>
      <c r="K105" s="498"/>
      <c r="L105" s="498"/>
      <c r="M105" s="498"/>
      <c r="N105" s="498"/>
      <c r="O105" s="498"/>
      <c r="P105" s="498"/>
      <c r="Q105" s="498"/>
      <c r="R105" s="498"/>
      <c r="S105" s="498"/>
      <c r="CM105" s="494"/>
      <c r="CN105" s="496" t="s">
        <v>1369</v>
      </c>
      <c r="CO105" s="496" t="s">
        <v>1083</v>
      </c>
      <c r="CP105" s="496" t="s">
        <v>689</v>
      </c>
      <c r="CQ105" s="496" t="s">
        <v>1370</v>
      </c>
      <c r="CR105" s="496" t="s">
        <v>1371</v>
      </c>
      <c r="CS105" s="496" t="s">
        <v>1085</v>
      </c>
      <c r="CT105" s="496" t="s">
        <v>1086</v>
      </c>
      <c r="CU105" s="496" t="s">
        <v>1087</v>
      </c>
      <c r="CV105" s="497" t="s">
        <v>1088</v>
      </c>
      <c r="CX105" s="543">
        <v>1</v>
      </c>
    </row>
    <row r="106" spans="1:102" ht="21" customHeight="1">
      <c r="A106" s="553"/>
      <c r="B106" s="535" t="s">
        <v>11</v>
      </c>
      <c r="C106" s="539" t="s">
        <v>5816</v>
      </c>
      <c r="D106" s="553"/>
      <c r="E106" s="553"/>
      <c r="F106" s="553"/>
      <c r="G106" s="553"/>
      <c r="H106" s="553"/>
      <c r="I106" s="553"/>
      <c r="J106" s="553"/>
      <c r="K106" s="553"/>
      <c r="L106" s="553"/>
      <c r="M106" s="553"/>
      <c r="N106" s="553"/>
      <c r="O106" s="553"/>
      <c r="P106" s="553"/>
      <c r="Q106" s="553"/>
      <c r="R106" s="553"/>
      <c r="S106" s="553"/>
      <c r="CM106" s="494"/>
      <c r="CN106" s="496" t="s">
        <v>1372</v>
      </c>
      <c r="CO106" s="496" t="s">
        <v>1083</v>
      </c>
      <c r="CP106" s="496" t="s">
        <v>689</v>
      </c>
      <c r="CQ106" s="496" t="s">
        <v>1373</v>
      </c>
      <c r="CR106" s="496" t="s">
        <v>1374</v>
      </c>
      <c r="CS106" s="496" t="s">
        <v>1085</v>
      </c>
      <c r="CT106" s="496" t="s">
        <v>1086</v>
      </c>
      <c r="CU106" s="496" t="s">
        <v>1087</v>
      </c>
      <c r="CV106" s="497" t="s">
        <v>1088</v>
      </c>
      <c r="CX106" s="543">
        <v>1</v>
      </c>
    </row>
    <row r="107" spans="1:102" ht="21" customHeight="1">
      <c r="A107" s="553"/>
      <c r="B107" s="535" t="s">
        <v>5817</v>
      </c>
      <c r="C107" s="539" t="s">
        <v>5818</v>
      </c>
      <c r="D107" s="553"/>
      <c r="E107" s="553"/>
      <c r="F107" s="553"/>
      <c r="G107" s="553"/>
      <c r="H107" s="553"/>
      <c r="I107" s="553"/>
      <c r="J107" s="553"/>
      <c r="K107" s="553"/>
      <c r="L107" s="553"/>
      <c r="M107" s="553"/>
      <c r="N107" s="553"/>
      <c r="O107" s="553"/>
      <c r="P107" s="553"/>
      <c r="Q107" s="553"/>
      <c r="R107" s="553"/>
      <c r="S107" s="553"/>
      <c r="CM107" s="494"/>
      <c r="CN107" s="496" t="s">
        <v>1375</v>
      </c>
      <c r="CO107" s="496" t="s">
        <v>1083</v>
      </c>
      <c r="CP107" s="496" t="s">
        <v>689</v>
      </c>
      <c r="CQ107" s="496" t="s">
        <v>1376</v>
      </c>
      <c r="CR107" s="496" t="s">
        <v>80</v>
      </c>
      <c r="CS107" s="496" t="s">
        <v>1085</v>
      </c>
      <c r="CT107" s="496" t="s">
        <v>1086</v>
      </c>
      <c r="CU107" s="496" t="s">
        <v>1087</v>
      </c>
      <c r="CV107" s="497" t="s">
        <v>1088</v>
      </c>
      <c r="CX107" s="543">
        <v>1</v>
      </c>
    </row>
    <row r="108" spans="1:102" ht="21" customHeight="1">
      <c r="A108" s="553"/>
      <c r="B108" s="535" t="s">
        <v>5819</v>
      </c>
      <c r="C108" s="539" t="s">
        <v>5820</v>
      </c>
      <c r="D108" s="553"/>
      <c r="E108" s="553"/>
      <c r="F108" s="553"/>
      <c r="G108" s="553"/>
      <c r="H108" s="553"/>
      <c r="I108" s="553"/>
      <c r="J108" s="553"/>
      <c r="K108" s="553"/>
      <c r="L108" s="553"/>
      <c r="M108" s="553"/>
      <c r="N108" s="553"/>
      <c r="O108" s="553"/>
      <c r="P108" s="553"/>
      <c r="Q108" s="553"/>
      <c r="R108" s="553"/>
      <c r="S108" s="553"/>
      <c r="CM108" s="494"/>
      <c r="CN108" s="496" t="s">
        <v>1377</v>
      </c>
      <c r="CO108" s="496" t="s">
        <v>1083</v>
      </c>
      <c r="CP108" s="496" t="s">
        <v>689</v>
      </c>
      <c r="CQ108" s="496" t="s">
        <v>1378</v>
      </c>
      <c r="CR108" s="496" t="s">
        <v>1378</v>
      </c>
      <c r="CS108" s="496" t="s">
        <v>1085</v>
      </c>
      <c r="CT108" s="496" t="s">
        <v>1086</v>
      </c>
      <c r="CU108" s="496" t="s">
        <v>1087</v>
      </c>
      <c r="CV108" s="497" t="s">
        <v>1088</v>
      </c>
      <c r="CX108" s="543">
        <v>1</v>
      </c>
    </row>
    <row r="109" spans="1:102" ht="21" customHeight="1">
      <c r="A109" s="553"/>
      <c r="B109" s="535" t="s">
        <v>13</v>
      </c>
      <c r="C109" s="539" t="s">
        <v>5821</v>
      </c>
      <c r="D109" s="553"/>
      <c r="E109" s="553"/>
      <c r="F109" s="553"/>
      <c r="G109" s="553"/>
      <c r="H109" s="553"/>
      <c r="I109" s="553"/>
      <c r="J109" s="553"/>
      <c r="K109" s="553"/>
      <c r="L109" s="553"/>
      <c r="M109" s="553"/>
      <c r="N109" s="553"/>
      <c r="O109" s="553"/>
      <c r="P109" s="553"/>
      <c r="Q109" s="553"/>
      <c r="R109" s="553"/>
      <c r="S109" s="553"/>
      <c r="CM109" s="494"/>
      <c r="CN109" s="496" t="s">
        <v>1379</v>
      </c>
      <c r="CO109" s="496" t="s">
        <v>1083</v>
      </c>
      <c r="CP109" s="496" t="s">
        <v>689</v>
      </c>
      <c r="CQ109" s="496" t="s">
        <v>915</v>
      </c>
      <c r="CR109" s="496" t="s">
        <v>915</v>
      </c>
      <c r="CS109" s="496" t="s">
        <v>1085</v>
      </c>
      <c r="CT109" s="496" t="s">
        <v>1086</v>
      </c>
      <c r="CU109" s="496" t="s">
        <v>1087</v>
      </c>
      <c r="CV109" s="497" t="s">
        <v>1088</v>
      </c>
      <c r="CX109" s="543">
        <v>1</v>
      </c>
    </row>
    <row r="110" spans="1:102" ht="21" customHeight="1">
      <c r="A110" s="553"/>
      <c r="B110" s="535" t="s">
        <v>5822</v>
      </c>
      <c r="C110" s="539" t="s">
        <v>5906</v>
      </c>
      <c r="D110" s="553"/>
      <c r="E110" s="553"/>
      <c r="F110" s="553"/>
      <c r="G110" s="553"/>
      <c r="H110" s="553"/>
      <c r="I110" s="553"/>
      <c r="J110" s="553"/>
      <c r="K110" s="553"/>
      <c r="L110" s="553"/>
      <c r="M110" s="553"/>
      <c r="N110" s="553"/>
      <c r="O110" s="553"/>
      <c r="P110" s="553"/>
      <c r="Q110" s="553"/>
      <c r="R110" s="553"/>
      <c r="S110" s="553"/>
      <c r="CM110" s="494"/>
      <c r="CN110" s="496" t="s">
        <v>1380</v>
      </c>
      <c r="CO110" s="496" t="s">
        <v>1083</v>
      </c>
      <c r="CP110" s="496" t="s">
        <v>689</v>
      </c>
      <c r="CQ110" s="496" t="s">
        <v>1381</v>
      </c>
      <c r="CR110" s="496" t="s">
        <v>1381</v>
      </c>
      <c r="CS110" s="496" t="s">
        <v>1085</v>
      </c>
      <c r="CT110" s="496" t="s">
        <v>1086</v>
      </c>
      <c r="CU110" s="496" t="s">
        <v>1087</v>
      </c>
      <c r="CV110" s="497" t="s">
        <v>1088</v>
      </c>
      <c r="CX110" s="543">
        <v>1</v>
      </c>
    </row>
    <row r="111" spans="1:102" ht="21" customHeight="1">
      <c r="A111" s="553"/>
      <c r="B111" s="535"/>
      <c r="C111" s="539" t="s">
        <v>5907</v>
      </c>
      <c r="D111" s="553"/>
      <c r="E111" s="553"/>
      <c r="F111" s="553"/>
      <c r="G111" s="553"/>
      <c r="H111" s="553"/>
      <c r="I111" s="553"/>
      <c r="J111" s="553"/>
      <c r="K111" s="553"/>
      <c r="L111" s="553"/>
      <c r="M111" s="553"/>
      <c r="N111" s="553"/>
      <c r="O111" s="553"/>
      <c r="P111" s="553"/>
      <c r="Q111" s="553"/>
      <c r="R111" s="553"/>
      <c r="S111" s="553"/>
      <c r="CM111" s="494"/>
      <c r="CN111" s="496" t="s">
        <v>1382</v>
      </c>
      <c r="CO111" s="496" t="s">
        <v>1083</v>
      </c>
      <c r="CP111" s="496" t="s">
        <v>689</v>
      </c>
      <c r="CQ111" s="496" t="s">
        <v>1383</v>
      </c>
      <c r="CR111" s="496" t="s">
        <v>1383</v>
      </c>
      <c r="CS111" s="496" t="s">
        <v>1085</v>
      </c>
      <c r="CT111" s="496" t="s">
        <v>1086</v>
      </c>
      <c r="CU111" s="496" t="s">
        <v>1087</v>
      </c>
      <c r="CV111" s="497" t="s">
        <v>1088</v>
      </c>
      <c r="CX111" s="543">
        <v>1</v>
      </c>
    </row>
    <row r="112" spans="1:102" ht="21" customHeight="1">
      <c r="A112" s="553"/>
      <c r="B112" s="535" t="s">
        <v>5823</v>
      </c>
      <c r="C112" s="539" t="s">
        <v>5824</v>
      </c>
      <c r="D112" s="553"/>
      <c r="E112" s="553"/>
      <c r="F112" s="553"/>
      <c r="G112" s="553"/>
      <c r="H112" s="553"/>
      <c r="I112" s="553"/>
      <c r="J112" s="553"/>
      <c r="K112" s="553"/>
      <c r="L112" s="553"/>
      <c r="M112" s="553"/>
      <c r="N112" s="553"/>
      <c r="O112" s="553"/>
      <c r="P112" s="553"/>
      <c r="Q112" s="553"/>
      <c r="R112" s="553"/>
      <c r="S112" s="553"/>
      <c r="CM112" s="494"/>
      <c r="CN112" s="496" t="s">
        <v>1449</v>
      </c>
      <c r="CO112" s="496" t="s">
        <v>1083</v>
      </c>
      <c r="CP112" s="496" t="s">
        <v>690</v>
      </c>
      <c r="CQ112" s="496" t="s">
        <v>1450</v>
      </c>
      <c r="CR112" s="496" t="s">
        <v>1450</v>
      </c>
      <c r="CS112" s="496" t="s">
        <v>1151</v>
      </c>
      <c r="CT112" s="496" t="s">
        <v>1446</v>
      </c>
      <c r="CU112" s="496" t="s">
        <v>1087</v>
      </c>
      <c r="CV112" s="497" t="s">
        <v>1153</v>
      </c>
      <c r="CX112" s="543">
        <v>1</v>
      </c>
    </row>
    <row r="113" spans="1:102" ht="21" customHeight="1">
      <c r="A113" s="553"/>
      <c r="B113" s="535" t="s">
        <v>5825</v>
      </c>
      <c r="C113" s="540"/>
      <c r="D113" s="553"/>
      <c r="E113" s="553"/>
      <c r="F113" s="553"/>
      <c r="G113" s="553"/>
      <c r="H113" s="553"/>
      <c r="I113" s="553"/>
      <c r="J113" s="553"/>
      <c r="K113" s="553"/>
      <c r="L113" s="553"/>
      <c r="M113" s="553"/>
      <c r="N113" s="553"/>
      <c r="O113" s="553"/>
      <c r="P113" s="553"/>
      <c r="Q113" s="553"/>
      <c r="R113" s="553"/>
      <c r="S113" s="553"/>
      <c r="CM113" s="494"/>
      <c r="CN113" s="496" t="s">
        <v>1451</v>
      </c>
      <c r="CO113" s="496" t="s">
        <v>1083</v>
      </c>
      <c r="CP113" s="496" t="s">
        <v>690</v>
      </c>
      <c r="CQ113" s="496" t="s">
        <v>1452</v>
      </c>
      <c r="CR113" s="496" t="s">
        <v>1452</v>
      </c>
      <c r="CS113" s="496" t="s">
        <v>1085</v>
      </c>
      <c r="CT113" s="496" t="s">
        <v>1441</v>
      </c>
      <c r="CU113" s="496" t="s">
        <v>1087</v>
      </c>
      <c r="CV113" s="497" t="s">
        <v>1088</v>
      </c>
      <c r="CX113" s="543">
        <v>1</v>
      </c>
    </row>
    <row r="114" spans="1:102" ht="21" customHeight="1">
      <c r="A114" s="553"/>
      <c r="B114" s="541" t="s">
        <v>5826</v>
      </c>
      <c r="C114" s="539" t="s">
        <v>5795</v>
      </c>
      <c r="D114" s="553"/>
      <c r="E114" s="553"/>
      <c r="F114" s="553"/>
      <c r="G114" s="553"/>
      <c r="H114" s="553"/>
      <c r="I114" s="553"/>
      <c r="J114" s="553"/>
      <c r="K114" s="553"/>
      <c r="L114" s="553"/>
      <c r="M114" s="553"/>
      <c r="N114" s="553"/>
      <c r="O114" s="553"/>
      <c r="P114" s="553"/>
      <c r="Q114" s="553"/>
      <c r="R114" s="553"/>
      <c r="S114" s="553"/>
      <c r="CM114" s="494"/>
      <c r="CN114" s="496" t="s">
        <v>1453</v>
      </c>
      <c r="CO114" s="496" t="s">
        <v>1083</v>
      </c>
      <c r="CP114" s="496" t="s">
        <v>690</v>
      </c>
      <c r="CQ114" s="496" t="s">
        <v>706</v>
      </c>
      <c r="CR114" s="496" t="s">
        <v>706</v>
      </c>
      <c r="CS114" s="496" t="s">
        <v>1085</v>
      </c>
      <c r="CT114" s="496" t="s">
        <v>1441</v>
      </c>
      <c r="CU114" s="496" t="s">
        <v>1087</v>
      </c>
      <c r="CV114" s="497" t="s">
        <v>1088</v>
      </c>
      <c r="CX114" s="543">
        <v>1</v>
      </c>
    </row>
    <row r="115" spans="1:102" ht="21" customHeight="1">
      <c r="A115" s="553"/>
      <c r="B115" s="535" t="s">
        <v>5827</v>
      </c>
      <c r="C115" s="539" t="s">
        <v>5828</v>
      </c>
      <c r="D115" s="553"/>
      <c r="E115" s="553"/>
      <c r="F115" s="553"/>
      <c r="G115" s="553"/>
      <c r="H115" s="553"/>
      <c r="I115" s="553"/>
      <c r="J115" s="553"/>
      <c r="K115" s="553"/>
      <c r="L115" s="553"/>
      <c r="M115" s="553"/>
      <c r="N115" s="553"/>
      <c r="O115" s="553"/>
      <c r="P115" s="553"/>
      <c r="Q115" s="553"/>
      <c r="R115" s="553"/>
      <c r="S115" s="553"/>
      <c r="CM115" s="494"/>
      <c r="CN115" s="496" t="s">
        <v>1454</v>
      </c>
      <c r="CO115" s="496" t="s">
        <v>1083</v>
      </c>
      <c r="CP115" s="496" t="s">
        <v>690</v>
      </c>
      <c r="CQ115" s="496" t="s">
        <v>1455</v>
      </c>
      <c r="CR115" s="496" t="s">
        <v>709</v>
      </c>
      <c r="CS115" s="496" t="s">
        <v>1085</v>
      </c>
      <c r="CT115" s="496" t="s">
        <v>1441</v>
      </c>
      <c r="CU115" s="496" t="s">
        <v>1087</v>
      </c>
      <c r="CV115" s="497" t="s">
        <v>1088</v>
      </c>
      <c r="CX115" s="543">
        <v>1</v>
      </c>
    </row>
    <row r="116" spans="1:102" ht="21" customHeight="1">
      <c r="A116" s="553"/>
      <c r="B116" s="535" t="s">
        <v>5829</v>
      </c>
      <c r="C116" s="539" t="s">
        <v>3961</v>
      </c>
      <c r="D116" s="553"/>
      <c r="E116" s="553"/>
      <c r="F116" s="553"/>
      <c r="G116" s="553"/>
      <c r="H116" s="553"/>
      <c r="I116" s="553"/>
      <c r="J116" s="553"/>
      <c r="K116" s="553"/>
      <c r="L116" s="553"/>
      <c r="M116" s="553"/>
      <c r="N116" s="553"/>
      <c r="O116" s="553"/>
      <c r="P116" s="553"/>
      <c r="Q116" s="553"/>
      <c r="R116" s="553"/>
      <c r="S116" s="553"/>
      <c r="CM116" s="494"/>
      <c r="CN116" s="496" t="s">
        <v>1384</v>
      </c>
      <c r="CO116" s="496" t="s">
        <v>1083</v>
      </c>
      <c r="CP116" s="496" t="s">
        <v>689</v>
      </c>
      <c r="CQ116" s="496" t="s">
        <v>1385</v>
      </c>
      <c r="CR116" s="496" t="s">
        <v>1385</v>
      </c>
      <c r="CS116" s="496" t="s">
        <v>1085</v>
      </c>
      <c r="CT116" s="496" t="s">
        <v>1086</v>
      </c>
      <c r="CU116" s="496" t="s">
        <v>1087</v>
      </c>
      <c r="CV116" s="497" t="s">
        <v>1088</v>
      </c>
      <c r="CX116" s="543">
        <v>1</v>
      </c>
    </row>
    <row r="117" spans="1:102" ht="21" customHeight="1">
      <c r="A117" s="553"/>
      <c r="B117" s="542"/>
      <c r="C117" s="539"/>
      <c r="D117" s="553"/>
      <c r="E117" s="553"/>
      <c r="F117" s="553"/>
      <c r="G117" s="553"/>
      <c r="H117" s="553"/>
      <c r="I117" s="553"/>
      <c r="J117" s="553"/>
      <c r="K117" s="553"/>
      <c r="L117" s="553"/>
      <c r="M117" s="553"/>
      <c r="N117" s="553"/>
      <c r="O117" s="553"/>
      <c r="P117" s="553"/>
      <c r="Q117" s="553"/>
      <c r="R117" s="553"/>
      <c r="S117" s="553"/>
      <c r="CM117" s="494"/>
      <c r="CN117" s="496" t="s">
        <v>1386</v>
      </c>
      <c r="CO117" s="496" t="s">
        <v>1083</v>
      </c>
      <c r="CP117" s="496" t="s">
        <v>689</v>
      </c>
      <c r="CQ117" s="496" t="s">
        <v>916</v>
      </c>
      <c r="CR117" s="496" t="s">
        <v>916</v>
      </c>
      <c r="CS117" s="496" t="s">
        <v>1085</v>
      </c>
      <c r="CT117" s="496" t="s">
        <v>1086</v>
      </c>
      <c r="CU117" s="496" t="s">
        <v>1087</v>
      </c>
      <c r="CV117" s="497" t="s">
        <v>1088</v>
      </c>
      <c r="CX117" s="543">
        <v>1</v>
      </c>
    </row>
    <row r="118" spans="1:102" ht="21" customHeight="1">
      <c r="A118" s="553"/>
      <c r="B118" s="554" t="s">
        <v>5830</v>
      </c>
      <c r="C118" s="540"/>
      <c r="D118" s="553"/>
      <c r="E118" s="553"/>
      <c r="F118" s="553"/>
      <c r="G118" s="553"/>
      <c r="H118" s="553"/>
      <c r="I118" s="553"/>
      <c r="J118" s="553"/>
      <c r="K118" s="553"/>
      <c r="L118" s="553"/>
      <c r="M118" s="553"/>
      <c r="N118" s="553"/>
      <c r="O118" s="553"/>
      <c r="P118" s="553"/>
      <c r="Q118" s="553"/>
      <c r="R118" s="553"/>
      <c r="S118" s="553"/>
      <c r="CM118" s="494"/>
      <c r="CN118" s="496" t="s">
        <v>1387</v>
      </c>
      <c r="CO118" s="496" t="s">
        <v>1083</v>
      </c>
      <c r="CP118" s="496" t="s">
        <v>689</v>
      </c>
      <c r="CQ118" s="496" t="s">
        <v>917</v>
      </c>
      <c r="CR118" s="496" t="s">
        <v>917</v>
      </c>
      <c r="CS118" s="496" t="s">
        <v>1085</v>
      </c>
      <c r="CT118" s="496" t="s">
        <v>1086</v>
      </c>
      <c r="CU118" s="496" t="s">
        <v>1087</v>
      </c>
      <c r="CV118" s="497" t="s">
        <v>1088</v>
      </c>
      <c r="CX118" s="543">
        <v>1</v>
      </c>
    </row>
    <row r="119" spans="1:102" ht="21" customHeight="1">
      <c r="A119" s="553"/>
      <c r="B119" s="535" t="s">
        <v>1160</v>
      </c>
      <c r="C119" s="539" t="s">
        <v>5831</v>
      </c>
      <c r="D119" s="553"/>
      <c r="E119" s="553"/>
      <c r="F119" s="553"/>
      <c r="G119" s="553"/>
      <c r="H119" s="553"/>
      <c r="I119" s="553"/>
      <c r="J119" s="553"/>
      <c r="K119" s="553"/>
      <c r="L119" s="553"/>
      <c r="M119" s="553"/>
      <c r="N119" s="553"/>
      <c r="O119" s="553"/>
      <c r="P119" s="553"/>
      <c r="Q119" s="553"/>
      <c r="R119" s="553"/>
      <c r="S119" s="553"/>
      <c r="CM119" s="494"/>
      <c r="CN119" s="496" t="s">
        <v>1388</v>
      </c>
      <c r="CO119" s="496" t="s">
        <v>1083</v>
      </c>
      <c r="CP119" s="496" t="s">
        <v>689</v>
      </c>
      <c r="CQ119" s="496" t="s">
        <v>1389</v>
      </c>
      <c r="CR119" s="496" t="s">
        <v>1390</v>
      </c>
      <c r="CS119" s="496" t="s">
        <v>1085</v>
      </c>
      <c r="CT119" s="496" t="s">
        <v>1086</v>
      </c>
      <c r="CU119" s="496" t="s">
        <v>1087</v>
      </c>
      <c r="CV119" s="497" t="s">
        <v>1088</v>
      </c>
      <c r="CX119" s="543">
        <v>1</v>
      </c>
    </row>
    <row r="120" spans="1:102" ht="21" customHeight="1">
      <c r="A120" s="553"/>
      <c r="B120" s="535" t="s">
        <v>1186</v>
      </c>
      <c r="C120" s="539" t="s">
        <v>5832</v>
      </c>
      <c r="D120" s="553"/>
      <c r="E120" s="553"/>
      <c r="F120" s="553"/>
      <c r="G120" s="553"/>
      <c r="H120" s="553"/>
      <c r="I120" s="553"/>
      <c r="J120" s="553"/>
      <c r="K120" s="553"/>
      <c r="L120" s="553"/>
      <c r="M120" s="553"/>
      <c r="N120" s="553"/>
      <c r="O120" s="553"/>
      <c r="P120" s="553"/>
      <c r="Q120" s="553"/>
      <c r="R120" s="553"/>
      <c r="S120" s="553"/>
      <c r="CM120" s="494"/>
      <c r="CN120" s="496" t="s">
        <v>1391</v>
      </c>
      <c r="CO120" s="496" t="s">
        <v>1083</v>
      </c>
      <c r="CP120" s="496" t="s">
        <v>689</v>
      </c>
      <c r="CQ120" s="496" t="s">
        <v>1392</v>
      </c>
      <c r="CR120" s="496" t="s">
        <v>1393</v>
      </c>
      <c r="CS120" s="496" t="s">
        <v>1085</v>
      </c>
      <c r="CT120" s="496" t="s">
        <v>1086</v>
      </c>
      <c r="CU120" s="496" t="s">
        <v>1087</v>
      </c>
      <c r="CV120" s="497" t="s">
        <v>1088</v>
      </c>
      <c r="CX120" s="543">
        <v>1</v>
      </c>
    </row>
    <row r="121" spans="1:102" ht="21" customHeight="1">
      <c r="A121" s="553"/>
      <c r="B121" s="535" t="s">
        <v>5737</v>
      </c>
      <c r="C121" s="539" t="s">
        <v>5833</v>
      </c>
      <c r="D121" s="553"/>
      <c r="E121" s="553"/>
      <c r="F121" s="553"/>
      <c r="G121" s="553"/>
      <c r="H121" s="553"/>
      <c r="I121" s="553"/>
      <c r="J121" s="553"/>
      <c r="K121" s="553"/>
      <c r="L121" s="553"/>
      <c r="M121" s="553"/>
      <c r="N121" s="553"/>
      <c r="O121" s="553"/>
      <c r="P121" s="553"/>
      <c r="Q121" s="553"/>
      <c r="R121" s="553"/>
      <c r="S121" s="553"/>
      <c r="CM121" s="494"/>
      <c r="CN121" s="496" t="s">
        <v>1394</v>
      </c>
      <c r="CO121" s="496" t="s">
        <v>1083</v>
      </c>
      <c r="CP121" s="496" t="s">
        <v>689</v>
      </c>
      <c r="CQ121" s="496" t="s">
        <v>918</v>
      </c>
      <c r="CR121" s="496" t="s">
        <v>918</v>
      </c>
      <c r="CS121" s="496" t="s">
        <v>1085</v>
      </c>
      <c r="CT121" s="496" t="s">
        <v>1086</v>
      </c>
      <c r="CU121" s="496" t="s">
        <v>1087</v>
      </c>
      <c r="CV121" s="497" t="s">
        <v>1088</v>
      </c>
      <c r="CX121" s="543">
        <v>1</v>
      </c>
    </row>
    <row r="122" spans="1:102" ht="21" customHeight="1">
      <c r="A122" s="553"/>
      <c r="B122" s="541" t="s">
        <v>5735</v>
      </c>
      <c r="C122" s="539" t="s">
        <v>5834</v>
      </c>
      <c r="D122" s="553"/>
      <c r="E122" s="553"/>
      <c r="F122" s="553"/>
      <c r="G122" s="553"/>
      <c r="H122" s="553"/>
      <c r="I122" s="553"/>
      <c r="J122" s="553"/>
      <c r="K122" s="553"/>
      <c r="L122" s="553"/>
      <c r="M122" s="553"/>
      <c r="N122" s="553"/>
      <c r="O122" s="553"/>
      <c r="P122" s="553"/>
      <c r="Q122" s="553"/>
      <c r="R122" s="553"/>
      <c r="S122" s="553"/>
      <c r="CM122" s="494"/>
      <c r="CN122" s="496" t="s">
        <v>1395</v>
      </c>
      <c r="CO122" s="496" t="s">
        <v>1083</v>
      </c>
      <c r="CP122" s="496" t="s">
        <v>689</v>
      </c>
      <c r="CQ122" s="496" t="s">
        <v>920</v>
      </c>
      <c r="CR122" s="496" t="s">
        <v>920</v>
      </c>
      <c r="CS122" s="496" t="s">
        <v>1085</v>
      </c>
      <c r="CT122" s="496" t="s">
        <v>1086</v>
      </c>
      <c r="CU122" s="496" t="s">
        <v>1087</v>
      </c>
      <c r="CV122" s="497" t="s">
        <v>1088</v>
      </c>
      <c r="CX122" s="543">
        <v>1</v>
      </c>
    </row>
    <row r="123" spans="1:102" ht="21" customHeight="1">
      <c r="A123" s="553"/>
      <c r="B123" s="535" t="s">
        <v>5736</v>
      </c>
      <c r="C123" s="539" t="s">
        <v>5908</v>
      </c>
      <c r="D123" s="553"/>
      <c r="E123" s="553"/>
      <c r="F123" s="553"/>
      <c r="G123" s="553"/>
      <c r="H123" s="553"/>
      <c r="I123" s="553"/>
      <c r="J123" s="553"/>
      <c r="K123" s="553"/>
      <c r="L123" s="553"/>
      <c r="M123" s="553"/>
      <c r="N123" s="553"/>
      <c r="O123" s="553"/>
      <c r="P123" s="553"/>
      <c r="Q123" s="553"/>
      <c r="R123" s="553"/>
      <c r="S123" s="553"/>
      <c r="CM123" s="494"/>
      <c r="CN123" s="496" t="s">
        <v>1396</v>
      </c>
      <c r="CO123" s="496" t="s">
        <v>1083</v>
      </c>
      <c r="CP123" s="496" t="s">
        <v>689</v>
      </c>
      <c r="CQ123" s="496" t="s">
        <v>921</v>
      </c>
      <c r="CR123" s="496" t="s">
        <v>921</v>
      </c>
      <c r="CS123" s="496" t="s">
        <v>1085</v>
      </c>
      <c r="CT123" s="496" t="s">
        <v>1086</v>
      </c>
      <c r="CU123" s="496" t="s">
        <v>1087</v>
      </c>
      <c r="CV123" s="497" t="s">
        <v>1088</v>
      </c>
      <c r="CX123" s="543">
        <v>1</v>
      </c>
    </row>
    <row r="124" spans="1:102" ht="21" customHeight="1">
      <c r="A124" s="553"/>
      <c r="B124" s="535"/>
      <c r="C124" s="539" t="s">
        <v>5909</v>
      </c>
      <c r="D124" s="553"/>
      <c r="E124" s="553"/>
      <c r="F124" s="553"/>
      <c r="G124" s="553"/>
      <c r="H124" s="553"/>
      <c r="I124" s="553"/>
      <c r="J124" s="553"/>
      <c r="K124" s="553"/>
      <c r="L124" s="553"/>
      <c r="M124" s="553"/>
      <c r="N124" s="553"/>
      <c r="O124" s="553"/>
      <c r="P124" s="553"/>
      <c r="Q124" s="553"/>
      <c r="R124" s="553"/>
      <c r="S124" s="553"/>
      <c r="CM124" s="494"/>
      <c r="CN124" s="496" t="s">
        <v>1397</v>
      </c>
      <c r="CO124" s="496" t="s">
        <v>1083</v>
      </c>
      <c r="CP124" s="496" t="s">
        <v>689</v>
      </c>
      <c r="CQ124" s="496" t="s">
        <v>922</v>
      </c>
      <c r="CR124" s="496" t="s">
        <v>922</v>
      </c>
      <c r="CS124" s="496" t="s">
        <v>1085</v>
      </c>
      <c r="CT124" s="496" t="s">
        <v>1086</v>
      </c>
      <c r="CU124" s="496" t="s">
        <v>1087</v>
      </c>
      <c r="CV124" s="497" t="s">
        <v>1088</v>
      </c>
      <c r="CX124" s="543">
        <v>1</v>
      </c>
    </row>
    <row r="125" spans="1:102" ht="21" customHeight="1">
      <c r="A125" s="553"/>
      <c r="B125" s="535" t="s">
        <v>5835</v>
      </c>
      <c r="C125" s="539" t="s">
        <v>5836</v>
      </c>
      <c r="D125" s="553"/>
      <c r="E125" s="553"/>
      <c r="F125" s="553"/>
      <c r="G125" s="553"/>
      <c r="H125" s="553"/>
      <c r="I125" s="553"/>
      <c r="J125" s="553"/>
      <c r="K125" s="553"/>
      <c r="L125" s="553"/>
      <c r="M125" s="553"/>
      <c r="N125" s="553"/>
      <c r="O125" s="553"/>
      <c r="P125" s="553"/>
      <c r="Q125" s="553"/>
      <c r="R125" s="553"/>
      <c r="S125" s="553"/>
      <c r="CM125" s="494"/>
      <c r="CN125" s="496" t="s">
        <v>1398</v>
      </c>
      <c r="CO125" s="496" t="s">
        <v>1083</v>
      </c>
      <c r="CP125" s="496" t="s">
        <v>689</v>
      </c>
      <c r="CQ125" s="496" t="s">
        <v>317</v>
      </c>
      <c r="CR125" s="496" t="s">
        <v>317</v>
      </c>
      <c r="CS125" s="496" t="s">
        <v>1151</v>
      </c>
      <c r="CT125" s="496" t="s">
        <v>1152</v>
      </c>
      <c r="CU125" s="496" t="s">
        <v>1087</v>
      </c>
      <c r="CV125" s="497" t="s">
        <v>1153</v>
      </c>
      <c r="CX125" s="543">
        <v>1</v>
      </c>
    </row>
    <row r="126" spans="1:102" ht="21" customHeight="1">
      <c r="A126" s="553"/>
      <c r="B126" s="541" t="s">
        <v>1164</v>
      </c>
      <c r="C126" s="539" t="s">
        <v>5910</v>
      </c>
      <c r="D126" s="553"/>
      <c r="E126" s="553"/>
      <c r="F126" s="553"/>
      <c r="G126" s="553"/>
      <c r="H126" s="553"/>
      <c r="I126" s="553"/>
      <c r="J126" s="553"/>
      <c r="K126" s="553"/>
      <c r="L126" s="553"/>
      <c r="M126" s="553"/>
      <c r="N126" s="553"/>
      <c r="O126" s="553"/>
      <c r="P126" s="553"/>
      <c r="Q126" s="553"/>
      <c r="R126" s="553"/>
      <c r="S126" s="553"/>
      <c r="CM126" s="494"/>
      <c r="CN126" s="496" t="s">
        <v>1399</v>
      </c>
      <c r="CO126" s="496" t="s">
        <v>1083</v>
      </c>
      <c r="CP126" s="496" t="s">
        <v>689</v>
      </c>
      <c r="CQ126" s="496" t="s">
        <v>118</v>
      </c>
      <c r="CR126" s="496" t="s">
        <v>118</v>
      </c>
      <c r="CS126" s="496" t="s">
        <v>1085</v>
      </c>
      <c r="CT126" s="496" t="s">
        <v>1086</v>
      </c>
      <c r="CU126" s="496" t="s">
        <v>1087</v>
      </c>
      <c r="CV126" s="497" t="s">
        <v>1088</v>
      </c>
      <c r="CX126" s="555"/>
    </row>
    <row r="127" spans="1:102" ht="21" customHeight="1">
      <c r="A127" s="553"/>
      <c r="B127" s="542"/>
      <c r="C127" s="539" t="s">
        <v>5911</v>
      </c>
      <c r="D127" s="553"/>
      <c r="E127" s="553"/>
      <c r="F127" s="553"/>
      <c r="G127" s="553"/>
      <c r="H127" s="553"/>
      <c r="I127" s="553"/>
      <c r="J127" s="553"/>
      <c r="K127" s="553"/>
      <c r="L127" s="553"/>
      <c r="M127" s="553"/>
      <c r="N127" s="553"/>
      <c r="O127" s="553"/>
      <c r="P127" s="553"/>
      <c r="Q127" s="553"/>
      <c r="R127" s="553"/>
      <c r="S127" s="553"/>
      <c r="CM127" s="494"/>
      <c r="CN127" s="496" t="s">
        <v>1400</v>
      </c>
      <c r="CO127" s="496" t="s">
        <v>1083</v>
      </c>
      <c r="CP127" s="496" t="s">
        <v>689</v>
      </c>
      <c r="CQ127" s="496" t="s">
        <v>194</v>
      </c>
      <c r="CR127" s="496" t="s">
        <v>194</v>
      </c>
      <c r="CS127" s="496" t="s">
        <v>1085</v>
      </c>
      <c r="CT127" s="496" t="s">
        <v>1086</v>
      </c>
      <c r="CU127" s="496" t="s">
        <v>1087</v>
      </c>
      <c r="CV127" s="497" t="s">
        <v>1088</v>
      </c>
      <c r="CX127" s="555"/>
    </row>
    <row r="128" spans="1:102" ht="21" customHeight="1">
      <c r="A128" s="553"/>
      <c r="B128" s="542"/>
      <c r="C128" s="539"/>
      <c r="D128" s="553"/>
      <c r="E128" s="553"/>
      <c r="F128" s="553"/>
      <c r="G128" s="553"/>
      <c r="H128" s="553"/>
      <c r="I128" s="553"/>
      <c r="J128" s="553"/>
      <c r="K128" s="553"/>
      <c r="L128" s="553"/>
      <c r="M128" s="553"/>
      <c r="N128" s="553"/>
      <c r="O128" s="553"/>
      <c r="P128" s="553"/>
      <c r="Q128" s="553"/>
      <c r="R128" s="553"/>
      <c r="S128" s="553"/>
      <c r="CM128" s="494"/>
      <c r="CN128" s="496" t="s">
        <v>1401</v>
      </c>
      <c r="CO128" s="496" t="s">
        <v>1083</v>
      </c>
      <c r="CP128" s="496" t="s">
        <v>689</v>
      </c>
      <c r="CQ128" s="496" t="s">
        <v>178</v>
      </c>
      <c r="CR128" s="496" t="s">
        <v>178</v>
      </c>
      <c r="CS128" s="496" t="s">
        <v>1085</v>
      </c>
      <c r="CT128" s="496" t="s">
        <v>1086</v>
      </c>
      <c r="CU128" s="496" t="s">
        <v>1087</v>
      </c>
      <c r="CV128" s="497" t="s">
        <v>1088</v>
      </c>
      <c r="CX128" s="555"/>
    </row>
    <row r="129" spans="1:102" ht="21" customHeight="1">
      <c r="A129" s="539"/>
      <c r="B129" s="556" t="s">
        <v>5912</v>
      </c>
      <c r="C129" s="557"/>
      <c r="D129" s="539"/>
      <c r="E129" s="539"/>
      <c r="F129" s="539"/>
      <c r="G129" s="539"/>
      <c r="H129" s="539"/>
      <c r="I129" s="539"/>
      <c r="J129" s="539"/>
      <c r="K129" s="539"/>
      <c r="L129" s="539"/>
      <c r="M129" s="539"/>
      <c r="N129" s="539"/>
      <c r="O129" s="539"/>
      <c r="P129" s="539"/>
      <c r="Q129" s="539"/>
      <c r="R129" s="539"/>
      <c r="S129" s="539"/>
      <c r="CM129" s="494"/>
      <c r="CN129" s="496" t="s">
        <v>1402</v>
      </c>
      <c r="CO129" s="496" t="s">
        <v>1083</v>
      </c>
      <c r="CP129" s="496" t="s">
        <v>689</v>
      </c>
      <c r="CQ129" s="496" t="s">
        <v>1403</v>
      </c>
      <c r="CR129" s="496" t="s">
        <v>704</v>
      </c>
      <c r="CS129" s="496" t="s">
        <v>1085</v>
      </c>
      <c r="CT129" s="496" t="s">
        <v>1086</v>
      </c>
      <c r="CU129" s="496" t="s">
        <v>1087</v>
      </c>
      <c r="CV129" s="497" t="s">
        <v>1088</v>
      </c>
      <c r="CX129" s="555"/>
    </row>
    <row r="130" spans="1:102" ht="21" customHeight="1">
      <c r="A130" s="539"/>
      <c r="B130" s="558" t="s">
        <v>5913</v>
      </c>
      <c r="C130" s="559" t="s">
        <v>5914</v>
      </c>
      <c r="D130" s="539"/>
      <c r="E130" s="539"/>
      <c r="F130" s="539"/>
      <c r="G130" s="539"/>
      <c r="H130" s="539"/>
      <c r="I130" s="539"/>
      <c r="J130" s="539"/>
      <c r="K130" s="539"/>
      <c r="L130" s="539"/>
      <c r="M130" s="539"/>
      <c r="N130" s="539"/>
      <c r="O130" s="539"/>
      <c r="P130" s="539"/>
      <c r="Q130" s="539"/>
      <c r="R130" s="539"/>
      <c r="S130" s="539"/>
      <c r="CM130" s="494"/>
      <c r="CN130" s="496" t="s">
        <v>1404</v>
      </c>
      <c r="CO130" s="496" t="s">
        <v>1083</v>
      </c>
      <c r="CP130" s="496" t="s">
        <v>689</v>
      </c>
      <c r="CQ130" s="496" t="s">
        <v>1405</v>
      </c>
      <c r="CR130" s="496" t="s">
        <v>1405</v>
      </c>
      <c r="CS130" s="496" t="s">
        <v>1085</v>
      </c>
      <c r="CT130" s="496" t="s">
        <v>1086</v>
      </c>
      <c r="CU130" s="496" t="s">
        <v>1087</v>
      </c>
      <c r="CV130" s="497" t="s">
        <v>1088</v>
      </c>
      <c r="CX130" s="555"/>
    </row>
    <row r="131" spans="1:102" ht="21" customHeight="1">
      <c r="A131" s="539"/>
      <c r="B131" s="558" t="s">
        <v>5915</v>
      </c>
      <c r="C131" s="559" t="s">
        <v>5916</v>
      </c>
      <c r="D131" s="539"/>
      <c r="E131" s="539"/>
      <c r="F131" s="539"/>
      <c r="G131" s="539"/>
      <c r="H131" s="539"/>
      <c r="I131" s="539"/>
      <c r="J131" s="539"/>
      <c r="K131" s="539"/>
      <c r="L131" s="539"/>
      <c r="M131" s="539"/>
      <c r="N131" s="539"/>
      <c r="O131" s="539"/>
      <c r="P131" s="539"/>
      <c r="Q131" s="539"/>
      <c r="R131" s="539"/>
      <c r="S131" s="539"/>
      <c r="CM131" s="494"/>
      <c r="CN131" s="496" t="s">
        <v>1406</v>
      </c>
      <c r="CO131" s="496" t="s">
        <v>1083</v>
      </c>
      <c r="CP131" s="496" t="s">
        <v>689</v>
      </c>
      <c r="CQ131" s="496" t="s">
        <v>1407</v>
      </c>
      <c r="CR131" s="496" t="s">
        <v>1407</v>
      </c>
      <c r="CS131" s="496" t="s">
        <v>1085</v>
      </c>
      <c r="CT131" s="496" t="s">
        <v>1086</v>
      </c>
      <c r="CU131" s="496" t="s">
        <v>1087</v>
      </c>
      <c r="CV131" s="497" t="s">
        <v>1088</v>
      </c>
      <c r="CX131" s="555"/>
    </row>
    <row r="132" spans="1:102" ht="21" customHeight="1">
      <c r="A132" s="539"/>
      <c r="B132" s="558"/>
      <c r="C132" s="559" t="s">
        <v>5917</v>
      </c>
      <c r="D132" s="539"/>
      <c r="E132" s="539"/>
      <c r="F132" s="539"/>
      <c r="G132" s="539"/>
      <c r="H132" s="539"/>
      <c r="I132" s="539"/>
      <c r="J132" s="539"/>
      <c r="K132" s="539"/>
      <c r="L132" s="539"/>
      <c r="M132" s="539"/>
      <c r="N132" s="539"/>
      <c r="O132" s="539"/>
      <c r="P132" s="539"/>
      <c r="Q132" s="539"/>
      <c r="R132" s="539"/>
      <c r="S132" s="539"/>
      <c r="CM132" s="494"/>
      <c r="CN132" s="496" t="s">
        <v>1408</v>
      </c>
      <c r="CO132" s="496" t="s">
        <v>1083</v>
      </c>
      <c r="CP132" s="496" t="s">
        <v>689</v>
      </c>
      <c r="CQ132" s="496" t="s">
        <v>1409</v>
      </c>
      <c r="CR132" s="496" t="s">
        <v>1409</v>
      </c>
      <c r="CS132" s="496" t="s">
        <v>1085</v>
      </c>
      <c r="CT132" s="496" t="s">
        <v>1086</v>
      </c>
      <c r="CU132" s="496" t="s">
        <v>1087</v>
      </c>
      <c r="CV132" s="497" t="s">
        <v>1088</v>
      </c>
      <c r="CX132" s="555"/>
    </row>
    <row r="133" spans="1:102" ht="21" customHeight="1">
      <c r="A133" s="539"/>
      <c r="B133" s="558" t="s">
        <v>5918</v>
      </c>
      <c r="C133" s="559" t="s">
        <v>5919</v>
      </c>
      <c r="D133" s="539"/>
      <c r="E133" s="539"/>
      <c r="F133" s="539"/>
      <c r="G133" s="539"/>
      <c r="H133" s="539"/>
      <c r="I133" s="539"/>
      <c r="J133" s="539"/>
      <c r="K133" s="539"/>
      <c r="L133" s="539"/>
      <c r="M133" s="539"/>
      <c r="N133" s="539"/>
      <c r="O133" s="539"/>
      <c r="P133" s="539"/>
      <c r="Q133" s="539"/>
      <c r="R133" s="539"/>
      <c r="S133" s="539"/>
      <c r="CM133" s="494"/>
      <c r="CN133" s="496" t="s">
        <v>1410</v>
      </c>
      <c r="CO133" s="496" t="s">
        <v>1083</v>
      </c>
      <c r="CP133" s="496" t="s">
        <v>689</v>
      </c>
      <c r="CQ133" s="496" t="s">
        <v>1411</v>
      </c>
      <c r="CR133" s="496" t="s">
        <v>189</v>
      </c>
      <c r="CS133" s="496" t="s">
        <v>1085</v>
      </c>
      <c r="CT133" s="496" t="s">
        <v>1086</v>
      </c>
      <c r="CU133" s="496" t="s">
        <v>1087</v>
      </c>
      <c r="CV133" s="497" t="s">
        <v>1088</v>
      </c>
      <c r="CX133" s="555"/>
    </row>
    <row r="134" spans="1:102" ht="21" customHeight="1">
      <c r="A134" s="539"/>
      <c r="B134" s="558"/>
      <c r="C134" s="559" t="s">
        <v>5920</v>
      </c>
      <c r="D134" s="539"/>
      <c r="E134" s="539"/>
      <c r="F134" s="539"/>
      <c r="G134" s="539"/>
      <c r="H134" s="539"/>
      <c r="I134" s="539"/>
      <c r="J134" s="539"/>
      <c r="K134" s="539"/>
      <c r="L134" s="539"/>
      <c r="M134" s="539"/>
      <c r="N134" s="539"/>
      <c r="O134" s="539"/>
      <c r="P134" s="539"/>
      <c r="Q134" s="539"/>
      <c r="R134" s="539"/>
      <c r="S134" s="539"/>
      <c r="CM134" s="494"/>
      <c r="CN134" s="496" t="s">
        <v>1412</v>
      </c>
      <c r="CO134" s="496" t="s">
        <v>1083</v>
      </c>
      <c r="CP134" s="496" t="s">
        <v>689</v>
      </c>
      <c r="CQ134" s="496" t="s">
        <v>927</v>
      </c>
      <c r="CR134" s="496" t="s">
        <v>927</v>
      </c>
      <c r="CS134" s="496" t="s">
        <v>1085</v>
      </c>
      <c r="CT134" s="496" t="s">
        <v>1086</v>
      </c>
      <c r="CU134" s="496" t="s">
        <v>1087</v>
      </c>
      <c r="CV134" s="497" t="s">
        <v>1088</v>
      </c>
      <c r="CX134" s="555"/>
    </row>
    <row r="135" spans="1:102" ht="21" customHeight="1">
      <c r="A135" s="539"/>
      <c r="B135" s="560"/>
      <c r="C135" s="560"/>
      <c r="D135" s="539"/>
      <c r="E135" s="539"/>
      <c r="F135" s="539"/>
      <c r="G135" s="539"/>
      <c r="H135" s="539"/>
      <c r="I135" s="539"/>
      <c r="J135" s="539"/>
      <c r="K135" s="539"/>
      <c r="L135" s="539"/>
      <c r="M135" s="539"/>
      <c r="N135" s="539"/>
      <c r="O135" s="539"/>
      <c r="P135" s="539"/>
      <c r="Q135" s="539"/>
      <c r="R135" s="539"/>
      <c r="S135" s="539"/>
      <c r="CM135" s="494"/>
      <c r="CN135" s="496" t="s">
        <v>1413</v>
      </c>
      <c r="CO135" s="496" t="s">
        <v>1083</v>
      </c>
      <c r="CP135" s="496" t="s">
        <v>689</v>
      </c>
      <c r="CQ135" s="496" t="s">
        <v>318</v>
      </c>
      <c r="CR135" s="496" t="s">
        <v>318</v>
      </c>
      <c r="CS135" s="496" t="s">
        <v>1151</v>
      </c>
      <c r="CT135" s="496" t="s">
        <v>1152</v>
      </c>
      <c r="CU135" s="496" t="s">
        <v>1087</v>
      </c>
      <c r="CV135" s="497" t="s">
        <v>1153</v>
      </c>
      <c r="CX135" s="555"/>
    </row>
    <row r="136" spans="1:102" ht="21" customHeight="1">
      <c r="A136" s="539"/>
      <c r="B136" s="561" t="s">
        <v>5921</v>
      </c>
      <c r="C136" s="561" t="s">
        <v>5922</v>
      </c>
      <c r="D136" s="553"/>
      <c r="E136" s="553"/>
      <c r="F136" s="539"/>
      <c r="G136" s="539"/>
      <c r="H136" s="539"/>
      <c r="I136" s="553"/>
      <c r="J136" s="539"/>
      <c r="K136" s="539"/>
      <c r="L136" s="553"/>
      <c r="M136" s="539"/>
      <c r="N136" s="539"/>
      <c r="O136" s="539"/>
      <c r="P136" s="539"/>
      <c r="Q136" s="539"/>
      <c r="R136" s="539"/>
      <c r="S136" s="539"/>
      <c r="CM136" s="494"/>
      <c r="CN136" s="496" t="s">
        <v>1414</v>
      </c>
      <c r="CO136" s="496" t="s">
        <v>1083</v>
      </c>
      <c r="CP136" s="496" t="s">
        <v>689</v>
      </c>
      <c r="CQ136" s="496" t="s">
        <v>1415</v>
      </c>
      <c r="CR136" s="496" t="s">
        <v>1415</v>
      </c>
      <c r="CS136" s="496" t="s">
        <v>1085</v>
      </c>
      <c r="CT136" s="496" t="s">
        <v>1086</v>
      </c>
      <c r="CU136" s="496" t="s">
        <v>1087</v>
      </c>
      <c r="CV136" s="497" t="s">
        <v>1088</v>
      </c>
      <c r="CX136" s="555"/>
    </row>
    <row r="137" spans="1:102" ht="21" customHeight="1">
      <c r="A137" s="539"/>
      <c r="B137" s="562" t="s">
        <v>5923</v>
      </c>
      <c r="C137" s="559" t="s">
        <v>5924</v>
      </c>
      <c r="D137" s="553"/>
      <c r="E137" s="553"/>
      <c r="F137" s="539"/>
      <c r="G137" s="539"/>
      <c r="H137" s="539"/>
      <c r="I137" s="553"/>
      <c r="J137" s="539"/>
      <c r="K137" s="539"/>
      <c r="L137" s="553"/>
      <c r="M137" s="539"/>
      <c r="N137" s="539"/>
      <c r="O137" s="539"/>
      <c r="P137" s="539"/>
      <c r="Q137" s="539"/>
      <c r="R137" s="539"/>
      <c r="S137" s="539"/>
      <c r="CM137" s="494"/>
      <c r="CN137" s="496" t="s">
        <v>1416</v>
      </c>
      <c r="CO137" s="496" t="s">
        <v>1083</v>
      </c>
      <c r="CP137" s="496" t="s">
        <v>689</v>
      </c>
      <c r="CQ137" s="496" t="s">
        <v>1417</v>
      </c>
      <c r="CR137" s="496" t="s">
        <v>1417</v>
      </c>
      <c r="CS137" s="496" t="s">
        <v>1085</v>
      </c>
      <c r="CT137" s="496" t="s">
        <v>1086</v>
      </c>
      <c r="CU137" s="496" t="s">
        <v>1087</v>
      </c>
      <c r="CV137" s="497" t="s">
        <v>1088</v>
      </c>
      <c r="CX137" s="555"/>
    </row>
    <row r="138" spans="1:102" ht="21" customHeight="1">
      <c r="A138" s="539"/>
      <c r="B138" s="562" t="s">
        <v>5925</v>
      </c>
      <c r="C138" s="559" t="s">
        <v>5926</v>
      </c>
      <c r="D138" s="553"/>
      <c r="E138" s="553"/>
      <c r="F138" s="539"/>
      <c r="G138" s="539"/>
      <c r="H138" s="539"/>
      <c r="I138" s="553"/>
      <c r="J138" s="539"/>
      <c r="K138" s="539"/>
      <c r="L138" s="553"/>
      <c r="M138" s="539"/>
      <c r="N138" s="539"/>
      <c r="O138" s="539"/>
      <c r="P138" s="539"/>
      <c r="Q138" s="539"/>
      <c r="R138" s="539"/>
      <c r="S138" s="539"/>
      <c r="CM138" s="494"/>
      <c r="CN138" s="496" t="s">
        <v>1418</v>
      </c>
      <c r="CO138" s="496" t="s">
        <v>1083</v>
      </c>
      <c r="CP138" s="496" t="s">
        <v>689</v>
      </c>
      <c r="CQ138" s="496" t="s">
        <v>1419</v>
      </c>
      <c r="CR138" s="496" t="s">
        <v>928</v>
      </c>
      <c r="CS138" s="496" t="s">
        <v>1085</v>
      </c>
      <c r="CT138" s="496" t="s">
        <v>1086</v>
      </c>
      <c r="CU138" s="496" t="s">
        <v>1087</v>
      </c>
      <c r="CV138" s="497" t="s">
        <v>1088</v>
      </c>
      <c r="CX138" s="555"/>
    </row>
    <row r="139" spans="1:102" ht="21" customHeight="1">
      <c r="A139" s="539"/>
      <c r="B139" s="562" t="s">
        <v>5927</v>
      </c>
      <c r="C139" s="559" t="s">
        <v>5928</v>
      </c>
      <c r="D139" s="553"/>
      <c r="E139" s="553"/>
      <c r="F139" s="539"/>
      <c r="G139" s="539"/>
      <c r="H139" s="539"/>
      <c r="I139" s="553"/>
      <c r="J139" s="539"/>
      <c r="K139" s="539"/>
      <c r="L139" s="553"/>
      <c r="M139" s="539"/>
      <c r="N139" s="539"/>
      <c r="O139" s="539"/>
      <c r="P139" s="539"/>
      <c r="Q139" s="539"/>
      <c r="R139" s="539"/>
      <c r="S139" s="539"/>
      <c r="CM139" s="494"/>
      <c r="CN139" s="496" t="s">
        <v>1420</v>
      </c>
      <c r="CO139" s="496" t="s">
        <v>1083</v>
      </c>
      <c r="CP139" s="496" t="s">
        <v>689</v>
      </c>
      <c r="CQ139" s="496" t="s">
        <v>929</v>
      </c>
      <c r="CR139" s="496" t="s">
        <v>929</v>
      </c>
      <c r="CS139" s="496" t="s">
        <v>1085</v>
      </c>
      <c r="CT139" s="496" t="s">
        <v>1086</v>
      </c>
      <c r="CU139" s="496" t="s">
        <v>1087</v>
      </c>
      <c r="CV139" s="497" t="s">
        <v>1088</v>
      </c>
      <c r="CX139" s="555"/>
    </row>
    <row r="140" spans="1:102" ht="21" customHeight="1">
      <c r="A140" s="539"/>
      <c r="B140" s="562" t="s">
        <v>5929</v>
      </c>
      <c r="C140" s="559" t="s">
        <v>5930</v>
      </c>
      <c r="D140" s="553"/>
      <c r="E140" s="553"/>
      <c r="F140" s="539"/>
      <c r="G140" s="539"/>
      <c r="H140" s="539"/>
      <c r="I140" s="553"/>
      <c r="J140" s="539"/>
      <c r="K140" s="539"/>
      <c r="L140" s="553"/>
      <c r="M140" s="539"/>
      <c r="N140" s="539"/>
      <c r="O140" s="539"/>
      <c r="P140" s="539"/>
      <c r="Q140" s="539"/>
      <c r="R140" s="539"/>
      <c r="S140" s="539"/>
      <c r="CM140" s="494"/>
      <c r="CN140" s="496" t="s">
        <v>1421</v>
      </c>
      <c r="CO140" s="496" t="s">
        <v>1083</v>
      </c>
      <c r="CP140" s="496" t="s">
        <v>689</v>
      </c>
      <c r="CQ140" s="496" t="s">
        <v>930</v>
      </c>
      <c r="CR140" s="496" t="s">
        <v>930</v>
      </c>
      <c r="CS140" s="496" t="s">
        <v>1085</v>
      </c>
      <c r="CT140" s="496" t="s">
        <v>1086</v>
      </c>
      <c r="CU140" s="496" t="s">
        <v>1087</v>
      </c>
      <c r="CV140" s="497" t="s">
        <v>1088</v>
      </c>
      <c r="CX140" s="555"/>
    </row>
    <row r="141" spans="1:102" ht="21" customHeight="1">
      <c r="A141" s="539"/>
      <c r="B141" s="562" t="s">
        <v>5931</v>
      </c>
      <c r="C141" s="559" t="s">
        <v>5932</v>
      </c>
      <c r="D141" s="553"/>
      <c r="E141" s="553"/>
      <c r="F141" s="539"/>
      <c r="G141" s="539"/>
      <c r="H141" s="539"/>
      <c r="I141" s="553"/>
      <c r="J141" s="539"/>
      <c r="K141" s="539"/>
      <c r="L141" s="553"/>
      <c r="M141" s="539"/>
      <c r="N141" s="539"/>
      <c r="O141" s="539"/>
      <c r="P141" s="539"/>
      <c r="Q141" s="539"/>
      <c r="R141" s="539"/>
      <c r="S141" s="539"/>
      <c r="CM141" s="494"/>
      <c r="CN141" s="496" t="s">
        <v>1422</v>
      </c>
      <c r="CO141" s="496" t="s">
        <v>1083</v>
      </c>
      <c r="CP141" s="496" t="s">
        <v>689</v>
      </c>
      <c r="CQ141" s="496" t="s">
        <v>1423</v>
      </c>
      <c r="CR141" s="496" t="s">
        <v>1423</v>
      </c>
      <c r="CS141" s="496" t="s">
        <v>1085</v>
      </c>
      <c r="CT141" s="496" t="s">
        <v>1086</v>
      </c>
      <c r="CU141" s="496" t="s">
        <v>1087</v>
      </c>
      <c r="CV141" s="497" t="s">
        <v>1088</v>
      </c>
      <c r="CX141" s="555"/>
    </row>
    <row r="142" spans="1:102" ht="21" customHeight="1">
      <c r="A142" s="539"/>
      <c r="B142" s="562" t="s">
        <v>5933</v>
      </c>
      <c r="C142" s="559" t="s">
        <v>5934</v>
      </c>
      <c r="D142" s="553"/>
      <c r="E142" s="553"/>
      <c r="F142" s="539"/>
      <c r="G142" s="539"/>
      <c r="H142" s="539"/>
      <c r="I142" s="553"/>
      <c r="J142" s="539"/>
      <c r="K142" s="539"/>
      <c r="L142" s="553"/>
      <c r="M142" s="539"/>
      <c r="N142" s="539"/>
      <c r="O142" s="539"/>
      <c r="P142" s="539"/>
      <c r="Q142" s="539"/>
      <c r="R142" s="539"/>
      <c r="S142" s="539"/>
      <c r="CM142" s="494"/>
      <c r="CN142" s="496" t="s">
        <v>1424</v>
      </c>
      <c r="CO142" s="496" t="s">
        <v>1083</v>
      </c>
      <c r="CP142" s="496" t="s">
        <v>689</v>
      </c>
      <c r="CQ142" s="496" t="s">
        <v>932</v>
      </c>
      <c r="CR142" s="496" t="s">
        <v>932</v>
      </c>
      <c r="CS142" s="496" t="s">
        <v>1085</v>
      </c>
      <c r="CT142" s="496" t="s">
        <v>1086</v>
      </c>
      <c r="CU142" s="496" t="s">
        <v>1087</v>
      </c>
      <c r="CV142" s="497" t="s">
        <v>1088</v>
      </c>
      <c r="CX142" s="555"/>
    </row>
    <row r="143" spans="1:102" ht="21" customHeight="1">
      <c r="A143" s="539"/>
      <c r="B143" s="562" t="s">
        <v>5935</v>
      </c>
      <c r="C143" s="559" t="s">
        <v>5936</v>
      </c>
      <c r="D143" s="553"/>
      <c r="E143" s="553"/>
      <c r="F143" s="539"/>
      <c r="G143" s="539"/>
      <c r="H143" s="539"/>
      <c r="I143" s="553"/>
      <c r="J143" s="539"/>
      <c r="K143" s="539"/>
      <c r="L143" s="553"/>
      <c r="M143" s="539"/>
      <c r="N143" s="539"/>
      <c r="O143" s="539"/>
      <c r="P143" s="539"/>
      <c r="Q143" s="539"/>
      <c r="R143" s="539"/>
      <c r="S143" s="539"/>
      <c r="CM143" s="494"/>
      <c r="CN143" s="496" t="s">
        <v>1425</v>
      </c>
      <c r="CO143" s="496" t="s">
        <v>1083</v>
      </c>
      <c r="CP143" s="496" t="s">
        <v>689</v>
      </c>
      <c r="CQ143" s="496" t="s">
        <v>1426</v>
      </c>
      <c r="CR143" s="496" t="s">
        <v>1427</v>
      </c>
      <c r="CS143" s="496" t="s">
        <v>1085</v>
      </c>
      <c r="CT143" s="496" t="s">
        <v>1086</v>
      </c>
      <c r="CU143" s="496" t="s">
        <v>1087</v>
      </c>
      <c r="CV143" s="497" t="s">
        <v>1088</v>
      </c>
      <c r="CX143" s="555"/>
    </row>
    <row r="144" spans="1:102" ht="21" customHeight="1">
      <c r="A144" s="539"/>
      <c r="B144" s="562" t="s">
        <v>5937</v>
      </c>
      <c r="C144" s="559" t="s">
        <v>5938</v>
      </c>
      <c r="D144" s="553"/>
      <c r="E144" s="553"/>
      <c r="F144" s="539"/>
      <c r="G144" s="539"/>
      <c r="H144" s="539"/>
      <c r="I144" s="553"/>
      <c r="J144" s="539"/>
      <c r="K144" s="539"/>
      <c r="L144" s="553"/>
      <c r="M144" s="539"/>
      <c r="N144" s="539"/>
      <c r="O144" s="539"/>
      <c r="P144" s="539"/>
      <c r="Q144" s="539"/>
      <c r="R144" s="539"/>
      <c r="S144" s="539"/>
      <c r="CM144" s="494"/>
      <c r="CN144" s="496" t="s">
        <v>1428</v>
      </c>
      <c r="CO144" s="496" t="s">
        <v>1083</v>
      </c>
      <c r="CP144" s="496" t="s">
        <v>689</v>
      </c>
      <c r="CQ144" s="496" t="s">
        <v>933</v>
      </c>
      <c r="CR144" s="496" t="s">
        <v>933</v>
      </c>
      <c r="CS144" s="496" t="s">
        <v>1085</v>
      </c>
      <c r="CT144" s="496" t="s">
        <v>1086</v>
      </c>
      <c r="CU144" s="496" t="s">
        <v>1087</v>
      </c>
      <c r="CV144" s="497" t="s">
        <v>1088</v>
      </c>
      <c r="CX144" s="555"/>
    </row>
    <row r="145" spans="1:102" ht="21" customHeight="1">
      <c r="A145" s="539"/>
      <c r="B145" s="562" t="s">
        <v>5939</v>
      </c>
      <c r="C145" s="559" t="s">
        <v>5940</v>
      </c>
      <c r="D145" s="553"/>
      <c r="E145" s="553"/>
      <c r="F145" s="539"/>
      <c r="G145" s="539"/>
      <c r="H145" s="539"/>
      <c r="I145" s="553"/>
      <c r="J145" s="539"/>
      <c r="K145" s="539"/>
      <c r="L145" s="553"/>
      <c r="M145" s="539"/>
      <c r="N145" s="539"/>
      <c r="O145" s="539"/>
      <c r="P145" s="539"/>
      <c r="Q145" s="539"/>
      <c r="R145" s="539"/>
      <c r="S145" s="539"/>
      <c r="CM145" s="494"/>
      <c r="CN145" s="496" t="s">
        <v>1429</v>
      </c>
      <c r="CO145" s="496" t="s">
        <v>1083</v>
      </c>
      <c r="CP145" s="496" t="s">
        <v>689</v>
      </c>
      <c r="CQ145" s="496" t="s">
        <v>151</v>
      </c>
      <c r="CR145" s="496" t="s">
        <v>151</v>
      </c>
      <c r="CS145" s="496" t="s">
        <v>1085</v>
      </c>
      <c r="CT145" s="496" t="s">
        <v>1086</v>
      </c>
      <c r="CU145" s="496" t="s">
        <v>1087</v>
      </c>
      <c r="CV145" s="497" t="s">
        <v>1088</v>
      </c>
      <c r="CX145" s="555"/>
    </row>
    <row r="146" spans="1:102" ht="21" customHeight="1">
      <c r="A146" s="539"/>
      <c r="B146" s="562" t="s">
        <v>5941</v>
      </c>
      <c r="C146" s="559" t="s">
        <v>5942</v>
      </c>
      <c r="D146" s="553"/>
      <c r="E146" s="553"/>
      <c r="F146" s="539"/>
      <c r="G146" s="539"/>
      <c r="H146" s="539"/>
      <c r="I146" s="553"/>
      <c r="J146" s="539"/>
      <c r="K146" s="539"/>
      <c r="L146" s="553"/>
      <c r="M146" s="539"/>
      <c r="N146" s="539"/>
      <c r="O146" s="539"/>
      <c r="P146" s="539"/>
      <c r="Q146" s="539"/>
      <c r="R146" s="539"/>
      <c r="S146" s="539"/>
      <c r="CM146" s="494"/>
      <c r="CN146" s="496" t="s">
        <v>1430</v>
      </c>
      <c r="CO146" s="496" t="s">
        <v>1083</v>
      </c>
      <c r="CP146" s="496" t="s">
        <v>689</v>
      </c>
      <c r="CQ146" s="496" t="s">
        <v>1431</v>
      </c>
      <c r="CR146" s="496" t="s">
        <v>1431</v>
      </c>
      <c r="CS146" s="496" t="s">
        <v>1085</v>
      </c>
      <c r="CT146" s="496" t="s">
        <v>1086</v>
      </c>
      <c r="CU146" s="496" t="s">
        <v>1087</v>
      </c>
      <c r="CV146" s="497" t="s">
        <v>1088</v>
      </c>
      <c r="CX146" s="555"/>
    </row>
    <row r="147" spans="1:102" ht="21" customHeight="1">
      <c r="A147" s="539"/>
      <c r="B147" s="562" t="s">
        <v>5943</v>
      </c>
      <c r="C147" s="559" t="s">
        <v>5944</v>
      </c>
      <c r="D147" s="553"/>
      <c r="E147" s="553"/>
      <c r="F147" s="539"/>
      <c r="G147" s="539"/>
      <c r="H147" s="539"/>
      <c r="I147" s="553"/>
      <c r="J147" s="539"/>
      <c r="K147" s="539"/>
      <c r="L147" s="553"/>
      <c r="M147" s="539"/>
      <c r="N147" s="539"/>
      <c r="O147" s="539"/>
      <c r="P147" s="539"/>
      <c r="Q147" s="539"/>
      <c r="R147" s="539"/>
      <c r="S147" s="539"/>
      <c r="CM147" s="494"/>
      <c r="CN147" s="496" t="s">
        <v>1432</v>
      </c>
      <c r="CO147" s="496" t="s">
        <v>1083</v>
      </c>
      <c r="CP147" s="496" t="s">
        <v>689</v>
      </c>
      <c r="CQ147" s="496" t="s">
        <v>1433</v>
      </c>
      <c r="CR147" s="496" t="s">
        <v>1433</v>
      </c>
      <c r="CS147" s="496" t="s">
        <v>1085</v>
      </c>
      <c r="CT147" s="496" t="s">
        <v>1086</v>
      </c>
      <c r="CU147" s="496" t="s">
        <v>1087</v>
      </c>
      <c r="CV147" s="497" t="s">
        <v>1088</v>
      </c>
      <c r="CX147" s="555"/>
    </row>
    <row r="148" spans="1:102" ht="21" customHeight="1">
      <c r="A148" s="539"/>
      <c r="B148" s="562" t="s">
        <v>5945</v>
      </c>
      <c r="C148" s="559" t="s">
        <v>5946</v>
      </c>
      <c r="D148" s="553"/>
      <c r="E148" s="553"/>
      <c r="F148" s="539"/>
      <c r="G148" s="539"/>
      <c r="H148" s="539"/>
      <c r="I148" s="553"/>
      <c r="J148" s="539"/>
      <c r="K148" s="539"/>
      <c r="L148" s="553"/>
      <c r="M148" s="539"/>
      <c r="N148" s="539"/>
      <c r="O148" s="539"/>
      <c r="P148" s="539"/>
      <c r="Q148" s="539"/>
      <c r="R148" s="539"/>
      <c r="S148" s="539"/>
      <c r="CM148" s="494"/>
      <c r="CN148" s="496" t="s">
        <v>1456</v>
      </c>
      <c r="CO148" s="496" t="s">
        <v>1083</v>
      </c>
      <c r="CP148" s="496" t="s">
        <v>690</v>
      </c>
      <c r="CQ148" s="496" t="s">
        <v>707</v>
      </c>
      <c r="CR148" s="496" t="s">
        <v>707</v>
      </c>
      <c r="CS148" s="496" t="s">
        <v>1085</v>
      </c>
      <c r="CT148" s="496" t="s">
        <v>1441</v>
      </c>
      <c r="CU148" s="496" t="s">
        <v>1087</v>
      </c>
      <c r="CV148" s="497" t="s">
        <v>1088</v>
      </c>
      <c r="CX148" s="555"/>
    </row>
    <row r="149" spans="1:102" ht="21" customHeight="1">
      <c r="A149" s="539"/>
      <c r="B149" s="562" t="s">
        <v>5947</v>
      </c>
      <c r="C149" s="559" t="s">
        <v>5948</v>
      </c>
      <c r="D149" s="553"/>
      <c r="E149" s="553"/>
      <c r="F149" s="539"/>
      <c r="G149" s="539"/>
      <c r="H149" s="539"/>
      <c r="I149" s="553"/>
      <c r="J149" s="539"/>
      <c r="K149" s="539"/>
      <c r="L149" s="553"/>
      <c r="M149" s="539"/>
      <c r="N149" s="539"/>
      <c r="O149" s="539"/>
      <c r="P149" s="539"/>
      <c r="Q149" s="539"/>
      <c r="R149" s="539"/>
      <c r="S149" s="539"/>
      <c r="CM149" s="494"/>
      <c r="CN149" s="496" t="s">
        <v>1434</v>
      </c>
      <c r="CO149" s="496" t="s">
        <v>1083</v>
      </c>
      <c r="CP149" s="496" t="s">
        <v>689</v>
      </c>
      <c r="CQ149" s="496" t="s">
        <v>1435</v>
      </c>
      <c r="CR149" s="496" t="s">
        <v>1435</v>
      </c>
      <c r="CS149" s="496" t="s">
        <v>1151</v>
      </c>
      <c r="CT149" s="496" t="s">
        <v>1152</v>
      </c>
      <c r="CU149" s="496" t="s">
        <v>1087</v>
      </c>
      <c r="CV149" s="497" t="s">
        <v>1153</v>
      </c>
      <c r="CX149" s="555"/>
    </row>
    <row r="150" spans="1:102" ht="21" customHeight="1">
      <c r="A150" s="539"/>
      <c r="B150" s="562" t="s">
        <v>5949</v>
      </c>
      <c r="C150" s="559" t="s">
        <v>5950</v>
      </c>
      <c r="D150" s="553"/>
      <c r="E150" s="553"/>
      <c r="F150" s="539"/>
      <c r="G150" s="539"/>
      <c r="H150" s="539"/>
      <c r="I150" s="553"/>
      <c r="J150" s="539"/>
      <c r="K150" s="539"/>
      <c r="L150" s="553"/>
      <c r="M150" s="539"/>
      <c r="N150" s="539"/>
      <c r="O150" s="539"/>
      <c r="P150" s="539"/>
      <c r="Q150" s="539"/>
      <c r="R150" s="539"/>
      <c r="S150" s="539"/>
      <c r="CM150" s="494"/>
      <c r="CN150" s="496" t="s">
        <v>1436</v>
      </c>
      <c r="CO150" s="496" t="s">
        <v>1083</v>
      </c>
      <c r="CP150" s="496" t="s">
        <v>689</v>
      </c>
      <c r="CQ150" s="496" t="s">
        <v>319</v>
      </c>
      <c r="CR150" s="496" t="s">
        <v>319</v>
      </c>
      <c r="CS150" s="496" t="s">
        <v>1085</v>
      </c>
      <c r="CT150" s="496" t="s">
        <v>1086</v>
      </c>
      <c r="CU150" s="496" t="s">
        <v>1087</v>
      </c>
      <c r="CV150" s="497" t="s">
        <v>1088</v>
      </c>
      <c r="CX150" s="555"/>
    </row>
    <row r="151" spans="1:102" ht="21" customHeight="1">
      <c r="A151" s="539"/>
      <c r="B151" s="560"/>
      <c r="C151" s="560"/>
      <c r="D151" s="539"/>
      <c r="E151" s="539"/>
      <c r="F151" s="539"/>
      <c r="G151" s="539"/>
      <c r="H151" s="539"/>
      <c r="I151" s="539"/>
      <c r="J151" s="539"/>
      <c r="K151" s="539"/>
      <c r="L151" s="539"/>
      <c r="M151" s="539"/>
      <c r="N151" s="539"/>
      <c r="O151" s="539"/>
      <c r="P151" s="539"/>
      <c r="Q151" s="539"/>
      <c r="R151" s="539"/>
      <c r="S151" s="539"/>
      <c r="CM151" s="494"/>
      <c r="CN151" s="496" t="s">
        <v>1437</v>
      </c>
      <c r="CO151" s="496" t="s">
        <v>1083</v>
      </c>
      <c r="CP151" s="496" t="s">
        <v>689</v>
      </c>
      <c r="CQ151" s="496" t="s">
        <v>934</v>
      </c>
      <c r="CR151" s="496" t="s">
        <v>934</v>
      </c>
      <c r="CS151" s="496" t="s">
        <v>1085</v>
      </c>
      <c r="CT151" s="496" t="s">
        <v>1086</v>
      </c>
      <c r="CU151" s="496" t="s">
        <v>1087</v>
      </c>
      <c r="CV151" s="497" t="s">
        <v>1088</v>
      </c>
      <c r="CX151" s="555"/>
    </row>
    <row r="152" spans="1:102" ht="21" customHeight="1">
      <c r="A152" s="539"/>
      <c r="B152" s="561"/>
      <c r="C152" s="561" t="s">
        <v>5951</v>
      </c>
      <c r="D152" s="539"/>
      <c r="E152" s="539"/>
      <c r="F152" s="539"/>
      <c r="G152" s="539"/>
      <c r="H152" s="539"/>
      <c r="I152" s="539"/>
      <c r="J152" s="539"/>
      <c r="K152" s="539"/>
      <c r="L152" s="539"/>
      <c r="M152" s="539"/>
      <c r="N152" s="539"/>
      <c r="O152" s="539"/>
      <c r="P152" s="539"/>
      <c r="Q152" s="539"/>
      <c r="R152" s="539"/>
      <c r="S152" s="539"/>
      <c r="CM152" s="494"/>
      <c r="CN152" s="496" t="s">
        <v>1438</v>
      </c>
      <c r="CO152" s="496" t="s">
        <v>1083</v>
      </c>
      <c r="CP152" s="496" t="s">
        <v>690</v>
      </c>
      <c r="CQ152" s="496" t="s">
        <v>1439</v>
      </c>
      <c r="CR152" s="496" t="s">
        <v>1440</v>
      </c>
      <c r="CS152" s="496" t="s">
        <v>1085</v>
      </c>
      <c r="CT152" s="496" t="s">
        <v>1441</v>
      </c>
      <c r="CU152" s="496" t="s">
        <v>1087</v>
      </c>
      <c r="CV152" s="497" t="s">
        <v>1088</v>
      </c>
      <c r="CX152" s="555"/>
    </row>
    <row r="153" spans="1:102" ht="21" customHeight="1">
      <c r="A153" s="539"/>
      <c r="B153" s="562" t="s">
        <v>5923</v>
      </c>
      <c r="C153" s="559" t="s">
        <v>5952</v>
      </c>
      <c r="D153" s="539"/>
      <c r="E153" s="539"/>
      <c r="F153" s="539"/>
      <c r="G153" s="539"/>
      <c r="H153" s="539"/>
      <c r="I153" s="539"/>
      <c r="J153" s="539"/>
      <c r="K153" s="539"/>
      <c r="L153" s="539"/>
      <c r="M153" s="539"/>
      <c r="N153" s="539"/>
      <c r="O153" s="539"/>
      <c r="P153" s="539"/>
      <c r="Q153" s="539"/>
      <c r="R153" s="539"/>
      <c r="S153" s="539"/>
      <c r="CM153" s="494"/>
      <c r="CN153" s="496" t="s">
        <v>1442</v>
      </c>
      <c r="CO153" s="496" t="s">
        <v>1083</v>
      </c>
      <c r="CP153" s="496" t="s">
        <v>690</v>
      </c>
      <c r="CQ153" s="496" t="s">
        <v>1443</v>
      </c>
      <c r="CR153" s="496" t="s">
        <v>1443</v>
      </c>
      <c r="CS153" s="496" t="s">
        <v>1085</v>
      </c>
      <c r="CT153" s="496" t="s">
        <v>1441</v>
      </c>
      <c r="CU153" s="496" t="s">
        <v>1087</v>
      </c>
      <c r="CV153" s="497" t="s">
        <v>1088</v>
      </c>
      <c r="CX153" s="555"/>
    </row>
    <row r="154" spans="1:102" ht="21" customHeight="1">
      <c r="A154" s="539"/>
      <c r="B154" s="562" t="s">
        <v>5925</v>
      </c>
      <c r="C154" s="559" t="s">
        <v>5953</v>
      </c>
      <c r="D154" s="539"/>
      <c r="E154" s="539"/>
      <c r="F154" s="539"/>
      <c r="G154" s="539"/>
      <c r="H154" s="539"/>
      <c r="I154" s="539"/>
      <c r="J154" s="539"/>
      <c r="K154" s="539"/>
      <c r="L154" s="539"/>
      <c r="M154" s="539"/>
      <c r="N154" s="539"/>
      <c r="O154" s="539"/>
      <c r="P154" s="539"/>
      <c r="Q154" s="539"/>
      <c r="R154" s="539"/>
      <c r="S154" s="539"/>
      <c r="CM154" s="494"/>
      <c r="CN154" s="496" t="s">
        <v>1444</v>
      </c>
      <c r="CO154" s="496" t="s">
        <v>1083</v>
      </c>
      <c r="CP154" s="496" t="s">
        <v>690</v>
      </c>
      <c r="CQ154" s="496" t="s">
        <v>1445</v>
      </c>
      <c r="CR154" s="496" t="s">
        <v>1445</v>
      </c>
      <c r="CS154" s="496" t="s">
        <v>1151</v>
      </c>
      <c r="CT154" s="496" t="s">
        <v>1446</v>
      </c>
      <c r="CU154" s="496" t="s">
        <v>1087</v>
      </c>
      <c r="CV154" s="497" t="s">
        <v>1153</v>
      </c>
      <c r="CX154" s="555"/>
    </row>
    <row r="155" spans="1:102" ht="21" customHeight="1">
      <c r="A155" s="539"/>
      <c r="B155" s="562" t="s">
        <v>5927</v>
      </c>
      <c r="C155" s="559" t="s">
        <v>5954</v>
      </c>
      <c r="D155" s="539"/>
      <c r="E155" s="539"/>
      <c r="F155" s="539"/>
      <c r="G155" s="539"/>
      <c r="H155" s="539"/>
      <c r="I155" s="539"/>
      <c r="J155" s="539"/>
      <c r="K155" s="539"/>
      <c r="L155" s="539"/>
      <c r="M155" s="539"/>
      <c r="N155" s="539"/>
      <c r="O155" s="539"/>
      <c r="P155" s="539"/>
      <c r="Q155" s="539"/>
      <c r="R155" s="539"/>
      <c r="S155" s="539"/>
      <c r="CM155" s="494"/>
      <c r="CN155" s="496" t="s">
        <v>1447</v>
      </c>
      <c r="CO155" s="496" t="s">
        <v>1083</v>
      </c>
      <c r="CP155" s="496" t="s">
        <v>690</v>
      </c>
      <c r="CQ155" s="496" t="s">
        <v>1448</v>
      </c>
      <c r="CR155" s="496" t="s">
        <v>1448</v>
      </c>
      <c r="CS155" s="496" t="s">
        <v>1151</v>
      </c>
      <c r="CT155" s="496" t="s">
        <v>1446</v>
      </c>
      <c r="CU155" s="496" t="s">
        <v>1087</v>
      </c>
      <c r="CV155" s="497" t="s">
        <v>1153</v>
      </c>
      <c r="CX155" s="555"/>
    </row>
    <row r="156" spans="1:102" ht="21" customHeight="1">
      <c r="A156" s="539"/>
      <c r="B156" s="562" t="s">
        <v>5929</v>
      </c>
      <c r="C156" s="559" t="s">
        <v>5955</v>
      </c>
      <c r="D156" s="539"/>
      <c r="E156" s="539"/>
      <c r="F156" s="539"/>
      <c r="G156" s="539"/>
      <c r="H156" s="539"/>
      <c r="I156" s="539"/>
      <c r="J156" s="539"/>
      <c r="K156" s="539"/>
      <c r="L156" s="539"/>
      <c r="M156" s="539"/>
      <c r="N156" s="539"/>
      <c r="O156" s="539"/>
      <c r="P156" s="539"/>
      <c r="Q156" s="539"/>
      <c r="R156" s="539"/>
      <c r="S156" s="539"/>
      <c r="CM156" s="494"/>
      <c r="CN156" s="496" t="s">
        <v>1457</v>
      </c>
      <c r="CO156" s="496" t="s">
        <v>1083</v>
      </c>
      <c r="CP156" s="496" t="s">
        <v>690</v>
      </c>
      <c r="CQ156" s="496" t="s">
        <v>1458</v>
      </c>
      <c r="CR156" s="496" t="s">
        <v>1458</v>
      </c>
      <c r="CS156" s="496" t="s">
        <v>1085</v>
      </c>
      <c r="CT156" s="496" t="s">
        <v>1441</v>
      </c>
      <c r="CU156" s="496" t="s">
        <v>1087</v>
      </c>
      <c r="CV156" s="497" t="s">
        <v>1088</v>
      </c>
      <c r="CX156" s="555"/>
    </row>
    <row r="157" spans="1:102" ht="21" customHeight="1">
      <c r="A157" s="539"/>
      <c r="B157" s="562" t="s">
        <v>5931</v>
      </c>
      <c r="C157" s="559" t="s">
        <v>5956</v>
      </c>
      <c r="D157" s="539"/>
      <c r="E157" s="539"/>
      <c r="F157" s="539"/>
      <c r="G157" s="539"/>
      <c r="H157" s="539"/>
      <c r="I157" s="539"/>
      <c r="J157" s="539"/>
      <c r="K157" s="539"/>
      <c r="L157" s="539"/>
      <c r="M157" s="539"/>
      <c r="N157" s="539"/>
      <c r="O157" s="539"/>
      <c r="P157" s="539"/>
      <c r="Q157" s="539"/>
      <c r="R157" s="539"/>
      <c r="S157" s="539"/>
      <c r="CM157" s="494"/>
      <c r="CN157" s="496" t="s">
        <v>1459</v>
      </c>
      <c r="CO157" s="496" t="s">
        <v>1083</v>
      </c>
      <c r="CP157" s="496" t="s">
        <v>690</v>
      </c>
      <c r="CQ157" s="496" t="s">
        <v>38</v>
      </c>
      <c r="CR157" s="496" t="s">
        <v>38</v>
      </c>
      <c r="CS157" s="496" t="s">
        <v>1085</v>
      </c>
      <c r="CT157" s="496" t="s">
        <v>1441</v>
      </c>
      <c r="CU157" s="496" t="s">
        <v>1087</v>
      </c>
      <c r="CV157" s="497" t="s">
        <v>1088</v>
      </c>
      <c r="CX157" s="555"/>
    </row>
    <row r="158" spans="1:102" ht="21" customHeight="1">
      <c r="A158" s="539"/>
      <c r="B158" s="562" t="s">
        <v>5933</v>
      </c>
      <c r="C158" s="559" t="s">
        <v>5957</v>
      </c>
      <c r="D158" s="539"/>
      <c r="E158" s="539"/>
      <c r="F158" s="539"/>
      <c r="G158" s="539"/>
      <c r="H158" s="539"/>
      <c r="I158" s="539"/>
      <c r="J158" s="539"/>
      <c r="K158" s="539"/>
      <c r="L158" s="539"/>
      <c r="M158" s="539"/>
      <c r="N158" s="539"/>
      <c r="O158" s="539"/>
      <c r="P158" s="539"/>
      <c r="Q158" s="539"/>
      <c r="R158" s="539"/>
      <c r="S158" s="539"/>
      <c r="CM158" s="494"/>
      <c r="CN158" s="496" t="s">
        <v>1460</v>
      </c>
      <c r="CO158" s="496" t="s">
        <v>1083</v>
      </c>
      <c r="CP158" s="496" t="s">
        <v>690</v>
      </c>
      <c r="CQ158" s="496" t="s">
        <v>1461</v>
      </c>
      <c r="CR158" s="496" t="s">
        <v>711</v>
      </c>
      <c r="CS158" s="496" t="s">
        <v>1085</v>
      </c>
      <c r="CT158" s="496" t="s">
        <v>1441</v>
      </c>
      <c r="CU158" s="496" t="s">
        <v>1087</v>
      </c>
      <c r="CV158" s="497" t="s">
        <v>1088</v>
      </c>
      <c r="CX158" s="555"/>
    </row>
    <row r="159" spans="1:102" ht="21" customHeight="1">
      <c r="A159" s="539"/>
      <c r="B159" s="562" t="s">
        <v>5935</v>
      </c>
      <c r="C159" s="559" t="s">
        <v>5958</v>
      </c>
      <c r="D159" s="539"/>
      <c r="E159" s="539"/>
      <c r="F159" s="539"/>
      <c r="G159" s="539"/>
      <c r="H159" s="539"/>
      <c r="I159" s="539"/>
      <c r="J159" s="539"/>
      <c r="K159" s="539"/>
      <c r="L159" s="539"/>
      <c r="M159" s="539"/>
      <c r="N159" s="539"/>
      <c r="O159" s="539"/>
      <c r="P159" s="539"/>
      <c r="Q159" s="539"/>
      <c r="R159" s="539"/>
      <c r="S159" s="539"/>
      <c r="CM159" s="494"/>
      <c r="CN159" s="496" t="s">
        <v>1462</v>
      </c>
      <c r="CO159" s="496" t="s">
        <v>1083</v>
      </c>
      <c r="CP159" s="496" t="s">
        <v>690</v>
      </c>
      <c r="CQ159" s="496" t="s">
        <v>1463</v>
      </c>
      <c r="CR159" s="496" t="s">
        <v>1463</v>
      </c>
      <c r="CS159" s="496" t="s">
        <v>1085</v>
      </c>
      <c r="CT159" s="496" t="s">
        <v>1441</v>
      </c>
      <c r="CU159" s="496" t="s">
        <v>1087</v>
      </c>
      <c r="CV159" s="497" t="s">
        <v>1088</v>
      </c>
      <c r="CX159" s="555"/>
    </row>
    <row r="160" spans="1:102" ht="21" customHeight="1">
      <c r="A160" s="539"/>
      <c r="B160" s="562" t="s">
        <v>5937</v>
      </c>
      <c r="C160" s="559" t="s">
        <v>5959</v>
      </c>
      <c r="D160" s="539"/>
      <c r="E160" s="539"/>
      <c r="F160" s="539"/>
      <c r="G160" s="539"/>
      <c r="H160" s="539"/>
      <c r="I160" s="539"/>
      <c r="J160" s="539"/>
      <c r="K160" s="539"/>
      <c r="L160" s="539"/>
      <c r="M160" s="539"/>
      <c r="N160" s="539"/>
      <c r="O160" s="539"/>
      <c r="P160" s="539"/>
      <c r="Q160" s="539"/>
      <c r="R160" s="539"/>
      <c r="S160" s="539"/>
      <c r="CM160" s="494"/>
      <c r="CN160" s="496" t="s">
        <v>1464</v>
      </c>
      <c r="CO160" s="496" t="s">
        <v>1083</v>
      </c>
      <c r="CP160" s="496" t="s">
        <v>690</v>
      </c>
      <c r="CQ160" s="496" t="s">
        <v>708</v>
      </c>
      <c r="CR160" s="496" t="s">
        <v>708</v>
      </c>
      <c r="CS160" s="496" t="s">
        <v>1085</v>
      </c>
      <c r="CT160" s="496" t="s">
        <v>1441</v>
      </c>
      <c r="CU160" s="496" t="s">
        <v>1087</v>
      </c>
      <c r="CV160" s="497" t="s">
        <v>1088</v>
      </c>
      <c r="CX160" s="555"/>
    </row>
    <row r="161" spans="1:102" ht="21" customHeight="1">
      <c r="A161" s="539"/>
      <c r="B161" s="562" t="s">
        <v>5939</v>
      </c>
      <c r="C161" s="559" t="s">
        <v>5960</v>
      </c>
      <c r="D161" s="539"/>
      <c r="E161" s="539"/>
      <c r="F161" s="539"/>
      <c r="G161" s="539"/>
      <c r="H161" s="539"/>
      <c r="I161" s="539"/>
      <c r="J161" s="539"/>
      <c r="K161" s="539"/>
      <c r="L161" s="539"/>
      <c r="M161" s="539"/>
      <c r="N161" s="539"/>
      <c r="O161" s="539"/>
      <c r="P161" s="539"/>
      <c r="Q161" s="539"/>
      <c r="R161" s="539"/>
      <c r="S161" s="539"/>
      <c r="CM161" s="494"/>
      <c r="CN161" s="496" t="s">
        <v>1465</v>
      </c>
      <c r="CO161" s="496" t="s">
        <v>1083</v>
      </c>
      <c r="CP161" s="496" t="s">
        <v>690</v>
      </c>
      <c r="CQ161" s="496" t="s">
        <v>1466</v>
      </c>
      <c r="CR161" s="496" t="s">
        <v>1466</v>
      </c>
      <c r="CS161" s="496" t="s">
        <v>1085</v>
      </c>
      <c r="CT161" s="496" t="s">
        <v>1441</v>
      </c>
      <c r="CU161" s="496" t="s">
        <v>1087</v>
      </c>
      <c r="CV161" s="497" t="s">
        <v>1088</v>
      </c>
      <c r="CX161" s="555"/>
    </row>
    <row r="162" spans="1:102" ht="21" customHeight="1">
      <c r="A162" s="539"/>
      <c r="B162" s="562" t="s">
        <v>5941</v>
      </c>
      <c r="C162" s="559" t="s">
        <v>5961</v>
      </c>
      <c r="D162" s="539"/>
      <c r="E162" s="539"/>
      <c r="F162" s="539"/>
      <c r="G162" s="539"/>
      <c r="H162" s="539"/>
      <c r="I162" s="539"/>
      <c r="J162" s="539"/>
      <c r="K162" s="539"/>
      <c r="L162" s="539"/>
      <c r="M162" s="539"/>
      <c r="N162" s="539"/>
      <c r="O162" s="539"/>
      <c r="P162" s="539"/>
      <c r="Q162" s="539"/>
      <c r="R162" s="539"/>
      <c r="S162" s="539"/>
      <c r="CM162" s="494"/>
      <c r="CN162" s="496" t="s">
        <v>1467</v>
      </c>
      <c r="CO162" s="496" t="s">
        <v>1083</v>
      </c>
      <c r="CP162" s="496" t="s">
        <v>690</v>
      </c>
      <c r="CQ162" s="496" t="s">
        <v>712</v>
      </c>
      <c r="CR162" s="496" t="s">
        <v>712</v>
      </c>
      <c r="CS162" s="496" t="s">
        <v>1085</v>
      </c>
      <c r="CT162" s="496" t="s">
        <v>1441</v>
      </c>
      <c r="CU162" s="496" t="s">
        <v>1087</v>
      </c>
      <c r="CV162" s="497" t="s">
        <v>1088</v>
      </c>
      <c r="CX162" s="555"/>
    </row>
    <row r="163" spans="1:102" ht="21" customHeight="1">
      <c r="A163" s="539"/>
      <c r="B163" s="562" t="s">
        <v>5943</v>
      </c>
      <c r="C163" s="559" t="s">
        <v>5962</v>
      </c>
      <c r="D163" s="539"/>
      <c r="E163" s="539"/>
      <c r="F163" s="539"/>
      <c r="G163" s="539"/>
      <c r="H163" s="539"/>
      <c r="I163" s="539"/>
      <c r="J163" s="539"/>
      <c r="K163" s="539"/>
      <c r="L163" s="539"/>
      <c r="M163" s="539"/>
      <c r="N163" s="539"/>
      <c r="O163" s="539"/>
      <c r="P163" s="539"/>
      <c r="Q163" s="539"/>
      <c r="R163" s="539"/>
      <c r="S163" s="539"/>
      <c r="CM163" s="494"/>
      <c r="CN163" s="496" t="s">
        <v>1468</v>
      </c>
      <c r="CO163" s="496" t="s">
        <v>1083</v>
      </c>
      <c r="CP163" s="496" t="s">
        <v>690</v>
      </c>
      <c r="CQ163" s="496" t="s">
        <v>710</v>
      </c>
      <c r="CR163" s="496" t="s">
        <v>710</v>
      </c>
      <c r="CS163" s="496" t="s">
        <v>1085</v>
      </c>
      <c r="CT163" s="496" t="s">
        <v>1441</v>
      </c>
      <c r="CU163" s="496" t="s">
        <v>1087</v>
      </c>
      <c r="CV163" s="497" t="s">
        <v>1088</v>
      </c>
      <c r="CX163" s="555"/>
    </row>
    <row r="164" spans="1:102" ht="21" customHeight="1">
      <c r="A164" s="539"/>
      <c r="B164" s="562" t="s">
        <v>5945</v>
      </c>
      <c r="C164" s="559" t="s">
        <v>5963</v>
      </c>
      <c r="D164" s="539"/>
      <c r="E164" s="539"/>
      <c r="F164" s="539"/>
      <c r="G164" s="539"/>
      <c r="H164" s="539"/>
      <c r="I164" s="539"/>
      <c r="J164" s="539"/>
      <c r="K164" s="539"/>
      <c r="L164" s="539"/>
      <c r="M164" s="539"/>
      <c r="N164" s="539"/>
      <c r="O164" s="539"/>
      <c r="P164" s="539"/>
      <c r="Q164" s="539"/>
      <c r="R164" s="539"/>
      <c r="S164" s="539"/>
      <c r="CM164" s="494"/>
      <c r="CN164" s="496" t="s">
        <v>1469</v>
      </c>
      <c r="CO164" s="496" t="s">
        <v>1083</v>
      </c>
      <c r="CP164" s="496" t="s">
        <v>690</v>
      </c>
      <c r="CQ164" s="496" t="s">
        <v>1470</v>
      </c>
      <c r="CR164" s="496" t="s">
        <v>1470</v>
      </c>
      <c r="CS164" s="496" t="s">
        <v>1085</v>
      </c>
      <c r="CT164" s="496" t="s">
        <v>1441</v>
      </c>
      <c r="CU164" s="496" t="s">
        <v>1087</v>
      </c>
      <c r="CV164" s="497" t="s">
        <v>1088</v>
      </c>
      <c r="CX164" s="555"/>
    </row>
    <row r="165" spans="1:102" ht="21" customHeight="1">
      <c r="A165" s="539"/>
      <c r="B165" s="562" t="s">
        <v>5947</v>
      </c>
      <c r="C165" s="559" t="s">
        <v>5964</v>
      </c>
      <c r="D165" s="539"/>
      <c r="E165" s="539"/>
      <c r="F165" s="539"/>
      <c r="G165" s="539"/>
      <c r="H165" s="539"/>
      <c r="I165" s="539"/>
      <c r="J165" s="539"/>
      <c r="K165" s="539"/>
      <c r="L165" s="539"/>
      <c r="M165" s="539"/>
      <c r="N165" s="539"/>
      <c r="O165" s="539"/>
      <c r="P165" s="539"/>
      <c r="Q165" s="539"/>
      <c r="R165" s="539"/>
      <c r="S165" s="539"/>
      <c r="CM165" s="494"/>
      <c r="CN165" s="496" t="s">
        <v>1471</v>
      </c>
      <c r="CO165" s="496" t="s">
        <v>1083</v>
      </c>
      <c r="CP165" s="496" t="s">
        <v>690</v>
      </c>
      <c r="CQ165" s="496" t="s">
        <v>1472</v>
      </c>
      <c r="CR165" s="496" t="s">
        <v>1472</v>
      </c>
      <c r="CS165" s="496" t="s">
        <v>1085</v>
      </c>
      <c r="CT165" s="496" t="s">
        <v>1441</v>
      </c>
      <c r="CU165" s="496" t="s">
        <v>1087</v>
      </c>
      <c r="CV165" s="497" t="s">
        <v>1088</v>
      </c>
      <c r="CX165" s="555"/>
    </row>
    <row r="166" spans="1:102" ht="21" customHeight="1">
      <c r="A166" s="539"/>
      <c r="B166" s="562" t="s">
        <v>5949</v>
      </c>
      <c r="C166" s="559" t="s">
        <v>5965</v>
      </c>
      <c r="D166" s="539"/>
      <c r="E166" s="539"/>
      <c r="F166" s="539"/>
      <c r="G166" s="539"/>
      <c r="H166" s="539"/>
      <c r="I166" s="539"/>
      <c r="J166" s="539"/>
      <c r="K166" s="539"/>
      <c r="L166" s="539"/>
      <c r="M166" s="539"/>
      <c r="N166" s="539"/>
      <c r="O166" s="539"/>
      <c r="P166" s="539"/>
      <c r="Q166" s="539"/>
      <c r="R166" s="539"/>
      <c r="S166" s="539"/>
      <c r="CM166" s="494"/>
      <c r="CN166" s="496" t="s">
        <v>1473</v>
      </c>
      <c r="CO166" s="496" t="s">
        <v>1083</v>
      </c>
      <c r="CP166" s="496" t="s">
        <v>690</v>
      </c>
      <c r="CQ166" s="496" t="s">
        <v>1474</v>
      </c>
      <c r="CR166" s="496" t="s">
        <v>1474</v>
      </c>
      <c r="CS166" s="496" t="s">
        <v>1085</v>
      </c>
      <c r="CT166" s="496" t="s">
        <v>1441</v>
      </c>
      <c r="CU166" s="496" t="s">
        <v>1087</v>
      </c>
      <c r="CV166" s="497" t="s">
        <v>1088</v>
      </c>
      <c r="CX166" s="555"/>
    </row>
    <row r="167" spans="1:102" ht="21" customHeight="1">
      <c r="A167" s="539"/>
      <c r="B167" s="560"/>
      <c r="C167" s="560"/>
      <c r="D167" s="539"/>
      <c r="E167" s="539"/>
      <c r="F167" s="539"/>
      <c r="G167" s="539"/>
      <c r="H167" s="539"/>
      <c r="I167" s="539"/>
      <c r="J167" s="539"/>
      <c r="K167" s="539"/>
      <c r="L167" s="539"/>
      <c r="M167" s="539"/>
      <c r="N167" s="539"/>
      <c r="O167" s="539"/>
      <c r="P167" s="539"/>
      <c r="Q167" s="539"/>
      <c r="R167" s="539"/>
      <c r="S167" s="539"/>
      <c r="CM167" s="494"/>
      <c r="CN167" s="496" t="s">
        <v>1475</v>
      </c>
      <c r="CO167" s="496" t="s">
        <v>1083</v>
      </c>
      <c r="CP167" s="496" t="s">
        <v>690</v>
      </c>
      <c r="CQ167" s="496" t="s">
        <v>1476</v>
      </c>
      <c r="CR167" s="496" t="s">
        <v>1476</v>
      </c>
      <c r="CS167" s="496" t="s">
        <v>1151</v>
      </c>
      <c r="CT167" s="496" t="s">
        <v>1446</v>
      </c>
      <c r="CU167" s="496" t="s">
        <v>1087</v>
      </c>
      <c r="CV167" s="497" t="s">
        <v>1153</v>
      </c>
      <c r="CX167" s="555"/>
    </row>
    <row r="168" spans="1:102" ht="21" customHeight="1">
      <c r="A168" s="539"/>
      <c r="B168" s="563"/>
      <c r="C168" s="563" t="s">
        <v>5966</v>
      </c>
      <c r="D168" s="539"/>
      <c r="E168" s="539"/>
      <c r="F168" s="539"/>
      <c r="G168" s="539"/>
      <c r="H168" s="539"/>
      <c r="I168" s="539"/>
      <c r="J168" s="539"/>
      <c r="K168" s="539"/>
      <c r="L168" s="539"/>
      <c r="M168" s="539"/>
      <c r="N168" s="539"/>
      <c r="O168" s="539"/>
      <c r="P168" s="539"/>
      <c r="Q168" s="539"/>
      <c r="R168" s="539"/>
      <c r="S168" s="539"/>
      <c r="CM168" s="494"/>
      <c r="CN168" s="496" t="s">
        <v>1477</v>
      </c>
      <c r="CO168" s="496" t="s">
        <v>1083</v>
      </c>
      <c r="CP168" s="496" t="s">
        <v>690</v>
      </c>
      <c r="CQ168" s="496" t="s">
        <v>1478</v>
      </c>
      <c r="CR168" s="496" t="s">
        <v>860</v>
      </c>
      <c r="CS168" s="496" t="s">
        <v>1151</v>
      </c>
      <c r="CT168" s="496" t="s">
        <v>1446</v>
      </c>
      <c r="CU168" s="496" t="s">
        <v>1087</v>
      </c>
      <c r="CV168" s="497" t="s">
        <v>1153</v>
      </c>
      <c r="CX168" s="555"/>
    </row>
    <row r="169" spans="1:102" ht="21" customHeight="1">
      <c r="A169" s="539"/>
      <c r="B169" s="564" t="s">
        <v>5923</v>
      </c>
      <c r="C169" s="559" t="s">
        <v>5967</v>
      </c>
      <c r="D169" s="539"/>
      <c r="E169" s="539"/>
      <c r="F169" s="539"/>
      <c r="G169" s="539"/>
      <c r="H169" s="539"/>
      <c r="I169" s="539"/>
      <c r="J169" s="539"/>
      <c r="K169" s="539"/>
      <c r="L169" s="539"/>
      <c r="M169" s="539"/>
      <c r="N169" s="539"/>
      <c r="O169" s="539"/>
      <c r="P169" s="539"/>
      <c r="Q169" s="539"/>
      <c r="R169" s="539"/>
      <c r="S169" s="539"/>
      <c r="CM169" s="494"/>
      <c r="CN169" s="496" t="s">
        <v>1479</v>
      </c>
      <c r="CO169" s="496" t="s">
        <v>1083</v>
      </c>
      <c r="CP169" s="496" t="s">
        <v>690</v>
      </c>
      <c r="CQ169" s="496" t="s">
        <v>857</v>
      </c>
      <c r="CR169" s="496" t="s">
        <v>861</v>
      </c>
      <c r="CS169" s="496" t="s">
        <v>1151</v>
      </c>
      <c r="CT169" s="496" t="s">
        <v>1446</v>
      </c>
      <c r="CU169" s="496" t="s">
        <v>1087</v>
      </c>
      <c r="CV169" s="497" t="s">
        <v>1153</v>
      </c>
      <c r="CX169" s="555"/>
    </row>
    <row r="170" spans="1:102" ht="21" customHeight="1">
      <c r="A170" s="539"/>
      <c r="B170" s="562" t="s">
        <v>5925</v>
      </c>
      <c r="C170" s="559" t="s">
        <v>5968</v>
      </c>
      <c r="D170" s="539"/>
      <c r="E170" s="539"/>
      <c r="F170" s="539"/>
      <c r="G170" s="539"/>
      <c r="H170" s="539"/>
      <c r="I170" s="539"/>
      <c r="J170" s="539"/>
      <c r="K170" s="539"/>
      <c r="L170" s="539"/>
      <c r="M170" s="539"/>
      <c r="N170" s="539"/>
      <c r="O170" s="539"/>
      <c r="P170" s="539"/>
      <c r="Q170" s="539"/>
      <c r="R170" s="539"/>
      <c r="S170" s="539"/>
      <c r="CM170" s="494"/>
      <c r="CN170" s="496" t="s">
        <v>1480</v>
      </c>
      <c r="CO170" s="496" t="s">
        <v>1083</v>
      </c>
      <c r="CP170" s="496" t="s">
        <v>690</v>
      </c>
      <c r="CQ170" s="496" t="s">
        <v>1481</v>
      </c>
      <c r="CR170" s="496" t="s">
        <v>863</v>
      </c>
      <c r="CS170" s="496" t="s">
        <v>1151</v>
      </c>
      <c r="CT170" s="496" t="s">
        <v>1446</v>
      </c>
      <c r="CU170" s="496" t="s">
        <v>1087</v>
      </c>
      <c r="CV170" s="497" t="s">
        <v>1153</v>
      </c>
      <c r="CX170" s="555"/>
    </row>
    <row r="171" spans="1:102" ht="21" customHeight="1">
      <c r="A171" s="539"/>
      <c r="B171" s="562" t="s">
        <v>5927</v>
      </c>
      <c r="C171" s="559" t="s">
        <v>5969</v>
      </c>
      <c r="D171" s="539"/>
      <c r="E171" s="539"/>
      <c r="F171" s="539"/>
      <c r="G171" s="539"/>
      <c r="H171" s="539"/>
      <c r="I171" s="539"/>
      <c r="J171" s="539"/>
      <c r="K171" s="539"/>
      <c r="L171" s="539"/>
      <c r="M171" s="539"/>
      <c r="N171" s="539"/>
      <c r="O171" s="539"/>
      <c r="P171" s="539"/>
      <c r="Q171" s="539"/>
      <c r="R171" s="539"/>
      <c r="S171" s="539"/>
      <c r="CM171" s="494"/>
      <c r="CN171" s="496" t="s">
        <v>1482</v>
      </c>
      <c r="CO171" s="496" t="s">
        <v>1083</v>
      </c>
      <c r="CP171" s="496" t="s">
        <v>690</v>
      </c>
      <c r="CQ171" s="496" t="s">
        <v>1483</v>
      </c>
      <c r="CR171" s="496" t="s">
        <v>1484</v>
      </c>
      <c r="CS171" s="496" t="s">
        <v>1151</v>
      </c>
      <c r="CT171" s="496" t="s">
        <v>1446</v>
      </c>
      <c r="CU171" s="496" t="s">
        <v>1087</v>
      </c>
      <c r="CV171" s="497" t="s">
        <v>1153</v>
      </c>
      <c r="CX171" s="555"/>
    </row>
    <row r="172" spans="1:102" ht="21" customHeight="1">
      <c r="A172" s="539"/>
      <c r="B172" s="562" t="s">
        <v>5929</v>
      </c>
      <c r="C172" s="559" t="s">
        <v>5970</v>
      </c>
      <c r="D172" s="539"/>
      <c r="E172" s="539"/>
      <c r="F172" s="539"/>
      <c r="G172" s="539"/>
      <c r="H172" s="539"/>
      <c r="I172" s="539"/>
      <c r="J172" s="539"/>
      <c r="K172" s="539"/>
      <c r="L172" s="539"/>
      <c r="M172" s="539"/>
      <c r="N172" s="539"/>
      <c r="O172" s="539"/>
      <c r="P172" s="539"/>
      <c r="Q172" s="539"/>
      <c r="R172" s="539"/>
      <c r="S172" s="539"/>
      <c r="CM172" s="494"/>
      <c r="CN172" s="496" t="s">
        <v>1485</v>
      </c>
      <c r="CO172" s="496" t="s">
        <v>1083</v>
      </c>
      <c r="CP172" s="496" t="s">
        <v>690</v>
      </c>
      <c r="CQ172" s="496" t="s">
        <v>1486</v>
      </c>
      <c r="CR172" s="496" t="s">
        <v>864</v>
      </c>
      <c r="CS172" s="496" t="s">
        <v>1151</v>
      </c>
      <c r="CT172" s="496" t="s">
        <v>1446</v>
      </c>
      <c r="CU172" s="496" t="s">
        <v>1087</v>
      </c>
      <c r="CV172" s="497" t="s">
        <v>1153</v>
      </c>
      <c r="CX172" s="555"/>
    </row>
    <row r="173" spans="1:102" ht="21" customHeight="1">
      <c r="A173" s="539"/>
      <c r="B173" s="562" t="s">
        <v>5931</v>
      </c>
      <c r="C173" s="559" t="s">
        <v>5971</v>
      </c>
      <c r="D173" s="539"/>
      <c r="E173" s="539"/>
      <c r="F173" s="539"/>
      <c r="G173" s="539"/>
      <c r="H173" s="539"/>
      <c r="I173" s="539"/>
      <c r="J173" s="539"/>
      <c r="K173" s="539"/>
      <c r="L173" s="539"/>
      <c r="M173" s="539"/>
      <c r="N173" s="539"/>
      <c r="O173" s="539"/>
      <c r="P173" s="539"/>
      <c r="Q173" s="539"/>
      <c r="R173" s="539"/>
      <c r="S173" s="539"/>
      <c r="CM173" s="494"/>
      <c r="CN173" s="496" t="s">
        <v>1487</v>
      </c>
      <c r="CO173" s="496" t="s">
        <v>1083</v>
      </c>
      <c r="CP173" s="496" t="s">
        <v>690</v>
      </c>
      <c r="CQ173" s="496" t="s">
        <v>1488</v>
      </c>
      <c r="CR173" s="496" t="s">
        <v>867</v>
      </c>
      <c r="CS173" s="496" t="s">
        <v>1151</v>
      </c>
      <c r="CT173" s="496" t="s">
        <v>1446</v>
      </c>
      <c r="CU173" s="496" t="s">
        <v>1087</v>
      </c>
      <c r="CV173" s="497" t="s">
        <v>1153</v>
      </c>
      <c r="CX173" s="555"/>
    </row>
    <row r="174" spans="1:102" ht="21" customHeight="1">
      <c r="A174" s="539"/>
      <c r="B174" s="562" t="s">
        <v>5933</v>
      </c>
      <c r="C174" s="559" t="s">
        <v>5972</v>
      </c>
      <c r="D174" s="539"/>
      <c r="E174" s="539"/>
      <c r="F174" s="539"/>
      <c r="G174" s="539"/>
      <c r="H174" s="539"/>
      <c r="I174" s="539"/>
      <c r="J174" s="539"/>
      <c r="K174" s="539"/>
      <c r="L174" s="539"/>
      <c r="M174" s="539"/>
      <c r="N174" s="539"/>
      <c r="O174" s="539"/>
      <c r="P174" s="539"/>
      <c r="Q174" s="539"/>
      <c r="R174" s="539"/>
      <c r="S174" s="539"/>
      <c r="CM174" s="494"/>
      <c r="CN174" s="496" t="s">
        <v>1489</v>
      </c>
      <c r="CO174" s="496" t="s">
        <v>1083</v>
      </c>
      <c r="CP174" s="496" t="s">
        <v>690</v>
      </c>
      <c r="CQ174" s="496" t="s">
        <v>1490</v>
      </c>
      <c r="CR174" s="496" t="s">
        <v>869</v>
      </c>
      <c r="CS174" s="496" t="s">
        <v>1151</v>
      </c>
      <c r="CT174" s="496" t="s">
        <v>1446</v>
      </c>
      <c r="CU174" s="496" t="s">
        <v>1087</v>
      </c>
      <c r="CV174" s="497" t="s">
        <v>1153</v>
      </c>
      <c r="CX174" s="555"/>
    </row>
    <row r="175" spans="1:102" ht="21" customHeight="1">
      <c r="A175" s="539"/>
      <c r="B175" s="562" t="s">
        <v>5935</v>
      </c>
      <c r="C175" s="559" t="s">
        <v>5973</v>
      </c>
      <c r="D175" s="539"/>
      <c r="E175" s="539"/>
      <c r="F175" s="539"/>
      <c r="G175" s="539"/>
      <c r="H175" s="539"/>
      <c r="I175" s="539"/>
      <c r="J175" s="539"/>
      <c r="K175" s="539"/>
      <c r="L175" s="539"/>
      <c r="M175" s="539"/>
      <c r="N175" s="539"/>
      <c r="O175" s="539"/>
      <c r="P175" s="539"/>
      <c r="Q175" s="539"/>
      <c r="R175" s="539"/>
      <c r="S175" s="539"/>
      <c r="CM175" s="494"/>
      <c r="CN175" s="496" t="s">
        <v>1491</v>
      </c>
      <c r="CO175" s="496" t="s">
        <v>1083</v>
      </c>
      <c r="CP175" s="496" t="s">
        <v>690</v>
      </c>
      <c r="CQ175" s="496" t="s">
        <v>1492</v>
      </c>
      <c r="CR175" s="496" t="s">
        <v>1492</v>
      </c>
      <c r="CS175" s="496" t="s">
        <v>1085</v>
      </c>
      <c r="CT175" s="496" t="s">
        <v>1441</v>
      </c>
      <c r="CU175" s="496" t="s">
        <v>1087</v>
      </c>
      <c r="CV175" s="497" t="s">
        <v>1088</v>
      </c>
      <c r="CX175" s="555"/>
    </row>
    <row r="176" spans="1:102" ht="21" customHeight="1">
      <c r="A176" s="539"/>
      <c r="B176" s="562" t="s">
        <v>5937</v>
      </c>
      <c r="C176" s="559" t="s">
        <v>5974</v>
      </c>
      <c r="D176" s="539"/>
      <c r="E176" s="539"/>
      <c r="F176" s="539"/>
      <c r="G176" s="539"/>
      <c r="H176" s="539"/>
      <c r="I176" s="539"/>
      <c r="J176" s="539"/>
      <c r="K176" s="539"/>
      <c r="L176" s="539"/>
      <c r="M176" s="539"/>
      <c r="N176" s="539"/>
      <c r="O176" s="539"/>
      <c r="P176" s="539"/>
      <c r="Q176" s="539"/>
      <c r="R176" s="539"/>
      <c r="S176" s="539"/>
      <c r="CM176" s="494"/>
      <c r="CN176" s="496" t="s">
        <v>1493</v>
      </c>
      <c r="CO176" s="496" t="s">
        <v>1083</v>
      </c>
      <c r="CP176" s="496" t="s">
        <v>690</v>
      </c>
      <c r="CQ176" s="496" t="s">
        <v>1494</v>
      </c>
      <c r="CR176" s="496" t="s">
        <v>1494</v>
      </c>
      <c r="CS176" s="496" t="s">
        <v>1151</v>
      </c>
      <c r="CT176" s="496" t="s">
        <v>1446</v>
      </c>
      <c r="CU176" s="496" t="s">
        <v>1087</v>
      </c>
      <c r="CV176" s="497" t="s">
        <v>1153</v>
      </c>
      <c r="CX176" s="555"/>
    </row>
    <row r="177" spans="1:102" ht="21" customHeight="1">
      <c r="A177" s="539"/>
      <c r="B177" s="562" t="s">
        <v>5939</v>
      </c>
      <c r="C177" s="559" t="s">
        <v>5975</v>
      </c>
      <c r="D177" s="539"/>
      <c r="E177" s="539"/>
      <c r="F177" s="539"/>
      <c r="G177" s="539"/>
      <c r="H177" s="539"/>
      <c r="I177" s="539"/>
      <c r="J177" s="539"/>
      <c r="K177" s="539"/>
      <c r="L177" s="539"/>
      <c r="M177" s="539"/>
      <c r="N177" s="539"/>
      <c r="O177" s="539"/>
      <c r="P177" s="539"/>
      <c r="Q177" s="539"/>
      <c r="R177" s="539"/>
      <c r="S177" s="539"/>
      <c r="CM177" s="494"/>
      <c r="CN177" s="496" t="s">
        <v>1495</v>
      </c>
      <c r="CO177" s="496" t="s">
        <v>1083</v>
      </c>
      <c r="CP177" s="496" t="s">
        <v>690</v>
      </c>
      <c r="CQ177" s="496" t="s">
        <v>1496</v>
      </c>
      <c r="CR177" s="496" t="s">
        <v>1496</v>
      </c>
      <c r="CS177" s="496" t="s">
        <v>1151</v>
      </c>
      <c r="CT177" s="496" t="s">
        <v>1446</v>
      </c>
      <c r="CU177" s="496" t="s">
        <v>1087</v>
      </c>
      <c r="CV177" s="497" t="s">
        <v>1153</v>
      </c>
      <c r="CX177" s="555"/>
    </row>
    <row r="178" spans="1:102" ht="21" customHeight="1">
      <c r="A178" s="539"/>
      <c r="B178" s="562" t="s">
        <v>5941</v>
      </c>
      <c r="C178" s="559" t="s">
        <v>5976</v>
      </c>
      <c r="D178" s="539"/>
      <c r="E178" s="539"/>
      <c r="F178" s="539"/>
      <c r="G178" s="539"/>
      <c r="H178" s="539"/>
      <c r="I178" s="539"/>
      <c r="J178" s="539"/>
      <c r="K178" s="539"/>
      <c r="L178" s="539"/>
      <c r="M178" s="539"/>
      <c r="N178" s="539"/>
      <c r="O178" s="539"/>
      <c r="P178" s="539"/>
      <c r="Q178" s="539"/>
      <c r="R178" s="539"/>
      <c r="S178" s="539"/>
      <c r="CM178" s="494"/>
      <c r="CN178" s="496" t="s">
        <v>1497</v>
      </c>
      <c r="CO178" s="496" t="s">
        <v>1083</v>
      </c>
      <c r="CP178" s="496" t="s">
        <v>690</v>
      </c>
      <c r="CQ178" s="496" t="s">
        <v>1498</v>
      </c>
      <c r="CR178" s="496" t="s">
        <v>1499</v>
      </c>
      <c r="CS178" s="496" t="s">
        <v>1085</v>
      </c>
      <c r="CT178" s="496" t="s">
        <v>1441</v>
      </c>
      <c r="CU178" s="496" t="s">
        <v>1087</v>
      </c>
      <c r="CV178" s="497" t="s">
        <v>1088</v>
      </c>
      <c r="CX178" s="555"/>
    </row>
    <row r="179" spans="1:102" ht="21" customHeight="1">
      <c r="A179" s="539"/>
      <c r="B179" s="562" t="s">
        <v>5943</v>
      </c>
      <c r="C179" s="559" t="s">
        <v>5977</v>
      </c>
      <c r="D179" s="539"/>
      <c r="E179" s="539"/>
      <c r="F179" s="539"/>
      <c r="G179" s="539"/>
      <c r="H179" s="539"/>
      <c r="I179" s="539"/>
      <c r="J179" s="539"/>
      <c r="K179" s="539"/>
      <c r="L179" s="539"/>
      <c r="M179" s="539"/>
      <c r="N179" s="539"/>
      <c r="O179" s="539"/>
      <c r="P179" s="539"/>
      <c r="Q179" s="539"/>
      <c r="R179" s="539"/>
      <c r="S179" s="539"/>
      <c r="CM179" s="494"/>
      <c r="CN179" s="496" t="s">
        <v>1500</v>
      </c>
      <c r="CO179" s="496" t="s">
        <v>1083</v>
      </c>
      <c r="CP179" s="496" t="s">
        <v>690</v>
      </c>
      <c r="CQ179" s="496" t="s">
        <v>1501</v>
      </c>
      <c r="CR179" s="496" t="s">
        <v>1501</v>
      </c>
      <c r="CS179" s="496" t="s">
        <v>1085</v>
      </c>
      <c r="CT179" s="496" t="s">
        <v>1441</v>
      </c>
      <c r="CU179" s="496" t="s">
        <v>1087</v>
      </c>
      <c r="CV179" s="497" t="s">
        <v>1088</v>
      </c>
      <c r="CX179" s="555"/>
    </row>
    <row r="180" spans="1:102" ht="21" customHeight="1">
      <c r="A180" s="539"/>
      <c r="B180" s="562" t="s">
        <v>5945</v>
      </c>
      <c r="C180" s="559" t="s">
        <v>5978</v>
      </c>
      <c r="D180" s="539"/>
      <c r="E180" s="539"/>
      <c r="F180" s="539"/>
      <c r="G180" s="539"/>
      <c r="H180" s="539"/>
      <c r="I180" s="539"/>
      <c r="J180" s="539"/>
      <c r="K180" s="539"/>
      <c r="L180" s="539"/>
      <c r="M180" s="539"/>
      <c r="N180" s="539"/>
      <c r="O180" s="539"/>
      <c r="P180" s="539"/>
      <c r="Q180" s="539"/>
      <c r="R180" s="539"/>
      <c r="S180" s="539"/>
      <c r="CM180" s="494"/>
      <c r="CN180" s="496" t="s">
        <v>1502</v>
      </c>
      <c r="CO180" s="496" t="s">
        <v>1083</v>
      </c>
      <c r="CP180" s="496" t="s">
        <v>690</v>
      </c>
      <c r="CQ180" s="496" t="s">
        <v>1503</v>
      </c>
      <c r="CR180" s="496" t="s">
        <v>1503</v>
      </c>
      <c r="CS180" s="496" t="s">
        <v>1085</v>
      </c>
      <c r="CT180" s="496" t="s">
        <v>1441</v>
      </c>
      <c r="CU180" s="496" t="s">
        <v>1087</v>
      </c>
      <c r="CV180" s="497" t="s">
        <v>1088</v>
      </c>
      <c r="CX180" s="555"/>
    </row>
    <row r="181" spans="1:102" ht="21" customHeight="1">
      <c r="A181" s="539"/>
      <c r="B181" s="562" t="s">
        <v>5947</v>
      </c>
      <c r="C181" s="559" t="s">
        <v>5979</v>
      </c>
      <c r="D181" s="539"/>
      <c r="E181" s="539"/>
      <c r="F181" s="539"/>
      <c r="G181" s="539"/>
      <c r="H181" s="539"/>
      <c r="I181" s="539"/>
      <c r="J181" s="539"/>
      <c r="K181" s="539"/>
      <c r="L181" s="539"/>
      <c r="M181" s="539"/>
      <c r="N181" s="539"/>
      <c r="O181" s="539"/>
      <c r="P181" s="539"/>
      <c r="Q181" s="539"/>
      <c r="R181" s="539"/>
      <c r="S181" s="539"/>
      <c r="CM181" s="494"/>
      <c r="CN181" s="496" t="s">
        <v>1504</v>
      </c>
      <c r="CO181" s="496" t="s">
        <v>1083</v>
      </c>
      <c r="CP181" s="496" t="s">
        <v>690</v>
      </c>
      <c r="CQ181" s="496" t="s">
        <v>1505</v>
      </c>
      <c r="CR181" s="496" t="s">
        <v>1505</v>
      </c>
      <c r="CS181" s="496" t="s">
        <v>1085</v>
      </c>
      <c r="CT181" s="496" t="s">
        <v>1441</v>
      </c>
      <c r="CU181" s="496" t="s">
        <v>1087</v>
      </c>
      <c r="CV181" s="497" t="s">
        <v>1088</v>
      </c>
      <c r="CX181" s="555"/>
    </row>
    <row r="182" spans="1:102" ht="21" customHeight="1">
      <c r="A182" s="539"/>
      <c r="B182" s="562" t="s">
        <v>5949</v>
      </c>
      <c r="C182" s="559" t="s">
        <v>5980</v>
      </c>
      <c r="D182" s="539"/>
      <c r="E182" s="539"/>
      <c r="F182" s="539"/>
      <c r="G182" s="539"/>
      <c r="H182" s="539"/>
      <c r="I182" s="539"/>
      <c r="J182" s="539"/>
      <c r="K182" s="539"/>
      <c r="L182" s="539"/>
      <c r="M182" s="539"/>
      <c r="N182" s="539"/>
      <c r="O182" s="539"/>
      <c r="P182" s="539"/>
      <c r="Q182" s="539"/>
      <c r="R182" s="539"/>
      <c r="S182" s="539"/>
      <c r="CM182" s="494"/>
      <c r="CN182" s="496" t="s">
        <v>1506</v>
      </c>
      <c r="CO182" s="496" t="s">
        <v>1083</v>
      </c>
      <c r="CP182" s="496" t="s">
        <v>690</v>
      </c>
      <c r="CQ182" s="496" t="s">
        <v>1507</v>
      </c>
      <c r="CR182" s="496" t="s">
        <v>1507</v>
      </c>
      <c r="CS182" s="496" t="s">
        <v>1085</v>
      </c>
      <c r="CT182" s="496" t="s">
        <v>1441</v>
      </c>
      <c r="CU182" s="496" t="s">
        <v>1087</v>
      </c>
      <c r="CV182" s="497" t="s">
        <v>1088</v>
      </c>
      <c r="CX182" s="555"/>
    </row>
    <row r="183" spans="1:102" ht="21" customHeight="1">
      <c r="A183" s="539"/>
      <c r="B183" s="562"/>
      <c r="C183" s="559"/>
      <c r="D183" s="539"/>
      <c r="E183" s="539"/>
      <c r="F183" s="539"/>
      <c r="G183" s="539"/>
      <c r="H183" s="539"/>
      <c r="I183" s="539"/>
      <c r="J183" s="539"/>
      <c r="K183" s="539"/>
      <c r="L183" s="539"/>
      <c r="M183" s="539"/>
      <c r="N183" s="539"/>
      <c r="O183" s="539"/>
      <c r="P183" s="539"/>
      <c r="Q183" s="539"/>
      <c r="R183" s="539"/>
      <c r="S183" s="539"/>
      <c r="CM183" s="494"/>
      <c r="CN183" s="496" t="s">
        <v>1508</v>
      </c>
      <c r="CO183" s="496" t="s">
        <v>1083</v>
      </c>
      <c r="CP183" s="496" t="s">
        <v>690</v>
      </c>
      <c r="CQ183" s="496" t="s">
        <v>1509</v>
      </c>
      <c r="CR183" s="496" t="s">
        <v>1509</v>
      </c>
      <c r="CS183" s="496" t="s">
        <v>1085</v>
      </c>
      <c r="CT183" s="496" t="s">
        <v>1441</v>
      </c>
      <c r="CU183" s="496" t="s">
        <v>1087</v>
      </c>
      <c r="CV183" s="497" t="s">
        <v>1088</v>
      </c>
      <c r="CX183" s="555"/>
    </row>
    <row r="184" spans="1:102" ht="21" customHeight="1">
      <c r="A184" s="539"/>
      <c r="B184" s="565" t="s">
        <v>5981</v>
      </c>
      <c r="C184" s="565"/>
      <c r="D184" s="539"/>
      <c r="E184" s="539"/>
      <c r="F184" s="539"/>
      <c r="G184" s="539"/>
      <c r="H184" s="539"/>
      <c r="I184" s="539"/>
      <c r="J184" s="539"/>
      <c r="K184" s="539"/>
      <c r="L184" s="539"/>
      <c r="M184" s="539"/>
      <c r="N184" s="539"/>
      <c r="O184" s="539"/>
      <c r="P184" s="539"/>
      <c r="Q184" s="539"/>
      <c r="R184" s="539"/>
      <c r="S184" s="539"/>
      <c r="CM184" s="494"/>
      <c r="CN184" s="496" t="s">
        <v>1510</v>
      </c>
      <c r="CO184" s="496" t="s">
        <v>1083</v>
      </c>
      <c r="CP184" s="496" t="s">
        <v>1511</v>
      </c>
      <c r="CQ184" s="496" t="s">
        <v>1512</v>
      </c>
      <c r="CR184" s="496" t="s">
        <v>1512</v>
      </c>
      <c r="CS184" s="496" t="s">
        <v>1085</v>
      </c>
      <c r="CT184" s="496" t="s">
        <v>1513</v>
      </c>
      <c r="CU184" s="496" t="s">
        <v>1087</v>
      </c>
      <c r="CV184" s="497" t="s">
        <v>1088</v>
      </c>
      <c r="CX184" s="555"/>
    </row>
    <row r="185" spans="1:102" ht="21" customHeight="1">
      <c r="A185" s="539"/>
      <c r="B185" s="566" t="s">
        <v>5982</v>
      </c>
      <c r="C185" s="559" t="s">
        <v>5983</v>
      </c>
      <c r="D185" s="539"/>
      <c r="E185" s="539"/>
      <c r="F185" s="539"/>
      <c r="G185" s="539"/>
      <c r="H185" s="539"/>
      <c r="I185" s="539"/>
      <c r="J185" s="539"/>
      <c r="K185" s="539"/>
      <c r="L185" s="539"/>
      <c r="M185" s="539"/>
      <c r="N185" s="539"/>
      <c r="O185" s="539"/>
      <c r="P185" s="539"/>
      <c r="Q185" s="539"/>
      <c r="R185" s="539"/>
      <c r="S185" s="539"/>
      <c r="CM185" s="494"/>
      <c r="CN185" s="496" t="s">
        <v>1514</v>
      </c>
      <c r="CO185" s="496" t="s">
        <v>1083</v>
      </c>
      <c r="CP185" s="496" t="s">
        <v>1511</v>
      </c>
      <c r="CQ185" s="496" t="s">
        <v>1515</v>
      </c>
      <c r="CR185" s="496" t="s">
        <v>1515</v>
      </c>
      <c r="CS185" s="496" t="s">
        <v>1085</v>
      </c>
      <c r="CT185" s="496" t="s">
        <v>1513</v>
      </c>
      <c r="CU185" s="496" t="s">
        <v>1087</v>
      </c>
      <c r="CV185" s="497" t="s">
        <v>1088</v>
      </c>
      <c r="CX185" s="555"/>
    </row>
    <row r="186" spans="1:102" ht="21" customHeight="1">
      <c r="A186" s="539"/>
      <c r="B186" s="567"/>
      <c r="C186" s="559" t="s">
        <v>5984</v>
      </c>
      <c r="D186" s="539"/>
      <c r="E186" s="539"/>
      <c r="F186" s="539"/>
      <c r="G186" s="539"/>
      <c r="H186" s="539"/>
      <c r="I186" s="539"/>
      <c r="J186" s="539"/>
      <c r="K186" s="539"/>
      <c r="L186" s="539"/>
      <c r="M186" s="539"/>
      <c r="N186" s="539"/>
      <c r="O186" s="539"/>
      <c r="P186" s="539"/>
      <c r="Q186" s="539"/>
      <c r="R186" s="539"/>
      <c r="S186" s="539"/>
      <c r="CM186" s="494"/>
      <c r="CN186" s="496" t="s">
        <v>1516</v>
      </c>
      <c r="CO186" s="496" t="s">
        <v>1083</v>
      </c>
      <c r="CP186" s="496" t="s">
        <v>1511</v>
      </c>
      <c r="CQ186" s="496" t="s">
        <v>1517</v>
      </c>
      <c r="CR186" s="496" t="s">
        <v>1517</v>
      </c>
      <c r="CS186" s="496" t="s">
        <v>1151</v>
      </c>
      <c r="CT186" s="496" t="s">
        <v>1518</v>
      </c>
      <c r="CU186" s="496" t="s">
        <v>1087</v>
      </c>
      <c r="CV186" s="497" t="s">
        <v>1153</v>
      </c>
      <c r="CX186" s="555"/>
    </row>
    <row r="187" spans="1:102" ht="21" customHeight="1">
      <c r="A187" s="539"/>
      <c r="B187" s="566" t="s">
        <v>5985</v>
      </c>
      <c r="C187" s="559" t="s">
        <v>5986</v>
      </c>
      <c r="D187" s="539"/>
      <c r="E187" s="539"/>
      <c r="F187" s="539"/>
      <c r="G187" s="539"/>
      <c r="H187" s="539"/>
      <c r="I187" s="539"/>
      <c r="J187" s="539"/>
      <c r="K187" s="539"/>
      <c r="L187" s="539"/>
      <c r="M187" s="539"/>
      <c r="N187" s="539"/>
      <c r="O187" s="539"/>
      <c r="P187" s="539"/>
      <c r="Q187" s="539"/>
      <c r="R187" s="539"/>
      <c r="S187" s="539"/>
      <c r="CM187" s="494"/>
      <c r="CN187" s="496" t="s">
        <v>1519</v>
      </c>
      <c r="CO187" s="496" t="s">
        <v>1083</v>
      </c>
      <c r="CP187" s="496" t="s">
        <v>1511</v>
      </c>
      <c r="CQ187" s="496" t="s">
        <v>1520</v>
      </c>
      <c r="CR187" s="496" t="s">
        <v>1520</v>
      </c>
      <c r="CS187" s="496" t="s">
        <v>1151</v>
      </c>
      <c r="CT187" s="496" t="s">
        <v>1518</v>
      </c>
      <c r="CU187" s="496" t="s">
        <v>1087</v>
      </c>
      <c r="CV187" s="497" t="s">
        <v>1153</v>
      </c>
      <c r="CX187" s="555"/>
    </row>
    <row r="188" spans="1:102" ht="21" customHeight="1">
      <c r="A188" s="539"/>
      <c r="B188" s="559"/>
      <c r="C188" s="559" t="s">
        <v>5987</v>
      </c>
      <c r="D188" s="539"/>
      <c r="E188" s="539"/>
      <c r="F188" s="539"/>
      <c r="G188" s="539"/>
      <c r="H188" s="539"/>
      <c r="I188" s="539"/>
      <c r="J188" s="539"/>
      <c r="K188" s="539"/>
      <c r="L188" s="539"/>
      <c r="M188" s="539"/>
      <c r="N188" s="539"/>
      <c r="O188" s="539"/>
      <c r="P188" s="539"/>
      <c r="Q188" s="539"/>
      <c r="R188" s="539"/>
      <c r="S188" s="539"/>
      <c r="CM188" s="494"/>
      <c r="CN188" s="496" t="s">
        <v>1521</v>
      </c>
      <c r="CO188" s="496" t="s">
        <v>1083</v>
      </c>
      <c r="CP188" s="496" t="s">
        <v>1511</v>
      </c>
      <c r="CQ188" s="496" t="s">
        <v>1522</v>
      </c>
      <c r="CR188" s="496" t="s">
        <v>1522</v>
      </c>
      <c r="CS188" s="496" t="s">
        <v>1085</v>
      </c>
      <c r="CT188" s="496" t="s">
        <v>1513</v>
      </c>
      <c r="CU188" s="496" t="s">
        <v>1087</v>
      </c>
      <c r="CV188" s="497" t="s">
        <v>1088</v>
      </c>
      <c r="CX188" s="555"/>
    </row>
    <row r="189" spans="1:102" ht="21" customHeight="1">
      <c r="A189" s="539"/>
      <c r="B189" s="559"/>
      <c r="C189" s="559"/>
      <c r="D189" s="539"/>
      <c r="E189" s="539"/>
      <c r="F189" s="539"/>
      <c r="G189" s="539"/>
      <c r="H189" s="539"/>
      <c r="I189" s="539"/>
      <c r="J189" s="539"/>
      <c r="K189" s="539"/>
      <c r="L189" s="539"/>
      <c r="M189" s="539"/>
      <c r="N189" s="539"/>
      <c r="O189" s="539"/>
      <c r="P189" s="539"/>
      <c r="Q189" s="539"/>
      <c r="R189" s="539"/>
      <c r="S189" s="539"/>
      <c r="CM189" s="494"/>
      <c r="CN189" s="496" t="s">
        <v>1523</v>
      </c>
      <c r="CO189" s="496" t="s">
        <v>1083</v>
      </c>
      <c r="CP189" s="496" t="s">
        <v>1511</v>
      </c>
      <c r="CQ189" s="496" t="s">
        <v>894</v>
      </c>
      <c r="CR189" s="496" t="s">
        <v>894</v>
      </c>
      <c r="CS189" s="496" t="s">
        <v>1085</v>
      </c>
      <c r="CT189" s="496" t="s">
        <v>1513</v>
      </c>
      <c r="CU189" s="496" t="s">
        <v>1087</v>
      </c>
      <c r="CV189" s="497" t="s">
        <v>1088</v>
      </c>
      <c r="CX189" s="555"/>
    </row>
    <row r="190" spans="1:102" ht="21" customHeight="1">
      <c r="A190" s="539"/>
      <c r="B190" s="565" t="s">
        <v>5988</v>
      </c>
      <c r="C190" s="565"/>
      <c r="D190" s="539"/>
      <c r="E190" s="539"/>
      <c r="F190" s="539"/>
      <c r="G190" s="539"/>
      <c r="H190" s="539"/>
      <c r="I190" s="539"/>
      <c r="J190" s="539"/>
      <c r="K190" s="539"/>
      <c r="L190" s="539"/>
      <c r="M190" s="539"/>
      <c r="N190" s="539"/>
      <c r="O190" s="539"/>
      <c r="P190" s="539"/>
      <c r="Q190" s="539"/>
      <c r="R190" s="539"/>
      <c r="S190" s="539"/>
      <c r="CM190" s="494"/>
      <c r="CN190" s="496" t="s">
        <v>1524</v>
      </c>
      <c r="CO190" s="496" t="s">
        <v>1083</v>
      </c>
      <c r="CP190" s="496" t="s">
        <v>1511</v>
      </c>
      <c r="CQ190" s="496" t="s">
        <v>1525</v>
      </c>
      <c r="CR190" s="496" t="s">
        <v>1525</v>
      </c>
      <c r="CS190" s="496" t="s">
        <v>1085</v>
      </c>
      <c r="CT190" s="496" t="s">
        <v>1513</v>
      </c>
      <c r="CU190" s="496" t="s">
        <v>1087</v>
      </c>
      <c r="CV190" s="497" t="s">
        <v>1088</v>
      </c>
      <c r="CX190" s="555"/>
    </row>
    <row r="191" spans="1:102" ht="21" customHeight="1">
      <c r="A191" s="539"/>
      <c r="B191" s="562" t="s">
        <v>5989</v>
      </c>
      <c r="C191" s="559" t="s">
        <v>5990</v>
      </c>
      <c r="D191" s="539"/>
      <c r="E191" s="539"/>
      <c r="F191" s="539"/>
      <c r="G191" s="539"/>
      <c r="H191" s="539"/>
      <c r="I191" s="539"/>
      <c r="J191" s="539"/>
      <c r="K191" s="539"/>
      <c r="L191" s="539"/>
      <c r="M191" s="539"/>
      <c r="N191" s="539"/>
      <c r="O191" s="539"/>
      <c r="P191" s="539"/>
      <c r="Q191" s="539"/>
      <c r="R191" s="539"/>
      <c r="S191" s="539"/>
      <c r="CM191" s="494"/>
      <c r="CN191" s="496" t="s">
        <v>1526</v>
      </c>
      <c r="CO191" s="496" t="s">
        <v>1083</v>
      </c>
      <c r="CP191" s="496" t="s">
        <v>1511</v>
      </c>
      <c r="CQ191" s="496" t="s">
        <v>1527</v>
      </c>
      <c r="CR191" s="496" t="s">
        <v>1527</v>
      </c>
      <c r="CS191" s="496" t="s">
        <v>1085</v>
      </c>
      <c r="CT191" s="496" t="s">
        <v>1513</v>
      </c>
      <c r="CU191" s="496" t="s">
        <v>1087</v>
      </c>
      <c r="CV191" s="497" t="s">
        <v>1088</v>
      </c>
      <c r="CX191" s="555"/>
    </row>
    <row r="192" spans="1:102" ht="21" customHeight="1">
      <c r="A192" s="539"/>
      <c r="B192" s="562" t="s">
        <v>5991</v>
      </c>
      <c r="C192" s="559" t="s">
        <v>5992</v>
      </c>
      <c r="D192" s="539"/>
      <c r="E192" s="539"/>
      <c r="F192" s="539"/>
      <c r="G192" s="539"/>
      <c r="H192" s="539"/>
      <c r="I192" s="539"/>
      <c r="J192" s="539"/>
      <c r="K192" s="539"/>
      <c r="L192" s="539"/>
      <c r="M192" s="539"/>
      <c r="N192" s="539"/>
      <c r="O192" s="539"/>
      <c r="P192" s="539"/>
      <c r="Q192" s="539"/>
      <c r="R192" s="539"/>
      <c r="S192" s="539"/>
      <c r="CM192" s="494"/>
      <c r="CN192" s="496" t="s">
        <v>1528</v>
      </c>
      <c r="CO192" s="496" t="s">
        <v>1083</v>
      </c>
      <c r="CP192" s="496" t="s">
        <v>1511</v>
      </c>
      <c r="CQ192" s="496" t="s">
        <v>1529</v>
      </c>
      <c r="CR192" s="496" t="s">
        <v>1529</v>
      </c>
      <c r="CS192" s="496" t="s">
        <v>1085</v>
      </c>
      <c r="CT192" s="496" t="s">
        <v>1513</v>
      </c>
      <c r="CU192" s="496" t="s">
        <v>1087</v>
      </c>
      <c r="CV192" s="497" t="s">
        <v>1088</v>
      </c>
      <c r="CX192" s="555"/>
    </row>
    <row r="193" spans="1:102" ht="21" customHeight="1">
      <c r="A193" s="539"/>
      <c r="B193" s="562" t="s">
        <v>5993</v>
      </c>
      <c r="C193" s="559" t="s">
        <v>5994</v>
      </c>
      <c r="D193" s="539"/>
      <c r="E193" s="539"/>
      <c r="F193" s="539"/>
      <c r="G193" s="539"/>
      <c r="H193" s="539"/>
      <c r="I193" s="539"/>
      <c r="J193" s="539"/>
      <c r="K193" s="539"/>
      <c r="L193" s="539"/>
      <c r="M193" s="539"/>
      <c r="N193" s="539"/>
      <c r="O193" s="539"/>
      <c r="P193" s="539"/>
      <c r="Q193" s="539"/>
      <c r="R193" s="539"/>
      <c r="S193" s="539"/>
      <c r="CM193" s="494"/>
      <c r="CN193" s="496" t="s">
        <v>1530</v>
      </c>
      <c r="CO193" s="496" t="s">
        <v>1083</v>
      </c>
      <c r="CP193" s="496" t="s">
        <v>1511</v>
      </c>
      <c r="CQ193" s="496" t="s">
        <v>1531</v>
      </c>
      <c r="CR193" s="496" t="s">
        <v>1531</v>
      </c>
      <c r="CS193" s="496" t="s">
        <v>1085</v>
      </c>
      <c r="CT193" s="496" t="s">
        <v>1513</v>
      </c>
      <c r="CU193" s="496" t="s">
        <v>1087</v>
      </c>
      <c r="CV193" s="497" t="s">
        <v>1088</v>
      </c>
      <c r="CX193" s="555"/>
    </row>
    <row r="194" spans="1:102" ht="21" customHeight="1">
      <c r="A194" s="539"/>
      <c r="B194" s="562" t="s">
        <v>5995</v>
      </c>
      <c r="C194" s="559" t="s">
        <v>5996</v>
      </c>
      <c r="D194" s="539"/>
      <c r="E194" s="539"/>
      <c r="F194" s="539"/>
      <c r="G194" s="539"/>
      <c r="H194" s="539"/>
      <c r="I194" s="539"/>
      <c r="J194" s="539"/>
      <c r="K194" s="539"/>
      <c r="L194" s="539"/>
      <c r="M194" s="539"/>
      <c r="N194" s="539"/>
      <c r="O194" s="539"/>
      <c r="P194" s="539"/>
      <c r="Q194" s="539"/>
      <c r="R194" s="539"/>
      <c r="S194" s="539"/>
      <c r="CM194" s="494"/>
      <c r="CN194" s="496" t="s">
        <v>1532</v>
      </c>
      <c r="CO194" s="496" t="s">
        <v>1083</v>
      </c>
      <c r="CP194" s="496" t="s">
        <v>1511</v>
      </c>
      <c r="CQ194" s="496" t="s">
        <v>919</v>
      </c>
      <c r="CR194" s="496" t="s">
        <v>919</v>
      </c>
      <c r="CS194" s="496" t="s">
        <v>1085</v>
      </c>
      <c r="CT194" s="496" t="s">
        <v>1513</v>
      </c>
      <c r="CU194" s="496" t="s">
        <v>1087</v>
      </c>
      <c r="CV194" s="497" t="s">
        <v>1088</v>
      </c>
      <c r="CX194" s="555"/>
    </row>
    <row r="195" spans="1:102" ht="21" customHeight="1">
      <c r="A195" s="539"/>
      <c r="B195" s="562"/>
      <c r="C195" s="559" t="s">
        <v>5997</v>
      </c>
      <c r="D195" s="539"/>
      <c r="E195" s="539"/>
      <c r="F195" s="539"/>
      <c r="G195" s="539"/>
      <c r="H195" s="539"/>
      <c r="I195" s="539"/>
      <c r="J195" s="539"/>
      <c r="K195" s="539"/>
      <c r="L195" s="539"/>
      <c r="M195" s="539"/>
      <c r="N195" s="539"/>
      <c r="O195" s="539"/>
      <c r="P195" s="539"/>
      <c r="Q195" s="539"/>
      <c r="R195" s="539"/>
      <c r="S195" s="539"/>
      <c r="CM195" s="494"/>
      <c r="CN195" s="496" t="s">
        <v>1533</v>
      </c>
      <c r="CO195" s="496" t="s">
        <v>1083</v>
      </c>
      <c r="CP195" s="496" t="s">
        <v>1511</v>
      </c>
      <c r="CQ195" s="496" t="s">
        <v>1534</v>
      </c>
      <c r="CR195" s="496" t="s">
        <v>1535</v>
      </c>
      <c r="CS195" s="496" t="s">
        <v>1151</v>
      </c>
      <c r="CT195" s="496" t="s">
        <v>1518</v>
      </c>
      <c r="CU195" s="496" t="s">
        <v>1087</v>
      </c>
      <c r="CV195" s="497" t="s">
        <v>1153</v>
      </c>
      <c r="CX195" s="555"/>
    </row>
    <row r="196" spans="1:102" ht="21" customHeight="1">
      <c r="A196" s="539"/>
      <c r="B196" s="562" t="s">
        <v>5998</v>
      </c>
      <c r="C196" s="559" t="s">
        <v>5999</v>
      </c>
      <c r="D196" s="539"/>
      <c r="E196" s="539"/>
      <c r="F196" s="539"/>
      <c r="G196" s="539"/>
      <c r="H196" s="539"/>
      <c r="I196" s="539"/>
      <c r="J196" s="539"/>
      <c r="K196" s="539"/>
      <c r="L196" s="539"/>
      <c r="M196" s="539"/>
      <c r="N196" s="539"/>
      <c r="O196" s="539"/>
      <c r="P196" s="539"/>
      <c r="Q196" s="539"/>
      <c r="R196" s="539"/>
      <c r="S196" s="539"/>
      <c r="CM196" s="494"/>
      <c r="CN196" s="496" t="s">
        <v>1536</v>
      </c>
      <c r="CO196" s="496" t="s">
        <v>1083</v>
      </c>
      <c r="CP196" s="496" t="s">
        <v>1511</v>
      </c>
      <c r="CQ196" s="496" t="s">
        <v>1537</v>
      </c>
      <c r="CR196" s="496" t="s">
        <v>1537</v>
      </c>
      <c r="CS196" s="496" t="s">
        <v>1085</v>
      </c>
      <c r="CT196" s="496" t="s">
        <v>1513</v>
      </c>
      <c r="CU196" s="496" t="s">
        <v>1087</v>
      </c>
      <c r="CV196" s="497" t="s">
        <v>1088</v>
      </c>
      <c r="CX196" s="555"/>
    </row>
    <row r="197" spans="1:102" ht="21" customHeight="1">
      <c r="A197" s="539"/>
      <c r="B197" s="562"/>
      <c r="C197" s="559"/>
      <c r="D197" s="539"/>
      <c r="E197" s="539"/>
      <c r="F197" s="539"/>
      <c r="G197" s="539"/>
      <c r="H197" s="539"/>
      <c r="I197" s="539"/>
      <c r="J197" s="539"/>
      <c r="K197" s="539"/>
      <c r="L197" s="539"/>
      <c r="M197" s="539"/>
      <c r="N197" s="539"/>
      <c r="O197" s="539"/>
      <c r="P197" s="539"/>
      <c r="Q197" s="539"/>
      <c r="R197" s="539"/>
      <c r="S197" s="539"/>
      <c r="CM197" s="494"/>
      <c r="CN197" s="496" t="s">
        <v>1538</v>
      </c>
      <c r="CO197" s="496" t="s">
        <v>1083</v>
      </c>
      <c r="CP197" s="496" t="s">
        <v>1511</v>
      </c>
      <c r="CQ197" s="496" t="s">
        <v>1539</v>
      </c>
      <c r="CR197" s="496" t="s">
        <v>1539</v>
      </c>
      <c r="CS197" s="496" t="s">
        <v>1085</v>
      </c>
      <c r="CT197" s="496" t="s">
        <v>1513</v>
      </c>
      <c r="CU197" s="496" t="s">
        <v>1087</v>
      </c>
      <c r="CV197" s="497" t="s">
        <v>1088</v>
      </c>
      <c r="CX197" s="555"/>
    </row>
    <row r="198" spans="1:102" ht="21" customHeight="1">
      <c r="A198" s="539"/>
      <c r="B198" s="562" t="s">
        <v>6000</v>
      </c>
      <c r="C198" s="559" t="s">
        <v>6001</v>
      </c>
      <c r="D198" s="539"/>
      <c r="E198" s="539"/>
      <c r="F198" s="539"/>
      <c r="G198" s="539"/>
      <c r="H198" s="539"/>
      <c r="I198" s="539"/>
      <c r="J198" s="539"/>
      <c r="K198" s="539"/>
      <c r="L198" s="539"/>
      <c r="M198" s="539"/>
      <c r="N198" s="539"/>
      <c r="O198" s="539"/>
      <c r="P198" s="539"/>
      <c r="Q198" s="539"/>
      <c r="R198" s="539"/>
      <c r="S198" s="539"/>
      <c r="CM198" s="494"/>
      <c r="CN198" s="496" t="s">
        <v>1540</v>
      </c>
      <c r="CO198" s="496" t="s">
        <v>1083</v>
      </c>
      <c r="CP198" s="496" t="s">
        <v>1511</v>
      </c>
      <c r="CQ198" s="496" t="s">
        <v>211</v>
      </c>
      <c r="CR198" s="496" t="s">
        <v>211</v>
      </c>
      <c r="CS198" s="496" t="s">
        <v>1085</v>
      </c>
      <c r="CT198" s="496" t="s">
        <v>1513</v>
      </c>
      <c r="CU198" s="496" t="s">
        <v>1087</v>
      </c>
      <c r="CV198" s="497" t="s">
        <v>1088</v>
      </c>
      <c r="CX198" s="555"/>
    </row>
    <row r="199" spans="1:102" ht="21" customHeight="1">
      <c r="A199" s="539"/>
      <c r="B199" s="562" t="s">
        <v>6002</v>
      </c>
      <c r="C199" s="559" t="s">
        <v>6003</v>
      </c>
      <c r="D199" s="539"/>
      <c r="E199" s="539"/>
      <c r="F199" s="539"/>
      <c r="G199" s="539"/>
      <c r="H199" s="539"/>
      <c r="I199" s="539"/>
      <c r="J199" s="539"/>
      <c r="K199" s="539"/>
      <c r="L199" s="539"/>
      <c r="M199" s="539"/>
      <c r="N199" s="539"/>
      <c r="O199" s="539"/>
      <c r="P199" s="539"/>
      <c r="Q199" s="539"/>
      <c r="R199" s="539"/>
      <c r="S199" s="539"/>
      <c r="CM199" s="494"/>
      <c r="CN199" s="496" t="s">
        <v>1541</v>
      </c>
      <c r="CO199" s="496" t="s">
        <v>1083</v>
      </c>
      <c r="CP199" s="496" t="s">
        <v>1511</v>
      </c>
      <c r="CQ199" s="496" t="s">
        <v>1542</v>
      </c>
      <c r="CR199" s="496" t="s">
        <v>1542</v>
      </c>
      <c r="CS199" s="496" t="s">
        <v>1085</v>
      </c>
      <c r="CT199" s="496" t="s">
        <v>1513</v>
      </c>
      <c r="CU199" s="496" t="s">
        <v>1087</v>
      </c>
      <c r="CV199" s="497" t="s">
        <v>1088</v>
      </c>
      <c r="CX199" s="555"/>
    </row>
    <row r="200" spans="1:102" ht="21" customHeight="1">
      <c r="A200" s="539"/>
      <c r="B200" s="562"/>
      <c r="C200" s="559" t="s">
        <v>6004</v>
      </c>
      <c r="D200" s="539"/>
      <c r="E200" s="539"/>
      <c r="F200" s="539"/>
      <c r="G200" s="539"/>
      <c r="H200" s="539"/>
      <c r="I200" s="539"/>
      <c r="J200" s="539"/>
      <c r="K200" s="539"/>
      <c r="L200" s="539"/>
      <c r="M200" s="539"/>
      <c r="N200" s="539"/>
      <c r="O200" s="539"/>
      <c r="P200" s="539"/>
      <c r="Q200" s="539"/>
      <c r="R200" s="539"/>
      <c r="S200" s="539"/>
      <c r="CM200" s="494"/>
      <c r="CN200" s="496" t="s">
        <v>1543</v>
      </c>
      <c r="CO200" s="496" t="s">
        <v>1083</v>
      </c>
      <c r="CP200" s="496" t="s">
        <v>1511</v>
      </c>
      <c r="CQ200" s="496" t="s">
        <v>1544</v>
      </c>
      <c r="CR200" s="496" t="s">
        <v>1544</v>
      </c>
      <c r="CS200" s="496" t="s">
        <v>1085</v>
      </c>
      <c r="CT200" s="496" t="s">
        <v>1513</v>
      </c>
      <c r="CU200" s="496" t="s">
        <v>1087</v>
      </c>
      <c r="CV200" s="497" t="s">
        <v>1088</v>
      </c>
      <c r="CX200" s="555"/>
    </row>
    <row r="201" spans="1:102" ht="21" customHeight="1">
      <c r="A201" s="539"/>
      <c r="B201" s="562" t="s">
        <v>6005</v>
      </c>
      <c r="C201" s="559" t="s">
        <v>6006</v>
      </c>
      <c r="D201" s="539"/>
      <c r="E201" s="539"/>
      <c r="F201" s="539"/>
      <c r="G201" s="539"/>
      <c r="H201" s="539"/>
      <c r="I201" s="539"/>
      <c r="J201" s="539"/>
      <c r="K201" s="539"/>
      <c r="L201" s="539"/>
      <c r="M201" s="539"/>
      <c r="N201" s="539"/>
      <c r="O201" s="539"/>
      <c r="P201" s="539"/>
      <c r="Q201" s="539"/>
      <c r="R201" s="539"/>
      <c r="S201" s="539"/>
      <c r="CM201" s="494"/>
      <c r="CN201" s="496" t="s">
        <v>1545</v>
      </c>
      <c r="CO201" s="496" t="s">
        <v>1083</v>
      </c>
      <c r="CP201" s="496" t="s">
        <v>1511</v>
      </c>
      <c r="CQ201" s="496" t="s">
        <v>1546</v>
      </c>
      <c r="CR201" s="496" t="s">
        <v>1546</v>
      </c>
      <c r="CS201" s="496" t="s">
        <v>1085</v>
      </c>
      <c r="CT201" s="496" t="s">
        <v>1513</v>
      </c>
      <c r="CU201" s="496" t="s">
        <v>1087</v>
      </c>
      <c r="CV201" s="497" t="s">
        <v>1088</v>
      </c>
      <c r="CX201" s="555"/>
    </row>
    <row r="202" spans="1:102" ht="21" customHeight="1">
      <c r="A202" s="539"/>
      <c r="B202" s="562"/>
      <c r="C202" s="559" t="s">
        <v>6007</v>
      </c>
      <c r="D202" s="539"/>
      <c r="E202" s="539"/>
      <c r="F202" s="539"/>
      <c r="G202" s="539"/>
      <c r="H202" s="539"/>
      <c r="I202" s="539"/>
      <c r="J202" s="539"/>
      <c r="K202" s="539"/>
      <c r="L202" s="539"/>
      <c r="M202" s="539"/>
      <c r="N202" s="539"/>
      <c r="O202" s="539"/>
      <c r="P202" s="539"/>
      <c r="Q202" s="539"/>
      <c r="R202" s="539"/>
      <c r="S202" s="539"/>
      <c r="CM202" s="494"/>
      <c r="CN202" s="496" t="s">
        <v>1547</v>
      </c>
      <c r="CO202" s="496" t="s">
        <v>1083</v>
      </c>
      <c r="CP202" s="496" t="s">
        <v>1511</v>
      </c>
      <c r="CQ202" s="496" t="s">
        <v>364</v>
      </c>
      <c r="CR202" s="496" t="s">
        <v>364</v>
      </c>
      <c r="CS202" s="496" t="s">
        <v>1085</v>
      </c>
      <c r="CT202" s="496" t="s">
        <v>1513</v>
      </c>
      <c r="CU202" s="496" t="s">
        <v>1087</v>
      </c>
      <c r="CV202" s="497" t="s">
        <v>1088</v>
      </c>
      <c r="CX202" s="555"/>
    </row>
    <row r="203" spans="1:102" ht="21" customHeight="1">
      <c r="A203" s="539"/>
      <c r="B203" s="559"/>
      <c r="C203" s="559"/>
      <c r="D203" s="539"/>
      <c r="E203" s="539"/>
      <c r="F203" s="539"/>
      <c r="G203" s="539"/>
      <c r="H203" s="539"/>
      <c r="I203" s="539"/>
      <c r="J203" s="539"/>
      <c r="K203" s="539"/>
      <c r="L203" s="539"/>
      <c r="M203" s="539"/>
      <c r="N203" s="539"/>
      <c r="O203" s="539"/>
      <c r="P203" s="539"/>
      <c r="Q203" s="539"/>
      <c r="R203" s="539"/>
      <c r="S203" s="539"/>
      <c r="CM203" s="494"/>
      <c r="CN203" s="496" t="s">
        <v>1548</v>
      </c>
      <c r="CO203" s="496" t="s">
        <v>1083</v>
      </c>
      <c r="CP203" s="496" t="s">
        <v>1511</v>
      </c>
      <c r="CQ203" s="496" t="s">
        <v>1549</v>
      </c>
      <c r="CR203" s="496" t="s">
        <v>1549</v>
      </c>
      <c r="CS203" s="496" t="s">
        <v>1085</v>
      </c>
      <c r="CT203" s="496" t="s">
        <v>1513</v>
      </c>
      <c r="CU203" s="496" t="s">
        <v>1087</v>
      </c>
      <c r="CV203" s="497" t="s">
        <v>1088</v>
      </c>
      <c r="CX203" s="555"/>
    </row>
    <row r="204" spans="1:102" ht="21" customHeight="1">
      <c r="A204" s="539"/>
      <c r="B204" s="567" t="s">
        <v>6008</v>
      </c>
      <c r="C204" s="568"/>
      <c r="D204" s="539"/>
      <c r="E204" s="539"/>
      <c r="F204" s="539"/>
      <c r="G204" s="539"/>
      <c r="H204" s="539"/>
      <c r="I204" s="539"/>
      <c r="J204" s="539"/>
      <c r="K204" s="539"/>
      <c r="L204" s="539"/>
      <c r="M204" s="539"/>
      <c r="N204" s="539"/>
      <c r="O204" s="539"/>
      <c r="P204" s="539"/>
      <c r="Q204" s="539"/>
      <c r="R204" s="539"/>
      <c r="S204" s="539"/>
      <c r="CM204" s="494"/>
      <c r="CN204" s="496" t="s">
        <v>1550</v>
      </c>
      <c r="CO204" s="496" t="s">
        <v>1083</v>
      </c>
      <c r="CP204" s="496" t="s">
        <v>1511</v>
      </c>
      <c r="CQ204" s="496" t="s">
        <v>179</v>
      </c>
      <c r="CR204" s="496" t="s">
        <v>179</v>
      </c>
      <c r="CS204" s="496" t="s">
        <v>1085</v>
      </c>
      <c r="CT204" s="496" t="s">
        <v>1513</v>
      </c>
      <c r="CU204" s="496" t="s">
        <v>1087</v>
      </c>
      <c r="CV204" s="497" t="s">
        <v>1088</v>
      </c>
      <c r="CX204" s="555"/>
    </row>
    <row r="205" spans="1:102" ht="21" customHeight="1">
      <c r="A205" s="539"/>
      <c r="B205" s="562" t="s">
        <v>5837</v>
      </c>
      <c r="C205" s="559" t="s">
        <v>6009</v>
      </c>
      <c r="D205" s="539"/>
      <c r="E205" s="539"/>
      <c r="F205" s="539"/>
      <c r="G205" s="539"/>
      <c r="H205" s="539"/>
      <c r="I205" s="539"/>
      <c r="J205" s="539"/>
      <c r="K205" s="539"/>
      <c r="L205" s="539"/>
      <c r="M205" s="539"/>
      <c r="N205" s="539"/>
      <c r="O205" s="539"/>
      <c r="P205" s="539"/>
      <c r="Q205" s="539"/>
      <c r="R205" s="539"/>
      <c r="S205" s="539"/>
      <c r="CM205" s="494"/>
      <c r="CN205" s="496" t="s">
        <v>1551</v>
      </c>
      <c r="CO205" s="496" t="s">
        <v>1083</v>
      </c>
      <c r="CP205" s="496" t="s">
        <v>1511</v>
      </c>
      <c r="CQ205" s="496" t="s">
        <v>1552</v>
      </c>
      <c r="CR205" s="496" t="s">
        <v>1552</v>
      </c>
      <c r="CS205" s="496" t="s">
        <v>1085</v>
      </c>
      <c r="CT205" s="496" t="s">
        <v>1513</v>
      </c>
      <c r="CU205" s="496" t="s">
        <v>1087</v>
      </c>
      <c r="CV205" s="497" t="s">
        <v>1088</v>
      </c>
      <c r="CX205" s="555"/>
    </row>
    <row r="206" spans="1:102" ht="21" customHeight="1">
      <c r="A206" s="539"/>
      <c r="B206" s="562" t="s">
        <v>5838</v>
      </c>
      <c r="C206" s="559" t="s">
        <v>6010</v>
      </c>
      <c r="D206" s="539"/>
      <c r="E206" s="539"/>
      <c r="F206" s="539"/>
      <c r="G206" s="539"/>
      <c r="H206" s="539"/>
      <c r="I206" s="539"/>
      <c r="J206" s="539"/>
      <c r="K206" s="539"/>
      <c r="L206" s="539"/>
      <c r="M206" s="539"/>
      <c r="N206" s="539"/>
      <c r="O206" s="539"/>
      <c r="P206" s="539"/>
      <c r="Q206" s="539"/>
      <c r="R206" s="539"/>
      <c r="S206" s="539"/>
      <c r="CM206" s="494"/>
      <c r="CN206" s="496" t="s">
        <v>1553</v>
      </c>
      <c r="CO206" s="496" t="s">
        <v>239</v>
      </c>
      <c r="CP206" s="496" t="s">
        <v>689</v>
      </c>
      <c r="CQ206" s="496" t="s">
        <v>132</v>
      </c>
      <c r="CR206" s="496" t="s">
        <v>132</v>
      </c>
      <c r="CS206" s="496" t="s">
        <v>1554</v>
      </c>
      <c r="CT206" s="496" t="s">
        <v>1555</v>
      </c>
      <c r="CU206" s="496" t="s">
        <v>1556</v>
      </c>
      <c r="CV206" s="497" t="s">
        <v>1557</v>
      </c>
      <c r="CX206" s="555"/>
    </row>
    <row r="207" spans="1:102" ht="21" customHeight="1">
      <c r="A207" s="539"/>
      <c r="B207" s="562" t="s">
        <v>5839</v>
      </c>
      <c r="C207" s="559" t="s">
        <v>6011</v>
      </c>
      <c r="D207" s="539"/>
      <c r="E207" s="539"/>
      <c r="F207" s="539"/>
      <c r="G207" s="539"/>
      <c r="H207" s="539"/>
      <c r="I207" s="539"/>
      <c r="J207" s="539"/>
      <c r="K207" s="539"/>
      <c r="L207" s="539"/>
      <c r="M207" s="539"/>
      <c r="N207" s="539"/>
      <c r="O207" s="539"/>
      <c r="P207" s="539"/>
      <c r="Q207" s="539"/>
      <c r="R207" s="539"/>
      <c r="S207" s="539"/>
      <c r="CM207" s="494"/>
      <c r="CN207" s="496" t="s">
        <v>1558</v>
      </c>
      <c r="CO207" s="496" t="s">
        <v>239</v>
      </c>
      <c r="CP207" s="496" t="s">
        <v>689</v>
      </c>
      <c r="CQ207" s="496" t="s">
        <v>1559</v>
      </c>
      <c r="CR207" s="496" t="s">
        <v>1560</v>
      </c>
      <c r="CS207" s="496" t="s">
        <v>1554</v>
      </c>
      <c r="CT207" s="496" t="s">
        <v>1561</v>
      </c>
      <c r="CU207" s="496" t="s">
        <v>1087</v>
      </c>
      <c r="CV207" s="497" t="s">
        <v>1088</v>
      </c>
      <c r="CX207" s="555"/>
    </row>
    <row r="208" spans="1:102" ht="21" customHeight="1">
      <c r="A208" s="539"/>
      <c r="B208" s="562" t="s">
        <v>5840</v>
      </c>
      <c r="C208" s="559" t="s">
        <v>6012</v>
      </c>
      <c r="D208" s="539"/>
      <c r="E208" s="539"/>
      <c r="F208" s="539"/>
      <c r="G208" s="539"/>
      <c r="H208" s="539"/>
      <c r="I208" s="539"/>
      <c r="J208" s="539"/>
      <c r="K208" s="539"/>
      <c r="L208" s="539"/>
      <c r="M208" s="539"/>
      <c r="N208" s="539"/>
      <c r="O208" s="539"/>
      <c r="P208" s="539"/>
      <c r="Q208" s="539"/>
      <c r="R208" s="539"/>
      <c r="S208" s="539"/>
      <c r="CM208" s="494"/>
      <c r="CN208" s="496" t="s">
        <v>1562</v>
      </c>
      <c r="CO208" s="496" t="s">
        <v>239</v>
      </c>
      <c r="CP208" s="496" t="s">
        <v>689</v>
      </c>
      <c r="CQ208" s="496" t="s">
        <v>1563</v>
      </c>
      <c r="CR208" s="496" t="s">
        <v>853</v>
      </c>
      <c r="CS208" s="496" t="s">
        <v>1554</v>
      </c>
      <c r="CT208" s="496" t="s">
        <v>1561</v>
      </c>
      <c r="CU208" s="496" t="s">
        <v>1087</v>
      </c>
      <c r="CV208" s="497" t="s">
        <v>1088</v>
      </c>
      <c r="CX208" s="555"/>
    </row>
    <row r="209" spans="1:102" ht="21" customHeight="1">
      <c r="A209" s="539"/>
      <c r="B209" s="562" t="s">
        <v>5841</v>
      </c>
      <c r="C209" s="559" t="s">
        <v>6013</v>
      </c>
      <c r="D209" s="539"/>
      <c r="E209" s="539"/>
      <c r="F209" s="539"/>
      <c r="G209" s="539"/>
      <c r="H209" s="539"/>
      <c r="I209" s="539"/>
      <c r="J209" s="539"/>
      <c r="K209" s="539"/>
      <c r="L209" s="539"/>
      <c r="M209" s="539"/>
      <c r="N209" s="539"/>
      <c r="O209" s="539"/>
      <c r="P209" s="539"/>
      <c r="Q209" s="539"/>
      <c r="R209" s="539"/>
      <c r="S209" s="539"/>
      <c r="CM209" s="494"/>
      <c r="CN209" s="496" t="s">
        <v>1564</v>
      </c>
      <c r="CO209" s="496" t="s">
        <v>239</v>
      </c>
      <c r="CP209" s="496" t="s">
        <v>689</v>
      </c>
      <c r="CQ209" s="496" t="s">
        <v>854</v>
      </c>
      <c r="CR209" s="496" t="s">
        <v>854</v>
      </c>
      <c r="CS209" s="496" t="s">
        <v>1554</v>
      </c>
      <c r="CT209" s="496" t="s">
        <v>1561</v>
      </c>
      <c r="CU209" s="496" t="s">
        <v>1087</v>
      </c>
      <c r="CV209" s="497" t="s">
        <v>1088</v>
      </c>
      <c r="CX209" s="555"/>
    </row>
    <row r="210" spans="1:102" ht="21" customHeight="1">
      <c r="A210" s="539"/>
      <c r="B210" s="562" t="s">
        <v>5842</v>
      </c>
      <c r="C210" s="559" t="s">
        <v>6014</v>
      </c>
      <c r="D210" s="539"/>
      <c r="E210" s="539"/>
      <c r="F210" s="539"/>
      <c r="G210" s="539"/>
      <c r="H210" s="539"/>
      <c r="I210" s="539"/>
      <c r="J210" s="539"/>
      <c r="K210" s="539"/>
      <c r="L210" s="539"/>
      <c r="M210" s="539"/>
      <c r="N210" s="539"/>
      <c r="O210" s="539"/>
      <c r="P210" s="539"/>
      <c r="Q210" s="539"/>
      <c r="R210" s="539"/>
      <c r="S210" s="539"/>
      <c r="CM210" s="494"/>
      <c r="CN210" s="496" t="s">
        <v>1565</v>
      </c>
      <c r="CO210" s="496" t="s">
        <v>239</v>
      </c>
      <c r="CP210" s="496" t="s">
        <v>689</v>
      </c>
      <c r="CQ210" s="496" t="s">
        <v>1566</v>
      </c>
      <c r="CR210" s="496" t="s">
        <v>1566</v>
      </c>
      <c r="CS210" s="496" t="s">
        <v>1554</v>
      </c>
      <c r="CT210" s="496" t="s">
        <v>1555</v>
      </c>
      <c r="CU210" s="496" t="s">
        <v>1556</v>
      </c>
      <c r="CV210" s="497" t="s">
        <v>1557</v>
      </c>
      <c r="CX210" s="555"/>
    </row>
    <row r="211" spans="1:102" ht="21" customHeight="1">
      <c r="A211" s="539"/>
      <c r="B211" s="562"/>
      <c r="C211" s="559" t="s">
        <v>6015</v>
      </c>
      <c r="D211" s="539"/>
      <c r="E211" s="539"/>
      <c r="F211" s="539"/>
      <c r="G211" s="539"/>
      <c r="H211" s="539"/>
      <c r="I211" s="539"/>
      <c r="J211" s="539"/>
      <c r="K211" s="539"/>
      <c r="L211" s="539"/>
      <c r="M211" s="539"/>
      <c r="N211" s="539"/>
      <c r="O211" s="539"/>
      <c r="P211" s="539"/>
      <c r="Q211" s="539"/>
      <c r="R211" s="539"/>
      <c r="S211" s="539"/>
      <c r="CM211" s="494"/>
      <c r="CN211" s="496" t="s">
        <v>1567</v>
      </c>
      <c r="CO211" s="496" t="s">
        <v>239</v>
      </c>
      <c r="CP211" s="496" t="s">
        <v>689</v>
      </c>
      <c r="CQ211" s="496" t="s">
        <v>1568</v>
      </c>
      <c r="CR211" s="496" t="s">
        <v>1568</v>
      </c>
      <c r="CS211" s="496" t="s">
        <v>1554</v>
      </c>
      <c r="CT211" s="496" t="s">
        <v>1555</v>
      </c>
      <c r="CU211" s="496" t="s">
        <v>1556</v>
      </c>
      <c r="CV211" s="497" t="s">
        <v>1557</v>
      </c>
      <c r="CX211" s="555"/>
    </row>
    <row r="212" spans="1:102" ht="21" customHeight="1">
      <c r="A212" s="539"/>
      <c r="B212" s="562" t="s">
        <v>5843</v>
      </c>
      <c r="C212" s="559" t="s">
        <v>6016</v>
      </c>
      <c r="D212" s="539"/>
      <c r="E212" s="539"/>
      <c r="F212" s="539"/>
      <c r="G212" s="539"/>
      <c r="H212" s="539"/>
      <c r="I212" s="539"/>
      <c r="J212" s="539"/>
      <c r="K212" s="539"/>
      <c r="L212" s="539"/>
      <c r="M212" s="539"/>
      <c r="N212" s="539"/>
      <c r="O212" s="539"/>
      <c r="P212" s="539"/>
      <c r="Q212" s="539"/>
      <c r="R212" s="539"/>
      <c r="S212" s="539"/>
      <c r="CM212" s="494"/>
      <c r="CN212" s="496" t="s">
        <v>1569</v>
      </c>
      <c r="CO212" s="496" t="s">
        <v>239</v>
      </c>
      <c r="CP212" s="496" t="s">
        <v>689</v>
      </c>
      <c r="CQ212" s="496" t="s">
        <v>1570</v>
      </c>
      <c r="CR212" s="496" t="s">
        <v>1570</v>
      </c>
      <c r="CS212" s="496" t="s">
        <v>1554</v>
      </c>
      <c r="CT212" s="496" t="s">
        <v>1555</v>
      </c>
      <c r="CU212" s="496" t="s">
        <v>1556</v>
      </c>
      <c r="CV212" s="497" t="s">
        <v>1557</v>
      </c>
      <c r="CX212" s="555"/>
    </row>
    <row r="213" spans="1:102" ht="21" customHeight="1">
      <c r="A213" s="539"/>
      <c r="B213" s="559"/>
      <c r="C213" s="559"/>
      <c r="D213" s="539"/>
      <c r="E213" s="539"/>
      <c r="F213" s="539"/>
      <c r="G213" s="539"/>
      <c r="H213" s="539"/>
      <c r="I213" s="539"/>
      <c r="J213" s="539"/>
      <c r="K213" s="539"/>
      <c r="L213" s="539"/>
      <c r="M213" s="539"/>
      <c r="N213" s="539"/>
      <c r="O213" s="539"/>
      <c r="P213" s="539"/>
      <c r="Q213" s="539"/>
      <c r="R213" s="539"/>
      <c r="S213" s="539"/>
      <c r="CM213" s="494"/>
      <c r="CN213" s="496" t="s">
        <v>1571</v>
      </c>
      <c r="CO213" s="496" t="s">
        <v>239</v>
      </c>
      <c r="CP213" s="496" t="s">
        <v>689</v>
      </c>
      <c r="CQ213" s="496" t="s">
        <v>1572</v>
      </c>
      <c r="CR213" s="496" t="s">
        <v>1572</v>
      </c>
      <c r="CS213" s="496" t="s">
        <v>1554</v>
      </c>
      <c r="CT213" s="496" t="s">
        <v>1555</v>
      </c>
      <c r="CU213" s="496" t="s">
        <v>1556</v>
      </c>
      <c r="CV213" s="497" t="s">
        <v>1557</v>
      </c>
      <c r="CX213" s="555"/>
    </row>
    <row r="214" spans="1:102" ht="21" customHeight="1">
      <c r="A214" s="539"/>
      <c r="B214" s="569" t="s">
        <v>6017</v>
      </c>
      <c r="C214" s="568"/>
      <c r="D214" s="539"/>
      <c r="E214" s="539"/>
      <c r="F214" s="539"/>
      <c r="G214" s="539"/>
      <c r="H214" s="539"/>
      <c r="I214" s="539"/>
      <c r="J214" s="539"/>
      <c r="K214" s="539"/>
      <c r="L214" s="539"/>
      <c r="M214" s="539"/>
      <c r="N214" s="539"/>
      <c r="O214" s="539"/>
      <c r="P214" s="539"/>
      <c r="Q214" s="539"/>
      <c r="R214" s="539"/>
      <c r="S214" s="539"/>
      <c r="CM214" s="494"/>
      <c r="CN214" s="496" t="s">
        <v>1573</v>
      </c>
      <c r="CO214" s="496" t="s">
        <v>239</v>
      </c>
      <c r="CP214" s="496" t="s">
        <v>689</v>
      </c>
      <c r="CQ214" s="496" t="s">
        <v>1574</v>
      </c>
      <c r="CR214" s="496" t="s">
        <v>1574</v>
      </c>
      <c r="CS214" s="496" t="s">
        <v>1554</v>
      </c>
      <c r="CT214" s="496" t="s">
        <v>1555</v>
      </c>
      <c r="CU214" s="496" t="s">
        <v>1556</v>
      </c>
      <c r="CV214" s="497" t="s">
        <v>1557</v>
      </c>
      <c r="CX214" s="555"/>
    </row>
    <row r="215" spans="1:102" ht="21" customHeight="1">
      <c r="A215" s="539"/>
      <c r="B215" s="562" t="s">
        <v>6018</v>
      </c>
      <c r="C215" s="559" t="s">
        <v>6019</v>
      </c>
      <c r="D215" s="539"/>
      <c r="E215" s="539"/>
      <c r="F215" s="539"/>
      <c r="G215" s="539"/>
      <c r="H215" s="539"/>
      <c r="I215" s="539"/>
      <c r="J215" s="539"/>
      <c r="K215" s="539"/>
      <c r="L215" s="539"/>
      <c r="M215" s="539"/>
      <c r="N215" s="539"/>
      <c r="O215" s="539"/>
      <c r="P215" s="539"/>
      <c r="Q215" s="539"/>
      <c r="R215" s="539"/>
      <c r="S215" s="539"/>
      <c r="CM215" s="494"/>
      <c r="CN215" s="496" t="s">
        <v>1575</v>
      </c>
      <c r="CO215" s="496" t="s">
        <v>239</v>
      </c>
      <c r="CP215" s="496" t="s">
        <v>689</v>
      </c>
      <c r="CQ215" s="496" t="s">
        <v>856</v>
      </c>
      <c r="CR215" s="496" t="s">
        <v>856</v>
      </c>
      <c r="CS215" s="496" t="s">
        <v>1554</v>
      </c>
      <c r="CT215" s="496" t="s">
        <v>1561</v>
      </c>
      <c r="CU215" s="496" t="s">
        <v>1087</v>
      </c>
      <c r="CV215" s="497" t="s">
        <v>1088</v>
      </c>
      <c r="CX215" s="555"/>
    </row>
    <row r="216" spans="1:102" ht="21" customHeight="1">
      <c r="A216" s="539"/>
      <c r="B216" s="562" t="s">
        <v>6020</v>
      </c>
      <c r="C216" s="559" t="s">
        <v>6021</v>
      </c>
      <c r="D216" s="539"/>
      <c r="E216" s="539"/>
      <c r="F216" s="539"/>
      <c r="G216" s="539"/>
      <c r="H216" s="539"/>
      <c r="I216" s="539"/>
      <c r="J216" s="539"/>
      <c r="K216" s="539"/>
      <c r="L216" s="539"/>
      <c r="M216" s="539"/>
      <c r="N216" s="539"/>
      <c r="O216" s="539"/>
      <c r="P216" s="539"/>
      <c r="Q216" s="539"/>
      <c r="R216" s="539"/>
      <c r="S216" s="539"/>
      <c r="CM216" s="494"/>
      <c r="CN216" s="496" t="s">
        <v>1576</v>
      </c>
      <c r="CO216" s="496" t="s">
        <v>239</v>
      </c>
      <c r="CP216" s="496" t="s">
        <v>689</v>
      </c>
      <c r="CQ216" s="496" t="s">
        <v>1577</v>
      </c>
      <c r="CR216" s="496" t="s">
        <v>1577</v>
      </c>
      <c r="CS216" s="496" t="s">
        <v>1554</v>
      </c>
      <c r="CT216" s="496" t="s">
        <v>1555</v>
      </c>
      <c r="CU216" s="496" t="s">
        <v>1556</v>
      </c>
      <c r="CV216" s="497" t="s">
        <v>1557</v>
      </c>
      <c r="CX216" s="555"/>
    </row>
    <row r="217" spans="1:102" ht="21" customHeight="1">
      <c r="A217" s="539"/>
      <c r="B217" s="562" t="s">
        <v>6022</v>
      </c>
      <c r="C217" s="559" t="s">
        <v>6023</v>
      </c>
      <c r="D217" s="539"/>
      <c r="E217" s="539"/>
      <c r="F217" s="539"/>
      <c r="G217" s="539"/>
      <c r="H217" s="539"/>
      <c r="I217" s="539"/>
      <c r="J217" s="539"/>
      <c r="K217" s="539"/>
      <c r="L217" s="539"/>
      <c r="M217" s="539"/>
      <c r="N217" s="539"/>
      <c r="O217" s="539"/>
      <c r="P217" s="539"/>
      <c r="Q217" s="539"/>
      <c r="R217" s="539"/>
      <c r="S217" s="539"/>
      <c r="CM217" s="494"/>
      <c r="CN217" s="496" t="s">
        <v>1578</v>
      </c>
      <c r="CO217" s="496" t="s">
        <v>239</v>
      </c>
      <c r="CP217" s="496" t="s">
        <v>689</v>
      </c>
      <c r="CQ217" s="496" t="s">
        <v>1579</v>
      </c>
      <c r="CR217" s="496" t="s">
        <v>1579</v>
      </c>
      <c r="CS217" s="496" t="s">
        <v>1554</v>
      </c>
      <c r="CT217" s="496" t="s">
        <v>1555</v>
      </c>
      <c r="CU217" s="496" t="s">
        <v>1556</v>
      </c>
      <c r="CV217" s="497" t="s">
        <v>1557</v>
      </c>
      <c r="CX217" s="555"/>
    </row>
    <row r="218" spans="1:102" ht="21" customHeight="1">
      <c r="A218" s="539"/>
      <c r="B218" s="566" t="s">
        <v>6024</v>
      </c>
      <c r="C218" s="559" t="s">
        <v>6025</v>
      </c>
      <c r="D218" s="539"/>
      <c r="E218" s="539"/>
      <c r="F218" s="539"/>
      <c r="G218" s="539"/>
      <c r="H218" s="539"/>
      <c r="I218" s="539"/>
      <c r="J218" s="539"/>
      <c r="K218" s="539"/>
      <c r="L218" s="539"/>
      <c r="M218" s="539"/>
      <c r="N218" s="539"/>
      <c r="O218" s="539"/>
      <c r="P218" s="539"/>
      <c r="Q218" s="539"/>
      <c r="R218" s="539"/>
      <c r="S218" s="539"/>
      <c r="CM218" s="494"/>
      <c r="CN218" s="496" t="s">
        <v>1580</v>
      </c>
      <c r="CO218" s="496" t="s">
        <v>239</v>
      </c>
      <c r="CP218" s="496" t="s">
        <v>689</v>
      </c>
      <c r="CQ218" s="496" t="s">
        <v>1581</v>
      </c>
      <c r="CR218" s="496" t="s">
        <v>1581</v>
      </c>
      <c r="CS218" s="496" t="s">
        <v>1554</v>
      </c>
      <c r="CT218" s="496" t="s">
        <v>1555</v>
      </c>
      <c r="CU218" s="496" t="s">
        <v>1556</v>
      </c>
      <c r="CV218" s="497" t="s">
        <v>1557</v>
      </c>
      <c r="CX218" s="555"/>
    </row>
    <row r="219" spans="1:102" ht="21" customHeight="1">
      <c r="A219" s="539"/>
      <c r="B219" s="562" t="s">
        <v>6026</v>
      </c>
      <c r="C219" s="559" t="s">
        <v>6027</v>
      </c>
      <c r="D219" s="539"/>
      <c r="E219" s="539"/>
      <c r="F219" s="539"/>
      <c r="G219" s="539"/>
      <c r="H219" s="539"/>
      <c r="I219" s="539"/>
      <c r="J219" s="539"/>
      <c r="K219" s="539"/>
      <c r="L219" s="539"/>
      <c r="M219" s="539"/>
      <c r="N219" s="539"/>
      <c r="O219" s="539"/>
      <c r="P219" s="539"/>
      <c r="Q219" s="539"/>
      <c r="R219" s="539"/>
      <c r="S219" s="539"/>
      <c r="CM219" s="494"/>
      <c r="CN219" s="496" t="s">
        <v>1582</v>
      </c>
      <c r="CO219" s="496" t="s">
        <v>239</v>
      </c>
      <c r="CP219" s="496" t="s">
        <v>689</v>
      </c>
      <c r="CQ219" s="496" t="s">
        <v>1583</v>
      </c>
      <c r="CR219" s="496" t="s">
        <v>1583</v>
      </c>
      <c r="CS219" s="496" t="s">
        <v>1554</v>
      </c>
      <c r="CT219" s="496" t="s">
        <v>1555</v>
      </c>
      <c r="CU219" s="496" t="s">
        <v>1556</v>
      </c>
      <c r="CV219" s="497" t="s">
        <v>1557</v>
      </c>
      <c r="CX219" s="555"/>
    </row>
    <row r="220" spans="1:102" ht="21" customHeight="1">
      <c r="A220" s="539"/>
      <c r="B220" s="562" t="s">
        <v>6028</v>
      </c>
      <c r="C220" s="559" t="s">
        <v>6029</v>
      </c>
      <c r="D220" s="539"/>
      <c r="E220" s="539"/>
      <c r="F220" s="539"/>
      <c r="G220" s="539"/>
      <c r="H220" s="539"/>
      <c r="I220" s="539"/>
      <c r="J220" s="539"/>
      <c r="K220" s="539"/>
      <c r="L220" s="539"/>
      <c r="M220" s="539"/>
      <c r="N220" s="539"/>
      <c r="O220" s="539"/>
      <c r="P220" s="539"/>
      <c r="Q220" s="539"/>
      <c r="R220" s="539"/>
      <c r="S220" s="539"/>
      <c r="CM220" s="494"/>
      <c r="CN220" s="496" t="s">
        <v>1584</v>
      </c>
      <c r="CO220" s="496" t="s">
        <v>239</v>
      </c>
      <c r="CP220" s="496" t="s">
        <v>689</v>
      </c>
      <c r="CQ220" s="496" t="s">
        <v>1585</v>
      </c>
      <c r="CR220" s="496" t="s">
        <v>1585</v>
      </c>
      <c r="CS220" s="496" t="s">
        <v>1554</v>
      </c>
      <c r="CT220" s="496" t="s">
        <v>1561</v>
      </c>
      <c r="CU220" s="496" t="s">
        <v>1087</v>
      </c>
      <c r="CV220" s="497" t="s">
        <v>1088</v>
      </c>
      <c r="CX220" s="555"/>
    </row>
    <row r="221" spans="1:102" ht="21" customHeight="1">
      <c r="A221" s="539"/>
      <c r="B221" s="570"/>
      <c r="C221" s="559"/>
      <c r="D221" s="539"/>
      <c r="E221" s="539"/>
      <c r="F221" s="539"/>
      <c r="G221" s="539"/>
      <c r="H221" s="539"/>
      <c r="I221" s="539"/>
      <c r="J221" s="539"/>
      <c r="K221" s="539"/>
      <c r="L221" s="539"/>
      <c r="M221" s="539"/>
      <c r="N221" s="539"/>
      <c r="O221" s="539"/>
      <c r="P221" s="539"/>
      <c r="Q221" s="539"/>
      <c r="R221" s="539"/>
      <c r="S221" s="539"/>
      <c r="CM221" s="494"/>
      <c r="CN221" s="496" t="s">
        <v>1586</v>
      </c>
      <c r="CO221" s="496" t="s">
        <v>239</v>
      </c>
      <c r="CP221" s="496" t="s">
        <v>689</v>
      </c>
      <c r="CQ221" s="496" t="s">
        <v>282</v>
      </c>
      <c r="CR221" s="496" t="s">
        <v>282</v>
      </c>
      <c r="CS221" s="496" t="s">
        <v>1151</v>
      </c>
      <c r="CT221" s="496" t="s">
        <v>1152</v>
      </c>
      <c r="CU221" s="496" t="s">
        <v>1087</v>
      </c>
      <c r="CV221" s="497" t="s">
        <v>1153</v>
      </c>
      <c r="CX221" s="555"/>
    </row>
    <row r="222" spans="1:102" ht="21" customHeight="1">
      <c r="A222" s="539"/>
      <c r="B222" s="569" t="s">
        <v>6030</v>
      </c>
      <c r="C222" s="568"/>
      <c r="D222" s="539"/>
      <c r="E222" s="539"/>
      <c r="F222" s="539"/>
      <c r="G222" s="539"/>
      <c r="H222" s="539"/>
      <c r="I222" s="539"/>
      <c r="J222" s="539"/>
      <c r="K222" s="539"/>
      <c r="L222" s="539"/>
      <c r="M222" s="539"/>
      <c r="N222" s="539"/>
      <c r="O222" s="539"/>
      <c r="P222" s="539"/>
      <c r="Q222" s="539"/>
      <c r="R222" s="539"/>
      <c r="S222" s="539"/>
      <c r="CM222" s="494"/>
      <c r="CN222" s="496" t="s">
        <v>1587</v>
      </c>
      <c r="CO222" s="496" t="s">
        <v>239</v>
      </c>
      <c r="CP222" s="496" t="s">
        <v>689</v>
      </c>
      <c r="CQ222" s="496" t="s">
        <v>119</v>
      </c>
      <c r="CR222" s="496" t="s">
        <v>119</v>
      </c>
      <c r="CS222" s="496" t="s">
        <v>1554</v>
      </c>
      <c r="CT222" s="496" t="s">
        <v>1555</v>
      </c>
      <c r="CU222" s="496" t="s">
        <v>1556</v>
      </c>
      <c r="CV222" s="497" t="s">
        <v>1557</v>
      </c>
      <c r="CX222" s="555"/>
    </row>
    <row r="223" spans="1:102" ht="21" customHeight="1">
      <c r="A223" s="539"/>
      <c r="B223" s="562" t="s">
        <v>6031</v>
      </c>
      <c r="C223" s="559" t="s">
        <v>6032</v>
      </c>
      <c r="D223" s="539"/>
      <c r="E223" s="539"/>
      <c r="F223" s="539"/>
      <c r="G223" s="539"/>
      <c r="H223" s="539"/>
      <c r="I223" s="539"/>
      <c r="J223" s="539"/>
      <c r="K223" s="539"/>
      <c r="L223" s="539"/>
      <c r="M223" s="539"/>
      <c r="N223" s="539"/>
      <c r="O223" s="539"/>
      <c r="P223" s="539"/>
      <c r="Q223" s="539"/>
      <c r="R223" s="539"/>
      <c r="S223" s="539"/>
      <c r="CM223" s="494"/>
      <c r="CN223" s="496" t="s">
        <v>1588</v>
      </c>
      <c r="CO223" s="496" t="s">
        <v>239</v>
      </c>
      <c r="CP223" s="496" t="s">
        <v>689</v>
      </c>
      <c r="CQ223" s="496" t="s">
        <v>1589</v>
      </c>
      <c r="CR223" s="496" t="s">
        <v>1589</v>
      </c>
      <c r="CS223" s="496" t="s">
        <v>1554</v>
      </c>
      <c r="CT223" s="496" t="s">
        <v>1555</v>
      </c>
      <c r="CU223" s="496" t="s">
        <v>1556</v>
      </c>
      <c r="CV223" s="497" t="s">
        <v>1557</v>
      </c>
      <c r="CX223" s="555"/>
    </row>
    <row r="224" spans="1:102" ht="21" customHeight="1">
      <c r="A224" s="539"/>
      <c r="B224" s="562" t="s">
        <v>6033</v>
      </c>
      <c r="C224" s="559" t="s">
        <v>6034</v>
      </c>
      <c r="D224" s="539"/>
      <c r="E224" s="539"/>
      <c r="F224" s="539"/>
      <c r="G224" s="539"/>
      <c r="H224" s="539"/>
      <c r="I224" s="539"/>
      <c r="J224" s="539"/>
      <c r="K224" s="539"/>
      <c r="L224" s="539"/>
      <c r="M224" s="539"/>
      <c r="N224" s="539"/>
      <c r="O224" s="539"/>
      <c r="P224" s="539"/>
      <c r="Q224" s="539"/>
      <c r="R224" s="539"/>
      <c r="S224" s="539"/>
      <c r="CM224" s="494"/>
      <c r="CN224" s="496" t="s">
        <v>1590</v>
      </c>
      <c r="CO224" s="496" t="s">
        <v>239</v>
      </c>
      <c r="CP224" s="496" t="s">
        <v>689</v>
      </c>
      <c r="CQ224" s="496" t="s">
        <v>1591</v>
      </c>
      <c r="CR224" s="496" t="s">
        <v>1591</v>
      </c>
      <c r="CS224" s="496" t="s">
        <v>1554</v>
      </c>
      <c r="CT224" s="496" t="s">
        <v>1555</v>
      </c>
      <c r="CU224" s="496" t="s">
        <v>1556</v>
      </c>
      <c r="CV224" s="497" t="s">
        <v>1557</v>
      </c>
      <c r="CX224" s="555"/>
    </row>
    <row r="225" spans="1:102" ht="21" customHeight="1">
      <c r="A225" s="539"/>
      <c r="B225" s="562"/>
      <c r="C225" s="559" t="s">
        <v>6035</v>
      </c>
      <c r="D225" s="539"/>
      <c r="E225" s="539"/>
      <c r="F225" s="539"/>
      <c r="G225" s="539"/>
      <c r="H225" s="539"/>
      <c r="I225" s="539"/>
      <c r="J225" s="539"/>
      <c r="K225" s="539"/>
      <c r="L225" s="539"/>
      <c r="M225" s="539"/>
      <c r="N225" s="539"/>
      <c r="O225" s="539"/>
      <c r="P225" s="539"/>
      <c r="Q225" s="539"/>
      <c r="R225" s="539"/>
      <c r="S225" s="539"/>
      <c r="CM225" s="494"/>
      <c r="CN225" s="496" t="s">
        <v>1592</v>
      </c>
      <c r="CO225" s="496" t="s">
        <v>239</v>
      </c>
      <c r="CP225" s="496" t="s">
        <v>689</v>
      </c>
      <c r="CQ225" s="496" t="s">
        <v>1593</v>
      </c>
      <c r="CR225" s="496" t="s">
        <v>1593</v>
      </c>
      <c r="CS225" s="496" t="s">
        <v>1554</v>
      </c>
      <c r="CT225" s="496" t="s">
        <v>1555</v>
      </c>
      <c r="CU225" s="496" t="s">
        <v>1556</v>
      </c>
      <c r="CV225" s="497" t="s">
        <v>1557</v>
      </c>
      <c r="CX225" s="555"/>
    </row>
    <row r="226" spans="1:102" ht="21" customHeight="1">
      <c r="A226" s="539"/>
      <c r="B226" s="562" t="s">
        <v>6036</v>
      </c>
      <c r="C226" s="559" t="s">
        <v>6037</v>
      </c>
      <c r="D226" s="539"/>
      <c r="E226" s="539"/>
      <c r="F226" s="539"/>
      <c r="G226" s="539"/>
      <c r="H226" s="539"/>
      <c r="I226" s="539"/>
      <c r="J226" s="539"/>
      <c r="K226" s="539"/>
      <c r="L226" s="539"/>
      <c r="M226" s="539"/>
      <c r="N226" s="539"/>
      <c r="O226" s="539"/>
      <c r="P226" s="539"/>
      <c r="Q226" s="539"/>
      <c r="R226" s="539"/>
      <c r="S226" s="539"/>
      <c r="CM226" s="494"/>
      <c r="CN226" s="496" t="s">
        <v>1594</v>
      </c>
      <c r="CO226" s="496" t="s">
        <v>239</v>
      </c>
      <c r="CP226" s="496" t="s">
        <v>689</v>
      </c>
      <c r="CQ226" s="496" t="s">
        <v>1595</v>
      </c>
      <c r="CR226" s="496" t="s">
        <v>1595</v>
      </c>
      <c r="CS226" s="496" t="s">
        <v>1554</v>
      </c>
      <c r="CT226" s="496" t="s">
        <v>1555</v>
      </c>
      <c r="CU226" s="496" t="s">
        <v>1556</v>
      </c>
      <c r="CV226" s="497" t="s">
        <v>1557</v>
      </c>
      <c r="CX226" s="543">
        <v>1</v>
      </c>
    </row>
    <row r="227" spans="1:102" ht="21" customHeight="1">
      <c r="A227" s="539"/>
      <c r="B227" s="562" t="s">
        <v>6038</v>
      </c>
      <c r="C227" s="559" t="s">
        <v>6039</v>
      </c>
      <c r="D227" s="539"/>
      <c r="E227" s="539"/>
      <c r="F227" s="539"/>
      <c r="G227" s="539"/>
      <c r="H227" s="539"/>
      <c r="I227" s="539"/>
      <c r="J227" s="539"/>
      <c r="K227" s="539"/>
      <c r="L227" s="539"/>
      <c r="M227" s="539"/>
      <c r="N227" s="539"/>
      <c r="O227" s="539"/>
      <c r="P227" s="539"/>
      <c r="Q227" s="539"/>
      <c r="R227" s="539"/>
      <c r="S227" s="539"/>
      <c r="CM227" s="494"/>
      <c r="CN227" s="496" t="s">
        <v>1596</v>
      </c>
      <c r="CO227" s="496" t="s">
        <v>239</v>
      </c>
      <c r="CP227" s="496" t="s">
        <v>689</v>
      </c>
      <c r="CQ227" s="496" t="s">
        <v>1597</v>
      </c>
      <c r="CR227" s="496" t="s">
        <v>1597</v>
      </c>
      <c r="CS227" s="496" t="s">
        <v>1554</v>
      </c>
      <c r="CT227" s="496" t="s">
        <v>1555</v>
      </c>
      <c r="CU227" s="496" t="s">
        <v>1556</v>
      </c>
      <c r="CV227" s="497" t="s">
        <v>1557</v>
      </c>
      <c r="CX227" s="543">
        <v>1</v>
      </c>
    </row>
    <row r="228" spans="1:102" ht="21" customHeight="1">
      <c r="A228" s="539"/>
      <c r="B228" s="559"/>
      <c r="C228" s="559"/>
      <c r="D228" s="539"/>
      <c r="E228" s="539"/>
      <c r="F228" s="539"/>
      <c r="G228" s="539"/>
      <c r="H228" s="539"/>
      <c r="I228" s="539"/>
      <c r="J228" s="539"/>
      <c r="K228" s="539"/>
      <c r="L228" s="539"/>
      <c r="M228" s="539"/>
      <c r="N228" s="539"/>
      <c r="O228" s="539"/>
      <c r="P228" s="539"/>
      <c r="Q228" s="539"/>
      <c r="R228" s="539"/>
      <c r="S228" s="539"/>
      <c r="CM228" s="494"/>
      <c r="CN228" s="496" t="s">
        <v>1598</v>
      </c>
      <c r="CO228" s="496" t="s">
        <v>239</v>
      </c>
      <c r="CP228" s="496" t="s">
        <v>689</v>
      </c>
      <c r="CQ228" s="496" t="s">
        <v>1599</v>
      </c>
      <c r="CR228" s="496" t="s">
        <v>1599</v>
      </c>
      <c r="CS228" s="496" t="s">
        <v>1554</v>
      </c>
      <c r="CT228" s="496" t="s">
        <v>1555</v>
      </c>
      <c r="CU228" s="496" t="s">
        <v>1556</v>
      </c>
      <c r="CV228" s="497" t="s">
        <v>1557</v>
      </c>
      <c r="CX228" s="543">
        <v>1</v>
      </c>
    </row>
    <row r="229" spans="1:102" ht="21" customHeight="1">
      <c r="A229" s="539"/>
      <c r="B229" s="567" t="s">
        <v>6040</v>
      </c>
      <c r="C229" s="565"/>
      <c r="D229" s="539"/>
      <c r="E229" s="539"/>
      <c r="F229" s="539"/>
      <c r="G229" s="539"/>
      <c r="H229" s="539"/>
      <c r="I229" s="539"/>
      <c r="J229" s="539"/>
      <c r="K229" s="539"/>
      <c r="L229" s="539"/>
      <c r="M229" s="539"/>
      <c r="N229" s="539"/>
      <c r="O229" s="539"/>
      <c r="P229" s="539"/>
      <c r="Q229" s="539"/>
      <c r="R229" s="539"/>
      <c r="S229" s="539"/>
      <c r="CM229" s="494"/>
      <c r="CN229" s="496" t="s">
        <v>1600</v>
      </c>
      <c r="CO229" s="496" t="s">
        <v>239</v>
      </c>
      <c r="CP229" s="496" t="s">
        <v>689</v>
      </c>
      <c r="CQ229" s="496" t="s">
        <v>1601</v>
      </c>
      <c r="CR229" s="496" t="s">
        <v>1601</v>
      </c>
      <c r="CS229" s="496" t="s">
        <v>1554</v>
      </c>
      <c r="CT229" s="496" t="s">
        <v>1555</v>
      </c>
      <c r="CU229" s="496" t="s">
        <v>1556</v>
      </c>
      <c r="CV229" s="497" t="s">
        <v>1557</v>
      </c>
      <c r="CX229" s="543">
        <v>1</v>
      </c>
    </row>
    <row r="230" spans="1:102" ht="21" customHeight="1">
      <c r="A230" s="539"/>
      <c r="B230" s="562" t="s">
        <v>6041</v>
      </c>
      <c r="C230" s="559" t="s">
        <v>6042</v>
      </c>
      <c r="D230" s="539"/>
      <c r="E230" s="539"/>
      <c r="F230" s="539"/>
      <c r="G230" s="539"/>
      <c r="H230" s="539"/>
      <c r="I230" s="539"/>
      <c r="J230" s="539"/>
      <c r="K230" s="539"/>
      <c r="L230" s="539"/>
      <c r="M230" s="539"/>
      <c r="N230" s="539"/>
      <c r="O230" s="539"/>
      <c r="P230" s="539"/>
      <c r="Q230" s="539"/>
      <c r="R230" s="539"/>
      <c r="S230" s="539"/>
      <c r="CM230" s="494"/>
      <c r="CN230" s="496" t="s">
        <v>1602</v>
      </c>
      <c r="CO230" s="496" t="s">
        <v>239</v>
      </c>
      <c r="CP230" s="496" t="s">
        <v>689</v>
      </c>
      <c r="CQ230" s="496" t="s">
        <v>858</v>
      </c>
      <c r="CR230" s="496" t="s">
        <v>858</v>
      </c>
      <c r="CS230" s="496" t="s">
        <v>1554</v>
      </c>
      <c r="CT230" s="496" t="s">
        <v>1555</v>
      </c>
      <c r="CU230" s="496" t="s">
        <v>1556</v>
      </c>
      <c r="CV230" s="497" t="s">
        <v>1557</v>
      </c>
      <c r="CX230" s="543">
        <v>1</v>
      </c>
    </row>
    <row r="231" spans="1:102" ht="21" customHeight="1">
      <c r="A231" s="539"/>
      <c r="B231" s="562" t="s">
        <v>6043</v>
      </c>
      <c r="C231" s="559" t="s">
        <v>6044</v>
      </c>
      <c r="D231" s="539"/>
      <c r="E231" s="539"/>
      <c r="F231" s="539"/>
      <c r="G231" s="539"/>
      <c r="H231" s="539"/>
      <c r="I231" s="539"/>
      <c r="J231" s="539"/>
      <c r="K231" s="539"/>
      <c r="L231" s="539"/>
      <c r="M231" s="539"/>
      <c r="N231" s="539"/>
      <c r="O231" s="539"/>
      <c r="P231" s="539"/>
      <c r="Q231" s="539"/>
      <c r="R231" s="539"/>
      <c r="S231" s="539"/>
      <c r="CM231" s="494"/>
      <c r="CN231" s="496" t="s">
        <v>1603</v>
      </c>
      <c r="CO231" s="496" t="s">
        <v>239</v>
      </c>
      <c r="CP231" s="496" t="s">
        <v>689</v>
      </c>
      <c r="CQ231" s="496" t="s">
        <v>1604</v>
      </c>
      <c r="CR231" s="496" t="s">
        <v>1604</v>
      </c>
      <c r="CS231" s="496" t="s">
        <v>1554</v>
      </c>
      <c r="CT231" s="496" t="s">
        <v>1555</v>
      </c>
      <c r="CU231" s="496" t="s">
        <v>1556</v>
      </c>
      <c r="CV231" s="497" t="s">
        <v>1557</v>
      </c>
      <c r="CX231" s="543">
        <v>1</v>
      </c>
    </row>
    <row r="232" spans="1:102" ht="21" customHeight="1">
      <c r="A232" s="539"/>
      <c r="B232" s="562" t="s">
        <v>6045</v>
      </c>
      <c r="C232" s="559" t="s">
        <v>6046</v>
      </c>
      <c r="D232" s="539"/>
      <c r="E232" s="539"/>
      <c r="F232" s="539"/>
      <c r="G232" s="539"/>
      <c r="H232" s="539"/>
      <c r="I232" s="539"/>
      <c r="J232" s="539"/>
      <c r="K232" s="539"/>
      <c r="L232" s="539"/>
      <c r="M232" s="539"/>
      <c r="N232" s="539"/>
      <c r="O232" s="539"/>
      <c r="P232" s="539"/>
      <c r="Q232" s="539"/>
      <c r="R232" s="539"/>
      <c r="S232" s="539"/>
      <c r="CM232" s="494"/>
      <c r="CN232" s="496" t="s">
        <v>1605</v>
      </c>
      <c r="CO232" s="496" t="s">
        <v>239</v>
      </c>
      <c r="CP232" s="496" t="s">
        <v>689</v>
      </c>
      <c r="CQ232" s="496" t="s">
        <v>1606</v>
      </c>
      <c r="CR232" s="496" t="s">
        <v>1606</v>
      </c>
      <c r="CS232" s="496" t="s">
        <v>1554</v>
      </c>
      <c r="CT232" s="496" t="s">
        <v>1555</v>
      </c>
      <c r="CU232" s="496" t="s">
        <v>1556</v>
      </c>
      <c r="CV232" s="497" t="s">
        <v>1557</v>
      </c>
      <c r="CX232" s="543">
        <v>1</v>
      </c>
    </row>
    <row r="233" spans="1:102" ht="21" customHeight="1">
      <c r="A233" s="539"/>
      <c r="B233" s="562" t="s">
        <v>6047</v>
      </c>
      <c r="C233" s="559" t="s">
        <v>6048</v>
      </c>
      <c r="D233" s="539"/>
      <c r="E233" s="539"/>
      <c r="F233" s="539"/>
      <c r="G233" s="539"/>
      <c r="H233" s="539"/>
      <c r="I233" s="539"/>
      <c r="J233" s="539"/>
      <c r="K233" s="539"/>
      <c r="L233" s="539"/>
      <c r="M233" s="539"/>
      <c r="N233" s="539"/>
      <c r="O233" s="539"/>
      <c r="P233" s="539"/>
      <c r="Q233" s="539"/>
      <c r="R233" s="539"/>
      <c r="S233" s="539"/>
      <c r="CM233" s="494"/>
      <c r="CN233" s="496" t="s">
        <v>1607</v>
      </c>
      <c r="CO233" s="496" t="s">
        <v>239</v>
      </c>
      <c r="CP233" s="496" t="s">
        <v>689</v>
      </c>
      <c r="CQ233" s="496" t="s">
        <v>1608</v>
      </c>
      <c r="CR233" s="496" t="s">
        <v>1608</v>
      </c>
      <c r="CS233" s="496" t="s">
        <v>1554</v>
      </c>
      <c r="CT233" s="496" t="s">
        <v>1555</v>
      </c>
      <c r="CU233" s="496" t="s">
        <v>1556</v>
      </c>
      <c r="CV233" s="497" t="s">
        <v>1557</v>
      </c>
      <c r="CX233" s="543">
        <v>1</v>
      </c>
    </row>
    <row r="234" spans="1:102" ht="21" customHeight="1">
      <c r="A234" s="539"/>
      <c r="B234" s="567"/>
      <c r="C234" s="559" t="s">
        <v>6049</v>
      </c>
      <c r="D234" s="539"/>
      <c r="E234" s="539"/>
      <c r="F234" s="539"/>
      <c r="G234" s="539"/>
      <c r="H234" s="539"/>
      <c r="I234" s="539"/>
      <c r="J234" s="539"/>
      <c r="K234" s="539"/>
      <c r="L234" s="539"/>
      <c r="M234" s="539"/>
      <c r="N234" s="539"/>
      <c r="O234" s="539"/>
      <c r="P234" s="539"/>
      <c r="Q234" s="539"/>
      <c r="R234" s="539"/>
      <c r="S234" s="539"/>
      <c r="CM234" s="494"/>
      <c r="CN234" s="496" t="s">
        <v>1609</v>
      </c>
      <c r="CO234" s="496" t="s">
        <v>239</v>
      </c>
      <c r="CP234" s="496" t="s">
        <v>689</v>
      </c>
      <c r="CQ234" s="496" t="s">
        <v>1610</v>
      </c>
      <c r="CR234" s="496" t="s">
        <v>1610</v>
      </c>
      <c r="CS234" s="496" t="s">
        <v>1554</v>
      </c>
      <c r="CT234" s="496" t="s">
        <v>1555</v>
      </c>
      <c r="CU234" s="496" t="s">
        <v>1556</v>
      </c>
      <c r="CV234" s="497" t="s">
        <v>1557</v>
      </c>
      <c r="CX234" s="543">
        <v>1</v>
      </c>
    </row>
    <row r="235" spans="1:102" ht="21" customHeight="1">
      <c r="A235" s="539"/>
      <c r="B235" s="570"/>
      <c r="C235" s="559"/>
      <c r="D235" s="539"/>
      <c r="E235" s="539"/>
      <c r="F235" s="539"/>
      <c r="G235" s="539"/>
      <c r="H235" s="539"/>
      <c r="I235" s="539"/>
      <c r="J235" s="539"/>
      <c r="K235" s="539"/>
      <c r="L235" s="539"/>
      <c r="M235" s="539"/>
      <c r="N235" s="539"/>
      <c r="O235" s="539"/>
      <c r="P235" s="539"/>
      <c r="Q235" s="539"/>
      <c r="R235" s="539"/>
      <c r="S235" s="539"/>
      <c r="CM235" s="494"/>
      <c r="CN235" s="496" t="s">
        <v>1611</v>
      </c>
      <c r="CO235" s="496" t="s">
        <v>239</v>
      </c>
      <c r="CP235" s="496" t="s">
        <v>689</v>
      </c>
      <c r="CQ235" s="496" t="s">
        <v>859</v>
      </c>
      <c r="CR235" s="496" t="s">
        <v>859</v>
      </c>
      <c r="CS235" s="496" t="s">
        <v>1554</v>
      </c>
      <c r="CT235" s="496" t="s">
        <v>1561</v>
      </c>
      <c r="CU235" s="496" t="s">
        <v>1087</v>
      </c>
      <c r="CV235" s="497" t="s">
        <v>1088</v>
      </c>
      <c r="CX235" s="543">
        <v>1</v>
      </c>
    </row>
    <row r="236" spans="1:102" ht="21" customHeight="1">
      <c r="A236" s="539"/>
      <c r="B236" s="569" t="s">
        <v>6050</v>
      </c>
      <c r="C236" s="568"/>
      <c r="D236" s="539"/>
      <c r="E236" s="539"/>
      <c r="F236" s="539"/>
      <c r="G236" s="539"/>
      <c r="H236" s="539"/>
      <c r="I236" s="539"/>
      <c r="J236" s="539"/>
      <c r="K236" s="539"/>
      <c r="L236" s="539"/>
      <c r="M236" s="539"/>
      <c r="N236" s="539"/>
      <c r="O236" s="539"/>
      <c r="P236" s="539"/>
      <c r="Q236" s="539"/>
      <c r="R236" s="539"/>
      <c r="S236" s="539"/>
      <c r="CM236" s="494"/>
      <c r="CN236" s="496" t="s">
        <v>1612</v>
      </c>
      <c r="CO236" s="496" t="s">
        <v>239</v>
      </c>
      <c r="CP236" s="496" t="s">
        <v>689</v>
      </c>
      <c r="CQ236" s="496" t="s">
        <v>1613</v>
      </c>
      <c r="CR236" s="496" t="s">
        <v>1613</v>
      </c>
      <c r="CS236" s="496" t="s">
        <v>1151</v>
      </c>
      <c r="CT236" s="496" t="s">
        <v>1152</v>
      </c>
      <c r="CU236" s="496" t="s">
        <v>1087</v>
      </c>
      <c r="CV236" s="497" t="s">
        <v>1153</v>
      </c>
      <c r="CX236" s="543">
        <v>1</v>
      </c>
    </row>
    <row r="237" spans="1:102" ht="21" customHeight="1">
      <c r="A237" s="539"/>
      <c r="B237" s="562" t="s">
        <v>6051</v>
      </c>
      <c r="C237" s="559" t="s">
        <v>6052</v>
      </c>
      <c r="D237" s="539"/>
      <c r="E237" s="539"/>
      <c r="F237" s="539"/>
      <c r="G237" s="539"/>
      <c r="H237" s="539"/>
      <c r="I237" s="539"/>
      <c r="J237" s="539"/>
      <c r="K237" s="539"/>
      <c r="L237" s="539"/>
      <c r="M237" s="539"/>
      <c r="N237" s="539"/>
      <c r="O237" s="539"/>
      <c r="P237" s="539"/>
      <c r="Q237" s="539"/>
      <c r="R237" s="539"/>
      <c r="S237" s="539"/>
      <c r="CM237" s="494"/>
      <c r="CN237" s="496" t="s">
        <v>1614</v>
      </c>
      <c r="CO237" s="496" t="s">
        <v>239</v>
      </c>
      <c r="CP237" s="496" t="s">
        <v>689</v>
      </c>
      <c r="CQ237" s="496" t="s">
        <v>284</v>
      </c>
      <c r="CR237" s="496" t="s">
        <v>284</v>
      </c>
      <c r="CS237" s="496" t="s">
        <v>1151</v>
      </c>
      <c r="CT237" s="496" t="s">
        <v>1152</v>
      </c>
      <c r="CU237" s="496" t="s">
        <v>1087</v>
      </c>
      <c r="CV237" s="497" t="s">
        <v>1153</v>
      </c>
      <c r="CX237" s="543">
        <v>1</v>
      </c>
    </row>
    <row r="238" spans="1:102" ht="21" customHeight="1">
      <c r="A238" s="539"/>
      <c r="B238" s="562" t="s">
        <v>6053</v>
      </c>
      <c r="C238" s="559" t="s">
        <v>6054</v>
      </c>
      <c r="D238" s="539"/>
      <c r="E238" s="539"/>
      <c r="F238" s="539"/>
      <c r="G238" s="539"/>
      <c r="H238" s="539"/>
      <c r="I238" s="539"/>
      <c r="J238" s="539"/>
      <c r="K238" s="539"/>
      <c r="L238" s="539"/>
      <c r="M238" s="539"/>
      <c r="N238" s="539"/>
      <c r="O238" s="539"/>
      <c r="P238" s="539"/>
      <c r="Q238" s="539"/>
      <c r="R238" s="539"/>
      <c r="S238" s="539"/>
      <c r="CM238" s="494"/>
      <c r="CN238" s="496" t="s">
        <v>1615</v>
      </c>
      <c r="CO238" s="496" t="s">
        <v>239</v>
      </c>
      <c r="CP238" s="496" t="s">
        <v>689</v>
      </c>
      <c r="CQ238" s="496" t="s">
        <v>43</v>
      </c>
      <c r="CR238" s="496" t="s">
        <v>43</v>
      </c>
      <c r="CS238" s="496" t="s">
        <v>1554</v>
      </c>
      <c r="CT238" s="496" t="s">
        <v>1555</v>
      </c>
      <c r="CU238" s="496" t="s">
        <v>1556</v>
      </c>
      <c r="CV238" s="497" t="s">
        <v>1557</v>
      </c>
      <c r="CX238" s="543">
        <v>1</v>
      </c>
    </row>
    <row r="239" spans="1:102" ht="21" customHeight="1">
      <c r="A239" s="553"/>
      <c r="B239" s="571" t="s">
        <v>6055</v>
      </c>
      <c r="C239" s="559" t="s">
        <v>6056</v>
      </c>
      <c r="D239" s="553"/>
      <c r="E239" s="553"/>
      <c r="F239" s="553"/>
      <c r="G239" s="553"/>
      <c r="H239" s="553"/>
      <c r="I239" s="553"/>
      <c r="J239" s="553"/>
      <c r="K239" s="553"/>
      <c r="L239" s="553"/>
      <c r="M239" s="553"/>
      <c r="N239" s="553"/>
      <c r="O239" s="553"/>
      <c r="P239" s="553"/>
      <c r="Q239" s="553"/>
      <c r="R239" s="553"/>
      <c r="S239" s="553"/>
      <c r="CM239" s="494"/>
      <c r="CN239" s="496" t="s">
        <v>1616</v>
      </c>
      <c r="CO239" s="496" t="s">
        <v>239</v>
      </c>
      <c r="CP239" s="496" t="s">
        <v>689</v>
      </c>
      <c r="CQ239" s="496" t="s">
        <v>1617</v>
      </c>
      <c r="CR239" s="496" t="s">
        <v>1617</v>
      </c>
      <c r="CS239" s="496" t="s">
        <v>1554</v>
      </c>
      <c r="CT239" s="496" t="s">
        <v>1555</v>
      </c>
      <c r="CU239" s="496" t="s">
        <v>1556</v>
      </c>
      <c r="CV239" s="497" t="s">
        <v>1557</v>
      </c>
      <c r="CX239" s="543">
        <v>1</v>
      </c>
    </row>
    <row r="240" spans="1:102" ht="21" customHeight="1">
      <c r="A240" s="553"/>
      <c r="B240" s="571" t="s">
        <v>6057</v>
      </c>
      <c r="C240" s="559" t="s">
        <v>6058</v>
      </c>
      <c r="D240" s="553"/>
      <c r="E240" s="553"/>
      <c r="F240" s="553"/>
      <c r="G240" s="553"/>
      <c r="H240" s="553"/>
      <c r="I240" s="553"/>
      <c r="J240" s="553"/>
      <c r="K240" s="553"/>
      <c r="L240" s="553"/>
      <c r="M240" s="553"/>
      <c r="N240" s="553"/>
      <c r="O240" s="553"/>
      <c r="P240" s="553"/>
      <c r="Q240" s="553"/>
      <c r="R240" s="553"/>
      <c r="S240" s="553"/>
      <c r="CM240" s="494"/>
      <c r="CN240" s="496" t="s">
        <v>1618</v>
      </c>
      <c r="CO240" s="496" t="s">
        <v>239</v>
      </c>
      <c r="CP240" s="496" t="s">
        <v>689</v>
      </c>
      <c r="CQ240" s="496" t="s">
        <v>1619</v>
      </c>
      <c r="CR240" s="496" t="s">
        <v>1619</v>
      </c>
      <c r="CS240" s="496" t="s">
        <v>1554</v>
      </c>
      <c r="CT240" s="496" t="s">
        <v>1555</v>
      </c>
      <c r="CU240" s="496" t="s">
        <v>1556</v>
      </c>
      <c r="CV240" s="497" t="s">
        <v>1557</v>
      </c>
      <c r="CX240" s="543">
        <v>1</v>
      </c>
    </row>
    <row r="241" spans="1:102" ht="21" customHeight="1">
      <c r="A241" s="553"/>
      <c r="B241" s="562" t="s">
        <v>6059</v>
      </c>
      <c r="C241" s="559" t="s">
        <v>6060</v>
      </c>
      <c r="D241" s="553"/>
      <c r="E241" s="553"/>
      <c r="F241" s="553"/>
      <c r="G241" s="553"/>
      <c r="H241" s="553"/>
      <c r="I241" s="553"/>
      <c r="J241" s="553"/>
      <c r="K241" s="553"/>
      <c r="L241" s="553"/>
      <c r="M241" s="553"/>
      <c r="N241" s="553"/>
      <c r="O241" s="553"/>
      <c r="P241" s="553"/>
      <c r="Q241" s="553"/>
      <c r="R241" s="553"/>
      <c r="S241" s="553"/>
      <c r="CM241" s="494"/>
      <c r="CN241" s="496" t="s">
        <v>1620</v>
      </c>
      <c r="CO241" s="496" t="s">
        <v>239</v>
      </c>
      <c r="CP241" s="496" t="s">
        <v>689</v>
      </c>
      <c r="CQ241" s="496" t="s">
        <v>1621</v>
      </c>
      <c r="CR241" s="496" t="s">
        <v>1621</v>
      </c>
      <c r="CS241" s="496" t="s">
        <v>1554</v>
      </c>
      <c r="CT241" s="496" t="s">
        <v>1555</v>
      </c>
      <c r="CU241" s="496" t="s">
        <v>1556</v>
      </c>
      <c r="CV241" s="497" t="s">
        <v>1557</v>
      </c>
      <c r="CX241" s="543"/>
    </row>
    <row r="242" spans="1:102" ht="21" customHeight="1">
      <c r="A242" s="553"/>
      <c r="B242" s="571" t="s">
        <v>6061</v>
      </c>
      <c r="C242" s="559" t="s">
        <v>6062</v>
      </c>
      <c r="D242" s="553"/>
      <c r="E242" s="553"/>
      <c r="F242" s="553"/>
      <c r="G242" s="553"/>
      <c r="H242" s="553"/>
      <c r="I242" s="553"/>
      <c r="J242" s="553"/>
      <c r="K242" s="553"/>
      <c r="L242" s="553"/>
      <c r="M242" s="553"/>
      <c r="N242" s="553"/>
      <c r="O242" s="553"/>
      <c r="P242" s="553"/>
      <c r="Q242" s="553"/>
      <c r="R242" s="553"/>
      <c r="S242" s="553"/>
      <c r="CM242" s="494"/>
      <c r="CN242" s="496" t="s">
        <v>1622</v>
      </c>
      <c r="CO242" s="496" t="s">
        <v>239</v>
      </c>
      <c r="CP242" s="496" t="s">
        <v>689</v>
      </c>
      <c r="CQ242" s="496" t="s">
        <v>1623</v>
      </c>
      <c r="CR242" s="496" t="s">
        <v>1623</v>
      </c>
      <c r="CS242" s="496" t="s">
        <v>1554</v>
      </c>
      <c r="CT242" s="496" t="s">
        <v>1555</v>
      </c>
      <c r="CU242" s="496" t="s">
        <v>1556</v>
      </c>
      <c r="CV242" s="497" t="s">
        <v>1557</v>
      </c>
      <c r="CX242" s="543">
        <v>1</v>
      </c>
    </row>
    <row r="243" spans="1:102" ht="21" customHeight="1">
      <c r="A243" s="553"/>
      <c r="B243" s="571"/>
      <c r="C243" s="559"/>
      <c r="D243" s="553"/>
      <c r="E243" s="553"/>
      <c r="F243" s="553"/>
      <c r="G243" s="553"/>
      <c r="H243" s="553"/>
      <c r="I243" s="553"/>
      <c r="J243" s="553"/>
      <c r="K243" s="553"/>
      <c r="L243" s="553"/>
      <c r="M243" s="553"/>
      <c r="N243" s="553"/>
      <c r="O243" s="553"/>
      <c r="P243" s="553"/>
      <c r="Q243" s="553"/>
      <c r="R243" s="553"/>
      <c r="S243" s="553"/>
      <c r="CM243" s="494"/>
      <c r="CN243" s="496" t="s">
        <v>1624</v>
      </c>
      <c r="CO243" s="496" t="s">
        <v>239</v>
      </c>
      <c r="CP243" s="496" t="s">
        <v>689</v>
      </c>
      <c r="CQ243" s="496" t="s">
        <v>1625</v>
      </c>
      <c r="CR243" s="496" t="s">
        <v>1625</v>
      </c>
      <c r="CS243" s="496" t="s">
        <v>1554</v>
      </c>
      <c r="CT243" s="496" t="s">
        <v>1555</v>
      </c>
      <c r="CU243" s="496" t="s">
        <v>1556</v>
      </c>
      <c r="CV243" s="497" t="s">
        <v>1557</v>
      </c>
      <c r="CX243" s="543">
        <v>1</v>
      </c>
    </row>
    <row r="244" spans="1:102" ht="21" customHeight="1">
      <c r="A244" s="553"/>
      <c r="B244" s="569" t="s">
        <v>6063</v>
      </c>
      <c r="C244" s="568"/>
      <c r="D244" s="553"/>
      <c r="E244" s="553"/>
      <c r="F244" s="553"/>
      <c r="G244" s="553"/>
      <c r="H244" s="553"/>
      <c r="I244" s="553"/>
      <c r="J244" s="553"/>
      <c r="K244" s="553"/>
      <c r="L244" s="553"/>
      <c r="M244" s="553"/>
      <c r="N244" s="553"/>
      <c r="O244" s="553"/>
      <c r="P244" s="553"/>
      <c r="Q244" s="553"/>
      <c r="R244" s="553"/>
      <c r="S244" s="553"/>
      <c r="CM244" s="494"/>
      <c r="CN244" s="496" t="s">
        <v>1626</v>
      </c>
      <c r="CO244" s="496" t="s">
        <v>239</v>
      </c>
      <c r="CP244" s="496" t="s">
        <v>689</v>
      </c>
      <c r="CQ244" s="496" t="s">
        <v>1627</v>
      </c>
      <c r="CR244" s="496" t="s">
        <v>1627</v>
      </c>
      <c r="CS244" s="496" t="s">
        <v>1554</v>
      </c>
      <c r="CT244" s="496" t="s">
        <v>1555</v>
      </c>
      <c r="CU244" s="496" t="s">
        <v>1556</v>
      </c>
      <c r="CV244" s="497" t="s">
        <v>1557</v>
      </c>
      <c r="CX244" s="543">
        <v>1</v>
      </c>
    </row>
    <row r="245" spans="1:102" ht="21" customHeight="1">
      <c r="A245" s="553"/>
      <c r="B245" s="562" t="s">
        <v>6064</v>
      </c>
      <c r="C245" s="559" t="s">
        <v>6065</v>
      </c>
      <c r="D245" s="553"/>
      <c r="E245" s="553"/>
      <c r="F245" s="553"/>
      <c r="G245" s="553"/>
      <c r="H245" s="553"/>
      <c r="I245" s="553"/>
      <c r="J245" s="553"/>
      <c r="K245" s="553"/>
      <c r="L245" s="553"/>
      <c r="M245" s="553"/>
      <c r="N245" s="553"/>
      <c r="O245" s="553"/>
      <c r="P245" s="553"/>
      <c r="Q245" s="553"/>
      <c r="R245" s="553"/>
      <c r="S245" s="553"/>
      <c r="CM245" s="494"/>
      <c r="CN245" s="496" t="s">
        <v>1628</v>
      </c>
      <c r="CO245" s="496" t="s">
        <v>239</v>
      </c>
      <c r="CP245" s="496" t="s">
        <v>689</v>
      </c>
      <c r="CQ245" s="496" t="s">
        <v>1629</v>
      </c>
      <c r="CR245" s="496" t="s">
        <v>1629</v>
      </c>
      <c r="CS245" s="496" t="s">
        <v>1554</v>
      </c>
      <c r="CT245" s="496" t="s">
        <v>1555</v>
      </c>
      <c r="CU245" s="496" t="s">
        <v>1556</v>
      </c>
      <c r="CV245" s="497" t="s">
        <v>1557</v>
      </c>
      <c r="CX245" s="543">
        <v>1</v>
      </c>
    </row>
    <row r="246" spans="1:102" ht="21" customHeight="1">
      <c r="A246" s="553"/>
      <c r="B246" s="571" t="s">
        <v>6066</v>
      </c>
      <c r="C246" s="572" t="s">
        <v>6067</v>
      </c>
      <c r="D246" s="553"/>
      <c r="E246" s="553"/>
      <c r="F246" s="553"/>
      <c r="G246" s="553"/>
      <c r="H246" s="553"/>
      <c r="I246" s="553"/>
      <c r="J246" s="553"/>
      <c r="K246" s="553"/>
      <c r="L246" s="553"/>
      <c r="M246" s="553"/>
      <c r="N246" s="553"/>
      <c r="O246" s="553"/>
      <c r="P246" s="553"/>
      <c r="Q246" s="553"/>
      <c r="R246" s="553"/>
      <c r="S246" s="553"/>
      <c r="CM246" s="494"/>
      <c r="CN246" s="496" t="s">
        <v>1630</v>
      </c>
      <c r="CO246" s="496" t="s">
        <v>239</v>
      </c>
      <c r="CP246" s="496" t="s">
        <v>689</v>
      </c>
      <c r="CQ246" s="496" t="s">
        <v>1631</v>
      </c>
      <c r="CR246" s="496" t="s">
        <v>1631</v>
      </c>
      <c r="CS246" s="496" t="s">
        <v>1554</v>
      </c>
      <c r="CT246" s="496" t="s">
        <v>1555</v>
      </c>
      <c r="CU246" s="496" t="s">
        <v>1556</v>
      </c>
      <c r="CV246" s="497" t="s">
        <v>1557</v>
      </c>
      <c r="CX246" s="543">
        <v>1</v>
      </c>
    </row>
    <row r="247" spans="1:102" ht="21" customHeight="1">
      <c r="A247" s="553"/>
      <c r="B247" s="571" t="s">
        <v>6068</v>
      </c>
      <c r="C247" s="572" t="s">
        <v>6069</v>
      </c>
      <c r="D247" s="553"/>
      <c r="E247" s="553"/>
      <c r="F247" s="553"/>
      <c r="G247" s="553"/>
      <c r="H247" s="553"/>
      <c r="I247" s="553"/>
      <c r="J247" s="553"/>
      <c r="K247" s="553"/>
      <c r="L247" s="553"/>
      <c r="M247" s="553"/>
      <c r="N247" s="553"/>
      <c r="O247" s="553"/>
      <c r="P247" s="553"/>
      <c r="Q247" s="553"/>
      <c r="R247" s="553"/>
      <c r="S247" s="553"/>
      <c r="CM247" s="494"/>
      <c r="CN247" s="496" t="s">
        <v>1632</v>
      </c>
      <c r="CO247" s="496" t="s">
        <v>239</v>
      </c>
      <c r="CP247" s="496" t="s">
        <v>689</v>
      </c>
      <c r="CQ247" s="496" t="s">
        <v>1633</v>
      </c>
      <c r="CR247" s="496" t="s">
        <v>1633</v>
      </c>
      <c r="CS247" s="496" t="s">
        <v>1554</v>
      </c>
      <c r="CT247" s="496" t="s">
        <v>1555</v>
      </c>
      <c r="CU247" s="496" t="s">
        <v>1556</v>
      </c>
      <c r="CV247" s="497" t="s">
        <v>1557</v>
      </c>
      <c r="CX247" s="543">
        <v>1</v>
      </c>
    </row>
    <row r="248" spans="1:102" ht="21" customHeight="1">
      <c r="A248" s="553"/>
      <c r="B248" s="571" t="s">
        <v>6070</v>
      </c>
      <c r="C248" s="559" t="s">
        <v>6071</v>
      </c>
      <c r="D248" s="553"/>
      <c r="E248" s="553"/>
      <c r="F248" s="553"/>
      <c r="G248" s="553"/>
      <c r="H248" s="553"/>
      <c r="I248" s="553"/>
      <c r="J248" s="553"/>
      <c r="K248" s="553"/>
      <c r="L248" s="553"/>
      <c r="M248" s="553"/>
      <c r="N248" s="553"/>
      <c r="O248" s="553"/>
      <c r="P248" s="553"/>
      <c r="Q248" s="553"/>
      <c r="R248" s="553"/>
      <c r="S248" s="553"/>
      <c r="CM248" s="494"/>
      <c r="CN248" s="496" t="s">
        <v>1634</v>
      </c>
      <c r="CO248" s="496" t="s">
        <v>239</v>
      </c>
      <c r="CP248" s="496" t="s">
        <v>689</v>
      </c>
      <c r="CQ248" s="496" t="s">
        <v>862</v>
      </c>
      <c r="CR248" s="496" t="s">
        <v>862</v>
      </c>
      <c r="CS248" s="496" t="s">
        <v>1554</v>
      </c>
      <c r="CT248" s="496" t="s">
        <v>1555</v>
      </c>
      <c r="CU248" s="496" t="s">
        <v>1556</v>
      </c>
      <c r="CV248" s="497" t="s">
        <v>1557</v>
      </c>
      <c r="CX248" s="543">
        <v>1</v>
      </c>
    </row>
    <row r="249" spans="1:102" ht="21" customHeight="1">
      <c r="A249" s="553"/>
      <c r="B249" s="571" t="s">
        <v>6072</v>
      </c>
      <c r="C249" s="559" t="s">
        <v>6073</v>
      </c>
      <c r="D249" s="553"/>
      <c r="E249" s="553"/>
      <c r="F249" s="553"/>
      <c r="G249" s="553"/>
      <c r="H249" s="553"/>
      <c r="I249" s="553"/>
      <c r="J249" s="553"/>
      <c r="K249" s="553"/>
      <c r="L249" s="553"/>
      <c r="M249" s="553"/>
      <c r="N249" s="553"/>
      <c r="O249" s="553"/>
      <c r="P249" s="553"/>
      <c r="Q249" s="553"/>
      <c r="R249" s="553"/>
      <c r="S249" s="553"/>
      <c r="CM249" s="494"/>
      <c r="CN249" s="496" t="s">
        <v>1635</v>
      </c>
      <c r="CO249" s="496" t="s">
        <v>239</v>
      </c>
      <c r="CP249" s="496" t="s">
        <v>689</v>
      </c>
      <c r="CQ249" s="496" t="s">
        <v>1636</v>
      </c>
      <c r="CR249" s="496" t="s">
        <v>1636</v>
      </c>
      <c r="CS249" s="496" t="s">
        <v>1554</v>
      </c>
      <c r="CT249" s="496" t="s">
        <v>1555</v>
      </c>
      <c r="CU249" s="496" t="s">
        <v>1556</v>
      </c>
      <c r="CV249" s="497" t="s">
        <v>1557</v>
      </c>
      <c r="CX249" s="543">
        <v>1</v>
      </c>
    </row>
    <row r="250" spans="1:102" ht="21" customHeight="1">
      <c r="A250" s="553"/>
      <c r="B250" s="571"/>
      <c r="C250" s="559"/>
      <c r="D250" s="553"/>
      <c r="E250" s="553"/>
      <c r="F250" s="553"/>
      <c r="G250" s="553"/>
      <c r="H250" s="553"/>
      <c r="I250" s="553"/>
      <c r="J250" s="553"/>
      <c r="K250" s="553"/>
      <c r="L250" s="553"/>
      <c r="M250" s="553"/>
      <c r="N250" s="553"/>
      <c r="O250" s="553"/>
      <c r="P250" s="553"/>
      <c r="Q250" s="553"/>
      <c r="R250" s="553"/>
      <c r="S250" s="553"/>
      <c r="CM250" s="494"/>
      <c r="CN250" s="496" t="s">
        <v>1637</v>
      </c>
      <c r="CO250" s="496" t="s">
        <v>239</v>
      </c>
      <c r="CP250" s="496" t="s">
        <v>689</v>
      </c>
      <c r="CQ250" s="496" t="s">
        <v>1638</v>
      </c>
      <c r="CR250" s="496" t="s">
        <v>1638</v>
      </c>
      <c r="CS250" s="496" t="s">
        <v>1554</v>
      </c>
      <c r="CT250" s="496" t="s">
        <v>1555</v>
      </c>
      <c r="CU250" s="496" t="s">
        <v>1556</v>
      </c>
      <c r="CV250" s="497" t="s">
        <v>1557</v>
      </c>
      <c r="CX250" s="543">
        <v>1</v>
      </c>
    </row>
    <row r="251" spans="1:102" ht="21" customHeight="1">
      <c r="A251" s="553"/>
      <c r="B251" s="567" t="s">
        <v>6074</v>
      </c>
      <c r="C251" s="565"/>
      <c r="D251" s="553"/>
      <c r="E251" s="553"/>
      <c r="F251" s="553"/>
      <c r="G251" s="553"/>
      <c r="H251" s="553"/>
      <c r="I251" s="553"/>
      <c r="J251" s="553"/>
      <c r="K251" s="553"/>
      <c r="L251" s="553"/>
      <c r="M251" s="553"/>
      <c r="N251" s="553"/>
      <c r="O251" s="553"/>
      <c r="P251" s="553"/>
      <c r="Q251" s="553"/>
      <c r="R251" s="553"/>
      <c r="S251" s="553"/>
      <c r="CM251" s="494"/>
      <c r="CN251" s="496" t="s">
        <v>1639</v>
      </c>
      <c r="CO251" s="496" t="s">
        <v>239</v>
      </c>
      <c r="CP251" s="496" t="s">
        <v>689</v>
      </c>
      <c r="CQ251" s="496" t="s">
        <v>1640</v>
      </c>
      <c r="CR251" s="496" t="s">
        <v>1640</v>
      </c>
      <c r="CS251" s="496" t="s">
        <v>1554</v>
      </c>
      <c r="CT251" s="496" t="s">
        <v>1555</v>
      </c>
      <c r="CU251" s="496" t="s">
        <v>1556</v>
      </c>
      <c r="CV251" s="497" t="s">
        <v>1557</v>
      </c>
      <c r="CX251" s="543">
        <v>1</v>
      </c>
    </row>
    <row r="252" spans="1:102" ht="21" customHeight="1">
      <c r="A252" s="553"/>
      <c r="B252" s="571"/>
      <c r="C252" s="570" t="s">
        <v>6075</v>
      </c>
      <c r="D252" s="553"/>
      <c r="E252" s="553"/>
      <c r="F252" s="553"/>
      <c r="G252" s="553"/>
      <c r="H252" s="553"/>
      <c r="I252" s="553"/>
      <c r="J252" s="553"/>
      <c r="K252" s="553"/>
      <c r="L252" s="553"/>
      <c r="M252" s="553"/>
      <c r="N252" s="553"/>
      <c r="O252" s="553"/>
      <c r="P252" s="553"/>
      <c r="Q252" s="553"/>
      <c r="R252" s="553"/>
      <c r="S252" s="553"/>
      <c r="CM252" s="494"/>
      <c r="CN252" s="496" t="s">
        <v>1641</v>
      </c>
      <c r="CO252" s="496" t="s">
        <v>239</v>
      </c>
      <c r="CP252" s="496" t="s">
        <v>689</v>
      </c>
      <c r="CQ252" s="496" t="s">
        <v>1642</v>
      </c>
      <c r="CR252" s="496" t="s">
        <v>1642</v>
      </c>
      <c r="CS252" s="496" t="s">
        <v>1554</v>
      </c>
      <c r="CT252" s="496" t="s">
        <v>1555</v>
      </c>
      <c r="CU252" s="496" t="s">
        <v>1556</v>
      </c>
      <c r="CV252" s="497" t="s">
        <v>1557</v>
      </c>
      <c r="CX252" s="543">
        <v>1</v>
      </c>
    </row>
    <row r="253" spans="1:102" ht="21" customHeight="1">
      <c r="A253" s="553"/>
      <c r="B253" s="571" t="s">
        <v>825</v>
      </c>
      <c r="C253" s="570" t="s">
        <v>6076</v>
      </c>
      <c r="D253" s="553"/>
      <c r="E253" s="553"/>
      <c r="F253" s="553"/>
      <c r="G253" s="553"/>
      <c r="H253" s="553"/>
      <c r="I253" s="553"/>
      <c r="J253" s="553"/>
      <c r="K253" s="553"/>
      <c r="L253" s="553"/>
      <c r="M253" s="553"/>
      <c r="N253" s="553"/>
      <c r="O253" s="553"/>
      <c r="P253" s="553"/>
      <c r="Q253" s="553"/>
      <c r="R253" s="553"/>
      <c r="S253" s="553"/>
      <c r="CM253" s="494"/>
      <c r="CN253" s="496" t="s">
        <v>1643</v>
      </c>
      <c r="CO253" s="496" t="s">
        <v>239</v>
      </c>
      <c r="CP253" s="496" t="s">
        <v>689</v>
      </c>
      <c r="CQ253" s="496" t="s">
        <v>1644</v>
      </c>
      <c r="CR253" s="496" t="s">
        <v>1644</v>
      </c>
      <c r="CS253" s="496" t="s">
        <v>1554</v>
      </c>
      <c r="CT253" s="496" t="s">
        <v>1555</v>
      </c>
      <c r="CU253" s="496" t="s">
        <v>1556</v>
      </c>
      <c r="CV253" s="497" t="s">
        <v>1557</v>
      </c>
      <c r="CX253" s="543">
        <v>1</v>
      </c>
    </row>
    <row r="254" spans="1:102" ht="21" customHeight="1">
      <c r="A254" s="553"/>
      <c r="B254" s="571" t="s">
        <v>6077</v>
      </c>
      <c r="C254" s="570" t="s">
        <v>6078</v>
      </c>
      <c r="D254" s="553"/>
      <c r="E254" s="553"/>
      <c r="F254" s="553"/>
      <c r="G254" s="553"/>
      <c r="H254" s="553"/>
      <c r="I254" s="553"/>
      <c r="J254" s="553"/>
      <c r="K254" s="553"/>
      <c r="L254" s="553"/>
      <c r="M254" s="553"/>
      <c r="N254" s="553"/>
      <c r="O254" s="553"/>
      <c r="P254" s="553"/>
      <c r="Q254" s="553"/>
      <c r="R254" s="553"/>
      <c r="S254" s="553"/>
      <c r="CM254" s="494"/>
      <c r="CN254" s="496" t="s">
        <v>1645</v>
      </c>
      <c r="CO254" s="496" t="s">
        <v>239</v>
      </c>
      <c r="CP254" s="496" t="s">
        <v>689</v>
      </c>
      <c r="CQ254" s="496" t="s">
        <v>1646</v>
      </c>
      <c r="CR254" s="496" t="s">
        <v>1646</v>
      </c>
      <c r="CS254" s="496" t="s">
        <v>1554</v>
      </c>
      <c r="CT254" s="496" t="s">
        <v>1555</v>
      </c>
      <c r="CU254" s="496" t="s">
        <v>1556</v>
      </c>
      <c r="CV254" s="497" t="s">
        <v>1557</v>
      </c>
      <c r="CX254" s="543">
        <v>1</v>
      </c>
    </row>
    <row r="255" spans="1:102" ht="21" customHeight="1">
      <c r="A255" s="553"/>
      <c r="B255" s="571" t="s">
        <v>6079</v>
      </c>
      <c r="C255" s="573" t="s">
        <v>6080</v>
      </c>
      <c r="D255" s="553"/>
      <c r="E255" s="553"/>
      <c r="F255" s="553"/>
      <c r="G255" s="553"/>
      <c r="H255" s="553"/>
      <c r="I255" s="553"/>
      <c r="J255" s="553"/>
      <c r="K255" s="553"/>
      <c r="L255" s="553"/>
      <c r="M255" s="553"/>
      <c r="N255" s="553"/>
      <c r="O255" s="553"/>
      <c r="P255" s="553"/>
      <c r="Q255" s="553"/>
      <c r="R255" s="553"/>
      <c r="S255" s="553"/>
      <c r="CM255" s="494"/>
      <c r="CN255" s="496" t="s">
        <v>1647</v>
      </c>
      <c r="CO255" s="496" t="s">
        <v>239</v>
      </c>
      <c r="CP255" s="496" t="s">
        <v>689</v>
      </c>
      <c r="CQ255" s="496" t="s">
        <v>1648</v>
      </c>
      <c r="CR255" s="496" t="s">
        <v>1648</v>
      </c>
      <c r="CS255" s="496" t="s">
        <v>1554</v>
      </c>
      <c r="CT255" s="496" t="s">
        <v>1555</v>
      </c>
      <c r="CU255" s="496" t="s">
        <v>1556</v>
      </c>
      <c r="CV255" s="497" t="s">
        <v>1557</v>
      </c>
      <c r="CX255" s="543">
        <v>1</v>
      </c>
    </row>
    <row r="256" spans="1:102" ht="21" customHeight="1">
      <c r="A256" s="553"/>
      <c r="B256" s="571" t="s">
        <v>6081</v>
      </c>
      <c r="C256" s="573" t="s">
        <v>6082</v>
      </c>
      <c r="D256" s="553"/>
      <c r="E256" s="553"/>
      <c r="F256" s="553"/>
      <c r="G256" s="553"/>
      <c r="H256" s="553"/>
      <c r="I256" s="553"/>
      <c r="J256" s="553"/>
      <c r="K256" s="553"/>
      <c r="L256" s="553"/>
      <c r="M256" s="553"/>
      <c r="N256" s="553"/>
      <c r="O256" s="553"/>
      <c r="P256" s="553"/>
      <c r="Q256" s="553"/>
      <c r="R256" s="553"/>
      <c r="S256" s="553"/>
      <c r="CM256" s="494"/>
      <c r="CN256" s="496" t="s">
        <v>1649</v>
      </c>
      <c r="CO256" s="496" t="s">
        <v>239</v>
      </c>
      <c r="CP256" s="496" t="s">
        <v>689</v>
      </c>
      <c r="CQ256" s="496" t="s">
        <v>1650</v>
      </c>
      <c r="CR256" s="496" t="s">
        <v>1650</v>
      </c>
      <c r="CS256" s="496" t="s">
        <v>1554</v>
      </c>
      <c r="CT256" s="496" t="s">
        <v>1555</v>
      </c>
      <c r="CU256" s="496" t="s">
        <v>1556</v>
      </c>
      <c r="CV256" s="497" t="s">
        <v>1557</v>
      </c>
      <c r="CX256" s="543">
        <v>1</v>
      </c>
    </row>
    <row r="257" spans="1:102" ht="21" customHeight="1">
      <c r="A257" s="553"/>
      <c r="B257" s="571" t="s">
        <v>6045</v>
      </c>
      <c r="C257" s="573" t="s">
        <v>6083</v>
      </c>
      <c r="D257" s="553"/>
      <c r="E257" s="553"/>
      <c r="F257" s="553"/>
      <c r="G257" s="553"/>
      <c r="H257" s="553"/>
      <c r="I257" s="553"/>
      <c r="J257" s="553"/>
      <c r="K257" s="553"/>
      <c r="L257" s="553"/>
      <c r="M257" s="553"/>
      <c r="N257" s="553"/>
      <c r="O257" s="553"/>
      <c r="P257" s="553"/>
      <c r="Q257" s="553"/>
      <c r="R257" s="553"/>
      <c r="S257" s="553"/>
      <c r="CM257" s="494"/>
      <c r="CN257" s="496" t="s">
        <v>1651</v>
      </c>
      <c r="CO257" s="496" t="s">
        <v>239</v>
      </c>
      <c r="CP257" s="496" t="s">
        <v>689</v>
      </c>
      <c r="CQ257" s="496" t="s">
        <v>1652</v>
      </c>
      <c r="CR257" s="496" t="s">
        <v>1652</v>
      </c>
      <c r="CS257" s="496" t="s">
        <v>1554</v>
      </c>
      <c r="CT257" s="496" t="s">
        <v>1555</v>
      </c>
      <c r="CU257" s="496" t="s">
        <v>1556</v>
      </c>
      <c r="CV257" s="497" t="s">
        <v>1557</v>
      </c>
      <c r="CX257" s="543">
        <v>1</v>
      </c>
    </row>
    <row r="258" spans="1:102" ht="21" customHeight="1">
      <c r="A258" s="553"/>
      <c r="B258" s="571" t="s">
        <v>6084</v>
      </c>
      <c r="C258" s="573" t="s">
        <v>6085</v>
      </c>
      <c r="D258" s="553"/>
      <c r="E258" s="553"/>
      <c r="F258" s="553"/>
      <c r="G258" s="553"/>
      <c r="H258" s="553"/>
      <c r="I258" s="553"/>
      <c r="J258" s="553"/>
      <c r="K258" s="553"/>
      <c r="L258" s="553"/>
      <c r="M258" s="553"/>
      <c r="N258" s="553"/>
      <c r="O258" s="553"/>
      <c r="P258" s="553"/>
      <c r="Q258" s="553"/>
      <c r="R258" s="553"/>
      <c r="S258" s="553"/>
      <c r="CM258" s="494"/>
      <c r="CN258" s="496" t="s">
        <v>1653</v>
      </c>
      <c r="CO258" s="496" t="s">
        <v>239</v>
      </c>
      <c r="CP258" s="496" t="s">
        <v>689</v>
      </c>
      <c r="CQ258" s="496" t="s">
        <v>1654</v>
      </c>
      <c r="CR258" s="496" t="s">
        <v>1654</v>
      </c>
      <c r="CS258" s="496" t="s">
        <v>1554</v>
      </c>
      <c r="CT258" s="496" t="s">
        <v>1555</v>
      </c>
      <c r="CU258" s="496" t="s">
        <v>1556</v>
      </c>
      <c r="CV258" s="497" t="s">
        <v>1557</v>
      </c>
      <c r="CX258" s="543">
        <v>1</v>
      </c>
    </row>
    <row r="259" spans="1:102" ht="21" customHeight="1">
      <c r="A259" s="553"/>
      <c r="B259" s="574"/>
      <c r="C259" s="572"/>
      <c r="D259" s="553"/>
      <c r="E259" s="553"/>
      <c r="F259" s="553"/>
      <c r="G259" s="553"/>
      <c r="H259" s="553"/>
      <c r="I259" s="553"/>
      <c r="J259" s="553"/>
      <c r="K259" s="553"/>
      <c r="L259" s="553"/>
      <c r="M259" s="553"/>
      <c r="N259" s="553"/>
      <c r="O259" s="553"/>
      <c r="P259" s="553"/>
      <c r="Q259" s="553"/>
      <c r="R259" s="553"/>
      <c r="S259" s="553"/>
      <c r="CM259" s="494"/>
      <c r="CN259" s="496" t="s">
        <v>1655</v>
      </c>
      <c r="CO259" s="496" t="s">
        <v>239</v>
      </c>
      <c r="CP259" s="496" t="s">
        <v>689</v>
      </c>
      <c r="CQ259" s="496" t="s">
        <v>55</v>
      </c>
      <c r="CR259" s="496" t="s">
        <v>55</v>
      </c>
      <c r="CS259" s="496" t="s">
        <v>1554</v>
      </c>
      <c r="CT259" s="496" t="s">
        <v>1561</v>
      </c>
      <c r="CU259" s="496" t="s">
        <v>1087</v>
      </c>
      <c r="CV259" s="497" t="s">
        <v>1088</v>
      </c>
      <c r="CX259" s="543">
        <v>1</v>
      </c>
    </row>
    <row r="260" spans="1:102" ht="21" customHeight="1">
      <c r="A260" s="553"/>
      <c r="B260" s="567" t="s">
        <v>6086</v>
      </c>
      <c r="C260" s="565" t="s">
        <v>6087</v>
      </c>
      <c r="D260" s="553"/>
      <c r="E260" s="553"/>
      <c r="F260" s="553"/>
      <c r="G260" s="553"/>
      <c r="H260" s="553"/>
      <c r="I260" s="553"/>
      <c r="J260" s="553"/>
      <c r="K260" s="553"/>
      <c r="L260" s="553"/>
      <c r="M260" s="553"/>
      <c r="N260" s="553"/>
      <c r="O260" s="553"/>
      <c r="P260" s="553"/>
      <c r="Q260" s="553"/>
      <c r="R260" s="553"/>
      <c r="S260" s="553"/>
      <c r="CM260" s="494"/>
      <c r="CN260" s="496" t="s">
        <v>1656</v>
      </c>
      <c r="CO260" s="496" t="s">
        <v>239</v>
      </c>
      <c r="CP260" s="496" t="s">
        <v>689</v>
      </c>
      <c r="CQ260" s="496" t="s">
        <v>143</v>
      </c>
      <c r="CR260" s="496" t="s">
        <v>143</v>
      </c>
      <c r="CS260" s="496" t="s">
        <v>1554</v>
      </c>
      <c r="CT260" s="496" t="s">
        <v>1555</v>
      </c>
      <c r="CU260" s="496" t="s">
        <v>1556</v>
      </c>
      <c r="CV260" s="497" t="s">
        <v>1557</v>
      </c>
      <c r="CX260" s="543">
        <v>1</v>
      </c>
    </row>
    <row r="261" spans="1:102" ht="21" customHeight="1">
      <c r="A261" s="553"/>
      <c r="B261" s="574"/>
      <c r="C261" s="565" t="s">
        <v>6088</v>
      </c>
      <c r="D261" s="553"/>
      <c r="E261" s="553"/>
      <c r="F261" s="553"/>
      <c r="G261" s="553"/>
      <c r="H261" s="553"/>
      <c r="I261" s="553"/>
      <c r="J261" s="553"/>
      <c r="K261" s="553"/>
      <c r="L261" s="553"/>
      <c r="M261" s="553"/>
      <c r="N261" s="553"/>
      <c r="O261" s="553"/>
      <c r="P261" s="553"/>
      <c r="Q261" s="553"/>
      <c r="R261" s="553"/>
      <c r="S261" s="553"/>
      <c r="CM261" s="494"/>
      <c r="CN261" s="496" t="s">
        <v>1657</v>
      </c>
      <c r="CO261" s="496" t="s">
        <v>239</v>
      </c>
      <c r="CP261" s="496" t="s">
        <v>689</v>
      </c>
      <c r="CQ261" s="496" t="s">
        <v>1658</v>
      </c>
      <c r="CR261" s="496" t="s">
        <v>1658</v>
      </c>
      <c r="CS261" s="496" t="s">
        <v>1554</v>
      </c>
      <c r="CT261" s="496" t="s">
        <v>1555</v>
      </c>
      <c r="CU261" s="496" t="s">
        <v>1556</v>
      </c>
      <c r="CV261" s="497" t="s">
        <v>1557</v>
      </c>
      <c r="CX261" s="543">
        <v>1</v>
      </c>
    </row>
    <row r="262" spans="1:102" ht="21" customHeight="1">
      <c r="A262" s="553"/>
      <c r="B262" s="574"/>
      <c r="C262" s="572"/>
      <c r="D262" s="553"/>
      <c r="E262" s="553"/>
      <c r="F262" s="553"/>
      <c r="G262" s="553"/>
      <c r="H262" s="553"/>
      <c r="I262" s="553"/>
      <c r="J262" s="553"/>
      <c r="K262" s="553"/>
      <c r="L262" s="553"/>
      <c r="M262" s="553"/>
      <c r="N262" s="553"/>
      <c r="O262" s="553"/>
      <c r="P262" s="553"/>
      <c r="Q262" s="553"/>
      <c r="R262" s="553"/>
      <c r="S262" s="553"/>
      <c r="CM262" s="494"/>
      <c r="CN262" s="496" t="s">
        <v>1659</v>
      </c>
      <c r="CO262" s="496" t="s">
        <v>239</v>
      </c>
      <c r="CP262" s="496" t="s">
        <v>689</v>
      </c>
      <c r="CQ262" s="496" t="s">
        <v>1660</v>
      </c>
      <c r="CR262" s="496" t="s">
        <v>1660</v>
      </c>
      <c r="CS262" s="496" t="s">
        <v>1554</v>
      </c>
      <c r="CT262" s="496" t="s">
        <v>1555</v>
      </c>
      <c r="CU262" s="496" t="s">
        <v>1556</v>
      </c>
      <c r="CV262" s="497" t="s">
        <v>1557</v>
      </c>
      <c r="CX262" s="543">
        <v>1</v>
      </c>
    </row>
    <row r="263" spans="1:102" ht="21" customHeight="1">
      <c r="A263" s="553"/>
      <c r="B263" s="575" t="s">
        <v>6089</v>
      </c>
      <c r="C263" s="553"/>
      <c r="D263" s="553"/>
      <c r="E263" s="553"/>
      <c r="F263" s="553"/>
      <c r="G263" s="553"/>
      <c r="H263" s="553"/>
      <c r="I263" s="553"/>
      <c r="J263" s="553"/>
      <c r="K263" s="553"/>
      <c r="L263" s="553"/>
      <c r="M263" s="553"/>
      <c r="N263" s="553"/>
      <c r="O263" s="553"/>
      <c r="P263" s="553"/>
      <c r="Q263" s="553"/>
      <c r="R263" s="553"/>
      <c r="S263" s="553"/>
      <c r="CM263" s="494"/>
      <c r="CN263" s="496" t="s">
        <v>1661</v>
      </c>
      <c r="CO263" s="496" t="s">
        <v>239</v>
      </c>
      <c r="CP263" s="496" t="s">
        <v>689</v>
      </c>
      <c r="CQ263" s="496" t="s">
        <v>1662</v>
      </c>
      <c r="CR263" s="496" t="s">
        <v>1662</v>
      </c>
      <c r="CS263" s="496" t="s">
        <v>1554</v>
      </c>
      <c r="CT263" s="496" t="s">
        <v>1555</v>
      </c>
      <c r="CU263" s="496" t="s">
        <v>1556</v>
      </c>
      <c r="CV263" s="497" t="s">
        <v>1557</v>
      </c>
      <c r="CX263" s="543">
        <v>1</v>
      </c>
    </row>
    <row r="264" spans="1:102" ht="21" customHeight="1">
      <c r="A264" s="553"/>
      <c r="B264" s="533" t="s">
        <v>6090</v>
      </c>
      <c r="C264" s="553"/>
      <c r="D264" s="553"/>
      <c r="E264" s="553"/>
      <c r="F264" s="553"/>
      <c r="G264" s="553"/>
      <c r="H264" s="553"/>
      <c r="I264" s="553"/>
      <c r="J264" s="553"/>
      <c r="K264" s="553"/>
      <c r="L264" s="553"/>
      <c r="M264" s="553"/>
      <c r="N264" s="553"/>
      <c r="O264" s="553"/>
      <c r="P264" s="553"/>
      <c r="Q264" s="553"/>
      <c r="R264" s="553"/>
      <c r="S264" s="553"/>
      <c r="CM264" s="494"/>
      <c r="CN264" s="496" t="s">
        <v>1663</v>
      </c>
      <c r="CO264" s="496" t="s">
        <v>239</v>
      </c>
      <c r="CP264" s="496" t="s">
        <v>689</v>
      </c>
      <c r="CQ264" s="496" t="s">
        <v>1664</v>
      </c>
      <c r="CR264" s="496" t="s">
        <v>1664</v>
      </c>
      <c r="CS264" s="496" t="s">
        <v>1554</v>
      </c>
      <c r="CT264" s="496" t="s">
        <v>1555</v>
      </c>
      <c r="CU264" s="496" t="s">
        <v>1556</v>
      </c>
      <c r="CV264" s="497" t="s">
        <v>1557</v>
      </c>
      <c r="CX264" s="543">
        <v>1</v>
      </c>
    </row>
    <row r="265" spans="1:102" ht="21" customHeight="1">
      <c r="A265" s="553"/>
      <c r="B265" s="533" t="s">
        <v>6091</v>
      </c>
      <c r="C265" s="553"/>
      <c r="D265" s="553"/>
      <c r="E265" s="553"/>
      <c r="F265" s="553"/>
      <c r="G265" s="553"/>
      <c r="H265" s="553"/>
      <c r="I265" s="553"/>
      <c r="J265" s="553"/>
      <c r="K265" s="553"/>
      <c r="L265" s="553"/>
      <c r="M265" s="553"/>
      <c r="N265" s="553"/>
      <c r="O265" s="553"/>
      <c r="P265" s="553"/>
      <c r="Q265" s="553"/>
      <c r="R265" s="553"/>
      <c r="S265" s="553"/>
      <c r="CM265" s="494"/>
      <c r="CN265" s="496" t="s">
        <v>1665</v>
      </c>
      <c r="CO265" s="496" t="s">
        <v>239</v>
      </c>
      <c r="CP265" s="496" t="s">
        <v>689</v>
      </c>
      <c r="CQ265" s="496" t="s">
        <v>1666</v>
      </c>
      <c r="CR265" s="496" t="s">
        <v>1666</v>
      </c>
      <c r="CS265" s="496" t="s">
        <v>1554</v>
      </c>
      <c r="CT265" s="496" t="s">
        <v>1555</v>
      </c>
      <c r="CU265" s="496" t="s">
        <v>1556</v>
      </c>
      <c r="CV265" s="497" t="s">
        <v>1557</v>
      </c>
      <c r="CX265" s="543">
        <v>1</v>
      </c>
    </row>
    <row r="266" spans="1:102" ht="21" customHeight="1">
      <c r="A266" s="553"/>
      <c r="B266" s="533" t="s">
        <v>6092</v>
      </c>
      <c r="C266" s="553"/>
      <c r="D266" s="553"/>
      <c r="E266" s="553"/>
      <c r="F266" s="553"/>
      <c r="G266" s="553"/>
      <c r="H266" s="553"/>
      <c r="I266" s="553"/>
      <c r="J266" s="553"/>
      <c r="K266" s="553"/>
      <c r="L266" s="553"/>
      <c r="M266" s="553"/>
      <c r="N266" s="553"/>
      <c r="O266" s="553"/>
      <c r="P266" s="553"/>
      <c r="Q266" s="553"/>
      <c r="R266" s="553"/>
      <c r="S266" s="553"/>
      <c r="CM266" s="494"/>
      <c r="CN266" s="496" t="s">
        <v>1667</v>
      </c>
      <c r="CO266" s="496" t="s">
        <v>239</v>
      </c>
      <c r="CP266" s="496" t="s">
        <v>689</v>
      </c>
      <c r="CQ266" s="496" t="s">
        <v>1668</v>
      </c>
      <c r="CR266" s="496" t="s">
        <v>1668</v>
      </c>
      <c r="CS266" s="496" t="s">
        <v>1554</v>
      </c>
      <c r="CT266" s="496" t="s">
        <v>1555</v>
      </c>
      <c r="CU266" s="496" t="s">
        <v>1556</v>
      </c>
      <c r="CV266" s="497" t="s">
        <v>1557</v>
      </c>
      <c r="CX266" s="543">
        <v>1</v>
      </c>
    </row>
    <row r="267" spans="1:102" ht="21" customHeight="1">
      <c r="A267" s="553"/>
      <c r="B267" s="533" t="s">
        <v>6093</v>
      </c>
      <c r="C267" s="553"/>
      <c r="D267" s="553"/>
      <c r="E267" s="553"/>
      <c r="F267" s="553"/>
      <c r="G267" s="553"/>
      <c r="H267" s="553"/>
      <c r="I267" s="553"/>
      <c r="J267" s="553"/>
      <c r="K267" s="553"/>
      <c r="L267" s="553"/>
      <c r="M267" s="553"/>
      <c r="N267" s="553"/>
      <c r="O267" s="553"/>
      <c r="P267" s="553"/>
      <c r="Q267" s="553"/>
      <c r="R267" s="553"/>
      <c r="S267" s="553"/>
      <c r="CM267" s="494"/>
      <c r="CN267" s="496" t="s">
        <v>1669</v>
      </c>
      <c r="CO267" s="496" t="s">
        <v>239</v>
      </c>
      <c r="CP267" s="496" t="s">
        <v>689</v>
      </c>
      <c r="CQ267" s="496" t="s">
        <v>288</v>
      </c>
      <c r="CR267" s="496" t="s">
        <v>152</v>
      </c>
      <c r="CS267" s="496" t="s">
        <v>1554</v>
      </c>
      <c r="CT267" s="496" t="s">
        <v>1561</v>
      </c>
      <c r="CU267" s="496" t="s">
        <v>1087</v>
      </c>
      <c r="CV267" s="497" t="s">
        <v>1088</v>
      </c>
      <c r="CX267" s="543">
        <v>1</v>
      </c>
    </row>
    <row r="268" spans="1:102" ht="21" customHeight="1">
      <c r="A268" s="553"/>
      <c r="B268" s="533" t="s">
        <v>6094</v>
      </c>
      <c r="C268" s="553"/>
      <c r="D268" s="553"/>
      <c r="E268" s="553"/>
      <c r="F268" s="553"/>
      <c r="G268" s="553"/>
      <c r="H268" s="553"/>
      <c r="I268" s="553"/>
      <c r="J268" s="553"/>
      <c r="K268" s="553"/>
      <c r="L268" s="553"/>
      <c r="M268" s="553"/>
      <c r="N268" s="553"/>
      <c r="O268" s="553"/>
      <c r="P268" s="553"/>
      <c r="Q268" s="553"/>
      <c r="R268" s="553"/>
      <c r="S268" s="553"/>
      <c r="CM268" s="494"/>
      <c r="CN268" s="496" t="s">
        <v>1670</v>
      </c>
      <c r="CO268" s="496" t="s">
        <v>239</v>
      </c>
      <c r="CP268" s="496" t="s">
        <v>689</v>
      </c>
      <c r="CQ268" s="496" t="s">
        <v>1671</v>
      </c>
      <c r="CR268" s="496" t="s">
        <v>1671</v>
      </c>
      <c r="CS268" s="496" t="s">
        <v>1554</v>
      </c>
      <c r="CT268" s="496" t="s">
        <v>1555</v>
      </c>
      <c r="CU268" s="496" t="s">
        <v>1556</v>
      </c>
      <c r="CV268" s="497" t="s">
        <v>1557</v>
      </c>
      <c r="CX268" s="543">
        <v>1</v>
      </c>
    </row>
    <row r="269" spans="1:102" ht="21" customHeight="1">
      <c r="A269" s="553"/>
      <c r="B269" s="533" t="s">
        <v>6095</v>
      </c>
      <c r="C269" s="553"/>
      <c r="D269" s="553"/>
      <c r="E269" s="553"/>
      <c r="F269" s="553"/>
      <c r="G269" s="553"/>
      <c r="H269" s="553"/>
      <c r="I269" s="553"/>
      <c r="J269" s="553"/>
      <c r="K269" s="553"/>
      <c r="L269" s="553"/>
      <c r="M269" s="553"/>
      <c r="N269" s="553"/>
      <c r="O269" s="553"/>
      <c r="P269" s="553"/>
      <c r="Q269" s="553"/>
      <c r="R269" s="553"/>
      <c r="S269" s="553"/>
      <c r="CM269" s="494"/>
      <c r="CN269" s="496" t="s">
        <v>1672</v>
      </c>
      <c r="CO269" s="496" t="s">
        <v>239</v>
      </c>
      <c r="CP269" s="496" t="s">
        <v>689</v>
      </c>
      <c r="CQ269" s="496" t="s">
        <v>1673</v>
      </c>
      <c r="CR269" s="496" t="s">
        <v>1674</v>
      </c>
      <c r="CS269" s="496" t="s">
        <v>1554</v>
      </c>
      <c r="CT269" s="496" t="s">
        <v>1561</v>
      </c>
      <c r="CU269" s="496" t="s">
        <v>1087</v>
      </c>
      <c r="CV269" s="497" t="s">
        <v>1088</v>
      </c>
      <c r="CX269" s="543">
        <v>1</v>
      </c>
    </row>
    <row r="270" spans="1:102" ht="21" customHeight="1">
      <c r="A270" s="553"/>
      <c r="B270" s="533" t="s">
        <v>6096</v>
      </c>
      <c r="C270" s="553"/>
      <c r="D270" s="553"/>
      <c r="E270" s="553"/>
      <c r="F270" s="553"/>
      <c r="G270" s="553"/>
      <c r="H270" s="553"/>
      <c r="I270" s="553"/>
      <c r="J270" s="553"/>
      <c r="K270" s="553"/>
      <c r="L270" s="553"/>
      <c r="M270" s="553"/>
      <c r="N270" s="553"/>
      <c r="O270" s="553"/>
      <c r="P270" s="553"/>
      <c r="Q270" s="553"/>
      <c r="R270" s="553"/>
      <c r="S270" s="553"/>
      <c r="CM270" s="494"/>
      <c r="CN270" s="496" t="s">
        <v>1675</v>
      </c>
      <c r="CO270" s="496" t="s">
        <v>239</v>
      </c>
      <c r="CP270" s="496" t="s">
        <v>689</v>
      </c>
      <c r="CQ270" s="496" t="s">
        <v>1676</v>
      </c>
      <c r="CR270" s="496" t="s">
        <v>866</v>
      </c>
      <c r="CS270" s="496" t="s">
        <v>1554</v>
      </c>
      <c r="CT270" s="496" t="s">
        <v>1561</v>
      </c>
      <c r="CU270" s="496" t="s">
        <v>1087</v>
      </c>
      <c r="CV270" s="497" t="s">
        <v>1088</v>
      </c>
      <c r="CX270" s="543">
        <v>1</v>
      </c>
    </row>
    <row r="271" spans="1:102" ht="21" customHeight="1">
      <c r="A271" s="553"/>
      <c r="B271" s="533" t="s">
        <v>6097</v>
      </c>
      <c r="C271" s="553"/>
      <c r="D271" s="553"/>
      <c r="E271" s="553"/>
      <c r="F271" s="553"/>
      <c r="G271" s="553"/>
      <c r="H271" s="553"/>
      <c r="I271" s="553"/>
      <c r="J271" s="553"/>
      <c r="K271" s="553"/>
      <c r="L271" s="553"/>
      <c r="M271" s="553"/>
      <c r="N271" s="553"/>
      <c r="O271" s="553"/>
      <c r="P271" s="553"/>
      <c r="Q271" s="553"/>
      <c r="R271" s="553"/>
      <c r="S271" s="553"/>
      <c r="CM271" s="494"/>
      <c r="CN271" s="496" t="s">
        <v>1677</v>
      </c>
      <c r="CO271" s="496" t="s">
        <v>239</v>
      </c>
      <c r="CP271" s="496" t="s">
        <v>689</v>
      </c>
      <c r="CQ271" s="496" t="s">
        <v>868</v>
      </c>
      <c r="CR271" s="496" t="s">
        <v>868</v>
      </c>
      <c r="CS271" s="496" t="s">
        <v>1554</v>
      </c>
      <c r="CT271" s="496" t="s">
        <v>1555</v>
      </c>
      <c r="CU271" s="496" t="s">
        <v>1556</v>
      </c>
      <c r="CV271" s="497" t="s">
        <v>1557</v>
      </c>
      <c r="CX271" s="543">
        <v>1</v>
      </c>
    </row>
    <row r="272" spans="1:102" ht="21" customHeight="1">
      <c r="A272" s="553"/>
      <c r="B272" s="533" t="s">
        <v>6098</v>
      </c>
      <c r="C272" s="553"/>
      <c r="D272" s="553"/>
      <c r="E272" s="553"/>
      <c r="F272" s="553"/>
      <c r="G272" s="553"/>
      <c r="H272" s="553"/>
      <c r="I272" s="553"/>
      <c r="J272" s="553"/>
      <c r="K272" s="553"/>
      <c r="L272" s="553"/>
      <c r="M272" s="553"/>
      <c r="N272" s="553"/>
      <c r="O272" s="553"/>
      <c r="P272" s="553"/>
      <c r="Q272" s="553"/>
      <c r="R272" s="553"/>
      <c r="S272" s="553"/>
      <c r="CM272" s="494"/>
      <c r="CN272" s="496" t="s">
        <v>1678</v>
      </c>
      <c r="CO272" s="496" t="s">
        <v>239</v>
      </c>
      <c r="CP272" s="496" t="s">
        <v>689</v>
      </c>
      <c r="CQ272" s="496" t="s">
        <v>1679</v>
      </c>
      <c r="CR272" s="496" t="s">
        <v>1679</v>
      </c>
      <c r="CS272" s="496" t="s">
        <v>1554</v>
      </c>
      <c r="CT272" s="496" t="s">
        <v>1555</v>
      </c>
      <c r="CU272" s="496" t="s">
        <v>1556</v>
      </c>
      <c r="CV272" s="497" t="s">
        <v>1557</v>
      </c>
      <c r="CX272" s="543">
        <v>1</v>
      </c>
    </row>
    <row r="273" spans="1:102" ht="21" customHeight="1">
      <c r="A273" s="553"/>
      <c r="B273" s="533"/>
      <c r="C273" s="553"/>
      <c r="D273" s="553"/>
      <c r="E273" s="553"/>
      <c r="F273" s="553"/>
      <c r="G273" s="553"/>
      <c r="H273" s="553"/>
      <c r="I273" s="553"/>
      <c r="J273" s="553"/>
      <c r="K273" s="553"/>
      <c r="L273" s="553"/>
      <c r="M273" s="553"/>
      <c r="N273" s="553"/>
      <c r="O273" s="553"/>
      <c r="P273" s="553"/>
      <c r="Q273" s="553"/>
      <c r="R273" s="553"/>
      <c r="S273" s="553"/>
      <c r="CM273" s="494"/>
      <c r="CN273" s="496" t="s">
        <v>1680</v>
      </c>
      <c r="CO273" s="496" t="s">
        <v>239</v>
      </c>
      <c r="CP273" s="496" t="s">
        <v>689</v>
      </c>
      <c r="CQ273" s="496" t="s">
        <v>1681</v>
      </c>
      <c r="CR273" s="496" t="s">
        <v>1681</v>
      </c>
      <c r="CS273" s="496" t="s">
        <v>1554</v>
      </c>
      <c r="CT273" s="496" t="s">
        <v>1555</v>
      </c>
      <c r="CU273" s="496" t="s">
        <v>1556</v>
      </c>
      <c r="CV273" s="497" t="s">
        <v>1557</v>
      </c>
      <c r="CX273" s="543">
        <v>1</v>
      </c>
    </row>
    <row r="274" spans="1:102" ht="21" customHeight="1">
      <c r="CM274" s="494"/>
      <c r="CN274" s="496" t="s">
        <v>1682</v>
      </c>
      <c r="CO274" s="496" t="s">
        <v>239</v>
      </c>
      <c r="CP274" s="496" t="s">
        <v>689</v>
      </c>
      <c r="CQ274" s="496" t="s">
        <v>1683</v>
      </c>
      <c r="CR274" s="496" t="s">
        <v>1683</v>
      </c>
      <c r="CS274" s="496" t="s">
        <v>1554</v>
      </c>
      <c r="CT274" s="496" t="s">
        <v>1555</v>
      </c>
      <c r="CU274" s="496" t="s">
        <v>1556</v>
      </c>
      <c r="CV274" s="497" t="s">
        <v>1557</v>
      </c>
      <c r="CX274" s="543">
        <v>1</v>
      </c>
    </row>
    <row r="275" spans="1:102" ht="21" customHeight="1">
      <c r="CM275" s="494"/>
      <c r="CN275" s="496" t="s">
        <v>1684</v>
      </c>
      <c r="CO275" s="496" t="s">
        <v>239</v>
      </c>
      <c r="CP275" s="496" t="s">
        <v>689</v>
      </c>
      <c r="CQ275" s="496" t="s">
        <v>1685</v>
      </c>
      <c r="CR275" s="496" t="s">
        <v>1685</v>
      </c>
      <c r="CS275" s="496" t="s">
        <v>1554</v>
      </c>
      <c r="CT275" s="496" t="s">
        <v>1561</v>
      </c>
      <c r="CU275" s="496" t="s">
        <v>1087</v>
      </c>
      <c r="CV275" s="497" t="s">
        <v>1088</v>
      </c>
      <c r="CX275" s="543">
        <v>1</v>
      </c>
    </row>
    <row r="276" spans="1:102" ht="21" customHeight="1">
      <c r="CM276" s="494"/>
      <c r="CN276" s="496" t="s">
        <v>1686</v>
      </c>
      <c r="CO276" s="496" t="s">
        <v>239</v>
      </c>
      <c r="CP276" s="496" t="s">
        <v>689</v>
      </c>
      <c r="CQ276" s="496" t="s">
        <v>67</v>
      </c>
      <c r="CR276" s="496" t="s">
        <v>67</v>
      </c>
      <c r="CS276" s="496" t="s">
        <v>1554</v>
      </c>
      <c r="CT276" s="496" t="s">
        <v>1561</v>
      </c>
      <c r="CU276" s="496" t="s">
        <v>1087</v>
      </c>
      <c r="CV276" s="497" t="s">
        <v>1088</v>
      </c>
      <c r="CX276" s="543">
        <v>1</v>
      </c>
    </row>
    <row r="277" spans="1:102" ht="21" customHeight="1">
      <c r="CM277" s="494"/>
      <c r="CN277" s="496" t="s">
        <v>1687</v>
      </c>
      <c r="CO277" s="496" t="s">
        <v>239</v>
      </c>
      <c r="CP277" s="496" t="s">
        <v>689</v>
      </c>
      <c r="CQ277" s="496" t="s">
        <v>1688</v>
      </c>
      <c r="CR277" s="496" t="s">
        <v>1688</v>
      </c>
      <c r="CS277" s="496" t="s">
        <v>1554</v>
      </c>
      <c r="CT277" s="496" t="s">
        <v>1555</v>
      </c>
      <c r="CU277" s="496" t="s">
        <v>1556</v>
      </c>
      <c r="CV277" s="497" t="s">
        <v>1557</v>
      </c>
      <c r="CX277" s="543">
        <v>1</v>
      </c>
    </row>
    <row r="278" spans="1:102" ht="21" customHeight="1">
      <c r="CM278" s="494"/>
      <c r="CN278" s="496" t="s">
        <v>1689</v>
      </c>
      <c r="CO278" s="496" t="s">
        <v>239</v>
      </c>
      <c r="CP278" s="496" t="s">
        <v>689</v>
      </c>
      <c r="CQ278" s="496" t="s">
        <v>81</v>
      </c>
      <c r="CR278" s="496" t="s">
        <v>81</v>
      </c>
      <c r="CS278" s="496" t="s">
        <v>1554</v>
      </c>
      <c r="CT278" s="496" t="s">
        <v>1555</v>
      </c>
      <c r="CU278" s="496" t="s">
        <v>1556</v>
      </c>
      <c r="CV278" s="497" t="s">
        <v>1557</v>
      </c>
      <c r="CX278" s="543">
        <v>1</v>
      </c>
    </row>
    <row r="279" spans="1:102" ht="21" customHeight="1">
      <c r="CM279" s="494"/>
      <c r="CN279" s="496" t="s">
        <v>1690</v>
      </c>
      <c r="CO279" s="496" t="s">
        <v>239</v>
      </c>
      <c r="CP279" s="496" t="s">
        <v>689</v>
      </c>
      <c r="CQ279" s="496" t="s">
        <v>1691</v>
      </c>
      <c r="CR279" s="496" t="s">
        <v>1691</v>
      </c>
      <c r="CS279" s="496" t="s">
        <v>1554</v>
      </c>
      <c r="CT279" s="496" t="s">
        <v>1555</v>
      </c>
      <c r="CU279" s="496" t="s">
        <v>1556</v>
      </c>
      <c r="CV279" s="497" t="s">
        <v>1557</v>
      </c>
      <c r="CX279" s="543">
        <v>1</v>
      </c>
    </row>
    <row r="280" spans="1:102" ht="21" customHeight="1">
      <c r="CM280" s="494"/>
      <c r="CN280" s="496" t="s">
        <v>1692</v>
      </c>
      <c r="CO280" s="496" t="s">
        <v>239</v>
      </c>
      <c r="CP280" s="496" t="s">
        <v>689</v>
      </c>
      <c r="CQ280" s="496" t="s">
        <v>870</v>
      </c>
      <c r="CR280" s="496" t="s">
        <v>870</v>
      </c>
      <c r="CS280" s="496" t="s">
        <v>1554</v>
      </c>
      <c r="CT280" s="496" t="s">
        <v>1555</v>
      </c>
      <c r="CU280" s="496" t="s">
        <v>1556</v>
      </c>
      <c r="CV280" s="497" t="s">
        <v>1557</v>
      </c>
      <c r="CX280" s="543">
        <v>1</v>
      </c>
    </row>
    <row r="281" spans="1:102" ht="21" customHeight="1">
      <c r="CM281" s="494"/>
      <c r="CN281" s="496" t="s">
        <v>1693</v>
      </c>
      <c r="CO281" s="496" t="s">
        <v>239</v>
      </c>
      <c r="CP281" s="496" t="s">
        <v>689</v>
      </c>
      <c r="CQ281" s="496" t="s">
        <v>1694</v>
      </c>
      <c r="CR281" s="496" t="s">
        <v>1694</v>
      </c>
      <c r="CS281" s="496" t="s">
        <v>1554</v>
      </c>
      <c r="CT281" s="496" t="s">
        <v>1555</v>
      </c>
      <c r="CU281" s="496" t="s">
        <v>1556</v>
      </c>
      <c r="CV281" s="497" t="s">
        <v>1557</v>
      </c>
      <c r="CX281" s="543">
        <v>1</v>
      </c>
    </row>
    <row r="282" spans="1:102" ht="21" customHeight="1">
      <c r="CM282" s="494"/>
      <c r="CN282" s="496" t="s">
        <v>1695</v>
      </c>
      <c r="CO282" s="496" t="s">
        <v>239</v>
      </c>
      <c r="CP282" s="496" t="s">
        <v>689</v>
      </c>
      <c r="CQ282" s="496" t="s">
        <v>1696</v>
      </c>
      <c r="CR282" s="496" t="s">
        <v>1696</v>
      </c>
      <c r="CS282" s="496" t="s">
        <v>1554</v>
      </c>
      <c r="CT282" s="496" t="s">
        <v>1561</v>
      </c>
      <c r="CU282" s="496" t="s">
        <v>1087</v>
      </c>
      <c r="CV282" s="497" t="s">
        <v>1088</v>
      </c>
      <c r="CX282" s="543">
        <v>1</v>
      </c>
    </row>
    <row r="283" spans="1:102" ht="21" customHeight="1">
      <c r="CM283" s="494"/>
      <c r="CN283" s="496" t="s">
        <v>1697</v>
      </c>
      <c r="CO283" s="496" t="s">
        <v>239</v>
      </c>
      <c r="CP283" s="496" t="s">
        <v>689</v>
      </c>
      <c r="CQ283" s="496" t="s">
        <v>1698</v>
      </c>
      <c r="CR283" s="496" t="s">
        <v>1698</v>
      </c>
      <c r="CS283" s="496" t="s">
        <v>1554</v>
      </c>
      <c r="CT283" s="496" t="s">
        <v>1555</v>
      </c>
      <c r="CU283" s="496" t="s">
        <v>1556</v>
      </c>
      <c r="CV283" s="497" t="s">
        <v>1557</v>
      </c>
      <c r="CX283" s="543">
        <v>1</v>
      </c>
    </row>
    <row r="284" spans="1:102" ht="21" customHeight="1">
      <c r="CM284" s="494"/>
      <c r="CN284" s="496" t="s">
        <v>1699</v>
      </c>
      <c r="CO284" s="496" t="s">
        <v>239</v>
      </c>
      <c r="CP284" s="496" t="s">
        <v>689</v>
      </c>
      <c r="CQ284" s="496" t="s">
        <v>1700</v>
      </c>
      <c r="CR284" s="496" t="s">
        <v>1700</v>
      </c>
      <c r="CS284" s="496" t="s">
        <v>1554</v>
      </c>
      <c r="CT284" s="496" t="s">
        <v>1555</v>
      </c>
      <c r="CU284" s="496" t="s">
        <v>1556</v>
      </c>
      <c r="CV284" s="497" t="s">
        <v>1557</v>
      </c>
      <c r="CX284" s="543">
        <v>1</v>
      </c>
    </row>
    <row r="285" spans="1:102" ht="21" customHeight="1">
      <c r="CM285" s="494"/>
      <c r="CN285" s="496" t="s">
        <v>1701</v>
      </c>
      <c r="CO285" s="496" t="s">
        <v>239</v>
      </c>
      <c r="CP285" s="496" t="s">
        <v>689</v>
      </c>
      <c r="CQ285" s="496" t="s">
        <v>1702</v>
      </c>
      <c r="CR285" s="496" t="s">
        <v>1703</v>
      </c>
      <c r="CS285" s="496" t="s">
        <v>1554</v>
      </c>
      <c r="CT285" s="496" t="s">
        <v>1561</v>
      </c>
      <c r="CU285" s="496" t="s">
        <v>1087</v>
      </c>
      <c r="CV285" s="497" t="s">
        <v>1088</v>
      </c>
      <c r="CX285" s="543">
        <v>1</v>
      </c>
    </row>
    <row r="286" spans="1:102" ht="21" customHeight="1">
      <c r="CM286" s="494"/>
      <c r="CN286" s="496" t="s">
        <v>1704</v>
      </c>
      <c r="CO286" s="496" t="s">
        <v>239</v>
      </c>
      <c r="CP286" s="496" t="s">
        <v>689</v>
      </c>
      <c r="CQ286" s="496" t="s">
        <v>93</v>
      </c>
      <c r="CR286" s="496" t="s">
        <v>93</v>
      </c>
      <c r="CS286" s="496" t="s">
        <v>1554</v>
      </c>
      <c r="CT286" s="496" t="s">
        <v>1555</v>
      </c>
      <c r="CU286" s="496" t="s">
        <v>1556</v>
      </c>
      <c r="CV286" s="497" t="s">
        <v>1557</v>
      </c>
      <c r="CX286" s="543">
        <v>1</v>
      </c>
    </row>
    <row r="287" spans="1:102" ht="21" customHeight="1">
      <c r="CM287" s="494"/>
      <c r="CN287" s="496" t="s">
        <v>1705</v>
      </c>
      <c r="CO287" s="496" t="s">
        <v>239</v>
      </c>
      <c r="CP287" s="496" t="s">
        <v>689</v>
      </c>
      <c r="CQ287" s="496" t="s">
        <v>1706</v>
      </c>
      <c r="CR287" s="496" t="s">
        <v>1706</v>
      </c>
      <c r="CS287" s="496" t="s">
        <v>1554</v>
      </c>
      <c r="CT287" s="496" t="s">
        <v>1555</v>
      </c>
      <c r="CU287" s="496" t="s">
        <v>1556</v>
      </c>
      <c r="CV287" s="497" t="s">
        <v>1557</v>
      </c>
      <c r="CX287" s="543">
        <v>1</v>
      </c>
    </row>
    <row r="288" spans="1:102" ht="21" customHeight="1">
      <c r="CM288" s="494"/>
      <c r="CN288" s="496" t="s">
        <v>1707</v>
      </c>
      <c r="CO288" s="496" t="s">
        <v>239</v>
      </c>
      <c r="CP288" s="496" t="s">
        <v>689</v>
      </c>
      <c r="CQ288" s="496" t="s">
        <v>1708</v>
      </c>
      <c r="CR288" s="496" t="s">
        <v>1708</v>
      </c>
      <c r="CS288" s="496" t="s">
        <v>1554</v>
      </c>
      <c r="CT288" s="496" t="s">
        <v>1555</v>
      </c>
      <c r="CU288" s="496" t="s">
        <v>1556</v>
      </c>
      <c r="CV288" s="497" t="s">
        <v>1557</v>
      </c>
      <c r="CX288" s="543">
        <v>1</v>
      </c>
    </row>
    <row r="289" spans="91:102" ht="21" customHeight="1">
      <c r="CM289" s="494"/>
      <c r="CN289" s="496" t="s">
        <v>1709</v>
      </c>
      <c r="CO289" s="496" t="s">
        <v>239</v>
      </c>
      <c r="CP289" s="496" t="s">
        <v>689</v>
      </c>
      <c r="CQ289" s="496" t="s">
        <v>1710</v>
      </c>
      <c r="CR289" s="496" t="s">
        <v>1710</v>
      </c>
      <c r="CS289" s="496" t="s">
        <v>1554</v>
      </c>
      <c r="CT289" s="496" t="s">
        <v>1555</v>
      </c>
      <c r="CU289" s="496" t="s">
        <v>1556</v>
      </c>
      <c r="CV289" s="497" t="s">
        <v>1557</v>
      </c>
      <c r="CX289" s="543">
        <v>1</v>
      </c>
    </row>
    <row r="290" spans="91:102" ht="21" customHeight="1">
      <c r="CM290" s="494"/>
      <c r="CN290" s="496" t="s">
        <v>1711</v>
      </c>
      <c r="CO290" s="496" t="s">
        <v>239</v>
      </c>
      <c r="CP290" s="496" t="s">
        <v>689</v>
      </c>
      <c r="CQ290" s="496" t="s">
        <v>1712</v>
      </c>
      <c r="CR290" s="496" t="s">
        <v>1712</v>
      </c>
      <c r="CS290" s="496" t="s">
        <v>1554</v>
      </c>
      <c r="CT290" s="496" t="s">
        <v>1555</v>
      </c>
      <c r="CU290" s="496" t="s">
        <v>1556</v>
      </c>
      <c r="CV290" s="497" t="s">
        <v>1557</v>
      </c>
      <c r="CX290" s="543">
        <v>1</v>
      </c>
    </row>
    <row r="291" spans="91:102" ht="21" customHeight="1">
      <c r="CM291" s="494"/>
      <c r="CN291" s="496" t="s">
        <v>1713</v>
      </c>
      <c r="CO291" s="496" t="s">
        <v>239</v>
      </c>
      <c r="CP291" s="496" t="s">
        <v>689</v>
      </c>
      <c r="CQ291" s="496" t="s">
        <v>1714</v>
      </c>
      <c r="CR291" s="496" t="s">
        <v>1714</v>
      </c>
      <c r="CS291" s="496" t="s">
        <v>1554</v>
      </c>
      <c r="CT291" s="496" t="s">
        <v>1555</v>
      </c>
      <c r="CU291" s="496" t="s">
        <v>1556</v>
      </c>
      <c r="CV291" s="497" t="s">
        <v>1557</v>
      </c>
      <c r="CX291" s="543">
        <v>1</v>
      </c>
    </row>
    <row r="292" spans="91:102" ht="21" customHeight="1">
      <c r="CM292" s="494"/>
      <c r="CN292" s="496" t="s">
        <v>1715</v>
      </c>
      <c r="CO292" s="496" t="s">
        <v>239</v>
      </c>
      <c r="CP292" s="496" t="s">
        <v>689</v>
      </c>
      <c r="CQ292" s="496" t="s">
        <v>1716</v>
      </c>
      <c r="CR292" s="496" t="s">
        <v>1716</v>
      </c>
      <c r="CS292" s="496" t="s">
        <v>1554</v>
      </c>
      <c r="CT292" s="496" t="s">
        <v>1555</v>
      </c>
      <c r="CU292" s="496" t="s">
        <v>1556</v>
      </c>
      <c r="CV292" s="497" t="s">
        <v>1557</v>
      </c>
      <c r="CX292" s="543">
        <v>1</v>
      </c>
    </row>
    <row r="293" spans="91:102" ht="21" customHeight="1">
      <c r="CM293" s="494"/>
      <c r="CN293" s="496" t="s">
        <v>1717</v>
      </c>
      <c r="CO293" s="496" t="s">
        <v>239</v>
      </c>
      <c r="CP293" s="496" t="s">
        <v>689</v>
      </c>
      <c r="CQ293" s="496" t="s">
        <v>1718</v>
      </c>
      <c r="CR293" s="496" t="s">
        <v>1718</v>
      </c>
      <c r="CS293" s="496" t="s">
        <v>1554</v>
      </c>
      <c r="CT293" s="496" t="s">
        <v>1555</v>
      </c>
      <c r="CU293" s="496" t="s">
        <v>1556</v>
      </c>
      <c r="CV293" s="497" t="s">
        <v>1557</v>
      </c>
      <c r="CX293" s="543">
        <v>1</v>
      </c>
    </row>
    <row r="294" spans="91:102" ht="21" customHeight="1">
      <c r="CM294" s="494"/>
      <c r="CN294" s="496" t="s">
        <v>1719</v>
      </c>
      <c r="CO294" s="496" t="s">
        <v>239</v>
      </c>
      <c r="CP294" s="496" t="s">
        <v>689</v>
      </c>
      <c r="CQ294" s="496" t="s">
        <v>1720</v>
      </c>
      <c r="CR294" s="496" t="s">
        <v>1720</v>
      </c>
      <c r="CS294" s="496" t="s">
        <v>1554</v>
      </c>
      <c r="CT294" s="496" t="s">
        <v>1555</v>
      </c>
      <c r="CU294" s="496" t="s">
        <v>1556</v>
      </c>
      <c r="CV294" s="497" t="s">
        <v>1557</v>
      </c>
      <c r="CX294" s="543">
        <v>1</v>
      </c>
    </row>
    <row r="295" spans="91:102" ht="21" customHeight="1">
      <c r="CM295" s="494"/>
      <c r="CN295" s="496" t="s">
        <v>1721</v>
      </c>
      <c r="CO295" s="496" t="s">
        <v>239</v>
      </c>
      <c r="CP295" s="496" t="s">
        <v>689</v>
      </c>
      <c r="CQ295" s="496" t="s">
        <v>1722</v>
      </c>
      <c r="CR295" s="496" t="s">
        <v>1722</v>
      </c>
      <c r="CS295" s="496" t="s">
        <v>1554</v>
      </c>
      <c r="CT295" s="496" t="s">
        <v>1555</v>
      </c>
      <c r="CU295" s="496" t="s">
        <v>1556</v>
      </c>
      <c r="CV295" s="497" t="s">
        <v>1557</v>
      </c>
      <c r="CX295" s="543">
        <v>1</v>
      </c>
    </row>
    <row r="296" spans="91:102" ht="21" customHeight="1">
      <c r="CM296" s="494"/>
      <c r="CN296" s="496" t="s">
        <v>1723</v>
      </c>
      <c r="CO296" s="496" t="s">
        <v>239</v>
      </c>
      <c r="CP296" s="496" t="s">
        <v>689</v>
      </c>
      <c r="CQ296" s="496" t="s">
        <v>1724</v>
      </c>
      <c r="CR296" s="496" t="s">
        <v>1724</v>
      </c>
      <c r="CS296" s="496" t="s">
        <v>1554</v>
      </c>
      <c r="CT296" s="496" t="s">
        <v>1555</v>
      </c>
      <c r="CU296" s="496" t="s">
        <v>1556</v>
      </c>
      <c r="CV296" s="497" t="s">
        <v>1557</v>
      </c>
      <c r="CX296" s="543">
        <v>1</v>
      </c>
    </row>
    <row r="297" spans="91:102" ht="21" customHeight="1">
      <c r="CM297" s="494"/>
      <c r="CN297" s="496" t="s">
        <v>1725</v>
      </c>
      <c r="CO297" s="496" t="s">
        <v>239</v>
      </c>
      <c r="CP297" s="496" t="s">
        <v>689</v>
      </c>
      <c r="CQ297" s="496" t="s">
        <v>1726</v>
      </c>
      <c r="CR297" s="496" t="s">
        <v>1726</v>
      </c>
      <c r="CS297" s="496" t="s">
        <v>1554</v>
      </c>
      <c r="CT297" s="496" t="s">
        <v>1555</v>
      </c>
      <c r="CU297" s="496" t="s">
        <v>1556</v>
      </c>
      <c r="CV297" s="497" t="s">
        <v>1557</v>
      </c>
      <c r="CX297" s="543">
        <v>1</v>
      </c>
    </row>
    <row r="298" spans="91:102" ht="21" customHeight="1">
      <c r="CM298" s="494"/>
      <c r="CN298" s="496" t="s">
        <v>1727</v>
      </c>
      <c r="CO298" s="496" t="s">
        <v>239</v>
      </c>
      <c r="CP298" s="496" t="s">
        <v>689</v>
      </c>
      <c r="CQ298" s="496" t="s">
        <v>1728</v>
      </c>
      <c r="CR298" s="496" t="s">
        <v>1728</v>
      </c>
      <c r="CS298" s="496" t="s">
        <v>1554</v>
      </c>
      <c r="CT298" s="496" t="s">
        <v>1555</v>
      </c>
      <c r="CU298" s="496" t="s">
        <v>1556</v>
      </c>
      <c r="CV298" s="497" t="s">
        <v>1557</v>
      </c>
      <c r="CX298" s="543">
        <v>1</v>
      </c>
    </row>
    <row r="299" spans="91:102" ht="21" customHeight="1">
      <c r="CM299" s="494"/>
      <c r="CN299" s="496" t="s">
        <v>1729</v>
      </c>
      <c r="CO299" s="496" t="s">
        <v>239</v>
      </c>
      <c r="CP299" s="496" t="s">
        <v>689</v>
      </c>
      <c r="CQ299" s="496" t="s">
        <v>1730</v>
      </c>
      <c r="CR299" s="496" t="s">
        <v>1730</v>
      </c>
      <c r="CS299" s="496" t="s">
        <v>1554</v>
      </c>
      <c r="CT299" s="496" t="s">
        <v>1555</v>
      </c>
      <c r="CU299" s="496" t="s">
        <v>1556</v>
      </c>
      <c r="CV299" s="497" t="s">
        <v>1557</v>
      </c>
      <c r="CX299" s="543">
        <v>1</v>
      </c>
    </row>
    <row r="300" spans="91:102" ht="21" customHeight="1">
      <c r="CM300" s="494"/>
      <c r="CN300" s="496" t="s">
        <v>1731</v>
      </c>
      <c r="CO300" s="496" t="s">
        <v>239</v>
      </c>
      <c r="CP300" s="496" t="s">
        <v>689</v>
      </c>
      <c r="CQ300" s="496" t="s">
        <v>1732</v>
      </c>
      <c r="CR300" s="496" t="s">
        <v>1732</v>
      </c>
      <c r="CS300" s="496" t="s">
        <v>1554</v>
      </c>
      <c r="CT300" s="496" t="s">
        <v>1555</v>
      </c>
      <c r="CU300" s="496" t="s">
        <v>1556</v>
      </c>
      <c r="CV300" s="497" t="s">
        <v>1557</v>
      </c>
      <c r="CX300" s="543">
        <v>1</v>
      </c>
    </row>
    <row r="301" spans="91:102" ht="21" customHeight="1">
      <c r="CM301" s="494"/>
      <c r="CN301" s="496" t="s">
        <v>1733</v>
      </c>
      <c r="CO301" s="496" t="s">
        <v>239</v>
      </c>
      <c r="CP301" s="496" t="s">
        <v>689</v>
      </c>
      <c r="CQ301" s="496" t="s">
        <v>1734</v>
      </c>
      <c r="CR301" s="496" t="s">
        <v>1734</v>
      </c>
      <c r="CS301" s="496" t="s">
        <v>1554</v>
      </c>
      <c r="CT301" s="496" t="s">
        <v>1555</v>
      </c>
      <c r="CU301" s="496" t="s">
        <v>1556</v>
      </c>
      <c r="CV301" s="497" t="s">
        <v>1557</v>
      </c>
      <c r="CX301" s="543">
        <v>1</v>
      </c>
    </row>
    <row r="302" spans="91:102" ht="21" customHeight="1">
      <c r="CM302" s="494"/>
      <c r="CN302" s="496" t="s">
        <v>1735</v>
      </c>
      <c r="CO302" s="496" t="s">
        <v>239</v>
      </c>
      <c r="CP302" s="496" t="s">
        <v>689</v>
      </c>
      <c r="CQ302" s="496" t="s">
        <v>1736</v>
      </c>
      <c r="CR302" s="496" t="s">
        <v>1736</v>
      </c>
      <c r="CS302" s="496" t="s">
        <v>1554</v>
      </c>
      <c r="CT302" s="496" t="s">
        <v>1555</v>
      </c>
      <c r="CU302" s="496" t="s">
        <v>1556</v>
      </c>
      <c r="CV302" s="497" t="s">
        <v>1557</v>
      </c>
      <c r="CX302" s="543">
        <v>1</v>
      </c>
    </row>
    <row r="303" spans="91:102" ht="21" customHeight="1">
      <c r="CM303" s="494"/>
      <c r="CN303" s="496" t="s">
        <v>1737</v>
      </c>
      <c r="CO303" s="496" t="s">
        <v>239</v>
      </c>
      <c r="CP303" s="496" t="s">
        <v>689</v>
      </c>
      <c r="CQ303" s="496" t="s">
        <v>1738</v>
      </c>
      <c r="CR303" s="496" t="s">
        <v>1738</v>
      </c>
      <c r="CS303" s="496" t="s">
        <v>1554</v>
      </c>
      <c r="CT303" s="496" t="s">
        <v>1555</v>
      </c>
      <c r="CU303" s="496" t="s">
        <v>1556</v>
      </c>
      <c r="CV303" s="497" t="s">
        <v>1557</v>
      </c>
      <c r="CX303" s="543">
        <v>1</v>
      </c>
    </row>
    <row r="304" spans="91:102" ht="21" customHeight="1">
      <c r="CM304" s="494"/>
      <c r="CN304" s="496" t="s">
        <v>1739</v>
      </c>
      <c r="CO304" s="496" t="s">
        <v>239</v>
      </c>
      <c r="CP304" s="496" t="s">
        <v>689</v>
      </c>
      <c r="CQ304" s="496" t="s">
        <v>1740</v>
      </c>
      <c r="CR304" s="496" t="s">
        <v>1740</v>
      </c>
      <c r="CS304" s="496" t="s">
        <v>1554</v>
      </c>
      <c r="CT304" s="496" t="s">
        <v>1555</v>
      </c>
      <c r="CU304" s="496" t="s">
        <v>1556</v>
      </c>
      <c r="CV304" s="497" t="s">
        <v>1557</v>
      </c>
      <c r="CX304" s="543">
        <v>1</v>
      </c>
    </row>
    <row r="305" spans="91:102" ht="21" customHeight="1">
      <c r="CM305" s="494"/>
      <c r="CN305" s="496" t="s">
        <v>1741</v>
      </c>
      <c r="CO305" s="496" t="s">
        <v>239</v>
      </c>
      <c r="CP305" s="496" t="s">
        <v>689</v>
      </c>
      <c r="CQ305" s="496" t="s">
        <v>1742</v>
      </c>
      <c r="CR305" s="496" t="s">
        <v>1742</v>
      </c>
      <c r="CS305" s="496" t="s">
        <v>1554</v>
      </c>
      <c r="CT305" s="496" t="s">
        <v>1555</v>
      </c>
      <c r="CU305" s="496" t="s">
        <v>1556</v>
      </c>
      <c r="CV305" s="497" t="s">
        <v>1557</v>
      </c>
      <c r="CX305" s="543">
        <v>1</v>
      </c>
    </row>
    <row r="306" spans="91:102" ht="21" customHeight="1">
      <c r="CM306" s="494"/>
      <c r="CN306" s="496" t="s">
        <v>1743</v>
      </c>
      <c r="CO306" s="496" t="s">
        <v>239</v>
      </c>
      <c r="CP306" s="496" t="s">
        <v>689</v>
      </c>
      <c r="CQ306" s="496" t="s">
        <v>1744</v>
      </c>
      <c r="CR306" s="496" t="s">
        <v>1744</v>
      </c>
      <c r="CS306" s="496" t="s">
        <v>1554</v>
      </c>
      <c r="CT306" s="496" t="s">
        <v>1555</v>
      </c>
      <c r="CU306" s="496" t="s">
        <v>1556</v>
      </c>
      <c r="CV306" s="497" t="s">
        <v>1557</v>
      </c>
      <c r="CX306" s="543">
        <v>1</v>
      </c>
    </row>
    <row r="307" spans="91:102" ht="21" customHeight="1">
      <c r="CM307" s="494"/>
      <c r="CN307" s="496" t="s">
        <v>1745</v>
      </c>
      <c r="CO307" s="496" t="s">
        <v>239</v>
      </c>
      <c r="CP307" s="496" t="s">
        <v>689</v>
      </c>
      <c r="CQ307" s="496" t="s">
        <v>1746</v>
      </c>
      <c r="CR307" s="496" t="s">
        <v>1746</v>
      </c>
      <c r="CS307" s="496" t="s">
        <v>1554</v>
      </c>
      <c r="CT307" s="496" t="s">
        <v>1555</v>
      </c>
      <c r="CU307" s="496" t="s">
        <v>1556</v>
      </c>
      <c r="CV307" s="497" t="s">
        <v>1557</v>
      </c>
      <c r="CX307" s="543">
        <v>1</v>
      </c>
    </row>
    <row r="308" spans="91:102" ht="21" customHeight="1">
      <c r="CM308" s="494"/>
      <c r="CN308" s="496" t="s">
        <v>1747</v>
      </c>
      <c r="CO308" s="496" t="s">
        <v>239</v>
      </c>
      <c r="CP308" s="496" t="s">
        <v>689</v>
      </c>
      <c r="CQ308" s="496" t="s">
        <v>1748</v>
      </c>
      <c r="CR308" s="496" t="s">
        <v>1748</v>
      </c>
      <c r="CS308" s="496" t="s">
        <v>1554</v>
      </c>
      <c r="CT308" s="496" t="s">
        <v>1555</v>
      </c>
      <c r="CU308" s="496" t="s">
        <v>1556</v>
      </c>
      <c r="CV308" s="497" t="s">
        <v>1557</v>
      </c>
      <c r="CX308" s="543">
        <v>1</v>
      </c>
    </row>
    <row r="309" spans="91:102" ht="21" customHeight="1">
      <c r="CM309" s="494"/>
      <c r="CN309" s="496" t="s">
        <v>1749</v>
      </c>
      <c r="CO309" s="496" t="s">
        <v>239</v>
      </c>
      <c r="CP309" s="496" t="s">
        <v>689</v>
      </c>
      <c r="CQ309" s="496" t="s">
        <v>1750</v>
      </c>
      <c r="CR309" s="496" t="s">
        <v>1750</v>
      </c>
      <c r="CS309" s="496" t="s">
        <v>1554</v>
      </c>
      <c r="CT309" s="496" t="s">
        <v>1555</v>
      </c>
      <c r="CU309" s="496" t="s">
        <v>1556</v>
      </c>
      <c r="CV309" s="497" t="s">
        <v>1557</v>
      </c>
      <c r="CX309" s="543">
        <v>1</v>
      </c>
    </row>
    <row r="310" spans="91:102" ht="21" customHeight="1">
      <c r="CM310" s="494"/>
      <c r="CN310" s="496" t="s">
        <v>1751</v>
      </c>
      <c r="CO310" s="496" t="s">
        <v>239</v>
      </c>
      <c r="CP310" s="496" t="s">
        <v>689</v>
      </c>
      <c r="CQ310" s="496" t="s">
        <v>1752</v>
      </c>
      <c r="CR310" s="496" t="s">
        <v>1752</v>
      </c>
      <c r="CS310" s="496" t="s">
        <v>1554</v>
      </c>
      <c r="CT310" s="496" t="s">
        <v>1555</v>
      </c>
      <c r="CU310" s="496" t="s">
        <v>1556</v>
      </c>
      <c r="CV310" s="497" t="s">
        <v>1557</v>
      </c>
      <c r="CX310" s="543">
        <v>1</v>
      </c>
    </row>
    <row r="311" spans="91:102" ht="21" customHeight="1">
      <c r="CM311" s="494"/>
      <c r="CN311" s="496" t="s">
        <v>1753</v>
      </c>
      <c r="CO311" s="496" t="s">
        <v>239</v>
      </c>
      <c r="CP311" s="496" t="s">
        <v>689</v>
      </c>
      <c r="CQ311" s="496" t="s">
        <v>1754</v>
      </c>
      <c r="CR311" s="496" t="s">
        <v>1754</v>
      </c>
      <c r="CS311" s="496" t="s">
        <v>1554</v>
      </c>
      <c r="CT311" s="496" t="s">
        <v>1555</v>
      </c>
      <c r="CU311" s="496" t="s">
        <v>1556</v>
      </c>
      <c r="CV311" s="497" t="s">
        <v>1557</v>
      </c>
      <c r="CX311" s="543">
        <v>1</v>
      </c>
    </row>
    <row r="312" spans="91:102" ht="21" customHeight="1">
      <c r="CM312" s="494"/>
      <c r="CN312" s="496" t="s">
        <v>1755</v>
      </c>
      <c r="CO312" s="496" t="s">
        <v>239</v>
      </c>
      <c r="CP312" s="496" t="s">
        <v>689</v>
      </c>
      <c r="CQ312" s="496" t="s">
        <v>1756</v>
      </c>
      <c r="CR312" s="496" t="s">
        <v>1756</v>
      </c>
      <c r="CS312" s="496" t="s">
        <v>1554</v>
      </c>
      <c r="CT312" s="496" t="s">
        <v>1555</v>
      </c>
      <c r="CU312" s="496" t="s">
        <v>1556</v>
      </c>
      <c r="CV312" s="497" t="s">
        <v>1557</v>
      </c>
      <c r="CX312" s="543">
        <v>1</v>
      </c>
    </row>
    <row r="313" spans="91:102" ht="21" customHeight="1">
      <c r="CM313" s="494"/>
      <c r="CN313" s="496" t="s">
        <v>1757</v>
      </c>
      <c r="CO313" s="496" t="s">
        <v>239</v>
      </c>
      <c r="CP313" s="496" t="s">
        <v>689</v>
      </c>
      <c r="CQ313" s="496" t="s">
        <v>1758</v>
      </c>
      <c r="CR313" s="496" t="s">
        <v>1758</v>
      </c>
      <c r="CS313" s="496" t="s">
        <v>1554</v>
      </c>
      <c r="CT313" s="496" t="s">
        <v>1555</v>
      </c>
      <c r="CU313" s="496" t="s">
        <v>1556</v>
      </c>
      <c r="CV313" s="497" t="s">
        <v>1557</v>
      </c>
      <c r="CX313" s="543">
        <v>1</v>
      </c>
    </row>
    <row r="314" spans="91:102" ht="21" customHeight="1">
      <c r="CM314" s="494"/>
      <c r="CN314" s="496" t="s">
        <v>1759</v>
      </c>
      <c r="CO314" s="496" t="s">
        <v>239</v>
      </c>
      <c r="CP314" s="496" t="s">
        <v>689</v>
      </c>
      <c r="CQ314" s="496" t="s">
        <v>1760</v>
      </c>
      <c r="CR314" s="496" t="s">
        <v>1760</v>
      </c>
      <c r="CS314" s="496" t="s">
        <v>1554</v>
      </c>
      <c r="CT314" s="496" t="s">
        <v>1561</v>
      </c>
      <c r="CU314" s="496" t="s">
        <v>1087</v>
      </c>
      <c r="CV314" s="497" t="s">
        <v>1088</v>
      </c>
      <c r="CX314" s="543">
        <v>1</v>
      </c>
    </row>
    <row r="315" spans="91:102" ht="21" customHeight="1">
      <c r="CM315" s="494"/>
      <c r="CN315" s="496" t="s">
        <v>1761</v>
      </c>
      <c r="CO315" s="496" t="s">
        <v>239</v>
      </c>
      <c r="CP315" s="496" t="s">
        <v>689</v>
      </c>
      <c r="CQ315" s="496" t="s">
        <v>105</v>
      </c>
      <c r="CR315" s="496" t="s">
        <v>105</v>
      </c>
      <c r="CS315" s="496" t="s">
        <v>1554</v>
      </c>
      <c r="CT315" s="496" t="s">
        <v>1555</v>
      </c>
      <c r="CU315" s="496" t="s">
        <v>1556</v>
      </c>
      <c r="CV315" s="497" t="s">
        <v>1557</v>
      </c>
      <c r="CX315" s="543">
        <v>1</v>
      </c>
    </row>
    <row r="316" spans="91:102" ht="21" customHeight="1">
      <c r="CM316" s="494"/>
      <c r="CN316" s="496" t="s">
        <v>1762</v>
      </c>
      <c r="CO316" s="496" t="s">
        <v>239</v>
      </c>
      <c r="CP316" s="496" t="s">
        <v>689</v>
      </c>
      <c r="CQ316" s="496" t="s">
        <v>1763</v>
      </c>
      <c r="CR316" s="496" t="s">
        <v>1763</v>
      </c>
      <c r="CS316" s="496" t="s">
        <v>1554</v>
      </c>
      <c r="CT316" s="496" t="s">
        <v>1555</v>
      </c>
      <c r="CU316" s="496" t="s">
        <v>1556</v>
      </c>
      <c r="CV316" s="497" t="s">
        <v>1557</v>
      </c>
      <c r="CX316" s="543">
        <v>1</v>
      </c>
    </row>
    <row r="317" spans="91:102" ht="21" customHeight="1">
      <c r="CM317" s="494"/>
      <c r="CN317" s="496" t="s">
        <v>1764</v>
      </c>
      <c r="CO317" s="496" t="s">
        <v>239</v>
      </c>
      <c r="CP317" s="496" t="s">
        <v>689</v>
      </c>
      <c r="CQ317" s="496" t="s">
        <v>1765</v>
      </c>
      <c r="CR317" s="496" t="s">
        <v>1765</v>
      </c>
      <c r="CS317" s="496" t="s">
        <v>1554</v>
      </c>
      <c r="CT317" s="496" t="s">
        <v>1555</v>
      </c>
      <c r="CU317" s="496" t="s">
        <v>1556</v>
      </c>
      <c r="CV317" s="497" t="s">
        <v>1557</v>
      </c>
      <c r="CX317" s="543">
        <v>1</v>
      </c>
    </row>
    <row r="318" spans="91:102" ht="21" customHeight="1">
      <c r="CM318" s="494"/>
      <c r="CN318" s="496" t="s">
        <v>1766</v>
      </c>
      <c r="CO318" s="496" t="s">
        <v>239</v>
      </c>
      <c r="CP318" s="496" t="s">
        <v>689</v>
      </c>
      <c r="CQ318" s="496" t="s">
        <v>1767</v>
      </c>
      <c r="CR318" s="496" t="s">
        <v>1767</v>
      </c>
      <c r="CS318" s="496" t="s">
        <v>1554</v>
      </c>
      <c r="CT318" s="496" t="s">
        <v>1555</v>
      </c>
      <c r="CU318" s="496" t="s">
        <v>1556</v>
      </c>
      <c r="CV318" s="497" t="s">
        <v>1557</v>
      </c>
      <c r="CX318" s="543">
        <v>1</v>
      </c>
    </row>
    <row r="319" spans="91:102" ht="21" customHeight="1">
      <c r="CM319" s="494"/>
      <c r="CN319" s="496" t="s">
        <v>1768</v>
      </c>
      <c r="CO319" s="496" t="s">
        <v>239</v>
      </c>
      <c r="CP319" s="496" t="s">
        <v>689</v>
      </c>
      <c r="CQ319" s="496" t="s">
        <v>290</v>
      </c>
      <c r="CR319" s="496" t="s">
        <v>290</v>
      </c>
      <c r="CS319" s="496" t="s">
        <v>1554</v>
      </c>
      <c r="CT319" s="496" t="s">
        <v>1561</v>
      </c>
      <c r="CU319" s="496" t="s">
        <v>1087</v>
      </c>
      <c r="CV319" s="497" t="s">
        <v>1088</v>
      </c>
      <c r="CX319" s="543">
        <v>1</v>
      </c>
    </row>
    <row r="320" spans="91:102" ht="21" customHeight="1">
      <c r="CM320" s="494"/>
      <c r="CN320" s="496" t="s">
        <v>1769</v>
      </c>
      <c r="CO320" s="496" t="s">
        <v>239</v>
      </c>
      <c r="CP320" s="496" t="s">
        <v>689</v>
      </c>
      <c r="CQ320" s="496" t="s">
        <v>291</v>
      </c>
      <c r="CR320" s="496" t="s">
        <v>291</v>
      </c>
      <c r="CS320" s="496" t="s">
        <v>1151</v>
      </c>
      <c r="CT320" s="496" t="s">
        <v>1152</v>
      </c>
      <c r="CU320" s="496" t="s">
        <v>1087</v>
      </c>
      <c r="CV320" s="497" t="s">
        <v>1153</v>
      </c>
      <c r="CX320" s="543">
        <v>1</v>
      </c>
    </row>
    <row r="321" spans="91:102" ht="21" customHeight="1">
      <c r="CM321" s="494"/>
      <c r="CN321" s="496" t="s">
        <v>1770</v>
      </c>
      <c r="CO321" s="496" t="s">
        <v>239</v>
      </c>
      <c r="CP321" s="496" t="s">
        <v>689</v>
      </c>
      <c r="CQ321" s="496" t="s">
        <v>1771</v>
      </c>
      <c r="CR321" s="496" t="s">
        <v>1771</v>
      </c>
      <c r="CS321" s="496" t="s">
        <v>1151</v>
      </c>
      <c r="CT321" s="496" t="s">
        <v>1152</v>
      </c>
      <c r="CU321" s="496" t="s">
        <v>1087</v>
      </c>
      <c r="CV321" s="497" t="s">
        <v>1153</v>
      </c>
      <c r="CX321" s="543">
        <v>1</v>
      </c>
    </row>
    <row r="322" spans="91:102" ht="21" customHeight="1">
      <c r="CM322" s="494"/>
      <c r="CN322" s="496" t="s">
        <v>1772</v>
      </c>
      <c r="CO322" s="496" t="s">
        <v>239</v>
      </c>
      <c r="CP322" s="496" t="s">
        <v>689</v>
      </c>
      <c r="CQ322" s="496" t="s">
        <v>1773</v>
      </c>
      <c r="CR322" s="496" t="s">
        <v>1773</v>
      </c>
      <c r="CS322" s="496" t="s">
        <v>1554</v>
      </c>
      <c r="CT322" s="496" t="s">
        <v>1555</v>
      </c>
      <c r="CU322" s="496" t="s">
        <v>1556</v>
      </c>
      <c r="CV322" s="497" t="s">
        <v>1557</v>
      </c>
      <c r="CX322" s="543">
        <v>1</v>
      </c>
    </row>
    <row r="323" spans="91:102" ht="21" customHeight="1">
      <c r="CM323" s="494"/>
      <c r="CN323" s="496" t="s">
        <v>1774</v>
      </c>
      <c r="CO323" s="496" t="s">
        <v>239</v>
      </c>
      <c r="CP323" s="496" t="s">
        <v>689</v>
      </c>
      <c r="CQ323" s="496" t="s">
        <v>1775</v>
      </c>
      <c r="CR323" s="496" t="s">
        <v>1775</v>
      </c>
      <c r="CS323" s="496" t="s">
        <v>1554</v>
      </c>
      <c r="CT323" s="496" t="s">
        <v>1555</v>
      </c>
      <c r="CU323" s="496" t="s">
        <v>1556</v>
      </c>
      <c r="CV323" s="497" t="s">
        <v>1557</v>
      </c>
      <c r="CX323" s="543">
        <v>1</v>
      </c>
    </row>
    <row r="324" spans="91:102" ht="21" customHeight="1">
      <c r="CM324" s="494"/>
      <c r="CN324" s="496" t="s">
        <v>1776</v>
      </c>
      <c r="CO324" s="496" t="s">
        <v>239</v>
      </c>
      <c r="CP324" s="496" t="s">
        <v>689</v>
      </c>
      <c r="CQ324" s="496" t="s">
        <v>1777</v>
      </c>
      <c r="CR324" s="496" t="s">
        <v>1777</v>
      </c>
      <c r="CS324" s="496" t="s">
        <v>1554</v>
      </c>
      <c r="CT324" s="496" t="s">
        <v>1555</v>
      </c>
      <c r="CU324" s="496" t="s">
        <v>1556</v>
      </c>
      <c r="CV324" s="497" t="s">
        <v>1557</v>
      </c>
      <c r="CX324" s="543">
        <v>1</v>
      </c>
    </row>
    <row r="325" spans="91:102" ht="21" customHeight="1">
      <c r="CM325" s="494"/>
      <c r="CN325" s="496" t="s">
        <v>1778</v>
      </c>
      <c r="CO325" s="496" t="s">
        <v>239</v>
      </c>
      <c r="CP325" s="496" t="s">
        <v>689</v>
      </c>
      <c r="CQ325" s="496" t="s">
        <v>1779</v>
      </c>
      <c r="CR325" s="496" t="s">
        <v>871</v>
      </c>
      <c r="CS325" s="496" t="s">
        <v>1554</v>
      </c>
      <c r="CT325" s="496" t="s">
        <v>1561</v>
      </c>
      <c r="CU325" s="496" t="s">
        <v>1087</v>
      </c>
      <c r="CV325" s="497" t="s">
        <v>1088</v>
      </c>
      <c r="CX325" s="543">
        <v>1</v>
      </c>
    </row>
    <row r="326" spans="91:102" ht="21" customHeight="1">
      <c r="CM326" s="494"/>
      <c r="CN326" s="496" t="s">
        <v>1780</v>
      </c>
      <c r="CO326" s="496" t="s">
        <v>239</v>
      </c>
      <c r="CP326" s="496" t="s">
        <v>689</v>
      </c>
      <c r="CQ326" s="496" t="s">
        <v>1781</v>
      </c>
      <c r="CR326" s="496" t="s">
        <v>1781</v>
      </c>
      <c r="CS326" s="496" t="s">
        <v>1554</v>
      </c>
      <c r="CT326" s="496" t="s">
        <v>1555</v>
      </c>
      <c r="CU326" s="496" t="s">
        <v>1556</v>
      </c>
      <c r="CV326" s="497" t="s">
        <v>1557</v>
      </c>
      <c r="CX326" s="543">
        <v>1</v>
      </c>
    </row>
    <row r="327" spans="91:102" ht="21" customHeight="1">
      <c r="CM327" s="494"/>
      <c r="CN327" s="496" t="s">
        <v>1782</v>
      </c>
      <c r="CO327" s="496" t="s">
        <v>239</v>
      </c>
      <c r="CP327" s="496" t="s">
        <v>689</v>
      </c>
      <c r="CQ327" s="496" t="s">
        <v>1783</v>
      </c>
      <c r="CR327" s="496" t="s">
        <v>1783</v>
      </c>
      <c r="CS327" s="496" t="s">
        <v>1554</v>
      </c>
      <c r="CT327" s="496" t="s">
        <v>1555</v>
      </c>
      <c r="CU327" s="496" t="s">
        <v>1556</v>
      </c>
      <c r="CV327" s="497" t="s">
        <v>1557</v>
      </c>
      <c r="CX327" s="543">
        <v>1</v>
      </c>
    </row>
    <row r="328" spans="91:102" ht="21" customHeight="1">
      <c r="CM328" s="494"/>
      <c r="CN328" s="496" t="s">
        <v>1784</v>
      </c>
      <c r="CO328" s="496" t="s">
        <v>239</v>
      </c>
      <c r="CP328" s="496" t="s">
        <v>689</v>
      </c>
      <c r="CQ328" s="496" t="s">
        <v>872</v>
      </c>
      <c r="CR328" s="496" t="s">
        <v>872</v>
      </c>
      <c r="CS328" s="496" t="s">
        <v>1554</v>
      </c>
      <c r="CT328" s="496" t="s">
        <v>1561</v>
      </c>
      <c r="CU328" s="496" t="s">
        <v>1087</v>
      </c>
      <c r="CV328" s="497" t="s">
        <v>1088</v>
      </c>
      <c r="CX328" s="543">
        <v>1</v>
      </c>
    </row>
    <row r="329" spans="91:102" ht="21" customHeight="1">
      <c r="CM329" s="494"/>
      <c r="CN329" s="496" t="s">
        <v>1785</v>
      </c>
      <c r="CO329" s="496" t="s">
        <v>239</v>
      </c>
      <c r="CP329" s="496" t="s">
        <v>689</v>
      </c>
      <c r="CQ329" s="496" t="s">
        <v>292</v>
      </c>
      <c r="CR329" s="496" t="s">
        <v>292</v>
      </c>
      <c r="CS329" s="496" t="s">
        <v>1151</v>
      </c>
      <c r="CT329" s="496" t="s">
        <v>1152</v>
      </c>
      <c r="CU329" s="496" t="s">
        <v>1087</v>
      </c>
      <c r="CV329" s="497" t="s">
        <v>1153</v>
      </c>
      <c r="CX329" s="543">
        <v>1</v>
      </c>
    </row>
    <row r="330" spans="91:102" ht="21" customHeight="1">
      <c r="CM330" s="494"/>
      <c r="CN330" s="496" t="s">
        <v>1786</v>
      </c>
      <c r="CO330" s="496" t="s">
        <v>239</v>
      </c>
      <c r="CP330" s="496" t="s">
        <v>689</v>
      </c>
      <c r="CQ330" s="496" t="s">
        <v>1787</v>
      </c>
      <c r="CR330" s="496" t="s">
        <v>1787</v>
      </c>
      <c r="CS330" s="496" t="s">
        <v>1151</v>
      </c>
      <c r="CT330" s="496" t="s">
        <v>1152</v>
      </c>
      <c r="CU330" s="496" t="s">
        <v>1087</v>
      </c>
      <c r="CV330" s="497" t="s">
        <v>1153</v>
      </c>
      <c r="CX330" s="543">
        <v>1</v>
      </c>
    </row>
    <row r="331" spans="91:102" ht="21" customHeight="1">
      <c r="CM331" s="494"/>
      <c r="CN331" s="496" t="s">
        <v>1788</v>
      </c>
      <c r="CO331" s="496" t="s">
        <v>239</v>
      </c>
      <c r="CP331" s="496" t="s">
        <v>689</v>
      </c>
      <c r="CQ331" s="496" t="s">
        <v>1789</v>
      </c>
      <c r="CR331" s="496" t="s">
        <v>1790</v>
      </c>
      <c r="CS331" s="496" t="s">
        <v>1554</v>
      </c>
      <c r="CT331" s="496" t="s">
        <v>1561</v>
      </c>
      <c r="CU331" s="496" t="s">
        <v>1087</v>
      </c>
      <c r="CV331" s="497" t="s">
        <v>1088</v>
      </c>
      <c r="CX331" s="543">
        <v>1</v>
      </c>
    </row>
    <row r="332" spans="91:102" ht="21" customHeight="1">
      <c r="CM332" s="494"/>
      <c r="CN332" s="496" t="s">
        <v>1791</v>
      </c>
      <c r="CO332" s="496" t="s">
        <v>239</v>
      </c>
      <c r="CP332" s="496" t="s">
        <v>689</v>
      </c>
      <c r="CQ332" s="496" t="s">
        <v>873</v>
      </c>
      <c r="CR332" s="496" t="s">
        <v>873</v>
      </c>
      <c r="CS332" s="496" t="s">
        <v>1554</v>
      </c>
      <c r="CT332" s="496" t="s">
        <v>1561</v>
      </c>
      <c r="CU332" s="496" t="s">
        <v>1087</v>
      </c>
      <c r="CV332" s="497" t="s">
        <v>1088</v>
      </c>
      <c r="CX332" s="543">
        <v>1</v>
      </c>
    </row>
    <row r="333" spans="91:102" ht="21" customHeight="1">
      <c r="CM333" s="494"/>
      <c r="CN333" s="496" t="s">
        <v>1792</v>
      </c>
      <c r="CO333" s="496" t="s">
        <v>239</v>
      </c>
      <c r="CP333" s="496" t="s">
        <v>689</v>
      </c>
      <c r="CQ333" s="496" t="s">
        <v>874</v>
      </c>
      <c r="CR333" s="496" t="s">
        <v>874</v>
      </c>
      <c r="CS333" s="496" t="s">
        <v>1554</v>
      </c>
      <c r="CT333" s="496" t="s">
        <v>1561</v>
      </c>
      <c r="CU333" s="496" t="s">
        <v>1087</v>
      </c>
      <c r="CV333" s="497" t="s">
        <v>1088</v>
      </c>
      <c r="CX333" s="543">
        <v>1</v>
      </c>
    </row>
    <row r="334" spans="91:102" ht="21" customHeight="1">
      <c r="CM334" s="494"/>
      <c r="CN334" s="496" t="s">
        <v>1793</v>
      </c>
      <c r="CO334" s="496" t="s">
        <v>239</v>
      </c>
      <c r="CP334" s="496" t="s">
        <v>689</v>
      </c>
      <c r="CQ334" s="496" t="s">
        <v>293</v>
      </c>
      <c r="CR334" s="496" t="s">
        <v>293</v>
      </c>
      <c r="CS334" s="496" t="s">
        <v>1151</v>
      </c>
      <c r="CT334" s="496" t="s">
        <v>1152</v>
      </c>
      <c r="CU334" s="496" t="s">
        <v>1087</v>
      </c>
      <c r="CV334" s="497" t="s">
        <v>1153</v>
      </c>
      <c r="CX334" s="543">
        <v>1</v>
      </c>
    </row>
    <row r="335" spans="91:102" ht="21" customHeight="1">
      <c r="CM335" s="494"/>
      <c r="CN335" s="496" t="s">
        <v>1794</v>
      </c>
      <c r="CO335" s="496" t="s">
        <v>239</v>
      </c>
      <c r="CP335" s="496" t="s">
        <v>689</v>
      </c>
      <c r="CQ335" s="496" t="s">
        <v>1795</v>
      </c>
      <c r="CR335" s="496" t="s">
        <v>1795</v>
      </c>
      <c r="CS335" s="496" t="s">
        <v>1554</v>
      </c>
      <c r="CT335" s="496" t="s">
        <v>1561</v>
      </c>
      <c r="CU335" s="496" t="s">
        <v>1087</v>
      </c>
      <c r="CV335" s="497" t="s">
        <v>1088</v>
      </c>
      <c r="CX335" s="543">
        <v>1</v>
      </c>
    </row>
    <row r="336" spans="91:102" ht="21" customHeight="1">
      <c r="CM336" s="494"/>
      <c r="CN336" s="496" t="s">
        <v>1796</v>
      </c>
      <c r="CO336" s="496" t="s">
        <v>239</v>
      </c>
      <c r="CP336" s="496" t="s">
        <v>689</v>
      </c>
      <c r="CQ336" s="496" t="s">
        <v>1797</v>
      </c>
      <c r="CR336" s="496" t="s">
        <v>1797</v>
      </c>
      <c r="CS336" s="496" t="s">
        <v>1151</v>
      </c>
      <c r="CT336" s="496" t="s">
        <v>1152</v>
      </c>
      <c r="CU336" s="496" t="s">
        <v>1087</v>
      </c>
      <c r="CV336" s="497" t="s">
        <v>1153</v>
      </c>
      <c r="CX336" s="543">
        <v>1</v>
      </c>
    </row>
    <row r="337" spans="91:102" ht="21" customHeight="1">
      <c r="CM337" s="494"/>
      <c r="CN337" s="496" t="s">
        <v>1798</v>
      </c>
      <c r="CO337" s="496" t="s">
        <v>239</v>
      </c>
      <c r="CP337" s="496" t="s">
        <v>689</v>
      </c>
      <c r="CQ337" s="496" t="s">
        <v>1799</v>
      </c>
      <c r="CR337" s="496" t="s">
        <v>1799</v>
      </c>
      <c r="CS337" s="496" t="s">
        <v>1554</v>
      </c>
      <c r="CT337" s="496" t="s">
        <v>1555</v>
      </c>
      <c r="CU337" s="496" t="s">
        <v>1556</v>
      </c>
      <c r="CV337" s="497" t="s">
        <v>1557</v>
      </c>
      <c r="CX337" s="543">
        <v>1</v>
      </c>
    </row>
    <row r="338" spans="91:102" ht="21" customHeight="1">
      <c r="CM338" s="494"/>
      <c r="CN338" s="496" t="s">
        <v>1800</v>
      </c>
      <c r="CO338" s="496" t="s">
        <v>239</v>
      </c>
      <c r="CP338" s="496" t="s">
        <v>689</v>
      </c>
      <c r="CQ338" s="496" t="s">
        <v>875</v>
      </c>
      <c r="CR338" s="496" t="s">
        <v>875</v>
      </c>
      <c r="CS338" s="496" t="s">
        <v>1554</v>
      </c>
      <c r="CT338" s="496" t="s">
        <v>1561</v>
      </c>
      <c r="CU338" s="496" t="s">
        <v>1087</v>
      </c>
      <c r="CV338" s="497" t="s">
        <v>1088</v>
      </c>
      <c r="CX338" s="543">
        <v>1</v>
      </c>
    </row>
    <row r="339" spans="91:102" ht="21" customHeight="1">
      <c r="CM339" s="494"/>
      <c r="CN339" s="496" t="s">
        <v>1801</v>
      </c>
      <c r="CO339" s="496" t="s">
        <v>239</v>
      </c>
      <c r="CP339" s="496" t="s">
        <v>689</v>
      </c>
      <c r="CQ339" s="496" t="s">
        <v>1802</v>
      </c>
      <c r="CR339" s="496" t="s">
        <v>1802</v>
      </c>
      <c r="CS339" s="496" t="s">
        <v>1554</v>
      </c>
      <c r="CT339" s="496" t="s">
        <v>1555</v>
      </c>
      <c r="CU339" s="496" t="s">
        <v>1556</v>
      </c>
      <c r="CV339" s="497" t="s">
        <v>1557</v>
      </c>
      <c r="CX339" s="543">
        <v>1</v>
      </c>
    </row>
    <row r="340" spans="91:102" ht="21" customHeight="1">
      <c r="CM340" s="494"/>
      <c r="CN340" s="496" t="s">
        <v>1803</v>
      </c>
      <c r="CO340" s="496" t="s">
        <v>239</v>
      </c>
      <c r="CP340" s="496" t="s">
        <v>689</v>
      </c>
      <c r="CQ340" s="496" t="s">
        <v>1804</v>
      </c>
      <c r="CR340" s="496" t="s">
        <v>1804</v>
      </c>
      <c r="CS340" s="496" t="s">
        <v>1554</v>
      </c>
      <c r="CT340" s="496" t="s">
        <v>1561</v>
      </c>
      <c r="CU340" s="496" t="s">
        <v>1087</v>
      </c>
      <c r="CV340" s="497" t="s">
        <v>1088</v>
      </c>
      <c r="CX340" s="543">
        <v>1</v>
      </c>
    </row>
    <row r="341" spans="91:102" ht="21" customHeight="1">
      <c r="CM341" s="494"/>
      <c r="CN341" s="496" t="s">
        <v>1805</v>
      </c>
      <c r="CO341" s="496" t="s">
        <v>345</v>
      </c>
      <c r="CP341" s="496" t="s">
        <v>689</v>
      </c>
      <c r="CQ341" s="496" t="s">
        <v>1806</v>
      </c>
      <c r="CR341" s="496" t="s">
        <v>1012</v>
      </c>
      <c r="CS341" s="496" t="s">
        <v>1085</v>
      </c>
      <c r="CT341" s="496" t="s">
        <v>1807</v>
      </c>
      <c r="CU341" s="496" t="s">
        <v>1087</v>
      </c>
      <c r="CV341" s="497" t="s">
        <v>1088</v>
      </c>
      <c r="CX341" s="543">
        <v>1</v>
      </c>
    </row>
    <row r="342" spans="91:102" ht="21" customHeight="1">
      <c r="CM342" s="494"/>
      <c r="CN342" s="496" t="s">
        <v>1808</v>
      </c>
      <c r="CO342" s="496" t="s">
        <v>345</v>
      </c>
      <c r="CP342" s="496" t="s">
        <v>689</v>
      </c>
      <c r="CQ342" s="496" t="s">
        <v>120</v>
      </c>
      <c r="CR342" s="496" t="s">
        <v>120</v>
      </c>
      <c r="CS342" s="496" t="s">
        <v>1085</v>
      </c>
      <c r="CT342" s="496" t="s">
        <v>1807</v>
      </c>
      <c r="CU342" s="496" t="s">
        <v>1087</v>
      </c>
      <c r="CV342" s="497" t="s">
        <v>1088</v>
      </c>
      <c r="CX342" s="543">
        <v>1</v>
      </c>
    </row>
    <row r="343" spans="91:102" ht="21" customHeight="1">
      <c r="CM343" s="494"/>
      <c r="CN343" s="496" t="s">
        <v>1809</v>
      </c>
      <c r="CO343" s="496" t="s">
        <v>345</v>
      </c>
      <c r="CP343" s="496" t="s">
        <v>689</v>
      </c>
      <c r="CQ343" s="496" t="s">
        <v>1810</v>
      </c>
      <c r="CR343" s="496" t="s">
        <v>937</v>
      </c>
      <c r="CS343" s="496" t="s">
        <v>1085</v>
      </c>
      <c r="CT343" s="496" t="s">
        <v>1807</v>
      </c>
      <c r="CU343" s="496" t="s">
        <v>1087</v>
      </c>
      <c r="CV343" s="497" t="s">
        <v>1088</v>
      </c>
      <c r="CX343" s="543">
        <v>1</v>
      </c>
    </row>
    <row r="344" spans="91:102" ht="21" customHeight="1">
      <c r="CM344" s="494"/>
      <c r="CN344" s="496" t="s">
        <v>1811</v>
      </c>
      <c r="CO344" s="496" t="s">
        <v>345</v>
      </c>
      <c r="CP344" s="496" t="s">
        <v>689</v>
      </c>
      <c r="CQ344" s="496" t="s">
        <v>1812</v>
      </c>
      <c r="CR344" s="496" t="s">
        <v>1813</v>
      </c>
      <c r="CS344" s="496" t="s">
        <v>1085</v>
      </c>
      <c r="CT344" s="496" t="s">
        <v>1807</v>
      </c>
      <c r="CU344" s="496" t="s">
        <v>1087</v>
      </c>
      <c r="CV344" s="497" t="s">
        <v>1088</v>
      </c>
      <c r="CX344" s="543">
        <v>1</v>
      </c>
    </row>
    <row r="345" spans="91:102" ht="21" customHeight="1">
      <c r="CM345" s="494"/>
      <c r="CN345" s="496" t="s">
        <v>1814</v>
      </c>
      <c r="CO345" s="496" t="s">
        <v>345</v>
      </c>
      <c r="CP345" s="496" t="s">
        <v>689</v>
      </c>
      <c r="CQ345" s="496" t="s">
        <v>1815</v>
      </c>
      <c r="CR345" s="496" t="s">
        <v>44</v>
      </c>
      <c r="CS345" s="496" t="s">
        <v>1085</v>
      </c>
      <c r="CT345" s="496" t="s">
        <v>1807</v>
      </c>
      <c r="CU345" s="496" t="s">
        <v>1087</v>
      </c>
      <c r="CV345" s="497" t="s">
        <v>1088</v>
      </c>
      <c r="CX345" s="543">
        <v>1</v>
      </c>
    </row>
    <row r="346" spans="91:102" ht="21" customHeight="1">
      <c r="CM346" s="494"/>
      <c r="CN346" s="496" t="s">
        <v>1816</v>
      </c>
      <c r="CO346" s="496" t="s">
        <v>345</v>
      </c>
      <c r="CP346" s="496" t="s">
        <v>689</v>
      </c>
      <c r="CQ346" s="496" t="s">
        <v>1817</v>
      </c>
      <c r="CR346" s="496" t="s">
        <v>56</v>
      </c>
      <c r="CS346" s="496" t="s">
        <v>1085</v>
      </c>
      <c r="CT346" s="496" t="s">
        <v>1807</v>
      </c>
      <c r="CU346" s="496" t="s">
        <v>1087</v>
      </c>
      <c r="CV346" s="497" t="s">
        <v>1088</v>
      </c>
      <c r="CX346" s="543">
        <v>1</v>
      </c>
    </row>
    <row r="347" spans="91:102" ht="21" customHeight="1">
      <c r="CM347" s="494"/>
      <c r="CN347" s="496" t="s">
        <v>1818</v>
      </c>
      <c r="CO347" s="496" t="s">
        <v>345</v>
      </c>
      <c r="CP347" s="496" t="s">
        <v>689</v>
      </c>
      <c r="CQ347" s="496" t="s">
        <v>885</v>
      </c>
      <c r="CR347" s="496" t="s">
        <v>885</v>
      </c>
      <c r="CS347" s="496" t="s">
        <v>1085</v>
      </c>
      <c r="CT347" s="496" t="s">
        <v>1807</v>
      </c>
      <c r="CU347" s="496" t="s">
        <v>1087</v>
      </c>
      <c r="CV347" s="497" t="s">
        <v>1088</v>
      </c>
      <c r="CX347" s="543">
        <v>1</v>
      </c>
    </row>
    <row r="348" spans="91:102" ht="21" customHeight="1">
      <c r="CM348" s="494"/>
      <c r="CN348" s="496" t="s">
        <v>1819</v>
      </c>
      <c r="CO348" s="496" t="s">
        <v>345</v>
      </c>
      <c r="CP348" s="496" t="s">
        <v>689</v>
      </c>
      <c r="CQ348" s="496" t="s">
        <v>886</v>
      </c>
      <c r="CR348" s="496" t="s">
        <v>886</v>
      </c>
      <c r="CS348" s="496" t="s">
        <v>1085</v>
      </c>
      <c r="CT348" s="496" t="s">
        <v>1807</v>
      </c>
      <c r="CU348" s="496" t="s">
        <v>1087</v>
      </c>
      <c r="CV348" s="497" t="s">
        <v>1088</v>
      </c>
      <c r="CX348" s="543">
        <v>1</v>
      </c>
    </row>
    <row r="349" spans="91:102" ht="21" customHeight="1">
      <c r="CM349" s="494"/>
      <c r="CN349" s="496" t="s">
        <v>1820</v>
      </c>
      <c r="CO349" s="496" t="s">
        <v>345</v>
      </c>
      <c r="CP349" s="496" t="s">
        <v>689</v>
      </c>
      <c r="CQ349" s="496" t="s">
        <v>1821</v>
      </c>
      <c r="CR349" s="496" t="s">
        <v>1821</v>
      </c>
      <c r="CS349" s="496" t="s">
        <v>1085</v>
      </c>
      <c r="CT349" s="496" t="s">
        <v>1807</v>
      </c>
      <c r="CU349" s="496" t="s">
        <v>1087</v>
      </c>
      <c r="CV349" s="497" t="s">
        <v>1088</v>
      </c>
      <c r="CX349" s="543">
        <v>1</v>
      </c>
    </row>
    <row r="350" spans="91:102" ht="21" customHeight="1">
      <c r="CM350" s="494"/>
      <c r="CN350" s="496" t="s">
        <v>1822</v>
      </c>
      <c r="CO350" s="496" t="s">
        <v>345</v>
      </c>
      <c r="CP350" s="496" t="s">
        <v>689</v>
      </c>
      <c r="CQ350" s="496" t="s">
        <v>1823</v>
      </c>
      <c r="CR350" s="496" t="s">
        <v>952</v>
      </c>
      <c r="CS350" s="496" t="s">
        <v>1085</v>
      </c>
      <c r="CT350" s="496" t="s">
        <v>1807</v>
      </c>
      <c r="CU350" s="496" t="s">
        <v>1087</v>
      </c>
      <c r="CV350" s="497" t="s">
        <v>1088</v>
      </c>
      <c r="CX350" s="543">
        <v>1</v>
      </c>
    </row>
    <row r="351" spans="91:102" ht="21" customHeight="1">
      <c r="CM351" s="494"/>
      <c r="CN351" s="496" t="s">
        <v>1824</v>
      </c>
      <c r="CO351" s="496" t="s">
        <v>345</v>
      </c>
      <c r="CP351" s="496" t="s">
        <v>689</v>
      </c>
      <c r="CQ351" s="496" t="s">
        <v>1825</v>
      </c>
      <c r="CR351" s="496" t="s">
        <v>953</v>
      </c>
      <c r="CS351" s="496" t="s">
        <v>1085</v>
      </c>
      <c r="CT351" s="496" t="s">
        <v>1807</v>
      </c>
      <c r="CU351" s="496" t="s">
        <v>1087</v>
      </c>
      <c r="CV351" s="497" t="s">
        <v>1088</v>
      </c>
      <c r="CX351" s="543">
        <v>1</v>
      </c>
    </row>
    <row r="352" spans="91:102" ht="21" customHeight="1">
      <c r="CM352" s="494"/>
      <c r="CN352" s="496" t="s">
        <v>1826</v>
      </c>
      <c r="CO352" s="496" t="s">
        <v>345</v>
      </c>
      <c r="CP352" s="496" t="s">
        <v>689</v>
      </c>
      <c r="CQ352" s="496" t="s">
        <v>1827</v>
      </c>
      <c r="CR352" s="496" t="s">
        <v>954</v>
      </c>
      <c r="CS352" s="496" t="s">
        <v>1085</v>
      </c>
      <c r="CT352" s="496" t="s">
        <v>1807</v>
      </c>
      <c r="CU352" s="496" t="s">
        <v>1087</v>
      </c>
      <c r="CV352" s="497" t="s">
        <v>1088</v>
      </c>
      <c r="CX352" s="543">
        <v>1</v>
      </c>
    </row>
    <row r="353" spans="91:102" ht="21" customHeight="1">
      <c r="CM353" s="494"/>
      <c r="CN353" s="496" t="s">
        <v>1828</v>
      </c>
      <c r="CO353" s="496" t="s">
        <v>345</v>
      </c>
      <c r="CP353" s="496" t="s">
        <v>689</v>
      </c>
      <c r="CQ353" s="496" t="s">
        <v>1829</v>
      </c>
      <c r="CR353" s="496" t="s">
        <v>1830</v>
      </c>
      <c r="CS353" s="496" t="s">
        <v>1085</v>
      </c>
      <c r="CT353" s="496" t="s">
        <v>1807</v>
      </c>
      <c r="CU353" s="496" t="s">
        <v>1087</v>
      </c>
      <c r="CV353" s="497" t="s">
        <v>1088</v>
      </c>
      <c r="CX353" s="543">
        <v>1</v>
      </c>
    </row>
    <row r="354" spans="91:102" ht="21" customHeight="1">
      <c r="CM354" s="494"/>
      <c r="CN354" s="496" t="s">
        <v>1831</v>
      </c>
      <c r="CO354" s="496" t="s">
        <v>345</v>
      </c>
      <c r="CP354" s="496" t="s">
        <v>689</v>
      </c>
      <c r="CQ354" s="496" t="s">
        <v>1832</v>
      </c>
      <c r="CR354" s="496" t="s">
        <v>957</v>
      </c>
      <c r="CS354" s="496" t="s">
        <v>1085</v>
      </c>
      <c r="CT354" s="496" t="s">
        <v>1807</v>
      </c>
      <c r="CU354" s="496" t="s">
        <v>1087</v>
      </c>
      <c r="CV354" s="497" t="s">
        <v>1088</v>
      </c>
      <c r="CX354" s="543">
        <v>1</v>
      </c>
    </row>
    <row r="355" spans="91:102" ht="21" customHeight="1">
      <c r="CM355" s="494"/>
      <c r="CN355" s="496" t="s">
        <v>1833</v>
      </c>
      <c r="CO355" s="496" t="s">
        <v>345</v>
      </c>
      <c r="CP355" s="496" t="s">
        <v>689</v>
      </c>
      <c r="CQ355" s="496" t="s">
        <v>1834</v>
      </c>
      <c r="CR355" s="496" t="s">
        <v>1835</v>
      </c>
      <c r="CS355" s="496" t="s">
        <v>1085</v>
      </c>
      <c r="CT355" s="496" t="s">
        <v>1807</v>
      </c>
      <c r="CU355" s="496" t="s">
        <v>1087</v>
      </c>
      <c r="CV355" s="497" t="s">
        <v>1088</v>
      </c>
      <c r="CX355" s="543">
        <v>1</v>
      </c>
    </row>
    <row r="356" spans="91:102" ht="21" customHeight="1">
      <c r="CM356" s="494"/>
      <c r="CN356" s="496" t="s">
        <v>1836</v>
      </c>
      <c r="CO356" s="496" t="s">
        <v>345</v>
      </c>
      <c r="CP356" s="496" t="s">
        <v>689</v>
      </c>
      <c r="CQ356" s="496" t="s">
        <v>1837</v>
      </c>
      <c r="CR356" s="496" t="s">
        <v>1838</v>
      </c>
      <c r="CS356" s="496" t="s">
        <v>1085</v>
      </c>
      <c r="CT356" s="496" t="s">
        <v>1807</v>
      </c>
      <c r="CU356" s="496" t="s">
        <v>1087</v>
      </c>
      <c r="CV356" s="497" t="s">
        <v>1088</v>
      </c>
      <c r="CX356" s="543">
        <v>1</v>
      </c>
    </row>
    <row r="357" spans="91:102" ht="21" customHeight="1">
      <c r="CM357" s="494"/>
      <c r="CN357" s="496" t="s">
        <v>1839</v>
      </c>
      <c r="CO357" s="496" t="s">
        <v>345</v>
      </c>
      <c r="CP357" s="496" t="s">
        <v>689</v>
      </c>
      <c r="CQ357" s="496" t="s">
        <v>347</v>
      </c>
      <c r="CR357" s="496" t="s">
        <v>347</v>
      </c>
      <c r="CS357" s="496" t="s">
        <v>1151</v>
      </c>
      <c r="CT357" s="496" t="s">
        <v>1152</v>
      </c>
      <c r="CU357" s="496" t="s">
        <v>1087</v>
      </c>
      <c r="CV357" s="497" t="s">
        <v>1153</v>
      </c>
      <c r="CX357" s="543">
        <v>1</v>
      </c>
    </row>
    <row r="358" spans="91:102" ht="21" customHeight="1">
      <c r="CM358" s="494"/>
      <c r="CN358" s="496" t="s">
        <v>1840</v>
      </c>
      <c r="CO358" s="496" t="s">
        <v>345</v>
      </c>
      <c r="CP358" s="496" t="s">
        <v>689</v>
      </c>
      <c r="CQ358" s="496" t="s">
        <v>348</v>
      </c>
      <c r="CR358" s="496" t="s">
        <v>348</v>
      </c>
      <c r="CS358" s="496" t="s">
        <v>1151</v>
      </c>
      <c r="CT358" s="496" t="s">
        <v>1152</v>
      </c>
      <c r="CU358" s="496" t="s">
        <v>1087</v>
      </c>
      <c r="CV358" s="497" t="s">
        <v>1153</v>
      </c>
      <c r="CX358" s="543">
        <v>1</v>
      </c>
    </row>
    <row r="359" spans="91:102" ht="21" customHeight="1">
      <c r="CM359" s="494"/>
      <c r="CN359" s="496" t="s">
        <v>1841</v>
      </c>
      <c r="CO359" s="496" t="s">
        <v>345</v>
      </c>
      <c r="CP359" s="496" t="s">
        <v>689</v>
      </c>
      <c r="CQ359" s="496" t="s">
        <v>1842</v>
      </c>
      <c r="CR359" s="496" t="s">
        <v>1842</v>
      </c>
      <c r="CS359" s="496" t="s">
        <v>1151</v>
      </c>
      <c r="CT359" s="496" t="s">
        <v>1152</v>
      </c>
      <c r="CU359" s="496" t="s">
        <v>1087</v>
      </c>
      <c r="CV359" s="497" t="s">
        <v>1153</v>
      </c>
      <c r="CX359" s="543">
        <v>1</v>
      </c>
    </row>
    <row r="360" spans="91:102" ht="21" customHeight="1">
      <c r="CM360" s="494"/>
      <c r="CN360" s="496" t="s">
        <v>1843</v>
      </c>
      <c r="CO360" s="496" t="s">
        <v>345</v>
      </c>
      <c r="CP360" s="496" t="s">
        <v>689</v>
      </c>
      <c r="CQ360" s="496" t="s">
        <v>349</v>
      </c>
      <c r="CR360" s="496" t="s">
        <v>349</v>
      </c>
      <c r="CS360" s="496" t="s">
        <v>1151</v>
      </c>
      <c r="CT360" s="496" t="s">
        <v>1152</v>
      </c>
      <c r="CU360" s="496" t="s">
        <v>1087</v>
      </c>
      <c r="CV360" s="497" t="s">
        <v>1153</v>
      </c>
      <c r="CX360" s="543">
        <v>1</v>
      </c>
    </row>
    <row r="361" spans="91:102" ht="21" customHeight="1">
      <c r="CM361" s="494"/>
      <c r="CN361" s="496" t="s">
        <v>1844</v>
      </c>
      <c r="CO361" s="496" t="s">
        <v>345</v>
      </c>
      <c r="CP361" s="496" t="s">
        <v>689</v>
      </c>
      <c r="CQ361" s="496" t="s">
        <v>1845</v>
      </c>
      <c r="CR361" s="496" t="s">
        <v>1845</v>
      </c>
      <c r="CS361" s="496" t="s">
        <v>1151</v>
      </c>
      <c r="CT361" s="496" t="s">
        <v>1152</v>
      </c>
      <c r="CU361" s="496" t="s">
        <v>1087</v>
      </c>
      <c r="CV361" s="497" t="s">
        <v>1153</v>
      </c>
      <c r="CX361" s="543">
        <v>1</v>
      </c>
    </row>
    <row r="362" spans="91:102" ht="21" customHeight="1">
      <c r="CM362" s="494"/>
      <c r="CN362" s="496" t="s">
        <v>1846</v>
      </c>
      <c r="CO362" s="496" t="s">
        <v>345</v>
      </c>
      <c r="CP362" s="496" t="s">
        <v>689</v>
      </c>
      <c r="CQ362" s="496" t="s">
        <v>350</v>
      </c>
      <c r="CR362" s="496" t="s">
        <v>350</v>
      </c>
      <c r="CS362" s="496" t="s">
        <v>1151</v>
      </c>
      <c r="CT362" s="496" t="s">
        <v>1152</v>
      </c>
      <c r="CU362" s="496" t="s">
        <v>1087</v>
      </c>
      <c r="CV362" s="497" t="s">
        <v>1153</v>
      </c>
      <c r="CX362" s="543">
        <v>1</v>
      </c>
    </row>
    <row r="363" spans="91:102" ht="21" customHeight="1">
      <c r="CM363" s="494"/>
      <c r="CN363" s="496" t="s">
        <v>1847</v>
      </c>
      <c r="CO363" s="496" t="s">
        <v>345</v>
      </c>
      <c r="CP363" s="496" t="s">
        <v>689</v>
      </c>
      <c r="CQ363" s="496" t="s">
        <v>963</v>
      </c>
      <c r="CR363" s="496" t="s">
        <v>963</v>
      </c>
      <c r="CS363" s="496" t="s">
        <v>1085</v>
      </c>
      <c r="CT363" s="496" t="s">
        <v>1807</v>
      </c>
      <c r="CU363" s="496" t="s">
        <v>1087</v>
      </c>
      <c r="CV363" s="497" t="s">
        <v>1088</v>
      </c>
      <c r="CX363" s="543">
        <v>1</v>
      </c>
    </row>
    <row r="364" spans="91:102" ht="21" customHeight="1">
      <c r="CM364" s="494"/>
      <c r="CN364" s="496" t="s">
        <v>1848</v>
      </c>
      <c r="CO364" s="496" t="s">
        <v>345</v>
      </c>
      <c r="CP364" s="496" t="s">
        <v>689</v>
      </c>
      <c r="CQ364" s="496" t="s">
        <v>1258</v>
      </c>
      <c r="CR364" s="496" t="s">
        <v>906</v>
      </c>
      <c r="CS364" s="496" t="s">
        <v>1085</v>
      </c>
      <c r="CT364" s="496" t="s">
        <v>1807</v>
      </c>
      <c r="CU364" s="496" t="s">
        <v>1087</v>
      </c>
      <c r="CV364" s="497" t="s">
        <v>1088</v>
      </c>
      <c r="CX364" s="543">
        <v>1</v>
      </c>
    </row>
    <row r="365" spans="91:102" ht="21" customHeight="1">
      <c r="CM365" s="494"/>
      <c r="CN365" s="496" t="s">
        <v>1849</v>
      </c>
      <c r="CO365" s="496" t="s">
        <v>345</v>
      </c>
      <c r="CP365" s="496" t="s">
        <v>689</v>
      </c>
      <c r="CQ365" s="496" t="s">
        <v>972</v>
      </c>
      <c r="CR365" s="496" t="s">
        <v>972</v>
      </c>
      <c r="CS365" s="496" t="s">
        <v>1085</v>
      </c>
      <c r="CT365" s="496" t="s">
        <v>1807</v>
      </c>
      <c r="CU365" s="496" t="s">
        <v>1087</v>
      </c>
      <c r="CV365" s="497" t="s">
        <v>1088</v>
      </c>
      <c r="CX365" s="543">
        <v>1</v>
      </c>
    </row>
    <row r="366" spans="91:102" ht="21" customHeight="1">
      <c r="CM366" s="494"/>
      <c r="CN366" s="496" t="s">
        <v>1850</v>
      </c>
      <c r="CO366" s="496" t="s">
        <v>345</v>
      </c>
      <c r="CP366" s="496" t="s">
        <v>689</v>
      </c>
      <c r="CQ366" s="496" t="s">
        <v>1851</v>
      </c>
      <c r="CR366" s="496" t="s">
        <v>973</v>
      </c>
      <c r="CS366" s="496" t="s">
        <v>1085</v>
      </c>
      <c r="CT366" s="496" t="s">
        <v>1807</v>
      </c>
      <c r="CU366" s="496" t="s">
        <v>1087</v>
      </c>
      <c r="CV366" s="497" t="s">
        <v>1088</v>
      </c>
      <c r="CX366" s="543">
        <v>1</v>
      </c>
    </row>
    <row r="367" spans="91:102" ht="21" customHeight="1">
      <c r="CM367" s="494"/>
      <c r="CN367" s="496" t="s">
        <v>1852</v>
      </c>
      <c r="CO367" s="496" t="s">
        <v>345</v>
      </c>
      <c r="CP367" s="496" t="s">
        <v>689</v>
      </c>
      <c r="CQ367" s="496" t="s">
        <v>1853</v>
      </c>
      <c r="CR367" s="496" t="s">
        <v>68</v>
      </c>
      <c r="CS367" s="496" t="s">
        <v>1085</v>
      </c>
      <c r="CT367" s="496" t="s">
        <v>1807</v>
      </c>
      <c r="CU367" s="496" t="s">
        <v>1087</v>
      </c>
      <c r="CV367" s="497" t="s">
        <v>1088</v>
      </c>
      <c r="CX367" s="543">
        <v>1</v>
      </c>
    </row>
    <row r="368" spans="91:102" ht="21" customHeight="1">
      <c r="CM368" s="494"/>
      <c r="CN368" s="496" t="s">
        <v>1854</v>
      </c>
      <c r="CO368" s="496" t="s">
        <v>345</v>
      </c>
      <c r="CP368" s="496" t="s">
        <v>689</v>
      </c>
      <c r="CQ368" s="496" t="s">
        <v>1855</v>
      </c>
      <c r="CR368" s="496" t="s">
        <v>82</v>
      </c>
      <c r="CS368" s="496" t="s">
        <v>1085</v>
      </c>
      <c r="CT368" s="496" t="s">
        <v>1807</v>
      </c>
      <c r="CU368" s="496" t="s">
        <v>1087</v>
      </c>
      <c r="CV368" s="497" t="s">
        <v>1088</v>
      </c>
      <c r="CX368" s="543">
        <v>1</v>
      </c>
    </row>
    <row r="369" spans="91:102" ht="21" customHeight="1">
      <c r="CM369" s="494"/>
      <c r="CN369" s="496" t="s">
        <v>1856</v>
      </c>
      <c r="CO369" s="496" t="s">
        <v>345</v>
      </c>
      <c r="CP369" s="496" t="s">
        <v>689</v>
      </c>
      <c r="CQ369" s="496" t="s">
        <v>1857</v>
      </c>
      <c r="CR369" s="496" t="s">
        <v>1858</v>
      </c>
      <c r="CS369" s="496" t="s">
        <v>1085</v>
      </c>
      <c r="CT369" s="496" t="s">
        <v>1807</v>
      </c>
      <c r="CU369" s="496" t="s">
        <v>1087</v>
      </c>
      <c r="CV369" s="497" t="s">
        <v>1088</v>
      </c>
      <c r="CX369" s="543">
        <v>1</v>
      </c>
    </row>
    <row r="370" spans="91:102" ht="21" customHeight="1">
      <c r="CM370" s="494"/>
      <c r="CN370" s="496" t="s">
        <v>1859</v>
      </c>
      <c r="CO370" s="496" t="s">
        <v>345</v>
      </c>
      <c r="CP370" s="496" t="s">
        <v>689</v>
      </c>
      <c r="CQ370" s="496" t="s">
        <v>1860</v>
      </c>
      <c r="CR370" s="496" t="s">
        <v>1860</v>
      </c>
      <c r="CS370" s="496" t="s">
        <v>1085</v>
      </c>
      <c r="CT370" s="496" t="s">
        <v>1807</v>
      </c>
      <c r="CU370" s="496" t="s">
        <v>1087</v>
      </c>
      <c r="CV370" s="497" t="s">
        <v>1088</v>
      </c>
      <c r="CX370" s="543">
        <v>1</v>
      </c>
    </row>
    <row r="371" spans="91:102" ht="21" customHeight="1">
      <c r="CM371" s="494"/>
      <c r="CN371" s="496" t="s">
        <v>1861</v>
      </c>
      <c r="CO371" s="496" t="s">
        <v>345</v>
      </c>
      <c r="CP371" s="496" t="s">
        <v>689</v>
      </c>
      <c r="CQ371" s="496" t="s">
        <v>1013</v>
      </c>
      <c r="CR371" s="496" t="s">
        <v>1013</v>
      </c>
      <c r="CS371" s="496" t="s">
        <v>1085</v>
      </c>
      <c r="CT371" s="496" t="s">
        <v>1807</v>
      </c>
      <c r="CU371" s="496" t="s">
        <v>1087</v>
      </c>
      <c r="CV371" s="497" t="s">
        <v>1088</v>
      </c>
      <c r="CX371" s="543">
        <v>1</v>
      </c>
    </row>
    <row r="372" spans="91:102" ht="21" customHeight="1">
      <c r="CM372" s="494"/>
      <c r="CN372" s="496" t="s">
        <v>1862</v>
      </c>
      <c r="CO372" s="496" t="s">
        <v>345</v>
      </c>
      <c r="CP372" s="496" t="s">
        <v>689</v>
      </c>
      <c r="CQ372" s="496" t="s">
        <v>351</v>
      </c>
      <c r="CR372" s="496" t="s">
        <v>351</v>
      </c>
      <c r="CS372" s="496" t="s">
        <v>1085</v>
      </c>
      <c r="CT372" s="496" t="s">
        <v>1807</v>
      </c>
      <c r="CU372" s="496" t="s">
        <v>1087</v>
      </c>
      <c r="CV372" s="497" t="s">
        <v>1088</v>
      </c>
      <c r="CX372" s="543">
        <v>1</v>
      </c>
    </row>
    <row r="373" spans="91:102" ht="21" customHeight="1">
      <c r="CM373" s="494"/>
      <c r="CN373" s="496" t="s">
        <v>1863</v>
      </c>
      <c r="CO373" s="496" t="s">
        <v>345</v>
      </c>
      <c r="CP373" s="496" t="s">
        <v>689</v>
      </c>
      <c r="CQ373" s="496" t="s">
        <v>352</v>
      </c>
      <c r="CR373" s="496" t="s">
        <v>352</v>
      </c>
      <c r="CS373" s="496" t="s">
        <v>1085</v>
      </c>
      <c r="CT373" s="496" t="s">
        <v>1807</v>
      </c>
      <c r="CU373" s="496" t="s">
        <v>1087</v>
      </c>
      <c r="CV373" s="497" t="s">
        <v>1088</v>
      </c>
      <c r="CX373" s="543">
        <v>1</v>
      </c>
    </row>
    <row r="374" spans="91:102" ht="21" customHeight="1">
      <c r="CM374" s="494"/>
      <c r="CN374" s="496" t="s">
        <v>1864</v>
      </c>
      <c r="CO374" s="496" t="s">
        <v>345</v>
      </c>
      <c r="CP374" s="496" t="s">
        <v>689</v>
      </c>
      <c r="CQ374" s="496" t="s">
        <v>1865</v>
      </c>
      <c r="CR374" s="496" t="s">
        <v>1865</v>
      </c>
      <c r="CS374" s="496" t="s">
        <v>1085</v>
      </c>
      <c r="CT374" s="496" t="s">
        <v>1807</v>
      </c>
      <c r="CU374" s="496" t="s">
        <v>1087</v>
      </c>
      <c r="CV374" s="497" t="s">
        <v>1088</v>
      </c>
      <c r="CX374" s="543">
        <v>1</v>
      </c>
    </row>
    <row r="375" spans="91:102" ht="21" customHeight="1">
      <c r="CM375" s="494"/>
      <c r="CN375" s="496" t="s">
        <v>1866</v>
      </c>
      <c r="CO375" s="496" t="s">
        <v>345</v>
      </c>
      <c r="CP375" s="496" t="s">
        <v>689</v>
      </c>
      <c r="CQ375" s="496" t="s">
        <v>1867</v>
      </c>
      <c r="CR375" s="496" t="s">
        <v>18</v>
      </c>
      <c r="CS375" s="496" t="s">
        <v>1085</v>
      </c>
      <c r="CT375" s="496" t="s">
        <v>1807</v>
      </c>
      <c r="CU375" s="496" t="s">
        <v>1087</v>
      </c>
      <c r="CV375" s="497" t="s">
        <v>1088</v>
      </c>
      <c r="CX375" s="543">
        <v>1</v>
      </c>
    </row>
    <row r="376" spans="91:102" ht="21" customHeight="1">
      <c r="CM376" s="494"/>
      <c r="CN376" s="496" t="s">
        <v>1868</v>
      </c>
      <c r="CO376" s="496" t="s">
        <v>345</v>
      </c>
      <c r="CP376" s="496" t="s">
        <v>689</v>
      </c>
      <c r="CQ376" s="496" t="s">
        <v>1869</v>
      </c>
      <c r="CR376" s="496" t="s">
        <v>1870</v>
      </c>
      <c r="CS376" s="496" t="s">
        <v>1085</v>
      </c>
      <c r="CT376" s="496" t="s">
        <v>1807</v>
      </c>
      <c r="CU376" s="496" t="s">
        <v>1087</v>
      </c>
      <c r="CV376" s="497" t="s">
        <v>1088</v>
      </c>
      <c r="CX376" s="543">
        <v>1</v>
      </c>
    </row>
    <row r="377" spans="91:102" ht="21" customHeight="1">
      <c r="CM377" s="494"/>
      <c r="CN377" s="496" t="s">
        <v>1871</v>
      </c>
      <c r="CO377" s="496" t="s">
        <v>345</v>
      </c>
      <c r="CP377" s="496" t="s">
        <v>689</v>
      </c>
      <c r="CQ377" s="496" t="s">
        <v>1872</v>
      </c>
      <c r="CR377" s="496" t="s">
        <v>1873</v>
      </c>
      <c r="CS377" s="496" t="s">
        <v>1085</v>
      </c>
      <c r="CT377" s="496" t="s">
        <v>1807</v>
      </c>
      <c r="CU377" s="496" t="s">
        <v>1087</v>
      </c>
      <c r="CV377" s="497" t="s">
        <v>1088</v>
      </c>
      <c r="CX377" s="543">
        <v>1</v>
      </c>
    </row>
    <row r="378" spans="91:102" ht="21" customHeight="1">
      <c r="CM378" s="494"/>
      <c r="CN378" s="496" t="s">
        <v>1874</v>
      </c>
      <c r="CO378" s="496" t="s">
        <v>345</v>
      </c>
      <c r="CP378" s="496" t="s">
        <v>689</v>
      </c>
      <c r="CQ378" s="496" t="s">
        <v>1875</v>
      </c>
      <c r="CR378" s="496" t="s">
        <v>1876</v>
      </c>
      <c r="CS378" s="496" t="s">
        <v>1085</v>
      </c>
      <c r="CT378" s="496" t="s">
        <v>1807</v>
      </c>
      <c r="CU378" s="496" t="s">
        <v>1087</v>
      </c>
      <c r="CV378" s="497" t="s">
        <v>1088</v>
      </c>
      <c r="CX378" s="543">
        <v>1</v>
      </c>
    </row>
    <row r="379" spans="91:102" ht="21" customHeight="1">
      <c r="CM379" s="494"/>
      <c r="CN379" s="496" t="s">
        <v>1877</v>
      </c>
      <c r="CO379" s="496" t="s">
        <v>345</v>
      </c>
      <c r="CP379" s="496" t="s">
        <v>689</v>
      </c>
      <c r="CQ379" s="496" t="s">
        <v>1878</v>
      </c>
      <c r="CR379" s="496" t="s">
        <v>1879</v>
      </c>
      <c r="CS379" s="496" t="s">
        <v>1085</v>
      </c>
      <c r="CT379" s="496" t="s">
        <v>1807</v>
      </c>
      <c r="CU379" s="496" t="s">
        <v>1087</v>
      </c>
      <c r="CV379" s="497" t="s">
        <v>1088</v>
      </c>
      <c r="CX379" s="543">
        <v>1</v>
      </c>
    </row>
    <row r="380" spans="91:102" ht="21" customHeight="1">
      <c r="CM380" s="494"/>
      <c r="CN380" s="496" t="s">
        <v>1880</v>
      </c>
      <c r="CO380" s="496" t="s">
        <v>345</v>
      </c>
      <c r="CP380" s="496" t="s">
        <v>689</v>
      </c>
      <c r="CQ380" s="496" t="s">
        <v>353</v>
      </c>
      <c r="CR380" s="496" t="s">
        <v>0</v>
      </c>
      <c r="CS380" s="496" t="s">
        <v>1085</v>
      </c>
      <c r="CT380" s="496" t="s">
        <v>1807</v>
      </c>
      <c r="CU380" s="496" t="s">
        <v>1087</v>
      </c>
      <c r="CV380" s="497" t="s">
        <v>1088</v>
      </c>
      <c r="CX380" s="543">
        <v>1</v>
      </c>
    </row>
    <row r="381" spans="91:102" ht="21" customHeight="1">
      <c r="CM381" s="494"/>
      <c r="CN381" s="496" t="s">
        <v>1881</v>
      </c>
      <c r="CO381" s="496" t="s">
        <v>345</v>
      </c>
      <c r="CP381" s="496" t="s">
        <v>689</v>
      </c>
      <c r="CQ381" s="496" t="s">
        <v>1882</v>
      </c>
      <c r="CR381" s="496" t="s">
        <v>1070</v>
      </c>
      <c r="CS381" s="496" t="s">
        <v>1085</v>
      </c>
      <c r="CT381" s="496" t="s">
        <v>1807</v>
      </c>
      <c r="CU381" s="496" t="s">
        <v>1087</v>
      </c>
      <c r="CV381" s="497" t="s">
        <v>1088</v>
      </c>
      <c r="CX381" s="543">
        <v>1</v>
      </c>
    </row>
    <row r="382" spans="91:102" ht="21" customHeight="1">
      <c r="CM382" s="494"/>
      <c r="CN382" s="496" t="s">
        <v>1883</v>
      </c>
      <c r="CO382" s="496" t="s">
        <v>345</v>
      </c>
      <c r="CP382" s="496" t="s">
        <v>689</v>
      </c>
      <c r="CQ382" s="496" t="s">
        <v>354</v>
      </c>
      <c r="CR382" s="496" t="s">
        <v>354</v>
      </c>
      <c r="CS382" s="496" t="s">
        <v>1085</v>
      </c>
      <c r="CT382" s="496" t="s">
        <v>1807</v>
      </c>
      <c r="CU382" s="496" t="s">
        <v>1087</v>
      </c>
      <c r="CV382" s="497" t="s">
        <v>1088</v>
      </c>
      <c r="CX382" s="543">
        <v>1</v>
      </c>
    </row>
    <row r="383" spans="91:102" ht="21" customHeight="1">
      <c r="CM383" s="494"/>
      <c r="CN383" s="496" t="s">
        <v>1884</v>
      </c>
      <c r="CO383" s="496" t="s">
        <v>345</v>
      </c>
      <c r="CP383" s="496" t="s">
        <v>689</v>
      </c>
      <c r="CQ383" s="496" t="s">
        <v>133</v>
      </c>
      <c r="CR383" s="496" t="s">
        <v>133</v>
      </c>
      <c r="CS383" s="496" t="s">
        <v>1085</v>
      </c>
      <c r="CT383" s="496" t="s">
        <v>1807</v>
      </c>
      <c r="CU383" s="496" t="s">
        <v>1087</v>
      </c>
      <c r="CV383" s="497" t="s">
        <v>1088</v>
      </c>
      <c r="CX383" s="543">
        <v>1</v>
      </c>
    </row>
    <row r="384" spans="91:102" ht="21" customHeight="1">
      <c r="CM384" s="494"/>
      <c r="CN384" s="496" t="s">
        <v>1885</v>
      </c>
      <c r="CO384" s="496" t="s">
        <v>345</v>
      </c>
      <c r="CP384" s="496" t="s">
        <v>689</v>
      </c>
      <c r="CQ384" s="496" t="s">
        <v>1886</v>
      </c>
      <c r="CR384" s="496" t="s">
        <v>1886</v>
      </c>
      <c r="CS384" s="496" t="s">
        <v>1085</v>
      </c>
      <c r="CT384" s="496" t="s">
        <v>1807</v>
      </c>
      <c r="CU384" s="496" t="s">
        <v>1087</v>
      </c>
      <c r="CV384" s="497" t="s">
        <v>1088</v>
      </c>
      <c r="CX384" s="543">
        <v>1</v>
      </c>
    </row>
    <row r="385" spans="91:102" ht="21" customHeight="1">
      <c r="CM385" s="494"/>
      <c r="CN385" s="496" t="s">
        <v>1887</v>
      </c>
      <c r="CO385" s="496" t="s">
        <v>345</v>
      </c>
      <c r="CP385" s="496" t="s">
        <v>689</v>
      </c>
      <c r="CQ385" s="496" t="s">
        <v>1888</v>
      </c>
      <c r="CR385" s="496" t="s">
        <v>1889</v>
      </c>
      <c r="CS385" s="496" t="s">
        <v>1085</v>
      </c>
      <c r="CT385" s="496" t="s">
        <v>1807</v>
      </c>
      <c r="CU385" s="496" t="s">
        <v>1087</v>
      </c>
      <c r="CV385" s="497" t="s">
        <v>1088</v>
      </c>
      <c r="CX385" s="543">
        <v>1</v>
      </c>
    </row>
    <row r="386" spans="91:102" ht="21" customHeight="1">
      <c r="CM386" s="494"/>
      <c r="CN386" s="496" t="s">
        <v>1890</v>
      </c>
      <c r="CO386" s="496" t="s">
        <v>345</v>
      </c>
      <c r="CP386" s="496" t="s">
        <v>689</v>
      </c>
      <c r="CQ386" s="496" t="s">
        <v>144</v>
      </c>
      <c r="CR386" s="496" t="s">
        <v>144</v>
      </c>
      <c r="CS386" s="496" t="s">
        <v>1085</v>
      </c>
      <c r="CT386" s="496" t="s">
        <v>1807</v>
      </c>
      <c r="CU386" s="496" t="s">
        <v>1087</v>
      </c>
      <c r="CV386" s="497" t="s">
        <v>1088</v>
      </c>
      <c r="CX386" s="543">
        <v>1</v>
      </c>
    </row>
    <row r="387" spans="91:102" ht="21" customHeight="1">
      <c r="CM387" s="494"/>
      <c r="CN387" s="496" t="s">
        <v>1891</v>
      </c>
      <c r="CO387" s="496" t="s">
        <v>345</v>
      </c>
      <c r="CP387" s="496" t="s">
        <v>689</v>
      </c>
      <c r="CQ387" s="496" t="s">
        <v>153</v>
      </c>
      <c r="CR387" s="496" t="s">
        <v>153</v>
      </c>
      <c r="CS387" s="496" t="s">
        <v>1085</v>
      </c>
      <c r="CT387" s="496" t="s">
        <v>1807</v>
      </c>
      <c r="CU387" s="496" t="s">
        <v>1087</v>
      </c>
      <c r="CV387" s="497" t="s">
        <v>1088</v>
      </c>
      <c r="CX387" s="543">
        <v>1</v>
      </c>
    </row>
    <row r="388" spans="91:102" ht="21" customHeight="1">
      <c r="CM388" s="494"/>
      <c r="CN388" s="496" t="s">
        <v>1892</v>
      </c>
      <c r="CO388" s="496" t="s">
        <v>345</v>
      </c>
      <c r="CP388" s="496" t="s">
        <v>689</v>
      </c>
      <c r="CQ388" s="496" t="s">
        <v>1893</v>
      </c>
      <c r="CR388" s="496" t="s">
        <v>1894</v>
      </c>
      <c r="CS388" s="496" t="s">
        <v>1085</v>
      </c>
      <c r="CT388" s="496" t="s">
        <v>1807</v>
      </c>
      <c r="CU388" s="496" t="s">
        <v>1087</v>
      </c>
      <c r="CV388" s="497" t="s">
        <v>1088</v>
      </c>
      <c r="CX388" s="543">
        <v>1</v>
      </c>
    </row>
    <row r="389" spans="91:102" ht="21" customHeight="1">
      <c r="CM389" s="494"/>
      <c r="CN389" s="496" t="s">
        <v>1895</v>
      </c>
      <c r="CO389" s="496" t="s">
        <v>345</v>
      </c>
      <c r="CP389" s="496" t="s">
        <v>689</v>
      </c>
      <c r="CQ389" s="496" t="s">
        <v>1350</v>
      </c>
      <c r="CR389" s="496" t="s">
        <v>1071</v>
      </c>
      <c r="CS389" s="496" t="s">
        <v>1085</v>
      </c>
      <c r="CT389" s="496" t="s">
        <v>1807</v>
      </c>
      <c r="CU389" s="496" t="s">
        <v>1087</v>
      </c>
      <c r="CV389" s="497" t="s">
        <v>1088</v>
      </c>
      <c r="CX389" s="543">
        <v>1</v>
      </c>
    </row>
    <row r="390" spans="91:102" ht="21" customHeight="1">
      <c r="CM390" s="494"/>
      <c r="CN390" s="496" t="s">
        <v>1896</v>
      </c>
      <c r="CO390" s="496" t="s">
        <v>345</v>
      </c>
      <c r="CP390" s="496" t="s">
        <v>689</v>
      </c>
      <c r="CQ390" s="496" t="s">
        <v>1897</v>
      </c>
      <c r="CR390" s="496" t="s">
        <v>106</v>
      </c>
      <c r="CS390" s="496" t="s">
        <v>1085</v>
      </c>
      <c r="CT390" s="496" t="s">
        <v>1807</v>
      </c>
      <c r="CU390" s="496" t="s">
        <v>1087</v>
      </c>
      <c r="CV390" s="497" t="s">
        <v>1088</v>
      </c>
      <c r="CX390" s="543">
        <v>1</v>
      </c>
    </row>
    <row r="391" spans="91:102" ht="21" customHeight="1">
      <c r="CM391" s="494"/>
      <c r="CN391" s="496" t="s">
        <v>1898</v>
      </c>
      <c r="CO391" s="496" t="s">
        <v>345</v>
      </c>
      <c r="CP391" s="496" t="s">
        <v>689</v>
      </c>
      <c r="CQ391" s="496" t="s">
        <v>920</v>
      </c>
      <c r="CR391" s="496" t="s">
        <v>920</v>
      </c>
      <c r="CS391" s="496" t="s">
        <v>1085</v>
      </c>
      <c r="CT391" s="496" t="s">
        <v>1807</v>
      </c>
      <c r="CU391" s="496" t="s">
        <v>1087</v>
      </c>
      <c r="CV391" s="497" t="s">
        <v>1088</v>
      </c>
      <c r="CX391" s="543">
        <v>1</v>
      </c>
    </row>
    <row r="392" spans="91:102" ht="21" customHeight="1">
      <c r="CM392" s="494"/>
      <c r="CN392" s="496" t="s">
        <v>1899</v>
      </c>
      <c r="CO392" s="496" t="s">
        <v>345</v>
      </c>
      <c r="CP392" s="496" t="s">
        <v>689</v>
      </c>
      <c r="CQ392" s="496" t="s">
        <v>1900</v>
      </c>
      <c r="CR392" s="496" t="s">
        <v>1900</v>
      </c>
      <c r="CS392" s="496" t="s">
        <v>1085</v>
      </c>
      <c r="CT392" s="496" t="s">
        <v>1807</v>
      </c>
      <c r="CU392" s="496" t="s">
        <v>1087</v>
      </c>
      <c r="CV392" s="497" t="s">
        <v>1088</v>
      </c>
      <c r="CX392" s="543">
        <v>1</v>
      </c>
    </row>
    <row r="393" spans="91:102" ht="21" customHeight="1">
      <c r="CM393" s="494"/>
      <c r="CN393" s="496" t="s">
        <v>1901</v>
      </c>
      <c r="CO393" s="496" t="s">
        <v>345</v>
      </c>
      <c r="CP393" s="496" t="s">
        <v>689</v>
      </c>
      <c r="CQ393" s="496" t="s">
        <v>1902</v>
      </c>
      <c r="CR393" s="496" t="s">
        <v>1902</v>
      </c>
      <c r="CS393" s="496" t="s">
        <v>1085</v>
      </c>
      <c r="CT393" s="496" t="s">
        <v>1807</v>
      </c>
      <c r="CU393" s="496" t="s">
        <v>1087</v>
      </c>
      <c r="CV393" s="497" t="s">
        <v>1088</v>
      </c>
      <c r="CX393" s="543">
        <v>1</v>
      </c>
    </row>
    <row r="394" spans="91:102" ht="21" customHeight="1">
      <c r="CM394" s="494"/>
      <c r="CN394" s="496" t="s">
        <v>1903</v>
      </c>
      <c r="CO394" s="496" t="s">
        <v>345</v>
      </c>
      <c r="CP394" s="496" t="s">
        <v>689</v>
      </c>
      <c r="CQ394" s="496" t="s">
        <v>1014</v>
      </c>
      <c r="CR394" s="496" t="s">
        <v>1014</v>
      </c>
      <c r="CS394" s="496" t="s">
        <v>1085</v>
      </c>
      <c r="CT394" s="496" t="s">
        <v>1807</v>
      </c>
      <c r="CU394" s="496" t="s">
        <v>1087</v>
      </c>
      <c r="CV394" s="497" t="s">
        <v>1088</v>
      </c>
      <c r="CX394" s="543">
        <v>1</v>
      </c>
    </row>
    <row r="395" spans="91:102" ht="21" customHeight="1">
      <c r="CM395" s="494"/>
      <c r="CN395" s="496" t="s">
        <v>1904</v>
      </c>
      <c r="CO395" s="496" t="s">
        <v>345</v>
      </c>
      <c r="CP395" s="496" t="s">
        <v>689</v>
      </c>
      <c r="CQ395" s="496" t="s">
        <v>1905</v>
      </c>
      <c r="CR395" s="496" t="s">
        <v>1906</v>
      </c>
      <c r="CS395" s="496" t="s">
        <v>1085</v>
      </c>
      <c r="CT395" s="496" t="s">
        <v>1807</v>
      </c>
      <c r="CU395" s="496" t="s">
        <v>1087</v>
      </c>
      <c r="CV395" s="497" t="s">
        <v>1088</v>
      </c>
      <c r="CX395" s="543">
        <v>1</v>
      </c>
    </row>
    <row r="396" spans="91:102" ht="21" customHeight="1">
      <c r="CM396" s="494"/>
      <c r="CN396" s="496" t="s">
        <v>1907</v>
      </c>
      <c r="CO396" s="496" t="s">
        <v>345</v>
      </c>
      <c r="CP396" s="496" t="s">
        <v>689</v>
      </c>
      <c r="CQ396" s="496" t="s">
        <v>1016</v>
      </c>
      <c r="CR396" s="496" t="s">
        <v>1016</v>
      </c>
      <c r="CS396" s="496" t="s">
        <v>1085</v>
      </c>
      <c r="CT396" s="496" t="s">
        <v>1807</v>
      </c>
      <c r="CU396" s="496" t="s">
        <v>1087</v>
      </c>
      <c r="CV396" s="497" t="s">
        <v>1088</v>
      </c>
      <c r="CX396" s="543">
        <v>1</v>
      </c>
    </row>
    <row r="397" spans="91:102" ht="21" customHeight="1">
      <c r="CM397" s="494"/>
      <c r="CN397" s="496" t="s">
        <v>1908</v>
      </c>
      <c r="CO397" s="496" t="s">
        <v>345</v>
      </c>
      <c r="CP397" s="496" t="s">
        <v>689</v>
      </c>
      <c r="CQ397" s="496" t="s">
        <v>1909</v>
      </c>
      <c r="CR397" s="496" t="s">
        <v>1910</v>
      </c>
      <c r="CS397" s="496" t="s">
        <v>1085</v>
      </c>
      <c r="CT397" s="496" t="s">
        <v>1807</v>
      </c>
      <c r="CU397" s="496" t="s">
        <v>1087</v>
      </c>
      <c r="CV397" s="497" t="s">
        <v>1088</v>
      </c>
      <c r="CX397" s="543">
        <v>1</v>
      </c>
    </row>
    <row r="398" spans="91:102" ht="21" customHeight="1">
      <c r="CM398" s="494"/>
      <c r="CN398" s="496" t="s">
        <v>1911</v>
      </c>
      <c r="CO398" s="496" t="s">
        <v>345</v>
      </c>
      <c r="CP398" s="496" t="s">
        <v>689</v>
      </c>
      <c r="CQ398" s="496" t="s">
        <v>931</v>
      </c>
      <c r="CR398" s="496" t="s">
        <v>931</v>
      </c>
      <c r="CS398" s="496" t="s">
        <v>1085</v>
      </c>
      <c r="CT398" s="496" t="s">
        <v>1807</v>
      </c>
      <c r="CU398" s="496" t="s">
        <v>1087</v>
      </c>
      <c r="CV398" s="497" t="s">
        <v>1088</v>
      </c>
      <c r="CX398" s="543">
        <v>1</v>
      </c>
    </row>
    <row r="399" spans="91:102" ht="21" customHeight="1">
      <c r="CM399" s="494"/>
      <c r="CN399" s="496" t="s">
        <v>1912</v>
      </c>
      <c r="CO399" s="496" t="s">
        <v>345</v>
      </c>
      <c r="CP399" s="496" t="s">
        <v>1511</v>
      </c>
      <c r="CQ399" s="496" t="s">
        <v>1913</v>
      </c>
      <c r="CR399" s="496" t="s">
        <v>1913</v>
      </c>
      <c r="CS399" s="496" t="s">
        <v>1085</v>
      </c>
      <c r="CT399" s="496" t="s">
        <v>1914</v>
      </c>
      <c r="CU399" s="496" t="s">
        <v>1087</v>
      </c>
      <c r="CV399" s="497" t="s">
        <v>1088</v>
      </c>
      <c r="CX399" s="543">
        <v>1</v>
      </c>
    </row>
    <row r="400" spans="91:102" ht="21" customHeight="1">
      <c r="CM400" s="494"/>
      <c r="CN400" s="496" t="s">
        <v>1915</v>
      </c>
      <c r="CO400" s="496" t="s">
        <v>345</v>
      </c>
      <c r="CP400" s="496" t="s">
        <v>1511</v>
      </c>
      <c r="CQ400" s="496" t="s">
        <v>882</v>
      </c>
      <c r="CR400" s="496" t="s">
        <v>882</v>
      </c>
      <c r="CS400" s="496" t="s">
        <v>1085</v>
      </c>
      <c r="CT400" s="496" t="s">
        <v>1914</v>
      </c>
      <c r="CU400" s="496" t="s">
        <v>1087</v>
      </c>
      <c r="CV400" s="497" t="s">
        <v>1088</v>
      </c>
      <c r="CX400" s="543">
        <v>1</v>
      </c>
    </row>
    <row r="401" spans="91:102" ht="21" customHeight="1">
      <c r="CM401" s="494"/>
      <c r="CN401" s="496" t="s">
        <v>1916</v>
      </c>
      <c r="CO401" s="496" t="s">
        <v>345</v>
      </c>
      <c r="CP401" s="496" t="s">
        <v>1511</v>
      </c>
      <c r="CQ401" s="496" t="s">
        <v>1512</v>
      </c>
      <c r="CR401" s="496" t="s">
        <v>1512</v>
      </c>
      <c r="CS401" s="496" t="s">
        <v>1085</v>
      </c>
      <c r="CT401" s="496" t="s">
        <v>1914</v>
      </c>
      <c r="CU401" s="496" t="s">
        <v>1087</v>
      </c>
      <c r="CV401" s="497" t="s">
        <v>1088</v>
      </c>
      <c r="CX401" s="543">
        <v>1</v>
      </c>
    </row>
    <row r="402" spans="91:102" ht="21" customHeight="1">
      <c r="CM402" s="494"/>
      <c r="CN402" s="496" t="s">
        <v>1917</v>
      </c>
      <c r="CO402" s="496" t="s">
        <v>345</v>
      </c>
      <c r="CP402" s="496" t="s">
        <v>1511</v>
      </c>
      <c r="CQ402" s="496" t="s">
        <v>889</v>
      </c>
      <c r="CR402" s="496" t="s">
        <v>889</v>
      </c>
      <c r="CS402" s="496" t="s">
        <v>1085</v>
      </c>
      <c r="CT402" s="496" t="s">
        <v>1914</v>
      </c>
      <c r="CU402" s="496" t="s">
        <v>1087</v>
      </c>
      <c r="CV402" s="497" t="s">
        <v>1088</v>
      </c>
      <c r="CX402" s="543">
        <v>1</v>
      </c>
    </row>
    <row r="403" spans="91:102" ht="21" customHeight="1">
      <c r="CM403" s="494"/>
      <c r="CN403" s="496" t="s">
        <v>1918</v>
      </c>
      <c r="CO403" s="496" t="s">
        <v>345</v>
      </c>
      <c r="CP403" s="496" t="s">
        <v>1511</v>
      </c>
      <c r="CQ403" s="496" t="s">
        <v>1919</v>
      </c>
      <c r="CR403" s="496" t="s">
        <v>1919</v>
      </c>
      <c r="CS403" s="496" t="s">
        <v>1085</v>
      </c>
      <c r="CT403" s="496" t="s">
        <v>1914</v>
      </c>
      <c r="CU403" s="496" t="s">
        <v>1087</v>
      </c>
      <c r="CV403" s="497" t="s">
        <v>1088</v>
      </c>
      <c r="CX403" s="543">
        <v>1</v>
      </c>
    </row>
    <row r="404" spans="91:102" ht="21" customHeight="1">
      <c r="CM404" s="494"/>
      <c r="CN404" s="496" t="s">
        <v>1920</v>
      </c>
      <c r="CO404" s="496" t="s">
        <v>345</v>
      </c>
      <c r="CP404" s="496" t="s">
        <v>1511</v>
      </c>
      <c r="CQ404" s="496" t="s">
        <v>1517</v>
      </c>
      <c r="CR404" s="496" t="s">
        <v>1517</v>
      </c>
      <c r="CS404" s="496" t="s">
        <v>1151</v>
      </c>
      <c r="CT404" s="496" t="s">
        <v>1518</v>
      </c>
      <c r="CU404" s="496" t="s">
        <v>1087</v>
      </c>
      <c r="CV404" s="497" t="s">
        <v>1153</v>
      </c>
      <c r="CX404" s="543">
        <v>1</v>
      </c>
    </row>
    <row r="405" spans="91:102" ht="21" customHeight="1">
      <c r="CM405" s="494"/>
      <c r="CN405" s="496" t="s">
        <v>1921</v>
      </c>
      <c r="CO405" s="496" t="s">
        <v>345</v>
      </c>
      <c r="CP405" s="496" t="s">
        <v>1511</v>
      </c>
      <c r="CQ405" s="496" t="s">
        <v>1520</v>
      </c>
      <c r="CR405" s="496" t="s">
        <v>1520</v>
      </c>
      <c r="CS405" s="496" t="s">
        <v>1151</v>
      </c>
      <c r="CT405" s="496" t="s">
        <v>1518</v>
      </c>
      <c r="CU405" s="496" t="s">
        <v>1087</v>
      </c>
      <c r="CV405" s="497" t="s">
        <v>1153</v>
      </c>
      <c r="CX405" s="543">
        <v>1</v>
      </c>
    </row>
    <row r="406" spans="91:102" ht="21" customHeight="1">
      <c r="CM406" s="494"/>
      <c r="CN406" s="496" t="s">
        <v>1922</v>
      </c>
      <c r="CO406" s="496" t="s">
        <v>345</v>
      </c>
      <c r="CP406" s="496" t="s">
        <v>1511</v>
      </c>
      <c r="CQ406" s="496" t="s">
        <v>1923</v>
      </c>
      <c r="CR406" s="496" t="s">
        <v>1923</v>
      </c>
      <c r="CS406" s="496" t="s">
        <v>1085</v>
      </c>
      <c r="CT406" s="496" t="s">
        <v>1914</v>
      </c>
      <c r="CU406" s="496" t="s">
        <v>1087</v>
      </c>
      <c r="CV406" s="497" t="s">
        <v>1088</v>
      </c>
      <c r="CX406" s="543">
        <v>1</v>
      </c>
    </row>
    <row r="407" spans="91:102" ht="21" customHeight="1">
      <c r="CM407" s="494"/>
      <c r="CN407" s="496" t="s">
        <v>1924</v>
      </c>
      <c r="CO407" s="496" t="s">
        <v>345</v>
      </c>
      <c r="CP407" s="496" t="s">
        <v>1511</v>
      </c>
      <c r="CQ407" s="496" t="s">
        <v>894</v>
      </c>
      <c r="CR407" s="496" t="s">
        <v>894</v>
      </c>
      <c r="CS407" s="496" t="s">
        <v>1085</v>
      </c>
      <c r="CT407" s="496" t="s">
        <v>1914</v>
      </c>
      <c r="CU407" s="496" t="s">
        <v>1087</v>
      </c>
      <c r="CV407" s="497" t="s">
        <v>1088</v>
      </c>
      <c r="CX407" s="543">
        <v>1</v>
      </c>
    </row>
    <row r="408" spans="91:102" ht="21" customHeight="1">
      <c r="CM408" s="494"/>
      <c r="CN408" s="496" t="s">
        <v>1925</v>
      </c>
      <c r="CO408" s="496" t="s">
        <v>345</v>
      </c>
      <c r="CP408" s="496" t="s">
        <v>1511</v>
      </c>
      <c r="CQ408" s="496" t="s">
        <v>1926</v>
      </c>
      <c r="CR408" s="496" t="s">
        <v>956</v>
      </c>
      <c r="CS408" s="496" t="s">
        <v>1085</v>
      </c>
      <c r="CT408" s="496" t="s">
        <v>1914</v>
      </c>
      <c r="CU408" s="496" t="s">
        <v>1087</v>
      </c>
      <c r="CV408" s="497" t="s">
        <v>1088</v>
      </c>
      <c r="CX408" s="543">
        <v>1</v>
      </c>
    </row>
    <row r="409" spans="91:102" ht="21" customHeight="1">
      <c r="CM409" s="494"/>
      <c r="CN409" s="496" t="s">
        <v>1927</v>
      </c>
      <c r="CO409" s="496" t="s">
        <v>345</v>
      </c>
      <c r="CP409" s="496" t="s">
        <v>1511</v>
      </c>
      <c r="CQ409" s="496" t="s">
        <v>1928</v>
      </c>
      <c r="CR409" s="496" t="s">
        <v>1928</v>
      </c>
      <c r="CS409" s="496" t="s">
        <v>1085</v>
      </c>
      <c r="CT409" s="496" t="s">
        <v>1914</v>
      </c>
      <c r="CU409" s="496" t="s">
        <v>1087</v>
      </c>
      <c r="CV409" s="497" t="s">
        <v>1088</v>
      </c>
      <c r="CX409" s="543">
        <v>1</v>
      </c>
    </row>
    <row r="410" spans="91:102" ht="21" customHeight="1">
      <c r="CM410" s="494"/>
      <c r="CN410" s="496" t="s">
        <v>1929</v>
      </c>
      <c r="CO410" s="496" t="s">
        <v>345</v>
      </c>
      <c r="CP410" s="496" t="s">
        <v>1511</v>
      </c>
      <c r="CQ410" s="496" t="s">
        <v>969</v>
      </c>
      <c r="CR410" s="496" t="s">
        <v>969</v>
      </c>
      <c r="CS410" s="496" t="s">
        <v>1085</v>
      </c>
      <c r="CT410" s="496" t="s">
        <v>1914</v>
      </c>
      <c r="CU410" s="496" t="s">
        <v>1087</v>
      </c>
      <c r="CV410" s="497" t="s">
        <v>1088</v>
      </c>
      <c r="CX410" s="543">
        <v>1</v>
      </c>
    </row>
    <row r="411" spans="91:102" ht="21" customHeight="1">
      <c r="CM411" s="494"/>
      <c r="CN411" s="496" t="s">
        <v>1930</v>
      </c>
      <c r="CO411" s="496" t="s">
        <v>345</v>
      </c>
      <c r="CP411" s="496" t="s">
        <v>1511</v>
      </c>
      <c r="CQ411" s="496" t="s">
        <v>979</v>
      </c>
      <c r="CR411" s="496" t="s">
        <v>979</v>
      </c>
      <c r="CS411" s="496" t="s">
        <v>1085</v>
      </c>
      <c r="CT411" s="496" t="s">
        <v>1914</v>
      </c>
      <c r="CU411" s="496" t="s">
        <v>1087</v>
      </c>
      <c r="CV411" s="497" t="s">
        <v>1088</v>
      </c>
      <c r="CX411" s="543">
        <v>1</v>
      </c>
    </row>
    <row r="412" spans="91:102" ht="21" customHeight="1">
      <c r="CM412" s="494"/>
      <c r="CN412" s="496" t="s">
        <v>1931</v>
      </c>
      <c r="CO412" s="496" t="s">
        <v>345</v>
      </c>
      <c r="CP412" s="496" t="s">
        <v>1511</v>
      </c>
      <c r="CQ412" s="496" t="s">
        <v>1932</v>
      </c>
      <c r="CR412" s="496" t="s">
        <v>1932</v>
      </c>
      <c r="CS412" s="496" t="s">
        <v>1085</v>
      </c>
      <c r="CT412" s="496" t="s">
        <v>1914</v>
      </c>
      <c r="CU412" s="496" t="s">
        <v>1087</v>
      </c>
      <c r="CV412" s="497" t="s">
        <v>1088</v>
      </c>
      <c r="CX412" s="543">
        <v>1</v>
      </c>
    </row>
    <row r="413" spans="91:102" ht="21" customHeight="1">
      <c r="CM413" s="494"/>
      <c r="CN413" s="496" t="s">
        <v>1933</v>
      </c>
      <c r="CO413" s="496" t="s">
        <v>345</v>
      </c>
      <c r="CP413" s="496" t="s">
        <v>1511</v>
      </c>
      <c r="CQ413" s="496" t="s">
        <v>1934</v>
      </c>
      <c r="CR413" s="496" t="s">
        <v>1935</v>
      </c>
      <c r="CS413" s="496" t="s">
        <v>1085</v>
      </c>
      <c r="CT413" s="496" t="s">
        <v>1914</v>
      </c>
      <c r="CU413" s="496" t="s">
        <v>1087</v>
      </c>
      <c r="CV413" s="497" t="s">
        <v>1088</v>
      </c>
      <c r="CX413" s="543">
        <v>1</v>
      </c>
    </row>
    <row r="414" spans="91:102" ht="21" customHeight="1">
      <c r="CM414" s="494"/>
      <c r="CN414" s="496" t="s">
        <v>1936</v>
      </c>
      <c r="CO414" s="496" t="s">
        <v>345</v>
      </c>
      <c r="CP414" s="496" t="s">
        <v>1511</v>
      </c>
      <c r="CQ414" s="496" t="s">
        <v>1937</v>
      </c>
      <c r="CR414" s="496" t="s">
        <v>1938</v>
      </c>
      <c r="CS414" s="496" t="s">
        <v>1085</v>
      </c>
      <c r="CT414" s="496" t="s">
        <v>1914</v>
      </c>
      <c r="CU414" s="496" t="s">
        <v>1087</v>
      </c>
      <c r="CV414" s="497" t="s">
        <v>1088</v>
      </c>
      <c r="CX414" s="543">
        <v>1</v>
      </c>
    </row>
    <row r="415" spans="91:102" ht="21" customHeight="1">
      <c r="CM415" s="494"/>
      <c r="CN415" s="496" t="s">
        <v>1939</v>
      </c>
      <c r="CO415" s="496" t="s">
        <v>345</v>
      </c>
      <c r="CP415" s="496" t="s">
        <v>1511</v>
      </c>
      <c r="CQ415" s="496" t="s">
        <v>202</v>
      </c>
      <c r="CR415" s="496" t="s">
        <v>202</v>
      </c>
      <c r="CS415" s="496" t="s">
        <v>1085</v>
      </c>
      <c r="CT415" s="496" t="s">
        <v>1914</v>
      </c>
      <c r="CU415" s="496" t="s">
        <v>1087</v>
      </c>
      <c r="CV415" s="497" t="s">
        <v>1088</v>
      </c>
      <c r="CX415" s="543">
        <v>1</v>
      </c>
    </row>
    <row r="416" spans="91:102" ht="21" customHeight="1">
      <c r="CM416" s="494"/>
      <c r="CN416" s="496" t="s">
        <v>1940</v>
      </c>
      <c r="CO416" s="496" t="s">
        <v>345</v>
      </c>
      <c r="CP416" s="496" t="s">
        <v>1511</v>
      </c>
      <c r="CQ416" s="496" t="s">
        <v>1941</v>
      </c>
      <c r="CR416" s="496" t="s">
        <v>913</v>
      </c>
      <c r="CS416" s="496" t="s">
        <v>1085</v>
      </c>
      <c r="CT416" s="496" t="s">
        <v>1914</v>
      </c>
      <c r="CU416" s="496" t="s">
        <v>1087</v>
      </c>
      <c r="CV416" s="497" t="s">
        <v>1088</v>
      </c>
      <c r="CX416" s="543">
        <v>1</v>
      </c>
    </row>
    <row r="417" spans="91:102" ht="21" customHeight="1">
      <c r="CM417" s="494"/>
      <c r="CN417" s="496" t="s">
        <v>1942</v>
      </c>
      <c r="CO417" s="496" t="s">
        <v>345</v>
      </c>
      <c r="CP417" s="496" t="s">
        <v>1511</v>
      </c>
      <c r="CQ417" s="496" t="s">
        <v>1943</v>
      </c>
      <c r="CR417" s="496" t="s">
        <v>1944</v>
      </c>
      <c r="CS417" s="496" t="s">
        <v>1085</v>
      </c>
      <c r="CT417" s="496" t="s">
        <v>1914</v>
      </c>
      <c r="CU417" s="496" t="s">
        <v>1087</v>
      </c>
      <c r="CV417" s="497" t="s">
        <v>1088</v>
      </c>
      <c r="CX417" s="543">
        <v>1</v>
      </c>
    </row>
    <row r="418" spans="91:102" ht="21" customHeight="1">
      <c r="CM418" s="494"/>
      <c r="CN418" s="496" t="s">
        <v>1945</v>
      </c>
      <c r="CO418" s="496" t="s">
        <v>345</v>
      </c>
      <c r="CP418" s="496" t="s">
        <v>1511</v>
      </c>
      <c r="CQ418" s="496" t="s">
        <v>1946</v>
      </c>
      <c r="CR418" s="496" t="s">
        <v>1946</v>
      </c>
      <c r="CS418" s="496" t="s">
        <v>1085</v>
      </c>
      <c r="CT418" s="496" t="s">
        <v>1914</v>
      </c>
      <c r="CU418" s="496" t="s">
        <v>1087</v>
      </c>
      <c r="CV418" s="497" t="s">
        <v>1088</v>
      </c>
      <c r="CX418" s="543">
        <v>1</v>
      </c>
    </row>
    <row r="419" spans="91:102" ht="21" customHeight="1">
      <c r="CM419" s="494"/>
      <c r="CN419" s="496" t="s">
        <v>1947</v>
      </c>
      <c r="CO419" s="496" t="s">
        <v>345</v>
      </c>
      <c r="CP419" s="496" t="s">
        <v>1511</v>
      </c>
      <c r="CQ419" s="496" t="s">
        <v>919</v>
      </c>
      <c r="CR419" s="496" t="s">
        <v>919</v>
      </c>
      <c r="CS419" s="496" t="s">
        <v>1085</v>
      </c>
      <c r="CT419" s="496" t="s">
        <v>1914</v>
      </c>
      <c r="CU419" s="496" t="s">
        <v>1087</v>
      </c>
      <c r="CV419" s="497" t="s">
        <v>1088</v>
      </c>
      <c r="CX419" s="543">
        <v>1</v>
      </c>
    </row>
    <row r="420" spans="91:102" ht="21" customHeight="1">
      <c r="CM420" s="494"/>
      <c r="CN420" s="496" t="s">
        <v>1948</v>
      </c>
      <c r="CO420" s="496" t="s">
        <v>345</v>
      </c>
      <c r="CP420" s="496" t="s">
        <v>1511</v>
      </c>
      <c r="CQ420" s="496" t="s">
        <v>1949</v>
      </c>
      <c r="CR420" s="496" t="s">
        <v>1949</v>
      </c>
      <c r="CS420" s="496" t="s">
        <v>1085</v>
      </c>
      <c r="CT420" s="496" t="s">
        <v>1914</v>
      </c>
      <c r="CU420" s="496" t="s">
        <v>1087</v>
      </c>
      <c r="CV420" s="497" t="s">
        <v>1088</v>
      </c>
      <c r="CX420" s="543">
        <v>1</v>
      </c>
    </row>
    <row r="421" spans="91:102" ht="21" customHeight="1">
      <c r="CM421" s="494"/>
      <c r="CN421" s="496" t="s">
        <v>1950</v>
      </c>
      <c r="CO421" s="496" t="s">
        <v>345</v>
      </c>
      <c r="CP421" s="496" t="s">
        <v>1511</v>
      </c>
      <c r="CQ421" s="496" t="s">
        <v>1534</v>
      </c>
      <c r="CR421" s="496" t="s">
        <v>1535</v>
      </c>
      <c r="CS421" s="496" t="s">
        <v>1151</v>
      </c>
      <c r="CT421" s="496" t="s">
        <v>1518</v>
      </c>
      <c r="CU421" s="496" t="s">
        <v>1087</v>
      </c>
      <c r="CV421" s="497" t="s">
        <v>1153</v>
      </c>
      <c r="CX421" s="543">
        <v>1</v>
      </c>
    </row>
    <row r="422" spans="91:102" ht="21" customHeight="1">
      <c r="CM422" s="494"/>
      <c r="CN422" s="496" t="s">
        <v>1951</v>
      </c>
      <c r="CO422" s="496" t="s">
        <v>345</v>
      </c>
      <c r="CP422" s="496" t="s">
        <v>1511</v>
      </c>
      <c r="CQ422" s="496" t="s">
        <v>1952</v>
      </c>
      <c r="CR422" s="496" t="s">
        <v>1952</v>
      </c>
      <c r="CS422" s="496" t="s">
        <v>1085</v>
      </c>
      <c r="CT422" s="496" t="s">
        <v>1914</v>
      </c>
      <c r="CU422" s="496" t="s">
        <v>1087</v>
      </c>
      <c r="CV422" s="497" t="s">
        <v>1088</v>
      </c>
      <c r="CX422" s="543">
        <v>1</v>
      </c>
    </row>
    <row r="423" spans="91:102" ht="21" customHeight="1">
      <c r="CM423" s="494"/>
      <c r="CN423" s="496" t="s">
        <v>1953</v>
      </c>
      <c r="CO423" s="496" t="s">
        <v>345</v>
      </c>
      <c r="CP423" s="496" t="s">
        <v>1511</v>
      </c>
      <c r="CQ423" s="496" t="s">
        <v>1423</v>
      </c>
      <c r="CR423" s="496" t="s">
        <v>1423</v>
      </c>
      <c r="CS423" s="496" t="s">
        <v>1085</v>
      </c>
      <c r="CT423" s="496" t="s">
        <v>1914</v>
      </c>
      <c r="CU423" s="496" t="s">
        <v>1087</v>
      </c>
      <c r="CV423" s="497" t="s">
        <v>1088</v>
      </c>
      <c r="CX423" s="543">
        <v>1</v>
      </c>
    </row>
    <row r="424" spans="91:102" ht="21" customHeight="1">
      <c r="CM424" s="494"/>
      <c r="CN424" s="496" t="s">
        <v>1954</v>
      </c>
      <c r="CO424" s="496" t="s">
        <v>345</v>
      </c>
      <c r="CP424" s="496" t="s">
        <v>1511</v>
      </c>
      <c r="CQ424" s="496" t="s">
        <v>1955</v>
      </c>
      <c r="CR424" s="496" t="s">
        <v>1955</v>
      </c>
      <c r="CS424" s="496" t="s">
        <v>1085</v>
      </c>
      <c r="CT424" s="496" t="s">
        <v>1914</v>
      </c>
      <c r="CU424" s="496" t="s">
        <v>1087</v>
      </c>
      <c r="CV424" s="497" t="s">
        <v>1088</v>
      </c>
      <c r="CX424" s="543">
        <v>1</v>
      </c>
    </row>
    <row r="425" spans="91:102" ht="21" customHeight="1">
      <c r="CM425" s="494"/>
      <c r="CN425" s="496" t="s">
        <v>1956</v>
      </c>
      <c r="CO425" s="496" t="s">
        <v>345</v>
      </c>
      <c r="CP425" s="496" t="s">
        <v>1511</v>
      </c>
      <c r="CQ425" s="496" t="s">
        <v>1433</v>
      </c>
      <c r="CR425" s="496" t="s">
        <v>1433</v>
      </c>
      <c r="CS425" s="496" t="s">
        <v>1085</v>
      </c>
      <c r="CT425" s="496" t="s">
        <v>1914</v>
      </c>
      <c r="CU425" s="496" t="s">
        <v>1087</v>
      </c>
      <c r="CV425" s="497" t="s">
        <v>1088</v>
      </c>
      <c r="CX425" s="543">
        <v>1</v>
      </c>
    </row>
    <row r="426" spans="91:102" ht="21" customHeight="1">
      <c r="CM426" s="494"/>
      <c r="CN426" s="496" t="s">
        <v>1957</v>
      </c>
      <c r="CO426" s="496" t="s">
        <v>345</v>
      </c>
      <c r="CP426" s="496" t="s">
        <v>1511</v>
      </c>
      <c r="CQ426" s="496" t="s">
        <v>1958</v>
      </c>
      <c r="CR426" s="496" t="s">
        <v>1958</v>
      </c>
      <c r="CS426" s="496" t="s">
        <v>1085</v>
      </c>
      <c r="CT426" s="496" t="s">
        <v>1914</v>
      </c>
      <c r="CU426" s="496" t="s">
        <v>1087</v>
      </c>
      <c r="CV426" s="497" t="s">
        <v>1088</v>
      </c>
      <c r="CX426" s="543">
        <v>1</v>
      </c>
    </row>
    <row r="427" spans="91:102" ht="21" customHeight="1">
      <c r="CM427" s="494"/>
      <c r="CN427" s="496" t="s">
        <v>1959</v>
      </c>
      <c r="CO427" s="496" t="s">
        <v>345</v>
      </c>
      <c r="CP427" s="496" t="s">
        <v>1960</v>
      </c>
      <c r="CQ427" s="496" t="s">
        <v>1961</v>
      </c>
      <c r="CR427" s="496" t="s">
        <v>1961</v>
      </c>
      <c r="CS427" s="496" t="s">
        <v>1151</v>
      </c>
      <c r="CT427" s="496" t="s">
        <v>1962</v>
      </c>
      <c r="CU427" s="496" t="s">
        <v>1087</v>
      </c>
      <c r="CV427" s="497" t="s">
        <v>1153</v>
      </c>
      <c r="CX427" s="543">
        <v>1</v>
      </c>
    </row>
    <row r="428" spans="91:102" ht="21" customHeight="1">
      <c r="CM428" s="494"/>
      <c r="CN428" s="496" t="s">
        <v>1963</v>
      </c>
      <c r="CO428" s="496" t="s">
        <v>345</v>
      </c>
      <c r="CP428" s="496" t="s">
        <v>1960</v>
      </c>
      <c r="CQ428" s="496" t="s">
        <v>1964</v>
      </c>
      <c r="CR428" s="496" t="s">
        <v>1965</v>
      </c>
      <c r="CS428" s="496" t="s">
        <v>1151</v>
      </c>
      <c r="CT428" s="496" t="s">
        <v>1962</v>
      </c>
      <c r="CU428" s="496" t="s">
        <v>1087</v>
      </c>
      <c r="CV428" s="497" t="s">
        <v>1153</v>
      </c>
      <c r="CX428" s="543">
        <v>1</v>
      </c>
    </row>
    <row r="429" spans="91:102" ht="21" customHeight="1">
      <c r="CM429" s="494"/>
      <c r="CN429" s="496" t="s">
        <v>1966</v>
      </c>
      <c r="CO429" s="496" t="s">
        <v>345</v>
      </c>
      <c r="CP429" s="496" t="s">
        <v>1960</v>
      </c>
      <c r="CQ429" s="496" t="s">
        <v>1967</v>
      </c>
      <c r="CR429" s="496" t="s">
        <v>1968</v>
      </c>
      <c r="CS429" s="496" t="s">
        <v>1151</v>
      </c>
      <c r="CT429" s="496" t="s">
        <v>1962</v>
      </c>
      <c r="CU429" s="496" t="s">
        <v>1087</v>
      </c>
      <c r="CV429" s="497" t="s">
        <v>1153</v>
      </c>
      <c r="CX429" s="543">
        <v>1</v>
      </c>
    </row>
    <row r="430" spans="91:102" ht="21" customHeight="1">
      <c r="CM430" s="494"/>
      <c r="CN430" s="496" t="s">
        <v>1969</v>
      </c>
      <c r="CO430" s="496" t="s">
        <v>345</v>
      </c>
      <c r="CP430" s="496" t="s">
        <v>1960</v>
      </c>
      <c r="CQ430" s="496" t="s">
        <v>1970</v>
      </c>
      <c r="CR430" s="496" t="s">
        <v>1971</v>
      </c>
      <c r="CS430" s="496" t="s">
        <v>1151</v>
      </c>
      <c r="CT430" s="496" t="s">
        <v>1962</v>
      </c>
      <c r="CU430" s="496" t="s">
        <v>1087</v>
      </c>
      <c r="CV430" s="497" t="s">
        <v>1153</v>
      </c>
      <c r="CX430" s="543">
        <v>1</v>
      </c>
    </row>
    <row r="431" spans="91:102" ht="21" customHeight="1">
      <c r="CM431" s="494"/>
      <c r="CN431" s="496" t="s">
        <v>1972</v>
      </c>
      <c r="CO431" s="496" t="s">
        <v>345</v>
      </c>
      <c r="CP431" s="496" t="s">
        <v>1960</v>
      </c>
      <c r="CQ431" s="496" t="s">
        <v>1478</v>
      </c>
      <c r="CR431" s="496" t="s">
        <v>860</v>
      </c>
      <c r="CS431" s="496" t="s">
        <v>1151</v>
      </c>
      <c r="CT431" s="496" t="s">
        <v>1962</v>
      </c>
      <c r="CU431" s="496" t="s">
        <v>1087</v>
      </c>
      <c r="CV431" s="497" t="s">
        <v>1153</v>
      </c>
      <c r="CX431" s="543">
        <v>1</v>
      </c>
    </row>
    <row r="432" spans="91:102" ht="21" customHeight="1">
      <c r="CM432" s="494"/>
      <c r="CN432" s="496" t="s">
        <v>1973</v>
      </c>
      <c r="CO432" s="496" t="s">
        <v>345</v>
      </c>
      <c r="CP432" s="496" t="s">
        <v>1960</v>
      </c>
      <c r="CQ432" s="496" t="s">
        <v>857</v>
      </c>
      <c r="CR432" s="496" t="s">
        <v>861</v>
      </c>
      <c r="CS432" s="496" t="s">
        <v>1151</v>
      </c>
      <c r="CT432" s="496" t="s">
        <v>1962</v>
      </c>
      <c r="CU432" s="496" t="s">
        <v>1087</v>
      </c>
      <c r="CV432" s="497" t="s">
        <v>1153</v>
      </c>
      <c r="CX432" s="543">
        <v>1</v>
      </c>
    </row>
    <row r="433" spans="91:102" ht="21" customHeight="1">
      <c r="CM433" s="494"/>
      <c r="CN433" s="496" t="s">
        <v>1974</v>
      </c>
      <c r="CO433" s="496" t="s">
        <v>345</v>
      </c>
      <c r="CP433" s="496" t="s">
        <v>1960</v>
      </c>
      <c r="CQ433" s="496" t="s">
        <v>1486</v>
      </c>
      <c r="CR433" s="496" t="s">
        <v>864</v>
      </c>
      <c r="CS433" s="496" t="s">
        <v>1151</v>
      </c>
      <c r="CT433" s="496" t="s">
        <v>1962</v>
      </c>
      <c r="CU433" s="496" t="s">
        <v>1087</v>
      </c>
      <c r="CV433" s="497" t="s">
        <v>1153</v>
      </c>
      <c r="CX433" s="543">
        <v>1</v>
      </c>
    </row>
    <row r="434" spans="91:102" ht="21" customHeight="1">
      <c r="CM434" s="494"/>
      <c r="CN434" s="496" t="s">
        <v>1975</v>
      </c>
      <c r="CO434" s="496" t="s">
        <v>345</v>
      </c>
      <c r="CP434" s="496" t="s">
        <v>1960</v>
      </c>
      <c r="CQ434" s="496" t="s">
        <v>1976</v>
      </c>
      <c r="CR434" s="496" t="s">
        <v>1976</v>
      </c>
      <c r="CS434" s="496" t="s">
        <v>1151</v>
      </c>
      <c r="CT434" s="496" t="s">
        <v>1962</v>
      </c>
      <c r="CU434" s="496" t="s">
        <v>1087</v>
      </c>
      <c r="CV434" s="497" t="s">
        <v>1153</v>
      </c>
      <c r="CX434" s="543">
        <v>1</v>
      </c>
    </row>
    <row r="435" spans="91:102" ht="21" customHeight="1">
      <c r="CM435" s="494"/>
      <c r="CN435" s="496" t="s">
        <v>1977</v>
      </c>
      <c r="CO435" s="496" t="s">
        <v>345</v>
      </c>
      <c r="CP435" s="496" t="s">
        <v>1960</v>
      </c>
      <c r="CQ435" s="496" t="s">
        <v>1978</v>
      </c>
      <c r="CR435" s="496" t="s">
        <v>1978</v>
      </c>
      <c r="CS435" s="496" t="s">
        <v>1151</v>
      </c>
      <c r="CT435" s="496" t="s">
        <v>1962</v>
      </c>
      <c r="CU435" s="496" t="s">
        <v>1087</v>
      </c>
      <c r="CV435" s="497" t="s">
        <v>1153</v>
      </c>
      <c r="CX435" s="543">
        <v>1</v>
      </c>
    </row>
    <row r="436" spans="91:102" ht="21" customHeight="1">
      <c r="CM436" s="494"/>
      <c r="CN436" s="496" t="s">
        <v>1979</v>
      </c>
      <c r="CO436" s="496" t="s">
        <v>8</v>
      </c>
      <c r="CP436" s="496" t="s">
        <v>689</v>
      </c>
      <c r="CQ436" s="496" t="s">
        <v>1980</v>
      </c>
      <c r="CR436" s="496" t="s">
        <v>1980</v>
      </c>
      <c r="CS436" s="496" t="s">
        <v>1554</v>
      </c>
      <c r="CT436" s="496" t="s">
        <v>1555</v>
      </c>
      <c r="CU436" s="496" t="s">
        <v>1981</v>
      </c>
      <c r="CV436" s="497" t="s">
        <v>1982</v>
      </c>
      <c r="CX436" s="543">
        <v>1</v>
      </c>
    </row>
    <row r="437" spans="91:102" ht="21" customHeight="1">
      <c r="CM437" s="494"/>
      <c r="CN437" s="496" t="s">
        <v>1983</v>
      </c>
      <c r="CO437" s="496" t="s">
        <v>8</v>
      </c>
      <c r="CP437" s="496" t="s">
        <v>689</v>
      </c>
      <c r="CQ437" s="496" t="s">
        <v>1984</v>
      </c>
      <c r="CR437" s="496" t="s">
        <v>1984</v>
      </c>
      <c r="CS437" s="496" t="s">
        <v>1554</v>
      </c>
      <c r="CT437" s="496" t="s">
        <v>1555</v>
      </c>
      <c r="CU437" s="496" t="s">
        <v>1981</v>
      </c>
      <c r="CV437" s="497" t="s">
        <v>1982</v>
      </c>
      <c r="CX437" s="543">
        <v>1</v>
      </c>
    </row>
    <row r="438" spans="91:102" ht="21" customHeight="1">
      <c r="CM438" s="494"/>
      <c r="CN438" s="496" t="s">
        <v>1985</v>
      </c>
      <c r="CO438" s="496" t="s">
        <v>8</v>
      </c>
      <c r="CP438" s="496" t="s">
        <v>689</v>
      </c>
      <c r="CQ438" s="496" t="s">
        <v>1986</v>
      </c>
      <c r="CR438" s="496" t="s">
        <v>1986</v>
      </c>
      <c r="CS438" s="496" t="s">
        <v>1554</v>
      </c>
      <c r="CT438" s="496" t="s">
        <v>1555</v>
      </c>
      <c r="CU438" s="496" t="s">
        <v>1981</v>
      </c>
      <c r="CV438" s="497" t="s">
        <v>1982</v>
      </c>
      <c r="CX438" s="543">
        <v>1</v>
      </c>
    </row>
    <row r="439" spans="91:102" ht="21" customHeight="1">
      <c r="CM439" s="494"/>
      <c r="CN439" s="496" t="s">
        <v>1987</v>
      </c>
      <c r="CO439" s="496" t="s">
        <v>8</v>
      </c>
      <c r="CP439" s="496" t="s">
        <v>689</v>
      </c>
      <c r="CQ439" s="496" t="s">
        <v>1988</v>
      </c>
      <c r="CR439" s="496" t="s">
        <v>1988</v>
      </c>
      <c r="CS439" s="496" t="s">
        <v>1554</v>
      </c>
      <c r="CT439" s="496" t="s">
        <v>1555</v>
      </c>
      <c r="CU439" s="496" t="s">
        <v>1981</v>
      </c>
      <c r="CV439" s="497" t="s">
        <v>1982</v>
      </c>
      <c r="CX439" s="543">
        <v>1</v>
      </c>
    </row>
    <row r="440" spans="91:102" ht="21" customHeight="1">
      <c r="CM440" s="494"/>
      <c r="CN440" s="496" t="s">
        <v>1989</v>
      </c>
      <c r="CO440" s="496" t="s">
        <v>8</v>
      </c>
      <c r="CP440" s="496" t="s">
        <v>689</v>
      </c>
      <c r="CQ440" s="496" t="s">
        <v>1990</v>
      </c>
      <c r="CR440" s="496" t="s">
        <v>1990</v>
      </c>
      <c r="CS440" s="496" t="s">
        <v>1554</v>
      </c>
      <c r="CT440" s="496" t="s">
        <v>1555</v>
      </c>
      <c r="CU440" s="496" t="s">
        <v>1981</v>
      </c>
      <c r="CV440" s="497" t="s">
        <v>1982</v>
      </c>
      <c r="CX440" s="543">
        <v>1</v>
      </c>
    </row>
    <row r="441" spans="91:102" ht="21" customHeight="1">
      <c r="CM441" s="494"/>
      <c r="CN441" s="496" t="s">
        <v>1991</v>
      </c>
      <c r="CO441" s="496" t="s">
        <v>8</v>
      </c>
      <c r="CP441" s="496" t="s">
        <v>689</v>
      </c>
      <c r="CQ441" s="496" t="s">
        <v>1992</v>
      </c>
      <c r="CR441" s="496" t="s">
        <v>1992</v>
      </c>
      <c r="CS441" s="496" t="s">
        <v>1554</v>
      </c>
      <c r="CT441" s="496" t="s">
        <v>1555</v>
      </c>
      <c r="CU441" s="496" t="s">
        <v>1981</v>
      </c>
      <c r="CV441" s="497" t="s">
        <v>1982</v>
      </c>
      <c r="CX441" s="543">
        <v>1</v>
      </c>
    </row>
    <row r="442" spans="91:102" ht="21" customHeight="1">
      <c r="CM442" s="494"/>
      <c r="CN442" s="496" t="s">
        <v>1993</v>
      </c>
      <c r="CO442" s="496" t="s">
        <v>8</v>
      </c>
      <c r="CP442" s="496" t="s">
        <v>689</v>
      </c>
      <c r="CQ442" s="496" t="s">
        <v>1994</v>
      </c>
      <c r="CR442" s="496" t="s">
        <v>1994</v>
      </c>
      <c r="CS442" s="496" t="s">
        <v>1554</v>
      </c>
      <c r="CT442" s="496" t="s">
        <v>1555</v>
      </c>
      <c r="CU442" s="496" t="s">
        <v>1981</v>
      </c>
      <c r="CV442" s="497" t="s">
        <v>1982</v>
      </c>
      <c r="CX442" s="543">
        <v>1</v>
      </c>
    </row>
    <row r="443" spans="91:102" ht="21" customHeight="1">
      <c r="CM443" s="494"/>
      <c r="CN443" s="496" t="s">
        <v>1995</v>
      </c>
      <c r="CO443" s="496" t="s">
        <v>8</v>
      </c>
      <c r="CP443" s="496" t="s">
        <v>689</v>
      </c>
      <c r="CQ443" s="496" t="s">
        <v>1996</v>
      </c>
      <c r="CR443" s="496" t="s">
        <v>1996</v>
      </c>
      <c r="CS443" s="496" t="s">
        <v>1554</v>
      </c>
      <c r="CT443" s="496" t="s">
        <v>1555</v>
      </c>
      <c r="CU443" s="496" t="s">
        <v>1981</v>
      </c>
      <c r="CV443" s="497" t="s">
        <v>1982</v>
      </c>
      <c r="CX443" s="543">
        <v>1</v>
      </c>
    </row>
    <row r="444" spans="91:102" ht="21" customHeight="1">
      <c r="CM444" s="494"/>
      <c r="CN444" s="496" t="s">
        <v>1997</v>
      </c>
      <c r="CO444" s="496" t="s">
        <v>8</v>
      </c>
      <c r="CP444" s="496" t="s">
        <v>689</v>
      </c>
      <c r="CQ444" s="496" t="s">
        <v>1998</v>
      </c>
      <c r="CR444" s="496" t="s">
        <v>1998</v>
      </c>
      <c r="CS444" s="496" t="s">
        <v>1554</v>
      </c>
      <c r="CT444" s="496" t="s">
        <v>1555</v>
      </c>
      <c r="CU444" s="496" t="s">
        <v>1981</v>
      </c>
      <c r="CV444" s="497" t="s">
        <v>1982</v>
      </c>
      <c r="CX444" s="543">
        <v>1</v>
      </c>
    </row>
    <row r="445" spans="91:102" ht="21" customHeight="1">
      <c r="CM445" s="494"/>
      <c r="CN445" s="496" t="s">
        <v>1999</v>
      </c>
      <c r="CO445" s="496" t="s">
        <v>8</v>
      </c>
      <c r="CP445" s="496" t="s">
        <v>689</v>
      </c>
      <c r="CQ445" s="496" t="s">
        <v>2000</v>
      </c>
      <c r="CR445" s="496" t="s">
        <v>2000</v>
      </c>
      <c r="CS445" s="496" t="s">
        <v>1554</v>
      </c>
      <c r="CT445" s="496" t="s">
        <v>1555</v>
      </c>
      <c r="CU445" s="496" t="s">
        <v>1981</v>
      </c>
      <c r="CV445" s="497" t="s">
        <v>1982</v>
      </c>
      <c r="CX445" s="543">
        <v>1</v>
      </c>
    </row>
    <row r="446" spans="91:102" ht="21" customHeight="1">
      <c r="CM446" s="494"/>
      <c r="CN446" s="496" t="s">
        <v>2001</v>
      </c>
      <c r="CO446" s="496" t="s">
        <v>8</v>
      </c>
      <c r="CP446" s="496" t="s">
        <v>689</v>
      </c>
      <c r="CQ446" s="496" t="s">
        <v>2002</v>
      </c>
      <c r="CR446" s="496" t="s">
        <v>2002</v>
      </c>
      <c r="CS446" s="496" t="s">
        <v>1554</v>
      </c>
      <c r="CT446" s="496" t="s">
        <v>1555</v>
      </c>
      <c r="CU446" s="496" t="s">
        <v>1981</v>
      </c>
      <c r="CV446" s="497" t="s">
        <v>1982</v>
      </c>
      <c r="CX446" s="543">
        <v>1</v>
      </c>
    </row>
    <row r="447" spans="91:102" ht="21" customHeight="1">
      <c r="CM447" s="494"/>
      <c r="CN447" s="496" t="s">
        <v>2003</v>
      </c>
      <c r="CO447" s="496" t="s">
        <v>8</v>
      </c>
      <c r="CP447" s="496" t="s">
        <v>689</v>
      </c>
      <c r="CQ447" s="496" t="s">
        <v>2004</v>
      </c>
      <c r="CR447" s="496" t="s">
        <v>2004</v>
      </c>
      <c r="CS447" s="496" t="s">
        <v>1554</v>
      </c>
      <c r="CT447" s="496" t="s">
        <v>1555</v>
      </c>
      <c r="CU447" s="496" t="s">
        <v>1981</v>
      </c>
      <c r="CV447" s="497" t="s">
        <v>1982</v>
      </c>
      <c r="CX447" s="543">
        <v>1</v>
      </c>
    </row>
    <row r="448" spans="91:102" ht="21" customHeight="1">
      <c r="CM448" s="494"/>
      <c r="CN448" s="496" t="s">
        <v>2005</v>
      </c>
      <c r="CO448" s="496" t="s">
        <v>8</v>
      </c>
      <c r="CP448" s="496" t="s">
        <v>689</v>
      </c>
      <c r="CQ448" s="496" t="s">
        <v>2006</v>
      </c>
      <c r="CR448" s="496" t="s">
        <v>2006</v>
      </c>
      <c r="CS448" s="496" t="s">
        <v>1554</v>
      </c>
      <c r="CT448" s="496" t="s">
        <v>1555</v>
      </c>
      <c r="CU448" s="496" t="s">
        <v>1981</v>
      </c>
      <c r="CV448" s="497" t="s">
        <v>1982</v>
      </c>
      <c r="CX448" s="543">
        <v>1</v>
      </c>
    </row>
    <row r="449" spans="91:102" ht="21" customHeight="1">
      <c r="CM449" s="494"/>
      <c r="CN449" s="496" t="s">
        <v>2007</v>
      </c>
      <c r="CO449" s="496" t="s">
        <v>8</v>
      </c>
      <c r="CP449" s="496" t="s">
        <v>689</v>
      </c>
      <c r="CQ449" s="496" t="s">
        <v>2008</v>
      </c>
      <c r="CR449" s="496" t="s">
        <v>2008</v>
      </c>
      <c r="CS449" s="496" t="s">
        <v>1554</v>
      </c>
      <c r="CT449" s="496" t="s">
        <v>1555</v>
      </c>
      <c r="CU449" s="496" t="s">
        <v>1981</v>
      </c>
      <c r="CV449" s="497" t="s">
        <v>1982</v>
      </c>
      <c r="CX449" s="543">
        <v>1</v>
      </c>
    </row>
    <row r="450" spans="91:102" ht="21" customHeight="1">
      <c r="CM450" s="494"/>
      <c r="CN450" s="496" t="s">
        <v>2009</v>
      </c>
      <c r="CO450" s="496" t="s">
        <v>8</v>
      </c>
      <c r="CP450" s="496" t="s">
        <v>689</v>
      </c>
      <c r="CQ450" s="496" t="s">
        <v>2010</v>
      </c>
      <c r="CR450" s="496" t="s">
        <v>2010</v>
      </c>
      <c r="CS450" s="496" t="s">
        <v>1554</v>
      </c>
      <c r="CT450" s="496" t="s">
        <v>1555</v>
      </c>
      <c r="CU450" s="496" t="s">
        <v>1981</v>
      </c>
      <c r="CV450" s="497" t="s">
        <v>1982</v>
      </c>
      <c r="CX450" s="543">
        <v>1</v>
      </c>
    </row>
    <row r="451" spans="91:102" ht="21" customHeight="1">
      <c r="CM451" s="494"/>
      <c r="CN451" s="496" t="s">
        <v>2011</v>
      </c>
      <c r="CO451" s="496" t="s">
        <v>8</v>
      </c>
      <c r="CP451" s="496" t="s">
        <v>689</v>
      </c>
      <c r="CQ451" s="496" t="s">
        <v>2012</v>
      </c>
      <c r="CR451" s="496" t="s">
        <v>2012</v>
      </c>
      <c r="CS451" s="496" t="s">
        <v>1554</v>
      </c>
      <c r="CT451" s="496" t="s">
        <v>1555</v>
      </c>
      <c r="CU451" s="496" t="s">
        <v>1981</v>
      </c>
      <c r="CV451" s="497" t="s">
        <v>1982</v>
      </c>
      <c r="CX451" s="543">
        <v>1</v>
      </c>
    </row>
    <row r="452" spans="91:102" ht="21" customHeight="1">
      <c r="CM452" s="494"/>
      <c r="CN452" s="496" t="s">
        <v>2013</v>
      </c>
      <c r="CO452" s="496" t="s">
        <v>8</v>
      </c>
      <c r="CP452" s="496" t="s">
        <v>689</v>
      </c>
      <c r="CQ452" s="496" t="s">
        <v>2014</v>
      </c>
      <c r="CR452" s="496" t="s">
        <v>2014</v>
      </c>
      <c r="CS452" s="496" t="s">
        <v>1554</v>
      </c>
      <c r="CT452" s="496" t="s">
        <v>1555</v>
      </c>
      <c r="CU452" s="496" t="s">
        <v>1981</v>
      </c>
      <c r="CV452" s="497" t="s">
        <v>1982</v>
      </c>
      <c r="CX452" s="543">
        <v>1</v>
      </c>
    </row>
    <row r="453" spans="91:102" ht="21" customHeight="1">
      <c r="CM453" s="494"/>
      <c r="CN453" s="496" t="s">
        <v>2015</v>
      </c>
      <c r="CO453" s="496" t="s">
        <v>8</v>
      </c>
      <c r="CP453" s="496" t="s">
        <v>689</v>
      </c>
      <c r="CQ453" s="496" t="s">
        <v>2016</v>
      </c>
      <c r="CR453" s="496" t="s">
        <v>2016</v>
      </c>
      <c r="CS453" s="496" t="s">
        <v>1554</v>
      </c>
      <c r="CT453" s="496" t="s">
        <v>1555</v>
      </c>
      <c r="CU453" s="496" t="s">
        <v>1981</v>
      </c>
      <c r="CV453" s="497" t="s">
        <v>1982</v>
      </c>
      <c r="CX453" s="543">
        <v>1</v>
      </c>
    </row>
    <row r="454" spans="91:102" ht="21" customHeight="1">
      <c r="CM454" s="494"/>
      <c r="CN454" s="496" t="s">
        <v>2017</v>
      </c>
      <c r="CO454" s="496" t="s">
        <v>8</v>
      </c>
      <c r="CP454" s="496" t="s">
        <v>689</v>
      </c>
      <c r="CQ454" s="496" t="s">
        <v>2018</v>
      </c>
      <c r="CR454" s="496" t="s">
        <v>2018</v>
      </c>
      <c r="CS454" s="496" t="s">
        <v>1554</v>
      </c>
      <c r="CT454" s="496" t="s">
        <v>1555</v>
      </c>
      <c r="CU454" s="496" t="s">
        <v>1981</v>
      </c>
      <c r="CV454" s="497" t="s">
        <v>1982</v>
      </c>
      <c r="CX454" s="543">
        <v>1</v>
      </c>
    </row>
    <row r="455" spans="91:102" ht="21" customHeight="1">
      <c r="CM455" s="494"/>
      <c r="CN455" s="496" t="s">
        <v>2019</v>
      </c>
      <c r="CO455" s="496" t="s">
        <v>8</v>
      </c>
      <c r="CP455" s="496" t="s">
        <v>689</v>
      </c>
      <c r="CQ455" s="496" t="s">
        <v>2020</v>
      </c>
      <c r="CR455" s="496" t="s">
        <v>2020</v>
      </c>
      <c r="CS455" s="496" t="s">
        <v>1554</v>
      </c>
      <c r="CT455" s="496" t="s">
        <v>1555</v>
      </c>
      <c r="CU455" s="496" t="s">
        <v>1981</v>
      </c>
      <c r="CV455" s="497" t="s">
        <v>1982</v>
      </c>
      <c r="CX455" s="543">
        <v>1</v>
      </c>
    </row>
    <row r="456" spans="91:102" ht="21" customHeight="1">
      <c r="CM456" s="494"/>
      <c r="CN456" s="496" t="s">
        <v>2021</v>
      </c>
      <c r="CO456" s="496" t="s">
        <v>8</v>
      </c>
      <c r="CP456" s="496" t="s">
        <v>689</v>
      </c>
      <c r="CQ456" s="496" t="s">
        <v>2022</v>
      </c>
      <c r="CR456" s="496" t="s">
        <v>2022</v>
      </c>
      <c r="CS456" s="496" t="s">
        <v>1554</v>
      </c>
      <c r="CT456" s="496" t="s">
        <v>1555</v>
      </c>
      <c r="CU456" s="496" t="s">
        <v>1981</v>
      </c>
      <c r="CV456" s="497" t="s">
        <v>1982</v>
      </c>
      <c r="CX456" s="543">
        <v>1</v>
      </c>
    </row>
    <row r="457" spans="91:102" ht="21" customHeight="1">
      <c r="CM457" s="494"/>
      <c r="CN457" s="496" t="s">
        <v>2023</v>
      </c>
      <c r="CO457" s="496" t="s">
        <v>8</v>
      </c>
      <c r="CP457" s="496" t="s">
        <v>689</v>
      </c>
      <c r="CQ457" s="496" t="s">
        <v>2024</v>
      </c>
      <c r="CR457" s="496" t="s">
        <v>2024</v>
      </c>
      <c r="CS457" s="496" t="s">
        <v>1554</v>
      </c>
      <c r="CT457" s="496" t="s">
        <v>1555</v>
      </c>
      <c r="CU457" s="496" t="s">
        <v>1981</v>
      </c>
      <c r="CV457" s="497" t="s">
        <v>1982</v>
      </c>
      <c r="CX457" s="543">
        <v>1</v>
      </c>
    </row>
    <row r="458" spans="91:102" ht="21" customHeight="1">
      <c r="CM458" s="494"/>
      <c r="CN458" s="496" t="s">
        <v>2025</v>
      </c>
      <c r="CO458" s="496" t="s">
        <v>8</v>
      </c>
      <c r="CP458" s="496" t="s">
        <v>689</v>
      </c>
      <c r="CQ458" s="496" t="s">
        <v>2026</v>
      </c>
      <c r="CR458" s="496" t="s">
        <v>2026</v>
      </c>
      <c r="CS458" s="496" t="s">
        <v>1554</v>
      </c>
      <c r="CT458" s="496" t="s">
        <v>1555</v>
      </c>
      <c r="CU458" s="496" t="s">
        <v>1981</v>
      </c>
      <c r="CV458" s="497" t="s">
        <v>1982</v>
      </c>
      <c r="CX458" s="543">
        <v>1</v>
      </c>
    </row>
    <row r="459" spans="91:102" ht="21" customHeight="1">
      <c r="CM459" s="494"/>
      <c r="CN459" s="496" t="s">
        <v>2027</v>
      </c>
      <c r="CO459" s="496" t="s">
        <v>8</v>
      </c>
      <c r="CP459" s="496" t="s">
        <v>689</v>
      </c>
      <c r="CQ459" s="496" t="s">
        <v>2028</v>
      </c>
      <c r="CR459" s="496" t="s">
        <v>2028</v>
      </c>
      <c r="CS459" s="496" t="s">
        <v>1554</v>
      </c>
      <c r="CT459" s="496" t="s">
        <v>1555</v>
      </c>
      <c r="CU459" s="496" t="s">
        <v>1981</v>
      </c>
      <c r="CV459" s="497" t="s">
        <v>1982</v>
      </c>
      <c r="CX459" s="543">
        <v>1</v>
      </c>
    </row>
    <row r="460" spans="91:102" ht="21" customHeight="1">
      <c r="CM460" s="494"/>
      <c r="CN460" s="496" t="s">
        <v>2029</v>
      </c>
      <c r="CO460" s="496" t="s">
        <v>8</v>
      </c>
      <c r="CP460" s="496" t="s">
        <v>689</v>
      </c>
      <c r="CQ460" s="496" t="s">
        <v>2030</v>
      </c>
      <c r="CR460" s="496" t="s">
        <v>2030</v>
      </c>
      <c r="CS460" s="496" t="s">
        <v>1554</v>
      </c>
      <c r="CT460" s="496" t="s">
        <v>1555</v>
      </c>
      <c r="CU460" s="496" t="s">
        <v>1981</v>
      </c>
      <c r="CV460" s="497" t="s">
        <v>1982</v>
      </c>
      <c r="CX460" s="543">
        <v>1</v>
      </c>
    </row>
    <row r="461" spans="91:102" ht="21" customHeight="1">
      <c r="CM461" s="494"/>
      <c r="CN461" s="496" t="s">
        <v>2031</v>
      </c>
      <c r="CO461" s="496" t="s">
        <v>8</v>
      </c>
      <c r="CP461" s="496" t="s">
        <v>689</v>
      </c>
      <c r="CQ461" s="496" t="s">
        <v>2032</v>
      </c>
      <c r="CR461" s="496" t="s">
        <v>2032</v>
      </c>
      <c r="CS461" s="496" t="s">
        <v>1554</v>
      </c>
      <c r="CT461" s="496" t="s">
        <v>1555</v>
      </c>
      <c r="CU461" s="496" t="s">
        <v>1981</v>
      </c>
      <c r="CV461" s="497" t="s">
        <v>1982</v>
      </c>
      <c r="CX461" s="543">
        <v>1</v>
      </c>
    </row>
    <row r="462" spans="91:102" ht="21" customHeight="1">
      <c r="CM462" s="494"/>
      <c r="CN462" s="496" t="s">
        <v>2033</v>
      </c>
      <c r="CO462" s="496" t="s">
        <v>8</v>
      </c>
      <c r="CP462" s="496" t="s">
        <v>689</v>
      </c>
      <c r="CQ462" s="496" t="s">
        <v>2034</v>
      </c>
      <c r="CR462" s="496" t="s">
        <v>2034</v>
      </c>
      <c r="CS462" s="496" t="s">
        <v>1554</v>
      </c>
      <c r="CT462" s="496" t="s">
        <v>1555</v>
      </c>
      <c r="CU462" s="496" t="s">
        <v>1981</v>
      </c>
      <c r="CV462" s="497" t="s">
        <v>1982</v>
      </c>
      <c r="CX462" s="543">
        <v>1</v>
      </c>
    </row>
    <row r="463" spans="91:102" ht="21" customHeight="1">
      <c r="CM463" s="494"/>
      <c r="CN463" s="496" t="s">
        <v>2035</v>
      </c>
      <c r="CO463" s="496" t="s">
        <v>8</v>
      </c>
      <c r="CP463" s="496" t="s">
        <v>689</v>
      </c>
      <c r="CQ463" s="496" t="s">
        <v>2036</v>
      </c>
      <c r="CR463" s="496" t="s">
        <v>2036</v>
      </c>
      <c r="CS463" s="496" t="s">
        <v>1554</v>
      </c>
      <c r="CT463" s="496" t="s">
        <v>1555</v>
      </c>
      <c r="CU463" s="496" t="s">
        <v>1981</v>
      </c>
      <c r="CV463" s="497" t="s">
        <v>1982</v>
      </c>
      <c r="CX463" s="543">
        <v>1</v>
      </c>
    </row>
    <row r="464" spans="91:102" ht="21" customHeight="1">
      <c r="CM464" s="494"/>
      <c r="CN464" s="496" t="s">
        <v>2037</v>
      </c>
      <c r="CO464" s="496" t="s">
        <v>8</v>
      </c>
      <c r="CP464" s="496" t="s">
        <v>689</v>
      </c>
      <c r="CQ464" s="496" t="s">
        <v>2038</v>
      </c>
      <c r="CR464" s="496" t="s">
        <v>2038</v>
      </c>
      <c r="CS464" s="496" t="s">
        <v>1554</v>
      </c>
      <c r="CT464" s="496" t="s">
        <v>1555</v>
      </c>
      <c r="CU464" s="496" t="s">
        <v>1981</v>
      </c>
      <c r="CV464" s="497" t="s">
        <v>1982</v>
      </c>
      <c r="CX464" s="543">
        <v>1</v>
      </c>
    </row>
    <row r="465" spans="91:102" ht="21" customHeight="1">
      <c r="CM465" s="494"/>
      <c r="CN465" s="496" t="s">
        <v>2039</v>
      </c>
      <c r="CO465" s="496" t="s">
        <v>8</v>
      </c>
      <c r="CP465" s="496" t="s">
        <v>689</v>
      </c>
      <c r="CQ465" s="496" t="s">
        <v>2040</v>
      </c>
      <c r="CR465" s="496" t="s">
        <v>2040</v>
      </c>
      <c r="CS465" s="496" t="s">
        <v>1554</v>
      </c>
      <c r="CT465" s="496" t="s">
        <v>1555</v>
      </c>
      <c r="CU465" s="496" t="s">
        <v>1981</v>
      </c>
      <c r="CV465" s="497" t="s">
        <v>1982</v>
      </c>
      <c r="CX465" s="543">
        <v>1</v>
      </c>
    </row>
    <row r="466" spans="91:102" ht="21" customHeight="1">
      <c r="CM466" s="494"/>
      <c r="CN466" s="496" t="s">
        <v>2041</v>
      </c>
      <c r="CO466" s="496" t="s">
        <v>8</v>
      </c>
      <c r="CP466" s="496" t="s">
        <v>689</v>
      </c>
      <c r="CQ466" s="496" t="s">
        <v>2042</v>
      </c>
      <c r="CR466" s="496" t="s">
        <v>2042</v>
      </c>
      <c r="CS466" s="496" t="s">
        <v>1554</v>
      </c>
      <c r="CT466" s="496" t="s">
        <v>1555</v>
      </c>
      <c r="CU466" s="496" t="s">
        <v>1981</v>
      </c>
      <c r="CV466" s="497" t="s">
        <v>1982</v>
      </c>
      <c r="CX466" s="543">
        <v>1</v>
      </c>
    </row>
    <row r="467" spans="91:102" ht="21" customHeight="1">
      <c r="CM467" s="494"/>
      <c r="CN467" s="496" t="s">
        <v>2043</v>
      </c>
      <c r="CO467" s="496" t="s">
        <v>8</v>
      </c>
      <c r="CP467" s="496" t="s">
        <v>689</v>
      </c>
      <c r="CQ467" s="496" t="s">
        <v>2044</v>
      </c>
      <c r="CR467" s="496" t="s">
        <v>2044</v>
      </c>
      <c r="CS467" s="496" t="s">
        <v>1554</v>
      </c>
      <c r="CT467" s="496" t="s">
        <v>1555</v>
      </c>
      <c r="CU467" s="496" t="s">
        <v>1981</v>
      </c>
      <c r="CV467" s="497" t="s">
        <v>1982</v>
      </c>
      <c r="CX467" s="543">
        <v>1</v>
      </c>
    </row>
    <row r="468" spans="91:102" ht="21" customHeight="1">
      <c r="CM468" s="494"/>
      <c r="CN468" s="496" t="s">
        <v>2045</v>
      </c>
      <c r="CO468" s="496" t="s">
        <v>8</v>
      </c>
      <c r="CP468" s="496" t="s">
        <v>689</v>
      </c>
      <c r="CQ468" s="496" t="s">
        <v>2046</v>
      </c>
      <c r="CR468" s="496" t="s">
        <v>2046</v>
      </c>
      <c r="CS468" s="496" t="s">
        <v>1554</v>
      </c>
      <c r="CT468" s="496" t="s">
        <v>1555</v>
      </c>
      <c r="CU468" s="496" t="s">
        <v>1981</v>
      </c>
      <c r="CV468" s="497" t="s">
        <v>1982</v>
      </c>
      <c r="CX468" s="543">
        <v>1</v>
      </c>
    </row>
    <row r="469" spans="91:102" ht="21" customHeight="1">
      <c r="CM469" s="494"/>
      <c r="CN469" s="496" t="s">
        <v>2047</v>
      </c>
      <c r="CO469" s="496" t="s">
        <v>8</v>
      </c>
      <c r="CP469" s="496" t="s">
        <v>689</v>
      </c>
      <c r="CQ469" s="496" t="s">
        <v>2048</v>
      </c>
      <c r="CR469" s="496" t="s">
        <v>2048</v>
      </c>
      <c r="CS469" s="496" t="s">
        <v>1554</v>
      </c>
      <c r="CT469" s="496" t="s">
        <v>1555</v>
      </c>
      <c r="CU469" s="496" t="s">
        <v>1981</v>
      </c>
      <c r="CV469" s="497" t="s">
        <v>1982</v>
      </c>
      <c r="CX469" s="543">
        <v>1</v>
      </c>
    </row>
    <row r="470" spans="91:102" ht="21" customHeight="1">
      <c r="CM470" s="494"/>
      <c r="CN470" s="496" t="s">
        <v>2049</v>
      </c>
      <c r="CO470" s="496" t="s">
        <v>8</v>
      </c>
      <c r="CP470" s="496" t="s">
        <v>689</v>
      </c>
      <c r="CQ470" s="496" t="s">
        <v>2050</v>
      </c>
      <c r="CR470" s="496" t="s">
        <v>2050</v>
      </c>
      <c r="CS470" s="496" t="s">
        <v>1554</v>
      </c>
      <c r="CT470" s="496" t="s">
        <v>1555</v>
      </c>
      <c r="CU470" s="496" t="s">
        <v>1981</v>
      </c>
      <c r="CV470" s="497" t="s">
        <v>1982</v>
      </c>
      <c r="CX470" s="543">
        <v>1</v>
      </c>
    </row>
    <row r="471" spans="91:102" ht="21" customHeight="1">
      <c r="CM471" s="494"/>
      <c r="CN471" s="496" t="s">
        <v>2051</v>
      </c>
      <c r="CO471" s="496" t="s">
        <v>8</v>
      </c>
      <c r="CP471" s="496" t="s">
        <v>689</v>
      </c>
      <c r="CQ471" s="496" t="s">
        <v>2052</v>
      </c>
      <c r="CR471" s="496" t="s">
        <v>2052</v>
      </c>
      <c r="CS471" s="496" t="s">
        <v>1554</v>
      </c>
      <c r="CT471" s="496" t="s">
        <v>1555</v>
      </c>
      <c r="CU471" s="496" t="s">
        <v>1981</v>
      </c>
      <c r="CV471" s="497" t="s">
        <v>1982</v>
      </c>
      <c r="CX471" s="543">
        <v>1</v>
      </c>
    </row>
    <row r="472" spans="91:102" ht="21" customHeight="1">
      <c r="CM472" s="494"/>
      <c r="CN472" s="496" t="s">
        <v>2053</v>
      </c>
      <c r="CO472" s="496" t="s">
        <v>8</v>
      </c>
      <c r="CP472" s="496" t="s">
        <v>689</v>
      </c>
      <c r="CQ472" s="496" t="s">
        <v>2054</v>
      </c>
      <c r="CR472" s="496" t="s">
        <v>2054</v>
      </c>
      <c r="CS472" s="496" t="s">
        <v>1554</v>
      </c>
      <c r="CT472" s="496" t="s">
        <v>1555</v>
      </c>
      <c r="CU472" s="496" t="s">
        <v>1981</v>
      </c>
      <c r="CV472" s="497" t="s">
        <v>1982</v>
      </c>
      <c r="CX472" s="543">
        <v>1</v>
      </c>
    </row>
    <row r="473" spans="91:102" ht="21" customHeight="1">
      <c r="CM473" s="494"/>
      <c r="CN473" s="496" t="s">
        <v>2055</v>
      </c>
      <c r="CO473" s="496" t="s">
        <v>8</v>
      </c>
      <c r="CP473" s="496" t="s">
        <v>689</v>
      </c>
      <c r="CQ473" s="496" t="s">
        <v>2056</v>
      </c>
      <c r="CR473" s="496" t="s">
        <v>2056</v>
      </c>
      <c r="CS473" s="496" t="s">
        <v>1554</v>
      </c>
      <c r="CT473" s="496" t="s">
        <v>1555</v>
      </c>
      <c r="CU473" s="496" t="s">
        <v>1981</v>
      </c>
      <c r="CV473" s="497" t="s">
        <v>1982</v>
      </c>
      <c r="CX473" s="543">
        <v>1</v>
      </c>
    </row>
    <row r="474" spans="91:102" ht="21" customHeight="1">
      <c r="CM474" s="494"/>
      <c r="CN474" s="496" t="s">
        <v>2057</v>
      </c>
      <c r="CO474" s="496" t="s">
        <v>8</v>
      </c>
      <c r="CP474" s="496" t="s">
        <v>689</v>
      </c>
      <c r="CQ474" s="496" t="s">
        <v>2058</v>
      </c>
      <c r="CR474" s="496" t="s">
        <v>2058</v>
      </c>
      <c r="CS474" s="496" t="s">
        <v>1554</v>
      </c>
      <c r="CT474" s="496" t="s">
        <v>1555</v>
      </c>
      <c r="CU474" s="496" t="s">
        <v>1981</v>
      </c>
      <c r="CV474" s="497" t="s">
        <v>1982</v>
      </c>
      <c r="CX474" s="543">
        <v>1</v>
      </c>
    </row>
    <row r="475" spans="91:102" ht="21" customHeight="1">
      <c r="CM475" s="494"/>
      <c r="CN475" s="496" t="s">
        <v>2059</v>
      </c>
      <c r="CO475" s="496" t="s">
        <v>8</v>
      </c>
      <c r="CP475" s="496" t="s">
        <v>689</v>
      </c>
      <c r="CQ475" s="496" t="s">
        <v>2060</v>
      </c>
      <c r="CR475" s="496" t="s">
        <v>2060</v>
      </c>
      <c r="CS475" s="496" t="s">
        <v>1554</v>
      </c>
      <c r="CT475" s="496" t="s">
        <v>1555</v>
      </c>
      <c r="CU475" s="496" t="s">
        <v>1981</v>
      </c>
      <c r="CV475" s="497" t="s">
        <v>1982</v>
      </c>
      <c r="CX475" s="543">
        <v>1</v>
      </c>
    </row>
    <row r="476" spans="91:102" ht="21" customHeight="1">
      <c r="CM476" s="494"/>
      <c r="CN476" s="496" t="s">
        <v>2061</v>
      </c>
      <c r="CO476" s="496" t="s">
        <v>8</v>
      </c>
      <c r="CP476" s="496" t="s">
        <v>689</v>
      </c>
      <c r="CQ476" s="496" t="s">
        <v>2062</v>
      </c>
      <c r="CR476" s="496" t="s">
        <v>1018</v>
      </c>
      <c r="CS476" s="496" t="s">
        <v>1085</v>
      </c>
      <c r="CT476" s="496" t="s">
        <v>2063</v>
      </c>
      <c r="CU476" s="496" t="s">
        <v>1087</v>
      </c>
      <c r="CV476" s="497" t="s">
        <v>1088</v>
      </c>
      <c r="CX476" s="543">
        <v>1</v>
      </c>
    </row>
    <row r="477" spans="91:102" ht="21" customHeight="1">
      <c r="CM477" s="494"/>
      <c r="CN477" s="496" t="s">
        <v>2064</v>
      </c>
      <c r="CO477" s="496" t="s">
        <v>8</v>
      </c>
      <c r="CP477" s="496" t="s">
        <v>689</v>
      </c>
      <c r="CQ477" s="496" t="s">
        <v>134</v>
      </c>
      <c r="CR477" s="496" t="s">
        <v>134</v>
      </c>
      <c r="CS477" s="496" t="s">
        <v>1554</v>
      </c>
      <c r="CT477" s="496" t="s">
        <v>1555</v>
      </c>
      <c r="CU477" s="496" t="s">
        <v>1981</v>
      </c>
      <c r="CV477" s="497" t="s">
        <v>1982</v>
      </c>
      <c r="CX477" s="543">
        <v>1</v>
      </c>
    </row>
    <row r="478" spans="91:102" ht="21" customHeight="1">
      <c r="CM478" s="494"/>
      <c r="CN478" s="496" t="s">
        <v>2065</v>
      </c>
      <c r="CO478" s="496" t="s">
        <v>8</v>
      </c>
      <c r="CP478" s="496" t="s">
        <v>689</v>
      </c>
      <c r="CQ478" s="496" t="s">
        <v>2066</v>
      </c>
      <c r="CR478" s="496" t="s">
        <v>2066</v>
      </c>
      <c r="CS478" s="496" t="s">
        <v>1554</v>
      </c>
      <c r="CT478" s="496" t="s">
        <v>1555</v>
      </c>
      <c r="CU478" s="496" t="s">
        <v>1981</v>
      </c>
      <c r="CV478" s="497" t="s">
        <v>1982</v>
      </c>
      <c r="CX478" s="543">
        <v>1</v>
      </c>
    </row>
    <row r="479" spans="91:102" ht="21" customHeight="1">
      <c r="CM479" s="494"/>
      <c r="CN479" s="496" t="s">
        <v>2067</v>
      </c>
      <c r="CO479" s="496" t="s">
        <v>8</v>
      </c>
      <c r="CP479" s="496" t="s">
        <v>689</v>
      </c>
      <c r="CQ479" s="496" t="s">
        <v>2068</v>
      </c>
      <c r="CR479" s="496" t="s">
        <v>2068</v>
      </c>
      <c r="CS479" s="496" t="s">
        <v>1554</v>
      </c>
      <c r="CT479" s="496" t="s">
        <v>1555</v>
      </c>
      <c r="CU479" s="496" t="s">
        <v>1981</v>
      </c>
      <c r="CV479" s="497" t="s">
        <v>1982</v>
      </c>
      <c r="CX479" s="543">
        <v>1</v>
      </c>
    </row>
    <row r="480" spans="91:102" ht="21" customHeight="1">
      <c r="CM480" s="494"/>
      <c r="CN480" s="496" t="s">
        <v>2069</v>
      </c>
      <c r="CO480" s="496" t="s">
        <v>8</v>
      </c>
      <c r="CP480" s="496" t="s">
        <v>689</v>
      </c>
      <c r="CQ480" s="496" t="s">
        <v>2070</v>
      </c>
      <c r="CR480" s="496" t="s">
        <v>2070</v>
      </c>
      <c r="CS480" s="496" t="s">
        <v>1554</v>
      </c>
      <c r="CT480" s="496" t="s">
        <v>1555</v>
      </c>
      <c r="CU480" s="496" t="s">
        <v>1981</v>
      </c>
      <c r="CV480" s="497" t="s">
        <v>1982</v>
      </c>
      <c r="CX480" s="543">
        <v>1</v>
      </c>
    </row>
    <row r="481" spans="91:102" ht="21" customHeight="1">
      <c r="CM481" s="494"/>
      <c r="CN481" s="496" t="s">
        <v>2071</v>
      </c>
      <c r="CO481" s="496" t="s">
        <v>8</v>
      </c>
      <c r="CP481" s="496" t="s">
        <v>689</v>
      </c>
      <c r="CQ481" s="496" t="s">
        <v>2072</v>
      </c>
      <c r="CR481" s="496" t="s">
        <v>2072</v>
      </c>
      <c r="CS481" s="496" t="s">
        <v>1554</v>
      </c>
      <c r="CT481" s="496" t="s">
        <v>1555</v>
      </c>
      <c r="CU481" s="496" t="s">
        <v>1981</v>
      </c>
      <c r="CV481" s="497" t="s">
        <v>1982</v>
      </c>
      <c r="CX481" s="543">
        <v>1</v>
      </c>
    </row>
    <row r="482" spans="91:102" ht="21" customHeight="1">
      <c r="CM482" s="494"/>
      <c r="CN482" s="496" t="s">
        <v>2073</v>
      </c>
      <c r="CO482" s="496" t="s">
        <v>8</v>
      </c>
      <c r="CP482" s="496" t="s">
        <v>689</v>
      </c>
      <c r="CQ482" s="496" t="s">
        <v>2074</v>
      </c>
      <c r="CR482" s="496" t="s">
        <v>2074</v>
      </c>
      <c r="CS482" s="496" t="s">
        <v>1554</v>
      </c>
      <c r="CT482" s="496" t="s">
        <v>1555</v>
      </c>
      <c r="CU482" s="496" t="s">
        <v>1981</v>
      </c>
      <c r="CV482" s="497" t="s">
        <v>1982</v>
      </c>
      <c r="CX482" s="543">
        <v>1</v>
      </c>
    </row>
    <row r="483" spans="91:102" ht="21" customHeight="1">
      <c r="CM483" s="494"/>
      <c r="CN483" s="496" t="s">
        <v>2075</v>
      </c>
      <c r="CO483" s="496" t="s">
        <v>8</v>
      </c>
      <c r="CP483" s="496" t="s">
        <v>689</v>
      </c>
      <c r="CQ483" s="496" t="s">
        <v>2076</v>
      </c>
      <c r="CR483" s="496" t="s">
        <v>2076</v>
      </c>
      <c r="CS483" s="496" t="s">
        <v>1554</v>
      </c>
      <c r="CT483" s="496" t="s">
        <v>1555</v>
      </c>
      <c r="CU483" s="496" t="s">
        <v>1981</v>
      </c>
      <c r="CV483" s="497" t="s">
        <v>1982</v>
      </c>
      <c r="CX483" s="543">
        <v>1</v>
      </c>
    </row>
    <row r="484" spans="91:102" ht="21" customHeight="1">
      <c r="CM484" s="494"/>
      <c r="CN484" s="496" t="s">
        <v>2077</v>
      </c>
      <c r="CO484" s="496" t="s">
        <v>8</v>
      </c>
      <c r="CP484" s="496" t="s">
        <v>689</v>
      </c>
      <c r="CQ484" s="496" t="s">
        <v>2078</v>
      </c>
      <c r="CR484" s="496" t="s">
        <v>2078</v>
      </c>
      <c r="CS484" s="496" t="s">
        <v>1151</v>
      </c>
      <c r="CT484" s="496" t="s">
        <v>1152</v>
      </c>
      <c r="CU484" s="496" t="s">
        <v>1087</v>
      </c>
      <c r="CV484" s="497" t="s">
        <v>1153</v>
      </c>
      <c r="CX484" s="543">
        <v>1</v>
      </c>
    </row>
    <row r="485" spans="91:102" ht="21" customHeight="1">
      <c r="CM485" s="494"/>
      <c r="CN485" s="496" t="s">
        <v>2079</v>
      </c>
      <c r="CO485" s="496" t="s">
        <v>8</v>
      </c>
      <c r="CP485" s="496" t="s">
        <v>689</v>
      </c>
      <c r="CQ485" s="496" t="s">
        <v>355</v>
      </c>
      <c r="CR485" s="496" t="s">
        <v>355</v>
      </c>
      <c r="CS485" s="496" t="s">
        <v>1151</v>
      </c>
      <c r="CT485" s="496" t="s">
        <v>1152</v>
      </c>
      <c r="CU485" s="496" t="s">
        <v>1087</v>
      </c>
      <c r="CV485" s="497" t="s">
        <v>1153</v>
      </c>
      <c r="CX485" s="543">
        <v>1</v>
      </c>
    </row>
    <row r="486" spans="91:102" ht="21" customHeight="1">
      <c r="CM486" s="494"/>
      <c r="CN486" s="496" t="s">
        <v>2080</v>
      </c>
      <c r="CO486" s="496" t="s">
        <v>8</v>
      </c>
      <c r="CP486" s="496" t="s">
        <v>689</v>
      </c>
      <c r="CQ486" s="496" t="s">
        <v>2081</v>
      </c>
      <c r="CR486" s="496" t="s">
        <v>2081</v>
      </c>
      <c r="CS486" s="496" t="s">
        <v>1554</v>
      </c>
      <c r="CT486" s="496" t="s">
        <v>1555</v>
      </c>
      <c r="CU486" s="496" t="s">
        <v>1981</v>
      </c>
      <c r="CV486" s="497" t="s">
        <v>1982</v>
      </c>
      <c r="CX486" s="543">
        <v>1</v>
      </c>
    </row>
    <row r="487" spans="91:102" ht="21" customHeight="1">
      <c r="CM487" s="494"/>
      <c r="CN487" s="496" t="s">
        <v>2082</v>
      </c>
      <c r="CO487" s="496" t="s">
        <v>8</v>
      </c>
      <c r="CP487" s="496" t="s">
        <v>689</v>
      </c>
      <c r="CQ487" s="496" t="s">
        <v>2083</v>
      </c>
      <c r="CR487" s="496" t="s">
        <v>2083</v>
      </c>
      <c r="CS487" s="496" t="s">
        <v>1554</v>
      </c>
      <c r="CT487" s="496" t="s">
        <v>1555</v>
      </c>
      <c r="CU487" s="496" t="s">
        <v>1981</v>
      </c>
      <c r="CV487" s="497" t="s">
        <v>1982</v>
      </c>
      <c r="CX487" s="543">
        <v>1</v>
      </c>
    </row>
    <row r="488" spans="91:102" ht="21" customHeight="1">
      <c r="CM488" s="494"/>
      <c r="CN488" s="496" t="s">
        <v>2084</v>
      </c>
      <c r="CO488" s="496" t="s">
        <v>8</v>
      </c>
      <c r="CP488" s="496" t="s">
        <v>689</v>
      </c>
      <c r="CQ488" s="496" t="s">
        <v>1019</v>
      </c>
      <c r="CR488" s="496" t="s">
        <v>1019</v>
      </c>
      <c r="CS488" s="496" t="s">
        <v>1554</v>
      </c>
      <c r="CT488" s="496" t="s">
        <v>1555</v>
      </c>
      <c r="CU488" s="496" t="s">
        <v>1981</v>
      </c>
      <c r="CV488" s="497" t="s">
        <v>1982</v>
      </c>
      <c r="CX488" s="543">
        <v>1</v>
      </c>
    </row>
    <row r="489" spans="91:102" ht="21" customHeight="1">
      <c r="CM489" s="494"/>
      <c r="CN489" s="496" t="s">
        <v>2085</v>
      </c>
      <c r="CO489" s="496" t="s">
        <v>8</v>
      </c>
      <c r="CP489" s="496" t="s">
        <v>689</v>
      </c>
      <c r="CQ489" s="496" t="s">
        <v>2086</v>
      </c>
      <c r="CR489" s="496" t="s">
        <v>2086</v>
      </c>
      <c r="CS489" s="496" t="s">
        <v>1554</v>
      </c>
      <c r="CT489" s="496" t="s">
        <v>1555</v>
      </c>
      <c r="CU489" s="496" t="s">
        <v>1981</v>
      </c>
      <c r="CV489" s="497" t="s">
        <v>1982</v>
      </c>
      <c r="CX489" s="543">
        <v>1</v>
      </c>
    </row>
    <row r="490" spans="91:102" ht="21" customHeight="1">
      <c r="CM490" s="494"/>
      <c r="CN490" s="496" t="s">
        <v>2087</v>
      </c>
      <c r="CO490" s="496" t="s">
        <v>8</v>
      </c>
      <c r="CP490" s="496" t="s">
        <v>689</v>
      </c>
      <c r="CQ490" s="496" t="s">
        <v>2088</v>
      </c>
      <c r="CR490" s="496" t="s">
        <v>2088</v>
      </c>
      <c r="CS490" s="496" t="s">
        <v>1554</v>
      </c>
      <c r="CT490" s="496" t="s">
        <v>1555</v>
      </c>
      <c r="CU490" s="496" t="s">
        <v>1981</v>
      </c>
      <c r="CV490" s="497" t="s">
        <v>1982</v>
      </c>
      <c r="CX490" s="543">
        <v>1</v>
      </c>
    </row>
    <row r="491" spans="91:102" ht="21" customHeight="1">
      <c r="CM491" s="494"/>
      <c r="CN491" s="496" t="s">
        <v>2089</v>
      </c>
      <c r="CO491" s="496" t="s">
        <v>8</v>
      </c>
      <c r="CP491" s="496" t="s">
        <v>689</v>
      </c>
      <c r="CQ491" s="496" t="s">
        <v>2090</v>
      </c>
      <c r="CR491" s="496" t="s">
        <v>2090</v>
      </c>
      <c r="CS491" s="496" t="s">
        <v>1554</v>
      </c>
      <c r="CT491" s="496" t="s">
        <v>1555</v>
      </c>
      <c r="CU491" s="496" t="s">
        <v>1981</v>
      </c>
      <c r="CV491" s="497" t="s">
        <v>1982</v>
      </c>
      <c r="CX491" s="543">
        <v>1</v>
      </c>
    </row>
    <row r="492" spans="91:102" ht="21" customHeight="1">
      <c r="CM492" s="494"/>
      <c r="CN492" s="496" t="s">
        <v>2091</v>
      </c>
      <c r="CO492" s="496" t="s">
        <v>8</v>
      </c>
      <c r="CP492" s="496" t="s">
        <v>689</v>
      </c>
      <c r="CQ492" s="496" t="s">
        <v>2092</v>
      </c>
      <c r="CR492" s="496" t="s">
        <v>2092</v>
      </c>
      <c r="CS492" s="496" t="s">
        <v>1554</v>
      </c>
      <c r="CT492" s="496" t="s">
        <v>1555</v>
      </c>
      <c r="CU492" s="496" t="s">
        <v>1981</v>
      </c>
      <c r="CV492" s="497" t="s">
        <v>1982</v>
      </c>
      <c r="CX492" s="543">
        <v>1</v>
      </c>
    </row>
    <row r="493" spans="91:102" ht="21" customHeight="1">
      <c r="CM493" s="494"/>
      <c r="CN493" s="496" t="s">
        <v>2093</v>
      </c>
      <c r="CO493" s="496" t="s">
        <v>8</v>
      </c>
      <c r="CP493" s="496" t="s">
        <v>689</v>
      </c>
      <c r="CQ493" s="496" t="s">
        <v>2094</v>
      </c>
      <c r="CR493" s="496" t="s">
        <v>2094</v>
      </c>
      <c r="CS493" s="496" t="s">
        <v>1554</v>
      </c>
      <c r="CT493" s="496" t="s">
        <v>1555</v>
      </c>
      <c r="CU493" s="496" t="s">
        <v>1981</v>
      </c>
      <c r="CV493" s="497" t="s">
        <v>1982</v>
      </c>
      <c r="CX493" s="543">
        <v>1</v>
      </c>
    </row>
    <row r="494" spans="91:102" ht="21" customHeight="1">
      <c r="CM494" s="494"/>
      <c r="CN494" s="496" t="s">
        <v>2095</v>
      </c>
      <c r="CO494" s="496" t="s">
        <v>8</v>
      </c>
      <c r="CP494" s="496" t="s">
        <v>689</v>
      </c>
      <c r="CQ494" s="496" t="s">
        <v>2096</v>
      </c>
      <c r="CR494" s="496" t="s">
        <v>2096</v>
      </c>
      <c r="CS494" s="496" t="s">
        <v>1554</v>
      </c>
      <c r="CT494" s="496" t="s">
        <v>1555</v>
      </c>
      <c r="CU494" s="496" t="s">
        <v>1981</v>
      </c>
      <c r="CV494" s="497" t="s">
        <v>1982</v>
      </c>
      <c r="CX494" s="543">
        <v>1</v>
      </c>
    </row>
    <row r="495" spans="91:102" ht="21" customHeight="1">
      <c r="CM495" s="494"/>
      <c r="CN495" s="496" t="s">
        <v>2097</v>
      </c>
      <c r="CO495" s="496" t="s">
        <v>8</v>
      </c>
      <c r="CP495" s="496" t="s">
        <v>689</v>
      </c>
      <c r="CQ495" s="496" t="s">
        <v>2098</v>
      </c>
      <c r="CR495" s="496" t="s">
        <v>2098</v>
      </c>
      <c r="CS495" s="496" t="s">
        <v>1554</v>
      </c>
      <c r="CT495" s="496" t="s">
        <v>1555</v>
      </c>
      <c r="CU495" s="496" t="s">
        <v>1981</v>
      </c>
      <c r="CV495" s="497" t="s">
        <v>1982</v>
      </c>
      <c r="CX495" s="543">
        <v>1</v>
      </c>
    </row>
    <row r="496" spans="91:102" ht="21" customHeight="1">
      <c r="CM496" s="494"/>
      <c r="CN496" s="496" t="s">
        <v>2099</v>
      </c>
      <c r="CO496" s="496" t="s">
        <v>8</v>
      </c>
      <c r="CP496" s="496" t="s">
        <v>689</v>
      </c>
      <c r="CQ496" s="496" t="s">
        <v>2100</v>
      </c>
      <c r="CR496" s="496" t="s">
        <v>2100</v>
      </c>
      <c r="CS496" s="496" t="s">
        <v>1554</v>
      </c>
      <c r="CT496" s="496" t="s">
        <v>1555</v>
      </c>
      <c r="CU496" s="496" t="s">
        <v>1981</v>
      </c>
      <c r="CV496" s="497" t="s">
        <v>1982</v>
      </c>
      <c r="CX496" s="543">
        <v>1</v>
      </c>
    </row>
    <row r="497" spans="91:102" ht="21" customHeight="1">
      <c r="CM497" s="494"/>
      <c r="CN497" s="496" t="s">
        <v>2101</v>
      </c>
      <c r="CO497" s="496" t="s">
        <v>8</v>
      </c>
      <c r="CP497" s="496" t="s">
        <v>689</v>
      </c>
      <c r="CQ497" s="496" t="s">
        <v>2102</v>
      </c>
      <c r="CR497" s="496" t="s">
        <v>2102</v>
      </c>
      <c r="CS497" s="496" t="s">
        <v>1554</v>
      </c>
      <c r="CT497" s="496" t="s">
        <v>1555</v>
      </c>
      <c r="CU497" s="496" t="s">
        <v>1981</v>
      </c>
      <c r="CV497" s="497" t="s">
        <v>1982</v>
      </c>
      <c r="CX497" s="543">
        <v>1</v>
      </c>
    </row>
    <row r="498" spans="91:102" ht="21" customHeight="1">
      <c r="CM498" s="494"/>
      <c r="CN498" s="496" t="s">
        <v>2103</v>
      </c>
      <c r="CO498" s="496" t="s">
        <v>8</v>
      </c>
      <c r="CP498" s="496" t="s">
        <v>689</v>
      </c>
      <c r="CQ498" s="496" t="s">
        <v>2104</v>
      </c>
      <c r="CR498" s="496" t="s">
        <v>2104</v>
      </c>
      <c r="CS498" s="496" t="s">
        <v>1554</v>
      </c>
      <c r="CT498" s="496" t="s">
        <v>1555</v>
      </c>
      <c r="CU498" s="496" t="s">
        <v>1981</v>
      </c>
      <c r="CV498" s="497" t="s">
        <v>1982</v>
      </c>
      <c r="CX498" s="543">
        <v>1</v>
      </c>
    </row>
    <row r="499" spans="91:102" ht="21" customHeight="1">
      <c r="CM499" s="494"/>
      <c r="CN499" s="496" t="s">
        <v>2105</v>
      </c>
      <c r="CO499" s="496" t="s">
        <v>8</v>
      </c>
      <c r="CP499" s="496" t="s">
        <v>689</v>
      </c>
      <c r="CQ499" s="496" t="s">
        <v>2106</v>
      </c>
      <c r="CR499" s="496" t="s">
        <v>2106</v>
      </c>
      <c r="CS499" s="496" t="s">
        <v>1554</v>
      </c>
      <c r="CT499" s="496" t="s">
        <v>1555</v>
      </c>
      <c r="CU499" s="496" t="s">
        <v>1981</v>
      </c>
      <c r="CV499" s="497" t="s">
        <v>1982</v>
      </c>
      <c r="CX499" s="543">
        <v>1</v>
      </c>
    </row>
    <row r="500" spans="91:102" ht="21" customHeight="1">
      <c r="CM500" s="494"/>
      <c r="CN500" s="496" t="s">
        <v>2107</v>
      </c>
      <c r="CO500" s="496" t="s">
        <v>8</v>
      </c>
      <c r="CP500" s="496" t="s">
        <v>689</v>
      </c>
      <c r="CQ500" s="496" t="s">
        <v>2108</v>
      </c>
      <c r="CR500" s="496" t="s">
        <v>2108</v>
      </c>
      <c r="CS500" s="496" t="s">
        <v>1554</v>
      </c>
      <c r="CT500" s="496" t="s">
        <v>1555</v>
      </c>
      <c r="CU500" s="496" t="s">
        <v>1981</v>
      </c>
      <c r="CV500" s="497" t="s">
        <v>1982</v>
      </c>
      <c r="CX500" s="543">
        <v>1</v>
      </c>
    </row>
    <row r="501" spans="91:102" ht="21" customHeight="1">
      <c r="CM501" s="494"/>
      <c r="CN501" s="496" t="s">
        <v>2109</v>
      </c>
      <c r="CO501" s="496" t="s">
        <v>8</v>
      </c>
      <c r="CP501" s="496" t="s">
        <v>689</v>
      </c>
      <c r="CQ501" s="496" t="s">
        <v>2110</v>
      </c>
      <c r="CR501" s="496" t="s">
        <v>2110</v>
      </c>
      <c r="CS501" s="496" t="s">
        <v>1554</v>
      </c>
      <c r="CT501" s="496" t="s">
        <v>1555</v>
      </c>
      <c r="CU501" s="496" t="s">
        <v>1981</v>
      </c>
      <c r="CV501" s="497" t="s">
        <v>1982</v>
      </c>
      <c r="CX501" s="543">
        <v>1</v>
      </c>
    </row>
    <row r="502" spans="91:102" ht="21" customHeight="1">
      <c r="CM502" s="494"/>
      <c r="CN502" s="496" t="s">
        <v>2111</v>
      </c>
      <c r="CO502" s="496" t="s">
        <v>8</v>
      </c>
      <c r="CP502" s="496" t="s">
        <v>689</v>
      </c>
      <c r="CQ502" s="496" t="s">
        <v>2112</v>
      </c>
      <c r="CR502" s="496" t="s">
        <v>2112</v>
      </c>
      <c r="CS502" s="496" t="s">
        <v>1554</v>
      </c>
      <c r="CT502" s="496" t="s">
        <v>1555</v>
      </c>
      <c r="CU502" s="496" t="s">
        <v>1981</v>
      </c>
      <c r="CV502" s="497" t="s">
        <v>1982</v>
      </c>
      <c r="CX502" s="543">
        <v>1</v>
      </c>
    </row>
    <row r="503" spans="91:102" ht="21" customHeight="1">
      <c r="CM503" s="494"/>
      <c r="CN503" s="496" t="s">
        <v>2113</v>
      </c>
      <c r="CO503" s="496" t="s">
        <v>8</v>
      </c>
      <c r="CP503" s="496" t="s">
        <v>689</v>
      </c>
      <c r="CQ503" s="496" t="s">
        <v>165</v>
      </c>
      <c r="CR503" s="496" t="s">
        <v>165</v>
      </c>
      <c r="CS503" s="496" t="s">
        <v>1554</v>
      </c>
      <c r="CT503" s="496" t="s">
        <v>1555</v>
      </c>
      <c r="CU503" s="496" t="s">
        <v>1981</v>
      </c>
      <c r="CV503" s="497" t="s">
        <v>1982</v>
      </c>
      <c r="CX503" s="543">
        <v>1</v>
      </c>
    </row>
    <row r="504" spans="91:102" ht="21" customHeight="1">
      <c r="CM504" s="494"/>
      <c r="CN504" s="496" t="s">
        <v>2114</v>
      </c>
      <c r="CO504" s="496" t="s">
        <v>8</v>
      </c>
      <c r="CP504" s="496" t="s">
        <v>689</v>
      </c>
      <c r="CQ504" s="496" t="s">
        <v>2115</v>
      </c>
      <c r="CR504" s="496" t="s">
        <v>2115</v>
      </c>
      <c r="CS504" s="496" t="s">
        <v>1554</v>
      </c>
      <c r="CT504" s="496" t="s">
        <v>1555</v>
      </c>
      <c r="CU504" s="496" t="s">
        <v>1981</v>
      </c>
      <c r="CV504" s="497" t="s">
        <v>1982</v>
      </c>
      <c r="CX504" s="543">
        <v>1</v>
      </c>
    </row>
    <row r="505" spans="91:102" ht="21" customHeight="1">
      <c r="CM505" s="494"/>
      <c r="CN505" s="496" t="s">
        <v>2116</v>
      </c>
      <c r="CO505" s="496" t="s">
        <v>8</v>
      </c>
      <c r="CP505" s="496" t="s">
        <v>689</v>
      </c>
      <c r="CQ505" s="496" t="s">
        <v>2117</v>
      </c>
      <c r="CR505" s="496" t="s">
        <v>2117</v>
      </c>
      <c r="CS505" s="496" t="s">
        <v>1554</v>
      </c>
      <c r="CT505" s="496" t="s">
        <v>1555</v>
      </c>
      <c r="CU505" s="496" t="s">
        <v>1981</v>
      </c>
      <c r="CV505" s="497" t="s">
        <v>1982</v>
      </c>
      <c r="CX505" s="543">
        <v>1</v>
      </c>
    </row>
    <row r="506" spans="91:102" ht="21" customHeight="1">
      <c r="CM506" s="494"/>
      <c r="CN506" s="496" t="s">
        <v>2118</v>
      </c>
      <c r="CO506" s="496" t="s">
        <v>8</v>
      </c>
      <c r="CP506" s="496" t="s">
        <v>689</v>
      </c>
      <c r="CQ506" s="496" t="s">
        <v>2119</v>
      </c>
      <c r="CR506" s="496" t="s">
        <v>2119</v>
      </c>
      <c r="CS506" s="496" t="s">
        <v>1554</v>
      </c>
      <c r="CT506" s="496" t="s">
        <v>1555</v>
      </c>
      <c r="CU506" s="496" t="s">
        <v>1981</v>
      </c>
      <c r="CV506" s="497" t="s">
        <v>1982</v>
      </c>
      <c r="CX506" s="543">
        <v>1</v>
      </c>
    </row>
    <row r="507" spans="91:102" ht="21" customHeight="1">
      <c r="CM507" s="494"/>
      <c r="CN507" s="496" t="s">
        <v>2120</v>
      </c>
      <c r="CO507" s="496" t="s">
        <v>8</v>
      </c>
      <c r="CP507" s="496" t="s">
        <v>689</v>
      </c>
      <c r="CQ507" s="496" t="s">
        <v>2121</v>
      </c>
      <c r="CR507" s="496" t="s">
        <v>2121</v>
      </c>
      <c r="CS507" s="496" t="s">
        <v>1554</v>
      </c>
      <c r="CT507" s="496" t="s">
        <v>1555</v>
      </c>
      <c r="CU507" s="496" t="s">
        <v>1981</v>
      </c>
      <c r="CV507" s="497" t="s">
        <v>1982</v>
      </c>
      <c r="CX507" s="543">
        <v>1</v>
      </c>
    </row>
    <row r="508" spans="91:102" ht="21" customHeight="1">
      <c r="CM508" s="494"/>
      <c r="CN508" s="496" t="s">
        <v>2122</v>
      </c>
      <c r="CO508" s="496" t="s">
        <v>8</v>
      </c>
      <c r="CP508" s="496" t="s">
        <v>689</v>
      </c>
      <c r="CQ508" s="496" t="s">
        <v>2123</v>
      </c>
      <c r="CR508" s="496" t="s">
        <v>2123</v>
      </c>
      <c r="CS508" s="496" t="s">
        <v>1554</v>
      </c>
      <c r="CT508" s="496" t="s">
        <v>1555</v>
      </c>
      <c r="CU508" s="496" t="s">
        <v>1981</v>
      </c>
      <c r="CV508" s="497" t="s">
        <v>1982</v>
      </c>
      <c r="CX508" s="543">
        <v>1</v>
      </c>
    </row>
    <row r="509" spans="91:102" ht="21" customHeight="1">
      <c r="CM509" s="494"/>
      <c r="CN509" s="496" t="s">
        <v>2124</v>
      </c>
      <c r="CO509" s="496" t="s">
        <v>8</v>
      </c>
      <c r="CP509" s="496" t="s">
        <v>689</v>
      </c>
      <c r="CQ509" s="496" t="s">
        <v>2125</v>
      </c>
      <c r="CR509" s="496" t="s">
        <v>2125</v>
      </c>
      <c r="CS509" s="496" t="s">
        <v>1554</v>
      </c>
      <c r="CT509" s="496" t="s">
        <v>1555</v>
      </c>
      <c r="CU509" s="496" t="s">
        <v>1981</v>
      </c>
      <c r="CV509" s="497" t="s">
        <v>1982</v>
      </c>
      <c r="CX509" s="543">
        <v>1</v>
      </c>
    </row>
    <row r="510" spans="91:102" ht="21" customHeight="1">
      <c r="CM510" s="494"/>
      <c r="CN510" s="496" t="s">
        <v>2126</v>
      </c>
      <c r="CO510" s="496" t="s">
        <v>8</v>
      </c>
      <c r="CP510" s="496" t="s">
        <v>689</v>
      </c>
      <c r="CQ510" s="496" t="s">
        <v>2127</v>
      </c>
      <c r="CR510" s="496" t="s">
        <v>2127</v>
      </c>
      <c r="CS510" s="496" t="s">
        <v>1554</v>
      </c>
      <c r="CT510" s="496" t="s">
        <v>1555</v>
      </c>
      <c r="CU510" s="496" t="s">
        <v>1981</v>
      </c>
      <c r="CV510" s="497" t="s">
        <v>1982</v>
      </c>
      <c r="CX510" s="543">
        <v>1</v>
      </c>
    </row>
    <row r="511" spans="91:102" ht="21" customHeight="1">
      <c r="CM511" s="494"/>
      <c r="CN511" s="496" t="s">
        <v>2128</v>
      </c>
      <c r="CO511" s="496" t="s">
        <v>8</v>
      </c>
      <c r="CP511" s="496" t="s">
        <v>689</v>
      </c>
      <c r="CQ511" s="496" t="s">
        <v>2129</v>
      </c>
      <c r="CR511" s="496" t="s">
        <v>2129</v>
      </c>
      <c r="CS511" s="496" t="s">
        <v>1554</v>
      </c>
      <c r="CT511" s="496" t="s">
        <v>1555</v>
      </c>
      <c r="CU511" s="496" t="s">
        <v>1981</v>
      </c>
      <c r="CV511" s="497" t="s">
        <v>1982</v>
      </c>
      <c r="CX511" s="543">
        <v>1</v>
      </c>
    </row>
    <row r="512" spans="91:102" ht="21" customHeight="1">
      <c r="CM512" s="494"/>
      <c r="CN512" s="496" t="s">
        <v>2130</v>
      </c>
      <c r="CO512" s="496" t="s">
        <v>8</v>
      </c>
      <c r="CP512" s="496" t="s">
        <v>689</v>
      </c>
      <c r="CQ512" s="496" t="s">
        <v>2131</v>
      </c>
      <c r="CR512" s="496" t="s">
        <v>2131</v>
      </c>
      <c r="CS512" s="496" t="s">
        <v>1554</v>
      </c>
      <c r="CT512" s="496" t="s">
        <v>1555</v>
      </c>
      <c r="CU512" s="496" t="s">
        <v>1981</v>
      </c>
      <c r="CV512" s="497" t="s">
        <v>1982</v>
      </c>
      <c r="CX512" s="543">
        <v>1</v>
      </c>
    </row>
    <row r="513" spans="91:102" ht="21" customHeight="1">
      <c r="CM513" s="494"/>
      <c r="CN513" s="496" t="s">
        <v>2132</v>
      </c>
      <c r="CO513" s="496" t="s">
        <v>8</v>
      </c>
      <c r="CP513" s="496" t="s">
        <v>689</v>
      </c>
      <c r="CQ513" s="496" t="s">
        <v>2133</v>
      </c>
      <c r="CR513" s="496" t="s">
        <v>2133</v>
      </c>
      <c r="CS513" s="496" t="s">
        <v>1554</v>
      </c>
      <c r="CT513" s="496" t="s">
        <v>1555</v>
      </c>
      <c r="CU513" s="496" t="s">
        <v>1981</v>
      </c>
      <c r="CV513" s="497" t="s">
        <v>1982</v>
      </c>
      <c r="CX513" s="543">
        <v>1</v>
      </c>
    </row>
    <row r="514" spans="91:102" ht="21" customHeight="1">
      <c r="CM514" s="494"/>
      <c r="CN514" s="496" t="s">
        <v>2134</v>
      </c>
      <c r="CO514" s="496" t="s">
        <v>8</v>
      </c>
      <c r="CP514" s="496" t="s">
        <v>689</v>
      </c>
      <c r="CQ514" s="496" t="s">
        <v>2135</v>
      </c>
      <c r="CR514" s="496" t="s">
        <v>2135</v>
      </c>
      <c r="CS514" s="496" t="s">
        <v>1554</v>
      </c>
      <c r="CT514" s="496" t="s">
        <v>1555</v>
      </c>
      <c r="CU514" s="496" t="s">
        <v>1981</v>
      </c>
      <c r="CV514" s="497" t="s">
        <v>1982</v>
      </c>
      <c r="CX514" s="543">
        <v>1</v>
      </c>
    </row>
    <row r="515" spans="91:102" ht="21" customHeight="1">
      <c r="CM515" s="494"/>
      <c r="CN515" s="496" t="s">
        <v>2136</v>
      </c>
      <c r="CO515" s="496" t="s">
        <v>8</v>
      </c>
      <c r="CP515" s="496" t="s">
        <v>689</v>
      </c>
      <c r="CQ515" s="496" t="s">
        <v>2137</v>
      </c>
      <c r="CR515" s="496" t="s">
        <v>2137</v>
      </c>
      <c r="CS515" s="496" t="s">
        <v>1554</v>
      </c>
      <c r="CT515" s="496" t="s">
        <v>1555</v>
      </c>
      <c r="CU515" s="496" t="s">
        <v>1981</v>
      </c>
      <c r="CV515" s="497" t="s">
        <v>1982</v>
      </c>
      <c r="CX515" s="543">
        <v>1</v>
      </c>
    </row>
    <row r="516" spans="91:102" ht="21" customHeight="1">
      <c r="CM516" s="494"/>
      <c r="CN516" s="496" t="s">
        <v>2138</v>
      </c>
      <c r="CO516" s="496" t="s">
        <v>8</v>
      </c>
      <c r="CP516" s="496" t="s">
        <v>689</v>
      </c>
      <c r="CQ516" s="496" t="s">
        <v>2139</v>
      </c>
      <c r="CR516" s="496" t="s">
        <v>2139</v>
      </c>
      <c r="CS516" s="496" t="s">
        <v>1554</v>
      </c>
      <c r="CT516" s="496" t="s">
        <v>1555</v>
      </c>
      <c r="CU516" s="496" t="s">
        <v>1981</v>
      </c>
      <c r="CV516" s="497" t="s">
        <v>1982</v>
      </c>
      <c r="CX516" s="543">
        <v>1</v>
      </c>
    </row>
    <row r="517" spans="91:102" ht="21" customHeight="1">
      <c r="CM517" s="494"/>
      <c r="CN517" s="496" t="s">
        <v>2140</v>
      </c>
      <c r="CO517" s="496" t="s">
        <v>8</v>
      </c>
      <c r="CP517" s="496" t="s">
        <v>689</v>
      </c>
      <c r="CQ517" s="496" t="s">
        <v>2141</v>
      </c>
      <c r="CR517" s="496" t="s">
        <v>2141</v>
      </c>
      <c r="CS517" s="496" t="s">
        <v>1554</v>
      </c>
      <c r="CT517" s="496" t="s">
        <v>1555</v>
      </c>
      <c r="CU517" s="496" t="s">
        <v>1981</v>
      </c>
      <c r="CV517" s="497" t="s">
        <v>1982</v>
      </c>
      <c r="CX517" s="543">
        <v>1</v>
      </c>
    </row>
    <row r="518" spans="91:102" ht="21" customHeight="1">
      <c r="CM518" s="494"/>
      <c r="CN518" s="496" t="s">
        <v>2142</v>
      </c>
      <c r="CO518" s="496" t="s">
        <v>8</v>
      </c>
      <c r="CP518" s="496" t="s">
        <v>689</v>
      </c>
      <c r="CQ518" s="496" t="s">
        <v>2143</v>
      </c>
      <c r="CR518" s="496" t="s">
        <v>2143</v>
      </c>
      <c r="CS518" s="496" t="s">
        <v>1554</v>
      </c>
      <c r="CT518" s="496" t="s">
        <v>1555</v>
      </c>
      <c r="CU518" s="496" t="s">
        <v>1981</v>
      </c>
      <c r="CV518" s="497" t="s">
        <v>1982</v>
      </c>
      <c r="CX518" s="543">
        <v>1</v>
      </c>
    </row>
    <row r="519" spans="91:102" ht="21" customHeight="1">
      <c r="CM519" s="494"/>
      <c r="CN519" s="496" t="s">
        <v>2144</v>
      </c>
      <c r="CO519" s="496" t="s">
        <v>8</v>
      </c>
      <c r="CP519" s="496" t="s">
        <v>689</v>
      </c>
      <c r="CQ519" s="496" t="s">
        <v>2145</v>
      </c>
      <c r="CR519" s="496" t="s">
        <v>2145</v>
      </c>
      <c r="CS519" s="496" t="s">
        <v>1554</v>
      </c>
      <c r="CT519" s="496" t="s">
        <v>1555</v>
      </c>
      <c r="CU519" s="496" t="s">
        <v>1981</v>
      </c>
      <c r="CV519" s="497" t="s">
        <v>1982</v>
      </c>
      <c r="CX519" s="543">
        <v>1</v>
      </c>
    </row>
    <row r="520" spans="91:102" ht="21" customHeight="1">
      <c r="CM520" s="494"/>
      <c r="CN520" s="496" t="s">
        <v>2146</v>
      </c>
      <c r="CO520" s="496" t="s">
        <v>8</v>
      </c>
      <c r="CP520" s="496" t="s">
        <v>689</v>
      </c>
      <c r="CQ520" s="496" t="s">
        <v>2147</v>
      </c>
      <c r="CR520" s="496" t="s">
        <v>2147</v>
      </c>
      <c r="CS520" s="496" t="s">
        <v>1554</v>
      </c>
      <c r="CT520" s="496" t="s">
        <v>1555</v>
      </c>
      <c r="CU520" s="496" t="s">
        <v>1981</v>
      </c>
      <c r="CV520" s="497" t="s">
        <v>1982</v>
      </c>
      <c r="CX520" s="543">
        <v>1</v>
      </c>
    </row>
    <row r="521" spans="91:102" ht="21" customHeight="1">
      <c r="CM521" s="494"/>
      <c r="CN521" s="496" t="s">
        <v>2148</v>
      </c>
      <c r="CO521" s="496" t="s">
        <v>8</v>
      </c>
      <c r="CP521" s="496" t="s">
        <v>689</v>
      </c>
      <c r="CQ521" s="496" t="s">
        <v>2149</v>
      </c>
      <c r="CR521" s="496" t="s">
        <v>2149</v>
      </c>
      <c r="CS521" s="496" t="s">
        <v>1554</v>
      </c>
      <c r="CT521" s="496" t="s">
        <v>1555</v>
      </c>
      <c r="CU521" s="496" t="s">
        <v>1981</v>
      </c>
      <c r="CV521" s="497" t="s">
        <v>1982</v>
      </c>
      <c r="CX521" s="543">
        <v>1</v>
      </c>
    </row>
    <row r="522" spans="91:102" ht="21" customHeight="1">
      <c r="CM522" s="494"/>
      <c r="CN522" s="496" t="s">
        <v>2150</v>
      </c>
      <c r="CO522" s="496" t="s">
        <v>8</v>
      </c>
      <c r="CP522" s="496" t="s">
        <v>689</v>
      </c>
      <c r="CQ522" s="496" t="s">
        <v>2151</v>
      </c>
      <c r="CR522" s="496" t="s">
        <v>2151</v>
      </c>
      <c r="CS522" s="496" t="s">
        <v>1554</v>
      </c>
      <c r="CT522" s="496" t="s">
        <v>1555</v>
      </c>
      <c r="CU522" s="496" t="s">
        <v>1981</v>
      </c>
      <c r="CV522" s="497" t="s">
        <v>1982</v>
      </c>
      <c r="CX522" s="543">
        <v>1</v>
      </c>
    </row>
    <row r="523" spans="91:102" ht="21" customHeight="1">
      <c r="CM523" s="494"/>
      <c r="CN523" s="496" t="s">
        <v>2152</v>
      </c>
      <c r="CO523" s="496" t="s">
        <v>8</v>
      </c>
      <c r="CP523" s="496" t="s">
        <v>689</v>
      </c>
      <c r="CQ523" s="496" t="s">
        <v>2153</v>
      </c>
      <c r="CR523" s="496" t="s">
        <v>2153</v>
      </c>
      <c r="CS523" s="496" t="s">
        <v>1554</v>
      </c>
      <c r="CT523" s="496" t="s">
        <v>1555</v>
      </c>
      <c r="CU523" s="496" t="s">
        <v>1981</v>
      </c>
      <c r="CV523" s="497" t="s">
        <v>1982</v>
      </c>
      <c r="CX523" s="543">
        <v>1</v>
      </c>
    </row>
    <row r="524" spans="91:102" ht="21" customHeight="1">
      <c r="CM524" s="494"/>
      <c r="CN524" s="496" t="s">
        <v>2154</v>
      </c>
      <c r="CO524" s="496" t="s">
        <v>8</v>
      </c>
      <c r="CP524" s="496" t="s">
        <v>689</v>
      </c>
      <c r="CQ524" s="496" t="s">
        <v>2155</v>
      </c>
      <c r="CR524" s="496" t="s">
        <v>2155</v>
      </c>
      <c r="CS524" s="496" t="s">
        <v>1554</v>
      </c>
      <c r="CT524" s="496" t="s">
        <v>1555</v>
      </c>
      <c r="CU524" s="496" t="s">
        <v>1981</v>
      </c>
      <c r="CV524" s="497" t="s">
        <v>1982</v>
      </c>
      <c r="CX524" s="543">
        <v>1</v>
      </c>
    </row>
    <row r="525" spans="91:102" ht="21" customHeight="1">
      <c r="CM525" s="494"/>
      <c r="CN525" s="496" t="s">
        <v>2156</v>
      </c>
      <c r="CO525" s="496" t="s">
        <v>8</v>
      </c>
      <c r="CP525" s="496" t="s">
        <v>689</v>
      </c>
      <c r="CQ525" s="496" t="s">
        <v>2157</v>
      </c>
      <c r="CR525" s="496" t="s">
        <v>2157</v>
      </c>
      <c r="CS525" s="496" t="s">
        <v>1554</v>
      </c>
      <c r="CT525" s="496" t="s">
        <v>1555</v>
      </c>
      <c r="CU525" s="496" t="s">
        <v>1981</v>
      </c>
      <c r="CV525" s="497" t="s">
        <v>1982</v>
      </c>
      <c r="CX525" s="543">
        <v>1</v>
      </c>
    </row>
    <row r="526" spans="91:102" ht="21" customHeight="1">
      <c r="CM526" s="494"/>
      <c r="CN526" s="496" t="s">
        <v>2158</v>
      </c>
      <c r="CO526" s="496" t="s">
        <v>8</v>
      </c>
      <c r="CP526" s="496" t="s">
        <v>689</v>
      </c>
      <c r="CQ526" s="496" t="s">
        <v>2159</v>
      </c>
      <c r="CR526" s="496" t="s">
        <v>2159</v>
      </c>
      <c r="CS526" s="496" t="s">
        <v>1554</v>
      </c>
      <c r="CT526" s="496" t="s">
        <v>1555</v>
      </c>
      <c r="CU526" s="496" t="s">
        <v>1981</v>
      </c>
      <c r="CV526" s="497" t="s">
        <v>1982</v>
      </c>
      <c r="CX526" s="543">
        <v>1</v>
      </c>
    </row>
    <row r="527" spans="91:102" ht="21" customHeight="1">
      <c r="CM527" s="494"/>
      <c r="CN527" s="496" t="s">
        <v>2160</v>
      </c>
      <c r="CO527" s="496" t="s">
        <v>8</v>
      </c>
      <c r="CP527" s="496" t="s">
        <v>689</v>
      </c>
      <c r="CQ527" s="496" t="s">
        <v>2161</v>
      </c>
      <c r="CR527" s="496" t="s">
        <v>2161</v>
      </c>
      <c r="CS527" s="496" t="s">
        <v>1554</v>
      </c>
      <c r="CT527" s="496" t="s">
        <v>1555</v>
      </c>
      <c r="CU527" s="496" t="s">
        <v>1981</v>
      </c>
      <c r="CV527" s="497" t="s">
        <v>1982</v>
      </c>
      <c r="CX527" s="543">
        <v>1</v>
      </c>
    </row>
    <row r="528" spans="91:102" ht="21" customHeight="1">
      <c r="CM528" s="494"/>
      <c r="CN528" s="496" t="s">
        <v>2162</v>
      </c>
      <c r="CO528" s="496" t="s">
        <v>8</v>
      </c>
      <c r="CP528" s="496" t="s">
        <v>689</v>
      </c>
      <c r="CQ528" s="496" t="s">
        <v>2163</v>
      </c>
      <c r="CR528" s="496" t="s">
        <v>2163</v>
      </c>
      <c r="CS528" s="496" t="s">
        <v>1554</v>
      </c>
      <c r="CT528" s="496" t="s">
        <v>1555</v>
      </c>
      <c r="CU528" s="496" t="s">
        <v>1981</v>
      </c>
      <c r="CV528" s="497" t="s">
        <v>1982</v>
      </c>
      <c r="CX528" s="543">
        <v>1</v>
      </c>
    </row>
    <row r="529" spans="91:102" ht="21" customHeight="1">
      <c r="CM529" s="494"/>
      <c r="CN529" s="496" t="s">
        <v>2164</v>
      </c>
      <c r="CO529" s="496" t="s">
        <v>8</v>
      </c>
      <c r="CP529" s="496" t="s">
        <v>689</v>
      </c>
      <c r="CQ529" s="496" t="s">
        <v>2165</v>
      </c>
      <c r="CR529" s="496" t="s">
        <v>2165</v>
      </c>
      <c r="CS529" s="496" t="s">
        <v>1554</v>
      </c>
      <c r="CT529" s="496" t="s">
        <v>1555</v>
      </c>
      <c r="CU529" s="496" t="s">
        <v>1981</v>
      </c>
      <c r="CV529" s="497" t="s">
        <v>1982</v>
      </c>
      <c r="CX529" s="543">
        <v>1</v>
      </c>
    </row>
    <row r="530" spans="91:102" ht="21" customHeight="1">
      <c r="CM530" s="494"/>
      <c r="CN530" s="496" t="s">
        <v>2166</v>
      </c>
      <c r="CO530" s="496" t="s">
        <v>8</v>
      </c>
      <c r="CP530" s="496" t="s">
        <v>689</v>
      </c>
      <c r="CQ530" s="496" t="s">
        <v>2167</v>
      </c>
      <c r="CR530" s="496" t="s">
        <v>2167</v>
      </c>
      <c r="CS530" s="496" t="s">
        <v>1554</v>
      </c>
      <c r="CT530" s="496" t="s">
        <v>1555</v>
      </c>
      <c r="CU530" s="496" t="s">
        <v>1981</v>
      </c>
      <c r="CV530" s="497" t="s">
        <v>1982</v>
      </c>
      <c r="CX530" s="543">
        <v>1</v>
      </c>
    </row>
    <row r="531" spans="91:102" ht="21" customHeight="1">
      <c r="CM531" s="494"/>
      <c r="CN531" s="496" t="s">
        <v>2168</v>
      </c>
      <c r="CO531" s="496" t="s">
        <v>8</v>
      </c>
      <c r="CP531" s="496" t="s">
        <v>689</v>
      </c>
      <c r="CQ531" s="496" t="s">
        <v>2169</v>
      </c>
      <c r="CR531" s="496" t="s">
        <v>2169</v>
      </c>
      <c r="CS531" s="496" t="s">
        <v>1554</v>
      </c>
      <c r="CT531" s="496" t="s">
        <v>1555</v>
      </c>
      <c r="CU531" s="496" t="s">
        <v>1981</v>
      </c>
      <c r="CV531" s="497" t="s">
        <v>1982</v>
      </c>
      <c r="CX531" s="543">
        <v>1</v>
      </c>
    </row>
    <row r="532" spans="91:102" ht="21" customHeight="1">
      <c r="CM532" s="494"/>
      <c r="CN532" s="496" t="s">
        <v>2170</v>
      </c>
      <c r="CO532" s="496" t="s">
        <v>8</v>
      </c>
      <c r="CP532" s="496" t="s">
        <v>689</v>
      </c>
      <c r="CQ532" s="496" t="s">
        <v>2171</v>
      </c>
      <c r="CR532" s="496" t="s">
        <v>2171</v>
      </c>
      <c r="CS532" s="496" t="s">
        <v>1554</v>
      </c>
      <c r="CT532" s="496" t="s">
        <v>1555</v>
      </c>
      <c r="CU532" s="496" t="s">
        <v>1981</v>
      </c>
      <c r="CV532" s="497" t="s">
        <v>1982</v>
      </c>
      <c r="CX532" s="543">
        <v>1</v>
      </c>
    </row>
    <row r="533" spans="91:102" ht="21" customHeight="1">
      <c r="CM533" s="494"/>
      <c r="CN533" s="496" t="s">
        <v>2172</v>
      </c>
      <c r="CO533" s="496" t="s">
        <v>8</v>
      </c>
      <c r="CP533" s="496" t="s">
        <v>689</v>
      </c>
      <c r="CQ533" s="496" t="s">
        <v>2173</v>
      </c>
      <c r="CR533" s="496" t="s">
        <v>2173</v>
      </c>
      <c r="CS533" s="496" t="s">
        <v>1554</v>
      </c>
      <c r="CT533" s="496" t="s">
        <v>1555</v>
      </c>
      <c r="CU533" s="496" t="s">
        <v>1981</v>
      </c>
      <c r="CV533" s="497" t="s">
        <v>1982</v>
      </c>
      <c r="CX533" s="543">
        <v>1</v>
      </c>
    </row>
    <row r="534" spans="91:102" ht="21" customHeight="1">
      <c r="CM534" s="494"/>
      <c r="CN534" s="496" t="s">
        <v>2174</v>
      </c>
      <c r="CO534" s="496" t="s">
        <v>8</v>
      </c>
      <c r="CP534" s="496" t="s">
        <v>689</v>
      </c>
      <c r="CQ534" s="496" t="s">
        <v>2175</v>
      </c>
      <c r="CR534" s="496" t="s">
        <v>2175</v>
      </c>
      <c r="CS534" s="496" t="s">
        <v>1554</v>
      </c>
      <c r="CT534" s="496" t="s">
        <v>1555</v>
      </c>
      <c r="CU534" s="496" t="s">
        <v>1981</v>
      </c>
      <c r="CV534" s="497" t="s">
        <v>1982</v>
      </c>
      <c r="CX534" s="543">
        <v>1</v>
      </c>
    </row>
    <row r="535" spans="91:102" ht="21" customHeight="1">
      <c r="CM535" s="494"/>
      <c r="CN535" s="496" t="s">
        <v>2176</v>
      </c>
      <c r="CO535" s="496" t="s">
        <v>8</v>
      </c>
      <c r="CP535" s="496" t="s">
        <v>689</v>
      </c>
      <c r="CQ535" s="496" t="s">
        <v>2177</v>
      </c>
      <c r="CR535" s="496" t="s">
        <v>2177</v>
      </c>
      <c r="CS535" s="496" t="s">
        <v>1554</v>
      </c>
      <c r="CT535" s="496" t="s">
        <v>1555</v>
      </c>
      <c r="CU535" s="496" t="s">
        <v>1981</v>
      </c>
      <c r="CV535" s="497" t="s">
        <v>1982</v>
      </c>
      <c r="CX535" s="543">
        <v>1</v>
      </c>
    </row>
    <row r="536" spans="91:102" ht="21" customHeight="1">
      <c r="CM536" s="494"/>
      <c r="CN536" s="496" t="s">
        <v>2178</v>
      </c>
      <c r="CO536" s="496" t="s">
        <v>8</v>
      </c>
      <c r="CP536" s="496" t="s">
        <v>689</v>
      </c>
      <c r="CQ536" s="496" t="s">
        <v>2179</v>
      </c>
      <c r="CR536" s="496" t="s">
        <v>2179</v>
      </c>
      <c r="CS536" s="496" t="s">
        <v>1554</v>
      </c>
      <c r="CT536" s="496" t="s">
        <v>1555</v>
      </c>
      <c r="CU536" s="496" t="s">
        <v>1981</v>
      </c>
      <c r="CV536" s="497" t="s">
        <v>1982</v>
      </c>
      <c r="CX536" s="543">
        <v>1</v>
      </c>
    </row>
    <row r="537" spans="91:102" ht="21" customHeight="1">
      <c r="CM537" s="494"/>
      <c r="CN537" s="496" t="s">
        <v>2180</v>
      </c>
      <c r="CO537" s="496" t="s">
        <v>8</v>
      </c>
      <c r="CP537" s="496" t="s">
        <v>689</v>
      </c>
      <c r="CQ537" s="496" t="s">
        <v>2181</v>
      </c>
      <c r="CR537" s="496" t="s">
        <v>2181</v>
      </c>
      <c r="CS537" s="496" t="s">
        <v>1554</v>
      </c>
      <c r="CT537" s="496" t="s">
        <v>1555</v>
      </c>
      <c r="CU537" s="496" t="s">
        <v>1981</v>
      </c>
      <c r="CV537" s="497" t="s">
        <v>1982</v>
      </c>
      <c r="CX537" s="543">
        <v>1</v>
      </c>
    </row>
    <row r="538" spans="91:102" ht="21" customHeight="1">
      <c r="CM538" s="494"/>
      <c r="CN538" s="496" t="s">
        <v>2182</v>
      </c>
      <c r="CO538" s="496" t="s">
        <v>8</v>
      </c>
      <c r="CP538" s="496" t="s">
        <v>689</v>
      </c>
      <c r="CQ538" s="496" t="s">
        <v>2183</v>
      </c>
      <c r="CR538" s="496" t="s">
        <v>2183</v>
      </c>
      <c r="CS538" s="496" t="s">
        <v>1554</v>
      </c>
      <c r="CT538" s="496" t="s">
        <v>1555</v>
      </c>
      <c r="CU538" s="496" t="s">
        <v>1981</v>
      </c>
      <c r="CV538" s="497" t="s">
        <v>1982</v>
      </c>
      <c r="CX538" s="543">
        <v>1</v>
      </c>
    </row>
    <row r="539" spans="91:102" ht="21" customHeight="1">
      <c r="CM539" s="494"/>
      <c r="CN539" s="496" t="s">
        <v>2184</v>
      </c>
      <c r="CO539" s="496" t="s">
        <v>8</v>
      </c>
      <c r="CP539" s="496" t="s">
        <v>689</v>
      </c>
      <c r="CQ539" s="496" t="s">
        <v>2185</v>
      </c>
      <c r="CR539" s="496" t="s">
        <v>2185</v>
      </c>
      <c r="CS539" s="496" t="s">
        <v>1554</v>
      </c>
      <c r="CT539" s="496" t="s">
        <v>1555</v>
      </c>
      <c r="CU539" s="496" t="s">
        <v>1981</v>
      </c>
      <c r="CV539" s="497" t="s">
        <v>1982</v>
      </c>
      <c r="CX539" s="543">
        <v>1</v>
      </c>
    </row>
    <row r="540" spans="91:102" ht="21" customHeight="1">
      <c r="CM540" s="494"/>
      <c r="CN540" s="496" t="s">
        <v>2186</v>
      </c>
      <c r="CO540" s="496" t="s">
        <v>8</v>
      </c>
      <c r="CP540" s="496" t="s">
        <v>689</v>
      </c>
      <c r="CQ540" s="496" t="s">
        <v>2187</v>
      </c>
      <c r="CR540" s="496" t="s">
        <v>2187</v>
      </c>
      <c r="CS540" s="496" t="s">
        <v>1554</v>
      </c>
      <c r="CT540" s="496" t="s">
        <v>1555</v>
      </c>
      <c r="CU540" s="496" t="s">
        <v>1981</v>
      </c>
      <c r="CV540" s="497" t="s">
        <v>1982</v>
      </c>
      <c r="CX540" s="543">
        <v>1</v>
      </c>
    </row>
    <row r="541" spans="91:102" ht="21" customHeight="1">
      <c r="CM541" s="494"/>
      <c r="CN541" s="496" t="s">
        <v>2188</v>
      </c>
      <c r="CO541" s="496" t="s">
        <v>8</v>
      </c>
      <c r="CP541" s="496" t="s">
        <v>689</v>
      </c>
      <c r="CQ541" s="496" t="s">
        <v>2189</v>
      </c>
      <c r="CR541" s="496" t="s">
        <v>2189</v>
      </c>
      <c r="CS541" s="496" t="s">
        <v>1554</v>
      </c>
      <c r="CT541" s="496" t="s">
        <v>1555</v>
      </c>
      <c r="CU541" s="496" t="s">
        <v>1981</v>
      </c>
      <c r="CV541" s="497" t="s">
        <v>1982</v>
      </c>
      <c r="CX541" s="543">
        <v>1</v>
      </c>
    </row>
    <row r="542" spans="91:102" ht="21" customHeight="1">
      <c r="CM542" s="494"/>
      <c r="CN542" s="496" t="s">
        <v>2190</v>
      </c>
      <c r="CO542" s="496" t="s">
        <v>8</v>
      </c>
      <c r="CP542" s="496" t="s">
        <v>689</v>
      </c>
      <c r="CQ542" s="496" t="s">
        <v>2191</v>
      </c>
      <c r="CR542" s="496" t="s">
        <v>2191</v>
      </c>
      <c r="CS542" s="496" t="s">
        <v>1554</v>
      </c>
      <c r="CT542" s="496" t="s">
        <v>1555</v>
      </c>
      <c r="CU542" s="496" t="s">
        <v>1981</v>
      </c>
      <c r="CV542" s="497" t="s">
        <v>1982</v>
      </c>
      <c r="CX542" s="543">
        <v>1</v>
      </c>
    </row>
    <row r="543" spans="91:102" ht="21" customHeight="1">
      <c r="CM543" s="494"/>
      <c r="CN543" s="496" t="s">
        <v>2192</v>
      </c>
      <c r="CO543" s="496" t="s">
        <v>8</v>
      </c>
      <c r="CP543" s="496" t="s">
        <v>689</v>
      </c>
      <c r="CQ543" s="496" t="s">
        <v>2193</v>
      </c>
      <c r="CR543" s="496" t="s">
        <v>2193</v>
      </c>
      <c r="CS543" s="496" t="s">
        <v>1085</v>
      </c>
      <c r="CT543" s="496" t="s">
        <v>2063</v>
      </c>
      <c r="CU543" s="496" t="s">
        <v>1087</v>
      </c>
      <c r="CV543" s="497" t="s">
        <v>1088</v>
      </c>
      <c r="CX543" s="543">
        <v>1</v>
      </c>
    </row>
    <row r="544" spans="91:102" ht="21" customHeight="1">
      <c r="CM544" s="494"/>
      <c r="CN544" s="496" t="s">
        <v>2194</v>
      </c>
      <c r="CO544" s="496" t="s">
        <v>8</v>
      </c>
      <c r="CP544" s="496" t="s">
        <v>689</v>
      </c>
      <c r="CQ544" s="496" t="s">
        <v>855</v>
      </c>
      <c r="CR544" s="496" t="s">
        <v>855</v>
      </c>
      <c r="CS544" s="496" t="s">
        <v>1085</v>
      </c>
      <c r="CT544" s="496" t="s">
        <v>2063</v>
      </c>
      <c r="CU544" s="496" t="s">
        <v>1087</v>
      </c>
      <c r="CV544" s="497" t="s">
        <v>1088</v>
      </c>
      <c r="CX544" s="543">
        <v>1</v>
      </c>
    </row>
    <row r="545" spans="91:102" ht="21" customHeight="1">
      <c r="CM545" s="494"/>
      <c r="CN545" s="496" t="s">
        <v>2195</v>
      </c>
      <c r="CO545" s="496" t="s">
        <v>8</v>
      </c>
      <c r="CP545" s="496" t="s">
        <v>689</v>
      </c>
      <c r="CQ545" s="496" t="s">
        <v>2196</v>
      </c>
      <c r="CR545" s="496" t="s">
        <v>2196</v>
      </c>
      <c r="CS545" s="496" t="s">
        <v>1085</v>
      </c>
      <c r="CT545" s="496" t="s">
        <v>2063</v>
      </c>
      <c r="CU545" s="496" t="s">
        <v>1087</v>
      </c>
      <c r="CV545" s="497" t="s">
        <v>1088</v>
      </c>
      <c r="CX545" s="543">
        <v>1</v>
      </c>
    </row>
    <row r="546" spans="91:102" ht="21" customHeight="1">
      <c r="CM546" s="494"/>
      <c r="CN546" s="496" t="s">
        <v>2197</v>
      </c>
      <c r="CO546" s="496" t="s">
        <v>8</v>
      </c>
      <c r="CP546" s="496" t="s">
        <v>689</v>
      </c>
      <c r="CQ546" s="496" t="s">
        <v>2198</v>
      </c>
      <c r="CR546" s="496" t="s">
        <v>2198</v>
      </c>
      <c r="CS546" s="496" t="s">
        <v>1554</v>
      </c>
      <c r="CT546" s="496" t="s">
        <v>1555</v>
      </c>
      <c r="CU546" s="496" t="s">
        <v>1981</v>
      </c>
      <c r="CV546" s="497" t="s">
        <v>1982</v>
      </c>
      <c r="CX546" s="543">
        <v>1</v>
      </c>
    </row>
    <row r="547" spans="91:102" ht="21" customHeight="1">
      <c r="CM547" s="494"/>
      <c r="CN547" s="496" t="s">
        <v>2199</v>
      </c>
      <c r="CO547" s="496" t="s">
        <v>8</v>
      </c>
      <c r="CP547" s="496" t="s">
        <v>689</v>
      </c>
      <c r="CQ547" s="496" t="s">
        <v>2200</v>
      </c>
      <c r="CR547" s="496" t="s">
        <v>2200</v>
      </c>
      <c r="CS547" s="496" t="s">
        <v>1554</v>
      </c>
      <c r="CT547" s="496" t="s">
        <v>1555</v>
      </c>
      <c r="CU547" s="496" t="s">
        <v>1981</v>
      </c>
      <c r="CV547" s="497" t="s">
        <v>1982</v>
      </c>
      <c r="CX547" s="543">
        <v>1</v>
      </c>
    </row>
    <row r="548" spans="91:102" ht="21" customHeight="1">
      <c r="CM548" s="494"/>
      <c r="CN548" s="496" t="s">
        <v>2201</v>
      </c>
      <c r="CO548" s="496" t="s">
        <v>8</v>
      </c>
      <c r="CP548" s="496" t="s">
        <v>689</v>
      </c>
      <c r="CQ548" s="496" t="s">
        <v>2202</v>
      </c>
      <c r="CR548" s="496" t="s">
        <v>2202</v>
      </c>
      <c r="CS548" s="496" t="s">
        <v>1554</v>
      </c>
      <c r="CT548" s="496" t="s">
        <v>1555</v>
      </c>
      <c r="CU548" s="496" t="s">
        <v>1981</v>
      </c>
      <c r="CV548" s="497" t="s">
        <v>1982</v>
      </c>
      <c r="CX548" s="543">
        <v>1</v>
      </c>
    </row>
    <row r="549" spans="91:102" ht="21" customHeight="1">
      <c r="CM549" s="494"/>
      <c r="CN549" s="496" t="s">
        <v>2203</v>
      </c>
      <c r="CO549" s="496" t="s">
        <v>8</v>
      </c>
      <c r="CP549" s="496" t="s">
        <v>689</v>
      </c>
      <c r="CQ549" s="496" t="s">
        <v>2204</v>
      </c>
      <c r="CR549" s="496" t="s">
        <v>2204</v>
      </c>
      <c r="CS549" s="496" t="s">
        <v>1554</v>
      </c>
      <c r="CT549" s="496" t="s">
        <v>1555</v>
      </c>
      <c r="CU549" s="496" t="s">
        <v>1981</v>
      </c>
      <c r="CV549" s="497" t="s">
        <v>1982</v>
      </c>
      <c r="CX549" s="543">
        <v>1</v>
      </c>
    </row>
    <row r="550" spans="91:102" ht="21" customHeight="1">
      <c r="CM550" s="494"/>
      <c r="CN550" s="496" t="s">
        <v>2205</v>
      </c>
      <c r="CO550" s="496" t="s">
        <v>8</v>
      </c>
      <c r="CP550" s="496" t="s">
        <v>689</v>
      </c>
      <c r="CQ550" s="496" t="s">
        <v>2206</v>
      </c>
      <c r="CR550" s="496" t="s">
        <v>2206</v>
      </c>
      <c r="CS550" s="496" t="s">
        <v>1554</v>
      </c>
      <c r="CT550" s="496" t="s">
        <v>1555</v>
      </c>
      <c r="CU550" s="496" t="s">
        <v>1981</v>
      </c>
      <c r="CV550" s="497" t="s">
        <v>1982</v>
      </c>
      <c r="CX550" s="543">
        <v>1</v>
      </c>
    </row>
    <row r="551" spans="91:102" ht="21" customHeight="1">
      <c r="CM551" s="494"/>
      <c r="CN551" s="496" t="s">
        <v>2207</v>
      </c>
      <c r="CO551" s="496" t="s">
        <v>8</v>
      </c>
      <c r="CP551" s="496" t="s">
        <v>689</v>
      </c>
      <c r="CQ551" s="496" t="s">
        <v>2208</v>
      </c>
      <c r="CR551" s="496" t="s">
        <v>2208</v>
      </c>
      <c r="CS551" s="496" t="s">
        <v>1085</v>
      </c>
      <c r="CT551" s="496" t="s">
        <v>2063</v>
      </c>
      <c r="CU551" s="496" t="s">
        <v>1087</v>
      </c>
      <c r="CV551" s="497" t="s">
        <v>1088</v>
      </c>
      <c r="CX551" s="543">
        <v>1</v>
      </c>
    </row>
    <row r="552" spans="91:102" ht="21" customHeight="1">
      <c r="CM552" s="494"/>
      <c r="CN552" s="496" t="s">
        <v>2209</v>
      </c>
      <c r="CO552" s="496" t="s">
        <v>8</v>
      </c>
      <c r="CP552" s="496" t="s">
        <v>689</v>
      </c>
      <c r="CQ552" s="496" t="s">
        <v>942</v>
      </c>
      <c r="CR552" s="496" t="s">
        <v>942</v>
      </c>
      <c r="CS552" s="496" t="s">
        <v>1085</v>
      </c>
      <c r="CT552" s="496" t="s">
        <v>2063</v>
      </c>
      <c r="CU552" s="496" t="s">
        <v>1087</v>
      </c>
      <c r="CV552" s="497" t="s">
        <v>1088</v>
      </c>
      <c r="CX552" s="543">
        <v>1</v>
      </c>
    </row>
    <row r="553" spans="91:102" ht="21" customHeight="1">
      <c r="CM553" s="494"/>
      <c r="CN553" s="496" t="s">
        <v>2210</v>
      </c>
      <c r="CO553" s="496" t="s">
        <v>8</v>
      </c>
      <c r="CP553" s="496" t="s">
        <v>689</v>
      </c>
      <c r="CQ553" s="496" t="s">
        <v>2211</v>
      </c>
      <c r="CR553" s="496" t="s">
        <v>2211</v>
      </c>
      <c r="CS553" s="496" t="s">
        <v>1554</v>
      </c>
      <c r="CT553" s="496" t="s">
        <v>1555</v>
      </c>
      <c r="CU553" s="496" t="s">
        <v>1981</v>
      </c>
      <c r="CV553" s="497" t="s">
        <v>1982</v>
      </c>
      <c r="CX553" s="543">
        <v>1</v>
      </c>
    </row>
    <row r="554" spans="91:102" ht="21" customHeight="1">
      <c r="CM554" s="494"/>
      <c r="CN554" s="496" t="s">
        <v>2212</v>
      </c>
      <c r="CO554" s="496" t="s">
        <v>8</v>
      </c>
      <c r="CP554" s="496" t="s">
        <v>689</v>
      </c>
      <c r="CQ554" s="496" t="s">
        <v>2213</v>
      </c>
      <c r="CR554" s="496" t="s">
        <v>2213</v>
      </c>
      <c r="CS554" s="496" t="s">
        <v>1554</v>
      </c>
      <c r="CT554" s="496" t="s">
        <v>1555</v>
      </c>
      <c r="CU554" s="496" t="s">
        <v>1981</v>
      </c>
      <c r="CV554" s="497" t="s">
        <v>1982</v>
      </c>
      <c r="CX554" s="543">
        <v>1</v>
      </c>
    </row>
    <row r="555" spans="91:102" ht="21" customHeight="1">
      <c r="CM555" s="494"/>
      <c r="CN555" s="496" t="s">
        <v>2214</v>
      </c>
      <c r="CO555" s="496" t="s">
        <v>8</v>
      </c>
      <c r="CP555" s="496" t="s">
        <v>689</v>
      </c>
      <c r="CQ555" s="496" t="s">
        <v>1020</v>
      </c>
      <c r="CR555" s="496" t="s">
        <v>1020</v>
      </c>
      <c r="CS555" s="496" t="s">
        <v>1554</v>
      </c>
      <c r="CT555" s="496" t="s">
        <v>1555</v>
      </c>
      <c r="CU555" s="496" t="s">
        <v>1981</v>
      </c>
      <c r="CV555" s="497" t="s">
        <v>1982</v>
      </c>
      <c r="CX555" s="543">
        <v>1</v>
      </c>
    </row>
    <row r="556" spans="91:102" ht="21" customHeight="1">
      <c r="CM556" s="494"/>
      <c r="CN556" s="496" t="s">
        <v>2215</v>
      </c>
      <c r="CO556" s="496" t="s">
        <v>8</v>
      </c>
      <c r="CP556" s="496" t="s">
        <v>689</v>
      </c>
      <c r="CQ556" s="496" t="s">
        <v>2216</v>
      </c>
      <c r="CR556" s="496" t="s">
        <v>2216</v>
      </c>
      <c r="CS556" s="496" t="s">
        <v>1554</v>
      </c>
      <c r="CT556" s="496" t="s">
        <v>1555</v>
      </c>
      <c r="CU556" s="496" t="s">
        <v>1981</v>
      </c>
      <c r="CV556" s="497" t="s">
        <v>1982</v>
      </c>
      <c r="CX556" s="543">
        <v>1</v>
      </c>
    </row>
    <row r="557" spans="91:102" ht="21" customHeight="1">
      <c r="CM557" s="494"/>
      <c r="CN557" s="496" t="s">
        <v>2217</v>
      </c>
      <c r="CO557" s="496" t="s">
        <v>8</v>
      </c>
      <c r="CP557" s="496" t="s">
        <v>689</v>
      </c>
      <c r="CQ557" s="496" t="s">
        <v>2218</v>
      </c>
      <c r="CR557" s="496" t="s">
        <v>2218</v>
      </c>
      <c r="CS557" s="496" t="s">
        <v>1554</v>
      </c>
      <c r="CT557" s="496" t="s">
        <v>1555</v>
      </c>
      <c r="CU557" s="496" t="s">
        <v>1981</v>
      </c>
      <c r="CV557" s="497" t="s">
        <v>1982</v>
      </c>
      <c r="CX557" s="543">
        <v>1</v>
      </c>
    </row>
    <row r="558" spans="91:102" ht="21" customHeight="1">
      <c r="CM558" s="494"/>
      <c r="CN558" s="496" t="s">
        <v>2219</v>
      </c>
      <c r="CO558" s="496" t="s">
        <v>8</v>
      </c>
      <c r="CP558" s="496" t="s">
        <v>689</v>
      </c>
      <c r="CQ558" s="496" t="s">
        <v>69</v>
      </c>
      <c r="CR558" s="496" t="s">
        <v>69</v>
      </c>
      <c r="CS558" s="496" t="s">
        <v>1554</v>
      </c>
      <c r="CT558" s="496" t="s">
        <v>1555</v>
      </c>
      <c r="CU558" s="496" t="s">
        <v>1981</v>
      </c>
      <c r="CV558" s="497" t="s">
        <v>1982</v>
      </c>
      <c r="CX558" s="543">
        <v>1</v>
      </c>
    </row>
    <row r="559" spans="91:102" ht="21" customHeight="1">
      <c r="CM559" s="494"/>
      <c r="CN559" s="496" t="s">
        <v>2220</v>
      </c>
      <c r="CO559" s="496" t="s">
        <v>8</v>
      </c>
      <c r="CP559" s="496" t="s">
        <v>689</v>
      </c>
      <c r="CQ559" s="496" t="s">
        <v>2221</v>
      </c>
      <c r="CR559" s="496" t="s">
        <v>2221</v>
      </c>
      <c r="CS559" s="496" t="s">
        <v>1554</v>
      </c>
      <c r="CT559" s="496" t="s">
        <v>1555</v>
      </c>
      <c r="CU559" s="496" t="s">
        <v>1981</v>
      </c>
      <c r="CV559" s="497" t="s">
        <v>1982</v>
      </c>
      <c r="CX559" s="543">
        <v>1</v>
      </c>
    </row>
    <row r="560" spans="91:102" ht="21" customHeight="1">
      <c r="CM560" s="494"/>
      <c r="CN560" s="496" t="s">
        <v>2222</v>
      </c>
      <c r="CO560" s="496" t="s">
        <v>8</v>
      </c>
      <c r="CP560" s="496" t="s">
        <v>689</v>
      </c>
      <c r="CQ560" s="496" t="s">
        <v>2223</v>
      </c>
      <c r="CR560" s="496" t="s">
        <v>2223</v>
      </c>
      <c r="CS560" s="496" t="s">
        <v>1554</v>
      </c>
      <c r="CT560" s="496" t="s">
        <v>1555</v>
      </c>
      <c r="CU560" s="496" t="s">
        <v>1981</v>
      </c>
      <c r="CV560" s="497" t="s">
        <v>1982</v>
      </c>
      <c r="CX560" s="543">
        <v>1</v>
      </c>
    </row>
    <row r="561" spans="91:102" ht="21" customHeight="1">
      <c r="CM561" s="494"/>
      <c r="CN561" s="496" t="s">
        <v>2224</v>
      </c>
      <c r="CO561" s="496" t="s">
        <v>8</v>
      </c>
      <c r="CP561" s="496" t="s">
        <v>689</v>
      </c>
      <c r="CQ561" s="496" t="s">
        <v>2225</v>
      </c>
      <c r="CR561" s="496" t="s">
        <v>2225</v>
      </c>
      <c r="CS561" s="496" t="s">
        <v>1554</v>
      </c>
      <c r="CT561" s="496" t="s">
        <v>1555</v>
      </c>
      <c r="CU561" s="496" t="s">
        <v>1981</v>
      </c>
      <c r="CV561" s="497" t="s">
        <v>1982</v>
      </c>
      <c r="CX561" s="543">
        <v>1</v>
      </c>
    </row>
    <row r="562" spans="91:102" ht="21" customHeight="1">
      <c r="CM562" s="494"/>
      <c r="CN562" s="496" t="s">
        <v>2226</v>
      </c>
      <c r="CO562" s="496" t="s">
        <v>8</v>
      </c>
      <c r="CP562" s="496" t="s">
        <v>689</v>
      </c>
      <c r="CQ562" s="496" t="s">
        <v>2227</v>
      </c>
      <c r="CR562" s="496" t="s">
        <v>2227</v>
      </c>
      <c r="CS562" s="496" t="s">
        <v>1554</v>
      </c>
      <c r="CT562" s="496" t="s">
        <v>1555</v>
      </c>
      <c r="CU562" s="496" t="s">
        <v>1981</v>
      </c>
      <c r="CV562" s="497" t="s">
        <v>1982</v>
      </c>
      <c r="CX562" s="543">
        <v>1</v>
      </c>
    </row>
    <row r="563" spans="91:102" ht="21" customHeight="1">
      <c r="CM563" s="494"/>
      <c r="CN563" s="496" t="s">
        <v>2228</v>
      </c>
      <c r="CO563" s="496" t="s">
        <v>8</v>
      </c>
      <c r="CP563" s="496" t="s">
        <v>689</v>
      </c>
      <c r="CQ563" s="496" t="s">
        <v>2229</v>
      </c>
      <c r="CR563" s="496" t="s">
        <v>2229</v>
      </c>
      <c r="CS563" s="496" t="s">
        <v>1554</v>
      </c>
      <c r="CT563" s="496" t="s">
        <v>1555</v>
      </c>
      <c r="CU563" s="496" t="s">
        <v>1981</v>
      </c>
      <c r="CV563" s="497" t="s">
        <v>1982</v>
      </c>
      <c r="CX563" s="543">
        <v>1</v>
      </c>
    </row>
    <row r="564" spans="91:102" ht="21" customHeight="1">
      <c r="CM564" s="494"/>
      <c r="CN564" s="496" t="s">
        <v>2230</v>
      </c>
      <c r="CO564" s="496" t="s">
        <v>8</v>
      </c>
      <c r="CP564" s="496" t="s">
        <v>689</v>
      </c>
      <c r="CQ564" s="496" t="s">
        <v>2231</v>
      </c>
      <c r="CR564" s="496" t="s">
        <v>2231</v>
      </c>
      <c r="CS564" s="496" t="s">
        <v>1554</v>
      </c>
      <c r="CT564" s="496" t="s">
        <v>1555</v>
      </c>
      <c r="CU564" s="496" t="s">
        <v>1981</v>
      </c>
      <c r="CV564" s="497" t="s">
        <v>1982</v>
      </c>
      <c r="CX564" s="543">
        <v>1</v>
      </c>
    </row>
    <row r="565" spans="91:102" ht="21" customHeight="1">
      <c r="CM565" s="494"/>
      <c r="CN565" s="496" t="s">
        <v>2232</v>
      </c>
      <c r="CO565" s="496" t="s">
        <v>8</v>
      </c>
      <c r="CP565" s="496" t="s">
        <v>689</v>
      </c>
      <c r="CQ565" s="496" t="s">
        <v>2233</v>
      </c>
      <c r="CR565" s="496" t="s">
        <v>2233</v>
      </c>
      <c r="CS565" s="496" t="s">
        <v>1554</v>
      </c>
      <c r="CT565" s="496" t="s">
        <v>1555</v>
      </c>
      <c r="CU565" s="496" t="s">
        <v>1981</v>
      </c>
      <c r="CV565" s="497" t="s">
        <v>1982</v>
      </c>
      <c r="CX565" s="543">
        <v>1</v>
      </c>
    </row>
    <row r="566" spans="91:102" ht="21" customHeight="1">
      <c r="CM566" s="494"/>
      <c r="CN566" s="496" t="s">
        <v>2234</v>
      </c>
      <c r="CO566" s="496" t="s">
        <v>8</v>
      </c>
      <c r="CP566" s="496" t="s">
        <v>689</v>
      </c>
      <c r="CQ566" s="496" t="s">
        <v>2235</v>
      </c>
      <c r="CR566" s="496" t="s">
        <v>2235</v>
      </c>
      <c r="CS566" s="496" t="s">
        <v>1554</v>
      </c>
      <c r="CT566" s="496" t="s">
        <v>1555</v>
      </c>
      <c r="CU566" s="496" t="s">
        <v>1981</v>
      </c>
      <c r="CV566" s="497" t="s">
        <v>1982</v>
      </c>
      <c r="CX566" s="543">
        <v>1</v>
      </c>
    </row>
    <row r="567" spans="91:102" ht="21" customHeight="1">
      <c r="CM567" s="494"/>
      <c r="CN567" s="496" t="s">
        <v>2236</v>
      </c>
      <c r="CO567" s="496" t="s">
        <v>8</v>
      </c>
      <c r="CP567" s="496" t="s">
        <v>689</v>
      </c>
      <c r="CQ567" s="496" t="s">
        <v>2237</v>
      </c>
      <c r="CR567" s="496" t="s">
        <v>2237</v>
      </c>
      <c r="CS567" s="496" t="s">
        <v>1554</v>
      </c>
      <c r="CT567" s="496" t="s">
        <v>1555</v>
      </c>
      <c r="CU567" s="496" t="s">
        <v>1981</v>
      </c>
      <c r="CV567" s="497" t="s">
        <v>1982</v>
      </c>
      <c r="CX567" s="543">
        <v>1</v>
      </c>
    </row>
    <row r="568" spans="91:102" ht="21" customHeight="1">
      <c r="CM568" s="494"/>
      <c r="CN568" s="496" t="s">
        <v>2238</v>
      </c>
      <c r="CO568" s="496" t="s">
        <v>8</v>
      </c>
      <c r="CP568" s="496" t="s">
        <v>689</v>
      </c>
      <c r="CQ568" s="496" t="s">
        <v>2239</v>
      </c>
      <c r="CR568" s="496" t="s">
        <v>2239</v>
      </c>
      <c r="CS568" s="496" t="s">
        <v>1554</v>
      </c>
      <c r="CT568" s="496" t="s">
        <v>1555</v>
      </c>
      <c r="CU568" s="496" t="s">
        <v>1981</v>
      </c>
      <c r="CV568" s="497" t="s">
        <v>1982</v>
      </c>
      <c r="CX568" s="543">
        <v>1</v>
      </c>
    </row>
    <row r="569" spans="91:102" ht="21" customHeight="1">
      <c r="CM569" s="494"/>
      <c r="CN569" s="496" t="s">
        <v>2240</v>
      </c>
      <c r="CO569" s="496" t="s">
        <v>8</v>
      </c>
      <c r="CP569" s="496" t="s">
        <v>689</v>
      </c>
      <c r="CQ569" s="496" t="s">
        <v>2241</v>
      </c>
      <c r="CR569" s="496" t="s">
        <v>2241</v>
      </c>
      <c r="CS569" s="496" t="s">
        <v>1554</v>
      </c>
      <c r="CT569" s="496" t="s">
        <v>1555</v>
      </c>
      <c r="CU569" s="496" t="s">
        <v>1981</v>
      </c>
      <c r="CV569" s="497" t="s">
        <v>1982</v>
      </c>
      <c r="CX569" s="543">
        <v>1</v>
      </c>
    </row>
    <row r="570" spans="91:102" ht="21" customHeight="1">
      <c r="CM570" s="494"/>
      <c r="CN570" s="496" t="s">
        <v>2242</v>
      </c>
      <c r="CO570" s="496" t="s">
        <v>8</v>
      </c>
      <c r="CP570" s="496" t="s">
        <v>689</v>
      </c>
      <c r="CQ570" s="496" t="s">
        <v>2243</v>
      </c>
      <c r="CR570" s="496" t="s">
        <v>2243</v>
      </c>
      <c r="CS570" s="496" t="s">
        <v>1554</v>
      </c>
      <c r="CT570" s="496" t="s">
        <v>1555</v>
      </c>
      <c r="CU570" s="496" t="s">
        <v>1981</v>
      </c>
      <c r="CV570" s="497" t="s">
        <v>1982</v>
      </c>
      <c r="CX570" s="543">
        <v>1</v>
      </c>
    </row>
    <row r="571" spans="91:102" ht="21" customHeight="1">
      <c r="CM571" s="494"/>
      <c r="CN571" s="496" t="s">
        <v>2244</v>
      </c>
      <c r="CO571" s="496" t="s">
        <v>8</v>
      </c>
      <c r="CP571" s="496" t="s">
        <v>689</v>
      </c>
      <c r="CQ571" s="496" t="s">
        <v>2245</v>
      </c>
      <c r="CR571" s="496" t="s">
        <v>2245</v>
      </c>
      <c r="CS571" s="496" t="s">
        <v>1554</v>
      </c>
      <c r="CT571" s="496" t="s">
        <v>1555</v>
      </c>
      <c r="CU571" s="496" t="s">
        <v>1981</v>
      </c>
      <c r="CV571" s="497" t="s">
        <v>1982</v>
      </c>
      <c r="CX571" s="543">
        <v>1</v>
      </c>
    </row>
    <row r="572" spans="91:102" ht="21" customHeight="1">
      <c r="CM572" s="494"/>
      <c r="CN572" s="496" t="s">
        <v>2246</v>
      </c>
      <c r="CO572" s="496" t="s">
        <v>8</v>
      </c>
      <c r="CP572" s="496" t="s">
        <v>689</v>
      </c>
      <c r="CQ572" s="496" t="s">
        <v>2247</v>
      </c>
      <c r="CR572" s="496" t="s">
        <v>2247</v>
      </c>
      <c r="CS572" s="496" t="s">
        <v>1554</v>
      </c>
      <c r="CT572" s="496" t="s">
        <v>1555</v>
      </c>
      <c r="CU572" s="496" t="s">
        <v>1981</v>
      </c>
      <c r="CV572" s="497" t="s">
        <v>1982</v>
      </c>
      <c r="CX572" s="543">
        <v>1</v>
      </c>
    </row>
    <row r="573" spans="91:102" ht="21" customHeight="1">
      <c r="CM573" s="494"/>
      <c r="CN573" s="496" t="s">
        <v>2248</v>
      </c>
      <c r="CO573" s="496" t="s">
        <v>8</v>
      </c>
      <c r="CP573" s="496" t="s">
        <v>689</v>
      </c>
      <c r="CQ573" s="496" t="s">
        <v>2249</v>
      </c>
      <c r="CR573" s="496" t="s">
        <v>2249</v>
      </c>
      <c r="CS573" s="496" t="s">
        <v>1554</v>
      </c>
      <c r="CT573" s="496" t="s">
        <v>1555</v>
      </c>
      <c r="CU573" s="496" t="s">
        <v>1981</v>
      </c>
      <c r="CV573" s="497" t="s">
        <v>1982</v>
      </c>
      <c r="CX573" s="543">
        <v>1</v>
      </c>
    </row>
    <row r="574" spans="91:102" ht="21" customHeight="1">
      <c r="CM574" s="494"/>
      <c r="CN574" s="496" t="s">
        <v>2250</v>
      </c>
      <c r="CO574" s="496" t="s">
        <v>8</v>
      </c>
      <c r="CP574" s="496" t="s">
        <v>689</v>
      </c>
      <c r="CQ574" s="496" t="s">
        <v>2251</v>
      </c>
      <c r="CR574" s="496" t="s">
        <v>2251</v>
      </c>
      <c r="CS574" s="496" t="s">
        <v>1554</v>
      </c>
      <c r="CT574" s="496" t="s">
        <v>1555</v>
      </c>
      <c r="CU574" s="496" t="s">
        <v>1981</v>
      </c>
      <c r="CV574" s="497" t="s">
        <v>1982</v>
      </c>
      <c r="CX574" s="543">
        <v>1</v>
      </c>
    </row>
    <row r="575" spans="91:102" ht="21" customHeight="1">
      <c r="CM575" s="494"/>
      <c r="CN575" s="496" t="s">
        <v>2252</v>
      </c>
      <c r="CO575" s="496" t="s">
        <v>8</v>
      </c>
      <c r="CP575" s="496" t="s">
        <v>689</v>
      </c>
      <c r="CQ575" s="496" t="s">
        <v>2253</v>
      </c>
      <c r="CR575" s="496" t="s">
        <v>2253</v>
      </c>
      <c r="CS575" s="496" t="s">
        <v>1554</v>
      </c>
      <c r="CT575" s="496" t="s">
        <v>1555</v>
      </c>
      <c r="CU575" s="496" t="s">
        <v>1981</v>
      </c>
      <c r="CV575" s="497" t="s">
        <v>1982</v>
      </c>
      <c r="CX575" s="543">
        <v>1</v>
      </c>
    </row>
    <row r="576" spans="91:102" ht="21" customHeight="1">
      <c r="CM576" s="494"/>
      <c r="CN576" s="496" t="s">
        <v>2254</v>
      </c>
      <c r="CO576" s="496" t="s">
        <v>8</v>
      </c>
      <c r="CP576" s="496" t="s">
        <v>689</v>
      </c>
      <c r="CQ576" s="496" t="s">
        <v>2255</v>
      </c>
      <c r="CR576" s="496" t="s">
        <v>2255</v>
      </c>
      <c r="CS576" s="496" t="s">
        <v>1554</v>
      </c>
      <c r="CT576" s="496" t="s">
        <v>1555</v>
      </c>
      <c r="CU576" s="496" t="s">
        <v>1981</v>
      </c>
      <c r="CV576" s="497" t="s">
        <v>1982</v>
      </c>
      <c r="CX576" s="543">
        <v>1</v>
      </c>
    </row>
    <row r="577" spans="91:102" ht="21" customHeight="1">
      <c r="CM577" s="494"/>
      <c r="CN577" s="496" t="s">
        <v>2256</v>
      </c>
      <c r="CO577" s="496" t="s">
        <v>8</v>
      </c>
      <c r="CP577" s="496" t="s">
        <v>689</v>
      </c>
      <c r="CQ577" s="496" t="s">
        <v>2257</v>
      </c>
      <c r="CR577" s="496" t="s">
        <v>2257</v>
      </c>
      <c r="CS577" s="496" t="s">
        <v>1554</v>
      </c>
      <c r="CT577" s="496" t="s">
        <v>1555</v>
      </c>
      <c r="CU577" s="496" t="s">
        <v>1981</v>
      </c>
      <c r="CV577" s="497" t="s">
        <v>1982</v>
      </c>
      <c r="CX577" s="543">
        <v>1</v>
      </c>
    </row>
    <row r="578" spans="91:102" ht="21" customHeight="1">
      <c r="CM578" s="494"/>
      <c r="CN578" s="496" t="s">
        <v>2258</v>
      </c>
      <c r="CO578" s="496" t="s">
        <v>8</v>
      </c>
      <c r="CP578" s="496" t="s">
        <v>689</v>
      </c>
      <c r="CQ578" s="496" t="s">
        <v>2259</v>
      </c>
      <c r="CR578" s="496" t="s">
        <v>2259</v>
      </c>
      <c r="CS578" s="496" t="s">
        <v>1554</v>
      </c>
      <c r="CT578" s="496" t="s">
        <v>1555</v>
      </c>
      <c r="CU578" s="496" t="s">
        <v>1981</v>
      </c>
      <c r="CV578" s="497" t="s">
        <v>1982</v>
      </c>
      <c r="CX578" s="543">
        <v>1</v>
      </c>
    </row>
    <row r="579" spans="91:102" ht="21" customHeight="1">
      <c r="CM579" s="494"/>
      <c r="CN579" s="496" t="s">
        <v>2260</v>
      </c>
      <c r="CO579" s="496" t="s">
        <v>8</v>
      </c>
      <c r="CP579" s="496" t="s">
        <v>689</v>
      </c>
      <c r="CQ579" s="496" t="s">
        <v>2261</v>
      </c>
      <c r="CR579" s="496" t="s">
        <v>2261</v>
      </c>
      <c r="CS579" s="496" t="s">
        <v>1554</v>
      </c>
      <c r="CT579" s="496" t="s">
        <v>1555</v>
      </c>
      <c r="CU579" s="496" t="s">
        <v>1981</v>
      </c>
      <c r="CV579" s="497" t="s">
        <v>1982</v>
      </c>
      <c r="CX579" s="543">
        <v>1</v>
      </c>
    </row>
    <row r="580" spans="91:102" ht="21" customHeight="1">
      <c r="CM580" s="494"/>
      <c r="CN580" s="496" t="s">
        <v>2262</v>
      </c>
      <c r="CO580" s="496" t="s">
        <v>8</v>
      </c>
      <c r="CP580" s="496" t="s">
        <v>689</v>
      </c>
      <c r="CQ580" s="496" t="s">
        <v>2263</v>
      </c>
      <c r="CR580" s="496" t="s">
        <v>2263</v>
      </c>
      <c r="CS580" s="496" t="s">
        <v>1554</v>
      </c>
      <c r="CT580" s="496" t="s">
        <v>1555</v>
      </c>
      <c r="CU580" s="496" t="s">
        <v>1981</v>
      </c>
      <c r="CV580" s="497" t="s">
        <v>1982</v>
      </c>
      <c r="CX580" s="543">
        <v>1</v>
      </c>
    </row>
    <row r="581" spans="91:102" ht="21" customHeight="1">
      <c r="CM581" s="494"/>
      <c r="CN581" s="496" t="s">
        <v>2264</v>
      </c>
      <c r="CO581" s="496" t="s">
        <v>8</v>
      </c>
      <c r="CP581" s="496" t="s">
        <v>689</v>
      </c>
      <c r="CQ581" s="496" t="s">
        <v>2265</v>
      </c>
      <c r="CR581" s="496" t="s">
        <v>2265</v>
      </c>
      <c r="CS581" s="496" t="s">
        <v>1554</v>
      </c>
      <c r="CT581" s="496" t="s">
        <v>1555</v>
      </c>
      <c r="CU581" s="496" t="s">
        <v>1981</v>
      </c>
      <c r="CV581" s="497" t="s">
        <v>1982</v>
      </c>
      <c r="CX581" s="543">
        <v>1</v>
      </c>
    </row>
    <row r="582" spans="91:102" ht="21" customHeight="1">
      <c r="CM582" s="494"/>
      <c r="CN582" s="496" t="s">
        <v>2266</v>
      </c>
      <c r="CO582" s="496" t="s">
        <v>8</v>
      </c>
      <c r="CP582" s="496" t="s">
        <v>689</v>
      </c>
      <c r="CQ582" s="496" t="s">
        <v>2267</v>
      </c>
      <c r="CR582" s="496" t="s">
        <v>2267</v>
      </c>
      <c r="CS582" s="496" t="s">
        <v>1554</v>
      </c>
      <c r="CT582" s="496" t="s">
        <v>1555</v>
      </c>
      <c r="CU582" s="496" t="s">
        <v>1981</v>
      </c>
      <c r="CV582" s="497" t="s">
        <v>1982</v>
      </c>
      <c r="CX582" s="543">
        <v>1</v>
      </c>
    </row>
    <row r="583" spans="91:102" ht="21" customHeight="1">
      <c r="CM583" s="494"/>
      <c r="CN583" s="496" t="s">
        <v>2268</v>
      </c>
      <c r="CO583" s="496" t="s">
        <v>8</v>
      </c>
      <c r="CP583" s="496" t="s">
        <v>689</v>
      </c>
      <c r="CQ583" s="496" t="s">
        <v>2269</v>
      </c>
      <c r="CR583" s="496" t="s">
        <v>2269</v>
      </c>
      <c r="CS583" s="496" t="s">
        <v>1554</v>
      </c>
      <c r="CT583" s="496" t="s">
        <v>1555</v>
      </c>
      <c r="CU583" s="496" t="s">
        <v>1981</v>
      </c>
      <c r="CV583" s="497" t="s">
        <v>1982</v>
      </c>
      <c r="CX583" s="543">
        <v>1</v>
      </c>
    </row>
    <row r="584" spans="91:102" ht="21" customHeight="1">
      <c r="CM584" s="494"/>
      <c r="CN584" s="496" t="s">
        <v>2270</v>
      </c>
      <c r="CO584" s="496" t="s">
        <v>8</v>
      </c>
      <c r="CP584" s="496" t="s">
        <v>689</v>
      </c>
      <c r="CQ584" s="496" t="s">
        <v>2271</v>
      </c>
      <c r="CR584" s="496" t="s">
        <v>2271</v>
      </c>
      <c r="CS584" s="496" t="s">
        <v>1554</v>
      </c>
      <c r="CT584" s="496" t="s">
        <v>1555</v>
      </c>
      <c r="CU584" s="496" t="s">
        <v>1981</v>
      </c>
      <c r="CV584" s="497" t="s">
        <v>1982</v>
      </c>
      <c r="CX584" s="543">
        <v>1</v>
      </c>
    </row>
    <row r="585" spans="91:102" ht="21" customHeight="1">
      <c r="CM585" s="494"/>
      <c r="CN585" s="496" t="s">
        <v>2272</v>
      </c>
      <c r="CO585" s="496" t="s">
        <v>8</v>
      </c>
      <c r="CP585" s="496" t="s">
        <v>689</v>
      </c>
      <c r="CQ585" s="496" t="s">
        <v>2273</v>
      </c>
      <c r="CR585" s="496" t="s">
        <v>2273</v>
      </c>
      <c r="CS585" s="496" t="s">
        <v>1554</v>
      </c>
      <c r="CT585" s="496" t="s">
        <v>1555</v>
      </c>
      <c r="CU585" s="496" t="s">
        <v>1981</v>
      </c>
      <c r="CV585" s="497" t="s">
        <v>1982</v>
      </c>
      <c r="CX585" s="543">
        <v>1</v>
      </c>
    </row>
    <row r="586" spans="91:102" ht="21" customHeight="1">
      <c r="CM586" s="494"/>
      <c r="CN586" s="496" t="s">
        <v>2274</v>
      </c>
      <c r="CO586" s="496" t="s">
        <v>8</v>
      </c>
      <c r="CP586" s="496" t="s">
        <v>689</v>
      </c>
      <c r="CQ586" s="496" t="s">
        <v>2275</v>
      </c>
      <c r="CR586" s="496" t="s">
        <v>2275</v>
      </c>
      <c r="CS586" s="496" t="s">
        <v>1554</v>
      </c>
      <c r="CT586" s="496" t="s">
        <v>1555</v>
      </c>
      <c r="CU586" s="496" t="s">
        <v>1981</v>
      </c>
      <c r="CV586" s="497" t="s">
        <v>1982</v>
      </c>
      <c r="CX586" s="543">
        <v>1</v>
      </c>
    </row>
    <row r="587" spans="91:102" ht="21" customHeight="1">
      <c r="CM587" s="494"/>
      <c r="CN587" s="496" t="s">
        <v>2276</v>
      </c>
      <c r="CO587" s="496" t="s">
        <v>8</v>
      </c>
      <c r="CP587" s="496" t="s">
        <v>689</v>
      </c>
      <c r="CQ587" s="496" t="s">
        <v>2277</v>
      </c>
      <c r="CR587" s="496" t="s">
        <v>2277</v>
      </c>
      <c r="CS587" s="496" t="s">
        <v>1554</v>
      </c>
      <c r="CT587" s="496" t="s">
        <v>1555</v>
      </c>
      <c r="CU587" s="496" t="s">
        <v>1981</v>
      </c>
      <c r="CV587" s="497" t="s">
        <v>1982</v>
      </c>
      <c r="CX587" s="543">
        <v>1</v>
      </c>
    </row>
    <row r="588" spans="91:102" ht="21" customHeight="1">
      <c r="CM588" s="494"/>
      <c r="CN588" s="496" t="s">
        <v>2278</v>
      </c>
      <c r="CO588" s="496" t="s">
        <v>8</v>
      </c>
      <c r="CP588" s="496" t="s">
        <v>689</v>
      </c>
      <c r="CQ588" s="496" t="s">
        <v>1021</v>
      </c>
      <c r="CR588" s="496" t="s">
        <v>1021</v>
      </c>
      <c r="CS588" s="496" t="s">
        <v>1554</v>
      </c>
      <c r="CT588" s="496" t="s">
        <v>1555</v>
      </c>
      <c r="CU588" s="496" t="s">
        <v>1981</v>
      </c>
      <c r="CV588" s="497" t="s">
        <v>1982</v>
      </c>
      <c r="CX588" s="543">
        <v>1</v>
      </c>
    </row>
    <row r="589" spans="91:102" ht="21" customHeight="1">
      <c r="CM589" s="494"/>
      <c r="CN589" s="496" t="s">
        <v>2279</v>
      </c>
      <c r="CO589" s="496" t="s">
        <v>8</v>
      </c>
      <c r="CP589" s="496" t="s">
        <v>689</v>
      </c>
      <c r="CQ589" s="496" t="s">
        <v>2280</v>
      </c>
      <c r="CR589" s="496" t="s">
        <v>2280</v>
      </c>
      <c r="CS589" s="496" t="s">
        <v>1554</v>
      </c>
      <c r="CT589" s="496" t="s">
        <v>1555</v>
      </c>
      <c r="CU589" s="496" t="s">
        <v>1981</v>
      </c>
      <c r="CV589" s="497" t="s">
        <v>1982</v>
      </c>
      <c r="CX589" s="543">
        <v>1</v>
      </c>
    </row>
    <row r="590" spans="91:102" ht="21" customHeight="1">
      <c r="CM590" s="494"/>
      <c r="CN590" s="496" t="s">
        <v>2281</v>
      </c>
      <c r="CO590" s="496" t="s">
        <v>8</v>
      </c>
      <c r="CP590" s="496" t="s">
        <v>689</v>
      </c>
      <c r="CQ590" s="496" t="s">
        <v>2282</v>
      </c>
      <c r="CR590" s="496" t="s">
        <v>2282</v>
      </c>
      <c r="CS590" s="496" t="s">
        <v>1554</v>
      </c>
      <c r="CT590" s="496" t="s">
        <v>1555</v>
      </c>
      <c r="CU590" s="496" t="s">
        <v>1981</v>
      </c>
      <c r="CV590" s="497" t="s">
        <v>1982</v>
      </c>
      <c r="CX590" s="543">
        <v>1</v>
      </c>
    </row>
    <row r="591" spans="91:102" ht="21" customHeight="1">
      <c r="CM591" s="494"/>
      <c r="CN591" s="496" t="s">
        <v>2283</v>
      </c>
      <c r="CO591" s="496" t="s">
        <v>8</v>
      </c>
      <c r="CP591" s="496" t="s">
        <v>689</v>
      </c>
      <c r="CQ591" s="496" t="s">
        <v>2284</v>
      </c>
      <c r="CR591" s="496" t="s">
        <v>2284</v>
      </c>
      <c r="CS591" s="496" t="s">
        <v>1554</v>
      </c>
      <c r="CT591" s="496" t="s">
        <v>1555</v>
      </c>
      <c r="CU591" s="496" t="s">
        <v>1981</v>
      </c>
      <c r="CV591" s="497" t="s">
        <v>1982</v>
      </c>
      <c r="CX591" s="543">
        <v>1</v>
      </c>
    </row>
    <row r="592" spans="91:102" ht="21" customHeight="1">
      <c r="CM592" s="494"/>
      <c r="CN592" s="496" t="s">
        <v>2285</v>
      </c>
      <c r="CO592" s="496" t="s">
        <v>8</v>
      </c>
      <c r="CP592" s="496" t="s">
        <v>689</v>
      </c>
      <c r="CQ592" s="496" t="s">
        <v>2286</v>
      </c>
      <c r="CR592" s="496" t="s">
        <v>2286</v>
      </c>
      <c r="CS592" s="496" t="s">
        <v>1554</v>
      </c>
      <c r="CT592" s="496" t="s">
        <v>1555</v>
      </c>
      <c r="CU592" s="496" t="s">
        <v>1981</v>
      </c>
      <c r="CV592" s="497" t="s">
        <v>1982</v>
      </c>
      <c r="CX592" s="543">
        <v>1</v>
      </c>
    </row>
    <row r="593" spans="91:102" ht="21" customHeight="1">
      <c r="CM593" s="494"/>
      <c r="CN593" s="496" t="s">
        <v>2287</v>
      </c>
      <c r="CO593" s="496" t="s">
        <v>8</v>
      </c>
      <c r="CP593" s="496" t="s">
        <v>689</v>
      </c>
      <c r="CQ593" s="496" t="s">
        <v>1022</v>
      </c>
      <c r="CR593" s="496" t="s">
        <v>1022</v>
      </c>
      <c r="CS593" s="496" t="s">
        <v>1085</v>
      </c>
      <c r="CT593" s="496" t="s">
        <v>2063</v>
      </c>
      <c r="CU593" s="496" t="s">
        <v>1087</v>
      </c>
      <c r="CV593" s="497" t="s">
        <v>1088</v>
      </c>
      <c r="CX593" s="543">
        <v>1</v>
      </c>
    </row>
    <row r="594" spans="91:102" ht="21" customHeight="1">
      <c r="CM594" s="494"/>
      <c r="CN594" s="496" t="s">
        <v>2288</v>
      </c>
      <c r="CO594" s="496" t="s">
        <v>8</v>
      </c>
      <c r="CP594" s="496" t="s">
        <v>689</v>
      </c>
      <c r="CQ594" s="496" t="s">
        <v>2289</v>
      </c>
      <c r="CR594" s="496" t="s">
        <v>2289</v>
      </c>
      <c r="CS594" s="496" t="s">
        <v>1554</v>
      </c>
      <c r="CT594" s="496" t="s">
        <v>1555</v>
      </c>
      <c r="CU594" s="496" t="s">
        <v>1981</v>
      </c>
      <c r="CV594" s="497" t="s">
        <v>1982</v>
      </c>
      <c r="CX594" s="543">
        <v>1</v>
      </c>
    </row>
    <row r="595" spans="91:102" ht="21" customHeight="1">
      <c r="CM595" s="494"/>
      <c r="CN595" s="496" t="s">
        <v>2290</v>
      </c>
      <c r="CO595" s="496" t="s">
        <v>8</v>
      </c>
      <c r="CP595" s="496" t="s">
        <v>689</v>
      </c>
      <c r="CQ595" s="496" t="s">
        <v>2291</v>
      </c>
      <c r="CR595" s="496" t="s">
        <v>2291</v>
      </c>
      <c r="CS595" s="496" t="s">
        <v>1554</v>
      </c>
      <c r="CT595" s="496" t="s">
        <v>1555</v>
      </c>
      <c r="CU595" s="496" t="s">
        <v>1981</v>
      </c>
      <c r="CV595" s="497" t="s">
        <v>1982</v>
      </c>
      <c r="CX595" s="543">
        <v>1</v>
      </c>
    </row>
    <row r="596" spans="91:102" ht="21" customHeight="1">
      <c r="CM596" s="494"/>
      <c r="CN596" s="496" t="s">
        <v>2292</v>
      </c>
      <c r="CO596" s="496" t="s">
        <v>8</v>
      </c>
      <c r="CP596" s="496" t="s">
        <v>689</v>
      </c>
      <c r="CQ596" s="496" t="s">
        <v>2293</v>
      </c>
      <c r="CR596" s="496" t="s">
        <v>2293</v>
      </c>
      <c r="CS596" s="496" t="s">
        <v>1554</v>
      </c>
      <c r="CT596" s="496" t="s">
        <v>1555</v>
      </c>
      <c r="CU596" s="496" t="s">
        <v>1981</v>
      </c>
      <c r="CV596" s="497" t="s">
        <v>1982</v>
      </c>
      <c r="CX596" s="543">
        <v>1</v>
      </c>
    </row>
    <row r="597" spans="91:102" ht="21" customHeight="1">
      <c r="CM597" s="494"/>
      <c r="CN597" s="496" t="s">
        <v>2294</v>
      </c>
      <c r="CO597" s="496" t="s">
        <v>8</v>
      </c>
      <c r="CP597" s="496" t="s">
        <v>689</v>
      </c>
      <c r="CQ597" s="496" t="s">
        <v>2295</v>
      </c>
      <c r="CR597" s="496" t="s">
        <v>2295</v>
      </c>
      <c r="CS597" s="496" t="s">
        <v>1554</v>
      </c>
      <c r="CT597" s="496" t="s">
        <v>1555</v>
      </c>
      <c r="CU597" s="496" t="s">
        <v>1981</v>
      </c>
      <c r="CV597" s="497" t="s">
        <v>1982</v>
      </c>
      <c r="CX597" s="543">
        <v>1</v>
      </c>
    </row>
    <row r="598" spans="91:102" ht="21" customHeight="1">
      <c r="CM598" s="494"/>
      <c r="CN598" s="496" t="s">
        <v>2296</v>
      </c>
      <c r="CO598" s="496" t="s">
        <v>8</v>
      </c>
      <c r="CP598" s="496" t="s">
        <v>689</v>
      </c>
      <c r="CQ598" s="496" t="s">
        <v>2297</v>
      </c>
      <c r="CR598" s="496" t="s">
        <v>2297</v>
      </c>
      <c r="CS598" s="496" t="s">
        <v>1554</v>
      </c>
      <c r="CT598" s="496" t="s">
        <v>1555</v>
      </c>
      <c r="CU598" s="496" t="s">
        <v>1981</v>
      </c>
      <c r="CV598" s="497" t="s">
        <v>1982</v>
      </c>
      <c r="CX598" s="543">
        <v>1</v>
      </c>
    </row>
    <row r="599" spans="91:102" ht="21" customHeight="1">
      <c r="CM599" s="494"/>
      <c r="CN599" s="496" t="s">
        <v>2298</v>
      </c>
      <c r="CO599" s="496" t="s">
        <v>8</v>
      </c>
      <c r="CP599" s="496" t="s">
        <v>689</v>
      </c>
      <c r="CQ599" s="496" t="s">
        <v>2299</v>
      </c>
      <c r="CR599" s="496" t="s">
        <v>2299</v>
      </c>
      <c r="CS599" s="496" t="s">
        <v>1554</v>
      </c>
      <c r="CT599" s="496" t="s">
        <v>1555</v>
      </c>
      <c r="CU599" s="496" t="s">
        <v>1981</v>
      </c>
      <c r="CV599" s="497" t="s">
        <v>1982</v>
      </c>
      <c r="CX599" s="543">
        <v>1</v>
      </c>
    </row>
    <row r="600" spans="91:102" ht="21" customHeight="1">
      <c r="CM600" s="494"/>
      <c r="CN600" s="496" t="s">
        <v>2300</v>
      </c>
      <c r="CO600" s="496" t="s">
        <v>8</v>
      </c>
      <c r="CP600" s="496" t="s">
        <v>689</v>
      </c>
      <c r="CQ600" s="496" t="s">
        <v>2301</v>
      </c>
      <c r="CR600" s="496" t="s">
        <v>2301</v>
      </c>
      <c r="CS600" s="496" t="s">
        <v>1554</v>
      </c>
      <c r="CT600" s="496" t="s">
        <v>1555</v>
      </c>
      <c r="CU600" s="496" t="s">
        <v>1981</v>
      </c>
      <c r="CV600" s="497" t="s">
        <v>1982</v>
      </c>
      <c r="CX600" s="543">
        <v>1</v>
      </c>
    </row>
    <row r="601" spans="91:102" ht="21" customHeight="1">
      <c r="CM601" s="494"/>
      <c r="CN601" s="496" t="s">
        <v>2302</v>
      </c>
      <c r="CO601" s="496" t="s">
        <v>8</v>
      </c>
      <c r="CP601" s="496" t="s">
        <v>689</v>
      </c>
      <c r="CQ601" s="496" t="s">
        <v>2303</v>
      </c>
      <c r="CR601" s="496" t="s">
        <v>2303</v>
      </c>
      <c r="CS601" s="496" t="s">
        <v>1554</v>
      </c>
      <c r="CT601" s="496" t="s">
        <v>1555</v>
      </c>
      <c r="CU601" s="496" t="s">
        <v>1981</v>
      </c>
      <c r="CV601" s="497" t="s">
        <v>1982</v>
      </c>
      <c r="CX601" s="543">
        <v>1</v>
      </c>
    </row>
    <row r="602" spans="91:102" ht="21" customHeight="1">
      <c r="CM602" s="494"/>
      <c r="CN602" s="496" t="s">
        <v>2304</v>
      </c>
      <c r="CO602" s="496" t="s">
        <v>8</v>
      </c>
      <c r="CP602" s="496" t="s">
        <v>689</v>
      </c>
      <c r="CQ602" s="496" t="s">
        <v>2305</v>
      </c>
      <c r="CR602" s="496" t="s">
        <v>2305</v>
      </c>
      <c r="CS602" s="496" t="s">
        <v>1554</v>
      </c>
      <c r="CT602" s="496" t="s">
        <v>1555</v>
      </c>
      <c r="CU602" s="496" t="s">
        <v>1981</v>
      </c>
      <c r="CV602" s="497" t="s">
        <v>1982</v>
      </c>
      <c r="CX602" s="543">
        <v>1</v>
      </c>
    </row>
    <row r="603" spans="91:102" ht="21" customHeight="1">
      <c r="CM603" s="494"/>
      <c r="CN603" s="496" t="s">
        <v>2306</v>
      </c>
      <c r="CO603" s="496" t="s">
        <v>8</v>
      </c>
      <c r="CP603" s="496" t="s">
        <v>689</v>
      </c>
      <c r="CQ603" s="496" t="s">
        <v>2307</v>
      </c>
      <c r="CR603" s="496" t="s">
        <v>2307</v>
      </c>
      <c r="CS603" s="496" t="s">
        <v>1554</v>
      </c>
      <c r="CT603" s="496" t="s">
        <v>1555</v>
      </c>
      <c r="CU603" s="496" t="s">
        <v>1981</v>
      </c>
      <c r="CV603" s="497" t="s">
        <v>1982</v>
      </c>
      <c r="CX603" s="543">
        <v>1</v>
      </c>
    </row>
    <row r="604" spans="91:102" ht="21" customHeight="1">
      <c r="CM604" s="494"/>
      <c r="CN604" s="496" t="s">
        <v>2308</v>
      </c>
      <c r="CO604" s="496" t="s">
        <v>8</v>
      </c>
      <c r="CP604" s="496" t="s">
        <v>689</v>
      </c>
      <c r="CQ604" s="496" t="s">
        <v>2309</v>
      </c>
      <c r="CR604" s="496" t="s">
        <v>2309</v>
      </c>
      <c r="CS604" s="496" t="s">
        <v>1554</v>
      </c>
      <c r="CT604" s="496" t="s">
        <v>1555</v>
      </c>
      <c r="CU604" s="496" t="s">
        <v>1981</v>
      </c>
      <c r="CV604" s="497" t="s">
        <v>1982</v>
      </c>
      <c r="CX604" s="543">
        <v>1</v>
      </c>
    </row>
    <row r="605" spans="91:102" ht="21" customHeight="1">
      <c r="CM605" s="494"/>
      <c r="CN605" s="496" t="s">
        <v>2310</v>
      </c>
      <c r="CO605" s="496" t="s">
        <v>8</v>
      </c>
      <c r="CP605" s="496" t="s">
        <v>689</v>
      </c>
      <c r="CQ605" s="496" t="s">
        <v>2311</v>
      </c>
      <c r="CR605" s="496" t="s">
        <v>2311</v>
      </c>
      <c r="CS605" s="496" t="s">
        <v>1554</v>
      </c>
      <c r="CT605" s="496" t="s">
        <v>1555</v>
      </c>
      <c r="CU605" s="496" t="s">
        <v>1981</v>
      </c>
      <c r="CV605" s="497" t="s">
        <v>1982</v>
      </c>
      <c r="CX605" s="543">
        <v>1</v>
      </c>
    </row>
    <row r="606" spans="91:102" ht="21" customHeight="1">
      <c r="CM606" s="494"/>
      <c r="CN606" s="496" t="s">
        <v>2312</v>
      </c>
      <c r="CO606" s="496" t="s">
        <v>8</v>
      </c>
      <c r="CP606" s="496" t="s">
        <v>689</v>
      </c>
      <c r="CQ606" s="496" t="s">
        <v>2313</v>
      </c>
      <c r="CR606" s="496" t="s">
        <v>2313</v>
      </c>
      <c r="CS606" s="496" t="s">
        <v>1554</v>
      </c>
      <c r="CT606" s="496" t="s">
        <v>1555</v>
      </c>
      <c r="CU606" s="496" t="s">
        <v>1981</v>
      </c>
      <c r="CV606" s="497" t="s">
        <v>1982</v>
      </c>
      <c r="CX606" s="543">
        <v>1</v>
      </c>
    </row>
    <row r="607" spans="91:102" ht="21" customHeight="1">
      <c r="CM607" s="494"/>
      <c r="CN607" s="496" t="s">
        <v>2314</v>
      </c>
      <c r="CO607" s="496" t="s">
        <v>8</v>
      </c>
      <c r="CP607" s="496" t="s">
        <v>689</v>
      </c>
      <c r="CQ607" s="496" t="s">
        <v>2315</v>
      </c>
      <c r="CR607" s="496" t="s">
        <v>2315</v>
      </c>
      <c r="CS607" s="496" t="s">
        <v>1554</v>
      </c>
      <c r="CT607" s="496" t="s">
        <v>1555</v>
      </c>
      <c r="CU607" s="496" t="s">
        <v>1981</v>
      </c>
      <c r="CV607" s="497" t="s">
        <v>1982</v>
      </c>
      <c r="CX607" s="543">
        <v>1</v>
      </c>
    </row>
    <row r="608" spans="91:102" ht="21" customHeight="1">
      <c r="CM608" s="494"/>
      <c r="CN608" s="496" t="s">
        <v>2316</v>
      </c>
      <c r="CO608" s="496" t="s">
        <v>8</v>
      </c>
      <c r="CP608" s="496" t="s">
        <v>689</v>
      </c>
      <c r="CQ608" s="496" t="s">
        <v>2317</v>
      </c>
      <c r="CR608" s="496" t="s">
        <v>2317</v>
      </c>
      <c r="CS608" s="496" t="s">
        <v>1554</v>
      </c>
      <c r="CT608" s="496" t="s">
        <v>1555</v>
      </c>
      <c r="CU608" s="496" t="s">
        <v>1981</v>
      </c>
      <c r="CV608" s="497" t="s">
        <v>1982</v>
      </c>
      <c r="CX608" s="543">
        <v>1</v>
      </c>
    </row>
    <row r="609" spans="91:102" ht="21" customHeight="1">
      <c r="CM609" s="494"/>
      <c r="CN609" s="496" t="s">
        <v>2318</v>
      </c>
      <c r="CO609" s="496" t="s">
        <v>8</v>
      </c>
      <c r="CP609" s="496" t="s">
        <v>689</v>
      </c>
      <c r="CQ609" s="496" t="s">
        <v>2319</v>
      </c>
      <c r="CR609" s="496" t="s">
        <v>2319</v>
      </c>
      <c r="CS609" s="496" t="s">
        <v>1554</v>
      </c>
      <c r="CT609" s="496" t="s">
        <v>1555</v>
      </c>
      <c r="CU609" s="496" t="s">
        <v>1981</v>
      </c>
      <c r="CV609" s="497" t="s">
        <v>1982</v>
      </c>
      <c r="CX609" s="543">
        <v>1</v>
      </c>
    </row>
    <row r="610" spans="91:102" ht="21" customHeight="1">
      <c r="CM610" s="494"/>
      <c r="CN610" s="496" t="s">
        <v>2320</v>
      </c>
      <c r="CO610" s="496" t="s">
        <v>8</v>
      </c>
      <c r="CP610" s="496" t="s">
        <v>689</v>
      </c>
      <c r="CQ610" s="496" t="s">
        <v>356</v>
      </c>
      <c r="CR610" s="496" t="s">
        <v>356</v>
      </c>
      <c r="CS610" s="496" t="s">
        <v>1151</v>
      </c>
      <c r="CT610" s="496" t="s">
        <v>1152</v>
      </c>
      <c r="CU610" s="496" t="s">
        <v>1087</v>
      </c>
      <c r="CV610" s="497" t="s">
        <v>1153</v>
      </c>
      <c r="CX610" s="543">
        <v>1</v>
      </c>
    </row>
    <row r="611" spans="91:102" ht="21" customHeight="1">
      <c r="CM611" s="494"/>
      <c r="CN611" s="496" t="s">
        <v>2321</v>
      </c>
      <c r="CO611" s="496" t="s">
        <v>8</v>
      </c>
      <c r="CP611" s="496" t="s">
        <v>689</v>
      </c>
      <c r="CQ611" s="496" t="s">
        <v>2322</v>
      </c>
      <c r="CR611" s="496" t="s">
        <v>2322</v>
      </c>
      <c r="CS611" s="496" t="s">
        <v>1554</v>
      </c>
      <c r="CT611" s="496" t="s">
        <v>1555</v>
      </c>
      <c r="CU611" s="496" t="s">
        <v>1981</v>
      </c>
      <c r="CV611" s="497" t="s">
        <v>1982</v>
      </c>
      <c r="CX611" s="543">
        <v>1</v>
      </c>
    </row>
    <row r="612" spans="91:102" ht="21" customHeight="1">
      <c r="CM612" s="494"/>
      <c r="CN612" s="496" t="s">
        <v>2323</v>
      </c>
      <c r="CO612" s="496" t="s">
        <v>8</v>
      </c>
      <c r="CP612" s="496" t="s">
        <v>689</v>
      </c>
      <c r="CQ612" s="496" t="s">
        <v>2324</v>
      </c>
      <c r="CR612" s="496" t="s">
        <v>2324</v>
      </c>
      <c r="CS612" s="496" t="s">
        <v>1554</v>
      </c>
      <c r="CT612" s="496" t="s">
        <v>1555</v>
      </c>
      <c r="CU612" s="496" t="s">
        <v>1981</v>
      </c>
      <c r="CV612" s="497" t="s">
        <v>1982</v>
      </c>
      <c r="CX612" s="543">
        <v>1</v>
      </c>
    </row>
    <row r="613" spans="91:102" ht="21" customHeight="1">
      <c r="CM613" s="494"/>
      <c r="CN613" s="496" t="s">
        <v>2325</v>
      </c>
      <c r="CO613" s="496" t="s">
        <v>8</v>
      </c>
      <c r="CP613" s="496" t="s">
        <v>689</v>
      </c>
      <c r="CQ613" s="496" t="s">
        <v>2326</v>
      </c>
      <c r="CR613" s="496" t="s">
        <v>2326</v>
      </c>
      <c r="CS613" s="496" t="s">
        <v>1554</v>
      </c>
      <c r="CT613" s="496" t="s">
        <v>1555</v>
      </c>
      <c r="CU613" s="496" t="s">
        <v>1981</v>
      </c>
      <c r="CV613" s="497" t="s">
        <v>1982</v>
      </c>
      <c r="CX613" s="543">
        <v>1</v>
      </c>
    </row>
    <row r="614" spans="91:102" ht="21" customHeight="1">
      <c r="CM614" s="494"/>
      <c r="CN614" s="496" t="s">
        <v>2327</v>
      </c>
      <c r="CO614" s="496" t="s">
        <v>8</v>
      </c>
      <c r="CP614" s="496" t="s">
        <v>689</v>
      </c>
      <c r="CQ614" s="496" t="s">
        <v>2328</v>
      </c>
      <c r="CR614" s="496" t="s">
        <v>2328</v>
      </c>
      <c r="CS614" s="496" t="s">
        <v>1554</v>
      </c>
      <c r="CT614" s="496" t="s">
        <v>1555</v>
      </c>
      <c r="CU614" s="496" t="s">
        <v>1981</v>
      </c>
      <c r="CV614" s="497" t="s">
        <v>1982</v>
      </c>
      <c r="CX614" s="543">
        <v>1</v>
      </c>
    </row>
    <row r="615" spans="91:102" ht="21" customHeight="1">
      <c r="CM615" s="494"/>
      <c r="CN615" s="496" t="s">
        <v>2329</v>
      </c>
      <c r="CO615" s="496" t="s">
        <v>8</v>
      </c>
      <c r="CP615" s="496" t="s">
        <v>689</v>
      </c>
      <c r="CQ615" s="496" t="s">
        <v>2330</v>
      </c>
      <c r="CR615" s="496" t="s">
        <v>2330</v>
      </c>
      <c r="CS615" s="496" t="s">
        <v>1554</v>
      </c>
      <c r="CT615" s="496" t="s">
        <v>1555</v>
      </c>
      <c r="CU615" s="496" t="s">
        <v>1981</v>
      </c>
      <c r="CV615" s="497" t="s">
        <v>1982</v>
      </c>
      <c r="CX615" s="543">
        <v>1</v>
      </c>
    </row>
    <row r="616" spans="91:102" ht="21" customHeight="1">
      <c r="CM616" s="494"/>
      <c r="CN616" s="496" t="s">
        <v>2331</v>
      </c>
      <c r="CO616" s="496" t="s">
        <v>8</v>
      </c>
      <c r="CP616" s="496" t="s">
        <v>689</v>
      </c>
      <c r="CQ616" s="496" t="s">
        <v>2332</v>
      </c>
      <c r="CR616" s="496" t="s">
        <v>2332</v>
      </c>
      <c r="CS616" s="496" t="s">
        <v>1554</v>
      </c>
      <c r="CT616" s="496" t="s">
        <v>1555</v>
      </c>
      <c r="CU616" s="496" t="s">
        <v>1981</v>
      </c>
      <c r="CV616" s="497" t="s">
        <v>1982</v>
      </c>
      <c r="CX616" s="543">
        <v>1</v>
      </c>
    </row>
    <row r="617" spans="91:102" ht="21" customHeight="1">
      <c r="CM617" s="494"/>
      <c r="CN617" s="496" t="s">
        <v>2333</v>
      </c>
      <c r="CO617" s="496" t="s">
        <v>8</v>
      </c>
      <c r="CP617" s="496" t="s">
        <v>689</v>
      </c>
      <c r="CQ617" s="496" t="s">
        <v>1023</v>
      </c>
      <c r="CR617" s="496" t="s">
        <v>1023</v>
      </c>
      <c r="CS617" s="496" t="s">
        <v>1554</v>
      </c>
      <c r="CT617" s="496" t="s">
        <v>1555</v>
      </c>
      <c r="CU617" s="496" t="s">
        <v>1981</v>
      </c>
      <c r="CV617" s="497" t="s">
        <v>1982</v>
      </c>
      <c r="CX617" s="543">
        <v>1</v>
      </c>
    </row>
    <row r="618" spans="91:102" ht="21" customHeight="1">
      <c r="CM618" s="494"/>
      <c r="CN618" s="496" t="s">
        <v>2334</v>
      </c>
      <c r="CO618" s="496" t="s">
        <v>8</v>
      </c>
      <c r="CP618" s="496" t="s">
        <v>689</v>
      </c>
      <c r="CQ618" s="496" t="s">
        <v>2335</v>
      </c>
      <c r="CR618" s="496" t="s">
        <v>2335</v>
      </c>
      <c r="CS618" s="496" t="s">
        <v>1554</v>
      </c>
      <c r="CT618" s="496" t="s">
        <v>1555</v>
      </c>
      <c r="CU618" s="496" t="s">
        <v>1981</v>
      </c>
      <c r="CV618" s="497" t="s">
        <v>1982</v>
      </c>
      <c r="CX618" s="543">
        <v>1</v>
      </c>
    </row>
    <row r="619" spans="91:102" ht="21" customHeight="1">
      <c r="CM619" s="494"/>
      <c r="CN619" s="496" t="s">
        <v>2336</v>
      </c>
      <c r="CO619" s="496" t="s">
        <v>8</v>
      </c>
      <c r="CP619" s="496" t="s">
        <v>689</v>
      </c>
      <c r="CQ619" s="496" t="s">
        <v>83</v>
      </c>
      <c r="CR619" s="496" t="s">
        <v>83</v>
      </c>
      <c r="CS619" s="496" t="s">
        <v>1554</v>
      </c>
      <c r="CT619" s="496" t="s">
        <v>5895</v>
      </c>
      <c r="CU619" s="496" t="s">
        <v>1981</v>
      </c>
      <c r="CV619" s="497" t="s">
        <v>1982</v>
      </c>
      <c r="CX619" s="543">
        <v>1</v>
      </c>
    </row>
    <row r="620" spans="91:102" ht="21" customHeight="1">
      <c r="CM620" s="494"/>
      <c r="CN620" s="496" t="s">
        <v>2337</v>
      </c>
      <c r="CO620" s="496" t="s">
        <v>8</v>
      </c>
      <c r="CP620" s="496" t="s">
        <v>689</v>
      </c>
      <c r="CQ620" s="496" t="s">
        <v>2338</v>
      </c>
      <c r="CR620" s="496" t="s">
        <v>2338</v>
      </c>
      <c r="CS620" s="496" t="s">
        <v>1554</v>
      </c>
      <c r="CT620" s="496" t="s">
        <v>1555</v>
      </c>
      <c r="CU620" s="496" t="s">
        <v>1981</v>
      </c>
      <c r="CV620" s="497" t="s">
        <v>1982</v>
      </c>
      <c r="CX620" s="543">
        <v>1</v>
      </c>
    </row>
    <row r="621" spans="91:102" ht="21" customHeight="1">
      <c r="CM621" s="494"/>
      <c r="CN621" s="496" t="s">
        <v>2339</v>
      </c>
      <c r="CO621" s="496" t="s">
        <v>8</v>
      </c>
      <c r="CP621" s="496" t="s">
        <v>689</v>
      </c>
      <c r="CQ621" s="496" t="s">
        <v>2340</v>
      </c>
      <c r="CR621" s="496" t="s">
        <v>2340</v>
      </c>
      <c r="CS621" s="496" t="s">
        <v>1554</v>
      </c>
      <c r="CT621" s="496" t="s">
        <v>1555</v>
      </c>
      <c r="CU621" s="496" t="s">
        <v>1981</v>
      </c>
      <c r="CV621" s="497" t="s">
        <v>1982</v>
      </c>
      <c r="CX621" s="543">
        <v>1</v>
      </c>
    </row>
    <row r="622" spans="91:102" ht="21" customHeight="1">
      <c r="CM622" s="494"/>
      <c r="CN622" s="496" t="s">
        <v>2341</v>
      </c>
      <c r="CO622" s="496" t="s">
        <v>8</v>
      </c>
      <c r="CP622" s="496" t="s">
        <v>689</v>
      </c>
      <c r="CQ622" s="496" t="s">
        <v>2342</v>
      </c>
      <c r="CR622" s="496" t="s">
        <v>2342</v>
      </c>
      <c r="CS622" s="496" t="s">
        <v>1554</v>
      </c>
      <c r="CT622" s="496" t="s">
        <v>1555</v>
      </c>
      <c r="CU622" s="496" t="s">
        <v>1981</v>
      </c>
      <c r="CV622" s="497" t="s">
        <v>1982</v>
      </c>
      <c r="CX622" s="543">
        <v>1</v>
      </c>
    </row>
    <row r="623" spans="91:102" ht="21" customHeight="1">
      <c r="CM623" s="494"/>
      <c r="CN623" s="496" t="s">
        <v>2343</v>
      </c>
      <c r="CO623" s="496" t="s">
        <v>8</v>
      </c>
      <c r="CP623" s="496" t="s">
        <v>689</v>
      </c>
      <c r="CQ623" s="496" t="s">
        <v>2344</v>
      </c>
      <c r="CR623" s="496" t="s">
        <v>2344</v>
      </c>
      <c r="CS623" s="496" t="s">
        <v>1554</v>
      </c>
      <c r="CT623" s="496" t="s">
        <v>1555</v>
      </c>
      <c r="CU623" s="496" t="s">
        <v>1981</v>
      </c>
      <c r="CV623" s="497" t="s">
        <v>1982</v>
      </c>
      <c r="CX623" s="543">
        <v>1</v>
      </c>
    </row>
    <row r="624" spans="91:102" ht="21" customHeight="1">
      <c r="CM624" s="494"/>
      <c r="CN624" s="496" t="s">
        <v>2345</v>
      </c>
      <c r="CO624" s="496" t="s">
        <v>8</v>
      </c>
      <c r="CP624" s="496" t="s">
        <v>689</v>
      </c>
      <c r="CQ624" s="496" t="s">
        <v>2346</v>
      </c>
      <c r="CR624" s="496" t="s">
        <v>2346</v>
      </c>
      <c r="CS624" s="496" t="s">
        <v>1554</v>
      </c>
      <c r="CT624" s="496" t="s">
        <v>1555</v>
      </c>
      <c r="CU624" s="496" t="s">
        <v>1981</v>
      </c>
      <c r="CV624" s="497" t="s">
        <v>1982</v>
      </c>
      <c r="CX624" s="543">
        <v>1</v>
      </c>
    </row>
    <row r="625" spans="91:102" ht="21" customHeight="1">
      <c r="CM625" s="494"/>
      <c r="CN625" s="496" t="s">
        <v>2347</v>
      </c>
      <c r="CO625" s="496" t="s">
        <v>8</v>
      </c>
      <c r="CP625" s="496" t="s">
        <v>689</v>
      </c>
      <c r="CQ625" s="496" t="s">
        <v>2348</v>
      </c>
      <c r="CR625" s="496" t="s">
        <v>2348</v>
      </c>
      <c r="CS625" s="496" t="s">
        <v>1554</v>
      </c>
      <c r="CT625" s="496" t="s">
        <v>1555</v>
      </c>
      <c r="CU625" s="496" t="s">
        <v>1981</v>
      </c>
      <c r="CV625" s="497" t="s">
        <v>1982</v>
      </c>
      <c r="CX625" s="543">
        <v>1</v>
      </c>
    </row>
    <row r="626" spans="91:102" ht="21" customHeight="1">
      <c r="CM626" s="494"/>
      <c r="CN626" s="496" t="s">
        <v>2349</v>
      </c>
      <c r="CO626" s="496" t="s">
        <v>8</v>
      </c>
      <c r="CP626" s="496" t="s">
        <v>689</v>
      </c>
      <c r="CQ626" s="496" t="s">
        <v>2350</v>
      </c>
      <c r="CR626" s="496" t="s">
        <v>2350</v>
      </c>
      <c r="CS626" s="496" t="s">
        <v>1554</v>
      </c>
      <c r="CT626" s="496" t="s">
        <v>1555</v>
      </c>
      <c r="CU626" s="496" t="s">
        <v>1981</v>
      </c>
      <c r="CV626" s="497" t="s">
        <v>1982</v>
      </c>
      <c r="CX626" s="543">
        <v>1</v>
      </c>
    </row>
    <row r="627" spans="91:102" ht="21" customHeight="1">
      <c r="CM627" s="494"/>
      <c r="CN627" s="496" t="s">
        <v>2351</v>
      </c>
      <c r="CO627" s="496" t="s">
        <v>8</v>
      </c>
      <c r="CP627" s="496" t="s">
        <v>689</v>
      </c>
      <c r="CQ627" s="496" t="s">
        <v>2352</v>
      </c>
      <c r="CR627" s="496" t="s">
        <v>2352</v>
      </c>
      <c r="CS627" s="496" t="s">
        <v>1554</v>
      </c>
      <c r="CT627" s="496" t="s">
        <v>1555</v>
      </c>
      <c r="CU627" s="496" t="s">
        <v>1981</v>
      </c>
      <c r="CV627" s="497" t="s">
        <v>1982</v>
      </c>
      <c r="CX627" s="543">
        <v>1</v>
      </c>
    </row>
    <row r="628" spans="91:102" ht="21" customHeight="1">
      <c r="CM628" s="494"/>
      <c r="CN628" s="496" t="s">
        <v>2353</v>
      </c>
      <c r="CO628" s="496" t="s">
        <v>8</v>
      </c>
      <c r="CP628" s="496" t="s">
        <v>689</v>
      </c>
      <c r="CQ628" s="496" t="s">
        <v>2354</v>
      </c>
      <c r="CR628" s="496" t="s">
        <v>2354</v>
      </c>
      <c r="CS628" s="496" t="s">
        <v>1554</v>
      </c>
      <c r="CT628" s="496" t="s">
        <v>1555</v>
      </c>
      <c r="CU628" s="496" t="s">
        <v>1981</v>
      </c>
      <c r="CV628" s="497" t="s">
        <v>1982</v>
      </c>
      <c r="CX628" s="543">
        <v>1</v>
      </c>
    </row>
    <row r="629" spans="91:102" ht="21" customHeight="1">
      <c r="CM629" s="494"/>
      <c r="CN629" s="496" t="s">
        <v>2355</v>
      </c>
      <c r="CO629" s="496" t="s">
        <v>8</v>
      </c>
      <c r="CP629" s="496" t="s">
        <v>689</v>
      </c>
      <c r="CQ629" s="496" t="s">
        <v>2356</v>
      </c>
      <c r="CR629" s="496" t="s">
        <v>2356</v>
      </c>
      <c r="CS629" s="496" t="s">
        <v>1554</v>
      </c>
      <c r="CT629" s="496" t="s">
        <v>1555</v>
      </c>
      <c r="CU629" s="496" t="s">
        <v>1981</v>
      </c>
      <c r="CV629" s="497" t="s">
        <v>1982</v>
      </c>
      <c r="CX629" s="543">
        <v>1</v>
      </c>
    </row>
    <row r="630" spans="91:102" ht="21" customHeight="1">
      <c r="CM630" s="494"/>
      <c r="CN630" s="496" t="s">
        <v>2357</v>
      </c>
      <c r="CO630" s="496" t="s">
        <v>8</v>
      </c>
      <c r="CP630" s="496" t="s">
        <v>689</v>
      </c>
      <c r="CQ630" s="496" t="s">
        <v>2358</v>
      </c>
      <c r="CR630" s="496" t="s">
        <v>2358</v>
      </c>
      <c r="CS630" s="496" t="s">
        <v>1554</v>
      </c>
      <c r="CT630" s="496" t="s">
        <v>1555</v>
      </c>
      <c r="CU630" s="496" t="s">
        <v>1981</v>
      </c>
      <c r="CV630" s="497" t="s">
        <v>1982</v>
      </c>
      <c r="CX630" s="543">
        <v>1</v>
      </c>
    </row>
    <row r="631" spans="91:102" ht="21" customHeight="1">
      <c r="CM631" s="494"/>
      <c r="CN631" s="496" t="s">
        <v>2359</v>
      </c>
      <c r="CO631" s="496" t="s">
        <v>8</v>
      </c>
      <c r="CP631" s="496" t="s">
        <v>689</v>
      </c>
      <c r="CQ631" s="496" t="s">
        <v>2360</v>
      </c>
      <c r="CR631" s="496" t="s">
        <v>2360</v>
      </c>
      <c r="CS631" s="496" t="s">
        <v>1554</v>
      </c>
      <c r="CT631" s="496" t="s">
        <v>1555</v>
      </c>
      <c r="CU631" s="496" t="s">
        <v>1981</v>
      </c>
      <c r="CV631" s="497" t="s">
        <v>1982</v>
      </c>
      <c r="CX631" s="543">
        <v>1</v>
      </c>
    </row>
    <row r="632" spans="91:102" ht="21" customHeight="1">
      <c r="CM632" s="494"/>
      <c r="CN632" s="496" t="s">
        <v>2361</v>
      </c>
      <c r="CO632" s="496" t="s">
        <v>8</v>
      </c>
      <c r="CP632" s="496" t="s">
        <v>689</v>
      </c>
      <c r="CQ632" s="496" t="s">
        <v>2362</v>
      </c>
      <c r="CR632" s="496" t="s">
        <v>2362</v>
      </c>
      <c r="CS632" s="496" t="s">
        <v>1554</v>
      </c>
      <c r="CT632" s="496" t="s">
        <v>1555</v>
      </c>
      <c r="CU632" s="496" t="s">
        <v>1981</v>
      </c>
      <c r="CV632" s="497" t="s">
        <v>1982</v>
      </c>
      <c r="CX632" s="543">
        <v>1</v>
      </c>
    </row>
    <row r="633" spans="91:102" ht="21" customHeight="1">
      <c r="CM633" s="494"/>
      <c r="CN633" s="496" t="s">
        <v>2363</v>
      </c>
      <c r="CO633" s="496" t="s">
        <v>8</v>
      </c>
      <c r="CP633" s="496" t="s">
        <v>689</v>
      </c>
      <c r="CQ633" s="496" t="s">
        <v>2364</v>
      </c>
      <c r="CR633" s="496" t="s">
        <v>2364</v>
      </c>
      <c r="CS633" s="496" t="s">
        <v>1554</v>
      </c>
      <c r="CT633" s="496" t="s">
        <v>1555</v>
      </c>
      <c r="CU633" s="496" t="s">
        <v>1981</v>
      </c>
      <c r="CV633" s="497" t="s">
        <v>1982</v>
      </c>
      <c r="CX633" s="543">
        <v>1</v>
      </c>
    </row>
    <row r="634" spans="91:102" ht="21" customHeight="1">
      <c r="CM634" s="494"/>
      <c r="CN634" s="496" t="s">
        <v>2365</v>
      </c>
      <c r="CO634" s="496" t="s">
        <v>8</v>
      </c>
      <c r="CP634" s="496" t="s">
        <v>689</v>
      </c>
      <c r="CQ634" s="496" t="s">
        <v>2366</v>
      </c>
      <c r="CR634" s="496" t="s">
        <v>2366</v>
      </c>
      <c r="CS634" s="496" t="s">
        <v>1554</v>
      </c>
      <c r="CT634" s="496" t="s">
        <v>1555</v>
      </c>
      <c r="CU634" s="496" t="s">
        <v>1981</v>
      </c>
      <c r="CV634" s="497" t="s">
        <v>1982</v>
      </c>
      <c r="CX634" s="543">
        <v>1</v>
      </c>
    </row>
    <row r="635" spans="91:102" ht="21" customHeight="1">
      <c r="CM635" s="494"/>
      <c r="CN635" s="496" t="s">
        <v>2367</v>
      </c>
      <c r="CO635" s="496" t="s">
        <v>8</v>
      </c>
      <c r="CP635" s="496" t="s">
        <v>689</v>
      </c>
      <c r="CQ635" s="496" t="s">
        <v>2368</v>
      </c>
      <c r="CR635" s="496" t="s">
        <v>2368</v>
      </c>
      <c r="CS635" s="496" t="s">
        <v>1554</v>
      </c>
      <c r="CT635" s="496" t="s">
        <v>1555</v>
      </c>
      <c r="CU635" s="496" t="s">
        <v>1981</v>
      </c>
      <c r="CV635" s="497" t="s">
        <v>1982</v>
      </c>
      <c r="CX635" s="543">
        <v>1</v>
      </c>
    </row>
    <row r="636" spans="91:102" ht="21" customHeight="1">
      <c r="CM636" s="494"/>
      <c r="CN636" s="496" t="s">
        <v>2369</v>
      </c>
      <c r="CO636" s="496" t="s">
        <v>8</v>
      </c>
      <c r="CP636" s="496" t="s">
        <v>689</v>
      </c>
      <c r="CQ636" s="496" t="s">
        <v>2370</v>
      </c>
      <c r="CR636" s="496" t="s">
        <v>2370</v>
      </c>
      <c r="CS636" s="496" t="s">
        <v>1554</v>
      </c>
      <c r="CT636" s="496" t="s">
        <v>1555</v>
      </c>
      <c r="CU636" s="496" t="s">
        <v>1981</v>
      </c>
      <c r="CV636" s="497" t="s">
        <v>1982</v>
      </c>
      <c r="CX636" s="543">
        <v>1</v>
      </c>
    </row>
    <row r="637" spans="91:102" ht="21" customHeight="1">
      <c r="CM637" s="494"/>
      <c r="CN637" s="496" t="s">
        <v>2371</v>
      </c>
      <c r="CO637" s="496" t="s">
        <v>8</v>
      </c>
      <c r="CP637" s="496" t="s">
        <v>689</v>
      </c>
      <c r="CQ637" s="496" t="s">
        <v>2372</v>
      </c>
      <c r="CR637" s="496" t="s">
        <v>2372</v>
      </c>
      <c r="CS637" s="496" t="s">
        <v>1554</v>
      </c>
      <c r="CT637" s="496" t="s">
        <v>1555</v>
      </c>
      <c r="CU637" s="496" t="s">
        <v>1981</v>
      </c>
      <c r="CV637" s="497" t="s">
        <v>1982</v>
      </c>
      <c r="CX637" s="543">
        <v>1</v>
      </c>
    </row>
    <row r="638" spans="91:102" ht="21" customHeight="1">
      <c r="CM638" s="494"/>
      <c r="CN638" s="496" t="s">
        <v>2373</v>
      </c>
      <c r="CO638" s="496" t="s">
        <v>8</v>
      </c>
      <c r="CP638" s="496" t="s">
        <v>689</v>
      </c>
      <c r="CQ638" s="496" t="s">
        <v>2374</v>
      </c>
      <c r="CR638" s="496" t="s">
        <v>2374</v>
      </c>
      <c r="CS638" s="496" t="s">
        <v>1554</v>
      </c>
      <c r="CT638" s="496" t="s">
        <v>1555</v>
      </c>
      <c r="CU638" s="496" t="s">
        <v>1981</v>
      </c>
      <c r="CV638" s="497" t="s">
        <v>1982</v>
      </c>
      <c r="CX638" s="543">
        <v>1</v>
      </c>
    </row>
    <row r="639" spans="91:102" ht="21" customHeight="1">
      <c r="CM639" s="494"/>
      <c r="CN639" s="496" t="s">
        <v>2375</v>
      </c>
      <c r="CO639" s="496" t="s">
        <v>8</v>
      </c>
      <c r="CP639" s="496" t="s">
        <v>689</v>
      </c>
      <c r="CQ639" s="496" t="s">
        <v>2376</v>
      </c>
      <c r="CR639" s="496" t="s">
        <v>2376</v>
      </c>
      <c r="CS639" s="496" t="s">
        <v>1554</v>
      </c>
      <c r="CT639" s="496" t="s">
        <v>1555</v>
      </c>
      <c r="CU639" s="496" t="s">
        <v>1981</v>
      </c>
      <c r="CV639" s="497" t="s">
        <v>1982</v>
      </c>
      <c r="CX639" s="543">
        <v>1</v>
      </c>
    </row>
    <row r="640" spans="91:102" ht="21" customHeight="1">
      <c r="CM640" s="494"/>
      <c r="CN640" s="496" t="s">
        <v>2377</v>
      </c>
      <c r="CO640" s="496" t="s">
        <v>8</v>
      </c>
      <c r="CP640" s="496" t="s">
        <v>689</v>
      </c>
      <c r="CQ640" s="496" t="s">
        <v>2378</v>
      </c>
      <c r="CR640" s="496" t="s">
        <v>2378</v>
      </c>
      <c r="CS640" s="496" t="s">
        <v>1554</v>
      </c>
      <c r="CT640" s="496" t="s">
        <v>1555</v>
      </c>
      <c r="CU640" s="496" t="s">
        <v>1981</v>
      </c>
      <c r="CV640" s="497" t="s">
        <v>1982</v>
      </c>
      <c r="CX640" s="543">
        <v>1</v>
      </c>
    </row>
    <row r="641" spans="91:102" ht="21" customHeight="1">
      <c r="CM641" s="494"/>
      <c r="CN641" s="496" t="s">
        <v>2379</v>
      </c>
      <c r="CO641" s="496" t="s">
        <v>8</v>
      </c>
      <c r="CP641" s="496" t="s">
        <v>689</v>
      </c>
      <c r="CQ641" s="496" t="s">
        <v>2380</v>
      </c>
      <c r="CR641" s="496" t="s">
        <v>2380</v>
      </c>
      <c r="CS641" s="496" t="s">
        <v>1554</v>
      </c>
      <c r="CT641" s="496" t="s">
        <v>1555</v>
      </c>
      <c r="CU641" s="496" t="s">
        <v>1981</v>
      </c>
      <c r="CV641" s="497" t="s">
        <v>1982</v>
      </c>
      <c r="CX641" s="543">
        <v>1</v>
      </c>
    </row>
    <row r="642" spans="91:102" ht="21" customHeight="1">
      <c r="CM642" s="494"/>
      <c r="CN642" s="496" t="s">
        <v>2381</v>
      </c>
      <c r="CO642" s="496" t="s">
        <v>8</v>
      </c>
      <c r="CP642" s="496" t="s">
        <v>689</v>
      </c>
      <c r="CQ642" s="496" t="s">
        <v>2382</v>
      </c>
      <c r="CR642" s="496" t="s">
        <v>2382</v>
      </c>
      <c r="CS642" s="496" t="s">
        <v>1554</v>
      </c>
      <c r="CT642" s="496" t="s">
        <v>1555</v>
      </c>
      <c r="CU642" s="496" t="s">
        <v>1981</v>
      </c>
      <c r="CV642" s="497" t="s">
        <v>1982</v>
      </c>
      <c r="CX642" s="543">
        <v>1</v>
      </c>
    </row>
    <row r="643" spans="91:102" ht="21" customHeight="1">
      <c r="CM643" s="494"/>
      <c r="CN643" s="496" t="s">
        <v>2383</v>
      </c>
      <c r="CO643" s="496" t="s">
        <v>8</v>
      </c>
      <c r="CP643" s="496" t="s">
        <v>689</v>
      </c>
      <c r="CQ643" s="496" t="s">
        <v>2384</v>
      </c>
      <c r="CR643" s="496" t="s">
        <v>2384</v>
      </c>
      <c r="CS643" s="496" t="s">
        <v>1554</v>
      </c>
      <c r="CT643" s="496" t="s">
        <v>1555</v>
      </c>
      <c r="CU643" s="496" t="s">
        <v>1981</v>
      </c>
      <c r="CV643" s="497" t="s">
        <v>1982</v>
      </c>
      <c r="CX643" s="543">
        <v>1</v>
      </c>
    </row>
    <row r="644" spans="91:102" ht="21" customHeight="1">
      <c r="CM644" s="494"/>
      <c r="CN644" s="496" t="s">
        <v>2385</v>
      </c>
      <c r="CO644" s="496" t="s">
        <v>8</v>
      </c>
      <c r="CP644" s="496" t="s">
        <v>689</v>
      </c>
      <c r="CQ644" s="496" t="s">
        <v>2386</v>
      </c>
      <c r="CR644" s="496" t="s">
        <v>2386</v>
      </c>
      <c r="CS644" s="496" t="s">
        <v>1554</v>
      </c>
      <c r="CT644" s="496" t="s">
        <v>1555</v>
      </c>
      <c r="CU644" s="496" t="s">
        <v>1981</v>
      </c>
      <c r="CV644" s="497" t="s">
        <v>1982</v>
      </c>
      <c r="CX644" s="543">
        <v>1</v>
      </c>
    </row>
    <row r="645" spans="91:102" ht="21" customHeight="1">
      <c r="CM645" s="494"/>
      <c r="CN645" s="496" t="s">
        <v>2387</v>
      </c>
      <c r="CO645" s="496" t="s">
        <v>8</v>
      </c>
      <c r="CP645" s="496" t="s">
        <v>689</v>
      </c>
      <c r="CQ645" s="496" t="s">
        <v>2388</v>
      </c>
      <c r="CR645" s="496" t="s">
        <v>2388</v>
      </c>
      <c r="CS645" s="496" t="s">
        <v>1554</v>
      </c>
      <c r="CT645" s="496" t="s">
        <v>1555</v>
      </c>
      <c r="CU645" s="496" t="s">
        <v>1981</v>
      </c>
      <c r="CV645" s="497" t="s">
        <v>1982</v>
      </c>
      <c r="CX645" s="543">
        <v>1</v>
      </c>
    </row>
    <row r="646" spans="91:102" ht="21" customHeight="1">
      <c r="CM646" s="494"/>
      <c r="CN646" s="496" t="s">
        <v>2389</v>
      </c>
      <c r="CO646" s="496" t="s">
        <v>8</v>
      </c>
      <c r="CP646" s="496" t="s">
        <v>689</v>
      </c>
      <c r="CQ646" s="496" t="s">
        <v>2390</v>
      </c>
      <c r="CR646" s="496" t="s">
        <v>2390</v>
      </c>
      <c r="CS646" s="496" t="s">
        <v>1554</v>
      </c>
      <c r="CT646" s="496" t="s">
        <v>1555</v>
      </c>
      <c r="CU646" s="496" t="s">
        <v>1981</v>
      </c>
      <c r="CV646" s="497" t="s">
        <v>1982</v>
      </c>
      <c r="CX646" s="543">
        <v>1</v>
      </c>
    </row>
    <row r="647" spans="91:102" ht="21" customHeight="1">
      <c r="CM647" s="494"/>
      <c r="CN647" s="496" t="s">
        <v>2391</v>
      </c>
      <c r="CO647" s="496" t="s">
        <v>8</v>
      </c>
      <c r="CP647" s="496" t="s">
        <v>689</v>
      </c>
      <c r="CQ647" s="496" t="s">
        <v>2392</v>
      </c>
      <c r="CR647" s="496" t="s">
        <v>2392</v>
      </c>
      <c r="CS647" s="496" t="s">
        <v>1554</v>
      </c>
      <c r="CT647" s="496" t="s">
        <v>1555</v>
      </c>
      <c r="CU647" s="496" t="s">
        <v>1981</v>
      </c>
      <c r="CV647" s="497" t="s">
        <v>1982</v>
      </c>
      <c r="CX647" s="543">
        <v>1</v>
      </c>
    </row>
    <row r="648" spans="91:102" ht="21" customHeight="1">
      <c r="CM648" s="494"/>
      <c r="CN648" s="496" t="s">
        <v>2393</v>
      </c>
      <c r="CO648" s="496" t="s">
        <v>8</v>
      </c>
      <c r="CP648" s="496" t="s">
        <v>689</v>
      </c>
      <c r="CQ648" s="496" t="s">
        <v>2394</v>
      </c>
      <c r="CR648" s="496" t="s">
        <v>2394</v>
      </c>
      <c r="CS648" s="496" t="s">
        <v>1554</v>
      </c>
      <c r="CT648" s="496" t="s">
        <v>1555</v>
      </c>
      <c r="CU648" s="496" t="s">
        <v>1981</v>
      </c>
      <c r="CV648" s="497" t="s">
        <v>1982</v>
      </c>
      <c r="CX648" s="543">
        <v>1</v>
      </c>
    </row>
    <row r="649" spans="91:102" ht="21" customHeight="1">
      <c r="CM649" s="494"/>
      <c r="CN649" s="496" t="s">
        <v>2395</v>
      </c>
      <c r="CO649" s="496" t="s">
        <v>8</v>
      </c>
      <c r="CP649" s="496" t="s">
        <v>689</v>
      </c>
      <c r="CQ649" s="496" t="s">
        <v>2396</v>
      </c>
      <c r="CR649" s="496" t="s">
        <v>2396</v>
      </c>
      <c r="CS649" s="496" t="s">
        <v>1554</v>
      </c>
      <c r="CT649" s="496" t="s">
        <v>1555</v>
      </c>
      <c r="CU649" s="496" t="s">
        <v>1981</v>
      </c>
      <c r="CV649" s="497" t="s">
        <v>1982</v>
      </c>
      <c r="CX649" s="543">
        <v>1</v>
      </c>
    </row>
    <row r="650" spans="91:102" ht="21" customHeight="1">
      <c r="CM650" s="494"/>
      <c r="CN650" s="496" t="s">
        <v>2397</v>
      </c>
      <c r="CO650" s="496" t="s">
        <v>8</v>
      </c>
      <c r="CP650" s="496" t="s">
        <v>689</v>
      </c>
      <c r="CQ650" s="496" t="s">
        <v>2398</v>
      </c>
      <c r="CR650" s="496" t="s">
        <v>2398</v>
      </c>
      <c r="CS650" s="496" t="s">
        <v>1554</v>
      </c>
      <c r="CT650" s="496" t="s">
        <v>1555</v>
      </c>
      <c r="CU650" s="496" t="s">
        <v>1981</v>
      </c>
      <c r="CV650" s="497" t="s">
        <v>1982</v>
      </c>
      <c r="CX650" s="543">
        <v>1</v>
      </c>
    </row>
    <row r="651" spans="91:102" ht="21" customHeight="1">
      <c r="CM651" s="494"/>
      <c r="CN651" s="496" t="s">
        <v>2399</v>
      </c>
      <c r="CO651" s="496" t="s">
        <v>8</v>
      </c>
      <c r="CP651" s="496" t="s">
        <v>689</v>
      </c>
      <c r="CQ651" s="496" t="s">
        <v>2400</v>
      </c>
      <c r="CR651" s="496" t="s">
        <v>2400</v>
      </c>
      <c r="CS651" s="496" t="s">
        <v>1554</v>
      </c>
      <c r="CT651" s="496" t="s">
        <v>1555</v>
      </c>
      <c r="CU651" s="496" t="s">
        <v>1981</v>
      </c>
      <c r="CV651" s="497" t="s">
        <v>1982</v>
      </c>
      <c r="CX651" s="543">
        <v>1</v>
      </c>
    </row>
    <row r="652" spans="91:102" ht="21" customHeight="1">
      <c r="CM652" s="494"/>
      <c r="CN652" s="496" t="s">
        <v>2401</v>
      </c>
      <c r="CO652" s="496" t="s">
        <v>8</v>
      </c>
      <c r="CP652" s="496" t="s">
        <v>689</v>
      </c>
      <c r="CQ652" s="496" t="s">
        <v>2402</v>
      </c>
      <c r="CR652" s="496" t="s">
        <v>2402</v>
      </c>
      <c r="CS652" s="496" t="s">
        <v>1554</v>
      </c>
      <c r="CT652" s="496" t="s">
        <v>1555</v>
      </c>
      <c r="CU652" s="496" t="s">
        <v>1981</v>
      </c>
      <c r="CV652" s="497" t="s">
        <v>1982</v>
      </c>
      <c r="CX652" s="543">
        <v>1</v>
      </c>
    </row>
    <row r="653" spans="91:102" ht="21" customHeight="1">
      <c r="CM653" s="494"/>
      <c r="CN653" s="496" t="s">
        <v>2403</v>
      </c>
      <c r="CO653" s="496" t="s">
        <v>8</v>
      </c>
      <c r="CP653" s="496" t="s">
        <v>689</v>
      </c>
      <c r="CQ653" s="496" t="s">
        <v>2404</v>
      </c>
      <c r="CR653" s="496" t="s">
        <v>2404</v>
      </c>
      <c r="CS653" s="496" t="s">
        <v>1554</v>
      </c>
      <c r="CT653" s="496" t="s">
        <v>1555</v>
      </c>
      <c r="CU653" s="496" t="s">
        <v>1981</v>
      </c>
      <c r="CV653" s="497" t="s">
        <v>1982</v>
      </c>
      <c r="CX653" s="543">
        <v>1</v>
      </c>
    </row>
    <row r="654" spans="91:102" ht="21" customHeight="1">
      <c r="CM654" s="494"/>
      <c r="CN654" s="496" t="s">
        <v>2405</v>
      </c>
      <c r="CO654" s="496" t="s">
        <v>8</v>
      </c>
      <c r="CP654" s="496" t="s">
        <v>689</v>
      </c>
      <c r="CQ654" s="496" t="s">
        <v>2406</v>
      </c>
      <c r="CR654" s="496" t="s">
        <v>2406</v>
      </c>
      <c r="CS654" s="496" t="s">
        <v>1554</v>
      </c>
      <c r="CT654" s="496" t="s">
        <v>1555</v>
      </c>
      <c r="CU654" s="496" t="s">
        <v>1981</v>
      </c>
      <c r="CV654" s="497" t="s">
        <v>1982</v>
      </c>
      <c r="CX654" s="543">
        <v>1</v>
      </c>
    </row>
    <row r="655" spans="91:102" ht="21" customHeight="1">
      <c r="CM655" s="494"/>
      <c r="CN655" s="496" t="s">
        <v>2407</v>
      </c>
      <c r="CO655" s="496" t="s">
        <v>8</v>
      </c>
      <c r="CP655" s="496" t="s">
        <v>689</v>
      </c>
      <c r="CQ655" s="496" t="s">
        <v>2408</v>
      </c>
      <c r="CR655" s="496" t="s">
        <v>2408</v>
      </c>
      <c r="CS655" s="496" t="s">
        <v>1554</v>
      </c>
      <c r="CT655" s="496" t="s">
        <v>1555</v>
      </c>
      <c r="CU655" s="496" t="s">
        <v>1981</v>
      </c>
      <c r="CV655" s="497" t="s">
        <v>1982</v>
      </c>
      <c r="CX655" s="543">
        <v>1</v>
      </c>
    </row>
    <row r="656" spans="91:102" ht="21" customHeight="1">
      <c r="CM656" s="494"/>
      <c r="CN656" s="496" t="s">
        <v>2409</v>
      </c>
      <c r="CO656" s="496" t="s">
        <v>8</v>
      </c>
      <c r="CP656" s="496" t="s">
        <v>689</v>
      </c>
      <c r="CQ656" s="496" t="s">
        <v>2410</v>
      </c>
      <c r="CR656" s="496" t="s">
        <v>2410</v>
      </c>
      <c r="CS656" s="496" t="s">
        <v>1554</v>
      </c>
      <c r="CT656" s="496" t="s">
        <v>1555</v>
      </c>
      <c r="CU656" s="496" t="s">
        <v>1981</v>
      </c>
      <c r="CV656" s="497" t="s">
        <v>1982</v>
      </c>
      <c r="CX656" s="543">
        <v>1</v>
      </c>
    </row>
    <row r="657" spans="91:102" ht="21" customHeight="1">
      <c r="CM657" s="494"/>
      <c r="CN657" s="496" t="s">
        <v>2411</v>
      </c>
      <c r="CO657" s="496" t="s">
        <v>8</v>
      </c>
      <c r="CP657" s="496" t="s">
        <v>689</v>
      </c>
      <c r="CQ657" s="496" t="s">
        <v>2412</v>
      </c>
      <c r="CR657" s="496" t="s">
        <v>2412</v>
      </c>
      <c r="CS657" s="496" t="s">
        <v>1554</v>
      </c>
      <c r="CT657" s="496" t="s">
        <v>1555</v>
      </c>
      <c r="CU657" s="496" t="s">
        <v>1981</v>
      </c>
      <c r="CV657" s="497" t="s">
        <v>1982</v>
      </c>
      <c r="CX657" s="543">
        <v>1</v>
      </c>
    </row>
    <row r="658" spans="91:102" ht="21" customHeight="1">
      <c r="CM658" s="494"/>
      <c r="CN658" s="496" t="s">
        <v>2413</v>
      </c>
      <c r="CO658" s="496" t="s">
        <v>8</v>
      </c>
      <c r="CP658" s="496" t="s">
        <v>689</v>
      </c>
      <c r="CQ658" s="496" t="s">
        <v>2414</v>
      </c>
      <c r="CR658" s="496" t="s">
        <v>2414</v>
      </c>
      <c r="CS658" s="496" t="s">
        <v>1554</v>
      </c>
      <c r="CT658" s="496" t="s">
        <v>1555</v>
      </c>
      <c r="CU658" s="496" t="s">
        <v>1981</v>
      </c>
      <c r="CV658" s="497" t="s">
        <v>1982</v>
      </c>
      <c r="CX658" s="543">
        <v>1</v>
      </c>
    </row>
    <row r="659" spans="91:102" ht="21" customHeight="1">
      <c r="CM659" s="494"/>
      <c r="CN659" s="496" t="s">
        <v>2415</v>
      </c>
      <c r="CO659" s="496" t="s">
        <v>8</v>
      </c>
      <c r="CP659" s="496" t="s">
        <v>689</v>
      </c>
      <c r="CQ659" s="496" t="s">
        <v>2416</v>
      </c>
      <c r="CR659" s="496" t="s">
        <v>2416</v>
      </c>
      <c r="CS659" s="496" t="s">
        <v>1554</v>
      </c>
      <c r="CT659" s="496" t="s">
        <v>1555</v>
      </c>
      <c r="CU659" s="496" t="s">
        <v>1981</v>
      </c>
      <c r="CV659" s="497" t="s">
        <v>1982</v>
      </c>
      <c r="CX659" s="543">
        <v>1</v>
      </c>
    </row>
    <row r="660" spans="91:102" ht="21" customHeight="1">
      <c r="CM660" s="494"/>
      <c r="CN660" s="496" t="s">
        <v>2417</v>
      </c>
      <c r="CO660" s="496" t="s">
        <v>8</v>
      </c>
      <c r="CP660" s="496" t="s">
        <v>689</v>
      </c>
      <c r="CQ660" s="496" t="s">
        <v>2418</v>
      </c>
      <c r="CR660" s="496" t="s">
        <v>2418</v>
      </c>
      <c r="CS660" s="496" t="s">
        <v>1554</v>
      </c>
      <c r="CT660" s="496" t="s">
        <v>1555</v>
      </c>
      <c r="CU660" s="496" t="s">
        <v>1981</v>
      </c>
      <c r="CV660" s="497" t="s">
        <v>1982</v>
      </c>
      <c r="CX660" s="543">
        <v>1</v>
      </c>
    </row>
    <row r="661" spans="91:102" ht="21" customHeight="1">
      <c r="CM661" s="494"/>
      <c r="CN661" s="496" t="s">
        <v>2419</v>
      </c>
      <c r="CO661" s="496" t="s">
        <v>8</v>
      </c>
      <c r="CP661" s="496" t="s">
        <v>689</v>
      </c>
      <c r="CQ661" s="496" t="s">
        <v>2420</v>
      </c>
      <c r="CR661" s="496" t="s">
        <v>2420</v>
      </c>
      <c r="CS661" s="496" t="s">
        <v>1554</v>
      </c>
      <c r="CT661" s="496" t="s">
        <v>1555</v>
      </c>
      <c r="CU661" s="496" t="s">
        <v>1981</v>
      </c>
      <c r="CV661" s="497" t="s">
        <v>1982</v>
      </c>
      <c r="CX661" s="543">
        <v>1</v>
      </c>
    </row>
    <row r="662" spans="91:102" ht="21" customHeight="1">
      <c r="CM662" s="494"/>
      <c r="CN662" s="496" t="s">
        <v>2421</v>
      </c>
      <c r="CO662" s="496" t="s">
        <v>8</v>
      </c>
      <c r="CP662" s="496" t="s">
        <v>689</v>
      </c>
      <c r="CQ662" s="496" t="s">
        <v>1024</v>
      </c>
      <c r="CR662" s="496" t="s">
        <v>1024</v>
      </c>
      <c r="CS662" s="496" t="s">
        <v>1554</v>
      </c>
      <c r="CT662" s="496" t="s">
        <v>1555</v>
      </c>
      <c r="CU662" s="496" t="s">
        <v>1981</v>
      </c>
      <c r="CV662" s="497" t="s">
        <v>1982</v>
      </c>
      <c r="CX662" s="543">
        <v>1</v>
      </c>
    </row>
    <row r="663" spans="91:102" ht="21" customHeight="1">
      <c r="CM663" s="494"/>
      <c r="CN663" s="496" t="s">
        <v>2422</v>
      </c>
      <c r="CO663" s="496" t="s">
        <v>8</v>
      </c>
      <c r="CP663" s="496" t="s">
        <v>689</v>
      </c>
      <c r="CQ663" s="496" t="s">
        <v>2423</v>
      </c>
      <c r="CR663" s="496" t="s">
        <v>2423</v>
      </c>
      <c r="CS663" s="496" t="s">
        <v>1554</v>
      </c>
      <c r="CT663" s="496" t="s">
        <v>1555</v>
      </c>
      <c r="CU663" s="496" t="s">
        <v>1981</v>
      </c>
      <c r="CV663" s="497" t="s">
        <v>1982</v>
      </c>
      <c r="CX663" s="543">
        <v>1</v>
      </c>
    </row>
    <row r="664" spans="91:102" ht="21" customHeight="1">
      <c r="CM664" s="494"/>
      <c r="CN664" s="496" t="s">
        <v>2424</v>
      </c>
      <c r="CO664" s="496" t="s">
        <v>8</v>
      </c>
      <c r="CP664" s="496" t="s">
        <v>689</v>
      </c>
      <c r="CQ664" s="496" t="s">
        <v>2425</v>
      </c>
      <c r="CR664" s="496" t="s">
        <v>2425</v>
      </c>
      <c r="CS664" s="496" t="s">
        <v>1554</v>
      </c>
      <c r="CT664" s="496" t="s">
        <v>1555</v>
      </c>
      <c r="CU664" s="496" t="s">
        <v>1981</v>
      </c>
      <c r="CV664" s="497" t="s">
        <v>1982</v>
      </c>
      <c r="CX664" s="543">
        <v>1</v>
      </c>
    </row>
    <row r="665" spans="91:102" ht="21" customHeight="1">
      <c r="CM665" s="494"/>
      <c r="CN665" s="496" t="s">
        <v>2426</v>
      </c>
      <c r="CO665" s="496" t="s">
        <v>8</v>
      </c>
      <c r="CP665" s="496" t="s">
        <v>689</v>
      </c>
      <c r="CQ665" s="496" t="s">
        <v>2427</v>
      </c>
      <c r="CR665" s="496" t="s">
        <v>2427</v>
      </c>
      <c r="CS665" s="496" t="s">
        <v>1554</v>
      </c>
      <c r="CT665" s="496" t="s">
        <v>1555</v>
      </c>
      <c r="CU665" s="496" t="s">
        <v>1981</v>
      </c>
      <c r="CV665" s="497" t="s">
        <v>1982</v>
      </c>
      <c r="CX665" s="543">
        <v>1</v>
      </c>
    </row>
    <row r="666" spans="91:102" ht="21" customHeight="1">
      <c r="CM666" s="494"/>
      <c r="CN666" s="496" t="s">
        <v>2428</v>
      </c>
      <c r="CO666" s="496" t="s">
        <v>8</v>
      </c>
      <c r="CP666" s="496" t="s">
        <v>689</v>
      </c>
      <c r="CQ666" s="496" t="s">
        <v>2429</v>
      </c>
      <c r="CR666" s="496" t="s">
        <v>2429</v>
      </c>
      <c r="CS666" s="496" t="s">
        <v>1554</v>
      </c>
      <c r="CT666" s="496" t="s">
        <v>1555</v>
      </c>
      <c r="CU666" s="496" t="s">
        <v>1981</v>
      </c>
      <c r="CV666" s="497" t="s">
        <v>1982</v>
      </c>
      <c r="CX666" s="543">
        <v>1</v>
      </c>
    </row>
    <row r="667" spans="91:102" ht="21" customHeight="1">
      <c r="CM667" s="494"/>
      <c r="CN667" s="496" t="s">
        <v>2430</v>
      </c>
      <c r="CO667" s="496" t="s">
        <v>8</v>
      </c>
      <c r="CP667" s="496" t="s">
        <v>689</v>
      </c>
      <c r="CQ667" s="496" t="s">
        <v>2431</v>
      </c>
      <c r="CR667" s="496" t="s">
        <v>2431</v>
      </c>
      <c r="CS667" s="496" t="s">
        <v>1554</v>
      </c>
      <c r="CT667" s="496" t="s">
        <v>1555</v>
      </c>
      <c r="CU667" s="496" t="s">
        <v>1981</v>
      </c>
      <c r="CV667" s="497" t="s">
        <v>1982</v>
      </c>
      <c r="CX667" s="543">
        <v>1</v>
      </c>
    </row>
    <row r="668" spans="91:102" ht="21" customHeight="1">
      <c r="CM668" s="494"/>
      <c r="CN668" s="496" t="s">
        <v>2432</v>
      </c>
      <c r="CO668" s="496" t="s">
        <v>8</v>
      </c>
      <c r="CP668" s="496" t="s">
        <v>689</v>
      </c>
      <c r="CQ668" s="496" t="s">
        <v>2433</v>
      </c>
      <c r="CR668" s="496" t="s">
        <v>2433</v>
      </c>
      <c r="CS668" s="496" t="s">
        <v>1554</v>
      </c>
      <c r="CT668" s="496" t="s">
        <v>1555</v>
      </c>
      <c r="CU668" s="496" t="s">
        <v>1981</v>
      </c>
      <c r="CV668" s="497" t="s">
        <v>1982</v>
      </c>
      <c r="CX668" s="543">
        <v>1</v>
      </c>
    </row>
    <row r="669" spans="91:102" ht="21" customHeight="1">
      <c r="CM669" s="494"/>
      <c r="CN669" s="496" t="s">
        <v>2434</v>
      </c>
      <c r="CO669" s="496" t="s">
        <v>8</v>
      </c>
      <c r="CP669" s="496" t="s">
        <v>689</v>
      </c>
      <c r="CQ669" s="496" t="s">
        <v>2435</v>
      </c>
      <c r="CR669" s="496" t="s">
        <v>2435</v>
      </c>
      <c r="CS669" s="496" t="s">
        <v>1554</v>
      </c>
      <c r="CT669" s="496" t="s">
        <v>1555</v>
      </c>
      <c r="CU669" s="496" t="s">
        <v>1981</v>
      </c>
      <c r="CV669" s="497" t="s">
        <v>1982</v>
      </c>
      <c r="CX669" s="543">
        <v>1</v>
      </c>
    </row>
    <row r="670" spans="91:102" ht="21" customHeight="1">
      <c r="CM670" s="494"/>
      <c r="CN670" s="496" t="s">
        <v>2436</v>
      </c>
      <c r="CO670" s="496" t="s">
        <v>8</v>
      </c>
      <c r="CP670" s="496" t="s">
        <v>689</v>
      </c>
      <c r="CQ670" s="496" t="s">
        <v>2437</v>
      </c>
      <c r="CR670" s="496" t="s">
        <v>2437</v>
      </c>
      <c r="CS670" s="496" t="s">
        <v>1554</v>
      </c>
      <c r="CT670" s="496" t="s">
        <v>1555</v>
      </c>
      <c r="CU670" s="496" t="s">
        <v>1981</v>
      </c>
      <c r="CV670" s="497" t="s">
        <v>1982</v>
      </c>
      <c r="CX670" s="543">
        <v>1</v>
      </c>
    </row>
    <row r="671" spans="91:102" ht="21" customHeight="1">
      <c r="CM671" s="494"/>
      <c r="CN671" s="496" t="s">
        <v>2438</v>
      </c>
      <c r="CO671" s="496" t="s">
        <v>8</v>
      </c>
      <c r="CP671" s="496" t="s">
        <v>689</v>
      </c>
      <c r="CQ671" s="496" t="s">
        <v>2439</v>
      </c>
      <c r="CR671" s="496" t="s">
        <v>2439</v>
      </c>
      <c r="CS671" s="496" t="s">
        <v>1554</v>
      </c>
      <c r="CT671" s="496" t="s">
        <v>1555</v>
      </c>
      <c r="CU671" s="496" t="s">
        <v>1981</v>
      </c>
      <c r="CV671" s="497" t="s">
        <v>1982</v>
      </c>
      <c r="CX671" s="543">
        <v>1</v>
      </c>
    </row>
    <row r="672" spans="91:102" ht="21" customHeight="1">
      <c r="CM672" s="494"/>
      <c r="CN672" s="496" t="s">
        <v>2440</v>
      </c>
      <c r="CO672" s="496" t="s">
        <v>8</v>
      </c>
      <c r="CP672" s="496" t="s">
        <v>689</v>
      </c>
      <c r="CQ672" s="496" t="s">
        <v>2441</v>
      </c>
      <c r="CR672" s="496" t="s">
        <v>2441</v>
      </c>
      <c r="CS672" s="496" t="s">
        <v>1554</v>
      </c>
      <c r="CT672" s="496" t="s">
        <v>1555</v>
      </c>
      <c r="CU672" s="496" t="s">
        <v>1981</v>
      </c>
      <c r="CV672" s="497" t="s">
        <v>1982</v>
      </c>
      <c r="CX672" s="543">
        <v>1</v>
      </c>
    </row>
    <row r="673" spans="91:102" ht="21" customHeight="1">
      <c r="CM673" s="494"/>
      <c r="CN673" s="496" t="s">
        <v>2442</v>
      </c>
      <c r="CO673" s="496" t="s">
        <v>8</v>
      </c>
      <c r="CP673" s="496" t="s">
        <v>689</v>
      </c>
      <c r="CQ673" s="496" t="s">
        <v>2443</v>
      </c>
      <c r="CR673" s="496" t="s">
        <v>2443</v>
      </c>
      <c r="CS673" s="496" t="s">
        <v>1554</v>
      </c>
      <c r="CT673" s="496" t="s">
        <v>1555</v>
      </c>
      <c r="CU673" s="496" t="s">
        <v>1981</v>
      </c>
      <c r="CV673" s="497" t="s">
        <v>1982</v>
      </c>
      <c r="CX673" s="543">
        <v>1</v>
      </c>
    </row>
    <row r="674" spans="91:102" ht="21" customHeight="1">
      <c r="CM674" s="494"/>
      <c r="CN674" s="496" t="s">
        <v>2444</v>
      </c>
      <c r="CO674" s="496" t="s">
        <v>8</v>
      </c>
      <c r="CP674" s="496" t="s">
        <v>689</v>
      </c>
      <c r="CQ674" s="496" t="s">
        <v>2445</v>
      </c>
      <c r="CR674" s="496" t="s">
        <v>2445</v>
      </c>
      <c r="CS674" s="496" t="s">
        <v>1554</v>
      </c>
      <c r="CT674" s="496" t="s">
        <v>1555</v>
      </c>
      <c r="CU674" s="496" t="s">
        <v>1981</v>
      </c>
      <c r="CV674" s="497" t="s">
        <v>1982</v>
      </c>
      <c r="CX674" s="543">
        <v>1</v>
      </c>
    </row>
    <row r="675" spans="91:102" ht="21" customHeight="1">
      <c r="CM675" s="494"/>
      <c r="CN675" s="496" t="s">
        <v>2446</v>
      </c>
      <c r="CO675" s="496" t="s">
        <v>8</v>
      </c>
      <c r="CP675" s="496" t="s">
        <v>689</v>
      </c>
      <c r="CQ675" s="496" t="s">
        <v>2447</v>
      </c>
      <c r="CR675" s="496" t="s">
        <v>2447</v>
      </c>
      <c r="CS675" s="496" t="s">
        <v>1554</v>
      </c>
      <c r="CT675" s="496" t="s">
        <v>1555</v>
      </c>
      <c r="CU675" s="496" t="s">
        <v>1981</v>
      </c>
      <c r="CV675" s="497" t="s">
        <v>1982</v>
      </c>
      <c r="CX675" s="543">
        <v>1</v>
      </c>
    </row>
    <row r="676" spans="91:102" ht="21" customHeight="1">
      <c r="CM676" s="494"/>
      <c r="CN676" s="496" t="s">
        <v>2448</v>
      </c>
      <c r="CO676" s="496" t="s">
        <v>8</v>
      </c>
      <c r="CP676" s="496" t="s">
        <v>689</v>
      </c>
      <c r="CQ676" s="496" t="s">
        <v>2449</v>
      </c>
      <c r="CR676" s="496" t="s">
        <v>2449</v>
      </c>
      <c r="CS676" s="496" t="s">
        <v>1554</v>
      </c>
      <c r="CT676" s="496" t="s">
        <v>1555</v>
      </c>
      <c r="CU676" s="496" t="s">
        <v>1981</v>
      </c>
      <c r="CV676" s="497" t="s">
        <v>1982</v>
      </c>
      <c r="CX676" s="543">
        <v>1</v>
      </c>
    </row>
    <row r="677" spans="91:102" ht="21" customHeight="1">
      <c r="CM677" s="494"/>
      <c r="CN677" s="496" t="s">
        <v>2450</v>
      </c>
      <c r="CO677" s="496" t="s">
        <v>8</v>
      </c>
      <c r="CP677" s="496" t="s">
        <v>689</v>
      </c>
      <c r="CQ677" s="496" t="s">
        <v>2451</v>
      </c>
      <c r="CR677" s="496" t="s">
        <v>2451</v>
      </c>
      <c r="CS677" s="496" t="s">
        <v>1554</v>
      </c>
      <c r="CT677" s="496" t="s">
        <v>1555</v>
      </c>
      <c r="CU677" s="496" t="s">
        <v>1981</v>
      </c>
      <c r="CV677" s="497" t="s">
        <v>1982</v>
      </c>
      <c r="CX677" s="543">
        <v>1</v>
      </c>
    </row>
    <row r="678" spans="91:102" ht="21" customHeight="1">
      <c r="CM678" s="494"/>
      <c r="CN678" s="496" t="s">
        <v>2452</v>
      </c>
      <c r="CO678" s="496" t="s">
        <v>8</v>
      </c>
      <c r="CP678" s="496" t="s">
        <v>689</v>
      </c>
      <c r="CQ678" s="496" t="s">
        <v>2453</v>
      </c>
      <c r="CR678" s="496" t="s">
        <v>2453</v>
      </c>
      <c r="CS678" s="496" t="s">
        <v>1554</v>
      </c>
      <c r="CT678" s="496" t="s">
        <v>1555</v>
      </c>
      <c r="CU678" s="496" t="s">
        <v>1981</v>
      </c>
      <c r="CV678" s="497" t="s">
        <v>1982</v>
      </c>
      <c r="CX678" s="543">
        <v>1</v>
      </c>
    </row>
    <row r="679" spans="91:102" ht="21" customHeight="1">
      <c r="CM679" s="494"/>
      <c r="CN679" s="496" t="s">
        <v>2454</v>
      </c>
      <c r="CO679" s="496" t="s">
        <v>8</v>
      </c>
      <c r="CP679" s="496" t="s">
        <v>689</v>
      </c>
      <c r="CQ679" s="496" t="s">
        <v>2455</v>
      </c>
      <c r="CR679" s="496" t="s">
        <v>2455</v>
      </c>
      <c r="CS679" s="496" t="s">
        <v>1554</v>
      </c>
      <c r="CT679" s="496" t="s">
        <v>1555</v>
      </c>
      <c r="CU679" s="496" t="s">
        <v>1981</v>
      </c>
      <c r="CV679" s="497" t="s">
        <v>1982</v>
      </c>
      <c r="CX679" s="543">
        <v>1</v>
      </c>
    </row>
    <row r="680" spans="91:102" ht="21" customHeight="1">
      <c r="CM680" s="494"/>
      <c r="CN680" s="496" t="s">
        <v>2456</v>
      </c>
      <c r="CO680" s="496" t="s">
        <v>8</v>
      </c>
      <c r="CP680" s="496" t="s">
        <v>689</v>
      </c>
      <c r="CQ680" s="496" t="s">
        <v>2457</v>
      </c>
      <c r="CR680" s="496" t="s">
        <v>2457</v>
      </c>
      <c r="CS680" s="496" t="s">
        <v>1554</v>
      </c>
      <c r="CT680" s="496" t="s">
        <v>1555</v>
      </c>
      <c r="CU680" s="496" t="s">
        <v>1981</v>
      </c>
      <c r="CV680" s="497" t="s">
        <v>1982</v>
      </c>
      <c r="CX680" s="543">
        <v>1</v>
      </c>
    </row>
    <row r="681" spans="91:102" ht="21" customHeight="1">
      <c r="CM681" s="494"/>
      <c r="CN681" s="496" t="s">
        <v>2458</v>
      </c>
      <c r="CO681" s="496" t="s">
        <v>8</v>
      </c>
      <c r="CP681" s="496" t="s">
        <v>689</v>
      </c>
      <c r="CQ681" s="496" t="s">
        <v>2459</v>
      </c>
      <c r="CR681" s="496" t="s">
        <v>2459</v>
      </c>
      <c r="CS681" s="496" t="s">
        <v>1554</v>
      </c>
      <c r="CT681" s="496" t="s">
        <v>1555</v>
      </c>
      <c r="CU681" s="496" t="s">
        <v>1981</v>
      </c>
      <c r="CV681" s="497" t="s">
        <v>1982</v>
      </c>
      <c r="CX681" s="543">
        <v>1</v>
      </c>
    </row>
    <row r="682" spans="91:102" ht="21" customHeight="1">
      <c r="CM682" s="494"/>
      <c r="CN682" s="496" t="s">
        <v>2460</v>
      </c>
      <c r="CO682" s="496" t="s">
        <v>8</v>
      </c>
      <c r="CP682" s="496" t="s">
        <v>689</v>
      </c>
      <c r="CQ682" s="496" t="s">
        <v>2461</v>
      </c>
      <c r="CR682" s="496" t="s">
        <v>2461</v>
      </c>
      <c r="CS682" s="496" t="s">
        <v>1554</v>
      </c>
      <c r="CT682" s="496" t="s">
        <v>1555</v>
      </c>
      <c r="CU682" s="496" t="s">
        <v>1981</v>
      </c>
      <c r="CV682" s="497" t="s">
        <v>1982</v>
      </c>
      <c r="CX682" s="543">
        <v>1</v>
      </c>
    </row>
    <row r="683" spans="91:102" ht="21" customHeight="1">
      <c r="CM683" s="494"/>
      <c r="CN683" s="496" t="s">
        <v>2462</v>
      </c>
      <c r="CO683" s="496" t="s">
        <v>8</v>
      </c>
      <c r="CP683" s="496" t="s">
        <v>689</v>
      </c>
      <c r="CQ683" s="496" t="s">
        <v>2463</v>
      </c>
      <c r="CR683" s="496" t="s">
        <v>2463</v>
      </c>
      <c r="CS683" s="496" t="s">
        <v>1554</v>
      </c>
      <c r="CT683" s="496" t="s">
        <v>1555</v>
      </c>
      <c r="CU683" s="496" t="s">
        <v>1981</v>
      </c>
      <c r="CV683" s="497" t="s">
        <v>1982</v>
      </c>
      <c r="CX683" s="543">
        <v>1</v>
      </c>
    </row>
    <row r="684" spans="91:102" ht="21" customHeight="1">
      <c r="CM684" s="494"/>
      <c r="CN684" s="496" t="s">
        <v>2464</v>
      </c>
      <c r="CO684" s="496" t="s">
        <v>8</v>
      </c>
      <c r="CP684" s="496" t="s">
        <v>689</v>
      </c>
      <c r="CQ684" s="496" t="s">
        <v>171</v>
      </c>
      <c r="CR684" s="496" t="s">
        <v>171</v>
      </c>
      <c r="CS684" s="496" t="s">
        <v>1554</v>
      </c>
      <c r="CT684" s="496" t="s">
        <v>1555</v>
      </c>
      <c r="CU684" s="496" t="s">
        <v>1981</v>
      </c>
      <c r="CV684" s="497" t="s">
        <v>1982</v>
      </c>
      <c r="CX684" s="543">
        <v>1</v>
      </c>
    </row>
    <row r="685" spans="91:102" ht="21" customHeight="1">
      <c r="CM685" s="494"/>
      <c r="CN685" s="496" t="s">
        <v>2465</v>
      </c>
      <c r="CO685" s="496" t="s">
        <v>8</v>
      </c>
      <c r="CP685" s="496" t="s">
        <v>689</v>
      </c>
      <c r="CQ685" s="496" t="s">
        <v>2466</v>
      </c>
      <c r="CR685" s="496" t="s">
        <v>2466</v>
      </c>
      <c r="CS685" s="496" t="s">
        <v>1554</v>
      </c>
      <c r="CT685" s="496" t="s">
        <v>1555</v>
      </c>
      <c r="CU685" s="496" t="s">
        <v>1981</v>
      </c>
      <c r="CV685" s="497" t="s">
        <v>1982</v>
      </c>
      <c r="CX685" s="543">
        <v>1</v>
      </c>
    </row>
    <row r="686" spans="91:102" ht="21" customHeight="1">
      <c r="CM686" s="494"/>
      <c r="CN686" s="496" t="s">
        <v>2467</v>
      </c>
      <c r="CO686" s="496" t="s">
        <v>8</v>
      </c>
      <c r="CP686" s="496" t="s">
        <v>689</v>
      </c>
      <c r="CQ686" s="496" t="s">
        <v>2468</v>
      </c>
      <c r="CR686" s="496" t="s">
        <v>2468</v>
      </c>
      <c r="CS686" s="496" t="s">
        <v>1554</v>
      </c>
      <c r="CT686" s="496" t="s">
        <v>1555</v>
      </c>
      <c r="CU686" s="496" t="s">
        <v>1981</v>
      </c>
      <c r="CV686" s="497" t="s">
        <v>1982</v>
      </c>
      <c r="CX686" s="543">
        <v>1</v>
      </c>
    </row>
    <row r="687" spans="91:102" ht="21" customHeight="1">
      <c r="CM687" s="494"/>
      <c r="CN687" s="496" t="s">
        <v>2469</v>
      </c>
      <c r="CO687" s="496" t="s">
        <v>8</v>
      </c>
      <c r="CP687" s="496" t="s">
        <v>689</v>
      </c>
      <c r="CQ687" s="496" t="s">
        <v>2470</v>
      </c>
      <c r="CR687" s="496" t="s">
        <v>2470</v>
      </c>
      <c r="CS687" s="496" t="s">
        <v>1554</v>
      </c>
      <c r="CT687" s="496" t="s">
        <v>1555</v>
      </c>
      <c r="CU687" s="496" t="s">
        <v>1981</v>
      </c>
      <c r="CV687" s="497" t="s">
        <v>1982</v>
      </c>
      <c r="CX687" s="543">
        <v>1</v>
      </c>
    </row>
    <row r="688" spans="91:102" ht="21" customHeight="1">
      <c r="CM688" s="494"/>
      <c r="CN688" s="496" t="s">
        <v>2471</v>
      </c>
      <c r="CO688" s="496" t="s">
        <v>8</v>
      </c>
      <c r="CP688" s="496" t="s">
        <v>689</v>
      </c>
      <c r="CQ688" s="496" t="s">
        <v>2472</v>
      </c>
      <c r="CR688" s="496" t="s">
        <v>2472</v>
      </c>
      <c r="CS688" s="496" t="s">
        <v>1554</v>
      </c>
      <c r="CT688" s="496" t="s">
        <v>1555</v>
      </c>
      <c r="CU688" s="496" t="s">
        <v>1981</v>
      </c>
      <c r="CV688" s="497" t="s">
        <v>1982</v>
      </c>
      <c r="CX688" s="543">
        <v>1</v>
      </c>
    </row>
    <row r="689" spans="91:102" ht="21" customHeight="1">
      <c r="CM689" s="494"/>
      <c r="CN689" s="496" t="s">
        <v>2473</v>
      </c>
      <c r="CO689" s="496" t="s">
        <v>8</v>
      </c>
      <c r="CP689" s="496" t="s">
        <v>689</v>
      </c>
      <c r="CQ689" s="496" t="s">
        <v>2474</v>
      </c>
      <c r="CR689" s="496" t="s">
        <v>2474</v>
      </c>
      <c r="CS689" s="496" t="s">
        <v>1554</v>
      </c>
      <c r="CT689" s="496" t="s">
        <v>1555</v>
      </c>
      <c r="CU689" s="496" t="s">
        <v>1981</v>
      </c>
      <c r="CV689" s="497" t="s">
        <v>1982</v>
      </c>
      <c r="CX689" s="543">
        <v>1</v>
      </c>
    </row>
    <row r="690" spans="91:102" ht="21" customHeight="1">
      <c r="CM690" s="494"/>
      <c r="CN690" s="496" t="s">
        <v>2475</v>
      </c>
      <c r="CO690" s="496" t="s">
        <v>8</v>
      </c>
      <c r="CP690" s="496" t="s">
        <v>689</v>
      </c>
      <c r="CQ690" s="496" t="s">
        <v>2476</v>
      </c>
      <c r="CR690" s="496" t="s">
        <v>2476</v>
      </c>
      <c r="CS690" s="496" t="s">
        <v>1554</v>
      </c>
      <c r="CT690" s="496" t="s">
        <v>1555</v>
      </c>
      <c r="CU690" s="496" t="s">
        <v>1981</v>
      </c>
      <c r="CV690" s="497" t="s">
        <v>1982</v>
      </c>
      <c r="CX690" s="543">
        <v>1</v>
      </c>
    </row>
    <row r="691" spans="91:102" ht="21" customHeight="1">
      <c r="CM691" s="494"/>
      <c r="CN691" s="496" t="s">
        <v>2477</v>
      </c>
      <c r="CO691" s="496" t="s">
        <v>8</v>
      </c>
      <c r="CP691" s="496" t="s">
        <v>689</v>
      </c>
      <c r="CQ691" s="496" t="s">
        <v>2478</v>
      </c>
      <c r="CR691" s="496" t="s">
        <v>2478</v>
      </c>
      <c r="CS691" s="496" t="s">
        <v>1554</v>
      </c>
      <c r="CT691" s="496" t="s">
        <v>1555</v>
      </c>
      <c r="CU691" s="496" t="s">
        <v>1981</v>
      </c>
      <c r="CV691" s="497" t="s">
        <v>1982</v>
      </c>
      <c r="CX691" s="543">
        <v>1</v>
      </c>
    </row>
    <row r="692" spans="91:102" ht="21" customHeight="1">
      <c r="CM692" s="494"/>
      <c r="CN692" s="496" t="s">
        <v>2479</v>
      </c>
      <c r="CO692" s="496" t="s">
        <v>8</v>
      </c>
      <c r="CP692" s="496" t="s">
        <v>689</v>
      </c>
      <c r="CQ692" s="496" t="s">
        <v>1025</v>
      </c>
      <c r="CR692" s="496" t="s">
        <v>1025</v>
      </c>
      <c r="CS692" s="496" t="s">
        <v>1554</v>
      </c>
      <c r="CT692" s="496" t="s">
        <v>1555</v>
      </c>
      <c r="CU692" s="496" t="s">
        <v>1981</v>
      </c>
      <c r="CV692" s="497" t="s">
        <v>1982</v>
      </c>
      <c r="CX692" s="543">
        <v>1</v>
      </c>
    </row>
    <row r="693" spans="91:102" ht="21" customHeight="1">
      <c r="CM693" s="494"/>
      <c r="CN693" s="496" t="s">
        <v>2480</v>
      </c>
      <c r="CO693" s="496" t="s">
        <v>8</v>
      </c>
      <c r="CP693" s="496" t="s">
        <v>689</v>
      </c>
      <c r="CQ693" s="496" t="s">
        <v>2481</v>
      </c>
      <c r="CR693" s="496" t="s">
        <v>2481</v>
      </c>
      <c r="CS693" s="496" t="s">
        <v>1554</v>
      </c>
      <c r="CT693" s="496" t="s">
        <v>1555</v>
      </c>
      <c r="CU693" s="496" t="s">
        <v>1981</v>
      </c>
      <c r="CV693" s="497" t="s">
        <v>1982</v>
      </c>
      <c r="CX693" s="543">
        <v>1</v>
      </c>
    </row>
    <row r="694" spans="91:102" ht="21" customHeight="1">
      <c r="CM694" s="494"/>
      <c r="CN694" s="496" t="s">
        <v>2482</v>
      </c>
      <c r="CO694" s="496" t="s">
        <v>8</v>
      </c>
      <c r="CP694" s="496" t="s">
        <v>689</v>
      </c>
      <c r="CQ694" s="496" t="s">
        <v>2483</v>
      </c>
      <c r="CR694" s="496" t="s">
        <v>2483</v>
      </c>
      <c r="CS694" s="496" t="s">
        <v>1554</v>
      </c>
      <c r="CT694" s="496" t="s">
        <v>1555</v>
      </c>
      <c r="CU694" s="496" t="s">
        <v>1981</v>
      </c>
      <c r="CV694" s="497" t="s">
        <v>1982</v>
      </c>
      <c r="CX694" s="543">
        <v>1</v>
      </c>
    </row>
    <row r="695" spans="91:102" ht="21" customHeight="1">
      <c r="CM695" s="494"/>
      <c r="CN695" s="496" t="s">
        <v>2484</v>
      </c>
      <c r="CO695" s="496" t="s">
        <v>8</v>
      </c>
      <c r="CP695" s="496" t="s">
        <v>689</v>
      </c>
      <c r="CQ695" s="496" t="s">
        <v>2485</v>
      </c>
      <c r="CR695" s="496" t="s">
        <v>2485</v>
      </c>
      <c r="CS695" s="496" t="s">
        <v>1554</v>
      </c>
      <c r="CT695" s="496" t="s">
        <v>1555</v>
      </c>
      <c r="CU695" s="496" t="s">
        <v>1981</v>
      </c>
      <c r="CV695" s="497" t="s">
        <v>1982</v>
      </c>
      <c r="CX695" s="543">
        <v>1</v>
      </c>
    </row>
    <row r="696" spans="91:102" ht="21" customHeight="1">
      <c r="CM696" s="494"/>
      <c r="CN696" s="496" t="s">
        <v>2486</v>
      </c>
      <c r="CO696" s="496" t="s">
        <v>8</v>
      </c>
      <c r="CP696" s="496" t="s">
        <v>689</v>
      </c>
      <c r="CQ696" s="496" t="s">
        <v>2487</v>
      </c>
      <c r="CR696" s="496" t="s">
        <v>2487</v>
      </c>
      <c r="CS696" s="496" t="s">
        <v>1554</v>
      </c>
      <c r="CT696" s="496" t="s">
        <v>1555</v>
      </c>
      <c r="CU696" s="496" t="s">
        <v>1981</v>
      </c>
      <c r="CV696" s="497" t="s">
        <v>1982</v>
      </c>
      <c r="CX696" s="543">
        <v>1</v>
      </c>
    </row>
    <row r="697" spans="91:102" ht="21" customHeight="1">
      <c r="CM697" s="494"/>
      <c r="CN697" s="496" t="s">
        <v>2488</v>
      </c>
      <c r="CO697" s="496" t="s">
        <v>8</v>
      </c>
      <c r="CP697" s="496" t="s">
        <v>689</v>
      </c>
      <c r="CQ697" s="496" t="s">
        <v>2489</v>
      </c>
      <c r="CR697" s="496" t="s">
        <v>2489</v>
      </c>
      <c r="CS697" s="496" t="s">
        <v>1554</v>
      </c>
      <c r="CT697" s="496" t="s">
        <v>1555</v>
      </c>
      <c r="CU697" s="496" t="s">
        <v>1981</v>
      </c>
      <c r="CV697" s="497" t="s">
        <v>1982</v>
      </c>
      <c r="CX697" s="543">
        <v>1</v>
      </c>
    </row>
    <row r="698" spans="91:102" ht="21" customHeight="1">
      <c r="CM698" s="494"/>
      <c r="CN698" s="496" t="s">
        <v>2490</v>
      </c>
      <c r="CO698" s="496" t="s">
        <v>8</v>
      </c>
      <c r="CP698" s="496" t="s">
        <v>689</v>
      </c>
      <c r="CQ698" s="496" t="s">
        <v>2491</v>
      </c>
      <c r="CR698" s="496" t="s">
        <v>2491</v>
      </c>
      <c r="CS698" s="496" t="s">
        <v>1554</v>
      </c>
      <c r="CT698" s="496" t="s">
        <v>1555</v>
      </c>
      <c r="CU698" s="496" t="s">
        <v>1981</v>
      </c>
      <c r="CV698" s="497" t="s">
        <v>1982</v>
      </c>
      <c r="CX698" s="543">
        <v>1</v>
      </c>
    </row>
    <row r="699" spans="91:102" ht="21" customHeight="1">
      <c r="CM699" s="494"/>
      <c r="CN699" s="496" t="s">
        <v>2492</v>
      </c>
      <c r="CO699" s="496" t="s">
        <v>8</v>
      </c>
      <c r="CP699" s="496" t="s">
        <v>689</v>
      </c>
      <c r="CQ699" s="496" t="s">
        <v>2493</v>
      </c>
      <c r="CR699" s="496" t="s">
        <v>2493</v>
      </c>
      <c r="CS699" s="496" t="s">
        <v>1554</v>
      </c>
      <c r="CT699" s="496" t="s">
        <v>1555</v>
      </c>
      <c r="CU699" s="496" t="s">
        <v>1981</v>
      </c>
      <c r="CV699" s="497" t="s">
        <v>1982</v>
      </c>
      <c r="CX699" s="543">
        <v>1</v>
      </c>
    </row>
    <row r="700" spans="91:102" ht="21" customHeight="1">
      <c r="CM700" s="494"/>
      <c r="CN700" s="496" t="s">
        <v>2494</v>
      </c>
      <c r="CO700" s="496" t="s">
        <v>8</v>
      </c>
      <c r="CP700" s="496" t="s">
        <v>689</v>
      </c>
      <c r="CQ700" s="496" t="s">
        <v>2495</v>
      </c>
      <c r="CR700" s="496" t="s">
        <v>2495</v>
      </c>
      <c r="CS700" s="496" t="s">
        <v>1554</v>
      </c>
      <c r="CT700" s="496" t="s">
        <v>1555</v>
      </c>
      <c r="CU700" s="496" t="s">
        <v>1981</v>
      </c>
      <c r="CV700" s="497" t="s">
        <v>1982</v>
      </c>
      <c r="CX700" s="543">
        <v>1</v>
      </c>
    </row>
    <row r="701" spans="91:102" ht="21" customHeight="1">
      <c r="CM701" s="494"/>
      <c r="CN701" s="496" t="s">
        <v>2496</v>
      </c>
      <c r="CO701" s="496" t="s">
        <v>8</v>
      </c>
      <c r="CP701" s="496" t="s">
        <v>689</v>
      </c>
      <c r="CQ701" s="496" t="s">
        <v>1026</v>
      </c>
      <c r="CR701" s="496" t="s">
        <v>1026</v>
      </c>
      <c r="CS701" s="496" t="s">
        <v>1554</v>
      </c>
      <c r="CT701" s="496" t="s">
        <v>1555</v>
      </c>
      <c r="CU701" s="496" t="s">
        <v>1981</v>
      </c>
      <c r="CV701" s="497" t="s">
        <v>1982</v>
      </c>
      <c r="CX701" s="543">
        <v>1</v>
      </c>
    </row>
    <row r="702" spans="91:102" ht="21" customHeight="1">
      <c r="CM702" s="494"/>
      <c r="CN702" s="496" t="s">
        <v>2497</v>
      </c>
      <c r="CO702" s="496" t="s">
        <v>8</v>
      </c>
      <c r="CP702" s="496" t="s">
        <v>689</v>
      </c>
      <c r="CQ702" s="496" t="s">
        <v>2498</v>
      </c>
      <c r="CR702" s="496" t="s">
        <v>2498</v>
      </c>
      <c r="CS702" s="496" t="s">
        <v>1554</v>
      </c>
      <c r="CT702" s="496" t="s">
        <v>1555</v>
      </c>
      <c r="CU702" s="496" t="s">
        <v>1981</v>
      </c>
      <c r="CV702" s="497" t="s">
        <v>1982</v>
      </c>
      <c r="CX702" s="543">
        <v>1</v>
      </c>
    </row>
    <row r="703" spans="91:102" ht="21" customHeight="1">
      <c r="CM703" s="494"/>
      <c r="CN703" s="496" t="s">
        <v>2499</v>
      </c>
      <c r="CO703" s="496" t="s">
        <v>8</v>
      </c>
      <c r="CP703" s="496" t="s">
        <v>689</v>
      </c>
      <c r="CQ703" s="496" t="s">
        <v>2500</v>
      </c>
      <c r="CR703" s="496" t="s">
        <v>2500</v>
      </c>
      <c r="CS703" s="496" t="s">
        <v>1554</v>
      </c>
      <c r="CT703" s="496" t="s">
        <v>1555</v>
      </c>
      <c r="CU703" s="496" t="s">
        <v>1981</v>
      </c>
      <c r="CV703" s="497" t="s">
        <v>1982</v>
      </c>
      <c r="CX703" s="543">
        <v>1</v>
      </c>
    </row>
    <row r="704" spans="91:102" ht="21" customHeight="1">
      <c r="CM704" s="494"/>
      <c r="CN704" s="496" t="s">
        <v>2501</v>
      </c>
      <c r="CO704" s="496" t="s">
        <v>8</v>
      </c>
      <c r="CP704" s="496" t="s">
        <v>689</v>
      </c>
      <c r="CQ704" s="496" t="s">
        <v>2502</v>
      </c>
      <c r="CR704" s="496" t="s">
        <v>2502</v>
      </c>
      <c r="CS704" s="496" t="s">
        <v>1554</v>
      </c>
      <c r="CT704" s="496" t="s">
        <v>1555</v>
      </c>
      <c r="CU704" s="496" t="s">
        <v>1981</v>
      </c>
      <c r="CV704" s="497" t="s">
        <v>1982</v>
      </c>
      <c r="CX704" s="543">
        <v>1</v>
      </c>
    </row>
    <row r="705" spans="91:102" ht="21" customHeight="1">
      <c r="CM705" s="494"/>
      <c r="CN705" s="496" t="s">
        <v>2503</v>
      </c>
      <c r="CO705" s="496" t="s">
        <v>8</v>
      </c>
      <c r="CP705" s="496" t="s">
        <v>689</v>
      </c>
      <c r="CQ705" s="496" t="s">
        <v>2504</v>
      </c>
      <c r="CR705" s="496" t="s">
        <v>2504</v>
      </c>
      <c r="CS705" s="496" t="s">
        <v>1554</v>
      </c>
      <c r="CT705" s="496" t="s">
        <v>1555</v>
      </c>
      <c r="CU705" s="496" t="s">
        <v>1981</v>
      </c>
      <c r="CV705" s="497" t="s">
        <v>1982</v>
      </c>
      <c r="CX705" s="543">
        <v>1</v>
      </c>
    </row>
    <row r="706" spans="91:102" ht="21" customHeight="1">
      <c r="CM706" s="494"/>
      <c r="CN706" s="496" t="s">
        <v>2505</v>
      </c>
      <c r="CO706" s="496" t="s">
        <v>8</v>
      </c>
      <c r="CP706" s="496" t="s">
        <v>689</v>
      </c>
      <c r="CQ706" s="496" t="s">
        <v>2506</v>
      </c>
      <c r="CR706" s="496" t="s">
        <v>2506</v>
      </c>
      <c r="CS706" s="496" t="s">
        <v>1554</v>
      </c>
      <c r="CT706" s="496" t="s">
        <v>1555</v>
      </c>
      <c r="CU706" s="496" t="s">
        <v>1981</v>
      </c>
      <c r="CV706" s="497" t="s">
        <v>1982</v>
      </c>
      <c r="CX706" s="543">
        <v>1</v>
      </c>
    </row>
    <row r="707" spans="91:102" ht="21" customHeight="1">
      <c r="CM707" s="494"/>
      <c r="CN707" s="496" t="s">
        <v>2507</v>
      </c>
      <c r="CO707" s="496" t="s">
        <v>8</v>
      </c>
      <c r="CP707" s="496" t="s">
        <v>689</v>
      </c>
      <c r="CQ707" s="496" t="s">
        <v>2508</v>
      </c>
      <c r="CR707" s="496" t="s">
        <v>2508</v>
      </c>
      <c r="CS707" s="496" t="s">
        <v>1554</v>
      </c>
      <c r="CT707" s="496" t="s">
        <v>1555</v>
      </c>
      <c r="CU707" s="496" t="s">
        <v>1981</v>
      </c>
      <c r="CV707" s="497" t="s">
        <v>1982</v>
      </c>
      <c r="CX707" s="543">
        <v>1</v>
      </c>
    </row>
    <row r="708" spans="91:102" ht="21" customHeight="1">
      <c r="CM708" s="494"/>
      <c r="CN708" s="496" t="s">
        <v>2509</v>
      </c>
      <c r="CO708" s="496" t="s">
        <v>8</v>
      </c>
      <c r="CP708" s="496" t="s">
        <v>689</v>
      </c>
      <c r="CQ708" s="496" t="s">
        <v>2510</v>
      </c>
      <c r="CR708" s="496" t="s">
        <v>2510</v>
      </c>
      <c r="CS708" s="496" t="s">
        <v>1554</v>
      </c>
      <c r="CT708" s="496" t="s">
        <v>1555</v>
      </c>
      <c r="CU708" s="496" t="s">
        <v>1981</v>
      </c>
      <c r="CV708" s="497" t="s">
        <v>1982</v>
      </c>
      <c r="CX708" s="543">
        <v>1</v>
      </c>
    </row>
    <row r="709" spans="91:102" ht="21" customHeight="1">
      <c r="CM709" s="494"/>
      <c r="CN709" s="496" t="s">
        <v>2511</v>
      </c>
      <c r="CO709" s="496" t="s">
        <v>8</v>
      </c>
      <c r="CP709" s="496" t="s">
        <v>689</v>
      </c>
      <c r="CQ709" s="496" t="s">
        <v>2512</v>
      </c>
      <c r="CR709" s="496" t="s">
        <v>2512</v>
      </c>
      <c r="CS709" s="496" t="s">
        <v>1554</v>
      </c>
      <c r="CT709" s="496" t="s">
        <v>1555</v>
      </c>
      <c r="CU709" s="496" t="s">
        <v>1981</v>
      </c>
      <c r="CV709" s="497" t="s">
        <v>1982</v>
      </c>
      <c r="CX709" s="543">
        <v>1</v>
      </c>
    </row>
    <row r="710" spans="91:102" ht="21" customHeight="1">
      <c r="CM710" s="494"/>
      <c r="CN710" s="496" t="s">
        <v>2513</v>
      </c>
      <c r="CO710" s="496" t="s">
        <v>8</v>
      </c>
      <c r="CP710" s="496" t="s">
        <v>689</v>
      </c>
      <c r="CQ710" s="496" t="s">
        <v>2514</v>
      </c>
      <c r="CR710" s="496" t="s">
        <v>2514</v>
      </c>
      <c r="CS710" s="496" t="s">
        <v>1554</v>
      </c>
      <c r="CT710" s="496" t="s">
        <v>1555</v>
      </c>
      <c r="CU710" s="496" t="s">
        <v>1981</v>
      </c>
      <c r="CV710" s="497" t="s">
        <v>1982</v>
      </c>
      <c r="CX710" s="543">
        <v>1</v>
      </c>
    </row>
    <row r="711" spans="91:102" ht="21" customHeight="1">
      <c r="CM711" s="494"/>
      <c r="CN711" s="496" t="s">
        <v>2515</v>
      </c>
      <c r="CO711" s="496" t="s">
        <v>8</v>
      </c>
      <c r="CP711" s="496" t="s">
        <v>689</v>
      </c>
      <c r="CQ711" s="496" t="s">
        <v>2516</v>
      </c>
      <c r="CR711" s="496" t="s">
        <v>2516</v>
      </c>
      <c r="CS711" s="496" t="s">
        <v>1554</v>
      </c>
      <c r="CT711" s="496" t="s">
        <v>1555</v>
      </c>
      <c r="CU711" s="496" t="s">
        <v>1981</v>
      </c>
      <c r="CV711" s="497" t="s">
        <v>1982</v>
      </c>
      <c r="CX711" s="543">
        <v>1</v>
      </c>
    </row>
    <row r="712" spans="91:102" ht="21" customHeight="1">
      <c r="CM712" s="494"/>
      <c r="CN712" s="496" t="s">
        <v>2517</v>
      </c>
      <c r="CO712" s="496" t="s">
        <v>8</v>
      </c>
      <c r="CP712" s="496" t="s">
        <v>689</v>
      </c>
      <c r="CQ712" s="496" t="s">
        <v>2518</v>
      </c>
      <c r="CR712" s="496" t="s">
        <v>2518</v>
      </c>
      <c r="CS712" s="496" t="s">
        <v>1554</v>
      </c>
      <c r="CT712" s="496" t="s">
        <v>1555</v>
      </c>
      <c r="CU712" s="496" t="s">
        <v>1981</v>
      </c>
      <c r="CV712" s="497" t="s">
        <v>1982</v>
      </c>
      <c r="CX712" s="543">
        <v>1</v>
      </c>
    </row>
    <row r="713" spans="91:102" ht="21" customHeight="1">
      <c r="CM713" s="494"/>
      <c r="CN713" s="496" t="s">
        <v>2519</v>
      </c>
      <c r="CO713" s="496" t="s">
        <v>8</v>
      </c>
      <c r="CP713" s="496" t="s">
        <v>689</v>
      </c>
      <c r="CQ713" s="496" t="s">
        <v>2520</v>
      </c>
      <c r="CR713" s="496" t="s">
        <v>2520</v>
      </c>
      <c r="CS713" s="496" t="s">
        <v>1554</v>
      </c>
      <c r="CT713" s="496" t="s">
        <v>1555</v>
      </c>
      <c r="CU713" s="496" t="s">
        <v>1981</v>
      </c>
      <c r="CV713" s="497" t="s">
        <v>1982</v>
      </c>
      <c r="CX713" s="543">
        <v>1</v>
      </c>
    </row>
    <row r="714" spans="91:102" ht="21" customHeight="1">
      <c r="CM714" s="494"/>
      <c r="CN714" s="496" t="s">
        <v>2521</v>
      </c>
      <c r="CO714" s="496" t="s">
        <v>8</v>
      </c>
      <c r="CP714" s="496" t="s">
        <v>689</v>
      </c>
      <c r="CQ714" s="496" t="s">
        <v>2522</v>
      </c>
      <c r="CR714" s="496" t="s">
        <v>2522</v>
      </c>
      <c r="CS714" s="496" t="s">
        <v>1554</v>
      </c>
      <c r="CT714" s="496" t="s">
        <v>1555</v>
      </c>
      <c r="CU714" s="496" t="s">
        <v>1981</v>
      </c>
      <c r="CV714" s="497" t="s">
        <v>1982</v>
      </c>
      <c r="CX714" s="543">
        <v>1</v>
      </c>
    </row>
    <row r="715" spans="91:102" ht="21" customHeight="1">
      <c r="CM715" s="494"/>
      <c r="CN715" s="496" t="s">
        <v>2523</v>
      </c>
      <c r="CO715" s="496" t="s">
        <v>8</v>
      </c>
      <c r="CP715" s="496" t="s">
        <v>689</v>
      </c>
      <c r="CQ715" s="496" t="s">
        <v>1027</v>
      </c>
      <c r="CR715" s="496" t="s">
        <v>1027</v>
      </c>
      <c r="CS715" s="496" t="s">
        <v>1554</v>
      </c>
      <c r="CT715" s="496" t="s">
        <v>1555</v>
      </c>
      <c r="CU715" s="496" t="s">
        <v>1981</v>
      </c>
      <c r="CV715" s="497" t="s">
        <v>1982</v>
      </c>
      <c r="CX715" s="543">
        <v>1</v>
      </c>
    </row>
    <row r="716" spans="91:102" ht="21" customHeight="1">
      <c r="CM716" s="494"/>
      <c r="CN716" s="496" t="s">
        <v>2524</v>
      </c>
      <c r="CO716" s="496" t="s">
        <v>8</v>
      </c>
      <c r="CP716" s="496" t="s">
        <v>689</v>
      </c>
      <c r="CQ716" s="496" t="s">
        <v>2525</v>
      </c>
      <c r="CR716" s="496" t="s">
        <v>2525</v>
      </c>
      <c r="CS716" s="496" t="s">
        <v>1554</v>
      </c>
      <c r="CT716" s="496" t="s">
        <v>1555</v>
      </c>
      <c r="CU716" s="496" t="s">
        <v>1981</v>
      </c>
      <c r="CV716" s="497" t="s">
        <v>1982</v>
      </c>
      <c r="CX716" s="543">
        <v>1</v>
      </c>
    </row>
    <row r="717" spans="91:102" ht="21" customHeight="1">
      <c r="CM717" s="494"/>
      <c r="CN717" s="496" t="s">
        <v>2526</v>
      </c>
      <c r="CO717" s="496" t="s">
        <v>8</v>
      </c>
      <c r="CP717" s="496" t="s">
        <v>689</v>
      </c>
      <c r="CQ717" s="496" t="s">
        <v>2527</v>
      </c>
      <c r="CR717" s="496" t="s">
        <v>2527</v>
      </c>
      <c r="CS717" s="496" t="s">
        <v>1554</v>
      </c>
      <c r="CT717" s="496" t="s">
        <v>1555</v>
      </c>
      <c r="CU717" s="496" t="s">
        <v>1981</v>
      </c>
      <c r="CV717" s="497" t="s">
        <v>1982</v>
      </c>
      <c r="CX717" s="543">
        <v>1</v>
      </c>
    </row>
    <row r="718" spans="91:102" ht="21" customHeight="1">
      <c r="CM718" s="494"/>
      <c r="CN718" s="496" t="s">
        <v>2528</v>
      </c>
      <c r="CO718" s="496" t="s">
        <v>8</v>
      </c>
      <c r="CP718" s="496" t="s">
        <v>689</v>
      </c>
      <c r="CQ718" s="496" t="s">
        <v>2529</v>
      </c>
      <c r="CR718" s="496" t="s">
        <v>2529</v>
      </c>
      <c r="CS718" s="496" t="s">
        <v>1554</v>
      </c>
      <c r="CT718" s="496" t="s">
        <v>1555</v>
      </c>
      <c r="CU718" s="496" t="s">
        <v>1981</v>
      </c>
      <c r="CV718" s="497" t="s">
        <v>1982</v>
      </c>
      <c r="CX718" s="543">
        <v>1</v>
      </c>
    </row>
    <row r="719" spans="91:102" ht="21" customHeight="1">
      <c r="CM719" s="494"/>
      <c r="CN719" s="496" t="s">
        <v>2530</v>
      </c>
      <c r="CO719" s="496" t="s">
        <v>8</v>
      </c>
      <c r="CP719" s="496" t="s">
        <v>689</v>
      </c>
      <c r="CQ719" s="496" t="s">
        <v>2531</v>
      </c>
      <c r="CR719" s="496" t="s">
        <v>2531</v>
      </c>
      <c r="CS719" s="496" t="s">
        <v>1554</v>
      </c>
      <c r="CT719" s="496" t="s">
        <v>1555</v>
      </c>
      <c r="CU719" s="496" t="s">
        <v>1981</v>
      </c>
      <c r="CV719" s="497" t="s">
        <v>1982</v>
      </c>
      <c r="CX719" s="543">
        <v>1</v>
      </c>
    </row>
    <row r="720" spans="91:102" ht="21" customHeight="1">
      <c r="CM720" s="494"/>
      <c r="CN720" s="496" t="s">
        <v>2532</v>
      </c>
      <c r="CO720" s="496" t="s">
        <v>8</v>
      </c>
      <c r="CP720" s="496" t="s">
        <v>689</v>
      </c>
      <c r="CQ720" s="496" t="s">
        <v>2533</v>
      </c>
      <c r="CR720" s="496" t="s">
        <v>2533</v>
      </c>
      <c r="CS720" s="496" t="s">
        <v>1554</v>
      </c>
      <c r="CT720" s="496" t="s">
        <v>1555</v>
      </c>
      <c r="CU720" s="496" t="s">
        <v>1981</v>
      </c>
      <c r="CV720" s="497" t="s">
        <v>1982</v>
      </c>
      <c r="CX720" s="543">
        <v>1</v>
      </c>
    </row>
    <row r="721" spans="91:102" ht="21" customHeight="1">
      <c r="CM721" s="494"/>
      <c r="CN721" s="496" t="s">
        <v>2534</v>
      </c>
      <c r="CO721" s="496" t="s">
        <v>8</v>
      </c>
      <c r="CP721" s="496" t="s">
        <v>689</v>
      </c>
      <c r="CQ721" s="496" t="s">
        <v>2535</v>
      </c>
      <c r="CR721" s="496" t="s">
        <v>2535</v>
      </c>
      <c r="CS721" s="496" t="s">
        <v>1554</v>
      </c>
      <c r="CT721" s="496" t="s">
        <v>1555</v>
      </c>
      <c r="CU721" s="496" t="s">
        <v>1981</v>
      </c>
      <c r="CV721" s="497" t="s">
        <v>1982</v>
      </c>
      <c r="CX721" s="543">
        <v>1</v>
      </c>
    </row>
    <row r="722" spans="91:102" ht="21" customHeight="1">
      <c r="CM722" s="494"/>
      <c r="CN722" s="496" t="s">
        <v>2536</v>
      </c>
      <c r="CO722" s="496" t="s">
        <v>8</v>
      </c>
      <c r="CP722" s="496" t="s">
        <v>689</v>
      </c>
      <c r="CQ722" s="496" t="s">
        <v>2537</v>
      </c>
      <c r="CR722" s="496" t="s">
        <v>2537</v>
      </c>
      <c r="CS722" s="496" t="s">
        <v>1554</v>
      </c>
      <c r="CT722" s="496" t="s">
        <v>1555</v>
      </c>
      <c r="CU722" s="496" t="s">
        <v>1981</v>
      </c>
      <c r="CV722" s="497" t="s">
        <v>1982</v>
      </c>
      <c r="CX722" s="543">
        <v>1</v>
      </c>
    </row>
    <row r="723" spans="91:102" ht="21" customHeight="1">
      <c r="CM723" s="494"/>
      <c r="CN723" s="496" t="s">
        <v>2538</v>
      </c>
      <c r="CO723" s="496" t="s">
        <v>8</v>
      </c>
      <c r="CP723" s="496" t="s">
        <v>689</v>
      </c>
      <c r="CQ723" s="496" t="s">
        <v>2539</v>
      </c>
      <c r="CR723" s="496" t="s">
        <v>2539</v>
      </c>
      <c r="CS723" s="496" t="s">
        <v>1554</v>
      </c>
      <c r="CT723" s="496" t="s">
        <v>1555</v>
      </c>
      <c r="CU723" s="496" t="s">
        <v>1981</v>
      </c>
      <c r="CV723" s="497" t="s">
        <v>1982</v>
      </c>
      <c r="CX723" s="543">
        <v>1</v>
      </c>
    </row>
    <row r="724" spans="91:102" ht="21" customHeight="1">
      <c r="CM724" s="494"/>
      <c r="CN724" s="496" t="s">
        <v>2540</v>
      </c>
      <c r="CO724" s="496" t="s">
        <v>8</v>
      </c>
      <c r="CP724" s="496" t="s">
        <v>689</v>
      </c>
      <c r="CQ724" s="496" t="s">
        <v>2541</v>
      </c>
      <c r="CR724" s="496" t="s">
        <v>2541</v>
      </c>
      <c r="CS724" s="496" t="s">
        <v>1554</v>
      </c>
      <c r="CT724" s="496" t="s">
        <v>1555</v>
      </c>
      <c r="CU724" s="496" t="s">
        <v>1981</v>
      </c>
      <c r="CV724" s="497" t="s">
        <v>1982</v>
      </c>
      <c r="CX724" s="543">
        <v>1</v>
      </c>
    </row>
    <row r="725" spans="91:102" ht="21" customHeight="1">
      <c r="CM725" s="494"/>
      <c r="CN725" s="496" t="s">
        <v>2542</v>
      </c>
      <c r="CO725" s="496" t="s">
        <v>8</v>
      </c>
      <c r="CP725" s="496" t="s">
        <v>689</v>
      </c>
      <c r="CQ725" s="496" t="s">
        <v>2543</v>
      </c>
      <c r="CR725" s="496" t="s">
        <v>2543</v>
      </c>
      <c r="CS725" s="496" t="s">
        <v>1554</v>
      </c>
      <c r="CT725" s="496" t="s">
        <v>1555</v>
      </c>
      <c r="CU725" s="496" t="s">
        <v>1981</v>
      </c>
      <c r="CV725" s="497" t="s">
        <v>1982</v>
      </c>
      <c r="CX725" s="543">
        <v>1</v>
      </c>
    </row>
    <row r="726" spans="91:102" ht="21" customHeight="1">
      <c r="CM726" s="494"/>
      <c r="CN726" s="496" t="s">
        <v>2544</v>
      </c>
      <c r="CO726" s="496" t="s">
        <v>8</v>
      </c>
      <c r="CP726" s="496" t="s">
        <v>689</v>
      </c>
      <c r="CQ726" s="496" t="s">
        <v>2545</v>
      </c>
      <c r="CR726" s="496" t="s">
        <v>2545</v>
      </c>
      <c r="CS726" s="496" t="s">
        <v>1554</v>
      </c>
      <c r="CT726" s="496" t="s">
        <v>1555</v>
      </c>
      <c r="CU726" s="496" t="s">
        <v>1981</v>
      </c>
      <c r="CV726" s="497" t="s">
        <v>1982</v>
      </c>
      <c r="CX726" s="543">
        <v>1</v>
      </c>
    </row>
    <row r="727" spans="91:102" ht="21" customHeight="1">
      <c r="CM727" s="494"/>
      <c r="CN727" s="496" t="s">
        <v>2546</v>
      </c>
      <c r="CO727" s="496" t="s">
        <v>8</v>
      </c>
      <c r="CP727" s="496" t="s">
        <v>689</v>
      </c>
      <c r="CQ727" s="496" t="s">
        <v>2547</v>
      </c>
      <c r="CR727" s="496" t="s">
        <v>2547</v>
      </c>
      <c r="CS727" s="496" t="s">
        <v>1554</v>
      </c>
      <c r="CT727" s="496" t="s">
        <v>1555</v>
      </c>
      <c r="CU727" s="496" t="s">
        <v>1981</v>
      </c>
      <c r="CV727" s="497" t="s">
        <v>1982</v>
      </c>
      <c r="CX727" s="543">
        <v>1</v>
      </c>
    </row>
    <row r="728" spans="91:102" ht="21" customHeight="1">
      <c r="CM728" s="494"/>
      <c r="CN728" s="496" t="s">
        <v>2548</v>
      </c>
      <c r="CO728" s="496" t="s">
        <v>8</v>
      </c>
      <c r="CP728" s="496" t="s">
        <v>689</v>
      </c>
      <c r="CQ728" s="496" t="s">
        <v>2549</v>
      </c>
      <c r="CR728" s="496" t="s">
        <v>2549</v>
      </c>
      <c r="CS728" s="496" t="s">
        <v>1554</v>
      </c>
      <c r="CT728" s="496" t="s">
        <v>1555</v>
      </c>
      <c r="CU728" s="496" t="s">
        <v>1981</v>
      </c>
      <c r="CV728" s="497" t="s">
        <v>1982</v>
      </c>
      <c r="CX728" s="543">
        <v>1</v>
      </c>
    </row>
    <row r="729" spans="91:102" ht="21" customHeight="1">
      <c r="CM729" s="494"/>
      <c r="CN729" s="496" t="s">
        <v>2550</v>
      </c>
      <c r="CO729" s="496" t="s">
        <v>8</v>
      </c>
      <c r="CP729" s="496" t="s">
        <v>689</v>
      </c>
      <c r="CQ729" s="496" t="s">
        <v>2551</v>
      </c>
      <c r="CR729" s="496" t="s">
        <v>2551</v>
      </c>
      <c r="CS729" s="496" t="s">
        <v>1085</v>
      </c>
      <c r="CT729" s="496" t="s">
        <v>2063</v>
      </c>
      <c r="CU729" s="496" t="s">
        <v>1087</v>
      </c>
      <c r="CV729" s="497" t="s">
        <v>1088</v>
      </c>
      <c r="CX729" s="543">
        <v>1</v>
      </c>
    </row>
    <row r="730" spans="91:102" ht="21" customHeight="1">
      <c r="CM730" s="494"/>
      <c r="CN730" s="496" t="s">
        <v>2552</v>
      </c>
      <c r="CO730" s="496" t="s">
        <v>8</v>
      </c>
      <c r="CP730" s="496" t="s">
        <v>689</v>
      </c>
      <c r="CQ730" s="496" t="s">
        <v>2553</v>
      </c>
      <c r="CR730" s="496" t="s">
        <v>2553</v>
      </c>
      <c r="CS730" s="496" t="s">
        <v>1554</v>
      </c>
      <c r="CT730" s="496" t="s">
        <v>1555</v>
      </c>
      <c r="CU730" s="496" t="s">
        <v>1981</v>
      </c>
      <c r="CV730" s="497" t="s">
        <v>1982</v>
      </c>
      <c r="CX730" s="543">
        <v>1</v>
      </c>
    </row>
    <row r="731" spans="91:102" ht="21" customHeight="1">
      <c r="CM731" s="494"/>
      <c r="CN731" s="496" t="s">
        <v>2554</v>
      </c>
      <c r="CO731" s="496" t="s">
        <v>8</v>
      </c>
      <c r="CP731" s="496" t="s">
        <v>689</v>
      </c>
      <c r="CQ731" s="496" t="s">
        <v>2555</v>
      </c>
      <c r="CR731" s="496" t="s">
        <v>2555</v>
      </c>
      <c r="CS731" s="496" t="s">
        <v>1554</v>
      </c>
      <c r="CT731" s="496" t="s">
        <v>1555</v>
      </c>
      <c r="CU731" s="496" t="s">
        <v>1981</v>
      </c>
      <c r="CV731" s="497" t="s">
        <v>1982</v>
      </c>
      <c r="CX731" s="543">
        <v>1</v>
      </c>
    </row>
    <row r="732" spans="91:102" ht="21" customHeight="1">
      <c r="CM732" s="494"/>
      <c r="CN732" s="496" t="s">
        <v>2556</v>
      </c>
      <c r="CO732" s="496" t="s">
        <v>8</v>
      </c>
      <c r="CP732" s="496" t="s">
        <v>689</v>
      </c>
      <c r="CQ732" s="496" t="s">
        <v>2557</v>
      </c>
      <c r="CR732" s="496" t="s">
        <v>2557</v>
      </c>
      <c r="CS732" s="496" t="s">
        <v>1554</v>
      </c>
      <c r="CT732" s="496" t="s">
        <v>1555</v>
      </c>
      <c r="CU732" s="496" t="s">
        <v>1981</v>
      </c>
      <c r="CV732" s="497" t="s">
        <v>1982</v>
      </c>
      <c r="CX732" s="543">
        <v>1</v>
      </c>
    </row>
    <row r="733" spans="91:102" ht="21" customHeight="1">
      <c r="CM733" s="494"/>
      <c r="CN733" s="496" t="s">
        <v>2558</v>
      </c>
      <c r="CO733" s="496" t="s">
        <v>8</v>
      </c>
      <c r="CP733" s="496" t="s">
        <v>689</v>
      </c>
      <c r="CQ733" s="496" t="s">
        <v>2559</v>
      </c>
      <c r="CR733" s="496" t="s">
        <v>2559</v>
      </c>
      <c r="CS733" s="496" t="s">
        <v>1554</v>
      </c>
      <c r="CT733" s="496" t="s">
        <v>1555</v>
      </c>
      <c r="CU733" s="496" t="s">
        <v>1981</v>
      </c>
      <c r="CV733" s="497" t="s">
        <v>1982</v>
      </c>
      <c r="CX733" s="543">
        <v>1</v>
      </c>
    </row>
    <row r="734" spans="91:102" ht="21" customHeight="1">
      <c r="CM734" s="494"/>
      <c r="CN734" s="496" t="s">
        <v>2560</v>
      </c>
      <c r="CO734" s="496" t="s">
        <v>8</v>
      </c>
      <c r="CP734" s="496" t="s">
        <v>689</v>
      </c>
      <c r="CQ734" s="496" t="s">
        <v>2561</v>
      </c>
      <c r="CR734" s="496" t="s">
        <v>2561</v>
      </c>
      <c r="CS734" s="496" t="s">
        <v>1554</v>
      </c>
      <c r="CT734" s="496" t="s">
        <v>1555</v>
      </c>
      <c r="CU734" s="496" t="s">
        <v>1981</v>
      </c>
      <c r="CV734" s="497" t="s">
        <v>1982</v>
      </c>
      <c r="CX734" s="543">
        <v>1</v>
      </c>
    </row>
    <row r="735" spans="91:102" ht="21" customHeight="1">
      <c r="CM735" s="494"/>
      <c r="CN735" s="496" t="s">
        <v>2562</v>
      </c>
      <c r="CO735" s="496" t="s">
        <v>8</v>
      </c>
      <c r="CP735" s="496" t="s">
        <v>689</v>
      </c>
      <c r="CQ735" s="496" t="s">
        <v>2563</v>
      </c>
      <c r="CR735" s="496" t="s">
        <v>2563</v>
      </c>
      <c r="CS735" s="496" t="s">
        <v>1085</v>
      </c>
      <c r="CT735" s="496" t="s">
        <v>2063</v>
      </c>
      <c r="CU735" s="496" t="s">
        <v>1087</v>
      </c>
      <c r="CV735" s="497" t="s">
        <v>1088</v>
      </c>
      <c r="CX735" s="543">
        <v>1</v>
      </c>
    </row>
    <row r="736" spans="91:102" ht="21" customHeight="1">
      <c r="CM736" s="494"/>
      <c r="CN736" s="496" t="s">
        <v>2564</v>
      </c>
      <c r="CO736" s="496" t="s">
        <v>8</v>
      </c>
      <c r="CP736" s="496" t="s">
        <v>689</v>
      </c>
      <c r="CQ736" s="496" t="s">
        <v>357</v>
      </c>
      <c r="CR736" s="496" t="s">
        <v>357</v>
      </c>
      <c r="CS736" s="496" t="s">
        <v>1151</v>
      </c>
      <c r="CT736" s="496" t="s">
        <v>1152</v>
      </c>
      <c r="CU736" s="496" t="s">
        <v>1087</v>
      </c>
      <c r="CV736" s="497" t="s">
        <v>1153</v>
      </c>
      <c r="CX736" s="543">
        <v>1</v>
      </c>
    </row>
    <row r="737" spans="91:102" ht="21" customHeight="1">
      <c r="CM737" s="494"/>
      <c r="CN737" s="496" t="s">
        <v>2565</v>
      </c>
      <c r="CO737" s="496" t="s">
        <v>8</v>
      </c>
      <c r="CP737" s="496" t="s">
        <v>689</v>
      </c>
      <c r="CQ737" s="496" t="s">
        <v>2566</v>
      </c>
      <c r="CR737" s="496" t="s">
        <v>2566</v>
      </c>
      <c r="CS737" s="496" t="s">
        <v>1085</v>
      </c>
      <c r="CT737" s="496" t="s">
        <v>2063</v>
      </c>
      <c r="CU737" s="496" t="s">
        <v>1087</v>
      </c>
      <c r="CV737" s="497" t="s">
        <v>1088</v>
      </c>
      <c r="CX737" s="543">
        <v>1</v>
      </c>
    </row>
    <row r="738" spans="91:102" ht="21" customHeight="1">
      <c r="CM738" s="494"/>
      <c r="CN738" s="496" t="s">
        <v>2567</v>
      </c>
      <c r="CO738" s="496" t="s">
        <v>8</v>
      </c>
      <c r="CP738" s="496" t="s">
        <v>689</v>
      </c>
      <c r="CQ738" s="496" t="s">
        <v>2568</v>
      </c>
      <c r="CR738" s="496" t="s">
        <v>2568</v>
      </c>
      <c r="CS738" s="496" t="s">
        <v>1554</v>
      </c>
      <c r="CT738" s="496" t="s">
        <v>1555</v>
      </c>
      <c r="CU738" s="496" t="s">
        <v>1981</v>
      </c>
      <c r="CV738" s="497" t="s">
        <v>1982</v>
      </c>
      <c r="CX738" s="543">
        <v>1</v>
      </c>
    </row>
    <row r="739" spans="91:102" ht="21" customHeight="1">
      <c r="CM739" s="494"/>
      <c r="CN739" s="496" t="s">
        <v>2569</v>
      </c>
      <c r="CO739" s="496" t="s">
        <v>8</v>
      </c>
      <c r="CP739" s="496" t="s">
        <v>689</v>
      </c>
      <c r="CQ739" s="496" t="s">
        <v>1028</v>
      </c>
      <c r="CR739" s="496" t="s">
        <v>1028</v>
      </c>
      <c r="CS739" s="496" t="s">
        <v>1554</v>
      </c>
      <c r="CT739" s="496" t="s">
        <v>1555</v>
      </c>
      <c r="CU739" s="496" t="s">
        <v>1981</v>
      </c>
      <c r="CV739" s="497" t="s">
        <v>1982</v>
      </c>
      <c r="CX739" s="543">
        <v>1</v>
      </c>
    </row>
    <row r="740" spans="91:102" ht="21" customHeight="1">
      <c r="CM740" s="494"/>
      <c r="CN740" s="496" t="s">
        <v>2570</v>
      </c>
      <c r="CO740" s="496" t="s">
        <v>8</v>
      </c>
      <c r="CP740" s="496" t="s">
        <v>689</v>
      </c>
      <c r="CQ740" s="496" t="s">
        <v>2571</v>
      </c>
      <c r="CR740" s="496" t="s">
        <v>2571</v>
      </c>
      <c r="CS740" s="496" t="s">
        <v>1554</v>
      </c>
      <c r="CT740" s="496" t="s">
        <v>1555</v>
      </c>
      <c r="CU740" s="496" t="s">
        <v>1981</v>
      </c>
      <c r="CV740" s="497" t="s">
        <v>1982</v>
      </c>
      <c r="CX740" s="543">
        <v>1</v>
      </c>
    </row>
    <row r="741" spans="91:102" ht="21" customHeight="1">
      <c r="CM741" s="494"/>
      <c r="CN741" s="496" t="s">
        <v>2572</v>
      </c>
      <c r="CO741" s="496" t="s">
        <v>8</v>
      </c>
      <c r="CP741" s="496" t="s">
        <v>689</v>
      </c>
      <c r="CQ741" s="496" t="s">
        <v>2573</v>
      </c>
      <c r="CR741" s="496" t="s">
        <v>2573</v>
      </c>
      <c r="CS741" s="496" t="s">
        <v>1554</v>
      </c>
      <c r="CT741" s="496" t="s">
        <v>1555</v>
      </c>
      <c r="CU741" s="496" t="s">
        <v>1981</v>
      </c>
      <c r="CV741" s="497" t="s">
        <v>1982</v>
      </c>
      <c r="CX741" s="543">
        <v>1</v>
      </c>
    </row>
    <row r="742" spans="91:102" ht="21" customHeight="1">
      <c r="CM742" s="494"/>
      <c r="CN742" s="496" t="s">
        <v>2574</v>
      </c>
      <c r="CO742" s="496" t="s">
        <v>8</v>
      </c>
      <c r="CP742" s="496" t="s">
        <v>689</v>
      </c>
      <c r="CQ742" s="496" t="s">
        <v>2575</v>
      </c>
      <c r="CR742" s="496" t="s">
        <v>2575</v>
      </c>
      <c r="CS742" s="496" t="s">
        <v>1554</v>
      </c>
      <c r="CT742" s="496" t="s">
        <v>1555</v>
      </c>
      <c r="CU742" s="496" t="s">
        <v>1981</v>
      </c>
      <c r="CV742" s="497" t="s">
        <v>1982</v>
      </c>
      <c r="CX742" s="543">
        <v>1</v>
      </c>
    </row>
    <row r="743" spans="91:102" ht="21" customHeight="1">
      <c r="CM743" s="494"/>
      <c r="CN743" s="496" t="s">
        <v>2576</v>
      </c>
      <c r="CO743" s="496" t="s">
        <v>8</v>
      </c>
      <c r="CP743" s="496" t="s">
        <v>689</v>
      </c>
      <c r="CQ743" s="496" t="s">
        <v>1029</v>
      </c>
      <c r="CR743" s="496" t="s">
        <v>1029</v>
      </c>
      <c r="CS743" s="496" t="s">
        <v>1554</v>
      </c>
      <c r="CT743" s="496" t="s">
        <v>1555</v>
      </c>
      <c r="CU743" s="496" t="s">
        <v>1981</v>
      </c>
      <c r="CV743" s="497" t="s">
        <v>1982</v>
      </c>
      <c r="CX743" s="543">
        <v>1</v>
      </c>
    </row>
    <row r="744" spans="91:102" ht="21" customHeight="1">
      <c r="CM744" s="494"/>
      <c r="CN744" s="496" t="s">
        <v>2577</v>
      </c>
      <c r="CO744" s="496" t="s">
        <v>8</v>
      </c>
      <c r="CP744" s="496" t="s">
        <v>689</v>
      </c>
      <c r="CQ744" s="496" t="s">
        <v>2578</v>
      </c>
      <c r="CR744" s="496" t="s">
        <v>2578</v>
      </c>
      <c r="CS744" s="496" t="s">
        <v>1554</v>
      </c>
      <c r="CT744" s="496" t="s">
        <v>1555</v>
      </c>
      <c r="CU744" s="496" t="s">
        <v>1981</v>
      </c>
      <c r="CV744" s="497" t="s">
        <v>1982</v>
      </c>
      <c r="CX744" s="543">
        <v>1</v>
      </c>
    </row>
    <row r="745" spans="91:102" ht="21" customHeight="1">
      <c r="CM745" s="494"/>
      <c r="CN745" s="496" t="s">
        <v>2579</v>
      </c>
      <c r="CO745" s="496" t="s">
        <v>8</v>
      </c>
      <c r="CP745" s="496" t="s">
        <v>689</v>
      </c>
      <c r="CQ745" s="496" t="s">
        <v>2580</v>
      </c>
      <c r="CR745" s="496" t="s">
        <v>2580</v>
      </c>
      <c r="CS745" s="496" t="s">
        <v>1085</v>
      </c>
      <c r="CT745" s="496" t="s">
        <v>2063</v>
      </c>
      <c r="CU745" s="496" t="s">
        <v>1087</v>
      </c>
      <c r="CV745" s="497" t="s">
        <v>1088</v>
      </c>
      <c r="CX745" s="543">
        <v>1</v>
      </c>
    </row>
    <row r="746" spans="91:102" ht="21" customHeight="1">
      <c r="CM746" s="494"/>
      <c r="CN746" s="496" t="s">
        <v>2581</v>
      </c>
      <c r="CO746" s="496" t="s">
        <v>8</v>
      </c>
      <c r="CP746" s="496" t="s">
        <v>689</v>
      </c>
      <c r="CQ746" s="496" t="s">
        <v>2582</v>
      </c>
      <c r="CR746" s="496" t="s">
        <v>2582</v>
      </c>
      <c r="CS746" s="496" t="s">
        <v>1554</v>
      </c>
      <c r="CT746" s="496" t="s">
        <v>1555</v>
      </c>
      <c r="CU746" s="496" t="s">
        <v>1981</v>
      </c>
      <c r="CV746" s="497" t="s">
        <v>1982</v>
      </c>
      <c r="CX746" s="543">
        <v>1</v>
      </c>
    </row>
    <row r="747" spans="91:102" ht="21" customHeight="1">
      <c r="CM747" s="494"/>
      <c r="CN747" s="496" t="s">
        <v>2583</v>
      </c>
      <c r="CO747" s="496" t="s">
        <v>8</v>
      </c>
      <c r="CP747" s="496" t="s">
        <v>689</v>
      </c>
      <c r="CQ747" s="496" t="s">
        <v>2584</v>
      </c>
      <c r="CR747" s="496" t="s">
        <v>2584</v>
      </c>
      <c r="CS747" s="496" t="s">
        <v>1554</v>
      </c>
      <c r="CT747" s="496" t="s">
        <v>1555</v>
      </c>
      <c r="CU747" s="496" t="s">
        <v>1981</v>
      </c>
      <c r="CV747" s="497" t="s">
        <v>1982</v>
      </c>
      <c r="CX747" s="543">
        <v>1</v>
      </c>
    </row>
    <row r="748" spans="91:102" ht="21" customHeight="1">
      <c r="CM748" s="494"/>
      <c r="CN748" s="496" t="s">
        <v>2585</v>
      </c>
      <c r="CO748" s="496" t="s">
        <v>8</v>
      </c>
      <c r="CP748" s="496" t="s">
        <v>689</v>
      </c>
      <c r="CQ748" s="496" t="s">
        <v>2586</v>
      </c>
      <c r="CR748" s="496" t="s">
        <v>2586</v>
      </c>
      <c r="CS748" s="496" t="s">
        <v>1554</v>
      </c>
      <c r="CT748" s="496" t="s">
        <v>1555</v>
      </c>
      <c r="CU748" s="496" t="s">
        <v>1981</v>
      </c>
      <c r="CV748" s="497" t="s">
        <v>1982</v>
      </c>
      <c r="CX748" s="543">
        <v>1</v>
      </c>
    </row>
    <row r="749" spans="91:102" ht="21" customHeight="1">
      <c r="CM749" s="494"/>
      <c r="CN749" s="496" t="s">
        <v>2587</v>
      </c>
      <c r="CO749" s="496" t="s">
        <v>8</v>
      </c>
      <c r="CP749" s="496" t="s">
        <v>689</v>
      </c>
      <c r="CQ749" s="496" t="s">
        <v>1030</v>
      </c>
      <c r="CR749" s="496" t="s">
        <v>1030</v>
      </c>
      <c r="CS749" s="496" t="s">
        <v>1085</v>
      </c>
      <c r="CT749" s="496" t="s">
        <v>2063</v>
      </c>
      <c r="CU749" s="496" t="s">
        <v>1087</v>
      </c>
      <c r="CV749" s="497" t="s">
        <v>1088</v>
      </c>
      <c r="CX749" s="543">
        <v>1</v>
      </c>
    </row>
    <row r="750" spans="91:102" ht="21" customHeight="1">
      <c r="CM750" s="494"/>
      <c r="CN750" s="496" t="s">
        <v>2588</v>
      </c>
      <c r="CO750" s="496" t="s">
        <v>8</v>
      </c>
      <c r="CP750" s="496" t="s">
        <v>689</v>
      </c>
      <c r="CQ750" s="496" t="s">
        <v>2589</v>
      </c>
      <c r="CR750" s="496" t="s">
        <v>2589</v>
      </c>
      <c r="CS750" s="496" t="s">
        <v>1554</v>
      </c>
      <c r="CT750" s="496" t="s">
        <v>1555</v>
      </c>
      <c r="CU750" s="496" t="s">
        <v>1981</v>
      </c>
      <c r="CV750" s="497" t="s">
        <v>1982</v>
      </c>
      <c r="CX750" s="543">
        <v>1</v>
      </c>
    </row>
    <row r="751" spans="91:102" ht="21" customHeight="1">
      <c r="CM751" s="494"/>
      <c r="CN751" s="496" t="s">
        <v>2590</v>
      </c>
      <c r="CO751" s="496" t="s">
        <v>8</v>
      </c>
      <c r="CP751" s="496" t="s">
        <v>689</v>
      </c>
      <c r="CQ751" s="496" t="s">
        <v>2591</v>
      </c>
      <c r="CR751" s="496" t="s">
        <v>2591</v>
      </c>
      <c r="CS751" s="496" t="s">
        <v>1554</v>
      </c>
      <c r="CT751" s="496" t="s">
        <v>1555</v>
      </c>
      <c r="CU751" s="496" t="s">
        <v>1981</v>
      </c>
      <c r="CV751" s="497" t="s">
        <v>1982</v>
      </c>
      <c r="CX751" s="543">
        <v>1</v>
      </c>
    </row>
    <row r="752" spans="91:102" ht="21" customHeight="1">
      <c r="CM752" s="494"/>
      <c r="CN752" s="496" t="s">
        <v>2592</v>
      </c>
      <c r="CO752" s="496" t="s">
        <v>8</v>
      </c>
      <c r="CP752" s="496" t="s">
        <v>689</v>
      </c>
      <c r="CQ752" s="496" t="s">
        <v>2593</v>
      </c>
      <c r="CR752" s="496" t="s">
        <v>2593</v>
      </c>
      <c r="CS752" s="496" t="s">
        <v>1554</v>
      </c>
      <c r="CT752" s="496" t="s">
        <v>1555</v>
      </c>
      <c r="CU752" s="496" t="s">
        <v>1981</v>
      </c>
      <c r="CV752" s="497" t="s">
        <v>1982</v>
      </c>
      <c r="CX752" s="543">
        <v>1</v>
      </c>
    </row>
    <row r="753" spans="91:102" ht="21" customHeight="1">
      <c r="CM753" s="494"/>
      <c r="CN753" s="496" t="s">
        <v>2594</v>
      </c>
      <c r="CO753" s="496" t="s">
        <v>8</v>
      </c>
      <c r="CP753" s="496" t="s">
        <v>689</v>
      </c>
      <c r="CQ753" s="496" t="s">
        <v>2595</v>
      </c>
      <c r="CR753" s="496" t="s">
        <v>2595</v>
      </c>
      <c r="CS753" s="496" t="s">
        <v>1554</v>
      </c>
      <c r="CT753" s="496" t="s">
        <v>1555</v>
      </c>
      <c r="CU753" s="496" t="s">
        <v>1981</v>
      </c>
      <c r="CV753" s="497" t="s">
        <v>1982</v>
      </c>
      <c r="CX753" s="543">
        <v>1</v>
      </c>
    </row>
    <row r="754" spans="91:102" ht="21" customHeight="1">
      <c r="CM754" s="494"/>
      <c r="CN754" s="496" t="s">
        <v>2596</v>
      </c>
      <c r="CO754" s="496" t="s">
        <v>8</v>
      </c>
      <c r="CP754" s="496" t="s">
        <v>689</v>
      </c>
      <c r="CQ754" s="496" t="s">
        <v>2597</v>
      </c>
      <c r="CR754" s="496" t="s">
        <v>2597</v>
      </c>
      <c r="CS754" s="496" t="s">
        <v>1554</v>
      </c>
      <c r="CT754" s="496" t="s">
        <v>1555</v>
      </c>
      <c r="CU754" s="496" t="s">
        <v>1981</v>
      </c>
      <c r="CV754" s="497" t="s">
        <v>1982</v>
      </c>
      <c r="CX754" s="543">
        <v>1</v>
      </c>
    </row>
    <row r="755" spans="91:102" ht="21" customHeight="1">
      <c r="CM755" s="494"/>
      <c r="CN755" s="496" t="s">
        <v>2598</v>
      </c>
      <c r="CO755" s="496" t="s">
        <v>8</v>
      </c>
      <c r="CP755" s="496" t="s">
        <v>689</v>
      </c>
      <c r="CQ755" s="496" t="s">
        <v>2599</v>
      </c>
      <c r="CR755" s="496" t="s">
        <v>2599</v>
      </c>
      <c r="CS755" s="496" t="s">
        <v>1554</v>
      </c>
      <c r="CT755" s="496" t="s">
        <v>1555</v>
      </c>
      <c r="CU755" s="496" t="s">
        <v>1981</v>
      </c>
      <c r="CV755" s="497" t="s">
        <v>1982</v>
      </c>
      <c r="CX755" s="543">
        <v>1</v>
      </c>
    </row>
    <row r="756" spans="91:102" ht="21" customHeight="1">
      <c r="CM756" s="494"/>
      <c r="CN756" s="496" t="s">
        <v>2600</v>
      </c>
      <c r="CO756" s="496" t="s">
        <v>8</v>
      </c>
      <c r="CP756" s="496" t="s">
        <v>689</v>
      </c>
      <c r="CQ756" s="496" t="s">
        <v>2601</v>
      </c>
      <c r="CR756" s="496" t="s">
        <v>2601</v>
      </c>
      <c r="CS756" s="496" t="s">
        <v>1554</v>
      </c>
      <c r="CT756" s="496" t="s">
        <v>1555</v>
      </c>
      <c r="CU756" s="496" t="s">
        <v>1981</v>
      </c>
      <c r="CV756" s="497" t="s">
        <v>1982</v>
      </c>
      <c r="CX756" s="543">
        <v>1</v>
      </c>
    </row>
    <row r="757" spans="91:102" ht="21" customHeight="1">
      <c r="CM757" s="494"/>
      <c r="CN757" s="496" t="s">
        <v>2602</v>
      </c>
      <c r="CO757" s="496" t="s">
        <v>8</v>
      </c>
      <c r="CP757" s="496" t="s">
        <v>689</v>
      </c>
      <c r="CQ757" s="496" t="s">
        <v>2603</v>
      </c>
      <c r="CR757" s="496" t="s">
        <v>2603</v>
      </c>
      <c r="CS757" s="496" t="s">
        <v>1554</v>
      </c>
      <c r="CT757" s="496" t="s">
        <v>1555</v>
      </c>
      <c r="CU757" s="496" t="s">
        <v>1981</v>
      </c>
      <c r="CV757" s="497" t="s">
        <v>1982</v>
      </c>
      <c r="CX757" s="543">
        <v>1</v>
      </c>
    </row>
    <row r="758" spans="91:102" ht="21" customHeight="1">
      <c r="CM758" s="494"/>
      <c r="CN758" s="496" t="s">
        <v>2604</v>
      </c>
      <c r="CO758" s="496" t="s">
        <v>8</v>
      </c>
      <c r="CP758" s="496" t="s">
        <v>689</v>
      </c>
      <c r="CQ758" s="496" t="s">
        <v>2605</v>
      </c>
      <c r="CR758" s="496" t="s">
        <v>2605</v>
      </c>
      <c r="CS758" s="496" t="s">
        <v>1554</v>
      </c>
      <c r="CT758" s="496" t="s">
        <v>1555</v>
      </c>
      <c r="CU758" s="496" t="s">
        <v>1981</v>
      </c>
      <c r="CV758" s="497" t="s">
        <v>1982</v>
      </c>
      <c r="CX758" s="543">
        <v>1</v>
      </c>
    </row>
    <row r="759" spans="91:102" ht="21" customHeight="1">
      <c r="CM759" s="494"/>
      <c r="CN759" s="496" t="s">
        <v>2606</v>
      </c>
      <c r="CO759" s="496" t="s">
        <v>8</v>
      </c>
      <c r="CP759" s="496" t="s">
        <v>689</v>
      </c>
      <c r="CQ759" s="496" t="s">
        <v>2607</v>
      </c>
      <c r="CR759" s="496" t="s">
        <v>2607</v>
      </c>
      <c r="CS759" s="496" t="s">
        <v>1554</v>
      </c>
      <c r="CT759" s="496" t="s">
        <v>1555</v>
      </c>
      <c r="CU759" s="496" t="s">
        <v>1981</v>
      </c>
      <c r="CV759" s="497" t="s">
        <v>1982</v>
      </c>
      <c r="CX759" s="543">
        <v>1</v>
      </c>
    </row>
    <row r="760" spans="91:102" ht="21" customHeight="1">
      <c r="CM760" s="494"/>
      <c r="CN760" s="496" t="s">
        <v>2608</v>
      </c>
      <c r="CO760" s="496" t="s">
        <v>8</v>
      </c>
      <c r="CP760" s="496" t="s">
        <v>689</v>
      </c>
      <c r="CQ760" s="496" t="s">
        <v>2609</v>
      </c>
      <c r="CR760" s="496" t="s">
        <v>2609</v>
      </c>
      <c r="CS760" s="496" t="s">
        <v>1554</v>
      </c>
      <c r="CT760" s="496" t="s">
        <v>1555</v>
      </c>
      <c r="CU760" s="496" t="s">
        <v>1981</v>
      </c>
      <c r="CV760" s="497" t="s">
        <v>1982</v>
      </c>
      <c r="CX760" s="543">
        <v>1</v>
      </c>
    </row>
    <row r="761" spans="91:102" ht="21" customHeight="1">
      <c r="CM761" s="494"/>
      <c r="CN761" s="496" t="s">
        <v>2610</v>
      </c>
      <c r="CO761" s="496" t="s">
        <v>8</v>
      </c>
      <c r="CP761" s="496" t="s">
        <v>689</v>
      </c>
      <c r="CQ761" s="496" t="s">
        <v>2611</v>
      </c>
      <c r="CR761" s="496" t="s">
        <v>2611</v>
      </c>
      <c r="CS761" s="496" t="s">
        <v>1554</v>
      </c>
      <c r="CT761" s="496" t="s">
        <v>1555</v>
      </c>
      <c r="CU761" s="496" t="s">
        <v>1981</v>
      </c>
      <c r="CV761" s="497" t="s">
        <v>1982</v>
      </c>
      <c r="CX761" s="543">
        <v>1</v>
      </c>
    </row>
    <row r="762" spans="91:102" ht="21" customHeight="1">
      <c r="CM762" s="494"/>
      <c r="CN762" s="496" t="s">
        <v>2612</v>
      </c>
      <c r="CO762" s="496" t="s">
        <v>8</v>
      </c>
      <c r="CP762" s="496" t="s">
        <v>689</v>
      </c>
      <c r="CQ762" s="496" t="s">
        <v>2613</v>
      </c>
      <c r="CR762" s="496" t="s">
        <v>2613</v>
      </c>
      <c r="CS762" s="496" t="s">
        <v>1554</v>
      </c>
      <c r="CT762" s="496" t="s">
        <v>1555</v>
      </c>
      <c r="CU762" s="496" t="s">
        <v>1981</v>
      </c>
      <c r="CV762" s="497" t="s">
        <v>1982</v>
      </c>
      <c r="CX762" s="543">
        <v>1</v>
      </c>
    </row>
    <row r="763" spans="91:102" ht="21" customHeight="1">
      <c r="CM763" s="494"/>
      <c r="CN763" s="496" t="s">
        <v>2614</v>
      </c>
      <c r="CO763" s="496" t="s">
        <v>8</v>
      </c>
      <c r="CP763" s="496" t="s">
        <v>689</v>
      </c>
      <c r="CQ763" s="496" t="s">
        <v>1031</v>
      </c>
      <c r="CR763" s="496" t="s">
        <v>1031</v>
      </c>
      <c r="CS763" s="496" t="s">
        <v>1085</v>
      </c>
      <c r="CT763" s="496" t="s">
        <v>2063</v>
      </c>
      <c r="CU763" s="496" t="s">
        <v>1087</v>
      </c>
      <c r="CV763" s="497" t="s">
        <v>1088</v>
      </c>
      <c r="CX763" s="543">
        <v>1</v>
      </c>
    </row>
    <row r="764" spans="91:102" ht="21" customHeight="1">
      <c r="CM764" s="494"/>
      <c r="CN764" s="496" t="s">
        <v>2615</v>
      </c>
      <c r="CO764" s="496" t="s">
        <v>8</v>
      </c>
      <c r="CP764" s="496" t="s">
        <v>689</v>
      </c>
      <c r="CQ764" s="496" t="s">
        <v>2616</v>
      </c>
      <c r="CR764" s="496" t="s">
        <v>700</v>
      </c>
      <c r="CS764" s="496" t="s">
        <v>1085</v>
      </c>
      <c r="CT764" s="496" t="s">
        <v>2063</v>
      </c>
      <c r="CU764" s="496" t="s">
        <v>1087</v>
      </c>
      <c r="CV764" s="497" t="s">
        <v>1088</v>
      </c>
      <c r="CX764" s="543">
        <v>1</v>
      </c>
    </row>
    <row r="765" spans="91:102" ht="21" customHeight="1">
      <c r="CM765" s="494"/>
      <c r="CN765" s="496" t="s">
        <v>2617</v>
      </c>
      <c r="CO765" s="496" t="s">
        <v>8</v>
      </c>
      <c r="CP765" s="496" t="s">
        <v>689</v>
      </c>
      <c r="CQ765" s="496" t="s">
        <v>2618</v>
      </c>
      <c r="CR765" s="496" t="s">
        <v>2619</v>
      </c>
      <c r="CS765" s="496" t="s">
        <v>1085</v>
      </c>
      <c r="CT765" s="496" t="s">
        <v>2063</v>
      </c>
      <c r="CU765" s="496" t="s">
        <v>1087</v>
      </c>
      <c r="CV765" s="497" t="s">
        <v>1088</v>
      </c>
      <c r="CX765" s="543">
        <v>1</v>
      </c>
    </row>
    <row r="766" spans="91:102" ht="21" customHeight="1">
      <c r="CM766" s="494"/>
      <c r="CN766" s="496" t="s">
        <v>2620</v>
      </c>
      <c r="CO766" s="496" t="s">
        <v>8</v>
      </c>
      <c r="CP766" s="496" t="s">
        <v>689</v>
      </c>
      <c r="CQ766" s="496" t="s">
        <v>2621</v>
      </c>
      <c r="CR766" s="496" t="s">
        <v>2621</v>
      </c>
      <c r="CS766" s="496" t="s">
        <v>1554</v>
      </c>
      <c r="CT766" s="496" t="s">
        <v>1555</v>
      </c>
      <c r="CU766" s="496" t="s">
        <v>1981</v>
      </c>
      <c r="CV766" s="497" t="s">
        <v>1982</v>
      </c>
      <c r="CX766" s="543">
        <v>1</v>
      </c>
    </row>
    <row r="767" spans="91:102" ht="21" customHeight="1">
      <c r="CM767" s="494"/>
      <c r="CN767" s="496" t="s">
        <v>2622</v>
      </c>
      <c r="CO767" s="496" t="s">
        <v>8</v>
      </c>
      <c r="CP767" s="496" t="s">
        <v>689</v>
      </c>
      <c r="CQ767" s="496" t="s">
        <v>2623</v>
      </c>
      <c r="CR767" s="496" t="s">
        <v>2623</v>
      </c>
      <c r="CS767" s="496" t="s">
        <v>1554</v>
      </c>
      <c r="CT767" s="496" t="s">
        <v>1555</v>
      </c>
      <c r="CU767" s="496" t="s">
        <v>1981</v>
      </c>
      <c r="CV767" s="497" t="s">
        <v>1982</v>
      </c>
      <c r="CX767" s="543">
        <v>1</v>
      </c>
    </row>
    <row r="768" spans="91:102" ht="21" customHeight="1">
      <c r="CM768" s="494"/>
      <c r="CN768" s="496" t="s">
        <v>2624</v>
      </c>
      <c r="CO768" s="496" t="s">
        <v>8</v>
      </c>
      <c r="CP768" s="496" t="s">
        <v>689</v>
      </c>
      <c r="CQ768" s="496" t="s">
        <v>2625</v>
      </c>
      <c r="CR768" s="496" t="s">
        <v>2625</v>
      </c>
      <c r="CS768" s="496" t="s">
        <v>1554</v>
      </c>
      <c r="CT768" s="496" t="s">
        <v>1555</v>
      </c>
      <c r="CU768" s="496" t="s">
        <v>1981</v>
      </c>
      <c r="CV768" s="497" t="s">
        <v>1982</v>
      </c>
      <c r="CX768" s="543">
        <v>1</v>
      </c>
    </row>
    <row r="769" spans="91:102" ht="21" customHeight="1">
      <c r="CM769" s="494"/>
      <c r="CN769" s="496" t="s">
        <v>2626</v>
      </c>
      <c r="CO769" s="496" t="s">
        <v>8</v>
      </c>
      <c r="CP769" s="496" t="s">
        <v>689</v>
      </c>
      <c r="CQ769" s="496" t="s">
        <v>2627</v>
      </c>
      <c r="CR769" s="496" t="s">
        <v>2627</v>
      </c>
      <c r="CS769" s="496" t="s">
        <v>1554</v>
      </c>
      <c r="CT769" s="496" t="s">
        <v>1555</v>
      </c>
      <c r="CU769" s="496" t="s">
        <v>1981</v>
      </c>
      <c r="CV769" s="497" t="s">
        <v>1982</v>
      </c>
      <c r="CX769" s="543">
        <v>1</v>
      </c>
    </row>
    <row r="770" spans="91:102" ht="21" customHeight="1">
      <c r="CM770" s="494"/>
      <c r="CN770" s="496" t="s">
        <v>2628</v>
      </c>
      <c r="CO770" s="496" t="s">
        <v>8</v>
      </c>
      <c r="CP770" s="496" t="s">
        <v>689</v>
      </c>
      <c r="CQ770" s="496" t="s">
        <v>2629</v>
      </c>
      <c r="CR770" s="496" t="s">
        <v>2629</v>
      </c>
      <c r="CS770" s="496" t="s">
        <v>1554</v>
      </c>
      <c r="CT770" s="496" t="s">
        <v>1555</v>
      </c>
      <c r="CU770" s="496" t="s">
        <v>1981</v>
      </c>
      <c r="CV770" s="497" t="s">
        <v>1982</v>
      </c>
      <c r="CX770" s="543">
        <v>1</v>
      </c>
    </row>
    <row r="771" spans="91:102" ht="21" customHeight="1">
      <c r="CM771" s="494"/>
      <c r="CN771" s="496" t="s">
        <v>2630</v>
      </c>
      <c r="CO771" s="496" t="s">
        <v>8</v>
      </c>
      <c r="CP771" s="496" t="s">
        <v>689</v>
      </c>
      <c r="CQ771" s="496" t="s">
        <v>2631</v>
      </c>
      <c r="CR771" s="496" t="s">
        <v>2631</v>
      </c>
      <c r="CS771" s="496" t="s">
        <v>1554</v>
      </c>
      <c r="CT771" s="496" t="s">
        <v>1555</v>
      </c>
      <c r="CU771" s="496" t="s">
        <v>1981</v>
      </c>
      <c r="CV771" s="497" t="s">
        <v>1982</v>
      </c>
      <c r="CX771" s="543">
        <v>1</v>
      </c>
    </row>
    <row r="772" spans="91:102" ht="21" customHeight="1">
      <c r="CM772" s="494"/>
      <c r="CN772" s="496" t="s">
        <v>2632</v>
      </c>
      <c r="CO772" s="496" t="s">
        <v>8</v>
      </c>
      <c r="CP772" s="496" t="s">
        <v>689</v>
      </c>
      <c r="CQ772" s="496" t="s">
        <v>2633</v>
      </c>
      <c r="CR772" s="496" t="s">
        <v>2633</v>
      </c>
      <c r="CS772" s="496" t="s">
        <v>1554</v>
      </c>
      <c r="CT772" s="496" t="s">
        <v>1555</v>
      </c>
      <c r="CU772" s="496" t="s">
        <v>1981</v>
      </c>
      <c r="CV772" s="497" t="s">
        <v>1982</v>
      </c>
      <c r="CX772" s="543">
        <v>1</v>
      </c>
    </row>
    <row r="773" spans="91:102" ht="21" customHeight="1">
      <c r="CM773" s="494"/>
      <c r="CN773" s="496" t="s">
        <v>2634</v>
      </c>
      <c r="CO773" s="496" t="s">
        <v>8</v>
      </c>
      <c r="CP773" s="496" t="s">
        <v>689</v>
      </c>
      <c r="CQ773" s="496" t="s">
        <v>2635</v>
      </c>
      <c r="CR773" s="496" t="s">
        <v>2635</v>
      </c>
      <c r="CS773" s="496" t="s">
        <v>1554</v>
      </c>
      <c r="CT773" s="496" t="s">
        <v>1555</v>
      </c>
      <c r="CU773" s="496" t="s">
        <v>1981</v>
      </c>
      <c r="CV773" s="497" t="s">
        <v>1982</v>
      </c>
      <c r="CX773" s="543">
        <v>1</v>
      </c>
    </row>
    <row r="774" spans="91:102" ht="21" customHeight="1">
      <c r="CM774" s="494"/>
      <c r="CN774" s="496" t="s">
        <v>2636</v>
      </c>
      <c r="CO774" s="496" t="s">
        <v>8</v>
      </c>
      <c r="CP774" s="496" t="s">
        <v>689</v>
      </c>
      <c r="CQ774" s="496" t="s">
        <v>2637</v>
      </c>
      <c r="CR774" s="496" t="s">
        <v>2637</v>
      </c>
      <c r="CS774" s="496" t="s">
        <v>1554</v>
      </c>
      <c r="CT774" s="496" t="s">
        <v>1555</v>
      </c>
      <c r="CU774" s="496" t="s">
        <v>1981</v>
      </c>
      <c r="CV774" s="497" t="s">
        <v>1982</v>
      </c>
      <c r="CX774" s="543">
        <v>1</v>
      </c>
    </row>
    <row r="775" spans="91:102" ht="21" customHeight="1">
      <c r="CM775" s="494"/>
      <c r="CN775" s="496" t="s">
        <v>2638</v>
      </c>
      <c r="CO775" s="496" t="s">
        <v>8</v>
      </c>
      <c r="CP775" s="496" t="s">
        <v>689</v>
      </c>
      <c r="CQ775" s="496" t="s">
        <v>2639</v>
      </c>
      <c r="CR775" s="496" t="s">
        <v>2639</v>
      </c>
      <c r="CS775" s="496" t="s">
        <v>1554</v>
      </c>
      <c r="CT775" s="496" t="s">
        <v>1555</v>
      </c>
      <c r="CU775" s="496" t="s">
        <v>1981</v>
      </c>
      <c r="CV775" s="497" t="s">
        <v>1982</v>
      </c>
      <c r="CX775" s="543">
        <v>1</v>
      </c>
    </row>
    <row r="776" spans="91:102" ht="21" customHeight="1">
      <c r="CM776" s="494"/>
      <c r="CN776" s="496" t="s">
        <v>2640</v>
      </c>
      <c r="CO776" s="496" t="s">
        <v>8</v>
      </c>
      <c r="CP776" s="496" t="s">
        <v>689</v>
      </c>
      <c r="CQ776" s="496" t="s">
        <v>2641</v>
      </c>
      <c r="CR776" s="496" t="s">
        <v>2641</v>
      </c>
      <c r="CS776" s="496" t="s">
        <v>1554</v>
      </c>
      <c r="CT776" s="496" t="s">
        <v>1555</v>
      </c>
      <c r="CU776" s="496" t="s">
        <v>1981</v>
      </c>
      <c r="CV776" s="497" t="s">
        <v>1982</v>
      </c>
      <c r="CX776" s="543">
        <v>1</v>
      </c>
    </row>
    <row r="777" spans="91:102" ht="21" customHeight="1">
      <c r="CM777" s="494"/>
      <c r="CN777" s="496" t="s">
        <v>2642</v>
      </c>
      <c r="CO777" s="496" t="s">
        <v>8</v>
      </c>
      <c r="CP777" s="496" t="s">
        <v>689</v>
      </c>
      <c r="CQ777" s="496" t="s">
        <v>2643</v>
      </c>
      <c r="CR777" s="496" t="s">
        <v>2643</v>
      </c>
      <c r="CS777" s="496" t="s">
        <v>1554</v>
      </c>
      <c r="CT777" s="496" t="s">
        <v>1555</v>
      </c>
      <c r="CU777" s="496" t="s">
        <v>1981</v>
      </c>
      <c r="CV777" s="497" t="s">
        <v>1982</v>
      </c>
      <c r="CX777" s="543">
        <v>1</v>
      </c>
    </row>
    <row r="778" spans="91:102" ht="21" customHeight="1">
      <c r="CM778" s="494"/>
      <c r="CN778" s="496" t="s">
        <v>2644</v>
      </c>
      <c r="CO778" s="496" t="s">
        <v>8</v>
      </c>
      <c r="CP778" s="496" t="s">
        <v>689</v>
      </c>
      <c r="CQ778" s="496" t="s">
        <v>2645</v>
      </c>
      <c r="CR778" s="496" t="s">
        <v>2645</v>
      </c>
      <c r="CS778" s="496" t="s">
        <v>1554</v>
      </c>
      <c r="CT778" s="496" t="s">
        <v>1555</v>
      </c>
      <c r="CU778" s="496" t="s">
        <v>1981</v>
      </c>
      <c r="CV778" s="497" t="s">
        <v>1982</v>
      </c>
      <c r="CX778" s="543">
        <v>1</v>
      </c>
    </row>
    <row r="779" spans="91:102" ht="21" customHeight="1">
      <c r="CM779" s="494"/>
      <c r="CN779" s="496" t="s">
        <v>2646</v>
      </c>
      <c r="CO779" s="496" t="s">
        <v>8</v>
      </c>
      <c r="CP779" s="496" t="s">
        <v>689</v>
      </c>
      <c r="CQ779" s="496" t="s">
        <v>2647</v>
      </c>
      <c r="CR779" s="496" t="s">
        <v>2647</v>
      </c>
      <c r="CS779" s="496" t="s">
        <v>1554</v>
      </c>
      <c r="CT779" s="496" t="s">
        <v>1555</v>
      </c>
      <c r="CU779" s="496" t="s">
        <v>1981</v>
      </c>
      <c r="CV779" s="497" t="s">
        <v>1982</v>
      </c>
      <c r="CX779" s="543">
        <v>1</v>
      </c>
    </row>
    <row r="780" spans="91:102" ht="21" customHeight="1">
      <c r="CM780" s="494"/>
      <c r="CN780" s="496" t="s">
        <v>2648</v>
      </c>
      <c r="CO780" s="496" t="s">
        <v>8</v>
      </c>
      <c r="CP780" s="496" t="s">
        <v>689</v>
      </c>
      <c r="CQ780" s="496" t="s">
        <v>2649</v>
      </c>
      <c r="CR780" s="496" t="s">
        <v>2649</v>
      </c>
      <c r="CS780" s="496" t="s">
        <v>1554</v>
      </c>
      <c r="CT780" s="496" t="s">
        <v>1555</v>
      </c>
      <c r="CU780" s="496" t="s">
        <v>1981</v>
      </c>
      <c r="CV780" s="497" t="s">
        <v>1982</v>
      </c>
      <c r="CX780" s="543">
        <v>1</v>
      </c>
    </row>
    <row r="781" spans="91:102" ht="21" customHeight="1">
      <c r="CM781" s="494"/>
      <c r="CN781" s="496" t="s">
        <v>2650</v>
      </c>
      <c r="CO781" s="496" t="s">
        <v>8</v>
      </c>
      <c r="CP781" s="496" t="s">
        <v>689</v>
      </c>
      <c r="CQ781" s="496" t="s">
        <v>2651</v>
      </c>
      <c r="CR781" s="496" t="s">
        <v>2651</v>
      </c>
      <c r="CS781" s="496" t="s">
        <v>1554</v>
      </c>
      <c r="CT781" s="496" t="s">
        <v>1555</v>
      </c>
      <c r="CU781" s="496" t="s">
        <v>1981</v>
      </c>
      <c r="CV781" s="497" t="s">
        <v>1982</v>
      </c>
      <c r="CX781" s="543">
        <v>1</v>
      </c>
    </row>
    <row r="782" spans="91:102" ht="21" customHeight="1">
      <c r="CM782" s="494"/>
      <c r="CN782" s="496" t="s">
        <v>2652</v>
      </c>
      <c r="CO782" s="496" t="s">
        <v>8</v>
      </c>
      <c r="CP782" s="496" t="s">
        <v>689</v>
      </c>
      <c r="CQ782" s="496" t="s">
        <v>2653</v>
      </c>
      <c r="CR782" s="496" t="s">
        <v>2653</v>
      </c>
      <c r="CS782" s="496" t="s">
        <v>1554</v>
      </c>
      <c r="CT782" s="496" t="s">
        <v>1555</v>
      </c>
      <c r="CU782" s="496" t="s">
        <v>1981</v>
      </c>
      <c r="CV782" s="497" t="s">
        <v>1982</v>
      </c>
      <c r="CX782" s="543">
        <v>1</v>
      </c>
    </row>
    <row r="783" spans="91:102" ht="21" customHeight="1">
      <c r="CM783" s="494"/>
      <c r="CN783" s="496" t="s">
        <v>2654</v>
      </c>
      <c r="CO783" s="496" t="s">
        <v>8</v>
      </c>
      <c r="CP783" s="496" t="s">
        <v>689</v>
      </c>
      <c r="CQ783" s="496" t="s">
        <v>2655</v>
      </c>
      <c r="CR783" s="496" t="s">
        <v>2655</v>
      </c>
      <c r="CS783" s="496" t="s">
        <v>1554</v>
      </c>
      <c r="CT783" s="496" t="s">
        <v>1555</v>
      </c>
      <c r="CU783" s="496" t="s">
        <v>1981</v>
      </c>
      <c r="CV783" s="497" t="s">
        <v>1982</v>
      </c>
      <c r="CX783" s="543">
        <v>1</v>
      </c>
    </row>
    <row r="784" spans="91:102" ht="21" customHeight="1">
      <c r="CM784" s="494"/>
      <c r="CN784" s="496" t="s">
        <v>2656</v>
      </c>
      <c r="CO784" s="496" t="s">
        <v>8</v>
      </c>
      <c r="CP784" s="496" t="s">
        <v>689</v>
      </c>
      <c r="CQ784" s="496" t="s">
        <v>2657</v>
      </c>
      <c r="CR784" s="496" t="s">
        <v>2657</v>
      </c>
      <c r="CS784" s="496" t="s">
        <v>1554</v>
      </c>
      <c r="CT784" s="496" t="s">
        <v>1555</v>
      </c>
      <c r="CU784" s="496" t="s">
        <v>1981</v>
      </c>
      <c r="CV784" s="497" t="s">
        <v>1982</v>
      </c>
      <c r="CX784" s="543">
        <v>1</v>
      </c>
    </row>
    <row r="785" spans="91:102" ht="21" customHeight="1">
      <c r="CM785" s="494"/>
      <c r="CN785" s="496" t="s">
        <v>2658</v>
      </c>
      <c r="CO785" s="496" t="s">
        <v>8</v>
      </c>
      <c r="CP785" s="496" t="s">
        <v>689</v>
      </c>
      <c r="CQ785" s="496" t="s">
        <v>2659</v>
      </c>
      <c r="CR785" s="496" t="s">
        <v>2659</v>
      </c>
      <c r="CS785" s="496" t="s">
        <v>1554</v>
      </c>
      <c r="CT785" s="496" t="s">
        <v>1555</v>
      </c>
      <c r="CU785" s="496" t="s">
        <v>1981</v>
      </c>
      <c r="CV785" s="497" t="s">
        <v>1982</v>
      </c>
      <c r="CX785" s="543">
        <v>1</v>
      </c>
    </row>
    <row r="786" spans="91:102" ht="21" customHeight="1">
      <c r="CM786" s="494"/>
      <c r="CN786" s="496" t="s">
        <v>2660</v>
      </c>
      <c r="CO786" s="496" t="s">
        <v>8</v>
      </c>
      <c r="CP786" s="496" t="s">
        <v>689</v>
      </c>
      <c r="CQ786" s="496" t="s">
        <v>2661</v>
      </c>
      <c r="CR786" s="496" t="s">
        <v>2661</v>
      </c>
      <c r="CS786" s="496" t="s">
        <v>1554</v>
      </c>
      <c r="CT786" s="496" t="s">
        <v>1555</v>
      </c>
      <c r="CU786" s="496" t="s">
        <v>1981</v>
      </c>
      <c r="CV786" s="497" t="s">
        <v>1982</v>
      </c>
      <c r="CX786" s="543">
        <v>1</v>
      </c>
    </row>
    <row r="787" spans="91:102" ht="21" customHeight="1">
      <c r="CM787" s="494"/>
      <c r="CN787" s="496" t="s">
        <v>2662</v>
      </c>
      <c r="CO787" s="496" t="s">
        <v>8</v>
      </c>
      <c r="CP787" s="496" t="s">
        <v>689</v>
      </c>
      <c r="CQ787" s="496" t="s">
        <v>2663</v>
      </c>
      <c r="CR787" s="496" t="s">
        <v>2663</v>
      </c>
      <c r="CS787" s="496" t="s">
        <v>1554</v>
      </c>
      <c r="CT787" s="496" t="s">
        <v>1555</v>
      </c>
      <c r="CU787" s="496" t="s">
        <v>1981</v>
      </c>
      <c r="CV787" s="497" t="s">
        <v>1982</v>
      </c>
      <c r="CX787" s="543">
        <v>1</v>
      </c>
    </row>
    <row r="788" spans="91:102" ht="21" customHeight="1">
      <c r="CM788" s="494"/>
      <c r="CN788" s="496" t="s">
        <v>2664</v>
      </c>
      <c r="CO788" s="496" t="s">
        <v>8</v>
      </c>
      <c r="CP788" s="496" t="s">
        <v>689</v>
      </c>
      <c r="CQ788" s="496" t="s">
        <v>2665</v>
      </c>
      <c r="CR788" s="496" t="s">
        <v>2665</v>
      </c>
      <c r="CS788" s="496" t="s">
        <v>1554</v>
      </c>
      <c r="CT788" s="496" t="s">
        <v>1555</v>
      </c>
      <c r="CU788" s="496" t="s">
        <v>1981</v>
      </c>
      <c r="CV788" s="497" t="s">
        <v>1982</v>
      </c>
      <c r="CX788" s="543">
        <v>1</v>
      </c>
    </row>
    <row r="789" spans="91:102" ht="21" customHeight="1">
      <c r="CM789" s="494"/>
      <c r="CN789" s="496" t="s">
        <v>2666</v>
      </c>
      <c r="CO789" s="496" t="s">
        <v>8</v>
      </c>
      <c r="CP789" s="496" t="s">
        <v>689</v>
      </c>
      <c r="CQ789" s="496" t="s">
        <v>2667</v>
      </c>
      <c r="CR789" s="496" t="s">
        <v>2667</v>
      </c>
      <c r="CS789" s="496" t="s">
        <v>1554</v>
      </c>
      <c r="CT789" s="496" t="s">
        <v>1555</v>
      </c>
      <c r="CU789" s="496" t="s">
        <v>1981</v>
      </c>
      <c r="CV789" s="497" t="s">
        <v>1982</v>
      </c>
      <c r="CX789" s="543">
        <v>1</v>
      </c>
    </row>
    <row r="790" spans="91:102" ht="21" customHeight="1">
      <c r="CM790" s="494"/>
      <c r="CN790" s="496" t="s">
        <v>2668</v>
      </c>
      <c r="CO790" s="496" t="s">
        <v>8</v>
      </c>
      <c r="CP790" s="496" t="s">
        <v>689</v>
      </c>
      <c r="CQ790" s="496" t="s">
        <v>2669</v>
      </c>
      <c r="CR790" s="496" t="s">
        <v>2669</v>
      </c>
      <c r="CS790" s="496" t="s">
        <v>1554</v>
      </c>
      <c r="CT790" s="496" t="s">
        <v>1555</v>
      </c>
      <c r="CU790" s="496" t="s">
        <v>1981</v>
      </c>
      <c r="CV790" s="497" t="s">
        <v>1982</v>
      </c>
      <c r="CX790" s="543">
        <v>1</v>
      </c>
    </row>
    <row r="791" spans="91:102" ht="21" customHeight="1">
      <c r="CM791" s="494"/>
      <c r="CN791" s="496" t="s">
        <v>2670</v>
      </c>
      <c r="CO791" s="496" t="s">
        <v>8</v>
      </c>
      <c r="CP791" s="496" t="s">
        <v>689</v>
      </c>
      <c r="CQ791" s="496" t="s">
        <v>2671</v>
      </c>
      <c r="CR791" s="496" t="s">
        <v>2671</v>
      </c>
      <c r="CS791" s="496" t="s">
        <v>1554</v>
      </c>
      <c r="CT791" s="496" t="s">
        <v>1555</v>
      </c>
      <c r="CU791" s="496" t="s">
        <v>1981</v>
      </c>
      <c r="CV791" s="497" t="s">
        <v>1982</v>
      </c>
      <c r="CX791" s="543">
        <v>1</v>
      </c>
    </row>
    <row r="792" spans="91:102" ht="21" customHeight="1">
      <c r="CM792" s="494"/>
      <c r="CN792" s="496" t="s">
        <v>2672</v>
      </c>
      <c r="CO792" s="496" t="s">
        <v>8</v>
      </c>
      <c r="CP792" s="496" t="s">
        <v>689</v>
      </c>
      <c r="CQ792" s="496" t="s">
        <v>2673</v>
      </c>
      <c r="CR792" s="496" t="s">
        <v>2673</v>
      </c>
      <c r="CS792" s="496" t="s">
        <v>1554</v>
      </c>
      <c r="CT792" s="496" t="s">
        <v>1555</v>
      </c>
      <c r="CU792" s="496" t="s">
        <v>1981</v>
      </c>
      <c r="CV792" s="497" t="s">
        <v>1982</v>
      </c>
      <c r="CX792" s="543">
        <v>1</v>
      </c>
    </row>
    <row r="793" spans="91:102" ht="21" customHeight="1">
      <c r="CM793" s="494"/>
      <c r="CN793" s="496" t="s">
        <v>2674</v>
      </c>
      <c r="CO793" s="496" t="s">
        <v>8</v>
      </c>
      <c r="CP793" s="496" t="s">
        <v>689</v>
      </c>
      <c r="CQ793" s="496" t="s">
        <v>2675</v>
      </c>
      <c r="CR793" s="496" t="s">
        <v>2675</v>
      </c>
      <c r="CS793" s="496" t="s">
        <v>1554</v>
      </c>
      <c r="CT793" s="496" t="s">
        <v>1555</v>
      </c>
      <c r="CU793" s="496" t="s">
        <v>1981</v>
      </c>
      <c r="CV793" s="497" t="s">
        <v>1982</v>
      </c>
      <c r="CX793" s="543">
        <v>1</v>
      </c>
    </row>
    <row r="794" spans="91:102" ht="21" customHeight="1">
      <c r="CM794" s="494"/>
      <c r="CN794" s="496" t="s">
        <v>2676</v>
      </c>
      <c r="CO794" s="496" t="s">
        <v>8</v>
      </c>
      <c r="CP794" s="496" t="s">
        <v>689</v>
      </c>
      <c r="CQ794" s="496" t="s">
        <v>2677</v>
      </c>
      <c r="CR794" s="496" t="s">
        <v>2677</v>
      </c>
      <c r="CS794" s="496" t="s">
        <v>1554</v>
      </c>
      <c r="CT794" s="496" t="s">
        <v>1555</v>
      </c>
      <c r="CU794" s="496" t="s">
        <v>1981</v>
      </c>
      <c r="CV794" s="497" t="s">
        <v>1982</v>
      </c>
      <c r="CX794" s="543">
        <v>1</v>
      </c>
    </row>
    <row r="795" spans="91:102" ht="21" customHeight="1">
      <c r="CM795" s="494"/>
      <c r="CN795" s="496" t="s">
        <v>2678</v>
      </c>
      <c r="CO795" s="496" t="s">
        <v>8</v>
      </c>
      <c r="CP795" s="496" t="s">
        <v>689</v>
      </c>
      <c r="CQ795" s="496" t="s">
        <v>2679</v>
      </c>
      <c r="CR795" s="496" t="s">
        <v>2679</v>
      </c>
      <c r="CS795" s="496" t="s">
        <v>1554</v>
      </c>
      <c r="CT795" s="496" t="s">
        <v>1555</v>
      </c>
      <c r="CU795" s="496" t="s">
        <v>1981</v>
      </c>
      <c r="CV795" s="497" t="s">
        <v>1982</v>
      </c>
      <c r="CX795" s="543">
        <v>1</v>
      </c>
    </row>
    <row r="796" spans="91:102" ht="21" customHeight="1">
      <c r="CM796" s="494"/>
      <c r="CN796" s="496" t="s">
        <v>2680</v>
      </c>
      <c r="CO796" s="496" t="s">
        <v>8</v>
      </c>
      <c r="CP796" s="496" t="s">
        <v>689</v>
      </c>
      <c r="CQ796" s="496" t="s">
        <v>2681</v>
      </c>
      <c r="CR796" s="496" t="s">
        <v>2681</v>
      </c>
      <c r="CS796" s="496" t="s">
        <v>1554</v>
      </c>
      <c r="CT796" s="496" t="s">
        <v>1555</v>
      </c>
      <c r="CU796" s="496" t="s">
        <v>1981</v>
      </c>
      <c r="CV796" s="497" t="s">
        <v>1982</v>
      </c>
      <c r="CX796" s="543">
        <v>1</v>
      </c>
    </row>
    <row r="797" spans="91:102" ht="21" customHeight="1">
      <c r="CM797" s="494"/>
      <c r="CN797" s="496" t="s">
        <v>2682</v>
      </c>
      <c r="CO797" s="496" t="s">
        <v>8</v>
      </c>
      <c r="CP797" s="496" t="s">
        <v>689</v>
      </c>
      <c r="CQ797" s="496" t="s">
        <v>2683</v>
      </c>
      <c r="CR797" s="496" t="s">
        <v>2683</v>
      </c>
      <c r="CS797" s="496" t="s">
        <v>1554</v>
      </c>
      <c r="CT797" s="496" t="s">
        <v>1555</v>
      </c>
      <c r="CU797" s="496" t="s">
        <v>1981</v>
      </c>
      <c r="CV797" s="497" t="s">
        <v>1982</v>
      </c>
      <c r="CX797" s="543">
        <v>1</v>
      </c>
    </row>
    <row r="798" spans="91:102" ht="21" customHeight="1">
      <c r="CM798" s="494"/>
      <c r="CN798" s="496" t="s">
        <v>2684</v>
      </c>
      <c r="CO798" s="496" t="s">
        <v>8</v>
      </c>
      <c r="CP798" s="496" t="s">
        <v>689</v>
      </c>
      <c r="CQ798" s="496" t="s">
        <v>2685</v>
      </c>
      <c r="CR798" s="496" t="s">
        <v>2685</v>
      </c>
      <c r="CS798" s="496" t="s">
        <v>1554</v>
      </c>
      <c r="CT798" s="496" t="s">
        <v>1555</v>
      </c>
      <c r="CU798" s="496" t="s">
        <v>1981</v>
      </c>
      <c r="CV798" s="497" t="s">
        <v>1982</v>
      </c>
      <c r="CX798" s="543">
        <v>1</v>
      </c>
    </row>
    <row r="799" spans="91:102" ht="21" customHeight="1">
      <c r="CM799" s="494"/>
      <c r="CN799" s="496" t="s">
        <v>2686</v>
      </c>
      <c r="CO799" s="496" t="s">
        <v>8</v>
      </c>
      <c r="CP799" s="496" t="s">
        <v>689</v>
      </c>
      <c r="CQ799" s="496" t="s">
        <v>2687</v>
      </c>
      <c r="CR799" s="496" t="s">
        <v>2687</v>
      </c>
      <c r="CS799" s="496" t="s">
        <v>1554</v>
      </c>
      <c r="CT799" s="496" t="s">
        <v>1555</v>
      </c>
      <c r="CU799" s="496" t="s">
        <v>1981</v>
      </c>
      <c r="CV799" s="497" t="s">
        <v>1982</v>
      </c>
      <c r="CX799" s="543">
        <v>1</v>
      </c>
    </row>
    <row r="800" spans="91:102" ht="21" customHeight="1">
      <c r="CM800" s="494"/>
      <c r="CN800" s="496" t="s">
        <v>2688</v>
      </c>
      <c r="CO800" s="496" t="s">
        <v>8</v>
      </c>
      <c r="CP800" s="496" t="s">
        <v>689</v>
      </c>
      <c r="CQ800" s="496" t="s">
        <v>2689</v>
      </c>
      <c r="CR800" s="496" t="s">
        <v>2689</v>
      </c>
      <c r="CS800" s="496" t="s">
        <v>1554</v>
      </c>
      <c r="CT800" s="496" t="s">
        <v>1555</v>
      </c>
      <c r="CU800" s="496" t="s">
        <v>1981</v>
      </c>
      <c r="CV800" s="497" t="s">
        <v>1982</v>
      </c>
      <c r="CX800" s="543">
        <v>1</v>
      </c>
    </row>
    <row r="801" spans="91:102" ht="21" customHeight="1">
      <c r="CM801" s="494"/>
      <c r="CN801" s="496" t="s">
        <v>2690</v>
      </c>
      <c r="CO801" s="496" t="s">
        <v>8</v>
      </c>
      <c r="CP801" s="496" t="s">
        <v>689</v>
      </c>
      <c r="CQ801" s="496" t="s">
        <v>2691</v>
      </c>
      <c r="CR801" s="496" t="s">
        <v>2691</v>
      </c>
      <c r="CS801" s="496" t="s">
        <v>1554</v>
      </c>
      <c r="CT801" s="496" t="s">
        <v>1555</v>
      </c>
      <c r="CU801" s="496" t="s">
        <v>1981</v>
      </c>
      <c r="CV801" s="497" t="s">
        <v>1982</v>
      </c>
      <c r="CX801" s="543">
        <v>1</v>
      </c>
    </row>
    <row r="802" spans="91:102" ht="21" customHeight="1">
      <c r="CM802" s="494"/>
      <c r="CN802" s="496" t="s">
        <v>2692</v>
      </c>
      <c r="CO802" s="496" t="s">
        <v>8</v>
      </c>
      <c r="CP802" s="496" t="s">
        <v>689</v>
      </c>
      <c r="CQ802" s="496" t="s">
        <v>2693</v>
      </c>
      <c r="CR802" s="496" t="s">
        <v>2693</v>
      </c>
      <c r="CS802" s="496" t="s">
        <v>1554</v>
      </c>
      <c r="CT802" s="496" t="s">
        <v>1555</v>
      </c>
      <c r="CU802" s="496" t="s">
        <v>1981</v>
      </c>
      <c r="CV802" s="497" t="s">
        <v>1982</v>
      </c>
      <c r="CX802" s="543">
        <v>1</v>
      </c>
    </row>
    <row r="803" spans="91:102" ht="21" customHeight="1">
      <c r="CM803" s="494"/>
      <c r="CN803" s="496" t="s">
        <v>2694</v>
      </c>
      <c r="CO803" s="496" t="s">
        <v>8</v>
      </c>
      <c r="CP803" s="496" t="s">
        <v>689</v>
      </c>
      <c r="CQ803" s="496" t="s">
        <v>2695</v>
      </c>
      <c r="CR803" s="496" t="s">
        <v>2695</v>
      </c>
      <c r="CS803" s="496" t="s">
        <v>1554</v>
      </c>
      <c r="CT803" s="496" t="s">
        <v>1555</v>
      </c>
      <c r="CU803" s="496" t="s">
        <v>1981</v>
      </c>
      <c r="CV803" s="497" t="s">
        <v>1982</v>
      </c>
      <c r="CX803" s="543">
        <v>1</v>
      </c>
    </row>
    <row r="804" spans="91:102" ht="21" customHeight="1">
      <c r="CM804" s="494"/>
      <c r="CN804" s="496" t="s">
        <v>2696</v>
      </c>
      <c r="CO804" s="496" t="s">
        <v>8</v>
      </c>
      <c r="CP804" s="496" t="s">
        <v>689</v>
      </c>
      <c r="CQ804" s="496" t="s">
        <v>2697</v>
      </c>
      <c r="CR804" s="496" t="s">
        <v>2697</v>
      </c>
      <c r="CS804" s="496" t="s">
        <v>1554</v>
      </c>
      <c r="CT804" s="496" t="s">
        <v>1555</v>
      </c>
      <c r="CU804" s="496" t="s">
        <v>1981</v>
      </c>
      <c r="CV804" s="497" t="s">
        <v>1982</v>
      </c>
      <c r="CX804" s="543">
        <v>1</v>
      </c>
    </row>
    <row r="805" spans="91:102" ht="21" customHeight="1">
      <c r="CM805" s="494"/>
      <c r="CN805" s="496" t="s">
        <v>2698</v>
      </c>
      <c r="CO805" s="496" t="s">
        <v>8</v>
      </c>
      <c r="CP805" s="496" t="s">
        <v>689</v>
      </c>
      <c r="CQ805" s="496" t="s">
        <v>358</v>
      </c>
      <c r="CR805" s="496" t="s">
        <v>358</v>
      </c>
      <c r="CS805" s="496" t="s">
        <v>1554</v>
      </c>
      <c r="CT805" s="496" t="s">
        <v>1555</v>
      </c>
      <c r="CU805" s="496" t="s">
        <v>1981</v>
      </c>
      <c r="CV805" s="497" t="s">
        <v>1982</v>
      </c>
      <c r="CX805" s="543">
        <v>1</v>
      </c>
    </row>
    <row r="806" spans="91:102" ht="21" customHeight="1">
      <c r="CM806" s="494"/>
      <c r="CN806" s="496" t="s">
        <v>2699</v>
      </c>
      <c r="CO806" s="496" t="s">
        <v>8</v>
      </c>
      <c r="CP806" s="496" t="s">
        <v>689</v>
      </c>
      <c r="CQ806" s="496" t="s">
        <v>2700</v>
      </c>
      <c r="CR806" s="496" t="s">
        <v>2700</v>
      </c>
      <c r="CS806" s="496" t="s">
        <v>1151</v>
      </c>
      <c r="CT806" s="496" t="s">
        <v>1152</v>
      </c>
      <c r="CU806" s="496" t="s">
        <v>1087</v>
      </c>
      <c r="CV806" s="497" t="s">
        <v>1153</v>
      </c>
      <c r="CX806" s="543">
        <v>1</v>
      </c>
    </row>
    <row r="807" spans="91:102" ht="21" customHeight="1">
      <c r="CM807" s="494"/>
      <c r="CN807" s="496" t="s">
        <v>2701</v>
      </c>
      <c r="CO807" s="496" t="s">
        <v>8</v>
      </c>
      <c r="CP807" s="496" t="s">
        <v>689</v>
      </c>
      <c r="CQ807" s="496" t="s">
        <v>2702</v>
      </c>
      <c r="CR807" s="496" t="s">
        <v>2702</v>
      </c>
      <c r="CS807" s="496" t="s">
        <v>1151</v>
      </c>
      <c r="CT807" s="496" t="s">
        <v>1152</v>
      </c>
      <c r="CU807" s="496" t="s">
        <v>1087</v>
      </c>
      <c r="CV807" s="497" t="s">
        <v>1153</v>
      </c>
      <c r="CX807" s="543">
        <v>1</v>
      </c>
    </row>
    <row r="808" spans="91:102" ht="21" customHeight="1">
      <c r="CM808" s="494"/>
      <c r="CN808" s="496" t="s">
        <v>2703</v>
      </c>
      <c r="CO808" s="496" t="s">
        <v>8</v>
      </c>
      <c r="CP808" s="496" t="s">
        <v>689</v>
      </c>
      <c r="CQ808" s="496" t="s">
        <v>359</v>
      </c>
      <c r="CR808" s="496" t="s">
        <v>359</v>
      </c>
      <c r="CS808" s="496" t="s">
        <v>1554</v>
      </c>
      <c r="CT808" s="496" t="s">
        <v>1555</v>
      </c>
      <c r="CU808" s="496" t="s">
        <v>1981</v>
      </c>
      <c r="CV808" s="497" t="s">
        <v>1982</v>
      </c>
      <c r="CX808" s="543">
        <v>1</v>
      </c>
    </row>
    <row r="809" spans="91:102" ht="21" customHeight="1">
      <c r="CM809" s="494"/>
      <c r="CN809" s="496" t="s">
        <v>2704</v>
      </c>
      <c r="CO809" s="496" t="s">
        <v>8</v>
      </c>
      <c r="CP809" s="496" t="s">
        <v>689</v>
      </c>
      <c r="CQ809" s="496" t="s">
        <v>2705</v>
      </c>
      <c r="CR809" s="496" t="s">
        <v>2705</v>
      </c>
      <c r="CS809" s="496" t="s">
        <v>1554</v>
      </c>
      <c r="CT809" s="496" t="s">
        <v>1555</v>
      </c>
      <c r="CU809" s="496" t="s">
        <v>1981</v>
      </c>
      <c r="CV809" s="497" t="s">
        <v>1982</v>
      </c>
      <c r="CX809" s="543">
        <v>1</v>
      </c>
    </row>
    <row r="810" spans="91:102" ht="21" customHeight="1">
      <c r="CM810" s="494"/>
      <c r="CN810" s="496" t="s">
        <v>2706</v>
      </c>
      <c r="CO810" s="496" t="s">
        <v>8</v>
      </c>
      <c r="CP810" s="496" t="s">
        <v>689</v>
      </c>
      <c r="CQ810" s="496" t="s">
        <v>2707</v>
      </c>
      <c r="CR810" s="496" t="s">
        <v>2707</v>
      </c>
      <c r="CS810" s="496" t="s">
        <v>1554</v>
      </c>
      <c r="CT810" s="496" t="s">
        <v>1555</v>
      </c>
      <c r="CU810" s="496" t="s">
        <v>1981</v>
      </c>
      <c r="CV810" s="497" t="s">
        <v>1982</v>
      </c>
      <c r="CX810" s="543">
        <v>1</v>
      </c>
    </row>
    <row r="811" spans="91:102" ht="21" customHeight="1">
      <c r="CM811" s="494"/>
      <c r="CN811" s="496" t="s">
        <v>2708</v>
      </c>
      <c r="CO811" s="496" t="s">
        <v>8</v>
      </c>
      <c r="CP811" s="496" t="s">
        <v>689</v>
      </c>
      <c r="CQ811" s="496" t="s">
        <v>2709</v>
      </c>
      <c r="CR811" s="496" t="s">
        <v>2709</v>
      </c>
      <c r="CS811" s="496" t="s">
        <v>1554</v>
      </c>
      <c r="CT811" s="496" t="s">
        <v>1555</v>
      </c>
      <c r="CU811" s="496" t="s">
        <v>1981</v>
      </c>
      <c r="CV811" s="497" t="s">
        <v>1982</v>
      </c>
      <c r="CX811" s="543">
        <v>1</v>
      </c>
    </row>
    <row r="812" spans="91:102" ht="21" customHeight="1">
      <c r="CM812" s="494"/>
      <c r="CN812" s="496" t="s">
        <v>2710</v>
      </c>
      <c r="CO812" s="496" t="s">
        <v>8</v>
      </c>
      <c r="CP812" s="496" t="s">
        <v>689</v>
      </c>
      <c r="CQ812" s="496" t="s">
        <v>2711</v>
      </c>
      <c r="CR812" s="496" t="s">
        <v>2711</v>
      </c>
      <c r="CS812" s="496" t="s">
        <v>1554</v>
      </c>
      <c r="CT812" s="496" t="s">
        <v>1555</v>
      </c>
      <c r="CU812" s="496" t="s">
        <v>1981</v>
      </c>
      <c r="CV812" s="497" t="s">
        <v>1982</v>
      </c>
      <c r="CX812" s="543">
        <v>1</v>
      </c>
    </row>
    <row r="813" spans="91:102" ht="21" customHeight="1">
      <c r="CM813" s="494"/>
      <c r="CN813" s="496" t="s">
        <v>2712</v>
      </c>
      <c r="CO813" s="496" t="s">
        <v>8</v>
      </c>
      <c r="CP813" s="496" t="s">
        <v>689</v>
      </c>
      <c r="CQ813" s="496" t="s">
        <v>2713</v>
      </c>
      <c r="CR813" s="496" t="s">
        <v>2713</v>
      </c>
      <c r="CS813" s="496" t="s">
        <v>1554</v>
      </c>
      <c r="CT813" s="496" t="s">
        <v>1555</v>
      </c>
      <c r="CU813" s="496" t="s">
        <v>1981</v>
      </c>
      <c r="CV813" s="497" t="s">
        <v>1982</v>
      </c>
      <c r="CX813" s="543">
        <v>1</v>
      </c>
    </row>
    <row r="814" spans="91:102" ht="21" customHeight="1">
      <c r="CM814" s="494"/>
      <c r="CN814" s="496" t="s">
        <v>2714</v>
      </c>
      <c r="CO814" s="496" t="s">
        <v>8</v>
      </c>
      <c r="CP814" s="496" t="s">
        <v>689</v>
      </c>
      <c r="CQ814" s="496" t="s">
        <v>2715</v>
      </c>
      <c r="CR814" s="496" t="s">
        <v>2715</v>
      </c>
      <c r="CS814" s="496" t="s">
        <v>1554</v>
      </c>
      <c r="CT814" s="496" t="s">
        <v>1555</v>
      </c>
      <c r="CU814" s="496" t="s">
        <v>1981</v>
      </c>
      <c r="CV814" s="497" t="s">
        <v>1982</v>
      </c>
      <c r="CX814" s="543">
        <v>1</v>
      </c>
    </row>
    <row r="815" spans="91:102" ht="21" customHeight="1">
      <c r="CM815" s="494"/>
      <c r="CN815" s="496" t="s">
        <v>2716</v>
      </c>
      <c r="CO815" s="496" t="s">
        <v>8</v>
      </c>
      <c r="CP815" s="496" t="s">
        <v>689</v>
      </c>
      <c r="CQ815" s="496" t="s">
        <v>2717</v>
      </c>
      <c r="CR815" s="496" t="s">
        <v>2717</v>
      </c>
      <c r="CS815" s="496" t="s">
        <v>1554</v>
      </c>
      <c r="CT815" s="496" t="s">
        <v>1555</v>
      </c>
      <c r="CU815" s="496" t="s">
        <v>1981</v>
      </c>
      <c r="CV815" s="497" t="s">
        <v>1982</v>
      </c>
      <c r="CX815" s="543">
        <v>1</v>
      </c>
    </row>
    <row r="816" spans="91:102" ht="21" customHeight="1">
      <c r="CM816" s="494"/>
      <c r="CN816" s="496" t="s">
        <v>2718</v>
      </c>
      <c r="CO816" s="496" t="s">
        <v>8</v>
      </c>
      <c r="CP816" s="496" t="s">
        <v>689</v>
      </c>
      <c r="CQ816" s="496" t="s">
        <v>2719</v>
      </c>
      <c r="CR816" s="496" t="s">
        <v>2719</v>
      </c>
      <c r="CS816" s="496" t="s">
        <v>1085</v>
      </c>
      <c r="CT816" s="496" t="s">
        <v>2063</v>
      </c>
      <c r="CU816" s="496" t="s">
        <v>1087</v>
      </c>
      <c r="CV816" s="497" t="s">
        <v>1088</v>
      </c>
      <c r="CX816" s="543">
        <v>1</v>
      </c>
    </row>
    <row r="817" spans="91:102" ht="21" customHeight="1">
      <c r="CM817" s="494"/>
      <c r="CN817" s="496" t="s">
        <v>2720</v>
      </c>
      <c r="CO817" s="496" t="s">
        <v>8</v>
      </c>
      <c r="CP817" s="496" t="s">
        <v>689</v>
      </c>
      <c r="CQ817" s="496" t="s">
        <v>1032</v>
      </c>
      <c r="CR817" s="496" t="s">
        <v>1032</v>
      </c>
      <c r="CS817" s="496" t="s">
        <v>1554</v>
      </c>
      <c r="CT817" s="496" t="s">
        <v>1555</v>
      </c>
      <c r="CU817" s="496" t="s">
        <v>1981</v>
      </c>
      <c r="CV817" s="497" t="s">
        <v>1982</v>
      </c>
      <c r="CX817" s="543">
        <v>1</v>
      </c>
    </row>
    <row r="818" spans="91:102" ht="21" customHeight="1">
      <c r="CM818" s="494"/>
      <c r="CN818" s="496" t="s">
        <v>2721</v>
      </c>
      <c r="CO818" s="496" t="s">
        <v>8</v>
      </c>
      <c r="CP818" s="496" t="s">
        <v>689</v>
      </c>
      <c r="CQ818" s="496" t="s">
        <v>2722</v>
      </c>
      <c r="CR818" s="496" t="s">
        <v>2722</v>
      </c>
      <c r="CS818" s="496" t="s">
        <v>1554</v>
      </c>
      <c r="CT818" s="496" t="s">
        <v>1555</v>
      </c>
      <c r="CU818" s="496" t="s">
        <v>1981</v>
      </c>
      <c r="CV818" s="497" t="s">
        <v>1982</v>
      </c>
      <c r="CX818" s="543">
        <v>1</v>
      </c>
    </row>
    <row r="819" spans="91:102" ht="21" customHeight="1">
      <c r="CM819" s="494"/>
      <c r="CN819" s="496" t="s">
        <v>2723</v>
      </c>
      <c r="CO819" s="496" t="s">
        <v>8</v>
      </c>
      <c r="CP819" s="496" t="s">
        <v>689</v>
      </c>
      <c r="CQ819" s="496" t="s">
        <v>2724</v>
      </c>
      <c r="CR819" s="496" t="s">
        <v>2724</v>
      </c>
      <c r="CS819" s="496" t="s">
        <v>1554</v>
      </c>
      <c r="CT819" s="496" t="s">
        <v>1555</v>
      </c>
      <c r="CU819" s="496" t="s">
        <v>1981</v>
      </c>
      <c r="CV819" s="497" t="s">
        <v>1982</v>
      </c>
      <c r="CX819" s="543">
        <v>1</v>
      </c>
    </row>
    <row r="820" spans="91:102" ht="21" customHeight="1">
      <c r="CM820" s="494"/>
      <c r="CN820" s="496" t="s">
        <v>2725</v>
      </c>
      <c r="CO820" s="496" t="s">
        <v>8</v>
      </c>
      <c r="CP820" s="496" t="s">
        <v>689</v>
      </c>
      <c r="CQ820" s="496" t="s">
        <v>2726</v>
      </c>
      <c r="CR820" s="496" t="s">
        <v>2726</v>
      </c>
      <c r="CS820" s="496" t="s">
        <v>1554</v>
      </c>
      <c r="CT820" s="496" t="s">
        <v>1555</v>
      </c>
      <c r="CU820" s="496" t="s">
        <v>1981</v>
      </c>
      <c r="CV820" s="497" t="s">
        <v>1982</v>
      </c>
      <c r="CX820" s="543">
        <v>1</v>
      </c>
    </row>
    <row r="821" spans="91:102" ht="21" customHeight="1">
      <c r="CM821" s="494"/>
      <c r="CN821" s="496" t="s">
        <v>2727</v>
      </c>
      <c r="CO821" s="496" t="s">
        <v>8</v>
      </c>
      <c r="CP821" s="496" t="s">
        <v>689</v>
      </c>
      <c r="CQ821" s="496" t="s">
        <v>2728</v>
      </c>
      <c r="CR821" s="496" t="s">
        <v>2728</v>
      </c>
      <c r="CS821" s="496" t="s">
        <v>1554</v>
      </c>
      <c r="CT821" s="496" t="s">
        <v>1555</v>
      </c>
      <c r="CU821" s="496" t="s">
        <v>1981</v>
      </c>
      <c r="CV821" s="497" t="s">
        <v>1982</v>
      </c>
      <c r="CX821" s="543">
        <v>1</v>
      </c>
    </row>
    <row r="822" spans="91:102" ht="21" customHeight="1">
      <c r="CM822" s="494"/>
      <c r="CN822" s="496" t="s">
        <v>2729</v>
      </c>
      <c r="CO822" s="496" t="s">
        <v>8</v>
      </c>
      <c r="CP822" s="496" t="s">
        <v>689</v>
      </c>
      <c r="CQ822" s="496" t="s">
        <v>2730</v>
      </c>
      <c r="CR822" s="496" t="s">
        <v>2730</v>
      </c>
      <c r="CS822" s="496" t="s">
        <v>1554</v>
      </c>
      <c r="CT822" s="496" t="s">
        <v>1555</v>
      </c>
      <c r="CU822" s="496" t="s">
        <v>1981</v>
      </c>
      <c r="CV822" s="497" t="s">
        <v>1982</v>
      </c>
      <c r="CX822" s="543">
        <v>1</v>
      </c>
    </row>
    <row r="823" spans="91:102" ht="21" customHeight="1">
      <c r="CM823" s="494"/>
      <c r="CN823" s="496" t="s">
        <v>2731</v>
      </c>
      <c r="CO823" s="496" t="s">
        <v>8</v>
      </c>
      <c r="CP823" s="496" t="s">
        <v>689</v>
      </c>
      <c r="CQ823" s="496" t="s">
        <v>2732</v>
      </c>
      <c r="CR823" s="496" t="s">
        <v>2732</v>
      </c>
      <c r="CS823" s="496" t="s">
        <v>1554</v>
      </c>
      <c r="CT823" s="496" t="s">
        <v>1555</v>
      </c>
      <c r="CU823" s="496" t="s">
        <v>1981</v>
      </c>
      <c r="CV823" s="497" t="s">
        <v>1982</v>
      </c>
      <c r="CX823" s="543">
        <v>1</v>
      </c>
    </row>
    <row r="824" spans="91:102" ht="21" customHeight="1">
      <c r="CM824" s="494"/>
      <c r="CN824" s="496" t="s">
        <v>2733</v>
      </c>
      <c r="CO824" s="496" t="s">
        <v>8</v>
      </c>
      <c r="CP824" s="496" t="s">
        <v>689</v>
      </c>
      <c r="CQ824" s="496" t="s">
        <v>2734</v>
      </c>
      <c r="CR824" s="496" t="s">
        <v>2734</v>
      </c>
      <c r="CS824" s="496" t="s">
        <v>1554</v>
      </c>
      <c r="CT824" s="496" t="s">
        <v>1555</v>
      </c>
      <c r="CU824" s="496" t="s">
        <v>1981</v>
      </c>
      <c r="CV824" s="497" t="s">
        <v>1982</v>
      </c>
      <c r="CX824" s="543">
        <v>1</v>
      </c>
    </row>
    <row r="825" spans="91:102" ht="21" customHeight="1">
      <c r="CM825" s="494"/>
      <c r="CN825" s="496" t="s">
        <v>2735</v>
      </c>
      <c r="CO825" s="496" t="s">
        <v>8</v>
      </c>
      <c r="CP825" s="496" t="s">
        <v>689</v>
      </c>
      <c r="CQ825" s="496" t="s">
        <v>2736</v>
      </c>
      <c r="CR825" s="496" t="s">
        <v>2736</v>
      </c>
      <c r="CS825" s="496" t="s">
        <v>1554</v>
      </c>
      <c r="CT825" s="496" t="s">
        <v>1555</v>
      </c>
      <c r="CU825" s="496" t="s">
        <v>1981</v>
      </c>
      <c r="CV825" s="497" t="s">
        <v>1982</v>
      </c>
      <c r="CX825" s="543">
        <v>1</v>
      </c>
    </row>
    <row r="826" spans="91:102" ht="21" customHeight="1">
      <c r="CM826" s="494"/>
      <c r="CN826" s="496" t="s">
        <v>2737</v>
      </c>
      <c r="CO826" s="496" t="s">
        <v>8</v>
      </c>
      <c r="CP826" s="496" t="s">
        <v>689</v>
      </c>
      <c r="CQ826" s="496" t="s">
        <v>2738</v>
      </c>
      <c r="CR826" s="496" t="s">
        <v>2738</v>
      </c>
      <c r="CS826" s="496" t="s">
        <v>1554</v>
      </c>
      <c r="CT826" s="496" t="s">
        <v>1555</v>
      </c>
      <c r="CU826" s="496" t="s">
        <v>1981</v>
      </c>
      <c r="CV826" s="497" t="s">
        <v>1982</v>
      </c>
      <c r="CX826" s="543">
        <v>1</v>
      </c>
    </row>
    <row r="827" spans="91:102" ht="21" customHeight="1">
      <c r="CM827" s="494"/>
      <c r="CN827" s="496" t="s">
        <v>2739</v>
      </c>
      <c r="CO827" s="496" t="s">
        <v>8</v>
      </c>
      <c r="CP827" s="496" t="s">
        <v>689</v>
      </c>
      <c r="CQ827" s="496" t="s">
        <v>2740</v>
      </c>
      <c r="CR827" s="496" t="s">
        <v>2740</v>
      </c>
      <c r="CS827" s="496" t="s">
        <v>1554</v>
      </c>
      <c r="CT827" s="496" t="s">
        <v>1555</v>
      </c>
      <c r="CU827" s="496" t="s">
        <v>1981</v>
      </c>
      <c r="CV827" s="497" t="s">
        <v>1982</v>
      </c>
      <c r="CX827" s="543">
        <v>1</v>
      </c>
    </row>
    <row r="828" spans="91:102" ht="21" customHeight="1">
      <c r="CM828" s="494"/>
      <c r="CN828" s="496" t="s">
        <v>2741</v>
      </c>
      <c r="CO828" s="496" t="s">
        <v>8</v>
      </c>
      <c r="CP828" s="496" t="s">
        <v>689</v>
      </c>
      <c r="CQ828" s="496" t="s">
        <v>2742</v>
      </c>
      <c r="CR828" s="496" t="s">
        <v>2742</v>
      </c>
      <c r="CS828" s="496" t="s">
        <v>1554</v>
      </c>
      <c r="CT828" s="496" t="s">
        <v>1555</v>
      </c>
      <c r="CU828" s="496" t="s">
        <v>1981</v>
      </c>
      <c r="CV828" s="497" t="s">
        <v>1982</v>
      </c>
      <c r="CX828" s="543">
        <v>1</v>
      </c>
    </row>
    <row r="829" spans="91:102" ht="21" customHeight="1">
      <c r="CM829" s="494"/>
      <c r="CN829" s="496" t="s">
        <v>2743</v>
      </c>
      <c r="CO829" s="496" t="s">
        <v>8</v>
      </c>
      <c r="CP829" s="496" t="s">
        <v>689</v>
      </c>
      <c r="CQ829" s="496" t="s">
        <v>2744</v>
      </c>
      <c r="CR829" s="496" t="s">
        <v>2744</v>
      </c>
      <c r="CS829" s="496" t="s">
        <v>1554</v>
      </c>
      <c r="CT829" s="496" t="s">
        <v>1555</v>
      </c>
      <c r="CU829" s="496" t="s">
        <v>1981</v>
      </c>
      <c r="CV829" s="497" t="s">
        <v>1982</v>
      </c>
      <c r="CX829" s="543">
        <v>1</v>
      </c>
    </row>
    <row r="830" spans="91:102" ht="21" customHeight="1">
      <c r="CM830" s="494"/>
      <c r="CN830" s="496" t="s">
        <v>2745</v>
      </c>
      <c r="CO830" s="496" t="s">
        <v>8</v>
      </c>
      <c r="CP830" s="496" t="s">
        <v>689</v>
      </c>
      <c r="CQ830" s="496" t="s">
        <v>2746</v>
      </c>
      <c r="CR830" s="496" t="s">
        <v>2746</v>
      </c>
      <c r="CS830" s="496" t="s">
        <v>1554</v>
      </c>
      <c r="CT830" s="496" t="s">
        <v>1555</v>
      </c>
      <c r="CU830" s="496" t="s">
        <v>1981</v>
      </c>
      <c r="CV830" s="497" t="s">
        <v>1982</v>
      </c>
      <c r="CX830" s="543">
        <v>1</v>
      </c>
    </row>
    <row r="831" spans="91:102" ht="21" customHeight="1">
      <c r="CM831" s="494"/>
      <c r="CN831" s="496" t="s">
        <v>2747</v>
      </c>
      <c r="CO831" s="496" t="s">
        <v>8</v>
      </c>
      <c r="CP831" s="496" t="s">
        <v>689</v>
      </c>
      <c r="CQ831" s="496" t="s">
        <v>2748</v>
      </c>
      <c r="CR831" s="496" t="s">
        <v>2748</v>
      </c>
      <c r="CS831" s="496" t="s">
        <v>1554</v>
      </c>
      <c r="CT831" s="496" t="s">
        <v>1555</v>
      </c>
      <c r="CU831" s="496" t="s">
        <v>1981</v>
      </c>
      <c r="CV831" s="497" t="s">
        <v>1982</v>
      </c>
      <c r="CX831" s="543">
        <v>1</v>
      </c>
    </row>
    <row r="832" spans="91:102" ht="21" customHeight="1">
      <c r="CM832" s="494"/>
      <c r="CN832" s="496" t="s">
        <v>2749</v>
      </c>
      <c r="CO832" s="496" t="s">
        <v>8</v>
      </c>
      <c r="CP832" s="496" t="s">
        <v>689</v>
      </c>
      <c r="CQ832" s="496" t="s">
        <v>2750</v>
      </c>
      <c r="CR832" s="496" t="s">
        <v>2750</v>
      </c>
      <c r="CS832" s="496" t="s">
        <v>1554</v>
      </c>
      <c r="CT832" s="496" t="s">
        <v>1555</v>
      </c>
      <c r="CU832" s="496" t="s">
        <v>1981</v>
      </c>
      <c r="CV832" s="497" t="s">
        <v>1982</v>
      </c>
      <c r="CX832" s="543">
        <v>1</v>
      </c>
    </row>
    <row r="833" spans="91:102" ht="21" customHeight="1">
      <c r="CM833" s="494"/>
      <c r="CN833" s="496" t="s">
        <v>2751</v>
      </c>
      <c r="CO833" s="496" t="s">
        <v>8</v>
      </c>
      <c r="CP833" s="496" t="s">
        <v>689</v>
      </c>
      <c r="CQ833" s="496" t="s">
        <v>2752</v>
      </c>
      <c r="CR833" s="496" t="s">
        <v>2752</v>
      </c>
      <c r="CS833" s="496" t="s">
        <v>1554</v>
      </c>
      <c r="CT833" s="496" t="s">
        <v>1555</v>
      </c>
      <c r="CU833" s="496" t="s">
        <v>1981</v>
      </c>
      <c r="CV833" s="497" t="s">
        <v>1982</v>
      </c>
      <c r="CX833" s="543">
        <v>1</v>
      </c>
    </row>
    <row r="834" spans="91:102" ht="21" customHeight="1">
      <c r="CM834" s="494"/>
      <c r="CN834" s="496" t="s">
        <v>2753</v>
      </c>
      <c r="CO834" s="496" t="s">
        <v>8</v>
      </c>
      <c r="CP834" s="496" t="s">
        <v>689</v>
      </c>
      <c r="CQ834" s="496" t="s">
        <v>174</v>
      </c>
      <c r="CR834" s="496" t="s">
        <v>174</v>
      </c>
      <c r="CS834" s="496" t="s">
        <v>1554</v>
      </c>
      <c r="CT834" s="496" t="s">
        <v>1555</v>
      </c>
      <c r="CU834" s="496" t="s">
        <v>1981</v>
      </c>
      <c r="CV834" s="497" t="s">
        <v>1982</v>
      </c>
      <c r="CX834" s="543">
        <v>1</v>
      </c>
    </row>
    <row r="835" spans="91:102" ht="21" customHeight="1">
      <c r="CM835" s="494"/>
      <c r="CN835" s="496" t="s">
        <v>2754</v>
      </c>
      <c r="CO835" s="496" t="s">
        <v>8</v>
      </c>
      <c r="CP835" s="496" t="s">
        <v>689</v>
      </c>
      <c r="CQ835" s="496" t="s">
        <v>2755</v>
      </c>
      <c r="CR835" s="496" t="s">
        <v>2755</v>
      </c>
      <c r="CS835" s="496" t="s">
        <v>1554</v>
      </c>
      <c r="CT835" s="496" t="s">
        <v>1555</v>
      </c>
      <c r="CU835" s="496" t="s">
        <v>1981</v>
      </c>
      <c r="CV835" s="497" t="s">
        <v>1982</v>
      </c>
      <c r="CX835" s="543">
        <v>1</v>
      </c>
    </row>
    <row r="836" spans="91:102" ht="21" customHeight="1">
      <c r="CM836" s="494"/>
      <c r="CN836" s="496" t="s">
        <v>2756</v>
      </c>
      <c r="CO836" s="496" t="s">
        <v>8</v>
      </c>
      <c r="CP836" s="496" t="s">
        <v>689</v>
      </c>
      <c r="CQ836" s="496" t="s">
        <v>1033</v>
      </c>
      <c r="CR836" s="496" t="s">
        <v>1033</v>
      </c>
      <c r="CS836" s="496" t="s">
        <v>1554</v>
      </c>
      <c r="CT836" s="496" t="s">
        <v>1555</v>
      </c>
      <c r="CU836" s="496" t="s">
        <v>1981</v>
      </c>
      <c r="CV836" s="497" t="s">
        <v>1982</v>
      </c>
      <c r="CX836" s="543">
        <v>1</v>
      </c>
    </row>
    <row r="837" spans="91:102" ht="21" customHeight="1">
      <c r="CM837" s="494"/>
      <c r="CN837" s="496" t="s">
        <v>2757</v>
      </c>
      <c r="CO837" s="496" t="s">
        <v>8</v>
      </c>
      <c r="CP837" s="496" t="s">
        <v>689</v>
      </c>
      <c r="CQ837" s="496" t="s">
        <v>701</v>
      </c>
      <c r="CR837" s="496" t="s">
        <v>701</v>
      </c>
      <c r="CS837" s="496" t="s">
        <v>1554</v>
      </c>
      <c r="CT837" s="496" t="s">
        <v>1555</v>
      </c>
      <c r="CU837" s="496" t="s">
        <v>1981</v>
      </c>
      <c r="CV837" s="497" t="s">
        <v>1982</v>
      </c>
      <c r="CX837" s="543">
        <v>1</v>
      </c>
    </row>
    <row r="838" spans="91:102" ht="21" customHeight="1">
      <c r="CM838" s="494"/>
      <c r="CN838" s="496" t="s">
        <v>2758</v>
      </c>
      <c r="CO838" s="496" t="s">
        <v>8</v>
      </c>
      <c r="CP838" s="496" t="s">
        <v>689</v>
      </c>
      <c r="CQ838" s="496" t="s">
        <v>2759</v>
      </c>
      <c r="CR838" s="496" t="s">
        <v>2759</v>
      </c>
      <c r="CS838" s="496" t="s">
        <v>1554</v>
      </c>
      <c r="CT838" s="496" t="s">
        <v>1555</v>
      </c>
      <c r="CU838" s="496" t="s">
        <v>1981</v>
      </c>
      <c r="CV838" s="497" t="s">
        <v>1982</v>
      </c>
      <c r="CX838" s="543">
        <v>1</v>
      </c>
    </row>
    <row r="839" spans="91:102" ht="21" customHeight="1">
      <c r="CM839" s="494"/>
      <c r="CN839" s="496" t="s">
        <v>2760</v>
      </c>
      <c r="CO839" s="496" t="s">
        <v>8</v>
      </c>
      <c r="CP839" s="496" t="s">
        <v>689</v>
      </c>
      <c r="CQ839" s="496" t="s">
        <v>2761</v>
      </c>
      <c r="CR839" s="496" t="s">
        <v>2761</v>
      </c>
      <c r="CS839" s="496" t="s">
        <v>1554</v>
      </c>
      <c r="CT839" s="496" t="s">
        <v>1555</v>
      </c>
      <c r="CU839" s="496" t="s">
        <v>1981</v>
      </c>
      <c r="CV839" s="497" t="s">
        <v>1982</v>
      </c>
      <c r="CX839" s="543">
        <v>1</v>
      </c>
    </row>
    <row r="840" spans="91:102" ht="21" customHeight="1">
      <c r="CM840" s="494"/>
      <c r="CN840" s="496" t="s">
        <v>2762</v>
      </c>
      <c r="CO840" s="496" t="s">
        <v>8</v>
      </c>
      <c r="CP840" s="496" t="s">
        <v>689</v>
      </c>
      <c r="CQ840" s="496" t="s">
        <v>2763</v>
      </c>
      <c r="CR840" s="496" t="s">
        <v>2763</v>
      </c>
      <c r="CS840" s="496" t="s">
        <v>1554</v>
      </c>
      <c r="CT840" s="496" t="s">
        <v>1555</v>
      </c>
      <c r="CU840" s="496" t="s">
        <v>1981</v>
      </c>
      <c r="CV840" s="497" t="s">
        <v>1982</v>
      </c>
      <c r="CX840" s="543">
        <v>1</v>
      </c>
    </row>
    <row r="841" spans="91:102" ht="21" customHeight="1">
      <c r="CM841" s="494"/>
      <c r="CN841" s="496" t="s">
        <v>2764</v>
      </c>
      <c r="CO841" s="496" t="s">
        <v>8</v>
      </c>
      <c r="CP841" s="496" t="s">
        <v>689</v>
      </c>
      <c r="CQ841" s="496" t="s">
        <v>2765</v>
      </c>
      <c r="CR841" s="496" t="s">
        <v>2765</v>
      </c>
      <c r="CS841" s="496" t="s">
        <v>1554</v>
      </c>
      <c r="CT841" s="496" t="s">
        <v>1555</v>
      </c>
      <c r="CU841" s="496" t="s">
        <v>1981</v>
      </c>
      <c r="CV841" s="497" t="s">
        <v>1982</v>
      </c>
      <c r="CX841" s="543">
        <v>1</v>
      </c>
    </row>
    <row r="842" spans="91:102" ht="21" customHeight="1">
      <c r="CM842" s="494"/>
      <c r="CN842" s="496" t="s">
        <v>2766</v>
      </c>
      <c r="CO842" s="496" t="s">
        <v>8</v>
      </c>
      <c r="CP842" s="496" t="s">
        <v>689</v>
      </c>
      <c r="CQ842" s="496" t="s">
        <v>2767</v>
      </c>
      <c r="CR842" s="496" t="s">
        <v>2767</v>
      </c>
      <c r="CS842" s="496" t="s">
        <v>1554</v>
      </c>
      <c r="CT842" s="496" t="s">
        <v>1555</v>
      </c>
      <c r="CU842" s="496" t="s">
        <v>1981</v>
      </c>
      <c r="CV842" s="497" t="s">
        <v>1982</v>
      </c>
      <c r="CX842" s="543">
        <v>1</v>
      </c>
    </row>
    <row r="843" spans="91:102" ht="21" customHeight="1">
      <c r="CM843" s="494"/>
      <c r="CN843" s="496" t="s">
        <v>2768</v>
      </c>
      <c r="CO843" s="496" t="s">
        <v>8</v>
      </c>
      <c r="CP843" s="496" t="s">
        <v>689</v>
      </c>
      <c r="CQ843" s="496" t="s">
        <v>2769</v>
      </c>
      <c r="CR843" s="496" t="s">
        <v>2769</v>
      </c>
      <c r="CS843" s="496" t="s">
        <v>1554</v>
      </c>
      <c r="CT843" s="496" t="s">
        <v>1555</v>
      </c>
      <c r="CU843" s="496" t="s">
        <v>1981</v>
      </c>
      <c r="CV843" s="497" t="s">
        <v>1982</v>
      </c>
      <c r="CX843" s="543">
        <v>1</v>
      </c>
    </row>
    <row r="844" spans="91:102" ht="21" customHeight="1">
      <c r="CM844" s="494"/>
      <c r="CN844" s="496" t="s">
        <v>2770</v>
      </c>
      <c r="CO844" s="496" t="s">
        <v>8</v>
      </c>
      <c r="CP844" s="496" t="s">
        <v>689</v>
      </c>
      <c r="CQ844" s="496" t="s">
        <v>1034</v>
      </c>
      <c r="CR844" s="496" t="s">
        <v>1034</v>
      </c>
      <c r="CS844" s="496" t="s">
        <v>1554</v>
      </c>
      <c r="CT844" s="496" t="s">
        <v>1555</v>
      </c>
      <c r="CU844" s="496" t="s">
        <v>1981</v>
      </c>
      <c r="CV844" s="497" t="s">
        <v>1982</v>
      </c>
      <c r="CX844" s="543">
        <v>1</v>
      </c>
    </row>
    <row r="845" spans="91:102" ht="21" customHeight="1">
      <c r="CM845" s="494"/>
      <c r="CN845" s="496" t="s">
        <v>2771</v>
      </c>
      <c r="CO845" s="496" t="s">
        <v>8</v>
      </c>
      <c r="CP845" s="496" t="s">
        <v>689</v>
      </c>
      <c r="CQ845" s="496" t="s">
        <v>2772</v>
      </c>
      <c r="CR845" s="496" t="s">
        <v>2772</v>
      </c>
      <c r="CS845" s="496" t="s">
        <v>1554</v>
      </c>
      <c r="CT845" s="496" t="s">
        <v>1555</v>
      </c>
      <c r="CU845" s="496" t="s">
        <v>1981</v>
      </c>
      <c r="CV845" s="497" t="s">
        <v>1982</v>
      </c>
      <c r="CX845" s="543">
        <v>1</v>
      </c>
    </row>
    <row r="846" spans="91:102" ht="21" customHeight="1">
      <c r="CM846" s="494"/>
      <c r="CN846" s="496" t="s">
        <v>2773</v>
      </c>
      <c r="CO846" s="496" t="s">
        <v>8</v>
      </c>
      <c r="CP846" s="496" t="s">
        <v>689</v>
      </c>
      <c r="CQ846" s="496" t="s">
        <v>2774</v>
      </c>
      <c r="CR846" s="496" t="s">
        <v>2774</v>
      </c>
      <c r="CS846" s="496" t="s">
        <v>1554</v>
      </c>
      <c r="CT846" s="496" t="s">
        <v>1555</v>
      </c>
      <c r="CU846" s="496" t="s">
        <v>1981</v>
      </c>
      <c r="CV846" s="497" t="s">
        <v>1982</v>
      </c>
      <c r="CX846" s="543">
        <v>1</v>
      </c>
    </row>
    <row r="847" spans="91:102" ht="21" customHeight="1">
      <c r="CM847" s="494"/>
      <c r="CN847" s="496" t="s">
        <v>2775</v>
      </c>
      <c r="CO847" s="496" t="s">
        <v>8</v>
      </c>
      <c r="CP847" s="496" t="s">
        <v>689</v>
      </c>
      <c r="CQ847" s="496" t="s">
        <v>2776</v>
      </c>
      <c r="CR847" s="496" t="s">
        <v>2776</v>
      </c>
      <c r="CS847" s="496" t="s">
        <v>1554</v>
      </c>
      <c r="CT847" s="496" t="s">
        <v>1555</v>
      </c>
      <c r="CU847" s="496" t="s">
        <v>1981</v>
      </c>
      <c r="CV847" s="497" t="s">
        <v>1982</v>
      </c>
      <c r="CX847" s="543">
        <v>1</v>
      </c>
    </row>
    <row r="848" spans="91:102" ht="21" customHeight="1">
      <c r="CM848" s="494"/>
      <c r="CN848" s="496" t="s">
        <v>2777</v>
      </c>
      <c r="CO848" s="496" t="s">
        <v>8</v>
      </c>
      <c r="CP848" s="496" t="s">
        <v>689</v>
      </c>
      <c r="CQ848" s="496" t="s">
        <v>1035</v>
      </c>
      <c r="CR848" s="496" t="s">
        <v>1035</v>
      </c>
      <c r="CS848" s="496" t="s">
        <v>1554</v>
      </c>
      <c r="CT848" s="496" t="s">
        <v>1555</v>
      </c>
      <c r="CU848" s="496" t="s">
        <v>1981</v>
      </c>
      <c r="CV848" s="497" t="s">
        <v>1982</v>
      </c>
      <c r="CX848" s="543">
        <v>1</v>
      </c>
    </row>
    <row r="849" spans="91:102" ht="21" customHeight="1">
      <c r="CM849" s="494"/>
      <c r="CN849" s="496" t="s">
        <v>2778</v>
      </c>
      <c r="CO849" s="496" t="s">
        <v>8</v>
      </c>
      <c r="CP849" s="496" t="s">
        <v>689</v>
      </c>
      <c r="CQ849" s="496" t="s">
        <v>2779</v>
      </c>
      <c r="CR849" s="496" t="s">
        <v>2779</v>
      </c>
      <c r="CS849" s="496" t="s">
        <v>1554</v>
      </c>
      <c r="CT849" s="496" t="s">
        <v>1555</v>
      </c>
      <c r="CU849" s="496" t="s">
        <v>1981</v>
      </c>
      <c r="CV849" s="497" t="s">
        <v>1982</v>
      </c>
      <c r="CX849" s="543">
        <v>1</v>
      </c>
    </row>
    <row r="850" spans="91:102" ht="21" customHeight="1">
      <c r="CM850" s="494"/>
      <c r="CN850" s="496" t="s">
        <v>2780</v>
      </c>
      <c r="CO850" s="496" t="s">
        <v>8</v>
      </c>
      <c r="CP850" s="496" t="s">
        <v>689</v>
      </c>
      <c r="CQ850" s="496" t="s">
        <v>2781</v>
      </c>
      <c r="CR850" s="496" t="s">
        <v>2781</v>
      </c>
      <c r="CS850" s="496" t="s">
        <v>1554</v>
      </c>
      <c r="CT850" s="496" t="s">
        <v>1555</v>
      </c>
      <c r="CU850" s="496" t="s">
        <v>1981</v>
      </c>
      <c r="CV850" s="497" t="s">
        <v>1982</v>
      </c>
      <c r="CX850" s="543">
        <v>1</v>
      </c>
    </row>
    <row r="851" spans="91:102" ht="21" customHeight="1">
      <c r="CM851" s="494"/>
      <c r="CN851" s="496" t="s">
        <v>2782</v>
      </c>
      <c r="CO851" s="496" t="s">
        <v>8</v>
      </c>
      <c r="CP851" s="496" t="s">
        <v>689</v>
      </c>
      <c r="CQ851" s="496" t="s">
        <v>2783</v>
      </c>
      <c r="CR851" s="496" t="s">
        <v>2783</v>
      </c>
      <c r="CS851" s="496" t="s">
        <v>1554</v>
      </c>
      <c r="CT851" s="496" t="s">
        <v>1555</v>
      </c>
      <c r="CU851" s="496" t="s">
        <v>1981</v>
      </c>
      <c r="CV851" s="497" t="s">
        <v>1982</v>
      </c>
      <c r="CX851" s="543">
        <v>1</v>
      </c>
    </row>
    <row r="852" spans="91:102" ht="21" customHeight="1">
      <c r="CM852" s="494"/>
      <c r="CN852" s="496" t="s">
        <v>2784</v>
      </c>
      <c r="CO852" s="496" t="s">
        <v>8</v>
      </c>
      <c r="CP852" s="496" t="s">
        <v>689</v>
      </c>
      <c r="CQ852" s="496" t="s">
        <v>2785</v>
      </c>
      <c r="CR852" s="496" t="s">
        <v>2785</v>
      </c>
      <c r="CS852" s="496" t="s">
        <v>1554</v>
      </c>
      <c r="CT852" s="496" t="s">
        <v>1555</v>
      </c>
      <c r="CU852" s="496" t="s">
        <v>1981</v>
      </c>
      <c r="CV852" s="497" t="s">
        <v>1982</v>
      </c>
      <c r="CX852" s="543">
        <v>1</v>
      </c>
    </row>
    <row r="853" spans="91:102" ht="21" customHeight="1">
      <c r="CM853" s="494"/>
      <c r="CN853" s="496" t="s">
        <v>2786</v>
      </c>
      <c r="CO853" s="496" t="s">
        <v>8</v>
      </c>
      <c r="CP853" s="496" t="s">
        <v>689</v>
      </c>
      <c r="CQ853" s="496" t="s">
        <v>2787</v>
      </c>
      <c r="CR853" s="496" t="s">
        <v>2787</v>
      </c>
      <c r="CS853" s="496" t="s">
        <v>1554</v>
      </c>
      <c r="CT853" s="496" t="s">
        <v>1555</v>
      </c>
      <c r="CU853" s="496" t="s">
        <v>1981</v>
      </c>
      <c r="CV853" s="497" t="s">
        <v>1982</v>
      </c>
      <c r="CX853" s="543">
        <v>1</v>
      </c>
    </row>
    <row r="854" spans="91:102" ht="21" customHeight="1">
      <c r="CM854" s="494"/>
      <c r="CN854" s="496" t="s">
        <v>2788</v>
      </c>
      <c r="CO854" s="496" t="s">
        <v>8</v>
      </c>
      <c r="CP854" s="496" t="s">
        <v>689</v>
      </c>
      <c r="CQ854" s="496" t="s">
        <v>2789</v>
      </c>
      <c r="CR854" s="496" t="s">
        <v>2789</v>
      </c>
      <c r="CS854" s="496" t="s">
        <v>1554</v>
      </c>
      <c r="CT854" s="496" t="s">
        <v>1555</v>
      </c>
      <c r="CU854" s="496" t="s">
        <v>1981</v>
      </c>
      <c r="CV854" s="497" t="s">
        <v>1982</v>
      </c>
      <c r="CX854" s="543">
        <v>1</v>
      </c>
    </row>
    <row r="855" spans="91:102" ht="21" customHeight="1">
      <c r="CM855" s="494"/>
      <c r="CN855" s="496" t="s">
        <v>2790</v>
      </c>
      <c r="CO855" s="496" t="s">
        <v>8</v>
      </c>
      <c r="CP855" s="496" t="s">
        <v>689</v>
      </c>
      <c r="CQ855" s="496" t="s">
        <v>2791</v>
      </c>
      <c r="CR855" s="496" t="s">
        <v>2791</v>
      </c>
      <c r="CS855" s="496" t="s">
        <v>1554</v>
      </c>
      <c r="CT855" s="496" t="s">
        <v>1555</v>
      </c>
      <c r="CU855" s="496" t="s">
        <v>1981</v>
      </c>
      <c r="CV855" s="497" t="s">
        <v>1982</v>
      </c>
      <c r="CX855" s="543">
        <v>1</v>
      </c>
    </row>
    <row r="856" spans="91:102" ht="21" customHeight="1">
      <c r="CM856" s="494"/>
      <c r="CN856" s="496" t="s">
        <v>2792</v>
      </c>
      <c r="CO856" s="496" t="s">
        <v>8</v>
      </c>
      <c r="CP856" s="496" t="s">
        <v>689</v>
      </c>
      <c r="CQ856" s="496" t="s">
        <v>2793</v>
      </c>
      <c r="CR856" s="496" t="s">
        <v>2793</v>
      </c>
      <c r="CS856" s="496" t="s">
        <v>1554</v>
      </c>
      <c r="CT856" s="496" t="s">
        <v>1555</v>
      </c>
      <c r="CU856" s="496" t="s">
        <v>1981</v>
      </c>
      <c r="CV856" s="497" t="s">
        <v>1982</v>
      </c>
      <c r="CX856" s="543">
        <v>1</v>
      </c>
    </row>
    <row r="857" spans="91:102" ht="21" customHeight="1">
      <c r="CM857" s="494"/>
      <c r="CN857" s="496" t="s">
        <v>2794</v>
      </c>
      <c r="CO857" s="496" t="s">
        <v>8</v>
      </c>
      <c r="CP857" s="496" t="s">
        <v>689</v>
      </c>
      <c r="CQ857" s="496" t="s">
        <v>2795</v>
      </c>
      <c r="CR857" s="496" t="s">
        <v>2795</v>
      </c>
      <c r="CS857" s="496" t="s">
        <v>1554</v>
      </c>
      <c r="CT857" s="496" t="s">
        <v>1555</v>
      </c>
      <c r="CU857" s="496" t="s">
        <v>1981</v>
      </c>
      <c r="CV857" s="497" t="s">
        <v>1982</v>
      </c>
      <c r="CX857" s="543">
        <v>1</v>
      </c>
    </row>
    <row r="858" spans="91:102" ht="21" customHeight="1">
      <c r="CM858" s="494"/>
      <c r="CN858" s="496" t="s">
        <v>2796</v>
      </c>
      <c r="CO858" s="496" t="s">
        <v>8</v>
      </c>
      <c r="CP858" s="496" t="s">
        <v>689</v>
      </c>
      <c r="CQ858" s="496" t="s">
        <v>2797</v>
      </c>
      <c r="CR858" s="496" t="s">
        <v>2797</v>
      </c>
      <c r="CS858" s="496" t="s">
        <v>1554</v>
      </c>
      <c r="CT858" s="496" t="s">
        <v>1555</v>
      </c>
      <c r="CU858" s="496" t="s">
        <v>1981</v>
      </c>
      <c r="CV858" s="497" t="s">
        <v>1982</v>
      </c>
      <c r="CX858" s="543">
        <v>1</v>
      </c>
    </row>
    <row r="859" spans="91:102" ht="21" customHeight="1">
      <c r="CM859" s="494"/>
      <c r="CN859" s="496" t="s">
        <v>2798</v>
      </c>
      <c r="CO859" s="496" t="s">
        <v>8</v>
      </c>
      <c r="CP859" s="496" t="s">
        <v>689</v>
      </c>
      <c r="CQ859" s="496" t="s">
        <v>1036</v>
      </c>
      <c r="CR859" s="496" t="s">
        <v>1036</v>
      </c>
      <c r="CS859" s="496" t="s">
        <v>1554</v>
      </c>
      <c r="CT859" s="496" t="s">
        <v>1555</v>
      </c>
      <c r="CU859" s="496" t="s">
        <v>1981</v>
      </c>
      <c r="CV859" s="497" t="s">
        <v>1982</v>
      </c>
      <c r="CX859" s="543">
        <v>1</v>
      </c>
    </row>
    <row r="860" spans="91:102" ht="21" customHeight="1">
      <c r="CM860" s="494"/>
      <c r="CN860" s="496" t="s">
        <v>2799</v>
      </c>
      <c r="CO860" s="496" t="s">
        <v>8</v>
      </c>
      <c r="CP860" s="496" t="s">
        <v>689</v>
      </c>
      <c r="CQ860" s="496" t="s">
        <v>2800</v>
      </c>
      <c r="CR860" s="496" t="s">
        <v>2800</v>
      </c>
      <c r="CS860" s="496" t="s">
        <v>1554</v>
      </c>
      <c r="CT860" s="496" t="s">
        <v>1555</v>
      </c>
      <c r="CU860" s="496" t="s">
        <v>1981</v>
      </c>
      <c r="CV860" s="497" t="s">
        <v>1982</v>
      </c>
      <c r="CX860" s="543">
        <v>1</v>
      </c>
    </row>
    <row r="861" spans="91:102" ht="21" customHeight="1">
      <c r="CM861" s="494"/>
      <c r="CN861" s="496" t="s">
        <v>2801</v>
      </c>
      <c r="CO861" s="496" t="s">
        <v>8</v>
      </c>
      <c r="CP861" s="496" t="s">
        <v>689</v>
      </c>
      <c r="CQ861" s="496" t="s">
        <v>2802</v>
      </c>
      <c r="CR861" s="496" t="s">
        <v>2802</v>
      </c>
      <c r="CS861" s="496" t="s">
        <v>1554</v>
      </c>
      <c r="CT861" s="496" t="s">
        <v>1555</v>
      </c>
      <c r="CU861" s="496" t="s">
        <v>1981</v>
      </c>
      <c r="CV861" s="497" t="s">
        <v>1982</v>
      </c>
      <c r="CX861" s="543">
        <v>1</v>
      </c>
    </row>
    <row r="862" spans="91:102" ht="21" customHeight="1">
      <c r="CM862" s="494"/>
      <c r="CN862" s="496" t="s">
        <v>2803</v>
      </c>
      <c r="CO862" s="496" t="s">
        <v>8</v>
      </c>
      <c r="CP862" s="496" t="s">
        <v>689</v>
      </c>
      <c r="CQ862" s="496" t="s">
        <v>2804</v>
      </c>
      <c r="CR862" s="496" t="s">
        <v>2804</v>
      </c>
      <c r="CS862" s="496" t="s">
        <v>1554</v>
      </c>
      <c r="CT862" s="496" t="s">
        <v>1555</v>
      </c>
      <c r="CU862" s="496" t="s">
        <v>1981</v>
      </c>
      <c r="CV862" s="497" t="s">
        <v>1982</v>
      </c>
      <c r="CX862" s="543">
        <v>1</v>
      </c>
    </row>
    <row r="863" spans="91:102" ht="21" customHeight="1">
      <c r="CM863" s="494"/>
      <c r="CN863" s="496" t="s">
        <v>2805</v>
      </c>
      <c r="CO863" s="496" t="s">
        <v>8</v>
      </c>
      <c r="CP863" s="496" t="s">
        <v>689</v>
      </c>
      <c r="CQ863" s="496" t="s">
        <v>2806</v>
      </c>
      <c r="CR863" s="496" t="s">
        <v>2806</v>
      </c>
      <c r="CS863" s="496" t="s">
        <v>1554</v>
      </c>
      <c r="CT863" s="496" t="s">
        <v>1555</v>
      </c>
      <c r="CU863" s="496" t="s">
        <v>1981</v>
      </c>
      <c r="CV863" s="497" t="s">
        <v>1982</v>
      </c>
      <c r="CX863" s="543">
        <v>1</v>
      </c>
    </row>
    <row r="864" spans="91:102" ht="21" customHeight="1">
      <c r="CM864" s="494"/>
      <c r="CN864" s="496" t="s">
        <v>2807</v>
      </c>
      <c r="CO864" s="496" t="s">
        <v>8</v>
      </c>
      <c r="CP864" s="496" t="s">
        <v>689</v>
      </c>
      <c r="CQ864" s="496" t="s">
        <v>2808</v>
      </c>
      <c r="CR864" s="496" t="s">
        <v>2808</v>
      </c>
      <c r="CS864" s="496" t="s">
        <v>1554</v>
      </c>
      <c r="CT864" s="496" t="s">
        <v>1555</v>
      </c>
      <c r="CU864" s="496" t="s">
        <v>1981</v>
      </c>
      <c r="CV864" s="497" t="s">
        <v>1982</v>
      </c>
      <c r="CX864" s="543">
        <v>1</v>
      </c>
    </row>
    <row r="865" spans="91:102" ht="21" customHeight="1">
      <c r="CM865" s="494"/>
      <c r="CN865" s="496" t="s">
        <v>2809</v>
      </c>
      <c r="CO865" s="496" t="s">
        <v>8</v>
      </c>
      <c r="CP865" s="496" t="s">
        <v>689</v>
      </c>
      <c r="CQ865" s="496" t="s">
        <v>2810</v>
      </c>
      <c r="CR865" s="496" t="s">
        <v>2810</v>
      </c>
      <c r="CS865" s="496" t="s">
        <v>1554</v>
      </c>
      <c r="CT865" s="496" t="s">
        <v>1555</v>
      </c>
      <c r="CU865" s="496" t="s">
        <v>1981</v>
      </c>
      <c r="CV865" s="497" t="s">
        <v>1982</v>
      </c>
      <c r="CX865" s="543">
        <v>1</v>
      </c>
    </row>
    <row r="866" spans="91:102" ht="21" customHeight="1">
      <c r="CM866" s="494"/>
      <c r="CN866" s="496" t="s">
        <v>2811</v>
      </c>
      <c r="CO866" s="496" t="s">
        <v>8</v>
      </c>
      <c r="CP866" s="496" t="s">
        <v>689</v>
      </c>
      <c r="CQ866" s="496" t="s">
        <v>1037</v>
      </c>
      <c r="CR866" s="496" t="s">
        <v>1037</v>
      </c>
      <c r="CS866" s="496" t="s">
        <v>1554</v>
      </c>
      <c r="CT866" s="496" t="s">
        <v>1555</v>
      </c>
      <c r="CU866" s="496" t="s">
        <v>1981</v>
      </c>
      <c r="CV866" s="497" t="s">
        <v>1982</v>
      </c>
      <c r="CX866" s="543">
        <v>1</v>
      </c>
    </row>
    <row r="867" spans="91:102" ht="21" customHeight="1">
      <c r="CM867" s="494"/>
      <c r="CN867" s="496" t="s">
        <v>2812</v>
      </c>
      <c r="CO867" s="496" t="s">
        <v>8</v>
      </c>
      <c r="CP867" s="496" t="s">
        <v>689</v>
      </c>
      <c r="CQ867" s="496" t="s">
        <v>2813</v>
      </c>
      <c r="CR867" s="496" t="s">
        <v>2813</v>
      </c>
      <c r="CS867" s="496" t="s">
        <v>1554</v>
      </c>
      <c r="CT867" s="496" t="s">
        <v>1555</v>
      </c>
      <c r="CU867" s="496" t="s">
        <v>1981</v>
      </c>
      <c r="CV867" s="497" t="s">
        <v>1982</v>
      </c>
      <c r="CX867" s="543">
        <v>1</v>
      </c>
    </row>
    <row r="868" spans="91:102" ht="21" customHeight="1">
      <c r="CM868" s="494"/>
      <c r="CN868" s="496" t="s">
        <v>2814</v>
      </c>
      <c r="CO868" s="496" t="s">
        <v>8</v>
      </c>
      <c r="CP868" s="496" t="s">
        <v>689</v>
      </c>
      <c r="CQ868" s="496" t="s">
        <v>2815</v>
      </c>
      <c r="CR868" s="496" t="s">
        <v>2815</v>
      </c>
      <c r="CS868" s="496" t="s">
        <v>1554</v>
      </c>
      <c r="CT868" s="496" t="s">
        <v>1555</v>
      </c>
      <c r="CU868" s="496" t="s">
        <v>1981</v>
      </c>
      <c r="CV868" s="497" t="s">
        <v>1982</v>
      </c>
      <c r="CX868" s="543">
        <v>1</v>
      </c>
    </row>
    <row r="869" spans="91:102" ht="21" customHeight="1">
      <c r="CM869" s="494"/>
      <c r="CN869" s="496" t="s">
        <v>2816</v>
      </c>
      <c r="CO869" s="496" t="s">
        <v>8</v>
      </c>
      <c r="CP869" s="496" t="s">
        <v>689</v>
      </c>
      <c r="CQ869" s="496" t="s">
        <v>2817</v>
      </c>
      <c r="CR869" s="496" t="s">
        <v>2817</v>
      </c>
      <c r="CS869" s="496" t="s">
        <v>1554</v>
      </c>
      <c r="CT869" s="496" t="s">
        <v>1555</v>
      </c>
      <c r="CU869" s="496" t="s">
        <v>1981</v>
      </c>
      <c r="CV869" s="497" t="s">
        <v>1982</v>
      </c>
      <c r="CX869" s="543">
        <v>1</v>
      </c>
    </row>
    <row r="870" spans="91:102" ht="21" customHeight="1">
      <c r="CM870" s="494"/>
      <c r="CN870" s="496" t="s">
        <v>2818</v>
      </c>
      <c r="CO870" s="496" t="s">
        <v>8</v>
      </c>
      <c r="CP870" s="496" t="s">
        <v>689</v>
      </c>
      <c r="CQ870" s="496" t="s">
        <v>2819</v>
      </c>
      <c r="CR870" s="496" t="s">
        <v>2819</v>
      </c>
      <c r="CS870" s="496" t="s">
        <v>1554</v>
      </c>
      <c r="CT870" s="496" t="s">
        <v>1555</v>
      </c>
      <c r="CU870" s="496" t="s">
        <v>1981</v>
      </c>
      <c r="CV870" s="497" t="s">
        <v>1982</v>
      </c>
      <c r="CX870" s="543">
        <v>1</v>
      </c>
    </row>
    <row r="871" spans="91:102" ht="21" customHeight="1">
      <c r="CM871" s="494"/>
      <c r="CN871" s="496" t="s">
        <v>2820</v>
      </c>
      <c r="CO871" s="496" t="s">
        <v>8</v>
      </c>
      <c r="CP871" s="496" t="s">
        <v>689</v>
      </c>
      <c r="CQ871" s="496" t="s">
        <v>2821</v>
      </c>
      <c r="CR871" s="496" t="s">
        <v>2821</v>
      </c>
      <c r="CS871" s="496" t="s">
        <v>1554</v>
      </c>
      <c r="CT871" s="496" t="s">
        <v>1555</v>
      </c>
      <c r="CU871" s="496" t="s">
        <v>1981</v>
      </c>
      <c r="CV871" s="497" t="s">
        <v>1982</v>
      </c>
      <c r="CX871" s="543">
        <v>1</v>
      </c>
    </row>
    <row r="872" spans="91:102" ht="21" customHeight="1">
      <c r="CM872" s="494"/>
      <c r="CN872" s="496" t="s">
        <v>2822</v>
      </c>
      <c r="CO872" s="496" t="s">
        <v>8</v>
      </c>
      <c r="CP872" s="496" t="s">
        <v>689</v>
      </c>
      <c r="CQ872" s="496" t="s">
        <v>2823</v>
      </c>
      <c r="CR872" s="496" t="s">
        <v>2823</v>
      </c>
      <c r="CS872" s="496" t="s">
        <v>1554</v>
      </c>
      <c r="CT872" s="496" t="s">
        <v>1555</v>
      </c>
      <c r="CU872" s="496" t="s">
        <v>1981</v>
      </c>
      <c r="CV872" s="497" t="s">
        <v>1982</v>
      </c>
      <c r="CX872" s="543">
        <v>1</v>
      </c>
    </row>
    <row r="873" spans="91:102" ht="21" customHeight="1">
      <c r="CM873" s="494"/>
      <c r="CN873" s="496" t="s">
        <v>2824</v>
      </c>
      <c r="CO873" s="496" t="s">
        <v>8</v>
      </c>
      <c r="CP873" s="496" t="s">
        <v>689</v>
      </c>
      <c r="CQ873" s="496" t="s">
        <v>2825</v>
      </c>
      <c r="CR873" s="496" t="s">
        <v>2825</v>
      </c>
      <c r="CS873" s="496" t="s">
        <v>1554</v>
      </c>
      <c r="CT873" s="496" t="s">
        <v>1555</v>
      </c>
      <c r="CU873" s="496" t="s">
        <v>1981</v>
      </c>
      <c r="CV873" s="497" t="s">
        <v>1982</v>
      </c>
      <c r="CX873" s="543">
        <v>1</v>
      </c>
    </row>
    <row r="874" spans="91:102" ht="21" customHeight="1">
      <c r="CM874" s="494"/>
      <c r="CN874" s="496" t="s">
        <v>2826</v>
      </c>
      <c r="CO874" s="496" t="s">
        <v>8</v>
      </c>
      <c r="CP874" s="496" t="s">
        <v>689</v>
      </c>
      <c r="CQ874" s="496" t="s">
        <v>2827</v>
      </c>
      <c r="CR874" s="496" t="s">
        <v>2827</v>
      </c>
      <c r="CS874" s="496" t="s">
        <v>1554</v>
      </c>
      <c r="CT874" s="496" t="s">
        <v>1555</v>
      </c>
      <c r="CU874" s="496" t="s">
        <v>1981</v>
      </c>
      <c r="CV874" s="497" t="s">
        <v>1982</v>
      </c>
      <c r="CX874" s="543">
        <v>1</v>
      </c>
    </row>
    <row r="875" spans="91:102" ht="21" customHeight="1">
      <c r="CM875" s="494"/>
      <c r="CN875" s="496" t="s">
        <v>2828</v>
      </c>
      <c r="CO875" s="496" t="s">
        <v>8</v>
      </c>
      <c r="CP875" s="496" t="s">
        <v>689</v>
      </c>
      <c r="CQ875" s="496" t="s">
        <v>2829</v>
      </c>
      <c r="CR875" s="496" t="s">
        <v>2829</v>
      </c>
      <c r="CS875" s="496" t="s">
        <v>1554</v>
      </c>
      <c r="CT875" s="496" t="s">
        <v>1555</v>
      </c>
      <c r="CU875" s="496" t="s">
        <v>1981</v>
      </c>
      <c r="CV875" s="497" t="s">
        <v>1982</v>
      </c>
      <c r="CX875" s="543">
        <v>1</v>
      </c>
    </row>
    <row r="876" spans="91:102" ht="21" customHeight="1">
      <c r="CM876" s="494"/>
      <c r="CN876" s="496" t="s">
        <v>2830</v>
      </c>
      <c r="CO876" s="496" t="s">
        <v>8</v>
      </c>
      <c r="CP876" s="496" t="s">
        <v>689</v>
      </c>
      <c r="CQ876" s="496" t="s">
        <v>2831</v>
      </c>
      <c r="CR876" s="496" t="s">
        <v>2831</v>
      </c>
      <c r="CS876" s="496" t="s">
        <v>1554</v>
      </c>
      <c r="CT876" s="496" t="s">
        <v>1555</v>
      </c>
      <c r="CU876" s="496" t="s">
        <v>1981</v>
      </c>
      <c r="CV876" s="497" t="s">
        <v>1982</v>
      </c>
      <c r="CX876" s="543">
        <v>1</v>
      </c>
    </row>
    <row r="877" spans="91:102" ht="21" customHeight="1">
      <c r="CM877" s="494"/>
      <c r="CN877" s="496" t="s">
        <v>2832</v>
      </c>
      <c r="CO877" s="496" t="s">
        <v>8</v>
      </c>
      <c r="CP877" s="496" t="s">
        <v>689</v>
      </c>
      <c r="CQ877" s="496" t="s">
        <v>2833</v>
      </c>
      <c r="CR877" s="496" t="s">
        <v>2833</v>
      </c>
      <c r="CS877" s="496" t="s">
        <v>1554</v>
      </c>
      <c r="CT877" s="496" t="s">
        <v>1555</v>
      </c>
      <c r="CU877" s="496" t="s">
        <v>1981</v>
      </c>
      <c r="CV877" s="497" t="s">
        <v>1982</v>
      </c>
      <c r="CX877" s="543">
        <v>1</v>
      </c>
    </row>
    <row r="878" spans="91:102" ht="21" customHeight="1">
      <c r="CM878" s="494"/>
      <c r="CN878" s="496" t="s">
        <v>2834</v>
      </c>
      <c r="CO878" s="496" t="s">
        <v>8</v>
      </c>
      <c r="CP878" s="496" t="s">
        <v>689</v>
      </c>
      <c r="CQ878" s="496" t="s">
        <v>2835</v>
      </c>
      <c r="CR878" s="496" t="s">
        <v>2835</v>
      </c>
      <c r="CS878" s="496" t="s">
        <v>1554</v>
      </c>
      <c r="CT878" s="496" t="s">
        <v>1555</v>
      </c>
      <c r="CU878" s="496" t="s">
        <v>1981</v>
      </c>
      <c r="CV878" s="497" t="s">
        <v>1982</v>
      </c>
      <c r="CX878" s="543">
        <v>1</v>
      </c>
    </row>
    <row r="879" spans="91:102" ht="21" customHeight="1">
      <c r="CM879" s="494"/>
      <c r="CN879" s="496" t="s">
        <v>2836</v>
      </c>
      <c r="CO879" s="496" t="s">
        <v>8</v>
      </c>
      <c r="CP879" s="496" t="s">
        <v>689</v>
      </c>
      <c r="CQ879" s="496" t="s">
        <v>2837</v>
      </c>
      <c r="CR879" s="496" t="s">
        <v>2837</v>
      </c>
      <c r="CS879" s="496" t="s">
        <v>1554</v>
      </c>
      <c r="CT879" s="496" t="s">
        <v>1555</v>
      </c>
      <c r="CU879" s="496" t="s">
        <v>1981</v>
      </c>
      <c r="CV879" s="497" t="s">
        <v>1982</v>
      </c>
      <c r="CX879" s="543">
        <v>1</v>
      </c>
    </row>
    <row r="880" spans="91:102" ht="21" customHeight="1">
      <c r="CM880" s="494"/>
      <c r="CN880" s="496" t="s">
        <v>2838</v>
      </c>
      <c r="CO880" s="496" t="s">
        <v>8</v>
      </c>
      <c r="CP880" s="496" t="s">
        <v>689</v>
      </c>
      <c r="CQ880" s="496" t="s">
        <v>2839</v>
      </c>
      <c r="CR880" s="496" t="s">
        <v>2839</v>
      </c>
      <c r="CS880" s="496" t="s">
        <v>1554</v>
      </c>
      <c r="CT880" s="496" t="s">
        <v>1555</v>
      </c>
      <c r="CU880" s="496" t="s">
        <v>1981</v>
      </c>
      <c r="CV880" s="497" t="s">
        <v>1982</v>
      </c>
      <c r="CX880" s="543">
        <v>1</v>
      </c>
    </row>
    <row r="881" spans="91:102" ht="21" customHeight="1">
      <c r="CM881" s="494"/>
      <c r="CN881" s="496" t="s">
        <v>2840</v>
      </c>
      <c r="CO881" s="496" t="s">
        <v>8</v>
      </c>
      <c r="CP881" s="496" t="s">
        <v>689</v>
      </c>
      <c r="CQ881" s="496" t="s">
        <v>2841</v>
      </c>
      <c r="CR881" s="496" t="s">
        <v>2841</v>
      </c>
      <c r="CS881" s="496" t="s">
        <v>1554</v>
      </c>
      <c r="CT881" s="496" t="s">
        <v>1555</v>
      </c>
      <c r="CU881" s="496" t="s">
        <v>1981</v>
      </c>
      <c r="CV881" s="497" t="s">
        <v>1982</v>
      </c>
      <c r="CX881" s="543">
        <v>1</v>
      </c>
    </row>
    <row r="882" spans="91:102" ht="21" customHeight="1">
      <c r="CM882" s="494"/>
      <c r="CN882" s="496" t="s">
        <v>2842</v>
      </c>
      <c r="CO882" s="496" t="s">
        <v>8</v>
      </c>
      <c r="CP882" s="496" t="s">
        <v>689</v>
      </c>
      <c r="CQ882" s="496" t="s">
        <v>2843</v>
      </c>
      <c r="CR882" s="496" t="s">
        <v>2843</v>
      </c>
      <c r="CS882" s="496" t="s">
        <v>1554</v>
      </c>
      <c r="CT882" s="496" t="s">
        <v>1555</v>
      </c>
      <c r="CU882" s="496" t="s">
        <v>1981</v>
      </c>
      <c r="CV882" s="497" t="s">
        <v>1982</v>
      </c>
      <c r="CX882" s="543">
        <v>1</v>
      </c>
    </row>
    <row r="883" spans="91:102" ht="21" customHeight="1">
      <c r="CM883" s="494"/>
      <c r="CN883" s="496" t="s">
        <v>2844</v>
      </c>
      <c r="CO883" s="496" t="s">
        <v>8</v>
      </c>
      <c r="CP883" s="496" t="s">
        <v>689</v>
      </c>
      <c r="CQ883" s="496" t="s">
        <v>2845</v>
      </c>
      <c r="CR883" s="496" t="s">
        <v>2845</v>
      </c>
      <c r="CS883" s="496" t="s">
        <v>1554</v>
      </c>
      <c r="CT883" s="496" t="s">
        <v>1555</v>
      </c>
      <c r="CU883" s="496" t="s">
        <v>1981</v>
      </c>
      <c r="CV883" s="497" t="s">
        <v>1982</v>
      </c>
      <c r="CX883" s="543">
        <v>1</v>
      </c>
    </row>
    <row r="884" spans="91:102" ht="21" customHeight="1">
      <c r="CM884" s="494"/>
      <c r="CN884" s="496" t="s">
        <v>2846</v>
      </c>
      <c r="CO884" s="496" t="s">
        <v>8</v>
      </c>
      <c r="CP884" s="496" t="s">
        <v>689</v>
      </c>
      <c r="CQ884" s="496" t="s">
        <v>2847</v>
      </c>
      <c r="CR884" s="496" t="s">
        <v>2847</v>
      </c>
      <c r="CS884" s="496" t="s">
        <v>1554</v>
      </c>
      <c r="CT884" s="496" t="s">
        <v>1555</v>
      </c>
      <c r="CU884" s="496" t="s">
        <v>1981</v>
      </c>
      <c r="CV884" s="497" t="s">
        <v>1982</v>
      </c>
      <c r="CX884" s="543">
        <v>1</v>
      </c>
    </row>
    <row r="885" spans="91:102" ht="21" customHeight="1">
      <c r="CM885" s="494"/>
      <c r="CN885" s="496" t="s">
        <v>2848</v>
      </c>
      <c r="CO885" s="496" t="s">
        <v>8</v>
      </c>
      <c r="CP885" s="496" t="s">
        <v>689</v>
      </c>
      <c r="CQ885" s="496" t="s">
        <v>2849</v>
      </c>
      <c r="CR885" s="496" t="s">
        <v>2849</v>
      </c>
      <c r="CS885" s="496" t="s">
        <v>1554</v>
      </c>
      <c r="CT885" s="496" t="s">
        <v>1555</v>
      </c>
      <c r="CU885" s="496" t="s">
        <v>1981</v>
      </c>
      <c r="CV885" s="497" t="s">
        <v>1982</v>
      </c>
      <c r="CX885" s="543">
        <v>1</v>
      </c>
    </row>
    <row r="886" spans="91:102" ht="21" customHeight="1">
      <c r="CM886" s="494"/>
      <c r="CN886" s="496" t="s">
        <v>2850</v>
      </c>
      <c r="CO886" s="496" t="s">
        <v>8</v>
      </c>
      <c r="CP886" s="496" t="s">
        <v>689</v>
      </c>
      <c r="CQ886" s="496" t="s">
        <v>2851</v>
      </c>
      <c r="CR886" s="496" t="s">
        <v>2851</v>
      </c>
      <c r="CS886" s="496" t="s">
        <v>1554</v>
      </c>
      <c r="CT886" s="496" t="s">
        <v>1555</v>
      </c>
      <c r="CU886" s="496" t="s">
        <v>1981</v>
      </c>
      <c r="CV886" s="497" t="s">
        <v>1982</v>
      </c>
      <c r="CX886" s="543">
        <v>1</v>
      </c>
    </row>
    <row r="887" spans="91:102" ht="21" customHeight="1">
      <c r="CM887" s="494"/>
      <c r="CN887" s="496" t="s">
        <v>2852</v>
      </c>
      <c r="CO887" s="496" t="s">
        <v>8</v>
      </c>
      <c r="CP887" s="496" t="s">
        <v>689</v>
      </c>
      <c r="CQ887" s="496" t="s">
        <v>2853</v>
      </c>
      <c r="CR887" s="496" t="s">
        <v>2853</v>
      </c>
      <c r="CS887" s="496" t="s">
        <v>1151</v>
      </c>
      <c r="CT887" s="496" t="s">
        <v>1152</v>
      </c>
      <c r="CU887" s="496" t="s">
        <v>1087</v>
      </c>
      <c r="CV887" s="497" t="s">
        <v>1153</v>
      </c>
      <c r="CX887" s="543">
        <v>1</v>
      </c>
    </row>
    <row r="888" spans="91:102" ht="21" customHeight="1">
      <c r="CM888" s="494"/>
      <c r="CN888" s="496" t="s">
        <v>2854</v>
      </c>
      <c r="CO888" s="496" t="s">
        <v>8</v>
      </c>
      <c r="CP888" s="496" t="s">
        <v>689</v>
      </c>
      <c r="CQ888" s="496" t="s">
        <v>2855</v>
      </c>
      <c r="CR888" s="496" t="s">
        <v>2855</v>
      </c>
      <c r="CS888" s="496" t="s">
        <v>1554</v>
      </c>
      <c r="CT888" s="496" t="s">
        <v>1555</v>
      </c>
      <c r="CU888" s="496" t="s">
        <v>1981</v>
      </c>
      <c r="CV888" s="497" t="s">
        <v>1982</v>
      </c>
      <c r="CX888" s="543">
        <v>1</v>
      </c>
    </row>
    <row r="889" spans="91:102" ht="21" customHeight="1">
      <c r="CM889" s="494"/>
      <c r="CN889" s="496" t="s">
        <v>2856</v>
      </c>
      <c r="CO889" s="496" t="s">
        <v>8</v>
      </c>
      <c r="CP889" s="496" t="s">
        <v>689</v>
      </c>
      <c r="CQ889" s="496" t="s">
        <v>2857</v>
      </c>
      <c r="CR889" s="496" t="s">
        <v>2857</v>
      </c>
      <c r="CS889" s="496" t="s">
        <v>1554</v>
      </c>
      <c r="CT889" s="496" t="s">
        <v>1555</v>
      </c>
      <c r="CU889" s="496" t="s">
        <v>1981</v>
      </c>
      <c r="CV889" s="497" t="s">
        <v>1982</v>
      </c>
      <c r="CX889" s="543">
        <v>1</v>
      </c>
    </row>
    <row r="890" spans="91:102" ht="21" customHeight="1">
      <c r="CM890" s="494"/>
      <c r="CN890" s="496" t="s">
        <v>2858</v>
      </c>
      <c r="CO890" s="496" t="s">
        <v>8</v>
      </c>
      <c r="CP890" s="496" t="s">
        <v>689</v>
      </c>
      <c r="CQ890" s="496" t="s">
        <v>2859</v>
      </c>
      <c r="CR890" s="496" t="s">
        <v>2859</v>
      </c>
      <c r="CS890" s="496" t="s">
        <v>1554</v>
      </c>
      <c r="CT890" s="496" t="s">
        <v>1555</v>
      </c>
      <c r="CU890" s="496" t="s">
        <v>1981</v>
      </c>
      <c r="CV890" s="497" t="s">
        <v>1982</v>
      </c>
      <c r="CX890" s="543">
        <v>1</v>
      </c>
    </row>
    <row r="891" spans="91:102" ht="21" customHeight="1">
      <c r="CM891" s="494"/>
      <c r="CN891" s="496" t="s">
        <v>2860</v>
      </c>
      <c r="CO891" s="496" t="s">
        <v>8</v>
      </c>
      <c r="CP891" s="496" t="s">
        <v>689</v>
      </c>
      <c r="CQ891" s="496" t="s">
        <v>2861</v>
      </c>
      <c r="CR891" s="496" t="s">
        <v>2861</v>
      </c>
      <c r="CS891" s="496" t="s">
        <v>1554</v>
      </c>
      <c r="CT891" s="496" t="s">
        <v>1555</v>
      </c>
      <c r="CU891" s="496" t="s">
        <v>1981</v>
      </c>
      <c r="CV891" s="497" t="s">
        <v>1982</v>
      </c>
      <c r="CX891" s="543">
        <v>1</v>
      </c>
    </row>
    <row r="892" spans="91:102" ht="21" customHeight="1">
      <c r="CM892" s="494"/>
      <c r="CN892" s="496" t="s">
        <v>2862</v>
      </c>
      <c r="CO892" s="496" t="s">
        <v>8</v>
      </c>
      <c r="CP892" s="496" t="s">
        <v>689</v>
      </c>
      <c r="CQ892" s="496" t="s">
        <v>2863</v>
      </c>
      <c r="CR892" s="496" t="s">
        <v>2863</v>
      </c>
      <c r="CS892" s="496" t="s">
        <v>1554</v>
      </c>
      <c r="CT892" s="496" t="s">
        <v>1555</v>
      </c>
      <c r="CU892" s="496" t="s">
        <v>1981</v>
      </c>
      <c r="CV892" s="497" t="s">
        <v>1982</v>
      </c>
      <c r="CX892" s="543">
        <v>1</v>
      </c>
    </row>
    <row r="893" spans="91:102" ht="21" customHeight="1">
      <c r="CM893" s="494"/>
      <c r="CN893" s="496" t="s">
        <v>2864</v>
      </c>
      <c r="CO893" s="496" t="s">
        <v>8</v>
      </c>
      <c r="CP893" s="496" t="s">
        <v>689</v>
      </c>
      <c r="CQ893" s="496" t="s">
        <v>2865</v>
      </c>
      <c r="CR893" s="496" t="s">
        <v>2865</v>
      </c>
      <c r="CS893" s="496" t="s">
        <v>1554</v>
      </c>
      <c r="CT893" s="496" t="s">
        <v>1555</v>
      </c>
      <c r="CU893" s="496" t="s">
        <v>1981</v>
      </c>
      <c r="CV893" s="497" t="s">
        <v>1982</v>
      </c>
      <c r="CX893" s="543">
        <v>1</v>
      </c>
    </row>
    <row r="894" spans="91:102" ht="21" customHeight="1">
      <c r="CM894" s="494"/>
      <c r="CN894" s="496" t="s">
        <v>2866</v>
      </c>
      <c r="CO894" s="496" t="s">
        <v>8</v>
      </c>
      <c r="CP894" s="496" t="s">
        <v>689</v>
      </c>
      <c r="CQ894" s="496" t="s">
        <v>2867</v>
      </c>
      <c r="CR894" s="496" t="s">
        <v>2867</v>
      </c>
      <c r="CS894" s="496" t="s">
        <v>1554</v>
      </c>
      <c r="CT894" s="496" t="s">
        <v>1555</v>
      </c>
      <c r="CU894" s="496" t="s">
        <v>1981</v>
      </c>
      <c r="CV894" s="497" t="s">
        <v>1982</v>
      </c>
      <c r="CX894" s="543">
        <v>1</v>
      </c>
    </row>
    <row r="895" spans="91:102" ht="21" customHeight="1">
      <c r="CM895" s="494"/>
      <c r="CN895" s="496" t="s">
        <v>2868</v>
      </c>
      <c r="CO895" s="496" t="s">
        <v>8</v>
      </c>
      <c r="CP895" s="496" t="s">
        <v>689</v>
      </c>
      <c r="CQ895" s="496" t="s">
        <v>2869</v>
      </c>
      <c r="CR895" s="496" t="s">
        <v>2869</v>
      </c>
      <c r="CS895" s="496" t="s">
        <v>1554</v>
      </c>
      <c r="CT895" s="496" t="s">
        <v>1555</v>
      </c>
      <c r="CU895" s="496" t="s">
        <v>1981</v>
      </c>
      <c r="CV895" s="497" t="s">
        <v>1982</v>
      </c>
      <c r="CX895" s="543">
        <v>1</v>
      </c>
    </row>
    <row r="896" spans="91:102" ht="21" customHeight="1">
      <c r="CM896" s="494"/>
      <c r="CN896" s="496" t="s">
        <v>2870</v>
      </c>
      <c r="CO896" s="496" t="s">
        <v>8</v>
      </c>
      <c r="CP896" s="496" t="s">
        <v>689</v>
      </c>
      <c r="CQ896" s="496" t="s">
        <v>2871</v>
      </c>
      <c r="CR896" s="496" t="s">
        <v>2871</v>
      </c>
      <c r="CS896" s="496" t="s">
        <v>1554</v>
      </c>
      <c r="CT896" s="496" t="s">
        <v>1555</v>
      </c>
      <c r="CU896" s="496" t="s">
        <v>1981</v>
      </c>
      <c r="CV896" s="497" t="s">
        <v>1982</v>
      </c>
      <c r="CX896" s="543">
        <v>1</v>
      </c>
    </row>
    <row r="897" spans="91:102" ht="21" customHeight="1">
      <c r="CM897" s="494"/>
      <c r="CN897" s="496" t="s">
        <v>2872</v>
      </c>
      <c r="CO897" s="496" t="s">
        <v>8</v>
      </c>
      <c r="CP897" s="496" t="s">
        <v>689</v>
      </c>
      <c r="CQ897" s="496" t="s">
        <v>2873</v>
      </c>
      <c r="CR897" s="496" t="s">
        <v>2873</v>
      </c>
      <c r="CS897" s="496" t="s">
        <v>1554</v>
      </c>
      <c r="CT897" s="496" t="s">
        <v>1555</v>
      </c>
      <c r="CU897" s="496" t="s">
        <v>1981</v>
      </c>
      <c r="CV897" s="497" t="s">
        <v>1982</v>
      </c>
      <c r="CX897" s="543">
        <v>1</v>
      </c>
    </row>
    <row r="898" spans="91:102" ht="21" customHeight="1">
      <c r="CM898" s="494"/>
      <c r="CN898" s="496" t="s">
        <v>2874</v>
      </c>
      <c r="CO898" s="496" t="s">
        <v>8</v>
      </c>
      <c r="CP898" s="496" t="s">
        <v>689</v>
      </c>
      <c r="CQ898" s="496" t="s">
        <v>2875</v>
      </c>
      <c r="CR898" s="496" t="s">
        <v>2875</v>
      </c>
      <c r="CS898" s="496" t="s">
        <v>1554</v>
      </c>
      <c r="CT898" s="496" t="s">
        <v>1555</v>
      </c>
      <c r="CU898" s="496" t="s">
        <v>1981</v>
      </c>
      <c r="CV898" s="497" t="s">
        <v>1982</v>
      </c>
      <c r="CX898" s="543">
        <v>1</v>
      </c>
    </row>
    <row r="899" spans="91:102" ht="21" customHeight="1">
      <c r="CM899" s="494"/>
      <c r="CN899" s="496" t="s">
        <v>2876</v>
      </c>
      <c r="CO899" s="496" t="s">
        <v>8</v>
      </c>
      <c r="CP899" s="496" t="s">
        <v>689</v>
      </c>
      <c r="CQ899" s="496" t="s">
        <v>154</v>
      </c>
      <c r="CR899" s="496" t="s">
        <v>154</v>
      </c>
      <c r="CS899" s="496" t="s">
        <v>1554</v>
      </c>
      <c r="CT899" s="496" t="s">
        <v>1555</v>
      </c>
      <c r="CU899" s="496" t="s">
        <v>1981</v>
      </c>
      <c r="CV899" s="497" t="s">
        <v>1982</v>
      </c>
      <c r="CX899" s="543">
        <v>1</v>
      </c>
    </row>
    <row r="900" spans="91:102" ht="21" customHeight="1">
      <c r="CM900" s="494"/>
      <c r="CN900" s="496" t="s">
        <v>2877</v>
      </c>
      <c r="CO900" s="496" t="s">
        <v>8</v>
      </c>
      <c r="CP900" s="496" t="s">
        <v>689</v>
      </c>
      <c r="CQ900" s="496" t="s">
        <v>2878</v>
      </c>
      <c r="CR900" s="496" t="s">
        <v>2878</v>
      </c>
      <c r="CS900" s="496" t="s">
        <v>1554</v>
      </c>
      <c r="CT900" s="496" t="s">
        <v>1555</v>
      </c>
      <c r="CU900" s="496" t="s">
        <v>1981</v>
      </c>
      <c r="CV900" s="497" t="s">
        <v>1982</v>
      </c>
      <c r="CX900" s="543">
        <v>1</v>
      </c>
    </row>
    <row r="901" spans="91:102" ht="21" customHeight="1">
      <c r="CM901" s="494"/>
      <c r="CN901" s="496" t="s">
        <v>2879</v>
      </c>
      <c r="CO901" s="496" t="s">
        <v>8</v>
      </c>
      <c r="CP901" s="496" t="s">
        <v>689</v>
      </c>
      <c r="CQ901" s="496" t="s">
        <v>2880</v>
      </c>
      <c r="CR901" s="496" t="s">
        <v>2880</v>
      </c>
      <c r="CS901" s="496" t="s">
        <v>1554</v>
      </c>
      <c r="CT901" s="496" t="s">
        <v>1555</v>
      </c>
      <c r="CU901" s="496" t="s">
        <v>1981</v>
      </c>
      <c r="CV901" s="497" t="s">
        <v>1982</v>
      </c>
      <c r="CX901" s="543">
        <v>1</v>
      </c>
    </row>
    <row r="902" spans="91:102" ht="21" customHeight="1">
      <c r="CM902" s="494"/>
      <c r="CN902" s="496" t="s">
        <v>2881</v>
      </c>
      <c r="CO902" s="496" t="s">
        <v>8</v>
      </c>
      <c r="CP902" s="496" t="s">
        <v>689</v>
      </c>
      <c r="CQ902" s="496" t="s">
        <v>2882</v>
      </c>
      <c r="CR902" s="496" t="s">
        <v>2882</v>
      </c>
      <c r="CS902" s="496" t="s">
        <v>1554</v>
      </c>
      <c r="CT902" s="496" t="s">
        <v>1555</v>
      </c>
      <c r="CU902" s="496" t="s">
        <v>1981</v>
      </c>
      <c r="CV902" s="497" t="s">
        <v>1982</v>
      </c>
      <c r="CX902" s="543">
        <v>1</v>
      </c>
    </row>
    <row r="903" spans="91:102" ht="21" customHeight="1">
      <c r="CM903" s="494"/>
      <c r="CN903" s="496" t="s">
        <v>2883</v>
      </c>
      <c r="CO903" s="496" t="s">
        <v>8</v>
      </c>
      <c r="CP903" s="496" t="s">
        <v>689</v>
      </c>
      <c r="CQ903" s="496" t="s">
        <v>2884</v>
      </c>
      <c r="CR903" s="496" t="s">
        <v>2884</v>
      </c>
      <c r="CS903" s="496" t="s">
        <v>1554</v>
      </c>
      <c r="CT903" s="496" t="s">
        <v>1555</v>
      </c>
      <c r="CU903" s="496" t="s">
        <v>1981</v>
      </c>
      <c r="CV903" s="497" t="s">
        <v>1982</v>
      </c>
      <c r="CX903" s="543">
        <v>1</v>
      </c>
    </row>
    <row r="904" spans="91:102" ht="21" customHeight="1">
      <c r="CM904" s="494"/>
      <c r="CN904" s="496" t="s">
        <v>2885</v>
      </c>
      <c r="CO904" s="496" t="s">
        <v>8</v>
      </c>
      <c r="CP904" s="496" t="s">
        <v>689</v>
      </c>
      <c r="CQ904" s="496" t="s">
        <v>2886</v>
      </c>
      <c r="CR904" s="496" t="s">
        <v>2886</v>
      </c>
      <c r="CS904" s="496" t="s">
        <v>1554</v>
      </c>
      <c r="CT904" s="496" t="s">
        <v>1555</v>
      </c>
      <c r="CU904" s="496" t="s">
        <v>1981</v>
      </c>
      <c r="CV904" s="497" t="s">
        <v>1982</v>
      </c>
      <c r="CX904" s="543">
        <v>1</v>
      </c>
    </row>
    <row r="905" spans="91:102" ht="21" customHeight="1">
      <c r="CM905" s="494"/>
      <c r="CN905" s="496" t="s">
        <v>2887</v>
      </c>
      <c r="CO905" s="496" t="s">
        <v>8</v>
      </c>
      <c r="CP905" s="496" t="s">
        <v>689</v>
      </c>
      <c r="CQ905" s="496" t="s">
        <v>2888</v>
      </c>
      <c r="CR905" s="496" t="s">
        <v>2888</v>
      </c>
      <c r="CS905" s="496" t="s">
        <v>1554</v>
      </c>
      <c r="CT905" s="496" t="s">
        <v>1555</v>
      </c>
      <c r="CU905" s="496" t="s">
        <v>1981</v>
      </c>
      <c r="CV905" s="497" t="s">
        <v>1982</v>
      </c>
      <c r="CX905" s="543">
        <v>1</v>
      </c>
    </row>
    <row r="906" spans="91:102" ht="21" customHeight="1">
      <c r="CM906" s="494"/>
      <c r="CN906" s="496" t="s">
        <v>2889</v>
      </c>
      <c r="CO906" s="496" t="s">
        <v>8</v>
      </c>
      <c r="CP906" s="496" t="s">
        <v>689</v>
      </c>
      <c r="CQ906" s="496" t="s">
        <v>2890</v>
      </c>
      <c r="CR906" s="496" t="s">
        <v>2890</v>
      </c>
      <c r="CS906" s="496" t="s">
        <v>1554</v>
      </c>
      <c r="CT906" s="496" t="s">
        <v>1555</v>
      </c>
      <c r="CU906" s="496" t="s">
        <v>1981</v>
      </c>
      <c r="CV906" s="497" t="s">
        <v>1982</v>
      </c>
      <c r="CX906" s="543">
        <v>1</v>
      </c>
    </row>
    <row r="907" spans="91:102" ht="21" customHeight="1">
      <c r="CM907" s="494"/>
      <c r="CN907" s="496" t="s">
        <v>2891</v>
      </c>
      <c r="CO907" s="496" t="s">
        <v>8</v>
      </c>
      <c r="CP907" s="496" t="s">
        <v>689</v>
      </c>
      <c r="CQ907" s="496" t="s">
        <v>2892</v>
      </c>
      <c r="CR907" s="496" t="s">
        <v>2892</v>
      </c>
      <c r="CS907" s="496" t="s">
        <v>1554</v>
      </c>
      <c r="CT907" s="496" t="s">
        <v>1555</v>
      </c>
      <c r="CU907" s="496" t="s">
        <v>1981</v>
      </c>
      <c r="CV907" s="497" t="s">
        <v>1982</v>
      </c>
      <c r="CX907" s="543">
        <v>1</v>
      </c>
    </row>
    <row r="908" spans="91:102" ht="21" customHeight="1">
      <c r="CM908" s="494"/>
      <c r="CN908" s="496" t="s">
        <v>2893</v>
      </c>
      <c r="CO908" s="496" t="s">
        <v>8</v>
      </c>
      <c r="CP908" s="496" t="s">
        <v>689</v>
      </c>
      <c r="CQ908" s="496" t="s">
        <v>2894</v>
      </c>
      <c r="CR908" s="496" t="s">
        <v>2894</v>
      </c>
      <c r="CS908" s="496" t="s">
        <v>1554</v>
      </c>
      <c r="CT908" s="496" t="s">
        <v>1555</v>
      </c>
      <c r="CU908" s="496" t="s">
        <v>1981</v>
      </c>
      <c r="CV908" s="497" t="s">
        <v>1982</v>
      </c>
      <c r="CX908" s="543">
        <v>1</v>
      </c>
    </row>
    <row r="909" spans="91:102" ht="21" customHeight="1">
      <c r="CM909" s="494"/>
      <c r="CN909" s="496" t="s">
        <v>2895</v>
      </c>
      <c r="CO909" s="496" t="s">
        <v>8</v>
      </c>
      <c r="CP909" s="496" t="s">
        <v>689</v>
      </c>
      <c r="CQ909" s="496" t="s">
        <v>2896</v>
      </c>
      <c r="CR909" s="496" t="s">
        <v>2896</v>
      </c>
      <c r="CS909" s="496" t="s">
        <v>1554</v>
      </c>
      <c r="CT909" s="496" t="s">
        <v>1555</v>
      </c>
      <c r="CU909" s="496" t="s">
        <v>1981</v>
      </c>
      <c r="CV909" s="497" t="s">
        <v>1982</v>
      </c>
      <c r="CX909" s="543">
        <v>1</v>
      </c>
    </row>
    <row r="910" spans="91:102" ht="21" customHeight="1">
      <c r="CM910" s="494"/>
      <c r="CN910" s="496" t="s">
        <v>2897</v>
      </c>
      <c r="CO910" s="496" t="s">
        <v>8</v>
      </c>
      <c r="CP910" s="496" t="s">
        <v>689</v>
      </c>
      <c r="CQ910" s="496" t="s">
        <v>2898</v>
      </c>
      <c r="CR910" s="496" t="s">
        <v>2898</v>
      </c>
      <c r="CS910" s="496" t="s">
        <v>1554</v>
      </c>
      <c r="CT910" s="496" t="s">
        <v>1555</v>
      </c>
      <c r="CU910" s="496" t="s">
        <v>1981</v>
      </c>
      <c r="CV910" s="497" t="s">
        <v>1982</v>
      </c>
      <c r="CX910" s="543">
        <v>1</v>
      </c>
    </row>
    <row r="911" spans="91:102" ht="21" customHeight="1">
      <c r="CM911" s="494"/>
      <c r="CN911" s="496" t="s">
        <v>2899</v>
      </c>
      <c r="CO911" s="496" t="s">
        <v>8</v>
      </c>
      <c r="CP911" s="496" t="s">
        <v>689</v>
      </c>
      <c r="CQ911" s="496" t="s">
        <v>2900</v>
      </c>
      <c r="CR911" s="496" t="s">
        <v>2900</v>
      </c>
      <c r="CS911" s="496" t="s">
        <v>1554</v>
      </c>
      <c r="CT911" s="496" t="s">
        <v>1555</v>
      </c>
      <c r="CU911" s="496" t="s">
        <v>1981</v>
      </c>
      <c r="CV911" s="497" t="s">
        <v>1982</v>
      </c>
      <c r="CX911" s="543">
        <v>1</v>
      </c>
    </row>
    <row r="912" spans="91:102" ht="21" customHeight="1">
      <c r="CM912" s="494"/>
      <c r="CN912" s="496" t="s">
        <v>2901</v>
      </c>
      <c r="CO912" s="496" t="s">
        <v>8</v>
      </c>
      <c r="CP912" s="496" t="s">
        <v>689</v>
      </c>
      <c r="CQ912" s="496" t="s">
        <v>2902</v>
      </c>
      <c r="CR912" s="496" t="s">
        <v>2902</v>
      </c>
      <c r="CS912" s="496" t="s">
        <v>1554</v>
      </c>
      <c r="CT912" s="496" t="s">
        <v>1555</v>
      </c>
      <c r="CU912" s="496" t="s">
        <v>1981</v>
      </c>
      <c r="CV912" s="497" t="s">
        <v>1982</v>
      </c>
      <c r="CX912" s="543">
        <v>1</v>
      </c>
    </row>
    <row r="913" spans="91:102" ht="21" customHeight="1">
      <c r="CM913" s="494"/>
      <c r="CN913" s="496" t="s">
        <v>2903</v>
      </c>
      <c r="CO913" s="496" t="s">
        <v>8</v>
      </c>
      <c r="CP913" s="496" t="s">
        <v>689</v>
      </c>
      <c r="CQ913" s="496" t="s">
        <v>2904</v>
      </c>
      <c r="CR913" s="496" t="s">
        <v>2904</v>
      </c>
      <c r="CS913" s="496" t="s">
        <v>1085</v>
      </c>
      <c r="CT913" s="496" t="s">
        <v>2063</v>
      </c>
      <c r="CU913" s="496" t="s">
        <v>1087</v>
      </c>
      <c r="CV913" s="497" t="s">
        <v>1088</v>
      </c>
      <c r="CX913" s="543">
        <v>1</v>
      </c>
    </row>
    <row r="914" spans="91:102" ht="21" customHeight="1">
      <c r="CM914" s="494"/>
      <c r="CN914" s="496" t="s">
        <v>2905</v>
      </c>
      <c r="CO914" s="496" t="s">
        <v>8</v>
      </c>
      <c r="CP914" s="496" t="s">
        <v>689</v>
      </c>
      <c r="CQ914" s="496" t="s">
        <v>2906</v>
      </c>
      <c r="CR914" s="496" t="s">
        <v>2906</v>
      </c>
      <c r="CS914" s="496" t="s">
        <v>1554</v>
      </c>
      <c r="CT914" s="496" t="s">
        <v>1555</v>
      </c>
      <c r="CU914" s="496" t="s">
        <v>1981</v>
      </c>
      <c r="CV914" s="497" t="s">
        <v>1982</v>
      </c>
      <c r="CX914" s="543">
        <v>1</v>
      </c>
    </row>
    <row r="915" spans="91:102" ht="21" customHeight="1">
      <c r="CM915" s="494"/>
      <c r="CN915" s="496" t="s">
        <v>2907</v>
      </c>
      <c r="CO915" s="496" t="s">
        <v>8</v>
      </c>
      <c r="CP915" s="496" t="s">
        <v>689</v>
      </c>
      <c r="CQ915" s="496" t="s">
        <v>2908</v>
      </c>
      <c r="CR915" s="496" t="s">
        <v>2908</v>
      </c>
      <c r="CS915" s="496" t="s">
        <v>1554</v>
      </c>
      <c r="CT915" s="496" t="s">
        <v>1555</v>
      </c>
      <c r="CU915" s="496" t="s">
        <v>1981</v>
      </c>
      <c r="CV915" s="497" t="s">
        <v>1982</v>
      </c>
      <c r="CX915" s="543">
        <v>1</v>
      </c>
    </row>
    <row r="916" spans="91:102" ht="21" customHeight="1">
      <c r="CM916" s="494"/>
      <c r="CN916" s="496" t="s">
        <v>2909</v>
      </c>
      <c r="CO916" s="496" t="s">
        <v>8</v>
      </c>
      <c r="CP916" s="496" t="s">
        <v>689</v>
      </c>
      <c r="CQ916" s="496" t="s">
        <v>2910</v>
      </c>
      <c r="CR916" s="496" t="s">
        <v>2910</v>
      </c>
      <c r="CS916" s="496" t="s">
        <v>1554</v>
      </c>
      <c r="CT916" s="496" t="s">
        <v>1555</v>
      </c>
      <c r="CU916" s="496" t="s">
        <v>1981</v>
      </c>
      <c r="CV916" s="497" t="s">
        <v>1982</v>
      </c>
      <c r="CX916" s="543">
        <v>1</v>
      </c>
    </row>
    <row r="917" spans="91:102" ht="21" customHeight="1">
      <c r="CM917" s="494"/>
      <c r="CN917" s="496" t="s">
        <v>2911</v>
      </c>
      <c r="CO917" s="496" t="s">
        <v>8</v>
      </c>
      <c r="CP917" s="496" t="s">
        <v>689</v>
      </c>
      <c r="CQ917" s="496" t="s">
        <v>2912</v>
      </c>
      <c r="CR917" s="496" t="s">
        <v>2912</v>
      </c>
      <c r="CS917" s="496" t="s">
        <v>1554</v>
      </c>
      <c r="CT917" s="496" t="s">
        <v>1555</v>
      </c>
      <c r="CU917" s="496" t="s">
        <v>1981</v>
      </c>
      <c r="CV917" s="497" t="s">
        <v>1982</v>
      </c>
      <c r="CX917" s="543">
        <v>1</v>
      </c>
    </row>
    <row r="918" spans="91:102" ht="21" customHeight="1">
      <c r="CM918" s="494"/>
      <c r="CN918" s="496" t="s">
        <v>2913</v>
      </c>
      <c r="CO918" s="496" t="s">
        <v>8</v>
      </c>
      <c r="CP918" s="496" t="s">
        <v>689</v>
      </c>
      <c r="CQ918" s="496" t="s">
        <v>2914</v>
      </c>
      <c r="CR918" s="496" t="s">
        <v>2914</v>
      </c>
      <c r="CS918" s="496" t="s">
        <v>1554</v>
      </c>
      <c r="CT918" s="496" t="s">
        <v>1555</v>
      </c>
      <c r="CU918" s="496" t="s">
        <v>1981</v>
      </c>
      <c r="CV918" s="497" t="s">
        <v>1982</v>
      </c>
      <c r="CX918" s="543">
        <v>1</v>
      </c>
    </row>
    <row r="919" spans="91:102" ht="21" customHeight="1">
      <c r="CM919" s="494"/>
      <c r="CN919" s="496" t="s">
        <v>2915</v>
      </c>
      <c r="CO919" s="496" t="s">
        <v>8</v>
      </c>
      <c r="CP919" s="496" t="s">
        <v>689</v>
      </c>
      <c r="CQ919" s="496" t="s">
        <v>2916</v>
      </c>
      <c r="CR919" s="496" t="s">
        <v>2916</v>
      </c>
      <c r="CS919" s="496" t="s">
        <v>1554</v>
      </c>
      <c r="CT919" s="496" t="s">
        <v>1555</v>
      </c>
      <c r="CU919" s="496" t="s">
        <v>1981</v>
      </c>
      <c r="CV919" s="497" t="s">
        <v>1982</v>
      </c>
      <c r="CX919" s="543">
        <v>1</v>
      </c>
    </row>
    <row r="920" spans="91:102" ht="21" customHeight="1">
      <c r="CM920" s="494"/>
      <c r="CN920" s="496" t="s">
        <v>2917</v>
      </c>
      <c r="CO920" s="496" t="s">
        <v>8</v>
      </c>
      <c r="CP920" s="496" t="s">
        <v>689</v>
      </c>
      <c r="CQ920" s="496" t="s">
        <v>1038</v>
      </c>
      <c r="CR920" s="496" t="s">
        <v>1038</v>
      </c>
      <c r="CS920" s="496" t="s">
        <v>1554</v>
      </c>
      <c r="CT920" s="496" t="s">
        <v>1555</v>
      </c>
      <c r="CU920" s="496" t="s">
        <v>1981</v>
      </c>
      <c r="CV920" s="497" t="s">
        <v>1982</v>
      </c>
      <c r="CX920" s="543">
        <v>1</v>
      </c>
    </row>
    <row r="921" spans="91:102" ht="21" customHeight="1">
      <c r="CM921" s="494"/>
      <c r="CN921" s="496" t="s">
        <v>2918</v>
      </c>
      <c r="CO921" s="496" t="s">
        <v>8</v>
      </c>
      <c r="CP921" s="496" t="s">
        <v>689</v>
      </c>
      <c r="CQ921" s="496" t="s">
        <v>2919</v>
      </c>
      <c r="CR921" s="496" t="s">
        <v>2919</v>
      </c>
      <c r="CS921" s="496" t="s">
        <v>1554</v>
      </c>
      <c r="CT921" s="496" t="s">
        <v>1555</v>
      </c>
      <c r="CU921" s="496" t="s">
        <v>1981</v>
      </c>
      <c r="CV921" s="497" t="s">
        <v>1982</v>
      </c>
      <c r="CX921" s="543">
        <v>1</v>
      </c>
    </row>
    <row r="922" spans="91:102" ht="21" customHeight="1">
      <c r="CM922" s="494"/>
      <c r="CN922" s="496" t="s">
        <v>2920</v>
      </c>
      <c r="CO922" s="496" t="s">
        <v>8</v>
      </c>
      <c r="CP922" s="496" t="s">
        <v>689</v>
      </c>
      <c r="CQ922" s="496" t="s">
        <v>2921</v>
      </c>
      <c r="CR922" s="496" t="s">
        <v>2921</v>
      </c>
      <c r="CS922" s="496" t="s">
        <v>1554</v>
      </c>
      <c r="CT922" s="496" t="s">
        <v>1555</v>
      </c>
      <c r="CU922" s="496" t="s">
        <v>1981</v>
      </c>
      <c r="CV922" s="497" t="s">
        <v>1982</v>
      </c>
      <c r="CX922" s="543">
        <v>1</v>
      </c>
    </row>
    <row r="923" spans="91:102" ht="21" customHeight="1">
      <c r="CM923" s="494"/>
      <c r="CN923" s="496" t="s">
        <v>2922</v>
      </c>
      <c r="CO923" s="496" t="s">
        <v>8</v>
      </c>
      <c r="CP923" s="496" t="s">
        <v>689</v>
      </c>
      <c r="CQ923" s="496" t="s">
        <v>2923</v>
      </c>
      <c r="CR923" s="496" t="s">
        <v>2923</v>
      </c>
      <c r="CS923" s="496" t="s">
        <v>1554</v>
      </c>
      <c r="CT923" s="496" t="s">
        <v>1555</v>
      </c>
      <c r="CU923" s="496" t="s">
        <v>1981</v>
      </c>
      <c r="CV923" s="497" t="s">
        <v>1982</v>
      </c>
      <c r="CX923" s="543">
        <v>1</v>
      </c>
    </row>
    <row r="924" spans="91:102" ht="21" customHeight="1">
      <c r="CM924" s="494"/>
      <c r="CN924" s="496" t="s">
        <v>2924</v>
      </c>
      <c r="CO924" s="496" t="s">
        <v>8</v>
      </c>
      <c r="CP924" s="496" t="s">
        <v>689</v>
      </c>
      <c r="CQ924" s="496" t="s">
        <v>2925</v>
      </c>
      <c r="CR924" s="496" t="s">
        <v>2925</v>
      </c>
      <c r="CS924" s="496" t="s">
        <v>1554</v>
      </c>
      <c r="CT924" s="496" t="s">
        <v>1555</v>
      </c>
      <c r="CU924" s="496" t="s">
        <v>1981</v>
      </c>
      <c r="CV924" s="497" t="s">
        <v>1982</v>
      </c>
      <c r="CX924" s="543">
        <v>1</v>
      </c>
    </row>
    <row r="925" spans="91:102" ht="21" customHeight="1">
      <c r="CM925" s="494"/>
      <c r="CN925" s="496" t="s">
        <v>2926</v>
      </c>
      <c r="CO925" s="496" t="s">
        <v>8</v>
      </c>
      <c r="CP925" s="496" t="s">
        <v>689</v>
      </c>
      <c r="CQ925" s="496" t="s">
        <v>94</v>
      </c>
      <c r="CR925" s="496" t="s">
        <v>94</v>
      </c>
      <c r="CS925" s="496" t="s">
        <v>1554</v>
      </c>
      <c r="CT925" s="496" t="s">
        <v>1555</v>
      </c>
      <c r="CU925" s="496" t="s">
        <v>1981</v>
      </c>
      <c r="CV925" s="497" t="s">
        <v>1982</v>
      </c>
      <c r="CX925" s="543">
        <v>1</v>
      </c>
    </row>
    <row r="926" spans="91:102" ht="21" customHeight="1">
      <c r="CM926" s="494"/>
      <c r="CN926" s="496" t="s">
        <v>2927</v>
      </c>
      <c r="CO926" s="496" t="s">
        <v>8</v>
      </c>
      <c r="CP926" s="496" t="s">
        <v>689</v>
      </c>
      <c r="CQ926" s="496" t="s">
        <v>2928</v>
      </c>
      <c r="CR926" s="496" t="s">
        <v>2928</v>
      </c>
      <c r="CS926" s="496" t="s">
        <v>1554</v>
      </c>
      <c r="CT926" s="496" t="s">
        <v>1555</v>
      </c>
      <c r="CU926" s="496" t="s">
        <v>1981</v>
      </c>
      <c r="CV926" s="497" t="s">
        <v>1982</v>
      </c>
      <c r="CX926" s="543">
        <v>1</v>
      </c>
    </row>
    <row r="927" spans="91:102" ht="21" customHeight="1">
      <c r="CM927" s="494"/>
      <c r="CN927" s="496" t="s">
        <v>2929</v>
      </c>
      <c r="CO927" s="496" t="s">
        <v>8</v>
      </c>
      <c r="CP927" s="496" t="s">
        <v>689</v>
      </c>
      <c r="CQ927" s="496" t="s">
        <v>2930</v>
      </c>
      <c r="CR927" s="496" t="s">
        <v>2930</v>
      </c>
      <c r="CS927" s="496" t="s">
        <v>1554</v>
      </c>
      <c r="CT927" s="496" t="s">
        <v>1555</v>
      </c>
      <c r="CU927" s="496" t="s">
        <v>1981</v>
      </c>
      <c r="CV927" s="497" t="s">
        <v>1982</v>
      </c>
      <c r="CX927" s="543">
        <v>1</v>
      </c>
    </row>
    <row r="928" spans="91:102" ht="21" customHeight="1">
      <c r="CM928" s="494"/>
      <c r="CN928" s="496" t="s">
        <v>2931</v>
      </c>
      <c r="CO928" s="496" t="s">
        <v>8</v>
      </c>
      <c r="CP928" s="496" t="s">
        <v>689</v>
      </c>
      <c r="CQ928" s="496" t="s">
        <v>2932</v>
      </c>
      <c r="CR928" s="496" t="s">
        <v>2932</v>
      </c>
      <c r="CS928" s="496" t="s">
        <v>1554</v>
      </c>
      <c r="CT928" s="496" t="s">
        <v>1555</v>
      </c>
      <c r="CU928" s="496" t="s">
        <v>1981</v>
      </c>
      <c r="CV928" s="497" t="s">
        <v>1982</v>
      </c>
      <c r="CX928" s="543">
        <v>1</v>
      </c>
    </row>
    <row r="929" spans="91:102" ht="21" customHeight="1">
      <c r="CM929" s="494"/>
      <c r="CN929" s="496" t="s">
        <v>2933</v>
      </c>
      <c r="CO929" s="496" t="s">
        <v>8</v>
      </c>
      <c r="CP929" s="496" t="s">
        <v>689</v>
      </c>
      <c r="CQ929" s="496" t="s">
        <v>1039</v>
      </c>
      <c r="CR929" s="496" t="s">
        <v>1039</v>
      </c>
      <c r="CS929" s="496" t="s">
        <v>1554</v>
      </c>
      <c r="CT929" s="496" t="s">
        <v>1555</v>
      </c>
      <c r="CU929" s="496" t="s">
        <v>1981</v>
      </c>
      <c r="CV929" s="497" t="s">
        <v>1982</v>
      </c>
      <c r="CX929" s="543">
        <v>1</v>
      </c>
    </row>
    <row r="930" spans="91:102" ht="21" customHeight="1">
      <c r="CM930" s="494"/>
      <c r="CN930" s="496" t="s">
        <v>2934</v>
      </c>
      <c r="CO930" s="496" t="s">
        <v>8</v>
      </c>
      <c r="CP930" s="496" t="s">
        <v>689</v>
      </c>
      <c r="CQ930" s="496" t="s">
        <v>2935</v>
      </c>
      <c r="CR930" s="496" t="s">
        <v>2935</v>
      </c>
      <c r="CS930" s="496" t="s">
        <v>1554</v>
      </c>
      <c r="CT930" s="496" t="s">
        <v>1555</v>
      </c>
      <c r="CU930" s="496" t="s">
        <v>1981</v>
      </c>
      <c r="CV930" s="497" t="s">
        <v>1982</v>
      </c>
      <c r="CX930" s="543">
        <v>1</v>
      </c>
    </row>
    <row r="931" spans="91:102" ht="21" customHeight="1">
      <c r="CM931" s="494"/>
      <c r="CN931" s="496" t="s">
        <v>2936</v>
      </c>
      <c r="CO931" s="496" t="s">
        <v>8</v>
      </c>
      <c r="CP931" s="496" t="s">
        <v>689</v>
      </c>
      <c r="CQ931" s="496" t="s">
        <v>2937</v>
      </c>
      <c r="CR931" s="496" t="s">
        <v>2937</v>
      </c>
      <c r="CS931" s="496" t="s">
        <v>1554</v>
      </c>
      <c r="CT931" s="496" t="s">
        <v>1555</v>
      </c>
      <c r="CU931" s="496" t="s">
        <v>1981</v>
      </c>
      <c r="CV931" s="497" t="s">
        <v>1982</v>
      </c>
      <c r="CX931" s="543">
        <v>1</v>
      </c>
    </row>
    <row r="932" spans="91:102" ht="21" customHeight="1">
      <c r="CM932" s="494"/>
      <c r="CN932" s="496" t="s">
        <v>2938</v>
      </c>
      <c r="CO932" s="496" t="s">
        <v>8</v>
      </c>
      <c r="CP932" s="496" t="s">
        <v>689</v>
      </c>
      <c r="CQ932" s="496" t="s">
        <v>2939</v>
      </c>
      <c r="CR932" s="496" t="s">
        <v>2939</v>
      </c>
      <c r="CS932" s="496" t="s">
        <v>1554</v>
      </c>
      <c r="CT932" s="496" t="s">
        <v>1555</v>
      </c>
      <c r="CU932" s="496" t="s">
        <v>1981</v>
      </c>
      <c r="CV932" s="497" t="s">
        <v>1982</v>
      </c>
      <c r="CX932" s="543">
        <v>1</v>
      </c>
    </row>
    <row r="933" spans="91:102" ht="21" customHeight="1">
      <c r="CM933" s="494"/>
      <c r="CN933" s="496" t="s">
        <v>2940</v>
      </c>
      <c r="CO933" s="496" t="s">
        <v>8</v>
      </c>
      <c r="CP933" s="496" t="s">
        <v>689</v>
      </c>
      <c r="CQ933" s="496" t="s">
        <v>2941</v>
      </c>
      <c r="CR933" s="496" t="s">
        <v>2941</v>
      </c>
      <c r="CS933" s="496" t="s">
        <v>1554</v>
      </c>
      <c r="CT933" s="496" t="s">
        <v>1555</v>
      </c>
      <c r="CU933" s="496" t="s">
        <v>1981</v>
      </c>
      <c r="CV933" s="497" t="s">
        <v>1982</v>
      </c>
      <c r="CX933" s="543">
        <v>1</v>
      </c>
    </row>
    <row r="934" spans="91:102" ht="21" customHeight="1">
      <c r="CM934" s="494"/>
      <c r="CN934" s="496" t="s">
        <v>2942</v>
      </c>
      <c r="CO934" s="496" t="s">
        <v>8</v>
      </c>
      <c r="CP934" s="496" t="s">
        <v>689</v>
      </c>
      <c r="CQ934" s="496" t="s">
        <v>2943</v>
      </c>
      <c r="CR934" s="496" t="s">
        <v>2943</v>
      </c>
      <c r="CS934" s="496" t="s">
        <v>1554</v>
      </c>
      <c r="CT934" s="496" t="s">
        <v>1555</v>
      </c>
      <c r="CU934" s="496" t="s">
        <v>1981</v>
      </c>
      <c r="CV934" s="497" t="s">
        <v>1982</v>
      </c>
      <c r="CX934" s="543">
        <v>1</v>
      </c>
    </row>
    <row r="935" spans="91:102" ht="21" customHeight="1">
      <c r="CM935" s="494"/>
      <c r="CN935" s="496" t="s">
        <v>2944</v>
      </c>
      <c r="CO935" s="496" t="s">
        <v>8</v>
      </c>
      <c r="CP935" s="496" t="s">
        <v>689</v>
      </c>
      <c r="CQ935" s="496" t="s">
        <v>2945</v>
      </c>
      <c r="CR935" s="496" t="s">
        <v>2945</v>
      </c>
      <c r="CS935" s="496" t="s">
        <v>1554</v>
      </c>
      <c r="CT935" s="496" t="s">
        <v>1555</v>
      </c>
      <c r="CU935" s="496" t="s">
        <v>1981</v>
      </c>
      <c r="CV935" s="497" t="s">
        <v>1982</v>
      </c>
      <c r="CX935" s="543">
        <v>1</v>
      </c>
    </row>
    <row r="936" spans="91:102" ht="21" customHeight="1">
      <c r="CM936" s="494"/>
      <c r="CN936" s="496" t="s">
        <v>2946</v>
      </c>
      <c r="CO936" s="496" t="s">
        <v>8</v>
      </c>
      <c r="CP936" s="496" t="s">
        <v>689</v>
      </c>
      <c r="CQ936" s="496" t="s">
        <v>2947</v>
      </c>
      <c r="CR936" s="496" t="s">
        <v>2947</v>
      </c>
      <c r="CS936" s="496" t="s">
        <v>1554</v>
      </c>
      <c r="CT936" s="496" t="s">
        <v>1555</v>
      </c>
      <c r="CU936" s="496" t="s">
        <v>1981</v>
      </c>
      <c r="CV936" s="497" t="s">
        <v>1982</v>
      </c>
      <c r="CX936" s="543">
        <v>1</v>
      </c>
    </row>
    <row r="937" spans="91:102" ht="21" customHeight="1">
      <c r="CM937" s="494"/>
      <c r="CN937" s="496" t="s">
        <v>2948</v>
      </c>
      <c r="CO937" s="496" t="s">
        <v>8</v>
      </c>
      <c r="CP937" s="496" t="s">
        <v>689</v>
      </c>
      <c r="CQ937" s="496" t="s">
        <v>2949</v>
      </c>
      <c r="CR937" s="496" t="s">
        <v>2949</v>
      </c>
      <c r="CS937" s="496" t="s">
        <v>1554</v>
      </c>
      <c r="CT937" s="496" t="s">
        <v>1555</v>
      </c>
      <c r="CU937" s="496" t="s">
        <v>1981</v>
      </c>
      <c r="CV937" s="497" t="s">
        <v>1982</v>
      </c>
      <c r="CX937" s="543">
        <v>1</v>
      </c>
    </row>
    <row r="938" spans="91:102" ht="21" customHeight="1">
      <c r="CM938" s="494"/>
      <c r="CN938" s="496" t="s">
        <v>2950</v>
      </c>
      <c r="CO938" s="496" t="s">
        <v>8</v>
      </c>
      <c r="CP938" s="496" t="s">
        <v>689</v>
      </c>
      <c r="CQ938" s="496" t="s">
        <v>2951</v>
      </c>
      <c r="CR938" s="496" t="s">
        <v>2951</v>
      </c>
      <c r="CS938" s="496" t="s">
        <v>1554</v>
      </c>
      <c r="CT938" s="496" t="s">
        <v>1555</v>
      </c>
      <c r="CU938" s="496" t="s">
        <v>1981</v>
      </c>
      <c r="CV938" s="497" t="s">
        <v>1982</v>
      </c>
      <c r="CX938" s="543">
        <v>1</v>
      </c>
    </row>
    <row r="939" spans="91:102" ht="21" customHeight="1">
      <c r="CM939" s="494"/>
      <c r="CN939" s="496" t="s">
        <v>2952</v>
      </c>
      <c r="CO939" s="496" t="s">
        <v>8</v>
      </c>
      <c r="CP939" s="496" t="s">
        <v>689</v>
      </c>
      <c r="CQ939" s="496" t="s">
        <v>2953</v>
      </c>
      <c r="CR939" s="496" t="s">
        <v>2953</v>
      </c>
      <c r="CS939" s="496" t="s">
        <v>1554</v>
      </c>
      <c r="CT939" s="496" t="s">
        <v>1555</v>
      </c>
      <c r="CU939" s="496" t="s">
        <v>1981</v>
      </c>
      <c r="CV939" s="497" t="s">
        <v>1982</v>
      </c>
      <c r="CX939" s="543">
        <v>1</v>
      </c>
    </row>
    <row r="940" spans="91:102" ht="21" customHeight="1">
      <c r="CM940" s="494"/>
      <c r="CN940" s="496" t="s">
        <v>2954</v>
      </c>
      <c r="CO940" s="496" t="s">
        <v>8</v>
      </c>
      <c r="CP940" s="496" t="s">
        <v>689</v>
      </c>
      <c r="CQ940" s="496" t="s">
        <v>2955</v>
      </c>
      <c r="CR940" s="496" t="s">
        <v>2955</v>
      </c>
      <c r="CS940" s="496" t="s">
        <v>1554</v>
      </c>
      <c r="CT940" s="496" t="s">
        <v>1555</v>
      </c>
      <c r="CU940" s="496" t="s">
        <v>1981</v>
      </c>
      <c r="CV940" s="497" t="s">
        <v>1982</v>
      </c>
      <c r="CX940" s="543">
        <v>1</v>
      </c>
    </row>
    <row r="941" spans="91:102" ht="21" customHeight="1">
      <c r="CM941" s="494"/>
      <c r="CN941" s="496" t="s">
        <v>2956</v>
      </c>
      <c r="CO941" s="496" t="s">
        <v>8</v>
      </c>
      <c r="CP941" s="496" t="s">
        <v>689</v>
      </c>
      <c r="CQ941" s="496" t="s">
        <v>2957</v>
      </c>
      <c r="CR941" s="496" t="s">
        <v>2957</v>
      </c>
      <c r="CS941" s="496" t="s">
        <v>1554</v>
      </c>
      <c r="CT941" s="496" t="s">
        <v>1555</v>
      </c>
      <c r="CU941" s="496" t="s">
        <v>1981</v>
      </c>
      <c r="CV941" s="497" t="s">
        <v>1982</v>
      </c>
      <c r="CX941" s="543">
        <v>1</v>
      </c>
    </row>
    <row r="942" spans="91:102" ht="21" customHeight="1">
      <c r="CM942" s="494"/>
      <c r="CN942" s="496" t="s">
        <v>2958</v>
      </c>
      <c r="CO942" s="496" t="s">
        <v>8</v>
      </c>
      <c r="CP942" s="496" t="s">
        <v>689</v>
      </c>
      <c r="CQ942" s="496" t="s">
        <v>2959</v>
      </c>
      <c r="CR942" s="496" t="s">
        <v>2959</v>
      </c>
      <c r="CS942" s="496" t="s">
        <v>1554</v>
      </c>
      <c r="CT942" s="496" t="s">
        <v>1555</v>
      </c>
      <c r="CU942" s="496" t="s">
        <v>1981</v>
      </c>
      <c r="CV942" s="497" t="s">
        <v>1982</v>
      </c>
      <c r="CX942" s="543">
        <v>1</v>
      </c>
    </row>
    <row r="943" spans="91:102" ht="21" customHeight="1">
      <c r="CM943" s="494"/>
      <c r="CN943" s="496" t="s">
        <v>2960</v>
      </c>
      <c r="CO943" s="496" t="s">
        <v>8</v>
      </c>
      <c r="CP943" s="496" t="s">
        <v>689</v>
      </c>
      <c r="CQ943" s="496" t="s">
        <v>2961</v>
      </c>
      <c r="CR943" s="496" t="s">
        <v>2961</v>
      </c>
      <c r="CS943" s="496" t="s">
        <v>1554</v>
      </c>
      <c r="CT943" s="496" t="s">
        <v>1555</v>
      </c>
      <c r="CU943" s="496" t="s">
        <v>1981</v>
      </c>
      <c r="CV943" s="497" t="s">
        <v>1982</v>
      </c>
      <c r="CX943" s="543">
        <v>1</v>
      </c>
    </row>
    <row r="944" spans="91:102" ht="21" customHeight="1">
      <c r="CM944" s="494"/>
      <c r="CN944" s="496" t="s">
        <v>2962</v>
      </c>
      <c r="CO944" s="496" t="s">
        <v>8</v>
      </c>
      <c r="CP944" s="496" t="s">
        <v>689</v>
      </c>
      <c r="CQ944" s="496" t="s">
        <v>2963</v>
      </c>
      <c r="CR944" s="496" t="s">
        <v>2963</v>
      </c>
      <c r="CS944" s="496" t="s">
        <v>1554</v>
      </c>
      <c r="CT944" s="496" t="s">
        <v>1555</v>
      </c>
      <c r="CU944" s="496" t="s">
        <v>1981</v>
      </c>
      <c r="CV944" s="497" t="s">
        <v>1982</v>
      </c>
      <c r="CX944" s="543">
        <v>1</v>
      </c>
    </row>
    <row r="945" spans="91:102" ht="21" customHeight="1">
      <c r="CM945" s="494"/>
      <c r="CN945" s="496" t="s">
        <v>2964</v>
      </c>
      <c r="CO945" s="496" t="s">
        <v>8</v>
      </c>
      <c r="CP945" s="496" t="s">
        <v>689</v>
      </c>
      <c r="CQ945" s="496" t="s">
        <v>2965</v>
      </c>
      <c r="CR945" s="496" t="s">
        <v>2965</v>
      </c>
      <c r="CS945" s="496" t="s">
        <v>1554</v>
      </c>
      <c r="CT945" s="496" t="s">
        <v>1555</v>
      </c>
      <c r="CU945" s="496" t="s">
        <v>1981</v>
      </c>
      <c r="CV945" s="497" t="s">
        <v>1982</v>
      </c>
      <c r="CX945" s="543">
        <v>1</v>
      </c>
    </row>
    <row r="946" spans="91:102" ht="21" customHeight="1">
      <c r="CM946" s="494"/>
      <c r="CN946" s="496" t="s">
        <v>2966</v>
      </c>
      <c r="CO946" s="496" t="s">
        <v>8</v>
      </c>
      <c r="CP946" s="496" t="s">
        <v>689</v>
      </c>
      <c r="CQ946" s="496" t="s">
        <v>2967</v>
      </c>
      <c r="CR946" s="496" t="s">
        <v>2967</v>
      </c>
      <c r="CS946" s="496" t="s">
        <v>1554</v>
      </c>
      <c r="CT946" s="496" t="s">
        <v>1555</v>
      </c>
      <c r="CU946" s="496" t="s">
        <v>1981</v>
      </c>
      <c r="CV946" s="497" t="s">
        <v>1982</v>
      </c>
      <c r="CX946" s="543">
        <v>1</v>
      </c>
    </row>
    <row r="947" spans="91:102" ht="21" customHeight="1">
      <c r="CM947" s="494"/>
      <c r="CN947" s="496" t="s">
        <v>2968</v>
      </c>
      <c r="CO947" s="496" t="s">
        <v>8</v>
      </c>
      <c r="CP947" s="496" t="s">
        <v>689</v>
      </c>
      <c r="CQ947" s="496" t="s">
        <v>2969</v>
      </c>
      <c r="CR947" s="496" t="s">
        <v>2969</v>
      </c>
      <c r="CS947" s="496" t="s">
        <v>1554</v>
      </c>
      <c r="CT947" s="496" t="s">
        <v>1555</v>
      </c>
      <c r="CU947" s="496" t="s">
        <v>1981</v>
      </c>
      <c r="CV947" s="497" t="s">
        <v>1982</v>
      </c>
      <c r="CX947" s="543">
        <v>1</v>
      </c>
    </row>
    <row r="948" spans="91:102" ht="21" customHeight="1">
      <c r="CM948" s="494"/>
      <c r="CN948" s="496" t="s">
        <v>2970</v>
      </c>
      <c r="CO948" s="496" t="s">
        <v>8</v>
      </c>
      <c r="CP948" s="496" t="s">
        <v>689</v>
      </c>
      <c r="CQ948" s="496" t="s">
        <v>2971</v>
      </c>
      <c r="CR948" s="496" t="s">
        <v>2971</v>
      </c>
      <c r="CS948" s="496" t="s">
        <v>1554</v>
      </c>
      <c r="CT948" s="496" t="s">
        <v>1555</v>
      </c>
      <c r="CU948" s="496" t="s">
        <v>1981</v>
      </c>
      <c r="CV948" s="497" t="s">
        <v>1982</v>
      </c>
      <c r="CX948" s="543">
        <v>1</v>
      </c>
    </row>
    <row r="949" spans="91:102" ht="21" customHeight="1">
      <c r="CM949" s="494"/>
      <c r="CN949" s="496" t="s">
        <v>2972</v>
      </c>
      <c r="CO949" s="496" t="s">
        <v>8</v>
      </c>
      <c r="CP949" s="496" t="s">
        <v>689</v>
      </c>
      <c r="CQ949" s="496" t="s">
        <v>2973</v>
      </c>
      <c r="CR949" s="496" t="s">
        <v>2973</v>
      </c>
      <c r="CS949" s="496" t="s">
        <v>1554</v>
      </c>
      <c r="CT949" s="496" t="s">
        <v>1555</v>
      </c>
      <c r="CU949" s="496" t="s">
        <v>1981</v>
      </c>
      <c r="CV949" s="497" t="s">
        <v>1982</v>
      </c>
      <c r="CX949" s="543">
        <v>1</v>
      </c>
    </row>
    <row r="950" spans="91:102" ht="21" customHeight="1">
      <c r="CM950" s="494"/>
      <c r="CN950" s="496" t="s">
        <v>2974</v>
      </c>
      <c r="CO950" s="496" t="s">
        <v>8</v>
      </c>
      <c r="CP950" s="496" t="s">
        <v>689</v>
      </c>
      <c r="CQ950" s="496" t="s">
        <v>2975</v>
      </c>
      <c r="CR950" s="496" t="s">
        <v>2975</v>
      </c>
      <c r="CS950" s="496" t="s">
        <v>1554</v>
      </c>
      <c r="CT950" s="496" t="s">
        <v>1555</v>
      </c>
      <c r="CU950" s="496" t="s">
        <v>1981</v>
      </c>
      <c r="CV950" s="497" t="s">
        <v>1982</v>
      </c>
      <c r="CX950" s="543">
        <v>1</v>
      </c>
    </row>
    <row r="951" spans="91:102" ht="21" customHeight="1">
      <c r="CM951" s="494"/>
      <c r="CN951" s="496" t="s">
        <v>2976</v>
      </c>
      <c r="CO951" s="496" t="s">
        <v>8</v>
      </c>
      <c r="CP951" s="496" t="s">
        <v>689</v>
      </c>
      <c r="CQ951" s="496" t="s">
        <v>2977</v>
      </c>
      <c r="CR951" s="496" t="s">
        <v>2977</v>
      </c>
      <c r="CS951" s="496" t="s">
        <v>1554</v>
      </c>
      <c r="CT951" s="496" t="s">
        <v>1555</v>
      </c>
      <c r="CU951" s="496" t="s">
        <v>1981</v>
      </c>
      <c r="CV951" s="497" t="s">
        <v>1982</v>
      </c>
      <c r="CX951" s="543">
        <v>1</v>
      </c>
    </row>
    <row r="952" spans="91:102" ht="21" customHeight="1">
      <c r="CM952" s="494"/>
      <c r="CN952" s="496" t="s">
        <v>2978</v>
      </c>
      <c r="CO952" s="496" t="s">
        <v>8</v>
      </c>
      <c r="CP952" s="496" t="s">
        <v>689</v>
      </c>
      <c r="CQ952" s="496" t="s">
        <v>2979</v>
      </c>
      <c r="CR952" s="496" t="s">
        <v>2979</v>
      </c>
      <c r="CS952" s="496" t="s">
        <v>1554</v>
      </c>
      <c r="CT952" s="496" t="s">
        <v>1555</v>
      </c>
      <c r="CU952" s="496" t="s">
        <v>1981</v>
      </c>
      <c r="CV952" s="497" t="s">
        <v>1982</v>
      </c>
      <c r="CX952" s="543">
        <v>1</v>
      </c>
    </row>
    <row r="953" spans="91:102" ht="21" customHeight="1">
      <c r="CM953" s="494"/>
      <c r="CN953" s="496" t="s">
        <v>2980</v>
      </c>
      <c r="CO953" s="496" t="s">
        <v>8</v>
      </c>
      <c r="CP953" s="496" t="s">
        <v>689</v>
      </c>
      <c r="CQ953" s="496" t="s">
        <v>2981</v>
      </c>
      <c r="CR953" s="496" t="s">
        <v>2981</v>
      </c>
      <c r="CS953" s="496" t="s">
        <v>1554</v>
      </c>
      <c r="CT953" s="496" t="s">
        <v>1555</v>
      </c>
      <c r="CU953" s="496" t="s">
        <v>1981</v>
      </c>
      <c r="CV953" s="497" t="s">
        <v>1982</v>
      </c>
      <c r="CX953" s="543">
        <v>1</v>
      </c>
    </row>
    <row r="954" spans="91:102" ht="21" customHeight="1">
      <c r="CM954" s="494"/>
      <c r="CN954" s="496" t="s">
        <v>2982</v>
      </c>
      <c r="CO954" s="496" t="s">
        <v>8</v>
      </c>
      <c r="CP954" s="496" t="s">
        <v>689</v>
      </c>
      <c r="CQ954" s="496" t="s">
        <v>2983</v>
      </c>
      <c r="CR954" s="496" t="s">
        <v>2983</v>
      </c>
      <c r="CS954" s="496" t="s">
        <v>1554</v>
      </c>
      <c r="CT954" s="496" t="s">
        <v>1555</v>
      </c>
      <c r="CU954" s="496" t="s">
        <v>1981</v>
      </c>
      <c r="CV954" s="497" t="s">
        <v>1982</v>
      </c>
      <c r="CX954" s="543">
        <v>1</v>
      </c>
    </row>
    <row r="955" spans="91:102" ht="21" customHeight="1">
      <c r="CM955" s="494"/>
      <c r="CN955" s="496" t="s">
        <v>2984</v>
      </c>
      <c r="CO955" s="496" t="s">
        <v>8</v>
      </c>
      <c r="CP955" s="496" t="s">
        <v>689</v>
      </c>
      <c r="CQ955" s="496" t="s">
        <v>2985</v>
      </c>
      <c r="CR955" s="496" t="s">
        <v>2985</v>
      </c>
      <c r="CS955" s="496" t="s">
        <v>1554</v>
      </c>
      <c r="CT955" s="496" t="s">
        <v>1555</v>
      </c>
      <c r="CU955" s="496" t="s">
        <v>1981</v>
      </c>
      <c r="CV955" s="497" t="s">
        <v>1982</v>
      </c>
      <c r="CX955" s="543">
        <v>1</v>
      </c>
    </row>
    <row r="956" spans="91:102" ht="21" customHeight="1">
      <c r="CM956" s="494"/>
      <c r="CN956" s="496" t="s">
        <v>2986</v>
      </c>
      <c r="CO956" s="496" t="s">
        <v>8</v>
      </c>
      <c r="CP956" s="496" t="s">
        <v>689</v>
      </c>
      <c r="CQ956" s="496" t="s">
        <v>2987</v>
      </c>
      <c r="CR956" s="496" t="s">
        <v>2987</v>
      </c>
      <c r="CS956" s="496" t="s">
        <v>1554</v>
      </c>
      <c r="CT956" s="496" t="s">
        <v>1555</v>
      </c>
      <c r="CU956" s="496" t="s">
        <v>1981</v>
      </c>
      <c r="CV956" s="497" t="s">
        <v>1982</v>
      </c>
      <c r="CX956" s="543">
        <v>1</v>
      </c>
    </row>
    <row r="957" spans="91:102" ht="21" customHeight="1">
      <c r="CM957" s="494"/>
      <c r="CN957" s="496" t="s">
        <v>2988</v>
      </c>
      <c r="CO957" s="496" t="s">
        <v>8</v>
      </c>
      <c r="CP957" s="496" t="s">
        <v>689</v>
      </c>
      <c r="CQ957" s="496" t="s">
        <v>2989</v>
      </c>
      <c r="CR957" s="496" t="s">
        <v>2989</v>
      </c>
      <c r="CS957" s="496" t="s">
        <v>1554</v>
      </c>
      <c r="CT957" s="496" t="s">
        <v>1555</v>
      </c>
      <c r="CU957" s="496" t="s">
        <v>1981</v>
      </c>
      <c r="CV957" s="497" t="s">
        <v>1982</v>
      </c>
      <c r="CX957" s="543">
        <v>1</v>
      </c>
    </row>
    <row r="958" spans="91:102" ht="21" customHeight="1">
      <c r="CM958" s="494"/>
      <c r="CN958" s="496" t="s">
        <v>2990</v>
      </c>
      <c r="CO958" s="496" t="s">
        <v>8</v>
      </c>
      <c r="CP958" s="496" t="s">
        <v>689</v>
      </c>
      <c r="CQ958" s="496" t="s">
        <v>2991</v>
      </c>
      <c r="CR958" s="496" t="s">
        <v>2991</v>
      </c>
      <c r="CS958" s="496" t="s">
        <v>1554</v>
      </c>
      <c r="CT958" s="496" t="s">
        <v>1555</v>
      </c>
      <c r="CU958" s="496" t="s">
        <v>1981</v>
      </c>
      <c r="CV958" s="497" t="s">
        <v>1982</v>
      </c>
      <c r="CX958" s="543">
        <v>1</v>
      </c>
    </row>
    <row r="959" spans="91:102" ht="21" customHeight="1">
      <c r="CM959" s="494"/>
      <c r="CN959" s="496" t="s">
        <v>2992</v>
      </c>
      <c r="CO959" s="496" t="s">
        <v>8</v>
      </c>
      <c r="CP959" s="496" t="s">
        <v>689</v>
      </c>
      <c r="CQ959" s="496" t="s">
        <v>2993</v>
      </c>
      <c r="CR959" s="496" t="s">
        <v>2993</v>
      </c>
      <c r="CS959" s="496" t="s">
        <v>1554</v>
      </c>
      <c r="CT959" s="496" t="s">
        <v>1555</v>
      </c>
      <c r="CU959" s="496" t="s">
        <v>1981</v>
      </c>
      <c r="CV959" s="497" t="s">
        <v>1982</v>
      </c>
      <c r="CX959" s="543">
        <v>1</v>
      </c>
    </row>
    <row r="960" spans="91:102" ht="21" customHeight="1">
      <c r="CM960" s="494"/>
      <c r="CN960" s="496" t="s">
        <v>2994</v>
      </c>
      <c r="CO960" s="496" t="s">
        <v>8</v>
      </c>
      <c r="CP960" s="496" t="s">
        <v>689</v>
      </c>
      <c r="CQ960" s="496" t="s">
        <v>2995</v>
      </c>
      <c r="CR960" s="496" t="s">
        <v>2995</v>
      </c>
      <c r="CS960" s="496" t="s">
        <v>1554</v>
      </c>
      <c r="CT960" s="496" t="s">
        <v>1555</v>
      </c>
      <c r="CU960" s="496" t="s">
        <v>1981</v>
      </c>
      <c r="CV960" s="497" t="s">
        <v>1982</v>
      </c>
      <c r="CX960" s="543">
        <v>1</v>
      </c>
    </row>
    <row r="961" spans="91:102" ht="21" customHeight="1">
      <c r="CM961" s="494"/>
      <c r="CN961" s="496" t="s">
        <v>2996</v>
      </c>
      <c r="CO961" s="496" t="s">
        <v>8</v>
      </c>
      <c r="CP961" s="496" t="s">
        <v>689</v>
      </c>
      <c r="CQ961" s="496" t="s">
        <v>2997</v>
      </c>
      <c r="CR961" s="496" t="s">
        <v>2997</v>
      </c>
      <c r="CS961" s="496" t="s">
        <v>1554</v>
      </c>
      <c r="CT961" s="496" t="s">
        <v>1555</v>
      </c>
      <c r="CU961" s="496" t="s">
        <v>1981</v>
      </c>
      <c r="CV961" s="497" t="s">
        <v>1982</v>
      </c>
      <c r="CX961" s="543">
        <v>1</v>
      </c>
    </row>
    <row r="962" spans="91:102" ht="21" customHeight="1">
      <c r="CM962" s="494"/>
      <c r="CN962" s="496" t="s">
        <v>2998</v>
      </c>
      <c r="CO962" s="496" t="s">
        <v>8</v>
      </c>
      <c r="CP962" s="496" t="s">
        <v>689</v>
      </c>
      <c r="CQ962" s="496" t="s">
        <v>2999</v>
      </c>
      <c r="CR962" s="496" t="s">
        <v>2999</v>
      </c>
      <c r="CS962" s="496" t="s">
        <v>1554</v>
      </c>
      <c r="CT962" s="496" t="s">
        <v>1555</v>
      </c>
      <c r="CU962" s="496" t="s">
        <v>1981</v>
      </c>
      <c r="CV962" s="497" t="s">
        <v>1982</v>
      </c>
      <c r="CX962" s="543">
        <v>1</v>
      </c>
    </row>
    <row r="963" spans="91:102" ht="21" customHeight="1">
      <c r="CM963" s="494"/>
      <c r="CN963" s="496" t="s">
        <v>3000</v>
      </c>
      <c r="CO963" s="496" t="s">
        <v>8</v>
      </c>
      <c r="CP963" s="496" t="s">
        <v>689</v>
      </c>
      <c r="CQ963" s="496" t="s">
        <v>3001</v>
      </c>
      <c r="CR963" s="496" t="s">
        <v>3001</v>
      </c>
      <c r="CS963" s="496" t="s">
        <v>1554</v>
      </c>
      <c r="CT963" s="496" t="s">
        <v>1555</v>
      </c>
      <c r="CU963" s="496" t="s">
        <v>1981</v>
      </c>
      <c r="CV963" s="497" t="s">
        <v>1982</v>
      </c>
      <c r="CX963" s="543">
        <v>1</v>
      </c>
    </row>
    <row r="964" spans="91:102" ht="21" customHeight="1">
      <c r="CM964" s="494"/>
      <c r="CN964" s="496" t="s">
        <v>3002</v>
      </c>
      <c r="CO964" s="496" t="s">
        <v>8</v>
      </c>
      <c r="CP964" s="496" t="s">
        <v>689</v>
      </c>
      <c r="CQ964" s="496" t="s">
        <v>3003</v>
      </c>
      <c r="CR964" s="496" t="s">
        <v>3003</v>
      </c>
      <c r="CS964" s="496" t="s">
        <v>1554</v>
      </c>
      <c r="CT964" s="496" t="s">
        <v>1555</v>
      </c>
      <c r="CU964" s="496" t="s">
        <v>1981</v>
      </c>
      <c r="CV964" s="497" t="s">
        <v>1982</v>
      </c>
      <c r="CX964" s="543">
        <v>1</v>
      </c>
    </row>
    <row r="965" spans="91:102" ht="21" customHeight="1">
      <c r="CM965" s="494"/>
      <c r="CN965" s="496" t="s">
        <v>3004</v>
      </c>
      <c r="CO965" s="496" t="s">
        <v>8</v>
      </c>
      <c r="CP965" s="496" t="s">
        <v>689</v>
      </c>
      <c r="CQ965" s="496" t="s">
        <v>3005</v>
      </c>
      <c r="CR965" s="496" t="s">
        <v>3005</v>
      </c>
      <c r="CS965" s="496" t="s">
        <v>1554</v>
      </c>
      <c r="CT965" s="496" t="s">
        <v>1555</v>
      </c>
      <c r="CU965" s="496" t="s">
        <v>1981</v>
      </c>
      <c r="CV965" s="497" t="s">
        <v>1982</v>
      </c>
      <c r="CX965" s="543">
        <v>1</v>
      </c>
    </row>
    <row r="966" spans="91:102" ht="21" customHeight="1">
      <c r="CM966" s="494"/>
      <c r="CN966" s="496" t="s">
        <v>3006</v>
      </c>
      <c r="CO966" s="496" t="s">
        <v>8</v>
      </c>
      <c r="CP966" s="496" t="s">
        <v>689</v>
      </c>
      <c r="CQ966" s="496" t="s">
        <v>3007</v>
      </c>
      <c r="CR966" s="496" t="s">
        <v>3007</v>
      </c>
      <c r="CS966" s="496" t="s">
        <v>1554</v>
      </c>
      <c r="CT966" s="496" t="s">
        <v>1555</v>
      </c>
      <c r="CU966" s="496" t="s">
        <v>1981</v>
      </c>
      <c r="CV966" s="497" t="s">
        <v>1982</v>
      </c>
      <c r="CX966" s="543">
        <v>1</v>
      </c>
    </row>
    <row r="967" spans="91:102" ht="21" customHeight="1">
      <c r="CM967" s="494"/>
      <c r="CN967" s="496" t="s">
        <v>3008</v>
      </c>
      <c r="CO967" s="496" t="s">
        <v>8</v>
      </c>
      <c r="CP967" s="496" t="s">
        <v>689</v>
      </c>
      <c r="CQ967" s="496" t="s">
        <v>3009</v>
      </c>
      <c r="CR967" s="496" t="s">
        <v>3009</v>
      </c>
      <c r="CS967" s="496" t="s">
        <v>1554</v>
      </c>
      <c r="CT967" s="496" t="s">
        <v>1555</v>
      </c>
      <c r="CU967" s="496" t="s">
        <v>1981</v>
      </c>
      <c r="CV967" s="497" t="s">
        <v>1982</v>
      </c>
      <c r="CX967" s="543">
        <v>1</v>
      </c>
    </row>
    <row r="968" spans="91:102" ht="21" customHeight="1">
      <c r="CM968" s="494"/>
      <c r="CN968" s="496" t="s">
        <v>3010</v>
      </c>
      <c r="CO968" s="496" t="s">
        <v>8</v>
      </c>
      <c r="CP968" s="496" t="s">
        <v>689</v>
      </c>
      <c r="CQ968" s="496" t="s">
        <v>3011</v>
      </c>
      <c r="CR968" s="496" t="s">
        <v>3011</v>
      </c>
      <c r="CS968" s="496" t="s">
        <v>1554</v>
      </c>
      <c r="CT968" s="496" t="s">
        <v>1555</v>
      </c>
      <c r="CU968" s="496" t="s">
        <v>1981</v>
      </c>
      <c r="CV968" s="497" t="s">
        <v>1982</v>
      </c>
      <c r="CX968" s="543">
        <v>1</v>
      </c>
    </row>
    <row r="969" spans="91:102" ht="21" customHeight="1">
      <c r="CM969" s="494"/>
      <c r="CN969" s="496" t="s">
        <v>3012</v>
      </c>
      <c r="CO969" s="496" t="s">
        <v>8</v>
      </c>
      <c r="CP969" s="496" t="s">
        <v>689</v>
      </c>
      <c r="CQ969" s="496" t="s">
        <v>3013</v>
      </c>
      <c r="CR969" s="496" t="s">
        <v>3013</v>
      </c>
      <c r="CS969" s="496" t="s">
        <v>1554</v>
      </c>
      <c r="CT969" s="496" t="s">
        <v>1555</v>
      </c>
      <c r="CU969" s="496" t="s">
        <v>1981</v>
      </c>
      <c r="CV969" s="497" t="s">
        <v>1982</v>
      </c>
      <c r="CX969" s="543">
        <v>1</v>
      </c>
    </row>
    <row r="970" spans="91:102" ht="21" customHeight="1">
      <c r="CM970" s="494"/>
      <c r="CN970" s="496" t="s">
        <v>3014</v>
      </c>
      <c r="CO970" s="496" t="s">
        <v>8</v>
      </c>
      <c r="CP970" s="496" t="s">
        <v>689</v>
      </c>
      <c r="CQ970" s="496" t="s">
        <v>3015</v>
      </c>
      <c r="CR970" s="496" t="s">
        <v>3015</v>
      </c>
      <c r="CS970" s="496" t="s">
        <v>1554</v>
      </c>
      <c r="CT970" s="496" t="s">
        <v>1555</v>
      </c>
      <c r="CU970" s="496" t="s">
        <v>1981</v>
      </c>
      <c r="CV970" s="497" t="s">
        <v>1982</v>
      </c>
      <c r="CX970" s="543">
        <v>1</v>
      </c>
    </row>
    <row r="971" spans="91:102" ht="21" customHeight="1">
      <c r="CM971" s="494"/>
      <c r="CN971" s="496" t="s">
        <v>3016</v>
      </c>
      <c r="CO971" s="496" t="s">
        <v>8</v>
      </c>
      <c r="CP971" s="496" t="s">
        <v>689</v>
      </c>
      <c r="CQ971" s="496" t="s">
        <v>3017</v>
      </c>
      <c r="CR971" s="496" t="s">
        <v>3017</v>
      </c>
      <c r="CS971" s="496" t="s">
        <v>1554</v>
      </c>
      <c r="CT971" s="496" t="s">
        <v>1555</v>
      </c>
      <c r="CU971" s="496" t="s">
        <v>1981</v>
      </c>
      <c r="CV971" s="497" t="s">
        <v>1982</v>
      </c>
      <c r="CX971" s="543">
        <v>1</v>
      </c>
    </row>
    <row r="972" spans="91:102" ht="21" customHeight="1">
      <c r="CM972" s="494"/>
      <c r="CN972" s="496" t="s">
        <v>3018</v>
      </c>
      <c r="CO972" s="496" t="s">
        <v>8</v>
      </c>
      <c r="CP972" s="496" t="s">
        <v>689</v>
      </c>
      <c r="CQ972" s="496" t="s">
        <v>3019</v>
      </c>
      <c r="CR972" s="496" t="s">
        <v>3019</v>
      </c>
      <c r="CS972" s="496" t="s">
        <v>1151</v>
      </c>
      <c r="CT972" s="496" t="s">
        <v>1152</v>
      </c>
      <c r="CU972" s="496" t="s">
        <v>1087</v>
      </c>
      <c r="CV972" s="497" t="s">
        <v>1153</v>
      </c>
      <c r="CX972" s="543">
        <v>1</v>
      </c>
    </row>
    <row r="973" spans="91:102" ht="21" customHeight="1">
      <c r="CM973" s="494"/>
      <c r="CN973" s="496" t="s">
        <v>3020</v>
      </c>
      <c r="CO973" s="496" t="s">
        <v>8</v>
      </c>
      <c r="CP973" s="496" t="s">
        <v>689</v>
      </c>
      <c r="CQ973" s="496" t="s">
        <v>3021</v>
      </c>
      <c r="CR973" s="496" t="s">
        <v>3021</v>
      </c>
      <c r="CS973" s="496" t="s">
        <v>1554</v>
      </c>
      <c r="CT973" s="496" t="s">
        <v>1555</v>
      </c>
      <c r="CU973" s="496" t="s">
        <v>1981</v>
      </c>
      <c r="CV973" s="497" t="s">
        <v>1982</v>
      </c>
      <c r="CX973" s="543">
        <v>1</v>
      </c>
    </row>
    <row r="974" spans="91:102" ht="21" customHeight="1">
      <c r="CM974" s="494"/>
      <c r="CN974" s="496" t="s">
        <v>3022</v>
      </c>
      <c r="CO974" s="496" t="s">
        <v>8</v>
      </c>
      <c r="CP974" s="496" t="s">
        <v>689</v>
      </c>
      <c r="CQ974" s="496" t="s">
        <v>3023</v>
      </c>
      <c r="CR974" s="496" t="s">
        <v>3023</v>
      </c>
      <c r="CS974" s="496" t="s">
        <v>1554</v>
      </c>
      <c r="CT974" s="496" t="s">
        <v>1555</v>
      </c>
      <c r="CU974" s="496" t="s">
        <v>1981</v>
      </c>
      <c r="CV974" s="497" t="s">
        <v>1982</v>
      </c>
      <c r="CX974" s="543">
        <v>1</v>
      </c>
    </row>
    <row r="975" spans="91:102" ht="21" customHeight="1">
      <c r="CM975" s="494"/>
      <c r="CN975" s="496" t="s">
        <v>3024</v>
      </c>
      <c r="CO975" s="496" t="s">
        <v>8</v>
      </c>
      <c r="CP975" s="496" t="s">
        <v>689</v>
      </c>
      <c r="CQ975" s="496" t="s">
        <v>360</v>
      </c>
      <c r="CR975" s="496" t="s">
        <v>360</v>
      </c>
      <c r="CS975" s="496" t="s">
        <v>1554</v>
      </c>
      <c r="CT975" s="496" t="s">
        <v>1555</v>
      </c>
      <c r="CU975" s="496" t="s">
        <v>1981</v>
      </c>
      <c r="CV975" s="497" t="s">
        <v>1982</v>
      </c>
      <c r="CX975" s="543">
        <v>1</v>
      </c>
    </row>
    <row r="976" spans="91:102" ht="21" customHeight="1">
      <c r="CM976" s="494"/>
      <c r="CN976" s="496" t="s">
        <v>3025</v>
      </c>
      <c r="CO976" s="496" t="s">
        <v>8</v>
      </c>
      <c r="CP976" s="496" t="s">
        <v>689</v>
      </c>
      <c r="CQ976" s="496" t="s">
        <v>3026</v>
      </c>
      <c r="CR976" s="496" t="s">
        <v>3026</v>
      </c>
      <c r="CS976" s="496" t="s">
        <v>1554</v>
      </c>
      <c r="CT976" s="496" t="s">
        <v>1555</v>
      </c>
      <c r="CU976" s="496" t="s">
        <v>1981</v>
      </c>
      <c r="CV976" s="497" t="s">
        <v>1982</v>
      </c>
      <c r="CX976" s="543">
        <v>1</v>
      </c>
    </row>
    <row r="977" spans="91:102" ht="21" customHeight="1">
      <c r="CM977" s="494"/>
      <c r="CN977" s="496" t="s">
        <v>3027</v>
      </c>
      <c r="CO977" s="496" t="s">
        <v>8</v>
      </c>
      <c r="CP977" s="496" t="s">
        <v>689</v>
      </c>
      <c r="CQ977" s="496" t="s">
        <v>3028</v>
      </c>
      <c r="CR977" s="496" t="s">
        <v>3028</v>
      </c>
      <c r="CS977" s="496" t="s">
        <v>1554</v>
      </c>
      <c r="CT977" s="496" t="s">
        <v>1555</v>
      </c>
      <c r="CU977" s="496" t="s">
        <v>1981</v>
      </c>
      <c r="CV977" s="497" t="s">
        <v>1982</v>
      </c>
      <c r="CX977" s="543">
        <v>1</v>
      </c>
    </row>
    <row r="978" spans="91:102" ht="21" customHeight="1">
      <c r="CM978" s="494"/>
      <c r="CN978" s="496" t="s">
        <v>3029</v>
      </c>
      <c r="CO978" s="496" t="s">
        <v>8</v>
      </c>
      <c r="CP978" s="496" t="s">
        <v>689</v>
      </c>
      <c r="CQ978" s="496" t="s">
        <v>3030</v>
      </c>
      <c r="CR978" s="496" t="s">
        <v>3030</v>
      </c>
      <c r="CS978" s="496" t="s">
        <v>1554</v>
      </c>
      <c r="CT978" s="496" t="s">
        <v>1555</v>
      </c>
      <c r="CU978" s="496" t="s">
        <v>1981</v>
      </c>
      <c r="CV978" s="497" t="s">
        <v>1982</v>
      </c>
      <c r="CX978" s="543">
        <v>1</v>
      </c>
    </row>
    <row r="979" spans="91:102" ht="21" customHeight="1">
      <c r="CM979" s="494"/>
      <c r="CN979" s="496" t="s">
        <v>3031</v>
      </c>
      <c r="CO979" s="496" t="s">
        <v>8</v>
      </c>
      <c r="CP979" s="496" t="s">
        <v>689</v>
      </c>
      <c r="CQ979" s="496" t="s">
        <v>3032</v>
      </c>
      <c r="CR979" s="496" t="s">
        <v>3032</v>
      </c>
      <c r="CS979" s="496" t="s">
        <v>1554</v>
      </c>
      <c r="CT979" s="496" t="s">
        <v>1555</v>
      </c>
      <c r="CU979" s="496" t="s">
        <v>1981</v>
      </c>
      <c r="CV979" s="497" t="s">
        <v>1982</v>
      </c>
      <c r="CX979" s="543">
        <v>1</v>
      </c>
    </row>
    <row r="980" spans="91:102" ht="21" customHeight="1">
      <c r="CM980" s="494"/>
      <c r="CN980" s="496" t="s">
        <v>3033</v>
      </c>
      <c r="CO980" s="496" t="s">
        <v>8</v>
      </c>
      <c r="CP980" s="496" t="s">
        <v>689</v>
      </c>
      <c r="CQ980" s="496" t="s">
        <v>3034</v>
      </c>
      <c r="CR980" s="496" t="s">
        <v>3034</v>
      </c>
      <c r="CS980" s="496" t="s">
        <v>1554</v>
      </c>
      <c r="CT980" s="496" t="s">
        <v>1555</v>
      </c>
      <c r="CU980" s="496" t="s">
        <v>1981</v>
      </c>
      <c r="CV980" s="497" t="s">
        <v>1982</v>
      </c>
      <c r="CX980" s="543">
        <v>1</v>
      </c>
    </row>
    <row r="981" spans="91:102" ht="21" customHeight="1">
      <c r="CM981" s="494"/>
      <c r="CN981" s="496" t="s">
        <v>3035</v>
      </c>
      <c r="CO981" s="496" t="s">
        <v>8</v>
      </c>
      <c r="CP981" s="496" t="s">
        <v>689</v>
      </c>
      <c r="CQ981" s="496" t="s">
        <v>1040</v>
      </c>
      <c r="CR981" s="496" t="s">
        <v>1040</v>
      </c>
      <c r="CS981" s="496" t="s">
        <v>1554</v>
      </c>
      <c r="CT981" s="496" t="s">
        <v>1555</v>
      </c>
      <c r="CU981" s="496" t="s">
        <v>1981</v>
      </c>
      <c r="CV981" s="497" t="s">
        <v>1982</v>
      </c>
      <c r="CX981" s="543">
        <v>1</v>
      </c>
    </row>
    <row r="982" spans="91:102" ht="21" customHeight="1">
      <c r="CM982" s="494"/>
      <c r="CN982" s="496" t="s">
        <v>3036</v>
      </c>
      <c r="CO982" s="496" t="s">
        <v>8</v>
      </c>
      <c r="CP982" s="496" t="s">
        <v>689</v>
      </c>
      <c r="CQ982" s="496" t="s">
        <v>3037</v>
      </c>
      <c r="CR982" s="496" t="s">
        <v>3037</v>
      </c>
      <c r="CS982" s="496" t="s">
        <v>1554</v>
      </c>
      <c r="CT982" s="496" t="s">
        <v>1555</v>
      </c>
      <c r="CU982" s="496" t="s">
        <v>1981</v>
      </c>
      <c r="CV982" s="497" t="s">
        <v>1982</v>
      </c>
      <c r="CX982" s="543">
        <v>1</v>
      </c>
    </row>
    <row r="983" spans="91:102" ht="21" customHeight="1">
      <c r="CM983" s="494"/>
      <c r="CN983" s="496" t="s">
        <v>3038</v>
      </c>
      <c r="CO983" s="496" t="s">
        <v>8</v>
      </c>
      <c r="CP983" s="496" t="s">
        <v>689</v>
      </c>
      <c r="CQ983" s="496" t="s">
        <v>3039</v>
      </c>
      <c r="CR983" s="496" t="s">
        <v>3039</v>
      </c>
      <c r="CS983" s="496" t="s">
        <v>1554</v>
      </c>
      <c r="CT983" s="496" t="s">
        <v>1555</v>
      </c>
      <c r="CU983" s="496" t="s">
        <v>1981</v>
      </c>
      <c r="CV983" s="497" t="s">
        <v>1982</v>
      </c>
      <c r="CX983" s="543">
        <v>1</v>
      </c>
    </row>
    <row r="984" spans="91:102" ht="21" customHeight="1">
      <c r="CM984" s="494"/>
      <c r="CN984" s="496" t="s">
        <v>3040</v>
      </c>
      <c r="CO984" s="496" t="s">
        <v>8</v>
      </c>
      <c r="CP984" s="496" t="s">
        <v>689</v>
      </c>
      <c r="CQ984" s="496" t="s">
        <v>3041</v>
      </c>
      <c r="CR984" s="496" t="s">
        <v>3041</v>
      </c>
      <c r="CS984" s="496" t="s">
        <v>1554</v>
      </c>
      <c r="CT984" s="496" t="s">
        <v>1555</v>
      </c>
      <c r="CU984" s="496" t="s">
        <v>1981</v>
      </c>
      <c r="CV984" s="497" t="s">
        <v>1982</v>
      </c>
      <c r="CX984" s="543">
        <v>1</v>
      </c>
    </row>
    <row r="985" spans="91:102" ht="21" customHeight="1">
      <c r="CM985" s="494"/>
      <c r="CN985" s="496" t="s">
        <v>3042</v>
      </c>
      <c r="CO985" s="496" t="s">
        <v>8</v>
      </c>
      <c r="CP985" s="496" t="s">
        <v>689</v>
      </c>
      <c r="CQ985" s="496" t="s">
        <v>3043</v>
      </c>
      <c r="CR985" s="496" t="s">
        <v>3043</v>
      </c>
      <c r="CS985" s="496" t="s">
        <v>1554</v>
      </c>
      <c r="CT985" s="496" t="s">
        <v>1555</v>
      </c>
      <c r="CU985" s="496" t="s">
        <v>1981</v>
      </c>
      <c r="CV985" s="497" t="s">
        <v>1982</v>
      </c>
      <c r="CX985" s="543">
        <v>1</v>
      </c>
    </row>
    <row r="986" spans="91:102" ht="21" customHeight="1">
      <c r="CM986" s="494"/>
      <c r="CN986" s="496" t="s">
        <v>3044</v>
      </c>
      <c r="CO986" s="496" t="s">
        <v>8</v>
      </c>
      <c r="CP986" s="496" t="s">
        <v>689</v>
      </c>
      <c r="CQ986" s="496" t="s">
        <v>3045</v>
      </c>
      <c r="CR986" s="496" t="s">
        <v>3045</v>
      </c>
      <c r="CS986" s="496" t="s">
        <v>1554</v>
      </c>
      <c r="CT986" s="496" t="s">
        <v>1555</v>
      </c>
      <c r="CU986" s="496" t="s">
        <v>1981</v>
      </c>
      <c r="CV986" s="497" t="s">
        <v>1982</v>
      </c>
      <c r="CX986" s="543">
        <v>1</v>
      </c>
    </row>
    <row r="987" spans="91:102" ht="21" customHeight="1">
      <c r="CM987" s="494"/>
      <c r="CN987" s="496" t="s">
        <v>3046</v>
      </c>
      <c r="CO987" s="496" t="s">
        <v>8</v>
      </c>
      <c r="CP987" s="496" t="s">
        <v>689</v>
      </c>
      <c r="CQ987" s="496" t="s">
        <v>3047</v>
      </c>
      <c r="CR987" s="496" t="s">
        <v>3047</v>
      </c>
      <c r="CS987" s="496" t="s">
        <v>1554</v>
      </c>
      <c r="CT987" s="496" t="s">
        <v>1555</v>
      </c>
      <c r="CU987" s="496" t="s">
        <v>1981</v>
      </c>
      <c r="CV987" s="497" t="s">
        <v>1982</v>
      </c>
      <c r="CX987" s="543">
        <v>1</v>
      </c>
    </row>
    <row r="988" spans="91:102" ht="21" customHeight="1">
      <c r="CM988" s="494"/>
      <c r="CN988" s="496" t="s">
        <v>3048</v>
      </c>
      <c r="CO988" s="496" t="s">
        <v>8</v>
      </c>
      <c r="CP988" s="496" t="s">
        <v>689</v>
      </c>
      <c r="CQ988" s="496" t="s">
        <v>3049</v>
      </c>
      <c r="CR988" s="496" t="s">
        <v>3049</v>
      </c>
      <c r="CS988" s="496" t="s">
        <v>1554</v>
      </c>
      <c r="CT988" s="496" t="s">
        <v>1555</v>
      </c>
      <c r="CU988" s="496" t="s">
        <v>1981</v>
      </c>
      <c r="CV988" s="497" t="s">
        <v>1982</v>
      </c>
      <c r="CX988" s="543">
        <v>1</v>
      </c>
    </row>
    <row r="989" spans="91:102" ht="21" customHeight="1">
      <c r="CM989" s="494"/>
      <c r="CN989" s="496" t="s">
        <v>3050</v>
      </c>
      <c r="CO989" s="496" t="s">
        <v>8</v>
      </c>
      <c r="CP989" s="496" t="s">
        <v>689</v>
      </c>
      <c r="CQ989" s="496" t="s">
        <v>3051</v>
      </c>
      <c r="CR989" s="496" t="s">
        <v>3051</v>
      </c>
      <c r="CS989" s="496" t="s">
        <v>1554</v>
      </c>
      <c r="CT989" s="496" t="s">
        <v>1555</v>
      </c>
      <c r="CU989" s="496" t="s">
        <v>1981</v>
      </c>
      <c r="CV989" s="497" t="s">
        <v>1982</v>
      </c>
      <c r="CX989" s="543">
        <v>1</v>
      </c>
    </row>
    <row r="990" spans="91:102" ht="21" customHeight="1">
      <c r="CM990" s="494"/>
      <c r="CN990" s="496" t="s">
        <v>3052</v>
      </c>
      <c r="CO990" s="496" t="s">
        <v>8</v>
      </c>
      <c r="CP990" s="496" t="s">
        <v>689</v>
      </c>
      <c r="CQ990" s="496" t="s">
        <v>3053</v>
      </c>
      <c r="CR990" s="496" t="s">
        <v>3053</v>
      </c>
      <c r="CS990" s="496" t="s">
        <v>1554</v>
      </c>
      <c r="CT990" s="496" t="s">
        <v>1555</v>
      </c>
      <c r="CU990" s="496" t="s">
        <v>1981</v>
      </c>
      <c r="CV990" s="497" t="s">
        <v>1982</v>
      </c>
      <c r="CX990" s="543">
        <v>1</v>
      </c>
    </row>
    <row r="991" spans="91:102" ht="21" customHeight="1">
      <c r="CM991" s="494"/>
      <c r="CN991" s="496" t="s">
        <v>3054</v>
      </c>
      <c r="CO991" s="496" t="s">
        <v>8</v>
      </c>
      <c r="CP991" s="496" t="s">
        <v>689</v>
      </c>
      <c r="CQ991" s="496" t="s">
        <v>3055</v>
      </c>
      <c r="CR991" s="496" t="s">
        <v>3055</v>
      </c>
      <c r="CS991" s="496" t="s">
        <v>1554</v>
      </c>
      <c r="CT991" s="496" t="s">
        <v>1555</v>
      </c>
      <c r="CU991" s="496" t="s">
        <v>1981</v>
      </c>
      <c r="CV991" s="497" t="s">
        <v>1982</v>
      </c>
      <c r="CX991" s="543">
        <v>1</v>
      </c>
    </row>
    <row r="992" spans="91:102" ht="21" customHeight="1">
      <c r="CM992" s="494"/>
      <c r="CN992" s="496" t="s">
        <v>3056</v>
      </c>
      <c r="CO992" s="496" t="s">
        <v>8</v>
      </c>
      <c r="CP992" s="496" t="s">
        <v>689</v>
      </c>
      <c r="CQ992" s="496" t="s">
        <v>3057</v>
      </c>
      <c r="CR992" s="496" t="s">
        <v>3057</v>
      </c>
      <c r="CS992" s="496" t="s">
        <v>1554</v>
      </c>
      <c r="CT992" s="496" t="s">
        <v>1555</v>
      </c>
      <c r="CU992" s="496" t="s">
        <v>1981</v>
      </c>
      <c r="CV992" s="497" t="s">
        <v>1982</v>
      </c>
      <c r="CX992" s="543">
        <v>1</v>
      </c>
    </row>
    <row r="993" spans="91:102" ht="21" customHeight="1">
      <c r="CM993" s="494"/>
      <c r="CN993" s="496" t="s">
        <v>3058</v>
      </c>
      <c r="CO993" s="496" t="s">
        <v>8</v>
      </c>
      <c r="CP993" s="496" t="s">
        <v>689</v>
      </c>
      <c r="CQ993" s="496" t="s">
        <v>3059</v>
      </c>
      <c r="CR993" s="496" t="s">
        <v>3059</v>
      </c>
      <c r="CS993" s="496" t="s">
        <v>1554</v>
      </c>
      <c r="CT993" s="496" t="s">
        <v>1555</v>
      </c>
      <c r="CU993" s="496" t="s">
        <v>1981</v>
      </c>
      <c r="CV993" s="497" t="s">
        <v>1982</v>
      </c>
      <c r="CX993" s="543">
        <v>1</v>
      </c>
    </row>
    <row r="994" spans="91:102" ht="21" customHeight="1">
      <c r="CM994" s="494"/>
      <c r="CN994" s="496" t="s">
        <v>3060</v>
      </c>
      <c r="CO994" s="496" t="s">
        <v>8</v>
      </c>
      <c r="CP994" s="496" t="s">
        <v>689</v>
      </c>
      <c r="CQ994" s="496" t="s">
        <v>3061</v>
      </c>
      <c r="CR994" s="496" t="s">
        <v>3061</v>
      </c>
      <c r="CS994" s="496" t="s">
        <v>1554</v>
      </c>
      <c r="CT994" s="496" t="s">
        <v>1555</v>
      </c>
      <c r="CU994" s="496" t="s">
        <v>1981</v>
      </c>
      <c r="CV994" s="497" t="s">
        <v>1982</v>
      </c>
      <c r="CX994" s="543">
        <v>1</v>
      </c>
    </row>
    <row r="995" spans="91:102" ht="21" customHeight="1">
      <c r="CM995" s="494"/>
      <c r="CN995" s="496" t="s">
        <v>3062</v>
      </c>
      <c r="CO995" s="496" t="s">
        <v>8</v>
      </c>
      <c r="CP995" s="496" t="s">
        <v>689</v>
      </c>
      <c r="CQ995" s="496" t="s">
        <v>3063</v>
      </c>
      <c r="CR995" s="496" t="s">
        <v>3063</v>
      </c>
      <c r="CS995" s="496" t="s">
        <v>1085</v>
      </c>
      <c r="CT995" s="496" t="s">
        <v>2063</v>
      </c>
      <c r="CU995" s="496" t="s">
        <v>1087</v>
      </c>
      <c r="CV995" s="497" t="s">
        <v>1088</v>
      </c>
      <c r="CX995" s="543">
        <v>1</v>
      </c>
    </row>
    <row r="996" spans="91:102" ht="21" customHeight="1">
      <c r="CM996" s="494"/>
      <c r="CN996" s="496" t="s">
        <v>3064</v>
      </c>
      <c r="CO996" s="496" t="s">
        <v>8</v>
      </c>
      <c r="CP996" s="496" t="s">
        <v>689</v>
      </c>
      <c r="CQ996" s="496" t="s">
        <v>3065</v>
      </c>
      <c r="CR996" s="496" t="s">
        <v>3065</v>
      </c>
      <c r="CS996" s="496" t="s">
        <v>1554</v>
      </c>
      <c r="CT996" s="496" t="s">
        <v>1555</v>
      </c>
      <c r="CU996" s="496" t="s">
        <v>1981</v>
      </c>
      <c r="CV996" s="497" t="s">
        <v>1982</v>
      </c>
      <c r="CX996" s="543">
        <v>1</v>
      </c>
    </row>
    <row r="997" spans="91:102" ht="21" customHeight="1">
      <c r="CM997" s="494"/>
      <c r="CN997" s="496" t="s">
        <v>3066</v>
      </c>
      <c r="CO997" s="496" t="s">
        <v>8</v>
      </c>
      <c r="CP997" s="496" t="s">
        <v>689</v>
      </c>
      <c r="CQ997" s="496" t="s">
        <v>3067</v>
      </c>
      <c r="CR997" s="496" t="s">
        <v>3067</v>
      </c>
      <c r="CS997" s="496" t="s">
        <v>1554</v>
      </c>
      <c r="CT997" s="496" t="s">
        <v>1555</v>
      </c>
      <c r="CU997" s="496" t="s">
        <v>1981</v>
      </c>
      <c r="CV997" s="497" t="s">
        <v>1982</v>
      </c>
      <c r="CX997" s="543">
        <v>1</v>
      </c>
    </row>
    <row r="998" spans="91:102" ht="21" customHeight="1">
      <c r="CM998" s="494"/>
      <c r="CN998" s="496" t="s">
        <v>3068</v>
      </c>
      <c r="CO998" s="496" t="s">
        <v>8</v>
      </c>
      <c r="CP998" s="496" t="s">
        <v>689</v>
      </c>
      <c r="CQ998" s="496" t="s">
        <v>3069</v>
      </c>
      <c r="CR998" s="496" t="s">
        <v>3069</v>
      </c>
      <c r="CS998" s="496" t="s">
        <v>1554</v>
      </c>
      <c r="CT998" s="496" t="s">
        <v>1555</v>
      </c>
      <c r="CU998" s="496" t="s">
        <v>1981</v>
      </c>
      <c r="CV998" s="497" t="s">
        <v>1982</v>
      </c>
      <c r="CX998" s="543">
        <v>1</v>
      </c>
    </row>
    <row r="999" spans="91:102" ht="21" customHeight="1">
      <c r="CM999" s="494"/>
      <c r="CN999" s="496" t="s">
        <v>3070</v>
      </c>
      <c r="CO999" s="496" t="s">
        <v>8</v>
      </c>
      <c r="CP999" s="496" t="s">
        <v>689</v>
      </c>
      <c r="CQ999" s="496" t="s">
        <v>3071</v>
      </c>
      <c r="CR999" s="496" t="s">
        <v>3071</v>
      </c>
      <c r="CS999" s="496" t="s">
        <v>1554</v>
      </c>
      <c r="CT999" s="496" t="s">
        <v>1555</v>
      </c>
      <c r="CU999" s="496" t="s">
        <v>1981</v>
      </c>
      <c r="CV999" s="497" t="s">
        <v>1982</v>
      </c>
      <c r="CX999" s="543">
        <v>1</v>
      </c>
    </row>
    <row r="1000" spans="91:102" ht="21" customHeight="1">
      <c r="CM1000" s="494"/>
      <c r="CN1000" s="496" t="s">
        <v>3072</v>
      </c>
      <c r="CO1000" s="496" t="s">
        <v>8</v>
      </c>
      <c r="CP1000" s="496" t="s">
        <v>689</v>
      </c>
      <c r="CQ1000" s="496" t="s">
        <v>3073</v>
      </c>
      <c r="CR1000" s="496" t="s">
        <v>3073</v>
      </c>
      <c r="CS1000" s="496" t="s">
        <v>1554</v>
      </c>
      <c r="CT1000" s="496" t="s">
        <v>1555</v>
      </c>
      <c r="CU1000" s="496" t="s">
        <v>1981</v>
      </c>
      <c r="CV1000" s="497" t="s">
        <v>1982</v>
      </c>
      <c r="CX1000" s="543">
        <v>1</v>
      </c>
    </row>
    <row r="1001" spans="91:102" ht="21" customHeight="1">
      <c r="CM1001" s="494"/>
      <c r="CN1001" s="496" t="s">
        <v>3074</v>
      </c>
      <c r="CO1001" s="496" t="s">
        <v>8</v>
      </c>
      <c r="CP1001" s="496" t="s">
        <v>689</v>
      </c>
      <c r="CQ1001" s="496" t="s">
        <v>1041</v>
      </c>
      <c r="CR1001" s="496" t="s">
        <v>1041</v>
      </c>
      <c r="CS1001" s="496" t="s">
        <v>1085</v>
      </c>
      <c r="CT1001" s="496" t="s">
        <v>2063</v>
      </c>
      <c r="CU1001" s="496" t="s">
        <v>1087</v>
      </c>
      <c r="CV1001" s="497" t="s">
        <v>1088</v>
      </c>
      <c r="CX1001" s="543">
        <v>1</v>
      </c>
    </row>
    <row r="1002" spans="91:102" ht="21" customHeight="1">
      <c r="CM1002" s="494"/>
      <c r="CN1002" s="496" t="s">
        <v>3075</v>
      </c>
      <c r="CO1002" s="496" t="s">
        <v>8</v>
      </c>
      <c r="CP1002" s="496" t="s">
        <v>689</v>
      </c>
      <c r="CQ1002" s="496" t="s">
        <v>3076</v>
      </c>
      <c r="CR1002" s="496" t="s">
        <v>3077</v>
      </c>
      <c r="CS1002" s="496" t="s">
        <v>1085</v>
      </c>
      <c r="CT1002" s="496" t="s">
        <v>2063</v>
      </c>
      <c r="CU1002" s="496" t="s">
        <v>1087</v>
      </c>
      <c r="CV1002" s="497" t="s">
        <v>1088</v>
      </c>
      <c r="CX1002" s="543">
        <v>1</v>
      </c>
    </row>
    <row r="1003" spans="91:102" ht="21" customHeight="1">
      <c r="CM1003" s="494"/>
      <c r="CN1003" s="496" t="s">
        <v>3078</v>
      </c>
      <c r="CO1003" s="496" t="s">
        <v>8</v>
      </c>
      <c r="CP1003" s="496" t="s">
        <v>689</v>
      </c>
      <c r="CQ1003" s="496" t="s">
        <v>3079</v>
      </c>
      <c r="CR1003" s="496" t="s">
        <v>1042</v>
      </c>
      <c r="CS1003" s="496" t="s">
        <v>1085</v>
      </c>
      <c r="CT1003" s="496" t="s">
        <v>2063</v>
      </c>
      <c r="CU1003" s="496" t="s">
        <v>1087</v>
      </c>
      <c r="CV1003" s="497" t="s">
        <v>1088</v>
      </c>
      <c r="CX1003" s="543">
        <v>1</v>
      </c>
    </row>
    <row r="1004" spans="91:102" ht="21" customHeight="1">
      <c r="CM1004" s="494"/>
      <c r="CN1004" s="496" t="s">
        <v>3080</v>
      </c>
      <c r="CO1004" s="496" t="s">
        <v>8</v>
      </c>
      <c r="CP1004" s="496" t="s">
        <v>689</v>
      </c>
      <c r="CQ1004" s="496" t="s">
        <v>3081</v>
      </c>
      <c r="CR1004" s="496" t="s">
        <v>3082</v>
      </c>
      <c r="CS1004" s="496" t="s">
        <v>1085</v>
      </c>
      <c r="CT1004" s="496" t="s">
        <v>2063</v>
      </c>
      <c r="CU1004" s="496" t="s">
        <v>1087</v>
      </c>
      <c r="CV1004" s="497" t="s">
        <v>1088</v>
      </c>
      <c r="CX1004" s="543">
        <v>1</v>
      </c>
    </row>
    <row r="1005" spans="91:102" ht="21" customHeight="1">
      <c r="CM1005" s="494"/>
      <c r="CN1005" s="496" t="s">
        <v>3083</v>
      </c>
      <c r="CO1005" s="496" t="s">
        <v>8</v>
      </c>
      <c r="CP1005" s="496" t="s">
        <v>689</v>
      </c>
      <c r="CQ1005" s="496" t="s">
        <v>3084</v>
      </c>
      <c r="CR1005" s="496" t="s">
        <v>3085</v>
      </c>
      <c r="CS1005" s="496" t="s">
        <v>1085</v>
      </c>
      <c r="CT1005" s="496" t="s">
        <v>2063</v>
      </c>
      <c r="CU1005" s="496" t="s">
        <v>1087</v>
      </c>
      <c r="CV1005" s="497" t="s">
        <v>1088</v>
      </c>
      <c r="CX1005" s="543">
        <v>1</v>
      </c>
    </row>
    <row r="1006" spans="91:102" ht="21" customHeight="1">
      <c r="CM1006" s="494"/>
      <c r="CN1006" s="496" t="s">
        <v>3086</v>
      </c>
      <c r="CO1006" s="496" t="s">
        <v>8</v>
      </c>
      <c r="CP1006" s="496" t="s">
        <v>689</v>
      </c>
      <c r="CQ1006" s="496" t="s">
        <v>3087</v>
      </c>
      <c r="CR1006" s="496" t="s">
        <v>3087</v>
      </c>
      <c r="CS1006" s="496" t="s">
        <v>1554</v>
      </c>
      <c r="CT1006" s="496" t="s">
        <v>1555</v>
      </c>
      <c r="CU1006" s="496" t="s">
        <v>1981</v>
      </c>
      <c r="CV1006" s="497" t="s">
        <v>1982</v>
      </c>
      <c r="CX1006" s="543">
        <v>1</v>
      </c>
    </row>
    <row r="1007" spans="91:102" ht="21" customHeight="1">
      <c r="CM1007" s="494"/>
      <c r="CN1007" s="496" t="s">
        <v>3088</v>
      </c>
      <c r="CO1007" s="496" t="s">
        <v>8</v>
      </c>
      <c r="CP1007" s="496" t="s">
        <v>689</v>
      </c>
      <c r="CQ1007" s="496" t="s">
        <v>3089</v>
      </c>
      <c r="CR1007" s="496" t="s">
        <v>3089</v>
      </c>
      <c r="CS1007" s="496" t="s">
        <v>1554</v>
      </c>
      <c r="CT1007" s="496" t="s">
        <v>1555</v>
      </c>
      <c r="CU1007" s="496" t="s">
        <v>1981</v>
      </c>
      <c r="CV1007" s="497" t="s">
        <v>1982</v>
      </c>
      <c r="CX1007" s="543">
        <v>1</v>
      </c>
    </row>
    <row r="1008" spans="91:102" ht="21" customHeight="1">
      <c r="CM1008" s="494"/>
      <c r="CN1008" s="496" t="s">
        <v>3090</v>
      </c>
      <c r="CO1008" s="496" t="s">
        <v>8</v>
      </c>
      <c r="CP1008" s="496" t="s">
        <v>689</v>
      </c>
      <c r="CQ1008" s="496" t="s">
        <v>3091</v>
      </c>
      <c r="CR1008" s="496" t="s">
        <v>3091</v>
      </c>
      <c r="CS1008" s="496" t="s">
        <v>1554</v>
      </c>
      <c r="CT1008" s="496" t="s">
        <v>1555</v>
      </c>
      <c r="CU1008" s="496" t="s">
        <v>1981</v>
      </c>
      <c r="CV1008" s="497" t="s">
        <v>1982</v>
      </c>
      <c r="CX1008" s="543">
        <v>1</v>
      </c>
    </row>
    <row r="1009" spans="91:102" ht="21" customHeight="1">
      <c r="CM1009" s="494"/>
      <c r="CN1009" s="496" t="s">
        <v>3092</v>
      </c>
      <c r="CO1009" s="496" t="s">
        <v>8</v>
      </c>
      <c r="CP1009" s="496" t="s">
        <v>689</v>
      </c>
      <c r="CQ1009" s="496" t="s">
        <v>3093</v>
      </c>
      <c r="CR1009" s="496" t="s">
        <v>3093</v>
      </c>
      <c r="CS1009" s="496" t="s">
        <v>1554</v>
      </c>
      <c r="CT1009" s="496" t="s">
        <v>1555</v>
      </c>
      <c r="CU1009" s="496" t="s">
        <v>1981</v>
      </c>
      <c r="CV1009" s="497" t="s">
        <v>1982</v>
      </c>
      <c r="CX1009" s="543">
        <v>1</v>
      </c>
    </row>
    <row r="1010" spans="91:102" ht="21" customHeight="1">
      <c r="CM1010" s="494"/>
      <c r="CN1010" s="496" t="s">
        <v>3094</v>
      </c>
      <c r="CO1010" s="496" t="s">
        <v>8</v>
      </c>
      <c r="CP1010" s="496" t="s">
        <v>689</v>
      </c>
      <c r="CQ1010" s="496" t="s">
        <v>3095</v>
      </c>
      <c r="CR1010" s="496" t="s">
        <v>3095</v>
      </c>
      <c r="CS1010" s="496" t="s">
        <v>1554</v>
      </c>
      <c r="CT1010" s="496" t="s">
        <v>1555</v>
      </c>
      <c r="CU1010" s="496" t="s">
        <v>1981</v>
      </c>
      <c r="CV1010" s="497" t="s">
        <v>1982</v>
      </c>
      <c r="CX1010" s="543">
        <v>1</v>
      </c>
    </row>
    <row r="1011" spans="91:102" ht="21" customHeight="1">
      <c r="CM1011" s="494"/>
      <c r="CN1011" s="496" t="s">
        <v>3096</v>
      </c>
      <c r="CO1011" s="496" t="s">
        <v>8</v>
      </c>
      <c r="CP1011" s="496" t="s">
        <v>689</v>
      </c>
      <c r="CQ1011" s="496" t="s">
        <v>3097</v>
      </c>
      <c r="CR1011" s="496" t="s">
        <v>3097</v>
      </c>
      <c r="CS1011" s="496" t="s">
        <v>1554</v>
      </c>
      <c r="CT1011" s="496" t="s">
        <v>1555</v>
      </c>
      <c r="CU1011" s="496" t="s">
        <v>1981</v>
      </c>
      <c r="CV1011" s="497" t="s">
        <v>1982</v>
      </c>
      <c r="CX1011" s="543">
        <v>1</v>
      </c>
    </row>
    <row r="1012" spans="91:102" ht="21" customHeight="1">
      <c r="CM1012" s="494"/>
      <c r="CN1012" s="496" t="s">
        <v>3098</v>
      </c>
      <c r="CO1012" s="496" t="s">
        <v>8</v>
      </c>
      <c r="CP1012" s="496" t="s">
        <v>689</v>
      </c>
      <c r="CQ1012" s="496" t="s">
        <v>3099</v>
      </c>
      <c r="CR1012" s="496" t="s">
        <v>3099</v>
      </c>
      <c r="CS1012" s="496" t="s">
        <v>1554</v>
      </c>
      <c r="CT1012" s="496" t="s">
        <v>1555</v>
      </c>
      <c r="CU1012" s="496" t="s">
        <v>1981</v>
      </c>
      <c r="CV1012" s="497" t="s">
        <v>1982</v>
      </c>
      <c r="CX1012" s="543">
        <v>1</v>
      </c>
    </row>
    <row r="1013" spans="91:102" ht="21" customHeight="1">
      <c r="CM1013" s="494"/>
      <c r="CN1013" s="496" t="s">
        <v>3100</v>
      </c>
      <c r="CO1013" s="496" t="s">
        <v>8</v>
      </c>
      <c r="CP1013" s="496" t="s">
        <v>689</v>
      </c>
      <c r="CQ1013" s="496" t="s">
        <v>3101</v>
      </c>
      <c r="CR1013" s="496" t="s">
        <v>3101</v>
      </c>
      <c r="CS1013" s="496" t="s">
        <v>1554</v>
      </c>
      <c r="CT1013" s="496" t="s">
        <v>1555</v>
      </c>
      <c r="CU1013" s="496" t="s">
        <v>1981</v>
      </c>
      <c r="CV1013" s="497" t="s">
        <v>1982</v>
      </c>
      <c r="CX1013" s="543">
        <v>1</v>
      </c>
    </row>
    <row r="1014" spans="91:102" ht="21" customHeight="1">
      <c r="CM1014" s="494"/>
      <c r="CN1014" s="496" t="s">
        <v>3102</v>
      </c>
      <c r="CO1014" s="496" t="s">
        <v>8</v>
      </c>
      <c r="CP1014" s="496" t="s">
        <v>689</v>
      </c>
      <c r="CQ1014" s="496" t="s">
        <v>3103</v>
      </c>
      <c r="CR1014" s="496" t="s">
        <v>3103</v>
      </c>
      <c r="CS1014" s="496" t="s">
        <v>1554</v>
      </c>
      <c r="CT1014" s="496" t="s">
        <v>1555</v>
      </c>
      <c r="CU1014" s="496" t="s">
        <v>1981</v>
      </c>
      <c r="CV1014" s="497" t="s">
        <v>1982</v>
      </c>
      <c r="CX1014" s="543">
        <v>1</v>
      </c>
    </row>
    <row r="1015" spans="91:102" ht="21" customHeight="1">
      <c r="CM1015" s="494"/>
      <c r="CN1015" s="496" t="s">
        <v>3104</v>
      </c>
      <c r="CO1015" s="496" t="s">
        <v>8</v>
      </c>
      <c r="CP1015" s="496" t="s">
        <v>689</v>
      </c>
      <c r="CQ1015" s="496" t="s">
        <v>3105</v>
      </c>
      <c r="CR1015" s="496" t="s">
        <v>3105</v>
      </c>
      <c r="CS1015" s="496" t="s">
        <v>1554</v>
      </c>
      <c r="CT1015" s="496" t="s">
        <v>1555</v>
      </c>
      <c r="CU1015" s="496" t="s">
        <v>1981</v>
      </c>
      <c r="CV1015" s="497" t="s">
        <v>1982</v>
      </c>
      <c r="CX1015" s="543">
        <v>1</v>
      </c>
    </row>
    <row r="1016" spans="91:102" ht="21" customHeight="1">
      <c r="CM1016" s="494"/>
      <c r="CN1016" s="496" t="s">
        <v>3106</v>
      </c>
      <c r="CO1016" s="496" t="s">
        <v>8</v>
      </c>
      <c r="CP1016" s="496" t="s">
        <v>689</v>
      </c>
      <c r="CQ1016" s="496" t="s">
        <v>3107</v>
      </c>
      <c r="CR1016" s="496" t="s">
        <v>3107</v>
      </c>
      <c r="CS1016" s="496" t="s">
        <v>1554</v>
      </c>
      <c r="CT1016" s="496" t="s">
        <v>1555</v>
      </c>
      <c r="CU1016" s="496" t="s">
        <v>1981</v>
      </c>
      <c r="CV1016" s="497" t="s">
        <v>1982</v>
      </c>
      <c r="CX1016" s="543">
        <v>1</v>
      </c>
    </row>
    <row r="1017" spans="91:102" ht="21" customHeight="1">
      <c r="CM1017" s="494"/>
      <c r="CN1017" s="496" t="s">
        <v>3108</v>
      </c>
      <c r="CO1017" s="496" t="s">
        <v>8</v>
      </c>
      <c r="CP1017" s="496" t="s">
        <v>689</v>
      </c>
      <c r="CQ1017" s="496" t="s">
        <v>3109</v>
      </c>
      <c r="CR1017" s="496" t="s">
        <v>3109</v>
      </c>
      <c r="CS1017" s="496" t="s">
        <v>1554</v>
      </c>
      <c r="CT1017" s="496" t="s">
        <v>1555</v>
      </c>
      <c r="CU1017" s="496" t="s">
        <v>1981</v>
      </c>
      <c r="CV1017" s="497" t="s">
        <v>1982</v>
      </c>
      <c r="CX1017" s="543">
        <v>1</v>
      </c>
    </row>
    <row r="1018" spans="91:102" ht="21" customHeight="1">
      <c r="CM1018" s="494"/>
      <c r="CN1018" s="496" t="s">
        <v>3110</v>
      </c>
      <c r="CO1018" s="496" t="s">
        <v>8</v>
      </c>
      <c r="CP1018" s="496" t="s">
        <v>689</v>
      </c>
      <c r="CQ1018" s="496" t="s">
        <v>3111</v>
      </c>
      <c r="CR1018" s="496" t="s">
        <v>3111</v>
      </c>
      <c r="CS1018" s="496" t="s">
        <v>1554</v>
      </c>
      <c r="CT1018" s="496" t="s">
        <v>1555</v>
      </c>
      <c r="CU1018" s="496" t="s">
        <v>1981</v>
      </c>
      <c r="CV1018" s="497" t="s">
        <v>1982</v>
      </c>
      <c r="CX1018" s="543">
        <v>1</v>
      </c>
    </row>
    <row r="1019" spans="91:102" ht="21" customHeight="1">
      <c r="CM1019" s="494"/>
      <c r="CN1019" s="496" t="s">
        <v>3112</v>
      </c>
      <c r="CO1019" s="496" t="s">
        <v>8</v>
      </c>
      <c r="CP1019" s="496" t="s">
        <v>689</v>
      </c>
      <c r="CQ1019" s="496" t="s">
        <v>3113</v>
      </c>
      <c r="CR1019" s="496" t="s">
        <v>3113</v>
      </c>
      <c r="CS1019" s="496" t="s">
        <v>1554</v>
      </c>
      <c r="CT1019" s="496" t="s">
        <v>1555</v>
      </c>
      <c r="CU1019" s="496" t="s">
        <v>1981</v>
      </c>
      <c r="CV1019" s="497" t="s">
        <v>1982</v>
      </c>
      <c r="CX1019" s="543">
        <v>1</v>
      </c>
    </row>
    <row r="1020" spans="91:102" ht="21" customHeight="1">
      <c r="CM1020" s="494"/>
      <c r="CN1020" s="496" t="s">
        <v>3114</v>
      </c>
      <c r="CO1020" s="496" t="s">
        <v>8</v>
      </c>
      <c r="CP1020" s="496" t="s">
        <v>689</v>
      </c>
      <c r="CQ1020" s="496" t="s">
        <v>3115</v>
      </c>
      <c r="CR1020" s="496" t="s">
        <v>3115</v>
      </c>
      <c r="CS1020" s="496" t="s">
        <v>1554</v>
      </c>
      <c r="CT1020" s="496" t="s">
        <v>1555</v>
      </c>
      <c r="CU1020" s="496" t="s">
        <v>1981</v>
      </c>
      <c r="CV1020" s="497" t="s">
        <v>1982</v>
      </c>
      <c r="CX1020" s="543">
        <v>1</v>
      </c>
    </row>
    <row r="1021" spans="91:102" ht="21" customHeight="1">
      <c r="CM1021" s="494"/>
      <c r="CN1021" s="496" t="s">
        <v>3116</v>
      </c>
      <c r="CO1021" s="496" t="s">
        <v>8</v>
      </c>
      <c r="CP1021" s="496" t="s">
        <v>689</v>
      </c>
      <c r="CQ1021" s="496" t="s">
        <v>3117</v>
      </c>
      <c r="CR1021" s="496" t="s">
        <v>3117</v>
      </c>
      <c r="CS1021" s="496" t="s">
        <v>1554</v>
      </c>
      <c r="CT1021" s="496" t="s">
        <v>1555</v>
      </c>
      <c r="CU1021" s="496" t="s">
        <v>1981</v>
      </c>
      <c r="CV1021" s="497" t="s">
        <v>1982</v>
      </c>
      <c r="CX1021" s="543">
        <v>1</v>
      </c>
    </row>
    <row r="1022" spans="91:102" ht="21" customHeight="1">
      <c r="CM1022" s="494"/>
      <c r="CN1022" s="496" t="s">
        <v>3118</v>
      </c>
      <c r="CO1022" s="496" t="s">
        <v>8</v>
      </c>
      <c r="CP1022" s="496" t="s">
        <v>689</v>
      </c>
      <c r="CQ1022" s="496" t="s">
        <v>3119</v>
      </c>
      <c r="CR1022" s="496" t="s">
        <v>3119</v>
      </c>
      <c r="CS1022" s="496" t="s">
        <v>1554</v>
      </c>
      <c r="CT1022" s="496" t="s">
        <v>1555</v>
      </c>
      <c r="CU1022" s="496" t="s">
        <v>1981</v>
      </c>
      <c r="CV1022" s="497" t="s">
        <v>1982</v>
      </c>
      <c r="CX1022" s="543">
        <v>1</v>
      </c>
    </row>
    <row r="1023" spans="91:102" ht="21" customHeight="1">
      <c r="CM1023" s="494"/>
      <c r="CN1023" s="496" t="s">
        <v>3120</v>
      </c>
      <c r="CO1023" s="496" t="s">
        <v>8</v>
      </c>
      <c r="CP1023" s="496" t="s">
        <v>689</v>
      </c>
      <c r="CQ1023" s="496" t="s">
        <v>3121</v>
      </c>
      <c r="CR1023" s="496" t="s">
        <v>3121</v>
      </c>
      <c r="CS1023" s="496" t="s">
        <v>1554</v>
      </c>
      <c r="CT1023" s="496" t="s">
        <v>1555</v>
      </c>
      <c r="CU1023" s="496" t="s">
        <v>1981</v>
      </c>
      <c r="CV1023" s="497" t="s">
        <v>1982</v>
      </c>
      <c r="CX1023" s="543">
        <v>1</v>
      </c>
    </row>
    <row r="1024" spans="91:102" ht="21" customHeight="1">
      <c r="CM1024" s="494"/>
      <c r="CN1024" s="496" t="s">
        <v>3122</v>
      </c>
      <c r="CO1024" s="496" t="s">
        <v>8</v>
      </c>
      <c r="CP1024" s="496" t="s">
        <v>689</v>
      </c>
      <c r="CQ1024" s="496" t="s">
        <v>3123</v>
      </c>
      <c r="CR1024" s="496" t="s">
        <v>3123</v>
      </c>
      <c r="CS1024" s="496" t="s">
        <v>1554</v>
      </c>
      <c r="CT1024" s="496" t="s">
        <v>1555</v>
      </c>
      <c r="CU1024" s="496" t="s">
        <v>1981</v>
      </c>
      <c r="CV1024" s="497" t="s">
        <v>1982</v>
      </c>
      <c r="CX1024" s="543">
        <v>1</v>
      </c>
    </row>
    <row r="1025" spans="91:102" ht="21" customHeight="1">
      <c r="CM1025" s="494"/>
      <c r="CN1025" s="496" t="s">
        <v>3124</v>
      </c>
      <c r="CO1025" s="496" t="s">
        <v>8</v>
      </c>
      <c r="CP1025" s="496" t="s">
        <v>689</v>
      </c>
      <c r="CQ1025" s="496" t="s">
        <v>3125</v>
      </c>
      <c r="CR1025" s="496" t="s">
        <v>3125</v>
      </c>
      <c r="CS1025" s="496" t="s">
        <v>1554</v>
      </c>
      <c r="CT1025" s="496" t="s">
        <v>1555</v>
      </c>
      <c r="CU1025" s="496" t="s">
        <v>1981</v>
      </c>
      <c r="CV1025" s="497" t="s">
        <v>1982</v>
      </c>
      <c r="CX1025" s="543">
        <v>1</v>
      </c>
    </row>
    <row r="1026" spans="91:102" ht="21" customHeight="1">
      <c r="CM1026" s="494"/>
      <c r="CN1026" s="496" t="s">
        <v>3126</v>
      </c>
      <c r="CO1026" s="496" t="s">
        <v>8</v>
      </c>
      <c r="CP1026" s="496" t="s">
        <v>689</v>
      </c>
      <c r="CQ1026" s="496" t="s">
        <v>3127</v>
      </c>
      <c r="CR1026" s="496" t="s">
        <v>3127</v>
      </c>
      <c r="CS1026" s="496" t="s">
        <v>1554</v>
      </c>
      <c r="CT1026" s="496" t="s">
        <v>1555</v>
      </c>
      <c r="CU1026" s="496" t="s">
        <v>1981</v>
      </c>
      <c r="CV1026" s="497" t="s">
        <v>1982</v>
      </c>
      <c r="CX1026" s="543">
        <v>1</v>
      </c>
    </row>
    <row r="1027" spans="91:102" ht="21" customHeight="1">
      <c r="CM1027" s="494"/>
      <c r="CN1027" s="496" t="s">
        <v>3128</v>
      </c>
      <c r="CO1027" s="496" t="s">
        <v>8</v>
      </c>
      <c r="CP1027" s="496" t="s">
        <v>689</v>
      </c>
      <c r="CQ1027" s="496" t="s">
        <v>3129</v>
      </c>
      <c r="CR1027" s="496" t="s">
        <v>3129</v>
      </c>
      <c r="CS1027" s="496" t="s">
        <v>1554</v>
      </c>
      <c r="CT1027" s="496" t="s">
        <v>1555</v>
      </c>
      <c r="CU1027" s="496" t="s">
        <v>1981</v>
      </c>
      <c r="CV1027" s="497" t="s">
        <v>1982</v>
      </c>
      <c r="CX1027" s="543">
        <v>1</v>
      </c>
    </row>
    <row r="1028" spans="91:102" ht="21" customHeight="1">
      <c r="CM1028" s="494"/>
      <c r="CN1028" s="496" t="s">
        <v>3130</v>
      </c>
      <c r="CO1028" s="496" t="s">
        <v>8</v>
      </c>
      <c r="CP1028" s="496" t="s">
        <v>689</v>
      </c>
      <c r="CQ1028" s="496" t="s">
        <v>3131</v>
      </c>
      <c r="CR1028" s="496" t="s">
        <v>3131</v>
      </c>
      <c r="CS1028" s="496" t="s">
        <v>1554</v>
      </c>
      <c r="CT1028" s="496" t="s">
        <v>1555</v>
      </c>
      <c r="CU1028" s="496" t="s">
        <v>1981</v>
      </c>
      <c r="CV1028" s="497" t="s">
        <v>1982</v>
      </c>
      <c r="CX1028" s="543">
        <v>1</v>
      </c>
    </row>
    <row r="1029" spans="91:102" ht="21" customHeight="1">
      <c r="CM1029" s="494"/>
      <c r="CN1029" s="496" t="s">
        <v>3132</v>
      </c>
      <c r="CO1029" s="496" t="s">
        <v>8</v>
      </c>
      <c r="CP1029" s="496" t="s">
        <v>689</v>
      </c>
      <c r="CQ1029" s="496" t="s">
        <v>3133</v>
      </c>
      <c r="CR1029" s="496" t="s">
        <v>3133</v>
      </c>
      <c r="CS1029" s="496" t="s">
        <v>1554</v>
      </c>
      <c r="CT1029" s="496" t="s">
        <v>1555</v>
      </c>
      <c r="CU1029" s="496" t="s">
        <v>1981</v>
      </c>
      <c r="CV1029" s="497" t="s">
        <v>1982</v>
      </c>
      <c r="CX1029" s="543">
        <v>1</v>
      </c>
    </row>
    <row r="1030" spans="91:102" ht="21" customHeight="1">
      <c r="CM1030" s="494"/>
      <c r="CN1030" s="496" t="s">
        <v>3134</v>
      </c>
      <c r="CO1030" s="496" t="s">
        <v>8</v>
      </c>
      <c r="CP1030" s="496" t="s">
        <v>689</v>
      </c>
      <c r="CQ1030" s="496" t="s">
        <v>3135</v>
      </c>
      <c r="CR1030" s="496" t="s">
        <v>3135</v>
      </c>
      <c r="CS1030" s="496" t="s">
        <v>1554</v>
      </c>
      <c r="CT1030" s="496" t="s">
        <v>1555</v>
      </c>
      <c r="CU1030" s="496" t="s">
        <v>1981</v>
      </c>
      <c r="CV1030" s="497" t="s">
        <v>1982</v>
      </c>
      <c r="CX1030" s="543">
        <v>1</v>
      </c>
    </row>
    <row r="1031" spans="91:102" ht="21" customHeight="1">
      <c r="CM1031" s="494"/>
      <c r="CN1031" s="496" t="s">
        <v>3136</v>
      </c>
      <c r="CO1031" s="496" t="s">
        <v>8</v>
      </c>
      <c r="CP1031" s="496" t="s">
        <v>689</v>
      </c>
      <c r="CQ1031" s="496" t="s">
        <v>3137</v>
      </c>
      <c r="CR1031" s="496" t="s">
        <v>3137</v>
      </c>
      <c r="CS1031" s="496" t="s">
        <v>1554</v>
      </c>
      <c r="CT1031" s="496" t="s">
        <v>1555</v>
      </c>
      <c r="CU1031" s="496" t="s">
        <v>1981</v>
      </c>
      <c r="CV1031" s="497" t="s">
        <v>1982</v>
      </c>
      <c r="CX1031" s="543">
        <v>1</v>
      </c>
    </row>
    <row r="1032" spans="91:102" ht="21" customHeight="1">
      <c r="CM1032" s="494"/>
      <c r="CN1032" s="496" t="s">
        <v>3138</v>
      </c>
      <c r="CO1032" s="496" t="s">
        <v>8</v>
      </c>
      <c r="CP1032" s="496" t="s">
        <v>689</v>
      </c>
      <c r="CQ1032" s="496" t="s">
        <v>3139</v>
      </c>
      <c r="CR1032" s="496" t="s">
        <v>3139</v>
      </c>
      <c r="CS1032" s="496" t="s">
        <v>1554</v>
      </c>
      <c r="CT1032" s="496" t="s">
        <v>1555</v>
      </c>
      <c r="CU1032" s="496" t="s">
        <v>1981</v>
      </c>
      <c r="CV1032" s="497" t="s">
        <v>1982</v>
      </c>
      <c r="CX1032" s="543">
        <v>1</v>
      </c>
    </row>
    <row r="1033" spans="91:102" ht="21" customHeight="1">
      <c r="CM1033" s="494"/>
      <c r="CN1033" s="496" t="s">
        <v>3140</v>
      </c>
      <c r="CO1033" s="496" t="s">
        <v>8</v>
      </c>
      <c r="CP1033" s="496" t="s">
        <v>689</v>
      </c>
      <c r="CQ1033" s="496" t="s">
        <v>3141</v>
      </c>
      <c r="CR1033" s="496" t="s">
        <v>3141</v>
      </c>
      <c r="CS1033" s="496" t="s">
        <v>1554</v>
      </c>
      <c r="CT1033" s="496" t="s">
        <v>1555</v>
      </c>
      <c r="CU1033" s="496" t="s">
        <v>1981</v>
      </c>
      <c r="CV1033" s="497" t="s">
        <v>1982</v>
      </c>
      <c r="CX1033" s="543">
        <v>1</v>
      </c>
    </row>
    <row r="1034" spans="91:102" ht="21" customHeight="1">
      <c r="CM1034" s="494"/>
      <c r="CN1034" s="496" t="s">
        <v>3142</v>
      </c>
      <c r="CO1034" s="496" t="s">
        <v>8</v>
      </c>
      <c r="CP1034" s="496" t="s">
        <v>689</v>
      </c>
      <c r="CQ1034" s="496" t="s">
        <v>3143</v>
      </c>
      <c r="CR1034" s="496" t="s">
        <v>3143</v>
      </c>
      <c r="CS1034" s="496" t="s">
        <v>1554</v>
      </c>
      <c r="CT1034" s="496" t="s">
        <v>1555</v>
      </c>
      <c r="CU1034" s="496" t="s">
        <v>1981</v>
      </c>
      <c r="CV1034" s="497" t="s">
        <v>1982</v>
      </c>
      <c r="CX1034" s="543">
        <v>1</v>
      </c>
    </row>
    <row r="1035" spans="91:102" ht="21" customHeight="1">
      <c r="CM1035" s="494"/>
      <c r="CN1035" s="496" t="s">
        <v>3144</v>
      </c>
      <c r="CO1035" s="496" t="s">
        <v>8</v>
      </c>
      <c r="CP1035" s="496" t="s">
        <v>689</v>
      </c>
      <c r="CQ1035" s="496" t="s">
        <v>3145</v>
      </c>
      <c r="CR1035" s="496" t="s">
        <v>3145</v>
      </c>
      <c r="CS1035" s="496" t="s">
        <v>1554</v>
      </c>
      <c r="CT1035" s="496" t="s">
        <v>1555</v>
      </c>
      <c r="CU1035" s="496" t="s">
        <v>1981</v>
      </c>
      <c r="CV1035" s="497" t="s">
        <v>1982</v>
      </c>
      <c r="CX1035" s="543">
        <v>1</v>
      </c>
    </row>
    <row r="1036" spans="91:102" ht="21" customHeight="1">
      <c r="CM1036" s="494"/>
      <c r="CN1036" s="496" t="s">
        <v>3146</v>
      </c>
      <c r="CO1036" s="496" t="s">
        <v>8</v>
      </c>
      <c r="CP1036" s="496" t="s">
        <v>689</v>
      </c>
      <c r="CQ1036" s="496" t="s">
        <v>3147</v>
      </c>
      <c r="CR1036" s="496" t="s">
        <v>3147</v>
      </c>
      <c r="CS1036" s="496" t="s">
        <v>1554</v>
      </c>
      <c r="CT1036" s="496" t="s">
        <v>1555</v>
      </c>
      <c r="CU1036" s="496" t="s">
        <v>1981</v>
      </c>
      <c r="CV1036" s="497" t="s">
        <v>1982</v>
      </c>
      <c r="CX1036" s="543">
        <v>1</v>
      </c>
    </row>
    <row r="1037" spans="91:102" ht="21" customHeight="1">
      <c r="CM1037" s="494"/>
      <c r="CN1037" s="496" t="s">
        <v>3148</v>
      </c>
      <c r="CO1037" s="496" t="s">
        <v>8</v>
      </c>
      <c r="CP1037" s="496" t="s">
        <v>689</v>
      </c>
      <c r="CQ1037" s="496" t="s">
        <v>3149</v>
      </c>
      <c r="CR1037" s="496" t="s">
        <v>3149</v>
      </c>
      <c r="CS1037" s="496" t="s">
        <v>1554</v>
      </c>
      <c r="CT1037" s="496" t="s">
        <v>1555</v>
      </c>
      <c r="CU1037" s="496" t="s">
        <v>1981</v>
      </c>
      <c r="CV1037" s="497" t="s">
        <v>1982</v>
      </c>
      <c r="CX1037" s="543">
        <v>1</v>
      </c>
    </row>
    <row r="1038" spans="91:102" ht="21" customHeight="1">
      <c r="CM1038" s="494"/>
      <c r="CN1038" s="496" t="s">
        <v>3150</v>
      </c>
      <c r="CO1038" s="496" t="s">
        <v>8</v>
      </c>
      <c r="CP1038" s="496" t="s">
        <v>689</v>
      </c>
      <c r="CQ1038" s="496" t="s">
        <v>1043</v>
      </c>
      <c r="CR1038" s="496" t="s">
        <v>1043</v>
      </c>
      <c r="CS1038" s="496" t="s">
        <v>1554</v>
      </c>
      <c r="CT1038" s="496" t="s">
        <v>1555</v>
      </c>
      <c r="CU1038" s="496" t="s">
        <v>1981</v>
      </c>
      <c r="CV1038" s="497" t="s">
        <v>1982</v>
      </c>
      <c r="CX1038" s="543">
        <v>1</v>
      </c>
    </row>
    <row r="1039" spans="91:102" ht="21" customHeight="1">
      <c r="CM1039" s="494"/>
      <c r="CN1039" s="496" t="s">
        <v>3151</v>
      </c>
      <c r="CO1039" s="496" t="s">
        <v>8</v>
      </c>
      <c r="CP1039" s="496" t="s">
        <v>689</v>
      </c>
      <c r="CQ1039" s="496" t="s">
        <v>3152</v>
      </c>
      <c r="CR1039" s="496" t="s">
        <v>3152</v>
      </c>
      <c r="CS1039" s="496" t="s">
        <v>1554</v>
      </c>
      <c r="CT1039" s="496" t="s">
        <v>1555</v>
      </c>
      <c r="CU1039" s="496" t="s">
        <v>1981</v>
      </c>
      <c r="CV1039" s="497" t="s">
        <v>1982</v>
      </c>
      <c r="CX1039" s="543">
        <v>1</v>
      </c>
    </row>
    <row r="1040" spans="91:102" ht="21" customHeight="1">
      <c r="CM1040" s="494"/>
      <c r="CN1040" s="496" t="s">
        <v>3153</v>
      </c>
      <c r="CO1040" s="496" t="s">
        <v>8</v>
      </c>
      <c r="CP1040" s="496" t="s">
        <v>689</v>
      </c>
      <c r="CQ1040" s="496" t="s">
        <v>3154</v>
      </c>
      <c r="CR1040" s="496" t="s">
        <v>3154</v>
      </c>
      <c r="CS1040" s="496" t="s">
        <v>1554</v>
      </c>
      <c r="CT1040" s="496" t="s">
        <v>1555</v>
      </c>
      <c r="CU1040" s="496" t="s">
        <v>1981</v>
      </c>
      <c r="CV1040" s="497" t="s">
        <v>1982</v>
      </c>
      <c r="CX1040" s="543">
        <v>1</v>
      </c>
    </row>
    <row r="1041" spans="91:102" ht="21" customHeight="1">
      <c r="CM1041" s="494"/>
      <c r="CN1041" s="496" t="s">
        <v>3155</v>
      </c>
      <c r="CO1041" s="496" t="s">
        <v>8</v>
      </c>
      <c r="CP1041" s="496" t="s">
        <v>689</v>
      </c>
      <c r="CQ1041" s="496" t="s">
        <v>3156</v>
      </c>
      <c r="CR1041" s="496" t="s">
        <v>3156</v>
      </c>
      <c r="CS1041" s="496" t="s">
        <v>1554</v>
      </c>
      <c r="CT1041" s="496" t="s">
        <v>1555</v>
      </c>
      <c r="CU1041" s="496" t="s">
        <v>1981</v>
      </c>
      <c r="CV1041" s="497" t="s">
        <v>1982</v>
      </c>
      <c r="CX1041" s="543">
        <v>1</v>
      </c>
    </row>
    <row r="1042" spans="91:102" ht="21" customHeight="1">
      <c r="CM1042" s="494"/>
      <c r="CN1042" s="496" t="s">
        <v>3157</v>
      </c>
      <c r="CO1042" s="496" t="s">
        <v>8</v>
      </c>
      <c r="CP1042" s="496" t="s">
        <v>689</v>
      </c>
      <c r="CQ1042" s="496" t="s">
        <v>3158</v>
      </c>
      <c r="CR1042" s="496" t="s">
        <v>3158</v>
      </c>
      <c r="CS1042" s="496" t="s">
        <v>1554</v>
      </c>
      <c r="CT1042" s="496" t="s">
        <v>1555</v>
      </c>
      <c r="CU1042" s="496" t="s">
        <v>1981</v>
      </c>
      <c r="CV1042" s="497" t="s">
        <v>1982</v>
      </c>
      <c r="CX1042" s="543">
        <v>1</v>
      </c>
    </row>
    <row r="1043" spans="91:102" ht="21" customHeight="1">
      <c r="CM1043" s="494"/>
      <c r="CN1043" s="496" t="s">
        <v>3159</v>
      </c>
      <c r="CO1043" s="496" t="s">
        <v>8</v>
      </c>
      <c r="CP1043" s="496" t="s">
        <v>689</v>
      </c>
      <c r="CQ1043" s="496" t="s">
        <v>3160</v>
      </c>
      <c r="CR1043" s="496" t="s">
        <v>3160</v>
      </c>
      <c r="CS1043" s="496" t="s">
        <v>1554</v>
      </c>
      <c r="CT1043" s="496" t="s">
        <v>1555</v>
      </c>
      <c r="CU1043" s="496" t="s">
        <v>1981</v>
      </c>
      <c r="CV1043" s="497" t="s">
        <v>1982</v>
      </c>
      <c r="CX1043" s="543">
        <v>1</v>
      </c>
    </row>
    <row r="1044" spans="91:102" ht="21" customHeight="1">
      <c r="CM1044" s="494"/>
      <c r="CN1044" s="496" t="s">
        <v>3161</v>
      </c>
      <c r="CO1044" s="496" t="s">
        <v>8</v>
      </c>
      <c r="CP1044" s="496" t="s">
        <v>689</v>
      </c>
      <c r="CQ1044" s="496" t="s">
        <v>3162</v>
      </c>
      <c r="CR1044" s="496" t="s">
        <v>3162</v>
      </c>
      <c r="CS1044" s="496" t="s">
        <v>1554</v>
      </c>
      <c r="CT1044" s="496" t="s">
        <v>1555</v>
      </c>
      <c r="CU1044" s="496" t="s">
        <v>1981</v>
      </c>
      <c r="CV1044" s="497" t="s">
        <v>1982</v>
      </c>
      <c r="CX1044" s="543">
        <v>1</v>
      </c>
    </row>
    <row r="1045" spans="91:102" ht="21" customHeight="1">
      <c r="CM1045" s="494"/>
      <c r="CN1045" s="496" t="s">
        <v>3163</v>
      </c>
      <c r="CO1045" s="496" t="s">
        <v>8</v>
      </c>
      <c r="CP1045" s="496" t="s">
        <v>689</v>
      </c>
      <c r="CQ1045" s="496" t="s">
        <v>3164</v>
      </c>
      <c r="CR1045" s="496" t="s">
        <v>3164</v>
      </c>
      <c r="CS1045" s="496" t="s">
        <v>1554</v>
      </c>
      <c r="CT1045" s="496" t="s">
        <v>1555</v>
      </c>
      <c r="CU1045" s="496" t="s">
        <v>1981</v>
      </c>
      <c r="CV1045" s="497" t="s">
        <v>1982</v>
      </c>
      <c r="CX1045" s="543">
        <v>1</v>
      </c>
    </row>
    <row r="1046" spans="91:102" ht="21" customHeight="1">
      <c r="CM1046" s="494"/>
      <c r="CN1046" s="496" t="s">
        <v>3165</v>
      </c>
      <c r="CO1046" s="496" t="s">
        <v>8</v>
      </c>
      <c r="CP1046" s="496" t="s">
        <v>689</v>
      </c>
      <c r="CQ1046" s="496" t="s">
        <v>3166</v>
      </c>
      <c r="CR1046" s="496" t="s">
        <v>3166</v>
      </c>
      <c r="CS1046" s="496" t="s">
        <v>1554</v>
      </c>
      <c r="CT1046" s="496" t="s">
        <v>1555</v>
      </c>
      <c r="CU1046" s="496" t="s">
        <v>1981</v>
      </c>
      <c r="CV1046" s="497" t="s">
        <v>1982</v>
      </c>
      <c r="CX1046" s="543">
        <v>1</v>
      </c>
    </row>
    <row r="1047" spans="91:102" ht="21" customHeight="1">
      <c r="CM1047" s="494"/>
      <c r="CN1047" s="496" t="s">
        <v>3167</v>
      </c>
      <c r="CO1047" s="496" t="s">
        <v>8</v>
      </c>
      <c r="CP1047" s="496" t="s">
        <v>689</v>
      </c>
      <c r="CQ1047" s="496" t="s">
        <v>3168</v>
      </c>
      <c r="CR1047" s="496" t="s">
        <v>3168</v>
      </c>
      <c r="CS1047" s="496" t="s">
        <v>1554</v>
      </c>
      <c r="CT1047" s="496" t="s">
        <v>1555</v>
      </c>
      <c r="CU1047" s="496" t="s">
        <v>1981</v>
      </c>
      <c r="CV1047" s="497" t="s">
        <v>1982</v>
      </c>
      <c r="CX1047" s="543">
        <v>1</v>
      </c>
    </row>
    <row r="1048" spans="91:102" ht="21" customHeight="1">
      <c r="CM1048" s="494"/>
      <c r="CN1048" s="496" t="s">
        <v>3169</v>
      </c>
      <c r="CO1048" s="496" t="s">
        <v>8</v>
      </c>
      <c r="CP1048" s="496" t="s">
        <v>689</v>
      </c>
      <c r="CQ1048" s="496" t="s">
        <v>3170</v>
      </c>
      <c r="CR1048" s="496" t="s">
        <v>3170</v>
      </c>
      <c r="CS1048" s="496" t="s">
        <v>1554</v>
      </c>
      <c r="CT1048" s="496" t="s">
        <v>1555</v>
      </c>
      <c r="CU1048" s="496" t="s">
        <v>1981</v>
      </c>
      <c r="CV1048" s="497" t="s">
        <v>1982</v>
      </c>
      <c r="CX1048" s="543">
        <v>1</v>
      </c>
    </row>
    <row r="1049" spans="91:102" ht="21" customHeight="1">
      <c r="CM1049" s="494"/>
      <c r="CN1049" s="496" t="s">
        <v>3171</v>
      </c>
      <c r="CO1049" s="496" t="s">
        <v>8</v>
      </c>
      <c r="CP1049" s="496" t="s">
        <v>689</v>
      </c>
      <c r="CQ1049" s="496" t="s">
        <v>3172</v>
      </c>
      <c r="CR1049" s="496" t="s">
        <v>3172</v>
      </c>
      <c r="CS1049" s="496" t="s">
        <v>1554</v>
      </c>
      <c r="CT1049" s="496" t="s">
        <v>1555</v>
      </c>
      <c r="CU1049" s="496" t="s">
        <v>1981</v>
      </c>
      <c r="CV1049" s="497" t="s">
        <v>1982</v>
      </c>
      <c r="CX1049" s="543">
        <v>1</v>
      </c>
    </row>
    <row r="1050" spans="91:102" ht="21" customHeight="1">
      <c r="CM1050" s="494"/>
      <c r="CN1050" s="496" t="s">
        <v>3173</v>
      </c>
      <c r="CO1050" s="496" t="s">
        <v>8</v>
      </c>
      <c r="CP1050" s="496" t="s">
        <v>689</v>
      </c>
      <c r="CQ1050" s="496" t="s">
        <v>3174</v>
      </c>
      <c r="CR1050" s="496" t="s">
        <v>3174</v>
      </c>
      <c r="CS1050" s="496" t="s">
        <v>1554</v>
      </c>
      <c r="CT1050" s="496" t="s">
        <v>1555</v>
      </c>
      <c r="CU1050" s="496" t="s">
        <v>1981</v>
      </c>
      <c r="CV1050" s="497" t="s">
        <v>1982</v>
      </c>
      <c r="CX1050" s="543">
        <v>1</v>
      </c>
    </row>
    <row r="1051" spans="91:102" ht="21" customHeight="1">
      <c r="CM1051" s="494"/>
      <c r="CN1051" s="496" t="s">
        <v>3175</v>
      </c>
      <c r="CO1051" s="496" t="s">
        <v>8</v>
      </c>
      <c r="CP1051" s="496" t="s">
        <v>689</v>
      </c>
      <c r="CQ1051" s="496" t="s">
        <v>3176</v>
      </c>
      <c r="CR1051" s="496" t="s">
        <v>3176</v>
      </c>
      <c r="CS1051" s="496" t="s">
        <v>1554</v>
      </c>
      <c r="CT1051" s="496" t="s">
        <v>1555</v>
      </c>
      <c r="CU1051" s="496" t="s">
        <v>1981</v>
      </c>
      <c r="CV1051" s="497" t="s">
        <v>1982</v>
      </c>
      <c r="CX1051" s="543">
        <v>1</v>
      </c>
    </row>
    <row r="1052" spans="91:102" ht="21" customHeight="1">
      <c r="CM1052" s="494"/>
      <c r="CN1052" s="496" t="s">
        <v>3177</v>
      </c>
      <c r="CO1052" s="496" t="s">
        <v>8</v>
      </c>
      <c r="CP1052" s="496" t="s">
        <v>689</v>
      </c>
      <c r="CQ1052" s="496" t="s">
        <v>3178</v>
      </c>
      <c r="CR1052" s="496" t="s">
        <v>3178</v>
      </c>
      <c r="CS1052" s="496" t="s">
        <v>1554</v>
      </c>
      <c r="CT1052" s="496" t="s">
        <v>1555</v>
      </c>
      <c r="CU1052" s="496" t="s">
        <v>1981</v>
      </c>
      <c r="CV1052" s="497" t="s">
        <v>1982</v>
      </c>
      <c r="CX1052" s="543">
        <v>1</v>
      </c>
    </row>
    <row r="1053" spans="91:102" ht="21" customHeight="1">
      <c r="CM1053" s="494"/>
      <c r="CN1053" s="496" t="s">
        <v>3179</v>
      </c>
      <c r="CO1053" s="496" t="s">
        <v>8</v>
      </c>
      <c r="CP1053" s="496" t="s">
        <v>689</v>
      </c>
      <c r="CQ1053" s="496" t="s">
        <v>3180</v>
      </c>
      <c r="CR1053" s="496" t="s">
        <v>3180</v>
      </c>
      <c r="CS1053" s="496" t="s">
        <v>1554</v>
      </c>
      <c r="CT1053" s="496" t="s">
        <v>1555</v>
      </c>
      <c r="CU1053" s="496" t="s">
        <v>1981</v>
      </c>
      <c r="CV1053" s="497" t="s">
        <v>1982</v>
      </c>
      <c r="CX1053" s="543">
        <v>1</v>
      </c>
    </row>
    <row r="1054" spans="91:102" ht="21" customHeight="1">
      <c r="CM1054" s="494"/>
      <c r="CN1054" s="496" t="s">
        <v>3181</v>
      </c>
      <c r="CO1054" s="496" t="s">
        <v>8</v>
      </c>
      <c r="CP1054" s="496" t="s">
        <v>689</v>
      </c>
      <c r="CQ1054" s="496" t="s">
        <v>3182</v>
      </c>
      <c r="CR1054" s="496" t="s">
        <v>3182</v>
      </c>
      <c r="CS1054" s="496" t="s">
        <v>1554</v>
      </c>
      <c r="CT1054" s="496" t="s">
        <v>1555</v>
      </c>
      <c r="CU1054" s="496" t="s">
        <v>1981</v>
      </c>
      <c r="CV1054" s="497" t="s">
        <v>1982</v>
      </c>
      <c r="CX1054" s="543">
        <v>1</v>
      </c>
    </row>
    <row r="1055" spans="91:102" ht="21" customHeight="1">
      <c r="CM1055" s="494"/>
      <c r="CN1055" s="496" t="s">
        <v>3183</v>
      </c>
      <c r="CO1055" s="496" t="s">
        <v>8</v>
      </c>
      <c r="CP1055" s="496" t="s">
        <v>689</v>
      </c>
      <c r="CQ1055" s="496" t="s">
        <v>3184</v>
      </c>
      <c r="CR1055" s="496" t="s">
        <v>3184</v>
      </c>
      <c r="CS1055" s="496" t="s">
        <v>1554</v>
      </c>
      <c r="CT1055" s="496" t="s">
        <v>1555</v>
      </c>
      <c r="CU1055" s="496" t="s">
        <v>1981</v>
      </c>
      <c r="CV1055" s="497" t="s">
        <v>1982</v>
      </c>
      <c r="CX1055" s="543">
        <v>1</v>
      </c>
    </row>
    <row r="1056" spans="91:102" ht="21" customHeight="1">
      <c r="CM1056" s="494"/>
      <c r="CN1056" s="496" t="s">
        <v>3185</v>
      </c>
      <c r="CO1056" s="496" t="s">
        <v>8</v>
      </c>
      <c r="CP1056" s="496" t="s">
        <v>689</v>
      </c>
      <c r="CQ1056" s="496" t="s">
        <v>3186</v>
      </c>
      <c r="CR1056" s="496" t="s">
        <v>3186</v>
      </c>
      <c r="CS1056" s="496" t="s">
        <v>1554</v>
      </c>
      <c r="CT1056" s="496" t="s">
        <v>1555</v>
      </c>
      <c r="CU1056" s="496" t="s">
        <v>1981</v>
      </c>
      <c r="CV1056" s="497" t="s">
        <v>1982</v>
      </c>
      <c r="CX1056" s="543">
        <v>1</v>
      </c>
    </row>
    <row r="1057" spans="91:102" ht="21" customHeight="1">
      <c r="CM1057" s="494"/>
      <c r="CN1057" s="496" t="s">
        <v>3187</v>
      </c>
      <c r="CO1057" s="496" t="s">
        <v>8</v>
      </c>
      <c r="CP1057" s="496" t="s">
        <v>689</v>
      </c>
      <c r="CQ1057" s="496" t="s">
        <v>3188</v>
      </c>
      <c r="CR1057" s="496" t="s">
        <v>3188</v>
      </c>
      <c r="CS1057" s="496" t="s">
        <v>1554</v>
      </c>
      <c r="CT1057" s="496" t="s">
        <v>1555</v>
      </c>
      <c r="CU1057" s="496" t="s">
        <v>1981</v>
      </c>
      <c r="CV1057" s="497" t="s">
        <v>1982</v>
      </c>
      <c r="CX1057" s="543">
        <v>1</v>
      </c>
    </row>
    <row r="1058" spans="91:102" ht="21" customHeight="1">
      <c r="CM1058" s="494"/>
      <c r="CN1058" s="496" t="s">
        <v>3189</v>
      </c>
      <c r="CO1058" s="496" t="s">
        <v>8</v>
      </c>
      <c r="CP1058" s="496" t="s">
        <v>689</v>
      </c>
      <c r="CQ1058" s="496" t="s">
        <v>3190</v>
      </c>
      <c r="CR1058" s="496" t="s">
        <v>3190</v>
      </c>
      <c r="CS1058" s="496" t="s">
        <v>1554</v>
      </c>
      <c r="CT1058" s="496" t="s">
        <v>1555</v>
      </c>
      <c r="CU1058" s="496" t="s">
        <v>1981</v>
      </c>
      <c r="CV1058" s="497" t="s">
        <v>1982</v>
      </c>
      <c r="CX1058" s="543">
        <v>1</v>
      </c>
    </row>
    <row r="1059" spans="91:102" ht="21" customHeight="1">
      <c r="CM1059" s="494"/>
      <c r="CN1059" s="496" t="s">
        <v>3191</v>
      </c>
      <c r="CO1059" s="496" t="s">
        <v>8</v>
      </c>
      <c r="CP1059" s="496" t="s">
        <v>689</v>
      </c>
      <c r="CQ1059" s="496" t="s">
        <v>3192</v>
      </c>
      <c r="CR1059" s="496" t="s">
        <v>3192</v>
      </c>
      <c r="CS1059" s="496" t="s">
        <v>1554</v>
      </c>
      <c r="CT1059" s="496" t="s">
        <v>1555</v>
      </c>
      <c r="CU1059" s="496" t="s">
        <v>1981</v>
      </c>
      <c r="CV1059" s="497" t="s">
        <v>1982</v>
      </c>
      <c r="CX1059" s="543">
        <v>1</v>
      </c>
    </row>
    <row r="1060" spans="91:102" ht="21" customHeight="1">
      <c r="CM1060" s="494"/>
      <c r="CN1060" s="496" t="s">
        <v>3193</v>
      </c>
      <c r="CO1060" s="496" t="s">
        <v>8</v>
      </c>
      <c r="CP1060" s="496" t="s">
        <v>689</v>
      </c>
      <c r="CQ1060" s="496" t="s">
        <v>3194</v>
      </c>
      <c r="CR1060" s="496" t="s">
        <v>3194</v>
      </c>
      <c r="CS1060" s="496" t="s">
        <v>1554</v>
      </c>
      <c r="CT1060" s="496" t="s">
        <v>1555</v>
      </c>
      <c r="CU1060" s="496" t="s">
        <v>1981</v>
      </c>
      <c r="CV1060" s="497" t="s">
        <v>1982</v>
      </c>
      <c r="CX1060" s="543">
        <v>1</v>
      </c>
    </row>
    <row r="1061" spans="91:102" ht="21" customHeight="1">
      <c r="CM1061" s="494"/>
      <c r="CN1061" s="496" t="s">
        <v>3195</v>
      </c>
      <c r="CO1061" s="496" t="s">
        <v>8</v>
      </c>
      <c r="CP1061" s="496" t="s">
        <v>689</v>
      </c>
      <c r="CQ1061" s="496" t="s">
        <v>3196</v>
      </c>
      <c r="CR1061" s="496" t="s">
        <v>3196</v>
      </c>
      <c r="CS1061" s="496" t="s">
        <v>1554</v>
      </c>
      <c r="CT1061" s="496" t="s">
        <v>1555</v>
      </c>
      <c r="CU1061" s="496" t="s">
        <v>1981</v>
      </c>
      <c r="CV1061" s="497" t="s">
        <v>1982</v>
      </c>
      <c r="CX1061" s="543">
        <v>1</v>
      </c>
    </row>
    <row r="1062" spans="91:102" ht="21" customHeight="1">
      <c r="CM1062" s="494"/>
      <c r="CN1062" s="496" t="s">
        <v>3197</v>
      </c>
      <c r="CO1062" s="496" t="s">
        <v>8</v>
      </c>
      <c r="CP1062" s="496" t="s">
        <v>689</v>
      </c>
      <c r="CQ1062" s="496" t="s">
        <v>3198</v>
      </c>
      <c r="CR1062" s="496" t="s">
        <v>3198</v>
      </c>
      <c r="CS1062" s="496" t="s">
        <v>1554</v>
      </c>
      <c r="CT1062" s="496" t="s">
        <v>1555</v>
      </c>
      <c r="CU1062" s="496" t="s">
        <v>1981</v>
      </c>
      <c r="CV1062" s="497" t="s">
        <v>1982</v>
      </c>
      <c r="CX1062" s="543">
        <v>1</v>
      </c>
    </row>
    <row r="1063" spans="91:102" ht="21" customHeight="1">
      <c r="CM1063" s="494"/>
      <c r="CN1063" s="496" t="s">
        <v>3199</v>
      </c>
      <c r="CO1063" s="496" t="s">
        <v>8</v>
      </c>
      <c r="CP1063" s="496" t="s">
        <v>689</v>
      </c>
      <c r="CQ1063" s="496" t="s">
        <v>3200</v>
      </c>
      <c r="CR1063" s="496" t="s">
        <v>3200</v>
      </c>
      <c r="CS1063" s="496" t="s">
        <v>1554</v>
      </c>
      <c r="CT1063" s="496" t="s">
        <v>1555</v>
      </c>
      <c r="CU1063" s="496" t="s">
        <v>1981</v>
      </c>
      <c r="CV1063" s="497" t="s">
        <v>1982</v>
      </c>
      <c r="CX1063" s="543">
        <v>1</v>
      </c>
    </row>
    <row r="1064" spans="91:102" ht="21" customHeight="1">
      <c r="CM1064" s="494"/>
      <c r="CN1064" s="496" t="s">
        <v>3201</v>
      </c>
      <c r="CO1064" s="496" t="s">
        <v>8</v>
      </c>
      <c r="CP1064" s="496" t="s">
        <v>689</v>
      </c>
      <c r="CQ1064" s="496" t="s">
        <v>3202</v>
      </c>
      <c r="CR1064" s="496" t="s">
        <v>3202</v>
      </c>
      <c r="CS1064" s="496" t="s">
        <v>1554</v>
      </c>
      <c r="CT1064" s="496" t="s">
        <v>1555</v>
      </c>
      <c r="CU1064" s="496" t="s">
        <v>1981</v>
      </c>
      <c r="CV1064" s="497" t="s">
        <v>1982</v>
      </c>
      <c r="CX1064" s="543">
        <v>1</v>
      </c>
    </row>
    <row r="1065" spans="91:102" ht="21" customHeight="1">
      <c r="CM1065" s="494"/>
      <c r="CN1065" s="496" t="s">
        <v>3203</v>
      </c>
      <c r="CO1065" s="496" t="s">
        <v>8</v>
      </c>
      <c r="CP1065" s="496" t="s">
        <v>689</v>
      </c>
      <c r="CQ1065" s="496" t="s">
        <v>3204</v>
      </c>
      <c r="CR1065" s="496" t="s">
        <v>3204</v>
      </c>
      <c r="CS1065" s="496" t="s">
        <v>1554</v>
      </c>
      <c r="CT1065" s="496" t="s">
        <v>1555</v>
      </c>
      <c r="CU1065" s="496" t="s">
        <v>1981</v>
      </c>
      <c r="CV1065" s="497" t="s">
        <v>1982</v>
      </c>
      <c r="CX1065" s="543">
        <v>1</v>
      </c>
    </row>
    <row r="1066" spans="91:102" ht="21" customHeight="1">
      <c r="CM1066" s="494"/>
      <c r="CN1066" s="496" t="s">
        <v>3205</v>
      </c>
      <c r="CO1066" s="496" t="s">
        <v>8</v>
      </c>
      <c r="CP1066" s="496" t="s">
        <v>689</v>
      </c>
      <c r="CQ1066" s="496" t="s">
        <v>3206</v>
      </c>
      <c r="CR1066" s="496" t="s">
        <v>3206</v>
      </c>
      <c r="CS1066" s="496" t="s">
        <v>1554</v>
      </c>
      <c r="CT1066" s="496" t="s">
        <v>1555</v>
      </c>
      <c r="CU1066" s="496" t="s">
        <v>1981</v>
      </c>
      <c r="CV1066" s="497" t="s">
        <v>1982</v>
      </c>
      <c r="CX1066" s="543">
        <v>1</v>
      </c>
    </row>
    <row r="1067" spans="91:102" ht="21" customHeight="1">
      <c r="CM1067" s="494"/>
      <c r="CN1067" s="496" t="s">
        <v>3207</v>
      </c>
      <c r="CO1067" s="496" t="s">
        <v>8</v>
      </c>
      <c r="CP1067" s="496" t="s">
        <v>689</v>
      </c>
      <c r="CQ1067" s="496" t="s">
        <v>3208</v>
      </c>
      <c r="CR1067" s="496" t="s">
        <v>3208</v>
      </c>
      <c r="CS1067" s="496" t="s">
        <v>1554</v>
      </c>
      <c r="CT1067" s="496" t="s">
        <v>1555</v>
      </c>
      <c r="CU1067" s="496" t="s">
        <v>1981</v>
      </c>
      <c r="CV1067" s="497" t="s">
        <v>1982</v>
      </c>
      <c r="CX1067" s="543">
        <v>1</v>
      </c>
    </row>
    <row r="1068" spans="91:102" ht="21" customHeight="1">
      <c r="CM1068" s="494"/>
      <c r="CN1068" s="496" t="s">
        <v>3209</v>
      </c>
      <c r="CO1068" s="496" t="s">
        <v>8</v>
      </c>
      <c r="CP1068" s="496" t="s">
        <v>689</v>
      </c>
      <c r="CQ1068" s="496" t="s">
        <v>3210</v>
      </c>
      <c r="CR1068" s="496" t="s">
        <v>3210</v>
      </c>
      <c r="CS1068" s="496" t="s">
        <v>1554</v>
      </c>
      <c r="CT1068" s="496" t="s">
        <v>1555</v>
      </c>
      <c r="CU1068" s="496" t="s">
        <v>1981</v>
      </c>
      <c r="CV1068" s="497" t="s">
        <v>1982</v>
      </c>
      <c r="CX1068" s="543">
        <v>1</v>
      </c>
    </row>
    <row r="1069" spans="91:102" ht="21" customHeight="1">
      <c r="CM1069" s="494"/>
      <c r="CN1069" s="496" t="s">
        <v>3211</v>
      </c>
      <c r="CO1069" s="496" t="s">
        <v>8</v>
      </c>
      <c r="CP1069" s="496" t="s">
        <v>689</v>
      </c>
      <c r="CQ1069" s="496" t="s">
        <v>3212</v>
      </c>
      <c r="CR1069" s="496" t="s">
        <v>3212</v>
      </c>
      <c r="CS1069" s="496" t="s">
        <v>1554</v>
      </c>
      <c r="CT1069" s="496" t="s">
        <v>1555</v>
      </c>
      <c r="CU1069" s="496" t="s">
        <v>1981</v>
      </c>
      <c r="CV1069" s="497" t="s">
        <v>1982</v>
      </c>
      <c r="CX1069" s="543">
        <v>1</v>
      </c>
    </row>
    <row r="1070" spans="91:102" ht="21" customHeight="1">
      <c r="CM1070" s="494"/>
      <c r="CN1070" s="496" t="s">
        <v>3213</v>
      </c>
      <c r="CO1070" s="496" t="s">
        <v>8</v>
      </c>
      <c r="CP1070" s="496" t="s">
        <v>689</v>
      </c>
      <c r="CQ1070" s="496" t="s">
        <v>3214</v>
      </c>
      <c r="CR1070" s="496" t="s">
        <v>3214</v>
      </c>
      <c r="CS1070" s="496" t="s">
        <v>1554</v>
      </c>
      <c r="CT1070" s="496" t="s">
        <v>1555</v>
      </c>
      <c r="CU1070" s="496" t="s">
        <v>1981</v>
      </c>
      <c r="CV1070" s="497" t="s">
        <v>1982</v>
      </c>
      <c r="CX1070" s="543">
        <v>1</v>
      </c>
    </row>
    <row r="1071" spans="91:102" ht="21" customHeight="1">
      <c r="CM1071" s="494"/>
      <c r="CN1071" s="496" t="s">
        <v>3215</v>
      </c>
      <c r="CO1071" s="496" t="s">
        <v>8</v>
      </c>
      <c r="CP1071" s="496" t="s">
        <v>689</v>
      </c>
      <c r="CQ1071" s="496" t="s">
        <v>3216</v>
      </c>
      <c r="CR1071" s="496" t="s">
        <v>3216</v>
      </c>
      <c r="CS1071" s="496" t="s">
        <v>1554</v>
      </c>
      <c r="CT1071" s="496" t="s">
        <v>1555</v>
      </c>
      <c r="CU1071" s="496" t="s">
        <v>1981</v>
      </c>
      <c r="CV1071" s="497" t="s">
        <v>1982</v>
      </c>
      <c r="CX1071" s="543">
        <v>1</v>
      </c>
    </row>
    <row r="1072" spans="91:102" ht="21" customHeight="1">
      <c r="CM1072" s="494"/>
      <c r="CN1072" s="496" t="s">
        <v>3217</v>
      </c>
      <c r="CO1072" s="496" t="s">
        <v>8</v>
      </c>
      <c r="CP1072" s="496" t="s">
        <v>689</v>
      </c>
      <c r="CQ1072" s="496" t="s">
        <v>3218</v>
      </c>
      <c r="CR1072" s="496" t="s">
        <v>3218</v>
      </c>
      <c r="CS1072" s="496" t="s">
        <v>1554</v>
      </c>
      <c r="CT1072" s="496" t="s">
        <v>1555</v>
      </c>
      <c r="CU1072" s="496" t="s">
        <v>1981</v>
      </c>
      <c r="CV1072" s="497" t="s">
        <v>1982</v>
      </c>
      <c r="CX1072" s="543">
        <v>1</v>
      </c>
    </row>
    <row r="1073" spans="91:102" ht="21" customHeight="1">
      <c r="CM1073" s="494"/>
      <c r="CN1073" s="496" t="s">
        <v>3219</v>
      </c>
      <c r="CO1073" s="496" t="s">
        <v>8</v>
      </c>
      <c r="CP1073" s="496" t="s">
        <v>689</v>
      </c>
      <c r="CQ1073" s="496" t="s">
        <v>3220</v>
      </c>
      <c r="CR1073" s="496" t="s">
        <v>3220</v>
      </c>
      <c r="CS1073" s="496" t="s">
        <v>1554</v>
      </c>
      <c r="CT1073" s="496" t="s">
        <v>1555</v>
      </c>
      <c r="CU1073" s="496" t="s">
        <v>1981</v>
      </c>
      <c r="CV1073" s="497" t="s">
        <v>1982</v>
      </c>
      <c r="CX1073" s="543">
        <v>1</v>
      </c>
    </row>
    <row r="1074" spans="91:102" ht="21" customHeight="1">
      <c r="CM1074" s="494"/>
      <c r="CN1074" s="496" t="s">
        <v>3221</v>
      </c>
      <c r="CO1074" s="496" t="s">
        <v>8</v>
      </c>
      <c r="CP1074" s="496" t="s">
        <v>689</v>
      </c>
      <c r="CQ1074" s="496" t="s">
        <v>3222</v>
      </c>
      <c r="CR1074" s="496" t="s">
        <v>3222</v>
      </c>
      <c r="CS1074" s="496" t="s">
        <v>1554</v>
      </c>
      <c r="CT1074" s="496" t="s">
        <v>1555</v>
      </c>
      <c r="CU1074" s="496" t="s">
        <v>1981</v>
      </c>
      <c r="CV1074" s="497" t="s">
        <v>1982</v>
      </c>
      <c r="CX1074" s="543">
        <v>1</v>
      </c>
    </row>
    <row r="1075" spans="91:102" ht="21" customHeight="1">
      <c r="CM1075" s="494"/>
      <c r="CN1075" s="496" t="s">
        <v>3223</v>
      </c>
      <c r="CO1075" s="496" t="s">
        <v>8</v>
      </c>
      <c r="CP1075" s="496" t="s">
        <v>689</v>
      </c>
      <c r="CQ1075" s="496" t="s">
        <v>3224</v>
      </c>
      <c r="CR1075" s="496" t="s">
        <v>3224</v>
      </c>
      <c r="CS1075" s="496" t="s">
        <v>1554</v>
      </c>
      <c r="CT1075" s="496" t="s">
        <v>1555</v>
      </c>
      <c r="CU1075" s="496" t="s">
        <v>1981</v>
      </c>
      <c r="CV1075" s="497" t="s">
        <v>1982</v>
      </c>
      <c r="CX1075" s="543">
        <v>1</v>
      </c>
    </row>
    <row r="1076" spans="91:102" ht="21" customHeight="1">
      <c r="CM1076" s="494"/>
      <c r="CN1076" s="496" t="s">
        <v>3225</v>
      </c>
      <c r="CO1076" s="496" t="s">
        <v>8</v>
      </c>
      <c r="CP1076" s="496" t="s">
        <v>689</v>
      </c>
      <c r="CQ1076" s="496" t="s">
        <v>19</v>
      </c>
      <c r="CR1076" s="496" t="s">
        <v>19</v>
      </c>
      <c r="CS1076" s="496" t="s">
        <v>1085</v>
      </c>
      <c r="CT1076" s="496" t="s">
        <v>2063</v>
      </c>
      <c r="CU1076" s="496" t="s">
        <v>1087</v>
      </c>
      <c r="CV1076" s="497" t="s">
        <v>1088</v>
      </c>
      <c r="CX1076" s="543">
        <v>1</v>
      </c>
    </row>
    <row r="1077" spans="91:102" ht="21" customHeight="1">
      <c r="CM1077" s="494"/>
      <c r="CN1077" s="496" t="s">
        <v>3226</v>
      </c>
      <c r="CO1077" s="496" t="s">
        <v>8</v>
      </c>
      <c r="CP1077" s="496" t="s">
        <v>689</v>
      </c>
      <c r="CQ1077" s="496" t="s">
        <v>3227</v>
      </c>
      <c r="CR1077" s="496" t="s">
        <v>3227</v>
      </c>
      <c r="CS1077" s="496" t="s">
        <v>1554</v>
      </c>
      <c r="CT1077" s="496" t="s">
        <v>1555</v>
      </c>
      <c r="CU1077" s="496" t="s">
        <v>1981</v>
      </c>
      <c r="CV1077" s="497" t="s">
        <v>1982</v>
      </c>
      <c r="CX1077" s="543">
        <v>1</v>
      </c>
    </row>
    <row r="1078" spans="91:102" ht="21" customHeight="1">
      <c r="CM1078" s="494"/>
      <c r="CN1078" s="496" t="s">
        <v>3228</v>
      </c>
      <c r="CO1078" s="496" t="s">
        <v>8</v>
      </c>
      <c r="CP1078" s="496" t="s">
        <v>689</v>
      </c>
      <c r="CQ1078" s="496" t="s">
        <v>3229</v>
      </c>
      <c r="CR1078" s="496" t="s">
        <v>3229</v>
      </c>
      <c r="CS1078" s="496" t="s">
        <v>1554</v>
      </c>
      <c r="CT1078" s="496" t="s">
        <v>1555</v>
      </c>
      <c r="CU1078" s="496" t="s">
        <v>1981</v>
      </c>
      <c r="CV1078" s="497" t="s">
        <v>1982</v>
      </c>
      <c r="CX1078" s="543">
        <v>1</v>
      </c>
    </row>
    <row r="1079" spans="91:102" ht="21" customHeight="1">
      <c r="CM1079" s="494"/>
      <c r="CN1079" s="496" t="s">
        <v>3230</v>
      </c>
      <c r="CO1079" s="496" t="s">
        <v>8</v>
      </c>
      <c r="CP1079" s="496" t="s">
        <v>689</v>
      </c>
      <c r="CQ1079" s="496" t="s">
        <v>3231</v>
      </c>
      <c r="CR1079" s="496" t="s">
        <v>3231</v>
      </c>
      <c r="CS1079" s="496" t="s">
        <v>1554</v>
      </c>
      <c r="CT1079" s="496" t="s">
        <v>1555</v>
      </c>
      <c r="CU1079" s="496" t="s">
        <v>1981</v>
      </c>
      <c r="CV1079" s="497" t="s">
        <v>1982</v>
      </c>
      <c r="CX1079" s="543">
        <v>1</v>
      </c>
    </row>
    <row r="1080" spans="91:102" ht="21" customHeight="1">
      <c r="CM1080" s="494"/>
      <c r="CN1080" s="496" t="s">
        <v>3232</v>
      </c>
      <c r="CO1080" s="496" t="s">
        <v>8</v>
      </c>
      <c r="CP1080" s="496" t="s">
        <v>689</v>
      </c>
      <c r="CQ1080" s="496" t="s">
        <v>3233</v>
      </c>
      <c r="CR1080" s="496" t="s">
        <v>3233</v>
      </c>
      <c r="CS1080" s="496" t="s">
        <v>1554</v>
      </c>
      <c r="CT1080" s="496" t="s">
        <v>1555</v>
      </c>
      <c r="CU1080" s="496" t="s">
        <v>1981</v>
      </c>
      <c r="CV1080" s="497" t="s">
        <v>1982</v>
      </c>
      <c r="CX1080" s="543">
        <v>1</v>
      </c>
    </row>
    <row r="1081" spans="91:102" ht="21" customHeight="1">
      <c r="CM1081" s="494"/>
      <c r="CN1081" s="496" t="s">
        <v>3234</v>
      </c>
      <c r="CO1081" s="496" t="s">
        <v>8</v>
      </c>
      <c r="CP1081" s="496" t="s">
        <v>689</v>
      </c>
      <c r="CQ1081" s="496" t="s">
        <v>3235</v>
      </c>
      <c r="CR1081" s="496" t="s">
        <v>3235</v>
      </c>
      <c r="CS1081" s="496" t="s">
        <v>1554</v>
      </c>
      <c r="CT1081" s="496" t="s">
        <v>1555</v>
      </c>
      <c r="CU1081" s="496" t="s">
        <v>1981</v>
      </c>
      <c r="CV1081" s="497" t="s">
        <v>1982</v>
      </c>
      <c r="CX1081" s="543">
        <v>1</v>
      </c>
    </row>
    <row r="1082" spans="91:102" ht="21" customHeight="1">
      <c r="CM1082" s="494"/>
      <c r="CN1082" s="496" t="s">
        <v>3236</v>
      </c>
      <c r="CO1082" s="496" t="s">
        <v>8</v>
      </c>
      <c r="CP1082" s="496" t="s">
        <v>689</v>
      </c>
      <c r="CQ1082" s="496" t="s">
        <v>3237</v>
      </c>
      <c r="CR1082" s="496" t="s">
        <v>3237</v>
      </c>
      <c r="CS1082" s="496" t="s">
        <v>1554</v>
      </c>
      <c r="CT1082" s="496" t="s">
        <v>1555</v>
      </c>
      <c r="CU1082" s="496" t="s">
        <v>1981</v>
      </c>
      <c r="CV1082" s="497" t="s">
        <v>1982</v>
      </c>
      <c r="CX1082" s="543">
        <v>1</v>
      </c>
    </row>
    <row r="1083" spans="91:102" ht="21" customHeight="1">
      <c r="CM1083" s="494"/>
      <c r="CN1083" s="496" t="s">
        <v>3238</v>
      </c>
      <c r="CO1083" s="496" t="s">
        <v>8</v>
      </c>
      <c r="CP1083" s="496" t="s">
        <v>689</v>
      </c>
      <c r="CQ1083" s="496" t="s">
        <v>3239</v>
      </c>
      <c r="CR1083" s="496" t="s">
        <v>3239</v>
      </c>
      <c r="CS1083" s="496" t="s">
        <v>1554</v>
      </c>
      <c r="CT1083" s="496" t="s">
        <v>1555</v>
      </c>
      <c r="CU1083" s="496" t="s">
        <v>1981</v>
      </c>
      <c r="CV1083" s="497" t="s">
        <v>1982</v>
      </c>
      <c r="CX1083" s="543">
        <v>1</v>
      </c>
    </row>
    <row r="1084" spans="91:102" ht="21" customHeight="1">
      <c r="CM1084" s="494"/>
      <c r="CN1084" s="496" t="s">
        <v>3240</v>
      </c>
      <c r="CO1084" s="496" t="s">
        <v>8</v>
      </c>
      <c r="CP1084" s="496" t="s">
        <v>689</v>
      </c>
      <c r="CQ1084" s="496" t="s">
        <v>3241</v>
      </c>
      <c r="CR1084" s="496" t="s">
        <v>3241</v>
      </c>
      <c r="CS1084" s="496" t="s">
        <v>1554</v>
      </c>
      <c r="CT1084" s="496" t="s">
        <v>1555</v>
      </c>
      <c r="CU1084" s="496" t="s">
        <v>1981</v>
      </c>
      <c r="CV1084" s="497" t="s">
        <v>1982</v>
      </c>
      <c r="CX1084" s="543">
        <v>1</v>
      </c>
    </row>
    <row r="1085" spans="91:102" ht="21" customHeight="1">
      <c r="CM1085" s="494"/>
      <c r="CN1085" s="496" t="s">
        <v>3242</v>
      </c>
      <c r="CO1085" s="496" t="s">
        <v>8</v>
      </c>
      <c r="CP1085" s="496" t="s">
        <v>689</v>
      </c>
      <c r="CQ1085" s="496" t="s">
        <v>3243</v>
      </c>
      <c r="CR1085" s="496" t="s">
        <v>3243</v>
      </c>
      <c r="CS1085" s="496" t="s">
        <v>1554</v>
      </c>
      <c r="CT1085" s="496" t="s">
        <v>1555</v>
      </c>
      <c r="CU1085" s="496" t="s">
        <v>1981</v>
      </c>
      <c r="CV1085" s="497" t="s">
        <v>1982</v>
      </c>
      <c r="CX1085" s="543">
        <v>1</v>
      </c>
    </row>
    <row r="1086" spans="91:102" ht="21" customHeight="1">
      <c r="CM1086" s="494"/>
      <c r="CN1086" s="496" t="s">
        <v>3244</v>
      </c>
      <c r="CO1086" s="496" t="s">
        <v>8</v>
      </c>
      <c r="CP1086" s="496" t="s">
        <v>689</v>
      </c>
      <c r="CQ1086" s="496" t="s">
        <v>3245</v>
      </c>
      <c r="CR1086" s="496" t="s">
        <v>3245</v>
      </c>
      <c r="CS1086" s="496" t="s">
        <v>1554</v>
      </c>
      <c r="CT1086" s="496" t="s">
        <v>1555</v>
      </c>
      <c r="CU1086" s="496" t="s">
        <v>1981</v>
      </c>
      <c r="CV1086" s="497" t="s">
        <v>1982</v>
      </c>
      <c r="CX1086" s="543">
        <v>1</v>
      </c>
    </row>
    <row r="1087" spans="91:102" ht="21" customHeight="1">
      <c r="CM1087" s="494"/>
      <c r="CN1087" s="496" t="s">
        <v>3246</v>
      </c>
      <c r="CO1087" s="496" t="s">
        <v>8</v>
      </c>
      <c r="CP1087" s="496" t="s">
        <v>689</v>
      </c>
      <c r="CQ1087" s="496" t="s">
        <v>31</v>
      </c>
      <c r="CR1087" s="496" t="s">
        <v>31</v>
      </c>
      <c r="CS1087" s="496" t="s">
        <v>1085</v>
      </c>
      <c r="CT1087" s="496" t="s">
        <v>2063</v>
      </c>
      <c r="CU1087" s="496" t="s">
        <v>1087</v>
      </c>
      <c r="CV1087" s="497" t="s">
        <v>1088</v>
      </c>
      <c r="CX1087" s="543">
        <v>1</v>
      </c>
    </row>
    <row r="1088" spans="91:102" ht="21" customHeight="1">
      <c r="CM1088" s="494"/>
      <c r="CN1088" s="496" t="s">
        <v>3247</v>
      </c>
      <c r="CO1088" s="496" t="s">
        <v>8</v>
      </c>
      <c r="CP1088" s="496" t="s">
        <v>689</v>
      </c>
      <c r="CQ1088" s="496" t="s">
        <v>3248</v>
      </c>
      <c r="CR1088" s="496" t="s">
        <v>3248</v>
      </c>
      <c r="CS1088" s="496" t="s">
        <v>1554</v>
      </c>
      <c r="CT1088" s="496" t="s">
        <v>1555</v>
      </c>
      <c r="CU1088" s="496" t="s">
        <v>1981</v>
      </c>
      <c r="CV1088" s="497" t="s">
        <v>1982</v>
      </c>
      <c r="CX1088" s="543">
        <v>1</v>
      </c>
    </row>
    <row r="1089" spans="91:102" ht="21" customHeight="1">
      <c r="CM1089" s="494"/>
      <c r="CN1089" s="496" t="s">
        <v>3249</v>
      </c>
      <c r="CO1089" s="496" t="s">
        <v>8</v>
      </c>
      <c r="CP1089" s="496" t="s">
        <v>689</v>
      </c>
      <c r="CQ1089" s="496" t="s">
        <v>3250</v>
      </c>
      <c r="CR1089" s="496" t="s">
        <v>3250</v>
      </c>
      <c r="CS1089" s="496" t="s">
        <v>1554</v>
      </c>
      <c r="CT1089" s="496" t="s">
        <v>1555</v>
      </c>
      <c r="CU1089" s="496" t="s">
        <v>1981</v>
      </c>
      <c r="CV1089" s="497" t="s">
        <v>1982</v>
      </c>
      <c r="CX1089" s="543">
        <v>1</v>
      </c>
    </row>
    <row r="1090" spans="91:102" ht="21" customHeight="1">
      <c r="CM1090" s="494"/>
      <c r="CN1090" s="496" t="s">
        <v>3251</v>
      </c>
      <c r="CO1090" s="496" t="s">
        <v>8</v>
      </c>
      <c r="CP1090" s="496" t="s">
        <v>689</v>
      </c>
      <c r="CQ1090" s="496" t="s">
        <v>3252</v>
      </c>
      <c r="CR1090" s="496" t="s">
        <v>3252</v>
      </c>
      <c r="CS1090" s="496" t="s">
        <v>1554</v>
      </c>
      <c r="CT1090" s="496" t="s">
        <v>1555</v>
      </c>
      <c r="CU1090" s="496" t="s">
        <v>1981</v>
      </c>
      <c r="CV1090" s="497" t="s">
        <v>1982</v>
      </c>
      <c r="CX1090" s="543">
        <v>1</v>
      </c>
    </row>
    <row r="1091" spans="91:102" ht="21" customHeight="1">
      <c r="CM1091" s="494"/>
      <c r="CN1091" s="496" t="s">
        <v>3253</v>
      </c>
      <c r="CO1091" s="496" t="s">
        <v>8</v>
      </c>
      <c r="CP1091" s="496" t="s">
        <v>689</v>
      </c>
      <c r="CQ1091" s="496" t="s">
        <v>1044</v>
      </c>
      <c r="CR1091" s="496" t="s">
        <v>1044</v>
      </c>
      <c r="CS1091" s="496" t="s">
        <v>1085</v>
      </c>
      <c r="CT1091" s="496" t="s">
        <v>2063</v>
      </c>
      <c r="CU1091" s="496" t="s">
        <v>1087</v>
      </c>
      <c r="CV1091" s="497" t="s">
        <v>1088</v>
      </c>
      <c r="CX1091" s="543">
        <v>1</v>
      </c>
    </row>
    <row r="1092" spans="91:102" ht="21" customHeight="1">
      <c r="CM1092" s="494"/>
      <c r="CN1092" s="496" t="s">
        <v>3254</v>
      </c>
      <c r="CO1092" s="496" t="s">
        <v>8</v>
      </c>
      <c r="CP1092" s="496" t="s">
        <v>689</v>
      </c>
      <c r="CQ1092" s="496" t="s">
        <v>3255</v>
      </c>
      <c r="CR1092" s="496" t="s">
        <v>3256</v>
      </c>
      <c r="CS1092" s="496" t="s">
        <v>1085</v>
      </c>
      <c r="CT1092" s="496" t="s">
        <v>2063</v>
      </c>
      <c r="CU1092" s="496" t="s">
        <v>1087</v>
      </c>
      <c r="CV1092" s="497" t="s">
        <v>1088</v>
      </c>
      <c r="CX1092" s="543">
        <v>1</v>
      </c>
    </row>
    <row r="1093" spans="91:102" ht="21" customHeight="1">
      <c r="CM1093" s="494"/>
      <c r="CN1093" s="496" t="s">
        <v>3257</v>
      </c>
      <c r="CO1093" s="496" t="s">
        <v>8</v>
      </c>
      <c r="CP1093" s="496" t="s">
        <v>689</v>
      </c>
      <c r="CQ1093" s="496" t="s">
        <v>3258</v>
      </c>
      <c r="CR1093" s="496" t="s">
        <v>3258</v>
      </c>
      <c r="CS1093" s="496" t="s">
        <v>1085</v>
      </c>
      <c r="CT1093" s="496" t="s">
        <v>2063</v>
      </c>
      <c r="CU1093" s="496" t="s">
        <v>1087</v>
      </c>
      <c r="CV1093" s="497" t="s">
        <v>1088</v>
      </c>
      <c r="CX1093" s="543">
        <v>1</v>
      </c>
    </row>
    <row r="1094" spans="91:102" ht="21" customHeight="1">
      <c r="CM1094" s="494"/>
      <c r="CN1094" s="496" t="s">
        <v>3259</v>
      </c>
      <c r="CO1094" s="496" t="s">
        <v>8</v>
      </c>
      <c r="CP1094" s="496" t="s">
        <v>689</v>
      </c>
      <c r="CQ1094" s="496" t="s">
        <v>1045</v>
      </c>
      <c r="CR1094" s="496" t="s">
        <v>1045</v>
      </c>
      <c r="CS1094" s="496" t="s">
        <v>1554</v>
      </c>
      <c r="CT1094" s="496" t="s">
        <v>1555</v>
      </c>
      <c r="CU1094" s="496" t="s">
        <v>1981</v>
      </c>
      <c r="CV1094" s="497" t="s">
        <v>1982</v>
      </c>
      <c r="CX1094" s="543">
        <v>1</v>
      </c>
    </row>
    <row r="1095" spans="91:102" ht="21" customHeight="1">
      <c r="CM1095" s="494"/>
      <c r="CN1095" s="496" t="s">
        <v>3260</v>
      </c>
      <c r="CO1095" s="496" t="s">
        <v>8</v>
      </c>
      <c r="CP1095" s="496" t="s">
        <v>689</v>
      </c>
      <c r="CQ1095" s="496" t="s">
        <v>3261</v>
      </c>
      <c r="CR1095" s="496" t="s">
        <v>3261</v>
      </c>
      <c r="CS1095" s="496" t="s">
        <v>1554</v>
      </c>
      <c r="CT1095" s="496" t="s">
        <v>1555</v>
      </c>
      <c r="CU1095" s="496" t="s">
        <v>1981</v>
      </c>
      <c r="CV1095" s="497" t="s">
        <v>1982</v>
      </c>
      <c r="CX1095" s="543">
        <v>1</v>
      </c>
    </row>
    <row r="1096" spans="91:102" ht="21" customHeight="1">
      <c r="CM1096" s="494"/>
      <c r="CN1096" s="496" t="s">
        <v>3262</v>
      </c>
      <c r="CO1096" s="496" t="s">
        <v>8</v>
      </c>
      <c r="CP1096" s="496" t="s">
        <v>689</v>
      </c>
      <c r="CQ1096" s="496" t="s">
        <v>3263</v>
      </c>
      <c r="CR1096" s="496" t="s">
        <v>3263</v>
      </c>
      <c r="CS1096" s="496" t="s">
        <v>1554</v>
      </c>
      <c r="CT1096" s="496" t="s">
        <v>1555</v>
      </c>
      <c r="CU1096" s="496" t="s">
        <v>1981</v>
      </c>
      <c r="CV1096" s="497" t="s">
        <v>1982</v>
      </c>
      <c r="CX1096" s="543">
        <v>1</v>
      </c>
    </row>
    <row r="1097" spans="91:102" ht="21" customHeight="1">
      <c r="CM1097" s="494"/>
      <c r="CN1097" s="496" t="s">
        <v>3264</v>
      </c>
      <c r="CO1097" s="496" t="s">
        <v>8</v>
      </c>
      <c r="CP1097" s="496" t="s">
        <v>689</v>
      </c>
      <c r="CQ1097" s="496" t="s">
        <v>3265</v>
      </c>
      <c r="CR1097" s="496" t="s">
        <v>3265</v>
      </c>
      <c r="CS1097" s="496" t="s">
        <v>1554</v>
      </c>
      <c r="CT1097" s="496" t="s">
        <v>1555</v>
      </c>
      <c r="CU1097" s="496" t="s">
        <v>1981</v>
      </c>
      <c r="CV1097" s="497" t="s">
        <v>1982</v>
      </c>
      <c r="CX1097" s="543">
        <v>1</v>
      </c>
    </row>
    <row r="1098" spans="91:102" ht="21" customHeight="1">
      <c r="CM1098" s="494"/>
      <c r="CN1098" s="496" t="s">
        <v>3266</v>
      </c>
      <c r="CO1098" s="496" t="s">
        <v>8</v>
      </c>
      <c r="CP1098" s="496" t="s">
        <v>689</v>
      </c>
      <c r="CQ1098" s="496" t="s">
        <v>3267</v>
      </c>
      <c r="CR1098" s="496" t="s">
        <v>3267</v>
      </c>
      <c r="CS1098" s="496" t="s">
        <v>1554</v>
      </c>
      <c r="CT1098" s="496" t="s">
        <v>1555</v>
      </c>
      <c r="CU1098" s="496" t="s">
        <v>1981</v>
      </c>
      <c r="CV1098" s="497" t="s">
        <v>1982</v>
      </c>
      <c r="CX1098" s="543">
        <v>1</v>
      </c>
    </row>
    <row r="1099" spans="91:102" ht="21" customHeight="1">
      <c r="CM1099" s="494"/>
      <c r="CN1099" s="496" t="s">
        <v>3268</v>
      </c>
      <c r="CO1099" s="496" t="s">
        <v>8</v>
      </c>
      <c r="CP1099" s="496" t="s">
        <v>689</v>
      </c>
      <c r="CQ1099" s="496" t="s">
        <v>3269</v>
      </c>
      <c r="CR1099" s="496" t="s">
        <v>3269</v>
      </c>
      <c r="CS1099" s="496" t="s">
        <v>1554</v>
      </c>
      <c r="CT1099" s="496" t="s">
        <v>1555</v>
      </c>
      <c r="CU1099" s="496" t="s">
        <v>1981</v>
      </c>
      <c r="CV1099" s="497" t="s">
        <v>1982</v>
      </c>
      <c r="CX1099" s="543">
        <v>1</v>
      </c>
    </row>
    <row r="1100" spans="91:102" ht="21" customHeight="1">
      <c r="CM1100" s="494"/>
      <c r="CN1100" s="496" t="s">
        <v>3270</v>
      </c>
      <c r="CO1100" s="496" t="s">
        <v>8</v>
      </c>
      <c r="CP1100" s="496" t="s">
        <v>689</v>
      </c>
      <c r="CQ1100" s="496" t="s">
        <v>3271</v>
      </c>
      <c r="CR1100" s="496" t="s">
        <v>3271</v>
      </c>
      <c r="CS1100" s="496" t="s">
        <v>1554</v>
      </c>
      <c r="CT1100" s="496" t="s">
        <v>1555</v>
      </c>
      <c r="CU1100" s="496" t="s">
        <v>1981</v>
      </c>
      <c r="CV1100" s="497" t="s">
        <v>1982</v>
      </c>
      <c r="CX1100" s="543">
        <v>1</v>
      </c>
    </row>
    <row r="1101" spans="91:102" ht="21" customHeight="1">
      <c r="CM1101" s="494"/>
      <c r="CN1101" s="496" t="s">
        <v>3272</v>
      </c>
      <c r="CO1101" s="496" t="s">
        <v>8</v>
      </c>
      <c r="CP1101" s="496" t="s">
        <v>689</v>
      </c>
      <c r="CQ1101" s="496" t="s">
        <v>3273</v>
      </c>
      <c r="CR1101" s="496" t="s">
        <v>3273</v>
      </c>
      <c r="CS1101" s="496" t="s">
        <v>1554</v>
      </c>
      <c r="CT1101" s="496" t="s">
        <v>1555</v>
      </c>
      <c r="CU1101" s="496" t="s">
        <v>1981</v>
      </c>
      <c r="CV1101" s="497" t="s">
        <v>1982</v>
      </c>
      <c r="CX1101" s="543">
        <v>1</v>
      </c>
    </row>
    <row r="1102" spans="91:102" ht="21" customHeight="1">
      <c r="CM1102" s="494"/>
      <c r="CN1102" s="496" t="s">
        <v>3274</v>
      </c>
      <c r="CO1102" s="496" t="s">
        <v>8</v>
      </c>
      <c r="CP1102" s="496" t="s">
        <v>689</v>
      </c>
      <c r="CQ1102" s="496" t="s">
        <v>3275</v>
      </c>
      <c r="CR1102" s="496" t="s">
        <v>3275</v>
      </c>
      <c r="CS1102" s="496" t="s">
        <v>1554</v>
      </c>
      <c r="CT1102" s="496" t="s">
        <v>1555</v>
      </c>
      <c r="CU1102" s="496" t="s">
        <v>1981</v>
      </c>
      <c r="CV1102" s="497" t="s">
        <v>1982</v>
      </c>
      <c r="CX1102" s="543">
        <v>1</v>
      </c>
    </row>
    <row r="1103" spans="91:102" ht="21" customHeight="1">
      <c r="CM1103" s="494"/>
      <c r="CN1103" s="496" t="s">
        <v>3276</v>
      </c>
      <c r="CO1103" s="496" t="s">
        <v>8</v>
      </c>
      <c r="CP1103" s="496" t="s">
        <v>689</v>
      </c>
      <c r="CQ1103" s="496" t="s">
        <v>3277</v>
      </c>
      <c r="CR1103" s="496" t="s">
        <v>3277</v>
      </c>
      <c r="CS1103" s="496" t="s">
        <v>1554</v>
      </c>
      <c r="CT1103" s="496" t="s">
        <v>1555</v>
      </c>
      <c r="CU1103" s="496" t="s">
        <v>1981</v>
      </c>
      <c r="CV1103" s="497" t="s">
        <v>1982</v>
      </c>
      <c r="CX1103" s="543">
        <v>1</v>
      </c>
    </row>
    <row r="1104" spans="91:102" ht="21" customHeight="1">
      <c r="CM1104" s="494"/>
      <c r="CN1104" s="496" t="s">
        <v>3278</v>
      </c>
      <c r="CO1104" s="496" t="s">
        <v>8</v>
      </c>
      <c r="CP1104" s="496" t="s">
        <v>689</v>
      </c>
      <c r="CQ1104" s="496" t="s">
        <v>3279</v>
      </c>
      <c r="CR1104" s="496" t="s">
        <v>3279</v>
      </c>
      <c r="CS1104" s="496" t="s">
        <v>1554</v>
      </c>
      <c r="CT1104" s="496" t="s">
        <v>1555</v>
      </c>
      <c r="CU1104" s="496" t="s">
        <v>1981</v>
      </c>
      <c r="CV1104" s="497" t="s">
        <v>1982</v>
      </c>
      <c r="CX1104" s="543">
        <v>1</v>
      </c>
    </row>
    <row r="1105" spans="91:102" ht="21" customHeight="1">
      <c r="CM1105" s="494"/>
      <c r="CN1105" s="496" t="s">
        <v>3280</v>
      </c>
      <c r="CO1105" s="496" t="s">
        <v>8</v>
      </c>
      <c r="CP1105" s="496" t="s">
        <v>689</v>
      </c>
      <c r="CQ1105" s="496" t="s">
        <v>3281</v>
      </c>
      <c r="CR1105" s="496" t="s">
        <v>3281</v>
      </c>
      <c r="CS1105" s="496" t="s">
        <v>1554</v>
      </c>
      <c r="CT1105" s="496" t="s">
        <v>1555</v>
      </c>
      <c r="CU1105" s="496" t="s">
        <v>1981</v>
      </c>
      <c r="CV1105" s="497" t="s">
        <v>1982</v>
      </c>
      <c r="CX1105" s="543">
        <v>1</v>
      </c>
    </row>
    <row r="1106" spans="91:102" ht="21" customHeight="1">
      <c r="CM1106" s="494"/>
      <c r="CN1106" s="496" t="s">
        <v>3282</v>
      </c>
      <c r="CO1106" s="496" t="s">
        <v>8</v>
      </c>
      <c r="CP1106" s="496" t="s">
        <v>689</v>
      </c>
      <c r="CQ1106" s="496" t="s">
        <v>3283</v>
      </c>
      <c r="CR1106" s="496" t="s">
        <v>3283</v>
      </c>
      <c r="CS1106" s="496" t="s">
        <v>1554</v>
      </c>
      <c r="CT1106" s="496" t="s">
        <v>1555</v>
      </c>
      <c r="CU1106" s="496" t="s">
        <v>1981</v>
      </c>
      <c r="CV1106" s="497" t="s">
        <v>1982</v>
      </c>
      <c r="CX1106" s="543">
        <v>1</v>
      </c>
    </row>
    <row r="1107" spans="91:102" ht="21" customHeight="1">
      <c r="CM1107" s="494"/>
      <c r="CN1107" s="496" t="s">
        <v>3284</v>
      </c>
      <c r="CO1107" s="496" t="s">
        <v>8</v>
      </c>
      <c r="CP1107" s="496" t="s">
        <v>689</v>
      </c>
      <c r="CQ1107" s="496" t="s">
        <v>3285</v>
      </c>
      <c r="CR1107" s="496" t="s">
        <v>3285</v>
      </c>
      <c r="CS1107" s="496" t="s">
        <v>1554</v>
      </c>
      <c r="CT1107" s="496" t="s">
        <v>1555</v>
      </c>
      <c r="CU1107" s="496" t="s">
        <v>1981</v>
      </c>
      <c r="CV1107" s="497" t="s">
        <v>1982</v>
      </c>
      <c r="CX1107" s="543">
        <v>1</v>
      </c>
    </row>
    <row r="1108" spans="91:102" ht="21" customHeight="1">
      <c r="CM1108" s="494"/>
      <c r="CN1108" s="496" t="s">
        <v>3286</v>
      </c>
      <c r="CO1108" s="496" t="s">
        <v>8</v>
      </c>
      <c r="CP1108" s="496" t="s">
        <v>689</v>
      </c>
      <c r="CQ1108" s="496" t="s">
        <v>3287</v>
      </c>
      <c r="CR1108" s="496" t="s">
        <v>3287</v>
      </c>
      <c r="CS1108" s="496" t="s">
        <v>1554</v>
      </c>
      <c r="CT1108" s="496" t="s">
        <v>1555</v>
      </c>
      <c r="CU1108" s="496" t="s">
        <v>1981</v>
      </c>
      <c r="CV1108" s="497" t="s">
        <v>1982</v>
      </c>
      <c r="CX1108" s="543">
        <v>1</v>
      </c>
    </row>
    <row r="1109" spans="91:102" ht="21" customHeight="1">
      <c r="CM1109" s="494"/>
      <c r="CN1109" s="496" t="s">
        <v>3288</v>
      </c>
      <c r="CO1109" s="496" t="s">
        <v>8</v>
      </c>
      <c r="CP1109" s="496" t="s">
        <v>689</v>
      </c>
      <c r="CQ1109" s="496" t="s">
        <v>3289</v>
      </c>
      <c r="CR1109" s="496" t="s">
        <v>3289</v>
      </c>
      <c r="CS1109" s="496" t="s">
        <v>1554</v>
      </c>
      <c r="CT1109" s="496" t="s">
        <v>1555</v>
      </c>
      <c r="CU1109" s="496" t="s">
        <v>1981</v>
      </c>
      <c r="CV1109" s="497" t="s">
        <v>1982</v>
      </c>
      <c r="CX1109" s="543">
        <v>1</v>
      </c>
    </row>
    <row r="1110" spans="91:102" ht="21" customHeight="1">
      <c r="CM1110" s="494"/>
      <c r="CN1110" s="496" t="s">
        <v>3290</v>
      </c>
      <c r="CO1110" s="496" t="s">
        <v>8</v>
      </c>
      <c r="CP1110" s="496" t="s">
        <v>689</v>
      </c>
      <c r="CQ1110" s="496" t="s">
        <v>3291</v>
      </c>
      <c r="CR1110" s="496" t="s">
        <v>3291</v>
      </c>
      <c r="CS1110" s="496" t="s">
        <v>1554</v>
      </c>
      <c r="CT1110" s="496" t="s">
        <v>1555</v>
      </c>
      <c r="CU1110" s="496" t="s">
        <v>1981</v>
      </c>
      <c r="CV1110" s="497" t="s">
        <v>1982</v>
      </c>
      <c r="CX1110" s="543">
        <v>1</v>
      </c>
    </row>
    <row r="1111" spans="91:102" ht="21" customHeight="1">
      <c r="CM1111" s="494"/>
      <c r="CN1111" s="496" t="s">
        <v>3292</v>
      </c>
      <c r="CO1111" s="496" t="s">
        <v>8</v>
      </c>
      <c r="CP1111" s="496" t="s">
        <v>689</v>
      </c>
      <c r="CQ1111" s="496" t="s">
        <v>3293</v>
      </c>
      <c r="CR1111" s="496" t="s">
        <v>3293</v>
      </c>
      <c r="CS1111" s="496" t="s">
        <v>1554</v>
      </c>
      <c r="CT1111" s="496" t="s">
        <v>1555</v>
      </c>
      <c r="CU1111" s="496" t="s">
        <v>1981</v>
      </c>
      <c r="CV1111" s="497" t="s">
        <v>1982</v>
      </c>
      <c r="CX1111" s="543">
        <v>1</v>
      </c>
    </row>
    <row r="1112" spans="91:102" ht="21" customHeight="1">
      <c r="CM1112" s="494"/>
      <c r="CN1112" s="496" t="s">
        <v>3294</v>
      </c>
      <c r="CO1112" s="496" t="s">
        <v>8</v>
      </c>
      <c r="CP1112" s="496" t="s">
        <v>689</v>
      </c>
      <c r="CQ1112" s="496" t="s">
        <v>3295</v>
      </c>
      <c r="CR1112" s="496" t="s">
        <v>3295</v>
      </c>
      <c r="CS1112" s="496" t="s">
        <v>1554</v>
      </c>
      <c r="CT1112" s="496" t="s">
        <v>1555</v>
      </c>
      <c r="CU1112" s="496" t="s">
        <v>1981</v>
      </c>
      <c r="CV1112" s="497" t="s">
        <v>1982</v>
      </c>
      <c r="CX1112" s="543">
        <v>1</v>
      </c>
    </row>
    <row r="1113" spans="91:102" ht="21" customHeight="1">
      <c r="CM1113" s="494"/>
      <c r="CN1113" s="496" t="s">
        <v>3296</v>
      </c>
      <c r="CO1113" s="496" t="s">
        <v>8</v>
      </c>
      <c r="CP1113" s="496" t="s">
        <v>689</v>
      </c>
      <c r="CQ1113" s="496" t="s">
        <v>3297</v>
      </c>
      <c r="CR1113" s="496" t="s">
        <v>3297</v>
      </c>
      <c r="CS1113" s="496" t="s">
        <v>1554</v>
      </c>
      <c r="CT1113" s="496" t="s">
        <v>1555</v>
      </c>
      <c r="CU1113" s="496" t="s">
        <v>1981</v>
      </c>
      <c r="CV1113" s="497" t="s">
        <v>1982</v>
      </c>
      <c r="CX1113" s="543">
        <v>1</v>
      </c>
    </row>
    <row r="1114" spans="91:102" ht="21" customHeight="1">
      <c r="CM1114" s="494"/>
      <c r="CN1114" s="496" t="s">
        <v>3298</v>
      </c>
      <c r="CO1114" s="496" t="s">
        <v>8</v>
      </c>
      <c r="CP1114" s="496" t="s">
        <v>689</v>
      </c>
      <c r="CQ1114" s="496" t="s">
        <v>3299</v>
      </c>
      <c r="CR1114" s="496" t="s">
        <v>3299</v>
      </c>
      <c r="CS1114" s="496" t="s">
        <v>1554</v>
      </c>
      <c r="CT1114" s="496" t="s">
        <v>1555</v>
      </c>
      <c r="CU1114" s="496" t="s">
        <v>1981</v>
      </c>
      <c r="CV1114" s="497" t="s">
        <v>1982</v>
      </c>
      <c r="CX1114" s="543">
        <v>1</v>
      </c>
    </row>
    <row r="1115" spans="91:102" ht="21" customHeight="1">
      <c r="CM1115" s="494"/>
      <c r="CN1115" s="496" t="s">
        <v>3300</v>
      </c>
      <c r="CO1115" s="496" t="s">
        <v>8</v>
      </c>
      <c r="CP1115" s="496" t="s">
        <v>689</v>
      </c>
      <c r="CQ1115" s="496" t="s">
        <v>3301</v>
      </c>
      <c r="CR1115" s="496" t="s">
        <v>3301</v>
      </c>
      <c r="CS1115" s="496" t="s">
        <v>1554</v>
      </c>
      <c r="CT1115" s="496" t="s">
        <v>1555</v>
      </c>
      <c r="CU1115" s="496" t="s">
        <v>1981</v>
      </c>
      <c r="CV1115" s="497" t="s">
        <v>1982</v>
      </c>
      <c r="CX1115" s="543">
        <v>1</v>
      </c>
    </row>
    <row r="1116" spans="91:102" ht="21" customHeight="1">
      <c r="CM1116" s="494"/>
      <c r="CN1116" s="496" t="s">
        <v>3302</v>
      </c>
      <c r="CO1116" s="496" t="s">
        <v>8</v>
      </c>
      <c r="CP1116" s="496" t="s">
        <v>689</v>
      </c>
      <c r="CQ1116" s="496" t="s">
        <v>3303</v>
      </c>
      <c r="CR1116" s="496" t="s">
        <v>3303</v>
      </c>
      <c r="CS1116" s="496" t="s">
        <v>1554</v>
      </c>
      <c r="CT1116" s="496" t="s">
        <v>1555</v>
      </c>
      <c r="CU1116" s="496" t="s">
        <v>1981</v>
      </c>
      <c r="CV1116" s="497" t="s">
        <v>1982</v>
      </c>
      <c r="CX1116" s="543">
        <v>1</v>
      </c>
    </row>
    <row r="1117" spans="91:102" ht="21" customHeight="1">
      <c r="CM1117" s="494"/>
      <c r="CN1117" s="496" t="s">
        <v>3304</v>
      </c>
      <c r="CO1117" s="496" t="s">
        <v>8</v>
      </c>
      <c r="CP1117" s="496" t="s">
        <v>689</v>
      </c>
      <c r="CQ1117" s="496" t="s">
        <v>3305</v>
      </c>
      <c r="CR1117" s="496" t="s">
        <v>3305</v>
      </c>
      <c r="CS1117" s="496" t="s">
        <v>1554</v>
      </c>
      <c r="CT1117" s="496" t="s">
        <v>1555</v>
      </c>
      <c r="CU1117" s="496" t="s">
        <v>1981</v>
      </c>
      <c r="CV1117" s="497" t="s">
        <v>1982</v>
      </c>
      <c r="CX1117" s="543">
        <v>1</v>
      </c>
    </row>
    <row r="1118" spans="91:102" ht="21" customHeight="1">
      <c r="CM1118" s="494"/>
      <c r="CN1118" s="496" t="s">
        <v>3306</v>
      </c>
      <c r="CO1118" s="496" t="s">
        <v>8</v>
      </c>
      <c r="CP1118" s="496" t="s">
        <v>689</v>
      </c>
      <c r="CQ1118" s="496" t="s">
        <v>3307</v>
      </c>
      <c r="CR1118" s="496" t="s">
        <v>3307</v>
      </c>
      <c r="CS1118" s="496" t="s">
        <v>1554</v>
      </c>
      <c r="CT1118" s="496" t="s">
        <v>1555</v>
      </c>
      <c r="CU1118" s="496" t="s">
        <v>1981</v>
      </c>
      <c r="CV1118" s="497" t="s">
        <v>1982</v>
      </c>
      <c r="CX1118" s="543">
        <v>1</v>
      </c>
    </row>
    <row r="1119" spans="91:102" ht="21" customHeight="1">
      <c r="CM1119" s="494"/>
      <c r="CN1119" s="496" t="s">
        <v>3308</v>
      </c>
      <c r="CO1119" s="496" t="s">
        <v>8</v>
      </c>
      <c r="CP1119" s="496" t="s">
        <v>689</v>
      </c>
      <c r="CQ1119" s="496" t="s">
        <v>3309</v>
      </c>
      <c r="CR1119" s="496" t="s">
        <v>3309</v>
      </c>
      <c r="CS1119" s="496" t="s">
        <v>1554</v>
      </c>
      <c r="CT1119" s="496" t="s">
        <v>1555</v>
      </c>
      <c r="CU1119" s="496" t="s">
        <v>1981</v>
      </c>
      <c r="CV1119" s="497" t="s">
        <v>1982</v>
      </c>
      <c r="CX1119" s="543">
        <v>1</v>
      </c>
    </row>
    <row r="1120" spans="91:102" ht="21" customHeight="1">
      <c r="CM1120" s="494"/>
      <c r="CN1120" s="496" t="s">
        <v>3310</v>
      </c>
      <c r="CO1120" s="496" t="s">
        <v>8</v>
      </c>
      <c r="CP1120" s="496" t="s">
        <v>689</v>
      </c>
      <c r="CQ1120" s="496" t="s">
        <v>3311</v>
      </c>
      <c r="CR1120" s="496" t="s">
        <v>3311</v>
      </c>
      <c r="CS1120" s="496" t="s">
        <v>1554</v>
      </c>
      <c r="CT1120" s="496" t="s">
        <v>1555</v>
      </c>
      <c r="CU1120" s="496" t="s">
        <v>1981</v>
      </c>
      <c r="CV1120" s="497" t="s">
        <v>1982</v>
      </c>
      <c r="CX1120" s="543">
        <v>1</v>
      </c>
    </row>
    <row r="1121" spans="91:102" ht="21" customHeight="1">
      <c r="CM1121" s="494"/>
      <c r="CN1121" s="496" t="s">
        <v>3312</v>
      </c>
      <c r="CO1121" s="496" t="s">
        <v>8</v>
      </c>
      <c r="CP1121" s="496" t="s">
        <v>689</v>
      </c>
      <c r="CQ1121" s="496" t="s">
        <v>3313</v>
      </c>
      <c r="CR1121" s="496" t="s">
        <v>3313</v>
      </c>
      <c r="CS1121" s="496" t="s">
        <v>1554</v>
      </c>
      <c r="CT1121" s="496" t="s">
        <v>1555</v>
      </c>
      <c r="CU1121" s="496" t="s">
        <v>1981</v>
      </c>
      <c r="CV1121" s="497" t="s">
        <v>1982</v>
      </c>
      <c r="CX1121" s="543">
        <v>1</v>
      </c>
    </row>
    <row r="1122" spans="91:102" ht="21" customHeight="1">
      <c r="CM1122" s="494"/>
      <c r="CN1122" s="496" t="s">
        <v>3314</v>
      </c>
      <c r="CO1122" s="496" t="s">
        <v>8</v>
      </c>
      <c r="CP1122" s="496" t="s">
        <v>689</v>
      </c>
      <c r="CQ1122" s="496" t="s">
        <v>3315</v>
      </c>
      <c r="CR1122" s="496" t="s">
        <v>3315</v>
      </c>
      <c r="CS1122" s="496" t="s">
        <v>1554</v>
      </c>
      <c r="CT1122" s="496" t="s">
        <v>1555</v>
      </c>
      <c r="CU1122" s="496" t="s">
        <v>1981</v>
      </c>
      <c r="CV1122" s="497" t="s">
        <v>1982</v>
      </c>
      <c r="CX1122" s="543">
        <v>1</v>
      </c>
    </row>
    <row r="1123" spans="91:102" ht="21" customHeight="1">
      <c r="CM1123" s="494"/>
      <c r="CN1123" s="496" t="s">
        <v>3316</v>
      </c>
      <c r="CO1123" s="496" t="s">
        <v>8</v>
      </c>
      <c r="CP1123" s="496" t="s">
        <v>689</v>
      </c>
      <c r="CQ1123" s="496" t="s">
        <v>3317</v>
      </c>
      <c r="CR1123" s="496" t="s">
        <v>3317</v>
      </c>
      <c r="CS1123" s="496" t="s">
        <v>1554</v>
      </c>
      <c r="CT1123" s="496" t="s">
        <v>1555</v>
      </c>
      <c r="CU1123" s="496" t="s">
        <v>1981</v>
      </c>
      <c r="CV1123" s="497" t="s">
        <v>1982</v>
      </c>
      <c r="CX1123" s="543">
        <v>1</v>
      </c>
    </row>
    <row r="1124" spans="91:102" ht="21" customHeight="1">
      <c r="CM1124" s="494"/>
      <c r="CN1124" s="496" t="s">
        <v>3318</v>
      </c>
      <c r="CO1124" s="496" t="s">
        <v>8</v>
      </c>
      <c r="CP1124" s="496" t="s">
        <v>689</v>
      </c>
      <c r="CQ1124" s="496" t="s">
        <v>3319</v>
      </c>
      <c r="CR1124" s="496" t="s">
        <v>3319</v>
      </c>
      <c r="CS1124" s="496" t="s">
        <v>1554</v>
      </c>
      <c r="CT1124" s="496" t="s">
        <v>1555</v>
      </c>
      <c r="CU1124" s="496" t="s">
        <v>1981</v>
      </c>
      <c r="CV1124" s="497" t="s">
        <v>1982</v>
      </c>
      <c r="CX1124" s="543">
        <v>1</v>
      </c>
    </row>
    <row r="1125" spans="91:102" ht="21" customHeight="1">
      <c r="CM1125" s="494"/>
      <c r="CN1125" s="496" t="s">
        <v>3320</v>
      </c>
      <c r="CO1125" s="496" t="s">
        <v>8</v>
      </c>
      <c r="CP1125" s="496" t="s">
        <v>689</v>
      </c>
      <c r="CQ1125" s="496" t="s">
        <v>3321</v>
      </c>
      <c r="CR1125" s="496" t="s">
        <v>3321</v>
      </c>
      <c r="CS1125" s="496" t="s">
        <v>1554</v>
      </c>
      <c r="CT1125" s="496" t="s">
        <v>1555</v>
      </c>
      <c r="CU1125" s="496" t="s">
        <v>1981</v>
      </c>
      <c r="CV1125" s="497" t="s">
        <v>1982</v>
      </c>
      <c r="CX1125" s="543">
        <v>1</v>
      </c>
    </row>
    <row r="1126" spans="91:102" ht="21" customHeight="1">
      <c r="CM1126" s="494"/>
      <c r="CN1126" s="496" t="s">
        <v>3322</v>
      </c>
      <c r="CO1126" s="496" t="s">
        <v>8</v>
      </c>
      <c r="CP1126" s="496" t="s">
        <v>689</v>
      </c>
      <c r="CQ1126" s="496" t="s">
        <v>3323</v>
      </c>
      <c r="CR1126" s="496" t="s">
        <v>3323</v>
      </c>
      <c r="CS1126" s="496" t="s">
        <v>1554</v>
      </c>
      <c r="CT1126" s="496" t="s">
        <v>1555</v>
      </c>
      <c r="CU1126" s="496" t="s">
        <v>1981</v>
      </c>
      <c r="CV1126" s="497" t="s">
        <v>1982</v>
      </c>
      <c r="CX1126" s="543">
        <v>1</v>
      </c>
    </row>
    <row r="1127" spans="91:102" ht="21" customHeight="1">
      <c r="CM1127" s="494"/>
      <c r="CN1127" s="496" t="s">
        <v>3324</v>
      </c>
      <c r="CO1127" s="496" t="s">
        <v>8</v>
      </c>
      <c r="CP1127" s="496" t="s">
        <v>689</v>
      </c>
      <c r="CQ1127" s="496" t="s">
        <v>3325</v>
      </c>
      <c r="CR1127" s="496" t="s">
        <v>3325</v>
      </c>
      <c r="CS1127" s="496" t="s">
        <v>1554</v>
      </c>
      <c r="CT1127" s="496" t="s">
        <v>1555</v>
      </c>
      <c r="CU1127" s="496" t="s">
        <v>1981</v>
      </c>
      <c r="CV1127" s="497" t="s">
        <v>1982</v>
      </c>
      <c r="CX1127" s="543">
        <v>1</v>
      </c>
    </row>
    <row r="1128" spans="91:102" ht="21" customHeight="1">
      <c r="CM1128" s="494"/>
      <c r="CN1128" s="496" t="s">
        <v>3326</v>
      </c>
      <c r="CO1128" s="496" t="s">
        <v>8</v>
      </c>
      <c r="CP1128" s="496" t="s">
        <v>689</v>
      </c>
      <c r="CQ1128" s="496" t="s">
        <v>3327</v>
      </c>
      <c r="CR1128" s="496" t="s">
        <v>3327</v>
      </c>
      <c r="CS1128" s="496" t="s">
        <v>1554</v>
      </c>
      <c r="CT1128" s="496" t="s">
        <v>1555</v>
      </c>
      <c r="CU1128" s="496" t="s">
        <v>1981</v>
      </c>
      <c r="CV1128" s="497" t="s">
        <v>1982</v>
      </c>
      <c r="CX1128" s="543">
        <v>1</v>
      </c>
    </row>
    <row r="1129" spans="91:102" ht="21" customHeight="1">
      <c r="CM1129" s="494"/>
      <c r="CN1129" s="496" t="s">
        <v>3328</v>
      </c>
      <c r="CO1129" s="496" t="s">
        <v>8</v>
      </c>
      <c r="CP1129" s="496" t="s">
        <v>689</v>
      </c>
      <c r="CQ1129" s="496" t="s">
        <v>3329</v>
      </c>
      <c r="CR1129" s="496" t="s">
        <v>3329</v>
      </c>
      <c r="CS1129" s="496" t="s">
        <v>1554</v>
      </c>
      <c r="CT1129" s="496" t="s">
        <v>1555</v>
      </c>
      <c r="CU1129" s="496" t="s">
        <v>1981</v>
      </c>
      <c r="CV1129" s="497" t="s">
        <v>1982</v>
      </c>
      <c r="CX1129" s="543">
        <v>1</v>
      </c>
    </row>
    <row r="1130" spans="91:102" ht="21" customHeight="1">
      <c r="CM1130" s="494"/>
      <c r="CN1130" s="496" t="s">
        <v>3330</v>
      </c>
      <c r="CO1130" s="496" t="s">
        <v>8</v>
      </c>
      <c r="CP1130" s="496" t="s">
        <v>689</v>
      </c>
      <c r="CQ1130" s="496" t="s">
        <v>3331</v>
      </c>
      <c r="CR1130" s="496" t="s">
        <v>3331</v>
      </c>
      <c r="CS1130" s="496" t="s">
        <v>1554</v>
      </c>
      <c r="CT1130" s="496" t="s">
        <v>1555</v>
      </c>
      <c r="CU1130" s="496" t="s">
        <v>1981</v>
      </c>
      <c r="CV1130" s="497" t="s">
        <v>1982</v>
      </c>
      <c r="CX1130" s="543">
        <v>1</v>
      </c>
    </row>
    <row r="1131" spans="91:102" ht="21" customHeight="1">
      <c r="CM1131" s="494"/>
      <c r="CN1131" s="496" t="s">
        <v>3332</v>
      </c>
      <c r="CO1131" s="496" t="s">
        <v>8</v>
      </c>
      <c r="CP1131" s="496" t="s">
        <v>689</v>
      </c>
      <c r="CQ1131" s="496" t="s">
        <v>3333</v>
      </c>
      <c r="CR1131" s="496" t="s">
        <v>3333</v>
      </c>
      <c r="CS1131" s="496" t="s">
        <v>1554</v>
      </c>
      <c r="CT1131" s="496" t="s">
        <v>1555</v>
      </c>
      <c r="CU1131" s="496" t="s">
        <v>1981</v>
      </c>
      <c r="CV1131" s="497" t="s">
        <v>1982</v>
      </c>
      <c r="CX1131" s="543">
        <v>1</v>
      </c>
    </row>
    <row r="1132" spans="91:102" ht="21" customHeight="1">
      <c r="CM1132" s="494"/>
      <c r="CN1132" s="496" t="s">
        <v>3334</v>
      </c>
      <c r="CO1132" s="496" t="s">
        <v>8</v>
      </c>
      <c r="CP1132" s="496" t="s">
        <v>689</v>
      </c>
      <c r="CQ1132" s="496" t="s">
        <v>3335</v>
      </c>
      <c r="CR1132" s="496" t="s">
        <v>3335</v>
      </c>
      <c r="CS1132" s="496" t="s">
        <v>1554</v>
      </c>
      <c r="CT1132" s="496" t="s">
        <v>1555</v>
      </c>
      <c r="CU1132" s="496" t="s">
        <v>1981</v>
      </c>
      <c r="CV1132" s="497" t="s">
        <v>1982</v>
      </c>
      <c r="CX1132" s="543">
        <v>1</v>
      </c>
    </row>
    <row r="1133" spans="91:102" ht="21" customHeight="1">
      <c r="CM1133" s="494"/>
      <c r="CN1133" s="496" t="s">
        <v>3336</v>
      </c>
      <c r="CO1133" s="496" t="s">
        <v>8</v>
      </c>
      <c r="CP1133" s="496" t="s">
        <v>689</v>
      </c>
      <c r="CQ1133" s="496" t="s">
        <v>3337</v>
      </c>
      <c r="CR1133" s="496" t="s">
        <v>3337</v>
      </c>
      <c r="CS1133" s="496" t="s">
        <v>1554</v>
      </c>
      <c r="CT1133" s="496" t="s">
        <v>1555</v>
      </c>
      <c r="CU1133" s="496" t="s">
        <v>1981</v>
      </c>
      <c r="CV1133" s="497" t="s">
        <v>1982</v>
      </c>
      <c r="CX1133" s="543">
        <v>1</v>
      </c>
    </row>
    <row r="1134" spans="91:102" ht="21" customHeight="1">
      <c r="CM1134" s="494"/>
      <c r="CN1134" s="496" t="s">
        <v>3338</v>
      </c>
      <c r="CO1134" s="496" t="s">
        <v>8</v>
      </c>
      <c r="CP1134" s="496" t="s">
        <v>689</v>
      </c>
      <c r="CQ1134" s="496" t="s">
        <v>3339</v>
      </c>
      <c r="CR1134" s="496" t="s">
        <v>3339</v>
      </c>
      <c r="CS1134" s="496" t="s">
        <v>1554</v>
      </c>
      <c r="CT1134" s="496" t="s">
        <v>1555</v>
      </c>
      <c r="CU1134" s="496" t="s">
        <v>1981</v>
      </c>
      <c r="CV1134" s="497" t="s">
        <v>1982</v>
      </c>
      <c r="CX1134" s="543">
        <v>1</v>
      </c>
    </row>
    <row r="1135" spans="91:102" ht="21" customHeight="1">
      <c r="CM1135" s="494"/>
      <c r="CN1135" s="496" t="s">
        <v>3340</v>
      </c>
      <c r="CO1135" s="496" t="s">
        <v>8</v>
      </c>
      <c r="CP1135" s="496" t="s">
        <v>689</v>
      </c>
      <c r="CQ1135" s="496" t="s">
        <v>3341</v>
      </c>
      <c r="CR1135" s="496" t="s">
        <v>3341</v>
      </c>
      <c r="CS1135" s="496" t="s">
        <v>1554</v>
      </c>
      <c r="CT1135" s="496" t="s">
        <v>1555</v>
      </c>
      <c r="CU1135" s="496" t="s">
        <v>1981</v>
      </c>
      <c r="CV1135" s="497" t="s">
        <v>1982</v>
      </c>
      <c r="CX1135" s="543">
        <v>1</v>
      </c>
    </row>
    <row r="1136" spans="91:102" ht="21" customHeight="1">
      <c r="CM1136" s="494"/>
      <c r="CN1136" s="496" t="s">
        <v>3342</v>
      </c>
      <c r="CO1136" s="496" t="s">
        <v>8</v>
      </c>
      <c r="CP1136" s="496" t="s">
        <v>689</v>
      </c>
      <c r="CQ1136" s="496" t="s">
        <v>3343</v>
      </c>
      <c r="CR1136" s="496" t="s">
        <v>3343</v>
      </c>
      <c r="CS1136" s="496" t="s">
        <v>1554</v>
      </c>
      <c r="CT1136" s="496" t="s">
        <v>1555</v>
      </c>
      <c r="CU1136" s="496" t="s">
        <v>1981</v>
      </c>
      <c r="CV1136" s="497" t="s">
        <v>1982</v>
      </c>
      <c r="CX1136" s="543">
        <v>1</v>
      </c>
    </row>
    <row r="1137" spans="91:102" ht="21" customHeight="1">
      <c r="CM1137" s="494"/>
      <c r="CN1137" s="496" t="s">
        <v>3344</v>
      </c>
      <c r="CO1137" s="496" t="s">
        <v>8</v>
      </c>
      <c r="CP1137" s="496" t="s">
        <v>689</v>
      </c>
      <c r="CQ1137" s="496" t="s">
        <v>3345</v>
      </c>
      <c r="CR1137" s="496" t="s">
        <v>3345</v>
      </c>
      <c r="CS1137" s="496" t="s">
        <v>1554</v>
      </c>
      <c r="CT1137" s="496" t="s">
        <v>1555</v>
      </c>
      <c r="CU1137" s="496" t="s">
        <v>1981</v>
      </c>
      <c r="CV1137" s="497" t="s">
        <v>1982</v>
      </c>
      <c r="CX1137" s="543">
        <v>1</v>
      </c>
    </row>
    <row r="1138" spans="91:102" ht="21" customHeight="1">
      <c r="CM1138" s="494"/>
      <c r="CN1138" s="496" t="s">
        <v>3346</v>
      </c>
      <c r="CO1138" s="496" t="s">
        <v>8</v>
      </c>
      <c r="CP1138" s="496" t="s">
        <v>689</v>
      </c>
      <c r="CQ1138" s="496" t="s">
        <v>3347</v>
      </c>
      <c r="CR1138" s="496" t="s">
        <v>3347</v>
      </c>
      <c r="CS1138" s="496" t="s">
        <v>1554</v>
      </c>
      <c r="CT1138" s="496" t="s">
        <v>1555</v>
      </c>
      <c r="CU1138" s="496" t="s">
        <v>1981</v>
      </c>
      <c r="CV1138" s="497" t="s">
        <v>1982</v>
      </c>
      <c r="CX1138" s="543">
        <v>1</v>
      </c>
    </row>
    <row r="1139" spans="91:102" ht="21" customHeight="1">
      <c r="CM1139" s="494"/>
      <c r="CN1139" s="496" t="s">
        <v>3348</v>
      </c>
      <c r="CO1139" s="496" t="s">
        <v>8</v>
      </c>
      <c r="CP1139" s="496" t="s">
        <v>689</v>
      </c>
      <c r="CQ1139" s="496" t="s">
        <v>3349</v>
      </c>
      <c r="CR1139" s="496" t="s">
        <v>3349</v>
      </c>
      <c r="CS1139" s="496" t="s">
        <v>1554</v>
      </c>
      <c r="CT1139" s="496" t="s">
        <v>1555</v>
      </c>
      <c r="CU1139" s="496" t="s">
        <v>1981</v>
      </c>
      <c r="CV1139" s="497" t="s">
        <v>1982</v>
      </c>
      <c r="CX1139" s="543">
        <v>1</v>
      </c>
    </row>
    <row r="1140" spans="91:102" ht="21" customHeight="1">
      <c r="CM1140" s="494"/>
      <c r="CN1140" s="496" t="s">
        <v>3350</v>
      </c>
      <c r="CO1140" s="496" t="s">
        <v>8</v>
      </c>
      <c r="CP1140" s="496" t="s">
        <v>689</v>
      </c>
      <c r="CQ1140" s="496" t="s">
        <v>3351</v>
      </c>
      <c r="CR1140" s="496" t="s">
        <v>3351</v>
      </c>
      <c r="CS1140" s="496" t="s">
        <v>1554</v>
      </c>
      <c r="CT1140" s="496" t="s">
        <v>1555</v>
      </c>
      <c r="CU1140" s="496" t="s">
        <v>1981</v>
      </c>
      <c r="CV1140" s="497" t="s">
        <v>1982</v>
      </c>
      <c r="CX1140" s="543">
        <v>1</v>
      </c>
    </row>
    <row r="1141" spans="91:102" ht="21" customHeight="1">
      <c r="CM1141" s="494"/>
      <c r="CN1141" s="496" t="s">
        <v>3352</v>
      </c>
      <c r="CO1141" s="496" t="s">
        <v>8</v>
      </c>
      <c r="CP1141" s="496" t="s">
        <v>689</v>
      </c>
      <c r="CQ1141" s="496" t="s">
        <v>3353</v>
      </c>
      <c r="CR1141" s="496" t="s">
        <v>3353</v>
      </c>
      <c r="CS1141" s="496" t="s">
        <v>1554</v>
      </c>
      <c r="CT1141" s="496" t="s">
        <v>1555</v>
      </c>
      <c r="CU1141" s="496" t="s">
        <v>1981</v>
      </c>
      <c r="CV1141" s="497" t="s">
        <v>1982</v>
      </c>
      <c r="CX1141" s="543">
        <v>1</v>
      </c>
    </row>
    <row r="1142" spans="91:102" ht="21" customHeight="1">
      <c r="CM1142" s="494"/>
      <c r="CN1142" s="496" t="s">
        <v>3354</v>
      </c>
      <c r="CO1142" s="496" t="s">
        <v>8</v>
      </c>
      <c r="CP1142" s="496" t="s">
        <v>689</v>
      </c>
      <c r="CQ1142" s="496" t="s">
        <v>3355</v>
      </c>
      <c r="CR1142" s="496" t="s">
        <v>3355</v>
      </c>
      <c r="CS1142" s="496" t="s">
        <v>1554</v>
      </c>
      <c r="CT1142" s="496" t="s">
        <v>1555</v>
      </c>
      <c r="CU1142" s="496" t="s">
        <v>1981</v>
      </c>
      <c r="CV1142" s="497" t="s">
        <v>1982</v>
      </c>
      <c r="CX1142" s="543">
        <v>1</v>
      </c>
    </row>
    <row r="1143" spans="91:102" ht="21" customHeight="1">
      <c r="CM1143" s="494"/>
      <c r="CN1143" s="496" t="s">
        <v>3356</v>
      </c>
      <c r="CO1143" s="496" t="s">
        <v>8</v>
      </c>
      <c r="CP1143" s="496" t="s">
        <v>689</v>
      </c>
      <c r="CQ1143" s="496" t="s">
        <v>3357</v>
      </c>
      <c r="CR1143" s="496" t="s">
        <v>3357</v>
      </c>
      <c r="CS1143" s="496" t="s">
        <v>1554</v>
      </c>
      <c r="CT1143" s="496" t="s">
        <v>1555</v>
      </c>
      <c r="CU1143" s="496" t="s">
        <v>1981</v>
      </c>
      <c r="CV1143" s="497" t="s">
        <v>1982</v>
      </c>
      <c r="CX1143" s="543">
        <v>1</v>
      </c>
    </row>
    <row r="1144" spans="91:102" ht="21" customHeight="1">
      <c r="CM1144" s="494"/>
      <c r="CN1144" s="496" t="s">
        <v>3358</v>
      </c>
      <c r="CO1144" s="496" t="s">
        <v>8</v>
      </c>
      <c r="CP1144" s="496" t="s">
        <v>689</v>
      </c>
      <c r="CQ1144" s="496" t="s">
        <v>3359</v>
      </c>
      <c r="CR1144" s="496" t="s">
        <v>3359</v>
      </c>
      <c r="CS1144" s="496" t="s">
        <v>1554</v>
      </c>
      <c r="CT1144" s="496" t="s">
        <v>1555</v>
      </c>
      <c r="CU1144" s="496" t="s">
        <v>1981</v>
      </c>
      <c r="CV1144" s="497" t="s">
        <v>1982</v>
      </c>
      <c r="CX1144" s="543">
        <v>1</v>
      </c>
    </row>
    <row r="1145" spans="91:102" ht="21" customHeight="1">
      <c r="CM1145" s="494"/>
      <c r="CN1145" s="496" t="s">
        <v>3360</v>
      </c>
      <c r="CO1145" s="496" t="s">
        <v>8</v>
      </c>
      <c r="CP1145" s="496" t="s">
        <v>689</v>
      </c>
      <c r="CQ1145" s="496" t="s">
        <v>3361</v>
      </c>
      <c r="CR1145" s="496" t="s">
        <v>3361</v>
      </c>
      <c r="CS1145" s="496" t="s">
        <v>1554</v>
      </c>
      <c r="CT1145" s="496" t="s">
        <v>1555</v>
      </c>
      <c r="CU1145" s="496" t="s">
        <v>1981</v>
      </c>
      <c r="CV1145" s="497" t="s">
        <v>1982</v>
      </c>
      <c r="CX1145" s="543">
        <v>1</v>
      </c>
    </row>
    <row r="1146" spans="91:102" ht="21" customHeight="1">
      <c r="CM1146" s="494"/>
      <c r="CN1146" s="496" t="s">
        <v>3362</v>
      </c>
      <c r="CO1146" s="496" t="s">
        <v>8</v>
      </c>
      <c r="CP1146" s="496" t="s">
        <v>689</v>
      </c>
      <c r="CQ1146" s="496" t="s">
        <v>3363</v>
      </c>
      <c r="CR1146" s="496" t="s">
        <v>3363</v>
      </c>
      <c r="CS1146" s="496" t="s">
        <v>1554</v>
      </c>
      <c r="CT1146" s="496" t="s">
        <v>1555</v>
      </c>
      <c r="CU1146" s="496" t="s">
        <v>1981</v>
      </c>
      <c r="CV1146" s="497" t="s">
        <v>1982</v>
      </c>
      <c r="CX1146" s="543">
        <v>1</v>
      </c>
    </row>
    <row r="1147" spans="91:102" ht="21" customHeight="1">
      <c r="CM1147" s="494"/>
      <c r="CN1147" s="496" t="s">
        <v>3364</v>
      </c>
      <c r="CO1147" s="496" t="s">
        <v>8</v>
      </c>
      <c r="CP1147" s="496" t="s">
        <v>689</v>
      </c>
      <c r="CQ1147" s="496" t="s">
        <v>3365</v>
      </c>
      <c r="CR1147" s="496" t="s">
        <v>3365</v>
      </c>
      <c r="CS1147" s="496" t="s">
        <v>1554</v>
      </c>
      <c r="CT1147" s="496" t="s">
        <v>1555</v>
      </c>
      <c r="CU1147" s="496" t="s">
        <v>1981</v>
      </c>
      <c r="CV1147" s="497" t="s">
        <v>1982</v>
      </c>
      <c r="CX1147" s="543">
        <v>1</v>
      </c>
    </row>
    <row r="1148" spans="91:102" ht="21" customHeight="1">
      <c r="CM1148" s="494"/>
      <c r="CN1148" s="496" t="s">
        <v>3366</v>
      </c>
      <c r="CO1148" s="496" t="s">
        <v>8</v>
      </c>
      <c r="CP1148" s="496" t="s">
        <v>689</v>
      </c>
      <c r="CQ1148" s="496" t="s">
        <v>3367</v>
      </c>
      <c r="CR1148" s="496" t="s">
        <v>3367</v>
      </c>
      <c r="CS1148" s="496" t="s">
        <v>1554</v>
      </c>
      <c r="CT1148" s="496" t="s">
        <v>1555</v>
      </c>
      <c r="CU1148" s="496" t="s">
        <v>1981</v>
      </c>
      <c r="CV1148" s="497" t="s">
        <v>1982</v>
      </c>
      <c r="CX1148" s="543">
        <v>1</v>
      </c>
    </row>
    <row r="1149" spans="91:102" ht="21" customHeight="1">
      <c r="CM1149" s="494"/>
      <c r="CN1149" s="496" t="s">
        <v>3368</v>
      </c>
      <c r="CO1149" s="496" t="s">
        <v>8</v>
      </c>
      <c r="CP1149" s="496" t="s">
        <v>689</v>
      </c>
      <c r="CQ1149" s="496" t="s">
        <v>3369</v>
      </c>
      <c r="CR1149" s="496" t="s">
        <v>3369</v>
      </c>
      <c r="CS1149" s="496" t="s">
        <v>1554</v>
      </c>
      <c r="CT1149" s="496" t="s">
        <v>1555</v>
      </c>
      <c r="CU1149" s="496" t="s">
        <v>1981</v>
      </c>
      <c r="CV1149" s="497" t="s">
        <v>1982</v>
      </c>
      <c r="CX1149" s="543">
        <v>1</v>
      </c>
    </row>
    <row r="1150" spans="91:102" ht="21" customHeight="1">
      <c r="CM1150" s="494"/>
      <c r="CN1150" s="496" t="s">
        <v>3370</v>
      </c>
      <c r="CO1150" s="496" t="s">
        <v>8</v>
      </c>
      <c r="CP1150" s="496" t="s">
        <v>689</v>
      </c>
      <c r="CQ1150" s="496" t="s">
        <v>1046</v>
      </c>
      <c r="CR1150" s="496" t="s">
        <v>1046</v>
      </c>
      <c r="CS1150" s="496" t="s">
        <v>1085</v>
      </c>
      <c r="CT1150" s="496" t="s">
        <v>2063</v>
      </c>
      <c r="CU1150" s="496" t="s">
        <v>1087</v>
      </c>
      <c r="CV1150" s="497" t="s">
        <v>1088</v>
      </c>
      <c r="CX1150" s="543">
        <v>1</v>
      </c>
    </row>
    <row r="1151" spans="91:102" ht="21" customHeight="1">
      <c r="CM1151" s="494"/>
      <c r="CN1151" s="496" t="s">
        <v>3371</v>
      </c>
      <c r="CO1151" s="496" t="s">
        <v>8</v>
      </c>
      <c r="CP1151" s="496" t="s">
        <v>689</v>
      </c>
      <c r="CQ1151" s="496" t="s">
        <v>3372</v>
      </c>
      <c r="CR1151" s="496" t="s">
        <v>3372</v>
      </c>
      <c r="CS1151" s="496" t="s">
        <v>1554</v>
      </c>
      <c r="CT1151" s="496" t="s">
        <v>1555</v>
      </c>
      <c r="CU1151" s="496" t="s">
        <v>1981</v>
      </c>
      <c r="CV1151" s="497" t="s">
        <v>1982</v>
      </c>
      <c r="CX1151" s="543">
        <v>1</v>
      </c>
    </row>
    <row r="1152" spans="91:102" ht="21" customHeight="1">
      <c r="CM1152" s="494"/>
      <c r="CN1152" s="496" t="s">
        <v>3373</v>
      </c>
      <c r="CO1152" s="496" t="s">
        <v>8</v>
      </c>
      <c r="CP1152" s="496" t="s">
        <v>689</v>
      </c>
      <c r="CQ1152" s="496" t="s">
        <v>3374</v>
      </c>
      <c r="CR1152" s="496" t="s">
        <v>3374</v>
      </c>
      <c r="CS1152" s="496" t="s">
        <v>1554</v>
      </c>
      <c r="CT1152" s="496" t="s">
        <v>1555</v>
      </c>
      <c r="CU1152" s="496" t="s">
        <v>1981</v>
      </c>
      <c r="CV1152" s="497" t="s">
        <v>1982</v>
      </c>
      <c r="CX1152" s="543">
        <v>1</v>
      </c>
    </row>
    <row r="1153" spans="91:102" ht="21" customHeight="1">
      <c r="CM1153" s="494"/>
      <c r="CN1153" s="496" t="s">
        <v>3375</v>
      </c>
      <c r="CO1153" s="496" t="s">
        <v>8</v>
      </c>
      <c r="CP1153" s="496" t="s">
        <v>689</v>
      </c>
      <c r="CQ1153" s="496" t="s">
        <v>3376</v>
      </c>
      <c r="CR1153" s="496" t="s">
        <v>3376</v>
      </c>
      <c r="CS1153" s="496" t="s">
        <v>1554</v>
      </c>
      <c r="CT1153" s="496" t="s">
        <v>1555</v>
      </c>
      <c r="CU1153" s="496" t="s">
        <v>1981</v>
      </c>
      <c r="CV1153" s="497" t="s">
        <v>1982</v>
      </c>
      <c r="CX1153" s="543">
        <v>1</v>
      </c>
    </row>
    <row r="1154" spans="91:102" ht="21" customHeight="1">
      <c r="CM1154" s="494"/>
      <c r="CN1154" s="496" t="s">
        <v>3377</v>
      </c>
      <c r="CO1154" s="496" t="s">
        <v>8</v>
      </c>
      <c r="CP1154" s="496" t="s">
        <v>689</v>
      </c>
      <c r="CQ1154" s="496" t="s">
        <v>3378</v>
      </c>
      <c r="CR1154" s="496" t="s">
        <v>3378</v>
      </c>
      <c r="CS1154" s="496" t="s">
        <v>1554</v>
      </c>
      <c r="CT1154" s="496" t="s">
        <v>1555</v>
      </c>
      <c r="CU1154" s="496" t="s">
        <v>1981</v>
      </c>
      <c r="CV1154" s="497" t="s">
        <v>1982</v>
      </c>
      <c r="CX1154" s="543">
        <v>1</v>
      </c>
    </row>
    <row r="1155" spans="91:102" ht="21" customHeight="1">
      <c r="CM1155" s="494"/>
      <c r="CN1155" s="496" t="s">
        <v>3379</v>
      </c>
      <c r="CO1155" s="496" t="s">
        <v>8</v>
      </c>
      <c r="CP1155" s="496" t="s">
        <v>689</v>
      </c>
      <c r="CQ1155" s="496" t="s">
        <v>1047</v>
      </c>
      <c r="CR1155" s="496" t="s">
        <v>1047</v>
      </c>
      <c r="CS1155" s="496" t="s">
        <v>1554</v>
      </c>
      <c r="CT1155" s="496" t="s">
        <v>1555</v>
      </c>
      <c r="CU1155" s="496" t="s">
        <v>1981</v>
      </c>
      <c r="CV1155" s="497" t="s">
        <v>1982</v>
      </c>
      <c r="CX1155" s="543">
        <v>1</v>
      </c>
    </row>
    <row r="1156" spans="91:102" ht="21" customHeight="1">
      <c r="CM1156" s="494"/>
      <c r="CN1156" s="496" t="s">
        <v>3380</v>
      </c>
      <c r="CO1156" s="496" t="s">
        <v>8</v>
      </c>
      <c r="CP1156" s="496" t="s">
        <v>689</v>
      </c>
      <c r="CQ1156" s="496" t="s">
        <v>1048</v>
      </c>
      <c r="CR1156" s="496" t="s">
        <v>1048</v>
      </c>
      <c r="CS1156" s="496" t="s">
        <v>1554</v>
      </c>
      <c r="CT1156" s="496" t="s">
        <v>1555</v>
      </c>
      <c r="CU1156" s="496" t="s">
        <v>1981</v>
      </c>
      <c r="CV1156" s="497" t="s">
        <v>1982</v>
      </c>
      <c r="CX1156" s="543">
        <v>1</v>
      </c>
    </row>
    <row r="1157" spans="91:102" ht="21" customHeight="1">
      <c r="CM1157" s="494"/>
      <c r="CN1157" s="496" t="s">
        <v>3381</v>
      </c>
      <c r="CO1157" s="496" t="s">
        <v>8</v>
      </c>
      <c r="CP1157" s="496" t="s">
        <v>689</v>
      </c>
      <c r="CQ1157" s="496" t="s">
        <v>3382</v>
      </c>
      <c r="CR1157" s="496" t="s">
        <v>3382</v>
      </c>
      <c r="CS1157" s="496" t="s">
        <v>1554</v>
      </c>
      <c r="CT1157" s="496" t="s">
        <v>1555</v>
      </c>
      <c r="CU1157" s="496" t="s">
        <v>1981</v>
      </c>
      <c r="CV1157" s="497" t="s">
        <v>1982</v>
      </c>
      <c r="CX1157" s="543">
        <v>1</v>
      </c>
    </row>
    <row r="1158" spans="91:102" ht="21" customHeight="1">
      <c r="CM1158" s="494"/>
      <c r="CN1158" s="496" t="s">
        <v>3383</v>
      </c>
      <c r="CO1158" s="496" t="s">
        <v>8</v>
      </c>
      <c r="CP1158" s="496" t="s">
        <v>689</v>
      </c>
      <c r="CQ1158" s="496" t="s">
        <v>3384</v>
      </c>
      <c r="CR1158" s="496" t="s">
        <v>3384</v>
      </c>
      <c r="CS1158" s="496" t="s">
        <v>1554</v>
      </c>
      <c r="CT1158" s="496" t="s">
        <v>1555</v>
      </c>
      <c r="CU1158" s="496" t="s">
        <v>1981</v>
      </c>
      <c r="CV1158" s="497" t="s">
        <v>1982</v>
      </c>
      <c r="CX1158" s="543">
        <v>1</v>
      </c>
    </row>
    <row r="1159" spans="91:102" ht="21" customHeight="1">
      <c r="CM1159" s="494"/>
      <c r="CN1159" s="496" t="s">
        <v>3385</v>
      </c>
      <c r="CO1159" s="496" t="s">
        <v>8</v>
      </c>
      <c r="CP1159" s="496" t="s">
        <v>689</v>
      </c>
      <c r="CQ1159" s="496" t="s">
        <v>3386</v>
      </c>
      <c r="CR1159" s="496" t="s">
        <v>3386</v>
      </c>
      <c r="CS1159" s="496" t="s">
        <v>1554</v>
      </c>
      <c r="CT1159" s="496" t="s">
        <v>1555</v>
      </c>
      <c r="CU1159" s="496" t="s">
        <v>1981</v>
      </c>
      <c r="CV1159" s="497" t="s">
        <v>1982</v>
      </c>
      <c r="CX1159" s="543">
        <v>1</v>
      </c>
    </row>
    <row r="1160" spans="91:102" ht="21" customHeight="1">
      <c r="CM1160" s="494"/>
      <c r="CN1160" s="496" t="s">
        <v>3387</v>
      </c>
      <c r="CO1160" s="496" t="s">
        <v>8</v>
      </c>
      <c r="CP1160" s="496" t="s">
        <v>689</v>
      </c>
      <c r="CQ1160" s="496" t="s">
        <v>3388</v>
      </c>
      <c r="CR1160" s="496" t="s">
        <v>3388</v>
      </c>
      <c r="CS1160" s="496" t="s">
        <v>1554</v>
      </c>
      <c r="CT1160" s="496" t="s">
        <v>1555</v>
      </c>
      <c r="CU1160" s="496" t="s">
        <v>1981</v>
      </c>
      <c r="CV1160" s="497" t="s">
        <v>1982</v>
      </c>
      <c r="CX1160" s="543">
        <v>1</v>
      </c>
    </row>
    <row r="1161" spans="91:102" ht="21" customHeight="1">
      <c r="CM1161" s="494"/>
      <c r="CN1161" s="496" t="s">
        <v>3389</v>
      </c>
      <c r="CO1161" s="496" t="s">
        <v>8</v>
      </c>
      <c r="CP1161" s="496" t="s">
        <v>689</v>
      </c>
      <c r="CQ1161" s="496" t="s">
        <v>3390</v>
      </c>
      <c r="CR1161" s="496" t="s">
        <v>3390</v>
      </c>
      <c r="CS1161" s="496" t="s">
        <v>1554</v>
      </c>
      <c r="CT1161" s="496" t="s">
        <v>1555</v>
      </c>
      <c r="CU1161" s="496" t="s">
        <v>1981</v>
      </c>
      <c r="CV1161" s="497" t="s">
        <v>1982</v>
      </c>
      <c r="CX1161" s="543">
        <v>1</v>
      </c>
    </row>
    <row r="1162" spans="91:102" ht="21" customHeight="1">
      <c r="CM1162" s="494"/>
      <c r="CN1162" s="496" t="s">
        <v>3391</v>
      </c>
      <c r="CO1162" s="496" t="s">
        <v>8</v>
      </c>
      <c r="CP1162" s="496" t="s">
        <v>689</v>
      </c>
      <c r="CQ1162" s="496" t="s">
        <v>3392</v>
      </c>
      <c r="CR1162" s="496" t="s">
        <v>3392</v>
      </c>
      <c r="CS1162" s="496" t="s">
        <v>1554</v>
      </c>
      <c r="CT1162" s="496" t="s">
        <v>1555</v>
      </c>
      <c r="CU1162" s="496" t="s">
        <v>1981</v>
      </c>
      <c r="CV1162" s="497" t="s">
        <v>1982</v>
      </c>
      <c r="CX1162" s="543">
        <v>1</v>
      </c>
    </row>
    <row r="1163" spans="91:102" ht="21" customHeight="1">
      <c r="CM1163" s="494"/>
      <c r="CN1163" s="496" t="s">
        <v>3393</v>
      </c>
      <c r="CO1163" s="496" t="s">
        <v>8</v>
      </c>
      <c r="CP1163" s="496" t="s">
        <v>689</v>
      </c>
      <c r="CQ1163" s="496" t="s">
        <v>3394</v>
      </c>
      <c r="CR1163" s="496" t="s">
        <v>3394</v>
      </c>
      <c r="CS1163" s="496" t="s">
        <v>1554</v>
      </c>
      <c r="CT1163" s="496" t="s">
        <v>1555</v>
      </c>
      <c r="CU1163" s="496" t="s">
        <v>1981</v>
      </c>
      <c r="CV1163" s="497" t="s">
        <v>1982</v>
      </c>
      <c r="CX1163" s="543">
        <v>1</v>
      </c>
    </row>
    <row r="1164" spans="91:102" ht="21" customHeight="1">
      <c r="CM1164" s="494"/>
      <c r="CN1164" s="496" t="s">
        <v>3395</v>
      </c>
      <c r="CO1164" s="496" t="s">
        <v>8</v>
      </c>
      <c r="CP1164" s="496" t="s">
        <v>689</v>
      </c>
      <c r="CQ1164" s="496" t="s">
        <v>3396</v>
      </c>
      <c r="CR1164" s="496" t="s">
        <v>3396</v>
      </c>
      <c r="CS1164" s="496" t="s">
        <v>1554</v>
      </c>
      <c r="CT1164" s="496" t="s">
        <v>1555</v>
      </c>
      <c r="CU1164" s="496" t="s">
        <v>1981</v>
      </c>
      <c r="CV1164" s="497" t="s">
        <v>1982</v>
      </c>
      <c r="CX1164" s="543">
        <v>1</v>
      </c>
    </row>
    <row r="1165" spans="91:102" ht="21" customHeight="1">
      <c r="CM1165" s="494"/>
      <c r="CN1165" s="496" t="s">
        <v>3397</v>
      </c>
      <c r="CO1165" s="496" t="s">
        <v>8</v>
      </c>
      <c r="CP1165" s="496" t="s">
        <v>689</v>
      </c>
      <c r="CQ1165" s="496" t="s">
        <v>3398</v>
      </c>
      <c r="CR1165" s="496" t="s">
        <v>3398</v>
      </c>
      <c r="CS1165" s="496" t="s">
        <v>1554</v>
      </c>
      <c r="CT1165" s="496" t="s">
        <v>1555</v>
      </c>
      <c r="CU1165" s="496" t="s">
        <v>1981</v>
      </c>
      <c r="CV1165" s="497" t="s">
        <v>1982</v>
      </c>
      <c r="CX1165" s="543">
        <v>1</v>
      </c>
    </row>
    <row r="1166" spans="91:102" ht="21" customHeight="1">
      <c r="CM1166" s="494"/>
      <c r="CN1166" s="496" t="s">
        <v>3399</v>
      </c>
      <c r="CO1166" s="496" t="s">
        <v>8</v>
      </c>
      <c r="CP1166" s="496" t="s">
        <v>689</v>
      </c>
      <c r="CQ1166" s="496" t="s">
        <v>3400</v>
      </c>
      <c r="CR1166" s="496" t="s">
        <v>3400</v>
      </c>
      <c r="CS1166" s="496" t="s">
        <v>1554</v>
      </c>
      <c r="CT1166" s="496" t="s">
        <v>1555</v>
      </c>
      <c r="CU1166" s="496" t="s">
        <v>1981</v>
      </c>
      <c r="CV1166" s="497" t="s">
        <v>1982</v>
      </c>
      <c r="CX1166" s="543">
        <v>1</v>
      </c>
    </row>
    <row r="1167" spans="91:102" ht="21" customHeight="1">
      <c r="CM1167" s="494"/>
      <c r="CN1167" s="496" t="s">
        <v>3401</v>
      </c>
      <c r="CO1167" s="496" t="s">
        <v>8</v>
      </c>
      <c r="CP1167" s="496" t="s">
        <v>689</v>
      </c>
      <c r="CQ1167" s="496" t="s">
        <v>3402</v>
      </c>
      <c r="CR1167" s="496" t="s">
        <v>3402</v>
      </c>
      <c r="CS1167" s="496" t="s">
        <v>1554</v>
      </c>
      <c r="CT1167" s="496" t="s">
        <v>1555</v>
      </c>
      <c r="CU1167" s="496" t="s">
        <v>1981</v>
      </c>
      <c r="CV1167" s="497" t="s">
        <v>1982</v>
      </c>
      <c r="CX1167" s="543">
        <v>1</v>
      </c>
    </row>
    <row r="1168" spans="91:102" ht="21" customHeight="1">
      <c r="CM1168" s="494"/>
      <c r="CN1168" s="496" t="s">
        <v>3403</v>
      </c>
      <c r="CO1168" s="496" t="s">
        <v>8</v>
      </c>
      <c r="CP1168" s="496" t="s">
        <v>689</v>
      </c>
      <c r="CQ1168" s="496" t="s">
        <v>3404</v>
      </c>
      <c r="CR1168" s="496" t="s">
        <v>3404</v>
      </c>
      <c r="CS1168" s="496" t="s">
        <v>1554</v>
      </c>
      <c r="CT1168" s="496" t="s">
        <v>1555</v>
      </c>
      <c r="CU1168" s="496" t="s">
        <v>1981</v>
      </c>
      <c r="CV1168" s="497" t="s">
        <v>1982</v>
      </c>
      <c r="CX1168" s="543">
        <v>1</v>
      </c>
    </row>
    <row r="1169" spans="91:102" ht="21" customHeight="1">
      <c r="CM1169" s="494"/>
      <c r="CN1169" s="496" t="s">
        <v>3405</v>
      </c>
      <c r="CO1169" s="496" t="s">
        <v>8</v>
      </c>
      <c r="CP1169" s="496" t="s">
        <v>689</v>
      </c>
      <c r="CQ1169" s="496" t="s">
        <v>3406</v>
      </c>
      <c r="CR1169" s="496" t="s">
        <v>3406</v>
      </c>
      <c r="CS1169" s="496" t="s">
        <v>1554</v>
      </c>
      <c r="CT1169" s="496" t="s">
        <v>1555</v>
      </c>
      <c r="CU1169" s="496" t="s">
        <v>1981</v>
      </c>
      <c r="CV1169" s="497" t="s">
        <v>1982</v>
      </c>
      <c r="CX1169" s="543">
        <v>1</v>
      </c>
    </row>
    <row r="1170" spans="91:102" ht="21" customHeight="1">
      <c r="CM1170" s="494"/>
      <c r="CN1170" s="496" t="s">
        <v>3407</v>
      </c>
      <c r="CO1170" s="496" t="s">
        <v>8</v>
      </c>
      <c r="CP1170" s="496" t="s">
        <v>689</v>
      </c>
      <c r="CQ1170" s="496" t="s">
        <v>3408</v>
      </c>
      <c r="CR1170" s="496" t="s">
        <v>3408</v>
      </c>
      <c r="CS1170" s="496" t="s">
        <v>1554</v>
      </c>
      <c r="CT1170" s="496" t="s">
        <v>1555</v>
      </c>
      <c r="CU1170" s="496" t="s">
        <v>1981</v>
      </c>
      <c r="CV1170" s="497" t="s">
        <v>1982</v>
      </c>
      <c r="CX1170" s="543">
        <v>1</v>
      </c>
    </row>
    <row r="1171" spans="91:102" ht="21" customHeight="1">
      <c r="CM1171" s="494"/>
      <c r="CN1171" s="496" t="s">
        <v>3409</v>
      </c>
      <c r="CO1171" s="496" t="s">
        <v>8</v>
      </c>
      <c r="CP1171" s="496" t="s">
        <v>689</v>
      </c>
      <c r="CQ1171" s="496" t="s">
        <v>3410</v>
      </c>
      <c r="CR1171" s="496" t="s">
        <v>3410</v>
      </c>
      <c r="CS1171" s="496" t="s">
        <v>1554</v>
      </c>
      <c r="CT1171" s="496" t="s">
        <v>1555</v>
      </c>
      <c r="CU1171" s="496" t="s">
        <v>1981</v>
      </c>
      <c r="CV1171" s="497" t="s">
        <v>1982</v>
      </c>
      <c r="CX1171" s="543">
        <v>1</v>
      </c>
    </row>
    <row r="1172" spans="91:102" ht="21" customHeight="1">
      <c r="CM1172" s="494"/>
      <c r="CN1172" s="496" t="s">
        <v>3411</v>
      </c>
      <c r="CO1172" s="496" t="s">
        <v>8</v>
      </c>
      <c r="CP1172" s="496" t="s">
        <v>689</v>
      </c>
      <c r="CQ1172" s="496" t="s">
        <v>1049</v>
      </c>
      <c r="CR1172" s="496" t="s">
        <v>1049</v>
      </c>
      <c r="CS1172" s="496" t="s">
        <v>1554</v>
      </c>
      <c r="CT1172" s="496" t="s">
        <v>1555</v>
      </c>
      <c r="CU1172" s="496" t="s">
        <v>1981</v>
      </c>
      <c r="CV1172" s="497" t="s">
        <v>1982</v>
      </c>
      <c r="CX1172" s="543">
        <v>1</v>
      </c>
    </row>
    <row r="1173" spans="91:102" ht="21" customHeight="1">
      <c r="CM1173" s="494"/>
      <c r="CN1173" s="496" t="s">
        <v>3412</v>
      </c>
      <c r="CO1173" s="496" t="s">
        <v>8</v>
      </c>
      <c r="CP1173" s="496" t="s">
        <v>689</v>
      </c>
      <c r="CQ1173" s="496" t="s">
        <v>3413</v>
      </c>
      <c r="CR1173" s="496" t="s">
        <v>3413</v>
      </c>
      <c r="CS1173" s="496" t="s">
        <v>1554</v>
      </c>
      <c r="CT1173" s="496" t="s">
        <v>1555</v>
      </c>
      <c r="CU1173" s="496" t="s">
        <v>1981</v>
      </c>
      <c r="CV1173" s="497" t="s">
        <v>1982</v>
      </c>
      <c r="CX1173" s="543">
        <v>1</v>
      </c>
    </row>
    <row r="1174" spans="91:102" ht="21" customHeight="1">
      <c r="CM1174" s="494"/>
      <c r="CN1174" s="496" t="s">
        <v>3414</v>
      </c>
      <c r="CO1174" s="496" t="s">
        <v>8</v>
      </c>
      <c r="CP1174" s="496" t="s">
        <v>689</v>
      </c>
      <c r="CQ1174" s="496" t="s">
        <v>362</v>
      </c>
      <c r="CR1174" s="496" t="s">
        <v>362</v>
      </c>
      <c r="CS1174" s="496" t="s">
        <v>1151</v>
      </c>
      <c r="CT1174" s="496" t="s">
        <v>1152</v>
      </c>
      <c r="CU1174" s="496" t="s">
        <v>1087</v>
      </c>
      <c r="CV1174" s="497" t="s">
        <v>1153</v>
      </c>
      <c r="CX1174" s="543">
        <v>1</v>
      </c>
    </row>
    <row r="1175" spans="91:102" ht="21" customHeight="1">
      <c r="CM1175" s="494"/>
      <c r="CN1175" s="496" t="s">
        <v>3415</v>
      </c>
      <c r="CO1175" s="496" t="s">
        <v>8</v>
      </c>
      <c r="CP1175" s="496" t="s">
        <v>689</v>
      </c>
      <c r="CQ1175" s="496" t="s">
        <v>1050</v>
      </c>
      <c r="CR1175" s="496" t="s">
        <v>1050</v>
      </c>
      <c r="CS1175" s="496" t="s">
        <v>1554</v>
      </c>
      <c r="CT1175" s="496" t="s">
        <v>1555</v>
      </c>
      <c r="CU1175" s="496" t="s">
        <v>1981</v>
      </c>
      <c r="CV1175" s="497" t="s">
        <v>1982</v>
      </c>
      <c r="CX1175" s="543">
        <v>1</v>
      </c>
    </row>
    <row r="1176" spans="91:102" ht="21" customHeight="1">
      <c r="CM1176" s="494"/>
      <c r="CN1176" s="496" t="s">
        <v>3416</v>
      </c>
      <c r="CO1176" s="496" t="s">
        <v>8</v>
      </c>
      <c r="CP1176" s="496" t="s">
        <v>689</v>
      </c>
      <c r="CQ1176" s="496" t="s">
        <v>3417</v>
      </c>
      <c r="CR1176" s="496" t="s">
        <v>3417</v>
      </c>
      <c r="CS1176" s="496" t="s">
        <v>1554</v>
      </c>
      <c r="CT1176" s="496" t="s">
        <v>1555</v>
      </c>
      <c r="CU1176" s="496" t="s">
        <v>1981</v>
      </c>
      <c r="CV1176" s="497" t="s">
        <v>1982</v>
      </c>
      <c r="CX1176" s="543">
        <v>1</v>
      </c>
    </row>
    <row r="1177" spans="91:102" ht="21" customHeight="1">
      <c r="CM1177" s="494"/>
      <c r="CN1177" s="496" t="s">
        <v>3418</v>
      </c>
      <c r="CO1177" s="496" t="s">
        <v>8</v>
      </c>
      <c r="CP1177" s="496" t="s">
        <v>689</v>
      </c>
      <c r="CQ1177" s="496" t="s">
        <v>3419</v>
      </c>
      <c r="CR1177" s="496" t="s">
        <v>3419</v>
      </c>
      <c r="CS1177" s="496" t="s">
        <v>1554</v>
      </c>
      <c r="CT1177" s="496" t="s">
        <v>1555</v>
      </c>
      <c r="CU1177" s="496" t="s">
        <v>1981</v>
      </c>
      <c r="CV1177" s="497" t="s">
        <v>1982</v>
      </c>
      <c r="CX1177" s="543">
        <v>1</v>
      </c>
    </row>
    <row r="1178" spans="91:102" ht="21" customHeight="1">
      <c r="CM1178" s="494"/>
      <c r="CN1178" s="496" t="s">
        <v>3420</v>
      </c>
      <c r="CO1178" s="496" t="s">
        <v>8</v>
      </c>
      <c r="CP1178" s="496" t="s">
        <v>689</v>
      </c>
      <c r="CQ1178" s="496" t="s">
        <v>3421</v>
      </c>
      <c r="CR1178" s="496" t="s">
        <v>3421</v>
      </c>
      <c r="CS1178" s="496" t="s">
        <v>1554</v>
      </c>
      <c r="CT1178" s="496" t="s">
        <v>1555</v>
      </c>
      <c r="CU1178" s="496" t="s">
        <v>1981</v>
      </c>
      <c r="CV1178" s="497" t="s">
        <v>1982</v>
      </c>
      <c r="CX1178" s="543">
        <v>1</v>
      </c>
    </row>
    <row r="1179" spans="91:102" ht="21" customHeight="1">
      <c r="CM1179" s="494"/>
      <c r="CN1179" s="496" t="s">
        <v>3422</v>
      </c>
      <c r="CO1179" s="496" t="s">
        <v>8</v>
      </c>
      <c r="CP1179" s="496" t="s">
        <v>689</v>
      </c>
      <c r="CQ1179" s="496" t="s">
        <v>3423</v>
      </c>
      <c r="CR1179" s="496" t="s">
        <v>3423</v>
      </c>
      <c r="CS1179" s="496" t="s">
        <v>1554</v>
      </c>
      <c r="CT1179" s="496" t="s">
        <v>1555</v>
      </c>
      <c r="CU1179" s="496" t="s">
        <v>1981</v>
      </c>
      <c r="CV1179" s="497" t="s">
        <v>1982</v>
      </c>
      <c r="CX1179" s="543">
        <v>1</v>
      </c>
    </row>
    <row r="1180" spans="91:102" ht="21" customHeight="1">
      <c r="CM1180" s="494"/>
      <c r="CN1180" s="496" t="s">
        <v>3424</v>
      </c>
      <c r="CO1180" s="496" t="s">
        <v>8</v>
      </c>
      <c r="CP1180" s="496" t="s">
        <v>689</v>
      </c>
      <c r="CQ1180" s="496" t="s">
        <v>3425</v>
      </c>
      <c r="CR1180" s="496" t="s">
        <v>3425</v>
      </c>
      <c r="CS1180" s="496" t="s">
        <v>1554</v>
      </c>
      <c r="CT1180" s="496" t="s">
        <v>1555</v>
      </c>
      <c r="CU1180" s="496" t="s">
        <v>1981</v>
      </c>
      <c r="CV1180" s="497" t="s">
        <v>1982</v>
      </c>
      <c r="CX1180" s="543">
        <v>1</v>
      </c>
    </row>
    <row r="1181" spans="91:102" ht="21" customHeight="1">
      <c r="CM1181" s="494"/>
      <c r="CN1181" s="496" t="s">
        <v>3426</v>
      </c>
      <c r="CO1181" s="496" t="s">
        <v>8</v>
      </c>
      <c r="CP1181" s="496" t="s">
        <v>689</v>
      </c>
      <c r="CQ1181" s="496" t="s">
        <v>3427</v>
      </c>
      <c r="CR1181" s="496" t="s">
        <v>3427</v>
      </c>
      <c r="CS1181" s="496" t="s">
        <v>1554</v>
      </c>
      <c r="CT1181" s="496" t="s">
        <v>1555</v>
      </c>
      <c r="CU1181" s="496" t="s">
        <v>1981</v>
      </c>
      <c r="CV1181" s="497" t="s">
        <v>1982</v>
      </c>
      <c r="CX1181" s="543">
        <v>1</v>
      </c>
    </row>
    <row r="1182" spans="91:102" ht="21" customHeight="1">
      <c r="CM1182" s="494"/>
      <c r="CN1182" s="496" t="s">
        <v>3428</v>
      </c>
      <c r="CO1182" s="496" t="s">
        <v>8</v>
      </c>
      <c r="CP1182" s="496" t="s">
        <v>689</v>
      </c>
      <c r="CQ1182" s="496" t="s">
        <v>107</v>
      </c>
      <c r="CR1182" s="496" t="s">
        <v>107</v>
      </c>
      <c r="CS1182" s="496" t="s">
        <v>1554</v>
      </c>
      <c r="CT1182" s="496" t="s">
        <v>1555</v>
      </c>
      <c r="CU1182" s="496" t="s">
        <v>1981</v>
      </c>
      <c r="CV1182" s="497" t="s">
        <v>1982</v>
      </c>
      <c r="CX1182" s="543">
        <v>1</v>
      </c>
    </row>
    <row r="1183" spans="91:102" ht="21" customHeight="1">
      <c r="CM1183" s="494"/>
      <c r="CN1183" s="496" t="s">
        <v>3429</v>
      </c>
      <c r="CO1183" s="496" t="s">
        <v>8</v>
      </c>
      <c r="CP1183" s="496" t="s">
        <v>689</v>
      </c>
      <c r="CQ1183" s="496" t="s">
        <v>3430</v>
      </c>
      <c r="CR1183" s="496" t="s">
        <v>3430</v>
      </c>
      <c r="CS1183" s="496" t="s">
        <v>1554</v>
      </c>
      <c r="CT1183" s="496" t="s">
        <v>1555</v>
      </c>
      <c r="CU1183" s="496" t="s">
        <v>1981</v>
      </c>
      <c r="CV1183" s="497" t="s">
        <v>1982</v>
      </c>
      <c r="CX1183" s="543">
        <v>1</v>
      </c>
    </row>
    <row r="1184" spans="91:102" ht="21" customHeight="1">
      <c r="CM1184" s="494"/>
      <c r="CN1184" s="496" t="s">
        <v>3431</v>
      </c>
      <c r="CO1184" s="496" t="s">
        <v>8</v>
      </c>
      <c r="CP1184" s="496" t="s">
        <v>689</v>
      </c>
      <c r="CQ1184" s="496" t="s">
        <v>3432</v>
      </c>
      <c r="CR1184" s="496" t="s">
        <v>3432</v>
      </c>
      <c r="CS1184" s="496" t="s">
        <v>1554</v>
      </c>
      <c r="CT1184" s="496" t="s">
        <v>1555</v>
      </c>
      <c r="CU1184" s="496" t="s">
        <v>1981</v>
      </c>
      <c r="CV1184" s="497" t="s">
        <v>1982</v>
      </c>
      <c r="CX1184" s="543">
        <v>1</v>
      </c>
    </row>
    <row r="1185" spans="91:102" ht="21" customHeight="1">
      <c r="CM1185" s="494"/>
      <c r="CN1185" s="496" t="s">
        <v>3433</v>
      </c>
      <c r="CO1185" s="496" t="s">
        <v>8</v>
      </c>
      <c r="CP1185" s="496" t="s">
        <v>689</v>
      </c>
      <c r="CQ1185" s="496" t="s">
        <v>121</v>
      </c>
      <c r="CR1185" s="496" t="s">
        <v>121</v>
      </c>
      <c r="CS1185" s="496" t="s">
        <v>1151</v>
      </c>
      <c r="CT1185" s="496" t="s">
        <v>1152</v>
      </c>
      <c r="CU1185" s="496" t="s">
        <v>1087</v>
      </c>
      <c r="CV1185" s="497" t="s">
        <v>1153</v>
      </c>
      <c r="CX1185" s="543">
        <v>1</v>
      </c>
    </row>
    <row r="1186" spans="91:102" ht="21" customHeight="1">
      <c r="CM1186" s="494"/>
      <c r="CN1186" s="496" t="s">
        <v>3434</v>
      </c>
      <c r="CO1186" s="496" t="s">
        <v>8</v>
      </c>
      <c r="CP1186" s="496" t="s">
        <v>689</v>
      </c>
      <c r="CQ1186" s="496" t="s">
        <v>3435</v>
      </c>
      <c r="CR1186" s="496" t="s">
        <v>3435</v>
      </c>
      <c r="CS1186" s="496" t="s">
        <v>1554</v>
      </c>
      <c r="CT1186" s="496" t="s">
        <v>1555</v>
      </c>
      <c r="CU1186" s="496" t="s">
        <v>1981</v>
      </c>
      <c r="CV1186" s="497" t="s">
        <v>1982</v>
      </c>
      <c r="CX1186" s="543">
        <v>1</v>
      </c>
    </row>
    <row r="1187" spans="91:102" ht="21" customHeight="1">
      <c r="CM1187" s="494"/>
      <c r="CN1187" s="496" t="s">
        <v>3436</v>
      </c>
      <c r="CO1187" s="496" t="s">
        <v>8</v>
      </c>
      <c r="CP1187" s="496" t="s">
        <v>689</v>
      </c>
      <c r="CQ1187" s="496" t="s">
        <v>3437</v>
      </c>
      <c r="CR1187" s="496" t="s">
        <v>3437</v>
      </c>
      <c r="CS1187" s="496" t="s">
        <v>1554</v>
      </c>
      <c r="CT1187" s="496" t="s">
        <v>1555</v>
      </c>
      <c r="CU1187" s="496" t="s">
        <v>1981</v>
      </c>
      <c r="CV1187" s="497" t="s">
        <v>1982</v>
      </c>
      <c r="CX1187" s="543">
        <v>1</v>
      </c>
    </row>
    <row r="1188" spans="91:102" ht="21" customHeight="1">
      <c r="CM1188" s="494"/>
      <c r="CN1188" s="496" t="s">
        <v>3438</v>
      </c>
      <c r="CO1188" s="496" t="s">
        <v>8</v>
      </c>
      <c r="CP1188" s="496" t="s">
        <v>689</v>
      </c>
      <c r="CQ1188" s="496" t="s">
        <v>3439</v>
      </c>
      <c r="CR1188" s="496" t="s">
        <v>3439</v>
      </c>
      <c r="CS1188" s="496" t="s">
        <v>1554</v>
      </c>
      <c r="CT1188" s="496" t="s">
        <v>1555</v>
      </c>
      <c r="CU1188" s="496" t="s">
        <v>1981</v>
      </c>
      <c r="CV1188" s="497" t="s">
        <v>1982</v>
      </c>
      <c r="CX1188" s="543">
        <v>1</v>
      </c>
    </row>
    <row r="1189" spans="91:102" ht="21" customHeight="1">
      <c r="CM1189" s="494"/>
      <c r="CN1189" s="496" t="s">
        <v>3440</v>
      </c>
      <c r="CO1189" s="496" t="s">
        <v>8</v>
      </c>
      <c r="CP1189" s="496" t="s">
        <v>689</v>
      </c>
      <c r="CQ1189" s="496" t="s">
        <v>3441</v>
      </c>
      <c r="CR1189" s="496" t="s">
        <v>3441</v>
      </c>
      <c r="CS1189" s="496" t="s">
        <v>1554</v>
      </c>
      <c r="CT1189" s="496" t="s">
        <v>1555</v>
      </c>
      <c r="CU1189" s="496" t="s">
        <v>1981</v>
      </c>
      <c r="CV1189" s="497" t="s">
        <v>1982</v>
      </c>
      <c r="CX1189" s="543">
        <v>1</v>
      </c>
    </row>
    <row r="1190" spans="91:102" ht="21" customHeight="1">
      <c r="CM1190" s="494"/>
      <c r="CN1190" s="496" t="s">
        <v>3442</v>
      </c>
      <c r="CO1190" s="496" t="s">
        <v>8</v>
      </c>
      <c r="CP1190" s="496" t="s">
        <v>689</v>
      </c>
      <c r="CQ1190" s="496" t="s">
        <v>3443</v>
      </c>
      <c r="CR1190" s="496" t="s">
        <v>3443</v>
      </c>
      <c r="CS1190" s="496" t="s">
        <v>1554</v>
      </c>
      <c r="CT1190" s="496" t="s">
        <v>1555</v>
      </c>
      <c r="CU1190" s="496" t="s">
        <v>1981</v>
      </c>
      <c r="CV1190" s="497" t="s">
        <v>1982</v>
      </c>
      <c r="CX1190" s="543">
        <v>1</v>
      </c>
    </row>
    <row r="1191" spans="91:102" ht="21" customHeight="1">
      <c r="CM1191" s="494"/>
      <c r="CN1191" s="496" t="s">
        <v>3444</v>
      </c>
      <c r="CO1191" s="496" t="s">
        <v>8</v>
      </c>
      <c r="CP1191" s="496" t="s">
        <v>689</v>
      </c>
      <c r="CQ1191" s="496" t="s">
        <v>3445</v>
      </c>
      <c r="CR1191" s="496" t="s">
        <v>3445</v>
      </c>
      <c r="CS1191" s="496" t="s">
        <v>1554</v>
      </c>
      <c r="CT1191" s="496" t="s">
        <v>1555</v>
      </c>
      <c r="CU1191" s="496" t="s">
        <v>1981</v>
      </c>
      <c r="CV1191" s="497" t="s">
        <v>1982</v>
      </c>
      <c r="CX1191" s="543">
        <v>1</v>
      </c>
    </row>
    <row r="1192" spans="91:102" ht="21" customHeight="1">
      <c r="CM1192" s="494"/>
      <c r="CN1192" s="496" t="s">
        <v>3446</v>
      </c>
      <c r="CO1192" s="496" t="s">
        <v>8</v>
      </c>
      <c r="CP1192" s="496" t="s">
        <v>689</v>
      </c>
      <c r="CQ1192" s="496" t="s">
        <v>1051</v>
      </c>
      <c r="CR1192" s="496" t="s">
        <v>1051</v>
      </c>
      <c r="CS1192" s="496" t="s">
        <v>1085</v>
      </c>
      <c r="CT1192" s="496" t="s">
        <v>2063</v>
      </c>
      <c r="CU1192" s="496" t="s">
        <v>1087</v>
      </c>
      <c r="CV1192" s="497" t="s">
        <v>1088</v>
      </c>
      <c r="CX1192" s="543">
        <v>1</v>
      </c>
    </row>
    <row r="1193" spans="91:102" ht="21" customHeight="1">
      <c r="CM1193" s="494"/>
      <c r="CN1193" s="496" t="s">
        <v>3447</v>
      </c>
      <c r="CO1193" s="496" t="s">
        <v>8</v>
      </c>
      <c r="CP1193" s="496" t="s">
        <v>689</v>
      </c>
      <c r="CQ1193" s="496" t="s">
        <v>1052</v>
      </c>
      <c r="CR1193" s="496" t="s">
        <v>1052</v>
      </c>
      <c r="CS1193" s="496" t="s">
        <v>1085</v>
      </c>
      <c r="CT1193" s="496" t="s">
        <v>2063</v>
      </c>
      <c r="CU1193" s="496" t="s">
        <v>1087</v>
      </c>
      <c r="CV1193" s="497" t="s">
        <v>1088</v>
      </c>
      <c r="CX1193" s="543">
        <v>1</v>
      </c>
    </row>
    <row r="1194" spans="91:102" ht="21" customHeight="1">
      <c r="CM1194" s="494"/>
      <c r="CN1194" s="496" t="s">
        <v>3448</v>
      </c>
      <c r="CO1194" s="496" t="s">
        <v>8</v>
      </c>
      <c r="CP1194" s="496" t="s">
        <v>689</v>
      </c>
      <c r="CQ1194" s="496" t="s">
        <v>57</v>
      </c>
      <c r="CR1194" s="496" t="s">
        <v>57</v>
      </c>
      <c r="CS1194" s="496" t="s">
        <v>1554</v>
      </c>
      <c r="CT1194" s="496" t="s">
        <v>1555</v>
      </c>
      <c r="CU1194" s="496" t="s">
        <v>1981</v>
      </c>
      <c r="CV1194" s="497" t="s">
        <v>1982</v>
      </c>
      <c r="CX1194" s="543">
        <v>1</v>
      </c>
    </row>
    <row r="1195" spans="91:102" ht="21" customHeight="1">
      <c r="CM1195" s="494"/>
      <c r="CN1195" s="496" t="s">
        <v>3449</v>
      </c>
      <c r="CO1195" s="496" t="s">
        <v>8</v>
      </c>
      <c r="CP1195" s="496" t="s">
        <v>689</v>
      </c>
      <c r="CQ1195" s="496" t="s">
        <v>3450</v>
      </c>
      <c r="CR1195" s="496" t="s">
        <v>3450</v>
      </c>
      <c r="CS1195" s="496" t="s">
        <v>1554</v>
      </c>
      <c r="CT1195" s="496" t="s">
        <v>1555</v>
      </c>
      <c r="CU1195" s="496" t="s">
        <v>1981</v>
      </c>
      <c r="CV1195" s="497" t="s">
        <v>1982</v>
      </c>
      <c r="CX1195" s="543">
        <v>1</v>
      </c>
    </row>
    <row r="1196" spans="91:102" ht="21" customHeight="1">
      <c r="CM1196" s="494"/>
      <c r="CN1196" s="496" t="s">
        <v>3451</v>
      </c>
      <c r="CO1196" s="496" t="s">
        <v>8</v>
      </c>
      <c r="CP1196" s="496" t="s">
        <v>689</v>
      </c>
      <c r="CQ1196" s="496" t="s">
        <v>3452</v>
      </c>
      <c r="CR1196" s="496" t="s">
        <v>3452</v>
      </c>
      <c r="CS1196" s="496" t="s">
        <v>1554</v>
      </c>
      <c r="CT1196" s="496" t="s">
        <v>1555</v>
      </c>
      <c r="CU1196" s="496" t="s">
        <v>1981</v>
      </c>
      <c r="CV1196" s="497" t="s">
        <v>1982</v>
      </c>
      <c r="CX1196" s="543">
        <v>1</v>
      </c>
    </row>
    <row r="1197" spans="91:102" ht="21" customHeight="1">
      <c r="CM1197" s="494"/>
      <c r="CN1197" s="496" t="s">
        <v>3453</v>
      </c>
      <c r="CO1197" s="496" t="s">
        <v>8</v>
      </c>
      <c r="CP1197" s="496" t="s">
        <v>689</v>
      </c>
      <c r="CQ1197" s="496" t="s">
        <v>3454</v>
      </c>
      <c r="CR1197" s="496" t="s">
        <v>3454</v>
      </c>
      <c r="CS1197" s="496" t="s">
        <v>1554</v>
      </c>
      <c r="CT1197" s="496" t="s">
        <v>1555</v>
      </c>
      <c r="CU1197" s="496" t="s">
        <v>1981</v>
      </c>
      <c r="CV1197" s="497" t="s">
        <v>1982</v>
      </c>
      <c r="CX1197" s="543">
        <v>1</v>
      </c>
    </row>
    <row r="1198" spans="91:102" ht="21" customHeight="1">
      <c r="CM1198" s="494"/>
      <c r="CN1198" s="496" t="s">
        <v>3455</v>
      </c>
      <c r="CO1198" s="496" t="s">
        <v>8</v>
      </c>
      <c r="CP1198" s="496" t="s">
        <v>689</v>
      </c>
      <c r="CQ1198" s="496" t="s">
        <v>3456</v>
      </c>
      <c r="CR1198" s="496" t="s">
        <v>3456</v>
      </c>
      <c r="CS1198" s="496" t="s">
        <v>1554</v>
      </c>
      <c r="CT1198" s="496" t="s">
        <v>1555</v>
      </c>
      <c r="CU1198" s="496" t="s">
        <v>1981</v>
      </c>
      <c r="CV1198" s="497" t="s">
        <v>1982</v>
      </c>
      <c r="CX1198" s="543">
        <v>1</v>
      </c>
    </row>
    <row r="1199" spans="91:102" ht="21" customHeight="1">
      <c r="CM1199" s="494"/>
      <c r="CN1199" s="496" t="s">
        <v>3457</v>
      </c>
      <c r="CO1199" s="496" t="s">
        <v>8</v>
      </c>
      <c r="CP1199" s="496" t="s">
        <v>689</v>
      </c>
      <c r="CQ1199" s="496" t="s">
        <v>3458</v>
      </c>
      <c r="CR1199" s="496" t="s">
        <v>3458</v>
      </c>
      <c r="CS1199" s="496" t="s">
        <v>1554</v>
      </c>
      <c r="CT1199" s="496" t="s">
        <v>1555</v>
      </c>
      <c r="CU1199" s="496" t="s">
        <v>1981</v>
      </c>
      <c r="CV1199" s="497" t="s">
        <v>1982</v>
      </c>
      <c r="CX1199" s="543">
        <v>1</v>
      </c>
    </row>
    <row r="1200" spans="91:102" ht="21" customHeight="1">
      <c r="CM1200" s="494"/>
      <c r="CN1200" s="496" t="s">
        <v>3459</v>
      </c>
      <c r="CO1200" s="496" t="s">
        <v>8</v>
      </c>
      <c r="CP1200" s="496" t="s">
        <v>689</v>
      </c>
      <c r="CQ1200" s="496" t="s">
        <v>3460</v>
      </c>
      <c r="CR1200" s="496" t="s">
        <v>3460</v>
      </c>
      <c r="CS1200" s="496" t="s">
        <v>1554</v>
      </c>
      <c r="CT1200" s="496" t="s">
        <v>1555</v>
      </c>
      <c r="CU1200" s="496" t="s">
        <v>1981</v>
      </c>
      <c r="CV1200" s="497" t="s">
        <v>1982</v>
      </c>
      <c r="CX1200" s="543">
        <v>1</v>
      </c>
    </row>
    <row r="1201" spans="91:102" ht="21" customHeight="1">
      <c r="CM1201" s="494"/>
      <c r="CN1201" s="496" t="s">
        <v>3461</v>
      </c>
      <c r="CO1201" s="496" t="s">
        <v>8</v>
      </c>
      <c r="CP1201" s="496" t="s">
        <v>689</v>
      </c>
      <c r="CQ1201" s="496" t="s">
        <v>3462</v>
      </c>
      <c r="CR1201" s="496" t="s">
        <v>3462</v>
      </c>
      <c r="CS1201" s="496" t="s">
        <v>1554</v>
      </c>
      <c r="CT1201" s="496" t="s">
        <v>1555</v>
      </c>
      <c r="CU1201" s="496" t="s">
        <v>1981</v>
      </c>
      <c r="CV1201" s="497" t="s">
        <v>1982</v>
      </c>
      <c r="CX1201" s="543">
        <v>1</v>
      </c>
    </row>
    <row r="1202" spans="91:102" ht="21" customHeight="1">
      <c r="CM1202" s="494"/>
      <c r="CN1202" s="496" t="s">
        <v>3463</v>
      </c>
      <c r="CO1202" s="496" t="s">
        <v>8</v>
      </c>
      <c r="CP1202" s="496" t="s">
        <v>689</v>
      </c>
      <c r="CQ1202" s="496" t="s">
        <v>3464</v>
      </c>
      <c r="CR1202" s="496" t="s">
        <v>3464</v>
      </c>
      <c r="CS1202" s="496" t="s">
        <v>1554</v>
      </c>
      <c r="CT1202" s="496" t="s">
        <v>1555</v>
      </c>
      <c r="CU1202" s="496" t="s">
        <v>1981</v>
      </c>
      <c r="CV1202" s="497" t="s">
        <v>1982</v>
      </c>
      <c r="CX1202" s="543">
        <v>1</v>
      </c>
    </row>
    <row r="1203" spans="91:102" ht="21" customHeight="1">
      <c r="CM1203" s="494"/>
      <c r="CN1203" s="496" t="s">
        <v>3465</v>
      </c>
      <c r="CO1203" s="496" t="s">
        <v>8</v>
      </c>
      <c r="CP1203" s="496" t="s">
        <v>689</v>
      </c>
      <c r="CQ1203" s="496" t="s">
        <v>3466</v>
      </c>
      <c r="CR1203" s="496" t="s">
        <v>3466</v>
      </c>
      <c r="CS1203" s="496" t="s">
        <v>1554</v>
      </c>
      <c r="CT1203" s="496" t="s">
        <v>1555</v>
      </c>
      <c r="CU1203" s="496" t="s">
        <v>1981</v>
      </c>
      <c r="CV1203" s="497" t="s">
        <v>1982</v>
      </c>
      <c r="CX1203" s="543">
        <v>1</v>
      </c>
    </row>
    <row r="1204" spans="91:102" ht="21" customHeight="1">
      <c r="CM1204" s="494"/>
      <c r="CN1204" s="496" t="s">
        <v>3467</v>
      </c>
      <c r="CO1204" s="496" t="s">
        <v>8</v>
      </c>
      <c r="CP1204" s="496" t="s">
        <v>689</v>
      </c>
      <c r="CQ1204" s="496" t="s">
        <v>3468</v>
      </c>
      <c r="CR1204" s="496" t="s">
        <v>3468</v>
      </c>
      <c r="CS1204" s="496" t="s">
        <v>1554</v>
      </c>
      <c r="CT1204" s="496" t="s">
        <v>1555</v>
      </c>
      <c r="CU1204" s="496" t="s">
        <v>1981</v>
      </c>
      <c r="CV1204" s="497" t="s">
        <v>1982</v>
      </c>
      <c r="CX1204" s="543">
        <v>1</v>
      </c>
    </row>
    <row r="1205" spans="91:102" ht="21" customHeight="1">
      <c r="CM1205" s="494"/>
      <c r="CN1205" s="496" t="s">
        <v>3469</v>
      </c>
      <c r="CO1205" s="496" t="s">
        <v>8</v>
      </c>
      <c r="CP1205" s="496" t="s">
        <v>689</v>
      </c>
      <c r="CQ1205" s="496" t="s">
        <v>3470</v>
      </c>
      <c r="CR1205" s="496" t="s">
        <v>3470</v>
      </c>
      <c r="CS1205" s="496" t="s">
        <v>1151</v>
      </c>
      <c r="CT1205" s="496" t="s">
        <v>1152</v>
      </c>
      <c r="CU1205" s="496" t="s">
        <v>1087</v>
      </c>
      <c r="CV1205" s="497" t="s">
        <v>1153</v>
      </c>
      <c r="CX1205" s="543">
        <v>1</v>
      </c>
    </row>
    <row r="1206" spans="91:102" ht="21" customHeight="1">
      <c r="CM1206" s="494"/>
      <c r="CN1206" s="496" t="s">
        <v>3471</v>
      </c>
      <c r="CO1206" s="496" t="s">
        <v>8</v>
      </c>
      <c r="CP1206" s="496" t="s">
        <v>689</v>
      </c>
      <c r="CQ1206" s="496" t="s">
        <v>3472</v>
      </c>
      <c r="CR1206" s="496" t="s">
        <v>3472</v>
      </c>
      <c r="CS1206" s="496" t="s">
        <v>1151</v>
      </c>
      <c r="CT1206" s="496" t="s">
        <v>1152</v>
      </c>
      <c r="CU1206" s="496" t="s">
        <v>1087</v>
      </c>
      <c r="CV1206" s="497" t="s">
        <v>1153</v>
      </c>
      <c r="CX1206" s="543">
        <v>1</v>
      </c>
    </row>
    <row r="1207" spans="91:102" ht="21" customHeight="1">
      <c r="CM1207" s="494"/>
      <c r="CN1207" s="496" t="s">
        <v>3473</v>
      </c>
      <c r="CO1207" s="496" t="s">
        <v>8</v>
      </c>
      <c r="CP1207" s="496" t="s">
        <v>689</v>
      </c>
      <c r="CQ1207" s="496" t="s">
        <v>3474</v>
      </c>
      <c r="CR1207" s="496" t="s">
        <v>3474</v>
      </c>
      <c r="CS1207" s="496" t="s">
        <v>1151</v>
      </c>
      <c r="CT1207" s="496" t="s">
        <v>1152</v>
      </c>
      <c r="CU1207" s="496" t="s">
        <v>1087</v>
      </c>
      <c r="CV1207" s="497" t="s">
        <v>1153</v>
      </c>
      <c r="CX1207" s="543">
        <v>1</v>
      </c>
    </row>
    <row r="1208" spans="91:102" ht="21" customHeight="1">
      <c r="CM1208" s="494"/>
      <c r="CN1208" s="496" t="s">
        <v>3475</v>
      </c>
      <c r="CO1208" s="496" t="s">
        <v>8</v>
      </c>
      <c r="CP1208" s="496" t="s">
        <v>689</v>
      </c>
      <c r="CQ1208" s="496" t="s">
        <v>3476</v>
      </c>
      <c r="CR1208" s="496" t="s">
        <v>3476</v>
      </c>
      <c r="CS1208" s="496" t="s">
        <v>1151</v>
      </c>
      <c r="CT1208" s="496" t="s">
        <v>1152</v>
      </c>
      <c r="CU1208" s="496" t="s">
        <v>1087</v>
      </c>
      <c r="CV1208" s="497" t="s">
        <v>1153</v>
      </c>
      <c r="CX1208" s="543">
        <v>1</v>
      </c>
    </row>
    <row r="1209" spans="91:102" ht="21" customHeight="1">
      <c r="CM1209" s="494"/>
      <c r="CN1209" s="496" t="s">
        <v>3477</v>
      </c>
      <c r="CO1209" s="496" t="s">
        <v>8</v>
      </c>
      <c r="CP1209" s="496" t="s">
        <v>689</v>
      </c>
      <c r="CQ1209" s="496" t="s">
        <v>3478</v>
      </c>
      <c r="CR1209" s="496" t="s">
        <v>3478</v>
      </c>
      <c r="CS1209" s="496" t="s">
        <v>1554</v>
      </c>
      <c r="CT1209" s="496" t="s">
        <v>1555</v>
      </c>
      <c r="CU1209" s="496" t="s">
        <v>1981</v>
      </c>
      <c r="CV1209" s="497" t="s">
        <v>1982</v>
      </c>
      <c r="CX1209" s="543">
        <v>1</v>
      </c>
    </row>
    <row r="1210" spans="91:102" ht="21" customHeight="1">
      <c r="CM1210" s="494"/>
      <c r="CN1210" s="496" t="s">
        <v>3479</v>
      </c>
      <c r="CO1210" s="496" t="s">
        <v>8</v>
      </c>
      <c r="CP1210" s="496" t="s">
        <v>689</v>
      </c>
      <c r="CQ1210" s="496" t="s">
        <v>3480</v>
      </c>
      <c r="CR1210" s="496" t="s">
        <v>3480</v>
      </c>
      <c r="CS1210" s="496" t="s">
        <v>1554</v>
      </c>
      <c r="CT1210" s="496" t="s">
        <v>1555</v>
      </c>
      <c r="CU1210" s="496" t="s">
        <v>1981</v>
      </c>
      <c r="CV1210" s="497" t="s">
        <v>1982</v>
      </c>
      <c r="CX1210" s="543">
        <v>1</v>
      </c>
    </row>
    <row r="1211" spans="91:102" ht="21" customHeight="1">
      <c r="CM1211" s="494"/>
      <c r="CN1211" s="496" t="s">
        <v>3481</v>
      </c>
      <c r="CO1211" s="496" t="s">
        <v>8</v>
      </c>
      <c r="CP1211" s="496" t="s">
        <v>689</v>
      </c>
      <c r="CQ1211" s="496" t="s">
        <v>3482</v>
      </c>
      <c r="CR1211" s="496" t="s">
        <v>3482</v>
      </c>
      <c r="CS1211" s="496" t="s">
        <v>1554</v>
      </c>
      <c r="CT1211" s="496" t="s">
        <v>1555</v>
      </c>
      <c r="CU1211" s="496" t="s">
        <v>1981</v>
      </c>
      <c r="CV1211" s="497" t="s">
        <v>1982</v>
      </c>
      <c r="CX1211" s="543">
        <v>1</v>
      </c>
    </row>
    <row r="1212" spans="91:102" ht="21" customHeight="1">
      <c r="CM1212" s="494"/>
      <c r="CN1212" s="496" t="s">
        <v>3483</v>
      </c>
      <c r="CO1212" s="496" t="s">
        <v>8</v>
      </c>
      <c r="CP1212" s="496" t="s">
        <v>689</v>
      </c>
      <c r="CQ1212" s="496" t="s">
        <v>3484</v>
      </c>
      <c r="CR1212" s="496" t="s">
        <v>3484</v>
      </c>
      <c r="CS1212" s="496" t="s">
        <v>1554</v>
      </c>
      <c r="CT1212" s="496" t="s">
        <v>1555</v>
      </c>
      <c r="CU1212" s="496" t="s">
        <v>1981</v>
      </c>
      <c r="CV1212" s="497" t="s">
        <v>1982</v>
      </c>
      <c r="CX1212" s="543">
        <v>1</v>
      </c>
    </row>
    <row r="1213" spans="91:102" ht="21" customHeight="1">
      <c r="CM1213" s="494"/>
      <c r="CN1213" s="496" t="s">
        <v>3485</v>
      </c>
      <c r="CO1213" s="496" t="s">
        <v>8</v>
      </c>
      <c r="CP1213" s="496" t="s">
        <v>689</v>
      </c>
      <c r="CQ1213" s="496" t="s">
        <v>3486</v>
      </c>
      <c r="CR1213" s="496" t="s">
        <v>3486</v>
      </c>
      <c r="CS1213" s="496" t="s">
        <v>1554</v>
      </c>
      <c r="CT1213" s="496" t="s">
        <v>1555</v>
      </c>
      <c r="CU1213" s="496" t="s">
        <v>1981</v>
      </c>
      <c r="CV1213" s="497" t="s">
        <v>1982</v>
      </c>
      <c r="CX1213" s="543">
        <v>1</v>
      </c>
    </row>
    <row r="1214" spans="91:102" ht="21" customHeight="1">
      <c r="CM1214" s="494"/>
      <c r="CN1214" s="496" t="s">
        <v>3487</v>
      </c>
      <c r="CO1214" s="496" t="s">
        <v>8</v>
      </c>
      <c r="CP1214" s="496" t="s">
        <v>689</v>
      </c>
      <c r="CQ1214" s="496" t="s">
        <v>3488</v>
      </c>
      <c r="CR1214" s="496" t="s">
        <v>3488</v>
      </c>
      <c r="CS1214" s="496" t="s">
        <v>1554</v>
      </c>
      <c r="CT1214" s="496" t="s">
        <v>1555</v>
      </c>
      <c r="CU1214" s="496" t="s">
        <v>1981</v>
      </c>
      <c r="CV1214" s="497" t="s">
        <v>1982</v>
      </c>
      <c r="CX1214" s="543">
        <v>1</v>
      </c>
    </row>
    <row r="1215" spans="91:102" ht="21" customHeight="1">
      <c r="CM1215" s="494"/>
      <c r="CN1215" s="496" t="s">
        <v>3489</v>
      </c>
      <c r="CO1215" s="496" t="s">
        <v>8</v>
      </c>
      <c r="CP1215" s="496" t="s">
        <v>689</v>
      </c>
      <c r="CQ1215" s="496" t="s">
        <v>3490</v>
      </c>
      <c r="CR1215" s="496" t="s">
        <v>3490</v>
      </c>
      <c r="CS1215" s="496" t="s">
        <v>1554</v>
      </c>
      <c r="CT1215" s="496" t="s">
        <v>1555</v>
      </c>
      <c r="CU1215" s="496" t="s">
        <v>1981</v>
      </c>
      <c r="CV1215" s="497" t="s">
        <v>1982</v>
      </c>
      <c r="CX1215" s="543">
        <v>1</v>
      </c>
    </row>
    <row r="1216" spans="91:102" ht="21" customHeight="1">
      <c r="CM1216" s="494"/>
      <c r="CN1216" s="496" t="s">
        <v>3491</v>
      </c>
      <c r="CO1216" s="496" t="s">
        <v>8</v>
      </c>
      <c r="CP1216" s="496" t="s">
        <v>689</v>
      </c>
      <c r="CQ1216" s="496" t="s">
        <v>3492</v>
      </c>
      <c r="CR1216" s="496" t="s">
        <v>3492</v>
      </c>
      <c r="CS1216" s="496" t="s">
        <v>1554</v>
      </c>
      <c r="CT1216" s="496" t="s">
        <v>1555</v>
      </c>
      <c r="CU1216" s="496" t="s">
        <v>1981</v>
      </c>
      <c r="CV1216" s="497" t="s">
        <v>1982</v>
      </c>
      <c r="CX1216" s="543">
        <v>1</v>
      </c>
    </row>
    <row r="1217" spans="91:102" ht="21" customHeight="1">
      <c r="CM1217" s="494"/>
      <c r="CN1217" s="496" t="s">
        <v>3493</v>
      </c>
      <c r="CO1217" s="496" t="s">
        <v>8</v>
      </c>
      <c r="CP1217" s="496" t="s">
        <v>689</v>
      </c>
      <c r="CQ1217" s="496" t="s">
        <v>3494</v>
      </c>
      <c r="CR1217" s="496" t="s">
        <v>3494</v>
      </c>
      <c r="CS1217" s="496" t="s">
        <v>1554</v>
      </c>
      <c r="CT1217" s="496" t="s">
        <v>1555</v>
      </c>
      <c r="CU1217" s="496" t="s">
        <v>1981</v>
      </c>
      <c r="CV1217" s="497" t="s">
        <v>1982</v>
      </c>
      <c r="CX1217" s="543">
        <v>1</v>
      </c>
    </row>
    <row r="1218" spans="91:102" ht="21" customHeight="1">
      <c r="CM1218" s="494"/>
      <c r="CN1218" s="496" t="s">
        <v>3495</v>
      </c>
      <c r="CO1218" s="496" t="s">
        <v>8</v>
      </c>
      <c r="CP1218" s="496" t="s">
        <v>689</v>
      </c>
      <c r="CQ1218" s="496" t="s">
        <v>3496</v>
      </c>
      <c r="CR1218" s="496" t="s">
        <v>3496</v>
      </c>
      <c r="CS1218" s="496" t="s">
        <v>1554</v>
      </c>
      <c r="CT1218" s="496" t="s">
        <v>1555</v>
      </c>
      <c r="CU1218" s="496" t="s">
        <v>1981</v>
      </c>
      <c r="CV1218" s="497" t="s">
        <v>1982</v>
      </c>
      <c r="CX1218" s="543">
        <v>1</v>
      </c>
    </row>
    <row r="1219" spans="91:102" ht="21" customHeight="1">
      <c r="CM1219" s="494"/>
      <c r="CN1219" s="496" t="s">
        <v>3497</v>
      </c>
      <c r="CO1219" s="496" t="s">
        <v>8</v>
      </c>
      <c r="CP1219" s="496" t="s">
        <v>689</v>
      </c>
      <c r="CQ1219" s="496" t="s">
        <v>3498</v>
      </c>
      <c r="CR1219" s="496" t="s">
        <v>3498</v>
      </c>
      <c r="CS1219" s="496" t="s">
        <v>1554</v>
      </c>
      <c r="CT1219" s="496" t="s">
        <v>1555</v>
      </c>
      <c r="CU1219" s="496" t="s">
        <v>1981</v>
      </c>
      <c r="CV1219" s="497" t="s">
        <v>1982</v>
      </c>
      <c r="CX1219" s="543">
        <v>1</v>
      </c>
    </row>
    <row r="1220" spans="91:102" ht="21" customHeight="1">
      <c r="CM1220" s="494"/>
      <c r="CN1220" s="496" t="s">
        <v>3499</v>
      </c>
      <c r="CO1220" s="496" t="s">
        <v>8</v>
      </c>
      <c r="CP1220" s="496" t="s">
        <v>689</v>
      </c>
      <c r="CQ1220" s="496" t="s">
        <v>3500</v>
      </c>
      <c r="CR1220" s="496" t="s">
        <v>3500</v>
      </c>
      <c r="CS1220" s="496" t="s">
        <v>1554</v>
      </c>
      <c r="CT1220" s="496" t="s">
        <v>1555</v>
      </c>
      <c r="CU1220" s="496" t="s">
        <v>1981</v>
      </c>
      <c r="CV1220" s="497" t="s">
        <v>1982</v>
      </c>
      <c r="CX1220" s="543">
        <v>1</v>
      </c>
    </row>
    <row r="1221" spans="91:102" ht="21" customHeight="1">
      <c r="CM1221" s="494"/>
      <c r="CN1221" s="496" t="s">
        <v>3501</v>
      </c>
      <c r="CO1221" s="496" t="s">
        <v>8</v>
      </c>
      <c r="CP1221" s="496" t="s">
        <v>689</v>
      </c>
      <c r="CQ1221" s="496" t="s">
        <v>3502</v>
      </c>
      <c r="CR1221" s="496" t="s">
        <v>3502</v>
      </c>
      <c r="CS1221" s="496" t="s">
        <v>1554</v>
      </c>
      <c r="CT1221" s="496" t="s">
        <v>1555</v>
      </c>
      <c r="CU1221" s="496" t="s">
        <v>1981</v>
      </c>
      <c r="CV1221" s="497" t="s">
        <v>1982</v>
      </c>
      <c r="CX1221" s="543">
        <v>1</v>
      </c>
    </row>
    <row r="1222" spans="91:102" ht="21" customHeight="1">
      <c r="CM1222" s="494"/>
      <c r="CN1222" s="496" t="s">
        <v>3503</v>
      </c>
      <c r="CO1222" s="496" t="s">
        <v>8</v>
      </c>
      <c r="CP1222" s="496" t="s">
        <v>689</v>
      </c>
      <c r="CQ1222" s="496" t="s">
        <v>3504</v>
      </c>
      <c r="CR1222" s="496" t="s">
        <v>3504</v>
      </c>
      <c r="CS1222" s="496" t="s">
        <v>1554</v>
      </c>
      <c r="CT1222" s="496" t="s">
        <v>1555</v>
      </c>
      <c r="CU1222" s="496" t="s">
        <v>1981</v>
      </c>
      <c r="CV1222" s="497" t="s">
        <v>1982</v>
      </c>
      <c r="CX1222" s="543">
        <v>1</v>
      </c>
    </row>
    <row r="1223" spans="91:102" ht="21" customHeight="1">
      <c r="CM1223" s="494"/>
      <c r="CN1223" s="496" t="s">
        <v>3505</v>
      </c>
      <c r="CO1223" s="496" t="s">
        <v>8</v>
      </c>
      <c r="CP1223" s="496" t="s">
        <v>689</v>
      </c>
      <c r="CQ1223" s="496" t="s">
        <v>3506</v>
      </c>
      <c r="CR1223" s="496" t="s">
        <v>3506</v>
      </c>
      <c r="CS1223" s="496" t="s">
        <v>1554</v>
      </c>
      <c r="CT1223" s="496" t="s">
        <v>1555</v>
      </c>
      <c r="CU1223" s="496" t="s">
        <v>1981</v>
      </c>
      <c r="CV1223" s="497" t="s">
        <v>1982</v>
      </c>
      <c r="CX1223" s="543">
        <v>1</v>
      </c>
    </row>
    <row r="1224" spans="91:102" ht="21" customHeight="1">
      <c r="CM1224" s="494"/>
      <c r="CN1224" s="496" t="s">
        <v>3507</v>
      </c>
      <c r="CO1224" s="496" t="s">
        <v>8</v>
      </c>
      <c r="CP1224" s="496" t="s">
        <v>689</v>
      </c>
      <c r="CQ1224" s="496" t="s">
        <v>3508</v>
      </c>
      <c r="CR1224" s="496" t="s">
        <v>3508</v>
      </c>
      <c r="CS1224" s="496" t="s">
        <v>1554</v>
      </c>
      <c r="CT1224" s="496" t="s">
        <v>1555</v>
      </c>
      <c r="CU1224" s="496" t="s">
        <v>1981</v>
      </c>
      <c r="CV1224" s="497" t="s">
        <v>1982</v>
      </c>
      <c r="CX1224" s="543">
        <v>1</v>
      </c>
    </row>
    <row r="1225" spans="91:102" ht="21" customHeight="1">
      <c r="CM1225" s="494"/>
      <c r="CN1225" s="496" t="s">
        <v>3509</v>
      </c>
      <c r="CO1225" s="496" t="s">
        <v>8</v>
      </c>
      <c r="CP1225" s="496" t="s">
        <v>689</v>
      </c>
      <c r="CQ1225" s="496" t="s">
        <v>3510</v>
      </c>
      <c r="CR1225" s="496" t="s">
        <v>3510</v>
      </c>
      <c r="CS1225" s="496" t="s">
        <v>1554</v>
      </c>
      <c r="CT1225" s="496" t="s">
        <v>1555</v>
      </c>
      <c r="CU1225" s="496" t="s">
        <v>1981</v>
      </c>
      <c r="CV1225" s="497" t="s">
        <v>1982</v>
      </c>
      <c r="CX1225" s="543">
        <v>1</v>
      </c>
    </row>
    <row r="1226" spans="91:102" ht="21" customHeight="1">
      <c r="CM1226" s="494"/>
      <c r="CN1226" s="496" t="s">
        <v>3511</v>
      </c>
      <c r="CO1226" s="496" t="s">
        <v>8</v>
      </c>
      <c r="CP1226" s="496" t="s">
        <v>689</v>
      </c>
      <c r="CQ1226" s="496" t="s">
        <v>3512</v>
      </c>
      <c r="CR1226" s="496" t="s">
        <v>3512</v>
      </c>
      <c r="CS1226" s="496" t="s">
        <v>1554</v>
      </c>
      <c r="CT1226" s="496" t="s">
        <v>1555</v>
      </c>
      <c r="CU1226" s="496" t="s">
        <v>1981</v>
      </c>
      <c r="CV1226" s="497" t="s">
        <v>1982</v>
      </c>
      <c r="CX1226" s="543">
        <v>1</v>
      </c>
    </row>
    <row r="1227" spans="91:102" ht="21" customHeight="1">
      <c r="CM1227" s="494"/>
      <c r="CN1227" s="496" t="s">
        <v>3513</v>
      </c>
      <c r="CO1227" s="496" t="s">
        <v>8</v>
      </c>
      <c r="CP1227" s="496" t="s">
        <v>689</v>
      </c>
      <c r="CQ1227" s="496" t="s">
        <v>3514</v>
      </c>
      <c r="CR1227" s="496" t="s">
        <v>3514</v>
      </c>
      <c r="CS1227" s="496" t="s">
        <v>1554</v>
      </c>
      <c r="CT1227" s="496" t="s">
        <v>1555</v>
      </c>
      <c r="CU1227" s="496" t="s">
        <v>1981</v>
      </c>
      <c r="CV1227" s="497" t="s">
        <v>1982</v>
      </c>
      <c r="CX1227" s="543">
        <v>1</v>
      </c>
    </row>
    <row r="1228" spans="91:102" ht="21" customHeight="1">
      <c r="CM1228" s="494"/>
      <c r="CN1228" s="496" t="s">
        <v>3515</v>
      </c>
      <c r="CO1228" s="496" t="s">
        <v>8</v>
      </c>
      <c r="CP1228" s="496" t="s">
        <v>689</v>
      </c>
      <c r="CQ1228" s="496" t="s">
        <v>3516</v>
      </c>
      <c r="CR1228" s="496" t="s">
        <v>3516</v>
      </c>
      <c r="CS1228" s="496" t="s">
        <v>1554</v>
      </c>
      <c r="CT1228" s="496" t="s">
        <v>1555</v>
      </c>
      <c r="CU1228" s="496" t="s">
        <v>1981</v>
      </c>
      <c r="CV1228" s="497" t="s">
        <v>1982</v>
      </c>
      <c r="CX1228" s="543">
        <v>1</v>
      </c>
    </row>
    <row r="1229" spans="91:102" ht="21" customHeight="1">
      <c r="CM1229" s="494"/>
      <c r="CN1229" s="496" t="s">
        <v>3517</v>
      </c>
      <c r="CO1229" s="496" t="s">
        <v>8</v>
      </c>
      <c r="CP1229" s="496" t="s">
        <v>689</v>
      </c>
      <c r="CQ1229" s="496" t="s">
        <v>3518</v>
      </c>
      <c r="CR1229" s="496" t="s">
        <v>3518</v>
      </c>
      <c r="CS1229" s="496" t="s">
        <v>1554</v>
      </c>
      <c r="CT1229" s="496" t="s">
        <v>1555</v>
      </c>
      <c r="CU1229" s="496" t="s">
        <v>1981</v>
      </c>
      <c r="CV1229" s="497" t="s">
        <v>1982</v>
      </c>
      <c r="CX1229" s="543">
        <v>1</v>
      </c>
    </row>
    <row r="1230" spans="91:102" ht="21" customHeight="1">
      <c r="CM1230" s="494"/>
      <c r="CN1230" s="496" t="s">
        <v>3519</v>
      </c>
      <c r="CO1230" s="496" t="s">
        <v>8</v>
      </c>
      <c r="CP1230" s="496" t="s">
        <v>689</v>
      </c>
      <c r="CQ1230" s="496" t="s">
        <v>3520</v>
      </c>
      <c r="CR1230" s="496" t="s">
        <v>3520</v>
      </c>
      <c r="CS1230" s="496" t="s">
        <v>1554</v>
      </c>
      <c r="CT1230" s="496" t="s">
        <v>1555</v>
      </c>
      <c r="CU1230" s="496" t="s">
        <v>1981</v>
      </c>
      <c r="CV1230" s="497" t="s">
        <v>1982</v>
      </c>
      <c r="CX1230" s="543">
        <v>1</v>
      </c>
    </row>
    <row r="1231" spans="91:102" ht="21" customHeight="1">
      <c r="CM1231" s="494"/>
      <c r="CN1231" s="496" t="s">
        <v>3521</v>
      </c>
      <c r="CO1231" s="496" t="s">
        <v>8</v>
      </c>
      <c r="CP1231" s="496" t="s">
        <v>689</v>
      </c>
      <c r="CQ1231" s="496" t="s">
        <v>3522</v>
      </c>
      <c r="CR1231" s="496" t="s">
        <v>3522</v>
      </c>
      <c r="CS1231" s="496" t="s">
        <v>1554</v>
      </c>
      <c r="CT1231" s="496" t="s">
        <v>1555</v>
      </c>
      <c r="CU1231" s="496" t="s">
        <v>1981</v>
      </c>
      <c r="CV1231" s="497" t="s">
        <v>1982</v>
      </c>
      <c r="CX1231" s="543">
        <v>1</v>
      </c>
    </row>
    <row r="1232" spans="91:102" ht="21" customHeight="1">
      <c r="CM1232" s="494"/>
      <c r="CN1232" s="496" t="s">
        <v>3523</v>
      </c>
      <c r="CO1232" s="496" t="s">
        <v>8</v>
      </c>
      <c r="CP1232" s="496" t="s">
        <v>689</v>
      </c>
      <c r="CQ1232" s="496" t="s">
        <v>3524</v>
      </c>
      <c r="CR1232" s="496" t="s">
        <v>3524</v>
      </c>
      <c r="CS1232" s="496" t="s">
        <v>1554</v>
      </c>
      <c r="CT1232" s="496" t="s">
        <v>1555</v>
      </c>
      <c r="CU1232" s="496" t="s">
        <v>1981</v>
      </c>
      <c r="CV1232" s="497" t="s">
        <v>1982</v>
      </c>
      <c r="CX1232" s="543">
        <v>1</v>
      </c>
    </row>
    <row r="1233" spans="91:102" ht="21" customHeight="1">
      <c r="CM1233" s="494"/>
      <c r="CN1233" s="496" t="s">
        <v>3525</v>
      </c>
      <c r="CO1233" s="496" t="s">
        <v>8</v>
      </c>
      <c r="CP1233" s="496" t="s">
        <v>689</v>
      </c>
      <c r="CQ1233" s="496" t="s">
        <v>3526</v>
      </c>
      <c r="CR1233" s="496" t="s">
        <v>3526</v>
      </c>
      <c r="CS1233" s="496" t="s">
        <v>1554</v>
      </c>
      <c r="CT1233" s="496" t="s">
        <v>1555</v>
      </c>
      <c r="CU1233" s="496" t="s">
        <v>1981</v>
      </c>
      <c r="CV1233" s="497" t="s">
        <v>1982</v>
      </c>
      <c r="CX1233" s="543">
        <v>1</v>
      </c>
    </row>
    <row r="1234" spans="91:102" ht="21" customHeight="1">
      <c r="CM1234" s="494"/>
      <c r="CN1234" s="496" t="s">
        <v>3527</v>
      </c>
      <c r="CO1234" s="496" t="s">
        <v>8</v>
      </c>
      <c r="CP1234" s="496" t="s">
        <v>689</v>
      </c>
      <c r="CQ1234" s="496" t="s">
        <v>3528</v>
      </c>
      <c r="CR1234" s="496" t="s">
        <v>3528</v>
      </c>
      <c r="CS1234" s="496" t="s">
        <v>1554</v>
      </c>
      <c r="CT1234" s="496" t="s">
        <v>1555</v>
      </c>
      <c r="CU1234" s="496" t="s">
        <v>1981</v>
      </c>
      <c r="CV1234" s="497" t="s">
        <v>1982</v>
      </c>
      <c r="CX1234" s="543">
        <v>1</v>
      </c>
    </row>
    <row r="1235" spans="91:102" ht="21" customHeight="1">
      <c r="CM1235" s="494"/>
      <c r="CN1235" s="496" t="s">
        <v>3529</v>
      </c>
      <c r="CO1235" s="496" t="s">
        <v>8</v>
      </c>
      <c r="CP1235" s="496" t="s">
        <v>689</v>
      </c>
      <c r="CQ1235" s="496" t="s">
        <v>3530</v>
      </c>
      <c r="CR1235" s="496" t="s">
        <v>3530</v>
      </c>
      <c r="CS1235" s="496" t="s">
        <v>1554</v>
      </c>
      <c r="CT1235" s="496" t="s">
        <v>1555</v>
      </c>
      <c r="CU1235" s="496" t="s">
        <v>1981</v>
      </c>
      <c r="CV1235" s="497" t="s">
        <v>1982</v>
      </c>
      <c r="CX1235" s="543">
        <v>1</v>
      </c>
    </row>
    <row r="1236" spans="91:102" ht="21" customHeight="1">
      <c r="CM1236" s="494"/>
      <c r="CN1236" s="496" t="s">
        <v>3531</v>
      </c>
      <c r="CO1236" s="496" t="s">
        <v>8</v>
      </c>
      <c r="CP1236" s="496" t="s">
        <v>689</v>
      </c>
      <c r="CQ1236" s="496" t="s">
        <v>3532</v>
      </c>
      <c r="CR1236" s="496" t="s">
        <v>3532</v>
      </c>
      <c r="CS1236" s="496" t="s">
        <v>1554</v>
      </c>
      <c r="CT1236" s="496" t="s">
        <v>1555</v>
      </c>
      <c r="CU1236" s="496" t="s">
        <v>1981</v>
      </c>
      <c r="CV1236" s="497" t="s">
        <v>1982</v>
      </c>
      <c r="CX1236" s="543">
        <v>1</v>
      </c>
    </row>
    <row r="1237" spans="91:102" ht="21" customHeight="1">
      <c r="CM1237" s="494"/>
      <c r="CN1237" s="496" t="s">
        <v>3533</v>
      </c>
      <c r="CO1237" s="496" t="s">
        <v>8</v>
      </c>
      <c r="CP1237" s="496" t="s">
        <v>689</v>
      </c>
      <c r="CQ1237" s="496" t="s">
        <v>160</v>
      </c>
      <c r="CR1237" s="496" t="s">
        <v>160</v>
      </c>
      <c r="CS1237" s="496" t="s">
        <v>1554</v>
      </c>
      <c r="CT1237" s="496" t="s">
        <v>1555</v>
      </c>
      <c r="CU1237" s="496" t="s">
        <v>1981</v>
      </c>
      <c r="CV1237" s="497" t="s">
        <v>1982</v>
      </c>
      <c r="CX1237" s="543">
        <v>1</v>
      </c>
    </row>
    <row r="1238" spans="91:102" ht="21" customHeight="1">
      <c r="CM1238" s="494"/>
      <c r="CN1238" s="496" t="s">
        <v>3534</v>
      </c>
      <c r="CO1238" s="496" t="s">
        <v>8</v>
      </c>
      <c r="CP1238" s="496" t="s">
        <v>689</v>
      </c>
      <c r="CQ1238" s="496" t="s">
        <v>3535</v>
      </c>
      <c r="CR1238" s="496" t="s">
        <v>3535</v>
      </c>
      <c r="CS1238" s="496" t="s">
        <v>1554</v>
      </c>
      <c r="CT1238" s="496" t="s">
        <v>1555</v>
      </c>
      <c r="CU1238" s="496" t="s">
        <v>1981</v>
      </c>
      <c r="CV1238" s="497" t="s">
        <v>1982</v>
      </c>
      <c r="CX1238" s="543">
        <v>1</v>
      </c>
    </row>
    <row r="1239" spans="91:102" ht="21" customHeight="1">
      <c r="CM1239" s="494"/>
      <c r="CN1239" s="496" t="s">
        <v>3536</v>
      </c>
      <c r="CO1239" s="496" t="s">
        <v>8</v>
      </c>
      <c r="CP1239" s="496" t="s">
        <v>689</v>
      </c>
      <c r="CQ1239" s="496" t="s">
        <v>3537</v>
      </c>
      <c r="CR1239" s="496" t="s">
        <v>3537</v>
      </c>
      <c r="CS1239" s="496" t="s">
        <v>1554</v>
      </c>
      <c r="CT1239" s="496" t="s">
        <v>1555</v>
      </c>
      <c r="CU1239" s="496" t="s">
        <v>1981</v>
      </c>
      <c r="CV1239" s="497" t="s">
        <v>1982</v>
      </c>
      <c r="CX1239" s="543">
        <v>1</v>
      </c>
    </row>
    <row r="1240" spans="91:102" ht="21" customHeight="1">
      <c r="CM1240" s="494"/>
      <c r="CN1240" s="496" t="s">
        <v>3538</v>
      </c>
      <c r="CO1240" s="496" t="s">
        <v>8</v>
      </c>
      <c r="CP1240" s="496" t="s">
        <v>689</v>
      </c>
      <c r="CQ1240" s="496" t="s">
        <v>3539</v>
      </c>
      <c r="CR1240" s="496" t="s">
        <v>3539</v>
      </c>
      <c r="CS1240" s="496" t="s">
        <v>1554</v>
      </c>
      <c r="CT1240" s="496" t="s">
        <v>1555</v>
      </c>
      <c r="CU1240" s="496" t="s">
        <v>1981</v>
      </c>
      <c r="CV1240" s="497" t="s">
        <v>1982</v>
      </c>
      <c r="CX1240" s="543">
        <v>1</v>
      </c>
    </row>
    <row r="1241" spans="91:102" ht="21" customHeight="1">
      <c r="CM1241" s="494"/>
      <c r="CN1241" s="496" t="s">
        <v>3540</v>
      </c>
      <c r="CO1241" s="496" t="s">
        <v>8</v>
      </c>
      <c r="CP1241" s="496" t="s">
        <v>689</v>
      </c>
      <c r="CQ1241" s="496" t="s">
        <v>3541</v>
      </c>
      <c r="CR1241" s="496" t="s">
        <v>3541</v>
      </c>
      <c r="CS1241" s="496" t="s">
        <v>1554</v>
      </c>
      <c r="CT1241" s="496" t="s">
        <v>1555</v>
      </c>
      <c r="CU1241" s="496" t="s">
        <v>1981</v>
      </c>
      <c r="CV1241" s="497" t="s">
        <v>1982</v>
      </c>
      <c r="CX1241" s="543">
        <v>1</v>
      </c>
    </row>
    <row r="1242" spans="91:102" ht="21" customHeight="1">
      <c r="CM1242" s="494"/>
      <c r="CN1242" s="496" t="s">
        <v>3542</v>
      </c>
      <c r="CO1242" s="496" t="s">
        <v>8</v>
      </c>
      <c r="CP1242" s="496" t="s">
        <v>689</v>
      </c>
      <c r="CQ1242" s="496" t="s">
        <v>3543</v>
      </c>
      <c r="CR1242" s="496" t="s">
        <v>3543</v>
      </c>
      <c r="CS1242" s="496" t="s">
        <v>1554</v>
      </c>
      <c r="CT1242" s="496" t="s">
        <v>1555</v>
      </c>
      <c r="CU1242" s="496" t="s">
        <v>1981</v>
      </c>
      <c r="CV1242" s="497" t="s">
        <v>1982</v>
      </c>
      <c r="CX1242" s="543">
        <v>1</v>
      </c>
    </row>
    <row r="1243" spans="91:102" ht="21" customHeight="1">
      <c r="CM1243" s="494"/>
      <c r="CN1243" s="496" t="s">
        <v>3544</v>
      </c>
      <c r="CO1243" s="496" t="s">
        <v>8</v>
      </c>
      <c r="CP1243" s="496" t="s">
        <v>689</v>
      </c>
      <c r="CQ1243" s="496" t="s">
        <v>3545</v>
      </c>
      <c r="CR1243" s="496" t="s">
        <v>3545</v>
      </c>
      <c r="CS1243" s="496" t="s">
        <v>1554</v>
      </c>
      <c r="CT1243" s="496" t="s">
        <v>1555</v>
      </c>
      <c r="CU1243" s="496" t="s">
        <v>1981</v>
      </c>
      <c r="CV1243" s="497" t="s">
        <v>1982</v>
      </c>
      <c r="CX1243" s="543">
        <v>1</v>
      </c>
    </row>
    <row r="1244" spans="91:102" ht="21" customHeight="1">
      <c r="CM1244" s="494"/>
      <c r="CN1244" s="496" t="s">
        <v>3546</v>
      </c>
      <c r="CO1244" s="496" t="s">
        <v>8</v>
      </c>
      <c r="CP1244" s="496" t="s">
        <v>689</v>
      </c>
      <c r="CQ1244" s="496" t="s">
        <v>3547</v>
      </c>
      <c r="CR1244" s="496" t="s">
        <v>3547</v>
      </c>
      <c r="CS1244" s="496" t="s">
        <v>1554</v>
      </c>
      <c r="CT1244" s="496" t="s">
        <v>1555</v>
      </c>
      <c r="CU1244" s="496" t="s">
        <v>1981</v>
      </c>
      <c r="CV1244" s="497" t="s">
        <v>1982</v>
      </c>
      <c r="CX1244" s="543">
        <v>1</v>
      </c>
    </row>
    <row r="1245" spans="91:102" ht="21" customHeight="1">
      <c r="CM1245" s="494"/>
      <c r="CN1245" s="496" t="s">
        <v>3548</v>
      </c>
      <c r="CO1245" s="496" t="s">
        <v>8</v>
      </c>
      <c r="CP1245" s="496" t="s">
        <v>689</v>
      </c>
      <c r="CQ1245" s="496" t="s">
        <v>3549</v>
      </c>
      <c r="CR1245" s="496" t="s">
        <v>3549</v>
      </c>
      <c r="CS1245" s="496" t="s">
        <v>1554</v>
      </c>
      <c r="CT1245" s="496" t="s">
        <v>1555</v>
      </c>
      <c r="CU1245" s="496" t="s">
        <v>1981</v>
      </c>
      <c r="CV1245" s="497" t="s">
        <v>1982</v>
      </c>
      <c r="CX1245" s="543">
        <v>1</v>
      </c>
    </row>
    <row r="1246" spans="91:102" ht="21" customHeight="1">
      <c r="CM1246" s="494"/>
      <c r="CN1246" s="496" t="s">
        <v>3550</v>
      </c>
      <c r="CO1246" s="496" t="s">
        <v>8</v>
      </c>
      <c r="CP1246" s="496" t="s">
        <v>689</v>
      </c>
      <c r="CQ1246" s="496" t="s">
        <v>3551</v>
      </c>
      <c r="CR1246" s="496" t="s">
        <v>3551</v>
      </c>
      <c r="CS1246" s="496" t="s">
        <v>1554</v>
      </c>
      <c r="CT1246" s="496" t="s">
        <v>1555</v>
      </c>
      <c r="CU1246" s="496" t="s">
        <v>1981</v>
      </c>
      <c r="CV1246" s="497" t="s">
        <v>1982</v>
      </c>
      <c r="CX1246" s="543">
        <v>1</v>
      </c>
    </row>
    <row r="1247" spans="91:102" ht="21" customHeight="1">
      <c r="CM1247" s="494"/>
      <c r="CN1247" s="496" t="s">
        <v>3552</v>
      </c>
      <c r="CO1247" s="496" t="s">
        <v>8</v>
      </c>
      <c r="CP1247" s="496" t="s">
        <v>689</v>
      </c>
      <c r="CQ1247" s="496" t="s">
        <v>3553</v>
      </c>
      <c r="CR1247" s="496" t="s">
        <v>3553</v>
      </c>
      <c r="CS1247" s="496" t="s">
        <v>1554</v>
      </c>
      <c r="CT1247" s="496" t="s">
        <v>1555</v>
      </c>
      <c r="CU1247" s="496" t="s">
        <v>1981</v>
      </c>
      <c r="CV1247" s="497" t="s">
        <v>1982</v>
      </c>
      <c r="CX1247" s="543">
        <v>1</v>
      </c>
    </row>
    <row r="1248" spans="91:102" ht="21" customHeight="1">
      <c r="CM1248" s="494"/>
      <c r="CN1248" s="496" t="s">
        <v>3554</v>
      </c>
      <c r="CO1248" s="496" t="s">
        <v>8</v>
      </c>
      <c r="CP1248" s="496" t="s">
        <v>689</v>
      </c>
      <c r="CQ1248" s="496" t="s">
        <v>3555</v>
      </c>
      <c r="CR1248" s="496" t="s">
        <v>3555</v>
      </c>
      <c r="CS1248" s="496" t="s">
        <v>1554</v>
      </c>
      <c r="CT1248" s="496" t="s">
        <v>1555</v>
      </c>
      <c r="CU1248" s="496" t="s">
        <v>1981</v>
      </c>
      <c r="CV1248" s="497" t="s">
        <v>1982</v>
      </c>
      <c r="CX1248" s="543">
        <v>1</v>
      </c>
    </row>
    <row r="1249" spans="91:102" ht="21" customHeight="1">
      <c r="CM1249" s="494"/>
      <c r="CN1249" s="496" t="s">
        <v>3556</v>
      </c>
      <c r="CO1249" s="496" t="s">
        <v>8</v>
      </c>
      <c r="CP1249" s="496" t="s">
        <v>689</v>
      </c>
      <c r="CQ1249" s="496" t="s">
        <v>3557</v>
      </c>
      <c r="CR1249" s="496" t="s">
        <v>3557</v>
      </c>
      <c r="CS1249" s="496" t="s">
        <v>1554</v>
      </c>
      <c r="CT1249" s="496" t="s">
        <v>1555</v>
      </c>
      <c r="CU1249" s="496" t="s">
        <v>1981</v>
      </c>
      <c r="CV1249" s="497" t="s">
        <v>1982</v>
      </c>
      <c r="CX1249" s="543">
        <v>1</v>
      </c>
    </row>
    <row r="1250" spans="91:102" ht="21" customHeight="1">
      <c r="CM1250" s="494"/>
      <c r="CN1250" s="496" t="s">
        <v>3558</v>
      </c>
      <c r="CO1250" s="496" t="s">
        <v>8</v>
      </c>
      <c r="CP1250" s="496" t="s">
        <v>689</v>
      </c>
      <c r="CQ1250" s="496" t="s">
        <v>3559</v>
      </c>
      <c r="CR1250" s="496" t="s">
        <v>3559</v>
      </c>
      <c r="CS1250" s="496" t="s">
        <v>1554</v>
      </c>
      <c r="CT1250" s="496" t="s">
        <v>1555</v>
      </c>
      <c r="CU1250" s="496" t="s">
        <v>1981</v>
      </c>
      <c r="CV1250" s="497" t="s">
        <v>1982</v>
      </c>
      <c r="CX1250" s="543">
        <v>1</v>
      </c>
    </row>
    <row r="1251" spans="91:102" ht="21" customHeight="1">
      <c r="CM1251" s="494"/>
      <c r="CN1251" s="496" t="s">
        <v>3560</v>
      </c>
      <c r="CO1251" s="496" t="s">
        <v>8</v>
      </c>
      <c r="CP1251" s="496" t="s">
        <v>689</v>
      </c>
      <c r="CQ1251" s="496" t="s">
        <v>3561</v>
      </c>
      <c r="CR1251" s="496" t="s">
        <v>3561</v>
      </c>
      <c r="CS1251" s="496" t="s">
        <v>1554</v>
      </c>
      <c r="CT1251" s="496" t="s">
        <v>1555</v>
      </c>
      <c r="CU1251" s="496" t="s">
        <v>1981</v>
      </c>
      <c r="CV1251" s="497" t="s">
        <v>1982</v>
      </c>
      <c r="CX1251" s="543">
        <v>1</v>
      </c>
    </row>
    <row r="1252" spans="91:102" ht="21" customHeight="1">
      <c r="CM1252" s="494"/>
      <c r="CN1252" s="496" t="s">
        <v>3562</v>
      </c>
      <c r="CO1252" s="496" t="s">
        <v>8</v>
      </c>
      <c r="CP1252" s="496" t="s">
        <v>689</v>
      </c>
      <c r="CQ1252" s="496" t="s">
        <v>3563</v>
      </c>
      <c r="CR1252" s="496" t="s">
        <v>3563</v>
      </c>
      <c r="CS1252" s="496" t="s">
        <v>1554</v>
      </c>
      <c r="CT1252" s="496" t="s">
        <v>1555</v>
      </c>
      <c r="CU1252" s="496" t="s">
        <v>1981</v>
      </c>
      <c r="CV1252" s="497" t="s">
        <v>1982</v>
      </c>
      <c r="CX1252" s="543">
        <v>1</v>
      </c>
    </row>
    <row r="1253" spans="91:102" ht="21" customHeight="1">
      <c r="CM1253" s="494"/>
      <c r="CN1253" s="496" t="s">
        <v>3564</v>
      </c>
      <c r="CO1253" s="496" t="s">
        <v>8</v>
      </c>
      <c r="CP1253" s="496" t="s">
        <v>689</v>
      </c>
      <c r="CQ1253" s="496" t="s">
        <v>3565</v>
      </c>
      <c r="CR1253" s="496" t="s">
        <v>3565</v>
      </c>
      <c r="CS1253" s="496" t="s">
        <v>1554</v>
      </c>
      <c r="CT1253" s="496" t="s">
        <v>1555</v>
      </c>
      <c r="CU1253" s="496" t="s">
        <v>1981</v>
      </c>
      <c r="CV1253" s="497" t="s">
        <v>1982</v>
      </c>
      <c r="CX1253" s="543">
        <v>1</v>
      </c>
    </row>
    <row r="1254" spans="91:102" ht="21" customHeight="1">
      <c r="CM1254" s="494"/>
      <c r="CN1254" s="496" t="s">
        <v>3566</v>
      </c>
      <c r="CO1254" s="496" t="s">
        <v>8</v>
      </c>
      <c r="CP1254" s="496" t="s">
        <v>689</v>
      </c>
      <c r="CQ1254" s="496" t="s">
        <v>3567</v>
      </c>
      <c r="CR1254" s="496" t="s">
        <v>3567</v>
      </c>
      <c r="CS1254" s="496" t="s">
        <v>1554</v>
      </c>
      <c r="CT1254" s="496" t="s">
        <v>1555</v>
      </c>
      <c r="CU1254" s="496" t="s">
        <v>1981</v>
      </c>
      <c r="CV1254" s="497" t="s">
        <v>1982</v>
      </c>
      <c r="CX1254" s="543">
        <v>1</v>
      </c>
    </row>
    <row r="1255" spans="91:102" ht="21" customHeight="1">
      <c r="CM1255" s="494"/>
      <c r="CN1255" s="496" t="s">
        <v>3568</v>
      </c>
      <c r="CO1255" s="496" t="s">
        <v>8</v>
      </c>
      <c r="CP1255" s="496" t="s">
        <v>689</v>
      </c>
      <c r="CQ1255" s="496" t="s">
        <v>3569</v>
      </c>
      <c r="CR1255" s="496" t="s">
        <v>3569</v>
      </c>
      <c r="CS1255" s="496" t="s">
        <v>1554</v>
      </c>
      <c r="CT1255" s="496" t="s">
        <v>1555</v>
      </c>
      <c r="CU1255" s="496" t="s">
        <v>1981</v>
      </c>
      <c r="CV1255" s="497" t="s">
        <v>1982</v>
      </c>
      <c r="CX1255" s="543">
        <v>1</v>
      </c>
    </row>
    <row r="1256" spans="91:102" ht="21" customHeight="1">
      <c r="CM1256" s="494"/>
      <c r="CN1256" s="496" t="s">
        <v>3570</v>
      </c>
      <c r="CO1256" s="496" t="s">
        <v>8</v>
      </c>
      <c r="CP1256" s="496" t="s">
        <v>689</v>
      </c>
      <c r="CQ1256" s="496" t="s">
        <v>3571</v>
      </c>
      <c r="CR1256" s="496" t="s">
        <v>3571</v>
      </c>
      <c r="CS1256" s="496" t="s">
        <v>1554</v>
      </c>
      <c r="CT1256" s="496" t="s">
        <v>1555</v>
      </c>
      <c r="CU1256" s="496" t="s">
        <v>1981</v>
      </c>
      <c r="CV1256" s="497" t="s">
        <v>1982</v>
      </c>
      <c r="CX1256" s="543">
        <v>1</v>
      </c>
    </row>
    <row r="1257" spans="91:102" ht="21" customHeight="1">
      <c r="CM1257" s="494"/>
      <c r="CN1257" s="496" t="s">
        <v>3572</v>
      </c>
      <c r="CO1257" s="496" t="s">
        <v>8</v>
      </c>
      <c r="CP1257" s="496" t="s">
        <v>689</v>
      </c>
      <c r="CQ1257" s="496" t="s">
        <v>3573</v>
      </c>
      <c r="CR1257" s="496" t="s">
        <v>3573</v>
      </c>
      <c r="CS1257" s="496" t="s">
        <v>1554</v>
      </c>
      <c r="CT1257" s="496" t="s">
        <v>1555</v>
      </c>
      <c r="CU1257" s="496" t="s">
        <v>1981</v>
      </c>
      <c r="CV1257" s="497" t="s">
        <v>1982</v>
      </c>
      <c r="CX1257" s="543">
        <v>1</v>
      </c>
    </row>
    <row r="1258" spans="91:102" ht="21" customHeight="1">
      <c r="CM1258" s="494"/>
      <c r="CN1258" s="496" t="s">
        <v>3574</v>
      </c>
      <c r="CO1258" s="496" t="s">
        <v>8</v>
      </c>
      <c r="CP1258" s="496" t="s">
        <v>689</v>
      </c>
      <c r="CQ1258" s="496" t="s">
        <v>1053</v>
      </c>
      <c r="CR1258" s="496" t="s">
        <v>1053</v>
      </c>
      <c r="CS1258" s="496" t="s">
        <v>1085</v>
      </c>
      <c r="CT1258" s="496" t="s">
        <v>2063</v>
      </c>
      <c r="CU1258" s="496" t="s">
        <v>1087</v>
      </c>
      <c r="CV1258" s="497" t="s">
        <v>1088</v>
      </c>
      <c r="CX1258" s="543">
        <v>1</v>
      </c>
    </row>
    <row r="1259" spans="91:102" ht="21" customHeight="1">
      <c r="CM1259" s="494"/>
      <c r="CN1259" s="496" t="s">
        <v>3575</v>
      </c>
      <c r="CO1259" s="496" t="s">
        <v>8</v>
      </c>
      <c r="CP1259" s="496" t="s">
        <v>689</v>
      </c>
      <c r="CQ1259" s="496" t="s">
        <v>3576</v>
      </c>
      <c r="CR1259" s="496" t="s">
        <v>3576</v>
      </c>
      <c r="CS1259" s="496" t="s">
        <v>1554</v>
      </c>
      <c r="CT1259" s="496" t="s">
        <v>1555</v>
      </c>
      <c r="CU1259" s="496" t="s">
        <v>1981</v>
      </c>
      <c r="CV1259" s="497" t="s">
        <v>1982</v>
      </c>
      <c r="CX1259" s="543">
        <v>1</v>
      </c>
    </row>
    <row r="1260" spans="91:102" ht="21" customHeight="1">
      <c r="CM1260" s="494"/>
      <c r="CN1260" s="496" t="s">
        <v>3577</v>
      </c>
      <c r="CO1260" s="496" t="s">
        <v>8</v>
      </c>
      <c r="CP1260" s="496" t="s">
        <v>689</v>
      </c>
      <c r="CQ1260" s="496" t="s">
        <v>3578</v>
      </c>
      <c r="CR1260" s="496" t="s">
        <v>3578</v>
      </c>
      <c r="CS1260" s="496" t="s">
        <v>1554</v>
      </c>
      <c r="CT1260" s="496" t="s">
        <v>1555</v>
      </c>
      <c r="CU1260" s="496" t="s">
        <v>1981</v>
      </c>
      <c r="CV1260" s="497" t="s">
        <v>1982</v>
      </c>
      <c r="CX1260" s="543">
        <v>1</v>
      </c>
    </row>
    <row r="1261" spans="91:102" ht="21" customHeight="1">
      <c r="CM1261" s="494"/>
      <c r="CN1261" s="496" t="s">
        <v>3579</v>
      </c>
      <c r="CO1261" s="496" t="s">
        <v>8</v>
      </c>
      <c r="CP1261" s="496" t="s">
        <v>689</v>
      </c>
      <c r="CQ1261" s="496" t="s">
        <v>3580</v>
      </c>
      <c r="CR1261" s="496" t="s">
        <v>3580</v>
      </c>
      <c r="CS1261" s="496" t="s">
        <v>1554</v>
      </c>
      <c r="CT1261" s="496" t="s">
        <v>1555</v>
      </c>
      <c r="CU1261" s="496" t="s">
        <v>1981</v>
      </c>
      <c r="CV1261" s="497" t="s">
        <v>1982</v>
      </c>
      <c r="CX1261" s="543">
        <v>1</v>
      </c>
    </row>
    <row r="1262" spans="91:102" ht="21" customHeight="1">
      <c r="CM1262" s="494"/>
      <c r="CN1262" s="496" t="s">
        <v>3581</v>
      </c>
      <c r="CO1262" s="496" t="s">
        <v>8</v>
      </c>
      <c r="CP1262" s="496" t="s">
        <v>689</v>
      </c>
      <c r="CQ1262" s="496" t="s">
        <v>3582</v>
      </c>
      <c r="CR1262" s="496" t="s">
        <v>3582</v>
      </c>
      <c r="CS1262" s="496" t="s">
        <v>1554</v>
      </c>
      <c r="CT1262" s="496" t="s">
        <v>1555</v>
      </c>
      <c r="CU1262" s="496" t="s">
        <v>1981</v>
      </c>
      <c r="CV1262" s="497" t="s">
        <v>1982</v>
      </c>
      <c r="CX1262" s="543">
        <v>1</v>
      </c>
    </row>
    <row r="1263" spans="91:102" ht="21" customHeight="1">
      <c r="CM1263" s="494"/>
      <c r="CN1263" s="496" t="s">
        <v>3583</v>
      </c>
      <c r="CO1263" s="496" t="s">
        <v>8</v>
      </c>
      <c r="CP1263" s="496" t="s">
        <v>689</v>
      </c>
      <c r="CQ1263" s="496" t="s">
        <v>3584</v>
      </c>
      <c r="CR1263" s="496" t="s">
        <v>3584</v>
      </c>
      <c r="CS1263" s="496" t="s">
        <v>1554</v>
      </c>
      <c r="CT1263" s="496" t="s">
        <v>1555</v>
      </c>
      <c r="CU1263" s="496" t="s">
        <v>1981</v>
      </c>
      <c r="CV1263" s="497" t="s">
        <v>1982</v>
      </c>
      <c r="CX1263" s="543">
        <v>1</v>
      </c>
    </row>
    <row r="1264" spans="91:102" ht="21" customHeight="1">
      <c r="CM1264" s="494"/>
      <c r="CN1264" s="496" t="s">
        <v>3585</v>
      </c>
      <c r="CO1264" s="496" t="s">
        <v>8</v>
      </c>
      <c r="CP1264" s="496" t="s">
        <v>689</v>
      </c>
      <c r="CQ1264" s="496" t="s">
        <v>3586</v>
      </c>
      <c r="CR1264" s="496" t="s">
        <v>3586</v>
      </c>
      <c r="CS1264" s="496" t="s">
        <v>1554</v>
      </c>
      <c r="CT1264" s="496" t="s">
        <v>1555</v>
      </c>
      <c r="CU1264" s="496" t="s">
        <v>1981</v>
      </c>
      <c r="CV1264" s="497" t="s">
        <v>1982</v>
      </c>
      <c r="CX1264" s="543">
        <v>1</v>
      </c>
    </row>
    <row r="1265" spans="91:102" ht="21" customHeight="1">
      <c r="CM1265" s="494"/>
      <c r="CN1265" s="496" t="s">
        <v>3587</v>
      </c>
      <c r="CO1265" s="496" t="s">
        <v>8</v>
      </c>
      <c r="CP1265" s="496" t="s">
        <v>689</v>
      </c>
      <c r="CQ1265" s="496" t="s">
        <v>3588</v>
      </c>
      <c r="CR1265" s="496" t="s">
        <v>3588</v>
      </c>
      <c r="CS1265" s="496" t="s">
        <v>1554</v>
      </c>
      <c r="CT1265" s="496" t="s">
        <v>1555</v>
      </c>
      <c r="CU1265" s="496" t="s">
        <v>1981</v>
      </c>
      <c r="CV1265" s="497" t="s">
        <v>1982</v>
      </c>
      <c r="CX1265" s="543">
        <v>1</v>
      </c>
    </row>
    <row r="1266" spans="91:102" ht="21" customHeight="1">
      <c r="CM1266" s="494"/>
      <c r="CN1266" s="496" t="s">
        <v>3589</v>
      </c>
      <c r="CO1266" s="496" t="s">
        <v>8</v>
      </c>
      <c r="CP1266" s="496" t="s">
        <v>689</v>
      </c>
      <c r="CQ1266" s="496" t="s">
        <v>3590</v>
      </c>
      <c r="CR1266" s="496" t="s">
        <v>3590</v>
      </c>
      <c r="CS1266" s="496" t="s">
        <v>1554</v>
      </c>
      <c r="CT1266" s="496" t="s">
        <v>1555</v>
      </c>
      <c r="CU1266" s="496" t="s">
        <v>1981</v>
      </c>
      <c r="CV1266" s="497" t="s">
        <v>1982</v>
      </c>
      <c r="CX1266" s="543">
        <v>1</v>
      </c>
    </row>
    <row r="1267" spans="91:102" ht="21" customHeight="1">
      <c r="CM1267" s="494"/>
      <c r="CN1267" s="496" t="s">
        <v>3591</v>
      </c>
      <c r="CO1267" s="496" t="s">
        <v>8</v>
      </c>
      <c r="CP1267" s="496" t="s">
        <v>689</v>
      </c>
      <c r="CQ1267" s="496" t="s">
        <v>3592</v>
      </c>
      <c r="CR1267" s="496" t="s">
        <v>3592</v>
      </c>
      <c r="CS1267" s="496" t="s">
        <v>1554</v>
      </c>
      <c r="CT1267" s="496" t="s">
        <v>1555</v>
      </c>
      <c r="CU1267" s="496" t="s">
        <v>1981</v>
      </c>
      <c r="CV1267" s="497" t="s">
        <v>1982</v>
      </c>
      <c r="CX1267" s="543">
        <v>1</v>
      </c>
    </row>
    <row r="1268" spans="91:102" ht="21" customHeight="1">
      <c r="CM1268" s="494"/>
      <c r="CN1268" s="496" t="s">
        <v>3593</v>
      </c>
      <c r="CO1268" s="496" t="s">
        <v>8</v>
      </c>
      <c r="CP1268" s="496" t="s">
        <v>689</v>
      </c>
      <c r="CQ1268" s="496" t="s">
        <v>3594</v>
      </c>
      <c r="CR1268" s="496" t="s">
        <v>3594</v>
      </c>
      <c r="CS1268" s="496" t="s">
        <v>1554</v>
      </c>
      <c r="CT1268" s="496" t="s">
        <v>1555</v>
      </c>
      <c r="CU1268" s="496" t="s">
        <v>1981</v>
      </c>
      <c r="CV1268" s="497" t="s">
        <v>1982</v>
      </c>
      <c r="CX1268" s="543">
        <v>1</v>
      </c>
    </row>
    <row r="1269" spans="91:102" ht="21" customHeight="1">
      <c r="CM1269" s="494"/>
      <c r="CN1269" s="496" t="s">
        <v>3595</v>
      </c>
      <c r="CO1269" s="496" t="s">
        <v>8</v>
      </c>
      <c r="CP1269" s="496" t="s">
        <v>689</v>
      </c>
      <c r="CQ1269" s="496" t="s">
        <v>3596</v>
      </c>
      <c r="CR1269" s="496" t="s">
        <v>3596</v>
      </c>
      <c r="CS1269" s="496" t="s">
        <v>1554</v>
      </c>
      <c r="CT1269" s="496" t="s">
        <v>1555</v>
      </c>
      <c r="CU1269" s="496" t="s">
        <v>1981</v>
      </c>
      <c r="CV1269" s="497" t="s">
        <v>1982</v>
      </c>
      <c r="CX1269" s="543">
        <v>1</v>
      </c>
    </row>
    <row r="1270" spans="91:102" ht="21" customHeight="1">
      <c r="CM1270" s="494"/>
      <c r="CN1270" s="496" t="s">
        <v>3597</v>
      </c>
      <c r="CO1270" s="496" t="s">
        <v>8</v>
      </c>
      <c r="CP1270" s="496" t="s">
        <v>689</v>
      </c>
      <c r="CQ1270" s="496" t="s">
        <v>179</v>
      </c>
      <c r="CR1270" s="496" t="s">
        <v>179</v>
      </c>
      <c r="CS1270" s="496" t="s">
        <v>1085</v>
      </c>
      <c r="CT1270" s="496" t="s">
        <v>2063</v>
      </c>
      <c r="CU1270" s="496" t="s">
        <v>1087</v>
      </c>
      <c r="CV1270" s="497" t="s">
        <v>1088</v>
      </c>
      <c r="CX1270" s="543">
        <v>1</v>
      </c>
    </row>
    <row r="1271" spans="91:102" ht="21" customHeight="1">
      <c r="CM1271" s="494"/>
      <c r="CN1271" s="496" t="s">
        <v>3598</v>
      </c>
      <c r="CO1271" s="496" t="s">
        <v>8</v>
      </c>
      <c r="CP1271" s="496" t="s">
        <v>689</v>
      </c>
      <c r="CQ1271" s="496" t="s">
        <v>3599</v>
      </c>
      <c r="CR1271" s="496" t="s">
        <v>3599</v>
      </c>
      <c r="CS1271" s="496" t="s">
        <v>1151</v>
      </c>
      <c r="CT1271" s="496" t="s">
        <v>1152</v>
      </c>
      <c r="CU1271" s="496" t="s">
        <v>1087</v>
      </c>
      <c r="CV1271" s="497" t="s">
        <v>1153</v>
      </c>
      <c r="CX1271" s="543">
        <v>1</v>
      </c>
    </row>
    <row r="1272" spans="91:102" ht="21" customHeight="1">
      <c r="CM1272" s="494"/>
      <c r="CN1272" s="496" t="s">
        <v>3600</v>
      </c>
      <c r="CO1272" s="496" t="s">
        <v>8</v>
      </c>
      <c r="CP1272" s="496" t="s">
        <v>689</v>
      </c>
      <c r="CQ1272" s="496" t="s">
        <v>3601</v>
      </c>
      <c r="CR1272" s="496" t="s">
        <v>3601</v>
      </c>
      <c r="CS1272" s="496" t="s">
        <v>1554</v>
      </c>
      <c r="CT1272" s="496" t="s">
        <v>1555</v>
      </c>
      <c r="CU1272" s="496" t="s">
        <v>1981</v>
      </c>
      <c r="CV1272" s="497" t="s">
        <v>1982</v>
      </c>
      <c r="CX1272" s="543">
        <v>1</v>
      </c>
    </row>
    <row r="1273" spans="91:102" ht="21" customHeight="1">
      <c r="CM1273" s="494"/>
      <c r="CN1273" s="496" t="s">
        <v>3602</v>
      </c>
      <c r="CO1273" s="496" t="s">
        <v>8</v>
      </c>
      <c r="CP1273" s="496" t="s">
        <v>689</v>
      </c>
      <c r="CQ1273" s="496" t="s">
        <v>3603</v>
      </c>
      <c r="CR1273" s="496" t="s">
        <v>3603</v>
      </c>
      <c r="CS1273" s="496" t="s">
        <v>1554</v>
      </c>
      <c r="CT1273" s="496" t="s">
        <v>1555</v>
      </c>
      <c r="CU1273" s="496" t="s">
        <v>1981</v>
      </c>
      <c r="CV1273" s="497" t="s">
        <v>1982</v>
      </c>
      <c r="CX1273" s="543">
        <v>1</v>
      </c>
    </row>
    <row r="1274" spans="91:102" ht="21" customHeight="1">
      <c r="CM1274" s="494"/>
      <c r="CN1274" s="496" t="s">
        <v>3604</v>
      </c>
      <c r="CO1274" s="496" t="s">
        <v>8</v>
      </c>
      <c r="CP1274" s="496" t="s">
        <v>689</v>
      </c>
      <c r="CQ1274" s="496" t="s">
        <v>3605</v>
      </c>
      <c r="CR1274" s="496" t="s">
        <v>3605</v>
      </c>
      <c r="CS1274" s="496" t="s">
        <v>1554</v>
      </c>
      <c r="CT1274" s="496" t="s">
        <v>1555</v>
      </c>
      <c r="CU1274" s="496" t="s">
        <v>1981</v>
      </c>
      <c r="CV1274" s="497" t="s">
        <v>1982</v>
      </c>
      <c r="CX1274" s="543">
        <v>1</v>
      </c>
    </row>
    <row r="1275" spans="91:102" ht="21" customHeight="1">
      <c r="CM1275" s="494"/>
      <c r="CN1275" s="496" t="s">
        <v>3606</v>
      </c>
      <c r="CO1275" s="496" t="s">
        <v>8</v>
      </c>
      <c r="CP1275" s="496" t="s">
        <v>689</v>
      </c>
      <c r="CQ1275" s="496" t="s">
        <v>3607</v>
      </c>
      <c r="CR1275" s="496" t="s">
        <v>3607</v>
      </c>
      <c r="CS1275" s="496" t="s">
        <v>1554</v>
      </c>
      <c r="CT1275" s="496" t="s">
        <v>1555</v>
      </c>
      <c r="CU1275" s="496" t="s">
        <v>1981</v>
      </c>
      <c r="CV1275" s="497" t="s">
        <v>1982</v>
      </c>
      <c r="CX1275" s="543">
        <v>1</v>
      </c>
    </row>
    <row r="1276" spans="91:102" ht="21" customHeight="1">
      <c r="CM1276" s="494"/>
      <c r="CN1276" s="496" t="s">
        <v>3608</v>
      </c>
      <c r="CO1276" s="496" t="s">
        <v>8</v>
      </c>
      <c r="CP1276" s="496" t="s">
        <v>689</v>
      </c>
      <c r="CQ1276" s="496" t="s">
        <v>3609</v>
      </c>
      <c r="CR1276" s="496" t="s">
        <v>3609</v>
      </c>
      <c r="CS1276" s="496" t="s">
        <v>1554</v>
      </c>
      <c r="CT1276" s="496" t="s">
        <v>1555</v>
      </c>
      <c r="CU1276" s="496" t="s">
        <v>1981</v>
      </c>
      <c r="CV1276" s="497" t="s">
        <v>1982</v>
      </c>
      <c r="CX1276" s="543">
        <v>1</v>
      </c>
    </row>
    <row r="1277" spans="91:102" ht="21" customHeight="1">
      <c r="CM1277" s="494"/>
      <c r="CN1277" s="496" t="s">
        <v>3610</v>
      </c>
      <c r="CO1277" s="496" t="s">
        <v>8</v>
      </c>
      <c r="CP1277" s="496" t="s">
        <v>689</v>
      </c>
      <c r="CQ1277" s="496" t="s">
        <v>3611</v>
      </c>
      <c r="CR1277" s="496" t="s">
        <v>3611</v>
      </c>
      <c r="CS1277" s="496" t="s">
        <v>1554</v>
      </c>
      <c r="CT1277" s="496" t="s">
        <v>1555</v>
      </c>
      <c r="CU1277" s="496" t="s">
        <v>1981</v>
      </c>
      <c r="CV1277" s="497" t="s">
        <v>1982</v>
      </c>
      <c r="CX1277" s="543">
        <v>1</v>
      </c>
    </row>
    <row r="1278" spans="91:102" ht="21" customHeight="1">
      <c r="CM1278" s="494"/>
      <c r="CN1278" s="496" t="s">
        <v>3612</v>
      </c>
      <c r="CO1278" s="496" t="s">
        <v>8</v>
      </c>
      <c r="CP1278" s="496" t="s">
        <v>689</v>
      </c>
      <c r="CQ1278" s="496" t="s">
        <v>3613</v>
      </c>
      <c r="CR1278" s="496" t="s">
        <v>3613</v>
      </c>
      <c r="CS1278" s="496" t="s">
        <v>1554</v>
      </c>
      <c r="CT1278" s="496" t="s">
        <v>1555</v>
      </c>
      <c r="CU1278" s="496" t="s">
        <v>1981</v>
      </c>
      <c r="CV1278" s="497" t="s">
        <v>1982</v>
      </c>
      <c r="CX1278" s="543">
        <v>1</v>
      </c>
    </row>
    <row r="1279" spans="91:102" ht="21" customHeight="1">
      <c r="CM1279" s="494"/>
      <c r="CN1279" s="496" t="s">
        <v>3614</v>
      </c>
      <c r="CO1279" s="496" t="s">
        <v>8</v>
      </c>
      <c r="CP1279" s="496" t="s">
        <v>689</v>
      </c>
      <c r="CQ1279" s="496" t="s">
        <v>3615</v>
      </c>
      <c r="CR1279" s="496" t="s">
        <v>3615</v>
      </c>
      <c r="CS1279" s="496" t="s">
        <v>1554</v>
      </c>
      <c r="CT1279" s="496" t="s">
        <v>1555</v>
      </c>
      <c r="CU1279" s="496" t="s">
        <v>1981</v>
      </c>
      <c r="CV1279" s="497" t="s">
        <v>1982</v>
      </c>
      <c r="CX1279" s="543">
        <v>1</v>
      </c>
    </row>
    <row r="1280" spans="91:102" ht="21" customHeight="1">
      <c r="CM1280" s="494"/>
      <c r="CN1280" s="496" t="s">
        <v>3616</v>
      </c>
      <c r="CO1280" s="496" t="s">
        <v>8</v>
      </c>
      <c r="CP1280" s="496" t="s">
        <v>689</v>
      </c>
      <c r="CQ1280" s="496" t="s">
        <v>1054</v>
      </c>
      <c r="CR1280" s="496" t="s">
        <v>1054</v>
      </c>
      <c r="CS1280" s="496" t="s">
        <v>1085</v>
      </c>
      <c r="CT1280" s="496" t="s">
        <v>2063</v>
      </c>
      <c r="CU1280" s="496" t="s">
        <v>1087</v>
      </c>
      <c r="CV1280" s="497" t="s">
        <v>1088</v>
      </c>
      <c r="CX1280" s="543">
        <v>1</v>
      </c>
    </row>
    <row r="1281" spans="91:102" ht="21" customHeight="1">
      <c r="CM1281" s="494"/>
      <c r="CN1281" s="496" t="s">
        <v>3617</v>
      </c>
      <c r="CO1281" s="496" t="s">
        <v>8</v>
      </c>
      <c r="CP1281" s="496" t="s">
        <v>689</v>
      </c>
      <c r="CQ1281" s="496" t="s">
        <v>3618</v>
      </c>
      <c r="CR1281" s="496" t="s">
        <v>3618</v>
      </c>
      <c r="CS1281" s="496" t="s">
        <v>1085</v>
      </c>
      <c r="CT1281" s="496" t="s">
        <v>2063</v>
      </c>
      <c r="CU1281" s="496" t="s">
        <v>1087</v>
      </c>
      <c r="CV1281" s="497" t="s">
        <v>1088</v>
      </c>
      <c r="CX1281" s="543">
        <v>1</v>
      </c>
    </row>
    <row r="1282" spans="91:102" ht="21" customHeight="1">
      <c r="CM1282" s="494"/>
      <c r="CN1282" s="496" t="s">
        <v>3619</v>
      </c>
      <c r="CO1282" s="496" t="s">
        <v>8</v>
      </c>
      <c r="CP1282" s="496" t="s">
        <v>689</v>
      </c>
      <c r="CQ1282" s="496" t="s">
        <v>3620</v>
      </c>
      <c r="CR1282" s="496" t="s">
        <v>3620</v>
      </c>
      <c r="CS1282" s="496" t="s">
        <v>1554</v>
      </c>
      <c r="CT1282" s="496" t="s">
        <v>1555</v>
      </c>
      <c r="CU1282" s="496" t="s">
        <v>1981</v>
      </c>
      <c r="CV1282" s="497" t="s">
        <v>1982</v>
      </c>
      <c r="CX1282" s="543">
        <v>1</v>
      </c>
    </row>
    <row r="1283" spans="91:102" ht="21" customHeight="1">
      <c r="CM1283" s="494"/>
      <c r="CN1283" s="496" t="s">
        <v>3621</v>
      </c>
      <c r="CO1283" s="496" t="s">
        <v>8</v>
      </c>
      <c r="CP1283" s="496" t="s">
        <v>689</v>
      </c>
      <c r="CQ1283" s="496" t="s">
        <v>1055</v>
      </c>
      <c r="CR1283" s="496" t="s">
        <v>1055</v>
      </c>
      <c r="CS1283" s="496" t="s">
        <v>1085</v>
      </c>
      <c r="CT1283" s="496" t="s">
        <v>2063</v>
      </c>
      <c r="CU1283" s="496" t="s">
        <v>1087</v>
      </c>
      <c r="CV1283" s="497" t="s">
        <v>1088</v>
      </c>
      <c r="CX1283" s="543">
        <v>1</v>
      </c>
    </row>
    <row r="1284" spans="91:102" ht="21" customHeight="1">
      <c r="CM1284" s="494"/>
      <c r="CN1284" s="496" t="s">
        <v>3622</v>
      </c>
      <c r="CO1284" s="496" t="s">
        <v>8</v>
      </c>
      <c r="CP1284" s="496" t="s">
        <v>689</v>
      </c>
      <c r="CQ1284" s="496" t="s">
        <v>3623</v>
      </c>
      <c r="CR1284" s="496" t="s">
        <v>3623</v>
      </c>
      <c r="CS1284" s="496" t="s">
        <v>1554</v>
      </c>
      <c r="CT1284" s="496" t="s">
        <v>1555</v>
      </c>
      <c r="CU1284" s="496" t="s">
        <v>1981</v>
      </c>
      <c r="CV1284" s="497" t="s">
        <v>1982</v>
      </c>
      <c r="CX1284" s="543">
        <v>1</v>
      </c>
    </row>
    <row r="1285" spans="91:102" ht="21" customHeight="1">
      <c r="CM1285" s="494"/>
      <c r="CN1285" s="496" t="s">
        <v>3624</v>
      </c>
      <c r="CO1285" s="496" t="s">
        <v>8</v>
      </c>
      <c r="CP1285" s="496" t="s">
        <v>689</v>
      </c>
      <c r="CQ1285" s="496" t="s">
        <v>3625</v>
      </c>
      <c r="CR1285" s="496" t="s">
        <v>3625</v>
      </c>
      <c r="CS1285" s="496" t="s">
        <v>1554</v>
      </c>
      <c r="CT1285" s="496" t="s">
        <v>1555</v>
      </c>
      <c r="CU1285" s="496" t="s">
        <v>1981</v>
      </c>
      <c r="CV1285" s="497" t="s">
        <v>1982</v>
      </c>
      <c r="CX1285" s="543">
        <v>1</v>
      </c>
    </row>
    <row r="1286" spans="91:102" ht="21" customHeight="1">
      <c r="CM1286" s="494"/>
      <c r="CN1286" s="496" t="s">
        <v>3626</v>
      </c>
      <c r="CO1286" s="496" t="s">
        <v>8</v>
      </c>
      <c r="CP1286" s="496" t="s">
        <v>689</v>
      </c>
      <c r="CQ1286" s="496" t="s">
        <v>3627</v>
      </c>
      <c r="CR1286" s="496" t="s">
        <v>3627</v>
      </c>
      <c r="CS1286" s="496" t="s">
        <v>1554</v>
      </c>
      <c r="CT1286" s="496" t="s">
        <v>1555</v>
      </c>
      <c r="CU1286" s="496" t="s">
        <v>1981</v>
      </c>
      <c r="CV1286" s="497" t="s">
        <v>1982</v>
      </c>
      <c r="CX1286" s="543">
        <v>1</v>
      </c>
    </row>
    <row r="1287" spans="91:102" ht="21" customHeight="1">
      <c r="CM1287" s="494"/>
      <c r="CN1287" s="496" t="s">
        <v>3628</v>
      </c>
      <c r="CO1287" s="496" t="s">
        <v>8</v>
      </c>
      <c r="CP1287" s="496" t="s">
        <v>689</v>
      </c>
      <c r="CQ1287" s="496" t="s">
        <v>3629</v>
      </c>
      <c r="CR1287" s="496" t="s">
        <v>3629</v>
      </c>
      <c r="CS1287" s="496" t="s">
        <v>1554</v>
      </c>
      <c r="CT1287" s="496" t="s">
        <v>1555</v>
      </c>
      <c r="CU1287" s="496" t="s">
        <v>1981</v>
      </c>
      <c r="CV1287" s="497" t="s">
        <v>1982</v>
      </c>
      <c r="CX1287" s="543">
        <v>1</v>
      </c>
    </row>
    <row r="1288" spans="91:102" ht="21" customHeight="1">
      <c r="CM1288" s="494"/>
      <c r="CN1288" s="496" t="s">
        <v>3630</v>
      </c>
      <c r="CO1288" s="496" t="s">
        <v>8</v>
      </c>
      <c r="CP1288" s="496" t="s">
        <v>689</v>
      </c>
      <c r="CQ1288" s="496" t="s">
        <v>3631</v>
      </c>
      <c r="CR1288" s="496" t="s">
        <v>3631</v>
      </c>
      <c r="CS1288" s="496" t="s">
        <v>1554</v>
      </c>
      <c r="CT1288" s="496" t="s">
        <v>1555</v>
      </c>
      <c r="CU1288" s="496" t="s">
        <v>1981</v>
      </c>
      <c r="CV1288" s="497" t="s">
        <v>1982</v>
      </c>
      <c r="CX1288" s="543">
        <v>1</v>
      </c>
    </row>
    <row r="1289" spans="91:102" ht="21" customHeight="1">
      <c r="CM1289" s="494"/>
      <c r="CN1289" s="496" t="s">
        <v>3632</v>
      </c>
      <c r="CO1289" s="496" t="s">
        <v>8</v>
      </c>
      <c r="CP1289" s="496" t="s">
        <v>689</v>
      </c>
      <c r="CQ1289" s="496" t="s">
        <v>3633</v>
      </c>
      <c r="CR1289" s="496" t="s">
        <v>3633</v>
      </c>
      <c r="CS1289" s="496" t="s">
        <v>1554</v>
      </c>
      <c r="CT1289" s="496" t="s">
        <v>1555</v>
      </c>
      <c r="CU1289" s="496" t="s">
        <v>1981</v>
      </c>
      <c r="CV1289" s="497" t="s">
        <v>1982</v>
      </c>
      <c r="CX1289" s="543">
        <v>1</v>
      </c>
    </row>
    <row r="1290" spans="91:102" ht="21" customHeight="1">
      <c r="CM1290" s="494"/>
      <c r="CN1290" s="496" t="s">
        <v>3634</v>
      </c>
      <c r="CO1290" s="496" t="s">
        <v>8</v>
      </c>
      <c r="CP1290" s="496" t="s">
        <v>689</v>
      </c>
      <c r="CQ1290" s="496" t="s">
        <v>3635</v>
      </c>
      <c r="CR1290" s="496" t="s">
        <v>3635</v>
      </c>
      <c r="CS1290" s="496" t="s">
        <v>1554</v>
      </c>
      <c r="CT1290" s="496" t="s">
        <v>1555</v>
      </c>
      <c r="CU1290" s="496" t="s">
        <v>1981</v>
      </c>
      <c r="CV1290" s="497" t="s">
        <v>1982</v>
      </c>
      <c r="CX1290" s="543">
        <v>1</v>
      </c>
    </row>
    <row r="1291" spans="91:102" ht="21" customHeight="1">
      <c r="CM1291" s="494"/>
      <c r="CN1291" s="496" t="s">
        <v>3636</v>
      </c>
      <c r="CO1291" s="496" t="s">
        <v>8</v>
      </c>
      <c r="CP1291" s="496" t="s">
        <v>689</v>
      </c>
      <c r="CQ1291" s="496" t="s">
        <v>3637</v>
      </c>
      <c r="CR1291" s="496" t="s">
        <v>3637</v>
      </c>
      <c r="CS1291" s="496" t="s">
        <v>1554</v>
      </c>
      <c r="CT1291" s="496" t="s">
        <v>1555</v>
      </c>
      <c r="CU1291" s="496" t="s">
        <v>1981</v>
      </c>
      <c r="CV1291" s="497" t="s">
        <v>1982</v>
      </c>
      <c r="CX1291" s="543">
        <v>1</v>
      </c>
    </row>
    <row r="1292" spans="91:102" ht="21" customHeight="1">
      <c r="CM1292" s="494"/>
      <c r="CN1292" s="496" t="s">
        <v>3638</v>
      </c>
      <c r="CO1292" s="496" t="s">
        <v>8</v>
      </c>
      <c r="CP1292" s="496" t="s">
        <v>689</v>
      </c>
      <c r="CQ1292" s="496" t="s">
        <v>3639</v>
      </c>
      <c r="CR1292" s="496" t="s">
        <v>3639</v>
      </c>
      <c r="CS1292" s="496" t="s">
        <v>1554</v>
      </c>
      <c r="CT1292" s="496" t="s">
        <v>1555</v>
      </c>
      <c r="CU1292" s="496" t="s">
        <v>1981</v>
      </c>
      <c r="CV1292" s="497" t="s">
        <v>1982</v>
      </c>
      <c r="CX1292" s="543">
        <v>1</v>
      </c>
    </row>
    <row r="1293" spans="91:102" ht="21" customHeight="1">
      <c r="CM1293" s="494"/>
      <c r="CN1293" s="496" t="s">
        <v>3640</v>
      </c>
      <c r="CO1293" s="496" t="s">
        <v>8</v>
      </c>
      <c r="CP1293" s="496" t="s">
        <v>689</v>
      </c>
      <c r="CQ1293" s="496" t="s">
        <v>1056</v>
      </c>
      <c r="CR1293" s="496" t="s">
        <v>1056</v>
      </c>
      <c r="CS1293" s="496" t="s">
        <v>1554</v>
      </c>
      <c r="CT1293" s="496" t="s">
        <v>1555</v>
      </c>
      <c r="CU1293" s="496" t="s">
        <v>1981</v>
      </c>
      <c r="CV1293" s="497" t="s">
        <v>1982</v>
      </c>
      <c r="CX1293" s="543">
        <v>1</v>
      </c>
    </row>
    <row r="1294" spans="91:102" ht="21" customHeight="1">
      <c r="CM1294" s="494"/>
      <c r="CN1294" s="496" t="s">
        <v>3641</v>
      </c>
      <c r="CO1294" s="496" t="s">
        <v>8</v>
      </c>
      <c r="CP1294" s="496" t="s">
        <v>689</v>
      </c>
      <c r="CQ1294" s="496" t="s">
        <v>1057</v>
      </c>
      <c r="CR1294" s="496" t="s">
        <v>1057</v>
      </c>
      <c r="CS1294" s="496" t="s">
        <v>1554</v>
      </c>
      <c r="CT1294" s="496" t="s">
        <v>1555</v>
      </c>
      <c r="CU1294" s="496" t="s">
        <v>1981</v>
      </c>
      <c r="CV1294" s="497" t="s">
        <v>1982</v>
      </c>
      <c r="CX1294" s="543">
        <v>1</v>
      </c>
    </row>
    <row r="1295" spans="91:102" ht="21" customHeight="1">
      <c r="CM1295" s="494"/>
      <c r="CN1295" s="496" t="s">
        <v>3642</v>
      </c>
      <c r="CO1295" s="496" t="s">
        <v>8</v>
      </c>
      <c r="CP1295" s="496" t="s">
        <v>689</v>
      </c>
      <c r="CQ1295" s="496" t="s">
        <v>3643</v>
      </c>
      <c r="CR1295" s="496" t="s">
        <v>3643</v>
      </c>
      <c r="CS1295" s="496" t="s">
        <v>1554</v>
      </c>
      <c r="CT1295" s="496" t="s">
        <v>1555</v>
      </c>
      <c r="CU1295" s="496" t="s">
        <v>1981</v>
      </c>
      <c r="CV1295" s="497" t="s">
        <v>1982</v>
      </c>
      <c r="CX1295" s="543">
        <v>1</v>
      </c>
    </row>
    <row r="1296" spans="91:102" ht="21" customHeight="1">
      <c r="CM1296" s="494"/>
      <c r="CN1296" s="496" t="s">
        <v>3644</v>
      </c>
      <c r="CO1296" s="496" t="s">
        <v>8</v>
      </c>
      <c r="CP1296" s="496" t="s">
        <v>689</v>
      </c>
      <c r="CQ1296" s="496" t="s">
        <v>1058</v>
      </c>
      <c r="CR1296" s="496" t="s">
        <v>1058</v>
      </c>
      <c r="CS1296" s="496" t="s">
        <v>1554</v>
      </c>
      <c r="CT1296" s="496" t="s">
        <v>1555</v>
      </c>
      <c r="CU1296" s="496" t="s">
        <v>1981</v>
      </c>
      <c r="CV1296" s="497" t="s">
        <v>1982</v>
      </c>
      <c r="CX1296" s="543">
        <v>1</v>
      </c>
    </row>
    <row r="1297" spans="91:102" ht="21" customHeight="1">
      <c r="CM1297" s="494"/>
      <c r="CN1297" s="496" t="s">
        <v>3645</v>
      </c>
      <c r="CO1297" s="496" t="s">
        <v>8</v>
      </c>
      <c r="CP1297" s="496" t="s">
        <v>689</v>
      </c>
      <c r="CQ1297" s="496" t="s">
        <v>3646</v>
      </c>
      <c r="CR1297" s="496" t="s">
        <v>3646</v>
      </c>
      <c r="CS1297" s="496" t="s">
        <v>1554</v>
      </c>
      <c r="CT1297" s="496" t="s">
        <v>1555</v>
      </c>
      <c r="CU1297" s="496" t="s">
        <v>1981</v>
      </c>
      <c r="CV1297" s="497" t="s">
        <v>1982</v>
      </c>
      <c r="CX1297" s="543">
        <v>1</v>
      </c>
    </row>
    <row r="1298" spans="91:102" ht="21" customHeight="1">
      <c r="CM1298" s="494"/>
      <c r="CN1298" s="496" t="s">
        <v>3647</v>
      </c>
      <c r="CO1298" s="496" t="s">
        <v>8</v>
      </c>
      <c r="CP1298" s="496" t="s">
        <v>689</v>
      </c>
      <c r="CQ1298" s="496" t="s">
        <v>3648</v>
      </c>
      <c r="CR1298" s="496" t="s">
        <v>3648</v>
      </c>
      <c r="CS1298" s="496" t="s">
        <v>1554</v>
      </c>
      <c r="CT1298" s="496" t="s">
        <v>1555</v>
      </c>
      <c r="CU1298" s="496" t="s">
        <v>1981</v>
      </c>
      <c r="CV1298" s="497" t="s">
        <v>1982</v>
      </c>
      <c r="CX1298" s="543">
        <v>1</v>
      </c>
    </row>
    <row r="1299" spans="91:102" ht="21" customHeight="1">
      <c r="CM1299" s="494"/>
      <c r="CN1299" s="496" t="s">
        <v>3649</v>
      </c>
      <c r="CO1299" s="496" t="s">
        <v>8</v>
      </c>
      <c r="CP1299" s="496" t="s">
        <v>689</v>
      </c>
      <c r="CQ1299" s="496" t="s">
        <v>3650</v>
      </c>
      <c r="CR1299" s="496" t="s">
        <v>3650</v>
      </c>
      <c r="CS1299" s="496" t="s">
        <v>1554</v>
      </c>
      <c r="CT1299" s="496" t="s">
        <v>1555</v>
      </c>
      <c r="CU1299" s="496" t="s">
        <v>1981</v>
      </c>
      <c r="CV1299" s="497" t="s">
        <v>1982</v>
      </c>
      <c r="CX1299" s="543">
        <v>1</v>
      </c>
    </row>
    <row r="1300" spans="91:102" ht="21" customHeight="1">
      <c r="CM1300" s="494"/>
      <c r="CN1300" s="496" t="s">
        <v>3651</v>
      </c>
      <c r="CO1300" s="496" t="s">
        <v>8</v>
      </c>
      <c r="CP1300" s="496" t="s">
        <v>689</v>
      </c>
      <c r="CQ1300" s="496" t="s">
        <v>1059</v>
      </c>
      <c r="CR1300" s="496" t="s">
        <v>1059</v>
      </c>
      <c r="CS1300" s="496" t="s">
        <v>1554</v>
      </c>
      <c r="CT1300" s="496" t="s">
        <v>1555</v>
      </c>
      <c r="CU1300" s="496" t="s">
        <v>1981</v>
      </c>
      <c r="CV1300" s="497" t="s">
        <v>1982</v>
      </c>
      <c r="CX1300" s="543">
        <v>1</v>
      </c>
    </row>
    <row r="1301" spans="91:102" ht="21" customHeight="1">
      <c r="CM1301" s="494"/>
      <c r="CN1301" s="496" t="s">
        <v>3652</v>
      </c>
      <c r="CO1301" s="496" t="s">
        <v>8</v>
      </c>
      <c r="CP1301" s="496" t="s">
        <v>689</v>
      </c>
      <c r="CQ1301" s="496" t="s">
        <v>3653</v>
      </c>
      <c r="CR1301" s="496" t="s">
        <v>3653</v>
      </c>
      <c r="CS1301" s="496" t="s">
        <v>1554</v>
      </c>
      <c r="CT1301" s="496" t="s">
        <v>1555</v>
      </c>
      <c r="CU1301" s="496" t="s">
        <v>1981</v>
      </c>
      <c r="CV1301" s="497" t="s">
        <v>1982</v>
      </c>
      <c r="CX1301" s="543">
        <v>1</v>
      </c>
    </row>
    <row r="1302" spans="91:102" ht="21" customHeight="1">
      <c r="CM1302" s="494"/>
      <c r="CN1302" s="496" t="s">
        <v>3654</v>
      </c>
      <c r="CO1302" s="496" t="s">
        <v>8</v>
      </c>
      <c r="CP1302" s="496" t="s">
        <v>689</v>
      </c>
      <c r="CQ1302" s="496" t="s">
        <v>3655</v>
      </c>
      <c r="CR1302" s="496" t="s">
        <v>3655</v>
      </c>
      <c r="CS1302" s="496" t="s">
        <v>1554</v>
      </c>
      <c r="CT1302" s="496" t="s">
        <v>1555</v>
      </c>
      <c r="CU1302" s="496" t="s">
        <v>1981</v>
      </c>
      <c r="CV1302" s="497" t="s">
        <v>1982</v>
      </c>
      <c r="CX1302" s="543">
        <v>1</v>
      </c>
    </row>
    <row r="1303" spans="91:102" ht="21" customHeight="1">
      <c r="CM1303" s="494"/>
      <c r="CN1303" s="496" t="s">
        <v>3656</v>
      </c>
      <c r="CO1303" s="496" t="s">
        <v>8</v>
      </c>
      <c r="CP1303" s="496" t="s">
        <v>689</v>
      </c>
      <c r="CQ1303" s="496" t="s">
        <v>3657</v>
      </c>
      <c r="CR1303" s="496" t="s">
        <v>3657</v>
      </c>
      <c r="CS1303" s="496" t="s">
        <v>1554</v>
      </c>
      <c r="CT1303" s="496" t="s">
        <v>1555</v>
      </c>
      <c r="CU1303" s="496" t="s">
        <v>1981</v>
      </c>
      <c r="CV1303" s="497" t="s">
        <v>1982</v>
      </c>
      <c r="CX1303" s="543">
        <v>1</v>
      </c>
    </row>
    <row r="1304" spans="91:102" ht="21" customHeight="1">
      <c r="CM1304" s="494"/>
      <c r="CN1304" s="496" t="s">
        <v>3658</v>
      </c>
      <c r="CO1304" s="496" t="s">
        <v>8</v>
      </c>
      <c r="CP1304" s="496" t="s">
        <v>689</v>
      </c>
      <c r="CQ1304" s="496" t="s">
        <v>1060</v>
      </c>
      <c r="CR1304" s="496" t="s">
        <v>1060</v>
      </c>
      <c r="CS1304" s="496" t="s">
        <v>1554</v>
      </c>
      <c r="CT1304" s="496" t="s">
        <v>1555</v>
      </c>
      <c r="CU1304" s="496" t="s">
        <v>1981</v>
      </c>
      <c r="CV1304" s="497" t="s">
        <v>1982</v>
      </c>
      <c r="CX1304" s="543">
        <v>1</v>
      </c>
    </row>
    <row r="1305" spans="91:102" ht="21" customHeight="1">
      <c r="CM1305" s="494"/>
      <c r="CN1305" s="496" t="s">
        <v>3659</v>
      </c>
      <c r="CO1305" s="496" t="s">
        <v>8</v>
      </c>
      <c r="CP1305" s="496" t="s">
        <v>689</v>
      </c>
      <c r="CQ1305" s="496" t="s">
        <v>3660</v>
      </c>
      <c r="CR1305" s="496" t="s">
        <v>3660</v>
      </c>
      <c r="CS1305" s="496" t="s">
        <v>1554</v>
      </c>
      <c r="CT1305" s="496" t="s">
        <v>1555</v>
      </c>
      <c r="CU1305" s="496" t="s">
        <v>1981</v>
      </c>
      <c r="CV1305" s="497" t="s">
        <v>1982</v>
      </c>
      <c r="CX1305" s="543">
        <v>1</v>
      </c>
    </row>
    <row r="1306" spans="91:102" ht="21" customHeight="1">
      <c r="CM1306" s="494"/>
      <c r="CN1306" s="496" t="s">
        <v>3661</v>
      </c>
      <c r="CO1306" s="496" t="s">
        <v>8</v>
      </c>
      <c r="CP1306" s="496" t="s">
        <v>689</v>
      </c>
      <c r="CQ1306" s="496" t="s">
        <v>3662</v>
      </c>
      <c r="CR1306" s="496" t="s">
        <v>3662</v>
      </c>
      <c r="CS1306" s="496" t="s">
        <v>1554</v>
      </c>
      <c r="CT1306" s="496" t="s">
        <v>1555</v>
      </c>
      <c r="CU1306" s="496" t="s">
        <v>1981</v>
      </c>
      <c r="CV1306" s="497" t="s">
        <v>1982</v>
      </c>
      <c r="CX1306" s="543">
        <v>1</v>
      </c>
    </row>
    <row r="1307" spans="91:102" ht="21" customHeight="1">
      <c r="CM1307" s="494"/>
      <c r="CN1307" s="496" t="s">
        <v>3663</v>
      </c>
      <c r="CO1307" s="496" t="s">
        <v>8</v>
      </c>
      <c r="CP1307" s="496" t="s">
        <v>689</v>
      </c>
      <c r="CQ1307" s="496" t="s">
        <v>3664</v>
      </c>
      <c r="CR1307" s="496" t="s">
        <v>3664</v>
      </c>
      <c r="CS1307" s="496" t="s">
        <v>1554</v>
      </c>
      <c r="CT1307" s="496" t="s">
        <v>1555</v>
      </c>
      <c r="CU1307" s="496" t="s">
        <v>1981</v>
      </c>
      <c r="CV1307" s="497" t="s">
        <v>1982</v>
      </c>
      <c r="CX1307" s="543">
        <v>1</v>
      </c>
    </row>
    <row r="1308" spans="91:102" ht="21" customHeight="1">
      <c r="CM1308" s="494"/>
      <c r="CN1308" s="496" t="s">
        <v>3665</v>
      </c>
      <c r="CO1308" s="496" t="s">
        <v>8</v>
      </c>
      <c r="CP1308" s="496" t="s">
        <v>689</v>
      </c>
      <c r="CQ1308" s="496" t="s">
        <v>3666</v>
      </c>
      <c r="CR1308" s="496" t="s">
        <v>3666</v>
      </c>
      <c r="CS1308" s="496" t="s">
        <v>1554</v>
      </c>
      <c r="CT1308" s="496" t="s">
        <v>1555</v>
      </c>
      <c r="CU1308" s="496" t="s">
        <v>1981</v>
      </c>
      <c r="CV1308" s="497" t="s">
        <v>1982</v>
      </c>
      <c r="CX1308" s="543">
        <v>1</v>
      </c>
    </row>
    <row r="1309" spans="91:102" ht="21" customHeight="1">
      <c r="CM1309" s="494"/>
      <c r="CN1309" s="496" t="s">
        <v>3667</v>
      </c>
      <c r="CO1309" s="496" t="s">
        <v>8</v>
      </c>
      <c r="CP1309" s="496" t="s">
        <v>689</v>
      </c>
      <c r="CQ1309" s="496" t="s">
        <v>3668</v>
      </c>
      <c r="CR1309" s="496" t="s">
        <v>3668</v>
      </c>
      <c r="CS1309" s="496" t="s">
        <v>1554</v>
      </c>
      <c r="CT1309" s="496" t="s">
        <v>1555</v>
      </c>
      <c r="CU1309" s="496" t="s">
        <v>1981</v>
      </c>
      <c r="CV1309" s="497" t="s">
        <v>1982</v>
      </c>
      <c r="CX1309" s="543">
        <v>1</v>
      </c>
    </row>
    <row r="1310" spans="91:102" ht="21" customHeight="1">
      <c r="CM1310" s="494"/>
      <c r="CN1310" s="496" t="s">
        <v>3669</v>
      </c>
      <c r="CO1310" s="496" t="s">
        <v>8</v>
      </c>
      <c r="CP1310" s="496" t="s">
        <v>689</v>
      </c>
      <c r="CQ1310" s="496" t="s">
        <v>3670</v>
      </c>
      <c r="CR1310" s="496" t="s">
        <v>3670</v>
      </c>
      <c r="CS1310" s="496" t="s">
        <v>1554</v>
      </c>
      <c r="CT1310" s="496" t="s">
        <v>1555</v>
      </c>
      <c r="CU1310" s="496" t="s">
        <v>1981</v>
      </c>
      <c r="CV1310" s="497" t="s">
        <v>1982</v>
      </c>
      <c r="CX1310" s="543">
        <v>1</v>
      </c>
    </row>
    <row r="1311" spans="91:102" ht="21" customHeight="1">
      <c r="CM1311" s="494"/>
      <c r="CN1311" s="496" t="s">
        <v>3671</v>
      </c>
      <c r="CO1311" s="496" t="s">
        <v>8</v>
      </c>
      <c r="CP1311" s="496" t="s">
        <v>689</v>
      </c>
      <c r="CQ1311" s="496" t="s">
        <v>3672</v>
      </c>
      <c r="CR1311" s="496" t="s">
        <v>3672</v>
      </c>
      <c r="CS1311" s="496" t="s">
        <v>1554</v>
      </c>
      <c r="CT1311" s="496" t="s">
        <v>1555</v>
      </c>
      <c r="CU1311" s="496" t="s">
        <v>1981</v>
      </c>
      <c r="CV1311" s="497" t="s">
        <v>1982</v>
      </c>
      <c r="CX1311" s="543">
        <v>1</v>
      </c>
    </row>
    <row r="1312" spans="91:102" ht="21" customHeight="1">
      <c r="CM1312" s="494"/>
      <c r="CN1312" s="496" t="s">
        <v>3673</v>
      </c>
      <c r="CO1312" s="496" t="s">
        <v>8</v>
      </c>
      <c r="CP1312" s="496" t="s">
        <v>689</v>
      </c>
      <c r="CQ1312" s="496" t="s">
        <v>3674</v>
      </c>
      <c r="CR1312" s="496" t="s">
        <v>3674</v>
      </c>
      <c r="CS1312" s="496" t="s">
        <v>1151</v>
      </c>
      <c r="CT1312" s="496" t="s">
        <v>1152</v>
      </c>
      <c r="CU1312" s="496" t="s">
        <v>1087</v>
      </c>
      <c r="CV1312" s="497" t="s">
        <v>1153</v>
      </c>
      <c r="CX1312" s="543">
        <v>1</v>
      </c>
    </row>
    <row r="1313" spans="91:102" ht="21" customHeight="1">
      <c r="CM1313" s="494"/>
      <c r="CN1313" s="496" t="s">
        <v>3675</v>
      </c>
      <c r="CO1313" s="496" t="s">
        <v>8</v>
      </c>
      <c r="CP1313" s="496" t="s">
        <v>689</v>
      </c>
      <c r="CQ1313" s="496" t="s">
        <v>145</v>
      </c>
      <c r="CR1313" s="496" t="s">
        <v>145</v>
      </c>
      <c r="CS1313" s="496" t="s">
        <v>1554</v>
      </c>
      <c r="CT1313" s="496" t="s">
        <v>1555</v>
      </c>
      <c r="CU1313" s="496" t="s">
        <v>1981</v>
      </c>
      <c r="CV1313" s="497" t="s">
        <v>1982</v>
      </c>
      <c r="CX1313" s="543">
        <v>1</v>
      </c>
    </row>
    <row r="1314" spans="91:102" ht="21" customHeight="1">
      <c r="CM1314" s="494"/>
      <c r="CN1314" s="496" t="s">
        <v>3676</v>
      </c>
      <c r="CO1314" s="496" t="s">
        <v>8</v>
      </c>
      <c r="CP1314" s="496" t="s">
        <v>689</v>
      </c>
      <c r="CQ1314" s="496" t="s">
        <v>3677</v>
      </c>
      <c r="CR1314" s="496" t="s">
        <v>3677</v>
      </c>
      <c r="CS1314" s="496" t="s">
        <v>1554</v>
      </c>
      <c r="CT1314" s="496" t="s">
        <v>1555</v>
      </c>
      <c r="CU1314" s="496" t="s">
        <v>1981</v>
      </c>
      <c r="CV1314" s="497" t="s">
        <v>1982</v>
      </c>
      <c r="CX1314" s="543">
        <v>1</v>
      </c>
    </row>
    <row r="1315" spans="91:102" ht="21" customHeight="1">
      <c r="CM1315" s="494"/>
      <c r="CN1315" s="496" t="s">
        <v>3678</v>
      </c>
      <c r="CO1315" s="496" t="s">
        <v>8</v>
      </c>
      <c r="CP1315" s="496" t="s">
        <v>689</v>
      </c>
      <c r="CQ1315" s="496" t="s">
        <v>363</v>
      </c>
      <c r="CR1315" s="496" t="s">
        <v>363</v>
      </c>
      <c r="CS1315" s="496" t="s">
        <v>1151</v>
      </c>
      <c r="CT1315" s="496" t="s">
        <v>1152</v>
      </c>
      <c r="CU1315" s="496" t="s">
        <v>1087</v>
      </c>
      <c r="CV1315" s="497" t="s">
        <v>1153</v>
      </c>
      <c r="CX1315" s="543">
        <v>1</v>
      </c>
    </row>
    <row r="1316" spans="91:102" ht="21" customHeight="1">
      <c r="CM1316" s="494"/>
      <c r="CN1316" s="496" t="s">
        <v>3679</v>
      </c>
      <c r="CO1316" s="496" t="s">
        <v>8</v>
      </c>
      <c r="CP1316" s="496" t="s">
        <v>689</v>
      </c>
      <c r="CQ1316" s="496" t="s">
        <v>1061</v>
      </c>
      <c r="CR1316" s="496" t="s">
        <v>1061</v>
      </c>
      <c r="CS1316" s="496" t="s">
        <v>1554</v>
      </c>
      <c r="CT1316" s="496" t="s">
        <v>1555</v>
      </c>
      <c r="CU1316" s="496" t="s">
        <v>1981</v>
      </c>
      <c r="CV1316" s="497" t="s">
        <v>1982</v>
      </c>
      <c r="CX1316" s="543">
        <v>1</v>
      </c>
    </row>
    <row r="1317" spans="91:102" ht="21" customHeight="1">
      <c r="CM1317" s="494"/>
      <c r="CN1317" s="496" t="s">
        <v>3680</v>
      </c>
      <c r="CO1317" s="496" t="s">
        <v>8</v>
      </c>
      <c r="CP1317" s="496" t="s">
        <v>689</v>
      </c>
      <c r="CQ1317" s="496" t="s">
        <v>3681</v>
      </c>
      <c r="CR1317" s="496" t="s">
        <v>3681</v>
      </c>
      <c r="CS1317" s="496" t="s">
        <v>1554</v>
      </c>
      <c r="CT1317" s="496" t="s">
        <v>1555</v>
      </c>
      <c r="CU1317" s="496" t="s">
        <v>1981</v>
      </c>
      <c r="CV1317" s="497" t="s">
        <v>1982</v>
      </c>
      <c r="CX1317" s="543">
        <v>1</v>
      </c>
    </row>
    <row r="1318" spans="91:102" ht="21" customHeight="1">
      <c r="CM1318" s="494"/>
      <c r="CN1318" s="496" t="s">
        <v>3682</v>
      </c>
      <c r="CO1318" s="496" t="s">
        <v>8</v>
      </c>
      <c r="CP1318" s="496" t="s">
        <v>689</v>
      </c>
      <c r="CQ1318" s="496" t="s">
        <v>3683</v>
      </c>
      <c r="CR1318" s="496" t="s">
        <v>3683</v>
      </c>
      <c r="CS1318" s="496" t="s">
        <v>1554</v>
      </c>
      <c r="CT1318" s="496" t="s">
        <v>1555</v>
      </c>
      <c r="CU1318" s="496" t="s">
        <v>1981</v>
      </c>
      <c r="CV1318" s="497" t="s">
        <v>1982</v>
      </c>
      <c r="CX1318" s="543">
        <v>1</v>
      </c>
    </row>
    <row r="1319" spans="91:102" ht="21" customHeight="1">
      <c r="CM1319" s="494"/>
      <c r="CN1319" s="496" t="s">
        <v>3684</v>
      </c>
      <c r="CO1319" s="496" t="s">
        <v>8</v>
      </c>
      <c r="CP1319" s="496" t="s">
        <v>689</v>
      </c>
      <c r="CQ1319" s="496" t="s">
        <v>3685</v>
      </c>
      <c r="CR1319" s="496" t="s">
        <v>3685</v>
      </c>
      <c r="CS1319" s="496" t="s">
        <v>1554</v>
      </c>
      <c r="CT1319" s="496" t="s">
        <v>1555</v>
      </c>
      <c r="CU1319" s="496" t="s">
        <v>1981</v>
      </c>
      <c r="CV1319" s="497" t="s">
        <v>1982</v>
      </c>
      <c r="CX1319" s="543">
        <v>1</v>
      </c>
    </row>
    <row r="1320" spans="91:102" ht="21" customHeight="1">
      <c r="CM1320" s="494"/>
      <c r="CN1320" s="496" t="s">
        <v>3686</v>
      </c>
      <c r="CO1320" s="496" t="s">
        <v>8</v>
      </c>
      <c r="CP1320" s="496" t="s">
        <v>689</v>
      </c>
      <c r="CQ1320" s="496" t="s">
        <v>3687</v>
      </c>
      <c r="CR1320" s="496" t="s">
        <v>3687</v>
      </c>
      <c r="CS1320" s="496" t="s">
        <v>1554</v>
      </c>
      <c r="CT1320" s="496" t="s">
        <v>1555</v>
      </c>
      <c r="CU1320" s="496" t="s">
        <v>1981</v>
      </c>
      <c r="CV1320" s="497" t="s">
        <v>1982</v>
      </c>
      <c r="CX1320" s="543">
        <v>1</v>
      </c>
    </row>
    <row r="1321" spans="91:102" ht="21" customHeight="1">
      <c r="CM1321" s="494"/>
      <c r="CN1321" s="496" t="s">
        <v>3688</v>
      </c>
      <c r="CO1321" s="496" t="s">
        <v>8</v>
      </c>
      <c r="CP1321" s="496" t="s">
        <v>689</v>
      </c>
      <c r="CQ1321" s="496" t="s">
        <v>3689</v>
      </c>
      <c r="CR1321" s="496" t="s">
        <v>3689</v>
      </c>
      <c r="CS1321" s="496" t="s">
        <v>1554</v>
      </c>
      <c r="CT1321" s="496" t="s">
        <v>1555</v>
      </c>
      <c r="CU1321" s="496" t="s">
        <v>1981</v>
      </c>
      <c r="CV1321" s="497" t="s">
        <v>1982</v>
      </c>
      <c r="CX1321" s="543">
        <v>1</v>
      </c>
    </row>
    <row r="1322" spans="91:102" ht="21" customHeight="1">
      <c r="CM1322" s="494"/>
      <c r="CN1322" s="496" t="s">
        <v>3690</v>
      </c>
      <c r="CO1322" s="496" t="s">
        <v>8</v>
      </c>
      <c r="CP1322" s="496" t="s">
        <v>689</v>
      </c>
      <c r="CQ1322" s="496" t="s">
        <v>3691</v>
      </c>
      <c r="CR1322" s="496" t="s">
        <v>3691</v>
      </c>
      <c r="CS1322" s="496" t="s">
        <v>1554</v>
      </c>
      <c r="CT1322" s="496" t="s">
        <v>1555</v>
      </c>
      <c r="CU1322" s="496" t="s">
        <v>1981</v>
      </c>
      <c r="CV1322" s="497" t="s">
        <v>1982</v>
      </c>
      <c r="CX1322" s="543">
        <v>1</v>
      </c>
    </row>
    <row r="1323" spans="91:102" ht="21" customHeight="1">
      <c r="CM1323" s="494"/>
      <c r="CN1323" s="496" t="s">
        <v>3692</v>
      </c>
      <c r="CO1323" s="496" t="s">
        <v>8</v>
      </c>
      <c r="CP1323" s="496" t="s">
        <v>689</v>
      </c>
      <c r="CQ1323" s="496" t="s">
        <v>3693</v>
      </c>
      <c r="CR1323" s="496" t="s">
        <v>3693</v>
      </c>
      <c r="CS1323" s="496" t="s">
        <v>1554</v>
      </c>
      <c r="CT1323" s="496" t="s">
        <v>1555</v>
      </c>
      <c r="CU1323" s="496" t="s">
        <v>1981</v>
      </c>
      <c r="CV1323" s="497" t="s">
        <v>1982</v>
      </c>
      <c r="CX1323" s="543">
        <v>1</v>
      </c>
    </row>
    <row r="1324" spans="91:102" ht="21" customHeight="1">
      <c r="CM1324" s="494"/>
      <c r="CN1324" s="496" t="s">
        <v>3694</v>
      </c>
      <c r="CO1324" s="496" t="s">
        <v>8</v>
      </c>
      <c r="CP1324" s="496" t="s">
        <v>689</v>
      </c>
      <c r="CQ1324" s="496" t="s">
        <v>3695</v>
      </c>
      <c r="CR1324" s="496" t="s">
        <v>3695</v>
      </c>
      <c r="CS1324" s="496" t="s">
        <v>1554</v>
      </c>
      <c r="CT1324" s="496" t="s">
        <v>1555</v>
      </c>
      <c r="CU1324" s="496" t="s">
        <v>1981</v>
      </c>
      <c r="CV1324" s="497" t="s">
        <v>1982</v>
      </c>
      <c r="CX1324" s="543">
        <v>1</v>
      </c>
    </row>
    <row r="1325" spans="91:102" ht="21" customHeight="1">
      <c r="CM1325" s="494"/>
      <c r="CN1325" s="496" t="s">
        <v>3696</v>
      </c>
      <c r="CO1325" s="496" t="s">
        <v>8</v>
      </c>
      <c r="CP1325" s="496" t="s">
        <v>689</v>
      </c>
      <c r="CQ1325" s="496" t="s">
        <v>3697</v>
      </c>
      <c r="CR1325" s="496" t="s">
        <v>3697</v>
      </c>
      <c r="CS1325" s="496" t="s">
        <v>1554</v>
      </c>
      <c r="CT1325" s="496" t="s">
        <v>1555</v>
      </c>
      <c r="CU1325" s="496" t="s">
        <v>1981</v>
      </c>
      <c r="CV1325" s="497" t="s">
        <v>1982</v>
      </c>
      <c r="CX1325" s="543">
        <v>1</v>
      </c>
    </row>
    <row r="1326" spans="91:102" ht="21" customHeight="1">
      <c r="CM1326" s="494"/>
      <c r="CN1326" s="496" t="s">
        <v>3698</v>
      </c>
      <c r="CO1326" s="496" t="s">
        <v>8</v>
      </c>
      <c r="CP1326" s="496" t="s">
        <v>689</v>
      </c>
      <c r="CQ1326" s="496" t="s">
        <v>3699</v>
      </c>
      <c r="CR1326" s="496" t="s">
        <v>3699</v>
      </c>
      <c r="CS1326" s="496" t="s">
        <v>1554</v>
      </c>
      <c r="CT1326" s="496" t="s">
        <v>1555</v>
      </c>
      <c r="CU1326" s="496" t="s">
        <v>1981</v>
      </c>
      <c r="CV1326" s="497" t="s">
        <v>1982</v>
      </c>
      <c r="CX1326" s="543">
        <v>1</v>
      </c>
    </row>
    <row r="1327" spans="91:102" ht="21" customHeight="1">
      <c r="CM1327" s="494"/>
      <c r="CN1327" s="496" t="s">
        <v>3700</v>
      </c>
      <c r="CO1327" s="496" t="s">
        <v>8</v>
      </c>
      <c r="CP1327" s="496" t="s">
        <v>689</v>
      </c>
      <c r="CQ1327" s="496" t="s">
        <v>3701</v>
      </c>
      <c r="CR1327" s="496" t="s">
        <v>3701</v>
      </c>
      <c r="CS1327" s="496" t="s">
        <v>1554</v>
      </c>
      <c r="CT1327" s="496" t="s">
        <v>1555</v>
      </c>
      <c r="CU1327" s="496" t="s">
        <v>1981</v>
      </c>
      <c r="CV1327" s="497" t="s">
        <v>1982</v>
      </c>
      <c r="CX1327" s="543">
        <v>1</v>
      </c>
    </row>
    <row r="1328" spans="91:102" ht="21" customHeight="1">
      <c r="CM1328" s="494"/>
      <c r="CN1328" s="496" t="s">
        <v>3702</v>
      </c>
      <c r="CO1328" s="496" t="s">
        <v>8</v>
      </c>
      <c r="CP1328" s="496" t="s">
        <v>689</v>
      </c>
      <c r="CQ1328" s="496" t="s">
        <v>3703</v>
      </c>
      <c r="CR1328" s="496" t="s">
        <v>3703</v>
      </c>
      <c r="CS1328" s="496" t="s">
        <v>1554</v>
      </c>
      <c r="CT1328" s="496" t="s">
        <v>1555</v>
      </c>
      <c r="CU1328" s="496" t="s">
        <v>1981</v>
      </c>
      <c r="CV1328" s="497" t="s">
        <v>1982</v>
      </c>
      <c r="CX1328" s="543">
        <v>1</v>
      </c>
    </row>
    <row r="1329" spans="91:102" ht="21" customHeight="1">
      <c r="CM1329" s="494"/>
      <c r="CN1329" s="496" t="s">
        <v>3704</v>
      </c>
      <c r="CO1329" s="496" t="s">
        <v>8</v>
      </c>
      <c r="CP1329" s="496" t="s">
        <v>689</v>
      </c>
      <c r="CQ1329" s="496" t="s">
        <v>3705</v>
      </c>
      <c r="CR1329" s="496" t="s">
        <v>3705</v>
      </c>
      <c r="CS1329" s="496" t="s">
        <v>1554</v>
      </c>
      <c r="CT1329" s="496" t="s">
        <v>1555</v>
      </c>
      <c r="CU1329" s="496" t="s">
        <v>1981</v>
      </c>
      <c r="CV1329" s="497" t="s">
        <v>1982</v>
      </c>
      <c r="CX1329" s="543">
        <v>1</v>
      </c>
    </row>
    <row r="1330" spans="91:102" ht="21" customHeight="1">
      <c r="CM1330" s="494"/>
      <c r="CN1330" s="496" t="s">
        <v>3706</v>
      </c>
      <c r="CO1330" s="496" t="s">
        <v>8</v>
      </c>
      <c r="CP1330" s="496" t="s">
        <v>689</v>
      </c>
      <c r="CQ1330" s="496" t="s">
        <v>3707</v>
      </c>
      <c r="CR1330" s="496" t="s">
        <v>3707</v>
      </c>
      <c r="CS1330" s="496" t="s">
        <v>1554</v>
      </c>
      <c r="CT1330" s="496" t="s">
        <v>1555</v>
      </c>
      <c r="CU1330" s="496" t="s">
        <v>1981</v>
      </c>
      <c r="CV1330" s="497" t="s">
        <v>1982</v>
      </c>
      <c r="CX1330" s="543">
        <v>1</v>
      </c>
    </row>
    <row r="1331" spans="91:102" ht="21" customHeight="1">
      <c r="CM1331" s="494"/>
      <c r="CN1331" s="496" t="s">
        <v>3708</v>
      </c>
      <c r="CO1331" s="496" t="s">
        <v>8</v>
      </c>
      <c r="CP1331" s="496" t="s">
        <v>689</v>
      </c>
      <c r="CQ1331" s="496" t="s">
        <v>3709</v>
      </c>
      <c r="CR1331" s="496" t="s">
        <v>3709</v>
      </c>
      <c r="CS1331" s="496" t="s">
        <v>1554</v>
      </c>
      <c r="CT1331" s="496" t="s">
        <v>1555</v>
      </c>
      <c r="CU1331" s="496" t="s">
        <v>1981</v>
      </c>
      <c r="CV1331" s="497" t="s">
        <v>1982</v>
      </c>
      <c r="CX1331" s="543">
        <v>1</v>
      </c>
    </row>
    <row r="1332" spans="91:102" ht="21" customHeight="1">
      <c r="CM1332" s="494"/>
      <c r="CN1332" s="496" t="s">
        <v>3710</v>
      </c>
      <c r="CO1332" s="496" t="s">
        <v>8</v>
      </c>
      <c r="CP1332" s="496" t="s">
        <v>689</v>
      </c>
      <c r="CQ1332" s="496" t="s">
        <v>3711</v>
      </c>
      <c r="CR1332" s="496" t="s">
        <v>3711</v>
      </c>
      <c r="CS1332" s="496" t="s">
        <v>1554</v>
      </c>
      <c r="CT1332" s="496" t="s">
        <v>1555</v>
      </c>
      <c r="CU1332" s="496" t="s">
        <v>1981</v>
      </c>
      <c r="CV1332" s="497" t="s">
        <v>1982</v>
      </c>
      <c r="CX1332" s="543">
        <v>1</v>
      </c>
    </row>
    <row r="1333" spans="91:102" ht="21" customHeight="1">
      <c r="CM1333" s="494"/>
      <c r="CN1333" s="496" t="s">
        <v>3712</v>
      </c>
      <c r="CO1333" s="496" t="s">
        <v>8</v>
      </c>
      <c r="CP1333" s="496" t="s">
        <v>689</v>
      </c>
      <c r="CQ1333" s="496" t="s">
        <v>3713</v>
      </c>
      <c r="CR1333" s="496" t="s">
        <v>3713</v>
      </c>
      <c r="CS1333" s="496" t="s">
        <v>1554</v>
      </c>
      <c r="CT1333" s="496" t="s">
        <v>1555</v>
      </c>
      <c r="CU1333" s="496" t="s">
        <v>1981</v>
      </c>
      <c r="CV1333" s="497" t="s">
        <v>1982</v>
      </c>
      <c r="CX1333" s="543">
        <v>1</v>
      </c>
    </row>
    <row r="1334" spans="91:102" ht="21" customHeight="1">
      <c r="CM1334" s="494"/>
      <c r="CN1334" s="496" t="s">
        <v>3714</v>
      </c>
      <c r="CO1334" s="496" t="s">
        <v>8</v>
      </c>
      <c r="CP1334" s="496" t="s">
        <v>689</v>
      </c>
      <c r="CQ1334" s="496" t="s">
        <v>3715</v>
      </c>
      <c r="CR1334" s="496" t="s">
        <v>3715</v>
      </c>
      <c r="CS1334" s="496" t="s">
        <v>1554</v>
      </c>
      <c r="CT1334" s="496" t="s">
        <v>1555</v>
      </c>
      <c r="CU1334" s="496" t="s">
        <v>1981</v>
      </c>
      <c r="CV1334" s="497" t="s">
        <v>1982</v>
      </c>
      <c r="CX1334" s="543">
        <v>1</v>
      </c>
    </row>
    <row r="1335" spans="91:102" ht="21" customHeight="1">
      <c r="CM1335" s="494"/>
      <c r="CN1335" s="496" t="s">
        <v>3716</v>
      </c>
      <c r="CO1335" s="496" t="s">
        <v>8</v>
      </c>
      <c r="CP1335" s="496" t="s">
        <v>689</v>
      </c>
      <c r="CQ1335" s="496" t="s">
        <v>3717</v>
      </c>
      <c r="CR1335" s="496" t="s">
        <v>3717</v>
      </c>
      <c r="CS1335" s="496" t="s">
        <v>1554</v>
      </c>
      <c r="CT1335" s="496" t="s">
        <v>1555</v>
      </c>
      <c r="CU1335" s="496" t="s">
        <v>1981</v>
      </c>
      <c r="CV1335" s="497" t="s">
        <v>1982</v>
      </c>
      <c r="CX1335" s="543">
        <v>1</v>
      </c>
    </row>
    <row r="1336" spans="91:102" ht="21" customHeight="1">
      <c r="CM1336" s="494"/>
      <c r="CN1336" s="496" t="s">
        <v>3718</v>
      </c>
      <c r="CO1336" s="496" t="s">
        <v>8</v>
      </c>
      <c r="CP1336" s="496" t="s">
        <v>689</v>
      </c>
      <c r="CQ1336" s="496" t="s">
        <v>3719</v>
      </c>
      <c r="CR1336" s="496" t="s">
        <v>3719</v>
      </c>
      <c r="CS1336" s="496" t="s">
        <v>1554</v>
      </c>
      <c r="CT1336" s="496" t="s">
        <v>1555</v>
      </c>
      <c r="CU1336" s="496" t="s">
        <v>1981</v>
      </c>
      <c r="CV1336" s="497" t="s">
        <v>1982</v>
      </c>
      <c r="CX1336" s="543">
        <v>1</v>
      </c>
    </row>
    <row r="1337" spans="91:102" ht="21" customHeight="1">
      <c r="CM1337" s="494"/>
      <c r="CN1337" s="496" t="s">
        <v>3720</v>
      </c>
      <c r="CO1337" s="496" t="s">
        <v>8</v>
      </c>
      <c r="CP1337" s="496" t="s">
        <v>689</v>
      </c>
      <c r="CQ1337" s="496" t="s">
        <v>3721</v>
      </c>
      <c r="CR1337" s="496" t="s">
        <v>3721</v>
      </c>
      <c r="CS1337" s="496" t="s">
        <v>1554</v>
      </c>
      <c r="CT1337" s="496" t="s">
        <v>1555</v>
      </c>
      <c r="CU1337" s="496" t="s">
        <v>1981</v>
      </c>
      <c r="CV1337" s="497" t="s">
        <v>1982</v>
      </c>
      <c r="CX1337" s="543">
        <v>1</v>
      </c>
    </row>
    <row r="1338" spans="91:102" ht="21" customHeight="1">
      <c r="CM1338" s="494"/>
      <c r="CN1338" s="496" t="s">
        <v>3722</v>
      </c>
      <c r="CO1338" s="496" t="s">
        <v>8</v>
      </c>
      <c r="CP1338" s="496" t="s">
        <v>689</v>
      </c>
      <c r="CQ1338" s="496" t="s">
        <v>3723</v>
      </c>
      <c r="CR1338" s="496" t="s">
        <v>3723</v>
      </c>
      <c r="CS1338" s="496" t="s">
        <v>1554</v>
      </c>
      <c r="CT1338" s="496" t="s">
        <v>1555</v>
      </c>
      <c r="CU1338" s="496" t="s">
        <v>1981</v>
      </c>
      <c r="CV1338" s="497" t="s">
        <v>1982</v>
      </c>
      <c r="CX1338" s="543">
        <v>1</v>
      </c>
    </row>
    <row r="1339" spans="91:102" ht="21" customHeight="1">
      <c r="CM1339" s="494"/>
      <c r="CN1339" s="496" t="s">
        <v>3724</v>
      </c>
      <c r="CO1339" s="496" t="s">
        <v>8</v>
      </c>
      <c r="CP1339" s="496" t="s">
        <v>689</v>
      </c>
      <c r="CQ1339" s="496" t="s">
        <v>3725</v>
      </c>
      <c r="CR1339" s="496" t="s">
        <v>3725</v>
      </c>
      <c r="CS1339" s="496" t="s">
        <v>1554</v>
      </c>
      <c r="CT1339" s="496" t="s">
        <v>1555</v>
      </c>
      <c r="CU1339" s="496" t="s">
        <v>1981</v>
      </c>
      <c r="CV1339" s="497" t="s">
        <v>1982</v>
      </c>
      <c r="CX1339" s="543">
        <v>1</v>
      </c>
    </row>
    <row r="1340" spans="91:102" ht="21" customHeight="1">
      <c r="CM1340" s="494"/>
      <c r="CN1340" s="496" t="s">
        <v>3726</v>
      </c>
      <c r="CO1340" s="496" t="s">
        <v>8</v>
      </c>
      <c r="CP1340" s="496" t="s">
        <v>689</v>
      </c>
      <c r="CQ1340" s="496" t="s">
        <v>3727</v>
      </c>
      <c r="CR1340" s="496" t="s">
        <v>3727</v>
      </c>
      <c r="CS1340" s="496" t="s">
        <v>1554</v>
      </c>
      <c r="CT1340" s="496" t="s">
        <v>1555</v>
      </c>
      <c r="CU1340" s="496" t="s">
        <v>1981</v>
      </c>
      <c r="CV1340" s="497" t="s">
        <v>1982</v>
      </c>
      <c r="CX1340" s="543">
        <v>1</v>
      </c>
    </row>
    <row r="1341" spans="91:102" ht="21" customHeight="1">
      <c r="CM1341" s="494"/>
      <c r="CN1341" s="496" t="s">
        <v>3728</v>
      </c>
      <c r="CO1341" s="496" t="s">
        <v>8</v>
      </c>
      <c r="CP1341" s="496" t="s">
        <v>689</v>
      </c>
      <c r="CQ1341" s="496" t="s">
        <v>3729</v>
      </c>
      <c r="CR1341" s="496" t="s">
        <v>3729</v>
      </c>
      <c r="CS1341" s="496" t="s">
        <v>1554</v>
      </c>
      <c r="CT1341" s="496" t="s">
        <v>1555</v>
      </c>
      <c r="CU1341" s="496" t="s">
        <v>1981</v>
      </c>
      <c r="CV1341" s="497" t="s">
        <v>1982</v>
      </c>
      <c r="CX1341" s="543">
        <v>1</v>
      </c>
    </row>
    <row r="1342" spans="91:102" ht="21" customHeight="1">
      <c r="CM1342" s="494"/>
      <c r="CN1342" s="496" t="s">
        <v>3730</v>
      </c>
      <c r="CO1342" s="496" t="s">
        <v>8</v>
      </c>
      <c r="CP1342" s="496" t="s">
        <v>689</v>
      </c>
      <c r="CQ1342" s="496" t="s">
        <v>3731</v>
      </c>
      <c r="CR1342" s="496" t="s">
        <v>3731</v>
      </c>
      <c r="CS1342" s="496" t="s">
        <v>1554</v>
      </c>
      <c r="CT1342" s="496" t="s">
        <v>1555</v>
      </c>
      <c r="CU1342" s="496" t="s">
        <v>1981</v>
      </c>
      <c r="CV1342" s="497" t="s">
        <v>1982</v>
      </c>
      <c r="CX1342" s="543">
        <v>1</v>
      </c>
    </row>
    <row r="1343" spans="91:102" ht="21" customHeight="1">
      <c r="CM1343" s="494"/>
      <c r="CN1343" s="496" t="s">
        <v>3732</v>
      </c>
      <c r="CO1343" s="496" t="s">
        <v>8</v>
      </c>
      <c r="CP1343" s="496" t="s">
        <v>689</v>
      </c>
      <c r="CQ1343" s="496" t="s">
        <v>3733</v>
      </c>
      <c r="CR1343" s="496" t="s">
        <v>3733</v>
      </c>
      <c r="CS1343" s="496" t="s">
        <v>1554</v>
      </c>
      <c r="CT1343" s="496" t="s">
        <v>1555</v>
      </c>
      <c r="CU1343" s="496" t="s">
        <v>1981</v>
      </c>
      <c r="CV1343" s="497" t="s">
        <v>1982</v>
      </c>
      <c r="CX1343" s="543">
        <v>1</v>
      </c>
    </row>
    <row r="1344" spans="91:102" ht="21" customHeight="1">
      <c r="CM1344" s="494"/>
      <c r="CN1344" s="496" t="s">
        <v>3734</v>
      </c>
      <c r="CO1344" s="496" t="s">
        <v>8</v>
      </c>
      <c r="CP1344" s="496" t="s">
        <v>689</v>
      </c>
      <c r="CQ1344" s="496" t="s">
        <v>3735</v>
      </c>
      <c r="CR1344" s="496" t="s">
        <v>3735</v>
      </c>
      <c r="CS1344" s="496" t="s">
        <v>1554</v>
      </c>
      <c r="CT1344" s="496" t="s">
        <v>1555</v>
      </c>
      <c r="CU1344" s="496" t="s">
        <v>1981</v>
      </c>
      <c r="CV1344" s="497" t="s">
        <v>1982</v>
      </c>
      <c r="CX1344" s="543">
        <v>1</v>
      </c>
    </row>
    <row r="1345" spans="91:102" ht="21" customHeight="1">
      <c r="CM1345" s="494"/>
      <c r="CN1345" s="496" t="s">
        <v>3736</v>
      </c>
      <c r="CO1345" s="496" t="s">
        <v>8</v>
      </c>
      <c r="CP1345" s="496" t="s">
        <v>689</v>
      </c>
      <c r="CQ1345" s="496" t="s">
        <v>3737</v>
      </c>
      <c r="CR1345" s="496" t="s">
        <v>3737</v>
      </c>
      <c r="CS1345" s="496" t="s">
        <v>1554</v>
      </c>
      <c r="CT1345" s="496" t="s">
        <v>1555</v>
      </c>
      <c r="CU1345" s="496" t="s">
        <v>1981</v>
      </c>
      <c r="CV1345" s="497" t="s">
        <v>1982</v>
      </c>
      <c r="CX1345" s="543">
        <v>1</v>
      </c>
    </row>
    <row r="1346" spans="91:102" ht="21" customHeight="1">
      <c r="CM1346" s="494"/>
      <c r="CN1346" s="496" t="s">
        <v>3738</v>
      </c>
      <c r="CO1346" s="496" t="s">
        <v>8</v>
      </c>
      <c r="CP1346" s="496" t="s">
        <v>689</v>
      </c>
      <c r="CQ1346" s="496" t="s">
        <v>3739</v>
      </c>
      <c r="CR1346" s="496" t="s">
        <v>3739</v>
      </c>
      <c r="CS1346" s="496" t="s">
        <v>1554</v>
      </c>
      <c r="CT1346" s="496" t="s">
        <v>1555</v>
      </c>
      <c r="CU1346" s="496" t="s">
        <v>1981</v>
      </c>
      <c r="CV1346" s="497" t="s">
        <v>1982</v>
      </c>
      <c r="CX1346" s="543">
        <v>1</v>
      </c>
    </row>
    <row r="1347" spans="91:102" ht="21" customHeight="1">
      <c r="CM1347" s="494"/>
      <c r="CN1347" s="496" t="s">
        <v>3740</v>
      </c>
      <c r="CO1347" s="496" t="s">
        <v>8</v>
      </c>
      <c r="CP1347" s="496" t="s">
        <v>689</v>
      </c>
      <c r="CQ1347" s="496" t="s">
        <v>3741</v>
      </c>
      <c r="CR1347" s="496" t="s">
        <v>3741</v>
      </c>
      <c r="CS1347" s="496" t="s">
        <v>1554</v>
      </c>
      <c r="CT1347" s="496" t="s">
        <v>1555</v>
      </c>
      <c r="CU1347" s="496" t="s">
        <v>1981</v>
      </c>
      <c r="CV1347" s="497" t="s">
        <v>1982</v>
      </c>
      <c r="CX1347" s="543">
        <v>1</v>
      </c>
    </row>
    <row r="1348" spans="91:102" ht="21" customHeight="1">
      <c r="CM1348" s="494"/>
      <c r="CN1348" s="496" t="s">
        <v>3742</v>
      </c>
      <c r="CO1348" s="496" t="s">
        <v>8</v>
      </c>
      <c r="CP1348" s="496" t="s">
        <v>689</v>
      </c>
      <c r="CQ1348" s="496" t="s">
        <v>3743</v>
      </c>
      <c r="CR1348" s="496" t="s">
        <v>3743</v>
      </c>
      <c r="CS1348" s="496" t="s">
        <v>1554</v>
      </c>
      <c r="CT1348" s="496" t="s">
        <v>1555</v>
      </c>
      <c r="CU1348" s="496" t="s">
        <v>1981</v>
      </c>
      <c r="CV1348" s="497" t="s">
        <v>1982</v>
      </c>
      <c r="CX1348" s="543">
        <v>1</v>
      </c>
    </row>
    <row r="1349" spans="91:102" ht="21" customHeight="1">
      <c r="CM1349" s="494"/>
      <c r="CN1349" s="496" t="s">
        <v>3744</v>
      </c>
      <c r="CO1349" s="496" t="s">
        <v>8</v>
      </c>
      <c r="CP1349" s="496" t="s">
        <v>689</v>
      </c>
      <c r="CQ1349" s="496" t="s">
        <v>3745</v>
      </c>
      <c r="CR1349" s="496" t="s">
        <v>3745</v>
      </c>
      <c r="CS1349" s="496" t="s">
        <v>1554</v>
      </c>
      <c r="CT1349" s="496" t="s">
        <v>1555</v>
      </c>
      <c r="CU1349" s="496" t="s">
        <v>1981</v>
      </c>
      <c r="CV1349" s="497" t="s">
        <v>1982</v>
      </c>
      <c r="CX1349" s="543">
        <v>1</v>
      </c>
    </row>
    <row r="1350" spans="91:102" ht="21" customHeight="1">
      <c r="CM1350" s="494"/>
      <c r="CN1350" s="496" t="s">
        <v>3746</v>
      </c>
      <c r="CO1350" s="496" t="s">
        <v>8</v>
      </c>
      <c r="CP1350" s="496" t="s">
        <v>689</v>
      </c>
      <c r="CQ1350" s="496" t="s">
        <v>3747</v>
      </c>
      <c r="CR1350" s="496" t="s">
        <v>3747</v>
      </c>
      <c r="CS1350" s="496" t="s">
        <v>1554</v>
      </c>
      <c r="CT1350" s="496" t="s">
        <v>1555</v>
      </c>
      <c r="CU1350" s="496" t="s">
        <v>1981</v>
      </c>
      <c r="CV1350" s="497" t="s">
        <v>1982</v>
      </c>
      <c r="CX1350" s="543">
        <v>1</v>
      </c>
    </row>
    <row r="1351" spans="91:102" ht="21" customHeight="1">
      <c r="CM1351" s="494"/>
      <c r="CN1351" s="496" t="s">
        <v>3748</v>
      </c>
      <c r="CO1351" s="496" t="s">
        <v>8</v>
      </c>
      <c r="CP1351" s="496" t="s">
        <v>689</v>
      </c>
      <c r="CQ1351" s="496" t="s">
        <v>3749</v>
      </c>
      <c r="CR1351" s="496" t="s">
        <v>3749</v>
      </c>
      <c r="CS1351" s="496" t="s">
        <v>1554</v>
      </c>
      <c r="CT1351" s="496" t="s">
        <v>1555</v>
      </c>
      <c r="CU1351" s="496" t="s">
        <v>1981</v>
      </c>
      <c r="CV1351" s="497" t="s">
        <v>1982</v>
      </c>
      <c r="CX1351" s="543">
        <v>1</v>
      </c>
    </row>
    <row r="1352" spans="91:102" ht="21" customHeight="1">
      <c r="CM1352" s="494"/>
      <c r="CN1352" s="496" t="s">
        <v>3750</v>
      </c>
      <c r="CO1352" s="496" t="s">
        <v>8</v>
      </c>
      <c r="CP1352" s="496" t="s">
        <v>689</v>
      </c>
      <c r="CQ1352" s="496" t="s">
        <v>3751</v>
      </c>
      <c r="CR1352" s="496" t="s">
        <v>3751</v>
      </c>
      <c r="CS1352" s="496" t="s">
        <v>1554</v>
      </c>
      <c r="CT1352" s="496" t="s">
        <v>1555</v>
      </c>
      <c r="CU1352" s="496" t="s">
        <v>1981</v>
      </c>
      <c r="CV1352" s="497" t="s">
        <v>1982</v>
      </c>
      <c r="CX1352" s="543">
        <v>1</v>
      </c>
    </row>
    <row r="1353" spans="91:102" ht="21" customHeight="1">
      <c r="CM1353" s="494"/>
      <c r="CN1353" s="496" t="s">
        <v>3752</v>
      </c>
      <c r="CO1353" s="496" t="s">
        <v>8</v>
      </c>
      <c r="CP1353" s="496" t="s">
        <v>689</v>
      </c>
      <c r="CQ1353" s="496" t="s">
        <v>3753</v>
      </c>
      <c r="CR1353" s="496" t="s">
        <v>3753</v>
      </c>
      <c r="CS1353" s="496" t="s">
        <v>1554</v>
      </c>
      <c r="CT1353" s="496" t="s">
        <v>1555</v>
      </c>
      <c r="CU1353" s="496" t="s">
        <v>1981</v>
      </c>
      <c r="CV1353" s="497" t="s">
        <v>1982</v>
      </c>
      <c r="CX1353" s="543">
        <v>1</v>
      </c>
    </row>
    <row r="1354" spans="91:102" ht="21" customHeight="1">
      <c r="CM1354" s="494"/>
      <c r="CN1354" s="496" t="s">
        <v>3754</v>
      </c>
      <c r="CO1354" s="496" t="s">
        <v>8</v>
      </c>
      <c r="CP1354" s="496" t="s">
        <v>689</v>
      </c>
      <c r="CQ1354" s="496" t="s">
        <v>3755</v>
      </c>
      <c r="CR1354" s="496" t="s">
        <v>3755</v>
      </c>
      <c r="CS1354" s="496" t="s">
        <v>1554</v>
      </c>
      <c r="CT1354" s="496" t="s">
        <v>1555</v>
      </c>
      <c r="CU1354" s="496" t="s">
        <v>1981</v>
      </c>
      <c r="CV1354" s="497" t="s">
        <v>1982</v>
      </c>
      <c r="CX1354" s="543">
        <v>1</v>
      </c>
    </row>
    <row r="1355" spans="91:102" ht="21" customHeight="1">
      <c r="CM1355" s="494"/>
      <c r="CN1355" s="496" t="s">
        <v>3756</v>
      </c>
      <c r="CO1355" s="496" t="s">
        <v>8</v>
      </c>
      <c r="CP1355" s="496" t="s">
        <v>689</v>
      </c>
      <c r="CQ1355" s="496" t="s">
        <v>3757</v>
      </c>
      <c r="CR1355" s="496" t="s">
        <v>3757</v>
      </c>
      <c r="CS1355" s="496" t="s">
        <v>1554</v>
      </c>
      <c r="CT1355" s="496" t="s">
        <v>1555</v>
      </c>
      <c r="CU1355" s="496" t="s">
        <v>1981</v>
      </c>
      <c r="CV1355" s="497" t="s">
        <v>1982</v>
      </c>
      <c r="CX1355" s="543">
        <v>1</v>
      </c>
    </row>
    <row r="1356" spans="91:102" ht="21" customHeight="1">
      <c r="CM1356" s="494"/>
      <c r="CN1356" s="496" t="s">
        <v>3758</v>
      </c>
      <c r="CO1356" s="496" t="s">
        <v>8</v>
      </c>
      <c r="CP1356" s="496" t="s">
        <v>689</v>
      </c>
      <c r="CQ1356" s="496" t="s">
        <v>3759</v>
      </c>
      <c r="CR1356" s="496" t="s">
        <v>3759</v>
      </c>
      <c r="CS1356" s="496" t="s">
        <v>1554</v>
      </c>
      <c r="CT1356" s="496" t="s">
        <v>1555</v>
      </c>
      <c r="CU1356" s="496" t="s">
        <v>1981</v>
      </c>
      <c r="CV1356" s="497" t="s">
        <v>1982</v>
      </c>
      <c r="CX1356" s="543">
        <v>1</v>
      </c>
    </row>
    <row r="1357" spans="91:102" ht="21" customHeight="1">
      <c r="CM1357" s="494"/>
      <c r="CN1357" s="496" t="s">
        <v>3760</v>
      </c>
      <c r="CO1357" s="496" t="s">
        <v>8</v>
      </c>
      <c r="CP1357" s="496" t="s">
        <v>689</v>
      </c>
      <c r="CQ1357" s="496" t="s">
        <v>3761</v>
      </c>
      <c r="CR1357" s="496" t="s">
        <v>3761</v>
      </c>
      <c r="CS1357" s="496" t="s">
        <v>1554</v>
      </c>
      <c r="CT1357" s="496" t="s">
        <v>1555</v>
      </c>
      <c r="CU1357" s="496" t="s">
        <v>1981</v>
      </c>
      <c r="CV1357" s="497" t="s">
        <v>1982</v>
      </c>
      <c r="CX1357" s="543">
        <v>1</v>
      </c>
    </row>
    <row r="1358" spans="91:102" ht="21" customHeight="1">
      <c r="CM1358" s="494"/>
      <c r="CN1358" s="496" t="s">
        <v>3762</v>
      </c>
      <c r="CO1358" s="496" t="s">
        <v>8</v>
      </c>
      <c r="CP1358" s="496" t="s">
        <v>689</v>
      </c>
      <c r="CQ1358" s="496" t="s">
        <v>3763</v>
      </c>
      <c r="CR1358" s="496" t="s">
        <v>3763</v>
      </c>
      <c r="CS1358" s="496" t="s">
        <v>1554</v>
      </c>
      <c r="CT1358" s="496" t="s">
        <v>1555</v>
      </c>
      <c r="CU1358" s="496" t="s">
        <v>1981</v>
      </c>
      <c r="CV1358" s="497" t="s">
        <v>1982</v>
      </c>
      <c r="CX1358" s="543">
        <v>1</v>
      </c>
    </row>
    <row r="1359" spans="91:102" ht="21" customHeight="1">
      <c r="CM1359" s="494"/>
      <c r="CN1359" s="496" t="s">
        <v>3764</v>
      </c>
      <c r="CO1359" s="496" t="s">
        <v>8</v>
      </c>
      <c r="CP1359" s="496" t="s">
        <v>689</v>
      </c>
      <c r="CQ1359" s="496" t="s">
        <v>3765</v>
      </c>
      <c r="CR1359" s="496" t="s">
        <v>3765</v>
      </c>
      <c r="CS1359" s="496" t="s">
        <v>1554</v>
      </c>
      <c r="CT1359" s="496" t="s">
        <v>1555</v>
      </c>
      <c r="CU1359" s="496" t="s">
        <v>1981</v>
      </c>
      <c r="CV1359" s="497" t="s">
        <v>1982</v>
      </c>
      <c r="CX1359" s="543">
        <v>1</v>
      </c>
    </row>
    <row r="1360" spans="91:102" ht="21" customHeight="1">
      <c r="CM1360" s="494"/>
      <c r="CN1360" s="496" t="s">
        <v>3766</v>
      </c>
      <c r="CO1360" s="496" t="s">
        <v>8</v>
      </c>
      <c r="CP1360" s="496" t="s">
        <v>689</v>
      </c>
      <c r="CQ1360" s="496" t="s">
        <v>3767</v>
      </c>
      <c r="CR1360" s="496" t="s">
        <v>3767</v>
      </c>
      <c r="CS1360" s="496" t="s">
        <v>1554</v>
      </c>
      <c r="CT1360" s="496" t="s">
        <v>1555</v>
      </c>
      <c r="CU1360" s="496" t="s">
        <v>1981</v>
      </c>
      <c r="CV1360" s="497" t="s">
        <v>1982</v>
      </c>
      <c r="CX1360" s="543">
        <v>1</v>
      </c>
    </row>
    <row r="1361" spans="91:102" ht="21" customHeight="1">
      <c r="CM1361" s="494"/>
      <c r="CN1361" s="496" t="s">
        <v>3768</v>
      </c>
      <c r="CO1361" s="496" t="s">
        <v>8</v>
      </c>
      <c r="CP1361" s="496" t="s">
        <v>689</v>
      </c>
      <c r="CQ1361" s="496" t="s">
        <v>1062</v>
      </c>
      <c r="CR1361" s="496" t="s">
        <v>1062</v>
      </c>
      <c r="CS1361" s="496" t="s">
        <v>1554</v>
      </c>
      <c r="CT1361" s="496" t="s">
        <v>1555</v>
      </c>
      <c r="CU1361" s="496" t="s">
        <v>1981</v>
      </c>
      <c r="CV1361" s="497" t="s">
        <v>1982</v>
      </c>
      <c r="CX1361" s="543">
        <v>1</v>
      </c>
    </row>
    <row r="1362" spans="91:102" ht="21" customHeight="1">
      <c r="CM1362" s="494"/>
      <c r="CN1362" s="496" t="s">
        <v>3769</v>
      </c>
      <c r="CO1362" s="496" t="s">
        <v>8</v>
      </c>
      <c r="CP1362" s="496" t="s">
        <v>689</v>
      </c>
      <c r="CQ1362" s="496" t="s">
        <v>3770</v>
      </c>
      <c r="CR1362" s="496" t="s">
        <v>3770</v>
      </c>
      <c r="CS1362" s="496" t="s">
        <v>1554</v>
      </c>
      <c r="CT1362" s="496" t="s">
        <v>1555</v>
      </c>
      <c r="CU1362" s="496" t="s">
        <v>1981</v>
      </c>
      <c r="CV1362" s="497" t="s">
        <v>1982</v>
      </c>
      <c r="CX1362" s="543">
        <v>1</v>
      </c>
    </row>
    <row r="1363" spans="91:102" ht="21" customHeight="1">
      <c r="CM1363" s="494"/>
      <c r="CN1363" s="496" t="s">
        <v>3771</v>
      </c>
      <c r="CO1363" s="496" t="s">
        <v>8</v>
      </c>
      <c r="CP1363" s="496" t="s">
        <v>689</v>
      </c>
      <c r="CQ1363" s="496" t="s">
        <v>3772</v>
      </c>
      <c r="CR1363" s="496" t="s">
        <v>3772</v>
      </c>
      <c r="CS1363" s="496" t="s">
        <v>1554</v>
      </c>
      <c r="CT1363" s="496" t="s">
        <v>1555</v>
      </c>
      <c r="CU1363" s="496" t="s">
        <v>1981</v>
      </c>
      <c r="CV1363" s="497" t="s">
        <v>1982</v>
      </c>
      <c r="CX1363" s="543">
        <v>1</v>
      </c>
    </row>
    <row r="1364" spans="91:102" ht="21" customHeight="1">
      <c r="CM1364" s="494"/>
      <c r="CN1364" s="496" t="s">
        <v>3773</v>
      </c>
      <c r="CO1364" s="496" t="s">
        <v>8</v>
      </c>
      <c r="CP1364" s="496" t="s">
        <v>690</v>
      </c>
      <c r="CQ1364" s="496" t="s">
        <v>3774</v>
      </c>
      <c r="CR1364" s="496" t="s">
        <v>3775</v>
      </c>
      <c r="CS1364" s="496" t="s">
        <v>1151</v>
      </c>
      <c r="CT1364" s="496" t="s">
        <v>1446</v>
      </c>
      <c r="CU1364" s="496" t="s">
        <v>1087</v>
      </c>
      <c r="CV1364" s="497" t="s">
        <v>1153</v>
      </c>
      <c r="CX1364" s="543">
        <v>1</v>
      </c>
    </row>
    <row r="1365" spans="91:102" ht="21" customHeight="1">
      <c r="CM1365" s="494"/>
      <c r="CN1365" s="496" t="s">
        <v>3776</v>
      </c>
      <c r="CO1365" s="496" t="s">
        <v>8</v>
      </c>
      <c r="CP1365" s="496" t="s">
        <v>690</v>
      </c>
      <c r="CQ1365" s="496" t="s">
        <v>3777</v>
      </c>
      <c r="CR1365" s="496" t="s">
        <v>3778</v>
      </c>
      <c r="CS1365" s="496" t="s">
        <v>1151</v>
      </c>
      <c r="CT1365" s="496" t="s">
        <v>1446</v>
      </c>
      <c r="CU1365" s="496" t="s">
        <v>1087</v>
      </c>
      <c r="CV1365" s="497" t="s">
        <v>1153</v>
      </c>
      <c r="CX1365" s="543">
        <v>1</v>
      </c>
    </row>
    <row r="1366" spans="91:102" ht="21" customHeight="1">
      <c r="CM1366" s="494"/>
      <c r="CN1366" s="496" t="s">
        <v>3779</v>
      </c>
      <c r="CO1366" s="496" t="s">
        <v>8</v>
      </c>
      <c r="CP1366" s="496" t="s">
        <v>690</v>
      </c>
      <c r="CQ1366" s="496" t="s">
        <v>3780</v>
      </c>
      <c r="CR1366" s="496" t="s">
        <v>3781</v>
      </c>
      <c r="CS1366" s="496" t="s">
        <v>1151</v>
      </c>
      <c r="CT1366" s="496" t="s">
        <v>1446</v>
      </c>
      <c r="CU1366" s="496" t="s">
        <v>1087</v>
      </c>
      <c r="CV1366" s="497" t="s">
        <v>1153</v>
      </c>
      <c r="CX1366" s="543">
        <v>1</v>
      </c>
    </row>
    <row r="1367" spans="91:102" ht="21" customHeight="1">
      <c r="CM1367" s="494"/>
      <c r="CN1367" s="496" t="s">
        <v>3782</v>
      </c>
      <c r="CO1367" s="496" t="s">
        <v>8</v>
      </c>
      <c r="CP1367" s="496" t="s">
        <v>690</v>
      </c>
      <c r="CQ1367" s="496" t="s">
        <v>3783</v>
      </c>
      <c r="CR1367" s="496" t="s">
        <v>3784</v>
      </c>
      <c r="CS1367" s="496" t="s">
        <v>1151</v>
      </c>
      <c r="CT1367" s="496" t="s">
        <v>1446</v>
      </c>
      <c r="CU1367" s="496" t="s">
        <v>1087</v>
      </c>
      <c r="CV1367" s="497" t="s">
        <v>1153</v>
      </c>
      <c r="CX1367" s="543">
        <v>1</v>
      </c>
    </row>
    <row r="1368" spans="91:102" ht="21" customHeight="1">
      <c r="CM1368" s="494"/>
      <c r="CN1368" s="496" t="s">
        <v>3785</v>
      </c>
      <c r="CO1368" s="496" t="s">
        <v>8</v>
      </c>
      <c r="CP1368" s="496" t="s">
        <v>690</v>
      </c>
      <c r="CQ1368" s="496" t="s">
        <v>3786</v>
      </c>
      <c r="CR1368" s="496" t="s">
        <v>3787</v>
      </c>
      <c r="CS1368" s="496" t="s">
        <v>1151</v>
      </c>
      <c r="CT1368" s="496" t="s">
        <v>1446</v>
      </c>
      <c r="CU1368" s="496" t="s">
        <v>1087</v>
      </c>
      <c r="CV1368" s="497" t="s">
        <v>1153</v>
      </c>
      <c r="CX1368" s="543">
        <v>1</v>
      </c>
    </row>
    <row r="1369" spans="91:102" ht="21" customHeight="1">
      <c r="CM1369" s="494"/>
      <c r="CN1369" s="496" t="s">
        <v>3788</v>
      </c>
      <c r="CO1369" s="496" t="s">
        <v>8</v>
      </c>
      <c r="CP1369" s="496" t="s">
        <v>690</v>
      </c>
      <c r="CQ1369" s="496" t="s">
        <v>3789</v>
      </c>
      <c r="CR1369" s="496" t="s">
        <v>3789</v>
      </c>
      <c r="CS1369" s="496" t="s">
        <v>1151</v>
      </c>
      <c r="CT1369" s="496" t="s">
        <v>1446</v>
      </c>
      <c r="CU1369" s="496" t="s">
        <v>1087</v>
      </c>
      <c r="CV1369" s="497" t="s">
        <v>1153</v>
      </c>
      <c r="CX1369" s="543">
        <v>1</v>
      </c>
    </row>
    <row r="1370" spans="91:102" ht="21" customHeight="1">
      <c r="CM1370" s="494"/>
      <c r="CN1370" s="496" t="s">
        <v>3790</v>
      </c>
      <c r="CO1370" s="496" t="s">
        <v>8</v>
      </c>
      <c r="CP1370" s="496" t="s">
        <v>690</v>
      </c>
      <c r="CQ1370" s="496" t="s">
        <v>3791</v>
      </c>
      <c r="CR1370" s="496" t="s">
        <v>3791</v>
      </c>
      <c r="CS1370" s="496" t="s">
        <v>1151</v>
      </c>
      <c r="CT1370" s="496" t="s">
        <v>1446</v>
      </c>
      <c r="CU1370" s="496" t="s">
        <v>1087</v>
      </c>
      <c r="CV1370" s="497" t="s">
        <v>1153</v>
      </c>
      <c r="CX1370" s="543">
        <v>1</v>
      </c>
    </row>
    <row r="1371" spans="91:102" ht="21" customHeight="1">
      <c r="CM1371" s="494"/>
      <c r="CN1371" s="496" t="s">
        <v>3792</v>
      </c>
      <c r="CO1371" s="496" t="s">
        <v>8</v>
      </c>
      <c r="CP1371" s="496" t="s">
        <v>690</v>
      </c>
      <c r="CQ1371" s="496" t="s">
        <v>3793</v>
      </c>
      <c r="CR1371" s="496" t="s">
        <v>3793</v>
      </c>
      <c r="CS1371" s="496" t="s">
        <v>1151</v>
      </c>
      <c r="CT1371" s="496" t="s">
        <v>1446</v>
      </c>
      <c r="CU1371" s="496" t="s">
        <v>1087</v>
      </c>
      <c r="CV1371" s="497" t="s">
        <v>1153</v>
      </c>
      <c r="CX1371" s="543">
        <v>1</v>
      </c>
    </row>
    <row r="1372" spans="91:102" ht="21" customHeight="1">
      <c r="CM1372" s="494"/>
      <c r="CN1372" s="496" t="s">
        <v>3794</v>
      </c>
      <c r="CO1372" s="496" t="s">
        <v>8</v>
      </c>
      <c r="CP1372" s="496" t="s">
        <v>690</v>
      </c>
      <c r="CQ1372" s="496" t="s">
        <v>3795</v>
      </c>
      <c r="CR1372" s="496" t="s">
        <v>3795</v>
      </c>
      <c r="CS1372" s="496" t="s">
        <v>1151</v>
      </c>
      <c r="CT1372" s="496" t="s">
        <v>1446</v>
      </c>
      <c r="CU1372" s="496" t="s">
        <v>1087</v>
      </c>
      <c r="CV1372" s="497" t="s">
        <v>1153</v>
      </c>
      <c r="CX1372" s="543">
        <v>1</v>
      </c>
    </row>
    <row r="1373" spans="91:102" ht="21" customHeight="1">
      <c r="CM1373" s="494"/>
      <c r="CN1373" s="496" t="s">
        <v>3796</v>
      </c>
      <c r="CO1373" s="496" t="s">
        <v>8</v>
      </c>
      <c r="CP1373" s="496" t="s">
        <v>1511</v>
      </c>
      <c r="CQ1373" s="496" t="s">
        <v>3797</v>
      </c>
      <c r="CR1373" s="496" t="s">
        <v>3798</v>
      </c>
      <c r="CS1373" s="496" t="s">
        <v>1085</v>
      </c>
      <c r="CT1373" s="496" t="s">
        <v>3799</v>
      </c>
      <c r="CU1373" s="496" t="s">
        <v>1087</v>
      </c>
      <c r="CV1373" s="497" t="s">
        <v>1088</v>
      </c>
      <c r="CX1373" s="543">
        <v>1</v>
      </c>
    </row>
    <row r="1374" spans="91:102" ht="21" customHeight="1">
      <c r="CM1374" s="494"/>
      <c r="CN1374" s="496" t="s">
        <v>3800</v>
      </c>
      <c r="CO1374" s="496" t="s">
        <v>8</v>
      </c>
      <c r="CP1374" s="496" t="s">
        <v>1511</v>
      </c>
      <c r="CQ1374" s="496" t="s">
        <v>3801</v>
      </c>
      <c r="CR1374" s="496" t="s">
        <v>3801</v>
      </c>
      <c r="CS1374" s="496" t="s">
        <v>1085</v>
      </c>
      <c r="CT1374" s="496" t="s">
        <v>3799</v>
      </c>
      <c r="CU1374" s="496" t="s">
        <v>1087</v>
      </c>
      <c r="CV1374" s="497" t="s">
        <v>1088</v>
      </c>
      <c r="CX1374" s="543">
        <v>1</v>
      </c>
    </row>
    <row r="1375" spans="91:102" ht="21" customHeight="1">
      <c r="CM1375" s="494"/>
      <c r="CN1375" s="496" t="s">
        <v>3802</v>
      </c>
      <c r="CO1375" s="496" t="s">
        <v>8</v>
      </c>
      <c r="CP1375" s="496" t="s">
        <v>1511</v>
      </c>
      <c r="CQ1375" s="496" t="s">
        <v>3803</v>
      </c>
      <c r="CR1375" s="496" t="s">
        <v>3803</v>
      </c>
      <c r="CS1375" s="496" t="s">
        <v>1085</v>
      </c>
      <c r="CT1375" s="496" t="s">
        <v>3799</v>
      </c>
      <c r="CU1375" s="496" t="s">
        <v>1087</v>
      </c>
      <c r="CV1375" s="497" t="s">
        <v>1088</v>
      </c>
      <c r="CX1375" s="543">
        <v>1</v>
      </c>
    </row>
    <row r="1376" spans="91:102" ht="21" customHeight="1">
      <c r="CM1376" s="494"/>
      <c r="CN1376" s="496" t="s">
        <v>3804</v>
      </c>
      <c r="CO1376" s="496" t="s">
        <v>8</v>
      </c>
      <c r="CP1376" s="496" t="s">
        <v>1511</v>
      </c>
      <c r="CQ1376" s="496" t="s">
        <v>3805</v>
      </c>
      <c r="CR1376" s="496" t="s">
        <v>3806</v>
      </c>
      <c r="CS1376" s="496" t="s">
        <v>1085</v>
      </c>
      <c r="CT1376" s="496" t="s">
        <v>3799</v>
      </c>
      <c r="CU1376" s="496" t="s">
        <v>1087</v>
      </c>
      <c r="CV1376" s="497" t="s">
        <v>1088</v>
      </c>
      <c r="CX1376" s="543">
        <v>1</v>
      </c>
    </row>
    <row r="1377" spans="91:102" ht="21" customHeight="1">
      <c r="CM1377" s="494"/>
      <c r="CN1377" s="496" t="s">
        <v>3807</v>
      </c>
      <c r="CO1377" s="496" t="s">
        <v>8</v>
      </c>
      <c r="CP1377" s="496" t="s">
        <v>1511</v>
      </c>
      <c r="CQ1377" s="496" t="s">
        <v>3808</v>
      </c>
      <c r="CR1377" s="496" t="s">
        <v>3808</v>
      </c>
      <c r="CS1377" s="496" t="s">
        <v>1085</v>
      </c>
      <c r="CT1377" s="496" t="s">
        <v>3799</v>
      </c>
      <c r="CU1377" s="496" t="s">
        <v>1087</v>
      </c>
      <c r="CV1377" s="497" t="s">
        <v>1088</v>
      </c>
      <c r="CX1377" s="543">
        <v>1</v>
      </c>
    </row>
    <row r="1378" spans="91:102" ht="21" customHeight="1">
      <c r="CM1378" s="494"/>
      <c r="CN1378" s="496" t="s">
        <v>3809</v>
      </c>
      <c r="CO1378" s="496" t="s">
        <v>8</v>
      </c>
      <c r="CP1378" s="496" t="s">
        <v>1511</v>
      </c>
      <c r="CQ1378" s="496" t="s">
        <v>3810</v>
      </c>
      <c r="CR1378" s="496" t="s">
        <v>3810</v>
      </c>
      <c r="CS1378" s="496" t="s">
        <v>1085</v>
      </c>
      <c r="CT1378" s="496" t="s">
        <v>3799</v>
      </c>
      <c r="CU1378" s="496" t="s">
        <v>1087</v>
      </c>
      <c r="CV1378" s="497" t="s">
        <v>1088</v>
      </c>
      <c r="CX1378" s="543">
        <v>1</v>
      </c>
    </row>
    <row r="1379" spans="91:102" ht="21" customHeight="1">
      <c r="CM1379" s="494"/>
      <c r="CN1379" s="496" t="s">
        <v>3811</v>
      </c>
      <c r="CO1379" s="496" t="s">
        <v>8</v>
      </c>
      <c r="CP1379" s="496" t="s">
        <v>1511</v>
      </c>
      <c r="CQ1379" s="496" t="s">
        <v>3812</v>
      </c>
      <c r="CR1379" s="496" t="s">
        <v>3812</v>
      </c>
      <c r="CS1379" s="496" t="s">
        <v>1085</v>
      </c>
      <c r="CT1379" s="496" t="s">
        <v>3799</v>
      </c>
      <c r="CU1379" s="496" t="s">
        <v>1087</v>
      </c>
      <c r="CV1379" s="497" t="s">
        <v>1088</v>
      </c>
      <c r="CX1379" s="543">
        <v>1</v>
      </c>
    </row>
    <row r="1380" spans="91:102" ht="21" customHeight="1">
      <c r="CM1380" s="494"/>
      <c r="CN1380" s="496" t="s">
        <v>3813</v>
      </c>
      <c r="CO1380" s="496" t="s">
        <v>8</v>
      </c>
      <c r="CP1380" s="496" t="s">
        <v>1511</v>
      </c>
      <c r="CQ1380" s="496" t="s">
        <v>1537</v>
      </c>
      <c r="CR1380" s="496" t="s">
        <v>1537</v>
      </c>
      <c r="CS1380" s="496" t="s">
        <v>1085</v>
      </c>
      <c r="CT1380" s="496" t="s">
        <v>3799</v>
      </c>
      <c r="CU1380" s="496" t="s">
        <v>1087</v>
      </c>
      <c r="CV1380" s="497" t="s">
        <v>1088</v>
      </c>
      <c r="CX1380" s="543">
        <v>1</v>
      </c>
    </row>
    <row r="1381" spans="91:102" ht="21" customHeight="1">
      <c r="CM1381" s="494"/>
      <c r="CN1381" s="496" t="s">
        <v>3814</v>
      </c>
      <c r="CO1381" s="496" t="s">
        <v>8</v>
      </c>
      <c r="CP1381" s="496" t="s">
        <v>1511</v>
      </c>
      <c r="CQ1381" s="496" t="s">
        <v>3815</v>
      </c>
      <c r="CR1381" s="496" t="s">
        <v>3816</v>
      </c>
      <c r="CS1381" s="496" t="s">
        <v>1085</v>
      </c>
      <c r="CT1381" s="496" t="s">
        <v>3799</v>
      </c>
      <c r="CU1381" s="496" t="s">
        <v>1087</v>
      </c>
      <c r="CV1381" s="497" t="s">
        <v>1088</v>
      </c>
      <c r="CX1381" s="543">
        <v>1</v>
      </c>
    </row>
    <row r="1382" spans="91:102" ht="21" customHeight="1">
      <c r="CM1382" s="494"/>
      <c r="CN1382" s="496" t="s">
        <v>3817</v>
      </c>
      <c r="CO1382" s="496" t="s">
        <v>8</v>
      </c>
      <c r="CP1382" s="496" t="s">
        <v>1511</v>
      </c>
      <c r="CQ1382" s="496" t="s">
        <v>1542</v>
      </c>
      <c r="CR1382" s="496" t="s">
        <v>1542</v>
      </c>
      <c r="CS1382" s="496" t="s">
        <v>1085</v>
      </c>
      <c r="CT1382" s="496" t="s">
        <v>3799</v>
      </c>
      <c r="CU1382" s="496" t="s">
        <v>1087</v>
      </c>
      <c r="CV1382" s="497" t="s">
        <v>1088</v>
      </c>
      <c r="CX1382" s="543">
        <v>1</v>
      </c>
    </row>
    <row r="1383" spans="91:102" ht="21" customHeight="1">
      <c r="CM1383" s="494"/>
      <c r="CN1383" s="496" t="s">
        <v>3818</v>
      </c>
      <c r="CO1383" s="496" t="s">
        <v>8</v>
      </c>
      <c r="CP1383" s="496" t="s">
        <v>1511</v>
      </c>
      <c r="CQ1383" s="496" t="s">
        <v>3819</v>
      </c>
      <c r="CR1383" s="496" t="s">
        <v>3819</v>
      </c>
      <c r="CS1383" s="496" t="s">
        <v>1085</v>
      </c>
      <c r="CT1383" s="496" t="s">
        <v>3799</v>
      </c>
      <c r="CU1383" s="496" t="s">
        <v>1087</v>
      </c>
      <c r="CV1383" s="497" t="s">
        <v>1088</v>
      </c>
      <c r="CX1383" s="543">
        <v>1</v>
      </c>
    </row>
    <row r="1384" spans="91:102" ht="21" customHeight="1">
      <c r="CM1384" s="494"/>
      <c r="CN1384" s="496" t="s">
        <v>3820</v>
      </c>
      <c r="CO1384" s="496" t="s">
        <v>9</v>
      </c>
      <c r="CP1384" s="496" t="s">
        <v>689</v>
      </c>
      <c r="CQ1384" s="496" t="s">
        <v>20</v>
      </c>
      <c r="CR1384" s="496" t="s">
        <v>20</v>
      </c>
      <c r="CS1384" s="496" t="s">
        <v>1085</v>
      </c>
      <c r="CT1384" s="496" t="s">
        <v>3821</v>
      </c>
      <c r="CU1384" s="496" t="s">
        <v>1087</v>
      </c>
      <c r="CV1384" s="497" t="s">
        <v>1088</v>
      </c>
      <c r="CX1384" s="543">
        <v>1</v>
      </c>
    </row>
    <row r="1385" spans="91:102" ht="21" customHeight="1">
      <c r="CM1385" s="494"/>
      <c r="CN1385" s="496" t="s">
        <v>3822</v>
      </c>
      <c r="CO1385" s="496" t="s">
        <v>9</v>
      </c>
      <c r="CP1385" s="496" t="s">
        <v>689</v>
      </c>
      <c r="CQ1385" s="496" t="s">
        <v>1</v>
      </c>
      <c r="CR1385" s="496" t="s">
        <v>1</v>
      </c>
      <c r="CS1385" s="496" t="s">
        <v>1085</v>
      </c>
      <c r="CT1385" s="496" t="s">
        <v>3821</v>
      </c>
      <c r="CU1385" s="496" t="s">
        <v>1087</v>
      </c>
      <c r="CV1385" s="497" t="s">
        <v>1088</v>
      </c>
      <c r="CX1385" s="543">
        <v>1</v>
      </c>
    </row>
    <row r="1386" spans="91:102" ht="21" customHeight="1">
      <c r="CM1386" s="494"/>
      <c r="CN1386" s="496" t="s">
        <v>3823</v>
      </c>
      <c r="CO1386" s="496" t="s">
        <v>9</v>
      </c>
      <c r="CP1386" s="496" t="s">
        <v>689</v>
      </c>
      <c r="CQ1386" s="496" t="s">
        <v>46</v>
      </c>
      <c r="CR1386" s="496" t="s">
        <v>46</v>
      </c>
      <c r="CS1386" s="496" t="s">
        <v>1085</v>
      </c>
      <c r="CT1386" s="496" t="s">
        <v>3821</v>
      </c>
      <c r="CU1386" s="496" t="s">
        <v>1087</v>
      </c>
      <c r="CV1386" s="497" t="s">
        <v>1088</v>
      </c>
      <c r="CX1386" s="543">
        <v>1</v>
      </c>
    </row>
    <row r="1387" spans="91:102" ht="21" customHeight="1">
      <c r="CM1387" s="494"/>
      <c r="CN1387" s="496" t="s">
        <v>3824</v>
      </c>
      <c r="CO1387" s="496" t="s">
        <v>9</v>
      </c>
      <c r="CP1387" s="496" t="s">
        <v>689</v>
      </c>
      <c r="CQ1387" s="496" t="s">
        <v>3825</v>
      </c>
      <c r="CR1387" s="496" t="s">
        <v>40</v>
      </c>
      <c r="CS1387" s="496" t="s">
        <v>1085</v>
      </c>
      <c r="CT1387" s="496" t="s">
        <v>3821</v>
      </c>
      <c r="CU1387" s="496" t="s">
        <v>1087</v>
      </c>
      <c r="CV1387" s="497" t="s">
        <v>1088</v>
      </c>
      <c r="CX1387" s="543">
        <v>1</v>
      </c>
    </row>
    <row r="1388" spans="91:102" ht="21" customHeight="1">
      <c r="CM1388" s="494"/>
      <c r="CN1388" s="496" t="s">
        <v>3826</v>
      </c>
      <c r="CO1388" s="496" t="s">
        <v>9</v>
      </c>
      <c r="CP1388" s="496" t="s">
        <v>689</v>
      </c>
      <c r="CQ1388" s="496" t="s">
        <v>3827</v>
      </c>
      <c r="CR1388" s="496" t="s">
        <v>108</v>
      </c>
      <c r="CS1388" s="496" t="s">
        <v>1085</v>
      </c>
      <c r="CT1388" s="496" t="s">
        <v>3821</v>
      </c>
      <c r="CU1388" s="496" t="s">
        <v>1087</v>
      </c>
      <c r="CV1388" s="497" t="s">
        <v>1088</v>
      </c>
      <c r="CX1388" s="543">
        <v>1</v>
      </c>
    </row>
    <row r="1389" spans="91:102" ht="21" customHeight="1">
      <c r="CM1389" s="494"/>
      <c r="CN1389" s="496" t="s">
        <v>3828</v>
      </c>
      <c r="CO1389" s="496" t="s">
        <v>9</v>
      </c>
      <c r="CP1389" s="496" t="s">
        <v>689</v>
      </c>
      <c r="CQ1389" s="496" t="s">
        <v>3829</v>
      </c>
      <c r="CR1389" s="496" t="s">
        <v>122</v>
      </c>
      <c r="CS1389" s="496" t="s">
        <v>1085</v>
      </c>
      <c r="CT1389" s="496" t="s">
        <v>3821</v>
      </c>
      <c r="CU1389" s="496" t="s">
        <v>1087</v>
      </c>
      <c r="CV1389" s="497" t="s">
        <v>1088</v>
      </c>
      <c r="CX1389" s="543">
        <v>1</v>
      </c>
    </row>
    <row r="1390" spans="91:102" ht="21" customHeight="1">
      <c r="CM1390" s="494"/>
      <c r="CN1390" s="496" t="s">
        <v>3830</v>
      </c>
      <c r="CO1390" s="496" t="s">
        <v>9</v>
      </c>
      <c r="CP1390" s="496" t="s">
        <v>689</v>
      </c>
      <c r="CQ1390" s="496" t="s">
        <v>3831</v>
      </c>
      <c r="CR1390" s="496" t="s">
        <v>3831</v>
      </c>
      <c r="CS1390" s="496" t="s">
        <v>1085</v>
      </c>
      <c r="CT1390" s="496" t="s">
        <v>3821</v>
      </c>
      <c r="CU1390" s="496" t="s">
        <v>1087</v>
      </c>
      <c r="CV1390" s="497" t="s">
        <v>1088</v>
      </c>
      <c r="CX1390" s="543">
        <v>1</v>
      </c>
    </row>
    <row r="1391" spans="91:102" ht="21" customHeight="1">
      <c r="CM1391" s="494"/>
      <c r="CN1391" s="496" t="s">
        <v>3832</v>
      </c>
      <c r="CO1391" s="496" t="s">
        <v>9</v>
      </c>
      <c r="CP1391" s="496" t="s">
        <v>689</v>
      </c>
      <c r="CQ1391" s="496" t="s">
        <v>270</v>
      </c>
      <c r="CR1391" s="496" t="s">
        <v>270</v>
      </c>
      <c r="CS1391" s="496" t="s">
        <v>1151</v>
      </c>
      <c r="CT1391" s="496" t="s">
        <v>1152</v>
      </c>
      <c r="CU1391" s="496" t="s">
        <v>1087</v>
      </c>
      <c r="CV1391" s="497" t="s">
        <v>1153</v>
      </c>
      <c r="CX1391" s="543">
        <v>1</v>
      </c>
    </row>
    <row r="1392" spans="91:102" ht="21" customHeight="1">
      <c r="CM1392" s="494"/>
      <c r="CN1392" s="496" t="s">
        <v>3833</v>
      </c>
      <c r="CO1392" s="496" t="s">
        <v>9</v>
      </c>
      <c r="CP1392" s="496" t="s">
        <v>689</v>
      </c>
      <c r="CQ1392" s="496" t="s">
        <v>3834</v>
      </c>
      <c r="CR1392" s="496" t="s">
        <v>3834</v>
      </c>
      <c r="CS1392" s="496" t="s">
        <v>1151</v>
      </c>
      <c r="CT1392" s="496" t="s">
        <v>1152</v>
      </c>
      <c r="CU1392" s="496" t="s">
        <v>1087</v>
      </c>
      <c r="CV1392" s="497" t="s">
        <v>1153</v>
      </c>
      <c r="CX1392" s="543">
        <v>1</v>
      </c>
    </row>
    <row r="1393" spans="91:102" ht="21" customHeight="1">
      <c r="CM1393" s="494"/>
      <c r="CN1393" s="496" t="s">
        <v>3835</v>
      </c>
      <c r="CO1393" s="496" t="s">
        <v>9</v>
      </c>
      <c r="CP1393" s="496" t="s">
        <v>689</v>
      </c>
      <c r="CQ1393" s="496" t="s">
        <v>3836</v>
      </c>
      <c r="CR1393" s="496" t="s">
        <v>3836</v>
      </c>
      <c r="CS1393" s="496" t="s">
        <v>1151</v>
      </c>
      <c r="CT1393" s="496" t="s">
        <v>1152</v>
      </c>
      <c r="CU1393" s="496" t="s">
        <v>1087</v>
      </c>
      <c r="CV1393" s="497" t="s">
        <v>1153</v>
      </c>
      <c r="CX1393" s="543">
        <v>1</v>
      </c>
    </row>
    <row r="1394" spans="91:102" ht="21" customHeight="1">
      <c r="CM1394" s="494"/>
      <c r="CN1394" s="496" t="s">
        <v>3837</v>
      </c>
      <c r="CO1394" s="496" t="s">
        <v>9</v>
      </c>
      <c r="CP1394" s="496" t="s">
        <v>689</v>
      </c>
      <c r="CQ1394" s="496" t="s">
        <v>135</v>
      </c>
      <c r="CR1394" s="496" t="s">
        <v>135</v>
      </c>
      <c r="CS1394" s="496" t="s">
        <v>1085</v>
      </c>
      <c r="CT1394" s="496" t="s">
        <v>3821</v>
      </c>
      <c r="CU1394" s="496" t="s">
        <v>1087</v>
      </c>
      <c r="CV1394" s="497" t="s">
        <v>1088</v>
      </c>
      <c r="CX1394" s="543">
        <v>1</v>
      </c>
    </row>
    <row r="1395" spans="91:102" ht="21" customHeight="1">
      <c r="CM1395" s="494"/>
      <c r="CN1395" s="496" t="s">
        <v>3838</v>
      </c>
      <c r="CO1395" s="496" t="s">
        <v>9</v>
      </c>
      <c r="CP1395" s="496" t="s">
        <v>689</v>
      </c>
      <c r="CQ1395" s="496" t="s">
        <v>3839</v>
      </c>
      <c r="CR1395" s="496" t="s">
        <v>166</v>
      </c>
      <c r="CS1395" s="496" t="s">
        <v>1085</v>
      </c>
      <c r="CT1395" s="496" t="s">
        <v>3821</v>
      </c>
      <c r="CU1395" s="496" t="s">
        <v>1087</v>
      </c>
      <c r="CV1395" s="497" t="s">
        <v>1088</v>
      </c>
      <c r="CX1395" s="543">
        <v>1</v>
      </c>
    </row>
    <row r="1396" spans="91:102" ht="21" customHeight="1">
      <c r="CM1396" s="494"/>
      <c r="CN1396" s="496" t="s">
        <v>3840</v>
      </c>
      <c r="CO1396" s="496" t="s">
        <v>9</v>
      </c>
      <c r="CP1396" s="496" t="s">
        <v>689</v>
      </c>
      <c r="CQ1396" s="496" t="s">
        <v>272</v>
      </c>
      <c r="CR1396" s="496" t="s">
        <v>272</v>
      </c>
      <c r="CS1396" s="496" t="s">
        <v>1085</v>
      </c>
      <c r="CT1396" s="496" t="s">
        <v>3821</v>
      </c>
      <c r="CU1396" s="496" t="s">
        <v>1087</v>
      </c>
      <c r="CV1396" s="497" t="s">
        <v>1088</v>
      </c>
      <c r="CX1396" s="543">
        <v>1</v>
      </c>
    </row>
    <row r="1397" spans="91:102" ht="21" customHeight="1">
      <c r="CM1397" s="494"/>
      <c r="CN1397" s="496" t="s">
        <v>3841</v>
      </c>
      <c r="CO1397" s="496" t="s">
        <v>9</v>
      </c>
      <c r="CP1397" s="496" t="s">
        <v>689</v>
      </c>
      <c r="CQ1397" s="496" t="s">
        <v>3842</v>
      </c>
      <c r="CR1397" s="496" t="s">
        <v>3842</v>
      </c>
      <c r="CS1397" s="496" t="s">
        <v>1151</v>
      </c>
      <c r="CT1397" s="496" t="s">
        <v>1152</v>
      </c>
      <c r="CU1397" s="496" t="s">
        <v>1087</v>
      </c>
      <c r="CV1397" s="497" t="s">
        <v>1153</v>
      </c>
      <c r="CX1397" s="543">
        <v>1</v>
      </c>
    </row>
    <row r="1398" spans="91:102" ht="21" customHeight="1">
      <c r="CM1398" s="494"/>
      <c r="CN1398" s="496" t="s">
        <v>3843</v>
      </c>
      <c r="CO1398" s="496" t="s">
        <v>9</v>
      </c>
      <c r="CP1398" s="496" t="s">
        <v>689</v>
      </c>
      <c r="CQ1398" s="496" t="s">
        <v>273</v>
      </c>
      <c r="CR1398" s="496" t="s">
        <v>273</v>
      </c>
      <c r="CS1398" s="496" t="s">
        <v>1085</v>
      </c>
      <c r="CT1398" s="496" t="s">
        <v>3821</v>
      </c>
      <c r="CU1398" s="496" t="s">
        <v>1087</v>
      </c>
      <c r="CV1398" s="497" t="s">
        <v>1088</v>
      </c>
      <c r="CX1398" s="543">
        <v>1</v>
      </c>
    </row>
    <row r="1399" spans="91:102" ht="21" customHeight="1">
      <c r="CM1399" s="494"/>
      <c r="CN1399" s="496" t="s">
        <v>3844</v>
      </c>
      <c r="CO1399" s="496" t="s">
        <v>9</v>
      </c>
      <c r="CP1399" s="496" t="s">
        <v>689</v>
      </c>
      <c r="CQ1399" s="496" t="s">
        <v>3845</v>
      </c>
      <c r="CR1399" s="496" t="s">
        <v>3846</v>
      </c>
      <c r="CS1399" s="496" t="s">
        <v>1085</v>
      </c>
      <c r="CT1399" s="496" t="s">
        <v>3821</v>
      </c>
      <c r="CU1399" s="496" t="s">
        <v>1087</v>
      </c>
      <c r="CV1399" s="497" t="s">
        <v>1088</v>
      </c>
      <c r="CX1399" s="543">
        <v>1</v>
      </c>
    </row>
    <row r="1400" spans="91:102" ht="21" customHeight="1">
      <c r="CM1400" s="494"/>
      <c r="CN1400" s="496" t="s">
        <v>3847</v>
      </c>
      <c r="CO1400" s="496" t="s">
        <v>9</v>
      </c>
      <c r="CP1400" s="496" t="s">
        <v>689</v>
      </c>
      <c r="CQ1400" s="496" t="s">
        <v>3848</v>
      </c>
      <c r="CR1400" s="496" t="s">
        <v>3849</v>
      </c>
      <c r="CS1400" s="496" t="s">
        <v>1085</v>
      </c>
      <c r="CT1400" s="496" t="s">
        <v>3821</v>
      </c>
      <c r="CU1400" s="496" t="s">
        <v>1087</v>
      </c>
      <c r="CV1400" s="497" t="s">
        <v>1088</v>
      </c>
      <c r="CX1400" s="543">
        <v>1</v>
      </c>
    </row>
    <row r="1401" spans="91:102" ht="21" customHeight="1">
      <c r="CM1401" s="494"/>
      <c r="CN1401" s="496" t="s">
        <v>3850</v>
      </c>
      <c r="CO1401" s="496" t="s">
        <v>9</v>
      </c>
      <c r="CP1401" s="496" t="s">
        <v>689</v>
      </c>
      <c r="CQ1401" s="496" t="s">
        <v>3851</v>
      </c>
      <c r="CR1401" s="496" t="s">
        <v>3851</v>
      </c>
      <c r="CS1401" s="496" t="s">
        <v>1085</v>
      </c>
      <c r="CT1401" s="496" t="s">
        <v>3821</v>
      </c>
      <c r="CU1401" s="496" t="s">
        <v>1087</v>
      </c>
      <c r="CV1401" s="497" t="s">
        <v>1088</v>
      </c>
      <c r="CX1401" s="543">
        <v>1</v>
      </c>
    </row>
    <row r="1402" spans="91:102" ht="21" customHeight="1">
      <c r="CM1402" s="494"/>
      <c r="CN1402" s="496" t="s">
        <v>3852</v>
      </c>
      <c r="CO1402" s="496" t="s">
        <v>9</v>
      </c>
      <c r="CP1402" s="496" t="s">
        <v>689</v>
      </c>
      <c r="CQ1402" s="496" t="s">
        <v>3853</v>
      </c>
      <c r="CR1402" s="496" t="s">
        <v>3854</v>
      </c>
      <c r="CS1402" s="496" t="s">
        <v>1085</v>
      </c>
      <c r="CT1402" s="496" t="s">
        <v>3821</v>
      </c>
      <c r="CU1402" s="496" t="s">
        <v>1087</v>
      </c>
      <c r="CV1402" s="497" t="s">
        <v>1088</v>
      </c>
      <c r="CX1402" s="543">
        <v>1</v>
      </c>
    </row>
    <row r="1403" spans="91:102" ht="21" customHeight="1">
      <c r="CM1403" s="494"/>
      <c r="CN1403" s="496" t="s">
        <v>3855</v>
      </c>
      <c r="CO1403" s="496" t="s">
        <v>9</v>
      </c>
      <c r="CP1403" s="496" t="s">
        <v>689</v>
      </c>
      <c r="CQ1403" s="496" t="s">
        <v>3856</v>
      </c>
      <c r="CR1403" s="496" t="s">
        <v>3857</v>
      </c>
      <c r="CS1403" s="496" t="s">
        <v>1085</v>
      </c>
      <c r="CT1403" s="496" t="s">
        <v>3821</v>
      </c>
      <c r="CU1403" s="496" t="s">
        <v>1087</v>
      </c>
      <c r="CV1403" s="497" t="s">
        <v>1088</v>
      </c>
      <c r="CX1403" s="543">
        <v>1</v>
      </c>
    </row>
    <row r="1404" spans="91:102" ht="21" customHeight="1">
      <c r="CM1404" s="494"/>
      <c r="CN1404" s="496" t="s">
        <v>3858</v>
      </c>
      <c r="CO1404" s="496" t="s">
        <v>9</v>
      </c>
      <c r="CP1404" s="496" t="s">
        <v>689</v>
      </c>
      <c r="CQ1404" s="496" t="s">
        <v>3859</v>
      </c>
      <c r="CR1404" s="496" t="s">
        <v>3859</v>
      </c>
      <c r="CS1404" s="496" t="s">
        <v>1085</v>
      </c>
      <c r="CT1404" s="496" t="s">
        <v>3821</v>
      </c>
      <c r="CU1404" s="496" t="s">
        <v>1087</v>
      </c>
      <c r="CV1404" s="497" t="s">
        <v>1088</v>
      </c>
      <c r="CX1404" s="543">
        <v>1</v>
      </c>
    </row>
    <row r="1405" spans="91:102" ht="21" customHeight="1">
      <c r="CM1405" s="494"/>
      <c r="CN1405" s="496" t="s">
        <v>3860</v>
      </c>
      <c r="CO1405" s="496" t="s">
        <v>10</v>
      </c>
      <c r="CP1405" s="496" t="s">
        <v>689</v>
      </c>
      <c r="CQ1405" s="496" t="s">
        <v>21</v>
      </c>
      <c r="CR1405" s="496" t="s">
        <v>21</v>
      </c>
      <c r="CS1405" s="496" t="s">
        <v>1085</v>
      </c>
      <c r="CT1405" s="496" t="s">
        <v>3861</v>
      </c>
      <c r="CU1405" s="496" t="s">
        <v>1087</v>
      </c>
      <c r="CV1405" s="497" t="s">
        <v>1088</v>
      </c>
      <c r="CX1405" s="543">
        <v>1</v>
      </c>
    </row>
    <row r="1406" spans="91:102" ht="21" customHeight="1">
      <c r="CM1406" s="494"/>
      <c r="CN1406" s="496" t="s">
        <v>3862</v>
      </c>
      <c r="CO1406" s="496" t="s">
        <v>10</v>
      </c>
      <c r="CP1406" s="496" t="s">
        <v>689</v>
      </c>
      <c r="CQ1406" s="496" t="s">
        <v>3863</v>
      </c>
      <c r="CR1406" s="496" t="s">
        <v>3864</v>
      </c>
      <c r="CS1406" s="496" t="s">
        <v>1085</v>
      </c>
      <c r="CT1406" s="496" t="s">
        <v>3861</v>
      </c>
      <c r="CU1406" s="496" t="s">
        <v>1087</v>
      </c>
      <c r="CV1406" s="497" t="s">
        <v>1088</v>
      </c>
      <c r="CX1406" s="543">
        <v>1</v>
      </c>
    </row>
    <row r="1407" spans="91:102" ht="21" customHeight="1">
      <c r="CM1407" s="494"/>
      <c r="CN1407" s="496" t="s">
        <v>3865</v>
      </c>
      <c r="CO1407" s="496" t="s">
        <v>10</v>
      </c>
      <c r="CP1407" s="496" t="s">
        <v>689</v>
      </c>
      <c r="CQ1407" s="496" t="s">
        <v>3866</v>
      </c>
      <c r="CR1407" s="496" t="s">
        <v>59</v>
      </c>
      <c r="CS1407" s="496" t="s">
        <v>1085</v>
      </c>
      <c r="CT1407" s="496" t="s">
        <v>3861</v>
      </c>
      <c r="CU1407" s="496" t="s">
        <v>1087</v>
      </c>
      <c r="CV1407" s="497" t="s">
        <v>1088</v>
      </c>
      <c r="CX1407" s="543">
        <v>1</v>
      </c>
    </row>
    <row r="1408" spans="91:102" ht="21" customHeight="1">
      <c r="CM1408" s="494"/>
      <c r="CN1408" s="496" t="s">
        <v>3867</v>
      </c>
      <c r="CO1408" s="496" t="s">
        <v>10</v>
      </c>
      <c r="CP1408" s="496" t="s">
        <v>689</v>
      </c>
      <c r="CQ1408" s="496" t="s">
        <v>3868</v>
      </c>
      <c r="CR1408" s="496" t="s">
        <v>3868</v>
      </c>
      <c r="CS1408" s="496" t="s">
        <v>1085</v>
      </c>
      <c r="CT1408" s="496" t="s">
        <v>3861</v>
      </c>
      <c r="CU1408" s="496" t="s">
        <v>1087</v>
      </c>
      <c r="CV1408" s="497" t="s">
        <v>1088</v>
      </c>
      <c r="CX1408" s="543">
        <v>1</v>
      </c>
    </row>
    <row r="1409" spans="91:102" ht="21" customHeight="1">
      <c r="CM1409" s="494"/>
      <c r="CN1409" s="496" t="s">
        <v>3869</v>
      </c>
      <c r="CO1409" s="496" t="s">
        <v>10</v>
      </c>
      <c r="CP1409" s="496" t="s">
        <v>689</v>
      </c>
      <c r="CQ1409" s="496" t="s">
        <v>3870</v>
      </c>
      <c r="CR1409" s="496" t="s">
        <v>3871</v>
      </c>
      <c r="CS1409" s="496" t="s">
        <v>1085</v>
      </c>
      <c r="CT1409" s="496" t="s">
        <v>3861</v>
      </c>
      <c r="CU1409" s="496" t="s">
        <v>1087</v>
      </c>
      <c r="CV1409" s="497" t="s">
        <v>1088</v>
      </c>
      <c r="CX1409" s="543">
        <v>1</v>
      </c>
    </row>
    <row r="1410" spans="91:102" ht="21" customHeight="1">
      <c r="CM1410" s="494"/>
      <c r="CN1410" s="496" t="s">
        <v>3872</v>
      </c>
      <c r="CO1410" s="496" t="s">
        <v>10</v>
      </c>
      <c r="CP1410" s="496" t="s">
        <v>689</v>
      </c>
      <c r="CQ1410" s="496" t="s">
        <v>95</v>
      </c>
      <c r="CR1410" s="496" t="s">
        <v>95</v>
      </c>
      <c r="CS1410" s="496" t="s">
        <v>1085</v>
      </c>
      <c r="CT1410" s="496" t="s">
        <v>3861</v>
      </c>
      <c r="CU1410" s="496" t="s">
        <v>1087</v>
      </c>
      <c r="CV1410" s="497" t="s">
        <v>1088</v>
      </c>
      <c r="CX1410" s="543">
        <v>1</v>
      </c>
    </row>
    <row r="1411" spans="91:102" ht="21" customHeight="1">
      <c r="CM1411" s="494"/>
      <c r="CN1411" s="496" t="s">
        <v>3873</v>
      </c>
      <c r="CO1411" s="496" t="s">
        <v>10</v>
      </c>
      <c r="CP1411" s="496" t="s">
        <v>689</v>
      </c>
      <c r="CQ1411" s="496" t="s">
        <v>109</v>
      </c>
      <c r="CR1411" s="496" t="s">
        <v>109</v>
      </c>
      <c r="CS1411" s="496" t="s">
        <v>1085</v>
      </c>
      <c r="CT1411" s="496" t="s">
        <v>3861</v>
      </c>
      <c r="CU1411" s="496" t="s">
        <v>1087</v>
      </c>
      <c r="CV1411" s="497" t="s">
        <v>1088</v>
      </c>
      <c r="CX1411" s="543">
        <v>1</v>
      </c>
    </row>
    <row r="1412" spans="91:102" ht="21" customHeight="1">
      <c r="CM1412" s="494"/>
      <c r="CN1412" s="496" t="s">
        <v>3874</v>
      </c>
      <c r="CO1412" s="496" t="s">
        <v>10</v>
      </c>
      <c r="CP1412" s="496" t="s">
        <v>689</v>
      </c>
      <c r="CQ1412" s="496" t="s">
        <v>3875</v>
      </c>
      <c r="CR1412" s="496" t="s">
        <v>3876</v>
      </c>
      <c r="CS1412" s="496" t="s">
        <v>1085</v>
      </c>
      <c r="CT1412" s="496" t="s">
        <v>3861</v>
      </c>
      <c r="CU1412" s="496" t="s">
        <v>1087</v>
      </c>
      <c r="CV1412" s="497" t="s">
        <v>1088</v>
      </c>
      <c r="CX1412" s="543">
        <v>1</v>
      </c>
    </row>
    <row r="1413" spans="91:102" ht="21" customHeight="1">
      <c r="CM1413" s="494"/>
      <c r="CN1413" s="496" t="s">
        <v>3877</v>
      </c>
      <c r="CO1413" s="496" t="s">
        <v>10</v>
      </c>
      <c r="CP1413" s="496" t="s">
        <v>689</v>
      </c>
      <c r="CQ1413" s="496" t="s">
        <v>3878</v>
      </c>
      <c r="CR1413" s="496" t="s">
        <v>3879</v>
      </c>
      <c r="CS1413" s="496" t="s">
        <v>1085</v>
      </c>
      <c r="CT1413" s="496" t="s">
        <v>3861</v>
      </c>
      <c r="CU1413" s="496" t="s">
        <v>1087</v>
      </c>
      <c r="CV1413" s="497" t="s">
        <v>1088</v>
      </c>
      <c r="CX1413" s="543">
        <v>1</v>
      </c>
    </row>
    <row r="1414" spans="91:102" ht="21" customHeight="1">
      <c r="CM1414" s="494"/>
      <c r="CN1414" s="496" t="s">
        <v>3880</v>
      </c>
      <c r="CO1414" s="496" t="s">
        <v>10</v>
      </c>
      <c r="CP1414" s="496" t="s">
        <v>689</v>
      </c>
      <c r="CQ1414" s="496" t="s">
        <v>3881</v>
      </c>
      <c r="CR1414" s="496" t="s">
        <v>3881</v>
      </c>
      <c r="CS1414" s="496" t="s">
        <v>1085</v>
      </c>
      <c r="CT1414" s="496" t="s">
        <v>3861</v>
      </c>
      <c r="CU1414" s="496" t="s">
        <v>1087</v>
      </c>
      <c r="CV1414" s="497" t="s">
        <v>1088</v>
      </c>
      <c r="CX1414" s="543">
        <v>1</v>
      </c>
    </row>
    <row r="1415" spans="91:102" ht="21" customHeight="1">
      <c r="CM1415" s="494"/>
      <c r="CN1415" s="496" t="s">
        <v>3882</v>
      </c>
      <c r="CO1415" s="496" t="s">
        <v>10</v>
      </c>
      <c r="CP1415" s="496" t="s">
        <v>689</v>
      </c>
      <c r="CQ1415" s="496" t="s">
        <v>155</v>
      </c>
      <c r="CR1415" s="496" t="s">
        <v>155</v>
      </c>
      <c r="CS1415" s="496" t="s">
        <v>1085</v>
      </c>
      <c r="CT1415" s="496" t="s">
        <v>3861</v>
      </c>
      <c r="CU1415" s="496" t="s">
        <v>1087</v>
      </c>
      <c r="CV1415" s="497" t="s">
        <v>1088</v>
      </c>
      <c r="CX1415" s="543">
        <v>1</v>
      </c>
    </row>
    <row r="1416" spans="91:102" ht="21" customHeight="1">
      <c r="CM1416" s="494"/>
      <c r="CN1416" s="496" t="s">
        <v>3883</v>
      </c>
      <c r="CO1416" s="496" t="s">
        <v>10</v>
      </c>
      <c r="CP1416" s="496" t="s">
        <v>689</v>
      </c>
      <c r="CQ1416" s="496" t="s">
        <v>3884</v>
      </c>
      <c r="CR1416" s="496" t="s">
        <v>3884</v>
      </c>
      <c r="CS1416" s="496" t="s">
        <v>1085</v>
      </c>
      <c r="CT1416" s="496" t="s">
        <v>3861</v>
      </c>
      <c r="CU1416" s="496" t="s">
        <v>1087</v>
      </c>
      <c r="CV1416" s="497" t="s">
        <v>1088</v>
      </c>
      <c r="CX1416" s="543">
        <v>1</v>
      </c>
    </row>
    <row r="1417" spans="91:102" ht="21" customHeight="1">
      <c r="CM1417" s="494"/>
      <c r="CN1417" s="496" t="s">
        <v>3885</v>
      </c>
      <c r="CO1417" s="496" t="s">
        <v>10</v>
      </c>
      <c r="CP1417" s="496" t="s">
        <v>689</v>
      </c>
      <c r="CQ1417" s="496" t="s">
        <v>175</v>
      </c>
      <c r="CR1417" s="496" t="s">
        <v>175</v>
      </c>
      <c r="CS1417" s="496" t="s">
        <v>1085</v>
      </c>
      <c r="CT1417" s="496" t="s">
        <v>3861</v>
      </c>
      <c r="CU1417" s="496" t="s">
        <v>1087</v>
      </c>
      <c r="CV1417" s="497" t="s">
        <v>1088</v>
      </c>
      <c r="CX1417" s="543">
        <v>1</v>
      </c>
    </row>
    <row r="1418" spans="91:102" ht="21" customHeight="1">
      <c r="CM1418" s="494"/>
      <c r="CN1418" s="496" t="s">
        <v>3886</v>
      </c>
      <c r="CO1418" s="496" t="s">
        <v>10</v>
      </c>
      <c r="CP1418" s="496" t="s">
        <v>689</v>
      </c>
      <c r="CQ1418" s="496" t="s">
        <v>3887</v>
      </c>
      <c r="CR1418" s="496" t="s">
        <v>184</v>
      </c>
      <c r="CS1418" s="496" t="s">
        <v>1085</v>
      </c>
      <c r="CT1418" s="496" t="s">
        <v>3861</v>
      </c>
      <c r="CU1418" s="496" t="s">
        <v>1087</v>
      </c>
      <c r="CV1418" s="497" t="s">
        <v>1088</v>
      </c>
      <c r="CX1418" s="543">
        <v>1</v>
      </c>
    </row>
    <row r="1419" spans="91:102" ht="21" customHeight="1">
      <c r="CM1419" s="494"/>
      <c r="CN1419" s="496" t="s">
        <v>3888</v>
      </c>
      <c r="CO1419" s="496" t="s">
        <v>10</v>
      </c>
      <c r="CP1419" s="496" t="s">
        <v>689</v>
      </c>
      <c r="CQ1419" s="496" t="s">
        <v>195</v>
      </c>
      <c r="CR1419" s="496" t="s">
        <v>195</v>
      </c>
      <c r="CS1419" s="496" t="s">
        <v>1085</v>
      </c>
      <c r="CT1419" s="496" t="s">
        <v>3861</v>
      </c>
      <c r="CU1419" s="496" t="s">
        <v>1087</v>
      </c>
      <c r="CV1419" s="497" t="s">
        <v>1088</v>
      </c>
      <c r="CX1419" s="543">
        <v>1</v>
      </c>
    </row>
    <row r="1420" spans="91:102" ht="21" customHeight="1">
      <c r="CM1420" s="494"/>
      <c r="CN1420" s="496" t="s">
        <v>3889</v>
      </c>
      <c r="CO1420" s="496" t="s">
        <v>10</v>
      </c>
      <c r="CP1420" s="496" t="s">
        <v>689</v>
      </c>
      <c r="CQ1420" s="496" t="s">
        <v>3890</v>
      </c>
      <c r="CR1420" s="496" t="s">
        <v>3890</v>
      </c>
      <c r="CS1420" s="496" t="s">
        <v>1085</v>
      </c>
      <c r="CT1420" s="496" t="s">
        <v>3861</v>
      </c>
      <c r="CU1420" s="496" t="s">
        <v>1087</v>
      </c>
      <c r="CV1420" s="497" t="s">
        <v>1088</v>
      </c>
      <c r="CX1420" s="543">
        <v>1</v>
      </c>
    </row>
    <row r="1421" spans="91:102" ht="21" customHeight="1">
      <c r="CM1421" s="494"/>
      <c r="CN1421" s="496" t="s">
        <v>3891</v>
      </c>
      <c r="CO1421" s="496" t="s">
        <v>10</v>
      </c>
      <c r="CP1421" s="496" t="s">
        <v>689</v>
      </c>
      <c r="CQ1421" s="496" t="s">
        <v>3892</v>
      </c>
      <c r="CR1421" s="496" t="s">
        <v>3892</v>
      </c>
      <c r="CS1421" s="496" t="s">
        <v>1085</v>
      </c>
      <c r="CT1421" s="496" t="s">
        <v>3861</v>
      </c>
      <c r="CU1421" s="496" t="s">
        <v>1087</v>
      </c>
      <c r="CV1421" s="497" t="s">
        <v>1088</v>
      </c>
      <c r="CX1421" s="543">
        <v>1</v>
      </c>
    </row>
    <row r="1422" spans="91:102" ht="21" customHeight="1">
      <c r="CM1422" s="494"/>
      <c r="CN1422" s="496" t="s">
        <v>3893</v>
      </c>
      <c r="CO1422" s="496" t="s">
        <v>10</v>
      </c>
      <c r="CP1422" s="496" t="s">
        <v>689</v>
      </c>
      <c r="CQ1422" s="496" t="s">
        <v>3894</v>
      </c>
      <c r="CR1422" s="496" t="s">
        <v>199</v>
      </c>
      <c r="CS1422" s="496" t="s">
        <v>1085</v>
      </c>
      <c r="CT1422" s="496" t="s">
        <v>3861</v>
      </c>
      <c r="CU1422" s="496" t="s">
        <v>1087</v>
      </c>
      <c r="CV1422" s="497" t="s">
        <v>1088</v>
      </c>
      <c r="CX1422" s="543">
        <v>1</v>
      </c>
    </row>
    <row r="1423" spans="91:102" ht="21" customHeight="1">
      <c r="CM1423" s="494"/>
      <c r="CN1423" s="496" t="s">
        <v>3895</v>
      </c>
      <c r="CO1423" s="496" t="s">
        <v>10</v>
      </c>
      <c r="CP1423" s="496" t="s">
        <v>689</v>
      </c>
      <c r="CQ1423" s="496" t="s">
        <v>3896</v>
      </c>
      <c r="CR1423" s="496" t="s">
        <v>3897</v>
      </c>
      <c r="CS1423" s="496" t="s">
        <v>1085</v>
      </c>
      <c r="CT1423" s="496" t="s">
        <v>3861</v>
      </c>
      <c r="CU1423" s="496" t="s">
        <v>1087</v>
      </c>
      <c r="CV1423" s="497" t="s">
        <v>1088</v>
      </c>
      <c r="CX1423" s="543">
        <v>1</v>
      </c>
    </row>
    <row r="1424" spans="91:102" ht="21" customHeight="1">
      <c r="CM1424" s="494"/>
      <c r="CN1424" s="496" t="s">
        <v>3898</v>
      </c>
      <c r="CO1424" s="496" t="s">
        <v>10</v>
      </c>
      <c r="CP1424" s="496" t="s">
        <v>689</v>
      </c>
      <c r="CQ1424" s="496" t="s">
        <v>3899</v>
      </c>
      <c r="CR1424" s="496" t="s">
        <v>205</v>
      </c>
      <c r="CS1424" s="496" t="s">
        <v>1085</v>
      </c>
      <c r="CT1424" s="496" t="s">
        <v>3861</v>
      </c>
      <c r="CU1424" s="496" t="s">
        <v>1087</v>
      </c>
      <c r="CV1424" s="497" t="s">
        <v>1088</v>
      </c>
      <c r="CX1424" s="543">
        <v>1</v>
      </c>
    </row>
    <row r="1425" spans="91:102" ht="21" customHeight="1">
      <c r="CM1425" s="494"/>
      <c r="CN1425" s="496" t="s">
        <v>3900</v>
      </c>
      <c r="CO1425" s="496" t="s">
        <v>10</v>
      </c>
      <c r="CP1425" s="496" t="s">
        <v>689</v>
      </c>
      <c r="CQ1425" s="496" t="s">
        <v>3901</v>
      </c>
      <c r="CR1425" s="496" t="s">
        <v>3902</v>
      </c>
      <c r="CS1425" s="496" t="s">
        <v>1085</v>
      </c>
      <c r="CT1425" s="496" t="s">
        <v>3861</v>
      </c>
      <c r="CU1425" s="496" t="s">
        <v>1087</v>
      </c>
      <c r="CV1425" s="497" t="s">
        <v>1088</v>
      </c>
      <c r="CX1425" s="543">
        <v>1</v>
      </c>
    </row>
    <row r="1426" spans="91:102" ht="21" customHeight="1">
      <c r="CM1426" s="494"/>
      <c r="CN1426" s="496" t="s">
        <v>3903</v>
      </c>
      <c r="CO1426" s="496" t="s">
        <v>10</v>
      </c>
      <c r="CP1426" s="496" t="s">
        <v>689</v>
      </c>
      <c r="CQ1426" s="496" t="s">
        <v>211</v>
      </c>
      <c r="CR1426" s="496" t="s">
        <v>211</v>
      </c>
      <c r="CS1426" s="496" t="s">
        <v>1085</v>
      </c>
      <c r="CT1426" s="496" t="s">
        <v>3861</v>
      </c>
      <c r="CU1426" s="496" t="s">
        <v>1087</v>
      </c>
      <c r="CV1426" s="497" t="s">
        <v>1088</v>
      </c>
      <c r="CX1426" s="543">
        <v>1</v>
      </c>
    </row>
    <row r="1427" spans="91:102" ht="21" customHeight="1">
      <c r="CM1427" s="494"/>
      <c r="CN1427" s="496" t="s">
        <v>3904</v>
      </c>
      <c r="CO1427" s="496" t="s">
        <v>10</v>
      </c>
      <c r="CP1427" s="496" t="s">
        <v>689</v>
      </c>
      <c r="CQ1427" s="496" t="s">
        <v>364</v>
      </c>
      <c r="CR1427" s="496" t="s">
        <v>364</v>
      </c>
      <c r="CS1427" s="496" t="s">
        <v>1085</v>
      </c>
      <c r="CT1427" s="496" t="s">
        <v>3861</v>
      </c>
      <c r="CU1427" s="496" t="s">
        <v>1087</v>
      </c>
      <c r="CV1427" s="497" t="s">
        <v>1088</v>
      </c>
      <c r="CX1427" s="543">
        <v>1</v>
      </c>
    </row>
    <row r="1428" spans="91:102" ht="21" customHeight="1">
      <c r="CM1428" s="494"/>
      <c r="CN1428" s="496" t="s">
        <v>3905</v>
      </c>
      <c r="CO1428" s="496" t="s">
        <v>10</v>
      </c>
      <c r="CP1428" s="496" t="s">
        <v>689</v>
      </c>
      <c r="CQ1428" s="496" t="s">
        <v>214</v>
      </c>
      <c r="CR1428" s="496" t="s">
        <v>214</v>
      </c>
      <c r="CS1428" s="496" t="s">
        <v>1085</v>
      </c>
      <c r="CT1428" s="496" t="s">
        <v>3861</v>
      </c>
      <c r="CU1428" s="496" t="s">
        <v>1087</v>
      </c>
      <c r="CV1428" s="497" t="s">
        <v>1088</v>
      </c>
      <c r="CX1428" s="543">
        <v>1</v>
      </c>
    </row>
    <row r="1429" spans="91:102" ht="21" customHeight="1">
      <c r="CM1429" s="494"/>
      <c r="CN1429" s="496" t="s">
        <v>3906</v>
      </c>
      <c r="CO1429" s="496" t="s">
        <v>10</v>
      </c>
      <c r="CP1429" s="496" t="s">
        <v>689</v>
      </c>
      <c r="CQ1429" s="496" t="s">
        <v>365</v>
      </c>
      <c r="CR1429" s="496" t="s">
        <v>365</v>
      </c>
      <c r="CS1429" s="496" t="s">
        <v>1151</v>
      </c>
      <c r="CT1429" s="496" t="s">
        <v>1152</v>
      </c>
      <c r="CU1429" s="496" t="s">
        <v>1087</v>
      </c>
      <c r="CV1429" s="497" t="s">
        <v>1153</v>
      </c>
      <c r="CX1429" s="543">
        <v>1</v>
      </c>
    </row>
    <row r="1430" spans="91:102" ht="21" customHeight="1">
      <c r="CM1430" s="494"/>
      <c r="CN1430" s="496" t="s">
        <v>3907</v>
      </c>
      <c r="CO1430" s="496" t="s">
        <v>10</v>
      </c>
      <c r="CP1430" s="496" t="s">
        <v>689</v>
      </c>
      <c r="CQ1430" s="496" t="s">
        <v>3908</v>
      </c>
      <c r="CR1430" s="496" t="s">
        <v>3908</v>
      </c>
      <c r="CS1430" s="496" t="s">
        <v>1151</v>
      </c>
      <c r="CT1430" s="496" t="s">
        <v>1152</v>
      </c>
      <c r="CU1430" s="496" t="s">
        <v>1087</v>
      </c>
      <c r="CV1430" s="497" t="s">
        <v>1153</v>
      </c>
      <c r="CX1430" s="543">
        <v>1</v>
      </c>
    </row>
    <row r="1431" spans="91:102" ht="21" customHeight="1">
      <c r="CM1431" s="494"/>
      <c r="CN1431" s="496" t="s">
        <v>3909</v>
      </c>
      <c r="CO1431" s="496" t="s">
        <v>10</v>
      </c>
      <c r="CP1431" s="496" t="s">
        <v>689</v>
      </c>
      <c r="CQ1431" s="496" t="s">
        <v>3910</v>
      </c>
      <c r="CR1431" s="496" t="s">
        <v>3910</v>
      </c>
      <c r="CS1431" s="496" t="s">
        <v>1151</v>
      </c>
      <c r="CT1431" s="496" t="s">
        <v>1152</v>
      </c>
      <c r="CU1431" s="496" t="s">
        <v>1087</v>
      </c>
      <c r="CV1431" s="497" t="s">
        <v>1153</v>
      </c>
      <c r="CX1431" s="543">
        <v>1</v>
      </c>
    </row>
    <row r="1432" spans="91:102" ht="21" customHeight="1">
      <c r="CM1432" s="494"/>
      <c r="CN1432" s="496" t="s">
        <v>3911</v>
      </c>
      <c r="CO1432" s="496" t="s">
        <v>10</v>
      </c>
      <c r="CP1432" s="496" t="s">
        <v>689</v>
      </c>
      <c r="CQ1432" s="496" t="s">
        <v>216</v>
      </c>
      <c r="CR1432" s="496" t="s">
        <v>216</v>
      </c>
      <c r="CS1432" s="496" t="s">
        <v>1085</v>
      </c>
      <c r="CT1432" s="496" t="s">
        <v>3861</v>
      </c>
      <c r="CU1432" s="496" t="s">
        <v>1087</v>
      </c>
      <c r="CV1432" s="497" t="s">
        <v>1088</v>
      </c>
      <c r="CX1432" s="543">
        <v>1</v>
      </c>
    </row>
    <row r="1433" spans="91:102" ht="21" customHeight="1">
      <c r="CM1433" s="494"/>
      <c r="CN1433" s="496" t="s">
        <v>3912</v>
      </c>
      <c r="CO1433" s="496" t="s">
        <v>10</v>
      </c>
      <c r="CP1433" s="496" t="s">
        <v>689</v>
      </c>
      <c r="CQ1433" s="496" t="s">
        <v>3913</v>
      </c>
      <c r="CR1433" s="496" t="s">
        <v>3913</v>
      </c>
      <c r="CS1433" s="496" t="s">
        <v>1151</v>
      </c>
      <c r="CT1433" s="496" t="s">
        <v>1152</v>
      </c>
      <c r="CU1433" s="496" t="s">
        <v>1087</v>
      </c>
      <c r="CV1433" s="497" t="s">
        <v>1153</v>
      </c>
      <c r="CX1433" s="543">
        <v>1</v>
      </c>
    </row>
    <row r="1434" spans="91:102" ht="21" customHeight="1">
      <c r="CM1434" s="494"/>
      <c r="CN1434" s="496" t="s">
        <v>3914</v>
      </c>
      <c r="CO1434" s="496" t="s">
        <v>10</v>
      </c>
      <c r="CP1434" s="496" t="s">
        <v>689</v>
      </c>
      <c r="CQ1434" s="496" t="s">
        <v>366</v>
      </c>
      <c r="CR1434" s="496" t="s">
        <v>366</v>
      </c>
      <c r="CS1434" s="496" t="s">
        <v>1151</v>
      </c>
      <c r="CT1434" s="496" t="s">
        <v>1152</v>
      </c>
      <c r="CU1434" s="496" t="s">
        <v>1087</v>
      </c>
      <c r="CV1434" s="497" t="s">
        <v>1153</v>
      </c>
      <c r="CX1434" s="543">
        <v>1</v>
      </c>
    </row>
    <row r="1435" spans="91:102" ht="21" customHeight="1">
      <c r="CM1435" s="494"/>
      <c r="CN1435" s="496" t="s">
        <v>3915</v>
      </c>
      <c r="CO1435" s="496" t="s">
        <v>10</v>
      </c>
      <c r="CP1435" s="496" t="s">
        <v>689</v>
      </c>
      <c r="CQ1435" s="496" t="s">
        <v>3916</v>
      </c>
      <c r="CR1435" s="496" t="s">
        <v>3916</v>
      </c>
      <c r="CS1435" s="496" t="s">
        <v>1151</v>
      </c>
      <c r="CT1435" s="496" t="s">
        <v>1152</v>
      </c>
      <c r="CU1435" s="496" t="s">
        <v>1087</v>
      </c>
      <c r="CV1435" s="497" t="s">
        <v>1153</v>
      </c>
      <c r="CX1435" s="543">
        <v>1</v>
      </c>
    </row>
    <row r="1436" spans="91:102" ht="21" customHeight="1">
      <c r="CM1436" s="494"/>
      <c r="CN1436" s="496" t="s">
        <v>3917</v>
      </c>
      <c r="CO1436" s="496" t="s">
        <v>10</v>
      </c>
      <c r="CP1436" s="496" t="s">
        <v>689</v>
      </c>
      <c r="CQ1436" s="496" t="s">
        <v>367</v>
      </c>
      <c r="CR1436" s="496" t="s">
        <v>367</v>
      </c>
      <c r="CS1436" s="496" t="s">
        <v>1085</v>
      </c>
      <c r="CT1436" s="496" t="s">
        <v>3861</v>
      </c>
      <c r="CU1436" s="496" t="s">
        <v>1087</v>
      </c>
      <c r="CV1436" s="497" t="s">
        <v>1088</v>
      </c>
      <c r="CX1436" s="543">
        <v>1</v>
      </c>
    </row>
    <row r="1437" spans="91:102" ht="21" customHeight="1">
      <c r="CM1437" s="494"/>
      <c r="CN1437" s="496" t="s">
        <v>3918</v>
      </c>
      <c r="CO1437" s="496" t="s">
        <v>10</v>
      </c>
      <c r="CP1437" s="496" t="s">
        <v>689</v>
      </c>
      <c r="CQ1437" s="496" t="s">
        <v>218</v>
      </c>
      <c r="CR1437" s="496" t="s">
        <v>218</v>
      </c>
      <c r="CS1437" s="496" t="s">
        <v>1085</v>
      </c>
      <c r="CT1437" s="496" t="s">
        <v>3861</v>
      </c>
      <c r="CU1437" s="496" t="s">
        <v>1087</v>
      </c>
      <c r="CV1437" s="497" t="s">
        <v>1088</v>
      </c>
      <c r="CX1437" s="543">
        <v>1</v>
      </c>
    </row>
    <row r="1438" spans="91:102" ht="21" customHeight="1">
      <c r="CM1438" s="494"/>
      <c r="CN1438" s="496" t="s">
        <v>3919</v>
      </c>
      <c r="CO1438" s="496" t="s">
        <v>10</v>
      </c>
      <c r="CP1438" s="496" t="s">
        <v>689</v>
      </c>
      <c r="CQ1438" s="496" t="s">
        <v>3920</v>
      </c>
      <c r="CR1438" s="496" t="s">
        <v>3920</v>
      </c>
      <c r="CS1438" s="496" t="s">
        <v>1085</v>
      </c>
      <c r="CT1438" s="496" t="s">
        <v>3861</v>
      </c>
      <c r="CU1438" s="496" t="s">
        <v>1087</v>
      </c>
      <c r="CV1438" s="497" t="s">
        <v>1088</v>
      </c>
      <c r="CX1438" s="543">
        <v>1</v>
      </c>
    </row>
    <row r="1439" spans="91:102" ht="21" customHeight="1">
      <c r="CM1439" s="494"/>
      <c r="CN1439" s="496" t="s">
        <v>3921</v>
      </c>
      <c r="CO1439" s="496" t="s">
        <v>10</v>
      </c>
      <c r="CP1439" s="496" t="s">
        <v>689</v>
      </c>
      <c r="CQ1439" s="496" t="s">
        <v>220</v>
      </c>
      <c r="CR1439" s="496" t="s">
        <v>220</v>
      </c>
      <c r="CS1439" s="496" t="s">
        <v>1085</v>
      </c>
      <c r="CT1439" s="496" t="s">
        <v>3861</v>
      </c>
      <c r="CU1439" s="496" t="s">
        <v>1087</v>
      </c>
      <c r="CV1439" s="497" t="s">
        <v>1088</v>
      </c>
      <c r="CX1439" s="543">
        <v>1</v>
      </c>
    </row>
    <row r="1440" spans="91:102" ht="21" customHeight="1">
      <c r="CM1440" s="494"/>
      <c r="CN1440" s="496" t="s">
        <v>3922</v>
      </c>
      <c r="CO1440" s="496" t="s">
        <v>10</v>
      </c>
      <c r="CP1440" s="496" t="s">
        <v>689</v>
      </c>
      <c r="CQ1440" s="496" t="s">
        <v>3923</v>
      </c>
      <c r="CR1440" s="496" t="s">
        <v>3924</v>
      </c>
      <c r="CS1440" s="496" t="s">
        <v>1085</v>
      </c>
      <c r="CT1440" s="496" t="s">
        <v>3861</v>
      </c>
      <c r="CU1440" s="496" t="s">
        <v>1087</v>
      </c>
      <c r="CV1440" s="497" t="s">
        <v>1088</v>
      </c>
      <c r="CX1440" s="543">
        <v>1</v>
      </c>
    </row>
    <row r="1441" spans="91:102" ht="21" customHeight="1">
      <c r="CM1441" s="494"/>
      <c r="CN1441" s="496" t="s">
        <v>3925</v>
      </c>
      <c r="CO1441" s="496" t="s">
        <v>10</v>
      </c>
      <c r="CP1441" s="496" t="s">
        <v>689</v>
      </c>
      <c r="CQ1441" s="496" t="s">
        <v>3926</v>
      </c>
      <c r="CR1441" s="496" t="s">
        <v>3926</v>
      </c>
      <c r="CS1441" s="496" t="s">
        <v>1085</v>
      </c>
      <c r="CT1441" s="496" t="s">
        <v>3861</v>
      </c>
      <c r="CU1441" s="496" t="s">
        <v>1087</v>
      </c>
      <c r="CV1441" s="497" t="s">
        <v>1088</v>
      </c>
      <c r="CX1441" s="543">
        <v>1</v>
      </c>
    </row>
    <row r="1442" spans="91:102" ht="21" customHeight="1">
      <c r="CM1442" s="494"/>
      <c r="CN1442" s="496" t="s">
        <v>3927</v>
      </c>
      <c r="CO1442" s="496" t="s">
        <v>10</v>
      </c>
      <c r="CP1442" s="496" t="s">
        <v>689</v>
      </c>
      <c r="CQ1442" s="496" t="s">
        <v>3928</v>
      </c>
      <c r="CR1442" s="496" t="s">
        <v>3928</v>
      </c>
      <c r="CS1442" s="496" t="s">
        <v>1085</v>
      </c>
      <c r="CT1442" s="496" t="s">
        <v>3861</v>
      </c>
      <c r="CU1442" s="496" t="s">
        <v>1087</v>
      </c>
      <c r="CV1442" s="497" t="s">
        <v>1088</v>
      </c>
      <c r="CX1442" s="543">
        <v>1</v>
      </c>
    </row>
    <row r="1443" spans="91:102" ht="21" customHeight="1">
      <c r="CM1443" s="494"/>
      <c r="CN1443" s="496" t="s">
        <v>3929</v>
      </c>
      <c r="CO1443" s="496" t="s">
        <v>10</v>
      </c>
      <c r="CP1443" s="496" t="s">
        <v>690</v>
      </c>
      <c r="CQ1443" s="496" t="s">
        <v>3930</v>
      </c>
      <c r="CR1443" s="496" t="s">
        <v>32</v>
      </c>
      <c r="CS1443" s="496" t="s">
        <v>1085</v>
      </c>
      <c r="CT1443" s="496" t="s">
        <v>3931</v>
      </c>
      <c r="CU1443" s="496" t="s">
        <v>1087</v>
      </c>
      <c r="CV1443" s="497" t="s">
        <v>1088</v>
      </c>
      <c r="CX1443" s="543">
        <v>1</v>
      </c>
    </row>
    <row r="1444" spans="91:102" ht="21" customHeight="1">
      <c r="CM1444" s="494"/>
      <c r="CN1444" s="496" t="s">
        <v>3932</v>
      </c>
      <c r="CO1444" s="496" t="s">
        <v>10</v>
      </c>
      <c r="CP1444" s="496" t="s">
        <v>690</v>
      </c>
      <c r="CQ1444" s="496" t="s">
        <v>3933</v>
      </c>
      <c r="CR1444" s="496" t="s">
        <v>22</v>
      </c>
      <c r="CS1444" s="496" t="s">
        <v>1085</v>
      </c>
      <c r="CT1444" s="496" t="s">
        <v>3931</v>
      </c>
      <c r="CU1444" s="496" t="s">
        <v>1087</v>
      </c>
      <c r="CV1444" s="497" t="s">
        <v>1088</v>
      </c>
      <c r="CX1444" s="543">
        <v>1</v>
      </c>
    </row>
    <row r="1445" spans="91:102" ht="21" customHeight="1">
      <c r="CM1445" s="494"/>
      <c r="CN1445" s="496" t="s">
        <v>3934</v>
      </c>
      <c r="CO1445" s="496" t="s">
        <v>10</v>
      </c>
      <c r="CP1445" s="496" t="s">
        <v>1511</v>
      </c>
      <c r="CQ1445" s="496" t="s">
        <v>3935</v>
      </c>
      <c r="CR1445" s="496" t="s">
        <v>3935</v>
      </c>
      <c r="CS1445" s="496" t="s">
        <v>1085</v>
      </c>
      <c r="CT1445" s="496" t="s">
        <v>3799</v>
      </c>
      <c r="CU1445" s="496" t="s">
        <v>1087</v>
      </c>
      <c r="CV1445" s="497" t="s">
        <v>1088</v>
      </c>
      <c r="CX1445" s="543">
        <v>1</v>
      </c>
    </row>
    <row r="1446" spans="91:102" ht="21" customHeight="1">
      <c r="CM1446" s="494"/>
      <c r="CN1446" s="496" t="s">
        <v>3936</v>
      </c>
      <c r="CO1446" s="496" t="s">
        <v>10</v>
      </c>
      <c r="CP1446" s="496" t="s">
        <v>1511</v>
      </c>
      <c r="CQ1446" s="496" t="s">
        <v>3937</v>
      </c>
      <c r="CR1446" s="496" t="s">
        <v>3937</v>
      </c>
      <c r="CS1446" s="496" t="s">
        <v>1085</v>
      </c>
      <c r="CT1446" s="496" t="s">
        <v>3799</v>
      </c>
      <c r="CU1446" s="496" t="s">
        <v>1087</v>
      </c>
      <c r="CV1446" s="497" t="s">
        <v>1088</v>
      </c>
      <c r="CX1446" s="543">
        <v>1</v>
      </c>
    </row>
    <row r="1447" spans="91:102" ht="21" customHeight="1">
      <c r="CM1447" s="494"/>
      <c r="CN1447" s="496" t="s">
        <v>3938</v>
      </c>
      <c r="CO1447" s="496" t="s">
        <v>10</v>
      </c>
      <c r="CP1447" s="496" t="s">
        <v>1511</v>
      </c>
      <c r="CQ1447" s="496" t="s">
        <v>3939</v>
      </c>
      <c r="CR1447" s="496" t="s">
        <v>3939</v>
      </c>
      <c r="CS1447" s="496" t="s">
        <v>1085</v>
      </c>
      <c r="CT1447" s="496" t="s">
        <v>3799</v>
      </c>
      <c r="CU1447" s="496" t="s">
        <v>1087</v>
      </c>
      <c r="CV1447" s="497" t="s">
        <v>1088</v>
      </c>
      <c r="CX1447" s="543">
        <v>1</v>
      </c>
    </row>
    <row r="1448" spans="91:102" ht="21" customHeight="1">
      <c r="CM1448" s="494"/>
      <c r="CN1448" s="496" t="s">
        <v>3940</v>
      </c>
      <c r="CO1448" s="496" t="s">
        <v>10</v>
      </c>
      <c r="CP1448" s="496" t="s">
        <v>1511</v>
      </c>
      <c r="CQ1448" s="496" t="s">
        <v>1529</v>
      </c>
      <c r="CR1448" s="496" t="s">
        <v>1529</v>
      </c>
      <c r="CS1448" s="496" t="s">
        <v>1085</v>
      </c>
      <c r="CT1448" s="496" t="s">
        <v>3799</v>
      </c>
      <c r="CU1448" s="496" t="s">
        <v>1087</v>
      </c>
      <c r="CV1448" s="497" t="s">
        <v>1088</v>
      </c>
      <c r="CX1448" s="543">
        <v>1</v>
      </c>
    </row>
    <row r="1449" spans="91:102" ht="21" customHeight="1">
      <c r="CM1449" s="494"/>
      <c r="CN1449" s="496" t="s">
        <v>3941</v>
      </c>
      <c r="CO1449" s="496" t="s">
        <v>10</v>
      </c>
      <c r="CP1449" s="496" t="s">
        <v>1511</v>
      </c>
      <c r="CQ1449" s="496" t="s">
        <v>3942</v>
      </c>
      <c r="CR1449" s="496" t="s">
        <v>3943</v>
      </c>
      <c r="CS1449" s="496" t="s">
        <v>1085</v>
      </c>
      <c r="CT1449" s="496" t="s">
        <v>3799</v>
      </c>
      <c r="CU1449" s="496" t="s">
        <v>1087</v>
      </c>
      <c r="CV1449" s="497" t="s">
        <v>1088</v>
      </c>
      <c r="CX1449" s="543">
        <v>1</v>
      </c>
    </row>
    <row r="1450" spans="91:102" ht="21" customHeight="1">
      <c r="CM1450" s="494"/>
      <c r="CN1450" s="496" t="s">
        <v>3944</v>
      </c>
      <c r="CO1450" s="496" t="s">
        <v>10</v>
      </c>
      <c r="CP1450" s="496" t="s">
        <v>1511</v>
      </c>
      <c r="CQ1450" s="496" t="s">
        <v>3945</v>
      </c>
      <c r="CR1450" s="496" t="s">
        <v>3945</v>
      </c>
      <c r="CS1450" s="496" t="s">
        <v>1085</v>
      </c>
      <c r="CT1450" s="496" t="s">
        <v>3799</v>
      </c>
      <c r="CU1450" s="496" t="s">
        <v>1087</v>
      </c>
      <c r="CV1450" s="497" t="s">
        <v>1088</v>
      </c>
      <c r="CX1450" s="543">
        <v>1</v>
      </c>
    </row>
    <row r="1451" spans="91:102" ht="21" customHeight="1">
      <c r="CM1451" s="494"/>
      <c r="CN1451" s="496" t="s">
        <v>3946</v>
      </c>
      <c r="CO1451" s="496" t="s">
        <v>10</v>
      </c>
      <c r="CP1451" s="496" t="s">
        <v>1511</v>
      </c>
      <c r="CQ1451" s="496" t="s">
        <v>3947</v>
      </c>
      <c r="CR1451" s="496" t="s">
        <v>3948</v>
      </c>
      <c r="CS1451" s="496" t="s">
        <v>1085</v>
      </c>
      <c r="CT1451" s="496" t="s">
        <v>3799</v>
      </c>
      <c r="CU1451" s="496" t="s">
        <v>1087</v>
      </c>
      <c r="CV1451" s="497" t="s">
        <v>1088</v>
      </c>
      <c r="CX1451" s="543">
        <v>1</v>
      </c>
    </row>
    <row r="1452" spans="91:102" ht="21" customHeight="1">
      <c r="CM1452" s="494"/>
      <c r="CN1452" s="496" t="s">
        <v>3949</v>
      </c>
      <c r="CO1452" s="496" t="s">
        <v>10</v>
      </c>
      <c r="CP1452" s="496" t="s">
        <v>1511</v>
      </c>
      <c r="CQ1452" s="496" t="s">
        <v>3950</v>
      </c>
      <c r="CR1452" s="496" t="s">
        <v>3950</v>
      </c>
      <c r="CS1452" s="496" t="s">
        <v>1085</v>
      </c>
      <c r="CT1452" s="496" t="s">
        <v>3799</v>
      </c>
      <c r="CU1452" s="496" t="s">
        <v>1087</v>
      </c>
      <c r="CV1452" s="497" t="s">
        <v>1088</v>
      </c>
      <c r="CX1452" s="543">
        <v>1</v>
      </c>
    </row>
    <row r="1453" spans="91:102" ht="21" customHeight="1">
      <c r="CM1453" s="494"/>
      <c r="CN1453" s="496" t="s">
        <v>3951</v>
      </c>
      <c r="CO1453" s="496" t="s">
        <v>10</v>
      </c>
      <c r="CP1453" s="496" t="s">
        <v>1511</v>
      </c>
      <c r="CQ1453" s="496" t="s">
        <v>3952</v>
      </c>
      <c r="CR1453" s="496" t="s">
        <v>3952</v>
      </c>
      <c r="CS1453" s="496" t="s">
        <v>1085</v>
      </c>
      <c r="CT1453" s="496" t="s">
        <v>3799</v>
      </c>
      <c r="CU1453" s="496" t="s">
        <v>1087</v>
      </c>
      <c r="CV1453" s="497" t="s">
        <v>1088</v>
      </c>
      <c r="CX1453" s="543">
        <v>1</v>
      </c>
    </row>
    <row r="1454" spans="91:102" ht="21" customHeight="1">
      <c r="CM1454" s="494"/>
      <c r="CN1454" s="496" t="s">
        <v>3953</v>
      </c>
      <c r="CO1454" s="496" t="s">
        <v>10</v>
      </c>
      <c r="CP1454" s="496" t="s">
        <v>1511</v>
      </c>
      <c r="CQ1454" s="496" t="s">
        <v>3954</v>
      </c>
      <c r="CR1454" s="496" t="s">
        <v>3954</v>
      </c>
      <c r="CS1454" s="496" t="s">
        <v>1085</v>
      </c>
      <c r="CT1454" s="496" t="s">
        <v>3799</v>
      </c>
      <c r="CU1454" s="496" t="s">
        <v>1087</v>
      </c>
      <c r="CV1454" s="497" t="s">
        <v>1088</v>
      </c>
      <c r="CX1454" s="543">
        <v>1</v>
      </c>
    </row>
    <row r="1455" spans="91:102" ht="21" customHeight="1">
      <c r="CM1455" s="494"/>
      <c r="CN1455" s="496" t="s">
        <v>3955</v>
      </c>
      <c r="CO1455" s="496" t="s">
        <v>10</v>
      </c>
      <c r="CP1455" s="496" t="s">
        <v>1511</v>
      </c>
      <c r="CQ1455" s="496" t="s">
        <v>3956</v>
      </c>
      <c r="CR1455" s="496" t="s">
        <v>3956</v>
      </c>
      <c r="CS1455" s="496" t="s">
        <v>1085</v>
      </c>
      <c r="CT1455" s="496" t="s">
        <v>3799</v>
      </c>
      <c r="CU1455" s="496" t="s">
        <v>1087</v>
      </c>
      <c r="CV1455" s="497" t="s">
        <v>1088</v>
      </c>
      <c r="CX1455" s="543">
        <v>1</v>
      </c>
    </row>
    <row r="1456" spans="91:102" ht="21" customHeight="1">
      <c r="CM1456" s="494"/>
      <c r="CN1456" s="496" t="s">
        <v>3957</v>
      </c>
      <c r="CO1456" s="496" t="s">
        <v>11</v>
      </c>
      <c r="CP1456" s="496" t="s">
        <v>689</v>
      </c>
      <c r="CQ1456" s="496" t="s">
        <v>3958</v>
      </c>
      <c r="CR1456" s="496" t="s">
        <v>3958</v>
      </c>
      <c r="CS1456" s="496" t="s">
        <v>3959</v>
      </c>
      <c r="CT1456" s="496" t="s">
        <v>3960</v>
      </c>
      <c r="CU1456" s="496" t="s">
        <v>3961</v>
      </c>
      <c r="CV1456" s="497" t="s">
        <v>3962</v>
      </c>
      <c r="CX1456" s="543">
        <v>1</v>
      </c>
    </row>
    <row r="1457" spans="91:102" ht="21" customHeight="1">
      <c r="CM1457" s="494"/>
      <c r="CN1457" s="496" t="s">
        <v>3963</v>
      </c>
      <c r="CO1457" s="496" t="s">
        <v>11</v>
      </c>
      <c r="CP1457" s="496" t="s">
        <v>689</v>
      </c>
      <c r="CQ1457" s="496" t="s">
        <v>3964</v>
      </c>
      <c r="CR1457" s="496" t="s">
        <v>3964</v>
      </c>
      <c r="CS1457" s="496" t="s">
        <v>3959</v>
      </c>
      <c r="CT1457" s="496" t="s">
        <v>3960</v>
      </c>
      <c r="CU1457" s="496" t="s">
        <v>3961</v>
      </c>
      <c r="CV1457" s="497" t="s">
        <v>3962</v>
      </c>
      <c r="CX1457" s="543">
        <v>1</v>
      </c>
    </row>
    <row r="1458" spans="91:102" ht="21" customHeight="1">
      <c r="CM1458" s="494"/>
      <c r="CN1458" s="496" t="s">
        <v>3965</v>
      </c>
      <c r="CO1458" s="496" t="s">
        <v>11</v>
      </c>
      <c r="CP1458" s="496" t="s">
        <v>689</v>
      </c>
      <c r="CQ1458" s="496" t="s">
        <v>3966</v>
      </c>
      <c r="CR1458" s="496" t="s">
        <v>3966</v>
      </c>
      <c r="CS1458" s="496" t="s">
        <v>3959</v>
      </c>
      <c r="CT1458" s="496" t="s">
        <v>3960</v>
      </c>
      <c r="CU1458" s="496" t="s">
        <v>3961</v>
      </c>
      <c r="CV1458" s="497" t="s">
        <v>3962</v>
      </c>
      <c r="CX1458" s="543">
        <v>1</v>
      </c>
    </row>
    <row r="1459" spans="91:102" ht="21" customHeight="1">
      <c r="CM1459" s="494"/>
      <c r="CN1459" s="496" t="s">
        <v>3967</v>
      </c>
      <c r="CO1459" s="496" t="s">
        <v>11</v>
      </c>
      <c r="CP1459" s="496" t="s">
        <v>689</v>
      </c>
      <c r="CQ1459" s="496" t="s">
        <v>3968</v>
      </c>
      <c r="CR1459" s="496" t="s">
        <v>3968</v>
      </c>
      <c r="CS1459" s="496" t="s">
        <v>3959</v>
      </c>
      <c r="CT1459" s="496" t="s">
        <v>3960</v>
      </c>
      <c r="CU1459" s="496" t="s">
        <v>3961</v>
      </c>
      <c r="CV1459" s="497" t="s">
        <v>3962</v>
      </c>
      <c r="CX1459" s="543">
        <v>1</v>
      </c>
    </row>
    <row r="1460" spans="91:102" ht="21" customHeight="1">
      <c r="CM1460" s="494"/>
      <c r="CN1460" s="496" t="s">
        <v>3969</v>
      </c>
      <c r="CO1460" s="496" t="s">
        <v>11</v>
      </c>
      <c r="CP1460" s="496" t="s">
        <v>689</v>
      </c>
      <c r="CQ1460" s="496" t="s">
        <v>3970</v>
      </c>
      <c r="CR1460" s="496" t="s">
        <v>3970</v>
      </c>
      <c r="CS1460" s="496" t="s">
        <v>3959</v>
      </c>
      <c r="CT1460" s="496" t="s">
        <v>3960</v>
      </c>
      <c r="CU1460" s="496" t="s">
        <v>3961</v>
      </c>
      <c r="CV1460" s="497" t="s">
        <v>3962</v>
      </c>
      <c r="CX1460" s="543">
        <v>1</v>
      </c>
    </row>
    <row r="1461" spans="91:102" ht="21" customHeight="1">
      <c r="CM1461" s="494"/>
      <c r="CN1461" s="496" t="s">
        <v>3971</v>
      </c>
      <c r="CO1461" s="496" t="s">
        <v>11</v>
      </c>
      <c r="CP1461" s="496" t="s">
        <v>689</v>
      </c>
      <c r="CQ1461" s="496" t="s">
        <v>3972</v>
      </c>
      <c r="CR1461" s="496" t="s">
        <v>3972</v>
      </c>
      <c r="CS1461" s="496" t="s">
        <v>3959</v>
      </c>
      <c r="CT1461" s="496" t="s">
        <v>3960</v>
      </c>
      <c r="CU1461" s="496" t="s">
        <v>3961</v>
      </c>
      <c r="CV1461" s="497" t="s">
        <v>3962</v>
      </c>
      <c r="CX1461" s="543">
        <v>1</v>
      </c>
    </row>
    <row r="1462" spans="91:102" ht="21" customHeight="1">
      <c r="CM1462" s="494"/>
      <c r="CN1462" s="496" t="s">
        <v>3973</v>
      </c>
      <c r="CO1462" s="496" t="s">
        <v>11</v>
      </c>
      <c r="CP1462" s="496" t="s">
        <v>689</v>
      </c>
      <c r="CQ1462" s="496" t="s">
        <v>322</v>
      </c>
      <c r="CR1462" s="496" t="s">
        <v>322</v>
      </c>
      <c r="CS1462" s="496" t="s">
        <v>1085</v>
      </c>
      <c r="CT1462" s="496" t="s">
        <v>3974</v>
      </c>
      <c r="CU1462" s="496" t="s">
        <v>1087</v>
      </c>
      <c r="CV1462" s="497" t="s">
        <v>1088</v>
      </c>
      <c r="CX1462" s="543">
        <v>1</v>
      </c>
    </row>
    <row r="1463" spans="91:102" ht="21" customHeight="1">
      <c r="CM1463" s="494"/>
      <c r="CN1463" s="496" t="s">
        <v>3975</v>
      </c>
      <c r="CO1463" s="496" t="s">
        <v>11</v>
      </c>
      <c r="CP1463" s="496" t="s">
        <v>689</v>
      </c>
      <c r="CQ1463" s="496" t="s">
        <v>935</v>
      </c>
      <c r="CR1463" s="496" t="s">
        <v>935</v>
      </c>
      <c r="CS1463" s="496" t="s">
        <v>3959</v>
      </c>
      <c r="CT1463" s="496" t="s">
        <v>3960</v>
      </c>
      <c r="CU1463" s="496" t="s">
        <v>3961</v>
      </c>
      <c r="CV1463" s="497" t="s">
        <v>3962</v>
      </c>
      <c r="CX1463" s="543">
        <v>1</v>
      </c>
    </row>
    <row r="1464" spans="91:102" ht="21" customHeight="1">
      <c r="CM1464" s="494"/>
      <c r="CN1464" s="496" t="s">
        <v>3976</v>
      </c>
      <c r="CO1464" s="496" t="s">
        <v>11</v>
      </c>
      <c r="CP1464" s="496" t="s">
        <v>689</v>
      </c>
      <c r="CQ1464" s="496" t="s">
        <v>3977</v>
      </c>
      <c r="CR1464" s="496" t="s">
        <v>3977</v>
      </c>
      <c r="CS1464" s="496" t="s">
        <v>1151</v>
      </c>
      <c r="CT1464" s="496" t="s">
        <v>1152</v>
      </c>
      <c r="CU1464" s="496" t="s">
        <v>1087</v>
      </c>
      <c r="CV1464" s="497" t="s">
        <v>1153</v>
      </c>
      <c r="CX1464" s="543">
        <v>1</v>
      </c>
    </row>
    <row r="1465" spans="91:102" ht="21" customHeight="1">
      <c r="CM1465" s="494"/>
      <c r="CN1465" s="496" t="s">
        <v>3978</v>
      </c>
      <c r="CO1465" s="496" t="s">
        <v>11</v>
      </c>
      <c r="CP1465" s="496" t="s">
        <v>689</v>
      </c>
      <c r="CQ1465" s="496" t="s">
        <v>3979</v>
      </c>
      <c r="CR1465" s="496" t="s">
        <v>3979</v>
      </c>
      <c r="CS1465" s="496" t="s">
        <v>3959</v>
      </c>
      <c r="CT1465" s="496" t="s">
        <v>3960</v>
      </c>
      <c r="CU1465" s="496" t="s">
        <v>3961</v>
      </c>
      <c r="CV1465" s="497" t="s">
        <v>3962</v>
      </c>
      <c r="CX1465" s="543">
        <v>1</v>
      </c>
    </row>
    <row r="1466" spans="91:102" ht="21" customHeight="1">
      <c r="CM1466" s="494"/>
      <c r="CN1466" s="496" t="s">
        <v>3980</v>
      </c>
      <c r="CO1466" s="496" t="s">
        <v>11</v>
      </c>
      <c r="CP1466" s="496" t="s">
        <v>689</v>
      </c>
      <c r="CQ1466" s="496" t="s">
        <v>938</v>
      </c>
      <c r="CR1466" s="496" t="s">
        <v>938</v>
      </c>
      <c r="CS1466" s="496" t="s">
        <v>1085</v>
      </c>
      <c r="CT1466" s="496" t="s">
        <v>3974</v>
      </c>
      <c r="CU1466" s="496" t="s">
        <v>1087</v>
      </c>
      <c r="CV1466" s="497" t="s">
        <v>1088</v>
      </c>
      <c r="CX1466" s="543">
        <v>1</v>
      </c>
    </row>
    <row r="1467" spans="91:102" ht="21" customHeight="1">
      <c r="CM1467" s="494"/>
      <c r="CN1467" s="496" t="s">
        <v>3981</v>
      </c>
      <c r="CO1467" s="496" t="s">
        <v>11</v>
      </c>
      <c r="CP1467" s="496" t="s">
        <v>689</v>
      </c>
      <c r="CQ1467" s="496" t="s">
        <v>3982</v>
      </c>
      <c r="CR1467" s="496" t="s">
        <v>3982</v>
      </c>
      <c r="CS1467" s="496" t="s">
        <v>3959</v>
      </c>
      <c r="CT1467" s="496" t="s">
        <v>3960</v>
      </c>
      <c r="CU1467" s="496" t="s">
        <v>3961</v>
      </c>
      <c r="CV1467" s="497" t="s">
        <v>3962</v>
      </c>
      <c r="CX1467" s="543">
        <v>1</v>
      </c>
    </row>
    <row r="1468" spans="91:102" ht="21" customHeight="1">
      <c r="CM1468" s="494"/>
      <c r="CN1468" s="496" t="s">
        <v>3983</v>
      </c>
      <c r="CO1468" s="496" t="s">
        <v>11</v>
      </c>
      <c r="CP1468" s="496" t="s">
        <v>689</v>
      </c>
      <c r="CQ1468" s="496" t="s">
        <v>167</v>
      </c>
      <c r="CR1468" s="496" t="s">
        <v>167</v>
      </c>
      <c r="CS1468" s="496" t="s">
        <v>1085</v>
      </c>
      <c r="CT1468" s="496" t="s">
        <v>3974</v>
      </c>
      <c r="CU1468" s="496" t="s">
        <v>1087</v>
      </c>
      <c r="CV1468" s="497" t="s">
        <v>1088</v>
      </c>
      <c r="CX1468" s="543">
        <v>1</v>
      </c>
    </row>
    <row r="1469" spans="91:102" ht="21" customHeight="1">
      <c r="CM1469" s="494"/>
      <c r="CN1469" s="496" t="s">
        <v>3984</v>
      </c>
      <c r="CO1469" s="496" t="s">
        <v>11</v>
      </c>
      <c r="CP1469" s="496" t="s">
        <v>689</v>
      </c>
      <c r="CQ1469" s="496" t="s">
        <v>939</v>
      </c>
      <c r="CR1469" s="496" t="s">
        <v>939</v>
      </c>
      <c r="CS1469" s="496" t="s">
        <v>3959</v>
      </c>
      <c r="CT1469" s="496" t="s">
        <v>3960</v>
      </c>
      <c r="CU1469" s="496" t="s">
        <v>3961</v>
      </c>
      <c r="CV1469" s="497" t="s">
        <v>3962</v>
      </c>
      <c r="CX1469" s="543">
        <v>1</v>
      </c>
    </row>
    <row r="1470" spans="91:102" ht="21" customHeight="1">
      <c r="CM1470" s="494"/>
      <c r="CN1470" s="496" t="s">
        <v>3985</v>
      </c>
      <c r="CO1470" s="496" t="s">
        <v>11</v>
      </c>
      <c r="CP1470" s="496" t="s">
        <v>689</v>
      </c>
      <c r="CQ1470" s="496" t="s">
        <v>3986</v>
      </c>
      <c r="CR1470" s="496" t="s">
        <v>3987</v>
      </c>
      <c r="CS1470" s="496" t="s">
        <v>3959</v>
      </c>
      <c r="CT1470" s="496" t="s">
        <v>3960</v>
      </c>
      <c r="CU1470" s="496" t="s">
        <v>3961</v>
      </c>
      <c r="CV1470" s="497" t="s">
        <v>3962</v>
      </c>
      <c r="CX1470" s="543">
        <v>1</v>
      </c>
    </row>
    <row r="1471" spans="91:102" ht="21" customHeight="1">
      <c r="CM1471" s="494"/>
      <c r="CN1471" s="496" t="s">
        <v>3988</v>
      </c>
      <c r="CO1471" s="496" t="s">
        <v>11</v>
      </c>
      <c r="CP1471" s="496" t="s">
        <v>689</v>
      </c>
      <c r="CQ1471" s="496" t="s">
        <v>696</v>
      </c>
      <c r="CR1471" s="496" t="s">
        <v>696</v>
      </c>
      <c r="CS1471" s="496" t="s">
        <v>1085</v>
      </c>
      <c r="CT1471" s="496" t="s">
        <v>3974</v>
      </c>
      <c r="CU1471" s="496" t="s">
        <v>1087</v>
      </c>
      <c r="CV1471" s="497" t="s">
        <v>1088</v>
      </c>
      <c r="CX1471" s="543">
        <v>1</v>
      </c>
    </row>
    <row r="1472" spans="91:102" ht="21" customHeight="1">
      <c r="CM1472" s="494"/>
      <c r="CN1472" s="496" t="s">
        <v>3989</v>
      </c>
      <c r="CO1472" s="496" t="s">
        <v>11</v>
      </c>
      <c r="CP1472" s="496" t="s">
        <v>689</v>
      </c>
      <c r="CQ1472" s="496" t="s">
        <v>697</v>
      </c>
      <c r="CR1472" s="496" t="s">
        <v>697</v>
      </c>
      <c r="CS1472" s="496" t="s">
        <v>1085</v>
      </c>
      <c r="CT1472" s="496" t="s">
        <v>3974</v>
      </c>
      <c r="CU1472" s="496" t="s">
        <v>1087</v>
      </c>
      <c r="CV1472" s="497" t="s">
        <v>1088</v>
      </c>
      <c r="CX1472" s="543">
        <v>1</v>
      </c>
    </row>
    <row r="1473" spans="91:102" ht="21" customHeight="1">
      <c r="CM1473" s="494"/>
      <c r="CN1473" s="496" t="s">
        <v>3990</v>
      </c>
      <c r="CO1473" s="496" t="s">
        <v>11</v>
      </c>
      <c r="CP1473" s="496" t="s">
        <v>689</v>
      </c>
      <c r="CQ1473" s="496" t="s">
        <v>695</v>
      </c>
      <c r="CR1473" s="496" t="s">
        <v>695</v>
      </c>
      <c r="CS1473" s="496" t="s">
        <v>1085</v>
      </c>
      <c r="CT1473" s="496" t="s">
        <v>3974</v>
      </c>
      <c r="CU1473" s="496" t="s">
        <v>1087</v>
      </c>
      <c r="CV1473" s="497" t="s">
        <v>1088</v>
      </c>
      <c r="CX1473" s="543">
        <v>1</v>
      </c>
    </row>
    <row r="1474" spans="91:102" ht="21" customHeight="1">
      <c r="CM1474" s="494"/>
      <c r="CN1474" s="496" t="s">
        <v>3991</v>
      </c>
      <c r="CO1474" s="496" t="s">
        <v>11</v>
      </c>
      <c r="CP1474" s="496" t="s">
        <v>689</v>
      </c>
      <c r="CQ1474" s="496" t="s">
        <v>3992</v>
      </c>
      <c r="CR1474" s="496" t="s">
        <v>3993</v>
      </c>
      <c r="CS1474" s="496" t="s">
        <v>3959</v>
      </c>
      <c r="CT1474" s="496" t="s">
        <v>3960</v>
      </c>
      <c r="CU1474" s="496" t="s">
        <v>3961</v>
      </c>
      <c r="CV1474" s="497" t="s">
        <v>3962</v>
      </c>
      <c r="CX1474" s="543">
        <v>1</v>
      </c>
    </row>
    <row r="1475" spans="91:102" ht="21" customHeight="1">
      <c r="CM1475" s="494"/>
      <c r="CN1475" s="496" t="s">
        <v>3994</v>
      </c>
      <c r="CO1475" s="496" t="s">
        <v>11</v>
      </c>
      <c r="CP1475" s="496" t="s">
        <v>689</v>
      </c>
      <c r="CQ1475" s="496" t="s">
        <v>3995</v>
      </c>
      <c r="CR1475" s="496" t="s">
        <v>3995</v>
      </c>
      <c r="CS1475" s="496" t="s">
        <v>3959</v>
      </c>
      <c r="CT1475" s="496" t="s">
        <v>3960</v>
      </c>
      <c r="CU1475" s="496" t="s">
        <v>3961</v>
      </c>
      <c r="CV1475" s="497" t="s">
        <v>3962</v>
      </c>
      <c r="CX1475" s="543">
        <v>1</v>
      </c>
    </row>
    <row r="1476" spans="91:102" ht="21" customHeight="1">
      <c r="CM1476" s="494"/>
      <c r="CN1476" s="496" t="s">
        <v>3996</v>
      </c>
      <c r="CO1476" s="496" t="s">
        <v>11</v>
      </c>
      <c r="CP1476" s="496" t="s">
        <v>689</v>
      </c>
      <c r="CQ1476" s="496" t="s">
        <v>3997</v>
      </c>
      <c r="CR1476" s="496" t="s">
        <v>3998</v>
      </c>
      <c r="CS1476" s="496" t="s">
        <v>1085</v>
      </c>
      <c r="CT1476" s="496" t="s">
        <v>3974</v>
      </c>
      <c r="CU1476" s="496" t="s">
        <v>1087</v>
      </c>
      <c r="CV1476" s="497" t="s">
        <v>1088</v>
      </c>
      <c r="CX1476" s="543">
        <v>1</v>
      </c>
    </row>
    <row r="1477" spans="91:102" ht="21" customHeight="1">
      <c r="CM1477" s="494"/>
      <c r="CN1477" s="496" t="s">
        <v>3999</v>
      </c>
      <c r="CO1477" s="496" t="s">
        <v>11</v>
      </c>
      <c r="CP1477" s="496" t="s">
        <v>689</v>
      </c>
      <c r="CQ1477" s="496" t="s">
        <v>940</v>
      </c>
      <c r="CR1477" s="496" t="s">
        <v>940</v>
      </c>
      <c r="CS1477" s="496" t="s">
        <v>3959</v>
      </c>
      <c r="CT1477" s="496" t="s">
        <v>3960</v>
      </c>
      <c r="CU1477" s="496" t="s">
        <v>3961</v>
      </c>
      <c r="CV1477" s="497" t="s">
        <v>3962</v>
      </c>
      <c r="CX1477" s="543">
        <v>1</v>
      </c>
    </row>
    <row r="1478" spans="91:102" ht="21" customHeight="1">
      <c r="CM1478" s="494"/>
      <c r="CN1478" s="496" t="s">
        <v>4000</v>
      </c>
      <c r="CO1478" s="496" t="s">
        <v>11</v>
      </c>
      <c r="CP1478" s="496" t="s">
        <v>689</v>
      </c>
      <c r="CQ1478" s="496" t="s">
        <v>4001</v>
      </c>
      <c r="CR1478" s="496" t="s">
        <v>4001</v>
      </c>
      <c r="CS1478" s="496" t="s">
        <v>1085</v>
      </c>
      <c r="CT1478" s="496" t="s">
        <v>3974</v>
      </c>
      <c r="CU1478" s="496" t="s">
        <v>1087</v>
      </c>
      <c r="CV1478" s="497" t="s">
        <v>1088</v>
      </c>
      <c r="CX1478" s="543">
        <v>1</v>
      </c>
    </row>
    <row r="1479" spans="91:102" ht="21" customHeight="1">
      <c r="CM1479" s="494"/>
      <c r="CN1479" s="496" t="s">
        <v>4002</v>
      </c>
      <c r="CO1479" s="496" t="s">
        <v>11</v>
      </c>
      <c r="CP1479" s="496" t="s">
        <v>689</v>
      </c>
      <c r="CQ1479" s="496" t="s">
        <v>4003</v>
      </c>
      <c r="CR1479" s="496" t="s">
        <v>4003</v>
      </c>
      <c r="CS1479" s="496" t="s">
        <v>3959</v>
      </c>
      <c r="CT1479" s="496" t="s">
        <v>3960</v>
      </c>
      <c r="CU1479" s="496" t="s">
        <v>3961</v>
      </c>
      <c r="CV1479" s="497" t="s">
        <v>3962</v>
      </c>
      <c r="CX1479" s="543">
        <v>1</v>
      </c>
    </row>
    <row r="1480" spans="91:102" ht="21" customHeight="1">
      <c r="CM1480" s="494"/>
      <c r="CN1480" s="496" t="s">
        <v>4004</v>
      </c>
      <c r="CO1480" s="496" t="s">
        <v>11</v>
      </c>
      <c r="CP1480" s="496" t="s">
        <v>689</v>
      </c>
      <c r="CQ1480" s="496" t="s">
        <v>4005</v>
      </c>
      <c r="CR1480" s="496" t="s">
        <v>4005</v>
      </c>
      <c r="CS1480" s="496" t="s">
        <v>3959</v>
      </c>
      <c r="CT1480" s="496" t="s">
        <v>3960</v>
      </c>
      <c r="CU1480" s="496" t="s">
        <v>3961</v>
      </c>
      <c r="CV1480" s="497" t="s">
        <v>3962</v>
      </c>
      <c r="CX1480" s="543">
        <v>1</v>
      </c>
    </row>
    <row r="1481" spans="91:102" ht="21" customHeight="1">
      <c r="CM1481" s="494"/>
      <c r="CN1481" s="496" t="s">
        <v>4006</v>
      </c>
      <c r="CO1481" s="496" t="s">
        <v>11</v>
      </c>
      <c r="CP1481" s="496" t="s">
        <v>689</v>
      </c>
      <c r="CQ1481" s="496" t="s">
        <v>4007</v>
      </c>
      <c r="CR1481" s="496" t="s">
        <v>4007</v>
      </c>
      <c r="CS1481" s="496" t="s">
        <v>3959</v>
      </c>
      <c r="CT1481" s="496" t="s">
        <v>3960</v>
      </c>
      <c r="CU1481" s="496" t="s">
        <v>3961</v>
      </c>
      <c r="CV1481" s="497" t="s">
        <v>3962</v>
      </c>
      <c r="CX1481" s="543">
        <v>1</v>
      </c>
    </row>
    <row r="1482" spans="91:102" ht="21" customHeight="1">
      <c r="CM1482" s="494"/>
      <c r="CN1482" s="496" t="s">
        <v>4008</v>
      </c>
      <c r="CO1482" s="496" t="s">
        <v>11</v>
      </c>
      <c r="CP1482" s="496" t="s">
        <v>689</v>
      </c>
      <c r="CQ1482" s="496" t="s">
        <v>941</v>
      </c>
      <c r="CR1482" s="496" t="s">
        <v>941</v>
      </c>
      <c r="CS1482" s="496" t="s">
        <v>3959</v>
      </c>
      <c r="CT1482" s="496" t="s">
        <v>3960</v>
      </c>
      <c r="CU1482" s="496" t="s">
        <v>3961</v>
      </c>
      <c r="CV1482" s="497" t="s">
        <v>3962</v>
      </c>
      <c r="CX1482" s="543">
        <v>1</v>
      </c>
    </row>
    <row r="1483" spans="91:102" ht="21" customHeight="1">
      <c r="CM1483" s="494"/>
      <c r="CN1483" s="496" t="s">
        <v>4009</v>
      </c>
      <c r="CO1483" s="496" t="s">
        <v>11</v>
      </c>
      <c r="CP1483" s="496" t="s">
        <v>689</v>
      </c>
      <c r="CQ1483" s="496" t="s">
        <v>943</v>
      </c>
      <c r="CR1483" s="496" t="s">
        <v>943</v>
      </c>
      <c r="CS1483" s="496" t="s">
        <v>1085</v>
      </c>
      <c r="CT1483" s="496" t="s">
        <v>3974</v>
      </c>
      <c r="CU1483" s="496" t="s">
        <v>1087</v>
      </c>
      <c r="CV1483" s="497" t="s">
        <v>1088</v>
      </c>
      <c r="CX1483" s="543">
        <v>1</v>
      </c>
    </row>
    <row r="1484" spans="91:102" ht="21" customHeight="1">
      <c r="CM1484" s="494"/>
      <c r="CN1484" s="496" t="s">
        <v>4010</v>
      </c>
      <c r="CO1484" s="496" t="s">
        <v>11</v>
      </c>
      <c r="CP1484" s="496" t="s">
        <v>689</v>
      </c>
      <c r="CQ1484" s="496" t="s">
        <v>4011</v>
      </c>
      <c r="CR1484" s="496" t="s">
        <v>4011</v>
      </c>
      <c r="CS1484" s="496" t="s">
        <v>3959</v>
      </c>
      <c r="CT1484" s="496" t="s">
        <v>3960</v>
      </c>
      <c r="CU1484" s="496" t="s">
        <v>3961</v>
      </c>
      <c r="CV1484" s="497" t="s">
        <v>3962</v>
      </c>
      <c r="CX1484" s="543">
        <v>1</v>
      </c>
    </row>
    <row r="1485" spans="91:102" ht="21" customHeight="1">
      <c r="CM1485" s="494"/>
      <c r="CN1485" s="496" t="s">
        <v>4012</v>
      </c>
      <c r="CO1485" s="496" t="s">
        <v>11</v>
      </c>
      <c r="CP1485" s="496" t="s">
        <v>689</v>
      </c>
      <c r="CQ1485" s="496" t="s">
        <v>4013</v>
      </c>
      <c r="CR1485" s="496" t="s">
        <v>4013</v>
      </c>
      <c r="CS1485" s="496" t="s">
        <v>3959</v>
      </c>
      <c r="CT1485" s="496" t="s">
        <v>3960</v>
      </c>
      <c r="CU1485" s="496" t="s">
        <v>3961</v>
      </c>
      <c r="CV1485" s="497" t="s">
        <v>3962</v>
      </c>
      <c r="CX1485" s="543">
        <v>1</v>
      </c>
    </row>
    <row r="1486" spans="91:102" ht="21" customHeight="1">
      <c r="CM1486" s="494"/>
      <c r="CN1486" s="496" t="s">
        <v>4014</v>
      </c>
      <c r="CO1486" s="496" t="s">
        <v>11</v>
      </c>
      <c r="CP1486" s="496" t="s">
        <v>689</v>
      </c>
      <c r="CQ1486" s="496" t="s">
        <v>4015</v>
      </c>
      <c r="CR1486" s="496" t="s">
        <v>4016</v>
      </c>
      <c r="CS1486" s="496" t="s">
        <v>3959</v>
      </c>
      <c r="CT1486" s="496" t="s">
        <v>3960</v>
      </c>
      <c r="CU1486" s="496" t="s">
        <v>3961</v>
      </c>
      <c r="CV1486" s="497" t="s">
        <v>3962</v>
      </c>
      <c r="CX1486" s="543">
        <v>1</v>
      </c>
    </row>
    <row r="1487" spans="91:102" ht="21" customHeight="1">
      <c r="CM1487" s="494"/>
      <c r="CN1487" s="496" t="s">
        <v>4017</v>
      </c>
      <c r="CO1487" s="496" t="s">
        <v>11</v>
      </c>
      <c r="CP1487" s="496" t="s">
        <v>689</v>
      </c>
      <c r="CQ1487" s="496" t="s">
        <v>4018</v>
      </c>
      <c r="CR1487" s="496" t="s">
        <v>4018</v>
      </c>
      <c r="CS1487" s="496" t="s">
        <v>1085</v>
      </c>
      <c r="CT1487" s="496" t="s">
        <v>3974</v>
      </c>
      <c r="CU1487" s="496" t="s">
        <v>1087</v>
      </c>
      <c r="CV1487" s="497" t="s">
        <v>1088</v>
      </c>
      <c r="CX1487" s="543">
        <v>1</v>
      </c>
    </row>
    <row r="1488" spans="91:102" ht="21" customHeight="1">
      <c r="CM1488" s="494"/>
      <c r="CN1488" s="496" t="s">
        <v>4019</v>
      </c>
      <c r="CO1488" s="496" t="s">
        <v>11</v>
      </c>
      <c r="CP1488" s="496" t="s">
        <v>689</v>
      </c>
      <c r="CQ1488" s="496" t="s">
        <v>4020</v>
      </c>
      <c r="CR1488" s="496" t="s">
        <v>4020</v>
      </c>
      <c r="CS1488" s="496" t="s">
        <v>1085</v>
      </c>
      <c r="CT1488" s="496" t="s">
        <v>3974</v>
      </c>
      <c r="CU1488" s="496" t="s">
        <v>1087</v>
      </c>
      <c r="CV1488" s="497" t="s">
        <v>1088</v>
      </c>
      <c r="CX1488" s="543">
        <v>1</v>
      </c>
    </row>
    <row r="1489" spans="91:102" ht="21" customHeight="1">
      <c r="CM1489" s="494"/>
      <c r="CN1489" s="496" t="s">
        <v>4021</v>
      </c>
      <c r="CO1489" s="496" t="s">
        <v>11</v>
      </c>
      <c r="CP1489" s="496" t="s">
        <v>689</v>
      </c>
      <c r="CQ1489" s="496" t="s">
        <v>4022</v>
      </c>
      <c r="CR1489" s="496" t="s">
        <v>4022</v>
      </c>
      <c r="CS1489" s="496" t="s">
        <v>3959</v>
      </c>
      <c r="CT1489" s="496" t="s">
        <v>3960</v>
      </c>
      <c r="CU1489" s="496" t="s">
        <v>3961</v>
      </c>
      <c r="CV1489" s="497" t="s">
        <v>3962</v>
      </c>
      <c r="CX1489" s="543">
        <v>1</v>
      </c>
    </row>
    <row r="1490" spans="91:102" ht="21" customHeight="1">
      <c r="CM1490" s="494"/>
      <c r="CN1490" s="496" t="s">
        <v>4023</v>
      </c>
      <c r="CO1490" s="496" t="s">
        <v>11</v>
      </c>
      <c r="CP1490" s="496" t="s">
        <v>689</v>
      </c>
      <c r="CQ1490" s="496" t="s">
        <v>4024</v>
      </c>
      <c r="CR1490" s="496" t="s">
        <v>4024</v>
      </c>
      <c r="CS1490" s="496" t="s">
        <v>3959</v>
      </c>
      <c r="CT1490" s="496" t="s">
        <v>3960</v>
      </c>
      <c r="CU1490" s="496" t="s">
        <v>3961</v>
      </c>
      <c r="CV1490" s="497" t="s">
        <v>3962</v>
      </c>
      <c r="CX1490" s="543">
        <v>1</v>
      </c>
    </row>
    <row r="1491" spans="91:102" ht="21" customHeight="1">
      <c r="CM1491" s="494"/>
      <c r="CN1491" s="496" t="s">
        <v>4025</v>
      </c>
      <c r="CO1491" s="496" t="s">
        <v>11</v>
      </c>
      <c r="CP1491" s="496" t="s">
        <v>689</v>
      </c>
      <c r="CQ1491" s="496" t="s">
        <v>4026</v>
      </c>
      <c r="CR1491" s="496" t="s">
        <v>4027</v>
      </c>
      <c r="CS1491" s="496" t="s">
        <v>3959</v>
      </c>
      <c r="CT1491" s="496" t="s">
        <v>3960</v>
      </c>
      <c r="CU1491" s="496" t="s">
        <v>3961</v>
      </c>
      <c r="CV1491" s="497" t="s">
        <v>3962</v>
      </c>
      <c r="CX1491" s="543">
        <v>1</v>
      </c>
    </row>
    <row r="1492" spans="91:102" ht="21" customHeight="1">
      <c r="CM1492" s="494"/>
      <c r="CN1492" s="496" t="s">
        <v>4028</v>
      </c>
      <c r="CO1492" s="496" t="s">
        <v>11</v>
      </c>
      <c r="CP1492" s="496" t="s">
        <v>689</v>
      </c>
      <c r="CQ1492" s="496" t="s">
        <v>4029</v>
      </c>
      <c r="CR1492" s="496" t="s">
        <v>4029</v>
      </c>
      <c r="CS1492" s="496" t="s">
        <v>1085</v>
      </c>
      <c r="CT1492" s="496" t="s">
        <v>3974</v>
      </c>
      <c r="CU1492" s="496" t="s">
        <v>1087</v>
      </c>
      <c r="CV1492" s="497" t="s">
        <v>1088</v>
      </c>
      <c r="CX1492" s="543">
        <v>1</v>
      </c>
    </row>
    <row r="1493" spans="91:102" ht="21" customHeight="1">
      <c r="CM1493" s="494"/>
      <c r="CN1493" s="496" t="s">
        <v>4030</v>
      </c>
      <c r="CO1493" s="496" t="s">
        <v>11</v>
      </c>
      <c r="CP1493" s="496" t="s">
        <v>689</v>
      </c>
      <c r="CQ1493" s="496" t="s">
        <v>323</v>
      </c>
      <c r="CR1493" s="496" t="s">
        <v>323</v>
      </c>
      <c r="CS1493" s="496" t="s">
        <v>1151</v>
      </c>
      <c r="CT1493" s="496" t="s">
        <v>1152</v>
      </c>
      <c r="CU1493" s="496" t="s">
        <v>1087</v>
      </c>
      <c r="CV1493" s="497" t="s">
        <v>1153</v>
      </c>
      <c r="CX1493" s="543">
        <v>1</v>
      </c>
    </row>
    <row r="1494" spans="91:102" ht="21" customHeight="1">
      <c r="CM1494" s="494"/>
      <c r="CN1494" s="496" t="s">
        <v>4031</v>
      </c>
      <c r="CO1494" s="496" t="s">
        <v>11</v>
      </c>
      <c r="CP1494" s="496" t="s">
        <v>689</v>
      </c>
      <c r="CQ1494" s="496" t="s">
        <v>4032</v>
      </c>
      <c r="CR1494" s="496" t="s">
        <v>4032</v>
      </c>
      <c r="CS1494" s="496" t="s">
        <v>3959</v>
      </c>
      <c r="CT1494" s="496" t="s">
        <v>3960</v>
      </c>
      <c r="CU1494" s="496" t="s">
        <v>3961</v>
      </c>
      <c r="CV1494" s="497" t="s">
        <v>3962</v>
      </c>
      <c r="CX1494" s="543">
        <v>1</v>
      </c>
    </row>
    <row r="1495" spans="91:102" ht="21" customHeight="1">
      <c r="CM1495" s="494"/>
      <c r="CN1495" s="496" t="s">
        <v>4033</v>
      </c>
      <c r="CO1495" s="496" t="s">
        <v>11</v>
      </c>
      <c r="CP1495" s="496" t="s">
        <v>689</v>
      </c>
      <c r="CQ1495" s="496" t="s">
        <v>4034</v>
      </c>
      <c r="CR1495" s="496" t="s">
        <v>4035</v>
      </c>
      <c r="CS1495" s="496" t="s">
        <v>3959</v>
      </c>
      <c r="CT1495" s="496" t="s">
        <v>3960</v>
      </c>
      <c r="CU1495" s="496" t="s">
        <v>3961</v>
      </c>
      <c r="CV1495" s="497" t="s">
        <v>3962</v>
      </c>
      <c r="CX1495" s="543">
        <v>1</v>
      </c>
    </row>
    <row r="1496" spans="91:102" ht="21" customHeight="1">
      <c r="CM1496" s="494"/>
      <c r="CN1496" s="496" t="s">
        <v>4036</v>
      </c>
      <c r="CO1496" s="496" t="s">
        <v>11</v>
      </c>
      <c r="CP1496" s="496" t="s">
        <v>689</v>
      </c>
      <c r="CQ1496" s="496" t="s">
        <v>4037</v>
      </c>
      <c r="CR1496" s="496" t="s">
        <v>4037</v>
      </c>
      <c r="CS1496" s="496" t="s">
        <v>3959</v>
      </c>
      <c r="CT1496" s="496" t="s">
        <v>3960</v>
      </c>
      <c r="CU1496" s="496" t="s">
        <v>3961</v>
      </c>
      <c r="CV1496" s="497" t="s">
        <v>3962</v>
      </c>
      <c r="CX1496" s="543">
        <v>1</v>
      </c>
    </row>
    <row r="1497" spans="91:102" ht="21" customHeight="1">
      <c r="CM1497" s="494"/>
      <c r="CN1497" s="496" t="s">
        <v>4038</v>
      </c>
      <c r="CO1497" s="496" t="s">
        <v>11</v>
      </c>
      <c r="CP1497" s="496" t="s">
        <v>689</v>
      </c>
      <c r="CQ1497" s="496" t="s">
        <v>4039</v>
      </c>
      <c r="CR1497" s="496" t="s">
        <v>4039</v>
      </c>
      <c r="CS1497" s="496" t="s">
        <v>3959</v>
      </c>
      <c r="CT1497" s="496" t="s">
        <v>3960</v>
      </c>
      <c r="CU1497" s="496" t="s">
        <v>3961</v>
      </c>
      <c r="CV1497" s="497" t="s">
        <v>3962</v>
      </c>
      <c r="CX1497" s="543">
        <v>1</v>
      </c>
    </row>
    <row r="1498" spans="91:102" ht="21" customHeight="1">
      <c r="CM1498" s="494"/>
      <c r="CN1498" s="496" t="s">
        <v>4040</v>
      </c>
      <c r="CO1498" s="496" t="s">
        <v>11</v>
      </c>
      <c r="CP1498" s="496" t="s">
        <v>689</v>
      </c>
      <c r="CQ1498" s="496" t="s">
        <v>4041</v>
      </c>
      <c r="CR1498" s="496" t="s">
        <v>4041</v>
      </c>
      <c r="CS1498" s="496" t="s">
        <v>3959</v>
      </c>
      <c r="CT1498" s="496" t="s">
        <v>3960</v>
      </c>
      <c r="CU1498" s="496" t="s">
        <v>3961</v>
      </c>
      <c r="CV1498" s="497" t="s">
        <v>3962</v>
      </c>
      <c r="CX1498" s="543">
        <v>1</v>
      </c>
    </row>
    <row r="1499" spans="91:102" ht="21" customHeight="1">
      <c r="CM1499" s="494"/>
      <c r="CN1499" s="496" t="s">
        <v>4042</v>
      </c>
      <c r="CO1499" s="496" t="s">
        <v>11</v>
      </c>
      <c r="CP1499" s="496" t="s">
        <v>689</v>
      </c>
      <c r="CQ1499" s="496" t="s">
        <v>4043</v>
      </c>
      <c r="CR1499" s="496" t="s">
        <v>4044</v>
      </c>
      <c r="CS1499" s="496" t="s">
        <v>3959</v>
      </c>
      <c r="CT1499" s="496" t="s">
        <v>3960</v>
      </c>
      <c r="CU1499" s="496" t="s">
        <v>3961</v>
      </c>
      <c r="CV1499" s="497" t="s">
        <v>3962</v>
      </c>
      <c r="CX1499" s="543">
        <v>1</v>
      </c>
    </row>
    <row r="1500" spans="91:102" ht="21" customHeight="1">
      <c r="CM1500" s="494"/>
      <c r="CN1500" s="496" t="s">
        <v>4045</v>
      </c>
      <c r="CO1500" s="496" t="s">
        <v>11</v>
      </c>
      <c r="CP1500" s="496" t="s">
        <v>689</v>
      </c>
      <c r="CQ1500" s="496" t="s">
        <v>4046</v>
      </c>
      <c r="CR1500" s="496" t="s">
        <v>4047</v>
      </c>
      <c r="CS1500" s="496" t="s">
        <v>3959</v>
      </c>
      <c r="CT1500" s="496" t="s">
        <v>3960</v>
      </c>
      <c r="CU1500" s="496" t="s">
        <v>3961</v>
      </c>
      <c r="CV1500" s="497" t="s">
        <v>3962</v>
      </c>
      <c r="CX1500" s="543">
        <v>1</v>
      </c>
    </row>
    <row r="1501" spans="91:102" ht="21" customHeight="1">
      <c r="CM1501" s="494"/>
      <c r="CN1501" s="496" t="s">
        <v>4048</v>
      </c>
      <c r="CO1501" s="496" t="s">
        <v>11</v>
      </c>
      <c r="CP1501" s="496" t="s">
        <v>689</v>
      </c>
      <c r="CQ1501" s="496" t="s">
        <v>944</v>
      </c>
      <c r="CR1501" s="496" t="s">
        <v>944</v>
      </c>
      <c r="CS1501" s="496" t="s">
        <v>1085</v>
      </c>
      <c r="CT1501" s="496" t="s">
        <v>3974</v>
      </c>
      <c r="CU1501" s="496" t="s">
        <v>1087</v>
      </c>
      <c r="CV1501" s="497" t="s">
        <v>1088</v>
      </c>
      <c r="CX1501" s="543">
        <v>1</v>
      </c>
    </row>
    <row r="1502" spans="91:102" ht="21" customHeight="1">
      <c r="CM1502" s="494"/>
      <c r="CN1502" s="496" t="s">
        <v>4049</v>
      </c>
      <c r="CO1502" s="496" t="s">
        <v>11</v>
      </c>
      <c r="CP1502" s="496" t="s">
        <v>689</v>
      </c>
      <c r="CQ1502" s="496" t="s">
        <v>4050</v>
      </c>
      <c r="CR1502" s="496" t="s">
        <v>4050</v>
      </c>
      <c r="CS1502" s="496" t="s">
        <v>3959</v>
      </c>
      <c r="CT1502" s="496" t="s">
        <v>3960</v>
      </c>
      <c r="CU1502" s="496" t="s">
        <v>3961</v>
      </c>
      <c r="CV1502" s="497" t="s">
        <v>3962</v>
      </c>
      <c r="CX1502" s="543">
        <v>1</v>
      </c>
    </row>
    <row r="1503" spans="91:102" ht="21" customHeight="1">
      <c r="CM1503" s="494"/>
      <c r="CN1503" s="496" t="s">
        <v>4051</v>
      </c>
      <c r="CO1503" s="496" t="s">
        <v>11</v>
      </c>
      <c r="CP1503" s="496" t="s">
        <v>689</v>
      </c>
      <c r="CQ1503" s="496" t="s">
        <v>4052</v>
      </c>
      <c r="CR1503" s="496" t="s">
        <v>4052</v>
      </c>
      <c r="CS1503" s="496" t="s">
        <v>1085</v>
      </c>
      <c r="CT1503" s="496" t="s">
        <v>3974</v>
      </c>
      <c r="CU1503" s="496" t="s">
        <v>1087</v>
      </c>
      <c r="CV1503" s="497" t="s">
        <v>1088</v>
      </c>
      <c r="CX1503" s="543">
        <v>1</v>
      </c>
    </row>
    <row r="1504" spans="91:102" ht="21" customHeight="1">
      <c r="CM1504" s="494"/>
      <c r="CN1504" s="496" t="s">
        <v>4053</v>
      </c>
      <c r="CO1504" s="496" t="s">
        <v>11</v>
      </c>
      <c r="CP1504" s="496" t="s">
        <v>689</v>
      </c>
      <c r="CQ1504" s="496" t="s">
        <v>945</v>
      </c>
      <c r="CR1504" s="496" t="s">
        <v>945</v>
      </c>
      <c r="CS1504" s="496" t="s">
        <v>1085</v>
      </c>
      <c r="CT1504" s="496" t="s">
        <v>3974</v>
      </c>
      <c r="CU1504" s="496" t="s">
        <v>1087</v>
      </c>
      <c r="CV1504" s="497" t="s">
        <v>1088</v>
      </c>
      <c r="CX1504" s="543">
        <v>1</v>
      </c>
    </row>
    <row r="1505" spans="91:102" ht="21" customHeight="1">
      <c r="CM1505" s="494"/>
      <c r="CN1505" s="496" t="s">
        <v>4054</v>
      </c>
      <c r="CO1505" s="496" t="s">
        <v>11</v>
      </c>
      <c r="CP1505" s="496" t="s">
        <v>689</v>
      </c>
      <c r="CQ1505" s="496" t="s">
        <v>4055</v>
      </c>
      <c r="CR1505" s="496" t="s">
        <v>4055</v>
      </c>
      <c r="CS1505" s="496" t="s">
        <v>3959</v>
      </c>
      <c r="CT1505" s="496" t="s">
        <v>3960</v>
      </c>
      <c r="CU1505" s="496" t="s">
        <v>3961</v>
      </c>
      <c r="CV1505" s="497" t="s">
        <v>3962</v>
      </c>
      <c r="CX1505" s="543">
        <v>1</v>
      </c>
    </row>
    <row r="1506" spans="91:102" ht="21" customHeight="1">
      <c r="CM1506" s="494"/>
      <c r="CN1506" s="496" t="s">
        <v>4056</v>
      </c>
      <c r="CO1506" s="496" t="s">
        <v>11</v>
      </c>
      <c r="CP1506" s="496" t="s">
        <v>689</v>
      </c>
      <c r="CQ1506" s="496" t="s">
        <v>4057</v>
      </c>
      <c r="CR1506" s="496" t="s">
        <v>4057</v>
      </c>
      <c r="CS1506" s="496" t="s">
        <v>3959</v>
      </c>
      <c r="CT1506" s="496" t="s">
        <v>3960</v>
      </c>
      <c r="CU1506" s="496" t="s">
        <v>3961</v>
      </c>
      <c r="CV1506" s="497" t="s">
        <v>3962</v>
      </c>
      <c r="CX1506" s="543">
        <v>1</v>
      </c>
    </row>
    <row r="1507" spans="91:102" ht="21" customHeight="1">
      <c r="CM1507" s="494"/>
      <c r="CN1507" s="496" t="s">
        <v>4058</v>
      </c>
      <c r="CO1507" s="496" t="s">
        <v>11</v>
      </c>
      <c r="CP1507" s="496" t="s">
        <v>689</v>
      </c>
      <c r="CQ1507" s="496" t="s">
        <v>4059</v>
      </c>
      <c r="CR1507" s="496" t="s">
        <v>4059</v>
      </c>
      <c r="CS1507" s="496" t="s">
        <v>1085</v>
      </c>
      <c r="CT1507" s="496" t="s">
        <v>3974</v>
      </c>
      <c r="CU1507" s="496" t="s">
        <v>1087</v>
      </c>
      <c r="CV1507" s="497" t="s">
        <v>1088</v>
      </c>
      <c r="CX1507" s="543">
        <v>1</v>
      </c>
    </row>
    <row r="1508" spans="91:102" ht="21" customHeight="1">
      <c r="CM1508" s="494"/>
      <c r="CN1508" s="496" t="s">
        <v>4060</v>
      </c>
      <c r="CO1508" s="496" t="s">
        <v>11</v>
      </c>
      <c r="CP1508" s="496" t="s">
        <v>689</v>
      </c>
      <c r="CQ1508" s="496" t="s">
        <v>4061</v>
      </c>
      <c r="CR1508" s="496" t="s">
        <v>4062</v>
      </c>
      <c r="CS1508" s="496" t="s">
        <v>3959</v>
      </c>
      <c r="CT1508" s="496" t="s">
        <v>3960</v>
      </c>
      <c r="CU1508" s="496" t="s">
        <v>3961</v>
      </c>
      <c r="CV1508" s="497" t="s">
        <v>3962</v>
      </c>
      <c r="CX1508" s="543">
        <v>1</v>
      </c>
    </row>
    <row r="1509" spans="91:102" ht="21" customHeight="1">
      <c r="CM1509" s="494"/>
      <c r="CN1509" s="496" t="s">
        <v>4063</v>
      </c>
      <c r="CO1509" s="496" t="s">
        <v>11</v>
      </c>
      <c r="CP1509" s="496" t="s">
        <v>689</v>
      </c>
      <c r="CQ1509" s="496" t="s">
        <v>4064</v>
      </c>
      <c r="CR1509" s="496" t="s">
        <v>4065</v>
      </c>
      <c r="CS1509" s="496" t="s">
        <v>1085</v>
      </c>
      <c r="CT1509" s="496" t="s">
        <v>3974</v>
      </c>
      <c r="CU1509" s="496" t="s">
        <v>1087</v>
      </c>
      <c r="CV1509" s="497" t="s">
        <v>1088</v>
      </c>
      <c r="CX1509" s="543">
        <v>1</v>
      </c>
    </row>
    <row r="1510" spans="91:102" ht="21" customHeight="1">
      <c r="CM1510" s="494"/>
      <c r="CN1510" s="496" t="s">
        <v>4066</v>
      </c>
      <c r="CO1510" s="496" t="s">
        <v>11</v>
      </c>
      <c r="CP1510" s="496" t="s">
        <v>689</v>
      </c>
      <c r="CQ1510" s="496" t="s">
        <v>4067</v>
      </c>
      <c r="CR1510" s="496" t="s">
        <v>946</v>
      </c>
      <c r="CS1510" s="496" t="s">
        <v>3959</v>
      </c>
      <c r="CT1510" s="496" t="s">
        <v>3960</v>
      </c>
      <c r="CU1510" s="496" t="s">
        <v>3961</v>
      </c>
      <c r="CV1510" s="497" t="s">
        <v>3962</v>
      </c>
      <c r="CX1510" s="543">
        <v>1</v>
      </c>
    </row>
    <row r="1511" spans="91:102" ht="21" customHeight="1">
      <c r="CM1511" s="494"/>
      <c r="CN1511" s="496" t="s">
        <v>4068</v>
      </c>
      <c r="CO1511" s="496" t="s">
        <v>11</v>
      </c>
      <c r="CP1511" s="496" t="s">
        <v>689</v>
      </c>
      <c r="CQ1511" s="496" t="s">
        <v>324</v>
      </c>
      <c r="CR1511" s="496" t="s">
        <v>324</v>
      </c>
      <c r="CS1511" s="496" t="s">
        <v>1151</v>
      </c>
      <c r="CT1511" s="496" t="s">
        <v>1152</v>
      </c>
      <c r="CU1511" s="496" t="s">
        <v>1087</v>
      </c>
      <c r="CV1511" s="497" t="s">
        <v>1153</v>
      </c>
      <c r="CX1511" s="543">
        <v>1</v>
      </c>
    </row>
    <row r="1512" spans="91:102" ht="21" customHeight="1">
      <c r="CM1512" s="494"/>
      <c r="CN1512" s="496" t="s">
        <v>4069</v>
      </c>
      <c r="CO1512" s="496" t="s">
        <v>11</v>
      </c>
      <c r="CP1512" s="496" t="s">
        <v>689</v>
      </c>
      <c r="CQ1512" s="496" t="s">
        <v>4070</v>
      </c>
      <c r="CR1512" s="496" t="s">
        <v>325</v>
      </c>
      <c r="CS1512" s="496" t="s">
        <v>1085</v>
      </c>
      <c r="CT1512" s="496" t="s">
        <v>3974</v>
      </c>
      <c r="CU1512" s="496" t="s">
        <v>1087</v>
      </c>
      <c r="CV1512" s="497" t="s">
        <v>1088</v>
      </c>
      <c r="CX1512" s="543">
        <v>1</v>
      </c>
    </row>
    <row r="1513" spans="91:102" ht="21" customHeight="1">
      <c r="CM1513" s="494"/>
      <c r="CN1513" s="496" t="s">
        <v>4071</v>
      </c>
      <c r="CO1513" s="496" t="s">
        <v>11</v>
      </c>
      <c r="CP1513" s="496" t="s">
        <v>689</v>
      </c>
      <c r="CQ1513" s="496" t="s">
        <v>4072</v>
      </c>
      <c r="CR1513" s="496" t="s">
        <v>4073</v>
      </c>
      <c r="CS1513" s="496" t="s">
        <v>3959</v>
      </c>
      <c r="CT1513" s="496" t="s">
        <v>3960</v>
      </c>
      <c r="CU1513" s="496" t="s">
        <v>3961</v>
      </c>
      <c r="CV1513" s="497" t="s">
        <v>3962</v>
      </c>
      <c r="CX1513" s="543">
        <v>1</v>
      </c>
    </row>
    <row r="1514" spans="91:102" ht="21" customHeight="1">
      <c r="CM1514" s="494"/>
      <c r="CN1514" s="496" t="s">
        <v>4074</v>
      </c>
      <c r="CO1514" s="496" t="s">
        <v>11</v>
      </c>
      <c r="CP1514" s="496" t="s">
        <v>689</v>
      </c>
      <c r="CQ1514" s="496" t="s">
        <v>4075</v>
      </c>
      <c r="CR1514" s="496" t="s">
        <v>4076</v>
      </c>
      <c r="CS1514" s="496" t="s">
        <v>3959</v>
      </c>
      <c r="CT1514" s="496" t="s">
        <v>3960</v>
      </c>
      <c r="CU1514" s="496" t="s">
        <v>3961</v>
      </c>
      <c r="CV1514" s="497" t="s">
        <v>3962</v>
      </c>
      <c r="CX1514" s="543">
        <v>1</v>
      </c>
    </row>
    <row r="1515" spans="91:102" ht="21" customHeight="1">
      <c r="CM1515" s="494"/>
      <c r="CN1515" s="496" t="s">
        <v>4077</v>
      </c>
      <c r="CO1515" s="496" t="s">
        <v>11</v>
      </c>
      <c r="CP1515" s="496" t="s">
        <v>689</v>
      </c>
      <c r="CQ1515" s="496" t="s">
        <v>4078</v>
      </c>
      <c r="CR1515" s="496" t="s">
        <v>110</v>
      </c>
      <c r="CS1515" s="496" t="s">
        <v>1085</v>
      </c>
      <c r="CT1515" s="496" t="s">
        <v>3974</v>
      </c>
      <c r="CU1515" s="496" t="s">
        <v>1087</v>
      </c>
      <c r="CV1515" s="497" t="s">
        <v>1088</v>
      </c>
      <c r="CX1515" s="543">
        <v>1</v>
      </c>
    </row>
    <row r="1516" spans="91:102" ht="21" customHeight="1">
      <c r="CM1516" s="494"/>
      <c r="CN1516" s="496" t="s">
        <v>4079</v>
      </c>
      <c r="CO1516" s="496" t="s">
        <v>11</v>
      </c>
      <c r="CP1516" s="496" t="s">
        <v>689</v>
      </c>
      <c r="CQ1516" s="496" t="s">
        <v>4080</v>
      </c>
      <c r="CR1516" s="496" t="s">
        <v>96</v>
      </c>
      <c r="CS1516" s="496" t="s">
        <v>1085</v>
      </c>
      <c r="CT1516" s="496" t="s">
        <v>3974</v>
      </c>
      <c r="CU1516" s="496" t="s">
        <v>1087</v>
      </c>
      <c r="CV1516" s="497" t="s">
        <v>1088</v>
      </c>
      <c r="CX1516" s="543">
        <v>1</v>
      </c>
    </row>
    <row r="1517" spans="91:102" ht="21" customHeight="1">
      <c r="CM1517" s="494"/>
      <c r="CN1517" s="496" t="s">
        <v>4081</v>
      </c>
      <c r="CO1517" s="496" t="s">
        <v>11</v>
      </c>
      <c r="CP1517" s="496" t="s">
        <v>689</v>
      </c>
      <c r="CQ1517" s="496" t="s">
        <v>4082</v>
      </c>
      <c r="CR1517" s="496" t="s">
        <v>4082</v>
      </c>
      <c r="CS1517" s="496" t="s">
        <v>3959</v>
      </c>
      <c r="CT1517" s="496" t="s">
        <v>3960</v>
      </c>
      <c r="CU1517" s="496" t="s">
        <v>3961</v>
      </c>
      <c r="CV1517" s="497" t="s">
        <v>3962</v>
      </c>
      <c r="CX1517" s="543">
        <v>1</v>
      </c>
    </row>
    <row r="1518" spans="91:102" ht="21" customHeight="1">
      <c r="CM1518" s="494"/>
      <c r="CN1518" s="496" t="s">
        <v>4083</v>
      </c>
      <c r="CO1518" s="496" t="s">
        <v>11</v>
      </c>
      <c r="CP1518" s="496" t="s">
        <v>689</v>
      </c>
      <c r="CQ1518" s="496" t="s">
        <v>4084</v>
      </c>
      <c r="CR1518" s="496" t="s">
        <v>4084</v>
      </c>
      <c r="CS1518" s="496" t="s">
        <v>1085</v>
      </c>
      <c r="CT1518" s="496" t="s">
        <v>3974</v>
      </c>
      <c r="CU1518" s="496" t="s">
        <v>1087</v>
      </c>
      <c r="CV1518" s="497" t="s">
        <v>1088</v>
      </c>
      <c r="CX1518" s="543">
        <v>1</v>
      </c>
    </row>
    <row r="1519" spans="91:102" ht="21" customHeight="1">
      <c r="CM1519" s="494"/>
      <c r="CN1519" s="496" t="s">
        <v>4085</v>
      </c>
      <c r="CO1519" s="496" t="s">
        <v>11</v>
      </c>
      <c r="CP1519" s="496" t="s">
        <v>689</v>
      </c>
      <c r="CQ1519" s="496" t="s">
        <v>947</v>
      </c>
      <c r="CR1519" s="496" t="s">
        <v>947</v>
      </c>
      <c r="CS1519" s="496" t="s">
        <v>3959</v>
      </c>
      <c r="CT1519" s="496" t="s">
        <v>3960</v>
      </c>
      <c r="CU1519" s="496" t="s">
        <v>3961</v>
      </c>
      <c r="CV1519" s="497" t="s">
        <v>3962</v>
      </c>
      <c r="CX1519" s="543">
        <v>1</v>
      </c>
    </row>
    <row r="1520" spans="91:102" ht="21" customHeight="1">
      <c r="CM1520" s="494"/>
      <c r="CN1520" s="496" t="s">
        <v>4086</v>
      </c>
      <c r="CO1520" s="496" t="s">
        <v>11</v>
      </c>
      <c r="CP1520" s="496" t="s">
        <v>689</v>
      </c>
      <c r="CQ1520" s="496" t="s">
        <v>4087</v>
      </c>
      <c r="CR1520" s="496" t="s">
        <v>4087</v>
      </c>
      <c r="CS1520" s="496" t="s">
        <v>3959</v>
      </c>
      <c r="CT1520" s="496" t="s">
        <v>3960</v>
      </c>
      <c r="CU1520" s="496" t="s">
        <v>3961</v>
      </c>
      <c r="CV1520" s="497" t="s">
        <v>3962</v>
      </c>
      <c r="CX1520" s="543">
        <v>1</v>
      </c>
    </row>
    <row r="1521" spans="91:102" ht="21" customHeight="1">
      <c r="CM1521" s="494"/>
      <c r="CN1521" s="496" t="s">
        <v>4088</v>
      </c>
      <c r="CO1521" s="496" t="s">
        <v>11</v>
      </c>
      <c r="CP1521" s="496" t="s">
        <v>689</v>
      </c>
      <c r="CQ1521" s="496" t="s">
        <v>948</v>
      </c>
      <c r="CR1521" s="496" t="s">
        <v>948</v>
      </c>
      <c r="CS1521" s="496" t="s">
        <v>1085</v>
      </c>
      <c r="CT1521" s="496" t="s">
        <v>3974</v>
      </c>
      <c r="CU1521" s="496" t="s">
        <v>1087</v>
      </c>
      <c r="CV1521" s="497" t="s">
        <v>1088</v>
      </c>
      <c r="CX1521" s="543">
        <v>1</v>
      </c>
    </row>
    <row r="1522" spans="91:102" ht="21" customHeight="1">
      <c r="CM1522" s="494"/>
      <c r="CN1522" s="496" t="s">
        <v>4089</v>
      </c>
      <c r="CO1522" s="496" t="s">
        <v>11</v>
      </c>
      <c r="CP1522" s="496" t="s">
        <v>689</v>
      </c>
      <c r="CQ1522" s="496" t="s">
        <v>326</v>
      </c>
      <c r="CR1522" s="496" t="s">
        <v>326</v>
      </c>
      <c r="CS1522" s="496" t="s">
        <v>1151</v>
      </c>
      <c r="CT1522" s="496" t="s">
        <v>1152</v>
      </c>
      <c r="CU1522" s="496" t="s">
        <v>1087</v>
      </c>
      <c r="CV1522" s="497" t="s">
        <v>1153</v>
      </c>
      <c r="CX1522" s="543">
        <v>1</v>
      </c>
    </row>
    <row r="1523" spans="91:102" ht="21" customHeight="1">
      <c r="CM1523" s="494"/>
      <c r="CN1523" s="496" t="s">
        <v>4090</v>
      </c>
      <c r="CO1523" s="496" t="s">
        <v>11</v>
      </c>
      <c r="CP1523" s="496" t="s">
        <v>689</v>
      </c>
      <c r="CQ1523" s="496" t="s">
        <v>4091</v>
      </c>
      <c r="CR1523" s="496" t="s">
        <v>4091</v>
      </c>
      <c r="CS1523" s="496" t="s">
        <v>3959</v>
      </c>
      <c r="CT1523" s="496" t="s">
        <v>3960</v>
      </c>
      <c r="CU1523" s="496" t="s">
        <v>3961</v>
      </c>
      <c r="CV1523" s="497" t="s">
        <v>3962</v>
      </c>
      <c r="CX1523" s="543">
        <v>1</v>
      </c>
    </row>
    <row r="1524" spans="91:102" ht="21" customHeight="1">
      <c r="CM1524" s="494"/>
      <c r="CN1524" s="496" t="s">
        <v>4092</v>
      </c>
      <c r="CO1524" s="496" t="s">
        <v>11</v>
      </c>
      <c r="CP1524" s="496" t="s">
        <v>689</v>
      </c>
      <c r="CQ1524" s="496" t="s">
        <v>4093</v>
      </c>
      <c r="CR1524" s="496" t="s">
        <v>949</v>
      </c>
      <c r="CS1524" s="496" t="s">
        <v>1085</v>
      </c>
      <c r="CT1524" s="496" t="s">
        <v>3974</v>
      </c>
      <c r="CU1524" s="496" t="s">
        <v>1087</v>
      </c>
      <c r="CV1524" s="497" t="s">
        <v>1088</v>
      </c>
      <c r="CX1524" s="543">
        <v>1</v>
      </c>
    </row>
    <row r="1525" spans="91:102" ht="21" customHeight="1">
      <c r="CM1525" s="494"/>
      <c r="CN1525" s="496" t="s">
        <v>4094</v>
      </c>
      <c r="CO1525" s="496" t="s">
        <v>11</v>
      </c>
      <c r="CP1525" s="496" t="s">
        <v>689</v>
      </c>
      <c r="CQ1525" s="496" t="s">
        <v>4095</v>
      </c>
      <c r="CR1525" s="496" t="s">
        <v>4096</v>
      </c>
      <c r="CS1525" s="496" t="s">
        <v>3959</v>
      </c>
      <c r="CT1525" s="496" t="s">
        <v>3960</v>
      </c>
      <c r="CU1525" s="496" t="s">
        <v>3961</v>
      </c>
      <c r="CV1525" s="497" t="s">
        <v>3962</v>
      </c>
      <c r="CX1525" s="543">
        <v>1</v>
      </c>
    </row>
    <row r="1526" spans="91:102" ht="21" customHeight="1">
      <c r="CM1526" s="494"/>
      <c r="CN1526" s="496" t="s">
        <v>4097</v>
      </c>
      <c r="CO1526" s="496" t="s">
        <v>11</v>
      </c>
      <c r="CP1526" s="496" t="s">
        <v>689</v>
      </c>
      <c r="CQ1526" s="496" t="s">
        <v>4098</v>
      </c>
      <c r="CR1526" s="496" t="s">
        <v>4098</v>
      </c>
      <c r="CS1526" s="496" t="s">
        <v>3959</v>
      </c>
      <c r="CT1526" s="496" t="s">
        <v>3960</v>
      </c>
      <c r="CU1526" s="496" t="s">
        <v>3961</v>
      </c>
      <c r="CV1526" s="497" t="s">
        <v>3962</v>
      </c>
      <c r="CX1526" s="543">
        <v>1</v>
      </c>
    </row>
    <row r="1527" spans="91:102" ht="21" customHeight="1">
      <c r="CM1527" s="494"/>
      <c r="CN1527" s="496" t="s">
        <v>4099</v>
      </c>
      <c r="CO1527" s="496" t="s">
        <v>11</v>
      </c>
      <c r="CP1527" s="496" t="s">
        <v>689</v>
      </c>
      <c r="CQ1527" s="496" t="s">
        <v>4100</v>
      </c>
      <c r="CR1527" s="496" t="s">
        <v>4100</v>
      </c>
      <c r="CS1527" s="496" t="s">
        <v>1085</v>
      </c>
      <c r="CT1527" s="496" t="s">
        <v>3974</v>
      </c>
      <c r="CU1527" s="496" t="s">
        <v>1087</v>
      </c>
      <c r="CV1527" s="497" t="s">
        <v>1088</v>
      </c>
      <c r="CX1527" s="543">
        <v>1</v>
      </c>
    </row>
    <row r="1528" spans="91:102" ht="21" customHeight="1">
      <c r="CM1528" s="494"/>
      <c r="CN1528" s="496" t="s">
        <v>4101</v>
      </c>
      <c r="CO1528" s="496" t="s">
        <v>11</v>
      </c>
      <c r="CP1528" s="496" t="s">
        <v>689</v>
      </c>
      <c r="CQ1528" s="496" t="s">
        <v>4102</v>
      </c>
      <c r="CR1528" s="496" t="s">
        <v>4102</v>
      </c>
      <c r="CS1528" s="496" t="s">
        <v>1085</v>
      </c>
      <c r="CT1528" s="496" t="s">
        <v>3974</v>
      </c>
      <c r="CU1528" s="496" t="s">
        <v>1087</v>
      </c>
      <c r="CV1528" s="497" t="s">
        <v>1088</v>
      </c>
      <c r="CX1528" s="543">
        <v>1</v>
      </c>
    </row>
    <row r="1529" spans="91:102" ht="21" customHeight="1">
      <c r="CM1529" s="494"/>
      <c r="CN1529" s="496" t="s">
        <v>4103</v>
      </c>
      <c r="CO1529" s="496" t="s">
        <v>11</v>
      </c>
      <c r="CP1529" s="496" t="s">
        <v>689</v>
      </c>
      <c r="CQ1529" s="496" t="s">
        <v>4104</v>
      </c>
      <c r="CR1529" s="496" t="s">
        <v>4104</v>
      </c>
      <c r="CS1529" s="496" t="s">
        <v>3959</v>
      </c>
      <c r="CT1529" s="496" t="s">
        <v>3960</v>
      </c>
      <c r="CU1529" s="496" t="s">
        <v>3961</v>
      </c>
      <c r="CV1529" s="497" t="s">
        <v>3962</v>
      </c>
      <c r="CX1529" s="543">
        <v>1</v>
      </c>
    </row>
    <row r="1530" spans="91:102" ht="21" customHeight="1">
      <c r="CM1530" s="494"/>
      <c r="CN1530" s="496" t="s">
        <v>4105</v>
      </c>
      <c r="CO1530" s="496" t="s">
        <v>11</v>
      </c>
      <c r="CP1530" s="496" t="s">
        <v>689</v>
      </c>
      <c r="CQ1530" s="496" t="s">
        <v>4106</v>
      </c>
      <c r="CR1530" s="496" t="s">
        <v>4106</v>
      </c>
      <c r="CS1530" s="496" t="s">
        <v>3959</v>
      </c>
      <c r="CT1530" s="496" t="s">
        <v>3960</v>
      </c>
      <c r="CU1530" s="496" t="s">
        <v>3961</v>
      </c>
      <c r="CV1530" s="497" t="s">
        <v>3962</v>
      </c>
      <c r="CX1530" s="543">
        <v>1</v>
      </c>
    </row>
    <row r="1531" spans="91:102" ht="21" customHeight="1">
      <c r="CM1531" s="494"/>
      <c r="CN1531" s="496" t="s">
        <v>4107</v>
      </c>
      <c r="CO1531" s="496" t="s">
        <v>11</v>
      </c>
      <c r="CP1531" s="496" t="s">
        <v>689</v>
      </c>
      <c r="CQ1531" s="496" t="s">
        <v>4108</v>
      </c>
      <c r="CR1531" s="496" t="s">
        <v>950</v>
      </c>
      <c r="CS1531" s="496" t="s">
        <v>1085</v>
      </c>
      <c r="CT1531" s="496" t="s">
        <v>3974</v>
      </c>
      <c r="CU1531" s="496" t="s">
        <v>1087</v>
      </c>
      <c r="CV1531" s="497" t="s">
        <v>1088</v>
      </c>
      <c r="CX1531" s="543">
        <v>1</v>
      </c>
    </row>
    <row r="1532" spans="91:102" ht="21" customHeight="1">
      <c r="CM1532" s="494"/>
      <c r="CN1532" s="496" t="s">
        <v>4109</v>
      </c>
      <c r="CO1532" s="496" t="s">
        <v>11</v>
      </c>
      <c r="CP1532" s="496" t="s">
        <v>689</v>
      </c>
      <c r="CQ1532" s="496" t="s">
        <v>4110</v>
      </c>
      <c r="CR1532" s="496" t="s">
        <v>4110</v>
      </c>
      <c r="CS1532" s="496" t="s">
        <v>1085</v>
      </c>
      <c r="CT1532" s="496" t="s">
        <v>3974</v>
      </c>
      <c r="CU1532" s="496" t="s">
        <v>1087</v>
      </c>
      <c r="CV1532" s="497" t="s">
        <v>1088</v>
      </c>
      <c r="CX1532" s="543">
        <v>1</v>
      </c>
    </row>
    <row r="1533" spans="91:102" ht="21" customHeight="1">
      <c r="CM1533" s="494"/>
      <c r="CN1533" s="496" t="s">
        <v>4111</v>
      </c>
      <c r="CO1533" s="496" t="s">
        <v>11</v>
      </c>
      <c r="CP1533" s="496" t="s">
        <v>689</v>
      </c>
      <c r="CQ1533" s="496" t="s">
        <v>4112</v>
      </c>
      <c r="CR1533" s="496" t="s">
        <v>4112</v>
      </c>
      <c r="CS1533" s="496" t="s">
        <v>3959</v>
      </c>
      <c r="CT1533" s="496" t="s">
        <v>3960</v>
      </c>
      <c r="CU1533" s="496" t="s">
        <v>3961</v>
      </c>
      <c r="CV1533" s="497" t="s">
        <v>3962</v>
      </c>
      <c r="CX1533" s="543">
        <v>1</v>
      </c>
    </row>
    <row r="1534" spans="91:102" ht="21" customHeight="1">
      <c r="CM1534" s="494"/>
      <c r="CN1534" s="496" t="s">
        <v>4113</v>
      </c>
      <c r="CO1534" s="496" t="s">
        <v>11</v>
      </c>
      <c r="CP1534" s="496" t="s">
        <v>689</v>
      </c>
      <c r="CQ1534" s="496" t="s">
        <v>951</v>
      </c>
      <c r="CR1534" s="496" t="s">
        <v>951</v>
      </c>
      <c r="CS1534" s="496" t="s">
        <v>1085</v>
      </c>
      <c r="CT1534" s="496" t="s">
        <v>3974</v>
      </c>
      <c r="CU1534" s="496" t="s">
        <v>1087</v>
      </c>
      <c r="CV1534" s="497" t="s">
        <v>1088</v>
      </c>
      <c r="CX1534" s="543">
        <v>1</v>
      </c>
    </row>
    <row r="1535" spans="91:102" ht="21" customHeight="1">
      <c r="CM1535" s="494"/>
      <c r="CN1535" s="496" t="s">
        <v>4114</v>
      </c>
      <c r="CO1535" s="496" t="s">
        <v>11</v>
      </c>
      <c r="CP1535" s="496" t="s">
        <v>689</v>
      </c>
      <c r="CQ1535" s="496" t="s">
        <v>327</v>
      </c>
      <c r="CR1535" s="496" t="s">
        <v>327</v>
      </c>
      <c r="CS1535" s="496" t="s">
        <v>1151</v>
      </c>
      <c r="CT1535" s="496" t="s">
        <v>1152</v>
      </c>
      <c r="CU1535" s="496" t="s">
        <v>1087</v>
      </c>
      <c r="CV1535" s="497" t="s">
        <v>1153</v>
      </c>
      <c r="CX1535" s="543">
        <v>1</v>
      </c>
    </row>
    <row r="1536" spans="91:102" ht="21" customHeight="1">
      <c r="CM1536" s="494"/>
      <c r="CN1536" s="496" t="s">
        <v>4115</v>
      </c>
      <c r="CO1536" s="496" t="s">
        <v>11</v>
      </c>
      <c r="CP1536" s="496" t="s">
        <v>689</v>
      </c>
      <c r="CQ1536" s="496" t="s">
        <v>4116</v>
      </c>
      <c r="CR1536" s="496" t="s">
        <v>4116</v>
      </c>
      <c r="CS1536" s="496" t="s">
        <v>1085</v>
      </c>
      <c r="CT1536" s="496" t="s">
        <v>3974</v>
      </c>
      <c r="CU1536" s="496" t="s">
        <v>1087</v>
      </c>
      <c r="CV1536" s="497" t="s">
        <v>1088</v>
      </c>
      <c r="CX1536" s="543">
        <v>1</v>
      </c>
    </row>
    <row r="1537" spans="91:102" ht="21" customHeight="1">
      <c r="CM1537" s="494"/>
      <c r="CN1537" s="496" t="s">
        <v>4117</v>
      </c>
      <c r="CO1537" s="496" t="s">
        <v>11</v>
      </c>
      <c r="CP1537" s="496" t="s">
        <v>689</v>
      </c>
      <c r="CQ1537" s="496" t="s">
        <v>4118</v>
      </c>
      <c r="CR1537" s="496" t="s">
        <v>4118</v>
      </c>
      <c r="CS1537" s="496" t="s">
        <v>1151</v>
      </c>
      <c r="CT1537" s="496" t="s">
        <v>1152</v>
      </c>
      <c r="CU1537" s="496" t="s">
        <v>1087</v>
      </c>
      <c r="CV1537" s="497" t="s">
        <v>1153</v>
      </c>
      <c r="CX1537" s="543">
        <v>1</v>
      </c>
    </row>
    <row r="1538" spans="91:102" ht="21" customHeight="1">
      <c r="CM1538" s="494"/>
      <c r="CN1538" s="496" t="s">
        <v>4119</v>
      </c>
      <c r="CO1538" s="496" t="s">
        <v>11</v>
      </c>
      <c r="CP1538" s="496" t="s">
        <v>689</v>
      </c>
      <c r="CQ1538" s="496" t="s">
        <v>227</v>
      </c>
      <c r="CR1538" s="496" t="s">
        <v>161</v>
      </c>
      <c r="CS1538" s="496" t="s">
        <v>1085</v>
      </c>
      <c r="CT1538" s="496" t="s">
        <v>3974</v>
      </c>
      <c r="CU1538" s="496" t="s">
        <v>1087</v>
      </c>
      <c r="CV1538" s="497" t="s">
        <v>1088</v>
      </c>
      <c r="CX1538" s="543">
        <v>1</v>
      </c>
    </row>
    <row r="1539" spans="91:102" ht="21" customHeight="1">
      <c r="CM1539" s="494"/>
      <c r="CN1539" s="496" t="s">
        <v>4120</v>
      </c>
      <c r="CO1539" s="496" t="s">
        <v>11</v>
      </c>
      <c r="CP1539" s="496" t="s">
        <v>689</v>
      </c>
      <c r="CQ1539" s="496" t="s">
        <v>4121</v>
      </c>
      <c r="CR1539" s="496" t="s">
        <v>4122</v>
      </c>
      <c r="CS1539" s="496" t="s">
        <v>3959</v>
      </c>
      <c r="CT1539" s="496" t="s">
        <v>3960</v>
      </c>
      <c r="CU1539" s="496" t="s">
        <v>3961</v>
      </c>
      <c r="CV1539" s="497" t="s">
        <v>3962</v>
      </c>
      <c r="CX1539" s="543">
        <v>1</v>
      </c>
    </row>
    <row r="1540" spans="91:102" ht="21" customHeight="1">
      <c r="CM1540" s="494"/>
      <c r="CN1540" s="496" t="s">
        <v>4123</v>
      </c>
      <c r="CO1540" s="496" t="s">
        <v>11</v>
      </c>
      <c r="CP1540" s="496" t="s">
        <v>689</v>
      </c>
      <c r="CQ1540" s="496" t="s">
        <v>4124</v>
      </c>
      <c r="CR1540" s="496" t="s">
        <v>4125</v>
      </c>
      <c r="CS1540" s="496" t="s">
        <v>3959</v>
      </c>
      <c r="CT1540" s="496" t="s">
        <v>3960</v>
      </c>
      <c r="CU1540" s="496" t="s">
        <v>3961</v>
      </c>
      <c r="CV1540" s="497" t="s">
        <v>3962</v>
      </c>
      <c r="CX1540" s="543">
        <v>1</v>
      </c>
    </row>
    <row r="1541" spans="91:102" ht="21" customHeight="1">
      <c r="CM1541" s="494"/>
      <c r="CN1541" s="496" t="s">
        <v>4126</v>
      </c>
      <c r="CO1541" s="496" t="s">
        <v>11</v>
      </c>
      <c r="CP1541" s="496" t="s">
        <v>689</v>
      </c>
      <c r="CQ1541" s="496" t="s">
        <v>4127</v>
      </c>
      <c r="CR1541" s="496" t="s">
        <v>4128</v>
      </c>
      <c r="CS1541" s="496" t="s">
        <v>1151</v>
      </c>
      <c r="CT1541" s="496" t="s">
        <v>1152</v>
      </c>
      <c r="CU1541" s="496" t="s">
        <v>1087</v>
      </c>
      <c r="CV1541" s="497" t="s">
        <v>1153</v>
      </c>
      <c r="CX1541" s="543">
        <v>1</v>
      </c>
    </row>
    <row r="1542" spans="91:102" ht="21" customHeight="1">
      <c r="CM1542" s="494"/>
      <c r="CN1542" s="496" t="s">
        <v>4129</v>
      </c>
      <c r="CO1542" s="496" t="s">
        <v>11</v>
      </c>
      <c r="CP1542" s="496" t="s">
        <v>689</v>
      </c>
      <c r="CQ1542" s="496" t="s">
        <v>4130</v>
      </c>
      <c r="CR1542" s="496" t="s">
        <v>4131</v>
      </c>
      <c r="CS1542" s="496" t="s">
        <v>3959</v>
      </c>
      <c r="CT1542" s="496" t="s">
        <v>3960</v>
      </c>
      <c r="CU1542" s="496" t="s">
        <v>3961</v>
      </c>
      <c r="CV1542" s="497" t="s">
        <v>3962</v>
      </c>
      <c r="CX1542" s="543">
        <v>1</v>
      </c>
    </row>
    <row r="1543" spans="91:102" ht="21" customHeight="1">
      <c r="CM1543" s="494"/>
      <c r="CN1543" s="496" t="s">
        <v>4132</v>
      </c>
      <c r="CO1543" s="496" t="s">
        <v>11</v>
      </c>
      <c r="CP1543" s="496" t="s">
        <v>689</v>
      </c>
      <c r="CQ1543" s="496" t="s">
        <v>4133</v>
      </c>
      <c r="CR1543" s="496" t="s">
        <v>698</v>
      </c>
      <c r="CS1543" s="496" t="s">
        <v>1085</v>
      </c>
      <c r="CT1543" s="496" t="s">
        <v>3974</v>
      </c>
      <c r="CU1543" s="496" t="s">
        <v>1087</v>
      </c>
      <c r="CV1543" s="497" t="s">
        <v>1088</v>
      </c>
      <c r="CX1543" s="543">
        <v>1</v>
      </c>
    </row>
    <row r="1544" spans="91:102" ht="21" customHeight="1">
      <c r="CM1544" s="494"/>
      <c r="CN1544" s="496" t="s">
        <v>4134</v>
      </c>
      <c r="CO1544" s="496" t="s">
        <v>11</v>
      </c>
      <c r="CP1544" s="496" t="s">
        <v>689</v>
      </c>
      <c r="CQ1544" s="496" t="s">
        <v>4135</v>
      </c>
      <c r="CR1544" s="496" t="s">
        <v>4136</v>
      </c>
      <c r="CS1544" s="496" t="s">
        <v>3959</v>
      </c>
      <c r="CT1544" s="496" t="s">
        <v>3960</v>
      </c>
      <c r="CU1544" s="496" t="s">
        <v>3961</v>
      </c>
      <c r="CV1544" s="497" t="s">
        <v>3962</v>
      </c>
      <c r="CX1544" s="543">
        <v>1</v>
      </c>
    </row>
    <row r="1545" spans="91:102" ht="21" customHeight="1">
      <c r="CM1545" s="494"/>
      <c r="CN1545" s="496" t="s">
        <v>4137</v>
      </c>
      <c r="CO1545" s="496" t="s">
        <v>11</v>
      </c>
      <c r="CP1545" s="496" t="s">
        <v>689</v>
      </c>
      <c r="CQ1545" s="496" t="s">
        <v>4138</v>
      </c>
      <c r="CR1545" s="496" t="s">
        <v>4139</v>
      </c>
      <c r="CS1545" s="496" t="s">
        <v>3959</v>
      </c>
      <c r="CT1545" s="496" t="s">
        <v>3960</v>
      </c>
      <c r="CU1545" s="496" t="s">
        <v>3961</v>
      </c>
      <c r="CV1545" s="497" t="s">
        <v>3962</v>
      </c>
      <c r="CX1545" s="543">
        <v>1</v>
      </c>
    </row>
    <row r="1546" spans="91:102" ht="21" customHeight="1">
      <c r="CM1546" s="494"/>
      <c r="CN1546" s="496" t="s">
        <v>4140</v>
      </c>
      <c r="CO1546" s="496" t="s">
        <v>11</v>
      </c>
      <c r="CP1546" s="496" t="s">
        <v>689</v>
      </c>
      <c r="CQ1546" s="496" t="s">
        <v>4141</v>
      </c>
      <c r="CR1546" s="496" t="s">
        <v>180</v>
      </c>
      <c r="CS1546" s="496" t="s">
        <v>1085</v>
      </c>
      <c r="CT1546" s="496" t="s">
        <v>3974</v>
      </c>
      <c r="CU1546" s="496" t="s">
        <v>1087</v>
      </c>
      <c r="CV1546" s="497" t="s">
        <v>1088</v>
      </c>
      <c r="CX1546" s="543">
        <v>1</v>
      </c>
    </row>
    <row r="1547" spans="91:102" ht="21" customHeight="1">
      <c r="CM1547" s="494"/>
      <c r="CN1547" s="496" t="s">
        <v>4142</v>
      </c>
      <c r="CO1547" s="496" t="s">
        <v>11</v>
      </c>
      <c r="CP1547" s="496" t="s">
        <v>689</v>
      </c>
      <c r="CQ1547" s="496" t="s">
        <v>1926</v>
      </c>
      <c r="CR1547" s="496" t="s">
        <v>956</v>
      </c>
      <c r="CS1547" s="496" t="s">
        <v>1085</v>
      </c>
      <c r="CT1547" s="496" t="s">
        <v>3974</v>
      </c>
      <c r="CU1547" s="496" t="s">
        <v>1087</v>
      </c>
      <c r="CV1547" s="497" t="s">
        <v>1088</v>
      </c>
      <c r="CX1547" s="543">
        <v>1</v>
      </c>
    </row>
    <row r="1548" spans="91:102" ht="21" customHeight="1">
      <c r="CM1548" s="494"/>
      <c r="CN1548" s="496" t="s">
        <v>4143</v>
      </c>
      <c r="CO1548" s="496" t="s">
        <v>11</v>
      </c>
      <c r="CP1548" s="496" t="s">
        <v>689</v>
      </c>
      <c r="CQ1548" s="496" t="s">
        <v>329</v>
      </c>
      <c r="CR1548" s="496" t="s">
        <v>328</v>
      </c>
      <c r="CS1548" s="496" t="s">
        <v>1085</v>
      </c>
      <c r="CT1548" s="496" t="s">
        <v>3974</v>
      </c>
      <c r="CU1548" s="496" t="s">
        <v>1087</v>
      </c>
      <c r="CV1548" s="497" t="s">
        <v>1088</v>
      </c>
      <c r="CX1548" s="543">
        <v>1</v>
      </c>
    </row>
    <row r="1549" spans="91:102" ht="21" customHeight="1">
      <c r="CM1549" s="494"/>
      <c r="CN1549" s="496" t="s">
        <v>4144</v>
      </c>
      <c r="CO1549" s="496" t="s">
        <v>11</v>
      </c>
      <c r="CP1549" s="496" t="s">
        <v>689</v>
      </c>
      <c r="CQ1549" s="496" t="s">
        <v>4145</v>
      </c>
      <c r="CR1549" s="496" t="s">
        <v>4145</v>
      </c>
      <c r="CS1549" s="496" t="s">
        <v>3959</v>
      </c>
      <c r="CT1549" s="496" t="s">
        <v>3960</v>
      </c>
      <c r="CU1549" s="496" t="s">
        <v>3961</v>
      </c>
      <c r="CV1549" s="497" t="s">
        <v>3962</v>
      </c>
      <c r="CX1549" s="543">
        <v>1</v>
      </c>
    </row>
    <row r="1550" spans="91:102" ht="21" customHeight="1">
      <c r="CM1550" s="494"/>
      <c r="CN1550" s="496" t="s">
        <v>4146</v>
      </c>
      <c r="CO1550" s="496" t="s">
        <v>11</v>
      </c>
      <c r="CP1550" s="496" t="s">
        <v>689</v>
      </c>
      <c r="CQ1550" s="496" t="s">
        <v>4147</v>
      </c>
      <c r="CR1550" s="496" t="s">
        <v>4147</v>
      </c>
      <c r="CS1550" s="496" t="s">
        <v>3959</v>
      </c>
      <c r="CT1550" s="496" t="s">
        <v>3960</v>
      </c>
      <c r="CU1550" s="496" t="s">
        <v>3961</v>
      </c>
      <c r="CV1550" s="497" t="s">
        <v>3962</v>
      </c>
      <c r="CX1550" s="543">
        <v>1</v>
      </c>
    </row>
    <row r="1551" spans="91:102" ht="21" customHeight="1">
      <c r="CM1551" s="494"/>
      <c r="CN1551" s="496" t="s">
        <v>4148</v>
      </c>
      <c r="CO1551" s="496" t="s">
        <v>11</v>
      </c>
      <c r="CP1551" s="496" t="s">
        <v>689</v>
      </c>
      <c r="CQ1551" s="496" t="s">
        <v>4149</v>
      </c>
      <c r="CR1551" s="496" t="s">
        <v>4149</v>
      </c>
      <c r="CS1551" s="496" t="s">
        <v>3959</v>
      </c>
      <c r="CT1551" s="496" t="s">
        <v>3960</v>
      </c>
      <c r="CU1551" s="496" t="s">
        <v>3961</v>
      </c>
      <c r="CV1551" s="497" t="s">
        <v>3962</v>
      </c>
      <c r="CX1551" s="543">
        <v>1</v>
      </c>
    </row>
    <row r="1552" spans="91:102" ht="21" customHeight="1">
      <c r="CM1552" s="494"/>
      <c r="CN1552" s="496" t="s">
        <v>4150</v>
      </c>
      <c r="CO1552" s="496" t="s">
        <v>11</v>
      </c>
      <c r="CP1552" s="496" t="s">
        <v>689</v>
      </c>
      <c r="CQ1552" s="496" t="s">
        <v>4151</v>
      </c>
      <c r="CR1552" s="496" t="s">
        <v>4151</v>
      </c>
      <c r="CS1552" s="496" t="s">
        <v>3959</v>
      </c>
      <c r="CT1552" s="496" t="s">
        <v>3960</v>
      </c>
      <c r="CU1552" s="496" t="s">
        <v>3961</v>
      </c>
      <c r="CV1552" s="497" t="s">
        <v>3962</v>
      </c>
      <c r="CX1552" s="543">
        <v>1</v>
      </c>
    </row>
    <row r="1553" spans="91:102" ht="21" customHeight="1">
      <c r="CM1553" s="494"/>
      <c r="CN1553" s="496" t="s">
        <v>4152</v>
      </c>
      <c r="CO1553" s="496" t="s">
        <v>11</v>
      </c>
      <c r="CP1553" s="496" t="s">
        <v>689</v>
      </c>
      <c r="CQ1553" s="496" t="s">
        <v>4153</v>
      </c>
      <c r="CR1553" s="496" t="s">
        <v>4153</v>
      </c>
      <c r="CS1553" s="496" t="s">
        <v>3959</v>
      </c>
      <c r="CT1553" s="496" t="s">
        <v>3960</v>
      </c>
      <c r="CU1553" s="496" t="s">
        <v>3961</v>
      </c>
      <c r="CV1553" s="497" t="s">
        <v>3962</v>
      </c>
      <c r="CX1553" s="543">
        <v>1</v>
      </c>
    </row>
    <row r="1554" spans="91:102" ht="21" customHeight="1">
      <c r="CM1554" s="494"/>
      <c r="CN1554" s="496" t="s">
        <v>4154</v>
      </c>
      <c r="CO1554" s="496" t="s">
        <v>11</v>
      </c>
      <c r="CP1554" s="496" t="s">
        <v>689</v>
      </c>
      <c r="CQ1554" s="496" t="s">
        <v>4155</v>
      </c>
      <c r="CR1554" s="496" t="s">
        <v>4155</v>
      </c>
      <c r="CS1554" s="496" t="s">
        <v>1085</v>
      </c>
      <c r="CT1554" s="496" t="s">
        <v>3974</v>
      </c>
      <c r="CU1554" s="496" t="s">
        <v>1087</v>
      </c>
      <c r="CV1554" s="497" t="s">
        <v>1088</v>
      </c>
      <c r="CX1554" s="543">
        <v>1</v>
      </c>
    </row>
    <row r="1555" spans="91:102" ht="21" customHeight="1">
      <c r="CM1555" s="494"/>
      <c r="CN1555" s="496" t="s">
        <v>4156</v>
      </c>
      <c r="CO1555" s="496" t="s">
        <v>11</v>
      </c>
      <c r="CP1555" s="496" t="s">
        <v>689</v>
      </c>
      <c r="CQ1555" s="496" t="s">
        <v>958</v>
      </c>
      <c r="CR1555" s="496" t="s">
        <v>958</v>
      </c>
      <c r="CS1555" s="496" t="s">
        <v>1085</v>
      </c>
      <c r="CT1555" s="496" t="s">
        <v>3974</v>
      </c>
      <c r="CU1555" s="496" t="s">
        <v>1087</v>
      </c>
      <c r="CV1555" s="497" t="s">
        <v>1088</v>
      </c>
      <c r="CX1555" s="543">
        <v>1</v>
      </c>
    </row>
    <row r="1556" spans="91:102" ht="21" customHeight="1">
      <c r="CM1556" s="494"/>
      <c r="CN1556" s="496" t="s">
        <v>4157</v>
      </c>
      <c r="CO1556" s="496" t="s">
        <v>11</v>
      </c>
      <c r="CP1556" s="496" t="s">
        <v>689</v>
      </c>
      <c r="CQ1556" s="496" t="s">
        <v>959</v>
      </c>
      <c r="CR1556" s="496" t="s">
        <v>959</v>
      </c>
      <c r="CS1556" s="496" t="s">
        <v>1085</v>
      </c>
      <c r="CT1556" s="496" t="s">
        <v>3974</v>
      </c>
      <c r="CU1556" s="496" t="s">
        <v>1087</v>
      </c>
      <c r="CV1556" s="497" t="s">
        <v>1088</v>
      </c>
      <c r="CX1556" s="543">
        <v>1</v>
      </c>
    </row>
    <row r="1557" spans="91:102" ht="21" customHeight="1">
      <c r="CM1557" s="494"/>
      <c r="CN1557" s="496" t="s">
        <v>4158</v>
      </c>
      <c r="CO1557" s="496" t="s">
        <v>11</v>
      </c>
      <c r="CP1557" s="496" t="s">
        <v>689</v>
      </c>
      <c r="CQ1557" s="496" t="s">
        <v>4159</v>
      </c>
      <c r="CR1557" s="496" t="s">
        <v>4160</v>
      </c>
      <c r="CS1557" s="496" t="s">
        <v>3959</v>
      </c>
      <c r="CT1557" s="496" t="s">
        <v>3960</v>
      </c>
      <c r="CU1557" s="496" t="s">
        <v>3961</v>
      </c>
      <c r="CV1557" s="497" t="s">
        <v>3962</v>
      </c>
      <c r="CX1557" s="543">
        <v>1</v>
      </c>
    </row>
    <row r="1558" spans="91:102" ht="21" customHeight="1">
      <c r="CM1558" s="494"/>
      <c r="CN1558" s="496" t="s">
        <v>4161</v>
      </c>
      <c r="CO1558" s="496" t="s">
        <v>11</v>
      </c>
      <c r="CP1558" s="496" t="s">
        <v>689</v>
      </c>
      <c r="CQ1558" s="496" t="s">
        <v>4162</v>
      </c>
      <c r="CR1558" s="496" t="s">
        <v>4162</v>
      </c>
      <c r="CS1558" s="496" t="s">
        <v>3959</v>
      </c>
      <c r="CT1558" s="496" t="s">
        <v>3960</v>
      </c>
      <c r="CU1558" s="496" t="s">
        <v>3961</v>
      </c>
      <c r="CV1558" s="497" t="s">
        <v>3962</v>
      </c>
      <c r="CX1558" s="543">
        <v>1</v>
      </c>
    </row>
    <row r="1559" spans="91:102" ht="21" customHeight="1">
      <c r="CM1559" s="494"/>
      <c r="CN1559" s="496" t="s">
        <v>4163</v>
      </c>
      <c r="CO1559" s="496" t="s">
        <v>11</v>
      </c>
      <c r="CP1559" s="496" t="s">
        <v>689</v>
      </c>
      <c r="CQ1559" s="496" t="s">
        <v>4164</v>
      </c>
      <c r="CR1559" s="496" t="s">
        <v>4165</v>
      </c>
      <c r="CS1559" s="496" t="s">
        <v>3959</v>
      </c>
      <c r="CT1559" s="496" t="s">
        <v>3960</v>
      </c>
      <c r="CU1559" s="496" t="s">
        <v>3961</v>
      </c>
      <c r="CV1559" s="497" t="s">
        <v>3962</v>
      </c>
      <c r="CX1559" s="543">
        <v>1</v>
      </c>
    </row>
    <row r="1560" spans="91:102" ht="21" customHeight="1">
      <c r="CM1560" s="494"/>
      <c r="CN1560" s="496" t="s">
        <v>4166</v>
      </c>
      <c r="CO1560" s="496" t="s">
        <v>11</v>
      </c>
      <c r="CP1560" s="496" t="s">
        <v>689</v>
      </c>
      <c r="CQ1560" s="496" t="s">
        <v>4167</v>
      </c>
      <c r="CR1560" s="496" t="s">
        <v>4168</v>
      </c>
      <c r="CS1560" s="496" t="s">
        <v>3959</v>
      </c>
      <c r="CT1560" s="496" t="s">
        <v>3960</v>
      </c>
      <c r="CU1560" s="496" t="s">
        <v>3961</v>
      </c>
      <c r="CV1560" s="497" t="s">
        <v>3962</v>
      </c>
      <c r="CX1560" s="543">
        <v>1</v>
      </c>
    </row>
    <row r="1561" spans="91:102" ht="21" customHeight="1">
      <c r="CM1561" s="494"/>
      <c r="CN1561" s="496" t="s">
        <v>4169</v>
      </c>
      <c r="CO1561" s="496" t="s">
        <v>11</v>
      </c>
      <c r="CP1561" s="496" t="s">
        <v>689</v>
      </c>
      <c r="CQ1561" s="496" t="s">
        <v>4170</v>
      </c>
      <c r="CR1561" s="496" t="s">
        <v>4170</v>
      </c>
      <c r="CS1561" s="496" t="s">
        <v>3959</v>
      </c>
      <c r="CT1561" s="496" t="s">
        <v>3960</v>
      </c>
      <c r="CU1561" s="496" t="s">
        <v>3961</v>
      </c>
      <c r="CV1561" s="497" t="s">
        <v>3962</v>
      </c>
      <c r="CX1561" s="543">
        <v>1</v>
      </c>
    </row>
    <row r="1562" spans="91:102" ht="21" customHeight="1">
      <c r="CM1562" s="494"/>
      <c r="CN1562" s="496" t="s">
        <v>4171</v>
      </c>
      <c r="CO1562" s="496" t="s">
        <v>11</v>
      </c>
      <c r="CP1562" s="496" t="s">
        <v>689</v>
      </c>
      <c r="CQ1562" s="496" t="s">
        <v>961</v>
      </c>
      <c r="CR1562" s="496" t="s">
        <v>961</v>
      </c>
      <c r="CS1562" s="496" t="s">
        <v>1085</v>
      </c>
      <c r="CT1562" s="496" t="s">
        <v>3974</v>
      </c>
      <c r="CU1562" s="496" t="s">
        <v>1087</v>
      </c>
      <c r="CV1562" s="497" t="s">
        <v>1088</v>
      </c>
      <c r="CX1562" s="543">
        <v>1</v>
      </c>
    </row>
    <row r="1563" spans="91:102" ht="21" customHeight="1">
      <c r="CM1563" s="494"/>
      <c r="CN1563" s="496" t="s">
        <v>4172</v>
      </c>
      <c r="CO1563" s="496" t="s">
        <v>11</v>
      </c>
      <c r="CP1563" s="496" t="s">
        <v>689</v>
      </c>
      <c r="CQ1563" s="496" t="s">
        <v>962</v>
      </c>
      <c r="CR1563" s="496" t="s">
        <v>962</v>
      </c>
      <c r="CS1563" s="496" t="s">
        <v>1085</v>
      </c>
      <c r="CT1563" s="496" t="s">
        <v>3974</v>
      </c>
      <c r="CU1563" s="496" t="s">
        <v>1087</v>
      </c>
      <c r="CV1563" s="497" t="s">
        <v>1088</v>
      </c>
      <c r="CX1563" s="543">
        <v>1</v>
      </c>
    </row>
    <row r="1564" spans="91:102" ht="21" customHeight="1">
      <c r="CM1564" s="494"/>
      <c r="CN1564" s="496" t="s">
        <v>4173</v>
      </c>
      <c r="CO1564" s="496" t="s">
        <v>11</v>
      </c>
      <c r="CP1564" s="496" t="s">
        <v>689</v>
      </c>
      <c r="CQ1564" s="496" t="s">
        <v>4174</v>
      </c>
      <c r="CR1564" s="496" t="s">
        <v>4174</v>
      </c>
      <c r="CS1564" s="496" t="s">
        <v>3959</v>
      </c>
      <c r="CT1564" s="496" t="s">
        <v>3960</v>
      </c>
      <c r="CU1564" s="496" t="s">
        <v>3961</v>
      </c>
      <c r="CV1564" s="497" t="s">
        <v>3962</v>
      </c>
      <c r="CX1564" s="543">
        <v>1</v>
      </c>
    </row>
    <row r="1565" spans="91:102" ht="21" customHeight="1">
      <c r="CM1565" s="494"/>
      <c r="CN1565" s="496" t="s">
        <v>4175</v>
      </c>
      <c r="CO1565" s="496" t="s">
        <v>11</v>
      </c>
      <c r="CP1565" s="496" t="s">
        <v>689</v>
      </c>
      <c r="CQ1565" s="496" t="s">
        <v>4176</v>
      </c>
      <c r="CR1565" s="496" t="s">
        <v>4176</v>
      </c>
      <c r="CS1565" s="496" t="s">
        <v>1085</v>
      </c>
      <c r="CT1565" s="496" t="s">
        <v>3974</v>
      </c>
      <c r="CU1565" s="496" t="s">
        <v>1087</v>
      </c>
      <c r="CV1565" s="497" t="s">
        <v>1088</v>
      </c>
      <c r="CX1565" s="543">
        <v>1</v>
      </c>
    </row>
    <row r="1566" spans="91:102" ht="21" customHeight="1">
      <c r="CM1566" s="494"/>
      <c r="CN1566" s="496" t="s">
        <v>4177</v>
      </c>
      <c r="CO1566" s="496" t="s">
        <v>11</v>
      </c>
      <c r="CP1566" s="496" t="s">
        <v>689</v>
      </c>
      <c r="CQ1566" s="496" t="s">
        <v>4178</v>
      </c>
      <c r="CR1566" s="496" t="s">
        <v>4178</v>
      </c>
      <c r="CS1566" s="496" t="s">
        <v>1085</v>
      </c>
      <c r="CT1566" s="496" t="s">
        <v>3974</v>
      </c>
      <c r="CU1566" s="496" t="s">
        <v>1087</v>
      </c>
      <c r="CV1566" s="497" t="s">
        <v>1088</v>
      </c>
      <c r="CX1566" s="543">
        <v>1</v>
      </c>
    </row>
    <row r="1567" spans="91:102" ht="21" customHeight="1">
      <c r="CM1567" s="494"/>
      <c r="CN1567" s="496" t="s">
        <v>4179</v>
      </c>
      <c r="CO1567" s="496" t="s">
        <v>11</v>
      </c>
      <c r="CP1567" s="496" t="s">
        <v>689</v>
      </c>
      <c r="CQ1567" s="496" t="s">
        <v>4180</v>
      </c>
      <c r="CR1567" s="496" t="s">
        <v>964</v>
      </c>
      <c r="CS1567" s="496" t="s">
        <v>3959</v>
      </c>
      <c r="CT1567" s="496" t="s">
        <v>3960</v>
      </c>
      <c r="CU1567" s="496" t="s">
        <v>3961</v>
      </c>
      <c r="CV1567" s="497" t="s">
        <v>3962</v>
      </c>
      <c r="CX1567" s="543">
        <v>1</v>
      </c>
    </row>
    <row r="1568" spans="91:102" ht="21" customHeight="1">
      <c r="CM1568" s="494"/>
      <c r="CN1568" s="496" t="s">
        <v>4181</v>
      </c>
      <c r="CO1568" s="496" t="s">
        <v>11</v>
      </c>
      <c r="CP1568" s="496" t="s">
        <v>689</v>
      </c>
      <c r="CQ1568" s="496" t="s">
        <v>4182</v>
      </c>
      <c r="CR1568" s="496" t="s">
        <v>4182</v>
      </c>
      <c r="CS1568" s="496" t="s">
        <v>3959</v>
      </c>
      <c r="CT1568" s="496" t="s">
        <v>3960</v>
      </c>
      <c r="CU1568" s="496" t="s">
        <v>3961</v>
      </c>
      <c r="CV1568" s="497" t="s">
        <v>3962</v>
      </c>
      <c r="CX1568" s="543">
        <v>1</v>
      </c>
    </row>
    <row r="1569" spans="91:102" ht="21" customHeight="1">
      <c r="CM1569" s="494"/>
      <c r="CN1569" s="496" t="s">
        <v>4183</v>
      </c>
      <c r="CO1569" s="496" t="s">
        <v>11</v>
      </c>
      <c r="CP1569" s="496" t="s">
        <v>689</v>
      </c>
      <c r="CQ1569" s="496" t="s">
        <v>176</v>
      </c>
      <c r="CR1569" s="496" t="s">
        <v>176</v>
      </c>
      <c r="CS1569" s="496" t="s">
        <v>1085</v>
      </c>
      <c r="CT1569" s="496" t="s">
        <v>3974</v>
      </c>
      <c r="CU1569" s="496" t="s">
        <v>1087</v>
      </c>
      <c r="CV1569" s="497" t="s">
        <v>1088</v>
      </c>
      <c r="CX1569" s="543">
        <v>1</v>
      </c>
    </row>
    <row r="1570" spans="91:102" ht="21" customHeight="1">
      <c r="CM1570" s="494"/>
      <c r="CN1570" s="496" t="s">
        <v>4184</v>
      </c>
      <c r="CO1570" s="496" t="s">
        <v>11</v>
      </c>
      <c r="CP1570" s="496" t="s">
        <v>689</v>
      </c>
      <c r="CQ1570" s="496" t="s">
        <v>4185</v>
      </c>
      <c r="CR1570" s="496" t="s">
        <v>4186</v>
      </c>
      <c r="CS1570" s="496" t="s">
        <v>3959</v>
      </c>
      <c r="CT1570" s="496" t="s">
        <v>3960</v>
      </c>
      <c r="CU1570" s="496" t="s">
        <v>3961</v>
      </c>
      <c r="CV1570" s="497" t="s">
        <v>3962</v>
      </c>
      <c r="CX1570" s="543">
        <v>1</v>
      </c>
    </row>
    <row r="1571" spans="91:102" ht="21" customHeight="1">
      <c r="CM1571" s="494"/>
      <c r="CN1571" s="496" t="s">
        <v>4187</v>
      </c>
      <c r="CO1571" s="496" t="s">
        <v>11</v>
      </c>
      <c r="CP1571" s="496" t="s">
        <v>689</v>
      </c>
      <c r="CQ1571" s="496" t="s">
        <v>4188</v>
      </c>
      <c r="CR1571" s="496" t="s">
        <v>4188</v>
      </c>
      <c r="CS1571" s="496" t="s">
        <v>3959</v>
      </c>
      <c r="CT1571" s="496" t="s">
        <v>3960</v>
      </c>
      <c r="CU1571" s="496" t="s">
        <v>3961</v>
      </c>
      <c r="CV1571" s="497" t="s">
        <v>3962</v>
      </c>
      <c r="CX1571" s="543">
        <v>1</v>
      </c>
    </row>
    <row r="1572" spans="91:102" ht="21" customHeight="1">
      <c r="CM1572" s="494"/>
      <c r="CN1572" s="496" t="s">
        <v>4189</v>
      </c>
      <c r="CO1572" s="496" t="s">
        <v>11</v>
      </c>
      <c r="CP1572" s="496" t="s">
        <v>689</v>
      </c>
      <c r="CQ1572" s="496" t="s">
        <v>965</v>
      </c>
      <c r="CR1572" s="496" t="s">
        <v>965</v>
      </c>
      <c r="CS1572" s="496" t="s">
        <v>1085</v>
      </c>
      <c r="CT1572" s="496" t="s">
        <v>3974</v>
      </c>
      <c r="CU1572" s="496" t="s">
        <v>1087</v>
      </c>
      <c r="CV1572" s="497" t="s">
        <v>1088</v>
      </c>
      <c r="CX1572" s="543">
        <v>1</v>
      </c>
    </row>
    <row r="1573" spans="91:102" ht="21" customHeight="1">
      <c r="CM1573" s="494"/>
      <c r="CN1573" s="496" t="s">
        <v>4190</v>
      </c>
      <c r="CO1573" s="496" t="s">
        <v>11</v>
      </c>
      <c r="CP1573" s="496" t="s">
        <v>689</v>
      </c>
      <c r="CQ1573" s="496" t="s">
        <v>4191</v>
      </c>
      <c r="CR1573" s="496" t="s">
        <v>4191</v>
      </c>
      <c r="CS1573" s="496" t="s">
        <v>3959</v>
      </c>
      <c r="CT1573" s="496" t="s">
        <v>3960</v>
      </c>
      <c r="CU1573" s="496" t="s">
        <v>3961</v>
      </c>
      <c r="CV1573" s="497" t="s">
        <v>3962</v>
      </c>
      <c r="CX1573" s="543">
        <v>1</v>
      </c>
    </row>
    <row r="1574" spans="91:102" ht="21" customHeight="1">
      <c r="CM1574" s="494"/>
      <c r="CN1574" s="496" t="s">
        <v>4192</v>
      </c>
      <c r="CO1574" s="496" t="s">
        <v>11</v>
      </c>
      <c r="CP1574" s="496" t="s">
        <v>689</v>
      </c>
      <c r="CQ1574" s="496" t="s">
        <v>4193</v>
      </c>
      <c r="CR1574" s="496" t="s">
        <v>966</v>
      </c>
      <c r="CS1574" s="496" t="s">
        <v>3959</v>
      </c>
      <c r="CT1574" s="496" t="s">
        <v>3960</v>
      </c>
      <c r="CU1574" s="496" t="s">
        <v>3961</v>
      </c>
      <c r="CV1574" s="497" t="s">
        <v>3962</v>
      </c>
      <c r="CX1574" s="543">
        <v>1</v>
      </c>
    </row>
    <row r="1575" spans="91:102" ht="21" customHeight="1">
      <c r="CM1575" s="494"/>
      <c r="CN1575" s="496" t="s">
        <v>4194</v>
      </c>
      <c r="CO1575" s="496" t="s">
        <v>11</v>
      </c>
      <c r="CP1575" s="496" t="s">
        <v>689</v>
      </c>
      <c r="CQ1575" s="496" t="s">
        <v>4195</v>
      </c>
      <c r="CR1575" s="496" t="s">
        <v>4195</v>
      </c>
      <c r="CS1575" s="496" t="s">
        <v>3959</v>
      </c>
      <c r="CT1575" s="496" t="s">
        <v>3960</v>
      </c>
      <c r="CU1575" s="496" t="s">
        <v>3961</v>
      </c>
      <c r="CV1575" s="497" t="s">
        <v>3962</v>
      </c>
      <c r="CX1575" s="543">
        <v>1</v>
      </c>
    </row>
    <row r="1576" spans="91:102" ht="21" customHeight="1">
      <c r="CM1576" s="494"/>
      <c r="CN1576" s="496" t="s">
        <v>4196</v>
      </c>
      <c r="CO1576" s="496" t="s">
        <v>11</v>
      </c>
      <c r="CP1576" s="496" t="s">
        <v>689</v>
      </c>
      <c r="CQ1576" s="496" t="s">
        <v>4197</v>
      </c>
      <c r="CR1576" s="496" t="s">
        <v>4197</v>
      </c>
      <c r="CS1576" s="496" t="s">
        <v>3959</v>
      </c>
      <c r="CT1576" s="496" t="s">
        <v>3960</v>
      </c>
      <c r="CU1576" s="496" t="s">
        <v>3961</v>
      </c>
      <c r="CV1576" s="497" t="s">
        <v>3962</v>
      </c>
      <c r="CX1576" s="543">
        <v>1</v>
      </c>
    </row>
    <row r="1577" spans="91:102" ht="21" customHeight="1">
      <c r="CM1577" s="494"/>
      <c r="CN1577" s="496" t="s">
        <v>4198</v>
      </c>
      <c r="CO1577" s="496" t="s">
        <v>11</v>
      </c>
      <c r="CP1577" s="496" t="s">
        <v>689</v>
      </c>
      <c r="CQ1577" s="496" t="s">
        <v>967</v>
      </c>
      <c r="CR1577" s="496" t="s">
        <v>967</v>
      </c>
      <c r="CS1577" s="496" t="s">
        <v>3959</v>
      </c>
      <c r="CT1577" s="496" t="s">
        <v>3960</v>
      </c>
      <c r="CU1577" s="496" t="s">
        <v>3961</v>
      </c>
      <c r="CV1577" s="497" t="s">
        <v>3962</v>
      </c>
      <c r="CX1577" s="543">
        <v>1</v>
      </c>
    </row>
    <row r="1578" spans="91:102" ht="21" customHeight="1">
      <c r="CM1578" s="494"/>
      <c r="CN1578" s="496" t="s">
        <v>4199</v>
      </c>
      <c r="CO1578" s="496" t="s">
        <v>11</v>
      </c>
      <c r="CP1578" s="496" t="s">
        <v>689</v>
      </c>
      <c r="CQ1578" s="496" t="s">
        <v>4200</v>
      </c>
      <c r="CR1578" s="496" t="s">
        <v>4201</v>
      </c>
      <c r="CS1578" s="496" t="s">
        <v>3959</v>
      </c>
      <c r="CT1578" s="496" t="s">
        <v>3960</v>
      </c>
      <c r="CU1578" s="496" t="s">
        <v>3961</v>
      </c>
      <c r="CV1578" s="497" t="s">
        <v>3962</v>
      </c>
      <c r="CX1578" s="543">
        <v>1</v>
      </c>
    </row>
    <row r="1579" spans="91:102" ht="21" customHeight="1">
      <c r="CM1579" s="494"/>
      <c r="CN1579" s="496" t="s">
        <v>4202</v>
      </c>
      <c r="CO1579" s="496" t="s">
        <v>11</v>
      </c>
      <c r="CP1579" s="496" t="s">
        <v>689</v>
      </c>
      <c r="CQ1579" s="496" t="s">
        <v>968</v>
      </c>
      <c r="CR1579" s="496" t="s">
        <v>968</v>
      </c>
      <c r="CS1579" s="496" t="s">
        <v>1085</v>
      </c>
      <c r="CT1579" s="496" t="s">
        <v>3974</v>
      </c>
      <c r="CU1579" s="496" t="s">
        <v>1087</v>
      </c>
      <c r="CV1579" s="497" t="s">
        <v>1088</v>
      </c>
      <c r="CX1579" s="543">
        <v>1</v>
      </c>
    </row>
    <row r="1580" spans="91:102" ht="21" customHeight="1">
      <c r="CM1580" s="494"/>
      <c r="CN1580" s="496" t="s">
        <v>4203</v>
      </c>
      <c r="CO1580" s="496" t="s">
        <v>11</v>
      </c>
      <c r="CP1580" s="496" t="s">
        <v>689</v>
      </c>
      <c r="CQ1580" s="496" t="s">
        <v>4204</v>
      </c>
      <c r="CR1580" s="496" t="s">
        <v>4204</v>
      </c>
      <c r="CS1580" s="496" t="s">
        <v>3959</v>
      </c>
      <c r="CT1580" s="496" t="s">
        <v>3960</v>
      </c>
      <c r="CU1580" s="496" t="s">
        <v>3961</v>
      </c>
      <c r="CV1580" s="497" t="s">
        <v>3962</v>
      </c>
      <c r="CX1580" s="543">
        <v>1</v>
      </c>
    </row>
    <row r="1581" spans="91:102" ht="21" customHeight="1">
      <c r="CM1581" s="494"/>
      <c r="CN1581" s="496" t="s">
        <v>4205</v>
      </c>
      <c r="CO1581" s="496" t="s">
        <v>11</v>
      </c>
      <c r="CP1581" s="496" t="s">
        <v>689</v>
      </c>
      <c r="CQ1581" s="496" t="s">
        <v>4206</v>
      </c>
      <c r="CR1581" s="496" t="s">
        <v>4206</v>
      </c>
      <c r="CS1581" s="496" t="s">
        <v>1085</v>
      </c>
      <c r="CT1581" s="496" t="s">
        <v>3974</v>
      </c>
      <c r="CU1581" s="496" t="s">
        <v>1087</v>
      </c>
      <c r="CV1581" s="497" t="s">
        <v>1088</v>
      </c>
      <c r="CX1581" s="543">
        <v>1</v>
      </c>
    </row>
    <row r="1582" spans="91:102" ht="21" customHeight="1">
      <c r="CM1582" s="494"/>
      <c r="CN1582" s="496" t="s">
        <v>4207</v>
      </c>
      <c r="CO1582" s="496" t="s">
        <v>11</v>
      </c>
      <c r="CP1582" s="496" t="s">
        <v>689</v>
      </c>
      <c r="CQ1582" s="496" t="s">
        <v>4208</v>
      </c>
      <c r="CR1582" s="496" t="s">
        <v>4208</v>
      </c>
      <c r="CS1582" s="496" t="s">
        <v>3959</v>
      </c>
      <c r="CT1582" s="496" t="s">
        <v>3960</v>
      </c>
      <c r="CU1582" s="496" t="s">
        <v>3961</v>
      </c>
      <c r="CV1582" s="497" t="s">
        <v>3962</v>
      </c>
      <c r="CX1582" s="543">
        <v>1</v>
      </c>
    </row>
    <row r="1583" spans="91:102" ht="21" customHeight="1">
      <c r="CM1583" s="494"/>
      <c r="CN1583" s="496" t="s">
        <v>4209</v>
      </c>
      <c r="CO1583" s="496" t="s">
        <v>11</v>
      </c>
      <c r="CP1583" s="496" t="s">
        <v>689</v>
      </c>
      <c r="CQ1583" s="496" t="s">
        <v>4210</v>
      </c>
      <c r="CR1583" s="496" t="s">
        <v>4210</v>
      </c>
      <c r="CS1583" s="496" t="s">
        <v>3959</v>
      </c>
      <c r="CT1583" s="496" t="s">
        <v>3960</v>
      </c>
      <c r="CU1583" s="496" t="s">
        <v>3961</v>
      </c>
      <c r="CV1583" s="497" t="s">
        <v>3962</v>
      </c>
      <c r="CX1583" s="543">
        <v>1</v>
      </c>
    </row>
    <row r="1584" spans="91:102" ht="21" customHeight="1">
      <c r="CM1584" s="494"/>
      <c r="CN1584" s="496" t="s">
        <v>4211</v>
      </c>
      <c r="CO1584" s="496" t="s">
        <v>11</v>
      </c>
      <c r="CP1584" s="496" t="s">
        <v>689</v>
      </c>
      <c r="CQ1584" s="496" t="s">
        <v>4212</v>
      </c>
      <c r="CR1584" s="496" t="s">
        <v>4212</v>
      </c>
      <c r="CS1584" s="496" t="s">
        <v>3959</v>
      </c>
      <c r="CT1584" s="496" t="s">
        <v>3960</v>
      </c>
      <c r="CU1584" s="496" t="s">
        <v>3961</v>
      </c>
      <c r="CV1584" s="497" t="s">
        <v>3962</v>
      </c>
      <c r="CX1584" s="543">
        <v>1</v>
      </c>
    </row>
    <row r="1585" spans="91:102" ht="21" customHeight="1">
      <c r="CM1585" s="494"/>
      <c r="CN1585" s="496" t="s">
        <v>4213</v>
      </c>
      <c r="CO1585" s="496" t="s">
        <v>11</v>
      </c>
      <c r="CP1585" s="496" t="s">
        <v>689</v>
      </c>
      <c r="CQ1585" s="496" t="s">
        <v>4214</v>
      </c>
      <c r="CR1585" s="496" t="s">
        <v>4214</v>
      </c>
      <c r="CS1585" s="496" t="s">
        <v>1085</v>
      </c>
      <c r="CT1585" s="496" t="s">
        <v>3974</v>
      </c>
      <c r="CU1585" s="496" t="s">
        <v>1087</v>
      </c>
      <c r="CV1585" s="497" t="s">
        <v>1088</v>
      </c>
      <c r="CX1585" s="543">
        <v>1</v>
      </c>
    </row>
    <row r="1586" spans="91:102" ht="21" customHeight="1">
      <c r="CM1586" s="494"/>
      <c r="CN1586" s="496" t="s">
        <v>4215</v>
      </c>
      <c r="CO1586" s="496" t="s">
        <v>11</v>
      </c>
      <c r="CP1586" s="496" t="s">
        <v>689</v>
      </c>
      <c r="CQ1586" s="496" t="s">
        <v>4216</v>
      </c>
      <c r="CR1586" s="496" t="s">
        <v>4216</v>
      </c>
      <c r="CS1586" s="496" t="s">
        <v>1085</v>
      </c>
      <c r="CT1586" s="496" t="s">
        <v>3974</v>
      </c>
      <c r="CU1586" s="496" t="s">
        <v>1087</v>
      </c>
      <c r="CV1586" s="497" t="s">
        <v>1088</v>
      </c>
      <c r="CX1586" s="543">
        <v>1</v>
      </c>
    </row>
    <row r="1587" spans="91:102" ht="21" customHeight="1">
      <c r="CM1587" s="494"/>
      <c r="CN1587" s="496" t="s">
        <v>4217</v>
      </c>
      <c r="CO1587" s="496" t="s">
        <v>11</v>
      </c>
      <c r="CP1587" s="496" t="s">
        <v>689</v>
      </c>
      <c r="CQ1587" s="496" t="s">
        <v>970</v>
      </c>
      <c r="CR1587" s="496" t="s">
        <v>970</v>
      </c>
      <c r="CS1587" s="496" t="s">
        <v>1085</v>
      </c>
      <c r="CT1587" s="496" t="s">
        <v>3974</v>
      </c>
      <c r="CU1587" s="496" t="s">
        <v>1087</v>
      </c>
      <c r="CV1587" s="497" t="s">
        <v>1088</v>
      </c>
      <c r="CX1587" s="543">
        <v>1</v>
      </c>
    </row>
    <row r="1588" spans="91:102" ht="21" customHeight="1">
      <c r="CM1588" s="494"/>
      <c r="CN1588" s="496" t="s">
        <v>4218</v>
      </c>
      <c r="CO1588" s="496" t="s">
        <v>11</v>
      </c>
      <c r="CP1588" s="496" t="s">
        <v>689</v>
      </c>
      <c r="CQ1588" s="496" t="s">
        <v>4219</v>
      </c>
      <c r="CR1588" s="496" t="s">
        <v>4219</v>
      </c>
      <c r="CS1588" s="496" t="s">
        <v>1085</v>
      </c>
      <c r="CT1588" s="496" t="s">
        <v>3974</v>
      </c>
      <c r="CU1588" s="496" t="s">
        <v>1087</v>
      </c>
      <c r="CV1588" s="497" t="s">
        <v>1088</v>
      </c>
      <c r="CX1588" s="543">
        <v>1</v>
      </c>
    </row>
    <row r="1589" spans="91:102" ht="21" customHeight="1">
      <c r="CM1589" s="494"/>
      <c r="CN1589" s="496" t="s">
        <v>4220</v>
      </c>
      <c r="CO1589" s="496" t="s">
        <v>11</v>
      </c>
      <c r="CP1589" s="496" t="s">
        <v>689</v>
      </c>
      <c r="CQ1589" s="496" t="s">
        <v>4221</v>
      </c>
      <c r="CR1589" s="496" t="s">
        <v>4221</v>
      </c>
      <c r="CS1589" s="496" t="s">
        <v>3959</v>
      </c>
      <c r="CT1589" s="496" t="s">
        <v>3960</v>
      </c>
      <c r="CU1589" s="496" t="s">
        <v>3961</v>
      </c>
      <c r="CV1589" s="497" t="s">
        <v>3962</v>
      </c>
      <c r="CX1589" s="543">
        <v>1</v>
      </c>
    </row>
    <row r="1590" spans="91:102" ht="21" customHeight="1">
      <c r="CM1590" s="494"/>
      <c r="CN1590" s="496" t="s">
        <v>4222</v>
      </c>
      <c r="CO1590" s="496" t="s">
        <v>11</v>
      </c>
      <c r="CP1590" s="496" t="s">
        <v>689</v>
      </c>
      <c r="CQ1590" s="496" t="s">
        <v>4223</v>
      </c>
      <c r="CR1590" s="496" t="s">
        <v>971</v>
      </c>
      <c r="CS1590" s="496" t="s">
        <v>1085</v>
      </c>
      <c r="CT1590" s="496" t="s">
        <v>3974</v>
      </c>
      <c r="CU1590" s="496" t="s">
        <v>1087</v>
      </c>
      <c r="CV1590" s="497" t="s">
        <v>1088</v>
      </c>
      <c r="CX1590" s="543">
        <v>1</v>
      </c>
    </row>
    <row r="1591" spans="91:102" ht="21" customHeight="1">
      <c r="CM1591" s="494"/>
      <c r="CN1591" s="496" t="s">
        <v>4224</v>
      </c>
      <c r="CO1591" s="496" t="s">
        <v>11</v>
      </c>
      <c r="CP1591" s="496" t="s">
        <v>689</v>
      </c>
      <c r="CQ1591" s="496" t="s">
        <v>4225</v>
      </c>
      <c r="CR1591" s="496" t="s">
        <v>4226</v>
      </c>
      <c r="CS1591" s="496" t="s">
        <v>3959</v>
      </c>
      <c r="CT1591" s="496" t="s">
        <v>3960</v>
      </c>
      <c r="CU1591" s="496" t="s">
        <v>3961</v>
      </c>
      <c r="CV1591" s="497" t="s">
        <v>3962</v>
      </c>
      <c r="CX1591" s="543">
        <v>1</v>
      </c>
    </row>
    <row r="1592" spans="91:102" ht="21" customHeight="1">
      <c r="CM1592" s="494"/>
      <c r="CN1592" s="496" t="s">
        <v>4227</v>
      </c>
      <c r="CO1592" s="496" t="s">
        <v>11</v>
      </c>
      <c r="CP1592" s="496" t="s">
        <v>689</v>
      </c>
      <c r="CQ1592" s="496" t="s">
        <v>4228</v>
      </c>
      <c r="CR1592" s="496" t="s">
        <v>4228</v>
      </c>
      <c r="CS1592" s="496" t="s">
        <v>1085</v>
      </c>
      <c r="CT1592" s="496" t="s">
        <v>3974</v>
      </c>
      <c r="CU1592" s="496" t="s">
        <v>1087</v>
      </c>
      <c r="CV1592" s="497" t="s">
        <v>1088</v>
      </c>
      <c r="CX1592" s="543">
        <v>1</v>
      </c>
    </row>
    <row r="1593" spans="91:102" ht="21" customHeight="1">
      <c r="CM1593" s="494"/>
      <c r="CN1593" s="496" t="s">
        <v>4229</v>
      </c>
      <c r="CO1593" s="496" t="s">
        <v>11</v>
      </c>
      <c r="CP1593" s="496" t="s">
        <v>689</v>
      </c>
      <c r="CQ1593" s="496" t="s">
        <v>4230</v>
      </c>
      <c r="CR1593" s="496" t="s">
        <v>4230</v>
      </c>
      <c r="CS1593" s="496" t="s">
        <v>3959</v>
      </c>
      <c r="CT1593" s="496" t="s">
        <v>3960</v>
      </c>
      <c r="CU1593" s="496" t="s">
        <v>3961</v>
      </c>
      <c r="CV1593" s="497" t="s">
        <v>3962</v>
      </c>
      <c r="CX1593" s="543">
        <v>1</v>
      </c>
    </row>
    <row r="1594" spans="91:102" ht="21" customHeight="1">
      <c r="CM1594" s="494"/>
      <c r="CN1594" s="496" t="s">
        <v>4231</v>
      </c>
      <c r="CO1594" s="496" t="s">
        <v>11</v>
      </c>
      <c r="CP1594" s="496" t="s">
        <v>689</v>
      </c>
      <c r="CQ1594" s="496" t="s">
        <v>4232</v>
      </c>
      <c r="CR1594" s="496" t="s">
        <v>4232</v>
      </c>
      <c r="CS1594" s="496" t="s">
        <v>3959</v>
      </c>
      <c r="CT1594" s="496" t="s">
        <v>3960</v>
      </c>
      <c r="CU1594" s="496" t="s">
        <v>3961</v>
      </c>
      <c r="CV1594" s="497" t="s">
        <v>3962</v>
      </c>
      <c r="CX1594" s="543">
        <v>1</v>
      </c>
    </row>
    <row r="1595" spans="91:102" ht="21" customHeight="1">
      <c r="CM1595" s="494"/>
      <c r="CN1595" s="496" t="s">
        <v>4233</v>
      </c>
      <c r="CO1595" s="496" t="s">
        <v>11</v>
      </c>
      <c r="CP1595" s="496" t="s">
        <v>689</v>
      </c>
      <c r="CQ1595" s="496" t="s">
        <v>4234</v>
      </c>
      <c r="CR1595" s="496" t="s">
        <v>4234</v>
      </c>
      <c r="CS1595" s="496" t="s">
        <v>3959</v>
      </c>
      <c r="CT1595" s="496" t="s">
        <v>3960</v>
      </c>
      <c r="CU1595" s="496" t="s">
        <v>3961</v>
      </c>
      <c r="CV1595" s="497" t="s">
        <v>3962</v>
      </c>
      <c r="CX1595" s="543">
        <v>1</v>
      </c>
    </row>
    <row r="1596" spans="91:102" ht="21" customHeight="1">
      <c r="CM1596" s="494"/>
      <c r="CN1596" s="496" t="s">
        <v>4235</v>
      </c>
      <c r="CO1596" s="496" t="s">
        <v>11</v>
      </c>
      <c r="CP1596" s="496" t="s">
        <v>689</v>
      </c>
      <c r="CQ1596" s="496" t="s">
        <v>4236</v>
      </c>
      <c r="CR1596" s="496" t="s">
        <v>4236</v>
      </c>
      <c r="CS1596" s="496" t="s">
        <v>1151</v>
      </c>
      <c r="CT1596" s="496" t="s">
        <v>1152</v>
      </c>
      <c r="CU1596" s="496" t="s">
        <v>1087</v>
      </c>
      <c r="CV1596" s="497" t="s">
        <v>1153</v>
      </c>
      <c r="CX1596" s="543">
        <v>1</v>
      </c>
    </row>
    <row r="1597" spans="91:102" ht="21" customHeight="1">
      <c r="CM1597" s="494"/>
      <c r="CN1597" s="496" t="s">
        <v>4237</v>
      </c>
      <c r="CO1597" s="496" t="s">
        <v>11</v>
      </c>
      <c r="CP1597" s="496" t="s">
        <v>689</v>
      </c>
      <c r="CQ1597" s="496" t="s">
        <v>4238</v>
      </c>
      <c r="CR1597" s="496" t="s">
        <v>4238</v>
      </c>
      <c r="CS1597" s="496" t="s">
        <v>3959</v>
      </c>
      <c r="CT1597" s="496" t="s">
        <v>3960</v>
      </c>
      <c r="CU1597" s="496" t="s">
        <v>3961</v>
      </c>
      <c r="CV1597" s="497" t="s">
        <v>3962</v>
      </c>
      <c r="CX1597" s="543">
        <v>1</v>
      </c>
    </row>
    <row r="1598" spans="91:102" ht="21" customHeight="1">
      <c r="CM1598" s="494"/>
      <c r="CN1598" s="496" t="s">
        <v>4239</v>
      </c>
      <c r="CO1598" s="496" t="s">
        <v>11</v>
      </c>
      <c r="CP1598" s="496" t="s">
        <v>689</v>
      </c>
      <c r="CQ1598" s="496" t="s">
        <v>4240</v>
      </c>
      <c r="CR1598" s="496" t="s">
        <v>4240</v>
      </c>
      <c r="CS1598" s="496" t="s">
        <v>3959</v>
      </c>
      <c r="CT1598" s="496" t="s">
        <v>3960</v>
      </c>
      <c r="CU1598" s="496" t="s">
        <v>3961</v>
      </c>
      <c r="CV1598" s="497" t="s">
        <v>3962</v>
      </c>
      <c r="CX1598" s="543">
        <v>1</v>
      </c>
    </row>
    <row r="1599" spans="91:102" ht="21" customHeight="1">
      <c r="CM1599" s="494"/>
      <c r="CN1599" s="496" t="s">
        <v>4241</v>
      </c>
      <c r="CO1599" s="496" t="s">
        <v>11</v>
      </c>
      <c r="CP1599" s="496" t="s">
        <v>689</v>
      </c>
      <c r="CQ1599" s="496" t="s">
        <v>4242</v>
      </c>
      <c r="CR1599" s="496" t="s">
        <v>4242</v>
      </c>
      <c r="CS1599" s="496" t="s">
        <v>3959</v>
      </c>
      <c r="CT1599" s="496" t="s">
        <v>3960</v>
      </c>
      <c r="CU1599" s="496" t="s">
        <v>3961</v>
      </c>
      <c r="CV1599" s="497" t="s">
        <v>3962</v>
      </c>
      <c r="CX1599" s="543">
        <v>1</v>
      </c>
    </row>
    <row r="1600" spans="91:102" ht="21" customHeight="1">
      <c r="CM1600" s="494"/>
      <c r="CN1600" s="496" t="s">
        <v>4243</v>
      </c>
      <c r="CO1600" s="496" t="s">
        <v>11</v>
      </c>
      <c r="CP1600" s="496" t="s">
        <v>689</v>
      </c>
      <c r="CQ1600" s="496" t="s">
        <v>4244</v>
      </c>
      <c r="CR1600" s="496" t="s">
        <v>4245</v>
      </c>
      <c r="CS1600" s="496" t="s">
        <v>1085</v>
      </c>
      <c r="CT1600" s="496" t="s">
        <v>3974</v>
      </c>
      <c r="CU1600" s="496" t="s">
        <v>1087</v>
      </c>
      <c r="CV1600" s="497" t="s">
        <v>1088</v>
      </c>
      <c r="CX1600" s="543">
        <v>1</v>
      </c>
    </row>
    <row r="1601" spans="91:102" ht="21" customHeight="1">
      <c r="CM1601" s="494"/>
      <c r="CN1601" s="496" t="s">
        <v>4246</v>
      </c>
      <c r="CO1601" s="496" t="s">
        <v>11</v>
      </c>
      <c r="CP1601" s="496" t="s">
        <v>689</v>
      </c>
      <c r="CQ1601" s="496" t="s">
        <v>974</v>
      </c>
      <c r="CR1601" s="496" t="s">
        <v>974</v>
      </c>
      <c r="CS1601" s="496" t="s">
        <v>1085</v>
      </c>
      <c r="CT1601" s="496" t="s">
        <v>3974</v>
      </c>
      <c r="CU1601" s="496" t="s">
        <v>1087</v>
      </c>
      <c r="CV1601" s="497" t="s">
        <v>1088</v>
      </c>
      <c r="CX1601" s="543">
        <v>1</v>
      </c>
    </row>
    <row r="1602" spans="91:102" ht="21" customHeight="1">
      <c r="CM1602" s="494"/>
      <c r="CN1602" s="496" t="s">
        <v>4247</v>
      </c>
      <c r="CO1602" s="496" t="s">
        <v>11</v>
      </c>
      <c r="CP1602" s="496" t="s">
        <v>689</v>
      </c>
      <c r="CQ1602" s="496" t="s">
        <v>975</v>
      </c>
      <c r="CR1602" s="496" t="s">
        <v>975</v>
      </c>
      <c r="CS1602" s="496" t="s">
        <v>3959</v>
      </c>
      <c r="CT1602" s="496" t="s">
        <v>3960</v>
      </c>
      <c r="CU1602" s="496" t="s">
        <v>3961</v>
      </c>
      <c r="CV1602" s="497" t="s">
        <v>3962</v>
      </c>
      <c r="CX1602" s="543">
        <v>1</v>
      </c>
    </row>
    <row r="1603" spans="91:102" ht="21" customHeight="1">
      <c r="CM1603" s="494"/>
      <c r="CN1603" s="496" t="s">
        <v>4248</v>
      </c>
      <c r="CO1603" s="496" t="s">
        <v>11</v>
      </c>
      <c r="CP1603" s="496" t="s">
        <v>689</v>
      </c>
      <c r="CQ1603" s="496" t="s">
        <v>4249</v>
      </c>
      <c r="CR1603" s="496" t="s">
        <v>4249</v>
      </c>
      <c r="CS1603" s="496" t="s">
        <v>3959</v>
      </c>
      <c r="CT1603" s="496" t="s">
        <v>3960</v>
      </c>
      <c r="CU1603" s="496" t="s">
        <v>3961</v>
      </c>
      <c r="CV1603" s="497" t="s">
        <v>3962</v>
      </c>
      <c r="CX1603" s="543">
        <v>1</v>
      </c>
    </row>
    <row r="1604" spans="91:102" ht="21" customHeight="1">
      <c r="CM1604" s="494"/>
      <c r="CN1604" s="496" t="s">
        <v>4250</v>
      </c>
      <c r="CO1604" s="496" t="s">
        <v>11</v>
      </c>
      <c r="CP1604" s="496" t="s">
        <v>689</v>
      </c>
      <c r="CQ1604" s="496" t="s">
        <v>699</v>
      </c>
      <c r="CR1604" s="496" t="s">
        <v>699</v>
      </c>
      <c r="CS1604" s="496" t="s">
        <v>1085</v>
      </c>
      <c r="CT1604" s="496" t="s">
        <v>3974</v>
      </c>
      <c r="CU1604" s="496" t="s">
        <v>1087</v>
      </c>
      <c r="CV1604" s="497" t="s">
        <v>1088</v>
      </c>
      <c r="CX1604" s="543">
        <v>1</v>
      </c>
    </row>
    <row r="1605" spans="91:102" ht="21" customHeight="1">
      <c r="CM1605" s="494"/>
      <c r="CN1605" s="496" t="s">
        <v>4251</v>
      </c>
      <c r="CO1605" s="496" t="s">
        <v>11</v>
      </c>
      <c r="CP1605" s="496" t="s">
        <v>689</v>
      </c>
      <c r="CQ1605" s="496" t="s">
        <v>4252</v>
      </c>
      <c r="CR1605" s="496" t="s">
        <v>4252</v>
      </c>
      <c r="CS1605" s="496" t="s">
        <v>1085</v>
      </c>
      <c r="CT1605" s="496" t="s">
        <v>3974</v>
      </c>
      <c r="CU1605" s="496" t="s">
        <v>1087</v>
      </c>
      <c r="CV1605" s="497" t="s">
        <v>1088</v>
      </c>
      <c r="CX1605" s="543">
        <v>1</v>
      </c>
    </row>
    <row r="1606" spans="91:102" ht="21" customHeight="1">
      <c r="CM1606" s="494"/>
      <c r="CN1606" s="496" t="s">
        <v>4253</v>
      </c>
      <c r="CO1606" s="496" t="s">
        <v>11</v>
      </c>
      <c r="CP1606" s="496" t="s">
        <v>689</v>
      </c>
      <c r="CQ1606" s="496" t="s">
        <v>84</v>
      </c>
      <c r="CR1606" s="496" t="s">
        <v>84</v>
      </c>
      <c r="CS1606" s="496" t="s">
        <v>1085</v>
      </c>
      <c r="CT1606" s="496" t="s">
        <v>3974</v>
      </c>
      <c r="CU1606" s="496" t="s">
        <v>1087</v>
      </c>
      <c r="CV1606" s="497" t="s">
        <v>1088</v>
      </c>
      <c r="CX1606" s="543">
        <v>1</v>
      </c>
    </row>
    <row r="1607" spans="91:102" ht="21" customHeight="1">
      <c r="CM1607" s="494"/>
      <c r="CN1607" s="496" t="s">
        <v>4254</v>
      </c>
      <c r="CO1607" s="496" t="s">
        <v>11</v>
      </c>
      <c r="CP1607" s="496" t="s">
        <v>689</v>
      </c>
      <c r="CQ1607" s="496" t="s">
        <v>4255</v>
      </c>
      <c r="CR1607" s="496" t="s">
        <v>4256</v>
      </c>
      <c r="CS1607" s="496" t="s">
        <v>3959</v>
      </c>
      <c r="CT1607" s="496" t="s">
        <v>3960</v>
      </c>
      <c r="CU1607" s="496" t="s">
        <v>3961</v>
      </c>
      <c r="CV1607" s="497" t="s">
        <v>3962</v>
      </c>
      <c r="CX1607" s="543">
        <v>1</v>
      </c>
    </row>
    <row r="1608" spans="91:102" ht="21" customHeight="1">
      <c r="CM1608" s="494"/>
      <c r="CN1608" s="496" t="s">
        <v>4257</v>
      </c>
      <c r="CO1608" s="496" t="s">
        <v>11</v>
      </c>
      <c r="CP1608" s="496" t="s">
        <v>689</v>
      </c>
      <c r="CQ1608" s="496" t="s">
        <v>4258</v>
      </c>
      <c r="CR1608" s="496" t="s">
        <v>70</v>
      </c>
      <c r="CS1608" s="496" t="s">
        <v>1085</v>
      </c>
      <c r="CT1608" s="496" t="s">
        <v>3974</v>
      </c>
      <c r="CU1608" s="496" t="s">
        <v>1087</v>
      </c>
      <c r="CV1608" s="497" t="s">
        <v>1088</v>
      </c>
      <c r="CX1608" s="543">
        <v>1</v>
      </c>
    </row>
    <row r="1609" spans="91:102" ht="21" customHeight="1">
      <c r="CM1609" s="494"/>
      <c r="CN1609" s="496" t="s">
        <v>4259</v>
      </c>
      <c r="CO1609" s="496" t="s">
        <v>11</v>
      </c>
      <c r="CP1609" s="496" t="s">
        <v>689</v>
      </c>
      <c r="CQ1609" s="496" t="s">
        <v>4260</v>
      </c>
      <c r="CR1609" s="496" t="s">
        <v>4260</v>
      </c>
      <c r="CS1609" s="496" t="s">
        <v>3959</v>
      </c>
      <c r="CT1609" s="496" t="s">
        <v>3960</v>
      </c>
      <c r="CU1609" s="496" t="s">
        <v>3961</v>
      </c>
      <c r="CV1609" s="497" t="s">
        <v>3962</v>
      </c>
      <c r="CX1609" s="543">
        <v>1</v>
      </c>
    </row>
    <row r="1610" spans="91:102" ht="21" customHeight="1">
      <c r="CM1610" s="494"/>
      <c r="CN1610" s="496" t="s">
        <v>4261</v>
      </c>
      <c r="CO1610" s="496" t="s">
        <v>11</v>
      </c>
      <c r="CP1610" s="496" t="s">
        <v>689</v>
      </c>
      <c r="CQ1610" s="496" t="s">
        <v>23</v>
      </c>
      <c r="CR1610" s="496" t="s">
        <v>23</v>
      </c>
      <c r="CS1610" s="496" t="s">
        <v>1085</v>
      </c>
      <c r="CT1610" s="496" t="s">
        <v>3974</v>
      </c>
      <c r="CU1610" s="496" t="s">
        <v>1087</v>
      </c>
      <c r="CV1610" s="497" t="s">
        <v>1088</v>
      </c>
      <c r="CX1610" s="543">
        <v>1</v>
      </c>
    </row>
    <row r="1611" spans="91:102" ht="21" customHeight="1">
      <c r="CM1611" s="494"/>
      <c r="CN1611" s="496" t="s">
        <v>4262</v>
      </c>
      <c r="CO1611" s="496" t="s">
        <v>11</v>
      </c>
      <c r="CP1611" s="496" t="s">
        <v>689</v>
      </c>
      <c r="CQ1611" s="496" t="s">
        <v>4263</v>
      </c>
      <c r="CR1611" s="496" t="s">
        <v>4264</v>
      </c>
      <c r="CS1611" s="496" t="s">
        <v>1085</v>
      </c>
      <c r="CT1611" s="496" t="s">
        <v>3974</v>
      </c>
      <c r="CU1611" s="496" t="s">
        <v>1087</v>
      </c>
      <c r="CV1611" s="497" t="s">
        <v>1088</v>
      </c>
      <c r="CX1611" s="543">
        <v>1</v>
      </c>
    </row>
    <row r="1612" spans="91:102" ht="21" customHeight="1">
      <c r="CM1612" s="494"/>
      <c r="CN1612" s="496" t="s">
        <v>4265</v>
      </c>
      <c r="CO1612" s="496" t="s">
        <v>11</v>
      </c>
      <c r="CP1612" s="496" t="s">
        <v>689</v>
      </c>
      <c r="CQ1612" s="496" t="s">
        <v>4266</v>
      </c>
      <c r="CR1612" s="496" t="s">
        <v>4267</v>
      </c>
      <c r="CS1612" s="496" t="s">
        <v>3959</v>
      </c>
      <c r="CT1612" s="496" t="s">
        <v>3960</v>
      </c>
      <c r="CU1612" s="496" t="s">
        <v>3961</v>
      </c>
      <c r="CV1612" s="497" t="s">
        <v>3962</v>
      </c>
      <c r="CX1612" s="543">
        <v>1</v>
      </c>
    </row>
    <row r="1613" spans="91:102" ht="21" customHeight="1">
      <c r="CM1613" s="494"/>
      <c r="CN1613" s="496" t="s">
        <v>4268</v>
      </c>
      <c r="CO1613" s="496" t="s">
        <v>11</v>
      </c>
      <c r="CP1613" s="496" t="s">
        <v>689</v>
      </c>
      <c r="CQ1613" s="496" t="s">
        <v>4269</v>
      </c>
      <c r="CR1613" s="496" t="s">
        <v>4269</v>
      </c>
      <c r="CS1613" s="496" t="s">
        <v>3959</v>
      </c>
      <c r="CT1613" s="496" t="s">
        <v>3960</v>
      </c>
      <c r="CU1613" s="496" t="s">
        <v>3961</v>
      </c>
      <c r="CV1613" s="497" t="s">
        <v>3962</v>
      </c>
      <c r="CX1613" s="543">
        <v>1</v>
      </c>
    </row>
    <row r="1614" spans="91:102" ht="21" customHeight="1">
      <c r="CM1614" s="494"/>
      <c r="CN1614" s="496" t="s">
        <v>4270</v>
      </c>
      <c r="CO1614" s="496" t="s">
        <v>11</v>
      </c>
      <c r="CP1614" s="496" t="s">
        <v>689</v>
      </c>
      <c r="CQ1614" s="496" t="s">
        <v>4271</v>
      </c>
      <c r="CR1614" s="496" t="s">
        <v>4271</v>
      </c>
      <c r="CS1614" s="496" t="s">
        <v>1085</v>
      </c>
      <c r="CT1614" s="496" t="s">
        <v>3974</v>
      </c>
      <c r="CU1614" s="496" t="s">
        <v>1087</v>
      </c>
      <c r="CV1614" s="497" t="s">
        <v>1088</v>
      </c>
      <c r="CX1614" s="543">
        <v>1</v>
      </c>
    </row>
    <row r="1615" spans="91:102" ht="21" customHeight="1">
      <c r="CM1615" s="494"/>
      <c r="CN1615" s="496" t="s">
        <v>4272</v>
      </c>
      <c r="CO1615" s="496" t="s">
        <v>11</v>
      </c>
      <c r="CP1615" s="496" t="s">
        <v>689</v>
      </c>
      <c r="CQ1615" s="496" t="s">
        <v>4273</v>
      </c>
      <c r="CR1615" s="496" t="s">
        <v>4273</v>
      </c>
      <c r="CS1615" s="496" t="s">
        <v>3959</v>
      </c>
      <c r="CT1615" s="496" t="s">
        <v>3960</v>
      </c>
      <c r="CU1615" s="496" t="s">
        <v>3961</v>
      </c>
      <c r="CV1615" s="497" t="s">
        <v>3962</v>
      </c>
      <c r="CX1615" s="543">
        <v>1</v>
      </c>
    </row>
    <row r="1616" spans="91:102" ht="21" customHeight="1">
      <c r="CM1616" s="494"/>
      <c r="CN1616" s="496" t="s">
        <v>4274</v>
      </c>
      <c r="CO1616" s="496" t="s">
        <v>11</v>
      </c>
      <c r="CP1616" s="496" t="s">
        <v>689</v>
      </c>
      <c r="CQ1616" s="496" t="s">
        <v>4275</v>
      </c>
      <c r="CR1616" s="496" t="s">
        <v>4276</v>
      </c>
      <c r="CS1616" s="496" t="s">
        <v>1085</v>
      </c>
      <c r="CT1616" s="496" t="s">
        <v>3974</v>
      </c>
      <c r="CU1616" s="496" t="s">
        <v>1087</v>
      </c>
      <c r="CV1616" s="497" t="s">
        <v>1088</v>
      </c>
      <c r="CX1616" s="543">
        <v>1</v>
      </c>
    </row>
    <row r="1617" spans="91:102" ht="21" customHeight="1">
      <c r="CM1617" s="494"/>
      <c r="CN1617" s="496" t="s">
        <v>4277</v>
      </c>
      <c r="CO1617" s="496" t="s">
        <v>11</v>
      </c>
      <c r="CP1617" s="496" t="s">
        <v>689</v>
      </c>
      <c r="CQ1617" s="496" t="s">
        <v>4278</v>
      </c>
      <c r="CR1617" s="496" t="s">
        <v>4278</v>
      </c>
      <c r="CS1617" s="496" t="s">
        <v>1085</v>
      </c>
      <c r="CT1617" s="496" t="s">
        <v>3974</v>
      </c>
      <c r="CU1617" s="496" t="s">
        <v>1087</v>
      </c>
      <c r="CV1617" s="497" t="s">
        <v>1088</v>
      </c>
      <c r="CX1617" s="543">
        <v>1</v>
      </c>
    </row>
    <row r="1618" spans="91:102" ht="21" customHeight="1">
      <c r="CM1618" s="494"/>
      <c r="CN1618" s="496" t="s">
        <v>4279</v>
      </c>
      <c r="CO1618" s="496" t="s">
        <v>11</v>
      </c>
      <c r="CP1618" s="496" t="s">
        <v>689</v>
      </c>
      <c r="CQ1618" s="496" t="s">
        <v>4280</v>
      </c>
      <c r="CR1618" s="496" t="s">
        <v>58</v>
      </c>
      <c r="CS1618" s="496" t="s">
        <v>1085</v>
      </c>
      <c r="CT1618" s="496" t="s">
        <v>3974</v>
      </c>
      <c r="CU1618" s="496" t="s">
        <v>1087</v>
      </c>
      <c r="CV1618" s="497" t="s">
        <v>1088</v>
      </c>
      <c r="CX1618" s="543">
        <v>1</v>
      </c>
    </row>
    <row r="1619" spans="91:102" ht="21" customHeight="1">
      <c r="CM1619" s="494"/>
      <c r="CN1619" s="496" t="s">
        <v>4281</v>
      </c>
      <c r="CO1619" s="496" t="s">
        <v>11</v>
      </c>
      <c r="CP1619" s="496" t="s">
        <v>689</v>
      </c>
      <c r="CQ1619" s="496" t="s">
        <v>4282</v>
      </c>
      <c r="CR1619" s="496" t="s">
        <v>47</v>
      </c>
      <c r="CS1619" s="496" t="s">
        <v>1085</v>
      </c>
      <c r="CT1619" s="496" t="s">
        <v>3974</v>
      </c>
      <c r="CU1619" s="496" t="s">
        <v>1087</v>
      </c>
      <c r="CV1619" s="497" t="s">
        <v>1088</v>
      </c>
      <c r="CX1619" s="543">
        <v>1</v>
      </c>
    </row>
    <row r="1620" spans="91:102" ht="21" customHeight="1">
      <c r="CM1620" s="494"/>
      <c r="CN1620" s="496" t="s">
        <v>4283</v>
      </c>
      <c r="CO1620" s="496" t="s">
        <v>11</v>
      </c>
      <c r="CP1620" s="496" t="s">
        <v>689</v>
      </c>
      <c r="CQ1620" s="496" t="s">
        <v>156</v>
      </c>
      <c r="CR1620" s="496" t="s">
        <v>156</v>
      </c>
      <c r="CS1620" s="496" t="s">
        <v>1085</v>
      </c>
      <c r="CT1620" s="496" t="s">
        <v>3974</v>
      </c>
      <c r="CU1620" s="496" t="s">
        <v>1087</v>
      </c>
      <c r="CV1620" s="497" t="s">
        <v>1088</v>
      </c>
      <c r="CX1620" s="543">
        <v>1</v>
      </c>
    </row>
    <row r="1621" spans="91:102" ht="21" customHeight="1">
      <c r="CM1621" s="494"/>
      <c r="CN1621" s="496" t="s">
        <v>4284</v>
      </c>
      <c r="CO1621" s="496" t="s">
        <v>11</v>
      </c>
      <c r="CP1621" s="496" t="s">
        <v>689</v>
      </c>
      <c r="CQ1621" s="496" t="s">
        <v>33</v>
      </c>
      <c r="CR1621" s="496" t="s">
        <v>33</v>
      </c>
      <c r="CS1621" s="496" t="s">
        <v>1085</v>
      </c>
      <c r="CT1621" s="496" t="s">
        <v>3974</v>
      </c>
      <c r="CU1621" s="496" t="s">
        <v>1087</v>
      </c>
      <c r="CV1621" s="497" t="s">
        <v>1088</v>
      </c>
      <c r="CX1621" s="543">
        <v>1</v>
      </c>
    </row>
    <row r="1622" spans="91:102" ht="21" customHeight="1">
      <c r="CM1622" s="494"/>
      <c r="CN1622" s="496" t="s">
        <v>4285</v>
      </c>
      <c r="CO1622" s="496" t="s">
        <v>11</v>
      </c>
      <c r="CP1622" s="496" t="s">
        <v>689</v>
      </c>
      <c r="CQ1622" s="496" t="s">
        <v>4286</v>
      </c>
      <c r="CR1622" s="496" t="s">
        <v>4287</v>
      </c>
      <c r="CS1622" s="496" t="s">
        <v>1085</v>
      </c>
      <c r="CT1622" s="496" t="s">
        <v>3974</v>
      </c>
      <c r="CU1622" s="496" t="s">
        <v>1087</v>
      </c>
      <c r="CV1622" s="497" t="s">
        <v>1088</v>
      </c>
      <c r="CX1622" s="543">
        <v>1</v>
      </c>
    </row>
    <row r="1623" spans="91:102" ht="21" customHeight="1">
      <c r="CM1623" s="494"/>
      <c r="CN1623" s="496" t="s">
        <v>4288</v>
      </c>
      <c r="CO1623" s="496" t="s">
        <v>11</v>
      </c>
      <c r="CP1623" s="496" t="s">
        <v>689</v>
      </c>
      <c r="CQ1623" s="496" t="s">
        <v>4289</v>
      </c>
      <c r="CR1623" s="496" t="s">
        <v>185</v>
      </c>
      <c r="CS1623" s="496" t="s">
        <v>3959</v>
      </c>
      <c r="CT1623" s="496" t="s">
        <v>3960</v>
      </c>
      <c r="CU1623" s="496" t="s">
        <v>3961</v>
      </c>
      <c r="CV1623" s="497" t="s">
        <v>3962</v>
      </c>
      <c r="CX1623" s="543">
        <v>1</v>
      </c>
    </row>
    <row r="1624" spans="91:102" ht="21" customHeight="1">
      <c r="CM1624" s="494"/>
      <c r="CN1624" s="496" t="s">
        <v>4290</v>
      </c>
      <c r="CO1624" s="496" t="s">
        <v>11</v>
      </c>
      <c r="CP1624" s="496" t="s">
        <v>689</v>
      </c>
      <c r="CQ1624" s="496" t="s">
        <v>4291</v>
      </c>
      <c r="CR1624" s="496" t="s">
        <v>4292</v>
      </c>
      <c r="CS1624" s="496" t="s">
        <v>3959</v>
      </c>
      <c r="CT1624" s="496" t="s">
        <v>3960</v>
      </c>
      <c r="CU1624" s="496" t="s">
        <v>3961</v>
      </c>
      <c r="CV1624" s="497" t="s">
        <v>3962</v>
      </c>
      <c r="CX1624" s="543">
        <v>1</v>
      </c>
    </row>
    <row r="1625" spans="91:102" ht="21" customHeight="1">
      <c r="CM1625" s="494"/>
      <c r="CN1625" s="496" t="s">
        <v>4293</v>
      </c>
      <c r="CO1625" s="496" t="s">
        <v>11</v>
      </c>
      <c r="CP1625" s="496" t="s">
        <v>689</v>
      </c>
      <c r="CQ1625" s="496" t="s">
        <v>4294</v>
      </c>
      <c r="CR1625" s="496" t="s">
        <v>4295</v>
      </c>
      <c r="CS1625" s="496" t="s">
        <v>3959</v>
      </c>
      <c r="CT1625" s="496" t="s">
        <v>3960</v>
      </c>
      <c r="CU1625" s="496" t="s">
        <v>3961</v>
      </c>
      <c r="CV1625" s="497" t="s">
        <v>3962</v>
      </c>
      <c r="CX1625" s="543">
        <v>1</v>
      </c>
    </row>
    <row r="1626" spans="91:102" ht="21" customHeight="1">
      <c r="CM1626" s="494"/>
      <c r="CN1626" s="496" t="s">
        <v>4296</v>
      </c>
      <c r="CO1626" s="496" t="s">
        <v>11</v>
      </c>
      <c r="CP1626" s="496" t="s">
        <v>689</v>
      </c>
      <c r="CQ1626" s="496" t="s">
        <v>4297</v>
      </c>
      <c r="CR1626" s="496" t="s">
        <v>4298</v>
      </c>
      <c r="CS1626" s="496" t="s">
        <v>3959</v>
      </c>
      <c r="CT1626" s="496" t="s">
        <v>3960</v>
      </c>
      <c r="CU1626" s="496" t="s">
        <v>3961</v>
      </c>
      <c r="CV1626" s="497" t="s">
        <v>3962</v>
      </c>
      <c r="CX1626" s="543">
        <v>1</v>
      </c>
    </row>
    <row r="1627" spans="91:102" ht="21" customHeight="1">
      <c r="CM1627" s="494"/>
      <c r="CN1627" s="496" t="s">
        <v>4299</v>
      </c>
      <c r="CO1627" s="496" t="s">
        <v>11</v>
      </c>
      <c r="CP1627" s="496" t="s">
        <v>689</v>
      </c>
      <c r="CQ1627" s="496" t="s">
        <v>4300</v>
      </c>
      <c r="CR1627" s="496" t="s">
        <v>4300</v>
      </c>
      <c r="CS1627" s="496" t="s">
        <v>3959</v>
      </c>
      <c r="CT1627" s="496" t="s">
        <v>3960</v>
      </c>
      <c r="CU1627" s="496" t="s">
        <v>3961</v>
      </c>
      <c r="CV1627" s="497" t="s">
        <v>3962</v>
      </c>
      <c r="CX1627" s="543">
        <v>1</v>
      </c>
    </row>
    <row r="1628" spans="91:102" ht="21" customHeight="1">
      <c r="CM1628" s="494"/>
      <c r="CN1628" s="496" t="s">
        <v>4301</v>
      </c>
      <c r="CO1628" s="496" t="s">
        <v>11</v>
      </c>
      <c r="CP1628" s="496" t="s">
        <v>689</v>
      </c>
      <c r="CQ1628" s="496" t="s">
        <v>4302</v>
      </c>
      <c r="CR1628" s="496" t="s">
        <v>4303</v>
      </c>
      <c r="CS1628" s="496" t="s">
        <v>3959</v>
      </c>
      <c r="CT1628" s="496" t="s">
        <v>3960</v>
      </c>
      <c r="CU1628" s="496" t="s">
        <v>3961</v>
      </c>
      <c r="CV1628" s="497" t="s">
        <v>3962</v>
      </c>
      <c r="CX1628" s="543">
        <v>1</v>
      </c>
    </row>
    <row r="1629" spans="91:102" ht="21" customHeight="1">
      <c r="CM1629" s="494"/>
      <c r="CN1629" s="496" t="s">
        <v>4304</v>
      </c>
      <c r="CO1629" s="496" t="s">
        <v>11</v>
      </c>
      <c r="CP1629" s="496" t="s">
        <v>689</v>
      </c>
      <c r="CQ1629" s="496" t="s">
        <v>4305</v>
      </c>
      <c r="CR1629" s="496" t="s">
        <v>4305</v>
      </c>
      <c r="CS1629" s="496" t="s">
        <v>3959</v>
      </c>
      <c r="CT1629" s="496" t="s">
        <v>3960</v>
      </c>
      <c r="CU1629" s="496" t="s">
        <v>3961</v>
      </c>
      <c r="CV1629" s="497" t="s">
        <v>3962</v>
      </c>
      <c r="CX1629" s="543">
        <v>1</v>
      </c>
    </row>
    <row r="1630" spans="91:102" ht="21" customHeight="1">
      <c r="CM1630" s="494"/>
      <c r="CN1630" s="496" t="s">
        <v>4306</v>
      </c>
      <c r="CO1630" s="496" t="s">
        <v>11</v>
      </c>
      <c r="CP1630" s="496" t="s">
        <v>689</v>
      </c>
      <c r="CQ1630" s="496" t="s">
        <v>4307</v>
      </c>
      <c r="CR1630" s="496" t="s">
        <v>4307</v>
      </c>
      <c r="CS1630" s="496" t="s">
        <v>3959</v>
      </c>
      <c r="CT1630" s="496" t="s">
        <v>3960</v>
      </c>
      <c r="CU1630" s="496" t="s">
        <v>3961</v>
      </c>
      <c r="CV1630" s="497" t="s">
        <v>3962</v>
      </c>
      <c r="CX1630" s="543">
        <v>1</v>
      </c>
    </row>
    <row r="1631" spans="91:102" ht="21" customHeight="1">
      <c r="CM1631" s="494"/>
      <c r="CN1631" s="496" t="s">
        <v>4308</v>
      </c>
      <c r="CO1631" s="496" t="s">
        <v>11</v>
      </c>
      <c r="CP1631" s="496" t="s">
        <v>689</v>
      </c>
      <c r="CQ1631" s="496" t="s">
        <v>4309</v>
      </c>
      <c r="CR1631" s="496" t="s">
        <v>4309</v>
      </c>
      <c r="CS1631" s="496" t="s">
        <v>3959</v>
      </c>
      <c r="CT1631" s="496" t="s">
        <v>3960</v>
      </c>
      <c r="CU1631" s="496" t="s">
        <v>3961</v>
      </c>
      <c r="CV1631" s="497" t="s">
        <v>3962</v>
      </c>
      <c r="CX1631" s="543">
        <v>1</v>
      </c>
    </row>
    <row r="1632" spans="91:102" ht="21" customHeight="1">
      <c r="CM1632" s="494"/>
      <c r="CN1632" s="496" t="s">
        <v>4310</v>
      </c>
      <c r="CO1632" s="496" t="s">
        <v>11</v>
      </c>
      <c r="CP1632" s="496" t="s">
        <v>689</v>
      </c>
      <c r="CQ1632" s="496" t="s">
        <v>4311</v>
      </c>
      <c r="CR1632" s="496" t="s">
        <v>4311</v>
      </c>
      <c r="CS1632" s="496" t="s">
        <v>3959</v>
      </c>
      <c r="CT1632" s="496" t="s">
        <v>3960</v>
      </c>
      <c r="CU1632" s="496" t="s">
        <v>3961</v>
      </c>
      <c r="CV1632" s="497" t="s">
        <v>3962</v>
      </c>
      <c r="CX1632" s="543">
        <v>1</v>
      </c>
    </row>
    <row r="1633" spans="91:102" ht="21" customHeight="1">
      <c r="CM1633" s="494"/>
      <c r="CN1633" s="496" t="s">
        <v>4312</v>
      </c>
      <c r="CO1633" s="496" t="s">
        <v>11</v>
      </c>
      <c r="CP1633" s="496" t="s">
        <v>689</v>
      </c>
      <c r="CQ1633" s="496" t="s">
        <v>4313</v>
      </c>
      <c r="CR1633" s="496" t="s">
        <v>4313</v>
      </c>
      <c r="CS1633" s="496" t="s">
        <v>1085</v>
      </c>
      <c r="CT1633" s="496" t="s">
        <v>3974</v>
      </c>
      <c r="CU1633" s="496" t="s">
        <v>1087</v>
      </c>
      <c r="CV1633" s="497" t="s">
        <v>1088</v>
      </c>
      <c r="CX1633" s="543">
        <v>1</v>
      </c>
    </row>
    <row r="1634" spans="91:102" ht="21" customHeight="1">
      <c r="CM1634" s="494"/>
      <c r="CN1634" s="496" t="s">
        <v>4314</v>
      </c>
      <c r="CO1634" s="496" t="s">
        <v>11</v>
      </c>
      <c r="CP1634" s="496" t="s">
        <v>689</v>
      </c>
      <c r="CQ1634" s="496" t="s">
        <v>976</v>
      </c>
      <c r="CR1634" s="496" t="s">
        <v>976</v>
      </c>
      <c r="CS1634" s="496" t="s">
        <v>3959</v>
      </c>
      <c r="CT1634" s="496" t="s">
        <v>3960</v>
      </c>
      <c r="CU1634" s="496" t="s">
        <v>3961</v>
      </c>
      <c r="CV1634" s="497" t="s">
        <v>3962</v>
      </c>
      <c r="CX1634" s="543">
        <v>1</v>
      </c>
    </row>
    <row r="1635" spans="91:102" ht="21" customHeight="1">
      <c r="CM1635" s="494"/>
      <c r="CN1635" s="496" t="s">
        <v>4315</v>
      </c>
      <c r="CO1635" s="496" t="s">
        <v>11</v>
      </c>
      <c r="CP1635" s="496" t="s">
        <v>689</v>
      </c>
      <c r="CQ1635" s="496" t="s">
        <v>4316</v>
      </c>
      <c r="CR1635" s="496" t="s">
        <v>4317</v>
      </c>
      <c r="CS1635" s="496" t="s">
        <v>3959</v>
      </c>
      <c r="CT1635" s="496" t="s">
        <v>3960</v>
      </c>
      <c r="CU1635" s="496" t="s">
        <v>3961</v>
      </c>
      <c r="CV1635" s="497" t="s">
        <v>3962</v>
      </c>
      <c r="CX1635" s="543">
        <v>1</v>
      </c>
    </row>
    <row r="1636" spans="91:102" ht="21" customHeight="1">
      <c r="CM1636" s="494"/>
      <c r="CN1636" s="496" t="s">
        <v>4318</v>
      </c>
      <c r="CO1636" s="496" t="s">
        <v>11</v>
      </c>
      <c r="CP1636" s="496" t="s">
        <v>689</v>
      </c>
      <c r="CQ1636" s="496" t="s">
        <v>4319</v>
      </c>
      <c r="CR1636" s="496" t="s">
        <v>4319</v>
      </c>
      <c r="CS1636" s="496" t="s">
        <v>3959</v>
      </c>
      <c r="CT1636" s="496" t="s">
        <v>3960</v>
      </c>
      <c r="CU1636" s="496" t="s">
        <v>3961</v>
      </c>
      <c r="CV1636" s="497" t="s">
        <v>3962</v>
      </c>
      <c r="CX1636" s="543">
        <v>1</v>
      </c>
    </row>
    <row r="1637" spans="91:102" ht="21" customHeight="1">
      <c r="CM1637" s="494"/>
      <c r="CN1637" s="496" t="s">
        <v>4320</v>
      </c>
      <c r="CO1637" s="496" t="s">
        <v>11</v>
      </c>
      <c r="CP1637" s="496" t="s">
        <v>689</v>
      </c>
      <c r="CQ1637" s="496" t="s">
        <v>4321</v>
      </c>
      <c r="CR1637" s="496" t="s">
        <v>4321</v>
      </c>
      <c r="CS1637" s="496" t="s">
        <v>3959</v>
      </c>
      <c r="CT1637" s="496" t="s">
        <v>3960</v>
      </c>
      <c r="CU1637" s="496" t="s">
        <v>3961</v>
      </c>
      <c r="CV1637" s="497" t="s">
        <v>3962</v>
      </c>
      <c r="CX1637" s="543">
        <v>1</v>
      </c>
    </row>
    <row r="1638" spans="91:102" ht="21" customHeight="1">
      <c r="CM1638" s="494"/>
      <c r="CN1638" s="496" t="s">
        <v>4322</v>
      </c>
      <c r="CO1638" s="496" t="s">
        <v>11</v>
      </c>
      <c r="CP1638" s="496" t="s">
        <v>689</v>
      </c>
      <c r="CQ1638" s="496" t="s">
        <v>4323</v>
      </c>
      <c r="CR1638" s="496" t="s">
        <v>4323</v>
      </c>
      <c r="CS1638" s="496" t="s">
        <v>1085</v>
      </c>
      <c r="CT1638" s="496" t="s">
        <v>3974</v>
      </c>
      <c r="CU1638" s="496" t="s">
        <v>1087</v>
      </c>
      <c r="CV1638" s="497" t="s">
        <v>1088</v>
      </c>
      <c r="CX1638" s="543">
        <v>1</v>
      </c>
    </row>
    <row r="1639" spans="91:102" ht="21" customHeight="1">
      <c r="CM1639" s="494"/>
      <c r="CN1639" s="496" t="s">
        <v>4324</v>
      </c>
      <c r="CO1639" s="496" t="s">
        <v>11</v>
      </c>
      <c r="CP1639" s="496" t="s">
        <v>689</v>
      </c>
      <c r="CQ1639" s="496" t="s">
        <v>4325</v>
      </c>
      <c r="CR1639" s="496" t="s">
        <v>4325</v>
      </c>
      <c r="CS1639" s="496" t="s">
        <v>1085</v>
      </c>
      <c r="CT1639" s="496" t="s">
        <v>3974</v>
      </c>
      <c r="CU1639" s="496" t="s">
        <v>1087</v>
      </c>
      <c r="CV1639" s="497" t="s">
        <v>1088</v>
      </c>
      <c r="CX1639" s="543">
        <v>1</v>
      </c>
    </row>
    <row r="1640" spans="91:102" ht="21" customHeight="1">
      <c r="CM1640" s="494"/>
      <c r="CN1640" s="496" t="s">
        <v>4326</v>
      </c>
      <c r="CO1640" s="496" t="s">
        <v>11</v>
      </c>
      <c r="CP1640" s="496" t="s">
        <v>689</v>
      </c>
      <c r="CQ1640" s="496" t="s">
        <v>4327</v>
      </c>
      <c r="CR1640" s="496" t="s">
        <v>4328</v>
      </c>
      <c r="CS1640" s="496" t="s">
        <v>3959</v>
      </c>
      <c r="CT1640" s="496" t="s">
        <v>3960</v>
      </c>
      <c r="CU1640" s="496" t="s">
        <v>3961</v>
      </c>
      <c r="CV1640" s="497" t="s">
        <v>3962</v>
      </c>
      <c r="CX1640" s="543">
        <v>1</v>
      </c>
    </row>
    <row r="1641" spans="91:102" ht="21" customHeight="1">
      <c r="CM1641" s="494"/>
      <c r="CN1641" s="496" t="s">
        <v>4329</v>
      </c>
      <c r="CO1641" s="496" t="s">
        <v>11</v>
      </c>
      <c r="CP1641" s="496" t="s">
        <v>689</v>
      </c>
      <c r="CQ1641" s="496" t="s">
        <v>330</v>
      </c>
      <c r="CR1641" s="496" t="s">
        <v>330</v>
      </c>
      <c r="CS1641" s="496" t="s">
        <v>1151</v>
      </c>
      <c r="CT1641" s="496" t="s">
        <v>1152</v>
      </c>
      <c r="CU1641" s="496" t="s">
        <v>1087</v>
      </c>
      <c r="CV1641" s="497" t="s">
        <v>1153</v>
      </c>
      <c r="CX1641" s="543">
        <v>1</v>
      </c>
    </row>
    <row r="1642" spans="91:102" ht="21" customHeight="1">
      <c r="CM1642" s="494"/>
      <c r="CN1642" s="496" t="s">
        <v>4330</v>
      </c>
      <c r="CO1642" s="496" t="s">
        <v>11</v>
      </c>
      <c r="CP1642" s="496" t="s">
        <v>689</v>
      </c>
      <c r="CQ1642" s="496" t="s">
        <v>4331</v>
      </c>
      <c r="CR1642" s="496" t="s">
        <v>4331</v>
      </c>
      <c r="CS1642" s="496" t="s">
        <v>1085</v>
      </c>
      <c r="CT1642" s="496" t="s">
        <v>3974</v>
      </c>
      <c r="CU1642" s="496" t="s">
        <v>1087</v>
      </c>
      <c r="CV1642" s="497" t="s">
        <v>1088</v>
      </c>
      <c r="CX1642" s="543">
        <v>1</v>
      </c>
    </row>
    <row r="1643" spans="91:102" ht="21" customHeight="1">
      <c r="CM1643" s="494"/>
      <c r="CN1643" s="496" t="s">
        <v>4332</v>
      </c>
      <c r="CO1643" s="496" t="s">
        <v>11</v>
      </c>
      <c r="CP1643" s="496" t="s">
        <v>689</v>
      </c>
      <c r="CQ1643" s="496" t="s">
        <v>977</v>
      </c>
      <c r="CR1643" s="496" t="s">
        <v>977</v>
      </c>
      <c r="CS1643" s="496" t="s">
        <v>1085</v>
      </c>
      <c r="CT1643" s="496" t="s">
        <v>3974</v>
      </c>
      <c r="CU1643" s="496" t="s">
        <v>1087</v>
      </c>
      <c r="CV1643" s="497" t="s">
        <v>1088</v>
      </c>
      <c r="CX1643" s="543">
        <v>1</v>
      </c>
    </row>
    <row r="1644" spans="91:102" ht="21" customHeight="1">
      <c r="CM1644" s="494"/>
      <c r="CN1644" s="496" t="s">
        <v>4333</v>
      </c>
      <c r="CO1644" s="496" t="s">
        <v>11</v>
      </c>
      <c r="CP1644" s="496" t="s">
        <v>689</v>
      </c>
      <c r="CQ1644" s="496" t="s">
        <v>4334</v>
      </c>
      <c r="CR1644" s="496" t="s">
        <v>4335</v>
      </c>
      <c r="CS1644" s="496" t="s">
        <v>3959</v>
      </c>
      <c r="CT1644" s="496" t="s">
        <v>3960</v>
      </c>
      <c r="CU1644" s="496" t="s">
        <v>3961</v>
      </c>
      <c r="CV1644" s="497" t="s">
        <v>3962</v>
      </c>
      <c r="CX1644" s="543">
        <v>1</v>
      </c>
    </row>
    <row r="1645" spans="91:102" ht="21" customHeight="1">
      <c r="CM1645" s="494"/>
      <c r="CN1645" s="496" t="s">
        <v>4336</v>
      </c>
      <c r="CO1645" s="496" t="s">
        <v>11</v>
      </c>
      <c r="CP1645" s="496" t="s">
        <v>689</v>
      </c>
      <c r="CQ1645" s="496" t="s">
        <v>4337</v>
      </c>
      <c r="CR1645" s="496" t="s">
        <v>4337</v>
      </c>
      <c r="CS1645" s="496" t="s">
        <v>3959</v>
      </c>
      <c r="CT1645" s="496" t="s">
        <v>3960</v>
      </c>
      <c r="CU1645" s="496" t="s">
        <v>3961</v>
      </c>
      <c r="CV1645" s="497" t="s">
        <v>3962</v>
      </c>
      <c r="CX1645" s="543">
        <v>1</v>
      </c>
    </row>
    <row r="1646" spans="91:102" ht="21" customHeight="1">
      <c r="CM1646" s="494"/>
      <c r="CN1646" s="496" t="s">
        <v>4338</v>
      </c>
      <c r="CO1646" s="496" t="s">
        <v>11</v>
      </c>
      <c r="CP1646" s="496" t="s">
        <v>689</v>
      </c>
      <c r="CQ1646" s="496" t="s">
        <v>978</v>
      </c>
      <c r="CR1646" s="496" t="s">
        <v>978</v>
      </c>
      <c r="CS1646" s="496" t="s">
        <v>3959</v>
      </c>
      <c r="CT1646" s="496" t="s">
        <v>3960</v>
      </c>
      <c r="CU1646" s="496" t="s">
        <v>3961</v>
      </c>
      <c r="CV1646" s="497" t="s">
        <v>3962</v>
      </c>
      <c r="CX1646" s="543">
        <v>1</v>
      </c>
    </row>
    <row r="1647" spans="91:102" ht="21" customHeight="1">
      <c r="CM1647" s="494"/>
      <c r="CN1647" s="496" t="s">
        <v>4339</v>
      </c>
      <c r="CO1647" s="496" t="s">
        <v>11</v>
      </c>
      <c r="CP1647" s="496" t="s">
        <v>689</v>
      </c>
      <c r="CQ1647" s="496" t="s">
        <v>981</v>
      </c>
      <c r="CR1647" s="496" t="s">
        <v>981</v>
      </c>
      <c r="CS1647" s="496" t="s">
        <v>1085</v>
      </c>
      <c r="CT1647" s="496" t="s">
        <v>3974</v>
      </c>
      <c r="CU1647" s="496" t="s">
        <v>1087</v>
      </c>
      <c r="CV1647" s="497" t="s">
        <v>1088</v>
      </c>
      <c r="CX1647" s="543">
        <v>1</v>
      </c>
    </row>
    <row r="1648" spans="91:102" ht="21" customHeight="1">
      <c r="CM1648" s="494"/>
      <c r="CN1648" s="496" t="s">
        <v>4340</v>
      </c>
      <c r="CO1648" s="496" t="s">
        <v>11</v>
      </c>
      <c r="CP1648" s="496" t="s">
        <v>689</v>
      </c>
      <c r="CQ1648" s="496" t="s">
        <v>4341</v>
      </c>
      <c r="CR1648" s="496" t="s">
        <v>4341</v>
      </c>
      <c r="CS1648" s="496" t="s">
        <v>3959</v>
      </c>
      <c r="CT1648" s="496" t="s">
        <v>3960</v>
      </c>
      <c r="CU1648" s="496" t="s">
        <v>3961</v>
      </c>
      <c r="CV1648" s="497" t="s">
        <v>3962</v>
      </c>
      <c r="CX1648" s="543">
        <v>1</v>
      </c>
    </row>
    <row r="1649" spans="91:102" ht="21" customHeight="1">
      <c r="CM1649" s="494"/>
      <c r="CN1649" s="496" t="s">
        <v>4342</v>
      </c>
      <c r="CO1649" s="496" t="s">
        <v>11</v>
      </c>
      <c r="CP1649" s="496" t="s">
        <v>689</v>
      </c>
      <c r="CQ1649" s="496" t="s">
        <v>982</v>
      </c>
      <c r="CR1649" s="496" t="s">
        <v>982</v>
      </c>
      <c r="CS1649" s="496" t="s">
        <v>1085</v>
      </c>
      <c r="CT1649" s="496" t="s">
        <v>3974</v>
      </c>
      <c r="CU1649" s="496" t="s">
        <v>1087</v>
      </c>
      <c r="CV1649" s="497" t="s">
        <v>1088</v>
      </c>
      <c r="CX1649" s="543">
        <v>1</v>
      </c>
    </row>
    <row r="1650" spans="91:102" ht="21" customHeight="1">
      <c r="CM1650" s="494"/>
      <c r="CN1650" s="496" t="s">
        <v>4343</v>
      </c>
      <c r="CO1650" s="496" t="s">
        <v>11</v>
      </c>
      <c r="CP1650" s="496" t="s">
        <v>689</v>
      </c>
      <c r="CQ1650" s="496" t="s">
        <v>4344</v>
      </c>
      <c r="CR1650" s="496" t="s">
        <v>4344</v>
      </c>
      <c r="CS1650" s="496" t="s">
        <v>3959</v>
      </c>
      <c r="CT1650" s="496" t="s">
        <v>3960</v>
      </c>
      <c r="CU1650" s="496" t="s">
        <v>3961</v>
      </c>
      <c r="CV1650" s="497" t="s">
        <v>3962</v>
      </c>
      <c r="CX1650" s="543">
        <v>1</v>
      </c>
    </row>
    <row r="1651" spans="91:102" ht="21" customHeight="1">
      <c r="CM1651" s="494"/>
      <c r="CN1651" s="496" t="s">
        <v>4345</v>
      </c>
      <c r="CO1651" s="496" t="s">
        <v>11</v>
      </c>
      <c r="CP1651" s="496" t="s">
        <v>689</v>
      </c>
      <c r="CQ1651" s="496" t="s">
        <v>4346</v>
      </c>
      <c r="CR1651" s="496" t="s">
        <v>4347</v>
      </c>
      <c r="CS1651" s="496" t="s">
        <v>3959</v>
      </c>
      <c r="CT1651" s="496" t="s">
        <v>3960</v>
      </c>
      <c r="CU1651" s="496" t="s">
        <v>3961</v>
      </c>
      <c r="CV1651" s="497" t="s">
        <v>3962</v>
      </c>
      <c r="CX1651" s="543">
        <v>1</v>
      </c>
    </row>
    <row r="1652" spans="91:102" ht="21" customHeight="1">
      <c r="CM1652" s="494"/>
      <c r="CN1652" s="496" t="s">
        <v>4348</v>
      </c>
      <c r="CO1652" s="496" t="s">
        <v>11</v>
      </c>
      <c r="CP1652" s="496" t="s">
        <v>689</v>
      </c>
      <c r="CQ1652" s="496" t="s">
        <v>4349</v>
      </c>
      <c r="CR1652" s="496" t="s">
        <v>983</v>
      </c>
      <c r="CS1652" s="496" t="s">
        <v>3959</v>
      </c>
      <c r="CT1652" s="496" t="s">
        <v>3960</v>
      </c>
      <c r="CU1652" s="496" t="s">
        <v>3961</v>
      </c>
      <c r="CV1652" s="497" t="s">
        <v>3962</v>
      </c>
      <c r="CX1652" s="543">
        <v>1</v>
      </c>
    </row>
    <row r="1653" spans="91:102" ht="21" customHeight="1">
      <c r="CM1653" s="494"/>
      <c r="CN1653" s="496" t="s">
        <v>4350</v>
      </c>
      <c r="CO1653" s="496" t="s">
        <v>11</v>
      </c>
      <c r="CP1653" s="496" t="s">
        <v>689</v>
      </c>
      <c r="CQ1653" s="496" t="s">
        <v>4351</v>
      </c>
      <c r="CR1653" s="496" t="s">
        <v>4351</v>
      </c>
      <c r="CS1653" s="496" t="s">
        <v>3959</v>
      </c>
      <c r="CT1653" s="496" t="s">
        <v>3960</v>
      </c>
      <c r="CU1653" s="496" t="s">
        <v>3961</v>
      </c>
      <c r="CV1653" s="497" t="s">
        <v>3962</v>
      </c>
      <c r="CX1653" s="543">
        <v>1</v>
      </c>
    </row>
    <row r="1654" spans="91:102" ht="21" customHeight="1">
      <c r="CM1654" s="494"/>
      <c r="CN1654" s="496" t="s">
        <v>4352</v>
      </c>
      <c r="CO1654" s="496" t="s">
        <v>11</v>
      </c>
      <c r="CP1654" s="496" t="s">
        <v>689</v>
      </c>
      <c r="CQ1654" s="496" t="s">
        <v>985</v>
      </c>
      <c r="CR1654" s="496" t="s">
        <v>985</v>
      </c>
      <c r="CS1654" s="496" t="s">
        <v>1085</v>
      </c>
      <c r="CT1654" s="496" t="s">
        <v>3974</v>
      </c>
      <c r="CU1654" s="496" t="s">
        <v>1087</v>
      </c>
      <c r="CV1654" s="497" t="s">
        <v>1088</v>
      </c>
      <c r="CX1654" s="543">
        <v>1</v>
      </c>
    </row>
    <row r="1655" spans="91:102" ht="21" customHeight="1">
      <c r="CM1655" s="494"/>
      <c r="CN1655" s="496" t="s">
        <v>4353</v>
      </c>
      <c r="CO1655" s="496" t="s">
        <v>11</v>
      </c>
      <c r="CP1655" s="496" t="s">
        <v>689</v>
      </c>
      <c r="CQ1655" s="496" t="s">
        <v>4354</v>
      </c>
      <c r="CR1655" s="496" t="s">
        <v>4355</v>
      </c>
      <c r="CS1655" s="496" t="s">
        <v>3959</v>
      </c>
      <c r="CT1655" s="496" t="s">
        <v>3960</v>
      </c>
      <c r="CU1655" s="496" t="s">
        <v>3961</v>
      </c>
      <c r="CV1655" s="497" t="s">
        <v>3962</v>
      </c>
      <c r="CX1655" s="543">
        <v>1</v>
      </c>
    </row>
    <row r="1656" spans="91:102" ht="21" customHeight="1">
      <c r="CM1656" s="494"/>
      <c r="CN1656" s="496" t="s">
        <v>4356</v>
      </c>
      <c r="CO1656" s="496" t="s">
        <v>11</v>
      </c>
      <c r="CP1656" s="496" t="s">
        <v>689</v>
      </c>
      <c r="CQ1656" s="496" t="s">
        <v>4357</v>
      </c>
      <c r="CR1656" s="496" t="s">
        <v>4357</v>
      </c>
      <c r="CS1656" s="496" t="s">
        <v>1085</v>
      </c>
      <c r="CT1656" s="496" t="s">
        <v>3974</v>
      </c>
      <c r="CU1656" s="496" t="s">
        <v>1087</v>
      </c>
      <c r="CV1656" s="497" t="s">
        <v>1088</v>
      </c>
      <c r="CX1656" s="543">
        <v>1</v>
      </c>
    </row>
    <row r="1657" spans="91:102" ht="21" customHeight="1">
      <c r="CM1657" s="494"/>
      <c r="CN1657" s="496" t="s">
        <v>4358</v>
      </c>
      <c r="CO1657" s="496" t="s">
        <v>11</v>
      </c>
      <c r="CP1657" s="496" t="s">
        <v>689</v>
      </c>
      <c r="CQ1657" s="496" t="s">
        <v>4359</v>
      </c>
      <c r="CR1657" s="496" t="s">
        <v>4359</v>
      </c>
      <c r="CS1657" s="496" t="s">
        <v>3959</v>
      </c>
      <c r="CT1657" s="496" t="s">
        <v>3960</v>
      </c>
      <c r="CU1657" s="496" t="s">
        <v>3961</v>
      </c>
      <c r="CV1657" s="497" t="s">
        <v>3962</v>
      </c>
      <c r="CX1657" s="543">
        <v>1</v>
      </c>
    </row>
    <row r="1658" spans="91:102" ht="21" customHeight="1">
      <c r="CM1658" s="494"/>
      <c r="CN1658" s="496" t="s">
        <v>4360</v>
      </c>
      <c r="CO1658" s="496" t="s">
        <v>11</v>
      </c>
      <c r="CP1658" s="496" t="s">
        <v>689</v>
      </c>
      <c r="CQ1658" s="496" t="s">
        <v>4361</v>
      </c>
      <c r="CR1658" s="496" t="s">
        <v>4362</v>
      </c>
      <c r="CS1658" s="496" t="s">
        <v>3959</v>
      </c>
      <c r="CT1658" s="496" t="s">
        <v>3960</v>
      </c>
      <c r="CU1658" s="496" t="s">
        <v>3961</v>
      </c>
      <c r="CV1658" s="497" t="s">
        <v>3962</v>
      </c>
      <c r="CX1658" s="543">
        <v>1</v>
      </c>
    </row>
    <row r="1659" spans="91:102" ht="21" customHeight="1">
      <c r="CM1659" s="494"/>
      <c r="CN1659" s="496" t="s">
        <v>4363</v>
      </c>
      <c r="CO1659" s="496" t="s">
        <v>11</v>
      </c>
      <c r="CP1659" s="496" t="s">
        <v>689</v>
      </c>
      <c r="CQ1659" s="496" t="s">
        <v>4364</v>
      </c>
      <c r="CR1659" s="496" t="s">
        <v>4365</v>
      </c>
      <c r="CS1659" s="496" t="s">
        <v>3959</v>
      </c>
      <c r="CT1659" s="496" t="s">
        <v>3960</v>
      </c>
      <c r="CU1659" s="496" t="s">
        <v>3961</v>
      </c>
      <c r="CV1659" s="497" t="s">
        <v>3962</v>
      </c>
      <c r="CX1659" s="543">
        <v>1</v>
      </c>
    </row>
    <row r="1660" spans="91:102" ht="21" customHeight="1">
      <c r="CM1660" s="494"/>
      <c r="CN1660" s="496" t="s">
        <v>4366</v>
      </c>
      <c r="CO1660" s="496" t="s">
        <v>11</v>
      </c>
      <c r="CP1660" s="496" t="s">
        <v>689</v>
      </c>
      <c r="CQ1660" s="496" t="s">
        <v>4367</v>
      </c>
      <c r="CR1660" s="496" t="s">
        <v>4368</v>
      </c>
      <c r="CS1660" s="496" t="s">
        <v>3959</v>
      </c>
      <c r="CT1660" s="496" t="s">
        <v>3960</v>
      </c>
      <c r="CU1660" s="496" t="s">
        <v>3961</v>
      </c>
      <c r="CV1660" s="497" t="s">
        <v>3962</v>
      </c>
      <c r="CX1660" s="543">
        <v>1</v>
      </c>
    </row>
    <row r="1661" spans="91:102" ht="21" customHeight="1">
      <c r="CM1661" s="494"/>
      <c r="CN1661" s="496" t="s">
        <v>4369</v>
      </c>
      <c r="CO1661" s="496" t="s">
        <v>11</v>
      </c>
      <c r="CP1661" s="496" t="s">
        <v>689</v>
      </c>
      <c r="CQ1661" s="496" t="s">
        <v>4370</v>
      </c>
      <c r="CR1661" s="496" t="s">
        <v>4370</v>
      </c>
      <c r="CS1661" s="496" t="s">
        <v>1085</v>
      </c>
      <c r="CT1661" s="496" t="s">
        <v>3974</v>
      </c>
      <c r="CU1661" s="496" t="s">
        <v>1087</v>
      </c>
      <c r="CV1661" s="497" t="s">
        <v>1088</v>
      </c>
      <c r="CX1661" s="543">
        <v>1</v>
      </c>
    </row>
    <row r="1662" spans="91:102" ht="21" customHeight="1">
      <c r="CM1662" s="494"/>
      <c r="CN1662" s="496" t="s">
        <v>4371</v>
      </c>
      <c r="CO1662" s="496" t="s">
        <v>11</v>
      </c>
      <c r="CP1662" s="496" t="s">
        <v>689</v>
      </c>
      <c r="CQ1662" s="496" t="s">
        <v>4372</v>
      </c>
      <c r="CR1662" s="496" t="s">
        <v>4372</v>
      </c>
      <c r="CS1662" s="496" t="s">
        <v>3959</v>
      </c>
      <c r="CT1662" s="496" t="s">
        <v>3960</v>
      </c>
      <c r="CU1662" s="496" t="s">
        <v>3961</v>
      </c>
      <c r="CV1662" s="497" t="s">
        <v>3962</v>
      </c>
      <c r="CX1662" s="543">
        <v>1</v>
      </c>
    </row>
    <row r="1663" spans="91:102" ht="21" customHeight="1">
      <c r="CM1663" s="494"/>
      <c r="CN1663" s="496" t="s">
        <v>4373</v>
      </c>
      <c r="CO1663" s="496" t="s">
        <v>11</v>
      </c>
      <c r="CP1663" s="496" t="s">
        <v>689</v>
      </c>
      <c r="CQ1663" s="496" t="s">
        <v>4374</v>
      </c>
      <c r="CR1663" s="496" t="s">
        <v>4375</v>
      </c>
      <c r="CS1663" s="496" t="s">
        <v>3959</v>
      </c>
      <c r="CT1663" s="496" t="s">
        <v>3960</v>
      </c>
      <c r="CU1663" s="496" t="s">
        <v>3961</v>
      </c>
      <c r="CV1663" s="497" t="s">
        <v>3962</v>
      </c>
      <c r="CX1663" s="543">
        <v>1</v>
      </c>
    </row>
    <row r="1664" spans="91:102" ht="21" customHeight="1">
      <c r="CM1664" s="494"/>
      <c r="CN1664" s="496" t="s">
        <v>4376</v>
      </c>
      <c r="CO1664" s="496" t="s">
        <v>11</v>
      </c>
      <c r="CP1664" s="496" t="s">
        <v>689</v>
      </c>
      <c r="CQ1664" s="496" t="s">
        <v>4377</v>
      </c>
      <c r="CR1664" s="496" t="s">
        <v>4377</v>
      </c>
      <c r="CS1664" s="496" t="s">
        <v>3959</v>
      </c>
      <c r="CT1664" s="496" t="s">
        <v>3960</v>
      </c>
      <c r="CU1664" s="496" t="s">
        <v>3961</v>
      </c>
      <c r="CV1664" s="497" t="s">
        <v>3962</v>
      </c>
      <c r="CX1664" s="543">
        <v>1</v>
      </c>
    </row>
    <row r="1665" spans="91:102" ht="21" customHeight="1">
      <c r="CM1665" s="494"/>
      <c r="CN1665" s="496" t="s">
        <v>4378</v>
      </c>
      <c r="CO1665" s="496" t="s">
        <v>11</v>
      </c>
      <c r="CP1665" s="496" t="s">
        <v>689</v>
      </c>
      <c r="CQ1665" s="496" t="s">
        <v>4379</v>
      </c>
      <c r="CR1665" s="496" t="s">
        <v>4380</v>
      </c>
      <c r="CS1665" s="496" t="s">
        <v>3959</v>
      </c>
      <c r="CT1665" s="496" t="s">
        <v>3960</v>
      </c>
      <c r="CU1665" s="496" t="s">
        <v>3961</v>
      </c>
      <c r="CV1665" s="497" t="s">
        <v>3962</v>
      </c>
      <c r="CX1665" s="543">
        <v>1</v>
      </c>
    </row>
    <row r="1666" spans="91:102" ht="21" customHeight="1">
      <c r="CM1666" s="494"/>
      <c r="CN1666" s="496" t="s">
        <v>4381</v>
      </c>
      <c r="CO1666" s="496" t="s">
        <v>11</v>
      </c>
      <c r="CP1666" s="496" t="s">
        <v>689</v>
      </c>
      <c r="CQ1666" s="496" t="s">
        <v>331</v>
      </c>
      <c r="CR1666" s="496" t="s">
        <v>331</v>
      </c>
      <c r="CS1666" s="496" t="s">
        <v>1085</v>
      </c>
      <c r="CT1666" s="496" t="s">
        <v>3974</v>
      </c>
      <c r="CU1666" s="496" t="s">
        <v>1087</v>
      </c>
      <c r="CV1666" s="497" t="s">
        <v>1088</v>
      </c>
      <c r="CX1666" s="543">
        <v>1</v>
      </c>
    </row>
    <row r="1667" spans="91:102" ht="21" customHeight="1">
      <c r="CM1667" s="494"/>
      <c r="CN1667" s="496" t="s">
        <v>4382</v>
      </c>
      <c r="CO1667" s="496" t="s">
        <v>11</v>
      </c>
      <c r="CP1667" s="496" t="s">
        <v>689</v>
      </c>
      <c r="CQ1667" s="496" t="s">
        <v>986</v>
      </c>
      <c r="CR1667" s="496" t="s">
        <v>986</v>
      </c>
      <c r="CS1667" s="496" t="s">
        <v>1085</v>
      </c>
      <c r="CT1667" s="496" t="s">
        <v>3974</v>
      </c>
      <c r="CU1667" s="496" t="s">
        <v>1087</v>
      </c>
      <c r="CV1667" s="497" t="s">
        <v>1088</v>
      </c>
      <c r="CX1667" s="543">
        <v>1</v>
      </c>
    </row>
    <row r="1668" spans="91:102" ht="21" customHeight="1">
      <c r="CM1668" s="494"/>
      <c r="CN1668" s="496" t="s">
        <v>4383</v>
      </c>
      <c r="CO1668" s="496" t="s">
        <v>11</v>
      </c>
      <c r="CP1668" s="496" t="s">
        <v>689</v>
      </c>
      <c r="CQ1668" s="496" t="s">
        <v>4384</v>
      </c>
      <c r="CR1668" s="496" t="s">
        <v>4384</v>
      </c>
      <c r="CS1668" s="496" t="s">
        <v>1085</v>
      </c>
      <c r="CT1668" s="496" t="s">
        <v>3974</v>
      </c>
      <c r="CU1668" s="496" t="s">
        <v>1087</v>
      </c>
      <c r="CV1668" s="497" t="s">
        <v>1088</v>
      </c>
      <c r="CX1668" s="543">
        <v>1</v>
      </c>
    </row>
    <row r="1669" spans="91:102" ht="21" customHeight="1">
      <c r="CM1669" s="494"/>
      <c r="CN1669" s="496" t="s">
        <v>4385</v>
      </c>
      <c r="CO1669" s="496" t="s">
        <v>11</v>
      </c>
      <c r="CP1669" s="496" t="s">
        <v>689</v>
      </c>
      <c r="CQ1669" s="496" t="s">
        <v>4386</v>
      </c>
      <c r="CR1669" s="496" t="s">
        <v>4386</v>
      </c>
      <c r="CS1669" s="496" t="s">
        <v>3959</v>
      </c>
      <c r="CT1669" s="496" t="s">
        <v>3960</v>
      </c>
      <c r="CU1669" s="496" t="s">
        <v>3961</v>
      </c>
      <c r="CV1669" s="497" t="s">
        <v>3962</v>
      </c>
      <c r="CX1669" s="543">
        <v>1</v>
      </c>
    </row>
    <row r="1670" spans="91:102" ht="21" customHeight="1">
      <c r="CM1670" s="494"/>
      <c r="CN1670" s="496" t="s">
        <v>4387</v>
      </c>
      <c r="CO1670" s="496" t="s">
        <v>11</v>
      </c>
      <c r="CP1670" s="496" t="s">
        <v>689</v>
      </c>
      <c r="CQ1670" s="496" t="s">
        <v>4388</v>
      </c>
      <c r="CR1670" s="496" t="s">
        <v>4388</v>
      </c>
      <c r="CS1670" s="496" t="s">
        <v>3959</v>
      </c>
      <c r="CT1670" s="496" t="s">
        <v>3960</v>
      </c>
      <c r="CU1670" s="496" t="s">
        <v>3961</v>
      </c>
      <c r="CV1670" s="497" t="s">
        <v>3962</v>
      </c>
      <c r="CX1670" s="543">
        <v>1</v>
      </c>
    </row>
    <row r="1671" spans="91:102" ht="21" customHeight="1">
      <c r="CM1671" s="494"/>
      <c r="CN1671" s="496" t="s">
        <v>4389</v>
      </c>
      <c r="CO1671" s="496" t="s">
        <v>11</v>
      </c>
      <c r="CP1671" s="496" t="s">
        <v>689</v>
      </c>
      <c r="CQ1671" s="496" t="s">
        <v>4390</v>
      </c>
      <c r="CR1671" s="496" t="s">
        <v>987</v>
      </c>
      <c r="CS1671" s="496" t="s">
        <v>1085</v>
      </c>
      <c r="CT1671" s="496" t="s">
        <v>3974</v>
      </c>
      <c r="CU1671" s="496" t="s">
        <v>1087</v>
      </c>
      <c r="CV1671" s="497" t="s">
        <v>1088</v>
      </c>
      <c r="CX1671" s="543">
        <v>1</v>
      </c>
    </row>
    <row r="1672" spans="91:102" ht="21" customHeight="1">
      <c r="CM1672" s="494"/>
      <c r="CN1672" s="496" t="s">
        <v>4391</v>
      </c>
      <c r="CO1672" s="496" t="s">
        <v>11</v>
      </c>
      <c r="CP1672" s="496" t="s">
        <v>689</v>
      </c>
      <c r="CQ1672" s="496" t="s">
        <v>4392</v>
      </c>
      <c r="CR1672" s="496" t="s">
        <v>988</v>
      </c>
      <c r="CS1672" s="496" t="s">
        <v>3959</v>
      </c>
      <c r="CT1672" s="496" t="s">
        <v>3960</v>
      </c>
      <c r="CU1672" s="496" t="s">
        <v>3961</v>
      </c>
      <c r="CV1672" s="497" t="s">
        <v>3962</v>
      </c>
      <c r="CX1672" s="543">
        <v>1</v>
      </c>
    </row>
    <row r="1673" spans="91:102" ht="21" customHeight="1">
      <c r="CM1673" s="494"/>
      <c r="CN1673" s="496" t="s">
        <v>4393</v>
      </c>
      <c r="CO1673" s="496" t="s">
        <v>11</v>
      </c>
      <c r="CP1673" s="496" t="s">
        <v>689</v>
      </c>
      <c r="CQ1673" s="496" t="s">
        <v>4394</v>
      </c>
      <c r="CR1673" s="496" t="s">
        <v>4395</v>
      </c>
      <c r="CS1673" s="496" t="s">
        <v>3959</v>
      </c>
      <c r="CT1673" s="496" t="s">
        <v>3960</v>
      </c>
      <c r="CU1673" s="496" t="s">
        <v>3961</v>
      </c>
      <c r="CV1673" s="497" t="s">
        <v>3962</v>
      </c>
      <c r="CX1673" s="543">
        <v>1</v>
      </c>
    </row>
    <row r="1674" spans="91:102" ht="21" customHeight="1">
      <c r="CM1674" s="494"/>
      <c r="CN1674" s="496" t="s">
        <v>4396</v>
      </c>
      <c r="CO1674" s="496" t="s">
        <v>11</v>
      </c>
      <c r="CP1674" s="496" t="s">
        <v>689</v>
      </c>
      <c r="CQ1674" s="496" t="s">
        <v>146</v>
      </c>
      <c r="CR1674" s="496" t="s">
        <v>146</v>
      </c>
      <c r="CS1674" s="496" t="s">
        <v>1085</v>
      </c>
      <c r="CT1674" s="496" t="s">
        <v>3974</v>
      </c>
      <c r="CU1674" s="496" t="s">
        <v>1087</v>
      </c>
      <c r="CV1674" s="497" t="s">
        <v>1088</v>
      </c>
      <c r="CX1674" s="543">
        <v>1</v>
      </c>
    </row>
    <row r="1675" spans="91:102" ht="21" customHeight="1">
      <c r="CM1675" s="494"/>
      <c r="CN1675" s="496" t="s">
        <v>4397</v>
      </c>
      <c r="CO1675" s="496" t="s">
        <v>11</v>
      </c>
      <c r="CP1675" s="496" t="s">
        <v>689</v>
      </c>
      <c r="CQ1675" s="496" t="s">
        <v>4398</v>
      </c>
      <c r="CR1675" s="496" t="s">
        <v>4399</v>
      </c>
      <c r="CS1675" s="496" t="s">
        <v>3959</v>
      </c>
      <c r="CT1675" s="496" t="s">
        <v>3960</v>
      </c>
      <c r="CU1675" s="496" t="s">
        <v>3961</v>
      </c>
      <c r="CV1675" s="497" t="s">
        <v>3962</v>
      </c>
      <c r="CX1675" s="543">
        <v>1</v>
      </c>
    </row>
    <row r="1676" spans="91:102" ht="21" customHeight="1">
      <c r="CM1676" s="494"/>
      <c r="CN1676" s="496" t="s">
        <v>4400</v>
      </c>
      <c r="CO1676" s="496" t="s">
        <v>11</v>
      </c>
      <c r="CP1676" s="496" t="s">
        <v>689</v>
      </c>
      <c r="CQ1676" s="496" t="s">
        <v>4401</v>
      </c>
      <c r="CR1676" s="496" t="s">
        <v>123</v>
      </c>
      <c r="CS1676" s="496" t="s">
        <v>1085</v>
      </c>
      <c r="CT1676" s="496" t="s">
        <v>3974</v>
      </c>
      <c r="CU1676" s="496" t="s">
        <v>1087</v>
      </c>
      <c r="CV1676" s="497" t="s">
        <v>1088</v>
      </c>
      <c r="CX1676" s="543">
        <v>1</v>
      </c>
    </row>
    <row r="1677" spans="91:102" ht="21" customHeight="1">
      <c r="CM1677" s="494"/>
      <c r="CN1677" s="496" t="s">
        <v>4402</v>
      </c>
      <c r="CO1677" s="496" t="s">
        <v>11</v>
      </c>
      <c r="CP1677" s="496" t="s">
        <v>689</v>
      </c>
      <c r="CQ1677" s="496" t="s">
        <v>4403</v>
      </c>
      <c r="CR1677" s="496" t="s">
        <v>4404</v>
      </c>
      <c r="CS1677" s="496" t="s">
        <v>3959</v>
      </c>
      <c r="CT1677" s="496" t="s">
        <v>3960</v>
      </c>
      <c r="CU1677" s="496" t="s">
        <v>3961</v>
      </c>
      <c r="CV1677" s="497" t="s">
        <v>3962</v>
      </c>
      <c r="CX1677" s="543">
        <v>1</v>
      </c>
    </row>
    <row r="1678" spans="91:102" ht="21" customHeight="1">
      <c r="CM1678" s="494"/>
      <c r="CN1678" s="496" t="s">
        <v>4405</v>
      </c>
      <c r="CO1678" s="496" t="s">
        <v>11</v>
      </c>
      <c r="CP1678" s="496" t="s">
        <v>689</v>
      </c>
      <c r="CQ1678" s="496" t="s">
        <v>4406</v>
      </c>
      <c r="CR1678" s="496" t="s">
        <v>4407</v>
      </c>
      <c r="CS1678" s="496" t="s">
        <v>3959</v>
      </c>
      <c r="CT1678" s="496" t="s">
        <v>3960</v>
      </c>
      <c r="CU1678" s="496" t="s">
        <v>3961</v>
      </c>
      <c r="CV1678" s="497" t="s">
        <v>3962</v>
      </c>
      <c r="CX1678" s="543">
        <v>1</v>
      </c>
    </row>
    <row r="1679" spans="91:102" ht="21" customHeight="1">
      <c r="CM1679" s="494"/>
      <c r="CN1679" s="496" t="s">
        <v>4408</v>
      </c>
      <c r="CO1679" s="496" t="s">
        <v>11</v>
      </c>
      <c r="CP1679" s="496" t="s">
        <v>689</v>
      </c>
      <c r="CQ1679" s="496" t="s">
        <v>4409</v>
      </c>
      <c r="CR1679" s="496" t="s">
        <v>136</v>
      </c>
      <c r="CS1679" s="496" t="s">
        <v>1085</v>
      </c>
      <c r="CT1679" s="496" t="s">
        <v>3974</v>
      </c>
      <c r="CU1679" s="496" t="s">
        <v>1087</v>
      </c>
      <c r="CV1679" s="497" t="s">
        <v>1088</v>
      </c>
      <c r="CX1679" s="543">
        <v>1</v>
      </c>
    </row>
    <row r="1680" spans="91:102" ht="21" customHeight="1">
      <c r="CM1680" s="494"/>
      <c r="CN1680" s="496" t="s">
        <v>4410</v>
      </c>
      <c r="CO1680" s="496" t="s">
        <v>11</v>
      </c>
      <c r="CP1680" s="496" t="s">
        <v>689</v>
      </c>
      <c r="CQ1680" s="496" t="s">
        <v>4411</v>
      </c>
      <c r="CR1680" s="496" t="s">
        <v>4411</v>
      </c>
      <c r="CS1680" s="496" t="s">
        <v>1085</v>
      </c>
      <c r="CT1680" s="496" t="s">
        <v>3974</v>
      </c>
      <c r="CU1680" s="496" t="s">
        <v>1087</v>
      </c>
      <c r="CV1680" s="497" t="s">
        <v>1088</v>
      </c>
      <c r="CX1680" s="543">
        <v>1</v>
      </c>
    </row>
    <row r="1681" spans="91:102" ht="21" customHeight="1">
      <c r="CM1681" s="494"/>
      <c r="CN1681" s="496" t="s">
        <v>4412</v>
      </c>
      <c r="CO1681" s="496" t="s">
        <v>11</v>
      </c>
      <c r="CP1681" s="496" t="s">
        <v>689</v>
      </c>
      <c r="CQ1681" s="496" t="s">
        <v>4413</v>
      </c>
      <c r="CR1681" s="496" t="s">
        <v>4413</v>
      </c>
      <c r="CS1681" s="496" t="s">
        <v>3959</v>
      </c>
      <c r="CT1681" s="496" t="s">
        <v>3960</v>
      </c>
      <c r="CU1681" s="496" t="s">
        <v>3961</v>
      </c>
      <c r="CV1681" s="497" t="s">
        <v>3962</v>
      </c>
      <c r="CX1681" s="543">
        <v>1</v>
      </c>
    </row>
    <row r="1682" spans="91:102" ht="21" customHeight="1">
      <c r="CM1682" s="494"/>
      <c r="CN1682" s="496" t="s">
        <v>4414</v>
      </c>
      <c r="CO1682" s="496" t="s">
        <v>11</v>
      </c>
      <c r="CP1682" s="496" t="s">
        <v>689</v>
      </c>
      <c r="CQ1682" s="496" t="s">
        <v>4415</v>
      </c>
      <c r="CR1682" s="496" t="s">
        <v>4415</v>
      </c>
      <c r="CS1682" s="496" t="s">
        <v>3959</v>
      </c>
      <c r="CT1682" s="496" t="s">
        <v>3960</v>
      </c>
      <c r="CU1682" s="496" t="s">
        <v>3961</v>
      </c>
      <c r="CV1682" s="497" t="s">
        <v>3962</v>
      </c>
      <c r="CX1682" s="543">
        <v>1</v>
      </c>
    </row>
    <row r="1683" spans="91:102" ht="21" customHeight="1">
      <c r="CM1683" s="494"/>
      <c r="CN1683" s="496" t="s">
        <v>4416</v>
      </c>
      <c r="CO1683" s="496" t="s">
        <v>11</v>
      </c>
      <c r="CP1683" s="496" t="s">
        <v>689</v>
      </c>
      <c r="CQ1683" s="496" t="s">
        <v>4417</v>
      </c>
      <c r="CR1683" s="496" t="s">
        <v>4417</v>
      </c>
      <c r="CS1683" s="496" t="s">
        <v>3959</v>
      </c>
      <c r="CT1683" s="496" t="s">
        <v>3960</v>
      </c>
      <c r="CU1683" s="496" t="s">
        <v>3961</v>
      </c>
      <c r="CV1683" s="497" t="s">
        <v>3962</v>
      </c>
      <c r="CX1683" s="543">
        <v>1</v>
      </c>
    </row>
    <row r="1684" spans="91:102" ht="21" customHeight="1">
      <c r="CM1684" s="494"/>
      <c r="CN1684" s="496" t="s">
        <v>4418</v>
      </c>
      <c r="CO1684" s="496" t="s">
        <v>11</v>
      </c>
      <c r="CP1684" s="496" t="s">
        <v>689</v>
      </c>
      <c r="CQ1684" s="496" t="s">
        <v>989</v>
      </c>
      <c r="CR1684" s="496" t="s">
        <v>989</v>
      </c>
      <c r="CS1684" s="496" t="s">
        <v>1085</v>
      </c>
      <c r="CT1684" s="496" t="s">
        <v>3974</v>
      </c>
      <c r="CU1684" s="496" t="s">
        <v>1087</v>
      </c>
      <c r="CV1684" s="497" t="s">
        <v>1088</v>
      </c>
      <c r="CX1684" s="543">
        <v>1</v>
      </c>
    </row>
    <row r="1685" spans="91:102" ht="21" customHeight="1">
      <c r="CM1685" s="494"/>
      <c r="CN1685" s="496" t="s">
        <v>4419</v>
      </c>
      <c r="CO1685" s="496" t="s">
        <v>11</v>
      </c>
      <c r="CP1685" s="496" t="s">
        <v>689</v>
      </c>
      <c r="CQ1685" s="496" t="s">
        <v>990</v>
      </c>
      <c r="CR1685" s="496" t="s">
        <v>990</v>
      </c>
      <c r="CS1685" s="496" t="s">
        <v>1085</v>
      </c>
      <c r="CT1685" s="496" t="s">
        <v>3974</v>
      </c>
      <c r="CU1685" s="496" t="s">
        <v>1087</v>
      </c>
      <c r="CV1685" s="497" t="s">
        <v>1088</v>
      </c>
      <c r="CX1685" s="543">
        <v>1</v>
      </c>
    </row>
    <row r="1686" spans="91:102" ht="21" customHeight="1">
      <c r="CM1686" s="494"/>
      <c r="CN1686" s="496" t="s">
        <v>4420</v>
      </c>
      <c r="CO1686" s="496" t="s">
        <v>11</v>
      </c>
      <c r="CP1686" s="496" t="s">
        <v>689</v>
      </c>
      <c r="CQ1686" s="496" t="s">
        <v>4421</v>
      </c>
      <c r="CR1686" s="496" t="s">
        <v>4421</v>
      </c>
      <c r="CS1686" s="496" t="s">
        <v>3959</v>
      </c>
      <c r="CT1686" s="496" t="s">
        <v>3960</v>
      </c>
      <c r="CU1686" s="496" t="s">
        <v>3961</v>
      </c>
      <c r="CV1686" s="497" t="s">
        <v>3962</v>
      </c>
      <c r="CX1686" s="543">
        <v>1</v>
      </c>
    </row>
    <row r="1687" spans="91:102" ht="21" customHeight="1">
      <c r="CM1687" s="494"/>
      <c r="CN1687" s="496" t="s">
        <v>4422</v>
      </c>
      <c r="CO1687" s="496" t="s">
        <v>11</v>
      </c>
      <c r="CP1687" s="496" t="s">
        <v>689</v>
      </c>
      <c r="CQ1687" s="496" t="s">
        <v>4423</v>
      </c>
      <c r="CR1687" s="496" t="s">
        <v>4423</v>
      </c>
      <c r="CS1687" s="496" t="s">
        <v>1085</v>
      </c>
      <c r="CT1687" s="496" t="s">
        <v>3974</v>
      </c>
      <c r="CU1687" s="496" t="s">
        <v>1087</v>
      </c>
      <c r="CV1687" s="497" t="s">
        <v>1088</v>
      </c>
      <c r="CX1687" s="543">
        <v>1</v>
      </c>
    </row>
    <row r="1688" spans="91:102" ht="21" customHeight="1">
      <c r="CM1688" s="494"/>
      <c r="CN1688" s="496" t="s">
        <v>4424</v>
      </c>
      <c r="CO1688" s="496" t="s">
        <v>11</v>
      </c>
      <c r="CP1688" s="496" t="s">
        <v>689</v>
      </c>
      <c r="CQ1688" s="496" t="s">
        <v>4425</v>
      </c>
      <c r="CR1688" s="496" t="s">
        <v>4425</v>
      </c>
      <c r="CS1688" s="496" t="s">
        <v>3959</v>
      </c>
      <c r="CT1688" s="496" t="s">
        <v>3960</v>
      </c>
      <c r="CU1688" s="496" t="s">
        <v>3961</v>
      </c>
      <c r="CV1688" s="497" t="s">
        <v>3962</v>
      </c>
      <c r="CX1688" s="543">
        <v>1</v>
      </c>
    </row>
    <row r="1689" spans="91:102" ht="21" customHeight="1">
      <c r="CM1689" s="494"/>
      <c r="CN1689" s="496" t="s">
        <v>4426</v>
      </c>
      <c r="CO1689" s="496" t="s">
        <v>11</v>
      </c>
      <c r="CP1689" s="496" t="s">
        <v>689</v>
      </c>
      <c r="CQ1689" s="496" t="s">
        <v>4427</v>
      </c>
      <c r="CR1689" s="496" t="s">
        <v>4427</v>
      </c>
      <c r="CS1689" s="496" t="s">
        <v>3959</v>
      </c>
      <c r="CT1689" s="496" t="s">
        <v>3960</v>
      </c>
      <c r="CU1689" s="496" t="s">
        <v>3961</v>
      </c>
      <c r="CV1689" s="497" t="s">
        <v>3962</v>
      </c>
      <c r="CX1689" s="543">
        <v>1</v>
      </c>
    </row>
    <row r="1690" spans="91:102" ht="21" customHeight="1">
      <c r="CM1690" s="494"/>
      <c r="CN1690" s="496" t="s">
        <v>4428</v>
      </c>
      <c r="CO1690" s="496" t="s">
        <v>11</v>
      </c>
      <c r="CP1690" s="496" t="s">
        <v>689</v>
      </c>
      <c r="CQ1690" s="496" t="s">
        <v>991</v>
      </c>
      <c r="CR1690" s="496" t="s">
        <v>991</v>
      </c>
      <c r="CS1690" s="496" t="s">
        <v>1085</v>
      </c>
      <c r="CT1690" s="496" t="s">
        <v>3974</v>
      </c>
      <c r="CU1690" s="496" t="s">
        <v>1087</v>
      </c>
      <c r="CV1690" s="497" t="s">
        <v>1088</v>
      </c>
      <c r="CX1690" s="543">
        <v>1</v>
      </c>
    </row>
    <row r="1691" spans="91:102" ht="21" customHeight="1">
      <c r="CM1691" s="494"/>
      <c r="CN1691" s="496" t="s">
        <v>4429</v>
      </c>
      <c r="CO1691" s="496" t="s">
        <v>11</v>
      </c>
      <c r="CP1691" s="496" t="s">
        <v>689</v>
      </c>
      <c r="CQ1691" s="496" t="s">
        <v>4430</v>
      </c>
      <c r="CR1691" s="496" t="s">
        <v>4431</v>
      </c>
      <c r="CS1691" s="496" t="s">
        <v>3959</v>
      </c>
      <c r="CT1691" s="496" t="s">
        <v>3960</v>
      </c>
      <c r="CU1691" s="496" t="s">
        <v>3961</v>
      </c>
      <c r="CV1691" s="497" t="s">
        <v>3962</v>
      </c>
      <c r="CX1691" s="543">
        <v>1</v>
      </c>
    </row>
    <row r="1692" spans="91:102" ht="21" customHeight="1">
      <c r="CM1692" s="494"/>
      <c r="CN1692" s="496" t="s">
        <v>4432</v>
      </c>
      <c r="CO1692" s="496" t="s">
        <v>11</v>
      </c>
      <c r="CP1692" s="496" t="s">
        <v>689</v>
      </c>
      <c r="CQ1692" s="496" t="s">
        <v>4433</v>
      </c>
      <c r="CR1692" s="496" t="s">
        <v>992</v>
      </c>
      <c r="CS1692" s="496" t="s">
        <v>3959</v>
      </c>
      <c r="CT1692" s="496" t="s">
        <v>3960</v>
      </c>
      <c r="CU1692" s="496" t="s">
        <v>3961</v>
      </c>
      <c r="CV1692" s="497" t="s">
        <v>3962</v>
      </c>
      <c r="CX1692" s="543">
        <v>1</v>
      </c>
    </row>
    <row r="1693" spans="91:102" ht="21" customHeight="1">
      <c r="CM1693" s="494"/>
      <c r="CN1693" s="496" t="s">
        <v>4434</v>
      </c>
      <c r="CO1693" s="496" t="s">
        <v>11</v>
      </c>
      <c r="CP1693" s="496" t="s">
        <v>689</v>
      </c>
      <c r="CQ1693" s="496" t="s">
        <v>4435</v>
      </c>
      <c r="CR1693" s="496" t="s">
        <v>993</v>
      </c>
      <c r="CS1693" s="496" t="s">
        <v>3959</v>
      </c>
      <c r="CT1693" s="496" t="s">
        <v>3960</v>
      </c>
      <c r="CU1693" s="496" t="s">
        <v>3961</v>
      </c>
      <c r="CV1693" s="497" t="s">
        <v>3962</v>
      </c>
      <c r="CX1693" s="543">
        <v>1</v>
      </c>
    </row>
    <row r="1694" spans="91:102" ht="21" customHeight="1">
      <c r="CM1694" s="494"/>
      <c r="CN1694" s="496" t="s">
        <v>4436</v>
      </c>
      <c r="CO1694" s="496" t="s">
        <v>11</v>
      </c>
      <c r="CP1694" s="496" t="s">
        <v>689</v>
      </c>
      <c r="CQ1694" s="496" t="s">
        <v>994</v>
      </c>
      <c r="CR1694" s="496" t="s">
        <v>994</v>
      </c>
      <c r="CS1694" s="496" t="s">
        <v>1085</v>
      </c>
      <c r="CT1694" s="496" t="s">
        <v>3974</v>
      </c>
      <c r="CU1694" s="496" t="s">
        <v>1087</v>
      </c>
      <c r="CV1694" s="497" t="s">
        <v>1088</v>
      </c>
      <c r="CX1694" s="543">
        <v>1</v>
      </c>
    </row>
    <row r="1695" spans="91:102" ht="21" customHeight="1">
      <c r="CM1695" s="494"/>
      <c r="CN1695" s="496" t="s">
        <v>4437</v>
      </c>
      <c r="CO1695" s="496" t="s">
        <v>11</v>
      </c>
      <c r="CP1695" s="496" t="s">
        <v>689</v>
      </c>
      <c r="CQ1695" s="496" t="s">
        <v>4438</v>
      </c>
      <c r="CR1695" s="496" t="s">
        <v>4439</v>
      </c>
      <c r="CS1695" s="496" t="s">
        <v>3959</v>
      </c>
      <c r="CT1695" s="496" t="s">
        <v>3960</v>
      </c>
      <c r="CU1695" s="496" t="s">
        <v>3961</v>
      </c>
      <c r="CV1695" s="497" t="s">
        <v>3962</v>
      </c>
      <c r="CX1695" s="543">
        <v>1</v>
      </c>
    </row>
    <row r="1696" spans="91:102" ht="21" customHeight="1">
      <c r="CM1696" s="494"/>
      <c r="CN1696" s="496" t="s">
        <v>4440</v>
      </c>
      <c r="CO1696" s="496" t="s">
        <v>11</v>
      </c>
      <c r="CP1696" s="496" t="s">
        <v>689</v>
      </c>
      <c r="CQ1696" s="496" t="s">
        <v>4441</v>
      </c>
      <c r="CR1696" s="496" t="s">
        <v>4441</v>
      </c>
      <c r="CS1696" s="496" t="s">
        <v>1085</v>
      </c>
      <c r="CT1696" s="496" t="s">
        <v>3974</v>
      </c>
      <c r="CU1696" s="496" t="s">
        <v>1087</v>
      </c>
      <c r="CV1696" s="497" t="s">
        <v>1088</v>
      </c>
      <c r="CX1696" s="543">
        <v>1</v>
      </c>
    </row>
    <row r="1697" spans="91:102" ht="21" customHeight="1">
      <c r="CM1697" s="494"/>
      <c r="CN1697" s="496" t="s">
        <v>4442</v>
      </c>
      <c r="CO1697" s="496" t="s">
        <v>11</v>
      </c>
      <c r="CP1697" s="496" t="s">
        <v>689</v>
      </c>
      <c r="CQ1697" s="496" t="s">
        <v>4443</v>
      </c>
      <c r="CR1697" s="496" t="s">
        <v>4444</v>
      </c>
      <c r="CS1697" s="496" t="s">
        <v>3959</v>
      </c>
      <c r="CT1697" s="496" t="s">
        <v>3960</v>
      </c>
      <c r="CU1697" s="496" t="s">
        <v>3961</v>
      </c>
      <c r="CV1697" s="497" t="s">
        <v>3962</v>
      </c>
      <c r="CX1697" s="543">
        <v>1</v>
      </c>
    </row>
    <row r="1698" spans="91:102" ht="21" customHeight="1">
      <c r="CM1698" s="494"/>
      <c r="CN1698" s="496" t="s">
        <v>4445</v>
      </c>
      <c r="CO1698" s="496" t="s">
        <v>11</v>
      </c>
      <c r="CP1698" s="496" t="s">
        <v>689</v>
      </c>
      <c r="CQ1698" s="496" t="s">
        <v>4446</v>
      </c>
      <c r="CR1698" s="496" t="s">
        <v>4446</v>
      </c>
      <c r="CS1698" s="496" t="s">
        <v>3959</v>
      </c>
      <c r="CT1698" s="496" t="s">
        <v>3960</v>
      </c>
      <c r="CU1698" s="496" t="s">
        <v>3961</v>
      </c>
      <c r="CV1698" s="497" t="s">
        <v>3962</v>
      </c>
      <c r="CX1698" s="543">
        <v>1</v>
      </c>
    </row>
    <row r="1699" spans="91:102" ht="21" customHeight="1">
      <c r="CM1699" s="494"/>
      <c r="CN1699" s="496" t="s">
        <v>4447</v>
      </c>
      <c r="CO1699" s="496" t="s">
        <v>11</v>
      </c>
      <c r="CP1699" s="496" t="s">
        <v>689</v>
      </c>
      <c r="CQ1699" s="496" t="s">
        <v>4448</v>
      </c>
      <c r="CR1699" s="496" t="s">
        <v>4448</v>
      </c>
      <c r="CS1699" s="496" t="s">
        <v>3959</v>
      </c>
      <c r="CT1699" s="496" t="s">
        <v>3960</v>
      </c>
      <c r="CU1699" s="496" t="s">
        <v>3961</v>
      </c>
      <c r="CV1699" s="497" t="s">
        <v>3962</v>
      </c>
      <c r="CX1699" s="543">
        <v>1</v>
      </c>
    </row>
    <row r="1700" spans="91:102" ht="21" customHeight="1">
      <c r="CM1700" s="494"/>
      <c r="CN1700" s="496" t="s">
        <v>4449</v>
      </c>
      <c r="CO1700" s="496" t="s">
        <v>11</v>
      </c>
      <c r="CP1700" s="496" t="s">
        <v>689</v>
      </c>
      <c r="CQ1700" s="496" t="s">
        <v>4450</v>
      </c>
      <c r="CR1700" s="496" t="s">
        <v>4451</v>
      </c>
      <c r="CS1700" s="496" t="s">
        <v>3959</v>
      </c>
      <c r="CT1700" s="496" t="s">
        <v>3960</v>
      </c>
      <c r="CU1700" s="496" t="s">
        <v>3961</v>
      </c>
      <c r="CV1700" s="497" t="s">
        <v>3962</v>
      </c>
      <c r="CX1700" s="543">
        <v>1</v>
      </c>
    </row>
    <row r="1701" spans="91:102" ht="21" customHeight="1">
      <c r="CM1701" s="494"/>
      <c r="CN1701" s="496" t="s">
        <v>4452</v>
      </c>
      <c r="CO1701" s="496" t="s">
        <v>11</v>
      </c>
      <c r="CP1701" s="496" t="s">
        <v>689</v>
      </c>
      <c r="CQ1701" s="496" t="s">
        <v>4453</v>
      </c>
      <c r="CR1701" s="496" t="s">
        <v>4453</v>
      </c>
      <c r="CS1701" s="496" t="s">
        <v>3959</v>
      </c>
      <c r="CT1701" s="496" t="s">
        <v>3960</v>
      </c>
      <c r="CU1701" s="496" t="s">
        <v>3961</v>
      </c>
      <c r="CV1701" s="497" t="s">
        <v>3962</v>
      </c>
      <c r="CX1701" s="543">
        <v>1</v>
      </c>
    </row>
    <row r="1702" spans="91:102" ht="21" customHeight="1">
      <c r="CM1702" s="494"/>
      <c r="CN1702" s="496" t="s">
        <v>4454</v>
      </c>
      <c r="CO1702" s="496" t="s">
        <v>11</v>
      </c>
      <c r="CP1702" s="496" t="s">
        <v>689</v>
      </c>
      <c r="CQ1702" s="496" t="s">
        <v>4455</v>
      </c>
      <c r="CR1702" s="496" t="s">
        <v>4455</v>
      </c>
      <c r="CS1702" s="496" t="s">
        <v>1085</v>
      </c>
      <c r="CT1702" s="496" t="s">
        <v>3974</v>
      </c>
      <c r="CU1702" s="496" t="s">
        <v>1087</v>
      </c>
      <c r="CV1702" s="497" t="s">
        <v>1088</v>
      </c>
      <c r="CX1702" s="543">
        <v>1</v>
      </c>
    </row>
    <row r="1703" spans="91:102" ht="21" customHeight="1">
      <c r="CM1703" s="494"/>
      <c r="CN1703" s="496" t="s">
        <v>4456</v>
      </c>
      <c r="CO1703" s="496" t="s">
        <v>11</v>
      </c>
      <c r="CP1703" s="496" t="s">
        <v>689</v>
      </c>
      <c r="CQ1703" s="496" t="s">
        <v>4457</v>
      </c>
      <c r="CR1703" s="496" t="s">
        <v>4458</v>
      </c>
      <c r="CS1703" s="496" t="s">
        <v>3959</v>
      </c>
      <c r="CT1703" s="496" t="s">
        <v>3960</v>
      </c>
      <c r="CU1703" s="496" t="s">
        <v>3961</v>
      </c>
      <c r="CV1703" s="497" t="s">
        <v>3962</v>
      </c>
      <c r="CX1703" s="543">
        <v>1</v>
      </c>
    </row>
    <row r="1704" spans="91:102" ht="21" customHeight="1">
      <c r="CM1704" s="494"/>
      <c r="CN1704" s="496" t="s">
        <v>4459</v>
      </c>
      <c r="CO1704" s="496" t="s">
        <v>11</v>
      </c>
      <c r="CP1704" s="496" t="s">
        <v>689</v>
      </c>
      <c r="CQ1704" s="496" t="s">
        <v>4460</v>
      </c>
      <c r="CR1704" s="496" t="s">
        <v>4461</v>
      </c>
      <c r="CS1704" s="496" t="s">
        <v>3959</v>
      </c>
      <c r="CT1704" s="496" t="s">
        <v>3960</v>
      </c>
      <c r="CU1704" s="496" t="s">
        <v>3961</v>
      </c>
      <c r="CV1704" s="497" t="s">
        <v>3962</v>
      </c>
      <c r="CX1704" s="543">
        <v>1</v>
      </c>
    </row>
    <row r="1705" spans="91:102" ht="21" customHeight="1">
      <c r="CM1705" s="494"/>
      <c r="CN1705" s="496" t="s">
        <v>4462</v>
      </c>
      <c r="CO1705" s="496" t="s">
        <v>11</v>
      </c>
      <c r="CP1705" s="496" t="s">
        <v>689</v>
      </c>
      <c r="CQ1705" s="496" t="s">
        <v>4463</v>
      </c>
      <c r="CR1705" s="496" t="s">
        <v>4463</v>
      </c>
      <c r="CS1705" s="496" t="s">
        <v>3959</v>
      </c>
      <c r="CT1705" s="496" t="s">
        <v>3960</v>
      </c>
      <c r="CU1705" s="496" t="s">
        <v>3961</v>
      </c>
      <c r="CV1705" s="497" t="s">
        <v>3962</v>
      </c>
      <c r="CX1705" s="543">
        <v>1</v>
      </c>
    </row>
    <row r="1706" spans="91:102" ht="21" customHeight="1">
      <c r="CM1706" s="494"/>
      <c r="CN1706" s="496" t="s">
        <v>4464</v>
      </c>
      <c r="CO1706" s="496" t="s">
        <v>11</v>
      </c>
      <c r="CP1706" s="496" t="s">
        <v>689</v>
      </c>
      <c r="CQ1706" s="496" t="s">
        <v>4465</v>
      </c>
      <c r="CR1706" s="496" t="s">
        <v>4465</v>
      </c>
      <c r="CS1706" s="496" t="s">
        <v>1085</v>
      </c>
      <c r="CT1706" s="496" t="s">
        <v>3974</v>
      </c>
      <c r="CU1706" s="496" t="s">
        <v>1087</v>
      </c>
      <c r="CV1706" s="497" t="s">
        <v>1088</v>
      </c>
      <c r="CX1706" s="543">
        <v>1</v>
      </c>
    </row>
    <row r="1707" spans="91:102" ht="21" customHeight="1">
      <c r="CM1707" s="494"/>
      <c r="CN1707" s="496" t="s">
        <v>4466</v>
      </c>
      <c r="CO1707" s="496" t="s">
        <v>11</v>
      </c>
      <c r="CP1707" s="496" t="s">
        <v>689</v>
      </c>
      <c r="CQ1707" s="496" t="s">
        <v>4467</v>
      </c>
      <c r="CR1707" s="496" t="s">
        <v>4468</v>
      </c>
      <c r="CS1707" s="496" t="s">
        <v>1085</v>
      </c>
      <c r="CT1707" s="496" t="s">
        <v>3974</v>
      </c>
      <c r="CU1707" s="496" t="s">
        <v>1087</v>
      </c>
      <c r="CV1707" s="497" t="s">
        <v>1088</v>
      </c>
      <c r="CX1707" s="543">
        <v>1</v>
      </c>
    </row>
    <row r="1708" spans="91:102" ht="21" customHeight="1">
      <c r="CM1708" s="494"/>
      <c r="CN1708" s="496" t="s">
        <v>4469</v>
      </c>
      <c r="CO1708" s="496" t="s">
        <v>11</v>
      </c>
      <c r="CP1708" s="496" t="s">
        <v>689</v>
      </c>
      <c r="CQ1708" s="496" t="s">
        <v>4470</v>
      </c>
      <c r="CR1708" s="496" t="s">
        <v>4470</v>
      </c>
      <c r="CS1708" s="496" t="s">
        <v>3959</v>
      </c>
      <c r="CT1708" s="496" t="s">
        <v>3960</v>
      </c>
      <c r="CU1708" s="496" t="s">
        <v>3961</v>
      </c>
      <c r="CV1708" s="497" t="s">
        <v>3962</v>
      </c>
      <c r="CX1708" s="543">
        <v>1</v>
      </c>
    </row>
    <row r="1709" spans="91:102" ht="21" customHeight="1">
      <c r="CM1709" s="494"/>
      <c r="CN1709" s="496" t="s">
        <v>4471</v>
      </c>
      <c r="CO1709" s="496" t="s">
        <v>11</v>
      </c>
      <c r="CP1709" s="496" t="s">
        <v>689</v>
      </c>
      <c r="CQ1709" s="496" t="s">
        <v>4472</v>
      </c>
      <c r="CR1709" s="496" t="s">
        <v>4472</v>
      </c>
      <c r="CS1709" s="496" t="s">
        <v>3959</v>
      </c>
      <c r="CT1709" s="496" t="s">
        <v>3960</v>
      </c>
      <c r="CU1709" s="496" t="s">
        <v>3961</v>
      </c>
      <c r="CV1709" s="497" t="s">
        <v>3962</v>
      </c>
      <c r="CX1709" s="543">
        <v>1</v>
      </c>
    </row>
    <row r="1710" spans="91:102" ht="21" customHeight="1">
      <c r="CM1710" s="494"/>
      <c r="CN1710" s="496" t="s">
        <v>4473</v>
      </c>
      <c r="CO1710" s="496" t="s">
        <v>11</v>
      </c>
      <c r="CP1710" s="496" t="s">
        <v>689</v>
      </c>
      <c r="CQ1710" s="496" t="s">
        <v>4474</v>
      </c>
      <c r="CR1710" s="496" t="s">
        <v>4474</v>
      </c>
      <c r="CS1710" s="496" t="s">
        <v>3959</v>
      </c>
      <c r="CT1710" s="496" t="s">
        <v>3960</v>
      </c>
      <c r="CU1710" s="496" t="s">
        <v>3961</v>
      </c>
      <c r="CV1710" s="497" t="s">
        <v>3962</v>
      </c>
      <c r="CX1710" s="543">
        <v>1</v>
      </c>
    </row>
    <row r="1711" spans="91:102" ht="21" customHeight="1">
      <c r="CM1711" s="494"/>
      <c r="CN1711" s="496" t="s">
        <v>4475</v>
      </c>
      <c r="CO1711" s="496" t="s">
        <v>11</v>
      </c>
      <c r="CP1711" s="496" t="s">
        <v>689</v>
      </c>
      <c r="CQ1711" s="496" t="s">
        <v>4476</v>
      </c>
      <c r="CR1711" s="496" t="s">
        <v>4476</v>
      </c>
      <c r="CS1711" s="496" t="s">
        <v>1085</v>
      </c>
      <c r="CT1711" s="496" t="s">
        <v>3974</v>
      </c>
      <c r="CU1711" s="496" t="s">
        <v>1087</v>
      </c>
      <c r="CV1711" s="497" t="s">
        <v>1088</v>
      </c>
      <c r="CX1711" s="543">
        <v>1</v>
      </c>
    </row>
    <row r="1712" spans="91:102" ht="21" customHeight="1">
      <c r="CM1712" s="494"/>
      <c r="CN1712" s="496" t="s">
        <v>4477</v>
      </c>
      <c r="CO1712" s="496" t="s">
        <v>11</v>
      </c>
      <c r="CP1712" s="496" t="s">
        <v>689</v>
      </c>
      <c r="CQ1712" s="496" t="s">
        <v>4478</v>
      </c>
      <c r="CR1712" s="496" t="s">
        <v>4478</v>
      </c>
      <c r="CS1712" s="496" t="s">
        <v>3959</v>
      </c>
      <c r="CT1712" s="496" t="s">
        <v>3960</v>
      </c>
      <c r="CU1712" s="496" t="s">
        <v>3961</v>
      </c>
      <c r="CV1712" s="497" t="s">
        <v>3962</v>
      </c>
      <c r="CX1712" s="543">
        <v>1</v>
      </c>
    </row>
    <row r="1713" spans="91:102" ht="21" customHeight="1">
      <c r="CM1713" s="494"/>
      <c r="CN1713" s="496" t="s">
        <v>4479</v>
      </c>
      <c r="CO1713" s="496" t="s">
        <v>11</v>
      </c>
      <c r="CP1713" s="496" t="s">
        <v>689</v>
      </c>
      <c r="CQ1713" s="496" t="s">
        <v>4480</v>
      </c>
      <c r="CR1713" s="496" t="s">
        <v>4480</v>
      </c>
      <c r="CS1713" s="496" t="s">
        <v>3959</v>
      </c>
      <c r="CT1713" s="496" t="s">
        <v>3960</v>
      </c>
      <c r="CU1713" s="496" t="s">
        <v>3961</v>
      </c>
      <c r="CV1713" s="497" t="s">
        <v>3962</v>
      </c>
      <c r="CX1713" s="543">
        <v>1</v>
      </c>
    </row>
    <row r="1714" spans="91:102" ht="21" customHeight="1">
      <c r="CM1714" s="494"/>
      <c r="CN1714" s="496" t="s">
        <v>4481</v>
      </c>
      <c r="CO1714" s="496" t="s">
        <v>11</v>
      </c>
      <c r="CP1714" s="496" t="s">
        <v>689</v>
      </c>
      <c r="CQ1714" s="496" t="s">
        <v>4482</v>
      </c>
      <c r="CR1714" s="496" t="s">
        <v>4482</v>
      </c>
      <c r="CS1714" s="496" t="s">
        <v>3959</v>
      </c>
      <c r="CT1714" s="496" t="s">
        <v>3960</v>
      </c>
      <c r="CU1714" s="496" t="s">
        <v>3961</v>
      </c>
      <c r="CV1714" s="497" t="s">
        <v>3962</v>
      </c>
      <c r="CX1714" s="543">
        <v>1</v>
      </c>
    </row>
    <row r="1715" spans="91:102" ht="21" customHeight="1">
      <c r="CM1715" s="494"/>
      <c r="CN1715" s="496" t="s">
        <v>4483</v>
      </c>
      <c r="CO1715" s="496" t="s">
        <v>11</v>
      </c>
      <c r="CP1715" s="496" t="s">
        <v>689</v>
      </c>
      <c r="CQ1715" s="496" t="s">
        <v>4484</v>
      </c>
      <c r="CR1715" s="496" t="s">
        <v>4484</v>
      </c>
      <c r="CS1715" s="496" t="s">
        <v>3959</v>
      </c>
      <c r="CT1715" s="496" t="s">
        <v>3960</v>
      </c>
      <c r="CU1715" s="496" t="s">
        <v>3961</v>
      </c>
      <c r="CV1715" s="497" t="s">
        <v>3962</v>
      </c>
      <c r="CX1715" s="543">
        <v>1</v>
      </c>
    </row>
    <row r="1716" spans="91:102" ht="21" customHeight="1">
      <c r="CM1716" s="494"/>
      <c r="CN1716" s="496" t="s">
        <v>4485</v>
      </c>
      <c r="CO1716" s="496" t="s">
        <v>11</v>
      </c>
      <c r="CP1716" s="496" t="s">
        <v>689</v>
      </c>
      <c r="CQ1716" s="496" t="s">
        <v>4486</v>
      </c>
      <c r="CR1716" s="496" t="s">
        <v>4486</v>
      </c>
      <c r="CS1716" s="496" t="s">
        <v>3959</v>
      </c>
      <c r="CT1716" s="496" t="s">
        <v>3960</v>
      </c>
      <c r="CU1716" s="496" t="s">
        <v>3961</v>
      </c>
      <c r="CV1716" s="497" t="s">
        <v>3962</v>
      </c>
      <c r="CX1716" s="543">
        <v>1</v>
      </c>
    </row>
    <row r="1717" spans="91:102" ht="21" customHeight="1">
      <c r="CM1717" s="494"/>
      <c r="CN1717" s="496" t="s">
        <v>4487</v>
      </c>
      <c r="CO1717" s="496" t="s">
        <v>11</v>
      </c>
      <c r="CP1717" s="496" t="s">
        <v>689</v>
      </c>
      <c r="CQ1717" s="496" t="s">
        <v>4488</v>
      </c>
      <c r="CR1717" s="496" t="s">
        <v>4489</v>
      </c>
      <c r="CS1717" s="496" t="s">
        <v>3959</v>
      </c>
      <c r="CT1717" s="496" t="s">
        <v>3960</v>
      </c>
      <c r="CU1717" s="496" t="s">
        <v>3961</v>
      </c>
      <c r="CV1717" s="497" t="s">
        <v>3962</v>
      </c>
      <c r="CX1717" s="543">
        <v>1</v>
      </c>
    </row>
    <row r="1718" spans="91:102" ht="21" customHeight="1">
      <c r="CM1718" s="494"/>
      <c r="CN1718" s="496" t="s">
        <v>4490</v>
      </c>
      <c r="CO1718" s="496" t="s">
        <v>11</v>
      </c>
      <c r="CP1718" s="496" t="s">
        <v>689</v>
      </c>
      <c r="CQ1718" s="496" t="s">
        <v>4491</v>
      </c>
      <c r="CR1718" s="496" t="s">
        <v>4491</v>
      </c>
      <c r="CS1718" s="496" t="s">
        <v>3959</v>
      </c>
      <c r="CT1718" s="496" t="s">
        <v>3960</v>
      </c>
      <c r="CU1718" s="496" t="s">
        <v>3961</v>
      </c>
      <c r="CV1718" s="497" t="s">
        <v>3962</v>
      </c>
      <c r="CX1718" s="543">
        <v>1</v>
      </c>
    </row>
    <row r="1719" spans="91:102" ht="21" customHeight="1">
      <c r="CM1719" s="494"/>
      <c r="CN1719" s="496" t="s">
        <v>4492</v>
      </c>
      <c r="CO1719" s="496" t="s">
        <v>11</v>
      </c>
      <c r="CP1719" s="496" t="s">
        <v>689</v>
      </c>
      <c r="CQ1719" s="496" t="s">
        <v>4493</v>
      </c>
      <c r="CR1719" s="496" t="s">
        <v>4493</v>
      </c>
      <c r="CS1719" s="496" t="s">
        <v>3959</v>
      </c>
      <c r="CT1719" s="496" t="s">
        <v>3960</v>
      </c>
      <c r="CU1719" s="496" t="s">
        <v>3961</v>
      </c>
      <c r="CV1719" s="497" t="s">
        <v>3962</v>
      </c>
      <c r="CX1719" s="543">
        <v>1</v>
      </c>
    </row>
    <row r="1720" spans="91:102" ht="21" customHeight="1">
      <c r="CM1720" s="494"/>
      <c r="CN1720" s="496" t="s">
        <v>4494</v>
      </c>
      <c r="CO1720" s="496" t="s">
        <v>11</v>
      </c>
      <c r="CP1720" s="496" t="s">
        <v>689</v>
      </c>
      <c r="CQ1720" s="496" t="s">
        <v>4495</v>
      </c>
      <c r="CR1720" s="496" t="s">
        <v>4495</v>
      </c>
      <c r="CS1720" s="496" t="s">
        <v>3959</v>
      </c>
      <c r="CT1720" s="496" t="s">
        <v>3960</v>
      </c>
      <c r="CU1720" s="496" t="s">
        <v>3961</v>
      </c>
      <c r="CV1720" s="497" t="s">
        <v>3962</v>
      </c>
      <c r="CX1720" s="543">
        <v>1</v>
      </c>
    </row>
    <row r="1721" spans="91:102" ht="21" customHeight="1">
      <c r="CM1721" s="494"/>
      <c r="CN1721" s="496" t="s">
        <v>4496</v>
      </c>
      <c r="CO1721" s="496" t="s">
        <v>11</v>
      </c>
      <c r="CP1721" s="496" t="s">
        <v>689</v>
      </c>
      <c r="CQ1721" s="496" t="s">
        <v>996</v>
      </c>
      <c r="CR1721" s="496" t="s">
        <v>996</v>
      </c>
      <c r="CS1721" s="496" t="s">
        <v>1085</v>
      </c>
      <c r="CT1721" s="496" t="s">
        <v>3974</v>
      </c>
      <c r="CU1721" s="496" t="s">
        <v>1087</v>
      </c>
      <c r="CV1721" s="497" t="s">
        <v>1088</v>
      </c>
      <c r="CX1721" s="543">
        <v>1</v>
      </c>
    </row>
    <row r="1722" spans="91:102" ht="21" customHeight="1">
      <c r="CM1722" s="494"/>
      <c r="CN1722" s="496" t="s">
        <v>4497</v>
      </c>
      <c r="CO1722" s="496" t="s">
        <v>11</v>
      </c>
      <c r="CP1722" s="496" t="s">
        <v>689</v>
      </c>
      <c r="CQ1722" s="496" t="s">
        <v>4498</v>
      </c>
      <c r="CR1722" s="496" t="s">
        <v>4498</v>
      </c>
      <c r="CS1722" s="496" t="s">
        <v>1085</v>
      </c>
      <c r="CT1722" s="496" t="s">
        <v>3974</v>
      </c>
      <c r="CU1722" s="496" t="s">
        <v>1087</v>
      </c>
      <c r="CV1722" s="497" t="s">
        <v>1088</v>
      </c>
      <c r="CX1722" s="543">
        <v>1</v>
      </c>
    </row>
    <row r="1723" spans="91:102" ht="21" customHeight="1">
      <c r="CM1723" s="494"/>
      <c r="CN1723" s="496" t="s">
        <v>4499</v>
      </c>
      <c r="CO1723" s="496" t="s">
        <v>11</v>
      </c>
      <c r="CP1723" s="496" t="s">
        <v>689</v>
      </c>
      <c r="CQ1723" s="496" t="s">
        <v>997</v>
      </c>
      <c r="CR1723" s="496" t="s">
        <v>997</v>
      </c>
      <c r="CS1723" s="496" t="s">
        <v>1085</v>
      </c>
      <c r="CT1723" s="496" t="s">
        <v>3974</v>
      </c>
      <c r="CU1723" s="496" t="s">
        <v>1087</v>
      </c>
      <c r="CV1723" s="497" t="s">
        <v>1088</v>
      </c>
      <c r="CX1723" s="543">
        <v>1</v>
      </c>
    </row>
    <row r="1724" spans="91:102" ht="21" customHeight="1">
      <c r="CM1724" s="494"/>
      <c r="CN1724" s="496" t="s">
        <v>4500</v>
      </c>
      <c r="CO1724" s="496" t="s">
        <v>11</v>
      </c>
      <c r="CP1724" s="496" t="s">
        <v>689</v>
      </c>
      <c r="CQ1724" s="496" t="s">
        <v>4501</v>
      </c>
      <c r="CR1724" s="496" t="s">
        <v>4501</v>
      </c>
      <c r="CS1724" s="496" t="s">
        <v>3959</v>
      </c>
      <c r="CT1724" s="496" t="s">
        <v>3960</v>
      </c>
      <c r="CU1724" s="496" t="s">
        <v>3961</v>
      </c>
      <c r="CV1724" s="497" t="s">
        <v>3962</v>
      </c>
      <c r="CX1724" s="543">
        <v>1</v>
      </c>
    </row>
    <row r="1725" spans="91:102" ht="21" customHeight="1">
      <c r="CM1725" s="494"/>
      <c r="CN1725" s="496" t="s">
        <v>4502</v>
      </c>
      <c r="CO1725" s="496" t="s">
        <v>11</v>
      </c>
      <c r="CP1725" s="496" t="s">
        <v>689</v>
      </c>
      <c r="CQ1725" s="496" t="s">
        <v>4503</v>
      </c>
      <c r="CR1725" s="496" t="s">
        <v>4504</v>
      </c>
      <c r="CS1725" s="496" t="s">
        <v>3959</v>
      </c>
      <c r="CT1725" s="496" t="s">
        <v>3960</v>
      </c>
      <c r="CU1725" s="496" t="s">
        <v>3961</v>
      </c>
      <c r="CV1725" s="497" t="s">
        <v>3962</v>
      </c>
      <c r="CX1725" s="543">
        <v>1</v>
      </c>
    </row>
    <row r="1726" spans="91:102" ht="21" customHeight="1">
      <c r="CM1726" s="494"/>
      <c r="CN1726" s="496" t="s">
        <v>4505</v>
      </c>
      <c r="CO1726" s="496" t="s">
        <v>11</v>
      </c>
      <c r="CP1726" s="496" t="s">
        <v>689</v>
      </c>
      <c r="CQ1726" s="496" t="s">
        <v>4506</v>
      </c>
      <c r="CR1726" s="496" t="s">
        <v>4507</v>
      </c>
      <c r="CS1726" s="496" t="s">
        <v>3959</v>
      </c>
      <c r="CT1726" s="496" t="s">
        <v>3960</v>
      </c>
      <c r="CU1726" s="496" t="s">
        <v>3961</v>
      </c>
      <c r="CV1726" s="497" t="s">
        <v>3962</v>
      </c>
      <c r="CX1726" s="543">
        <v>1</v>
      </c>
    </row>
    <row r="1727" spans="91:102" ht="21" customHeight="1">
      <c r="CM1727" s="494"/>
      <c r="CN1727" s="496" t="s">
        <v>4508</v>
      </c>
      <c r="CO1727" s="496" t="s">
        <v>11</v>
      </c>
      <c r="CP1727" s="496" t="s">
        <v>689</v>
      </c>
      <c r="CQ1727" s="496" t="s">
        <v>4509</v>
      </c>
      <c r="CR1727" s="496" t="s">
        <v>4510</v>
      </c>
      <c r="CS1727" s="496" t="s">
        <v>3959</v>
      </c>
      <c r="CT1727" s="496" t="s">
        <v>3960</v>
      </c>
      <c r="CU1727" s="496" t="s">
        <v>3961</v>
      </c>
      <c r="CV1727" s="497" t="s">
        <v>3962</v>
      </c>
      <c r="CX1727" s="543">
        <v>1</v>
      </c>
    </row>
    <row r="1728" spans="91:102" ht="21" customHeight="1">
      <c r="CM1728" s="494"/>
      <c r="CN1728" s="496" t="s">
        <v>4511</v>
      </c>
      <c r="CO1728" s="496" t="s">
        <v>11</v>
      </c>
      <c r="CP1728" s="496" t="s">
        <v>689</v>
      </c>
      <c r="CQ1728" s="496" t="s">
        <v>4512</v>
      </c>
      <c r="CR1728" s="496" t="s">
        <v>4512</v>
      </c>
      <c r="CS1728" s="496" t="s">
        <v>3959</v>
      </c>
      <c r="CT1728" s="496" t="s">
        <v>3960</v>
      </c>
      <c r="CU1728" s="496" t="s">
        <v>3961</v>
      </c>
      <c r="CV1728" s="497" t="s">
        <v>3962</v>
      </c>
      <c r="CX1728" s="543">
        <v>1</v>
      </c>
    </row>
    <row r="1729" spans="91:102" ht="21" customHeight="1">
      <c r="CM1729" s="494"/>
      <c r="CN1729" s="496" t="s">
        <v>4513</v>
      </c>
      <c r="CO1729" s="496" t="s">
        <v>11</v>
      </c>
      <c r="CP1729" s="496" t="s">
        <v>689</v>
      </c>
      <c r="CQ1729" s="496" t="s">
        <v>332</v>
      </c>
      <c r="CR1729" s="496" t="s">
        <v>332</v>
      </c>
      <c r="CS1729" s="496" t="s">
        <v>1151</v>
      </c>
      <c r="CT1729" s="496" t="s">
        <v>1152</v>
      </c>
      <c r="CU1729" s="496" t="s">
        <v>1087</v>
      </c>
      <c r="CV1729" s="497" t="s">
        <v>1153</v>
      </c>
      <c r="CX1729" s="543">
        <v>1</v>
      </c>
    </row>
    <row r="1730" spans="91:102" ht="21" customHeight="1">
      <c r="CM1730" s="494"/>
      <c r="CN1730" s="496" t="s">
        <v>4514</v>
      </c>
      <c r="CO1730" s="496" t="s">
        <v>11</v>
      </c>
      <c r="CP1730" s="496" t="s">
        <v>689</v>
      </c>
      <c r="CQ1730" s="496" t="s">
        <v>4515</v>
      </c>
      <c r="CR1730" s="496" t="s">
        <v>4515</v>
      </c>
      <c r="CS1730" s="496" t="s">
        <v>3959</v>
      </c>
      <c r="CT1730" s="496" t="s">
        <v>3960</v>
      </c>
      <c r="CU1730" s="496" t="s">
        <v>3961</v>
      </c>
      <c r="CV1730" s="497" t="s">
        <v>3962</v>
      </c>
      <c r="CX1730" s="543">
        <v>1</v>
      </c>
    </row>
    <row r="1731" spans="91:102" ht="21" customHeight="1">
      <c r="CM1731" s="494"/>
      <c r="CN1731" s="496" t="s">
        <v>4516</v>
      </c>
      <c r="CO1731" s="496" t="s">
        <v>11</v>
      </c>
      <c r="CP1731" s="496" t="s">
        <v>689</v>
      </c>
      <c r="CQ1731" s="496" t="s">
        <v>4517</v>
      </c>
      <c r="CR1731" s="496" t="s">
        <v>4517</v>
      </c>
      <c r="CS1731" s="496" t="s">
        <v>3959</v>
      </c>
      <c r="CT1731" s="496" t="s">
        <v>3960</v>
      </c>
      <c r="CU1731" s="496" t="s">
        <v>3961</v>
      </c>
      <c r="CV1731" s="497" t="s">
        <v>3962</v>
      </c>
      <c r="CX1731" s="543">
        <v>1</v>
      </c>
    </row>
    <row r="1732" spans="91:102" ht="21" customHeight="1">
      <c r="CM1732" s="494"/>
      <c r="CN1732" s="496" t="s">
        <v>4518</v>
      </c>
      <c r="CO1732" s="496" t="s">
        <v>11</v>
      </c>
      <c r="CP1732" s="496" t="s">
        <v>689</v>
      </c>
      <c r="CQ1732" s="496" t="s">
        <v>172</v>
      </c>
      <c r="CR1732" s="496" t="s">
        <v>172</v>
      </c>
      <c r="CS1732" s="496" t="s">
        <v>1085</v>
      </c>
      <c r="CT1732" s="496" t="s">
        <v>3974</v>
      </c>
      <c r="CU1732" s="496" t="s">
        <v>1087</v>
      </c>
      <c r="CV1732" s="497" t="s">
        <v>1088</v>
      </c>
      <c r="CX1732" s="543">
        <v>1</v>
      </c>
    </row>
    <row r="1733" spans="91:102" ht="21" customHeight="1">
      <c r="CM1733" s="494"/>
      <c r="CN1733" s="496" t="s">
        <v>4519</v>
      </c>
      <c r="CO1733" s="496" t="s">
        <v>11</v>
      </c>
      <c r="CP1733" s="496" t="s">
        <v>689</v>
      </c>
      <c r="CQ1733" s="496" t="s">
        <v>4520</v>
      </c>
      <c r="CR1733" s="496" t="s">
        <v>4521</v>
      </c>
      <c r="CS1733" s="496" t="s">
        <v>3959</v>
      </c>
      <c r="CT1733" s="496" t="s">
        <v>3960</v>
      </c>
      <c r="CU1733" s="496" t="s">
        <v>3961</v>
      </c>
      <c r="CV1733" s="497" t="s">
        <v>3962</v>
      </c>
      <c r="CX1733" s="543">
        <v>1</v>
      </c>
    </row>
    <row r="1734" spans="91:102" ht="21" customHeight="1">
      <c r="CM1734" s="494"/>
      <c r="CN1734" s="496" t="s">
        <v>4522</v>
      </c>
      <c r="CO1734" s="496" t="s">
        <v>11</v>
      </c>
      <c r="CP1734" s="496" t="s">
        <v>689</v>
      </c>
      <c r="CQ1734" s="496" t="s">
        <v>4523</v>
      </c>
      <c r="CR1734" s="496" t="s">
        <v>4523</v>
      </c>
      <c r="CS1734" s="496" t="s">
        <v>3959</v>
      </c>
      <c r="CT1734" s="496" t="s">
        <v>3960</v>
      </c>
      <c r="CU1734" s="496" t="s">
        <v>3961</v>
      </c>
      <c r="CV1734" s="497" t="s">
        <v>3962</v>
      </c>
      <c r="CX1734" s="543">
        <v>1</v>
      </c>
    </row>
    <row r="1735" spans="91:102" ht="21" customHeight="1">
      <c r="CM1735" s="494"/>
      <c r="CN1735" s="496" t="s">
        <v>4524</v>
      </c>
      <c r="CO1735" s="496" t="s">
        <v>11</v>
      </c>
      <c r="CP1735" s="496" t="s">
        <v>689</v>
      </c>
      <c r="CQ1735" s="496" t="s">
        <v>4525</v>
      </c>
      <c r="CR1735" s="496" t="s">
        <v>4525</v>
      </c>
      <c r="CS1735" s="496" t="s">
        <v>1085</v>
      </c>
      <c r="CT1735" s="496" t="s">
        <v>3974</v>
      </c>
      <c r="CU1735" s="496" t="s">
        <v>1087</v>
      </c>
      <c r="CV1735" s="497" t="s">
        <v>1088</v>
      </c>
      <c r="CX1735" s="543">
        <v>1</v>
      </c>
    </row>
    <row r="1736" spans="91:102" ht="21" customHeight="1">
      <c r="CM1736" s="494"/>
      <c r="CN1736" s="496" t="s">
        <v>4526</v>
      </c>
      <c r="CO1736" s="496" t="s">
        <v>11</v>
      </c>
      <c r="CP1736" s="496" t="s">
        <v>689</v>
      </c>
      <c r="CQ1736" s="496" t="s">
        <v>4527</v>
      </c>
      <c r="CR1736" s="496" t="s">
        <v>4527</v>
      </c>
      <c r="CS1736" s="496" t="s">
        <v>1151</v>
      </c>
      <c r="CT1736" s="496" t="s">
        <v>1152</v>
      </c>
      <c r="CU1736" s="496" t="s">
        <v>1087</v>
      </c>
      <c r="CV1736" s="497" t="s">
        <v>1153</v>
      </c>
      <c r="CX1736" s="543">
        <v>1</v>
      </c>
    </row>
    <row r="1737" spans="91:102" ht="21" customHeight="1">
      <c r="CM1737" s="494"/>
      <c r="CN1737" s="496" t="s">
        <v>4528</v>
      </c>
      <c r="CO1737" s="496" t="s">
        <v>11</v>
      </c>
      <c r="CP1737" s="496" t="s">
        <v>689</v>
      </c>
      <c r="CQ1737" s="496" t="s">
        <v>333</v>
      </c>
      <c r="CR1737" s="496" t="s">
        <v>333</v>
      </c>
      <c r="CS1737" s="496" t="s">
        <v>1085</v>
      </c>
      <c r="CT1737" s="496" t="s">
        <v>3974</v>
      </c>
      <c r="CU1737" s="496" t="s">
        <v>1087</v>
      </c>
      <c r="CV1737" s="497" t="s">
        <v>1088</v>
      </c>
      <c r="CX1737" s="543">
        <v>1</v>
      </c>
    </row>
    <row r="1738" spans="91:102" ht="21" customHeight="1">
      <c r="CM1738" s="494"/>
      <c r="CN1738" s="496" t="s">
        <v>4529</v>
      </c>
      <c r="CO1738" s="496" t="s">
        <v>11</v>
      </c>
      <c r="CP1738" s="496" t="s">
        <v>689</v>
      </c>
      <c r="CQ1738" s="496" t="s">
        <v>4530</v>
      </c>
      <c r="CR1738" s="496" t="s">
        <v>4530</v>
      </c>
      <c r="CS1738" s="496" t="s">
        <v>3959</v>
      </c>
      <c r="CT1738" s="496" t="s">
        <v>3960</v>
      </c>
      <c r="CU1738" s="496" t="s">
        <v>3961</v>
      </c>
      <c r="CV1738" s="497" t="s">
        <v>3962</v>
      </c>
      <c r="CX1738" s="543">
        <v>1</v>
      </c>
    </row>
    <row r="1739" spans="91:102" ht="21" customHeight="1">
      <c r="CM1739" s="494"/>
      <c r="CN1739" s="496" t="s">
        <v>4531</v>
      </c>
      <c r="CO1739" s="496" t="s">
        <v>11</v>
      </c>
      <c r="CP1739" s="496" t="s">
        <v>689</v>
      </c>
      <c r="CQ1739" s="496" t="s">
        <v>4532</v>
      </c>
      <c r="CR1739" s="496" t="s">
        <v>4532</v>
      </c>
      <c r="CS1739" s="496" t="s">
        <v>1151</v>
      </c>
      <c r="CT1739" s="496" t="s">
        <v>1152</v>
      </c>
      <c r="CU1739" s="496" t="s">
        <v>1087</v>
      </c>
      <c r="CV1739" s="497" t="s">
        <v>1153</v>
      </c>
      <c r="CX1739" s="543">
        <v>1</v>
      </c>
    </row>
    <row r="1740" spans="91:102" ht="21" customHeight="1">
      <c r="CM1740" s="494"/>
      <c r="CN1740" s="496" t="s">
        <v>4533</v>
      </c>
      <c r="CO1740" s="496" t="s">
        <v>11</v>
      </c>
      <c r="CP1740" s="496" t="s">
        <v>690</v>
      </c>
      <c r="CQ1740" s="496" t="s">
        <v>4534</v>
      </c>
      <c r="CR1740" s="496" t="s">
        <v>4534</v>
      </c>
      <c r="CS1740" s="496" t="s">
        <v>1151</v>
      </c>
      <c r="CT1740" s="496" t="s">
        <v>1446</v>
      </c>
      <c r="CU1740" s="496" t="s">
        <v>1087</v>
      </c>
      <c r="CV1740" s="497" t="s">
        <v>1153</v>
      </c>
      <c r="CX1740" s="543">
        <v>1</v>
      </c>
    </row>
    <row r="1741" spans="91:102" ht="21" customHeight="1">
      <c r="CM1741" s="494"/>
      <c r="CN1741" s="496" t="s">
        <v>4535</v>
      </c>
      <c r="CO1741" s="496" t="s">
        <v>11</v>
      </c>
      <c r="CP1741" s="496" t="s">
        <v>690</v>
      </c>
      <c r="CQ1741" s="496" t="s">
        <v>4536</v>
      </c>
      <c r="CR1741" s="496" t="s">
        <v>4536</v>
      </c>
      <c r="CS1741" s="496" t="s">
        <v>1151</v>
      </c>
      <c r="CT1741" s="496" t="s">
        <v>1446</v>
      </c>
      <c r="CU1741" s="496" t="s">
        <v>1087</v>
      </c>
      <c r="CV1741" s="497" t="s">
        <v>1153</v>
      </c>
      <c r="CX1741" s="543">
        <v>1</v>
      </c>
    </row>
    <row r="1742" spans="91:102" ht="21" customHeight="1">
      <c r="CM1742" s="494"/>
      <c r="CN1742" s="496" t="s">
        <v>4537</v>
      </c>
      <c r="CO1742" s="496" t="s">
        <v>11</v>
      </c>
      <c r="CP1742" s="496" t="s">
        <v>690</v>
      </c>
      <c r="CQ1742" s="496" t="s">
        <v>4538</v>
      </c>
      <c r="CR1742" s="496" t="s">
        <v>4539</v>
      </c>
      <c r="CS1742" s="496" t="s">
        <v>3959</v>
      </c>
      <c r="CT1742" s="496" t="s">
        <v>4540</v>
      </c>
      <c r="CU1742" s="496" t="s">
        <v>3961</v>
      </c>
      <c r="CV1742" s="497" t="s">
        <v>3962</v>
      </c>
      <c r="CX1742" s="543">
        <v>1</v>
      </c>
    </row>
    <row r="1743" spans="91:102" ht="21" customHeight="1">
      <c r="CM1743" s="494"/>
      <c r="CN1743" s="496" t="s">
        <v>4541</v>
      </c>
      <c r="CO1743" s="496" t="s">
        <v>11</v>
      </c>
      <c r="CP1743" s="496" t="s">
        <v>690</v>
      </c>
      <c r="CQ1743" s="496" t="s">
        <v>141</v>
      </c>
      <c r="CR1743" s="496" t="s">
        <v>141</v>
      </c>
      <c r="CS1743" s="496" t="s">
        <v>1085</v>
      </c>
      <c r="CT1743" s="496" t="s">
        <v>4542</v>
      </c>
      <c r="CU1743" s="496" t="s">
        <v>1087</v>
      </c>
      <c r="CV1743" s="497" t="s">
        <v>1088</v>
      </c>
      <c r="CX1743" s="543">
        <v>1</v>
      </c>
    </row>
    <row r="1744" spans="91:102" ht="21" customHeight="1">
      <c r="CM1744" s="494"/>
      <c r="CN1744" s="496" t="s">
        <v>4543</v>
      </c>
      <c r="CO1744" s="496" t="s">
        <v>11</v>
      </c>
      <c r="CP1744" s="496" t="s">
        <v>690</v>
      </c>
      <c r="CQ1744" s="496" t="s">
        <v>46</v>
      </c>
      <c r="CR1744" s="496" t="s">
        <v>46</v>
      </c>
      <c r="CS1744" s="496" t="s">
        <v>1085</v>
      </c>
      <c r="CT1744" s="496" t="s">
        <v>4542</v>
      </c>
      <c r="CU1744" s="496" t="s">
        <v>1087</v>
      </c>
      <c r="CV1744" s="497" t="s">
        <v>1088</v>
      </c>
      <c r="CX1744" s="543">
        <v>1</v>
      </c>
    </row>
    <row r="1745" spans="91:102" ht="21" customHeight="1">
      <c r="CM1745" s="494"/>
      <c r="CN1745" s="496" t="s">
        <v>4544</v>
      </c>
      <c r="CO1745" s="496" t="s">
        <v>11</v>
      </c>
      <c r="CP1745" s="496" t="s">
        <v>690</v>
      </c>
      <c r="CQ1745" s="496" t="s">
        <v>3825</v>
      </c>
      <c r="CR1745" s="496" t="s">
        <v>40</v>
      </c>
      <c r="CS1745" s="496" t="s">
        <v>1085</v>
      </c>
      <c r="CT1745" s="496" t="s">
        <v>4542</v>
      </c>
      <c r="CU1745" s="496" t="s">
        <v>1087</v>
      </c>
      <c r="CV1745" s="497" t="s">
        <v>1088</v>
      </c>
      <c r="CX1745" s="543">
        <v>1</v>
      </c>
    </row>
    <row r="1746" spans="91:102" ht="21" customHeight="1">
      <c r="CM1746" s="494"/>
      <c r="CN1746" s="496" t="s">
        <v>4545</v>
      </c>
      <c r="CO1746" s="496" t="s">
        <v>11</v>
      </c>
      <c r="CP1746" s="496" t="s">
        <v>690</v>
      </c>
      <c r="CQ1746" s="496" t="s">
        <v>150</v>
      </c>
      <c r="CR1746" s="496" t="s">
        <v>150</v>
      </c>
      <c r="CS1746" s="496" t="s">
        <v>1085</v>
      </c>
      <c r="CT1746" s="496" t="s">
        <v>4542</v>
      </c>
      <c r="CU1746" s="496" t="s">
        <v>1087</v>
      </c>
      <c r="CV1746" s="497" t="s">
        <v>1088</v>
      </c>
      <c r="CX1746" s="543">
        <v>1</v>
      </c>
    </row>
    <row r="1747" spans="91:102" ht="21" customHeight="1">
      <c r="CM1747" s="494"/>
      <c r="CN1747" s="496" t="s">
        <v>4546</v>
      </c>
      <c r="CO1747" s="496" t="s">
        <v>11</v>
      </c>
      <c r="CP1747" s="496" t="s">
        <v>690</v>
      </c>
      <c r="CQ1747" s="496" t="s">
        <v>158</v>
      </c>
      <c r="CR1747" s="496" t="s">
        <v>158</v>
      </c>
      <c r="CS1747" s="496" t="s">
        <v>1085</v>
      </c>
      <c r="CT1747" s="496" t="s">
        <v>4542</v>
      </c>
      <c r="CU1747" s="496" t="s">
        <v>1087</v>
      </c>
      <c r="CV1747" s="497" t="s">
        <v>1088</v>
      </c>
      <c r="CX1747" s="543">
        <v>1</v>
      </c>
    </row>
    <row r="1748" spans="91:102" ht="21" customHeight="1">
      <c r="CM1748" s="494"/>
      <c r="CN1748" s="496" t="s">
        <v>4547</v>
      </c>
      <c r="CO1748" s="496" t="s">
        <v>11</v>
      </c>
      <c r="CP1748" s="496" t="s">
        <v>690</v>
      </c>
      <c r="CQ1748" s="496" t="s">
        <v>169</v>
      </c>
      <c r="CR1748" s="496" t="s">
        <v>169</v>
      </c>
      <c r="CS1748" s="496" t="s">
        <v>3959</v>
      </c>
      <c r="CT1748" s="496" t="s">
        <v>4540</v>
      </c>
      <c r="CU1748" s="496" t="s">
        <v>3961</v>
      </c>
      <c r="CV1748" s="497" t="s">
        <v>3962</v>
      </c>
      <c r="CX1748" s="543">
        <v>1</v>
      </c>
    </row>
    <row r="1749" spans="91:102" ht="21" customHeight="1">
      <c r="CM1749" s="494"/>
      <c r="CN1749" s="496" t="s">
        <v>4548</v>
      </c>
      <c r="CO1749" s="496" t="s">
        <v>11</v>
      </c>
      <c r="CP1749" s="496" t="s">
        <v>690</v>
      </c>
      <c r="CQ1749" s="496" t="s">
        <v>4549</v>
      </c>
      <c r="CR1749" s="496" t="s">
        <v>4550</v>
      </c>
      <c r="CS1749" s="496" t="s">
        <v>1085</v>
      </c>
      <c r="CT1749" s="496" t="s">
        <v>4542</v>
      </c>
      <c r="CU1749" s="496" t="s">
        <v>1087</v>
      </c>
      <c r="CV1749" s="497" t="s">
        <v>1088</v>
      </c>
      <c r="CX1749" s="543">
        <v>1</v>
      </c>
    </row>
    <row r="1750" spans="91:102" ht="21" customHeight="1">
      <c r="CM1750" s="494"/>
      <c r="CN1750" s="496" t="s">
        <v>4551</v>
      </c>
      <c r="CO1750" s="496" t="s">
        <v>11</v>
      </c>
      <c r="CP1750" s="496" t="s">
        <v>690</v>
      </c>
      <c r="CQ1750" s="496" t="s">
        <v>91</v>
      </c>
      <c r="CR1750" s="496" t="s">
        <v>91</v>
      </c>
      <c r="CS1750" s="496" t="s">
        <v>1085</v>
      </c>
      <c r="CT1750" s="496" t="s">
        <v>4542</v>
      </c>
      <c r="CU1750" s="496" t="s">
        <v>1087</v>
      </c>
      <c r="CV1750" s="497" t="s">
        <v>1088</v>
      </c>
      <c r="CX1750" s="543">
        <v>1</v>
      </c>
    </row>
    <row r="1751" spans="91:102" ht="21" customHeight="1">
      <c r="CM1751" s="494"/>
      <c r="CN1751" s="496" t="s">
        <v>4552</v>
      </c>
      <c r="CO1751" s="496" t="s">
        <v>11</v>
      </c>
      <c r="CP1751" s="496" t="s">
        <v>690</v>
      </c>
      <c r="CQ1751" s="496" t="s">
        <v>4553</v>
      </c>
      <c r="CR1751" s="496" t="s">
        <v>130</v>
      </c>
      <c r="CS1751" s="496" t="s">
        <v>1085</v>
      </c>
      <c r="CT1751" s="496" t="s">
        <v>4542</v>
      </c>
      <c r="CU1751" s="496" t="s">
        <v>1087</v>
      </c>
      <c r="CV1751" s="497" t="s">
        <v>1088</v>
      </c>
      <c r="CX1751" s="543">
        <v>1</v>
      </c>
    </row>
    <row r="1752" spans="91:102" ht="21" customHeight="1">
      <c r="CM1752" s="494"/>
      <c r="CN1752" s="496" t="s">
        <v>4554</v>
      </c>
      <c r="CO1752" s="496" t="s">
        <v>11</v>
      </c>
      <c r="CP1752" s="496" t="s">
        <v>690</v>
      </c>
      <c r="CQ1752" s="496" t="s">
        <v>4555</v>
      </c>
      <c r="CR1752" s="496" t="s">
        <v>4555</v>
      </c>
      <c r="CS1752" s="496" t="s">
        <v>1151</v>
      </c>
      <c r="CT1752" s="496" t="s">
        <v>1446</v>
      </c>
      <c r="CU1752" s="496" t="s">
        <v>1087</v>
      </c>
      <c r="CV1752" s="497" t="s">
        <v>1153</v>
      </c>
      <c r="CX1752" s="543">
        <v>1</v>
      </c>
    </row>
    <row r="1753" spans="91:102" ht="21" customHeight="1">
      <c r="CM1753" s="494"/>
      <c r="CN1753" s="496" t="s">
        <v>4556</v>
      </c>
      <c r="CO1753" s="496" t="s">
        <v>11</v>
      </c>
      <c r="CP1753" s="496" t="s">
        <v>690</v>
      </c>
      <c r="CQ1753" s="496" t="s">
        <v>4557</v>
      </c>
      <c r="CR1753" s="496" t="s">
        <v>4557</v>
      </c>
      <c r="CS1753" s="496" t="s">
        <v>1151</v>
      </c>
      <c r="CT1753" s="496" t="s">
        <v>1446</v>
      </c>
      <c r="CU1753" s="496" t="s">
        <v>1087</v>
      </c>
      <c r="CV1753" s="497" t="s">
        <v>1153</v>
      </c>
      <c r="CX1753" s="543">
        <v>1</v>
      </c>
    </row>
    <row r="1754" spans="91:102" ht="21" customHeight="1">
      <c r="CM1754" s="494"/>
      <c r="CN1754" s="496" t="s">
        <v>4558</v>
      </c>
      <c r="CO1754" s="496" t="s">
        <v>11</v>
      </c>
      <c r="CP1754" s="496" t="s">
        <v>690</v>
      </c>
      <c r="CQ1754" s="496" t="s">
        <v>4559</v>
      </c>
      <c r="CR1754" s="496" t="s">
        <v>4559</v>
      </c>
      <c r="CS1754" s="496" t="s">
        <v>3959</v>
      </c>
      <c r="CT1754" s="496" t="s">
        <v>4540</v>
      </c>
      <c r="CU1754" s="496" t="s">
        <v>3961</v>
      </c>
      <c r="CV1754" s="497" t="s">
        <v>3962</v>
      </c>
      <c r="CX1754" s="543">
        <v>1</v>
      </c>
    </row>
    <row r="1755" spans="91:102" ht="21" customHeight="1">
      <c r="CM1755" s="494"/>
      <c r="CN1755" s="496" t="s">
        <v>4560</v>
      </c>
      <c r="CO1755" s="496" t="s">
        <v>11</v>
      </c>
      <c r="CP1755" s="496" t="s">
        <v>690</v>
      </c>
      <c r="CQ1755" s="496" t="s">
        <v>4561</v>
      </c>
      <c r="CR1755" s="496" t="s">
        <v>4561</v>
      </c>
      <c r="CS1755" s="496" t="s">
        <v>1151</v>
      </c>
      <c r="CT1755" s="496" t="s">
        <v>1446</v>
      </c>
      <c r="CU1755" s="496" t="s">
        <v>1087</v>
      </c>
      <c r="CV1755" s="497" t="s">
        <v>1153</v>
      </c>
      <c r="CX1755" s="543">
        <v>1</v>
      </c>
    </row>
    <row r="1756" spans="91:102" ht="21" customHeight="1">
      <c r="CM1756" s="494"/>
      <c r="CN1756" s="496" t="s">
        <v>4562</v>
      </c>
      <c r="CO1756" s="496" t="s">
        <v>11</v>
      </c>
      <c r="CP1756" s="496" t="s">
        <v>690</v>
      </c>
      <c r="CQ1756" s="496" t="s">
        <v>4563</v>
      </c>
      <c r="CR1756" s="496" t="s">
        <v>4563</v>
      </c>
      <c r="CS1756" s="496" t="s">
        <v>1151</v>
      </c>
      <c r="CT1756" s="496" t="s">
        <v>1446</v>
      </c>
      <c r="CU1756" s="496" t="s">
        <v>1087</v>
      </c>
      <c r="CV1756" s="497" t="s">
        <v>1153</v>
      </c>
      <c r="CX1756" s="543">
        <v>1</v>
      </c>
    </row>
    <row r="1757" spans="91:102" ht="21" customHeight="1">
      <c r="CM1757" s="494"/>
      <c r="CN1757" s="496" t="s">
        <v>4564</v>
      </c>
      <c r="CO1757" s="496" t="s">
        <v>11</v>
      </c>
      <c r="CP1757" s="496" t="s">
        <v>690</v>
      </c>
      <c r="CQ1757" s="496" t="s">
        <v>4565</v>
      </c>
      <c r="CR1757" s="496" t="s">
        <v>4565</v>
      </c>
      <c r="CS1757" s="496" t="s">
        <v>1151</v>
      </c>
      <c r="CT1757" s="496" t="s">
        <v>1446</v>
      </c>
      <c r="CU1757" s="496" t="s">
        <v>1087</v>
      </c>
      <c r="CV1757" s="497" t="s">
        <v>1153</v>
      </c>
      <c r="CX1757" s="543">
        <v>1</v>
      </c>
    </row>
    <row r="1758" spans="91:102" ht="21" customHeight="1">
      <c r="CM1758" s="494"/>
      <c r="CN1758" s="496" t="s">
        <v>4566</v>
      </c>
      <c r="CO1758" s="496" t="s">
        <v>11</v>
      </c>
      <c r="CP1758" s="496" t="s">
        <v>690</v>
      </c>
      <c r="CQ1758" s="496" t="s">
        <v>4567</v>
      </c>
      <c r="CR1758" s="496" t="s">
        <v>125</v>
      </c>
      <c r="CS1758" s="496" t="s">
        <v>3959</v>
      </c>
      <c r="CT1758" s="496" t="s">
        <v>4540</v>
      </c>
      <c r="CU1758" s="496" t="s">
        <v>3961</v>
      </c>
      <c r="CV1758" s="497" t="s">
        <v>3962</v>
      </c>
      <c r="CX1758" s="543">
        <v>1</v>
      </c>
    </row>
    <row r="1759" spans="91:102" ht="21" customHeight="1">
      <c r="CM1759" s="494"/>
      <c r="CN1759" s="496" t="s">
        <v>4568</v>
      </c>
      <c r="CO1759" s="496" t="s">
        <v>11</v>
      </c>
      <c r="CP1759" s="496" t="s">
        <v>690</v>
      </c>
      <c r="CQ1759" s="496" t="s">
        <v>4569</v>
      </c>
      <c r="CR1759" s="496" t="s">
        <v>71</v>
      </c>
      <c r="CS1759" s="496" t="s">
        <v>3959</v>
      </c>
      <c r="CT1759" s="496" t="s">
        <v>4540</v>
      </c>
      <c r="CU1759" s="496" t="s">
        <v>3961</v>
      </c>
      <c r="CV1759" s="497" t="s">
        <v>3962</v>
      </c>
      <c r="CX1759" s="543">
        <v>1</v>
      </c>
    </row>
    <row r="1760" spans="91:102" ht="21" customHeight="1">
      <c r="CM1760" s="494"/>
      <c r="CN1760" s="496" t="s">
        <v>4570</v>
      </c>
      <c r="CO1760" s="496" t="s">
        <v>11</v>
      </c>
      <c r="CP1760" s="496" t="s">
        <v>690</v>
      </c>
      <c r="CQ1760" s="496" t="s">
        <v>4571</v>
      </c>
      <c r="CR1760" s="496" t="s">
        <v>4572</v>
      </c>
      <c r="CS1760" s="496" t="s">
        <v>1085</v>
      </c>
      <c r="CT1760" s="496" t="s">
        <v>4542</v>
      </c>
      <c r="CU1760" s="496" t="s">
        <v>1087</v>
      </c>
      <c r="CV1760" s="497" t="s">
        <v>1088</v>
      </c>
      <c r="CX1760" s="543">
        <v>1</v>
      </c>
    </row>
    <row r="1761" spans="91:102" ht="21" customHeight="1">
      <c r="CM1761" s="494"/>
      <c r="CN1761" s="496" t="s">
        <v>4573</v>
      </c>
      <c r="CO1761" s="496" t="s">
        <v>11</v>
      </c>
      <c r="CP1761" s="496" t="s">
        <v>690</v>
      </c>
      <c r="CQ1761" s="496" t="s">
        <v>4574</v>
      </c>
      <c r="CR1761" s="496" t="s">
        <v>148</v>
      </c>
      <c r="CS1761" s="496" t="s">
        <v>3959</v>
      </c>
      <c r="CT1761" s="496" t="s">
        <v>4540</v>
      </c>
      <c r="CU1761" s="496" t="s">
        <v>3961</v>
      </c>
      <c r="CV1761" s="497" t="s">
        <v>3962</v>
      </c>
      <c r="CX1761" s="543">
        <v>1</v>
      </c>
    </row>
    <row r="1762" spans="91:102" ht="21" customHeight="1">
      <c r="CM1762" s="494"/>
      <c r="CN1762" s="496" t="s">
        <v>4575</v>
      </c>
      <c r="CO1762" s="496" t="s">
        <v>11</v>
      </c>
      <c r="CP1762" s="496" t="s">
        <v>690</v>
      </c>
      <c r="CQ1762" s="496" t="s">
        <v>4576</v>
      </c>
      <c r="CR1762" s="496" t="s">
        <v>4577</v>
      </c>
      <c r="CS1762" s="496" t="s">
        <v>1085</v>
      </c>
      <c r="CT1762" s="496" t="s">
        <v>4542</v>
      </c>
      <c r="CU1762" s="496" t="s">
        <v>1087</v>
      </c>
      <c r="CV1762" s="497" t="s">
        <v>1088</v>
      </c>
      <c r="CX1762" s="543">
        <v>1</v>
      </c>
    </row>
    <row r="1763" spans="91:102" ht="21" customHeight="1">
      <c r="CM1763" s="494"/>
      <c r="CN1763" s="496" t="s">
        <v>4578</v>
      </c>
      <c r="CO1763" s="496" t="s">
        <v>11</v>
      </c>
      <c r="CP1763" s="496" t="s">
        <v>690</v>
      </c>
      <c r="CQ1763" s="496" t="s">
        <v>4579</v>
      </c>
      <c r="CR1763" s="496" t="s">
        <v>79</v>
      </c>
      <c r="CS1763" s="496" t="s">
        <v>1085</v>
      </c>
      <c r="CT1763" s="496" t="s">
        <v>4542</v>
      </c>
      <c r="CU1763" s="496" t="s">
        <v>1087</v>
      </c>
      <c r="CV1763" s="497" t="s">
        <v>1088</v>
      </c>
      <c r="CX1763" s="543">
        <v>1</v>
      </c>
    </row>
    <row r="1764" spans="91:102" ht="21" customHeight="1">
      <c r="CM1764" s="494"/>
      <c r="CN1764" s="496" t="s">
        <v>4580</v>
      </c>
      <c r="CO1764" s="496" t="s">
        <v>11</v>
      </c>
      <c r="CP1764" s="496" t="s">
        <v>690</v>
      </c>
      <c r="CQ1764" s="496" t="s">
        <v>4581</v>
      </c>
      <c r="CR1764" s="496" t="s">
        <v>4582</v>
      </c>
      <c r="CS1764" s="496" t="s">
        <v>1085</v>
      </c>
      <c r="CT1764" s="496" t="s">
        <v>4542</v>
      </c>
      <c r="CU1764" s="496" t="s">
        <v>1087</v>
      </c>
      <c r="CV1764" s="497" t="s">
        <v>1088</v>
      </c>
      <c r="CX1764" s="543">
        <v>1</v>
      </c>
    </row>
    <row r="1765" spans="91:102" ht="21" customHeight="1">
      <c r="CM1765" s="494"/>
      <c r="CN1765" s="496" t="s">
        <v>4583</v>
      </c>
      <c r="CO1765" s="496" t="s">
        <v>11</v>
      </c>
      <c r="CP1765" s="496" t="s">
        <v>690</v>
      </c>
      <c r="CQ1765" s="496" t="s">
        <v>4584</v>
      </c>
      <c r="CR1765" s="496" t="s">
        <v>4585</v>
      </c>
      <c r="CS1765" s="496" t="s">
        <v>1085</v>
      </c>
      <c r="CT1765" s="496" t="s">
        <v>4542</v>
      </c>
      <c r="CU1765" s="496" t="s">
        <v>1087</v>
      </c>
      <c r="CV1765" s="497" t="s">
        <v>1088</v>
      </c>
      <c r="CX1765" s="543">
        <v>1</v>
      </c>
    </row>
    <row r="1766" spans="91:102" ht="21" customHeight="1">
      <c r="CM1766" s="494"/>
      <c r="CN1766" s="496" t="s">
        <v>4586</v>
      </c>
      <c r="CO1766" s="496" t="s">
        <v>11</v>
      </c>
      <c r="CP1766" s="496" t="s">
        <v>690</v>
      </c>
      <c r="CQ1766" s="496" t="s">
        <v>4587</v>
      </c>
      <c r="CR1766" s="496" t="s">
        <v>85</v>
      </c>
      <c r="CS1766" s="496" t="s">
        <v>3959</v>
      </c>
      <c r="CT1766" s="496" t="s">
        <v>4540</v>
      </c>
      <c r="CU1766" s="496" t="s">
        <v>3961</v>
      </c>
      <c r="CV1766" s="497" t="s">
        <v>3962</v>
      </c>
      <c r="CX1766" s="543">
        <v>1</v>
      </c>
    </row>
    <row r="1767" spans="91:102" ht="21" customHeight="1">
      <c r="CM1767" s="494"/>
      <c r="CN1767" s="496" t="s">
        <v>4588</v>
      </c>
      <c r="CO1767" s="496" t="s">
        <v>11</v>
      </c>
      <c r="CP1767" s="496" t="s">
        <v>690</v>
      </c>
      <c r="CQ1767" s="496" t="s">
        <v>3866</v>
      </c>
      <c r="CR1767" s="496" t="s">
        <v>59</v>
      </c>
      <c r="CS1767" s="496" t="s">
        <v>4589</v>
      </c>
      <c r="CT1767" s="496" t="s">
        <v>4590</v>
      </c>
      <c r="CU1767" s="496" t="s">
        <v>1087</v>
      </c>
      <c r="CV1767" s="497" t="s">
        <v>1088</v>
      </c>
      <c r="CX1767" s="543">
        <v>1</v>
      </c>
    </row>
    <row r="1768" spans="91:102" ht="21" customHeight="1">
      <c r="CM1768" s="494"/>
      <c r="CN1768" s="496" t="s">
        <v>4591</v>
      </c>
      <c r="CO1768" s="496" t="s">
        <v>11</v>
      </c>
      <c r="CP1768" s="496" t="s">
        <v>690</v>
      </c>
      <c r="CQ1768" s="496" t="s">
        <v>4592</v>
      </c>
      <c r="CR1768" s="496" t="s">
        <v>111</v>
      </c>
      <c r="CS1768" s="496" t="s">
        <v>3959</v>
      </c>
      <c r="CT1768" s="496" t="s">
        <v>4540</v>
      </c>
      <c r="CU1768" s="496" t="s">
        <v>3961</v>
      </c>
      <c r="CV1768" s="497" t="s">
        <v>3962</v>
      </c>
      <c r="CX1768" s="543">
        <v>1</v>
      </c>
    </row>
    <row r="1769" spans="91:102" ht="21" customHeight="1">
      <c r="CM1769" s="494"/>
      <c r="CN1769" s="496" t="s">
        <v>4593</v>
      </c>
      <c r="CO1769" s="496" t="s">
        <v>11</v>
      </c>
      <c r="CP1769" s="496" t="s">
        <v>690</v>
      </c>
      <c r="CQ1769" s="496" t="s">
        <v>4594</v>
      </c>
      <c r="CR1769" s="496" t="s">
        <v>4594</v>
      </c>
      <c r="CS1769" s="496" t="s">
        <v>3959</v>
      </c>
      <c r="CT1769" s="496" t="s">
        <v>4540</v>
      </c>
      <c r="CU1769" s="496" t="s">
        <v>3961</v>
      </c>
      <c r="CV1769" s="497" t="s">
        <v>3962</v>
      </c>
      <c r="CX1769" s="543">
        <v>1</v>
      </c>
    </row>
    <row r="1770" spans="91:102" ht="21" customHeight="1">
      <c r="CM1770" s="494"/>
      <c r="CN1770" s="496" t="s">
        <v>4595</v>
      </c>
      <c r="CO1770" s="496" t="s">
        <v>11</v>
      </c>
      <c r="CP1770" s="496" t="s">
        <v>690</v>
      </c>
      <c r="CQ1770" s="496" t="s">
        <v>4596</v>
      </c>
      <c r="CR1770" s="496" t="s">
        <v>4597</v>
      </c>
      <c r="CS1770" s="496" t="s">
        <v>1085</v>
      </c>
      <c r="CT1770" s="496" t="s">
        <v>4542</v>
      </c>
      <c r="CU1770" s="496" t="s">
        <v>1087</v>
      </c>
      <c r="CV1770" s="497" t="s">
        <v>1088</v>
      </c>
      <c r="CX1770" s="543">
        <v>1</v>
      </c>
    </row>
    <row r="1771" spans="91:102" ht="21" customHeight="1">
      <c r="CM1771" s="494"/>
      <c r="CN1771" s="496" t="s">
        <v>4598</v>
      </c>
      <c r="CO1771" s="496" t="s">
        <v>11</v>
      </c>
      <c r="CP1771" s="496" t="s">
        <v>690</v>
      </c>
      <c r="CQ1771" s="496" t="s">
        <v>4599</v>
      </c>
      <c r="CR1771" s="496" t="s">
        <v>4599</v>
      </c>
      <c r="CS1771" s="496" t="s">
        <v>3959</v>
      </c>
      <c r="CT1771" s="496" t="s">
        <v>4540</v>
      </c>
      <c r="CU1771" s="496" t="s">
        <v>3961</v>
      </c>
      <c r="CV1771" s="497" t="s">
        <v>3962</v>
      </c>
      <c r="CX1771" s="543">
        <v>1</v>
      </c>
    </row>
    <row r="1772" spans="91:102" ht="21" customHeight="1">
      <c r="CM1772" s="494"/>
      <c r="CN1772" s="496" t="s">
        <v>4600</v>
      </c>
      <c r="CO1772" s="496" t="s">
        <v>11</v>
      </c>
      <c r="CP1772" s="496" t="s">
        <v>690</v>
      </c>
      <c r="CQ1772" s="496" t="s">
        <v>4601</v>
      </c>
      <c r="CR1772" s="496" t="s">
        <v>4602</v>
      </c>
      <c r="CS1772" s="496" t="s">
        <v>3959</v>
      </c>
      <c r="CT1772" s="496" t="s">
        <v>4540</v>
      </c>
      <c r="CU1772" s="496" t="s">
        <v>3961</v>
      </c>
      <c r="CV1772" s="497" t="s">
        <v>3962</v>
      </c>
      <c r="CX1772" s="543">
        <v>1</v>
      </c>
    </row>
    <row r="1773" spans="91:102" ht="21" customHeight="1">
      <c r="CM1773" s="494"/>
      <c r="CN1773" s="496" t="s">
        <v>4603</v>
      </c>
      <c r="CO1773" s="496" t="s">
        <v>11</v>
      </c>
      <c r="CP1773" s="496" t="s">
        <v>690</v>
      </c>
      <c r="CQ1773" s="496" t="s">
        <v>147</v>
      </c>
      <c r="CR1773" s="496" t="s">
        <v>147</v>
      </c>
      <c r="CS1773" s="496" t="s">
        <v>1085</v>
      </c>
      <c r="CT1773" s="496" t="s">
        <v>4542</v>
      </c>
      <c r="CU1773" s="496" t="s">
        <v>1087</v>
      </c>
      <c r="CV1773" s="497" t="s">
        <v>1088</v>
      </c>
      <c r="CX1773" s="543">
        <v>1</v>
      </c>
    </row>
    <row r="1774" spans="91:102" ht="21" customHeight="1">
      <c r="CM1774" s="494"/>
      <c r="CN1774" s="496" t="s">
        <v>4604</v>
      </c>
      <c r="CO1774" s="496" t="s">
        <v>11</v>
      </c>
      <c r="CP1774" s="496" t="s">
        <v>690</v>
      </c>
      <c r="CQ1774" s="496" t="s">
        <v>208</v>
      </c>
      <c r="CR1774" s="496" t="s">
        <v>208</v>
      </c>
      <c r="CS1774" s="496" t="s">
        <v>1085</v>
      </c>
      <c r="CT1774" s="496" t="s">
        <v>4542</v>
      </c>
      <c r="CU1774" s="496" t="s">
        <v>1087</v>
      </c>
      <c r="CV1774" s="497" t="s">
        <v>1088</v>
      </c>
      <c r="CX1774" s="543">
        <v>1</v>
      </c>
    </row>
    <row r="1775" spans="91:102" ht="21" customHeight="1">
      <c r="CM1775" s="494"/>
      <c r="CN1775" s="496" t="s">
        <v>4605</v>
      </c>
      <c r="CO1775" s="496" t="s">
        <v>11</v>
      </c>
      <c r="CP1775" s="496" t="s">
        <v>690</v>
      </c>
      <c r="CQ1775" s="496" t="s">
        <v>181</v>
      </c>
      <c r="CR1775" s="496" t="s">
        <v>181</v>
      </c>
      <c r="CS1775" s="496" t="s">
        <v>1085</v>
      </c>
      <c r="CT1775" s="496" t="s">
        <v>4542</v>
      </c>
      <c r="CU1775" s="496" t="s">
        <v>1087</v>
      </c>
      <c r="CV1775" s="497" t="s">
        <v>1088</v>
      </c>
      <c r="CX1775" s="543">
        <v>1</v>
      </c>
    </row>
    <row r="1776" spans="91:102" ht="21" customHeight="1">
      <c r="CM1776" s="494"/>
      <c r="CN1776" s="496" t="s">
        <v>4606</v>
      </c>
      <c r="CO1776" s="496" t="s">
        <v>11</v>
      </c>
      <c r="CP1776" s="496" t="s">
        <v>690</v>
      </c>
      <c r="CQ1776" s="496" t="s">
        <v>4607</v>
      </c>
      <c r="CR1776" s="496" t="s">
        <v>4607</v>
      </c>
      <c r="CS1776" s="496" t="s">
        <v>1085</v>
      </c>
      <c r="CT1776" s="496" t="s">
        <v>4542</v>
      </c>
      <c r="CU1776" s="496" t="s">
        <v>1087</v>
      </c>
      <c r="CV1776" s="497" t="s">
        <v>1088</v>
      </c>
      <c r="CX1776" s="543">
        <v>1</v>
      </c>
    </row>
    <row r="1777" spans="91:102" ht="21" customHeight="1">
      <c r="CM1777" s="494"/>
      <c r="CN1777" s="496" t="s">
        <v>4608</v>
      </c>
      <c r="CO1777" s="496" t="s">
        <v>11</v>
      </c>
      <c r="CP1777" s="496" t="s">
        <v>690</v>
      </c>
      <c r="CQ1777" s="496" t="s">
        <v>124</v>
      </c>
      <c r="CR1777" s="496" t="s">
        <v>124</v>
      </c>
      <c r="CS1777" s="496" t="s">
        <v>1085</v>
      </c>
      <c r="CT1777" s="496" t="s">
        <v>4542</v>
      </c>
      <c r="CU1777" s="496" t="s">
        <v>1087</v>
      </c>
      <c r="CV1777" s="497" t="s">
        <v>1088</v>
      </c>
      <c r="CX1777" s="543">
        <v>1</v>
      </c>
    </row>
    <row r="1778" spans="91:102" ht="21" customHeight="1">
      <c r="CM1778" s="494"/>
      <c r="CN1778" s="496" t="s">
        <v>4609</v>
      </c>
      <c r="CO1778" s="496" t="s">
        <v>11</v>
      </c>
      <c r="CP1778" s="496" t="s">
        <v>690</v>
      </c>
      <c r="CQ1778" s="496" t="s">
        <v>140</v>
      </c>
      <c r="CR1778" s="496" t="s">
        <v>140</v>
      </c>
      <c r="CS1778" s="496" t="s">
        <v>1085</v>
      </c>
      <c r="CT1778" s="496" t="s">
        <v>4542</v>
      </c>
      <c r="CU1778" s="496" t="s">
        <v>1087</v>
      </c>
      <c r="CV1778" s="497" t="s">
        <v>1088</v>
      </c>
      <c r="CX1778" s="543">
        <v>1</v>
      </c>
    </row>
    <row r="1779" spans="91:102" ht="21" customHeight="1">
      <c r="CM1779" s="494"/>
      <c r="CN1779" s="496" t="s">
        <v>4610</v>
      </c>
      <c r="CO1779" s="496" t="s">
        <v>11</v>
      </c>
      <c r="CP1779" s="496" t="s">
        <v>690</v>
      </c>
      <c r="CQ1779" s="496" t="s">
        <v>4611</v>
      </c>
      <c r="CR1779" s="496" t="s">
        <v>4611</v>
      </c>
      <c r="CS1779" s="496" t="s">
        <v>1085</v>
      </c>
      <c r="CT1779" s="496" t="s">
        <v>4542</v>
      </c>
      <c r="CU1779" s="496" t="s">
        <v>1087</v>
      </c>
      <c r="CV1779" s="497" t="s">
        <v>1088</v>
      </c>
      <c r="CX1779" s="543">
        <v>1</v>
      </c>
    </row>
    <row r="1780" spans="91:102" ht="21" customHeight="1">
      <c r="CM1780" s="494"/>
      <c r="CN1780" s="496" t="s">
        <v>4612</v>
      </c>
      <c r="CO1780" s="496" t="s">
        <v>11</v>
      </c>
      <c r="CP1780" s="496" t="s">
        <v>690</v>
      </c>
      <c r="CQ1780" s="496" t="s">
        <v>137</v>
      </c>
      <c r="CR1780" s="496" t="s">
        <v>137</v>
      </c>
      <c r="CS1780" s="496" t="s">
        <v>1085</v>
      </c>
      <c r="CT1780" s="496" t="s">
        <v>4542</v>
      </c>
      <c r="CU1780" s="496" t="s">
        <v>1087</v>
      </c>
      <c r="CV1780" s="497" t="s">
        <v>1088</v>
      </c>
      <c r="CX1780" s="543">
        <v>1</v>
      </c>
    </row>
    <row r="1781" spans="91:102" ht="21" customHeight="1">
      <c r="CM1781" s="494"/>
      <c r="CN1781" s="496" t="s">
        <v>4613</v>
      </c>
      <c r="CO1781" s="496" t="s">
        <v>11</v>
      </c>
      <c r="CP1781" s="496" t="s">
        <v>690</v>
      </c>
      <c r="CQ1781" s="496" t="s">
        <v>175</v>
      </c>
      <c r="CR1781" s="496" t="s">
        <v>175</v>
      </c>
      <c r="CS1781" s="496" t="s">
        <v>1085</v>
      </c>
      <c r="CT1781" s="496" t="s">
        <v>4542</v>
      </c>
      <c r="CU1781" s="496" t="s">
        <v>1087</v>
      </c>
      <c r="CV1781" s="497" t="s">
        <v>1088</v>
      </c>
      <c r="CX1781" s="543">
        <v>1</v>
      </c>
    </row>
    <row r="1782" spans="91:102" ht="21" customHeight="1">
      <c r="CM1782" s="494"/>
      <c r="CN1782" s="496" t="s">
        <v>4614</v>
      </c>
      <c r="CO1782" s="496" t="s">
        <v>11</v>
      </c>
      <c r="CP1782" s="496" t="s">
        <v>690</v>
      </c>
      <c r="CQ1782" s="496" t="s">
        <v>4615</v>
      </c>
      <c r="CR1782" s="496" t="s">
        <v>4616</v>
      </c>
      <c r="CS1782" s="496" t="s">
        <v>1085</v>
      </c>
      <c r="CT1782" s="496" t="s">
        <v>4542</v>
      </c>
      <c r="CU1782" s="496" t="s">
        <v>1087</v>
      </c>
      <c r="CV1782" s="497" t="s">
        <v>1088</v>
      </c>
      <c r="CX1782" s="543">
        <v>1</v>
      </c>
    </row>
    <row r="1783" spans="91:102" ht="21" customHeight="1">
      <c r="CM1783" s="494"/>
      <c r="CN1783" s="496" t="s">
        <v>4617</v>
      </c>
      <c r="CO1783" s="496" t="s">
        <v>11</v>
      </c>
      <c r="CP1783" s="496" t="s">
        <v>690</v>
      </c>
      <c r="CQ1783" s="496" t="s">
        <v>4618</v>
      </c>
      <c r="CR1783" s="496" t="s">
        <v>4619</v>
      </c>
      <c r="CS1783" s="496" t="s">
        <v>3959</v>
      </c>
      <c r="CT1783" s="496" t="s">
        <v>4540</v>
      </c>
      <c r="CU1783" s="496" t="s">
        <v>3961</v>
      </c>
      <c r="CV1783" s="497" t="s">
        <v>3962</v>
      </c>
      <c r="CX1783" s="543">
        <v>1</v>
      </c>
    </row>
    <row r="1784" spans="91:102" ht="21" customHeight="1">
      <c r="CM1784" s="494"/>
      <c r="CN1784" s="496" t="s">
        <v>4620</v>
      </c>
      <c r="CO1784" s="496" t="s">
        <v>11</v>
      </c>
      <c r="CP1784" s="496" t="s">
        <v>690</v>
      </c>
      <c r="CQ1784" s="496" t="s">
        <v>4621</v>
      </c>
      <c r="CR1784" s="496" t="s">
        <v>4621</v>
      </c>
      <c r="CS1784" s="496" t="s">
        <v>1151</v>
      </c>
      <c r="CT1784" s="496" t="s">
        <v>1446</v>
      </c>
      <c r="CU1784" s="496" t="s">
        <v>1087</v>
      </c>
      <c r="CV1784" s="497" t="s">
        <v>1153</v>
      </c>
      <c r="CX1784" s="543">
        <v>1</v>
      </c>
    </row>
    <row r="1785" spans="91:102" ht="21" customHeight="1">
      <c r="CM1785" s="494"/>
      <c r="CN1785" s="496" t="s">
        <v>4622</v>
      </c>
      <c r="CO1785" s="496" t="s">
        <v>11</v>
      </c>
      <c r="CP1785" s="496" t="s">
        <v>690</v>
      </c>
      <c r="CQ1785" s="496" t="s">
        <v>4623</v>
      </c>
      <c r="CR1785" s="496" t="s">
        <v>4623</v>
      </c>
      <c r="CS1785" s="496" t="s">
        <v>3959</v>
      </c>
      <c r="CT1785" s="496" t="s">
        <v>4540</v>
      </c>
      <c r="CU1785" s="496" t="s">
        <v>3961</v>
      </c>
      <c r="CV1785" s="497" t="s">
        <v>3962</v>
      </c>
      <c r="CX1785" s="543">
        <v>1</v>
      </c>
    </row>
    <row r="1786" spans="91:102" ht="21" customHeight="1">
      <c r="CM1786" s="494"/>
      <c r="CN1786" s="496" t="s">
        <v>4624</v>
      </c>
      <c r="CO1786" s="496" t="s">
        <v>11</v>
      </c>
      <c r="CP1786" s="496" t="s">
        <v>690</v>
      </c>
      <c r="CQ1786" s="496" t="s">
        <v>4625</v>
      </c>
      <c r="CR1786" s="496" t="s">
        <v>4626</v>
      </c>
      <c r="CS1786" s="496" t="s">
        <v>3959</v>
      </c>
      <c r="CT1786" s="496" t="s">
        <v>4540</v>
      </c>
      <c r="CU1786" s="496" t="s">
        <v>3961</v>
      </c>
      <c r="CV1786" s="497" t="s">
        <v>3962</v>
      </c>
      <c r="CX1786" s="543">
        <v>1</v>
      </c>
    </row>
    <row r="1787" spans="91:102" ht="21" customHeight="1">
      <c r="CM1787" s="494"/>
      <c r="CN1787" s="496" t="s">
        <v>4627</v>
      </c>
      <c r="CO1787" s="496" t="s">
        <v>11</v>
      </c>
      <c r="CP1787" s="496" t="s">
        <v>690</v>
      </c>
      <c r="CQ1787" s="496" t="s">
        <v>3842</v>
      </c>
      <c r="CR1787" s="496" t="s">
        <v>3842</v>
      </c>
      <c r="CS1787" s="496" t="s">
        <v>1151</v>
      </c>
      <c r="CT1787" s="496" t="s">
        <v>1446</v>
      </c>
      <c r="CU1787" s="496" t="s">
        <v>1087</v>
      </c>
      <c r="CV1787" s="497" t="s">
        <v>1153</v>
      </c>
      <c r="CX1787" s="543">
        <v>1</v>
      </c>
    </row>
    <row r="1788" spans="91:102" ht="21" customHeight="1">
      <c r="CM1788" s="494"/>
      <c r="CN1788" s="496" t="s">
        <v>4628</v>
      </c>
      <c r="CO1788" s="496" t="s">
        <v>11</v>
      </c>
      <c r="CP1788" s="496" t="s">
        <v>690</v>
      </c>
      <c r="CQ1788" s="496" t="s">
        <v>4629</v>
      </c>
      <c r="CR1788" s="496" t="s">
        <v>4629</v>
      </c>
      <c r="CS1788" s="496" t="s">
        <v>1151</v>
      </c>
      <c r="CT1788" s="496" t="s">
        <v>1446</v>
      </c>
      <c r="CU1788" s="496" t="s">
        <v>1087</v>
      </c>
      <c r="CV1788" s="497" t="s">
        <v>1153</v>
      </c>
      <c r="CX1788" s="543">
        <v>1</v>
      </c>
    </row>
    <row r="1789" spans="91:102" ht="21" customHeight="1">
      <c r="CM1789" s="494"/>
      <c r="CN1789" s="496" t="s">
        <v>4630</v>
      </c>
      <c r="CO1789" s="496" t="s">
        <v>11</v>
      </c>
      <c r="CP1789" s="496" t="s">
        <v>690</v>
      </c>
      <c r="CQ1789" s="496" t="s">
        <v>3908</v>
      </c>
      <c r="CR1789" s="496" t="s">
        <v>3908</v>
      </c>
      <c r="CS1789" s="496" t="s">
        <v>1151</v>
      </c>
      <c r="CT1789" s="496" t="s">
        <v>1446</v>
      </c>
      <c r="CU1789" s="496" t="s">
        <v>1087</v>
      </c>
      <c r="CV1789" s="497" t="s">
        <v>1153</v>
      </c>
      <c r="CX1789" s="543">
        <v>1</v>
      </c>
    </row>
    <row r="1790" spans="91:102" ht="21" customHeight="1">
      <c r="CM1790" s="494"/>
      <c r="CN1790" s="496" t="s">
        <v>4631</v>
      </c>
      <c r="CO1790" s="496" t="s">
        <v>11</v>
      </c>
      <c r="CP1790" s="496" t="s">
        <v>1511</v>
      </c>
      <c r="CQ1790" s="496" t="s">
        <v>4632</v>
      </c>
      <c r="CR1790" s="496" t="s">
        <v>4632</v>
      </c>
      <c r="CS1790" s="496" t="s">
        <v>3959</v>
      </c>
      <c r="CT1790" s="496" t="s">
        <v>4633</v>
      </c>
      <c r="CU1790" s="496" t="s">
        <v>3961</v>
      </c>
      <c r="CV1790" s="497" t="s">
        <v>3962</v>
      </c>
      <c r="CX1790" s="543">
        <v>1</v>
      </c>
    </row>
    <row r="1791" spans="91:102" ht="21" customHeight="1">
      <c r="CM1791" s="494"/>
      <c r="CN1791" s="496" t="s">
        <v>4634</v>
      </c>
      <c r="CO1791" s="496" t="s">
        <v>11</v>
      </c>
      <c r="CP1791" s="496" t="s">
        <v>1511</v>
      </c>
      <c r="CQ1791" s="496" t="s">
        <v>4635</v>
      </c>
      <c r="CR1791" s="496" t="s">
        <v>4635</v>
      </c>
      <c r="CS1791" s="496" t="s">
        <v>3959</v>
      </c>
      <c r="CT1791" s="496" t="s">
        <v>4633</v>
      </c>
      <c r="CU1791" s="496" t="s">
        <v>3961</v>
      </c>
      <c r="CV1791" s="497" t="s">
        <v>3962</v>
      </c>
      <c r="CX1791" s="543">
        <v>1</v>
      </c>
    </row>
    <row r="1792" spans="91:102" ht="21" customHeight="1">
      <c r="CM1792" s="494"/>
      <c r="CN1792" s="496" t="s">
        <v>4636</v>
      </c>
      <c r="CO1792" s="496" t="s">
        <v>11</v>
      </c>
      <c r="CP1792" s="496" t="s">
        <v>1511</v>
      </c>
      <c r="CQ1792" s="496" t="s">
        <v>3977</v>
      </c>
      <c r="CR1792" s="496" t="s">
        <v>3977</v>
      </c>
      <c r="CS1792" s="496" t="s">
        <v>3959</v>
      </c>
      <c r="CT1792" s="496" t="s">
        <v>4633</v>
      </c>
      <c r="CU1792" s="496" t="s">
        <v>3961</v>
      </c>
      <c r="CV1792" s="497" t="s">
        <v>3962</v>
      </c>
      <c r="CX1792" s="543">
        <v>1</v>
      </c>
    </row>
    <row r="1793" spans="91:102" ht="21" customHeight="1">
      <c r="CM1793" s="494"/>
      <c r="CN1793" s="496" t="s">
        <v>4637</v>
      </c>
      <c r="CO1793" s="496" t="s">
        <v>11</v>
      </c>
      <c r="CP1793" s="496" t="s">
        <v>1511</v>
      </c>
      <c r="CQ1793" s="496" t="s">
        <v>936</v>
      </c>
      <c r="CR1793" s="496" t="s">
        <v>936</v>
      </c>
      <c r="CS1793" s="496" t="s">
        <v>1085</v>
      </c>
      <c r="CT1793" s="496" t="s">
        <v>1914</v>
      </c>
      <c r="CU1793" s="496" t="s">
        <v>1087</v>
      </c>
      <c r="CV1793" s="497" t="s">
        <v>1088</v>
      </c>
      <c r="CX1793" s="543">
        <v>1</v>
      </c>
    </row>
    <row r="1794" spans="91:102" ht="21" customHeight="1">
      <c r="CM1794" s="494"/>
      <c r="CN1794" s="496" t="s">
        <v>4638</v>
      </c>
      <c r="CO1794" s="496" t="s">
        <v>11</v>
      </c>
      <c r="CP1794" s="496" t="s">
        <v>1511</v>
      </c>
      <c r="CQ1794" s="496" t="s">
        <v>4639</v>
      </c>
      <c r="CR1794" s="496" t="s">
        <v>881</v>
      </c>
      <c r="CS1794" s="496" t="s">
        <v>1085</v>
      </c>
      <c r="CT1794" s="496" t="s">
        <v>1914</v>
      </c>
      <c r="CU1794" s="496" t="s">
        <v>1087</v>
      </c>
      <c r="CV1794" s="497" t="s">
        <v>1088</v>
      </c>
      <c r="CX1794" s="543">
        <v>1</v>
      </c>
    </row>
    <row r="1795" spans="91:102" ht="21" customHeight="1">
      <c r="CM1795" s="494"/>
      <c r="CN1795" s="496" t="s">
        <v>4640</v>
      </c>
      <c r="CO1795" s="496" t="s">
        <v>11</v>
      </c>
      <c r="CP1795" s="496" t="s">
        <v>1511</v>
      </c>
      <c r="CQ1795" s="496" t="s">
        <v>1512</v>
      </c>
      <c r="CR1795" s="496" t="s">
        <v>1512</v>
      </c>
      <c r="CS1795" s="496" t="s">
        <v>1085</v>
      </c>
      <c r="CT1795" s="496" t="s">
        <v>1914</v>
      </c>
      <c r="CU1795" s="496" t="s">
        <v>1087</v>
      </c>
      <c r="CV1795" s="497" t="s">
        <v>1088</v>
      </c>
      <c r="CX1795" s="543">
        <v>1</v>
      </c>
    </row>
    <row r="1796" spans="91:102" ht="21" customHeight="1">
      <c r="CM1796" s="494"/>
      <c r="CN1796" s="496" t="s">
        <v>4641</v>
      </c>
      <c r="CO1796" s="496" t="s">
        <v>11</v>
      </c>
      <c r="CP1796" s="496" t="s">
        <v>1511</v>
      </c>
      <c r="CQ1796" s="496" t="s">
        <v>889</v>
      </c>
      <c r="CR1796" s="496" t="s">
        <v>889</v>
      </c>
      <c r="CS1796" s="496" t="s">
        <v>1085</v>
      </c>
      <c r="CT1796" s="496" t="s">
        <v>1914</v>
      </c>
      <c r="CU1796" s="496" t="s">
        <v>1087</v>
      </c>
      <c r="CV1796" s="497" t="s">
        <v>1088</v>
      </c>
      <c r="CX1796" s="543">
        <v>1</v>
      </c>
    </row>
    <row r="1797" spans="91:102" ht="21" customHeight="1">
      <c r="CM1797" s="494"/>
      <c r="CN1797" s="496" t="s">
        <v>4642</v>
      </c>
      <c r="CO1797" s="496" t="s">
        <v>11</v>
      </c>
      <c r="CP1797" s="496" t="s">
        <v>1511</v>
      </c>
      <c r="CQ1797" s="496" t="s">
        <v>1517</v>
      </c>
      <c r="CR1797" s="496" t="s">
        <v>1517</v>
      </c>
      <c r="CS1797" s="496" t="s">
        <v>1151</v>
      </c>
      <c r="CT1797" s="496" t="s">
        <v>1518</v>
      </c>
      <c r="CU1797" s="496" t="s">
        <v>1087</v>
      </c>
      <c r="CV1797" s="497" t="s">
        <v>1153</v>
      </c>
      <c r="CX1797" s="543">
        <v>1</v>
      </c>
    </row>
    <row r="1798" spans="91:102" ht="21" customHeight="1">
      <c r="CM1798" s="494"/>
      <c r="CN1798" s="496" t="s">
        <v>4643</v>
      </c>
      <c r="CO1798" s="496" t="s">
        <v>11</v>
      </c>
      <c r="CP1798" s="496" t="s">
        <v>1511</v>
      </c>
      <c r="CQ1798" s="496" t="s">
        <v>1520</v>
      </c>
      <c r="CR1798" s="496" t="s">
        <v>1520</v>
      </c>
      <c r="CS1798" s="496" t="s">
        <v>1151</v>
      </c>
      <c r="CT1798" s="496" t="s">
        <v>1518</v>
      </c>
      <c r="CU1798" s="496" t="s">
        <v>1087</v>
      </c>
      <c r="CV1798" s="497" t="s">
        <v>1153</v>
      </c>
      <c r="CX1798" s="543">
        <v>1</v>
      </c>
    </row>
    <row r="1799" spans="91:102" ht="21" customHeight="1">
      <c r="CM1799" s="494"/>
      <c r="CN1799" s="496" t="s">
        <v>4644</v>
      </c>
      <c r="CO1799" s="496" t="s">
        <v>11</v>
      </c>
      <c r="CP1799" s="496" t="s">
        <v>1511</v>
      </c>
      <c r="CQ1799" s="496" t="s">
        <v>1821</v>
      </c>
      <c r="CR1799" s="496" t="s">
        <v>1821</v>
      </c>
      <c r="CS1799" s="496" t="s">
        <v>3959</v>
      </c>
      <c r="CT1799" s="496" t="s">
        <v>4633</v>
      </c>
      <c r="CU1799" s="496" t="s">
        <v>3961</v>
      </c>
      <c r="CV1799" s="497" t="s">
        <v>3962</v>
      </c>
      <c r="CX1799" s="543">
        <v>1</v>
      </c>
    </row>
    <row r="1800" spans="91:102" ht="21" customHeight="1">
      <c r="CM1800" s="494"/>
      <c r="CN1800" s="496" t="s">
        <v>4645</v>
      </c>
      <c r="CO1800" s="496" t="s">
        <v>11</v>
      </c>
      <c r="CP1800" s="496" t="s">
        <v>1511</v>
      </c>
      <c r="CQ1800" s="496" t="s">
        <v>1522</v>
      </c>
      <c r="CR1800" s="496" t="s">
        <v>1522</v>
      </c>
      <c r="CS1800" s="496" t="s">
        <v>1085</v>
      </c>
      <c r="CT1800" s="496" t="s">
        <v>1914</v>
      </c>
      <c r="CU1800" s="496" t="s">
        <v>1087</v>
      </c>
      <c r="CV1800" s="497" t="s">
        <v>1088</v>
      </c>
      <c r="CX1800" s="543">
        <v>1</v>
      </c>
    </row>
    <row r="1801" spans="91:102" ht="21" customHeight="1">
      <c r="CM1801" s="494"/>
      <c r="CN1801" s="496" t="s">
        <v>4646</v>
      </c>
      <c r="CO1801" s="496" t="s">
        <v>11</v>
      </c>
      <c r="CP1801" s="496" t="s">
        <v>1511</v>
      </c>
      <c r="CQ1801" s="496" t="s">
        <v>4647</v>
      </c>
      <c r="CR1801" s="496" t="s">
        <v>4647</v>
      </c>
      <c r="CS1801" s="496" t="s">
        <v>3959</v>
      </c>
      <c r="CT1801" s="496" t="s">
        <v>4633</v>
      </c>
      <c r="CU1801" s="496" t="s">
        <v>3961</v>
      </c>
      <c r="CV1801" s="497" t="s">
        <v>3962</v>
      </c>
      <c r="CX1801" s="543">
        <v>1</v>
      </c>
    </row>
    <row r="1802" spans="91:102" ht="21" customHeight="1">
      <c r="CM1802" s="494"/>
      <c r="CN1802" s="496" t="s">
        <v>4648</v>
      </c>
      <c r="CO1802" s="496" t="s">
        <v>11</v>
      </c>
      <c r="CP1802" s="496" t="s">
        <v>1511</v>
      </c>
      <c r="CQ1802" s="496" t="s">
        <v>4649</v>
      </c>
      <c r="CR1802" s="496" t="s">
        <v>4649</v>
      </c>
      <c r="CS1802" s="496" t="s">
        <v>3959</v>
      </c>
      <c r="CT1802" s="496" t="s">
        <v>4633</v>
      </c>
      <c r="CU1802" s="496" t="s">
        <v>3961</v>
      </c>
      <c r="CV1802" s="497" t="s">
        <v>3962</v>
      </c>
      <c r="CX1802" s="543">
        <v>1</v>
      </c>
    </row>
    <row r="1803" spans="91:102" ht="21" customHeight="1">
      <c r="CM1803" s="494"/>
      <c r="CN1803" s="496" t="s">
        <v>4650</v>
      </c>
      <c r="CO1803" s="496" t="s">
        <v>11</v>
      </c>
      <c r="CP1803" s="496" t="s">
        <v>1511</v>
      </c>
      <c r="CQ1803" s="496" t="s">
        <v>892</v>
      </c>
      <c r="CR1803" s="496" t="s">
        <v>892</v>
      </c>
      <c r="CS1803" s="496" t="s">
        <v>3959</v>
      </c>
      <c r="CT1803" s="496" t="s">
        <v>4633</v>
      </c>
      <c r="CU1803" s="496" t="s">
        <v>3961</v>
      </c>
      <c r="CV1803" s="497" t="s">
        <v>3962</v>
      </c>
      <c r="CX1803" s="543">
        <v>1</v>
      </c>
    </row>
    <row r="1804" spans="91:102" ht="21" customHeight="1">
      <c r="CM1804" s="494"/>
      <c r="CN1804" s="496" t="s">
        <v>4651</v>
      </c>
      <c r="CO1804" s="496" t="s">
        <v>11</v>
      </c>
      <c r="CP1804" s="496" t="s">
        <v>1511</v>
      </c>
      <c r="CQ1804" s="496" t="s">
        <v>4652</v>
      </c>
      <c r="CR1804" s="496" t="s">
        <v>4653</v>
      </c>
      <c r="CS1804" s="496" t="s">
        <v>1085</v>
      </c>
      <c r="CT1804" s="496" t="s">
        <v>1914</v>
      </c>
      <c r="CU1804" s="496" t="s">
        <v>1087</v>
      </c>
      <c r="CV1804" s="497" t="s">
        <v>1088</v>
      </c>
      <c r="CX1804" s="543">
        <v>1</v>
      </c>
    </row>
    <row r="1805" spans="91:102" ht="21" customHeight="1">
      <c r="CM1805" s="494"/>
      <c r="CN1805" s="496" t="s">
        <v>4654</v>
      </c>
      <c r="CO1805" s="496" t="s">
        <v>11</v>
      </c>
      <c r="CP1805" s="496" t="s">
        <v>1511</v>
      </c>
      <c r="CQ1805" s="496" t="s">
        <v>894</v>
      </c>
      <c r="CR1805" s="496" t="s">
        <v>894</v>
      </c>
      <c r="CS1805" s="496" t="s">
        <v>1085</v>
      </c>
      <c r="CT1805" s="496" t="s">
        <v>1914</v>
      </c>
      <c r="CU1805" s="496" t="s">
        <v>1087</v>
      </c>
      <c r="CV1805" s="497" t="s">
        <v>1088</v>
      </c>
      <c r="CX1805" s="543">
        <v>1</v>
      </c>
    </row>
    <row r="1806" spans="91:102" ht="21" customHeight="1">
      <c r="CM1806" s="494"/>
      <c r="CN1806" s="496" t="s">
        <v>4655</v>
      </c>
      <c r="CO1806" s="496" t="s">
        <v>11</v>
      </c>
      <c r="CP1806" s="496" t="s">
        <v>1511</v>
      </c>
      <c r="CQ1806" s="496" t="s">
        <v>1823</v>
      </c>
      <c r="CR1806" s="496" t="s">
        <v>952</v>
      </c>
      <c r="CS1806" s="496" t="s">
        <v>3959</v>
      </c>
      <c r="CT1806" s="496" t="s">
        <v>4633</v>
      </c>
      <c r="CU1806" s="496" t="s">
        <v>3961</v>
      </c>
      <c r="CV1806" s="497" t="s">
        <v>3962</v>
      </c>
      <c r="CX1806" s="543">
        <v>1</v>
      </c>
    </row>
    <row r="1807" spans="91:102" ht="21" customHeight="1">
      <c r="CM1807" s="494"/>
      <c r="CN1807" s="496" t="s">
        <v>4656</v>
      </c>
      <c r="CO1807" s="496" t="s">
        <v>11</v>
      </c>
      <c r="CP1807" s="496" t="s">
        <v>1511</v>
      </c>
      <c r="CQ1807" s="496" t="s">
        <v>1825</v>
      </c>
      <c r="CR1807" s="496" t="s">
        <v>953</v>
      </c>
      <c r="CS1807" s="496" t="s">
        <v>3959</v>
      </c>
      <c r="CT1807" s="496" t="s">
        <v>4633</v>
      </c>
      <c r="CU1807" s="496" t="s">
        <v>3961</v>
      </c>
      <c r="CV1807" s="497" t="s">
        <v>3962</v>
      </c>
      <c r="CX1807" s="543">
        <v>1</v>
      </c>
    </row>
    <row r="1808" spans="91:102" ht="21" customHeight="1">
      <c r="CM1808" s="494"/>
      <c r="CN1808" s="496" t="s">
        <v>4657</v>
      </c>
      <c r="CO1808" s="496" t="s">
        <v>11</v>
      </c>
      <c r="CP1808" s="496" t="s">
        <v>1511</v>
      </c>
      <c r="CQ1808" s="496" t="s">
        <v>1827</v>
      </c>
      <c r="CR1808" s="496" t="s">
        <v>954</v>
      </c>
      <c r="CS1808" s="496" t="s">
        <v>3959</v>
      </c>
      <c r="CT1808" s="496" t="s">
        <v>4633</v>
      </c>
      <c r="CU1808" s="496" t="s">
        <v>3961</v>
      </c>
      <c r="CV1808" s="497" t="s">
        <v>3962</v>
      </c>
      <c r="CX1808" s="543">
        <v>1</v>
      </c>
    </row>
    <row r="1809" spans="91:102" ht="21" customHeight="1">
      <c r="CM1809" s="494"/>
      <c r="CN1809" s="496" t="s">
        <v>4658</v>
      </c>
      <c r="CO1809" s="496" t="s">
        <v>11</v>
      </c>
      <c r="CP1809" s="496" t="s">
        <v>1511</v>
      </c>
      <c r="CQ1809" s="496" t="s">
        <v>4127</v>
      </c>
      <c r="CR1809" s="496" t="s">
        <v>4128</v>
      </c>
      <c r="CS1809" s="496" t="s">
        <v>3959</v>
      </c>
      <c r="CT1809" s="496" t="s">
        <v>4633</v>
      </c>
      <c r="CU1809" s="496" t="s">
        <v>3961</v>
      </c>
      <c r="CV1809" s="497" t="s">
        <v>3962</v>
      </c>
      <c r="CX1809" s="543">
        <v>1</v>
      </c>
    </row>
    <row r="1810" spans="91:102" ht="21" customHeight="1">
      <c r="CM1810" s="494"/>
      <c r="CN1810" s="496" t="s">
        <v>4659</v>
      </c>
      <c r="CO1810" s="496" t="s">
        <v>11</v>
      </c>
      <c r="CP1810" s="496" t="s">
        <v>1511</v>
      </c>
      <c r="CQ1810" s="496" t="s">
        <v>4660</v>
      </c>
      <c r="CR1810" s="496" t="s">
        <v>955</v>
      </c>
      <c r="CS1810" s="496" t="s">
        <v>1085</v>
      </c>
      <c r="CT1810" s="496" t="s">
        <v>1914</v>
      </c>
      <c r="CU1810" s="496" t="s">
        <v>1087</v>
      </c>
      <c r="CV1810" s="497" t="s">
        <v>1088</v>
      </c>
      <c r="CX1810" s="543">
        <v>1</v>
      </c>
    </row>
    <row r="1811" spans="91:102" ht="21" customHeight="1">
      <c r="CM1811" s="494"/>
      <c r="CN1811" s="496" t="s">
        <v>4661</v>
      </c>
      <c r="CO1811" s="496" t="s">
        <v>11</v>
      </c>
      <c r="CP1811" s="496" t="s">
        <v>1511</v>
      </c>
      <c r="CQ1811" s="496" t="s">
        <v>4662</v>
      </c>
      <c r="CR1811" s="496" t="s">
        <v>4663</v>
      </c>
      <c r="CS1811" s="496" t="s">
        <v>3959</v>
      </c>
      <c r="CT1811" s="496" t="s">
        <v>4633</v>
      </c>
      <c r="CU1811" s="496" t="s">
        <v>3961</v>
      </c>
      <c r="CV1811" s="497" t="s">
        <v>3962</v>
      </c>
      <c r="CX1811" s="543">
        <v>1</v>
      </c>
    </row>
    <row r="1812" spans="91:102" ht="21" customHeight="1">
      <c r="CM1812" s="494"/>
      <c r="CN1812" s="496" t="s">
        <v>4664</v>
      </c>
      <c r="CO1812" s="496" t="s">
        <v>11</v>
      </c>
      <c r="CP1812" s="496" t="s">
        <v>1511</v>
      </c>
      <c r="CQ1812" s="496" t="s">
        <v>4665</v>
      </c>
      <c r="CR1812" s="496" t="s">
        <v>4666</v>
      </c>
      <c r="CS1812" s="496" t="s">
        <v>3959</v>
      </c>
      <c r="CT1812" s="496" t="s">
        <v>4633</v>
      </c>
      <c r="CU1812" s="496" t="s">
        <v>3961</v>
      </c>
      <c r="CV1812" s="497" t="s">
        <v>3962</v>
      </c>
      <c r="CX1812" s="543">
        <v>1</v>
      </c>
    </row>
    <row r="1813" spans="91:102" ht="21" customHeight="1">
      <c r="CM1813" s="494"/>
      <c r="CN1813" s="496" t="s">
        <v>4667</v>
      </c>
      <c r="CO1813" s="496" t="s">
        <v>11</v>
      </c>
      <c r="CP1813" s="496" t="s">
        <v>1511</v>
      </c>
      <c r="CQ1813" s="496" t="s">
        <v>1832</v>
      </c>
      <c r="CR1813" s="496" t="s">
        <v>957</v>
      </c>
      <c r="CS1813" s="496" t="s">
        <v>3959</v>
      </c>
      <c r="CT1813" s="496" t="s">
        <v>4633</v>
      </c>
      <c r="CU1813" s="496" t="s">
        <v>3961</v>
      </c>
      <c r="CV1813" s="497" t="s">
        <v>3962</v>
      </c>
      <c r="CX1813" s="543">
        <v>1</v>
      </c>
    </row>
    <row r="1814" spans="91:102" ht="21" customHeight="1">
      <c r="CM1814" s="494"/>
      <c r="CN1814" s="496" t="s">
        <v>4668</v>
      </c>
      <c r="CO1814" s="496" t="s">
        <v>11</v>
      </c>
      <c r="CP1814" s="496" t="s">
        <v>1511</v>
      </c>
      <c r="CQ1814" s="496" t="s">
        <v>897</v>
      </c>
      <c r="CR1814" s="496" t="s">
        <v>897</v>
      </c>
      <c r="CS1814" s="496" t="s">
        <v>3959</v>
      </c>
      <c r="CT1814" s="496" t="s">
        <v>4633</v>
      </c>
      <c r="CU1814" s="496" t="s">
        <v>3961</v>
      </c>
      <c r="CV1814" s="497" t="s">
        <v>3962</v>
      </c>
      <c r="CX1814" s="543">
        <v>1</v>
      </c>
    </row>
    <row r="1815" spans="91:102" ht="21" customHeight="1">
      <c r="CM1815" s="494"/>
      <c r="CN1815" s="496" t="s">
        <v>4669</v>
      </c>
      <c r="CO1815" s="496" t="s">
        <v>11</v>
      </c>
      <c r="CP1815" s="496" t="s">
        <v>1511</v>
      </c>
      <c r="CQ1815" s="496" t="s">
        <v>4670</v>
      </c>
      <c r="CR1815" s="496" t="s">
        <v>898</v>
      </c>
      <c r="CS1815" s="496" t="s">
        <v>3959</v>
      </c>
      <c r="CT1815" s="496" t="s">
        <v>4633</v>
      </c>
      <c r="CU1815" s="496" t="s">
        <v>3961</v>
      </c>
      <c r="CV1815" s="497" t="s">
        <v>3962</v>
      </c>
      <c r="CX1815" s="543">
        <v>1</v>
      </c>
    </row>
    <row r="1816" spans="91:102" ht="21" customHeight="1">
      <c r="CM1816" s="494"/>
      <c r="CN1816" s="496" t="s">
        <v>4671</v>
      </c>
      <c r="CO1816" s="496" t="s">
        <v>11</v>
      </c>
      <c r="CP1816" s="496" t="s">
        <v>1511</v>
      </c>
      <c r="CQ1816" s="496" t="s">
        <v>4672</v>
      </c>
      <c r="CR1816" s="496" t="s">
        <v>4672</v>
      </c>
      <c r="CS1816" s="496" t="s">
        <v>3959</v>
      </c>
      <c r="CT1816" s="496" t="s">
        <v>4633</v>
      </c>
      <c r="CU1816" s="496" t="s">
        <v>3961</v>
      </c>
      <c r="CV1816" s="497" t="s">
        <v>3962</v>
      </c>
      <c r="CX1816" s="543">
        <v>1</v>
      </c>
    </row>
    <row r="1817" spans="91:102" ht="21" customHeight="1">
      <c r="CM1817" s="494"/>
      <c r="CN1817" s="496" t="s">
        <v>4673</v>
      </c>
      <c r="CO1817" s="496" t="s">
        <v>11</v>
      </c>
      <c r="CP1817" s="496" t="s">
        <v>1511</v>
      </c>
      <c r="CQ1817" s="496" t="s">
        <v>960</v>
      </c>
      <c r="CR1817" s="496" t="s">
        <v>960</v>
      </c>
      <c r="CS1817" s="496" t="s">
        <v>1085</v>
      </c>
      <c r="CT1817" s="496" t="s">
        <v>1914</v>
      </c>
      <c r="CU1817" s="496" t="s">
        <v>1087</v>
      </c>
      <c r="CV1817" s="497" t="s">
        <v>1088</v>
      </c>
      <c r="CX1817" s="543">
        <v>1</v>
      </c>
    </row>
    <row r="1818" spans="91:102" ht="21" customHeight="1">
      <c r="CM1818" s="494"/>
      <c r="CN1818" s="496" t="s">
        <v>4674</v>
      </c>
      <c r="CO1818" s="496" t="s">
        <v>11</v>
      </c>
      <c r="CP1818" s="496" t="s">
        <v>1511</v>
      </c>
      <c r="CQ1818" s="496" t="s">
        <v>4675</v>
      </c>
      <c r="CR1818" s="496" t="s">
        <v>4676</v>
      </c>
      <c r="CS1818" s="496" t="s">
        <v>3959</v>
      </c>
      <c r="CT1818" s="496" t="s">
        <v>4633</v>
      </c>
      <c r="CU1818" s="496" t="s">
        <v>3961</v>
      </c>
      <c r="CV1818" s="497" t="s">
        <v>3962</v>
      </c>
      <c r="CX1818" s="543">
        <v>1</v>
      </c>
    </row>
    <row r="1819" spans="91:102" ht="21" customHeight="1">
      <c r="CM1819" s="494"/>
      <c r="CN1819" s="496" t="s">
        <v>4677</v>
      </c>
      <c r="CO1819" s="496" t="s">
        <v>11</v>
      </c>
      <c r="CP1819" s="496" t="s">
        <v>1511</v>
      </c>
      <c r="CQ1819" s="496" t="s">
        <v>902</v>
      </c>
      <c r="CR1819" s="496" t="s">
        <v>902</v>
      </c>
      <c r="CS1819" s="496" t="s">
        <v>3959</v>
      </c>
      <c r="CT1819" s="496" t="s">
        <v>4633</v>
      </c>
      <c r="CU1819" s="496" t="s">
        <v>3961</v>
      </c>
      <c r="CV1819" s="497" t="s">
        <v>3962</v>
      </c>
      <c r="CX1819" s="543">
        <v>1</v>
      </c>
    </row>
    <row r="1820" spans="91:102" ht="21" customHeight="1">
      <c r="CM1820" s="494"/>
      <c r="CN1820" s="496" t="s">
        <v>4678</v>
      </c>
      <c r="CO1820" s="496" t="s">
        <v>11</v>
      </c>
      <c r="CP1820" s="496" t="s">
        <v>1511</v>
      </c>
      <c r="CQ1820" s="496" t="s">
        <v>963</v>
      </c>
      <c r="CR1820" s="496" t="s">
        <v>963</v>
      </c>
      <c r="CS1820" s="496" t="s">
        <v>3959</v>
      </c>
      <c r="CT1820" s="496" t="s">
        <v>4633</v>
      </c>
      <c r="CU1820" s="496" t="s">
        <v>3961</v>
      </c>
      <c r="CV1820" s="497" t="s">
        <v>3962</v>
      </c>
      <c r="CX1820" s="543">
        <v>1</v>
      </c>
    </row>
    <row r="1821" spans="91:102" ht="21" customHeight="1">
      <c r="CM1821" s="494"/>
      <c r="CN1821" s="496" t="s">
        <v>4679</v>
      </c>
      <c r="CO1821" s="496" t="s">
        <v>11</v>
      </c>
      <c r="CP1821" s="496" t="s">
        <v>1511</v>
      </c>
      <c r="CQ1821" s="496" t="s">
        <v>4680</v>
      </c>
      <c r="CR1821" s="496" t="s">
        <v>903</v>
      </c>
      <c r="CS1821" s="496" t="s">
        <v>3959</v>
      </c>
      <c r="CT1821" s="496" t="s">
        <v>4633</v>
      </c>
      <c r="CU1821" s="496" t="s">
        <v>3961</v>
      </c>
      <c r="CV1821" s="497" t="s">
        <v>3962</v>
      </c>
      <c r="CX1821" s="543">
        <v>1</v>
      </c>
    </row>
    <row r="1822" spans="91:102" ht="21" customHeight="1">
      <c r="CM1822" s="494"/>
      <c r="CN1822" s="496" t="s">
        <v>4681</v>
      </c>
      <c r="CO1822" s="496" t="s">
        <v>11</v>
      </c>
      <c r="CP1822" s="496" t="s">
        <v>1511</v>
      </c>
      <c r="CQ1822" s="496" t="s">
        <v>4682</v>
      </c>
      <c r="CR1822" s="496" t="s">
        <v>4682</v>
      </c>
      <c r="CS1822" s="496" t="s">
        <v>3959</v>
      </c>
      <c r="CT1822" s="496" t="s">
        <v>4633</v>
      </c>
      <c r="CU1822" s="496" t="s">
        <v>3961</v>
      </c>
      <c r="CV1822" s="497" t="s">
        <v>3962</v>
      </c>
      <c r="CX1822" s="543">
        <v>1</v>
      </c>
    </row>
    <row r="1823" spans="91:102" ht="21" customHeight="1">
      <c r="CM1823" s="494"/>
      <c r="CN1823" s="496" t="s">
        <v>4683</v>
      </c>
      <c r="CO1823" s="496" t="s">
        <v>11</v>
      </c>
      <c r="CP1823" s="496" t="s">
        <v>1511</v>
      </c>
      <c r="CQ1823" s="496" t="s">
        <v>4684</v>
      </c>
      <c r="CR1823" s="496" t="s">
        <v>4684</v>
      </c>
      <c r="CS1823" s="496" t="s">
        <v>3959</v>
      </c>
      <c r="CT1823" s="496" t="s">
        <v>4633</v>
      </c>
      <c r="CU1823" s="496" t="s">
        <v>3961</v>
      </c>
      <c r="CV1823" s="497" t="s">
        <v>3962</v>
      </c>
      <c r="CX1823" s="543">
        <v>1</v>
      </c>
    </row>
    <row r="1824" spans="91:102" ht="21" customHeight="1">
      <c r="CM1824" s="494"/>
      <c r="CN1824" s="496" t="s">
        <v>4685</v>
      </c>
      <c r="CO1824" s="496" t="s">
        <v>11</v>
      </c>
      <c r="CP1824" s="496" t="s">
        <v>1511</v>
      </c>
      <c r="CQ1824" s="496" t="s">
        <v>4206</v>
      </c>
      <c r="CR1824" s="496" t="s">
        <v>4206</v>
      </c>
      <c r="CS1824" s="496" t="s">
        <v>3959</v>
      </c>
      <c r="CT1824" s="496" t="s">
        <v>4633</v>
      </c>
      <c r="CU1824" s="496" t="s">
        <v>3961</v>
      </c>
      <c r="CV1824" s="497" t="s">
        <v>3962</v>
      </c>
      <c r="CX1824" s="543">
        <v>1</v>
      </c>
    </row>
    <row r="1825" spans="91:102" ht="21" customHeight="1">
      <c r="CM1825" s="494"/>
      <c r="CN1825" s="496" t="s">
        <v>4686</v>
      </c>
      <c r="CO1825" s="496" t="s">
        <v>11</v>
      </c>
      <c r="CP1825" s="496" t="s">
        <v>1511</v>
      </c>
      <c r="CQ1825" s="496" t="s">
        <v>969</v>
      </c>
      <c r="CR1825" s="496" t="s">
        <v>969</v>
      </c>
      <c r="CS1825" s="496" t="s">
        <v>1085</v>
      </c>
      <c r="CT1825" s="496" t="s">
        <v>1914</v>
      </c>
      <c r="CU1825" s="496" t="s">
        <v>1087</v>
      </c>
      <c r="CV1825" s="497" t="s">
        <v>1088</v>
      </c>
      <c r="CX1825" s="543">
        <v>1</v>
      </c>
    </row>
    <row r="1826" spans="91:102" ht="21" customHeight="1">
      <c r="CM1826" s="494"/>
      <c r="CN1826" s="496" t="s">
        <v>4687</v>
      </c>
      <c r="CO1826" s="496" t="s">
        <v>11</v>
      </c>
      <c r="CP1826" s="496" t="s">
        <v>1511</v>
      </c>
      <c r="CQ1826" s="496" t="s">
        <v>4688</v>
      </c>
      <c r="CR1826" s="496" t="s">
        <v>4688</v>
      </c>
      <c r="CS1826" s="496" t="s">
        <v>3959</v>
      </c>
      <c r="CT1826" s="496" t="s">
        <v>4633</v>
      </c>
      <c r="CU1826" s="496" t="s">
        <v>3961</v>
      </c>
      <c r="CV1826" s="497" t="s">
        <v>3962</v>
      </c>
      <c r="CX1826" s="543">
        <v>1</v>
      </c>
    </row>
    <row r="1827" spans="91:102" ht="21" customHeight="1">
      <c r="CM1827" s="494"/>
      <c r="CN1827" s="496" t="s">
        <v>4689</v>
      </c>
      <c r="CO1827" s="496" t="s">
        <v>11</v>
      </c>
      <c r="CP1827" s="496" t="s">
        <v>1511</v>
      </c>
      <c r="CQ1827" s="496" t="s">
        <v>4690</v>
      </c>
      <c r="CR1827" s="496" t="s">
        <v>4690</v>
      </c>
      <c r="CS1827" s="496" t="s">
        <v>3959</v>
      </c>
      <c r="CT1827" s="496" t="s">
        <v>4633</v>
      </c>
      <c r="CU1827" s="496" t="s">
        <v>3961</v>
      </c>
      <c r="CV1827" s="497" t="s">
        <v>3962</v>
      </c>
      <c r="CX1827" s="543">
        <v>1</v>
      </c>
    </row>
    <row r="1828" spans="91:102" ht="21" customHeight="1">
      <c r="CM1828" s="494"/>
      <c r="CN1828" s="496" t="s">
        <v>4691</v>
      </c>
      <c r="CO1828" s="496" t="s">
        <v>11</v>
      </c>
      <c r="CP1828" s="496" t="s">
        <v>1511</v>
      </c>
      <c r="CQ1828" s="496" t="s">
        <v>4692</v>
      </c>
      <c r="CR1828" s="496" t="s">
        <v>4692</v>
      </c>
      <c r="CS1828" s="496" t="s">
        <v>1085</v>
      </c>
      <c r="CT1828" s="496" t="s">
        <v>1914</v>
      </c>
      <c r="CU1828" s="496" t="s">
        <v>1087</v>
      </c>
      <c r="CV1828" s="497" t="s">
        <v>1088</v>
      </c>
      <c r="CX1828" s="543">
        <v>1</v>
      </c>
    </row>
    <row r="1829" spans="91:102" ht="21" customHeight="1">
      <c r="CM1829" s="494"/>
      <c r="CN1829" s="496" t="s">
        <v>4693</v>
      </c>
      <c r="CO1829" s="496" t="s">
        <v>11</v>
      </c>
      <c r="CP1829" s="496" t="s">
        <v>1511</v>
      </c>
      <c r="CQ1829" s="496" t="s">
        <v>4694</v>
      </c>
      <c r="CR1829" s="496" t="s">
        <v>4694</v>
      </c>
      <c r="CS1829" s="496" t="s">
        <v>3959</v>
      </c>
      <c r="CT1829" s="496" t="s">
        <v>4633</v>
      </c>
      <c r="CU1829" s="496" t="s">
        <v>3961</v>
      </c>
      <c r="CV1829" s="497" t="s">
        <v>3962</v>
      </c>
      <c r="CX1829" s="543">
        <v>1</v>
      </c>
    </row>
    <row r="1830" spans="91:102" ht="21" customHeight="1">
      <c r="CM1830" s="494"/>
      <c r="CN1830" s="496" t="s">
        <v>4695</v>
      </c>
      <c r="CO1830" s="496" t="s">
        <v>11</v>
      </c>
      <c r="CP1830" s="496" t="s">
        <v>1511</v>
      </c>
      <c r="CQ1830" s="496" t="s">
        <v>4696</v>
      </c>
      <c r="CR1830" s="496" t="s">
        <v>4696</v>
      </c>
      <c r="CS1830" s="496" t="s">
        <v>3959</v>
      </c>
      <c r="CT1830" s="496" t="s">
        <v>4633</v>
      </c>
      <c r="CU1830" s="496" t="s">
        <v>3961</v>
      </c>
      <c r="CV1830" s="497" t="s">
        <v>3962</v>
      </c>
      <c r="CX1830" s="543">
        <v>1</v>
      </c>
    </row>
    <row r="1831" spans="91:102" ht="21" customHeight="1">
      <c r="CM1831" s="494"/>
      <c r="CN1831" s="496" t="s">
        <v>4697</v>
      </c>
      <c r="CO1831" s="496" t="s">
        <v>11</v>
      </c>
      <c r="CP1831" s="496" t="s">
        <v>1511</v>
      </c>
      <c r="CQ1831" s="496" t="s">
        <v>4698</v>
      </c>
      <c r="CR1831" s="496" t="s">
        <v>4698</v>
      </c>
      <c r="CS1831" s="496" t="s">
        <v>1085</v>
      </c>
      <c r="CT1831" s="496" t="s">
        <v>1914</v>
      </c>
      <c r="CU1831" s="496" t="s">
        <v>1087</v>
      </c>
      <c r="CV1831" s="497" t="s">
        <v>1088</v>
      </c>
      <c r="CX1831" s="543">
        <v>1</v>
      </c>
    </row>
    <row r="1832" spans="91:102" ht="21" customHeight="1">
      <c r="CM1832" s="494"/>
      <c r="CN1832" s="496" t="s">
        <v>4699</v>
      </c>
      <c r="CO1832" s="496" t="s">
        <v>11</v>
      </c>
      <c r="CP1832" s="496" t="s">
        <v>1511</v>
      </c>
      <c r="CQ1832" s="496" t="s">
        <v>4700</v>
      </c>
      <c r="CR1832" s="496" t="s">
        <v>4701</v>
      </c>
      <c r="CS1832" s="496" t="s">
        <v>3959</v>
      </c>
      <c r="CT1832" s="496" t="s">
        <v>4633</v>
      </c>
      <c r="CU1832" s="496" t="s">
        <v>3961</v>
      </c>
      <c r="CV1832" s="497" t="s">
        <v>3962</v>
      </c>
      <c r="CX1832" s="543">
        <v>1</v>
      </c>
    </row>
    <row r="1833" spans="91:102" ht="21" customHeight="1">
      <c r="CM1833" s="494"/>
      <c r="CN1833" s="496" t="s">
        <v>4702</v>
      </c>
      <c r="CO1833" s="496" t="s">
        <v>11</v>
      </c>
      <c r="CP1833" s="496" t="s">
        <v>1511</v>
      </c>
      <c r="CQ1833" s="496" t="s">
        <v>3945</v>
      </c>
      <c r="CR1833" s="496" t="s">
        <v>3945</v>
      </c>
      <c r="CS1833" s="496" t="s">
        <v>1085</v>
      </c>
      <c r="CT1833" s="496" t="s">
        <v>1914</v>
      </c>
      <c r="CU1833" s="496" t="s">
        <v>1087</v>
      </c>
      <c r="CV1833" s="497" t="s">
        <v>1088</v>
      </c>
      <c r="CX1833" s="543">
        <v>1</v>
      </c>
    </row>
    <row r="1834" spans="91:102" ht="21" customHeight="1">
      <c r="CM1834" s="494"/>
      <c r="CN1834" s="496" t="s">
        <v>4703</v>
      </c>
      <c r="CO1834" s="496" t="s">
        <v>11</v>
      </c>
      <c r="CP1834" s="496" t="s">
        <v>1511</v>
      </c>
      <c r="CQ1834" s="496" t="s">
        <v>979</v>
      </c>
      <c r="CR1834" s="496" t="s">
        <v>979</v>
      </c>
      <c r="CS1834" s="496" t="s">
        <v>1085</v>
      </c>
      <c r="CT1834" s="496" t="s">
        <v>1914</v>
      </c>
      <c r="CU1834" s="496" t="s">
        <v>1087</v>
      </c>
      <c r="CV1834" s="497" t="s">
        <v>1088</v>
      </c>
      <c r="CX1834" s="543">
        <v>1</v>
      </c>
    </row>
    <row r="1835" spans="91:102" ht="21" customHeight="1">
      <c r="CM1835" s="494"/>
      <c r="CN1835" s="496" t="s">
        <v>4704</v>
      </c>
      <c r="CO1835" s="496" t="s">
        <v>11</v>
      </c>
      <c r="CP1835" s="496" t="s">
        <v>1511</v>
      </c>
      <c r="CQ1835" s="496" t="s">
        <v>980</v>
      </c>
      <c r="CR1835" s="496" t="s">
        <v>980</v>
      </c>
      <c r="CS1835" s="496" t="s">
        <v>3959</v>
      </c>
      <c r="CT1835" s="496" t="s">
        <v>4633</v>
      </c>
      <c r="CU1835" s="496" t="s">
        <v>3961</v>
      </c>
      <c r="CV1835" s="497" t="s">
        <v>3962</v>
      </c>
      <c r="CX1835" s="543">
        <v>1</v>
      </c>
    </row>
    <row r="1836" spans="91:102" ht="21" customHeight="1">
      <c r="CM1836" s="494"/>
      <c r="CN1836" s="496" t="s">
        <v>4705</v>
      </c>
      <c r="CO1836" s="496" t="s">
        <v>11</v>
      </c>
      <c r="CP1836" s="496" t="s">
        <v>1511</v>
      </c>
      <c r="CQ1836" s="496" t="s">
        <v>4706</v>
      </c>
      <c r="CR1836" s="496" t="s">
        <v>4706</v>
      </c>
      <c r="CS1836" s="496" t="s">
        <v>3959</v>
      </c>
      <c r="CT1836" s="496" t="s">
        <v>4633</v>
      </c>
      <c r="CU1836" s="496" t="s">
        <v>3961</v>
      </c>
      <c r="CV1836" s="497" t="s">
        <v>3962</v>
      </c>
      <c r="CX1836" s="543">
        <v>1</v>
      </c>
    </row>
    <row r="1837" spans="91:102" ht="21" customHeight="1">
      <c r="CM1837" s="494"/>
      <c r="CN1837" s="496" t="s">
        <v>4707</v>
      </c>
      <c r="CO1837" s="496" t="s">
        <v>11</v>
      </c>
      <c r="CP1837" s="496" t="s">
        <v>1511</v>
      </c>
      <c r="CQ1837" s="496" t="s">
        <v>4708</v>
      </c>
      <c r="CR1837" s="496" t="s">
        <v>4708</v>
      </c>
      <c r="CS1837" s="496" t="s">
        <v>1085</v>
      </c>
      <c r="CT1837" s="496" t="s">
        <v>1914</v>
      </c>
      <c r="CU1837" s="496" t="s">
        <v>1087</v>
      </c>
      <c r="CV1837" s="497" t="s">
        <v>1088</v>
      </c>
      <c r="CX1837" s="543">
        <v>1</v>
      </c>
    </row>
    <row r="1838" spans="91:102" ht="21" customHeight="1">
      <c r="CM1838" s="494"/>
      <c r="CN1838" s="496" t="s">
        <v>4709</v>
      </c>
      <c r="CO1838" s="496" t="s">
        <v>11</v>
      </c>
      <c r="CP1838" s="496" t="s">
        <v>1511</v>
      </c>
      <c r="CQ1838" s="496" t="s">
        <v>984</v>
      </c>
      <c r="CR1838" s="496" t="s">
        <v>984</v>
      </c>
      <c r="CS1838" s="496" t="s">
        <v>1085</v>
      </c>
      <c r="CT1838" s="496" t="s">
        <v>1914</v>
      </c>
      <c r="CU1838" s="496" t="s">
        <v>1087</v>
      </c>
      <c r="CV1838" s="497" t="s">
        <v>1088</v>
      </c>
      <c r="CX1838" s="543">
        <v>1</v>
      </c>
    </row>
    <row r="1839" spans="91:102" ht="21" customHeight="1">
      <c r="CM1839" s="494"/>
      <c r="CN1839" s="496" t="s">
        <v>4710</v>
      </c>
      <c r="CO1839" s="496" t="s">
        <v>11</v>
      </c>
      <c r="CP1839" s="496" t="s">
        <v>1511</v>
      </c>
      <c r="CQ1839" s="496" t="s">
        <v>4711</v>
      </c>
      <c r="CR1839" s="496" t="s">
        <v>914</v>
      </c>
      <c r="CS1839" s="496" t="s">
        <v>3959</v>
      </c>
      <c r="CT1839" s="496" t="s">
        <v>4633</v>
      </c>
      <c r="CU1839" s="496" t="s">
        <v>3961</v>
      </c>
      <c r="CV1839" s="497" t="s">
        <v>3962</v>
      </c>
      <c r="CX1839" s="543">
        <v>1</v>
      </c>
    </row>
    <row r="1840" spans="91:102" ht="21" customHeight="1">
      <c r="CM1840" s="494"/>
      <c r="CN1840" s="496" t="s">
        <v>4712</v>
      </c>
      <c r="CO1840" s="496" t="s">
        <v>11</v>
      </c>
      <c r="CP1840" s="496" t="s">
        <v>1511</v>
      </c>
      <c r="CQ1840" s="496" t="s">
        <v>4713</v>
      </c>
      <c r="CR1840" s="496" t="s">
        <v>4713</v>
      </c>
      <c r="CS1840" s="496" t="s">
        <v>1151</v>
      </c>
      <c r="CT1840" s="496" t="s">
        <v>1518</v>
      </c>
      <c r="CU1840" s="496" t="s">
        <v>1087</v>
      </c>
      <c r="CV1840" s="497" t="s">
        <v>1153</v>
      </c>
      <c r="CX1840" s="543">
        <v>1</v>
      </c>
    </row>
    <row r="1841" spans="91:102" ht="21" customHeight="1">
      <c r="CM1841" s="494"/>
      <c r="CN1841" s="496" t="s">
        <v>4714</v>
      </c>
      <c r="CO1841" s="496" t="s">
        <v>11</v>
      </c>
      <c r="CP1841" s="496" t="s">
        <v>1511</v>
      </c>
      <c r="CQ1841" s="496" t="s">
        <v>4715</v>
      </c>
      <c r="CR1841" s="496" t="s">
        <v>4716</v>
      </c>
      <c r="CS1841" s="496" t="s">
        <v>1085</v>
      </c>
      <c r="CT1841" s="496" t="s">
        <v>1914</v>
      </c>
      <c r="CU1841" s="496" t="s">
        <v>1087</v>
      </c>
      <c r="CV1841" s="497" t="s">
        <v>1088</v>
      </c>
      <c r="CX1841" s="543">
        <v>1</v>
      </c>
    </row>
    <row r="1842" spans="91:102" ht="21" customHeight="1">
      <c r="CM1842" s="494"/>
      <c r="CN1842" s="496" t="s">
        <v>4717</v>
      </c>
      <c r="CO1842" s="496" t="s">
        <v>11</v>
      </c>
      <c r="CP1842" s="496" t="s">
        <v>1511</v>
      </c>
      <c r="CQ1842" s="496" t="s">
        <v>4718</v>
      </c>
      <c r="CR1842" s="496" t="s">
        <v>4718</v>
      </c>
      <c r="CS1842" s="496" t="s">
        <v>3959</v>
      </c>
      <c r="CT1842" s="496" t="s">
        <v>4633</v>
      </c>
      <c r="CU1842" s="496" t="s">
        <v>3961</v>
      </c>
      <c r="CV1842" s="497" t="s">
        <v>3962</v>
      </c>
      <c r="CX1842" s="543">
        <v>1</v>
      </c>
    </row>
    <row r="1843" spans="91:102" ht="21" customHeight="1">
      <c r="CM1843" s="494"/>
      <c r="CN1843" s="496" t="s">
        <v>4719</v>
      </c>
      <c r="CO1843" s="496" t="s">
        <v>11</v>
      </c>
      <c r="CP1843" s="496" t="s">
        <v>1511</v>
      </c>
      <c r="CQ1843" s="496" t="s">
        <v>4720</v>
      </c>
      <c r="CR1843" s="496" t="s">
        <v>4720</v>
      </c>
      <c r="CS1843" s="496" t="s">
        <v>3959</v>
      </c>
      <c r="CT1843" s="496" t="s">
        <v>4633</v>
      </c>
      <c r="CU1843" s="496" t="s">
        <v>3961</v>
      </c>
      <c r="CV1843" s="497" t="s">
        <v>3962</v>
      </c>
      <c r="CX1843" s="543">
        <v>1</v>
      </c>
    </row>
    <row r="1844" spans="91:102" ht="21" customHeight="1">
      <c r="CM1844" s="494"/>
      <c r="CN1844" s="496" t="s">
        <v>4721</v>
      </c>
      <c r="CO1844" s="496" t="s">
        <v>11</v>
      </c>
      <c r="CP1844" s="496" t="s">
        <v>1511</v>
      </c>
      <c r="CQ1844" s="496" t="s">
        <v>4722</v>
      </c>
      <c r="CR1844" s="496" t="s">
        <v>4723</v>
      </c>
      <c r="CS1844" s="496" t="s">
        <v>1085</v>
      </c>
      <c r="CT1844" s="496" t="s">
        <v>1914</v>
      </c>
      <c r="CU1844" s="496" t="s">
        <v>1087</v>
      </c>
      <c r="CV1844" s="497" t="s">
        <v>1088</v>
      </c>
      <c r="CX1844" s="543">
        <v>1</v>
      </c>
    </row>
    <row r="1845" spans="91:102" ht="21" customHeight="1">
      <c r="CM1845" s="494"/>
      <c r="CN1845" s="496" t="s">
        <v>4724</v>
      </c>
      <c r="CO1845" s="496" t="s">
        <v>11</v>
      </c>
      <c r="CP1845" s="496" t="s">
        <v>1511</v>
      </c>
      <c r="CQ1845" s="496" t="s">
        <v>4725</v>
      </c>
      <c r="CR1845" s="496" t="s">
        <v>4726</v>
      </c>
      <c r="CS1845" s="496" t="s">
        <v>1085</v>
      </c>
      <c r="CT1845" s="496" t="s">
        <v>1914</v>
      </c>
      <c r="CU1845" s="496" t="s">
        <v>1087</v>
      </c>
      <c r="CV1845" s="497" t="s">
        <v>1088</v>
      </c>
      <c r="CX1845" s="543">
        <v>1</v>
      </c>
    </row>
    <row r="1846" spans="91:102" ht="21" customHeight="1">
      <c r="CM1846" s="494"/>
      <c r="CN1846" s="496" t="s">
        <v>4727</v>
      </c>
      <c r="CO1846" s="496" t="s">
        <v>11</v>
      </c>
      <c r="CP1846" s="496" t="s">
        <v>1511</v>
      </c>
      <c r="CQ1846" s="496" t="s">
        <v>4728</v>
      </c>
      <c r="CR1846" s="496" t="s">
        <v>4729</v>
      </c>
      <c r="CS1846" s="496" t="s">
        <v>3959</v>
      </c>
      <c r="CT1846" s="496" t="s">
        <v>4633</v>
      </c>
      <c r="CU1846" s="496" t="s">
        <v>3961</v>
      </c>
      <c r="CV1846" s="497" t="s">
        <v>3962</v>
      </c>
      <c r="CX1846" s="543">
        <v>1</v>
      </c>
    </row>
    <row r="1847" spans="91:102" ht="21" customHeight="1">
      <c r="CM1847" s="494"/>
      <c r="CN1847" s="496" t="s">
        <v>4730</v>
      </c>
      <c r="CO1847" s="496" t="s">
        <v>11</v>
      </c>
      <c r="CP1847" s="496" t="s">
        <v>1511</v>
      </c>
      <c r="CQ1847" s="496" t="s">
        <v>919</v>
      </c>
      <c r="CR1847" s="496" t="s">
        <v>919</v>
      </c>
      <c r="CS1847" s="496" t="s">
        <v>1085</v>
      </c>
      <c r="CT1847" s="496" t="s">
        <v>1914</v>
      </c>
      <c r="CU1847" s="496" t="s">
        <v>1087</v>
      </c>
      <c r="CV1847" s="497" t="s">
        <v>1088</v>
      </c>
      <c r="CX1847" s="543">
        <v>1</v>
      </c>
    </row>
    <row r="1848" spans="91:102" ht="21" customHeight="1">
      <c r="CM1848" s="494"/>
      <c r="CN1848" s="496" t="s">
        <v>4731</v>
      </c>
      <c r="CO1848" s="496" t="s">
        <v>11</v>
      </c>
      <c r="CP1848" s="496" t="s">
        <v>1511</v>
      </c>
      <c r="CQ1848" s="496" t="s">
        <v>920</v>
      </c>
      <c r="CR1848" s="496" t="s">
        <v>920</v>
      </c>
      <c r="CS1848" s="496" t="s">
        <v>3959</v>
      </c>
      <c r="CT1848" s="496" t="s">
        <v>4633</v>
      </c>
      <c r="CU1848" s="496" t="s">
        <v>3961</v>
      </c>
      <c r="CV1848" s="497" t="s">
        <v>3962</v>
      </c>
      <c r="CX1848" s="543">
        <v>1</v>
      </c>
    </row>
    <row r="1849" spans="91:102" ht="21" customHeight="1">
      <c r="CM1849" s="494"/>
      <c r="CN1849" s="496" t="s">
        <v>4732</v>
      </c>
      <c r="CO1849" s="496" t="s">
        <v>11</v>
      </c>
      <c r="CP1849" s="496" t="s">
        <v>1511</v>
      </c>
      <c r="CQ1849" s="496" t="s">
        <v>4733</v>
      </c>
      <c r="CR1849" s="496" t="s">
        <v>4733</v>
      </c>
      <c r="CS1849" s="496" t="s">
        <v>3959</v>
      </c>
      <c r="CT1849" s="496" t="s">
        <v>4633</v>
      </c>
      <c r="CU1849" s="496" t="s">
        <v>3961</v>
      </c>
      <c r="CV1849" s="497" t="s">
        <v>3962</v>
      </c>
      <c r="CX1849" s="543">
        <v>1</v>
      </c>
    </row>
    <row r="1850" spans="91:102" ht="21" customHeight="1">
      <c r="CM1850" s="494"/>
      <c r="CN1850" s="496" t="s">
        <v>4734</v>
      </c>
      <c r="CO1850" s="496" t="s">
        <v>11</v>
      </c>
      <c r="CP1850" s="496" t="s">
        <v>1511</v>
      </c>
      <c r="CQ1850" s="496" t="s">
        <v>4735</v>
      </c>
      <c r="CR1850" s="496" t="s">
        <v>4736</v>
      </c>
      <c r="CS1850" s="496" t="s">
        <v>3959</v>
      </c>
      <c r="CT1850" s="496" t="s">
        <v>4633</v>
      </c>
      <c r="CU1850" s="496" t="s">
        <v>3961</v>
      </c>
      <c r="CV1850" s="497" t="s">
        <v>3962</v>
      </c>
      <c r="CX1850" s="543">
        <v>1</v>
      </c>
    </row>
    <row r="1851" spans="91:102" ht="21" customHeight="1">
      <c r="CM1851" s="494"/>
      <c r="CN1851" s="496" t="s">
        <v>4737</v>
      </c>
      <c r="CO1851" s="496" t="s">
        <v>11</v>
      </c>
      <c r="CP1851" s="496" t="s">
        <v>1511</v>
      </c>
      <c r="CQ1851" s="496" t="s">
        <v>923</v>
      </c>
      <c r="CR1851" s="496" t="s">
        <v>923</v>
      </c>
      <c r="CS1851" s="496" t="s">
        <v>3959</v>
      </c>
      <c r="CT1851" s="496" t="s">
        <v>4633</v>
      </c>
      <c r="CU1851" s="496" t="s">
        <v>3961</v>
      </c>
      <c r="CV1851" s="497" t="s">
        <v>3962</v>
      </c>
      <c r="CX1851" s="543">
        <v>1</v>
      </c>
    </row>
    <row r="1852" spans="91:102" ht="21" customHeight="1">
      <c r="CM1852" s="494"/>
      <c r="CN1852" s="496" t="s">
        <v>4738</v>
      </c>
      <c r="CO1852" s="496" t="s">
        <v>11</v>
      </c>
      <c r="CP1852" s="496" t="s">
        <v>1511</v>
      </c>
      <c r="CQ1852" s="496" t="s">
        <v>1534</v>
      </c>
      <c r="CR1852" s="496" t="s">
        <v>1535</v>
      </c>
      <c r="CS1852" s="496" t="s">
        <v>1151</v>
      </c>
      <c r="CT1852" s="496" t="s">
        <v>1518</v>
      </c>
      <c r="CU1852" s="496" t="s">
        <v>1087</v>
      </c>
      <c r="CV1852" s="497" t="s">
        <v>1153</v>
      </c>
      <c r="CX1852" s="543">
        <v>1</v>
      </c>
    </row>
    <row r="1853" spans="91:102" ht="21" customHeight="1">
      <c r="CM1853" s="494"/>
      <c r="CN1853" s="496" t="s">
        <v>4739</v>
      </c>
      <c r="CO1853" s="496" t="s">
        <v>11</v>
      </c>
      <c r="CP1853" s="496" t="s">
        <v>1511</v>
      </c>
      <c r="CQ1853" s="496" t="s">
        <v>4740</v>
      </c>
      <c r="CR1853" s="496" t="s">
        <v>4740</v>
      </c>
      <c r="CS1853" s="496" t="s">
        <v>1085</v>
      </c>
      <c r="CT1853" s="496" t="s">
        <v>1914</v>
      </c>
      <c r="CU1853" s="496" t="s">
        <v>1087</v>
      </c>
      <c r="CV1853" s="497" t="s">
        <v>1088</v>
      </c>
      <c r="CX1853" s="543">
        <v>1</v>
      </c>
    </row>
    <row r="1854" spans="91:102" ht="21" customHeight="1">
      <c r="CM1854" s="494"/>
      <c r="CN1854" s="496" t="s">
        <v>4741</v>
      </c>
      <c r="CO1854" s="496" t="s">
        <v>11</v>
      </c>
      <c r="CP1854" s="496" t="s">
        <v>1511</v>
      </c>
      <c r="CQ1854" s="496" t="s">
        <v>924</v>
      </c>
      <c r="CR1854" s="496" t="s">
        <v>924</v>
      </c>
      <c r="CS1854" s="496" t="s">
        <v>3959</v>
      </c>
      <c r="CT1854" s="496" t="s">
        <v>4633</v>
      </c>
      <c r="CU1854" s="496" t="s">
        <v>3961</v>
      </c>
      <c r="CV1854" s="497" t="s">
        <v>3962</v>
      </c>
      <c r="CX1854" s="543">
        <v>1</v>
      </c>
    </row>
    <row r="1855" spans="91:102" ht="21" customHeight="1">
      <c r="CM1855" s="494"/>
      <c r="CN1855" s="496" t="s">
        <v>4742</v>
      </c>
      <c r="CO1855" s="496" t="s">
        <v>11</v>
      </c>
      <c r="CP1855" s="496" t="s">
        <v>1511</v>
      </c>
      <c r="CQ1855" s="496" t="s">
        <v>4743</v>
      </c>
      <c r="CR1855" s="496" t="s">
        <v>4743</v>
      </c>
      <c r="CS1855" s="496" t="s">
        <v>1151</v>
      </c>
      <c r="CT1855" s="496" t="s">
        <v>1518</v>
      </c>
      <c r="CU1855" s="496" t="s">
        <v>1087</v>
      </c>
      <c r="CV1855" s="497" t="s">
        <v>1153</v>
      </c>
      <c r="CX1855" s="543">
        <v>1</v>
      </c>
    </row>
    <row r="1856" spans="91:102" ht="21" customHeight="1">
      <c r="CM1856" s="494"/>
      <c r="CN1856" s="496" t="s">
        <v>4744</v>
      </c>
      <c r="CO1856" s="496" t="s">
        <v>11</v>
      </c>
      <c r="CP1856" s="496" t="s">
        <v>1511</v>
      </c>
      <c r="CQ1856" s="496" t="s">
        <v>4745</v>
      </c>
      <c r="CR1856" s="496" t="s">
        <v>925</v>
      </c>
      <c r="CS1856" s="496" t="s">
        <v>3959</v>
      </c>
      <c r="CT1856" s="496" t="s">
        <v>4633</v>
      </c>
      <c r="CU1856" s="496" t="s">
        <v>3961</v>
      </c>
      <c r="CV1856" s="497" t="s">
        <v>3962</v>
      </c>
      <c r="CX1856" s="543">
        <v>1</v>
      </c>
    </row>
    <row r="1857" spans="91:102" ht="21" customHeight="1">
      <c r="CM1857" s="494"/>
      <c r="CN1857" s="496" t="s">
        <v>4746</v>
      </c>
      <c r="CO1857" s="496" t="s">
        <v>11</v>
      </c>
      <c r="CP1857" s="496" t="s">
        <v>1511</v>
      </c>
      <c r="CQ1857" s="496" t="s">
        <v>1544</v>
      </c>
      <c r="CR1857" s="496" t="s">
        <v>1544</v>
      </c>
      <c r="CS1857" s="496" t="s">
        <v>1085</v>
      </c>
      <c r="CT1857" s="496" t="s">
        <v>1914</v>
      </c>
      <c r="CU1857" s="496" t="s">
        <v>1087</v>
      </c>
      <c r="CV1857" s="497" t="s">
        <v>1088</v>
      </c>
      <c r="CX1857" s="543">
        <v>1</v>
      </c>
    </row>
    <row r="1858" spans="91:102" ht="21" customHeight="1">
      <c r="CM1858" s="494"/>
      <c r="CN1858" s="496" t="s">
        <v>4747</v>
      </c>
      <c r="CO1858" s="496" t="s">
        <v>11</v>
      </c>
      <c r="CP1858" s="496" t="s">
        <v>1511</v>
      </c>
      <c r="CQ1858" s="496" t="s">
        <v>926</v>
      </c>
      <c r="CR1858" s="496" t="s">
        <v>926</v>
      </c>
      <c r="CS1858" s="496" t="s">
        <v>3959</v>
      </c>
      <c r="CT1858" s="496" t="s">
        <v>4633</v>
      </c>
      <c r="CU1858" s="496" t="s">
        <v>3961</v>
      </c>
      <c r="CV1858" s="497" t="s">
        <v>3962</v>
      </c>
      <c r="CX1858" s="543">
        <v>1</v>
      </c>
    </row>
    <row r="1859" spans="91:102" ht="21" customHeight="1">
      <c r="CM1859" s="494"/>
      <c r="CN1859" s="496" t="s">
        <v>4748</v>
      </c>
      <c r="CO1859" s="496" t="s">
        <v>11</v>
      </c>
      <c r="CP1859" s="496" t="s">
        <v>1511</v>
      </c>
      <c r="CQ1859" s="496" t="s">
        <v>4749</v>
      </c>
      <c r="CR1859" s="496" t="s">
        <v>4749</v>
      </c>
      <c r="CS1859" s="496" t="s">
        <v>3959</v>
      </c>
      <c r="CT1859" s="496" t="s">
        <v>4633</v>
      </c>
      <c r="CU1859" s="496" t="s">
        <v>3961</v>
      </c>
      <c r="CV1859" s="497" t="s">
        <v>3962</v>
      </c>
      <c r="CX1859" s="543">
        <v>1</v>
      </c>
    </row>
    <row r="1860" spans="91:102" ht="21" customHeight="1">
      <c r="CM1860" s="494"/>
      <c r="CN1860" s="496" t="s">
        <v>4750</v>
      </c>
      <c r="CO1860" s="496" t="s">
        <v>11</v>
      </c>
      <c r="CP1860" s="496" t="s">
        <v>1511</v>
      </c>
      <c r="CQ1860" s="496" t="s">
        <v>4751</v>
      </c>
      <c r="CR1860" s="496" t="s">
        <v>4751</v>
      </c>
      <c r="CS1860" s="496" t="s">
        <v>3959</v>
      </c>
      <c r="CT1860" s="496" t="s">
        <v>4633</v>
      </c>
      <c r="CU1860" s="496" t="s">
        <v>3961</v>
      </c>
      <c r="CV1860" s="497" t="s">
        <v>3962</v>
      </c>
      <c r="CX1860" s="543">
        <v>1</v>
      </c>
    </row>
    <row r="1861" spans="91:102" ht="21" customHeight="1">
      <c r="CM1861" s="494"/>
      <c r="CN1861" s="496" t="s">
        <v>4752</v>
      </c>
      <c r="CO1861" s="496" t="s">
        <v>11</v>
      </c>
      <c r="CP1861" s="496" t="s">
        <v>1511</v>
      </c>
      <c r="CQ1861" s="496" t="s">
        <v>1952</v>
      </c>
      <c r="CR1861" s="496" t="s">
        <v>1952</v>
      </c>
      <c r="CS1861" s="496" t="s">
        <v>1085</v>
      </c>
      <c r="CT1861" s="496" t="s">
        <v>1914</v>
      </c>
      <c r="CU1861" s="496" t="s">
        <v>1087</v>
      </c>
      <c r="CV1861" s="497" t="s">
        <v>1088</v>
      </c>
      <c r="CX1861" s="543">
        <v>1</v>
      </c>
    </row>
    <row r="1862" spans="91:102" ht="21" customHeight="1">
      <c r="CM1862" s="494"/>
      <c r="CN1862" s="496" t="s">
        <v>4753</v>
      </c>
      <c r="CO1862" s="496" t="s">
        <v>11</v>
      </c>
      <c r="CP1862" s="496" t="s">
        <v>1511</v>
      </c>
      <c r="CQ1862" s="496" t="s">
        <v>4754</v>
      </c>
      <c r="CR1862" s="496" t="s">
        <v>4754</v>
      </c>
      <c r="CS1862" s="496" t="s">
        <v>3959</v>
      </c>
      <c r="CT1862" s="496" t="s">
        <v>4633</v>
      </c>
      <c r="CU1862" s="496" t="s">
        <v>3961</v>
      </c>
      <c r="CV1862" s="497" t="s">
        <v>3962</v>
      </c>
      <c r="CX1862" s="543">
        <v>1</v>
      </c>
    </row>
    <row r="1863" spans="91:102" ht="21" customHeight="1">
      <c r="CM1863" s="494"/>
      <c r="CN1863" s="496" t="s">
        <v>4755</v>
      </c>
      <c r="CO1863" s="496" t="s">
        <v>11</v>
      </c>
      <c r="CP1863" s="496" t="s">
        <v>1511</v>
      </c>
      <c r="CQ1863" s="496" t="s">
        <v>995</v>
      </c>
      <c r="CR1863" s="496" t="s">
        <v>995</v>
      </c>
      <c r="CS1863" s="496" t="s">
        <v>3959</v>
      </c>
      <c r="CT1863" s="496" t="s">
        <v>4633</v>
      </c>
      <c r="CU1863" s="496" t="s">
        <v>3961</v>
      </c>
      <c r="CV1863" s="497" t="s">
        <v>3962</v>
      </c>
      <c r="CX1863" s="543">
        <v>1</v>
      </c>
    </row>
    <row r="1864" spans="91:102" ht="21" customHeight="1">
      <c r="CM1864" s="494"/>
      <c r="CN1864" s="496" t="s">
        <v>4756</v>
      </c>
      <c r="CO1864" s="496" t="s">
        <v>11</v>
      </c>
      <c r="CP1864" s="496" t="s">
        <v>1511</v>
      </c>
      <c r="CQ1864" s="496" t="s">
        <v>1055</v>
      </c>
      <c r="CR1864" s="496" t="s">
        <v>1055</v>
      </c>
      <c r="CS1864" s="496" t="s">
        <v>3959</v>
      </c>
      <c r="CT1864" s="496" t="s">
        <v>4633</v>
      </c>
      <c r="CU1864" s="496" t="s">
        <v>3961</v>
      </c>
      <c r="CV1864" s="497" t="s">
        <v>3962</v>
      </c>
      <c r="CX1864" s="543">
        <v>1</v>
      </c>
    </row>
    <row r="1865" spans="91:102" ht="21" customHeight="1">
      <c r="CM1865" s="494"/>
      <c r="CN1865" s="496" t="s">
        <v>4757</v>
      </c>
      <c r="CO1865" s="496" t="s">
        <v>11</v>
      </c>
      <c r="CP1865" s="496" t="s">
        <v>1511</v>
      </c>
      <c r="CQ1865" s="496" t="s">
        <v>931</v>
      </c>
      <c r="CR1865" s="496" t="s">
        <v>931</v>
      </c>
      <c r="CS1865" s="496" t="s">
        <v>3959</v>
      </c>
      <c r="CT1865" s="496" t="s">
        <v>4633</v>
      </c>
      <c r="CU1865" s="496" t="s">
        <v>3961</v>
      </c>
      <c r="CV1865" s="497" t="s">
        <v>3962</v>
      </c>
      <c r="CX1865" s="543">
        <v>1</v>
      </c>
    </row>
    <row r="1866" spans="91:102" ht="21" customHeight="1">
      <c r="CM1866" s="494"/>
      <c r="CN1866" s="496" t="s">
        <v>4758</v>
      </c>
      <c r="CO1866" s="496" t="s">
        <v>11</v>
      </c>
      <c r="CP1866" s="496" t="s">
        <v>1511</v>
      </c>
      <c r="CQ1866" s="496" t="s">
        <v>4759</v>
      </c>
      <c r="CR1866" s="496" t="s">
        <v>4759</v>
      </c>
      <c r="CS1866" s="496" t="s">
        <v>3959</v>
      </c>
      <c r="CT1866" s="496" t="s">
        <v>4633</v>
      </c>
      <c r="CU1866" s="496" t="s">
        <v>3961</v>
      </c>
      <c r="CV1866" s="497" t="s">
        <v>3962</v>
      </c>
      <c r="CX1866" s="543">
        <v>1</v>
      </c>
    </row>
    <row r="1867" spans="91:102" ht="21" customHeight="1">
      <c r="CM1867" s="494"/>
      <c r="CN1867" s="496" t="s">
        <v>4760</v>
      </c>
      <c r="CO1867" s="496" t="s">
        <v>11</v>
      </c>
      <c r="CP1867" s="496" t="s">
        <v>1511</v>
      </c>
      <c r="CQ1867" s="496" t="s">
        <v>4761</v>
      </c>
      <c r="CR1867" s="496" t="s">
        <v>4762</v>
      </c>
      <c r="CS1867" s="496" t="s">
        <v>1085</v>
      </c>
      <c r="CT1867" s="496" t="s">
        <v>1914</v>
      </c>
      <c r="CU1867" s="496" t="s">
        <v>1087</v>
      </c>
      <c r="CV1867" s="497" t="s">
        <v>1088</v>
      </c>
      <c r="CX1867" s="543">
        <v>1</v>
      </c>
    </row>
    <row r="1868" spans="91:102" ht="21" customHeight="1">
      <c r="CM1868" s="494"/>
      <c r="CN1868" s="496" t="s">
        <v>4763</v>
      </c>
      <c r="CO1868" s="496" t="s">
        <v>11</v>
      </c>
      <c r="CP1868" s="496" t="s">
        <v>1511</v>
      </c>
      <c r="CQ1868" s="496" t="s">
        <v>1433</v>
      </c>
      <c r="CR1868" s="496" t="s">
        <v>1433</v>
      </c>
      <c r="CS1868" s="496" t="s">
        <v>1085</v>
      </c>
      <c r="CT1868" s="496" t="s">
        <v>1914</v>
      </c>
      <c r="CU1868" s="496" t="s">
        <v>1087</v>
      </c>
      <c r="CV1868" s="497" t="s">
        <v>1088</v>
      </c>
      <c r="CX1868" s="543">
        <v>1</v>
      </c>
    </row>
    <row r="1869" spans="91:102" ht="21" customHeight="1">
      <c r="CM1869" s="494"/>
      <c r="CN1869" s="496" t="s">
        <v>4764</v>
      </c>
      <c r="CO1869" s="496" t="s">
        <v>11</v>
      </c>
      <c r="CP1869" s="496" t="s">
        <v>1511</v>
      </c>
      <c r="CQ1869" s="496" t="s">
        <v>4765</v>
      </c>
      <c r="CR1869" s="496" t="s">
        <v>4765</v>
      </c>
      <c r="CS1869" s="496" t="s">
        <v>1085</v>
      </c>
      <c r="CT1869" s="496" t="s">
        <v>1914</v>
      </c>
      <c r="CU1869" s="496" t="s">
        <v>1087</v>
      </c>
      <c r="CV1869" s="497" t="s">
        <v>1088</v>
      </c>
      <c r="CX1869" s="543">
        <v>1</v>
      </c>
    </row>
    <row r="1870" spans="91:102" ht="21" customHeight="1">
      <c r="CM1870" s="494"/>
      <c r="CN1870" s="496" t="s">
        <v>4766</v>
      </c>
      <c r="CO1870" s="496" t="s">
        <v>11</v>
      </c>
      <c r="CP1870" s="496" t="s">
        <v>1960</v>
      </c>
      <c r="CQ1870" s="496" t="s">
        <v>1961</v>
      </c>
      <c r="CR1870" s="496" t="s">
        <v>1961</v>
      </c>
      <c r="CS1870" s="496" t="s">
        <v>1151</v>
      </c>
      <c r="CT1870" s="496" t="s">
        <v>1962</v>
      </c>
      <c r="CU1870" s="496" t="s">
        <v>1087</v>
      </c>
      <c r="CV1870" s="497" t="s">
        <v>1153</v>
      </c>
      <c r="CX1870" s="543">
        <v>1</v>
      </c>
    </row>
    <row r="1871" spans="91:102" ht="21" customHeight="1">
      <c r="CM1871" s="494"/>
      <c r="CN1871" s="496" t="s">
        <v>4767</v>
      </c>
      <c r="CO1871" s="496" t="s">
        <v>11</v>
      </c>
      <c r="CP1871" s="496" t="s">
        <v>1960</v>
      </c>
      <c r="CQ1871" s="496" t="s">
        <v>1964</v>
      </c>
      <c r="CR1871" s="496" t="s">
        <v>1965</v>
      </c>
      <c r="CS1871" s="496" t="s">
        <v>1151</v>
      </c>
      <c r="CT1871" s="496" t="s">
        <v>1962</v>
      </c>
      <c r="CU1871" s="496" t="s">
        <v>1087</v>
      </c>
      <c r="CV1871" s="497" t="s">
        <v>1153</v>
      </c>
      <c r="CX1871" s="543">
        <v>1</v>
      </c>
    </row>
    <row r="1872" spans="91:102" ht="21" customHeight="1">
      <c r="CM1872" s="494"/>
      <c r="CN1872" s="496" t="s">
        <v>4768</v>
      </c>
      <c r="CO1872" s="496" t="s">
        <v>11</v>
      </c>
      <c r="CP1872" s="496" t="s">
        <v>1960</v>
      </c>
      <c r="CQ1872" s="496" t="s">
        <v>1967</v>
      </c>
      <c r="CR1872" s="496" t="s">
        <v>1968</v>
      </c>
      <c r="CS1872" s="496" t="s">
        <v>1151</v>
      </c>
      <c r="CT1872" s="496" t="s">
        <v>1962</v>
      </c>
      <c r="CU1872" s="496" t="s">
        <v>1087</v>
      </c>
      <c r="CV1872" s="497" t="s">
        <v>1153</v>
      </c>
      <c r="CX1872" s="543">
        <v>1</v>
      </c>
    </row>
    <row r="1873" spans="91:102" ht="21" customHeight="1">
      <c r="CM1873" s="494"/>
      <c r="CN1873" s="496" t="s">
        <v>4769</v>
      </c>
      <c r="CO1873" s="496" t="s">
        <v>11</v>
      </c>
      <c r="CP1873" s="496" t="s">
        <v>1960</v>
      </c>
      <c r="CQ1873" s="496" t="s">
        <v>1970</v>
      </c>
      <c r="CR1873" s="496" t="s">
        <v>1971</v>
      </c>
      <c r="CS1873" s="496" t="s">
        <v>1151</v>
      </c>
      <c r="CT1873" s="496" t="s">
        <v>1962</v>
      </c>
      <c r="CU1873" s="496" t="s">
        <v>1087</v>
      </c>
      <c r="CV1873" s="497" t="s">
        <v>1153</v>
      </c>
      <c r="CX1873" s="543">
        <v>1</v>
      </c>
    </row>
    <row r="1874" spans="91:102" ht="21" customHeight="1">
      <c r="CM1874" s="494"/>
      <c r="CN1874" s="496" t="s">
        <v>4770</v>
      </c>
      <c r="CO1874" s="496" t="s">
        <v>11</v>
      </c>
      <c r="CP1874" s="496" t="s">
        <v>1960</v>
      </c>
      <c r="CQ1874" s="496" t="s">
        <v>1478</v>
      </c>
      <c r="CR1874" s="496" t="s">
        <v>860</v>
      </c>
      <c r="CS1874" s="496" t="s">
        <v>1151</v>
      </c>
      <c r="CT1874" s="496" t="s">
        <v>1962</v>
      </c>
      <c r="CU1874" s="496" t="s">
        <v>1087</v>
      </c>
      <c r="CV1874" s="497" t="s">
        <v>1153</v>
      </c>
      <c r="CX1874" s="543">
        <v>1</v>
      </c>
    </row>
    <row r="1875" spans="91:102" ht="21" customHeight="1">
      <c r="CM1875" s="494"/>
      <c r="CN1875" s="496" t="s">
        <v>4771</v>
      </c>
      <c r="CO1875" s="496" t="s">
        <v>11</v>
      </c>
      <c r="CP1875" s="496" t="s">
        <v>1960</v>
      </c>
      <c r="CQ1875" s="496" t="s">
        <v>857</v>
      </c>
      <c r="CR1875" s="496" t="s">
        <v>861</v>
      </c>
      <c r="CS1875" s="496" t="s">
        <v>1151</v>
      </c>
      <c r="CT1875" s="496" t="s">
        <v>1962</v>
      </c>
      <c r="CU1875" s="496" t="s">
        <v>1087</v>
      </c>
      <c r="CV1875" s="497" t="s">
        <v>1153</v>
      </c>
      <c r="CX1875" s="543">
        <v>1</v>
      </c>
    </row>
    <row r="1876" spans="91:102" ht="21" customHeight="1">
      <c r="CM1876" s="494"/>
      <c r="CN1876" s="496" t="s">
        <v>4772</v>
      </c>
      <c r="CO1876" s="496" t="s">
        <v>11</v>
      </c>
      <c r="CP1876" s="496" t="s">
        <v>1960</v>
      </c>
      <c r="CQ1876" s="496" t="s">
        <v>1486</v>
      </c>
      <c r="CR1876" s="496" t="s">
        <v>864</v>
      </c>
      <c r="CS1876" s="496" t="s">
        <v>1151</v>
      </c>
      <c r="CT1876" s="496" t="s">
        <v>1962</v>
      </c>
      <c r="CU1876" s="496" t="s">
        <v>1087</v>
      </c>
      <c r="CV1876" s="497" t="s">
        <v>1153</v>
      </c>
      <c r="CX1876" s="543">
        <v>1</v>
      </c>
    </row>
    <row r="1877" spans="91:102" ht="21" customHeight="1">
      <c r="CM1877" s="494"/>
      <c r="CN1877" s="496" t="s">
        <v>4773</v>
      </c>
      <c r="CO1877" s="496" t="s">
        <v>11</v>
      </c>
      <c r="CP1877" s="496" t="s">
        <v>1960</v>
      </c>
      <c r="CQ1877" s="496" t="s">
        <v>1976</v>
      </c>
      <c r="CR1877" s="496" t="s">
        <v>1976</v>
      </c>
      <c r="CS1877" s="496" t="s">
        <v>1151</v>
      </c>
      <c r="CT1877" s="496" t="s">
        <v>1962</v>
      </c>
      <c r="CU1877" s="496" t="s">
        <v>1087</v>
      </c>
      <c r="CV1877" s="497" t="s">
        <v>1153</v>
      </c>
      <c r="CX1877" s="543">
        <v>1</v>
      </c>
    </row>
    <row r="1878" spans="91:102" ht="21" customHeight="1">
      <c r="CM1878" s="494"/>
      <c r="CN1878" s="496" t="s">
        <v>4774</v>
      </c>
      <c r="CO1878" s="496" t="s">
        <v>11</v>
      </c>
      <c r="CP1878" s="496" t="s">
        <v>1960</v>
      </c>
      <c r="CQ1878" s="496" t="s">
        <v>1978</v>
      </c>
      <c r="CR1878" s="496" t="s">
        <v>1978</v>
      </c>
      <c r="CS1878" s="496" t="s">
        <v>1151</v>
      </c>
      <c r="CT1878" s="496" t="s">
        <v>1962</v>
      </c>
      <c r="CU1878" s="496" t="s">
        <v>1087</v>
      </c>
      <c r="CV1878" s="497" t="s">
        <v>1153</v>
      </c>
      <c r="CX1878" s="543">
        <v>1</v>
      </c>
    </row>
    <row r="1879" spans="91:102" ht="21" customHeight="1">
      <c r="CM1879" s="494"/>
      <c r="CN1879" s="496" t="s">
        <v>4775</v>
      </c>
      <c r="CO1879" s="496" t="s">
        <v>241</v>
      </c>
      <c r="CP1879" s="496" t="s">
        <v>689</v>
      </c>
      <c r="CQ1879" s="496" t="s">
        <v>294</v>
      </c>
      <c r="CR1879" s="496" t="s">
        <v>294</v>
      </c>
      <c r="CS1879" s="496" t="s">
        <v>1151</v>
      </c>
      <c r="CT1879" s="496" t="s">
        <v>1152</v>
      </c>
      <c r="CU1879" s="496" t="s">
        <v>1087</v>
      </c>
      <c r="CV1879" s="497" t="s">
        <v>1153</v>
      </c>
      <c r="CX1879" s="543">
        <v>1</v>
      </c>
    </row>
    <row r="1880" spans="91:102" ht="21" customHeight="1">
      <c r="CM1880" s="494"/>
      <c r="CN1880" s="496" t="s">
        <v>4776</v>
      </c>
      <c r="CO1880" s="496" t="s">
        <v>241</v>
      </c>
      <c r="CP1880" s="496" t="s">
        <v>689</v>
      </c>
      <c r="CQ1880" s="496" t="s">
        <v>4777</v>
      </c>
      <c r="CR1880" s="496" t="s">
        <v>4777</v>
      </c>
      <c r="CS1880" s="496" t="s">
        <v>1151</v>
      </c>
      <c r="CT1880" s="496" t="s">
        <v>1152</v>
      </c>
      <c r="CU1880" s="496" t="s">
        <v>1087</v>
      </c>
      <c r="CV1880" s="497" t="s">
        <v>1153</v>
      </c>
      <c r="CX1880" s="543">
        <v>1</v>
      </c>
    </row>
    <row r="1881" spans="91:102" ht="21" customHeight="1">
      <c r="CM1881" s="494"/>
      <c r="CN1881" s="496" t="s">
        <v>4778</v>
      </c>
      <c r="CO1881" s="496" t="s">
        <v>241</v>
      </c>
      <c r="CP1881" s="496" t="s">
        <v>689</v>
      </c>
      <c r="CQ1881" s="496" t="s">
        <v>24</v>
      </c>
      <c r="CR1881" s="496" t="s">
        <v>24</v>
      </c>
      <c r="CS1881" s="496" t="s">
        <v>1085</v>
      </c>
      <c r="CT1881" s="496" t="s">
        <v>4779</v>
      </c>
      <c r="CU1881" s="496" t="s">
        <v>1087</v>
      </c>
      <c r="CV1881" s="497" t="s">
        <v>1088</v>
      </c>
      <c r="CX1881" s="543">
        <v>1</v>
      </c>
    </row>
    <row r="1882" spans="91:102" ht="21" customHeight="1">
      <c r="CM1882" s="494"/>
      <c r="CN1882" s="496" t="s">
        <v>4780</v>
      </c>
      <c r="CO1882" s="496" t="s">
        <v>241</v>
      </c>
      <c r="CP1882" s="496" t="s">
        <v>689</v>
      </c>
      <c r="CQ1882" s="496" t="s">
        <v>34</v>
      </c>
      <c r="CR1882" s="496" t="s">
        <v>34</v>
      </c>
      <c r="CS1882" s="496" t="s">
        <v>1085</v>
      </c>
      <c r="CT1882" s="496" t="s">
        <v>4779</v>
      </c>
      <c r="CU1882" s="496" t="s">
        <v>1087</v>
      </c>
      <c r="CV1882" s="497" t="s">
        <v>1088</v>
      </c>
      <c r="CX1882" s="543">
        <v>1</v>
      </c>
    </row>
    <row r="1883" spans="91:102" ht="21" customHeight="1">
      <c r="CM1883" s="494"/>
      <c r="CN1883" s="496" t="s">
        <v>4781</v>
      </c>
      <c r="CO1883" s="496" t="s">
        <v>241</v>
      </c>
      <c r="CP1883" s="496" t="s">
        <v>689</v>
      </c>
      <c r="CQ1883" s="496" t="s">
        <v>4782</v>
      </c>
      <c r="CR1883" s="496" t="s">
        <v>4782</v>
      </c>
      <c r="CS1883" s="496" t="s">
        <v>1085</v>
      </c>
      <c r="CT1883" s="496" t="s">
        <v>4779</v>
      </c>
      <c r="CU1883" s="496" t="s">
        <v>1087</v>
      </c>
      <c r="CV1883" s="497" t="s">
        <v>1088</v>
      </c>
      <c r="CX1883" s="543">
        <v>1</v>
      </c>
    </row>
    <row r="1884" spans="91:102" ht="21" customHeight="1">
      <c r="CM1884" s="494"/>
      <c r="CN1884" s="496" t="s">
        <v>4783</v>
      </c>
      <c r="CO1884" s="496" t="s">
        <v>241</v>
      </c>
      <c r="CP1884" s="496" t="s">
        <v>689</v>
      </c>
      <c r="CQ1884" s="496" t="s">
        <v>4784</v>
      </c>
      <c r="CR1884" s="496" t="s">
        <v>4784</v>
      </c>
      <c r="CS1884" s="496" t="s">
        <v>1085</v>
      </c>
      <c r="CT1884" s="496" t="s">
        <v>4779</v>
      </c>
      <c r="CU1884" s="496" t="s">
        <v>1087</v>
      </c>
      <c r="CV1884" s="497" t="s">
        <v>1088</v>
      </c>
      <c r="CX1884" s="543">
        <v>1</v>
      </c>
    </row>
    <row r="1885" spans="91:102" ht="21" customHeight="1">
      <c r="CM1885" s="494"/>
      <c r="CN1885" s="496" t="s">
        <v>4785</v>
      </c>
      <c r="CO1885" s="496" t="s">
        <v>241</v>
      </c>
      <c r="CP1885" s="496" t="s">
        <v>689</v>
      </c>
      <c r="CQ1885" s="496" t="s">
        <v>295</v>
      </c>
      <c r="CR1885" s="496" t="s">
        <v>295</v>
      </c>
      <c r="CS1885" s="496" t="s">
        <v>1151</v>
      </c>
      <c r="CT1885" s="496" t="s">
        <v>1152</v>
      </c>
      <c r="CU1885" s="496" t="s">
        <v>1087</v>
      </c>
      <c r="CV1885" s="497" t="s">
        <v>1153</v>
      </c>
      <c r="CX1885" s="543">
        <v>1</v>
      </c>
    </row>
    <row r="1886" spans="91:102" ht="21" customHeight="1">
      <c r="CM1886" s="494"/>
      <c r="CN1886" s="496" t="s">
        <v>4786</v>
      </c>
      <c r="CO1886" s="496" t="s">
        <v>241</v>
      </c>
      <c r="CP1886" s="496" t="s">
        <v>689</v>
      </c>
      <c r="CQ1886" s="496" t="s">
        <v>4787</v>
      </c>
      <c r="CR1886" s="496" t="s">
        <v>4787</v>
      </c>
      <c r="CS1886" s="496" t="s">
        <v>1151</v>
      </c>
      <c r="CT1886" s="496" t="s">
        <v>1152</v>
      </c>
      <c r="CU1886" s="496" t="s">
        <v>1087</v>
      </c>
      <c r="CV1886" s="497" t="s">
        <v>1153</v>
      </c>
      <c r="CX1886" s="543">
        <v>1</v>
      </c>
    </row>
    <row r="1887" spans="91:102" ht="21" customHeight="1">
      <c r="CM1887" s="494"/>
      <c r="CN1887" s="496" t="s">
        <v>4788</v>
      </c>
      <c r="CO1887" s="496" t="s">
        <v>241</v>
      </c>
      <c r="CP1887" s="496" t="s">
        <v>689</v>
      </c>
      <c r="CQ1887" s="496" t="s">
        <v>97</v>
      </c>
      <c r="CR1887" s="496" t="s">
        <v>97</v>
      </c>
      <c r="CS1887" s="496" t="s">
        <v>1085</v>
      </c>
      <c r="CT1887" s="496" t="s">
        <v>4779</v>
      </c>
      <c r="CU1887" s="496" t="s">
        <v>1087</v>
      </c>
      <c r="CV1887" s="497" t="s">
        <v>1088</v>
      </c>
      <c r="CX1887" s="543">
        <v>1</v>
      </c>
    </row>
    <row r="1888" spans="91:102" ht="21" customHeight="1">
      <c r="CM1888" s="494"/>
      <c r="CN1888" s="496" t="s">
        <v>4789</v>
      </c>
      <c r="CO1888" s="496" t="s">
        <v>241</v>
      </c>
      <c r="CP1888" s="496" t="s">
        <v>689</v>
      </c>
      <c r="CQ1888" s="496" t="s">
        <v>112</v>
      </c>
      <c r="CR1888" s="496" t="s">
        <v>112</v>
      </c>
      <c r="CS1888" s="496" t="s">
        <v>1085</v>
      </c>
      <c r="CT1888" s="496" t="s">
        <v>4779</v>
      </c>
      <c r="CU1888" s="496" t="s">
        <v>1087</v>
      </c>
      <c r="CV1888" s="497" t="s">
        <v>1088</v>
      </c>
      <c r="CX1888" s="543">
        <v>1</v>
      </c>
    </row>
    <row r="1889" spans="91:102" ht="21" customHeight="1">
      <c r="CM1889" s="494"/>
      <c r="CN1889" s="496" t="s">
        <v>4790</v>
      </c>
      <c r="CO1889" s="496" t="s">
        <v>241</v>
      </c>
      <c r="CP1889" s="496" t="s">
        <v>689</v>
      </c>
      <c r="CQ1889" s="496" t="s">
        <v>296</v>
      </c>
      <c r="CR1889" s="496" t="s">
        <v>296</v>
      </c>
      <c r="CS1889" s="496" t="s">
        <v>1151</v>
      </c>
      <c r="CT1889" s="496" t="s">
        <v>1152</v>
      </c>
      <c r="CU1889" s="496" t="s">
        <v>1087</v>
      </c>
      <c r="CV1889" s="497" t="s">
        <v>1153</v>
      </c>
      <c r="CX1889" s="543">
        <v>1</v>
      </c>
    </row>
    <row r="1890" spans="91:102" ht="21" customHeight="1">
      <c r="CM1890" s="494"/>
      <c r="CN1890" s="496" t="s">
        <v>4791</v>
      </c>
      <c r="CO1890" s="496" t="s">
        <v>241</v>
      </c>
      <c r="CP1890" s="496" t="s">
        <v>689</v>
      </c>
      <c r="CQ1890" s="496" t="s">
        <v>4792</v>
      </c>
      <c r="CR1890" s="496" t="s">
        <v>4792</v>
      </c>
      <c r="CS1890" s="496" t="s">
        <v>1151</v>
      </c>
      <c r="CT1890" s="496" t="s">
        <v>1152</v>
      </c>
      <c r="CU1890" s="496" t="s">
        <v>1087</v>
      </c>
      <c r="CV1890" s="497" t="s">
        <v>1153</v>
      </c>
      <c r="CX1890" s="543">
        <v>1</v>
      </c>
    </row>
    <row r="1891" spans="91:102" ht="21" customHeight="1">
      <c r="CM1891" s="494"/>
      <c r="CN1891" s="496" t="s">
        <v>4793</v>
      </c>
      <c r="CO1891" s="496" t="s">
        <v>241</v>
      </c>
      <c r="CP1891" s="496" t="s">
        <v>689</v>
      </c>
      <c r="CQ1891" s="496" t="s">
        <v>4794</v>
      </c>
      <c r="CR1891" s="496" t="s">
        <v>4794</v>
      </c>
      <c r="CS1891" s="496" t="s">
        <v>1085</v>
      </c>
      <c r="CT1891" s="496" t="s">
        <v>4779</v>
      </c>
      <c r="CU1891" s="496" t="s">
        <v>1087</v>
      </c>
      <c r="CV1891" s="497" t="s">
        <v>1088</v>
      </c>
      <c r="CX1891" s="543">
        <v>1</v>
      </c>
    </row>
    <row r="1892" spans="91:102" ht="21" customHeight="1">
      <c r="CM1892" s="494"/>
      <c r="CN1892" s="496" t="s">
        <v>4795</v>
      </c>
      <c r="CO1892" s="496" t="s">
        <v>241</v>
      </c>
      <c r="CP1892" s="496" t="s">
        <v>689</v>
      </c>
      <c r="CQ1892" s="496" t="s">
        <v>4796</v>
      </c>
      <c r="CR1892" s="496" t="s">
        <v>4796</v>
      </c>
      <c r="CS1892" s="496" t="s">
        <v>1085</v>
      </c>
      <c r="CT1892" s="496" t="s">
        <v>4779</v>
      </c>
      <c r="CU1892" s="496" t="s">
        <v>1087</v>
      </c>
      <c r="CV1892" s="497" t="s">
        <v>1088</v>
      </c>
      <c r="CX1892" s="543">
        <v>1</v>
      </c>
    </row>
    <row r="1893" spans="91:102" ht="21" customHeight="1">
      <c r="CM1893" s="494"/>
      <c r="CN1893" s="496" t="s">
        <v>4797</v>
      </c>
      <c r="CO1893" s="496" t="s">
        <v>241</v>
      </c>
      <c r="CP1893" s="496" t="s">
        <v>689</v>
      </c>
      <c r="CQ1893" s="496" t="s">
        <v>706</v>
      </c>
      <c r="CR1893" s="496" t="s">
        <v>706</v>
      </c>
      <c r="CS1893" s="496" t="s">
        <v>1085</v>
      </c>
      <c r="CT1893" s="496" t="s">
        <v>4779</v>
      </c>
      <c r="CU1893" s="496" t="s">
        <v>1087</v>
      </c>
      <c r="CV1893" s="497" t="s">
        <v>1088</v>
      </c>
      <c r="CX1893" s="543">
        <v>1</v>
      </c>
    </row>
    <row r="1894" spans="91:102" ht="21" customHeight="1">
      <c r="CM1894" s="494"/>
      <c r="CN1894" s="496" t="s">
        <v>4798</v>
      </c>
      <c r="CO1894" s="496" t="s">
        <v>241</v>
      </c>
      <c r="CP1894" s="496" t="s">
        <v>689</v>
      </c>
      <c r="CQ1894" s="496" t="s">
        <v>705</v>
      </c>
      <c r="CR1894" s="496" t="s">
        <v>705</v>
      </c>
      <c r="CS1894" s="496" t="s">
        <v>1085</v>
      </c>
      <c r="CT1894" s="496" t="s">
        <v>4779</v>
      </c>
      <c r="CU1894" s="496" t="s">
        <v>1087</v>
      </c>
      <c r="CV1894" s="497" t="s">
        <v>1088</v>
      </c>
      <c r="CX1894" s="543">
        <v>1</v>
      </c>
    </row>
    <row r="1895" spans="91:102" ht="21" customHeight="1">
      <c r="CM1895" s="494"/>
      <c r="CN1895" s="496" t="s">
        <v>4799</v>
      </c>
      <c r="CO1895" s="496" t="s">
        <v>241</v>
      </c>
      <c r="CP1895" s="496" t="s">
        <v>689</v>
      </c>
      <c r="CQ1895" s="496" t="s">
        <v>878</v>
      </c>
      <c r="CR1895" s="496" t="s">
        <v>878</v>
      </c>
      <c r="CS1895" s="496" t="s">
        <v>1085</v>
      </c>
      <c r="CT1895" s="496" t="s">
        <v>4779</v>
      </c>
      <c r="CU1895" s="496" t="s">
        <v>1087</v>
      </c>
      <c r="CV1895" s="497" t="s">
        <v>1088</v>
      </c>
      <c r="CX1895" s="543">
        <v>1</v>
      </c>
    </row>
    <row r="1896" spans="91:102" ht="21" customHeight="1">
      <c r="CM1896" s="494"/>
      <c r="CN1896" s="496" t="s">
        <v>4800</v>
      </c>
      <c r="CO1896" s="496" t="s">
        <v>241</v>
      </c>
      <c r="CP1896" s="496" t="s">
        <v>689</v>
      </c>
      <c r="CQ1896" s="496" t="s">
        <v>297</v>
      </c>
      <c r="CR1896" s="496" t="s">
        <v>297</v>
      </c>
      <c r="CS1896" s="496" t="s">
        <v>1085</v>
      </c>
      <c r="CT1896" s="496" t="s">
        <v>4779</v>
      </c>
      <c r="CU1896" s="496" t="s">
        <v>1087</v>
      </c>
      <c r="CV1896" s="497" t="s">
        <v>1088</v>
      </c>
      <c r="CX1896" s="543">
        <v>1</v>
      </c>
    </row>
    <row r="1897" spans="91:102" ht="21" customHeight="1">
      <c r="CM1897" s="494"/>
      <c r="CN1897" s="496" t="s">
        <v>4801</v>
      </c>
      <c r="CO1897" s="496" t="s">
        <v>241</v>
      </c>
      <c r="CP1897" s="496" t="s">
        <v>689</v>
      </c>
      <c r="CQ1897" s="496" t="s">
        <v>298</v>
      </c>
      <c r="CR1897" s="496" t="s">
        <v>298</v>
      </c>
      <c r="CS1897" s="496" t="s">
        <v>1151</v>
      </c>
      <c r="CT1897" s="496" t="s">
        <v>1152</v>
      </c>
      <c r="CU1897" s="496" t="s">
        <v>1087</v>
      </c>
      <c r="CV1897" s="497" t="s">
        <v>1153</v>
      </c>
      <c r="CX1897" s="543">
        <v>1</v>
      </c>
    </row>
    <row r="1898" spans="91:102" ht="21" customHeight="1">
      <c r="CM1898" s="494"/>
      <c r="CN1898" s="496" t="s">
        <v>4802</v>
      </c>
      <c r="CO1898" s="496" t="s">
        <v>241</v>
      </c>
      <c r="CP1898" s="496" t="s">
        <v>689</v>
      </c>
      <c r="CQ1898" s="496" t="s">
        <v>4803</v>
      </c>
      <c r="CR1898" s="496" t="s">
        <v>4803</v>
      </c>
      <c r="CS1898" s="496" t="s">
        <v>1151</v>
      </c>
      <c r="CT1898" s="496" t="s">
        <v>1152</v>
      </c>
      <c r="CU1898" s="496" t="s">
        <v>1087</v>
      </c>
      <c r="CV1898" s="497" t="s">
        <v>1153</v>
      </c>
      <c r="CX1898" s="543">
        <v>1</v>
      </c>
    </row>
    <row r="1899" spans="91:102" ht="21" customHeight="1">
      <c r="CM1899" s="494"/>
      <c r="CN1899" s="496" t="s">
        <v>4804</v>
      </c>
      <c r="CO1899" s="496" t="s">
        <v>241</v>
      </c>
      <c r="CP1899" s="496" t="s">
        <v>689</v>
      </c>
      <c r="CQ1899" s="496" t="s">
        <v>4805</v>
      </c>
      <c r="CR1899" s="496" t="s">
        <v>4805</v>
      </c>
      <c r="CS1899" s="496" t="s">
        <v>1085</v>
      </c>
      <c r="CT1899" s="496" t="s">
        <v>4779</v>
      </c>
      <c r="CU1899" s="496" t="s">
        <v>1087</v>
      </c>
      <c r="CV1899" s="497" t="s">
        <v>1088</v>
      </c>
      <c r="CX1899" s="543">
        <v>1</v>
      </c>
    </row>
    <row r="1900" spans="91:102" ht="21" customHeight="1">
      <c r="CM1900" s="494"/>
      <c r="CN1900" s="496" t="s">
        <v>4806</v>
      </c>
      <c r="CO1900" s="496" t="s">
        <v>241</v>
      </c>
      <c r="CP1900" s="496" t="s">
        <v>689</v>
      </c>
      <c r="CQ1900" s="496" t="s">
        <v>4807</v>
      </c>
      <c r="CR1900" s="496" t="s">
        <v>4807</v>
      </c>
      <c r="CS1900" s="496" t="s">
        <v>1085</v>
      </c>
      <c r="CT1900" s="496" t="s">
        <v>4779</v>
      </c>
      <c r="CU1900" s="496" t="s">
        <v>1087</v>
      </c>
      <c r="CV1900" s="497" t="s">
        <v>1088</v>
      </c>
      <c r="CX1900" s="543">
        <v>1</v>
      </c>
    </row>
    <row r="1901" spans="91:102" ht="21" customHeight="1">
      <c r="CM1901" s="494"/>
      <c r="CN1901" s="496" t="s">
        <v>4808</v>
      </c>
      <c r="CO1901" s="496" t="s">
        <v>241</v>
      </c>
      <c r="CP1901" s="496" t="s">
        <v>689</v>
      </c>
      <c r="CQ1901" s="496" t="s">
        <v>147</v>
      </c>
      <c r="CR1901" s="496" t="s">
        <v>147</v>
      </c>
      <c r="CS1901" s="496" t="s">
        <v>1085</v>
      </c>
      <c r="CT1901" s="496" t="s">
        <v>4779</v>
      </c>
      <c r="CU1901" s="496" t="s">
        <v>1087</v>
      </c>
      <c r="CV1901" s="497" t="s">
        <v>1088</v>
      </c>
      <c r="CX1901" s="543">
        <v>1</v>
      </c>
    </row>
    <row r="1902" spans="91:102" ht="21" customHeight="1">
      <c r="CM1902" s="494"/>
      <c r="CN1902" s="496" t="s">
        <v>4809</v>
      </c>
      <c r="CO1902" s="496" t="s">
        <v>241</v>
      </c>
      <c r="CP1902" s="496" t="s">
        <v>689</v>
      </c>
      <c r="CQ1902" s="496" t="s">
        <v>181</v>
      </c>
      <c r="CR1902" s="496" t="s">
        <v>181</v>
      </c>
      <c r="CS1902" s="496" t="s">
        <v>1085</v>
      </c>
      <c r="CT1902" s="496" t="s">
        <v>4779</v>
      </c>
      <c r="CU1902" s="496" t="s">
        <v>1087</v>
      </c>
      <c r="CV1902" s="497" t="s">
        <v>1088</v>
      </c>
      <c r="CX1902" s="543">
        <v>1</v>
      </c>
    </row>
    <row r="1903" spans="91:102" ht="21" customHeight="1">
      <c r="CM1903" s="494"/>
      <c r="CN1903" s="496" t="s">
        <v>4810</v>
      </c>
      <c r="CO1903" s="496" t="s">
        <v>241</v>
      </c>
      <c r="CP1903" s="496" t="s">
        <v>689</v>
      </c>
      <c r="CQ1903" s="496" t="s">
        <v>190</v>
      </c>
      <c r="CR1903" s="496" t="s">
        <v>190</v>
      </c>
      <c r="CS1903" s="496" t="s">
        <v>1085</v>
      </c>
      <c r="CT1903" s="496" t="s">
        <v>4779</v>
      </c>
      <c r="CU1903" s="496" t="s">
        <v>1087</v>
      </c>
      <c r="CV1903" s="497" t="s">
        <v>1088</v>
      </c>
      <c r="CX1903" s="543">
        <v>1</v>
      </c>
    </row>
    <row r="1904" spans="91:102" ht="21" customHeight="1">
      <c r="CM1904" s="494"/>
      <c r="CN1904" s="496" t="s">
        <v>4811</v>
      </c>
      <c r="CO1904" s="496" t="s">
        <v>241</v>
      </c>
      <c r="CP1904" s="496" t="s">
        <v>689</v>
      </c>
      <c r="CQ1904" s="496" t="s">
        <v>4812</v>
      </c>
      <c r="CR1904" s="496" t="s">
        <v>4812</v>
      </c>
      <c r="CS1904" s="496" t="s">
        <v>1151</v>
      </c>
      <c r="CT1904" s="496" t="s">
        <v>1152</v>
      </c>
      <c r="CU1904" s="496" t="s">
        <v>1087</v>
      </c>
      <c r="CV1904" s="497" t="s">
        <v>1153</v>
      </c>
      <c r="CX1904" s="543">
        <v>1</v>
      </c>
    </row>
    <row r="1905" spans="91:102" ht="21" customHeight="1">
      <c r="CM1905" s="494"/>
      <c r="CN1905" s="496" t="s">
        <v>4813</v>
      </c>
      <c r="CO1905" s="496" t="s">
        <v>241</v>
      </c>
      <c r="CP1905" s="496" t="s">
        <v>689</v>
      </c>
      <c r="CQ1905" s="496" t="s">
        <v>4814</v>
      </c>
      <c r="CR1905" s="496" t="s">
        <v>4814</v>
      </c>
      <c r="CS1905" s="496" t="s">
        <v>1151</v>
      </c>
      <c r="CT1905" s="496" t="s">
        <v>1152</v>
      </c>
      <c r="CU1905" s="496" t="s">
        <v>1087</v>
      </c>
      <c r="CV1905" s="497" t="s">
        <v>1153</v>
      </c>
      <c r="CX1905" s="543">
        <v>1</v>
      </c>
    </row>
    <row r="1906" spans="91:102" ht="21" customHeight="1">
      <c r="CM1906" s="494"/>
      <c r="CN1906" s="496" t="s">
        <v>4815</v>
      </c>
      <c r="CO1906" s="496" t="s">
        <v>241</v>
      </c>
      <c r="CP1906" s="496" t="s">
        <v>689</v>
      </c>
      <c r="CQ1906" s="496" t="s">
        <v>300</v>
      </c>
      <c r="CR1906" s="496" t="s">
        <v>300</v>
      </c>
      <c r="CS1906" s="496" t="s">
        <v>1085</v>
      </c>
      <c r="CT1906" s="496" t="s">
        <v>4779</v>
      </c>
      <c r="CU1906" s="496" t="s">
        <v>1087</v>
      </c>
      <c r="CV1906" s="497" t="s">
        <v>1088</v>
      </c>
      <c r="CX1906" s="543">
        <v>1</v>
      </c>
    </row>
    <row r="1907" spans="91:102" ht="21" customHeight="1">
      <c r="CM1907" s="494"/>
      <c r="CN1907" s="496" t="s">
        <v>4816</v>
      </c>
      <c r="CO1907" s="496" t="s">
        <v>241</v>
      </c>
      <c r="CP1907" s="496" t="s">
        <v>689</v>
      </c>
      <c r="CQ1907" s="496" t="s">
        <v>4817</v>
      </c>
      <c r="CR1907" s="496" t="s">
        <v>4817</v>
      </c>
      <c r="CS1907" s="496" t="s">
        <v>1085</v>
      </c>
      <c r="CT1907" s="496" t="s">
        <v>4779</v>
      </c>
      <c r="CU1907" s="496" t="s">
        <v>1087</v>
      </c>
      <c r="CV1907" s="497" t="s">
        <v>1088</v>
      </c>
      <c r="CX1907" s="543">
        <v>1</v>
      </c>
    </row>
    <row r="1908" spans="91:102" ht="21" customHeight="1">
      <c r="CM1908" s="494"/>
      <c r="CN1908" s="496" t="s">
        <v>4818</v>
      </c>
      <c r="CO1908" s="496" t="s">
        <v>241</v>
      </c>
      <c r="CP1908" s="496" t="s">
        <v>689</v>
      </c>
      <c r="CQ1908" s="496" t="s">
        <v>196</v>
      </c>
      <c r="CR1908" s="496" t="s">
        <v>196</v>
      </c>
      <c r="CS1908" s="496" t="s">
        <v>1085</v>
      </c>
      <c r="CT1908" s="496" t="s">
        <v>4779</v>
      </c>
      <c r="CU1908" s="496" t="s">
        <v>1087</v>
      </c>
      <c r="CV1908" s="497" t="s">
        <v>1088</v>
      </c>
      <c r="CX1908" s="543">
        <v>1</v>
      </c>
    </row>
    <row r="1909" spans="91:102" ht="21" customHeight="1">
      <c r="CM1909" s="494"/>
      <c r="CN1909" s="496" t="s">
        <v>4819</v>
      </c>
      <c r="CO1909" s="496" t="s">
        <v>241</v>
      </c>
      <c r="CP1909" s="496" t="s">
        <v>689</v>
      </c>
      <c r="CQ1909" s="496" t="s">
        <v>200</v>
      </c>
      <c r="CR1909" s="496" t="s">
        <v>200</v>
      </c>
      <c r="CS1909" s="496" t="s">
        <v>1085</v>
      </c>
      <c r="CT1909" s="496" t="s">
        <v>4779</v>
      </c>
      <c r="CU1909" s="496" t="s">
        <v>1087</v>
      </c>
      <c r="CV1909" s="497" t="s">
        <v>1088</v>
      </c>
      <c r="CX1909" s="543">
        <v>1</v>
      </c>
    </row>
    <row r="1910" spans="91:102" ht="21" customHeight="1">
      <c r="CM1910" s="494"/>
      <c r="CN1910" s="496" t="s">
        <v>4820</v>
      </c>
      <c r="CO1910" s="496" t="s">
        <v>241</v>
      </c>
      <c r="CP1910" s="496" t="s">
        <v>689</v>
      </c>
      <c r="CQ1910" s="496" t="s">
        <v>203</v>
      </c>
      <c r="CR1910" s="496" t="s">
        <v>203</v>
      </c>
      <c r="CS1910" s="496" t="s">
        <v>1085</v>
      </c>
      <c r="CT1910" s="496" t="s">
        <v>4779</v>
      </c>
      <c r="CU1910" s="496" t="s">
        <v>1087</v>
      </c>
      <c r="CV1910" s="497" t="s">
        <v>1088</v>
      </c>
      <c r="CX1910" s="543">
        <v>1</v>
      </c>
    </row>
    <row r="1911" spans="91:102" ht="21" customHeight="1">
      <c r="CM1911" s="494"/>
      <c r="CN1911" s="496" t="s">
        <v>4821</v>
      </c>
      <c r="CO1911" s="496" t="s">
        <v>241</v>
      </c>
      <c r="CP1911" s="496" t="s">
        <v>689</v>
      </c>
      <c r="CQ1911" s="496" t="s">
        <v>206</v>
      </c>
      <c r="CR1911" s="496" t="s">
        <v>206</v>
      </c>
      <c r="CS1911" s="496" t="s">
        <v>1085</v>
      </c>
      <c r="CT1911" s="496" t="s">
        <v>4779</v>
      </c>
      <c r="CU1911" s="496" t="s">
        <v>1087</v>
      </c>
      <c r="CV1911" s="497" t="s">
        <v>1088</v>
      </c>
      <c r="CX1911" s="543">
        <v>1</v>
      </c>
    </row>
    <row r="1912" spans="91:102" ht="21" customHeight="1">
      <c r="CM1912" s="494"/>
      <c r="CN1912" s="496" t="s">
        <v>4822</v>
      </c>
      <c r="CO1912" s="496" t="s">
        <v>241</v>
      </c>
      <c r="CP1912" s="496" t="s">
        <v>689</v>
      </c>
      <c r="CQ1912" s="496" t="s">
        <v>209</v>
      </c>
      <c r="CR1912" s="496" t="s">
        <v>209</v>
      </c>
      <c r="CS1912" s="496" t="s">
        <v>1085</v>
      </c>
      <c r="CT1912" s="496" t="s">
        <v>4779</v>
      </c>
      <c r="CU1912" s="496" t="s">
        <v>1087</v>
      </c>
      <c r="CV1912" s="497" t="s">
        <v>1088</v>
      </c>
      <c r="CX1912" s="543">
        <v>1</v>
      </c>
    </row>
    <row r="1913" spans="91:102" ht="21" customHeight="1">
      <c r="CM1913" s="494"/>
      <c r="CN1913" s="496" t="s">
        <v>4823</v>
      </c>
      <c r="CO1913" s="496" t="s">
        <v>241</v>
      </c>
      <c r="CP1913" s="496" t="s">
        <v>689</v>
      </c>
      <c r="CQ1913" s="496" t="s">
        <v>301</v>
      </c>
      <c r="CR1913" s="496" t="s">
        <v>212</v>
      </c>
      <c r="CS1913" s="496" t="s">
        <v>1085</v>
      </c>
      <c r="CT1913" s="496" t="s">
        <v>4779</v>
      </c>
      <c r="CU1913" s="496" t="s">
        <v>1087</v>
      </c>
      <c r="CV1913" s="497" t="s">
        <v>1088</v>
      </c>
      <c r="CX1913" s="543">
        <v>1</v>
      </c>
    </row>
    <row r="1914" spans="91:102" ht="21" customHeight="1">
      <c r="CM1914" s="494"/>
      <c r="CN1914" s="496" t="s">
        <v>4824</v>
      </c>
      <c r="CO1914" s="496" t="s">
        <v>241</v>
      </c>
      <c r="CP1914" s="496" t="s">
        <v>689</v>
      </c>
      <c r="CQ1914" s="496" t="s">
        <v>4825</v>
      </c>
      <c r="CR1914" s="496" t="s">
        <v>213</v>
      </c>
      <c r="CS1914" s="496" t="s">
        <v>1085</v>
      </c>
      <c r="CT1914" s="496" t="s">
        <v>4779</v>
      </c>
      <c r="CU1914" s="496" t="s">
        <v>1087</v>
      </c>
      <c r="CV1914" s="497" t="s">
        <v>1088</v>
      </c>
      <c r="CX1914" s="543">
        <v>1</v>
      </c>
    </row>
    <row r="1915" spans="91:102" ht="21" customHeight="1">
      <c r="CM1915" s="494"/>
      <c r="CN1915" s="496" t="s">
        <v>4826</v>
      </c>
      <c r="CO1915" s="496" t="s">
        <v>241</v>
      </c>
      <c r="CP1915" s="496" t="s">
        <v>689</v>
      </c>
      <c r="CQ1915" s="496" t="s">
        <v>215</v>
      </c>
      <c r="CR1915" s="496" t="s">
        <v>215</v>
      </c>
      <c r="CS1915" s="496" t="s">
        <v>1085</v>
      </c>
      <c r="CT1915" s="496" t="s">
        <v>4779</v>
      </c>
      <c r="CU1915" s="496" t="s">
        <v>1087</v>
      </c>
      <c r="CV1915" s="497" t="s">
        <v>1088</v>
      </c>
      <c r="CX1915" s="543">
        <v>1</v>
      </c>
    </row>
    <row r="1916" spans="91:102" ht="21" customHeight="1">
      <c r="CM1916" s="494"/>
      <c r="CN1916" s="496" t="s">
        <v>4827</v>
      </c>
      <c r="CO1916" s="496" t="s">
        <v>241</v>
      </c>
      <c r="CP1916" s="496" t="s">
        <v>689</v>
      </c>
      <c r="CQ1916" s="496" t="s">
        <v>302</v>
      </c>
      <c r="CR1916" s="496" t="s">
        <v>302</v>
      </c>
      <c r="CS1916" s="496" t="s">
        <v>1085</v>
      </c>
      <c r="CT1916" s="496" t="s">
        <v>4779</v>
      </c>
      <c r="CU1916" s="496" t="s">
        <v>1087</v>
      </c>
      <c r="CV1916" s="497" t="s">
        <v>1088</v>
      </c>
      <c r="CX1916" s="543">
        <v>1</v>
      </c>
    </row>
    <row r="1917" spans="91:102" ht="21" customHeight="1">
      <c r="CM1917" s="494"/>
      <c r="CN1917" s="496" t="s">
        <v>4828</v>
      </c>
      <c r="CO1917" s="496" t="s">
        <v>241</v>
      </c>
      <c r="CP1917" s="496" t="s">
        <v>689</v>
      </c>
      <c r="CQ1917" s="496" t="s">
        <v>4829</v>
      </c>
      <c r="CR1917" s="496" t="s">
        <v>4829</v>
      </c>
      <c r="CS1917" s="496" t="s">
        <v>1085</v>
      </c>
      <c r="CT1917" s="496" t="s">
        <v>4779</v>
      </c>
      <c r="CU1917" s="496" t="s">
        <v>1087</v>
      </c>
      <c r="CV1917" s="497" t="s">
        <v>1088</v>
      </c>
      <c r="CX1917" s="543">
        <v>1</v>
      </c>
    </row>
    <row r="1918" spans="91:102" ht="21" customHeight="1">
      <c r="CM1918" s="494"/>
      <c r="CN1918" s="496" t="s">
        <v>4830</v>
      </c>
      <c r="CO1918" s="496" t="s">
        <v>241</v>
      </c>
      <c r="CP1918" s="496" t="s">
        <v>689</v>
      </c>
      <c r="CQ1918" s="496" t="s">
        <v>4831</v>
      </c>
      <c r="CR1918" s="496" t="s">
        <v>4831</v>
      </c>
      <c r="CS1918" s="496" t="s">
        <v>1085</v>
      </c>
      <c r="CT1918" s="496" t="s">
        <v>4779</v>
      </c>
      <c r="CU1918" s="496" t="s">
        <v>1087</v>
      </c>
      <c r="CV1918" s="497" t="s">
        <v>1088</v>
      </c>
      <c r="CX1918" s="543">
        <v>1</v>
      </c>
    </row>
    <row r="1919" spans="91:102" ht="21" customHeight="1">
      <c r="CM1919" s="494"/>
      <c r="CN1919" s="496" t="s">
        <v>4832</v>
      </c>
      <c r="CO1919" s="496" t="s">
        <v>241</v>
      </c>
      <c r="CP1919" s="496" t="s">
        <v>689</v>
      </c>
      <c r="CQ1919" s="496" t="s">
        <v>4833</v>
      </c>
      <c r="CR1919" s="496" t="s">
        <v>303</v>
      </c>
      <c r="CS1919" s="496" t="s">
        <v>1085</v>
      </c>
      <c r="CT1919" s="496" t="s">
        <v>4779</v>
      </c>
      <c r="CU1919" s="496" t="s">
        <v>1087</v>
      </c>
      <c r="CV1919" s="497" t="s">
        <v>1088</v>
      </c>
      <c r="CX1919" s="543">
        <v>1</v>
      </c>
    </row>
    <row r="1920" spans="91:102" ht="21" customHeight="1">
      <c r="CM1920" s="494"/>
      <c r="CN1920" s="496" t="s">
        <v>4834</v>
      </c>
      <c r="CO1920" s="496" t="s">
        <v>241</v>
      </c>
      <c r="CP1920" s="496" t="s">
        <v>689</v>
      </c>
      <c r="CQ1920" s="496" t="s">
        <v>4835</v>
      </c>
      <c r="CR1920" s="496" t="s">
        <v>217</v>
      </c>
      <c r="CS1920" s="496" t="s">
        <v>1085</v>
      </c>
      <c r="CT1920" s="496" t="s">
        <v>4779</v>
      </c>
      <c r="CU1920" s="496" t="s">
        <v>1087</v>
      </c>
      <c r="CV1920" s="497" t="s">
        <v>1088</v>
      </c>
      <c r="CX1920" s="543">
        <v>1</v>
      </c>
    </row>
    <row r="1921" spans="91:102" ht="21" customHeight="1">
      <c r="CM1921" s="494"/>
      <c r="CN1921" s="496" t="s">
        <v>4836</v>
      </c>
      <c r="CO1921" s="496" t="s">
        <v>241</v>
      </c>
      <c r="CP1921" s="496" t="s">
        <v>689</v>
      </c>
      <c r="CQ1921" s="496" t="s">
        <v>4837</v>
      </c>
      <c r="CR1921" s="496" t="s">
        <v>219</v>
      </c>
      <c r="CS1921" s="496" t="s">
        <v>1085</v>
      </c>
      <c r="CT1921" s="496" t="s">
        <v>4779</v>
      </c>
      <c r="CU1921" s="496" t="s">
        <v>1087</v>
      </c>
      <c r="CV1921" s="497" t="s">
        <v>1088</v>
      </c>
      <c r="CX1921" s="543">
        <v>1</v>
      </c>
    </row>
    <row r="1922" spans="91:102" ht="21" customHeight="1">
      <c r="CM1922" s="494"/>
      <c r="CN1922" s="496" t="s">
        <v>4838</v>
      </c>
      <c r="CO1922" s="496" t="s">
        <v>241</v>
      </c>
      <c r="CP1922" s="496" t="s">
        <v>689</v>
      </c>
      <c r="CQ1922" s="496" t="s">
        <v>221</v>
      </c>
      <c r="CR1922" s="496" t="s">
        <v>221</v>
      </c>
      <c r="CS1922" s="496" t="s">
        <v>1151</v>
      </c>
      <c r="CT1922" s="496" t="s">
        <v>1152</v>
      </c>
      <c r="CU1922" s="496" t="s">
        <v>1087</v>
      </c>
      <c r="CV1922" s="497" t="s">
        <v>1153</v>
      </c>
      <c r="CX1922" s="543">
        <v>1</v>
      </c>
    </row>
    <row r="1923" spans="91:102" ht="21" customHeight="1">
      <c r="CM1923" s="494"/>
      <c r="CN1923" s="496" t="s">
        <v>4839</v>
      </c>
      <c r="CO1923" s="496" t="s">
        <v>241</v>
      </c>
      <c r="CP1923" s="496" t="s">
        <v>689</v>
      </c>
      <c r="CQ1923" s="496" t="s">
        <v>222</v>
      </c>
      <c r="CR1923" s="496" t="s">
        <v>222</v>
      </c>
      <c r="CS1923" s="496" t="s">
        <v>1085</v>
      </c>
      <c r="CT1923" s="496" t="s">
        <v>4779</v>
      </c>
      <c r="CU1923" s="496" t="s">
        <v>1087</v>
      </c>
      <c r="CV1923" s="497" t="s">
        <v>1088</v>
      </c>
      <c r="CX1923" s="543">
        <v>1</v>
      </c>
    </row>
    <row r="1924" spans="91:102" ht="21" customHeight="1">
      <c r="CM1924" s="494"/>
      <c r="CN1924" s="496" t="s">
        <v>4840</v>
      </c>
      <c r="CO1924" s="496" t="s">
        <v>241</v>
      </c>
      <c r="CP1924" s="496" t="s">
        <v>689</v>
      </c>
      <c r="CQ1924" s="496" t="s">
        <v>223</v>
      </c>
      <c r="CR1924" s="496" t="s">
        <v>223</v>
      </c>
      <c r="CS1924" s="496" t="s">
        <v>1085</v>
      </c>
      <c r="CT1924" s="496" t="s">
        <v>4779</v>
      </c>
      <c r="CU1924" s="496" t="s">
        <v>1087</v>
      </c>
      <c r="CV1924" s="497" t="s">
        <v>1088</v>
      </c>
      <c r="CX1924" s="543">
        <v>1</v>
      </c>
    </row>
    <row r="1925" spans="91:102" ht="21" customHeight="1">
      <c r="CM1925" s="494"/>
      <c r="CN1925" s="496" t="s">
        <v>4841</v>
      </c>
      <c r="CO1925" s="496" t="s">
        <v>241</v>
      </c>
      <c r="CP1925" s="496" t="s">
        <v>689</v>
      </c>
      <c r="CQ1925" s="496" t="s">
        <v>304</v>
      </c>
      <c r="CR1925" s="496" t="s">
        <v>304</v>
      </c>
      <c r="CS1925" s="496" t="s">
        <v>1151</v>
      </c>
      <c r="CT1925" s="496" t="s">
        <v>1152</v>
      </c>
      <c r="CU1925" s="496" t="s">
        <v>1087</v>
      </c>
      <c r="CV1925" s="497" t="s">
        <v>1153</v>
      </c>
      <c r="CX1925" s="543">
        <v>1</v>
      </c>
    </row>
    <row r="1926" spans="91:102" ht="21" customHeight="1">
      <c r="CM1926" s="494"/>
      <c r="CN1926" s="496" t="s">
        <v>4842</v>
      </c>
      <c r="CO1926" s="496" t="s">
        <v>241</v>
      </c>
      <c r="CP1926" s="496" t="s">
        <v>689</v>
      </c>
      <c r="CQ1926" s="496" t="s">
        <v>4843</v>
      </c>
      <c r="CR1926" s="496" t="s">
        <v>4843</v>
      </c>
      <c r="CS1926" s="496" t="s">
        <v>1151</v>
      </c>
      <c r="CT1926" s="496" t="s">
        <v>1152</v>
      </c>
      <c r="CU1926" s="496" t="s">
        <v>1087</v>
      </c>
      <c r="CV1926" s="497" t="s">
        <v>1153</v>
      </c>
      <c r="CX1926" s="543">
        <v>1</v>
      </c>
    </row>
    <row r="1927" spans="91:102" ht="21" customHeight="1">
      <c r="CM1927" s="494"/>
      <c r="CN1927" s="496" t="s">
        <v>4844</v>
      </c>
      <c r="CO1927" s="496" t="s">
        <v>241</v>
      </c>
      <c r="CP1927" s="496" t="s">
        <v>689</v>
      </c>
      <c r="CQ1927" s="496" t="s">
        <v>224</v>
      </c>
      <c r="CR1927" s="496" t="s">
        <v>224</v>
      </c>
      <c r="CS1927" s="496" t="s">
        <v>1085</v>
      </c>
      <c r="CT1927" s="496" t="s">
        <v>4779</v>
      </c>
      <c r="CU1927" s="496" t="s">
        <v>1087</v>
      </c>
      <c r="CV1927" s="497" t="s">
        <v>1088</v>
      </c>
      <c r="CX1927" s="543">
        <v>1</v>
      </c>
    </row>
    <row r="1928" spans="91:102" ht="21" customHeight="1">
      <c r="CM1928" s="494"/>
      <c r="CN1928" s="496" t="s">
        <v>4845</v>
      </c>
      <c r="CO1928" s="496" t="s">
        <v>241</v>
      </c>
      <c r="CP1928" s="496" t="s">
        <v>689</v>
      </c>
      <c r="CQ1928" s="496" t="s">
        <v>225</v>
      </c>
      <c r="CR1928" s="496" t="s">
        <v>225</v>
      </c>
      <c r="CS1928" s="496" t="s">
        <v>1085</v>
      </c>
      <c r="CT1928" s="496" t="s">
        <v>4779</v>
      </c>
      <c r="CU1928" s="496" t="s">
        <v>1087</v>
      </c>
      <c r="CV1928" s="497" t="s">
        <v>1088</v>
      </c>
      <c r="CX1928" s="543">
        <v>1</v>
      </c>
    </row>
    <row r="1929" spans="91:102" ht="21" customHeight="1">
      <c r="CM1929" s="494"/>
      <c r="CN1929" s="496" t="s">
        <v>4846</v>
      </c>
      <c r="CO1929" s="496" t="s">
        <v>241</v>
      </c>
      <c r="CP1929" s="496" t="s">
        <v>689</v>
      </c>
      <c r="CQ1929" s="496" t="s">
        <v>4847</v>
      </c>
      <c r="CR1929" s="496" t="s">
        <v>4847</v>
      </c>
      <c r="CS1929" s="496" t="s">
        <v>1085</v>
      </c>
      <c r="CT1929" s="496" t="s">
        <v>4779</v>
      </c>
      <c r="CU1929" s="496" t="s">
        <v>1087</v>
      </c>
      <c r="CV1929" s="497" t="s">
        <v>1088</v>
      </c>
      <c r="CX1929" s="543">
        <v>1</v>
      </c>
    </row>
    <row r="1930" spans="91:102" ht="21" customHeight="1">
      <c r="CM1930" s="494"/>
      <c r="CN1930" s="496" t="s">
        <v>4848</v>
      </c>
      <c r="CO1930" s="496" t="s">
        <v>241</v>
      </c>
      <c r="CP1930" s="496" t="s">
        <v>689</v>
      </c>
      <c r="CQ1930" s="496" t="s">
        <v>4849</v>
      </c>
      <c r="CR1930" s="496" t="s">
        <v>4849</v>
      </c>
      <c r="CS1930" s="496" t="s">
        <v>1085</v>
      </c>
      <c r="CT1930" s="496" t="s">
        <v>4779</v>
      </c>
      <c r="CU1930" s="496" t="s">
        <v>1087</v>
      </c>
      <c r="CV1930" s="497" t="s">
        <v>1088</v>
      </c>
      <c r="CX1930" s="543">
        <v>1</v>
      </c>
    </row>
    <row r="1931" spans="91:102" ht="21" customHeight="1">
      <c r="CM1931" s="494"/>
      <c r="CN1931" s="496" t="s">
        <v>4850</v>
      </c>
      <c r="CO1931" s="496" t="s">
        <v>241</v>
      </c>
      <c r="CP1931" s="496" t="s">
        <v>689</v>
      </c>
      <c r="CQ1931" s="496" t="s">
        <v>4851</v>
      </c>
      <c r="CR1931" s="496" t="s">
        <v>305</v>
      </c>
      <c r="CS1931" s="496" t="s">
        <v>1085</v>
      </c>
      <c r="CT1931" s="496" t="s">
        <v>4779</v>
      </c>
      <c r="CU1931" s="496" t="s">
        <v>1087</v>
      </c>
      <c r="CV1931" s="497" t="s">
        <v>1088</v>
      </c>
      <c r="CX1931" s="543">
        <v>1</v>
      </c>
    </row>
    <row r="1932" spans="91:102" ht="21" customHeight="1">
      <c r="CM1932" s="494"/>
      <c r="CN1932" s="496" t="s">
        <v>4852</v>
      </c>
      <c r="CO1932" s="496" t="s">
        <v>241</v>
      </c>
      <c r="CP1932" s="496" t="s">
        <v>689</v>
      </c>
      <c r="CQ1932" s="496" t="s">
        <v>4853</v>
      </c>
      <c r="CR1932" s="496" t="s">
        <v>4854</v>
      </c>
      <c r="CS1932" s="496" t="s">
        <v>1085</v>
      </c>
      <c r="CT1932" s="496" t="s">
        <v>4779</v>
      </c>
      <c r="CU1932" s="496" t="s">
        <v>1087</v>
      </c>
      <c r="CV1932" s="497" t="s">
        <v>1088</v>
      </c>
      <c r="CX1932" s="543">
        <v>1</v>
      </c>
    </row>
    <row r="1933" spans="91:102" ht="21" customHeight="1">
      <c r="CM1933" s="494"/>
      <c r="CN1933" s="496" t="s">
        <v>4855</v>
      </c>
      <c r="CO1933" s="496" t="s">
        <v>241</v>
      </c>
      <c r="CP1933" s="496" t="s">
        <v>689</v>
      </c>
      <c r="CQ1933" s="496" t="s">
        <v>4856</v>
      </c>
      <c r="CR1933" s="496" t="s">
        <v>4857</v>
      </c>
      <c r="CS1933" s="496" t="s">
        <v>1085</v>
      </c>
      <c r="CT1933" s="496" t="s">
        <v>4779</v>
      </c>
      <c r="CU1933" s="496" t="s">
        <v>1087</v>
      </c>
      <c r="CV1933" s="497" t="s">
        <v>1088</v>
      </c>
      <c r="CX1933" s="543">
        <v>1</v>
      </c>
    </row>
    <row r="1934" spans="91:102" ht="21" customHeight="1">
      <c r="CM1934" s="494"/>
      <c r="CN1934" s="496" t="s">
        <v>4858</v>
      </c>
      <c r="CO1934" s="496" t="s">
        <v>241</v>
      </c>
      <c r="CP1934" s="496" t="s">
        <v>689</v>
      </c>
      <c r="CQ1934" s="496" t="s">
        <v>4859</v>
      </c>
      <c r="CR1934" s="496" t="s">
        <v>4860</v>
      </c>
      <c r="CS1934" s="496" t="s">
        <v>1085</v>
      </c>
      <c r="CT1934" s="496" t="s">
        <v>4779</v>
      </c>
      <c r="CU1934" s="496" t="s">
        <v>1087</v>
      </c>
      <c r="CV1934" s="497" t="s">
        <v>1088</v>
      </c>
      <c r="CX1934" s="543">
        <v>1</v>
      </c>
    </row>
    <row r="1935" spans="91:102" ht="21" customHeight="1">
      <c r="CM1935" s="494"/>
      <c r="CN1935" s="496" t="s">
        <v>4861</v>
      </c>
      <c r="CO1935" s="496" t="s">
        <v>241</v>
      </c>
      <c r="CP1935" s="496" t="s">
        <v>689</v>
      </c>
      <c r="CQ1935" s="496" t="s">
        <v>306</v>
      </c>
      <c r="CR1935" s="496" t="s">
        <v>306</v>
      </c>
      <c r="CS1935" s="496" t="s">
        <v>1151</v>
      </c>
      <c r="CT1935" s="496" t="s">
        <v>1152</v>
      </c>
      <c r="CU1935" s="496" t="s">
        <v>1087</v>
      </c>
      <c r="CV1935" s="497" t="s">
        <v>1153</v>
      </c>
      <c r="CX1935" s="543">
        <v>1</v>
      </c>
    </row>
    <row r="1936" spans="91:102" ht="21" customHeight="1">
      <c r="CM1936" s="494"/>
      <c r="CN1936" s="496" t="s">
        <v>4862</v>
      </c>
      <c r="CO1936" s="496" t="s">
        <v>241</v>
      </c>
      <c r="CP1936" s="496" t="s">
        <v>689</v>
      </c>
      <c r="CQ1936" s="496" t="s">
        <v>4863</v>
      </c>
      <c r="CR1936" s="496" t="s">
        <v>4863</v>
      </c>
      <c r="CS1936" s="496" t="s">
        <v>1151</v>
      </c>
      <c r="CT1936" s="496" t="s">
        <v>1152</v>
      </c>
      <c r="CU1936" s="496" t="s">
        <v>1087</v>
      </c>
      <c r="CV1936" s="497" t="s">
        <v>1153</v>
      </c>
      <c r="CX1936" s="543">
        <v>1</v>
      </c>
    </row>
    <row r="1937" spans="91:102" ht="21" customHeight="1">
      <c r="CM1937" s="494"/>
      <c r="CN1937" s="496" t="s">
        <v>4864</v>
      </c>
      <c r="CO1937" s="496" t="s">
        <v>241</v>
      </c>
      <c r="CP1937" s="496" t="s">
        <v>690</v>
      </c>
      <c r="CQ1937" s="496" t="s">
        <v>998</v>
      </c>
      <c r="CR1937" s="496" t="s">
        <v>998</v>
      </c>
      <c r="CS1937" s="496" t="s">
        <v>1085</v>
      </c>
      <c r="CT1937" s="496" t="s">
        <v>4542</v>
      </c>
      <c r="CU1937" s="496" t="s">
        <v>1087</v>
      </c>
      <c r="CV1937" s="497" t="s">
        <v>1088</v>
      </c>
      <c r="CX1937" s="543">
        <v>1</v>
      </c>
    </row>
    <row r="1938" spans="91:102" ht="21" customHeight="1">
      <c r="CM1938" s="494"/>
      <c r="CN1938" s="496" t="s">
        <v>4865</v>
      </c>
      <c r="CO1938" s="496" t="s">
        <v>241</v>
      </c>
      <c r="CP1938" s="496" t="s">
        <v>690</v>
      </c>
      <c r="CQ1938" s="496" t="s">
        <v>999</v>
      </c>
      <c r="CR1938" s="496" t="s">
        <v>999</v>
      </c>
      <c r="CS1938" s="496" t="s">
        <v>1085</v>
      </c>
      <c r="CT1938" s="496" t="s">
        <v>4542</v>
      </c>
      <c r="CU1938" s="496" t="s">
        <v>1087</v>
      </c>
      <c r="CV1938" s="497" t="s">
        <v>1088</v>
      </c>
      <c r="CX1938" s="543">
        <v>1</v>
      </c>
    </row>
    <row r="1939" spans="91:102" ht="21" customHeight="1">
      <c r="CM1939" s="494"/>
      <c r="CN1939" s="496" t="s">
        <v>4866</v>
      </c>
      <c r="CO1939" s="496" t="s">
        <v>241</v>
      </c>
      <c r="CP1939" s="496" t="s">
        <v>690</v>
      </c>
      <c r="CQ1939" s="496" t="s">
        <v>4867</v>
      </c>
      <c r="CR1939" s="496" t="s">
        <v>98</v>
      </c>
      <c r="CS1939" s="496" t="s">
        <v>1085</v>
      </c>
      <c r="CT1939" s="496" t="s">
        <v>4542</v>
      </c>
      <c r="CU1939" s="496" t="s">
        <v>1087</v>
      </c>
      <c r="CV1939" s="497" t="s">
        <v>1088</v>
      </c>
      <c r="CX1939" s="543">
        <v>1</v>
      </c>
    </row>
    <row r="1940" spans="91:102" ht="21" customHeight="1">
      <c r="CM1940" s="494"/>
      <c r="CN1940" s="496" t="s">
        <v>4868</v>
      </c>
      <c r="CO1940" s="496" t="s">
        <v>241</v>
      </c>
      <c r="CP1940" s="496" t="s">
        <v>690</v>
      </c>
      <c r="CQ1940" s="496" t="s">
        <v>4869</v>
      </c>
      <c r="CR1940" s="496" t="s">
        <v>139</v>
      </c>
      <c r="CS1940" s="496" t="s">
        <v>1085</v>
      </c>
      <c r="CT1940" s="496" t="s">
        <v>4542</v>
      </c>
      <c r="CU1940" s="496" t="s">
        <v>1087</v>
      </c>
      <c r="CV1940" s="497" t="s">
        <v>1088</v>
      </c>
      <c r="CX1940" s="543">
        <v>1</v>
      </c>
    </row>
    <row r="1941" spans="91:102" ht="21" customHeight="1">
      <c r="CM1941" s="494"/>
      <c r="CN1941" s="496" t="s">
        <v>4870</v>
      </c>
      <c r="CO1941" s="496" t="s">
        <v>241</v>
      </c>
      <c r="CP1941" s="496" t="s">
        <v>690</v>
      </c>
      <c r="CQ1941" s="496" t="s">
        <v>4579</v>
      </c>
      <c r="CR1941" s="496" t="s">
        <v>79</v>
      </c>
      <c r="CS1941" s="496" t="s">
        <v>1085</v>
      </c>
      <c r="CT1941" s="496" t="s">
        <v>4542</v>
      </c>
      <c r="CU1941" s="496" t="s">
        <v>1087</v>
      </c>
      <c r="CV1941" s="497" t="s">
        <v>1088</v>
      </c>
      <c r="CX1941" s="543">
        <v>1</v>
      </c>
    </row>
    <row r="1942" spans="91:102" ht="21" customHeight="1">
      <c r="CM1942" s="494"/>
      <c r="CN1942" s="496" t="s">
        <v>4871</v>
      </c>
      <c r="CO1942" s="496" t="s">
        <v>241</v>
      </c>
      <c r="CP1942" s="496" t="s">
        <v>690</v>
      </c>
      <c r="CQ1942" s="496" t="s">
        <v>4872</v>
      </c>
      <c r="CR1942" s="496" t="s">
        <v>4872</v>
      </c>
      <c r="CS1942" s="496" t="s">
        <v>1085</v>
      </c>
      <c r="CT1942" s="496" t="s">
        <v>4542</v>
      </c>
      <c r="CU1942" s="496" t="s">
        <v>1087</v>
      </c>
      <c r="CV1942" s="497" t="s">
        <v>1088</v>
      </c>
      <c r="CX1942" s="543">
        <v>1</v>
      </c>
    </row>
    <row r="1943" spans="91:102" ht="21" customHeight="1">
      <c r="CM1943" s="494"/>
      <c r="CN1943" s="496" t="s">
        <v>4873</v>
      </c>
      <c r="CO1943" s="496" t="s">
        <v>241</v>
      </c>
      <c r="CP1943" s="496" t="s">
        <v>690</v>
      </c>
      <c r="CQ1943" s="496" t="s">
        <v>4874</v>
      </c>
      <c r="CR1943" s="496" t="s">
        <v>4874</v>
      </c>
      <c r="CS1943" s="496" t="s">
        <v>1085</v>
      </c>
      <c r="CT1943" s="496" t="s">
        <v>4542</v>
      </c>
      <c r="CU1943" s="496" t="s">
        <v>1087</v>
      </c>
      <c r="CV1943" s="497" t="s">
        <v>1088</v>
      </c>
      <c r="CX1943" s="543">
        <v>1</v>
      </c>
    </row>
    <row r="1944" spans="91:102" ht="21" customHeight="1">
      <c r="CM1944" s="494"/>
      <c r="CN1944" s="496" t="s">
        <v>4875</v>
      </c>
      <c r="CO1944" s="496" t="s">
        <v>241</v>
      </c>
      <c r="CP1944" s="496" t="s">
        <v>690</v>
      </c>
      <c r="CQ1944" s="496" t="s">
        <v>72</v>
      </c>
      <c r="CR1944" s="496" t="s">
        <v>72</v>
      </c>
      <c r="CS1944" s="496" t="s">
        <v>1085</v>
      </c>
      <c r="CT1944" s="496" t="s">
        <v>4542</v>
      </c>
      <c r="CU1944" s="496" t="s">
        <v>1087</v>
      </c>
      <c r="CV1944" s="497" t="s">
        <v>1088</v>
      </c>
      <c r="CX1944" s="543">
        <v>1</v>
      </c>
    </row>
    <row r="1945" spans="91:102" ht="21" customHeight="1">
      <c r="CM1945" s="494"/>
      <c r="CN1945" s="496" t="s">
        <v>4876</v>
      </c>
      <c r="CO1945" s="496" t="s">
        <v>241</v>
      </c>
      <c r="CP1945" s="496" t="s">
        <v>690</v>
      </c>
      <c r="CQ1945" s="496" t="s">
        <v>124</v>
      </c>
      <c r="CR1945" s="496" t="s">
        <v>124</v>
      </c>
      <c r="CS1945" s="496" t="s">
        <v>1085</v>
      </c>
      <c r="CT1945" s="496" t="s">
        <v>4542</v>
      </c>
      <c r="CU1945" s="496" t="s">
        <v>1087</v>
      </c>
      <c r="CV1945" s="497" t="s">
        <v>1088</v>
      </c>
      <c r="CX1945" s="543">
        <v>1</v>
      </c>
    </row>
    <row r="1946" spans="91:102" ht="21" customHeight="1">
      <c r="CM1946" s="494"/>
      <c r="CN1946" s="496" t="s">
        <v>4877</v>
      </c>
      <c r="CO1946" s="496" t="s">
        <v>241</v>
      </c>
      <c r="CP1946" s="496" t="s">
        <v>690</v>
      </c>
      <c r="CQ1946" s="496" t="s">
        <v>113</v>
      </c>
      <c r="CR1946" s="496" t="s">
        <v>113</v>
      </c>
      <c r="CS1946" s="496" t="s">
        <v>1085</v>
      </c>
      <c r="CT1946" s="496" t="s">
        <v>4542</v>
      </c>
      <c r="CU1946" s="496" t="s">
        <v>1087</v>
      </c>
      <c r="CV1946" s="497" t="s">
        <v>1088</v>
      </c>
      <c r="CX1946" s="543">
        <v>1</v>
      </c>
    </row>
    <row r="1947" spans="91:102" ht="21" customHeight="1">
      <c r="CM1947" s="494"/>
      <c r="CN1947" s="496" t="s">
        <v>4878</v>
      </c>
      <c r="CO1947" s="496" t="s">
        <v>241</v>
      </c>
      <c r="CP1947" s="496" t="s">
        <v>690</v>
      </c>
      <c r="CQ1947" s="496" t="s">
        <v>126</v>
      </c>
      <c r="CR1947" s="496" t="s">
        <v>126</v>
      </c>
      <c r="CS1947" s="496" t="s">
        <v>1085</v>
      </c>
      <c r="CT1947" s="496" t="s">
        <v>4542</v>
      </c>
      <c r="CU1947" s="496" t="s">
        <v>1087</v>
      </c>
      <c r="CV1947" s="497" t="s">
        <v>1088</v>
      </c>
      <c r="CX1947" s="543">
        <v>1</v>
      </c>
    </row>
    <row r="1948" spans="91:102" ht="21" customHeight="1">
      <c r="CM1948" s="494"/>
      <c r="CN1948" s="496" t="s">
        <v>4879</v>
      </c>
      <c r="CO1948" s="496" t="s">
        <v>241</v>
      </c>
      <c r="CP1948" s="496" t="s">
        <v>690</v>
      </c>
      <c r="CQ1948" s="496" t="s">
        <v>163</v>
      </c>
      <c r="CR1948" s="496" t="s">
        <v>163</v>
      </c>
      <c r="CS1948" s="496" t="s">
        <v>1085</v>
      </c>
      <c r="CT1948" s="496" t="s">
        <v>4542</v>
      </c>
      <c r="CU1948" s="496" t="s">
        <v>1087</v>
      </c>
      <c r="CV1948" s="497" t="s">
        <v>1088</v>
      </c>
      <c r="CX1948" s="543">
        <v>1</v>
      </c>
    </row>
    <row r="1949" spans="91:102" ht="21" customHeight="1">
      <c r="CM1949" s="494"/>
      <c r="CN1949" s="496" t="s">
        <v>4880</v>
      </c>
      <c r="CO1949" s="496" t="s">
        <v>241</v>
      </c>
      <c r="CP1949" s="496" t="s">
        <v>690</v>
      </c>
      <c r="CQ1949" s="496" t="s">
        <v>4881</v>
      </c>
      <c r="CR1949" s="496" t="s">
        <v>4882</v>
      </c>
      <c r="CS1949" s="496" t="s">
        <v>1085</v>
      </c>
      <c r="CT1949" s="496" t="s">
        <v>4542</v>
      </c>
      <c r="CU1949" s="496" t="s">
        <v>1087</v>
      </c>
      <c r="CV1949" s="497" t="s">
        <v>1088</v>
      </c>
      <c r="CX1949" s="543">
        <v>1</v>
      </c>
    </row>
    <row r="1950" spans="91:102" ht="21" customHeight="1">
      <c r="CM1950" s="494"/>
      <c r="CN1950" s="496" t="s">
        <v>4883</v>
      </c>
      <c r="CO1950" s="496" t="s">
        <v>241</v>
      </c>
      <c r="CP1950" s="496" t="s">
        <v>690</v>
      </c>
      <c r="CQ1950" s="496" t="s">
        <v>60</v>
      </c>
      <c r="CR1950" s="496" t="s">
        <v>60</v>
      </c>
      <c r="CS1950" s="496" t="s">
        <v>1085</v>
      </c>
      <c r="CT1950" s="496" t="s">
        <v>4542</v>
      </c>
      <c r="CU1950" s="496" t="s">
        <v>1087</v>
      </c>
      <c r="CV1950" s="497" t="s">
        <v>1088</v>
      </c>
      <c r="CX1950" s="543">
        <v>1</v>
      </c>
    </row>
    <row r="1951" spans="91:102" ht="21" customHeight="1">
      <c r="CM1951" s="494"/>
      <c r="CN1951" s="496" t="s">
        <v>4884</v>
      </c>
      <c r="CO1951" s="496" t="s">
        <v>241</v>
      </c>
      <c r="CP1951" s="496" t="s">
        <v>690</v>
      </c>
      <c r="CQ1951" s="496" t="s">
        <v>4885</v>
      </c>
      <c r="CR1951" s="496" t="s">
        <v>4885</v>
      </c>
      <c r="CS1951" s="496" t="s">
        <v>1085</v>
      </c>
      <c r="CT1951" s="496" t="s">
        <v>4542</v>
      </c>
      <c r="CU1951" s="496" t="s">
        <v>1087</v>
      </c>
      <c r="CV1951" s="497" t="s">
        <v>1088</v>
      </c>
      <c r="CX1951" s="543">
        <v>1</v>
      </c>
    </row>
    <row r="1952" spans="91:102" ht="21" customHeight="1">
      <c r="CM1952" s="494"/>
      <c r="CN1952" s="496" t="s">
        <v>4886</v>
      </c>
      <c r="CO1952" s="496" t="s">
        <v>241</v>
      </c>
      <c r="CP1952" s="496" t="s">
        <v>690</v>
      </c>
      <c r="CQ1952" s="496" t="s">
        <v>4887</v>
      </c>
      <c r="CR1952" s="496" t="s">
        <v>4887</v>
      </c>
      <c r="CS1952" s="496" t="s">
        <v>1085</v>
      </c>
      <c r="CT1952" s="496" t="s">
        <v>4542</v>
      </c>
      <c r="CU1952" s="496" t="s">
        <v>1087</v>
      </c>
      <c r="CV1952" s="497" t="s">
        <v>1088</v>
      </c>
      <c r="CX1952" s="543">
        <v>1</v>
      </c>
    </row>
    <row r="1953" spans="91:102" ht="21" customHeight="1">
      <c r="CM1953" s="494"/>
      <c r="CN1953" s="496" t="s">
        <v>4888</v>
      </c>
      <c r="CO1953" s="496" t="s">
        <v>241</v>
      </c>
      <c r="CP1953" s="496" t="s">
        <v>690</v>
      </c>
      <c r="CQ1953" s="496" t="s">
        <v>53</v>
      </c>
      <c r="CR1953" s="496" t="s">
        <v>53</v>
      </c>
      <c r="CS1953" s="496" t="s">
        <v>1085</v>
      </c>
      <c r="CT1953" s="496" t="s">
        <v>4542</v>
      </c>
      <c r="CU1953" s="496" t="s">
        <v>1087</v>
      </c>
      <c r="CV1953" s="497" t="s">
        <v>1088</v>
      </c>
      <c r="CX1953" s="543">
        <v>1</v>
      </c>
    </row>
    <row r="1954" spans="91:102" ht="21" customHeight="1">
      <c r="CM1954" s="494"/>
      <c r="CN1954" s="496" t="s">
        <v>4889</v>
      </c>
      <c r="CO1954" s="496" t="s">
        <v>241</v>
      </c>
      <c r="CP1954" s="496" t="s">
        <v>690</v>
      </c>
      <c r="CQ1954" s="496" t="s">
        <v>28</v>
      </c>
      <c r="CR1954" s="496" t="s">
        <v>28</v>
      </c>
      <c r="CS1954" s="496" t="s">
        <v>1085</v>
      </c>
      <c r="CT1954" s="496" t="s">
        <v>4542</v>
      </c>
      <c r="CU1954" s="496" t="s">
        <v>1087</v>
      </c>
      <c r="CV1954" s="497" t="s">
        <v>1088</v>
      </c>
      <c r="CX1954" s="543">
        <v>1</v>
      </c>
    </row>
    <row r="1955" spans="91:102" ht="21" customHeight="1">
      <c r="CM1955" s="494"/>
      <c r="CN1955" s="496" t="s">
        <v>4890</v>
      </c>
      <c r="CO1955" s="496" t="s">
        <v>241</v>
      </c>
      <c r="CP1955" s="496" t="s">
        <v>690</v>
      </c>
      <c r="CQ1955" s="496" t="s">
        <v>39</v>
      </c>
      <c r="CR1955" s="496" t="s">
        <v>39</v>
      </c>
      <c r="CS1955" s="496" t="s">
        <v>1085</v>
      </c>
      <c r="CT1955" s="496" t="s">
        <v>4542</v>
      </c>
      <c r="CU1955" s="496" t="s">
        <v>1087</v>
      </c>
      <c r="CV1955" s="497" t="s">
        <v>1088</v>
      </c>
      <c r="CX1955" s="543">
        <v>1</v>
      </c>
    </row>
    <row r="1956" spans="91:102" ht="21" customHeight="1">
      <c r="CM1956" s="494"/>
      <c r="CN1956" s="496" t="s">
        <v>4891</v>
      </c>
      <c r="CO1956" s="496" t="s">
        <v>241</v>
      </c>
      <c r="CP1956" s="496" t="s">
        <v>690</v>
      </c>
      <c r="CQ1956" s="496" t="s">
        <v>4892</v>
      </c>
      <c r="CR1956" s="496" t="s">
        <v>4892</v>
      </c>
      <c r="CS1956" s="496" t="s">
        <v>1085</v>
      </c>
      <c r="CT1956" s="496" t="s">
        <v>4542</v>
      </c>
      <c r="CU1956" s="496" t="s">
        <v>1087</v>
      </c>
      <c r="CV1956" s="497" t="s">
        <v>1088</v>
      </c>
      <c r="CX1956" s="543">
        <v>1</v>
      </c>
    </row>
    <row r="1957" spans="91:102" ht="21" customHeight="1">
      <c r="CM1957" s="494"/>
      <c r="CN1957" s="496" t="s">
        <v>4893</v>
      </c>
      <c r="CO1957" s="496" t="s">
        <v>241</v>
      </c>
      <c r="CP1957" s="496" t="s">
        <v>690</v>
      </c>
      <c r="CQ1957" s="496" t="s">
        <v>4894</v>
      </c>
      <c r="CR1957" s="496" t="s">
        <v>4894</v>
      </c>
      <c r="CS1957" s="496" t="s">
        <v>1085</v>
      </c>
      <c r="CT1957" s="496" t="s">
        <v>4542</v>
      </c>
      <c r="CU1957" s="496" t="s">
        <v>1087</v>
      </c>
      <c r="CV1957" s="497" t="s">
        <v>1088</v>
      </c>
      <c r="CX1957" s="543">
        <v>1</v>
      </c>
    </row>
    <row r="1958" spans="91:102" ht="21" customHeight="1">
      <c r="CM1958" s="494"/>
      <c r="CN1958" s="496" t="s">
        <v>4895</v>
      </c>
      <c r="CO1958" s="496" t="s">
        <v>241</v>
      </c>
      <c r="CP1958" s="496" t="s">
        <v>690</v>
      </c>
      <c r="CQ1958" s="496" t="s">
        <v>104</v>
      </c>
      <c r="CR1958" s="496" t="s">
        <v>104</v>
      </c>
      <c r="CS1958" s="496" t="s">
        <v>1085</v>
      </c>
      <c r="CT1958" s="496" t="s">
        <v>4542</v>
      </c>
      <c r="CU1958" s="496" t="s">
        <v>1087</v>
      </c>
      <c r="CV1958" s="497" t="s">
        <v>1088</v>
      </c>
      <c r="CX1958" s="543">
        <v>1</v>
      </c>
    </row>
    <row r="1959" spans="91:102" ht="21" customHeight="1">
      <c r="CM1959" s="494"/>
      <c r="CN1959" s="496" t="s">
        <v>4896</v>
      </c>
      <c r="CO1959" s="496" t="s">
        <v>241</v>
      </c>
      <c r="CP1959" s="496" t="s">
        <v>690</v>
      </c>
      <c r="CQ1959" s="496" t="s">
        <v>4897</v>
      </c>
      <c r="CR1959" s="496" t="s">
        <v>4897</v>
      </c>
      <c r="CS1959" s="496" t="s">
        <v>1085</v>
      </c>
      <c r="CT1959" s="496" t="s">
        <v>4542</v>
      </c>
      <c r="CU1959" s="496" t="s">
        <v>1087</v>
      </c>
      <c r="CV1959" s="497" t="s">
        <v>1088</v>
      </c>
      <c r="CX1959" s="543">
        <v>1</v>
      </c>
    </row>
    <row r="1960" spans="91:102" ht="21" customHeight="1">
      <c r="CM1960" s="494"/>
      <c r="CN1960" s="496" t="s">
        <v>4898</v>
      </c>
      <c r="CO1960" s="496" t="s">
        <v>241</v>
      </c>
      <c r="CP1960" s="496" t="s">
        <v>1511</v>
      </c>
      <c r="CQ1960" s="496" t="s">
        <v>4899</v>
      </c>
      <c r="CR1960" s="496" t="s">
        <v>4899</v>
      </c>
      <c r="CS1960" s="496" t="s">
        <v>1085</v>
      </c>
      <c r="CT1960" s="496" t="s">
        <v>3799</v>
      </c>
      <c r="CU1960" s="496" t="s">
        <v>1087</v>
      </c>
      <c r="CV1960" s="497" t="s">
        <v>1088</v>
      </c>
      <c r="CX1960" s="543">
        <v>1</v>
      </c>
    </row>
    <row r="1961" spans="91:102" ht="21" customHeight="1">
      <c r="CM1961" s="494"/>
      <c r="CN1961" s="496" t="s">
        <v>4900</v>
      </c>
      <c r="CO1961" s="496" t="s">
        <v>241</v>
      </c>
      <c r="CP1961" s="496" t="s">
        <v>1511</v>
      </c>
      <c r="CQ1961" s="496" t="s">
        <v>4901</v>
      </c>
      <c r="CR1961" s="496" t="s">
        <v>4902</v>
      </c>
      <c r="CS1961" s="496" t="s">
        <v>1085</v>
      </c>
      <c r="CT1961" s="496" t="s">
        <v>3799</v>
      </c>
      <c r="CU1961" s="496" t="s">
        <v>1087</v>
      </c>
      <c r="CV1961" s="497" t="s">
        <v>1088</v>
      </c>
      <c r="CX1961" s="543">
        <v>1</v>
      </c>
    </row>
    <row r="1962" spans="91:102" ht="21" customHeight="1">
      <c r="CM1962" s="494"/>
      <c r="CN1962" s="496" t="s">
        <v>4903</v>
      </c>
      <c r="CO1962" s="496" t="s">
        <v>241</v>
      </c>
      <c r="CP1962" s="496" t="s">
        <v>1511</v>
      </c>
      <c r="CQ1962" s="496" t="s">
        <v>4904</v>
      </c>
      <c r="CR1962" s="496" t="s">
        <v>4904</v>
      </c>
      <c r="CS1962" s="496" t="s">
        <v>1085</v>
      </c>
      <c r="CT1962" s="496" t="s">
        <v>3799</v>
      </c>
      <c r="CU1962" s="496" t="s">
        <v>1087</v>
      </c>
      <c r="CV1962" s="497" t="s">
        <v>1088</v>
      </c>
      <c r="CX1962" s="543">
        <v>1</v>
      </c>
    </row>
    <row r="1963" spans="91:102" ht="21" customHeight="1">
      <c r="CM1963" s="494"/>
      <c r="CN1963" s="496" t="s">
        <v>4905</v>
      </c>
      <c r="CO1963" s="496" t="s">
        <v>241</v>
      </c>
      <c r="CP1963" s="496" t="s">
        <v>1511</v>
      </c>
      <c r="CQ1963" s="496" t="s">
        <v>876</v>
      </c>
      <c r="CR1963" s="496" t="s">
        <v>876</v>
      </c>
      <c r="CS1963" s="496" t="s">
        <v>1085</v>
      </c>
      <c r="CT1963" s="496" t="s">
        <v>3799</v>
      </c>
      <c r="CU1963" s="496" t="s">
        <v>1087</v>
      </c>
      <c r="CV1963" s="497" t="s">
        <v>1088</v>
      </c>
      <c r="CX1963" s="543">
        <v>1</v>
      </c>
    </row>
    <row r="1964" spans="91:102" ht="21" customHeight="1">
      <c r="CM1964" s="494"/>
      <c r="CN1964" s="496" t="s">
        <v>4906</v>
      </c>
      <c r="CO1964" s="496" t="s">
        <v>241</v>
      </c>
      <c r="CP1964" s="496" t="s">
        <v>1511</v>
      </c>
      <c r="CQ1964" s="496" t="s">
        <v>877</v>
      </c>
      <c r="CR1964" s="496" t="s">
        <v>877</v>
      </c>
      <c r="CS1964" s="496" t="s">
        <v>1085</v>
      </c>
      <c r="CT1964" s="496" t="s">
        <v>3799</v>
      </c>
      <c r="CU1964" s="496" t="s">
        <v>1087</v>
      </c>
      <c r="CV1964" s="497" t="s">
        <v>1088</v>
      </c>
      <c r="CX1964" s="543">
        <v>1</v>
      </c>
    </row>
    <row r="1965" spans="91:102" ht="21" customHeight="1">
      <c r="CM1965" s="494"/>
      <c r="CN1965" s="496" t="s">
        <v>4907</v>
      </c>
      <c r="CO1965" s="496" t="s">
        <v>241</v>
      </c>
      <c r="CP1965" s="496" t="s">
        <v>1511</v>
      </c>
      <c r="CQ1965" s="496" t="s">
        <v>4908</v>
      </c>
      <c r="CR1965" s="496" t="s">
        <v>4908</v>
      </c>
      <c r="CS1965" s="496" t="s">
        <v>1151</v>
      </c>
      <c r="CT1965" s="496" t="s">
        <v>1518</v>
      </c>
      <c r="CU1965" s="496" t="s">
        <v>1087</v>
      </c>
      <c r="CV1965" s="497" t="s">
        <v>1153</v>
      </c>
      <c r="CX1965" s="543">
        <v>1</v>
      </c>
    </row>
    <row r="1966" spans="91:102" ht="21" customHeight="1">
      <c r="CM1966" s="494"/>
      <c r="CN1966" s="496" t="s">
        <v>4909</v>
      </c>
      <c r="CO1966" s="496" t="s">
        <v>241</v>
      </c>
      <c r="CP1966" s="496" t="s">
        <v>1511</v>
      </c>
      <c r="CQ1966" s="496" t="s">
        <v>4910</v>
      </c>
      <c r="CR1966" s="496" t="s">
        <v>4911</v>
      </c>
      <c r="CS1966" s="496" t="s">
        <v>1085</v>
      </c>
      <c r="CT1966" s="496" t="s">
        <v>3799</v>
      </c>
      <c r="CU1966" s="496" t="s">
        <v>1087</v>
      </c>
      <c r="CV1966" s="497" t="s">
        <v>1088</v>
      </c>
      <c r="CX1966" s="543">
        <v>1</v>
      </c>
    </row>
    <row r="1967" spans="91:102" ht="21" customHeight="1">
      <c r="CM1967" s="494"/>
      <c r="CN1967" s="496" t="s">
        <v>4912</v>
      </c>
      <c r="CO1967" s="496" t="s">
        <v>241</v>
      </c>
      <c r="CP1967" s="496" t="s">
        <v>1511</v>
      </c>
      <c r="CQ1967" s="496" t="s">
        <v>4913</v>
      </c>
      <c r="CR1967" s="496" t="s">
        <v>4913</v>
      </c>
      <c r="CS1967" s="496" t="s">
        <v>1085</v>
      </c>
      <c r="CT1967" s="496" t="s">
        <v>3799</v>
      </c>
      <c r="CU1967" s="496" t="s">
        <v>1087</v>
      </c>
      <c r="CV1967" s="497" t="s">
        <v>1088</v>
      </c>
      <c r="CX1967" s="543">
        <v>1</v>
      </c>
    </row>
    <row r="1968" spans="91:102" ht="21" customHeight="1">
      <c r="CM1968" s="494"/>
      <c r="CN1968" s="496" t="s">
        <v>4914</v>
      </c>
      <c r="CO1968" s="496" t="s">
        <v>241</v>
      </c>
      <c r="CP1968" s="496" t="s">
        <v>1511</v>
      </c>
      <c r="CQ1968" s="496" t="s">
        <v>879</v>
      </c>
      <c r="CR1968" s="496" t="s">
        <v>879</v>
      </c>
      <c r="CS1968" s="496" t="s">
        <v>1085</v>
      </c>
      <c r="CT1968" s="496" t="s">
        <v>3799</v>
      </c>
      <c r="CU1968" s="496" t="s">
        <v>1087</v>
      </c>
      <c r="CV1968" s="497" t="s">
        <v>1088</v>
      </c>
      <c r="CX1968" s="543">
        <v>1</v>
      </c>
    </row>
    <row r="1969" spans="91:102" ht="21" customHeight="1">
      <c r="CM1969" s="494"/>
      <c r="CN1969" s="496" t="s">
        <v>4915</v>
      </c>
      <c r="CO1969" s="496" t="s">
        <v>241</v>
      </c>
      <c r="CP1969" s="496" t="s">
        <v>1511</v>
      </c>
      <c r="CQ1969" s="496" t="s">
        <v>4916</v>
      </c>
      <c r="CR1969" s="496" t="s">
        <v>4916</v>
      </c>
      <c r="CS1969" s="496" t="s">
        <v>1085</v>
      </c>
      <c r="CT1969" s="496" t="s">
        <v>3799</v>
      </c>
      <c r="CU1969" s="496" t="s">
        <v>1087</v>
      </c>
      <c r="CV1969" s="497" t="s">
        <v>1088</v>
      </c>
      <c r="CX1969" s="543">
        <v>1</v>
      </c>
    </row>
    <row r="1970" spans="91:102" ht="21" customHeight="1">
      <c r="CM1970" s="494"/>
      <c r="CN1970" s="496" t="s">
        <v>4917</v>
      </c>
      <c r="CO1970" s="496" t="s">
        <v>241</v>
      </c>
      <c r="CP1970" s="496" t="s">
        <v>1511</v>
      </c>
      <c r="CQ1970" s="496" t="s">
        <v>4918</v>
      </c>
      <c r="CR1970" s="496" t="s">
        <v>4918</v>
      </c>
      <c r="CS1970" s="496" t="s">
        <v>1085</v>
      </c>
      <c r="CT1970" s="496" t="s">
        <v>3799</v>
      </c>
      <c r="CU1970" s="496" t="s">
        <v>1087</v>
      </c>
      <c r="CV1970" s="497" t="s">
        <v>1088</v>
      </c>
      <c r="CX1970" s="543">
        <v>1</v>
      </c>
    </row>
    <row r="1971" spans="91:102" ht="21" customHeight="1">
      <c r="CM1971" s="494"/>
      <c r="CN1971" s="496" t="s">
        <v>4919</v>
      </c>
      <c r="CO1971" s="496" t="s">
        <v>241</v>
      </c>
      <c r="CP1971" s="496" t="s">
        <v>1511</v>
      </c>
      <c r="CQ1971" s="496" t="s">
        <v>4920</v>
      </c>
      <c r="CR1971" s="496" t="s">
        <v>4920</v>
      </c>
      <c r="CS1971" s="496" t="s">
        <v>1151</v>
      </c>
      <c r="CT1971" s="496" t="s">
        <v>1518</v>
      </c>
      <c r="CU1971" s="496" t="s">
        <v>1087</v>
      </c>
      <c r="CV1971" s="497" t="s">
        <v>1153</v>
      </c>
      <c r="CX1971" s="543">
        <v>1</v>
      </c>
    </row>
    <row r="1972" spans="91:102" ht="21" customHeight="1">
      <c r="CM1972" s="494"/>
      <c r="CN1972" s="496" t="s">
        <v>4921</v>
      </c>
      <c r="CO1972" s="496" t="s">
        <v>241</v>
      </c>
      <c r="CP1972" s="496" t="s">
        <v>1511</v>
      </c>
      <c r="CQ1972" s="496" t="s">
        <v>4922</v>
      </c>
      <c r="CR1972" s="496" t="s">
        <v>4923</v>
      </c>
      <c r="CS1972" s="496" t="s">
        <v>1085</v>
      </c>
      <c r="CT1972" s="496" t="s">
        <v>3799</v>
      </c>
      <c r="CU1972" s="496" t="s">
        <v>1087</v>
      </c>
      <c r="CV1972" s="497" t="s">
        <v>1088</v>
      </c>
      <c r="CX1972" s="543">
        <v>1</v>
      </c>
    </row>
    <row r="1973" spans="91:102" ht="21" customHeight="1">
      <c r="CM1973" s="494"/>
      <c r="CN1973" s="496" t="s">
        <v>4924</v>
      </c>
      <c r="CO1973" s="496" t="s">
        <v>241</v>
      </c>
      <c r="CP1973" s="496" t="s">
        <v>1511</v>
      </c>
      <c r="CQ1973" s="496" t="s">
        <v>4925</v>
      </c>
      <c r="CR1973" s="496" t="s">
        <v>4925</v>
      </c>
      <c r="CS1973" s="496" t="s">
        <v>1085</v>
      </c>
      <c r="CT1973" s="496" t="s">
        <v>3799</v>
      </c>
      <c r="CU1973" s="496" t="s">
        <v>1087</v>
      </c>
      <c r="CV1973" s="497" t="s">
        <v>1088</v>
      </c>
      <c r="CX1973" s="543">
        <v>1</v>
      </c>
    </row>
    <row r="1974" spans="91:102" ht="21" customHeight="1">
      <c r="CM1974" s="494"/>
      <c r="CN1974" s="496" t="s">
        <v>4926</v>
      </c>
      <c r="CO1974" s="496" t="s">
        <v>241</v>
      </c>
      <c r="CP1974" s="496" t="s">
        <v>1511</v>
      </c>
      <c r="CQ1974" s="496" t="s">
        <v>4713</v>
      </c>
      <c r="CR1974" s="496" t="s">
        <v>4713</v>
      </c>
      <c r="CS1974" s="496" t="s">
        <v>1085</v>
      </c>
      <c r="CT1974" s="496" t="s">
        <v>3799</v>
      </c>
      <c r="CU1974" s="496" t="s">
        <v>1087</v>
      </c>
      <c r="CV1974" s="497" t="s">
        <v>1088</v>
      </c>
      <c r="CX1974" s="543">
        <v>1</v>
      </c>
    </row>
    <row r="1975" spans="91:102" ht="21" customHeight="1">
      <c r="CM1975" s="494"/>
      <c r="CN1975" s="496" t="s">
        <v>4927</v>
      </c>
      <c r="CO1975" s="496" t="s">
        <v>241</v>
      </c>
      <c r="CP1975" s="496" t="s">
        <v>1511</v>
      </c>
      <c r="CQ1975" s="496" t="s">
        <v>4928</v>
      </c>
      <c r="CR1975" s="496" t="s">
        <v>4928</v>
      </c>
      <c r="CS1975" s="496" t="s">
        <v>1085</v>
      </c>
      <c r="CT1975" s="496" t="s">
        <v>3799</v>
      </c>
      <c r="CU1975" s="496" t="s">
        <v>1087</v>
      </c>
      <c r="CV1975" s="497" t="s">
        <v>1088</v>
      </c>
      <c r="CX1975" s="543">
        <v>1</v>
      </c>
    </row>
    <row r="1976" spans="91:102" ht="21" customHeight="1">
      <c r="CM1976" s="494"/>
      <c r="CN1976" s="496" t="s">
        <v>4929</v>
      </c>
      <c r="CO1976" s="496" t="s">
        <v>241</v>
      </c>
      <c r="CP1976" s="496" t="s">
        <v>1511</v>
      </c>
      <c r="CQ1976" s="496" t="s">
        <v>4930</v>
      </c>
      <c r="CR1976" s="496" t="s">
        <v>4931</v>
      </c>
      <c r="CS1976" s="496" t="s">
        <v>1085</v>
      </c>
      <c r="CT1976" s="496" t="s">
        <v>3799</v>
      </c>
      <c r="CU1976" s="496" t="s">
        <v>1087</v>
      </c>
      <c r="CV1976" s="497" t="s">
        <v>1088</v>
      </c>
      <c r="CX1976" s="543">
        <v>1</v>
      </c>
    </row>
    <row r="1977" spans="91:102" ht="21" customHeight="1">
      <c r="CM1977" s="494"/>
      <c r="CN1977" s="496" t="s">
        <v>4932</v>
      </c>
      <c r="CO1977" s="496" t="s">
        <v>236</v>
      </c>
      <c r="CP1977" s="496" t="s">
        <v>689</v>
      </c>
      <c r="CQ1977" s="496" t="s">
        <v>275</v>
      </c>
      <c r="CR1977" s="496" t="s">
        <v>2</v>
      </c>
      <c r="CS1977" s="496" t="s">
        <v>1085</v>
      </c>
      <c r="CT1977" s="496" t="s">
        <v>4933</v>
      </c>
      <c r="CU1977" s="496" t="s">
        <v>1087</v>
      </c>
      <c r="CV1977" s="497" t="s">
        <v>1088</v>
      </c>
      <c r="CX1977" s="543">
        <v>1</v>
      </c>
    </row>
    <row r="1978" spans="91:102" ht="21" customHeight="1">
      <c r="CM1978" s="494"/>
      <c r="CN1978" s="496" t="s">
        <v>4934</v>
      </c>
      <c r="CO1978" s="496" t="s">
        <v>236</v>
      </c>
      <c r="CP1978" s="496" t="s">
        <v>689</v>
      </c>
      <c r="CQ1978" s="496" t="s">
        <v>4935</v>
      </c>
      <c r="CR1978" s="496" t="s">
        <v>277</v>
      </c>
      <c r="CS1978" s="496" t="s">
        <v>1085</v>
      </c>
      <c r="CT1978" s="496" t="s">
        <v>4933</v>
      </c>
      <c r="CU1978" s="496" t="s">
        <v>1087</v>
      </c>
      <c r="CV1978" s="497" t="s">
        <v>1088</v>
      </c>
      <c r="CX1978" s="543">
        <v>1</v>
      </c>
    </row>
    <row r="1979" spans="91:102" ht="21" customHeight="1">
      <c r="CM1979" s="494"/>
      <c r="CN1979" s="496" t="s">
        <v>4936</v>
      </c>
      <c r="CO1979" s="496" t="s">
        <v>236</v>
      </c>
      <c r="CP1979" s="496" t="s">
        <v>689</v>
      </c>
      <c r="CQ1979" s="496" t="s">
        <v>4937</v>
      </c>
      <c r="CR1979" s="496" t="s">
        <v>35</v>
      </c>
      <c r="CS1979" s="496" t="s">
        <v>1085</v>
      </c>
      <c r="CT1979" s="496" t="s">
        <v>4933</v>
      </c>
      <c r="CU1979" s="496" t="s">
        <v>1087</v>
      </c>
      <c r="CV1979" s="497" t="s">
        <v>1088</v>
      </c>
      <c r="CX1979" s="543">
        <v>1</v>
      </c>
    </row>
    <row r="1980" spans="91:102" ht="21" customHeight="1">
      <c r="CM1980" s="494"/>
      <c r="CN1980" s="496" t="s">
        <v>4938</v>
      </c>
      <c r="CO1980" s="496" t="s">
        <v>236</v>
      </c>
      <c r="CP1980" s="496" t="s">
        <v>689</v>
      </c>
      <c r="CQ1980" s="496" t="s">
        <v>4939</v>
      </c>
      <c r="CR1980" s="496" t="s">
        <v>4939</v>
      </c>
      <c r="CS1980" s="496" t="s">
        <v>1151</v>
      </c>
      <c r="CT1980" s="496" t="s">
        <v>1152</v>
      </c>
      <c r="CU1980" s="496" t="s">
        <v>1087</v>
      </c>
      <c r="CV1980" s="497" t="s">
        <v>1153</v>
      </c>
      <c r="CX1980" s="543">
        <v>1</v>
      </c>
    </row>
    <row r="1981" spans="91:102" ht="21" customHeight="1">
      <c r="CM1981" s="494"/>
      <c r="CN1981" s="496" t="s">
        <v>4940</v>
      </c>
      <c r="CO1981" s="496" t="s">
        <v>236</v>
      </c>
      <c r="CP1981" s="496" t="s">
        <v>689</v>
      </c>
      <c r="CQ1981" s="496" t="s">
        <v>280</v>
      </c>
      <c r="CR1981" s="496" t="s">
        <v>280</v>
      </c>
      <c r="CS1981" s="496" t="s">
        <v>1151</v>
      </c>
      <c r="CT1981" s="496" t="s">
        <v>1152</v>
      </c>
      <c r="CU1981" s="496" t="s">
        <v>1087</v>
      </c>
      <c r="CV1981" s="497" t="s">
        <v>1153</v>
      </c>
      <c r="CX1981" s="543">
        <v>1</v>
      </c>
    </row>
    <row r="1982" spans="91:102" ht="21" customHeight="1">
      <c r="CM1982" s="494"/>
      <c r="CN1982" s="496" t="s">
        <v>4941</v>
      </c>
      <c r="CO1982" s="496" t="s">
        <v>236</v>
      </c>
      <c r="CP1982" s="496" t="s">
        <v>689</v>
      </c>
      <c r="CQ1982" s="496" t="s">
        <v>4942</v>
      </c>
      <c r="CR1982" s="496" t="s">
        <v>4943</v>
      </c>
      <c r="CS1982" s="496" t="s">
        <v>1085</v>
      </c>
      <c r="CT1982" s="496" t="s">
        <v>4933</v>
      </c>
      <c r="CU1982" s="496" t="s">
        <v>1087</v>
      </c>
      <c r="CV1982" s="497" t="s">
        <v>1088</v>
      </c>
      <c r="CX1982" s="543">
        <v>1</v>
      </c>
    </row>
    <row r="1983" spans="91:102" ht="21" customHeight="1">
      <c r="CM1983" s="494"/>
      <c r="CN1983" s="496" t="s">
        <v>4944</v>
      </c>
      <c r="CO1983" s="496" t="s">
        <v>236</v>
      </c>
      <c r="CP1983" s="496" t="s">
        <v>689</v>
      </c>
      <c r="CQ1983" s="496" t="s">
        <v>4945</v>
      </c>
      <c r="CR1983" s="496" t="s">
        <v>73</v>
      </c>
      <c r="CS1983" s="496" t="s">
        <v>1085</v>
      </c>
      <c r="CT1983" s="496" t="s">
        <v>4933</v>
      </c>
      <c r="CU1983" s="496" t="s">
        <v>1087</v>
      </c>
      <c r="CV1983" s="497" t="s">
        <v>1088</v>
      </c>
      <c r="CX1983" s="543">
        <v>1</v>
      </c>
    </row>
    <row r="1984" spans="91:102" ht="21" customHeight="1">
      <c r="CM1984" s="494"/>
      <c r="CN1984" s="496" t="s">
        <v>4946</v>
      </c>
      <c r="CO1984" s="496" t="s">
        <v>236</v>
      </c>
      <c r="CP1984" s="496" t="s">
        <v>689</v>
      </c>
      <c r="CQ1984" s="496" t="s">
        <v>4947</v>
      </c>
      <c r="CR1984" s="496" t="s">
        <v>86</v>
      </c>
      <c r="CS1984" s="496" t="s">
        <v>1085</v>
      </c>
      <c r="CT1984" s="496" t="s">
        <v>4933</v>
      </c>
      <c r="CU1984" s="496" t="s">
        <v>1087</v>
      </c>
      <c r="CV1984" s="497" t="s">
        <v>1088</v>
      </c>
      <c r="CX1984" s="543">
        <v>1</v>
      </c>
    </row>
    <row r="1985" spans="91:102" ht="21" customHeight="1">
      <c r="CM1985" s="494"/>
      <c r="CN1985" s="496" t="s">
        <v>4948</v>
      </c>
      <c r="CO1985" s="496" t="s">
        <v>236</v>
      </c>
      <c r="CP1985" s="496" t="s">
        <v>689</v>
      </c>
      <c r="CQ1985" s="496" t="s">
        <v>4949</v>
      </c>
      <c r="CR1985" s="496" t="s">
        <v>99</v>
      </c>
      <c r="CS1985" s="496" t="s">
        <v>1085</v>
      </c>
      <c r="CT1985" s="496" t="s">
        <v>4933</v>
      </c>
      <c r="CU1985" s="496" t="s">
        <v>1087</v>
      </c>
      <c r="CV1985" s="497" t="s">
        <v>1088</v>
      </c>
      <c r="CX1985" s="543">
        <v>1</v>
      </c>
    </row>
    <row r="1986" spans="91:102" ht="21" customHeight="1">
      <c r="CM1986" s="494"/>
      <c r="CN1986" s="496" t="s">
        <v>4950</v>
      </c>
      <c r="CO1986" s="496" t="s">
        <v>236</v>
      </c>
      <c r="CP1986" s="496" t="s">
        <v>689</v>
      </c>
      <c r="CQ1986" s="496" t="s">
        <v>4951</v>
      </c>
      <c r="CR1986" s="496" t="s">
        <v>114</v>
      </c>
      <c r="CS1986" s="496" t="s">
        <v>1085</v>
      </c>
      <c r="CT1986" s="496" t="s">
        <v>4933</v>
      </c>
      <c r="CU1986" s="496" t="s">
        <v>1087</v>
      </c>
      <c r="CV1986" s="497" t="s">
        <v>1088</v>
      </c>
      <c r="CX1986" s="543">
        <v>1</v>
      </c>
    </row>
    <row r="1987" spans="91:102" ht="21" customHeight="1">
      <c r="CM1987" s="494"/>
      <c r="CN1987" s="496" t="s">
        <v>4952</v>
      </c>
      <c r="CO1987" s="496" t="s">
        <v>236</v>
      </c>
      <c r="CP1987" s="496" t="s">
        <v>689</v>
      </c>
      <c r="CQ1987" s="496" t="s">
        <v>4953</v>
      </c>
      <c r="CR1987" s="496" t="s">
        <v>4954</v>
      </c>
      <c r="CS1987" s="496" t="s">
        <v>1085</v>
      </c>
      <c r="CT1987" s="496" t="s">
        <v>4933</v>
      </c>
      <c r="CU1987" s="496" t="s">
        <v>1087</v>
      </c>
      <c r="CV1987" s="497" t="s">
        <v>1088</v>
      </c>
      <c r="CX1987" s="543">
        <v>1</v>
      </c>
    </row>
    <row r="1988" spans="91:102" ht="21" customHeight="1">
      <c r="CM1988" s="494"/>
      <c r="CN1988" s="496" t="s">
        <v>4955</v>
      </c>
      <c r="CO1988" s="496" t="s">
        <v>236</v>
      </c>
      <c r="CP1988" s="496" t="s">
        <v>689</v>
      </c>
      <c r="CQ1988" s="496" t="s">
        <v>4956</v>
      </c>
      <c r="CR1988" s="496" t="s">
        <v>4957</v>
      </c>
      <c r="CS1988" s="496" t="s">
        <v>1085</v>
      </c>
      <c r="CT1988" s="496" t="s">
        <v>4933</v>
      </c>
      <c r="CU1988" s="496" t="s">
        <v>1087</v>
      </c>
      <c r="CV1988" s="497" t="s">
        <v>1088</v>
      </c>
      <c r="CX1988" s="543">
        <v>1</v>
      </c>
    </row>
    <row r="1989" spans="91:102" ht="21" customHeight="1">
      <c r="CM1989" s="494"/>
      <c r="CN1989" s="496" t="s">
        <v>4958</v>
      </c>
      <c r="CO1989" s="496" t="s">
        <v>236</v>
      </c>
      <c r="CP1989" s="496" t="s">
        <v>689</v>
      </c>
      <c r="CQ1989" s="496" t="s">
        <v>4959</v>
      </c>
      <c r="CR1989" s="496" t="s">
        <v>4960</v>
      </c>
      <c r="CS1989" s="496" t="s">
        <v>1085</v>
      </c>
      <c r="CT1989" s="496" t="s">
        <v>4933</v>
      </c>
      <c r="CU1989" s="496" t="s">
        <v>1087</v>
      </c>
      <c r="CV1989" s="497" t="s">
        <v>1088</v>
      </c>
      <c r="CX1989" s="543">
        <v>1</v>
      </c>
    </row>
    <row r="1990" spans="91:102" ht="21" customHeight="1">
      <c r="CM1990" s="494"/>
      <c r="CN1990" s="496" t="s">
        <v>4961</v>
      </c>
      <c r="CO1990" s="496" t="s">
        <v>236</v>
      </c>
      <c r="CP1990" s="496" t="s">
        <v>689</v>
      </c>
      <c r="CQ1990" s="496" t="s">
        <v>4962</v>
      </c>
      <c r="CR1990" s="496" t="s">
        <v>127</v>
      </c>
      <c r="CS1990" s="496" t="s">
        <v>1085</v>
      </c>
      <c r="CT1990" s="496" t="s">
        <v>4933</v>
      </c>
      <c r="CU1990" s="496" t="s">
        <v>1087</v>
      </c>
      <c r="CV1990" s="497" t="s">
        <v>1088</v>
      </c>
      <c r="CX1990" s="543">
        <v>1</v>
      </c>
    </row>
    <row r="1991" spans="91:102" ht="21" customHeight="1">
      <c r="CM1991" s="494"/>
      <c r="CN1991" s="496" t="s">
        <v>4963</v>
      </c>
      <c r="CO1991" s="496" t="s">
        <v>236</v>
      </c>
      <c r="CP1991" s="496" t="s">
        <v>1511</v>
      </c>
      <c r="CQ1991" s="496" t="s">
        <v>1515</v>
      </c>
      <c r="CR1991" s="496" t="s">
        <v>1515</v>
      </c>
      <c r="CS1991" s="496" t="s">
        <v>1085</v>
      </c>
      <c r="CT1991" s="496" t="s">
        <v>3799</v>
      </c>
      <c r="CU1991" s="496" t="s">
        <v>1087</v>
      </c>
      <c r="CV1991" s="497" t="s">
        <v>1088</v>
      </c>
      <c r="CX1991" s="543">
        <v>1</v>
      </c>
    </row>
    <row r="1992" spans="91:102" ht="21" customHeight="1">
      <c r="CM1992" s="494"/>
      <c r="CN1992" s="496" t="s">
        <v>4964</v>
      </c>
      <c r="CO1992" s="496" t="s">
        <v>236</v>
      </c>
      <c r="CP1992" s="496" t="s">
        <v>1511</v>
      </c>
      <c r="CQ1992" s="496" t="s">
        <v>4965</v>
      </c>
      <c r="CR1992" s="496" t="s">
        <v>4966</v>
      </c>
      <c r="CS1992" s="496" t="s">
        <v>1085</v>
      </c>
      <c r="CT1992" s="496" t="s">
        <v>3799</v>
      </c>
      <c r="CU1992" s="496" t="s">
        <v>1087</v>
      </c>
      <c r="CV1992" s="497" t="s">
        <v>1088</v>
      </c>
      <c r="CX1992" s="543">
        <v>1</v>
      </c>
    </row>
    <row r="1993" spans="91:102" ht="21" customHeight="1">
      <c r="CM1993" s="494"/>
      <c r="CN1993" s="496" t="s">
        <v>4967</v>
      </c>
      <c r="CO1993" s="496" t="s">
        <v>236</v>
      </c>
      <c r="CP1993" s="496" t="s">
        <v>1511</v>
      </c>
      <c r="CQ1993" s="496" t="s">
        <v>1522</v>
      </c>
      <c r="CR1993" s="496" t="s">
        <v>1522</v>
      </c>
      <c r="CS1993" s="496" t="s">
        <v>1085</v>
      </c>
      <c r="CT1993" s="496" t="s">
        <v>3799</v>
      </c>
      <c r="CU1993" s="496" t="s">
        <v>1087</v>
      </c>
      <c r="CV1993" s="497" t="s">
        <v>1088</v>
      </c>
      <c r="CX1993" s="543">
        <v>1</v>
      </c>
    </row>
    <row r="1994" spans="91:102" ht="21" customHeight="1">
      <c r="CM1994" s="494"/>
      <c r="CN1994" s="496" t="s">
        <v>4968</v>
      </c>
      <c r="CO1994" s="496" t="s">
        <v>236</v>
      </c>
      <c r="CP1994" s="496" t="s">
        <v>1511</v>
      </c>
      <c r="CQ1994" s="496" t="s">
        <v>4969</v>
      </c>
      <c r="CR1994" s="496" t="s">
        <v>4969</v>
      </c>
      <c r="CS1994" s="496" t="s">
        <v>1085</v>
      </c>
      <c r="CT1994" s="496" t="s">
        <v>3799</v>
      </c>
      <c r="CU1994" s="496" t="s">
        <v>1087</v>
      </c>
      <c r="CV1994" s="497" t="s">
        <v>1088</v>
      </c>
      <c r="CX1994" s="543">
        <v>1</v>
      </c>
    </row>
    <row r="1995" spans="91:102" ht="21" customHeight="1">
      <c r="CM1995" s="494"/>
      <c r="CN1995" s="496" t="s">
        <v>4970</v>
      </c>
      <c r="CO1995" s="496" t="s">
        <v>236</v>
      </c>
      <c r="CP1995" s="496" t="s">
        <v>1511</v>
      </c>
      <c r="CQ1995" s="496" t="s">
        <v>1525</v>
      </c>
      <c r="CR1995" s="496" t="s">
        <v>1525</v>
      </c>
      <c r="CS1995" s="496" t="s">
        <v>1085</v>
      </c>
      <c r="CT1995" s="496" t="s">
        <v>3799</v>
      </c>
      <c r="CU1995" s="496" t="s">
        <v>1087</v>
      </c>
      <c r="CV1995" s="497" t="s">
        <v>1088</v>
      </c>
      <c r="CX1995" s="543">
        <v>1</v>
      </c>
    </row>
    <row r="1996" spans="91:102" ht="21" customHeight="1">
      <c r="CM1996" s="494"/>
      <c r="CN1996" s="496" t="s">
        <v>4971</v>
      </c>
      <c r="CO1996" s="496" t="s">
        <v>236</v>
      </c>
      <c r="CP1996" s="496" t="s">
        <v>1511</v>
      </c>
      <c r="CQ1996" s="496" t="s">
        <v>1527</v>
      </c>
      <c r="CR1996" s="496" t="s">
        <v>1527</v>
      </c>
      <c r="CS1996" s="496" t="s">
        <v>1085</v>
      </c>
      <c r="CT1996" s="496" t="s">
        <v>3799</v>
      </c>
      <c r="CU1996" s="496" t="s">
        <v>1087</v>
      </c>
      <c r="CV1996" s="497" t="s">
        <v>1088</v>
      </c>
      <c r="CX1996" s="543">
        <v>1</v>
      </c>
    </row>
    <row r="1997" spans="91:102" ht="21" customHeight="1">
      <c r="CM1997" s="494"/>
      <c r="CN1997" s="496" t="s">
        <v>4972</v>
      </c>
      <c r="CO1997" s="496" t="s">
        <v>236</v>
      </c>
      <c r="CP1997" s="496" t="s">
        <v>1511</v>
      </c>
      <c r="CQ1997" s="496" t="s">
        <v>4973</v>
      </c>
      <c r="CR1997" s="496" t="s">
        <v>4973</v>
      </c>
      <c r="CS1997" s="496" t="s">
        <v>1085</v>
      </c>
      <c r="CT1997" s="496" t="s">
        <v>3799</v>
      </c>
      <c r="CU1997" s="496" t="s">
        <v>1087</v>
      </c>
      <c r="CV1997" s="497" t="s">
        <v>1088</v>
      </c>
      <c r="CX1997" s="543">
        <v>1</v>
      </c>
    </row>
    <row r="1998" spans="91:102" ht="21" customHeight="1">
      <c r="CM1998" s="494"/>
      <c r="CN1998" s="496" t="s">
        <v>4974</v>
      </c>
      <c r="CO1998" s="496" t="s">
        <v>236</v>
      </c>
      <c r="CP1998" s="496" t="s">
        <v>1511</v>
      </c>
      <c r="CQ1998" s="496" t="s">
        <v>4975</v>
      </c>
      <c r="CR1998" s="496" t="s">
        <v>4976</v>
      </c>
      <c r="CS1998" s="496" t="s">
        <v>1085</v>
      </c>
      <c r="CT1998" s="496" t="s">
        <v>3799</v>
      </c>
      <c r="CU1998" s="496" t="s">
        <v>1087</v>
      </c>
      <c r="CV1998" s="497" t="s">
        <v>1088</v>
      </c>
      <c r="CX1998" s="543">
        <v>1</v>
      </c>
    </row>
    <row r="1999" spans="91:102" ht="21" customHeight="1">
      <c r="CM1999" s="494"/>
      <c r="CN1999" s="496" t="s">
        <v>4977</v>
      </c>
      <c r="CO1999" s="496" t="s">
        <v>236</v>
      </c>
      <c r="CP1999" s="496" t="s">
        <v>1511</v>
      </c>
      <c r="CQ1999" s="496" t="s">
        <v>4978</v>
      </c>
      <c r="CR1999" s="496" t="s">
        <v>4978</v>
      </c>
      <c r="CS1999" s="496" t="s">
        <v>1085</v>
      </c>
      <c r="CT1999" s="496" t="s">
        <v>3799</v>
      </c>
      <c r="CU1999" s="496" t="s">
        <v>1087</v>
      </c>
      <c r="CV1999" s="497" t="s">
        <v>1088</v>
      </c>
      <c r="CX1999" s="543">
        <v>1</v>
      </c>
    </row>
    <row r="2000" spans="91:102" ht="21" customHeight="1">
      <c r="CM2000" s="494"/>
      <c r="CN2000" s="496" t="s">
        <v>4979</v>
      </c>
      <c r="CO2000" s="496" t="s">
        <v>236</v>
      </c>
      <c r="CP2000" s="496" t="s">
        <v>1511</v>
      </c>
      <c r="CQ2000" s="496" t="s">
        <v>1941</v>
      </c>
      <c r="CR2000" s="496" t="s">
        <v>913</v>
      </c>
      <c r="CS2000" s="496" t="s">
        <v>1085</v>
      </c>
      <c r="CT2000" s="496" t="s">
        <v>3799</v>
      </c>
      <c r="CU2000" s="496" t="s">
        <v>1087</v>
      </c>
      <c r="CV2000" s="497" t="s">
        <v>1088</v>
      </c>
      <c r="CX2000" s="543">
        <v>1</v>
      </c>
    </row>
    <row r="2001" spans="91:102" ht="21" customHeight="1">
      <c r="CM2001" s="494"/>
      <c r="CN2001" s="496" t="s">
        <v>4980</v>
      </c>
      <c r="CO2001" s="496" t="s">
        <v>236</v>
      </c>
      <c r="CP2001" s="496" t="s">
        <v>1511</v>
      </c>
      <c r="CQ2001" s="496" t="s">
        <v>4981</v>
      </c>
      <c r="CR2001" s="496" t="s">
        <v>4981</v>
      </c>
      <c r="CS2001" s="496" t="s">
        <v>1085</v>
      </c>
      <c r="CT2001" s="496" t="s">
        <v>3799</v>
      </c>
      <c r="CU2001" s="496" t="s">
        <v>1087</v>
      </c>
      <c r="CV2001" s="497" t="s">
        <v>1088</v>
      </c>
      <c r="CX2001" s="543">
        <v>1</v>
      </c>
    </row>
    <row r="2002" spans="91:102" ht="21" customHeight="1">
      <c r="CM2002" s="494"/>
      <c r="CN2002" s="496" t="s">
        <v>4982</v>
      </c>
      <c r="CO2002" s="496" t="s">
        <v>236</v>
      </c>
      <c r="CP2002" s="496" t="s">
        <v>1511</v>
      </c>
      <c r="CQ2002" s="496" t="s">
        <v>1544</v>
      </c>
      <c r="CR2002" s="496" t="s">
        <v>1544</v>
      </c>
      <c r="CS2002" s="496" t="s">
        <v>1085</v>
      </c>
      <c r="CT2002" s="496" t="s">
        <v>3799</v>
      </c>
      <c r="CU2002" s="496" t="s">
        <v>1087</v>
      </c>
      <c r="CV2002" s="497" t="s">
        <v>1088</v>
      </c>
      <c r="CX2002" s="543">
        <v>1</v>
      </c>
    </row>
    <row r="2003" spans="91:102" ht="21" customHeight="1">
      <c r="CM2003" s="494"/>
      <c r="CN2003" s="496" t="s">
        <v>4983</v>
      </c>
      <c r="CO2003" s="496" t="s">
        <v>236</v>
      </c>
      <c r="CP2003" s="496" t="s">
        <v>1511</v>
      </c>
      <c r="CQ2003" s="496" t="s">
        <v>4984</v>
      </c>
      <c r="CR2003" s="496" t="s">
        <v>4985</v>
      </c>
      <c r="CS2003" s="496" t="s">
        <v>1085</v>
      </c>
      <c r="CT2003" s="496" t="s">
        <v>3799</v>
      </c>
      <c r="CU2003" s="496" t="s">
        <v>1087</v>
      </c>
      <c r="CV2003" s="497" t="s">
        <v>1088</v>
      </c>
      <c r="CX2003" s="543">
        <v>1</v>
      </c>
    </row>
    <row r="2004" spans="91:102" ht="21" customHeight="1">
      <c r="CM2004" s="494"/>
      <c r="CN2004" s="496" t="s">
        <v>4986</v>
      </c>
      <c r="CO2004" s="496" t="s">
        <v>236</v>
      </c>
      <c r="CP2004" s="496" t="s">
        <v>1511</v>
      </c>
      <c r="CQ2004" s="496" t="s">
        <v>4987</v>
      </c>
      <c r="CR2004" s="496" t="s">
        <v>4987</v>
      </c>
      <c r="CS2004" s="496" t="s">
        <v>1085</v>
      </c>
      <c r="CT2004" s="496" t="s">
        <v>3799</v>
      </c>
      <c r="CU2004" s="496" t="s">
        <v>1087</v>
      </c>
      <c r="CV2004" s="497" t="s">
        <v>1088</v>
      </c>
      <c r="CX2004" s="543">
        <v>1</v>
      </c>
    </row>
    <row r="2005" spans="91:102" ht="21" customHeight="1">
      <c r="CM2005" s="494"/>
      <c r="CN2005" s="496" t="s">
        <v>4988</v>
      </c>
      <c r="CO2005" s="496" t="s">
        <v>236</v>
      </c>
      <c r="CP2005" s="496" t="s">
        <v>1511</v>
      </c>
      <c r="CQ2005" s="496" t="s">
        <v>1955</v>
      </c>
      <c r="CR2005" s="496" t="s">
        <v>1955</v>
      </c>
      <c r="CS2005" s="496" t="s">
        <v>1085</v>
      </c>
      <c r="CT2005" s="496" t="s">
        <v>3799</v>
      </c>
      <c r="CU2005" s="496" t="s">
        <v>1087</v>
      </c>
      <c r="CV2005" s="497" t="s">
        <v>1088</v>
      </c>
      <c r="CX2005" s="543">
        <v>1</v>
      </c>
    </row>
    <row r="2006" spans="91:102" ht="21" customHeight="1">
      <c r="CM2006" s="494"/>
      <c r="CN2006" s="496" t="s">
        <v>4989</v>
      </c>
      <c r="CO2006" s="496" t="s">
        <v>12</v>
      </c>
      <c r="CP2006" s="496" t="s">
        <v>689</v>
      </c>
      <c r="CQ2006" s="496" t="s">
        <v>4990</v>
      </c>
      <c r="CR2006" s="496" t="s">
        <v>4990</v>
      </c>
      <c r="CS2006" s="496" t="s">
        <v>1085</v>
      </c>
      <c r="CT2006" s="496" t="s">
        <v>4991</v>
      </c>
      <c r="CU2006" s="496" t="s">
        <v>1087</v>
      </c>
      <c r="CV2006" s="497" t="s">
        <v>1088</v>
      </c>
      <c r="CX2006" s="543">
        <v>1</v>
      </c>
    </row>
    <row r="2007" spans="91:102" ht="21" customHeight="1">
      <c r="CM2007" s="494"/>
      <c r="CN2007" s="496" t="s">
        <v>4992</v>
      </c>
      <c r="CO2007" s="496" t="s">
        <v>12</v>
      </c>
      <c r="CP2007" s="496" t="s">
        <v>689</v>
      </c>
      <c r="CQ2007" s="496" t="s">
        <v>61</v>
      </c>
      <c r="CR2007" s="496" t="s">
        <v>61</v>
      </c>
      <c r="CS2007" s="496" t="s">
        <v>1085</v>
      </c>
      <c r="CT2007" s="496" t="s">
        <v>4991</v>
      </c>
      <c r="CU2007" s="496" t="s">
        <v>1087</v>
      </c>
      <c r="CV2007" s="497" t="s">
        <v>1088</v>
      </c>
      <c r="CX2007" s="543">
        <v>1</v>
      </c>
    </row>
    <row r="2008" spans="91:102" ht="21" customHeight="1">
      <c r="CM2008" s="494"/>
      <c r="CN2008" s="496" t="s">
        <v>4993</v>
      </c>
      <c r="CO2008" s="496" t="s">
        <v>12</v>
      </c>
      <c r="CP2008" s="496" t="s">
        <v>689</v>
      </c>
      <c r="CQ2008" s="496" t="s">
        <v>36</v>
      </c>
      <c r="CR2008" s="496" t="s">
        <v>36</v>
      </c>
      <c r="CS2008" s="496" t="s">
        <v>1085</v>
      </c>
      <c r="CT2008" s="496" t="s">
        <v>4991</v>
      </c>
      <c r="CU2008" s="496" t="s">
        <v>1087</v>
      </c>
      <c r="CV2008" s="497" t="s">
        <v>1088</v>
      </c>
      <c r="CX2008" s="543">
        <v>1</v>
      </c>
    </row>
    <row r="2009" spans="91:102" ht="21" customHeight="1">
      <c r="CM2009" s="494"/>
      <c r="CN2009" s="496" t="s">
        <v>4994</v>
      </c>
      <c r="CO2009" s="496" t="s">
        <v>12</v>
      </c>
      <c r="CP2009" s="496" t="s">
        <v>689</v>
      </c>
      <c r="CQ2009" s="496" t="s">
        <v>48</v>
      </c>
      <c r="CR2009" s="496" t="s">
        <v>48</v>
      </c>
      <c r="CS2009" s="496" t="s">
        <v>1085</v>
      </c>
      <c r="CT2009" s="496" t="s">
        <v>4991</v>
      </c>
      <c r="CU2009" s="496" t="s">
        <v>1087</v>
      </c>
      <c r="CV2009" s="497" t="s">
        <v>1088</v>
      </c>
      <c r="CX2009" s="543">
        <v>1</v>
      </c>
    </row>
    <row r="2010" spans="91:102" ht="21" customHeight="1">
      <c r="CM2010" s="494"/>
      <c r="CN2010" s="496" t="s">
        <v>4995</v>
      </c>
      <c r="CO2010" s="496" t="s">
        <v>12</v>
      </c>
      <c r="CP2010" s="496" t="s">
        <v>689</v>
      </c>
      <c r="CQ2010" s="496" t="s">
        <v>87</v>
      </c>
      <c r="CR2010" s="496" t="s">
        <v>87</v>
      </c>
      <c r="CS2010" s="496" t="s">
        <v>1085</v>
      </c>
      <c r="CT2010" s="496" t="s">
        <v>4991</v>
      </c>
      <c r="CU2010" s="496" t="s">
        <v>1087</v>
      </c>
      <c r="CV2010" s="497" t="s">
        <v>1088</v>
      </c>
      <c r="CX2010" s="543">
        <v>1</v>
      </c>
    </row>
    <row r="2011" spans="91:102" ht="21" customHeight="1">
      <c r="CM2011" s="494"/>
      <c r="CN2011" s="496" t="s">
        <v>4996</v>
      </c>
      <c r="CO2011" s="496" t="s">
        <v>12</v>
      </c>
      <c r="CP2011" s="496" t="s">
        <v>689</v>
      </c>
      <c r="CQ2011" s="496" t="s">
        <v>4997</v>
      </c>
      <c r="CR2011" s="496" t="s">
        <v>4998</v>
      </c>
      <c r="CS2011" s="496" t="s">
        <v>1085</v>
      </c>
      <c r="CT2011" s="496" t="s">
        <v>4991</v>
      </c>
      <c r="CU2011" s="496" t="s">
        <v>1087</v>
      </c>
      <c r="CV2011" s="497" t="s">
        <v>1088</v>
      </c>
      <c r="CX2011" s="543">
        <v>1</v>
      </c>
    </row>
    <row r="2012" spans="91:102" ht="21" customHeight="1">
      <c r="CM2012" s="494"/>
      <c r="CN2012" s="496" t="s">
        <v>4999</v>
      </c>
      <c r="CO2012" s="496" t="s">
        <v>12</v>
      </c>
      <c r="CP2012" s="496" t="s">
        <v>689</v>
      </c>
      <c r="CQ2012" s="496" t="s">
        <v>25</v>
      </c>
      <c r="CR2012" s="496" t="s">
        <v>25</v>
      </c>
      <c r="CS2012" s="496" t="s">
        <v>1085</v>
      </c>
      <c r="CT2012" s="496" t="s">
        <v>4991</v>
      </c>
      <c r="CU2012" s="496" t="s">
        <v>1087</v>
      </c>
      <c r="CV2012" s="497" t="s">
        <v>1088</v>
      </c>
      <c r="CX2012" s="543">
        <v>1</v>
      </c>
    </row>
    <row r="2013" spans="91:102" ht="21" customHeight="1">
      <c r="CM2013" s="494"/>
      <c r="CN2013" s="496" t="s">
        <v>5000</v>
      </c>
      <c r="CO2013" s="496" t="s">
        <v>12</v>
      </c>
      <c r="CP2013" s="496" t="s">
        <v>689</v>
      </c>
      <c r="CQ2013" s="496" t="s">
        <v>5001</v>
      </c>
      <c r="CR2013" s="496" t="s">
        <v>5002</v>
      </c>
      <c r="CS2013" s="496" t="s">
        <v>1085</v>
      </c>
      <c r="CT2013" s="496" t="s">
        <v>4991</v>
      </c>
      <c r="CU2013" s="496" t="s">
        <v>1087</v>
      </c>
      <c r="CV2013" s="497" t="s">
        <v>1088</v>
      </c>
      <c r="CX2013" s="543">
        <v>1</v>
      </c>
    </row>
    <row r="2014" spans="91:102" ht="21" customHeight="1">
      <c r="CM2014" s="494"/>
      <c r="CN2014" s="496" t="s">
        <v>5003</v>
      </c>
      <c r="CO2014" s="496" t="s">
        <v>12</v>
      </c>
      <c r="CP2014" s="496" t="s">
        <v>689</v>
      </c>
      <c r="CQ2014" s="496" t="s">
        <v>5004</v>
      </c>
      <c r="CR2014" s="496" t="s">
        <v>5004</v>
      </c>
      <c r="CS2014" s="496" t="s">
        <v>1085</v>
      </c>
      <c r="CT2014" s="496" t="s">
        <v>4991</v>
      </c>
      <c r="CU2014" s="496" t="s">
        <v>1087</v>
      </c>
      <c r="CV2014" s="497" t="s">
        <v>1088</v>
      </c>
      <c r="CX2014" s="543">
        <v>1</v>
      </c>
    </row>
    <row r="2015" spans="91:102" ht="21" customHeight="1">
      <c r="CM2015" s="494"/>
      <c r="CN2015" s="496" t="s">
        <v>5005</v>
      </c>
      <c r="CO2015" s="496" t="s">
        <v>12</v>
      </c>
      <c r="CP2015" s="496" t="s">
        <v>689</v>
      </c>
      <c r="CQ2015" s="496" t="s">
        <v>5006</v>
      </c>
      <c r="CR2015" s="496" t="s">
        <v>5006</v>
      </c>
      <c r="CS2015" s="496" t="s">
        <v>1085</v>
      </c>
      <c r="CT2015" s="496" t="s">
        <v>4991</v>
      </c>
      <c r="CU2015" s="496" t="s">
        <v>1087</v>
      </c>
      <c r="CV2015" s="497" t="s">
        <v>1088</v>
      </c>
      <c r="CX2015" s="543">
        <v>1</v>
      </c>
    </row>
    <row r="2016" spans="91:102" ht="21" customHeight="1">
      <c r="CM2016" s="494"/>
      <c r="CN2016" s="496" t="s">
        <v>5007</v>
      </c>
      <c r="CO2016" s="496" t="s">
        <v>12</v>
      </c>
      <c r="CP2016" s="496" t="s">
        <v>689</v>
      </c>
      <c r="CQ2016" s="496" t="s">
        <v>74</v>
      </c>
      <c r="CR2016" s="496" t="s">
        <v>74</v>
      </c>
      <c r="CS2016" s="496" t="s">
        <v>1085</v>
      </c>
      <c r="CT2016" s="496" t="s">
        <v>4991</v>
      </c>
      <c r="CU2016" s="496" t="s">
        <v>1087</v>
      </c>
      <c r="CV2016" s="497" t="s">
        <v>1088</v>
      </c>
      <c r="CX2016" s="543">
        <v>1</v>
      </c>
    </row>
    <row r="2017" spans="91:102" ht="21" customHeight="1">
      <c r="CM2017" s="494"/>
      <c r="CN2017" s="496" t="s">
        <v>5008</v>
      </c>
      <c r="CO2017" s="496" t="s">
        <v>12</v>
      </c>
      <c r="CP2017" s="496" t="s">
        <v>689</v>
      </c>
      <c r="CQ2017" s="496" t="s">
        <v>5009</v>
      </c>
      <c r="CR2017" s="496" t="s">
        <v>5009</v>
      </c>
      <c r="CS2017" s="496" t="s">
        <v>1085</v>
      </c>
      <c r="CT2017" s="496" t="s">
        <v>4991</v>
      </c>
      <c r="CU2017" s="496" t="s">
        <v>1087</v>
      </c>
      <c r="CV2017" s="497" t="s">
        <v>1088</v>
      </c>
      <c r="CX2017" s="543">
        <v>1</v>
      </c>
    </row>
    <row r="2018" spans="91:102" ht="21" customHeight="1">
      <c r="CM2018" s="494"/>
      <c r="CN2018" s="496" t="s">
        <v>5010</v>
      </c>
      <c r="CO2018" s="496" t="s">
        <v>12</v>
      </c>
      <c r="CP2018" s="496" t="s">
        <v>689</v>
      </c>
      <c r="CQ2018" s="496" t="s">
        <v>344</v>
      </c>
      <c r="CR2018" s="496" t="s">
        <v>344</v>
      </c>
      <c r="CS2018" s="496" t="s">
        <v>1151</v>
      </c>
      <c r="CT2018" s="496" t="s">
        <v>1152</v>
      </c>
      <c r="CU2018" s="496" t="s">
        <v>1087</v>
      </c>
      <c r="CV2018" s="497" t="s">
        <v>1153</v>
      </c>
      <c r="CX2018" s="543">
        <v>1</v>
      </c>
    </row>
    <row r="2019" spans="91:102" ht="21" customHeight="1">
      <c r="CM2019" s="494"/>
      <c r="CN2019" s="496" t="s">
        <v>5011</v>
      </c>
      <c r="CO2019" s="496" t="s">
        <v>12</v>
      </c>
      <c r="CP2019" s="496" t="s">
        <v>689</v>
      </c>
      <c r="CQ2019" s="496" t="s">
        <v>5012</v>
      </c>
      <c r="CR2019" s="496" t="s">
        <v>5012</v>
      </c>
      <c r="CS2019" s="496" t="s">
        <v>1151</v>
      </c>
      <c r="CT2019" s="496" t="s">
        <v>1152</v>
      </c>
      <c r="CU2019" s="496" t="s">
        <v>1087</v>
      </c>
      <c r="CV2019" s="497" t="s">
        <v>1153</v>
      </c>
      <c r="CX2019" s="543">
        <v>1</v>
      </c>
    </row>
    <row r="2020" spans="91:102" ht="21" customHeight="1">
      <c r="CM2020" s="494"/>
      <c r="CN2020" s="496" t="s">
        <v>5013</v>
      </c>
      <c r="CO2020" s="496" t="s">
        <v>12</v>
      </c>
      <c r="CP2020" s="496" t="s">
        <v>689</v>
      </c>
      <c r="CQ2020" s="496" t="s">
        <v>5014</v>
      </c>
      <c r="CR2020" s="496" t="s">
        <v>5014</v>
      </c>
      <c r="CS2020" s="496" t="s">
        <v>1151</v>
      </c>
      <c r="CT2020" s="496" t="s">
        <v>1152</v>
      </c>
      <c r="CU2020" s="496" t="s">
        <v>1087</v>
      </c>
      <c r="CV2020" s="497" t="s">
        <v>1153</v>
      </c>
      <c r="CX2020" s="543">
        <v>1</v>
      </c>
    </row>
    <row r="2021" spans="91:102" ht="21" customHeight="1">
      <c r="CM2021" s="494"/>
      <c r="CN2021" s="496" t="s">
        <v>5015</v>
      </c>
      <c r="CO2021" s="496" t="s">
        <v>12</v>
      </c>
      <c r="CP2021" s="496" t="s">
        <v>689</v>
      </c>
      <c r="CQ2021" s="496" t="s">
        <v>1015</v>
      </c>
      <c r="CR2021" s="496" t="s">
        <v>1015</v>
      </c>
      <c r="CS2021" s="496" t="s">
        <v>1085</v>
      </c>
      <c r="CT2021" s="496" t="s">
        <v>4991</v>
      </c>
      <c r="CU2021" s="496" t="s">
        <v>1087</v>
      </c>
      <c r="CV2021" s="497" t="s">
        <v>1088</v>
      </c>
      <c r="CX2021" s="543">
        <v>1</v>
      </c>
    </row>
    <row r="2022" spans="91:102" ht="21" customHeight="1">
      <c r="CM2022" s="494"/>
      <c r="CN2022" s="496" t="s">
        <v>5016</v>
      </c>
      <c r="CO2022" s="496" t="s">
        <v>12</v>
      </c>
      <c r="CP2022" s="496" t="s">
        <v>689</v>
      </c>
      <c r="CQ2022" s="496" t="s">
        <v>5017</v>
      </c>
      <c r="CR2022" s="496" t="s">
        <v>5017</v>
      </c>
      <c r="CS2022" s="496" t="s">
        <v>1085</v>
      </c>
      <c r="CT2022" s="496" t="s">
        <v>4991</v>
      </c>
      <c r="CU2022" s="496" t="s">
        <v>1087</v>
      </c>
      <c r="CV2022" s="497" t="s">
        <v>1088</v>
      </c>
      <c r="CX2022" s="543">
        <v>1</v>
      </c>
    </row>
    <row r="2023" spans="91:102" ht="21" customHeight="1">
      <c r="CM2023" s="494"/>
      <c r="CN2023" s="496" t="s">
        <v>5018</v>
      </c>
      <c r="CO2023" s="496" t="s">
        <v>12</v>
      </c>
      <c r="CP2023" s="496" t="s">
        <v>689</v>
      </c>
      <c r="CQ2023" s="496" t="s">
        <v>5019</v>
      </c>
      <c r="CR2023" s="496" t="s">
        <v>5020</v>
      </c>
      <c r="CS2023" s="496" t="s">
        <v>1085</v>
      </c>
      <c r="CT2023" s="496" t="s">
        <v>4991</v>
      </c>
      <c r="CU2023" s="496" t="s">
        <v>1087</v>
      </c>
      <c r="CV2023" s="497" t="s">
        <v>1088</v>
      </c>
      <c r="CX2023" s="543">
        <v>1</v>
      </c>
    </row>
    <row r="2024" spans="91:102" ht="21" customHeight="1">
      <c r="CM2024" s="494"/>
      <c r="CN2024" s="496" t="s">
        <v>5021</v>
      </c>
      <c r="CO2024" s="496" t="s">
        <v>12</v>
      </c>
      <c r="CP2024" s="496" t="s">
        <v>1511</v>
      </c>
      <c r="CQ2024" s="496" t="s">
        <v>1522</v>
      </c>
      <c r="CR2024" s="496" t="s">
        <v>1522</v>
      </c>
      <c r="CS2024" s="496" t="s">
        <v>1085</v>
      </c>
      <c r="CT2024" s="496" t="s">
        <v>3799</v>
      </c>
      <c r="CU2024" s="496" t="s">
        <v>1087</v>
      </c>
      <c r="CV2024" s="497" t="s">
        <v>1088</v>
      </c>
      <c r="CX2024" s="543">
        <v>1</v>
      </c>
    </row>
    <row r="2025" spans="91:102" ht="21" customHeight="1">
      <c r="CM2025" s="494"/>
      <c r="CN2025" s="496" t="s">
        <v>5022</v>
      </c>
      <c r="CO2025" s="496" t="s">
        <v>12</v>
      </c>
      <c r="CP2025" s="496" t="s">
        <v>1511</v>
      </c>
      <c r="CQ2025" s="496" t="s">
        <v>5023</v>
      </c>
      <c r="CR2025" s="496" t="s">
        <v>5023</v>
      </c>
      <c r="CS2025" s="496" t="s">
        <v>1085</v>
      </c>
      <c r="CT2025" s="496" t="s">
        <v>3799</v>
      </c>
      <c r="CU2025" s="496" t="s">
        <v>1087</v>
      </c>
      <c r="CV2025" s="497" t="s">
        <v>1088</v>
      </c>
      <c r="CX2025" s="543">
        <v>1</v>
      </c>
    </row>
    <row r="2026" spans="91:102" ht="21" customHeight="1">
      <c r="CM2026" s="494"/>
      <c r="CN2026" s="496" t="s">
        <v>5024</v>
      </c>
      <c r="CO2026" s="496" t="s">
        <v>12</v>
      </c>
      <c r="CP2026" s="496" t="s">
        <v>1511</v>
      </c>
      <c r="CQ2026" s="496" t="s">
        <v>5025</v>
      </c>
      <c r="CR2026" s="496" t="s">
        <v>5025</v>
      </c>
      <c r="CS2026" s="496" t="s">
        <v>1085</v>
      </c>
      <c r="CT2026" s="496" t="s">
        <v>3799</v>
      </c>
      <c r="CU2026" s="496" t="s">
        <v>1087</v>
      </c>
      <c r="CV2026" s="497" t="s">
        <v>1088</v>
      </c>
      <c r="CX2026" s="543">
        <v>1</v>
      </c>
    </row>
    <row r="2027" spans="91:102" ht="21" customHeight="1">
      <c r="CM2027" s="494"/>
      <c r="CN2027" s="496" t="s">
        <v>5026</v>
      </c>
      <c r="CO2027" s="496" t="s">
        <v>12</v>
      </c>
      <c r="CP2027" s="496" t="s">
        <v>1511</v>
      </c>
      <c r="CQ2027" s="496" t="s">
        <v>351</v>
      </c>
      <c r="CR2027" s="496" t="s">
        <v>351</v>
      </c>
      <c r="CS2027" s="496" t="s">
        <v>1085</v>
      </c>
      <c r="CT2027" s="496" t="s">
        <v>3799</v>
      </c>
      <c r="CU2027" s="496" t="s">
        <v>1087</v>
      </c>
      <c r="CV2027" s="497" t="s">
        <v>1088</v>
      </c>
      <c r="CX2027" s="543">
        <v>1</v>
      </c>
    </row>
    <row r="2028" spans="91:102" ht="21" customHeight="1">
      <c r="CM2028" s="494"/>
      <c r="CN2028" s="496" t="s">
        <v>5027</v>
      </c>
      <c r="CO2028" s="496" t="s">
        <v>12</v>
      </c>
      <c r="CP2028" s="496" t="s">
        <v>1511</v>
      </c>
      <c r="CQ2028" s="496" t="s">
        <v>1941</v>
      </c>
      <c r="CR2028" s="496" t="s">
        <v>913</v>
      </c>
      <c r="CS2028" s="496" t="s">
        <v>1085</v>
      </c>
      <c r="CT2028" s="496" t="s">
        <v>3799</v>
      </c>
      <c r="CU2028" s="496" t="s">
        <v>1087</v>
      </c>
      <c r="CV2028" s="497" t="s">
        <v>1088</v>
      </c>
      <c r="CX2028" s="543">
        <v>1</v>
      </c>
    </row>
    <row r="2029" spans="91:102" ht="21" customHeight="1">
      <c r="CM2029" s="494"/>
      <c r="CN2029" s="496" t="s">
        <v>5028</v>
      </c>
      <c r="CO2029" s="496" t="s">
        <v>12</v>
      </c>
      <c r="CP2029" s="496" t="s">
        <v>1511</v>
      </c>
      <c r="CQ2029" s="496" t="s">
        <v>5029</v>
      </c>
      <c r="CR2029" s="496" t="s">
        <v>5029</v>
      </c>
      <c r="CS2029" s="496" t="s">
        <v>1085</v>
      </c>
      <c r="CT2029" s="496" t="s">
        <v>3799</v>
      </c>
      <c r="CU2029" s="496" t="s">
        <v>1087</v>
      </c>
      <c r="CV2029" s="497" t="s">
        <v>1088</v>
      </c>
      <c r="CX2029" s="543">
        <v>1</v>
      </c>
    </row>
    <row r="2030" spans="91:102" ht="21" customHeight="1">
      <c r="CM2030" s="494"/>
      <c r="CN2030" s="496" t="s">
        <v>5030</v>
      </c>
      <c r="CO2030" s="496" t="s">
        <v>12</v>
      </c>
      <c r="CP2030" s="496" t="s">
        <v>1511</v>
      </c>
      <c r="CQ2030" s="496" t="s">
        <v>5031</v>
      </c>
      <c r="CR2030" s="496" t="s">
        <v>5031</v>
      </c>
      <c r="CS2030" s="496" t="s">
        <v>1085</v>
      </c>
      <c r="CT2030" s="496" t="s">
        <v>3799</v>
      </c>
      <c r="CU2030" s="496" t="s">
        <v>1087</v>
      </c>
      <c r="CV2030" s="497" t="s">
        <v>1088</v>
      </c>
      <c r="CX2030" s="543">
        <v>1</v>
      </c>
    </row>
    <row r="2031" spans="91:102" ht="21" customHeight="1">
      <c r="CM2031" s="494"/>
      <c r="CN2031" s="496" t="s">
        <v>5032</v>
      </c>
      <c r="CO2031" s="496" t="s">
        <v>12</v>
      </c>
      <c r="CP2031" s="496" t="s">
        <v>1511</v>
      </c>
      <c r="CQ2031" s="496" t="s">
        <v>5033</v>
      </c>
      <c r="CR2031" s="496" t="s">
        <v>5033</v>
      </c>
      <c r="CS2031" s="496" t="s">
        <v>1085</v>
      </c>
      <c r="CT2031" s="496" t="s">
        <v>3799</v>
      </c>
      <c r="CU2031" s="496" t="s">
        <v>1087</v>
      </c>
      <c r="CV2031" s="497" t="s">
        <v>1088</v>
      </c>
      <c r="CX2031" s="543">
        <v>1</v>
      </c>
    </row>
    <row r="2032" spans="91:102" ht="21" customHeight="1">
      <c r="CM2032" s="494"/>
      <c r="CN2032" s="496" t="s">
        <v>5034</v>
      </c>
      <c r="CO2032" s="496" t="s">
        <v>12</v>
      </c>
      <c r="CP2032" s="496" t="s">
        <v>1511</v>
      </c>
      <c r="CQ2032" s="496" t="s">
        <v>1902</v>
      </c>
      <c r="CR2032" s="496" t="s">
        <v>1902</v>
      </c>
      <c r="CS2032" s="496" t="s">
        <v>1085</v>
      </c>
      <c r="CT2032" s="496" t="s">
        <v>3799</v>
      </c>
      <c r="CU2032" s="496" t="s">
        <v>1087</v>
      </c>
      <c r="CV2032" s="497" t="s">
        <v>1088</v>
      </c>
      <c r="CX2032" s="543">
        <v>1</v>
      </c>
    </row>
    <row r="2033" spans="91:102" ht="21" customHeight="1">
      <c r="CM2033" s="494"/>
      <c r="CN2033" s="496" t="s">
        <v>5035</v>
      </c>
      <c r="CO2033" s="496" t="s">
        <v>12</v>
      </c>
      <c r="CP2033" s="496" t="s">
        <v>1511</v>
      </c>
      <c r="CQ2033" s="496" t="s">
        <v>1905</v>
      </c>
      <c r="CR2033" s="496" t="s">
        <v>1906</v>
      </c>
      <c r="CS2033" s="496" t="s">
        <v>1085</v>
      </c>
      <c r="CT2033" s="496" t="s">
        <v>3799</v>
      </c>
      <c r="CU2033" s="496" t="s">
        <v>1087</v>
      </c>
      <c r="CV2033" s="497" t="s">
        <v>1088</v>
      </c>
      <c r="CX2033" s="543">
        <v>1</v>
      </c>
    </row>
    <row r="2034" spans="91:102" ht="21" customHeight="1">
      <c r="CM2034" s="494"/>
      <c r="CN2034" s="496" t="s">
        <v>5036</v>
      </c>
      <c r="CO2034" s="496" t="s">
        <v>12</v>
      </c>
      <c r="CP2034" s="496" t="s">
        <v>1511</v>
      </c>
      <c r="CQ2034" s="496" t="s">
        <v>1016</v>
      </c>
      <c r="CR2034" s="496" t="s">
        <v>1016</v>
      </c>
      <c r="CS2034" s="496" t="s">
        <v>1085</v>
      </c>
      <c r="CT2034" s="496" t="s">
        <v>3799</v>
      </c>
      <c r="CU2034" s="496" t="s">
        <v>1087</v>
      </c>
      <c r="CV2034" s="497" t="s">
        <v>1088</v>
      </c>
      <c r="CX2034" s="543">
        <v>1</v>
      </c>
    </row>
    <row r="2035" spans="91:102" ht="21" customHeight="1">
      <c r="CM2035" s="494"/>
      <c r="CN2035" s="496" t="s">
        <v>5037</v>
      </c>
      <c r="CO2035" s="496" t="s">
        <v>12</v>
      </c>
      <c r="CP2035" s="496" t="s">
        <v>1511</v>
      </c>
      <c r="CQ2035" s="496" t="s">
        <v>1544</v>
      </c>
      <c r="CR2035" s="496" t="s">
        <v>1544</v>
      </c>
      <c r="CS2035" s="496" t="s">
        <v>1085</v>
      </c>
      <c r="CT2035" s="496" t="s">
        <v>3799</v>
      </c>
      <c r="CU2035" s="496" t="s">
        <v>1087</v>
      </c>
      <c r="CV2035" s="497" t="s">
        <v>1088</v>
      </c>
      <c r="CX2035" s="543">
        <v>1</v>
      </c>
    </row>
    <row r="2036" spans="91:102" ht="21" customHeight="1">
      <c r="CM2036" s="494"/>
      <c r="CN2036" s="496" t="s">
        <v>5038</v>
      </c>
      <c r="CO2036" s="496" t="s">
        <v>12</v>
      </c>
      <c r="CP2036" s="496" t="s">
        <v>1511</v>
      </c>
      <c r="CQ2036" s="496" t="s">
        <v>1546</v>
      </c>
      <c r="CR2036" s="496" t="s">
        <v>1546</v>
      </c>
      <c r="CS2036" s="496" t="s">
        <v>1085</v>
      </c>
      <c r="CT2036" s="496" t="s">
        <v>3799</v>
      </c>
      <c r="CU2036" s="496" t="s">
        <v>1087</v>
      </c>
      <c r="CV2036" s="497" t="s">
        <v>1088</v>
      </c>
      <c r="CX2036" s="543">
        <v>1</v>
      </c>
    </row>
    <row r="2037" spans="91:102" ht="21" customHeight="1">
      <c r="CM2037" s="494"/>
      <c r="CN2037" s="496" t="s">
        <v>5039</v>
      </c>
      <c r="CO2037" s="496" t="s">
        <v>12</v>
      </c>
      <c r="CP2037" s="496" t="s">
        <v>1511</v>
      </c>
      <c r="CQ2037" s="496" t="s">
        <v>1955</v>
      </c>
      <c r="CR2037" s="496" t="s">
        <v>1955</v>
      </c>
      <c r="CS2037" s="496" t="s">
        <v>1085</v>
      </c>
      <c r="CT2037" s="496" t="s">
        <v>3799</v>
      </c>
      <c r="CU2037" s="496" t="s">
        <v>1087</v>
      </c>
      <c r="CV2037" s="497" t="s">
        <v>1088</v>
      </c>
      <c r="CX2037" s="543">
        <v>1</v>
      </c>
    </row>
    <row r="2038" spans="91:102" ht="21" customHeight="1">
      <c r="CM2038" s="494"/>
      <c r="CN2038" s="496" t="s">
        <v>5040</v>
      </c>
      <c r="CO2038" s="496" t="s">
        <v>12</v>
      </c>
      <c r="CP2038" s="496" t="s">
        <v>1511</v>
      </c>
      <c r="CQ2038" s="496" t="s">
        <v>1017</v>
      </c>
      <c r="CR2038" s="496" t="s">
        <v>1017</v>
      </c>
      <c r="CS2038" s="496" t="s">
        <v>1085</v>
      </c>
      <c r="CT2038" s="496" t="s">
        <v>3799</v>
      </c>
      <c r="CU2038" s="496" t="s">
        <v>1087</v>
      </c>
      <c r="CV2038" s="497" t="s">
        <v>1088</v>
      </c>
      <c r="CX2038" s="543">
        <v>1</v>
      </c>
    </row>
    <row r="2039" spans="91:102" ht="21" customHeight="1">
      <c r="CM2039" s="494"/>
      <c r="CN2039" s="496" t="s">
        <v>5041</v>
      </c>
      <c r="CO2039" s="496" t="s">
        <v>243</v>
      </c>
      <c r="CP2039" s="496" t="s">
        <v>689</v>
      </c>
      <c r="CQ2039" s="496" t="s">
        <v>5042</v>
      </c>
      <c r="CR2039" s="496" t="s">
        <v>5042</v>
      </c>
      <c r="CS2039" s="496" t="s">
        <v>1085</v>
      </c>
      <c r="CT2039" s="496" t="s">
        <v>5043</v>
      </c>
      <c r="CU2039" s="496" t="s">
        <v>1087</v>
      </c>
      <c r="CV2039" s="497" t="s">
        <v>1088</v>
      </c>
      <c r="CX2039" s="543">
        <v>1</v>
      </c>
    </row>
    <row r="2040" spans="91:102" ht="21" customHeight="1">
      <c r="CM2040" s="494"/>
      <c r="CN2040" s="496" t="s">
        <v>5044</v>
      </c>
      <c r="CO2040" s="496" t="s">
        <v>243</v>
      </c>
      <c r="CP2040" s="496" t="s">
        <v>689</v>
      </c>
      <c r="CQ2040" s="496" t="s">
        <v>128</v>
      </c>
      <c r="CR2040" s="496" t="s">
        <v>128</v>
      </c>
      <c r="CS2040" s="496" t="s">
        <v>1085</v>
      </c>
      <c r="CT2040" s="496" t="s">
        <v>5043</v>
      </c>
      <c r="CU2040" s="496" t="s">
        <v>1087</v>
      </c>
      <c r="CV2040" s="497" t="s">
        <v>1088</v>
      </c>
      <c r="CX2040" s="543">
        <v>1</v>
      </c>
    </row>
    <row r="2041" spans="91:102" ht="21" customHeight="1">
      <c r="CM2041" s="494"/>
      <c r="CN2041" s="496" t="s">
        <v>5045</v>
      </c>
      <c r="CO2041" s="496" t="s">
        <v>243</v>
      </c>
      <c r="CP2041" s="496" t="s">
        <v>689</v>
      </c>
      <c r="CQ2041" s="496" t="s">
        <v>5046</v>
      </c>
      <c r="CR2041" s="496" t="s">
        <v>49</v>
      </c>
      <c r="CS2041" s="496" t="s">
        <v>1085</v>
      </c>
      <c r="CT2041" s="496" t="s">
        <v>5043</v>
      </c>
      <c r="CU2041" s="496" t="s">
        <v>1087</v>
      </c>
      <c r="CV2041" s="497" t="s">
        <v>1088</v>
      </c>
      <c r="CX2041" s="543">
        <v>1</v>
      </c>
    </row>
    <row r="2042" spans="91:102" ht="21" customHeight="1">
      <c r="CM2042" s="494"/>
      <c r="CN2042" s="496" t="s">
        <v>5047</v>
      </c>
      <c r="CO2042" s="496" t="s">
        <v>243</v>
      </c>
      <c r="CP2042" s="496" t="s">
        <v>689</v>
      </c>
      <c r="CQ2042" s="496" t="s">
        <v>5048</v>
      </c>
      <c r="CR2042" s="496" t="s">
        <v>37</v>
      </c>
      <c r="CS2042" s="496" t="s">
        <v>1085</v>
      </c>
      <c r="CT2042" s="496" t="s">
        <v>5043</v>
      </c>
      <c r="CU2042" s="496" t="s">
        <v>1087</v>
      </c>
      <c r="CV2042" s="497" t="s">
        <v>1088</v>
      </c>
      <c r="CX2042" s="543">
        <v>1</v>
      </c>
    </row>
    <row r="2043" spans="91:102" ht="21" customHeight="1">
      <c r="CM2043" s="494"/>
      <c r="CN2043" s="496" t="s">
        <v>5049</v>
      </c>
      <c r="CO2043" s="496" t="s">
        <v>243</v>
      </c>
      <c r="CP2043" s="496" t="s">
        <v>689</v>
      </c>
      <c r="CQ2043" s="496" t="s">
        <v>5050</v>
      </c>
      <c r="CR2043" s="496" t="s">
        <v>5050</v>
      </c>
      <c r="CS2043" s="496" t="s">
        <v>1085</v>
      </c>
      <c r="CT2043" s="496" t="s">
        <v>5043</v>
      </c>
      <c r="CU2043" s="496" t="s">
        <v>1087</v>
      </c>
      <c r="CV2043" s="497" t="s">
        <v>1088</v>
      </c>
      <c r="CX2043" s="543">
        <v>1</v>
      </c>
    </row>
    <row r="2044" spans="91:102" ht="21" customHeight="1">
      <c r="CM2044" s="494"/>
      <c r="CN2044" s="496" t="s">
        <v>5051</v>
      </c>
      <c r="CO2044" s="496" t="s">
        <v>243</v>
      </c>
      <c r="CP2044" s="496" t="s">
        <v>689</v>
      </c>
      <c r="CQ2044" s="496" t="s">
        <v>5052</v>
      </c>
      <c r="CR2044" s="496" t="s">
        <v>5052</v>
      </c>
      <c r="CS2044" s="496" t="s">
        <v>1085</v>
      </c>
      <c r="CT2044" s="496" t="s">
        <v>5043</v>
      </c>
      <c r="CU2044" s="496" t="s">
        <v>1087</v>
      </c>
      <c r="CV2044" s="497" t="s">
        <v>1088</v>
      </c>
      <c r="CX2044" s="543">
        <v>1</v>
      </c>
    </row>
    <row r="2045" spans="91:102" ht="21" customHeight="1">
      <c r="CM2045" s="494"/>
      <c r="CN2045" s="496" t="s">
        <v>5053</v>
      </c>
      <c r="CO2045" s="496" t="s">
        <v>243</v>
      </c>
      <c r="CP2045" s="496" t="s">
        <v>689</v>
      </c>
      <c r="CQ2045" s="496" t="s">
        <v>5054</v>
      </c>
      <c r="CR2045" s="496" t="s">
        <v>62</v>
      </c>
      <c r="CS2045" s="496" t="s">
        <v>1085</v>
      </c>
      <c r="CT2045" s="496" t="s">
        <v>5043</v>
      </c>
      <c r="CU2045" s="496" t="s">
        <v>1087</v>
      </c>
      <c r="CV2045" s="497" t="s">
        <v>1088</v>
      </c>
      <c r="CX2045" s="543">
        <v>1</v>
      </c>
    </row>
    <row r="2046" spans="91:102" ht="21" customHeight="1">
      <c r="CM2046" s="494"/>
      <c r="CN2046" s="496" t="s">
        <v>5055</v>
      </c>
      <c r="CO2046" s="496" t="s">
        <v>243</v>
      </c>
      <c r="CP2046" s="496" t="s">
        <v>689</v>
      </c>
      <c r="CQ2046" s="496" t="s">
        <v>5056</v>
      </c>
      <c r="CR2046" s="496" t="s">
        <v>5057</v>
      </c>
      <c r="CS2046" s="496" t="s">
        <v>1085</v>
      </c>
      <c r="CT2046" s="496" t="s">
        <v>5043</v>
      </c>
      <c r="CU2046" s="496" t="s">
        <v>1087</v>
      </c>
      <c r="CV2046" s="497" t="s">
        <v>1088</v>
      </c>
      <c r="CX2046" s="543">
        <v>1</v>
      </c>
    </row>
    <row r="2047" spans="91:102" ht="21" customHeight="1">
      <c r="CM2047" s="494"/>
      <c r="CN2047" s="496" t="s">
        <v>5058</v>
      </c>
      <c r="CO2047" s="496" t="s">
        <v>243</v>
      </c>
      <c r="CP2047" s="496" t="s">
        <v>689</v>
      </c>
      <c r="CQ2047" s="496" t="s">
        <v>5059</v>
      </c>
      <c r="CR2047" s="496" t="s">
        <v>115</v>
      </c>
      <c r="CS2047" s="496" t="s">
        <v>1085</v>
      </c>
      <c r="CT2047" s="496" t="s">
        <v>5043</v>
      </c>
      <c r="CU2047" s="496" t="s">
        <v>1087</v>
      </c>
      <c r="CV2047" s="497" t="s">
        <v>1088</v>
      </c>
      <c r="CX2047" s="543">
        <v>1</v>
      </c>
    </row>
    <row r="2048" spans="91:102" ht="21" customHeight="1">
      <c r="CM2048" s="494"/>
      <c r="CN2048" s="496" t="s">
        <v>5060</v>
      </c>
      <c r="CO2048" s="496" t="s">
        <v>243</v>
      </c>
      <c r="CP2048" s="496" t="s">
        <v>689</v>
      </c>
      <c r="CQ2048" s="496" t="s">
        <v>5061</v>
      </c>
      <c r="CR2048" s="496" t="s">
        <v>100</v>
      </c>
      <c r="CS2048" s="496" t="s">
        <v>1085</v>
      </c>
      <c r="CT2048" s="496" t="s">
        <v>5043</v>
      </c>
      <c r="CU2048" s="496" t="s">
        <v>1087</v>
      </c>
      <c r="CV2048" s="497" t="s">
        <v>1088</v>
      </c>
      <c r="CX2048" s="543">
        <v>1</v>
      </c>
    </row>
    <row r="2049" spans="91:102" ht="21" customHeight="1">
      <c r="CM2049" s="494"/>
      <c r="CN2049" s="496" t="s">
        <v>5062</v>
      </c>
      <c r="CO2049" s="496" t="s">
        <v>243</v>
      </c>
      <c r="CP2049" s="496" t="s">
        <v>689</v>
      </c>
      <c r="CQ2049" s="496" t="s">
        <v>5063</v>
      </c>
      <c r="CR2049" s="496" t="s">
        <v>3</v>
      </c>
      <c r="CS2049" s="496" t="s">
        <v>1085</v>
      </c>
      <c r="CT2049" s="496" t="s">
        <v>5043</v>
      </c>
      <c r="CU2049" s="496" t="s">
        <v>1087</v>
      </c>
      <c r="CV2049" s="497" t="s">
        <v>1088</v>
      </c>
      <c r="CX2049" s="543">
        <v>1</v>
      </c>
    </row>
    <row r="2050" spans="91:102" ht="21" customHeight="1">
      <c r="CM2050" s="494"/>
      <c r="CN2050" s="496" t="s">
        <v>5064</v>
      </c>
      <c r="CO2050" s="496" t="s">
        <v>243</v>
      </c>
      <c r="CP2050" s="496" t="s">
        <v>689</v>
      </c>
      <c r="CQ2050" s="496" t="s">
        <v>5065</v>
      </c>
      <c r="CR2050" s="496" t="s">
        <v>5066</v>
      </c>
      <c r="CS2050" s="496" t="s">
        <v>1085</v>
      </c>
      <c r="CT2050" s="496" t="s">
        <v>5043</v>
      </c>
      <c r="CU2050" s="496" t="s">
        <v>1087</v>
      </c>
      <c r="CV2050" s="497" t="s">
        <v>1088</v>
      </c>
      <c r="CX2050" s="543">
        <v>1</v>
      </c>
    </row>
    <row r="2051" spans="91:102" ht="21" customHeight="1">
      <c r="CM2051" s="494"/>
      <c r="CN2051" s="496" t="s">
        <v>5067</v>
      </c>
      <c r="CO2051" s="496" t="s">
        <v>243</v>
      </c>
      <c r="CP2051" s="496" t="s">
        <v>689</v>
      </c>
      <c r="CQ2051" s="496" t="s">
        <v>5068</v>
      </c>
      <c r="CR2051" s="496" t="s">
        <v>5069</v>
      </c>
      <c r="CS2051" s="496" t="s">
        <v>1085</v>
      </c>
      <c r="CT2051" s="496" t="s">
        <v>5043</v>
      </c>
      <c r="CU2051" s="496" t="s">
        <v>1087</v>
      </c>
      <c r="CV2051" s="497" t="s">
        <v>1088</v>
      </c>
      <c r="CX2051" s="543">
        <v>1</v>
      </c>
    </row>
    <row r="2052" spans="91:102" ht="21" customHeight="1">
      <c r="CM2052" s="494"/>
      <c r="CN2052" s="496" t="s">
        <v>5070</v>
      </c>
      <c r="CO2052" s="496" t="s">
        <v>243</v>
      </c>
      <c r="CP2052" s="496" t="s">
        <v>689</v>
      </c>
      <c r="CQ2052" s="496" t="s">
        <v>5071</v>
      </c>
      <c r="CR2052" s="496" t="s">
        <v>5071</v>
      </c>
      <c r="CS2052" s="496" t="s">
        <v>1151</v>
      </c>
      <c r="CT2052" s="496" t="s">
        <v>1152</v>
      </c>
      <c r="CU2052" s="496" t="s">
        <v>1087</v>
      </c>
      <c r="CV2052" s="497" t="s">
        <v>1153</v>
      </c>
      <c r="CX2052" s="543">
        <v>1</v>
      </c>
    </row>
    <row r="2053" spans="91:102" ht="21" customHeight="1">
      <c r="CM2053" s="494"/>
      <c r="CN2053" s="496" t="s">
        <v>5072</v>
      </c>
      <c r="CO2053" s="496" t="s">
        <v>243</v>
      </c>
      <c r="CP2053" s="496" t="s">
        <v>689</v>
      </c>
      <c r="CQ2053" s="496" t="s">
        <v>5073</v>
      </c>
      <c r="CR2053" s="496" t="s">
        <v>5073</v>
      </c>
      <c r="CS2053" s="496" t="s">
        <v>1151</v>
      </c>
      <c r="CT2053" s="496" t="s">
        <v>1152</v>
      </c>
      <c r="CU2053" s="496" t="s">
        <v>1087</v>
      </c>
      <c r="CV2053" s="497" t="s">
        <v>1153</v>
      </c>
      <c r="CX2053" s="543">
        <v>1</v>
      </c>
    </row>
    <row r="2054" spans="91:102" ht="21" customHeight="1">
      <c r="CM2054" s="494"/>
      <c r="CN2054" s="496" t="s">
        <v>5074</v>
      </c>
      <c r="CO2054" s="496" t="s">
        <v>243</v>
      </c>
      <c r="CP2054" s="496" t="s">
        <v>689</v>
      </c>
      <c r="CQ2054" s="496" t="s">
        <v>5075</v>
      </c>
      <c r="CR2054" s="496" t="s">
        <v>5075</v>
      </c>
      <c r="CS2054" s="496" t="s">
        <v>1151</v>
      </c>
      <c r="CT2054" s="496" t="s">
        <v>1152</v>
      </c>
      <c r="CU2054" s="496" t="s">
        <v>1087</v>
      </c>
      <c r="CV2054" s="497" t="s">
        <v>1153</v>
      </c>
      <c r="CX2054" s="543">
        <v>1</v>
      </c>
    </row>
    <row r="2055" spans="91:102" ht="21" customHeight="1">
      <c r="CM2055" s="494"/>
      <c r="CN2055" s="496" t="s">
        <v>5076</v>
      </c>
      <c r="CO2055" s="496" t="s">
        <v>243</v>
      </c>
      <c r="CP2055" s="496" t="s">
        <v>689</v>
      </c>
      <c r="CQ2055" s="496" t="s">
        <v>88</v>
      </c>
      <c r="CR2055" s="496" t="s">
        <v>88</v>
      </c>
      <c r="CS2055" s="496" t="s">
        <v>1085</v>
      </c>
      <c r="CT2055" s="496" t="s">
        <v>5043</v>
      </c>
      <c r="CU2055" s="496" t="s">
        <v>1087</v>
      </c>
      <c r="CV2055" s="497" t="s">
        <v>1088</v>
      </c>
      <c r="CX2055" s="543">
        <v>1</v>
      </c>
    </row>
    <row r="2056" spans="91:102" ht="21" customHeight="1">
      <c r="CM2056" s="494"/>
      <c r="CN2056" s="496" t="s">
        <v>5077</v>
      </c>
      <c r="CO2056" s="496" t="s">
        <v>243</v>
      </c>
      <c r="CP2056" s="496" t="s">
        <v>689</v>
      </c>
      <c r="CQ2056" s="496" t="s">
        <v>5078</v>
      </c>
      <c r="CR2056" s="496" t="s">
        <v>5078</v>
      </c>
      <c r="CS2056" s="496" t="s">
        <v>1085</v>
      </c>
      <c r="CT2056" s="496" t="s">
        <v>5043</v>
      </c>
      <c r="CU2056" s="496" t="s">
        <v>1087</v>
      </c>
      <c r="CV2056" s="497" t="s">
        <v>1088</v>
      </c>
      <c r="CX2056" s="543">
        <v>1</v>
      </c>
    </row>
    <row r="2057" spans="91:102" ht="21" customHeight="1">
      <c r="CM2057" s="494"/>
      <c r="CN2057" s="496" t="s">
        <v>5079</v>
      </c>
      <c r="CO2057" s="496" t="s">
        <v>243</v>
      </c>
      <c r="CP2057" s="496" t="s">
        <v>689</v>
      </c>
      <c r="CQ2057" s="496" t="s">
        <v>75</v>
      </c>
      <c r="CR2057" s="496" t="s">
        <v>75</v>
      </c>
      <c r="CS2057" s="496" t="s">
        <v>1085</v>
      </c>
      <c r="CT2057" s="496" t="s">
        <v>5043</v>
      </c>
      <c r="CU2057" s="496" t="s">
        <v>1087</v>
      </c>
      <c r="CV2057" s="497" t="s">
        <v>1088</v>
      </c>
      <c r="CX2057" s="543">
        <v>1</v>
      </c>
    </row>
    <row r="2058" spans="91:102" ht="21" customHeight="1">
      <c r="CM2058" s="494"/>
      <c r="CN2058" s="496" t="s">
        <v>5080</v>
      </c>
      <c r="CO2058" s="496" t="s">
        <v>243</v>
      </c>
      <c r="CP2058" s="496" t="s">
        <v>1511</v>
      </c>
      <c r="CQ2058" s="496" t="s">
        <v>5081</v>
      </c>
      <c r="CR2058" s="496" t="s">
        <v>5082</v>
      </c>
      <c r="CS2058" s="496" t="s">
        <v>1085</v>
      </c>
      <c r="CT2058" s="496" t="s">
        <v>3799</v>
      </c>
      <c r="CU2058" s="496" t="s">
        <v>1087</v>
      </c>
      <c r="CV2058" s="497" t="s">
        <v>1088</v>
      </c>
      <c r="CX2058" s="543">
        <v>1</v>
      </c>
    </row>
    <row r="2059" spans="91:102" ht="21" customHeight="1">
      <c r="CM2059" s="494"/>
      <c r="CN2059" s="496" t="s">
        <v>5083</v>
      </c>
      <c r="CO2059" s="496" t="s">
        <v>243</v>
      </c>
      <c r="CP2059" s="496" t="s">
        <v>1511</v>
      </c>
      <c r="CQ2059" s="496" t="s">
        <v>5084</v>
      </c>
      <c r="CR2059" s="496" t="s">
        <v>5084</v>
      </c>
      <c r="CS2059" s="496" t="s">
        <v>1085</v>
      </c>
      <c r="CT2059" s="496" t="s">
        <v>3799</v>
      </c>
      <c r="CU2059" s="496" t="s">
        <v>1087</v>
      </c>
      <c r="CV2059" s="497" t="s">
        <v>1088</v>
      </c>
      <c r="CX2059" s="543">
        <v>1</v>
      </c>
    </row>
    <row r="2060" spans="91:102" ht="21" customHeight="1">
      <c r="CM2060" s="494"/>
      <c r="CN2060" s="496" t="s">
        <v>5085</v>
      </c>
      <c r="CO2060" s="496" t="s">
        <v>243</v>
      </c>
      <c r="CP2060" s="496" t="s">
        <v>1511</v>
      </c>
      <c r="CQ2060" s="496" t="s">
        <v>5086</v>
      </c>
      <c r="CR2060" s="496" t="s">
        <v>5086</v>
      </c>
      <c r="CS2060" s="496" t="s">
        <v>1085</v>
      </c>
      <c r="CT2060" s="496" t="s">
        <v>3799</v>
      </c>
      <c r="CU2060" s="496" t="s">
        <v>1087</v>
      </c>
      <c r="CV2060" s="497" t="s">
        <v>1088</v>
      </c>
      <c r="CX2060" s="543">
        <v>1</v>
      </c>
    </row>
    <row r="2061" spans="91:102" ht="21" customHeight="1">
      <c r="CM2061" s="494"/>
      <c r="CN2061" s="496" t="s">
        <v>5087</v>
      </c>
      <c r="CO2061" s="496" t="s">
        <v>243</v>
      </c>
      <c r="CP2061" s="496" t="s">
        <v>1511</v>
      </c>
      <c r="CQ2061" s="496" t="s">
        <v>1199</v>
      </c>
      <c r="CR2061" s="496" t="s">
        <v>1199</v>
      </c>
      <c r="CS2061" s="496" t="s">
        <v>1085</v>
      </c>
      <c r="CT2061" s="496" t="s">
        <v>3799</v>
      </c>
      <c r="CU2061" s="496" t="s">
        <v>1087</v>
      </c>
      <c r="CV2061" s="497" t="s">
        <v>1088</v>
      </c>
      <c r="CX2061" s="543">
        <v>1</v>
      </c>
    </row>
    <row r="2062" spans="91:102" ht="21" customHeight="1">
      <c r="CM2062" s="494"/>
      <c r="CN2062" s="496" t="s">
        <v>5088</v>
      </c>
      <c r="CO2062" s="496" t="s">
        <v>243</v>
      </c>
      <c r="CP2062" s="496" t="s">
        <v>1511</v>
      </c>
      <c r="CQ2062" s="496" t="s">
        <v>1067</v>
      </c>
      <c r="CR2062" s="496" t="s">
        <v>1067</v>
      </c>
      <c r="CS2062" s="496" t="s">
        <v>1085</v>
      </c>
      <c r="CT2062" s="496" t="s">
        <v>3799</v>
      </c>
      <c r="CU2062" s="496" t="s">
        <v>1087</v>
      </c>
      <c r="CV2062" s="497" t="s">
        <v>1088</v>
      </c>
      <c r="CX2062" s="543">
        <v>1</v>
      </c>
    </row>
    <row r="2063" spans="91:102" ht="21" customHeight="1">
      <c r="CM2063" s="494"/>
      <c r="CN2063" s="496" t="s">
        <v>5089</v>
      </c>
      <c r="CO2063" s="496" t="s">
        <v>243</v>
      </c>
      <c r="CP2063" s="496" t="s">
        <v>1511</v>
      </c>
      <c r="CQ2063" s="496" t="s">
        <v>4913</v>
      </c>
      <c r="CR2063" s="496" t="s">
        <v>4913</v>
      </c>
      <c r="CS2063" s="496" t="s">
        <v>1085</v>
      </c>
      <c r="CT2063" s="496" t="s">
        <v>3799</v>
      </c>
      <c r="CU2063" s="496" t="s">
        <v>1087</v>
      </c>
      <c r="CV2063" s="497" t="s">
        <v>1088</v>
      </c>
      <c r="CX2063" s="543">
        <v>1</v>
      </c>
    </row>
    <row r="2064" spans="91:102" ht="21" customHeight="1">
      <c r="CM2064" s="494"/>
      <c r="CN2064" s="496" t="s">
        <v>5090</v>
      </c>
      <c r="CO2064" s="496" t="s">
        <v>243</v>
      </c>
      <c r="CP2064" s="496" t="s">
        <v>1511</v>
      </c>
      <c r="CQ2064" s="496" t="s">
        <v>1068</v>
      </c>
      <c r="CR2064" s="496" t="s">
        <v>1068</v>
      </c>
      <c r="CS2064" s="496" t="s">
        <v>1085</v>
      </c>
      <c r="CT2064" s="496" t="s">
        <v>3799</v>
      </c>
      <c r="CU2064" s="496" t="s">
        <v>1087</v>
      </c>
      <c r="CV2064" s="497" t="s">
        <v>1088</v>
      </c>
      <c r="CX2064" s="543">
        <v>1</v>
      </c>
    </row>
    <row r="2065" spans="91:102" ht="21" customHeight="1">
      <c r="CM2065" s="494"/>
      <c r="CN2065" s="496" t="s">
        <v>5091</v>
      </c>
      <c r="CO2065" s="496" t="s">
        <v>243</v>
      </c>
      <c r="CP2065" s="496" t="s">
        <v>1511</v>
      </c>
      <c r="CQ2065" s="496" t="s">
        <v>1069</v>
      </c>
      <c r="CR2065" s="496" t="s">
        <v>1069</v>
      </c>
      <c r="CS2065" s="496" t="s">
        <v>1085</v>
      </c>
      <c r="CT2065" s="496" t="s">
        <v>3799</v>
      </c>
      <c r="CU2065" s="496" t="s">
        <v>1087</v>
      </c>
      <c r="CV2065" s="497" t="s">
        <v>1088</v>
      </c>
      <c r="CX2065" s="543">
        <v>1</v>
      </c>
    </row>
    <row r="2066" spans="91:102" ht="21" customHeight="1">
      <c r="CM2066" s="494"/>
      <c r="CN2066" s="496" t="s">
        <v>5092</v>
      </c>
      <c r="CO2066" s="496" t="s">
        <v>243</v>
      </c>
      <c r="CP2066" s="496" t="s">
        <v>1511</v>
      </c>
      <c r="CQ2066" s="496" t="s">
        <v>4918</v>
      </c>
      <c r="CR2066" s="496" t="s">
        <v>4918</v>
      </c>
      <c r="CS2066" s="496" t="s">
        <v>1085</v>
      </c>
      <c r="CT2066" s="496" t="s">
        <v>3799</v>
      </c>
      <c r="CU2066" s="496" t="s">
        <v>1087</v>
      </c>
      <c r="CV2066" s="497" t="s">
        <v>1088</v>
      </c>
      <c r="CX2066" s="543">
        <v>1</v>
      </c>
    </row>
    <row r="2067" spans="91:102" ht="21" customHeight="1">
      <c r="CM2067" s="494"/>
      <c r="CN2067" s="496" t="s">
        <v>5093</v>
      </c>
      <c r="CO2067" s="496" t="s">
        <v>243</v>
      </c>
      <c r="CP2067" s="496" t="s">
        <v>1511</v>
      </c>
      <c r="CQ2067" s="496" t="s">
        <v>5094</v>
      </c>
      <c r="CR2067" s="496" t="s">
        <v>5094</v>
      </c>
      <c r="CS2067" s="496" t="s">
        <v>1085</v>
      </c>
      <c r="CT2067" s="496" t="s">
        <v>3799</v>
      </c>
      <c r="CU2067" s="496" t="s">
        <v>1087</v>
      </c>
      <c r="CV2067" s="497" t="s">
        <v>1088</v>
      </c>
      <c r="CX2067" s="543">
        <v>1</v>
      </c>
    </row>
    <row r="2068" spans="91:102" ht="21" customHeight="1">
      <c r="CM2068" s="494"/>
      <c r="CN2068" s="496" t="s">
        <v>5095</v>
      </c>
      <c r="CO2068" s="496" t="s">
        <v>243</v>
      </c>
      <c r="CP2068" s="496" t="s">
        <v>1511</v>
      </c>
      <c r="CQ2068" s="496" t="s">
        <v>5096</v>
      </c>
      <c r="CR2068" s="496" t="s">
        <v>5096</v>
      </c>
      <c r="CS2068" s="496" t="s">
        <v>1085</v>
      </c>
      <c r="CT2068" s="496" t="s">
        <v>3799</v>
      </c>
      <c r="CU2068" s="496" t="s">
        <v>1087</v>
      </c>
      <c r="CV2068" s="497" t="s">
        <v>1088</v>
      </c>
      <c r="CX2068" s="543">
        <v>1</v>
      </c>
    </row>
    <row r="2069" spans="91:102" ht="21" customHeight="1">
      <c r="CM2069" s="494"/>
      <c r="CN2069" s="496" t="s">
        <v>5097</v>
      </c>
      <c r="CO2069" s="496" t="s">
        <v>243</v>
      </c>
      <c r="CP2069" s="496" t="s">
        <v>1511</v>
      </c>
      <c r="CQ2069" s="496" t="s">
        <v>5098</v>
      </c>
      <c r="CR2069" s="496" t="s">
        <v>5098</v>
      </c>
      <c r="CS2069" s="496" t="s">
        <v>1085</v>
      </c>
      <c r="CT2069" s="496" t="s">
        <v>3799</v>
      </c>
      <c r="CU2069" s="496" t="s">
        <v>1087</v>
      </c>
      <c r="CV2069" s="497" t="s">
        <v>1088</v>
      </c>
      <c r="CX2069" s="543">
        <v>1</v>
      </c>
    </row>
    <row r="2070" spans="91:102" ht="21" customHeight="1">
      <c r="CM2070" s="494"/>
      <c r="CN2070" s="496" t="s">
        <v>5099</v>
      </c>
      <c r="CO2070" s="496" t="s">
        <v>243</v>
      </c>
      <c r="CP2070" s="496" t="s">
        <v>1511</v>
      </c>
      <c r="CQ2070" s="496" t="s">
        <v>1339</v>
      </c>
      <c r="CR2070" s="496" t="s">
        <v>1339</v>
      </c>
      <c r="CS2070" s="496" t="s">
        <v>1085</v>
      </c>
      <c r="CT2070" s="496" t="s">
        <v>3799</v>
      </c>
      <c r="CU2070" s="496" t="s">
        <v>1087</v>
      </c>
      <c r="CV2070" s="497" t="s">
        <v>1088</v>
      </c>
      <c r="CX2070" s="543">
        <v>1</v>
      </c>
    </row>
    <row r="2071" spans="91:102" ht="21" customHeight="1">
      <c r="CM2071" s="494"/>
      <c r="CN2071" s="496" t="s">
        <v>5100</v>
      </c>
      <c r="CO2071" s="496" t="s">
        <v>243</v>
      </c>
      <c r="CP2071" s="496" t="s">
        <v>1511</v>
      </c>
      <c r="CQ2071" s="496" t="s">
        <v>5101</v>
      </c>
      <c r="CR2071" s="496" t="s">
        <v>5101</v>
      </c>
      <c r="CS2071" s="496" t="s">
        <v>1085</v>
      </c>
      <c r="CT2071" s="496" t="s">
        <v>3799</v>
      </c>
      <c r="CU2071" s="496" t="s">
        <v>1087</v>
      </c>
      <c r="CV2071" s="497" t="s">
        <v>1088</v>
      </c>
      <c r="CX2071" s="543">
        <v>1</v>
      </c>
    </row>
    <row r="2072" spans="91:102" ht="21" customHeight="1">
      <c r="CM2072" s="494"/>
      <c r="CN2072" s="496" t="s">
        <v>5102</v>
      </c>
      <c r="CO2072" s="496" t="s">
        <v>243</v>
      </c>
      <c r="CP2072" s="496" t="s">
        <v>1511</v>
      </c>
      <c r="CQ2072" s="496" t="s">
        <v>5103</v>
      </c>
      <c r="CR2072" s="496" t="s">
        <v>5103</v>
      </c>
      <c r="CS2072" s="496" t="s">
        <v>1085</v>
      </c>
      <c r="CT2072" s="496" t="s">
        <v>3799</v>
      </c>
      <c r="CU2072" s="496" t="s">
        <v>1087</v>
      </c>
      <c r="CV2072" s="497" t="s">
        <v>1088</v>
      </c>
      <c r="CX2072" s="543">
        <v>1</v>
      </c>
    </row>
    <row r="2073" spans="91:102" ht="21" customHeight="1">
      <c r="CM2073" s="494"/>
      <c r="CN2073" s="496" t="s">
        <v>5104</v>
      </c>
      <c r="CO2073" s="496" t="s">
        <v>13</v>
      </c>
      <c r="CP2073" s="496" t="s">
        <v>689</v>
      </c>
      <c r="CQ2073" s="496" t="s">
        <v>5105</v>
      </c>
      <c r="CR2073" s="496" t="s">
        <v>5105</v>
      </c>
      <c r="CS2073" s="496" t="s">
        <v>1085</v>
      </c>
      <c r="CT2073" s="496" t="s">
        <v>5106</v>
      </c>
      <c r="CU2073" s="496" t="s">
        <v>1087</v>
      </c>
      <c r="CV2073" s="497" t="s">
        <v>1088</v>
      </c>
      <c r="CX2073" s="543">
        <v>1</v>
      </c>
    </row>
    <row r="2074" spans="91:102" ht="21" customHeight="1">
      <c r="CM2074" s="494"/>
      <c r="CN2074" s="496" t="s">
        <v>5107</v>
      </c>
      <c r="CO2074" s="496" t="s">
        <v>13</v>
      </c>
      <c r="CP2074" s="496" t="s">
        <v>689</v>
      </c>
      <c r="CQ2074" s="496" t="s">
        <v>50</v>
      </c>
      <c r="CR2074" s="496" t="s">
        <v>50</v>
      </c>
      <c r="CS2074" s="496" t="s">
        <v>1085</v>
      </c>
      <c r="CT2074" s="496" t="s">
        <v>5106</v>
      </c>
      <c r="CU2074" s="496" t="s">
        <v>1087</v>
      </c>
      <c r="CV2074" s="497" t="s">
        <v>1088</v>
      </c>
      <c r="CX2074" s="543">
        <v>1</v>
      </c>
    </row>
    <row r="2075" spans="91:102" ht="21" customHeight="1">
      <c r="CM2075" s="494"/>
      <c r="CN2075" s="496" t="s">
        <v>5108</v>
      </c>
      <c r="CO2075" s="496" t="s">
        <v>13</v>
      </c>
      <c r="CP2075" s="496" t="s">
        <v>689</v>
      </c>
      <c r="CQ2075" s="496" t="s">
        <v>76</v>
      </c>
      <c r="CR2075" s="496" t="s">
        <v>76</v>
      </c>
      <c r="CS2075" s="496" t="s">
        <v>1085</v>
      </c>
      <c r="CT2075" s="496" t="s">
        <v>5106</v>
      </c>
      <c r="CU2075" s="496" t="s">
        <v>1087</v>
      </c>
      <c r="CV2075" s="497" t="s">
        <v>1088</v>
      </c>
      <c r="CX2075" s="543">
        <v>1</v>
      </c>
    </row>
    <row r="2076" spans="91:102" ht="21" customHeight="1">
      <c r="CM2076" s="494"/>
      <c r="CN2076" s="496" t="s">
        <v>5109</v>
      </c>
      <c r="CO2076" s="496" t="s">
        <v>13</v>
      </c>
      <c r="CP2076" s="496" t="s">
        <v>689</v>
      </c>
      <c r="CQ2076" s="496" t="s">
        <v>63</v>
      </c>
      <c r="CR2076" s="496" t="s">
        <v>63</v>
      </c>
      <c r="CS2076" s="496" t="s">
        <v>1085</v>
      </c>
      <c r="CT2076" s="496" t="s">
        <v>5106</v>
      </c>
      <c r="CU2076" s="496" t="s">
        <v>1087</v>
      </c>
      <c r="CV2076" s="497" t="s">
        <v>1088</v>
      </c>
      <c r="CX2076" s="543">
        <v>1</v>
      </c>
    </row>
    <row r="2077" spans="91:102" ht="21" customHeight="1">
      <c r="CM2077" s="494"/>
      <c r="CN2077" s="496" t="s">
        <v>5110</v>
      </c>
      <c r="CO2077" s="496" t="s">
        <v>13</v>
      </c>
      <c r="CP2077" s="496" t="s">
        <v>689</v>
      </c>
      <c r="CQ2077" s="496" t="s">
        <v>5111</v>
      </c>
      <c r="CR2077" s="496" t="s">
        <v>368</v>
      </c>
      <c r="CS2077" s="496" t="s">
        <v>1085</v>
      </c>
      <c r="CT2077" s="496" t="s">
        <v>5106</v>
      </c>
      <c r="CU2077" s="496" t="s">
        <v>1087</v>
      </c>
      <c r="CV2077" s="497" t="s">
        <v>1088</v>
      </c>
      <c r="CX2077" s="543">
        <v>1</v>
      </c>
    </row>
    <row r="2078" spans="91:102" ht="21" customHeight="1">
      <c r="CM2078" s="494"/>
      <c r="CN2078" s="496" t="s">
        <v>5112</v>
      </c>
      <c r="CO2078" s="496" t="s">
        <v>13</v>
      </c>
      <c r="CP2078" s="496" t="s">
        <v>689</v>
      </c>
      <c r="CQ2078" s="496" t="s">
        <v>5113</v>
      </c>
      <c r="CR2078" s="496" t="s">
        <v>369</v>
      </c>
      <c r="CS2078" s="496" t="s">
        <v>1085</v>
      </c>
      <c r="CT2078" s="496" t="s">
        <v>5106</v>
      </c>
      <c r="CU2078" s="496" t="s">
        <v>1087</v>
      </c>
      <c r="CV2078" s="497" t="s">
        <v>1088</v>
      </c>
      <c r="CX2078" s="543">
        <v>1</v>
      </c>
    </row>
    <row r="2079" spans="91:102" ht="21" customHeight="1">
      <c r="CM2079" s="494"/>
      <c r="CN2079" s="496" t="s">
        <v>5114</v>
      </c>
      <c r="CO2079" s="496" t="s">
        <v>13</v>
      </c>
      <c r="CP2079" s="496" t="s">
        <v>689</v>
      </c>
      <c r="CQ2079" s="496" t="s">
        <v>5115</v>
      </c>
      <c r="CR2079" s="496" t="s">
        <v>370</v>
      </c>
      <c r="CS2079" s="496" t="s">
        <v>1085</v>
      </c>
      <c r="CT2079" s="496" t="s">
        <v>5106</v>
      </c>
      <c r="CU2079" s="496" t="s">
        <v>1087</v>
      </c>
      <c r="CV2079" s="497" t="s">
        <v>1088</v>
      </c>
      <c r="CX2079" s="543">
        <v>1</v>
      </c>
    </row>
    <row r="2080" spans="91:102" ht="21" customHeight="1">
      <c r="CM2080" s="494"/>
      <c r="CN2080" s="496" t="s">
        <v>5116</v>
      </c>
      <c r="CO2080" s="496" t="s">
        <v>13</v>
      </c>
      <c r="CP2080" s="496" t="s">
        <v>689</v>
      </c>
      <c r="CQ2080" s="496" t="s">
        <v>5117</v>
      </c>
      <c r="CR2080" s="496" t="s">
        <v>371</v>
      </c>
      <c r="CS2080" s="496" t="s">
        <v>1085</v>
      </c>
      <c r="CT2080" s="496" t="s">
        <v>5106</v>
      </c>
      <c r="CU2080" s="496" t="s">
        <v>1087</v>
      </c>
      <c r="CV2080" s="497" t="s">
        <v>1088</v>
      </c>
      <c r="CX2080" s="543">
        <v>1</v>
      </c>
    </row>
    <row r="2081" spans="91:102" ht="21" customHeight="1">
      <c r="CM2081" s="494"/>
      <c r="CN2081" s="496" t="s">
        <v>5118</v>
      </c>
      <c r="CO2081" s="496" t="s">
        <v>13</v>
      </c>
      <c r="CP2081" s="496" t="s">
        <v>689</v>
      </c>
      <c r="CQ2081" s="496" t="s">
        <v>5119</v>
      </c>
      <c r="CR2081" s="496" t="s">
        <v>372</v>
      </c>
      <c r="CS2081" s="496" t="s">
        <v>1085</v>
      </c>
      <c r="CT2081" s="496" t="s">
        <v>5106</v>
      </c>
      <c r="CU2081" s="496" t="s">
        <v>1087</v>
      </c>
      <c r="CV2081" s="497" t="s">
        <v>1088</v>
      </c>
      <c r="CX2081" s="543">
        <v>1</v>
      </c>
    </row>
    <row r="2082" spans="91:102" ht="21" customHeight="1">
      <c r="CM2082" s="494"/>
      <c r="CN2082" s="496" t="s">
        <v>5120</v>
      </c>
      <c r="CO2082" s="496" t="s">
        <v>13</v>
      </c>
      <c r="CP2082" s="496" t="s">
        <v>689</v>
      </c>
      <c r="CQ2082" s="496" t="s">
        <v>5121</v>
      </c>
      <c r="CR2082" s="496" t="s">
        <v>373</v>
      </c>
      <c r="CS2082" s="496" t="s">
        <v>1085</v>
      </c>
      <c r="CT2082" s="496" t="s">
        <v>5106</v>
      </c>
      <c r="CU2082" s="496" t="s">
        <v>1087</v>
      </c>
      <c r="CV2082" s="497" t="s">
        <v>1088</v>
      </c>
      <c r="CX2082" s="543">
        <v>1</v>
      </c>
    </row>
    <row r="2083" spans="91:102" ht="21" customHeight="1">
      <c r="CM2083" s="494"/>
      <c r="CN2083" s="496" t="s">
        <v>5122</v>
      </c>
      <c r="CO2083" s="496" t="s">
        <v>13</v>
      </c>
      <c r="CP2083" s="496" t="s">
        <v>689</v>
      </c>
      <c r="CQ2083" s="496" t="s">
        <v>5123</v>
      </c>
      <c r="CR2083" s="496" t="s">
        <v>374</v>
      </c>
      <c r="CS2083" s="496" t="s">
        <v>1085</v>
      </c>
      <c r="CT2083" s="496" t="s">
        <v>5106</v>
      </c>
      <c r="CU2083" s="496" t="s">
        <v>1087</v>
      </c>
      <c r="CV2083" s="497" t="s">
        <v>1088</v>
      </c>
      <c r="CX2083" s="543">
        <v>1</v>
      </c>
    </row>
    <row r="2084" spans="91:102" ht="21" customHeight="1">
      <c r="CM2084" s="494"/>
      <c r="CN2084" s="496" t="s">
        <v>5124</v>
      </c>
      <c r="CO2084" s="496" t="s">
        <v>13</v>
      </c>
      <c r="CP2084" s="496" t="s">
        <v>689</v>
      </c>
      <c r="CQ2084" s="496" t="s">
        <v>5125</v>
      </c>
      <c r="CR2084" s="496" t="s">
        <v>375</v>
      </c>
      <c r="CS2084" s="496" t="s">
        <v>1085</v>
      </c>
      <c r="CT2084" s="496" t="s">
        <v>5106</v>
      </c>
      <c r="CU2084" s="496" t="s">
        <v>1087</v>
      </c>
      <c r="CV2084" s="497" t="s">
        <v>1088</v>
      </c>
      <c r="CX2084" s="543">
        <v>1</v>
      </c>
    </row>
    <row r="2085" spans="91:102" ht="21" customHeight="1">
      <c r="CM2085" s="494"/>
      <c r="CN2085" s="496" t="s">
        <v>5126</v>
      </c>
      <c r="CO2085" s="496" t="s">
        <v>13</v>
      </c>
      <c r="CP2085" s="496" t="s">
        <v>689</v>
      </c>
      <c r="CQ2085" s="496" t="s">
        <v>5127</v>
      </c>
      <c r="CR2085" s="496" t="s">
        <v>376</v>
      </c>
      <c r="CS2085" s="496" t="s">
        <v>1085</v>
      </c>
      <c r="CT2085" s="496" t="s">
        <v>5106</v>
      </c>
      <c r="CU2085" s="496" t="s">
        <v>1087</v>
      </c>
      <c r="CV2085" s="497" t="s">
        <v>1088</v>
      </c>
      <c r="CX2085" s="543">
        <v>1</v>
      </c>
    </row>
    <row r="2086" spans="91:102" ht="21" customHeight="1">
      <c r="CM2086" s="494"/>
      <c r="CN2086" s="496" t="s">
        <v>5128</v>
      </c>
      <c r="CO2086" s="496" t="s">
        <v>13</v>
      </c>
      <c r="CP2086" s="496" t="s">
        <v>689</v>
      </c>
      <c r="CQ2086" s="496" t="s">
        <v>5129</v>
      </c>
      <c r="CR2086" s="496" t="s">
        <v>5130</v>
      </c>
      <c r="CS2086" s="496" t="s">
        <v>1085</v>
      </c>
      <c r="CT2086" s="496" t="s">
        <v>5106</v>
      </c>
      <c r="CU2086" s="496" t="s">
        <v>1087</v>
      </c>
      <c r="CV2086" s="497" t="s">
        <v>1088</v>
      </c>
      <c r="CX2086" s="543">
        <v>1</v>
      </c>
    </row>
    <row r="2087" spans="91:102" ht="21" customHeight="1">
      <c r="CM2087" s="494"/>
      <c r="CN2087" s="496" t="s">
        <v>5131</v>
      </c>
      <c r="CO2087" s="496" t="s">
        <v>13</v>
      </c>
      <c r="CP2087" s="496" t="s">
        <v>689</v>
      </c>
      <c r="CQ2087" s="496" t="s">
        <v>5132</v>
      </c>
      <c r="CR2087" s="496" t="s">
        <v>101</v>
      </c>
      <c r="CS2087" s="496" t="s">
        <v>1085</v>
      </c>
      <c r="CT2087" s="496" t="s">
        <v>5106</v>
      </c>
      <c r="CU2087" s="496" t="s">
        <v>1087</v>
      </c>
      <c r="CV2087" s="497" t="s">
        <v>1088</v>
      </c>
      <c r="CX2087" s="543">
        <v>1</v>
      </c>
    </row>
    <row r="2088" spans="91:102" ht="21" customHeight="1">
      <c r="CM2088" s="494"/>
      <c r="CN2088" s="496" t="s">
        <v>5133</v>
      </c>
      <c r="CO2088" s="496" t="s">
        <v>13</v>
      </c>
      <c r="CP2088" s="496" t="s">
        <v>689</v>
      </c>
      <c r="CQ2088" s="496" t="s">
        <v>26</v>
      </c>
      <c r="CR2088" s="496" t="s">
        <v>26</v>
      </c>
      <c r="CS2088" s="496" t="s">
        <v>1085</v>
      </c>
      <c r="CT2088" s="496" t="s">
        <v>5106</v>
      </c>
      <c r="CU2088" s="496" t="s">
        <v>1087</v>
      </c>
      <c r="CV2088" s="497" t="s">
        <v>1088</v>
      </c>
      <c r="CX2088" s="543">
        <v>1</v>
      </c>
    </row>
    <row r="2089" spans="91:102" ht="21" customHeight="1">
      <c r="CM2089" s="494"/>
      <c r="CN2089" s="496" t="s">
        <v>5134</v>
      </c>
      <c r="CO2089" s="496" t="s">
        <v>13</v>
      </c>
      <c r="CP2089" s="496" t="s">
        <v>689</v>
      </c>
      <c r="CQ2089" s="496" t="s">
        <v>4</v>
      </c>
      <c r="CR2089" s="496" t="s">
        <v>4</v>
      </c>
      <c r="CS2089" s="496" t="s">
        <v>1085</v>
      </c>
      <c r="CT2089" s="496" t="s">
        <v>5106</v>
      </c>
      <c r="CU2089" s="496" t="s">
        <v>1087</v>
      </c>
      <c r="CV2089" s="497" t="s">
        <v>1088</v>
      </c>
      <c r="CX2089" s="543">
        <v>1</v>
      </c>
    </row>
    <row r="2090" spans="91:102" ht="21" customHeight="1">
      <c r="CM2090" s="494"/>
      <c r="CN2090" s="496" t="s">
        <v>5135</v>
      </c>
      <c r="CO2090" s="496" t="s">
        <v>13</v>
      </c>
      <c r="CP2090" s="496" t="s">
        <v>689</v>
      </c>
      <c r="CQ2090" s="496" t="s">
        <v>377</v>
      </c>
      <c r="CR2090" s="496" t="s">
        <v>377</v>
      </c>
      <c r="CS2090" s="496" t="s">
        <v>1151</v>
      </c>
      <c r="CT2090" s="496" t="s">
        <v>1152</v>
      </c>
      <c r="CU2090" s="496" t="s">
        <v>1087</v>
      </c>
      <c r="CV2090" s="497" t="s">
        <v>1153</v>
      </c>
      <c r="CX2090" s="543">
        <v>1</v>
      </c>
    </row>
    <row r="2091" spans="91:102" ht="21" customHeight="1">
      <c r="CM2091" s="494"/>
      <c r="CN2091" s="496" t="s">
        <v>5136</v>
      </c>
      <c r="CO2091" s="496" t="s">
        <v>13</v>
      </c>
      <c r="CP2091" s="496" t="s">
        <v>689</v>
      </c>
      <c r="CQ2091" s="496" t="s">
        <v>378</v>
      </c>
      <c r="CR2091" s="496" t="s">
        <v>378</v>
      </c>
      <c r="CS2091" s="496" t="s">
        <v>1085</v>
      </c>
      <c r="CT2091" s="496" t="s">
        <v>5106</v>
      </c>
      <c r="CU2091" s="496" t="s">
        <v>1087</v>
      </c>
      <c r="CV2091" s="497" t="s">
        <v>1088</v>
      </c>
      <c r="CX2091" s="543">
        <v>1</v>
      </c>
    </row>
    <row r="2092" spans="91:102" ht="21" customHeight="1">
      <c r="CM2092" s="494"/>
      <c r="CN2092" s="496" t="s">
        <v>5137</v>
      </c>
      <c r="CO2092" s="496" t="s">
        <v>13</v>
      </c>
      <c r="CP2092" s="496" t="s">
        <v>689</v>
      </c>
      <c r="CQ2092" s="496" t="s">
        <v>379</v>
      </c>
      <c r="CR2092" s="496" t="s">
        <v>379</v>
      </c>
      <c r="CS2092" s="496" t="s">
        <v>1085</v>
      </c>
      <c r="CT2092" s="496" t="s">
        <v>5106</v>
      </c>
      <c r="CU2092" s="496" t="s">
        <v>1087</v>
      </c>
      <c r="CV2092" s="497" t="s">
        <v>1088</v>
      </c>
      <c r="CX2092" s="543">
        <v>1</v>
      </c>
    </row>
    <row r="2093" spans="91:102" ht="21" customHeight="1">
      <c r="CM2093" s="494"/>
      <c r="CN2093" s="496" t="s">
        <v>5138</v>
      </c>
      <c r="CO2093" s="496" t="s">
        <v>13</v>
      </c>
      <c r="CP2093" s="496" t="s">
        <v>689</v>
      </c>
      <c r="CQ2093" s="496" t="s">
        <v>5139</v>
      </c>
      <c r="CR2093" s="496" t="s">
        <v>5139</v>
      </c>
      <c r="CS2093" s="496" t="s">
        <v>1151</v>
      </c>
      <c r="CT2093" s="496" t="s">
        <v>1152</v>
      </c>
      <c r="CU2093" s="496" t="s">
        <v>1087</v>
      </c>
      <c r="CV2093" s="497" t="s">
        <v>1153</v>
      </c>
      <c r="CX2093" s="543">
        <v>1</v>
      </c>
    </row>
    <row r="2094" spans="91:102" ht="21" customHeight="1">
      <c r="CM2094" s="494"/>
      <c r="CN2094" s="496" t="s">
        <v>5140</v>
      </c>
      <c r="CO2094" s="496" t="s">
        <v>13</v>
      </c>
      <c r="CP2094" s="496" t="s">
        <v>1511</v>
      </c>
      <c r="CQ2094" s="496" t="s">
        <v>1063</v>
      </c>
      <c r="CR2094" s="496" t="s">
        <v>1063</v>
      </c>
      <c r="CS2094" s="496" t="s">
        <v>1085</v>
      </c>
      <c r="CT2094" s="496" t="s">
        <v>5141</v>
      </c>
      <c r="CU2094" s="496" t="s">
        <v>1087</v>
      </c>
      <c r="CV2094" s="497" t="s">
        <v>1088</v>
      </c>
      <c r="CX2094" s="543">
        <v>1</v>
      </c>
    </row>
    <row r="2095" spans="91:102" ht="21" customHeight="1">
      <c r="CM2095" s="494"/>
      <c r="CN2095" s="496" t="s">
        <v>5142</v>
      </c>
      <c r="CO2095" s="496" t="s">
        <v>13</v>
      </c>
      <c r="CP2095" s="496" t="s">
        <v>1511</v>
      </c>
      <c r="CQ2095" s="496" t="s">
        <v>1156</v>
      </c>
      <c r="CR2095" s="496" t="s">
        <v>883</v>
      </c>
      <c r="CS2095" s="496" t="s">
        <v>1085</v>
      </c>
      <c r="CT2095" s="496" t="s">
        <v>5141</v>
      </c>
      <c r="CU2095" s="496" t="s">
        <v>1087</v>
      </c>
      <c r="CV2095" s="497" t="s">
        <v>1088</v>
      </c>
      <c r="CX2095" s="543">
        <v>1</v>
      </c>
    </row>
    <row r="2096" spans="91:102" ht="21" customHeight="1">
      <c r="CM2096" s="494"/>
      <c r="CN2096" s="496" t="s">
        <v>5143</v>
      </c>
      <c r="CO2096" s="496" t="s">
        <v>13</v>
      </c>
      <c r="CP2096" s="496" t="s">
        <v>1511</v>
      </c>
      <c r="CQ2096" s="496" t="s">
        <v>5144</v>
      </c>
      <c r="CR2096" s="496" t="s">
        <v>5144</v>
      </c>
      <c r="CS2096" s="496" t="s">
        <v>1085</v>
      </c>
      <c r="CT2096" s="496" t="s">
        <v>5141</v>
      </c>
      <c r="CU2096" s="496" t="s">
        <v>1087</v>
      </c>
      <c r="CV2096" s="497" t="s">
        <v>1088</v>
      </c>
      <c r="CX2096" s="543">
        <v>1</v>
      </c>
    </row>
    <row r="2097" spans="91:102" ht="21" customHeight="1">
      <c r="CM2097" s="494"/>
      <c r="CN2097" s="496" t="s">
        <v>5145</v>
      </c>
      <c r="CO2097" s="496" t="s">
        <v>13</v>
      </c>
      <c r="CP2097" s="496" t="s">
        <v>1511</v>
      </c>
      <c r="CQ2097" s="496" t="s">
        <v>5146</v>
      </c>
      <c r="CR2097" s="496" t="s">
        <v>5146</v>
      </c>
      <c r="CS2097" s="496" t="s">
        <v>1085</v>
      </c>
      <c r="CT2097" s="496" t="s">
        <v>5141</v>
      </c>
      <c r="CU2097" s="496" t="s">
        <v>1087</v>
      </c>
      <c r="CV2097" s="497" t="s">
        <v>1088</v>
      </c>
      <c r="CX2097" s="543">
        <v>1</v>
      </c>
    </row>
    <row r="2098" spans="91:102" ht="21" customHeight="1">
      <c r="CM2098" s="494"/>
      <c r="CN2098" s="496" t="s">
        <v>5147</v>
      </c>
      <c r="CO2098" s="496" t="s">
        <v>13</v>
      </c>
      <c r="CP2098" s="496" t="s">
        <v>1511</v>
      </c>
      <c r="CQ2098" s="496" t="s">
        <v>5148</v>
      </c>
      <c r="CR2098" s="496" t="s">
        <v>5148</v>
      </c>
      <c r="CS2098" s="496" t="s">
        <v>1085</v>
      </c>
      <c r="CT2098" s="496" t="s">
        <v>5141</v>
      </c>
      <c r="CU2098" s="496" t="s">
        <v>1087</v>
      </c>
      <c r="CV2098" s="497" t="s">
        <v>1088</v>
      </c>
      <c r="CX2098" s="543">
        <v>1</v>
      </c>
    </row>
    <row r="2099" spans="91:102" ht="21" customHeight="1">
      <c r="CM2099" s="494"/>
      <c r="CN2099" s="496" t="s">
        <v>5149</v>
      </c>
      <c r="CO2099" s="496" t="s">
        <v>13</v>
      </c>
      <c r="CP2099" s="496" t="s">
        <v>1511</v>
      </c>
      <c r="CQ2099" s="496" t="s">
        <v>5150</v>
      </c>
      <c r="CR2099" s="496" t="s">
        <v>5150</v>
      </c>
      <c r="CS2099" s="496" t="s">
        <v>1085</v>
      </c>
      <c r="CT2099" s="496" t="s">
        <v>5141</v>
      </c>
      <c r="CU2099" s="496" t="s">
        <v>1087</v>
      </c>
      <c r="CV2099" s="497" t="s">
        <v>1088</v>
      </c>
      <c r="CX2099" s="543">
        <v>1</v>
      </c>
    </row>
    <row r="2100" spans="91:102" ht="21" customHeight="1">
      <c r="CM2100" s="494"/>
      <c r="CN2100" s="496" t="s">
        <v>5151</v>
      </c>
      <c r="CO2100" s="496" t="s">
        <v>13</v>
      </c>
      <c r="CP2100" s="496" t="s">
        <v>1511</v>
      </c>
      <c r="CQ2100" s="496" t="s">
        <v>5152</v>
      </c>
      <c r="CR2100" s="496" t="s">
        <v>5152</v>
      </c>
      <c r="CS2100" s="496" t="s">
        <v>1151</v>
      </c>
      <c r="CT2100" s="496" t="s">
        <v>1518</v>
      </c>
      <c r="CU2100" s="496" t="s">
        <v>1087</v>
      </c>
      <c r="CV2100" s="497" t="s">
        <v>1153</v>
      </c>
      <c r="CX2100" s="543">
        <v>1</v>
      </c>
    </row>
    <row r="2101" spans="91:102" ht="21" customHeight="1">
      <c r="CM2101" s="494"/>
      <c r="CN2101" s="496" t="s">
        <v>5153</v>
      </c>
      <c r="CO2101" s="496" t="s">
        <v>13</v>
      </c>
      <c r="CP2101" s="496" t="s">
        <v>1511</v>
      </c>
      <c r="CQ2101" s="496" t="s">
        <v>5154</v>
      </c>
      <c r="CR2101" s="496" t="s">
        <v>5154</v>
      </c>
      <c r="CS2101" s="496" t="s">
        <v>1085</v>
      </c>
      <c r="CT2101" s="496" t="s">
        <v>5141</v>
      </c>
      <c r="CU2101" s="496" t="s">
        <v>1087</v>
      </c>
      <c r="CV2101" s="497" t="s">
        <v>1088</v>
      </c>
      <c r="CX2101" s="543">
        <v>1</v>
      </c>
    </row>
    <row r="2102" spans="91:102" ht="21" customHeight="1">
      <c r="CM2102" s="494"/>
      <c r="CN2102" s="496" t="s">
        <v>5155</v>
      </c>
      <c r="CO2102" s="496" t="s">
        <v>13</v>
      </c>
      <c r="CP2102" s="496" t="s">
        <v>1511</v>
      </c>
      <c r="CQ2102" s="496" t="s">
        <v>5156</v>
      </c>
      <c r="CR2102" s="496" t="s">
        <v>5157</v>
      </c>
      <c r="CS2102" s="496" t="s">
        <v>1085</v>
      </c>
      <c r="CT2102" s="496" t="s">
        <v>5141</v>
      </c>
      <c r="CU2102" s="496" t="s">
        <v>1087</v>
      </c>
      <c r="CV2102" s="497" t="s">
        <v>1088</v>
      </c>
      <c r="CX2102" s="543">
        <v>1</v>
      </c>
    </row>
    <row r="2103" spans="91:102" ht="21" customHeight="1">
      <c r="CM2103" s="494"/>
      <c r="CN2103" s="496" t="s">
        <v>5158</v>
      </c>
      <c r="CO2103" s="496" t="s">
        <v>13</v>
      </c>
      <c r="CP2103" s="496" t="s">
        <v>1511</v>
      </c>
      <c r="CQ2103" s="496" t="s">
        <v>5159</v>
      </c>
      <c r="CR2103" s="496" t="s">
        <v>5160</v>
      </c>
      <c r="CS2103" s="496" t="s">
        <v>1085</v>
      </c>
      <c r="CT2103" s="496" t="s">
        <v>5141</v>
      </c>
      <c r="CU2103" s="496" t="s">
        <v>1087</v>
      </c>
      <c r="CV2103" s="497" t="s">
        <v>1088</v>
      </c>
      <c r="CX2103" s="543">
        <v>1</v>
      </c>
    </row>
    <row r="2104" spans="91:102" ht="21" customHeight="1">
      <c r="CM2104" s="494"/>
      <c r="CN2104" s="496" t="s">
        <v>5161</v>
      </c>
      <c r="CO2104" s="496" t="s">
        <v>13</v>
      </c>
      <c r="CP2104" s="496" t="s">
        <v>1511</v>
      </c>
      <c r="CQ2104" s="496" t="s">
        <v>5162</v>
      </c>
      <c r="CR2104" s="496" t="s">
        <v>5163</v>
      </c>
      <c r="CS2104" s="496" t="s">
        <v>1085</v>
      </c>
      <c r="CT2104" s="496" t="s">
        <v>5141</v>
      </c>
      <c r="CU2104" s="496" t="s">
        <v>1087</v>
      </c>
      <c r="CV2104" s="497" t="s">
        <v>1088</v>
      </c>
      <c r="CX2104" s="543">
        <v>1</v>
      </c>
    </row>
    <row r="2105" spans="91:102" ht="21" customHeight="1">
      <c r="CM2105" s="494"/>
      <c r="CN2105" s="496" t="s">
        <v>5164</v>
      </c>
      <c r="CO2105" s="496" t="s">
        <v>13</v>
      </c>
      <c r="CP2105" s="496" t="s">
        <v>1511</v>
      </c>
      <c r="CQ2105" s="496" t="s">
        <v>5165</v>
      </c>
      <c r="CR2105" s="496" t="s">
        <v>5165</v>
      </c>
      <c r="CS2105" s="496" t="s">
        <v>1085</v>
      </c>
      <c r="CT2105" s="496" t="s">
        <v>5141</v>
      </c>
      <c r="CU2105" s="496" t="s">
        <v>1087</v>
      </c>
      <c r="CV2105" s="497" t="s">
        <v>1088</v>
      </c>
      <c r="CX2105" s="543">
        <v>1</v>
      </c>
    </row>
    <row r="2106" spans="91:102" ht="21" customHeight="1">
      <c r="CM2106" s="494"/>
      <c r="CN2106" s="496" t="s">
        <v>5166</v>
      </c>
      <c r="CO2106" s="496" t="s">
        <v>13</v>
      </c>
      <c r="CP2106" s="496" t="s">
        <v>1511</v>
      </c>
      <c r="CQ2106" s="496" t="s">
        <v>5167</v>
      </c>
      <c r="CR2106" s="496" t="s">
        <v>5167</v>
      </c>
      <c r="CS2106" s="496" t="s">
        <v>1085</v>
      </c>
      <c r="CT2106" s="496" t="s">
        <v>5141</v>
      </c>
      <c r="CU2106" s="496" t="s">
        <v>1087</v>
      </c>
      <c r="CV2106" s="497" t="s">
        <v>1088</v>
      </c>
      <c r="CX2106" s="543">
        <v>1</v>
      </c>
    </row>
    <row r="2107" spans="91:102" ht="21" customHeight="1">
      <c r="CM2107" s="494"/>
      <c r="CN2107" s="496" t="s">
        <v>5168</v>
      </c>
      <c r="CO2107" s="496" t="s">
        <v>13</v>
      </c>
      <c r="CP2107" s="496" t="s">
        <v>1511</v>
      </c>
      <c r="CQ2107" s="496" t="s">
        <v>5169</v>
      </c>
      <c r="CR2107" s="496" t="s">
        <v>5169</v>
      </c>
      <c r="CS2107" s="496" t="s">
        <v>1085</v>
      </c>
      <c r="CT2107" s="496" t="s">
        <v>5141</v>
      </c>
      <c r="CU2107" s="496" t="s">
        <v>1087</v>
      </c>
      <c r="CV2107" s="497" t="s">
        <v>1088</v>
      </c>
      <c r="CX2107" s="543">
        <v>1</v>
      </c>
    </row>
    <row r="2108" spans="91:102" ht="21" customHeight="1">
      <c r="CM2108" s="494"/>
      <c r="CN2108" s="496" t="s">
        <v>5170</v>
      </c>
      <c r="CO2108" s="496" t="s">
        <v>13</v>
      </c>
      <c r="CP2108" s="496" t="s">
        <v>1511</v>
      </c>
      <c r="CQ2108" s="496" t="s">
        <v>5171</v>
      </c>
      <c r="CR2108" s="496" t="s">
        <v>5171</v>
      </c>
      <c r="CS2108" s="496" t="s">
        <v>1085</v>
      </c>
      <c r="CT2108" s="496" t="s">
        <v>5141</v>
      </c>
      <c r="CU2108" s="496" t="s">
        <v>1087</v>
      </c>
      <c r="CV2108" s="497" t="s">
        <v>1088</v>
      </c>
      <c r="CX2108" s="543">
        <v>1</v>
      </c>
    </row>
    <row r="2109" spans="91:102" ht="21" customHeight="1">
      <c r="CM2109" s="494"/>
      <c r="CN2109" s="496" t="s">
        <v>5172</v>
      </c>
      <c r="CO2109" s="496" t="s">
        <v>13</v>
      </c>
      <c r="CP2109" s="496" t="s">
        <v>1511</v>
      </c>
      <c r="CQ2109" s="496" t="s">
        <v>5173</v>
      </c>
      <c r="CR2109" s="496" t="s">
        <v>5173</v>
      </c>
      <c r="CS2109" s="496" t="s">
        <v>1151</v>
      </c>
      <c r="CT2109" s="496" t="s">
        <v>1518</v>
      </c>
      <c r="CU2109" s="496" t="s">
        <v>1087</v>
      </c>
      <c r="CV2109" s="497" t="s">
        <v>1153</v>
      </c>
      <c r="CX2109" s="543">
        <v>1</v>
      </c>
    </row>
    <row r="2110" spans="91:102" ht="21" customHeight="1">
      <c r="CM2110" s="494"/>
      <c r="CN2110" s="496" t="s">
        <v>5174</v>
      </c>
      <c r="CO2110" s="496" t="s">
        <v>13</v>
      </c>
      <c r="CP2110" s="496" t="s">
        <v>1511</v>
      </c>
      <c r="CQ2110" s="496" t="s">
        <v>5175</v>
      </c>
      <c r="CR2110" s="496" t="s">
        <v>5175</v>
      </c>
      <c r="CS2110" s="496" t="s">
        <v>1151</v>
      </c>
      <c r="CT2110" s="496" t="s">
        <v>1518</v>
      </c>
      <c r="CU2110" s="496" t="s">
        <v>1087</v>
      </c>
      <c r="CV2110" s="497" t="s">
        <v>1153</v>
      </c>
      <c r="CX2110" s="543">
        <v>1</v>
      </c>
    </row>
    <row r="2111" spans="91:102" ht="21" customHeight="1">
      <c r="CM2111" s="494"/>
      <c r="CN2111" s="496" t="s">
        <v>5176</v>
      </c>
      <c r="CO2111" s="496" t="s">
        <v>13</v>
      </c>
      <c r="CP2111" s="496" t="s">
        <v>1511</v>
      </c>
      <c r="CQ2111" s="496" t="s">
        <v>5177</v>
      </c>
      <c r="CR2111" s="496" t="s">
        <v>5178</v>
      </c>
      <c r="CS2111" s="496" t="s">
        <v>1085</v>
      </c>
      <c r="CT2111" s="496" t="s">
        <v>5141</v>
      </c>
      <c r="CU2111" s="496" t="s">
        <v>1087</v>
      </c>
      <c r="CV2111" s="497" t="s">
        <v>1088</v>
      </c>
      <c r="CX2111" s="543">
        <v>1</v>
      </c>
    </row>
    <row r="2112" spans="91:102" ht="21" customHeight="1">
      <c r="CM2112" s="494"/>
      <c r="CN2112" s="496" t="s">
        <v>5179</v>
      </c>
      <c r="CO2112" s="496" t="s">
        <v>13</v>
      </c>
      <c r="CP2112" s="496" t="s">
        <v>1511</v>
      </c>
      <c r="CQ2112" s="496" t="s">
        <v>5180</v>
      </c>
      <c r="CR2112" s="496" t="s">
        <v>5744</v>
      </c>
      <c r="CS2112" s="496" t="s">
        <v>1085</v>
      </c>
      <c r="CT2112" s="496" t="s">
        <v>5745</v>
      </c>
      <c r="CU2112" s="496" t="s">
        <v>3961</v>
      </c>
      <c r="CV2112" s="497" t="s">
        <v>1153</v>
      </c>
      <c r="CX2112" s="543">
        <v>1</v>
      </c>
    </row>
    <row r="2113" spans="91:102" ht="21" customHeight="1">
      <c r="CM2113" s="494"/>
      <c r="CN2113" s="496" t="s">
        <v>5181</v>
      </c>
      <c r="CO2113" s="496" t="s">
        <v>13</v>
      </c>
      <c r="CP2113" s="496" t="s">
        <v>1511</v>
      </c>
      <c r="CQ2113" s="496" t="s">
        <v>5182</v>
      </c>
      <c r="CR2113" s="496" t="s">
        <v>5183</v>
      </c>
      <c r="CS2113" s="496" t="s">
        <v>1085</v>
      </c>
      <c r="CT2113" s="496" t="s">
        <v>5141</v>
      </c>
      <c r="CU2113" s="496" t="s">
        <v>1087</v>
      </c>
      <c r="CV2113" s="497" t="s">
        <v>1088</v>
      </c>
      <c r="CX2113" s="543">
        <v>1</v>
      </c>
    </row>
    <row r="2114" spans="91:102" ht="21" customHeight="1">
      <c r="CM2114" s="494"/>
      <c r="CN2114" s="496" t="s">
        <v>5184</v>
      </c>
      <c r="CO2114" s="496" t="s">
        <v>13</v>
      </c>
      <c r="CP2114" s="496" t="s">
        <v>1511</v>
      </c>
      <c r="CQ2114" s="496" t="s">
        <v>5185</v>
      </c>
      <c r="CR2114" s="496" t="s">
        <v>5185</v>
      </c>
      <c r="CS2114" s="496" t="s">
        <v>1085</v>
      </c>
      <c r="CT2114" s="496" t="s">
        <v>5141</v>
      </c>
      <c r="CU2114" s="496" t="s">
        <v>1087</v>
      </c>
      <c r="CV2114" s="497" t="s">
        <v>1088</v>
      </c>
      <c r="CX2114" s="543">
        <v>1</v>
      </c>
    </row>
    <row r="2115" spans="91:102" ht="21" customHeight="1">
      <c r="CM2115" s="494"/>
      <c r="CN2115" s="496" t="s">
        <v>5186</v>
      </c>
      <c r="CO2115" s="496" t="s">
        <v>13</v>
      </c>
      <c r="CP2115" s="496" t="s">
        <v>1511</v>
      </c>
      <c r="CQ2115" s="496" t="s">
        <v>5187</v>
      </c>
      <c r="CR2115" s="496" t="s">
        <v>5188</v>
      </c>
      <c r="CS2115" s="496" t="s">
        <v>1085</v>
      </c>
      <c r="CT2115" s="496" t="s">
        <v>5141</v>
      </c>
      <c r="CU2115" s="496" t="s">
        <v>1087</v>
      </c>
      <c r="CV2115" s="497" t="s">
        <v>1088</v>
      </c>
      <c r="CX2115" s="543">
        <v>1</v>
      </c>
    </row>
    <row r="2116" spans="91:102" ht="21" customHeight="1">
      <c r="CM2116" s="494"/>
      <c r="CN2116" s="496" t="s">
        <v>5189</v>
      </c>
      <c r="CO2116" s="496" t="s">
        <v>13</v>
      </c>
      <c r="CP2116" s="496" t="s">
        <v>1511</v>
      </c>
      <c r="CQ2116" s="496" t="s">
        <v>5190</v>
      </c>
      <c r="CR2116" s="496" t="s">
        <v>5190</v>
      </c>
      <c r="CS2116" s="496" t="s">
        <v>1085</v>
      </c>
      <c r="CT2116" s="496" t="s">
        <v>5141</v>
      </c>
      <c r="CU2116" s="496" t="s">
        <v>1087</v>
      </c>
      <c r="CV2116" s="497" t="s">
        <v>1088</v>
      </c>
      <c r="CX2116" s="543">
        <v>1</v>
      </c>
    </row>
    <row r="2117" spans="91:102" ht="21" customHeight="1">
      <c r="CM2117" s="494"/>
      <c r="CN2117" s="496" t="s">
        <v>5191</v>
      </c>
      <c r="CO2117" s="496" t="s">
        <v>13</v>
      </c>
      <c r="CP2117" s="496" t="s">
        <v>1511</v>
      </c>
      <c r="CQ2117" s="496" t="s">
        <v>5192</v>
      </c>
      <c r="CR2117" s="496" t="s">
        <v>5192</v>
      </c>
      <c r="CS2117" s="496" t="s">
        <v>1085</v>
      </c>
      <c r="CT2117" s="496" t="s">
        <v>5141</v>
      </c>
      <c r="CU2117" s="496" t="s">
        <v>1087</v>
      </c>
      <c r="CV2117" s="497" t="s">
        <v>1088</v>
      </c>
      <c r="CX2117" s="543">
        <v>1</v>
      </c>
    </row>
    <row r="2118" spans="91:102" ht="21" customHeight="1">
      <c r="CM2118" s="494"/>
      <c r="CN2118" s="496" t="s">
        <v>5193</v>
      </c>
      <c r="CO2118" s="496" t="s">
        <v>13</v>
      </c>
      <c r="CP2118" s="496" t="s">
        <v>1511</v>
      </c>
      <c r="CQ2118" s="496" t="s">
        <v>5194</v>
      </c>
      <c r="CR2118" s="496" t="s">
        <v>5195</v>
      </c>
      <c r="CS2118" s="496" t="s">
        <v>1085</v>
      </c>
      <c r="CT2118" s="496" t="s">
        <v>5141</v>
      </c>
      <c r="CU2118" s="496" t="s">
        <v>1087</v>
      </c>
      <c r="CV2118" s="497" t="s">
        <v>1088</v>
      </c>
      <c r="CX2118" s="543">
        <v>1</v>
      </c>
    </row>
    <row r="2119" spans="91:102" ht="21" customHeight="1">
      <c r="CM2119" s="494"/>
      <c r="CN2119" s="496" t="s">
        <v>5196</v>
      </c>
      <c r="CO2119" s="496" t="s">
        <v>13</v>
      </c>
      <c r="CP2119" s="496" t="s">
        <v>1511</v>
      </c>
      <c r="CQ2119" s="496" t="s">
        <v>1064</v>
      </c>
      <c r="CR2119" s="496" t="s">
        <v>1064</v>
      </c>
      <c r="CS2119" s="496" t="s">
        <v>1085</v>
      </c>
      <c r="CT2119" s="496" t="s">
        <v>5141</v>
      </c>
      <c r="CU2119" s="496" t="s">
        <v>1087</v>
      </c>
      <c r="CV2119" s="497" t="s">
        <v>1088</v>
      </c>
      <c r="CX2119" s="543">
        <v>1</v>
      </c>
    </row>
    <row r="2120" spans="91:102" ht="21" customHeight="1">
      <c r="CM2120" s="494"/>
      <c r="CN2120" s="496" t="s">
        <v>5197</v>
      </c>
      <c r="CO2120" s="496" t="s">
        <v>13</v>
      </c>
      <c r="CP2120" s="496" t="s">
        <v>1511</v>
      </c>
      <c r="CQ2120" s="496" t="s">
        <v>5198</v>
      </c>
      <c r="CR2120" s="496" t="s">
        <v>5198</v>
      </c>
      <c r="CS2120" s="496" t="s">
        <v>1151</v>
      </c>
      <c r="CT2120" s="496" t="s">
        <v>1518</v>
      </c>
      <c r="CU2120" s="496" t="s">
        <v>1087</v>
      </c>
      <c r="CV2120" s="497" t="s">
        <v>1153</v>
      </c>
      <c r="CX2120" s="543">
        <v>1</v>
      </c>
    </row>
    <row r="2121" spans="91:102" ht="21" customHeight="1">
      <c r="CM2121" s="494"/>
      <c r="CN2121" s="496" t="s">
        <v>5199</v>
      </c>
      <c r="CO2121" s="496" t="s">
        <v>13</v>
      </c>
      <c r="CP2121" s="496" t="s">
        <v>1511</v>
      </c>
      <c r="CQ2121" s="496" t="s">
        <v>5200</v>
      </c>
      <c r="CR2121" s="496" t="s">
        <v>5200</v>
      </c>
      <c r="CS2121" s="496" t="s">
        <v>1085</v>
      </c>
      <c r="CT2121" s="496" t="s">
        <v>5141</v>
      </c>
      <c r="CU2121" s="496" t="s">
        <v>1087</v>
      </c>
      <c r="CV2121" s="497" t="s">
        <v>1088</v>
      </c>
      <c r="CX2121" s="543">
        <v>1</v>
      </c>
    </row>
    <row r="2122" spans="91:102" ht="21" customHeight="1">
      <c r="CM2122" s="494"/>
      <c r="CN2122" s="496" t="s">
        <v>5201</v>
      </c>
      <c r="CO2122" s="496" t="s">
        <v>13</v>
      </c>
      <c r="CP2122" s="496" t="s">
        <v>1511</v>
      </c>
      <c r="CQ2122" s="496" t="s">
        <v>5202</v>
      </c>
      <c r="CR2122" s="496" t="s">
        <v>5202</v>
      </c>
      <c r="CS2122" s="496" t="s">
        <v>1085</v>
      </c>
      <c r="CT2122" s="496" t="s">
        <v>5141</v>
      </c>
      <c r="CU2122" s="496" t="s">
        <v>1087</v>
      </c>
      <c r="CV2122" s="497" t="s">
        <v>1088</v>
      </c>
      <c r="CX2122" s="543">
        <v>1</v>
      </c>
    </row>
    <row r="2123" spans="91:102" ht="21" customHeight="1">
      <c r="CM2123" s="494"/>
      <c r="CN2123" s="496" t="s">
        <v>5203</v>
      </c>
      <c r="CO2123" s="496" t="s">
        <v>13</v>
      </c>
      <c r="CP2123" s="496" t="s">
        <v>1511</v>
      </c>
      <c r="CQ2123" s="496" t="s">
        <v>5204</v>
      </c>
      <c r="CR2123" s="496" t="s">
        <v>5204</v>
      </c>
      <c r="CS2123" s="496" t="s">
        <v>1151</v>
      </c>
      <c r="CT2123" s="496" t="s">
        <v>1518</v>
      </c>
      <c r="CU2123" s="496" t="s">
        <v>1087</v>
      </c>
      <c r="CV2123" s="497" t="s">
        <v>1153</v>
      </c>
      <c r="CX2123" s="543">
        <v>1</v>
      </c>
    </row>
    <row r="2124" spans="91:102" ht="21" customHeight="1">
      <c r="CM2124" s="494"/>
      <c r="CN2124" s="496" t="s">
        <v>5205</v>
      </c>
      <c r="CO2124" s="496" t="s">
        <v>13</v>
      </c>
      <c r="CP2124" s="496" t="s">
        <v>1511</v>
      </c>
      <c r="CQ2124" s="496" t="s">
        <v>5206</v>
      </c>
      <c r="CR2124" s="496" t="s">
        <v>5206</v>
      </c>
      <c r="CS2124" s="496" t="s">
        <v>1085</v>
      </c>
      <c r="CT2124" s="496" t="s">
        <v>5141</v>
      </c>
      <c r="CU2124" s="496" t="s">
        <v>1087</v>
      </c>
      <c r="CV2124" s="497" t="s">
        <v>1088</v>
      </c>
      <c r="CX2124" s="543">
        <v>1</v>
      </c>
    </row>
    <row r="2125" spans="91:102" ht="21" customHeight="1">
      <c r="CM2125" s="494"/>
      <c r="CN2125" s="496" t="s">
        <v>5207</v>
      </c>
      <c r="CO2125" s="496" t="s">
        <v>13</v>
      </c>
      <c r="CP2125" s="496" t="s">
        <v>1511</v>
      </c>
      <c r="CQ2125" s="496" t="s">
        <v>5208</v>
      </c>
      <c r="CR2125" s="496" t="s">
        <v>5208</v>
      </c>
      <c r="CS2125" s="496" t="s">
        <v>1085</v>
      </c>
      <c r="CT2125" s="496" t="s">
        <v>5141</v>
      </c>
      <c r="CU2125" s="496" t="s">
        <v>1087</v>
      </c>
      <c r="CV2125" s="497" t="s">
        <v>1088</v>
      </c>
      <c r="CX2125" s="543">
        <v>1</v>
      </c>
    </row>
    <row r="2126" spans="91:102" ht="21" customHeight="1">
      <c r="CM2126" s="494"/>
      <c r="CN2126" s="496" t="s">
        <v>5209</v>
      </c>
      <c r="CO2126" s="496" t="s">
        <v>13</v>
      </c>
      <c r="CP2126" s="496" t="s">
        <v>1511</v>
      </c>
      <c r="CQ2126" s="496" t="s">
        <v>1065</v>
      </c>
      <c r="CR2126" s="496" t="s">
        <v>1065</v>
      </c>
      <c r="CS2126" s="496" t="s">
        <v>1085</v>
      </c>
      <c r="CT2126" s="496" t="s">
        <v>5141</v>
      </c>
      <c r="CU2126" s="496" t="s">
        <v>1087</v>
      </c>
      <c r="CV2126" s="497" t="s">
        <v>1088</v>
      </c>
      <c r="CX2126" s="543">
        <v>1</v>
      </c>
    </row>
    <row r="2127" spans="91:102" ht="21" customHeight="1">
      <c r="CM2127" s="494"/>
      <c r="CN2127" s="496" t="s">
        <v>5210</v>
      </c>
      <c r="CO2127" s="496" t="s">
        <v>13</v>
      </c>
      <c r="CP2127" s="496" t="s">
        <v>1511</v>
      </c>
      <c r="CQ2127" s="496" t="s">
        <v>5211</v>
      </c>
      <c r="CR2127" s="496" t="s">
        <v>5212</v>
      </c>
      <c r="CS2127" s="496" t="s">
        <v>1085</v>
      </c>
      <c r="CT2127" s="496" t="s">
        <v>5141</v>
      </c>
      <c r="CU2127" s="496" t="s">
        <v>1087</v>
      </c>
      <c r="CV2127" s="497" t="s">
        <v>1088</v>
      </c>
      <c r="CX2127" s="543">
        <v>1</v>
      </c>
    </row>
    <row r="2128" spans="91:102" ht="21" customHeight="1">
      <c r="CM2128" s="494"/>
      <c r="CN2128" s="496" t="s">
        <v>5213</v>
      </c>
      <c r="CO2128" s="496" t="s">
        <v>13</v>
      </c>
      <c r="CP2128" s="496" t="s">
        <v>1511</v>
      </c>
      <c r="CQ2128" s="496" t="s">
        <v>1066</v>
      </c>
      <c r="CR2128" s="496" t="s">
        <v>1066</v>
      </c>
      <c r="CS2128" s="496" t="s">
        <v>1085</v>
      </c>
      <c r="CT2128" s="496" t="s">
        <v>5141</v>
      </c>
      <c r="CU2128" s="496" t="s">
        <v>1087</v>
      </c>
      <c r="CV2128" s="497" t="s">
        <v>1088</v>
      </c>
      <c r="CX2128" s="543">
        <v>1</v>
      </c>
    </row>
    <row r="2129" spans="91:102" ht="21" customHeight="1">
      <c r="CM2129" s="494"/>
      <c r="CN2129" s="496" t="s">
        <v>5214</v>
      </c>
      <c r="CO2129" s="496" t="s">
        <v>13</v>
      </c>
      <c r="CP2129" s="496" t="s">
        <v>1511</v>
      </c>
      <c r="CQ2129" s="496" t="s">
        <v>5215</v>
      </c>
      <c r="CR2129" s="496" t="s">
        <v>5215</v>
      </c>
      <c r="CS2129" s="496" t="s">
        <v>1085</v>
      </c>
      <c r="CT2129" s="496" t="s">
        <v>5141</v>
      </c>
      <c r="CU2129" s="496" t="s">
        <v>1087</v>
      </c>
      <c r="CV2129" s="497" t="s">
        <v>1088</v>
      </c>
      <c r="CX2129" s="543">
        <v>1</v>
      </c>
    </row>
    <row r="2130" spans="91:102" ht="21" customHeight="1">
      <c r="CM2130" s="494"/>
      <c r="CN2130" s="496" t="s">
        <v>5216</v>
      </c>
      <c r="CO2130" s="496" t="s">
        <v>13</v>
      </c>
      <c r="CP2130" s="496" t="s">
        <v>1511</v>
      </c>
      <c r="CQ2130" s="496" t="s">
        <v>5217</v>
      </c>
      <c r="CR2130" s="496" t="s">
        <v>5217</v>
      </c>
      <c r="CS2130" s="496" t="s">
        <v>1085</v>
      </c>
      <c r="CT2130" s="496" t="s">
        <v>5141</v>
      </c>
      <c r="CU2130" s="496" t="s">
        <v>1087</v>
      </c>
      <c r="CV2130" s="497" t="s">
        <v>1088</v>
      </c>
      <c r="CX2130" s="543">
        <v>1</v>
      </c>
    </row>
    <row r="2131" spans="91:102" ht="21" customHeight="1">
      <c r="CM2131" s="494"/>
      <c r="CN2131" s="496" t="s">
        <v>5218</v>
      </c>
      <c r="CO2131" s="496" t="s">
        <v>13</v>
      </c>
      <c r="CP2131" s="496" t="s">
        <v>689</v>
      </c>
      <c r="CQ2131" s="496" t="s">
        <v>5219</v>
      </c>
      <c r="CR2131" s="496" t="s">
        <v>5219</v>
      </c>
      <c r="CS2131" s="496" t="s">
        <v>1085</v>
      </c>
      <c r="CT2131" s="496" t="s">
        <v>5746</v>
      </c>
      <c r="CU2131" s="496" t="s">
        <v>1087</v>
      </c>
      <c r="CV2131" s="497" t="s">
        <v>1088</v>
      </c>
      <c r="CX2131" s="543">
        <v>1</v>
      </c>
    </row>
    <row r="2132" spans="91:102" ht="21" customHeight="1">
      <c r="CM2132" s="494"/>
      <c r="CN2132" s="496" t="s">
        <v>5220</v>
      </c>
      <c r="CO2132" s="496" t="s">
        <v>13</v>
      </c>
      <c r="CP2132" s="496" t="s">
        <v>1511</v>
      </c>
      <c r="CQ2132" s="496" t="s">
        <v>5221</v>
      </c>
      <c r="CR2132" s="496" t="s">
        <v>5221</v>
      </c>
      <c r="CS2132" s="496" t="s">
        <v>1151</v>
      </c>
      <c r="CT2132" s="496" t="s">
        <v>1518</v>
      </c>
      <c r="CU2132" s="496" t="s">
        <v>1087</v>
      </c>
      <c r="CV2132" s="497" t="s">
        <v>1153</v>
      </c>
      <c r="CX2132" s="543">
        <v>1</v>
      </c>
    </row>
    <row r="2133" spans="91:102" ht="21" customHeight="1">
      <c r="CM2133" s="494"/>
      <c r="CN2133" s="496" t="s">
        <v>5222</v>
      </c>
      <c r="CO2133" s="496" t="s">
        <v>13</v>
      </c>
      <c r="CP2133" s="496" t="s">
        <v>1511</v>
      </c>
      <c r="CQ2133" s="496" t="s">
        <v>5223</v>
      </c>
      <c r="CR2133" s="496" t="s">
        <v>5224</v>
      </c>
      <c r="CS2133" s="496" t="s">
        <v>1085</v>
      </c>
      <c r="CT2133" s="496" t="s">
        <v>5141</v>
      </c>
      <c r="CU2133" s="496" t="s">
        <v>1087</v>
      </c>
      <c r="CV2133" s="497" t="s">
        <v>1088</v>
      </c>
      <c r="CX2133" s="543">
        <v>1</v>
      </c>
    </row>
    <row r="2134" spans="91:102" ht="21" customHeight="1">
      <c r="CM2134" s="494"/>
      <c r="CN2134" s="496" t="s">
        <v>5225</v>
      </c>
      <c r="CO2134" s="496" t="s">
        <v>14</v>
      </c>
      <c r="CP2134" s="496" t="s">
        <v>689</v>
      </c>
      <c r="CQ2134" s="496" t="s">
        <v>38</v>
      </c>
      <c r="CR2134" s="496" t="s">
        <v>38</v>
      </c>
      <c r="CS2134" s="496" t="s">
        <v>1085</v>
      </c>
      <c r="CT2134" s="496" t="s">
        <v>5226</v>
      </c>
      <c r="CU2134" s="496" t="s">
        <v>1087</v>
      </c>
      <c r="CV2134" s="497" t="s">
        <v>1088</v>
      </c>
      <c r="CX2134" s="543">
        <v>1</v>
      </c>
    </row>
    <row r="2135" spans="91:102" ht="21" customHeight="1">
      <c r="CM2135" s="494"/>
      <c r="CN2135" s="496" t="s">
        <v>5227</v>
      </c>
      <c r="CO2135" s="496" t="s">
        <v>14</v>
      </c>
      <c r="CP2135" s="496" t="s">
        <v>689</v>
      </c>
      <c r="CQ2135" s="496" t="s">
        <v>64</v>
      </c>
      <c r="CR2135" s="496" t="s">
        <v>64</v>
      </c>
      <c r="CS2135" s="496" t="s">
        <v>1085</v>
      </c>
      <c r="CT2135" s="496" t="s">
        <v>5226</v>
      </c>
      <c r="CU2135" s="496" t="s">
        <v>1087</v>
      </c>
      <c r="CV2135" s="497" t="s">
        <v>1088</v>
      </c>
      <c r="CX2135" s="543">
        <v>1</v>
      </c>
    </row>
    <row r="2136" spans="91:102" ht="21" customHeight="1">
      <c r="CM2136" s="494"/>
      <c r="CN2136" s="496" t="s">
        <v>5228</v>
      </c>
      <c r="CO2136" s="496" t="s">
        <v>14</v>
      </c>
      <c r="CP2136" s="496" t="s">
        <v>689</v>
      </c>
      <c r="CQ2136" s="496" t="s">
        <v>51</v>
      </c>
      <c r="CR2136" s="496" t="s">
        <v>51</v>
      </c>
      <c r="CS2136" s="496" t="s">
        <v>1085</v>
      </c>
      <c r="CT2136" s="496" t="s">
        <v>5226</v>
      </c>
      <c r="CU2136" s="496" t="s">
        <v>1087</v>
      </c>
      <c r="CV2136" s="497" t="s">
        <v>1088</v>
      </c>
      <c r="CX2136" s="543">
        <v>1</v>
      </c>
    </row>
    <row r="2137" spans="91:102" ht="21" customHeight="1">
      <c r="CM2137" s="494"/>
      <c r="CN2137" s="496" t="s">
        <v>5229</v>
      </c>
      <c r="CO2137" s="496" t="s">
        <v>14</v>
      </c>
      <c r="CP2137" s="496" t="s">
        <v>689</v>
      </c>
      <c r="CQ2137" s="496" t="s">
        <v>5230</v>
      </c>
      <c r="CR2137" s="496" t="s">
        <v>5230</v>
      </c>
      <c r="CS2137" s="496" t="s">
        <v>1085</v>
      </c>
      <c r="CT2137" s="496" t="s">
        <v>5226</v>
      </c>
      <c r="CU2137" s="496" t="s">
        <v>1087</v>
      </c>
      <c r="CV2137" s="497" t="s">
        <v>1088</v>
      </c>
      <c r="CX2137" s="543">
        <v>1</v>
      </c>
    </row>
    <row r="2138" spans="91:102" ht="21" customHeight="1">
      <c r="CM2138" s="494"/>
      <c r="CN2138" s="496" t="s">
        <v>5231</v>
      </c>
      <c r="CO2138" s="496" t="s">
        <v>14</v>
      </c>
      <c r="CP2138" s="496" t="s">
        <v>689</v>
      </c>
      <c r="CQ2138" s="496" t="s">
        <v>5</v>
      </c>
      <c r="CR2138" s="496" t="s">
        <v>5</v>
      </c>
      <c r="CS2138" s="496" t="s">
        <v>1085</v>
      </c>
      <c r="CT2138" s="496" t="s">
        <v>5226</v>
      </c>
      <c r="CU2138" s="496" t="s">
        <v>1087</v>
      </c>
      <c r="CV2138" s="497" t="s">
        <v>1088</v>
      </c>
      <c r="CX2138" s="543">
        <v>1</v>
      </c>
    </row>
    <row r="2139" spans="91:102" ht="21" customHeight="1">
      <c r="CM2139" s="494"/>
      <c r="CN2139" s="496" t="s">
        <v>5232</v>
      </c>
      <c r="CO2139" s="496" t="s">
        <v>14</v>
      </c>
      <c r="CP2139" s="496" t="s">
        <v>689</v>
      </c>
      <c r="CQ2139" s="496" t="s">
        <v>5233</v>
      </c>
      <c r="CR2139" s="496" t="s">
        <v>5233</v>
      </c>
      <c r="CS2139" s="496" t="s">
        <v>1085</v>
      </c>
      <c r="CT2139" s="496" t="s">
        <v>5226</v>
      </c>
      <c r="CU2139" s="496" t="s">
        <v>1087</v>
      </c>
      <c r="CV2139" s="497" t="s">
        <v>1088</v>
      </c>
      <c r="CX2139" s="543">
        <v>1</v>
      </c>
    </row>
    <row r="2140" spans="91:102" ht="21" customHeight="1">
      <c r="CM2140" s="494"/>
      <c r="CN2140" s="496" t="s">
        <v>5234</v>
      </c>
      <c r="CO2140" s="496" t="s">
        <v>14</v>
      </c>
      <c r="CP2140" s="496" t="s">
        <v>689</v>
      </c>
      <c r="CQ2140" s="496" t="s">
        <v>334</v>
      </c>
      <c r="CR2140" s="496" t="s">
        <v>334</v>
      </c>
      <c r="CS2140" s="496" t="s">
        <v>1151</v>
      </c>
      <c r="CT2140" s="496" t="s">
        <v>1152</v>
      </c>
      <c r="CU2140" s="496" t="s">
        <v>1087</v>
      </c>
      <c r="CV2140" s="497" t="s">
        <v>1153</v>
      </c>
      <c r="CX2140" s="543">
        <v>1</v>
      </c>
    </row>
    <row r="2141" spans="91:102" ht="21" customHeight="1">
      <c r="CM2141" s="494"/>
      <c r="CN2141" s="496" t="s">
        <v>5235</v>
      </c>
      <c r="CO2141" s="496" t="s">
        <v>14</v>
      </c>
      <c r="CP2141" s="496" t="s">
        <v>689</v>
      </c>
      <c r="CQ2141" s="496" t="s">
        <v>5236</v>
      </c>
      <c r="CR2141" s="496" t="s">
        <v>5236</v>
      </c>
      <c r="CS2141" s="496" t="s">
        <v>1151</v>
      </c>
      <c r="CT2141" s="496" t="s">
        <v>1152</v>
      </c>
      <c r="CU2141" s="496" t="s">
        <v>1087</v>
      </c>
      <c r="CV2141" s="497" t="s">
        <v>1153</v>
      </c>
      <c r="CX2141" s="543">
        <v>1</v>
      </c>
    </row>
    <row r="2142" spans="91:102" ht="21" customHeight="1">
      <c r="CM2142" s="494"/>
      <c r="CN2142" s="496" t="s">
        <v>5237</v>
      </c>
      <c r="CO2142" s="496" t="s">
        <v>14</v>
      </c>
      <c r="CP2142" s="496" t="s">
        <v>689</v>
      </c>
      <c r="CQ2142" s="496" t="s">
        <v>5238</v>
      </c>
      <c r="CR2142" s="496" t="s">
        <v>5238</v>
      </c>
      <c r="CS2142" s="496" t="s">
        <v>1085</v>
      </c>
      <c r="CT2142" s="496" t="s">
        <v>5226</v>
      </c>
      <c r="CU2142" s="496" t="s">
        <v>1087</v>
      </c>
      <c r="CV2142" s="497" t="s">
        <v>1088</v>
      </c>
      <c r="CX2142" s="543">
        <v>1</v>
      </c>
    </row>
    <row r="2143" spans="91:102" ht="21" customHeight="1">
      <c r="CM2143" s="494"/>
      <c r="CN2143" s="496" t="s">
        <v>5239</v>
      </c>
      <c r="CO2143" s="496" t="s">
        <v>14</v>
      </c>
      <c r="CP2143" s="496" t="s">
        <v>689</v>
      </c>
      <c r="CQ2143" s="496" t="s">
        <v>5240</v>
      </c>
      <c r="CR2143" s="496" t="s">
        <v>77</v>
      </c>
      <c r="CS2143" s="496" t="s">
        <v>1085</v>
      </c>
      <c r="CT2143" s="496" t="s">
        <v>5226</v>
      </c>
      <c r="CU2143" s="496" t="s">
        <v>1087</v>
      </c>
      <c r="CV2143" s="497" t="s">
        <v>1088</v>
      </c>
      <c r="CX2143" s="543">
        <v>1</v>
      </c>
    </row>
    <row r="2144" spans="91:102" ht="21" customHeight="1">
      <c r="CM2144" s="494"/>
      <c r="CN2144" s="496" t="s">
        <v>5241</v>
      </c>
      <c r="CO2144" s="496" t="s">
        <v>14</v>
      </c>
      <c r="CP2144" s="496" t="s">
        <v>689</v>
      </c>
      <c r="CQ2144" s="496" t="s">
        <v>5242</v>
      </c>
      <c r="CR2144" s="496" t="s">
        <v>89</v>
      </c>
      <c r="CS2144" s="496" t="s">
        <v>1085</v>
      </c>
      <c r="CT2144" s="496" t="s">
        <v>5226</v>
      </c>
      <c r="CU2144" s="496" t="s">
        <v>1087</v>
      </c>
      <c r="CV2144" s="497" t="s">
        <v>1088</v>
      </c>
      <c r="CX2144" s="543">
        <v>1</v>
      </c>
    </row>
    <row r="2145" spans="91:102" ht="21" customHeight="1">
      <c r="CM2145" s="494"/>
      <c r="CN2145" s="496" t="s">
        <v>5243</v>
      </c>
      <c r="CO2145" s="496" t="s">
        <v>14</v>
      </c>
      <c r="CP2145" s="496" t="s">
        <v>689</v>
      </c>
      <c r="CQ2145" s="496" t="s">
        <v>116</v>
      </c>
      <c r="CR2145" s="496" t="s">
        <v>116</v>
      </c>
      <c r="CS2145" s="496" t="s">
        <v>1085</v>
      </c>
      <c r="CT2145" s="496" t="s">
        <v>5226</v>
      </c>
      <c r="CU2145" s="496" t="s">
        <v>1087</v>
      </c>
      <c r="CV2145" s="497" t="s">
        <v>1088</v>
      </c>
      <c r="CX2145" s="543">
        <v>1</v>
      </c>
    </row>
    <row r="2146" spans="91:102" ht="21" customHeight="1">
      <c r="CM2146" s="494"/>
      <c r="CN2146" s="496" t="s">
        <v>5244</v>
      </c>
      <c r="CO2146" s="496" t="s">
        <v>14</v>
      </c>
      <c r="CP2146" s="496" t="s">
        <v>689</v>
      </c>
      <c r="CQ2146" s="496" t="s">
        <v>102</v>
      </c>
      <c r="CR2146" s="496" t="s">
        <v>102</v>
      </c>
      <c r="CS2146" s="496" t="s">
        <v>1085</v>
      </c>
      <c r="CT2146" s="496" t="s">
        <v>5226</v>
      </c>
      <c r="CU2146" s="496" t="s">
        <v>1087</v>
      </c>
      <c r="CV2146" s="497" t="s">
        <v>1088</v>
      </c>
      <c r="CX2146" s="543">
        <v>1</v>
      </c>
    </row>
    <row r="2147" spans="91:102" ht="21" customHeight="1">
      <c r="CM2147" s="494"/>
      <c r="CN2147" s="496" t="s">
        <v>5245</v>
      </c>
      <c r="CO2147" s="496" t="s">
        <v>14</v>
      </c>
      <c r="CP2147" s="496" t="s">
        <v>1511</v>
      </c>
      <c r="CQ2147" s="496" t="s">
        <v>1443</v>
      </c>
      <c r="CR2147" s="496" t="s">
        <v>1443</v>
      </c>
      <c r="CS2147" s="496" t="s">
        <v>1085</v>
      </c>
      <c r="CT2147" s="496" t="s">
        <v>5246</v>
      </c>
      <c r="CU2147" s="496" t="s">
        <v>1087</v>
      </c>
      <c r="CV2147" s="497" t="s">
        <v>1088</v>
      </c>
      <c r="CX2147" s="543">
        <v>1</v>
      </c>
    </row>
    <row r="2148" spans="91:102" ht="21" customHeight="1">
      <c r="CM2148" s="494"/>
      <c r="CN2148" s="496" t="s">
        <v>5247</v>
      </c>
      <c r="CO2148" s="496" t="s">
        <v>14</v>
      </c>
      <c r="CP2148" s="496" t="s">
        <v>1511</v>
      </c>
      <c r="CQ2148" s="496" t="s">
        <v>1492</v>
      </c>
      <c r="CR2148" s="496" t="s">
        <v>1492</v>
      </c>
      <c r="CS2148" s="496" t="s">
        <v>1085</v>
      </c>
      <c r="CT2148" s="496" t="s">
        <v>5246</v>
      </c>
      <c r="CU2148" s="496" t="s">
        <v>1087</v>
      </c>
      <c r="CV2148" s="497" t="s">
        <v>1088</v>
      </c>
      <c r="CX2148" s="543">
        <v>1</v>
      </c>
    </row>
    <row r="2149" spans="91:102" ht="21" customHeight="1">
      <c r="CM2149" s="494"/>
      <c r="CN2149" s="496" t="s">
        <v>5248</v>
      </c>
      <c r="CO2149" s="496" t="s">
        <v>14</v>
      </c>
      <c r="CP2149" s="496" t="s">
        <v>1511</v>
      </c>
      <c r="CQ2149" s="496" t="s">
        <v>1498</v>
      </c>
      <c r="CR2149" s="496" t="s">
        <v>1499</v>
      </c>
      <c r="CS2149" s="496" t="s">
        <v>1085</v>
      </c>
      <c r="CT2149" s="496" t="s">
        <v>5246</v>
      </c>
      <c r="CU2149" s="496" t="s">
        <v>1087</v>
      </c>
      <c r="CV2149" s="497" t="s">
        <v>1088</v>
      </c>
      <c r="CX2149" s="543">
        <v>1</v>
      </c>
    </row>
    <row r="2150" spans="91:102" ht="21" customHeight="1">
      <c r="CM2150" s="494"/>
      <c r="CN2150" s="496" t="s">
        <v>5249</v>
      </c>
      <c r="CO2150" s="496" t="s">
        <v>14</v>
      </c>
      <c r="CP2150" s="496" t="s">
        <v>1511</v>
      </c>
      <c r="CQ2150" s="496" t="s">
        <v>5250</v>
      </c>
      <c r="CR2150" s="496" t="s">
        <v>5251</v>
      </c>
      <c r="CS2150" s="496" t="s">
        <v>1085</v>
      </c>
      <c r="CT2150" s="496" t="s">
        <v>5246</v>
      </c>
      <c r="CU2150" s="496" t="s">
        <v>1087</v>
      </c>
      <c r="CV2150" s="497" t="s">
        <v>1088</v>
      </c>
      <c r="CX2150" s="543">
        <v>1</v>
      </c>
    </row>
    <row r="2151" spans="91:102" ht="21" customHeight="1">
      <c r="CM2151" s="494"/>
      <c r="CN2151" s="496" t="s">
        <v>5252</v>
      </c>
      <c r="CO2151" s="496" t="s">
        <v>14</v>
      </c>
      <c r="CP2151" s="496" t="s">
        <v>1511</v>
      </c>
      <c r="CQ2151" s="496" t="s">
        <v>3947</v>
      </c>
      <c r="CR2151" s="496" t="s">
        <v>3948</v>
      </c>
      <c r="CS2151" s="496" t="s">
        <v>1085</v>
      </c>
      <c r="CT2151" s="496" t="s">
        <v>5246</v>
      </c>
      <c r="CU2151" s="496" t="s">
        <v>1087</v>
      </c>
      <c r="CV2151" s="497" t="s">
        <v>1088</v>
      </c>
      <c r="CX2151" s="543">
        <v>1</v>
      </c>
    </row>
    <row r="2152" spans="91:102" ht="21" customHeight="1">
      <c r="CM2152" s="494"/>
      <c r="CN2152" s="496" t="s">
        <v>5253</v>
      </c>
      <c r="CO2152" s="496" t="s">
        <v>14</v>
      </c>
      <c r="CP2152" s="496" t="s">
        <v>1511</v>
      </c>
      <c r="CQ2152" s="496" t="s">
        <v>5254</v>
      </c>
      <c r="CR2152" s="496" t="s">
        <v>5255</v>
      </c>
      <c r="CS2152" s="496" t="s">
        <v>1085</v>
      </c>
      <c r="CT2152" s="496" t="s">
        <v>5246</v>
      </c>
      <c r="CU2152" s="496" t="s">
        <v>1087</v>
      </c>
      <c r="CV2152" s="497" t="s">
        <v>1088</v>
      </c>
      <c r="CX2152" s="543">
        <v>1</v>
      </c>
    </row>
    <row r="2153" spans="91:102" ht="21" customHeight="1">
      <c r="CM2153" s="494"/>
      <c r="CN2153" s="496" t="s">
        <v>5256</v>
      </c>
      <c r="CO2153" s="496" t="s">
        <v>15</v>
      </c>
      <c r="CP2153" s="496" t="s">
        <v>689</v>
      </c>
      <c r="CQ2153" s="496" t="s">
        <v>5257</v>
      </c>
      <c r="CR2153" s="496" t="s">
        <v>5257</v>
      </c>
      <c r="CS2153" s="496" t="s">
        <v>1554</v>
      </c>
      <c r="CT2153" s="496" t="s">
        <v>1555</v>
      </c>
      <c r="CU2153" s="496" t="s">
        <v>1556</v>
      </c>
      <c r="CV2153" s="497" t="s">
        <v>5258</v>
      </c>
      <c r="CX2153" s="543">
        <v>1</v>
      </c>
    </row>
    <row r="2154" spans="91:102" ht="21" customHeight="1">
      <c r="CM2154" s="494"/>
      <c r="CN2154" s="496" t="s">
        <v>5259</v>
      </c>
      <c r="CO2154" s="496" t="s">
        <v>15</v>
      </c>
      <c r="CP2154" s="496" t="s">
        <v>689</v>
      </c>
      <c r="CQ2154" s="496" t="s">
        <v>5260</v>
      </c>
      <c r="CR2154" s="496" t="s">
        <v>5260</v>
      </c>
      <c r="CS2154" s="496" t="s">
        <v>1554</v>
      </c>
      <c r="CT2154" s="496" t="s">
        <v>1555</v>
      </c>
      <c r="CU2154" s="496" t="s">
        <v>1556</v>
      </c>
      <c r="CV2154" s="497" t="s">
        <v>5258</v>
      </c>
      <c r="CX2154" s="543">
        <v>1</v>
      </c>
    </row>
    <row r="2155" spans="91:102" ht="21" customHeight="1">
      <c r="CM2155" s="494"/>
      <c r="CN2155" s="496" t="s">
        <v>5261</v>
      </c>
      <c r="CO2155" s="496" t="s">
        <v>15</v>
      </c>
      <c r="CP2155" s="496" t="s">
        <v>689</v>
      </c>
      <c r="CQ2155" s="496" t="s">
        <v>5262</v>
      </c>
      <c r="CR2155" s="496" t="s">
        <v>5262</v>
      </c>
      <c r="CS2155" s="496" t="s">
        <v>1554</v>
      </c>
      <c r="CT2155" s="496" t="s">
        <v>1555</v>
      </c>
      <c r="CU2155" s="496" t="s">
        <v>1556</v>
      </c>
      <c r="CV2155" s="497" t="s">
        <v>5258</v>
      </c>
      <c r="CX2155" s="543">
        <v>1</v>
      </c>
    </row>
    <row r="2156" spans="91:102" ht="21" customHeight="1">
      <c r="CM2156" s="494"/>
      <c r="CN2156" s="496" t="s">
        <v>5263</v>
      </c>
      <c r="CO2156" s="496" t="s">
        <v>15</v>
      </c>
      <c r="CP2156" s="496" t="s">
        <v>689</v>
      </c>
      <c r="CQ2156" s="496" t="s">
        <v>998</v>
      </c>
      <c r="CR2156" s="496" t="s">
        <v>998</v>
      </c>
      <c r="CS2156" s="496" t="s">
        <v>1554</v>
      </c>
      <c r="CT2156" s="496" t="s">
        <v>1555</v>
      </c>
      <c r="CU2156" s="496" t="s">
        <v>1556</v>
      </c>
      <c r="CV2156" s="497" t="s">
        <v>5258</v>
      </c>
      <c r="CX2156" s="543">
        <v>1</v>
      </c>
    </row>
    <row r="2157" spans="91:102" ht="21" customHeight="1">
      <c r="CM2157" s="494"/>
      <c r="CN2157" s="496" t="s">
        <v>5264</v>
      </c>
      <c r="CO2157" s="496" t="s">
        <v>15</v>
      </c>
      <c r="CP2157" s="496" t="s">
        <v>689</v>
      </c>
      <c r="CQ2157" s="496" t="s">
        <v>5265</v>
      </c>
      <c r="CR2157" s="496" t="s">
        <v>5265</v>
      </c>
      <c r="CS2157" s="496" t="s">
        <v>1554</v>
      </c>
      <c r="CT2157" s="496" t="s">
        <v>1555</v>
      </c>
      <c r="CU2157" s="496" t="s">
        <v>1556</v>
      </c>
      <c r="CV2157" s="497" t="s">
        <v>5258</v>
      </c>
      <c r="CX2157" s="543">
        <v>1</v>
      </c>
    </row>
    <row r="2158" spans="91:102" ht="21" customHeight="1">
      <c r="CM2158" s="494"/>
      <c r="CN2158" s="496" t="s">
        <v>5266</v>
      </c>
      <c r="CO2158" s="496" t="s">
        <v>15</v>
      </c>
      <c r="CP2158" s="496" t="s">
        <v>689</v>
      </c>
      <c r="CQ2158" s="496" t="s">
        <v>999</v>
      </c>
      <c r="CR2158" s="496" t="s">
        <v>999</v>
      </c>
      <c r="CS2158" s="496" t="s">
        <v>1151</v>
      </c>
      <c r="CT2158" s="496" t="s">
        <v>5267</v>
      </c>
      <c r="CU2158" s="496" t="s">
        <v>1087</v>
      </c>
      <c r="CV2158" s="497" t="s">
        <v>1153</v>
      </c>
      <c r="CX2158" s="543">
        <v>1</v>
      </c>
    </row>
    <row r="2159" spans="91:102" ht="21" customHeight="1">
      <c r="CM2159" s="494"/>
      <c r="CN2159" s="496" t="s">
        <v>5268</v>
      </c>
      <c r="CO2159" s="496" t="s">
        <v>15</v>
      </c>
      <c r="CP2159" s="496" t="s">
        <v>689</v>
      </c>
      <c r="CQ2159" s="496" t="s">
        <v>5269</v>
      </c>
      <c r="CR2159" s="496" t="s">
        <v>5269</v>
      </c>
      <c r="CS2159" s="496" t="s">
        <v>1554</v>
      </c>
      <c r="CT2159" s="496" t="s">
        <v>1555</v>
      </c>
      <c r="CU2159" s="496" t="s">
        <v>1556</v>
      </c>
      <c r="CV2159" s="497" t="s">
        <v>5258</v>
      </c>
      <c r="CX2159" s="543">
        <v>1</v>
      </c>
    </row>
    <row r="2160" spans="91:102" ht="21" customHeight="1">
      <c r="CM2160" s="494"/>
      <c r="CN2160" s="496" t="s">
        <v>5270</v>
      </c>
      <c r="CO2160" s="496" t="s">
        <v>15</v>
      </c>
      <c r="CP2160" s="496" t="s">
        <v>689</v>
      </c>
      <c r="CQ2160" s="496" t="s">
        <v>5271</v>
      </c>
      <c r="CR2160" s="496" t="s">
        <v>5271</v>
      </c>
      <c r="CS2160" s="496" t="s">
        <v>1554</v>
      </c>
      <c r="CT2160" s="496" t="s">
        <v>1555</v>
      </c>
      <c r="CU2160" s="496" t="s">
        <v>1556</v>
      </c>
      <c r="CV2160" s="497" t="s">
        <v>5258</v>
      </c>
      <c r="CX2160" s="543">
        <v>1</v>
      </c>
    </row>
    <row r="2161" spans="91:102" ht="21" customHeight="1">
      <c r="CM2161" s="494"/>
      <c r="CN2161" s="496" t="s">
        <v>5272</v>
      </c>
      <c r="CO2161" s="496" t="s">
        <v>15</v>
      </c>
      <c r="CP2161" s="496" t="s">
        <v>689</v>
      </c>
      <c r="CQ2161" s="496" t="s">
        <v>5273</v>
      </c>
      <c r="CR2161" s="496" t="s">
        <v>5273</v>
      </c>
      <c r="CS2161" s="496" t="s">
        <v>1554</v>
      </c>
      <c r="CT2161" s="496" t="s">
        <v>1555</v>
      </c>
      <c r="CU2161" s="496" t="s">
        <v>1556</v>
      </c>
      <c r="CV2161" s="497" t="s">
        <v>5258</v>
      </c>
      <c r="CX2161" s="543">
        <v>1</v>
      </c>
    </row>
    <row r="2162" spans="91:102" ht="21" customHeight="1">
      <c r="CM2162" s="494"/>
      <c r="CN2162" s="496" t="s">
        <v>5274</v>
      </c>
      <c r="CO2162" s="496" t="s">
        <v>15</v>
      </c>
      <c r="CP2162" s="496" t="s">
        <v>689</v>
      </c>
      <c r="CQ2162" s="496" t="s">
        <v>5275</v>
      </c>
      <c r="CR2162" s="496" t="s">
        <v>5275</v>
      </c>
      <c r="CS2162" s="496" t="s">
        <v>1554</v>
      </c>
      <c r="CT2162" s="496" t="s">
        <v>1555</v>
      </c>
      <c r="CU2162" s="496" t="s">
        <v>1556</v>
      </c>
      <c r="CV2162" s="497" t="s">
        <v>5258</v>
      </c>
      <c r="CX2162" s="543">
        <v>1</v>
      </c>
    </row>
    <row r="2163" spans="91:102" ht="21" customHeight="1">
      <c r="CM2163" s="494"/>
      <c r="CN2163" s="496" t="s">
        <v>5276</v>
      </c>
      <c r="CO2163" s="496" t="s">
        <v>15</v>
      </c>
      <c r="CP2163" s="496" t="s">
        <v>689</v>
      </c>
      <c r="CQ2163" s="496" t="s">
        <v>5277</v>
      </c>
      <c r="CR2163" s="496" t="s">
        <v>5277</v>
      </c>
      <c r="CS2163" s="496" t="s">
        <v>1554</v>
      </c>
      <c r="CT2163" s="496" t="s">
        <v>1555</v>
      </c>
      <c r="CU2163" s="496" t="s">
        <v>1556</v>
      </c>
      <c r="CV2163" s="497" t="s">
        <v>5258</v>
      </c>
      <c r="CX2163" s="543">
        <v>1</v>
      </c>
    </row>
    <row r="2164" spans="91:102" ht="21" customHeight="1">
      <c r="CM2164" s="494"/>
      <c r="CN2164" s="496" t="s">
        <v>5278</v>
      </c>
      <c r="CO2164" s="496" t="s">
        <v>15</v>
      </c>
      <c r="CP2164" s="496" t="s">
        <v>689</v>
      </c>
      <c r="CQ2164" s="496" t="s">
        <v>5279</v>
      </c>
      <c r="CR2164" s="496" t="s">
        <v>5279</v>
      </c>
      <c r="CS2164" s="496" t="s">
        <v>1554</v>
      </c>
      <c r="CT2164" s="496" t="s">
        <v>1555</v>
      </c>
      <c r="CU2164" s="496" t="s">
        <v>1556</v>
      </c>
      <c r="CV2164" s="497" t="s">
        <v>5258</v>
      </c>
      <c r="CX2164" s="543">
        <v>1</v>
      </c>
    </row>
    <row r="2165" spans="91:102" ht="21" customHeight="1">
      <c r="CM2165" s="494"/>
      <c r="CN2165" s="496" t="s">
        <v>5280</v>
      </c>
      <c r="CO2165" s="496" t="s">
        <v>15</v>
      </c>
      <c r="CP2165" s="496" t="s">
        <v>689</v>
      </c>
      <c r="CQ2165" s="496" t="s">
        <v>5281</v>
      </c>
      <c r="CR2165" s="496" t="s">
        <v>5281</v>
      </c>
      <c r="CS2165" s="496" t="s">
        <v>1554</v>
      </c>
      <c r="CT2165" s="496" t="s">
        <v>1555</v>
      </c>
      <c r="CU2165" s="496" t="s">
        <v>1556</v>
      </c>
      <c r="CV2165" s="497" t="s">
        <v>5258</v>
      </c>
      <c r="CX2165" s="543">
        <v>1</v>
      </c>
    </row>
    <row r="2166" spans="91:102" ht="21" customHeight="1">
      <c r="CM2166" s="494"/>
      <c r="CN2166" s="496" t="s">
        <v>5282</v>
      </c>
      <c r="CO2166" s="496" t="s">
        <v>15</v>
      </c>
      <c r="CP2166" s="496" t="s">
        <v>689</v>
      </c>
      <c r="CQ2166" s="496" t="s">
        <v>691</v>
      </c>
      <c r="CR2166" s="496" t="s">
        <v>691</v>
      </c>
      <c r="CS2166" s="496" t="s">
        <v>1554</v>
      </c>
      <c r="CT2166" s="496" t="s">
        <v>1555</v>
      </c>
      <c r="CU2166" s="496" t="s">
        <v>1556</v>
      </c>
      <c r="CV2166" s="497" t="s">
        <v>5258</v>
      </c>
      <c r="CX2166" s="543">
        <v>1</v>
      </c>
    </row>
    <row r="2167" spans="91:102" ht="21" customHeight="1">
      <c r="CM2167" s="494"/>
      <c r="CN2167" s="496" t="s">
        <v>5283</v>
      </c>
      <c r="CO2167" s="496" t="s">
        <v>15</v>
      </c>
      <c r="CP2167" s="496" t="s">
        <v>689</v>
      </c>
      <c r="CQ2167" s="496" t="s">
        <v>1000</v>
      </c>
      <c r="CR2167" s="496" t="s">
        <v>1000</v>
      </c>
      <c r="CS2167" s="496" t="s">
        <v>1085</v>
      </c>
      <c r="CT2167" s="496" t="s">
        <v>5284</v>
      </c>
      <c r="CU2167" s="496" t="s">
        <v>1087</v>
      </c>
      <c r="CV2167" s="497" t="s">
        <v>1088</v>
      </c>
      <c r="CX2167" s="543">
        <v>1</v>
      </c>
    </row>
    <row r="2168" spans="91:102" ht="21" customHeight="1">
      <c r="CM2168" s="494"/>
      <c r="CN2168" s="496" t="s">
        <v>5285</v>
      </c>
      <c r="CO2168" s="496" t="s">
        <v>15</v>
      </c>
      <c r="CP2168" s="496" t="s">
        <v>689</v>
      </c>
      <c r="CQ2168" s="496" t="s">
        <v>5286</v>
      </c>
      <c r="CR2168" s="496" t="s">
        <v>5286</v>
      </c>
      <c r="CS2168" s="496" t="s">
        <v>1554</v>
      </c>
      <c r="CT2168" s="496" t="s">
        <v>1555</v>
      </c>
      <c r="CU2168" s="496" t="s">
        <v>1556</v>
      </c>
      <c r="CV2168" s="497" t="s">
        <v>5258</v>
      </c>
      <c r="CX2168" s="543">
        <v>1</v>
      </c>
    </row>
    <row r="2169" spans="91:102" ht="21" customHeight="1">
      <c r="CM2169" s="494"/>
      <c r="CN2169" s="496" t="s">
        <v>5287</v>
      </c>
      <c r="CO2169" s="496" t="s">
        <v>15</v>
      </c>
      <c r="CP2169" s="496" t="s">
        <v>689</v>
      </c>
      <c r="CQ2169" s="496" t="s">
        <v>5288</v>
      </c>
      <c r="CR2169" s="496" t="s">
        <v>5288</v>
      </c>
      <c r="CS2169" s="496" t="s">
        <v>1554</v>
      </c>
      <c r="CT2169" s="496" t="s">
        <v>1555</v>
      </c>
      <c r="CU2169" s="496" t="s">
        <v>1556</v>
      </c>
      <c r="CV2169" s="497" t="s">
        <v>5258</v>
      </c>
      <c r="CX2169" s="543">
        <v>1</v>
      </c>
    </row>
    <row r="2170" spans="91:102" ht="21" customHeight="1">
      <c r="CM2170" s="494"/>
      <c r="CN2170" s="496" t="s">
        <v>5289</v>
      </c>
      <c r="CO2170" s="496" t="s">
        <v>15</v>
      </c>
      <c r="CP2170" s="496" t="s">
        <v>689</v>
      </c>
      <c r="CQ2170" s="496" t="s">
        <v>5290</v>
      </c>
      <c r="CR2170" s="496" t="s">
        <v>5290</v>
      </c>
      <c r="CS2170" s="496" t="s">
        <v>1085</v>
      </c>
      <c r="CT2170" s="496" t="s">
        <v>5284</v>
      </c>
      <c r="CU2170" s="496" t="s">
        <v>1087</v>
      </c>
      <c r="CV2170" s="497" t="s">
        <v>1088</v>
      </c>
      <c r="CX2170" s="543">
        <v>1</v>
      </c>
    </row>
    <row r="2171" spans="91:102" ht="21" customHeight="1">
      <c r="CM2171" s="494"/>
      <c r="CN2171" s="496" t="s">
        <v>5291</v>
      </c>
      <c r="CO2171" s="496" t="s">
        <v>15</v>
      </c>
      <c r="CP2171" s="496" t="s">
        <v>689</v>
      </c>
      <c r="CQ2171" s="496" t="s">
        <v>5292</v>
      </c>
      <c r="CR2171" s="496" t="s">
        <v>5292</v>
      </c>
      <c r="CS2171" s="496" t="s">
        <v>1554</v>
      </c>
      <c r="CT2171" s="496" t="s">
        <v>1555</v>
      </c>
      <c r="CU2171" s="496" t="s">
        <v>1556</v>
      </c>
      <c r="CV2171" s="497" t="s">
        <v>5258</v>
      </c>
      <c r="CX2171" s="543">
        <v>1</v>
      </c>
    </row>
    <row r="2172" spans="91:102" ht="21" customHeight="1">
      <c r="CM2172" s="494"/>
      <c r="CN2172" s="496" t="s">
        <v>5293</v>
      </c>
      <c r="CO2172" s="496" t="s">
        <v>15</v>
      </c>
      <c r="CP2172" s="496" t="s">
        <v>689</v>
      </c>
      <c r="CQ2172" s="496" t="s">
        <v>1001</v>
      </c>
      <c r="CR2172" s="496" t="s">
        <v>1001</v>
      </c>
      <c r="CS2172" s="496" t="s">
        <v>1554</v>
      </c>
      <c r="CT2172" s="496" t="s">
        <v>1555</v>
      </c>
      <c r="CU2172" s="496" t="s">
        <v>1556</v>
      </c>
      <c r="CV2172" s="497" t="s">
        <v>5258</v>
      </c>
      <c r="CX2172" s="543">
        <v>1</v>
      </c>
    </row>
    <row r="2173" spans="91:102" ht="21" customHeight="1">
      <c r="CM2173" s="494"/>
      <c r="CN2173" s="496" t="s">
        <v>5294</v>
      </c>
      <c r="CO2173" s="496" t="s">
        <v>15</v>
      </c>
      <c r="CP2173" s="496" t="s">
        <v>689</v>
      </c>
      <c r="CQ2173" s="496" t="s">
        <v>343</v>
      </c>
      <c r="CR2173" s="496" t="s">
        <v>343</v>
      </c>
      <c r="CS2173" s="496" t="s">
        <v>1085</v>
      </c>
      <c r="CT2173" s="496" t="s">
        <v>5284</v>
      </c>
      <c r="CU2173" s="496" t="s">
        <v>1087</v>
      </c>
      <c r="CV2173" s="497" t="s">
        <v>1088</v>
      </c>
      <c r="CX2173" s="543">
        <v>1</v>
      </c>
    </row>
    <row r="2174" spans="91:102" ht="21" customHeight="1">
      <c r="CM2174" s="494"/>
      <c r="CN2174" s="496" t="s">
        <v>5295</v>
      </c>
      <c r="CO2174" s="496" t="s">
        <v>15</v>
      </c>
      <c r="CP2174" s="496" t="s">
        <v>689</v>
      </c>
      <c r="CQ2174" s="496" t="s">
        <v>5296</v>
      </c>
      <c r="CR2174" s="496" t="s">
        <v>5296</v>
      </c>
      <c r="CS2174" s="496" t="s">
        <v>1554</v>
      </c>
      <c r="CT2174" s="496" t="s">
        <v>1555</v>
      </c>
      <c r="CU2174" s="496" t="s">
        <v>1556</v>
      </c>
      <c r="CV2174" s="497" t="s">
        <v>5258</v>
      </c>
      <c r="CX2174" s="543">
        <v>1</v>
      </c>
    </row>
    <row r="2175" spans="91:102" ht="21" customHeight="1">
      <c r="CM2175" s="494"/>
      <c r="CN2175" s="496" t="s">
        <v>5297</v>
      </c>
      <c r="CO2175" s="496" t="s">
        <v>15</v>
      </c>
      <c r="CP2175" s="496" t="s">
        <v>689</v>
      </c>
      <c r="CQ2175" s="496" t="s">
        <v>173</v>
      </c>
      <c r="CR2175" s="496" t="s">
        <v>173</v>
      </c>
      <c r="CS2175" s="496" t="s">
        <v>1554</v>
      </c>
      <c r="CT2175" s="496" t="s">
        <v>1555</v>
      </c>
      <c r="CU2175" s="496" t="s">
        <v>1556</v>
      </c>
      <c r="CV2175" s="497" t="s">
        <v>5258</v>
      </c>
      <c r="CX2175" s="543">
        <v>1</v>
      </c>
    </row>
    <row r="2176" spans="91:102" ht="21" customHeight="1">
      <c r="CM2176" s="494"/>
      <c r="CN2176" s="496" t="s">
        <v>5298</v>
      </c>
      <c r="CO2176" s="496" t="s">
        <v>15</v>
      </c>
      <c r="CP2176" s="496" t="s">
        <v>689</v>
      </c>
      <c r="CQ2176" s="496" t="s">
        <v>177</v>
      </c>
      <c r="CR2176" s="496" t="s">
        <v>177</v>
      </c>
      <c r="CS2176" s="496" t="s">
        <v>1085</v>
      </c>
      <c r="CT2176" s="496" t="s">
        <v>5284</v>
      </c>
      <c r="CU2176" s="496" t="s">
        <v>1087</v>
      </c>
      <c r="CV2176" s="497" t="s">
        <v>1088</v>
      </c>
      <c r="CX2176" s="543">
        <v>1</v>
      </c>
    </row>
    <row r="2177" spans="91:102" ht="21" customHeight="1">
      <c r="CM2177" s="494"/>
      <c r="CN2177" s="496" t="s">
        <v>5299</v>
      </c>
      <c r="CO2177" s="496" t="s">
        <v>15</v>
      </c>
      <c r="CP2177" s="496" t="s">
        <v>689</v>
      </c>
      <c r="CQ2177" s="496" t="s">
        <v>692</v>
      </c>
      <c r="CR2177" s="496" t="s">
        <v>692</v>
      </c>
      <c r="CS2177" s="496" t="s">
        <v>1554</v>
      </c>
      <c r="CT2177" s="496" t="s">
        <v>1555</v>
      </c>
      <c r="CU2177" s="496" t="s">
        <v>1556</v>
      </c>
      <c r="CV2177" s="497" t="s">
        <v>5258</v>
      </c>
      <c r="CX2177" s="543">
        <v>1</v>
      </c>
    </row>
    <row r="2178" spans="91:102" ht="21" customHeight="1">
      <c r="CM2178" s="494"/>
      <c r="CN2178" s="496" t="s">
        <v>5300</v>
      </c>
      <c r="CO2178" s="496" t="s">
        <v>15</v>
      </c>
      <c r="CP2178" s="496" t="s">
        <v>689</v>
      </c>
      <c r="CQ2178" s="496" t="s">
        <v>5301</v>
      </c>
      <c r="CR2178" s="496" t="s">
        <v>5301</v>
      </c>
      <c r="CS2178" s="496" t="s">
        <v>1554</v>
      </c>
      <c r="CT2178" s="496" t="s">
        <v>1555</v>
      </c>
      <c r="CU2178" s="496" t="s">
        <v>1556</v>
      </c>
      <c r="CV2178" s="497" t="s">
        <v>5258</v>
      </c>
      <c r="CX2178" s="543">
        <v>1</v>
      </c>
    </row>
    <row r="2179" spans="91:102" ht="21" customHeight="1">
      <c r="CM2179" s="494"/>
      <c r="CN2179" s="496" t="s">
        <v>5302</v>
      </c>
      <c r="CO2179" s="496" t="s">
        <v>15</v>
      </c>
      <c r="CP2179" s="496" t="s">
        <v>689</v>
      </c>
      <c r="CQ2179" s="496" t="s">
        <v>5303</v>
      </c>
      <c r="CR2179" s="496" t="s">
        <v>5303</v>
      </c>
      <c r="CS2179" s="496" t="s">
        <v>1554</v>
      </c>
      <c r="CT2179" s="496" t="s">
        <v>1555</v>
      </c>
      <c r="CU2179" s="496" t="s">
        <v>1556</v>
      </c>
      <c r="CV2179" s="497" t="s">
        <v>5258</v>
      </c>
      <c r="CX2179" s="543">
        <v>1</v>
      </c>
    </row>
    <row r="2180" spans="91:102" ht="21" customHeight="1">
      <c r="CM2180" s="494"/>
      <c r="CN2180" s="496" t="s">
        <v>5304</v>
      </c>
      <c r="CO2180" s="496" t="s">
        <v>15</v>
      </c>
      <c r="CP2180" s="496" t="s">
        <v>689</v>
      </c>
      <c r="CQ2180" s="496" t="s">
        <v>5305</v>
      </c>
      <c r="CR2180" s="496" t="s">
        <v>5305</v>
      </c>
      <c r="CS2180" s="496" t="s">
        <v>1554</v>
      </c>
      <c r="CT2180" s="496" t="s">
        <v>1555</v>
      </c>
      <c r="CU2180" s="496" t="s">
        <v>1556</v>
      </c>
      <c r="CV2180" s="497" t="s">
        <v>5258</v>
      </c>
      <c r="CX2180" s="543">
        <v>1</v>
      </c>
    </row>
    <row r="2181" spans="91:102" ht="21" customHeight="1">
      <c r="CM2181" s="494"/>
      <c r="CN2181" s="496" t="s">
        <v>5306</v>
      </c>
      <c r="CO2181" s="496" t="s">
        <v>15</v>
      </c>
      <c r="CP2181" s="496" t="s">
        <v>689</v>
      </c>
      <c r="CQ2181" s="496" t="s">
        <v>5307</v>
      </c>
      <c r="CR2181" s="496" t="s">
        <v>5307</v>
      </c>
      <c r="CS2181" s="496" t="s">
        <v>1554</v>
      </c>
      <c r="CT2181" s="496" t="s">
        <v>1555</v>
      </c>
      <c r="CU2181" s="496" t="s">
        <v>1556</v>
      </c>
      <c r="CV2181" s="497" t="s">
        <v>5258</v>
      </c>
      <c r="CX2181" s="543">
        <v>1</v>
      </c>
    </row>
    <row r="2182" spans="91:102" ht="21" customHeight="1">
      <c r="CM2182" s="494"/>
      <c r="CN2182" s="496" t="s">
        <v>5308</v>
      </c>
      <c r="CO2182" s="496" t="s">
        <v>15</v>
      </c>
      <c r="CP2182" s="496" t="s">
        <v>689</v>
      </c>
      <c r="CQ2182" s="496" t="s">
        <v>5309</v>
      </c>
      <c r="CR2182" s="496" t="s">
        <v>5309</v>
      </c>
      <c r="CS2182" s="496" t="s">
        <v>1554</v>
      </c>
      <c r="CT2182" s="496" t="s">
        <v>1555</v>
      </c>
      <c r="CU2182" s="496" t="s">
        <v>1556</v>
      </c>
      <c r="CV2182" s="497" t="s">
        <v>5258</v>
      </c>
      <c r="CX2182" s="543">
        <v>1</v>
      </c>
    </row>
    <row r="2183" spans="91:102" ht="21" customHeight="1">
      <c r="CM2183" s="494"/>
      <c r="CN2183" s="496" t="s">
        <v>5310</v>
      </c>
      <c r="CO2183" s="496" t="s">
        <v>15</v>
      </c>
      <c r="CP2183" s="496" t="s">
        <v>689</v>
      </c>
      <c r="CQ2183" s="496" t="s">
        <v>5311</v>
      </c>
      <c r="CR2183" s="496" t="s">
        <v>5311</v>
      </c>
      <c r="CS2183" s="496" t="s">
        <v>1554</v>
      </c>
      <c r="CT2183" s="496" t="s">
        <v>1555</v>
      </c>
      <c r="CU2183" s="496" t="s">
        <v>1556</v>
      </c>
      <c r="CV2183" s="497" t="s">
        <v>5258</v>
      </c>
      <c r="CX2183" s="543">
        <v>1</v>
      </c>
    </row>
    <row r="2184" spans="91:102" ht="21" customHeight="1">
      <c r="CM2184" s="494"/>
      <c r="CN2184" s="496" t="s">
        <v>5312</v>
      </c>
      <c r="CO2184" s="496" t="s">
        <v>15</v>
      </c>
      <c r="CP2184" s="496" t="s">
        <v>689</v>
      </c>
      <c r="CQ2184" s="496" t="s">
        <v>5313</v>
      </c>
      <c r="CR2184" s="496" t="s">
        <v>5313</v>
      </c>
      <c r="CS2184" s="496" t="s">
        <v>1554</v>
      </c>
      <c r="CT2184" s="496" t="s">
        <v>1555</v>
      </c>
      <c r="CU2184" s="496" t="s">
        <v>1556</v>
      </c>
      <c r="CV2184" s="497" t="s">
        <v>5258</v>
      </c>
      <c r="CX2184" s="543">
        <v>1</v>
      </c>
    </row>
    <row r="2185" spans="91:102" ht="21" customHeight="1">
      <c r="CM2185" s="494"/>
      <c r="CN2185" s="496" t="s">
        <v>5314</v>
      </c>
      <c r="CO2185" s="496" t="s">
        <v>15</v>
      </c>
      <c r="CP2185" s="496" t="s">
        <v>689</v>
      </c>
      <c r="CQ2185" s="496" t="s">
        <v>5315</v>
      </c>
      <c r="CR2185" s="496" t="s">
        <v>5315</v>
      </c>
      <c r="CS2185" s="496" t="s">
        <v>1554</v>
      </c>
      <c r="CT2185" s="496" t="s">
        <v>1555</v>
      </c>
      <c r="CU2185" s="496" t="s">
        <v>1556</v>
      </c>
      <c r="CV2185" s="497" t="s">
        <v>5258</v>
      </c>
      <c r="CX2185" s="543">
        <v>1</v>
      </c>
    </row>
    <row r="2186" spans="91:102" ht="21" customHeight="1">
      <c r="CM2186" s="494"/>
      <c r="CN2186" s="496" t="s">
        <v>5316</v>
      </c>
      <c r="CO2186" s="496" t="s">
        <v>15</v>
      </c>
      <c r="CP2186" s="496" t="s">
        <v>689</v>
      </c>
      <c r="CQ2186" s="496" t="s">
        <v>5317</v>
      </c>
      <c r="CR2186" s="496" t="s">
        <v>5317</v>
      </c>
      <c r="CS2186" s="496" t="s">
        <v>1554</v>
      </c>
      <c r="CT2186" s="496" t="s">
        <v>1555</v>
      </c>
      <c r="CU2186" s="496" t="s">
        <v>1556</v>
      </c>
      <c r="CV2186" s="497" t="s">
        <v>5258</v>
      </c>
      <c r="CX2186" s="543">
        <v>1</v>
      </c>
    </row>
    <row r="2187" spans="91:102" ht="21" customHeight="1">
      <c r="CM2187" s="494"/>
      <c r="CN2187" s="496" t="s">
        <v>5318</v>
      </c>
      <c r="CO2187" s="496" t="s">
        <v>15</v>
      </c>
      <c r="CP2187" s="496" t="s">
        <v>689</v>
      </c>
      <c r="CQ2187" s="496" t="s">
        <v>5319</v>
      </c>
      <c r="CR2187" s="496" t="s">
        <v>5319</v>
      </c>
      <c r="CS2187" s="496" t="s">
        <v>1554</v>
      </c>
      <c r="CT2187" s="496" t="s">
        <v>1555</v>
      </c>
      <c r="CU2187" s="496" t="s">
        <v>1556</v>
      </c>
      <c r="CV2187" s="497" t="s">
        <v>5258</v>
      </c>
      <c r="CX2187" s="543">
        <v>1</v>
      </c>
    </row>
    <row r="2188" spans="91:102" ht="21" customHeight="1">
      <c r="CM2188" s="494"/>
      <c r="CN2188" s="496" t="s">
        <v>5320</v>
      </c>
      <c r="CO2188" s="496" t="s">
        <v>15</v>
      </c>
      <c r="CP2188" s="496" t="s">
        <v>689</v>
      </c>
      <c r="CQ2188" s="496" t="s">
        <v>5321</v>
      </c>
      <c r="CR2188" s="496" t="s">
        <v>5321</v>
      </c>
      <c r="CS2188" s="496" t="s">
        <v>1554</v>
      </c>
      <c r="CT2188" s="496" t="s">
        <v>1555</v>
      </c>
      <c r="CU2188" s="496" t="s">
        <v>1556</v>
      </c>
      <c r="CV2188" s="497" t="s">
        <v>5258</v>
      </c>
      <c r="CX2188" s="543">
        <v>1</v>
      </c>
    </row>
    <row r="2189" spans="91:102" ht="21" customHeight="1">
      <c r="CM2189" s="494"/>
      <c r="CN2189" s="496" t="s">
        <v>5322</v>
      </c>
      <c r="CO2189" s="496" t="s">
        <v>15</v>
      </c>
      <c r="CP2189" s="496" t="s">
        <v>689</v>
      </c>
      <c r="CQ2189" s="496" t="s">
        <v>5323</v>
      </c>
      <c r="CR2189" s="496" t="s">
        <v>5323</v>
      </c>
      <c r="CS2189" s="496" t="s">
        <v>1085</v>
      </c>
      <c r="CT2189" s="496" t="s">
        <v>5284</v>
      </c>
      <c r="CU2189" s="496" t="s">
        <v>1087</v>
      </c>
      <c r="CV2189" s="497" t="s">
        <v>1088</v>
      </c>
      <c r="CX2189" s="543">
        <v>1</v>
      </c>
    </row>
    <row r="2190" spans="91:102" ht="21" customHeight="1">
      <c r="CM2190" s="494"/>
      <c r="CN2190" s="496" t="s">
        <v>5324</v>
      </c>
      <c r="CO2190" s="496" t="s">
        <v>15</v>
      </c>
      <c r="CP2190" s="496" t="s">
        <v>689</v>
      </c>
      <c r="CQ2190" s="496" t="s">
        <v>5325</v>
      </c>
      <c r="CR2190" s="496" t="s">
        <v>5325</v>
      </c>
      <c r="CS2190" s="496" t="s">
        <v>1554</v>
      </c>
      <c r="CT2190" s="496" t="s">
        <v>1555</v>
      </c>
      <c r="CU2190" s="496" t="s">
        <v>1556</v>
      </c>
      <c r="CV2190" s="497" t="s">
        <v>5258</v>
      </c>
      <c r="CX2190" s="543">
        <v>1</v>
      </c>
    </row>
    <row r="2191" spans="91:102" ht="21" customHeight="1">
      <c r="CM2191" s="494"/>
      <c r="CN2191" s="496" t="s">
        <v>5326</v>
      </c>
      <c r="CO2191" s="496" t="s">
        <v>15</v>
      </c>
      <c r="CP2191" s="496" t="s">
        <v>689</v>
      </c>
      <c r="CQ2191" s="496" t="s">
        <v>5327</v>
      </c>
      <c r="CR2191" s="496" t="s">
        <v>5327</v>
      </c>
      <c r="CS2191" s="496" t="s">
        <v>1554</v>
      </c>
      <c r="CT2191" s="496" t="s">
        <v>1555</v>
      </c>
      <c r="CU2191" s="496" t="s">
        <v>1556</v>
      </c>
      <c r="CV2191" s="497" t="s">
        <v>5258</v>
      </c>
      <c r="CX2191" s="543">
        <v>1</v>
      </c>
    </row>
    <row r="2192" spans="91:102" ht="21" customHeight="1">
      <c r="CM2192" s="494"/>
      <c r="CN2192" s="496" t="s">
        <v>5328</v>
      </c>
      <c r="CO2192" s="496" t="s">
        <v>15</v>
      </c>
      <c r="CP2192" s="496" t="s">
        <v>689</v>
      </c>
      <c r="CQ2192" s="496" t="s">
        <v>5329</v>
      </c>
      <c r="CR2192" s="496" t="s">
        <v>5329</v>
      </c>
      <c r="CS2192" s="496" t="s">
        <v>1554</v>
      </c>
      <c r="CT2192" s="496" t="s">
        <v>1555</v>
      </c>
      <c r="CU2192" s="496" t="s">
        <v>1556</v>
      </c>
      <c r="CV2192" s="497" t="s">
        <v>5258</v>
      </c>
      <c r="CX2192" s="543">
        <v>1</v>
      </c>
    </row>
    <row r="2193" spans="91:102" ht="21" customHeight="1">
      <c r="CM2193" s="494"/>
      <c r="CN2193" s="496" t="s">
        <v>5330</v>
      </c>
      <c r="CO2193" s="496" t="s">
        <v>15</v>
      </c>
      <c r="CP2193" s="496" t="s">
        <v>689</v>
      </c>
      <c r="CQ2193" s="496" t="s">
        <v>5331</v>
      </c>
      <c r="CR2193" s="496" t="s">
        <v>5331</v>
      </c>
      <c r="CS2193" s="496" t="s">
        <v>1554</v>
      </c>
      <c r="CT2193" s="496" t="s">
        <v>1555</v>
      </c>
      <c r="CU2193" s="496" t="s">
        <v>1556</v>
      </c>
      <c r="CV2193" s="497" t="s">
        <v>5258</v>
      </c>
      <c r="CX2193" s="543">
        <v>1</v>
      </c>
    </row>
    <row r="2194" spans="91:102" ht="21" customHeight="1">
      <c r="CM2194" s="494"/>
      <c r="CN2194" s="496" t="s">
        <v>5332</v>
      </c>
      <c r="CO2194" s="496" t="s">
        <v>15</v>
      </c>
      <c r="CP2194" s="496" t="s">
        <v>689</v>
      </c>
      <c r="CQ2194" s="496" t="s">
        <v>5333</v>
      </c>
      <c r="CR2194" s="496" t="s">
        <v>5333</v>
      </c>
      <c r="CS2194" s="496" t="s">
        <v>1554</v>
      </c>
      <c r="CT2194" s="496" t="s">
        <v>1555</v>
      </c>
      <c r="CU2194" s="496" t="s">
        <v>1556</v>
      </c>
      <c r="CV2194" s="497" t="s">
        <v>5258</v>
      </c>
      <c r="CX2194" s="543">
        <v>1</v>
      </c>
    </row>
    <row r="2195" spans="91:102" ht="21" customHeight="1">
      <c r="CM2195" s="494"/>
      <c r="CN2195" s="496" t="s">
        <v>5334</v>
      </c>
      <c r="CO2195" s="496" t="s">
        <v>15</v>
      </c>
      <c r="CP2195" s="496" t="s">
        <v>689</v>
      </c>
      <c r="CQ2195" s="496" t="s">
        <v>1002</v>
      </c>
      <c r="CR2195" s="496" t="s">
        <v>1002</v>
      </c>
      <c r="CS2195" s="496" t="s">
        <v>1554</v>
      </c>
      <c r="CT2195" s="496" t="s">
        <v>1555</v>
      </c>
      <c r="CU2195" s="496" t="s">
        <v>1556</v>
      </c>
      <c r="CV2195" s="497" t="s">
        <v>5258</v>
      </c>
      <c r="CX2195" s="543">
        <v>1</v>
      </c>
    </row>
    <row r="2196" spans="91:102" ht="21" customHeight="1">
      <c r="CM2196" s="494"/>
      <c r="CN2196" s="496" t="s">
        <v>5335</v>
      </c>
      <c r="CO2196" s="496" t="s">
        <v>15</v>
      </c>
      <c r="CP2196" s="496" t="s">
        <v>689</v>
      </c>
      <c r="CQ2196" s="496" t="s">
        <v>5336</v>
      </c>
      <c r="CR2196" s="496" t="s">
        <v>5336</v>
      </c>
      <c r="CS2196" s="496" t="s">
        <v>1554</v>
      </c>
      <c r="CT2196" s="496" t="s">
        <v>1555</v>
      </c>
      <c r="CU2196" s="496" t="s">
        <v>1556</v>
      </c>
      <c r="CV2196" s="497" t="s">
        <v>5258</v>
      </c>
      <c r="CX2196" s="543">
        <v>1</v>
      </c>
    </row>
    <row r="2197" spans="91:102" ht="21" customHeight="1">
      <c r="CM2197" s="494"/>
      <c r="CN2197" s="496" t="s">
        <v>5337</v>
      </c>
      <c r="CO2197" s="496" t="s">
        <v>15</v>
      </c>
      <c r="CP2197" s="496" t="s">
        <v>689</v>
      </c>
      <c r="CQ2197" s="496" t="s">
        <v>5338</v>
      </c>
      <c r="CR2197" s="496" t="s">
        <v>5338</v>
      </c>
      <c r="CS2197" s="496" t="s">
        <v>1151</v>
      </c>
      <c r="CT2197" s="496" t="s">
        <v>1152</v>
      </c>
      <c r="CU2197" s="496" t="s">
        <v>1087</v>
      </c>
      <c r="CV2197" s="497" t="s">
        <v>1153</v>
      </c>
      <c r="CX2197" s="543">
        <v>1</v>
      </c>
    </row>
    <row r="2198" spans="91:102" ht="21" customHeight="1">
      <c r="CM2198" s="494"/>
      <c r="CN2198" s="496" t="s">
        <v>5339</v>
      </c>
      <c r="CO2198" s="496" t="s">
        <v>15</v>
      </c>
      <c r="CP2198" s="496" t="s">
        <v>689</v>
      </c>
      <c r="CQ2198" s="496" t="s">
        <v>5340</v>
      </c>
      <c r="CR2198" s="496" t="s">
        <v>5340</v>
      </c>
      <c r="CS2198" s="496" t="s">
        <v>1554</v>
      </c>
      <c r="CT2198" s="496" t="s">
        <v>1555</v>
      </c>
      <c r="CU2198" s="496" t="s">
        <v>1556</v>
      </c>
      <c r="CV2198" s="497" t="s">
        <v>5258</v>
      </c>
      <c r="CX2198" s="543">
        <v>1</v>
      </c>
    </row>
    <row r="2199" spans="91:102" ht="21" customHeight="1">
      <c r="CM2199" s="494"/>
      <c r="CN2199" s="496" t="s">
        <v>5341</v>
      </c>
      <c r="CO2199" s="496" t="s">
        <v>15</v>
      </c>
      <c r="CP2199" s="496" t="s">
        <v>689</v>
      </c>
      <c r="CQ2199" s="496" t="s">
        <v>5342</v>
      </c>
      <c r="CR2199" s="496" t="s">
        <v>5342</v>
      </c>
      <c r="CS2199" s="496" t="s">
        <v>1554</v>
      </c>
      <c r="CT2199" s="496" t="s">
        <v>1555</v>
      </c>
      <c r="CU2199" s="496" t="s">
        <v>1556</v>
      </c>
      <c r="CV2199" s="497" t="s">
        <v>5258</v>
      </c>
      <c r="CX2199" s="543">
        <v>1</v>
      </c>
    </row>
    <row r="2200" spans="91:102" ht="21" customHeight="1">
      <c r="CM2200" s="494"/>
      <c r="CN2200" s="496" t="s">
        <v>5343</v>
      </c>
      <c r="CO2200" s="496" t="s">
        <v>15</v>
      </c>
      <c r="CP2200" s="496" t="s">
        <v>689</v>
      </c>
      <c r="CQ2200" s="496" t="s">
        <v>5344</v>
      </c>
      <c r="CR2200" s="496" t="s">
        <v>5344</v>
      </c>
      <c r="CS2200" s="496" t="s">
        <v>1554</v>
      </c>
      <c r="CT2200" s="496" t="s">
        <v>1555</v>
      </c>
      <c r="CU2200" s="496" t="s">
        <v>1556</v>
      </c>
      <c r="CV2200" s="497" t="s">
        <v>5258</v>
      </c>
      <c r="CX2200" s="543">
        <v>1</v>
      </c>
    </row>
    <row r="2201" spans="91:102" ht="21" customHeight="1">
      <c r="CM2201" s="494"/>
      <c r="CN2201" s="496" t="s">
        <v>5345</v>
      </c>
      <c r="CO2201" s="496" t="s">
        <v>15</v>
      </c>
      <c r="CP2201" s="496" t="s">
        <v>689</v>
      </c>
      <c r="CQ2201" s="496" t="s">
        <v>129</v>
      </c>
      <c r="CR2201" s="496" t="s">
        <v>129</v>
      </c>
      <c r="CS2201" s="496" t="s">
        <v>1554</v>
      </c>
      <c r="CT2201" s="496" t="s">
        <v>1555</v>
      </c>
      <c r="CU2201" s="496" t="s">
        <v>1556</v>
      </c>
      <c r="CV2201" s="497" t="s">
        <v>5258</v>
      </c>
      <c r="CX2201" s="543">
        <v>1</v>
      </c>
    </row>
    <row r="2202" spans="91:102" ht="21" customHeight="1">
      <c r="CM2202" s="494"/>
      <c r="CN2202" s="496" t="s">
        <v>5346</v>
      </c>
      <c r="CO2202" s="496" t="s">
        <v>15</v>
      </c>
      <c r="CP2202" s="496" t="s">
        <v>689</v>
      </c>
      <c r="CQ2202" s="496" t="s">
        <v>5347</v>
      </c>
      <c r="CR2202" s="496" t="s">
        <v>5347</v>
      </c>
      <c r="CS2202" s="496" t="s">
        <v>1554</v>
      </c>
      <c r="CT2202" s="496" t="s">
        <v>1555</v>
      </c>
      <c r="CU2202" s="496" t="s">
        <v>1556</v>
      </c>
      <c r="CV2202" s="497" t="s">
        <v>5258</v>
      </c>
      <c r="CX2202" s="543">
        <v>1</v>
      </c>
    </row>
    <row r="2203" spans="91:102" ht="21" customHeight="1">
      <c r="CM2203" s="494"/>
      <c r="CN2203" s="496" t="s">
        <v>5348</v>
      </c>
      <c r="CO2203" s="496" t="s">
        <v>15</v>
      </c>
      <c r="CP2203" s="496" t="s">
        <v>689</v>
      </c>
      <c r="CQ2203" s="496" t="s">
        <v>5349</v>
      </c>
      <c r="CR2203" s="496" t="s">
        <v>5349</v>
      </c>
      <c r="CS2203" s="496" t="s">
        <v>1554</v>
      </c>
      <c r="CT2203" s="496" t="s">
        <v>1555</v>
      </c>
      <c r="CU2203" s="496" t="s">
        <v>1556</v>
      </c>
      <c r="CV2203" s="497" t="s">
        <v>5258</v>
      </c>
      <c r="CX2203" s="543">
        <v>1</v>
      </c>
    </row>
    <row r="2204" spans="91:102" ht="21" customHeight="1">
      <c r="CM2204" s="494"/>
      <c r="CN2204" s="496" t="s">
        <v>5350</v>
      </c>
      <c r="CO2204" s="496" t="s">
        <v>15</v>
      </c>
      <c r="CP2204" s="496" t="s">
        <v>689</v>
      </c>
      <c r="CQ2204" s="496" t="s">
        <v>138</v>
      </c>
      <c r="CR2204" s="496" t="s">
        <v>138</v>
      </c>
      <c r="CS2204" s="496" t="s">
        <v>1085</v>
      </c>
      <c r="CT2204" s="496" t="s">
        <v>5284</v>
      </c>
      <c r="CU2204" s="496" t="s">
        <v>1087</v>
      </c>
      <c r="CV2204" s="497" t="s">
        <v>1088</v>
      </c>
      <c r="CX2204" s="543">
        <v>1</v>
      </c>
    </row>
    <row r="2205" spans="91:102" ht="21" customHeight="1">
      <c r="CM2205" s="494"/>
      <c r="CN2205" s="496" t="s">
        <v>5351</v>
      </c>
      <c r="CO2205" s="496" t="s">
        <v>15</v>
      </c>
      <c r="CP2205" s="496" t="s">
        <v>689</v>
      </c>
      <c r="CQ2205" s="496" t="s">
        <v>335</v>
      </c>
      <c r="CR2205" s="496" t="s">
        <v>335</v>
      </c>
      <c r="CS2205" s="496" t="s">
        <v>1085</v>
      </c>
      <c r="CT2205" s="496" t="s">
        <v>5284</v>
      </c>
      <c r="CU2205" s="496" t="s">
        <v>1087</v>
      </c>
      <c r="CV2205" s="497" t="s">
        <v>1088</v>
      </c>
      <c r="CX2205" s="543">
        <v>1</v>
      </c>
    </row>
    <row r="2206" spans="91:102" ht="21" customHeight="1">
      <c r="CM2206" s="494"/>
      <c r="CN2206" s="496" t="s">
        <v>5352</v>
      </c>
      <c r="CO2206" s="496" t="s">
        <v>15</v>
      </c>
      <c r="CP2206" s="496" t="s">
        <v>689</v>
      </c>
      <c r="CQ2206" s="496" t="s">
        <v>1003</v>
      </c>
      <c r="CR2206" s="496" t="s">
        <v>1003</v>
      </c>
      <c r="CS2206" s="496" t="s">
        <v>1085</v>
      </c>
      <c r="CT2206" s="496" t="s">
        <v>5284</v>
      </c>
      <c r="CU2206" s="496" t="s">
        <v>1087</v>
      </c>
      <c r="CV2206" s="497" t="s">
        <v>1088</v>
      </c>
      <c r="CX2206" s="543">
        <v>1</v>
      </c>
    </row>
    <row r="2207" spans="91:102" ht="21" customHeight="1">
      <c r="CM2207" s="494"/>
      <c r="CN2207" s="496" t="s">
        <v>5353</v>
      </c>
      <c r="CO2207" s="496" t="s">
        <v>15</v>
      </c>
      <c r="CP2207" s="496" t="s">
        <v>689</v>
      </c>
      <c r="CQ2207" s="496" t="s">
        <v>204</v>
      </c>
      <c r="CR2207" s="496" t="s">
        <v>204</v>
      </c>
      <c r="CS2207" s="496" t="s">
        <v>1085</v>
      </c>
      <c r="CT2207" s="496" t="s">
        <v>5284</v>
      </c>
      <c r="CU2207" s="496" t="s">
        <v>1087</v>
      </c>
      <c r="CV2207" s="497" t="s">
        <v>1088</v>
      </c>
      <c r="CX2207" s="543">
        <v>1</v>
      </c>
    </row>
    <row r="2208" spans="91:102" ht="21" customHeight="1">
      <c r="CM2208" s="494"/>
      <c r="CN2208" s="496" t="s">
        <v>5354</v>
      </c>
      <c r="CO2208" s="496" t="s">
        <v>15</v>
      </c>
      <c r="CP2208" s="496" t="s">
        <v>689</v>
      </c>
      <c r="CQ2208" s="496" t="s">
        <v>207</v>
      </c>
      <c r="CR2208" s="496" t="s">
        <v>207</v>
      </c>
      <c r="CS2208" s="496" t="s">
        <v>1085</v>
      </c>
      <c r="CT2208" s="496" t="s">
        <v>5284</v>
      </c>
      <c r="CU2208" s="496" t="s">
        <v>1087</v>
      </c>
      <c r="CV2208" s="497" t="s">
        <v>1088</v>
      </c>
      <c r="CX2208" s="543">
        <v>1</v>
      </c>
    </row>
    <row r="2209" spans="91:102" ht="21" customHeight="1">
      <c r="CM2209" s="494"/>
      <c r="CN2209" s="496" t="s">
        <v>5355</v>
      </c>
      <c r="CO2209" s="496" t="s">
        <v>15</v>
      </c>
      <c r="CP2209" s="496" t="s">
        <v>689</v>
      </c>
      <c r="CQ2209" s="496" t="s">
        <v>5356</v>
      </c>
      <c r="CR2209" s="496" t="s">
        <v>5356</v>
      </c>
      <c r="CS2209" s="496" t="s">
        <v>1554</v>
      </c>
      <c r="CT2209" s="496" t="s">
        <v>1555</v>
      </c>
      <c r="CU2209" s="496" t="s">
        <v>1556</v>
      </c>
      <c r="CV2209" s="497" t="s">
        <v>5258</v>
      </c>
      <c r="CX2209" s="543">
        <v>1</v>
      </c>
    </row>
    <row r="2210" spans="91:102" ht="21" customHeight="1">
      <c r="CM2210" s="494"/>
      <c r="CN2210" s="496" t="s">
        <v>5357</v>
      </c>
      <c r="CO2210" s="496" t="s">
        <v>15</v>
      </c>
      <c r="CP2210" s="496" t="s">
        <v>689</v>
      </c>
      <c r="CQ2210" s="496" t="s">
        <v>1004</v>
      </c>
      <c r="CR2210" s="496" t="s">
        <v>1004</v>
      </c>
      <c r="CS2210" s="496" t="s">
        <v>1554</v>
      </c>
      <c r="CT2210" s="496" t="s">
        <v>1555</v>
      </c>
      <c r="CU2210" s="496" t="s">
        <v>1556</v>
      </c>
      <c r="CV2210" s="497" t="s">
        <v>5258</v>
      </c>
      <c r="CX2210" s="543">
        <v>1</v>
      </c>
    </row>
    <row r="2211" spans="91:102" ht="21" customHeight="1">
      <c r="CM2211" s="494"/>
      <c r="CN2211" s="496" t="s">
        <v>5358</v>
      </c>
      <c r="CO2211" s="496" t="s">
        <v>15</v>
      </c>
      <c r="CP2211" s="496" t="s">
        <v>689</v>
      </c>
      <c r="CQ2211" s="496" t="s">
        <v>5359</v>
      </c>
      <c r="CR2211" s="496" t="s">
        <v>5359</v>
      </c>
      <c r="CS2211" s="496" t="s">
        <v>1085</v>
      </c>
      <c r="CT2211" s="496" t="s">
        <v>5284</v>
      </c>
      <c r="CU2211" s="496" t="s">
        <v>1087</v>
      </c>
      <c r="CV2211" s="497" t="s">
        <v>1088</v>
      </c>
      <c r="CX2211" s="543">
        <v>1</v>
      </c>
    </row>
    <row r="2212" spans="91:102" ht="21" customHeight="1">
      <c r="CM2212" s="494"/>
      <c r="CN2212" s="496" t="s">
        <v>5360</v>
      </c>
      <c r="CO2212" s="496" t="s">
        <v>15</v>
      </c>
      <c r="CP2212" s="496" t="s">
        <v>689</v>
      </c>
      <c r="CQ2212" s="496" t="s">
        <v>5361</v>
      </c>
      <c r="CR2212" s="496" t="s">
        <v>5361</v>
      </c>
      <c r="CS2212" s="496" t="s">
        <v>1554</v>
      </c>
      <c r="CT2212" s="496" t="s">
        <v>1555</v>
      </c>
      <c r="CU2212" s="496" t="s">
        <v>1556</v>
      </c>
      <c r="CV2212" s="497" t="s">
        <v>5258</v>
      </c>
      <c r="CX2212" s="543">
        <v>1</v>
      </c>
    </row>
    <row r="2213" spans="91:102" ht="21" customHeight="1">
      <c r="CM2213" s="494"/>
      <c r="CN2213" s="496" t="s">
        <v>5362</v>
      </c>
      <c r="CO2213" s="496" t="s">
        <v>15</v>
      </c>
      <c r="CP2213" s="496" t="s">
        <v>689</v>
      </c>
      <c r="CQ2213" s="496" t="s">
        <v>5363</v>
      </c>
      <c r="CR2213" s="496" t="s">
        <v>5363</v>
      </c>
      <c r="CS2213" s="496" t="s">
        <v>1151</v>
      </c>
      <c r="CT2213" s="496" t="s">
        <v>1152</v>
      </c>
      <c r="CU2213" s="496" t="s">
        <v>1087</v>
      </c>
      <c r="CV2213" s="497" t="s">
        <v>1153</v>
      </c>
      <c r="CX2213" s="543">
        <v>1</v>
      </c>
    </row>
    <row r="2214" spans="91:102" ht="21" customHeight="1">
      <c r="CM2214" s="494"/>
      <c r="CN2214" s="496" t="s">
        <v>5364</v>
      </c>
      <c r="CO2214" s="496" t="s">
        <v>15</v>
      </c>
      <c r="CP2214" s="496" t="s">
        <v>689</v>
      </c>
      <c r="CQ2214" s="496" t="s">
        <v>5365</v>
      </c>
      <c r="CR2214" s="496" t="s">
        <v>5365</v>
      </c>
      <c r="CS2214" s="496" t="s">
        <v>1554</v>
      </c>
      <c r="CT2214" s="496" t="s">
        <v>1555</v>
      </c>
      <c r="CU2214" s="496" t="s">
        <v>1556</v>
      </c>
      <c r="CV2214" s="497" t="s">
        <v>5258</v>
      </c>
      <c r="CX2214" s="543">
        <v>1</v>
      </c>
    </row>
    <row r="2215" spans="91:102" ht="21" customHeight="1">
      <c r="CM2215" s="494"/>
      <c r="CN2215" s="496" t="s">
        <v>5366</v>
      </c>
      <c r="CO2215" s="496" t="s">
        <v>15</v>
      </c>
      <c r="CP2215" s="496" t="s">
        <v>689</v>
      </c>
      <c r="CQ2215" s="496" t="s">
        <v>5367</v>
      </c>
      <c r="CR2215" s="496" t="s">
        <v>5367</v>
      </c>
      <c r="CS2215" s="496" t="s">
        <v>1554</v>
      </c>
      <c r="CT2215" s="496" t="s">
        <v>1555</v>
      </c>
      <c r="CU2215" s="496" t="s">
        <v>1556</v>
      </c>
      <c r="CV2215" s="497" t="s">
        <v>5258</v>
      </c>
      <c r="CX2215" s="543">
        <v>1</v>
      </c>
    </row>
    <row r="2216" spans="91:102" ht="21" customHeight="1">
      <c r="CM2216" s="494"/>
      <c r="CN2216" s="496" t="s">
        <v>5368</v>
      </c>
      <c r="CO2216" s="496" t="s">
        <v>15</v>
      </c>
      <c r="CP2216" s="496" t="s">
        <v>689</v>
      </c>
      <c r="CQ2216" s="496" t="s">
        <v>5369</v>
      </c>
      <c r="CR2216" s="496" t="s">
        <v>5369</v>
      </c>
      <c r="CS2216" s="496" t="s">
        <v>1554</v>
      </c>
      <c r="CT2216" s="496" t="s">
        <v>1555</v>
      </c>
      <c r="CU2216" s="496" t="s">
        <v>1556</v>
      </c>
      <c r="CV2216" s="497" t="s">
        <v>5258</v>
      </c>
      <c r="CX2216" s="543">
        <v>1</v>
      </c>
    </row>
    <row r="2217" spans="91:102" ht="21" customHeight="1">
      <c r="CM2217" s="494"/>
      <c r="CN2217" s="496" t="s">
        <v>5370</v>
      </c>
      <c r="CO2217" s="496" t="s">
        <v>15</v>
      </c>
      <c r="CP2217" s="496" t="s">
        <v>689</v>
      </c>
      <c r="CQ2217" s="496" t="s">
        <v>5371</v>
      </c>
      <c r="CR2217" s="496" t="s">
        <v>5371</v>
      </c>
      <c r="CS2217" s="496" t="s">
        <v>1554</v>
      </c>
      <c r="CT2217" s="496" t="s">
        <v>1555</v>
      </c>
      <c r="CU2217" s="496" t="s">
        <v>1556</v>
      </c>
      <c r="CV2217" s="497" t="s">
        <v>5258</v>
      </c>
      <c r="CX2217" s="543">
        <v>1</v>
      </c>
    </row>
    <row r="2218" spans="91:102" ht="21" customHeight="1">
      <c r="CM2218" s="494"/>
      <c r="CN2218" s="496" t="s">
        <v>5372</v>
      </c>
      <c r="CO2218" s="496" t="s">
        <v>15</v>
      </c>
      <c r="CP2218" s="496" t="s">
        <v>689</v>
      </c>
      <c r="CQ2218" s="496" t="s">
        <v>5373</v>
      </c>
      <c r="CR2218" s="496" t="s">
        <v>5373</v>
      </c>
      <c r="CS2218" s="496" t="s">
        <v>1554</v>
      </c>
      <c r="CT2218" s="496" t="s">
        <v>1555</v>
      </c>
      <c r="CU2218" s="496" t="s">
        <v>1556</v>
      </c>
      <c r="CV2218" s="497" t="s">
        <v>5258</v>
      </c>
      <c r="CX2218" s="543">
        <v>1</v>
      </c>
    </row>
    <row r="2219" spans="91:102" ht="21" customHeight="1">
      <c r="CM2219" s="494"/>
      <c r="CN2219" s="496" t="s">
        <v>5374</v>
      </c>
      <c r="CO2219" s="496" t="s">
        <v>15</v>
      </c>
      <c r="CP2219" s="496" t="s">
        <v>689</v>
      </c>
      <c r="CQ2219" s="496" t="s">
        <v>5375</v>
      </c>
      <c r="CR2219" s="496" t="s">
        <v>5375</v>
      </c>
      <c r="CS2219" s="496" t="s">
        <v>1554</v>
      </c>
      <c r="CT2219" s="496" t="s">
        <v>1555</v>
      </c>
      <c r="CU2219" s="496" t="s">
        <v>1556</v>
      </c>
      <c r="CV2219" s="497" t="s">
        <v>5258</v>
      </c>
      <c r="CX2219" s="543">
        <v>1</v>
      </c>
    </row>
    <row r="2220" spans="91:102" ht="21" customHeight="1">
      <c r="CM2220" s="494"/>
      <c r="CN2220" s="496" t="s">
        <v>5376</v>
      </c>
      <c r="CO2220" s="496" t="s">
        <v>15</v>
      </c>
      <c r="CP2220" s="496" t="s">
        <v>689</v>
      </c>
      <c r="CQ2220" s="496" t="s">
        <v>5377</v>
      </c>
      <c r="CR2220" s="496" t="s">
        <v>5377</v>
      </c>
      <c r="CS2220" s="496" t="s">
        <v>1554</v>
      </c>
      <c r="CT2220" s="496" t="s">
        <v>1555</v>
      </c>
      <c r="CU2220" s="496" t="s">
        <v>1556</v>
      </c>
      <c r="CV2220" s="497" t="s">
        <v>5258</v>
      </c>
      <c r="CX2220" s="543">
        <v>1</v>
      </c>
    </row>
    <row r="2221" spans="91:102" ht="21" customHeight="1">
      <c r="CM2221" s="494"/>
      <c r="CN2221" s="496" t="s">
        <v>5378</v>
      </c>
      <c r="CO2221" s="496" t="s">
        <v>15</v>
      </c>
      <c r="CP2221" s="496" t="s">
        <v>689</v>
      </c>
      <c r="CQ2221" s="496" t="s">
        <v>5379</v>
      </c>
      <c r="CR2221" s="496" t="s">
        <v>5379</v>
      </c>
      <c r="CS2221" s="496" t="s">
        <v>1554</v>
      </c>
      <c r="CT2221" s="496" t="s">
        <v>1555</v>
      </c>
      <c r="CU2221" s="496" t="s">
        <v>1556</v>
      </c>
      <c r="CV2221" s="497" t="s">
        <v>5258</v>
      </c>
      <c r="CX2221" s="543">
        <v>1</v>
      </c>
    </row>
    <row r="2222" spans="91:102" ht="21" customHeight="1">
      <c r="CM2222" s="494"/>
      <c r="CN2222" s="496" t="s">
        <v>5380</v>
      </c>
      <c r="CO2222" s="496" t="s">
        <v>15</v>
      </c>
      <c r="CP2222" s="496" t="s">
        <v>689</v>
      </c>
      <c r="CQ2222" s="496" t="s">
        <v>182</v>
      </c>
      <c r="CR2222" s="496" t="s">
        <v>182</v>
      </c>
      <c r="CS2222" s="496" t="s">
        <v>1554</v>
      </c>
      <c r="CT2222" s="496" t="s">
        <v>1555</v>
      </c>
      <c r="CU2222" s="496" t="s">
        <v>1556</v>
      </c>
      <c r="CV2222" s="497" t="s">
        <v>5258</v>
      </c>
      <c r="CX2222" s="543">
        <v>1</v>
      </c>
    </row>
    <row r="2223" spans="91:102" ht="21" customHeight="1">
      <c r="CM2223" s="494"/>
      <c r="CN2223" s="496" t="s">
        <v>5381</v>
      </c>
      <c r="CO2223" s="496" t="s">
        <v>15</v>
      </c>
      <c r="CP2223" s="496" t="s">
        <v>689</v>
      </c>
      <c r="CQ2223" s="496" t="s">
        <v>5382</v>
      </c>
      <c r="CR2223" s="496" t="s">
        <v>5382</v>
      </c>
      <c r="CS2223" s="496" t="s">
        <v>1554</v>
      </c>
      <c r="CT2223" s="496" t="s">
        <v>1555</v>
      </c>
      <c r="CU2223" s="496" t="s">
        <v>1556</v>
      </c>
      <c r="CV2223" s="497" t="s">
        <v>5258</v>
      </c>
      <c r="CX2223" s="543">
        <v>1</v>
      </c>
    </row>
    <row r="2224" spans="91:102" ht="21" customHeight="1">
      <c r="CM2224" s="494"/>
      <c r="CN2224" s="496" t="s">
        <v>5383</v>
      </c>
      <c r="CO2224" s="496" t="s">
        <v>15</v>
      </c>
      <c r="CP2224" s="496" t="s">
        <v>689</v>
      </c>
      <c r="CQ2224" s="496" t="s">
        <v>5384</v>
      </c>
      <c r="CR2224" s="496" t="s">
        <v>5384</v>
      </c>
      <c r="CS2224" s="496" t="s">
        <v>1554</v>
      </c>
      <c r="CT2224" s="496" t="s">
        <v>1555</v>
      </c>
      <c r="CU2224" s="496" t="s">
        <v>1556</v>
      </c>
      <c r="CV2224" s="497" t="s">
        <v>5258</v>
      </c>
      <c r="CX2224" s="543">
        <v>1</v>
      </c>
    </row>
    <row r="2225" spans="91:102" ht="21" customHeight="1">
      <c r="CM2225" s="494"/>
      <c r="CN2225" s="496" t="s">
        <v>5385</v>
      </c>
      <c r="CO2225" s="496" t="s">
        <v>15</v>
      </c>
      <c r="CP2225" s="496" t="s">
        <v>689</v>
      </c>
      <c r="CQ2225" s="496" t="s">
        <v>5386</v>
      </c>
      <c r="CR2225" s="496" t="s">
        <v>5386</v>
      </c>
      <c r="CS2225" s="496" t="s">
        <v>1554</v>
      </c>
      <c r="CT2225" s="496" t="s">
        <v>1555</v>
      </c>
      <c r="CU2225" s="496" t="s">
        <v>1556</v>
      </c>
      <c r="CV2225" s="497" t="s">
        <v>5258</v>
      </c>
      <c r="CX2225" s="543">
        <v>1</v>
      </c>
    </row>
    <row r="2226" spans="91:102" ht="21" customHeight="1">
      <c r="CM2226" s="494"/>
      <c r="CN2226" s="496" t="s">
        <v>5387</v>
      </c>
      <c r="CO2226" s="496" t="s">
        <v>15</v>
      </c>
      <c r="CP2226" s="496" t="s">
        <v>689</v>
      </c>
      <c r="CQ2226" s="496" t="s">
        <v>5388</v>
      </c>
      <c r="CR2226" s="496" t="s">
        <v>5388</v>
      </c>
      <c r="CS2226" s="496" t="s">
        <v>1554</v>
      </c>
      <c r="CT2226" s="496" t="s">
        <v>1555</v>
      </c>
      <c r="CU2226" s="496" t="s">
        <v>1556</v>
      </c>
      <c r="CV2226" s="497" t="s">
        <v>5258</v>
      </c>
      <c r="CX2226" s="543">
        <v>1</v>
      </c>
    </row>
    <row r="2227" spans="91:102" ht="21" customHeight="1">
      <c r="CM2227" s="494"/>
      <c r="CN2227" s="496" t="s">
        <v>5389</v>
      </c>
      <c r="CO2227" s="496" t="s">
        <v>15</v>
      </c>
      <c r="CP2227" s="496" t="s">
        <v>689</v>
      </c>
      <c r="CQ2227" s="496" t="s">
        <v>5390</v>
      </c>
      <c r="CR2227" s="496" t="s">
        <v>5390</v>
      </c>
      <c r="CS2227" s="496" t="s">
        <v>1554</v>
      </c>
      <c r="CT2227" s="496" t="s">
        <v>1555</v>
      </c>
      <c r="CU2227" s="496" t="s">
        <v>1556</v>
      </c>
      <c r="CV2227" s="497" t="s">
        <v>5258</v>
      </c>
      <c r="CX2227" s="543">
        <v>1</v>
      </c>
    </row>
    <row r="2228" spans="91:102" ht="21" customHeight="1">
      <c r="CM2228" s="494"/>
      <c r="CN2228" s="496" t="s">
        <v>5391</v>
      </c>
      <c r="CO2228" s="496" t="s">
        <v>15</v>
      </c>
      <c r="CP2228" s="496" t="s">
        <v>689</v>
      </c>
      <c r="CQ2228" s="496" t="s">
        <v>5392</v>
      </c>
      <c r="CR2228" s="496" t="s">
        <v>5392</v>
      </c>
      <c r="CS2228" s="496" t="s">
        <v>1554</v>
      </c>
      <c r="CT2228" s="496" t="s">
        <v>1555</v>
      </c>
      <c r="CU2228" s="496" t="s">
        <v>1556</v>
      </c>
      <c r="CV2228" s="497" t="s">
        <v>5258</v>
      </c>
      <c r="CX2228" s="543">
        <v>1</v>
      </c>
    </row>
    <row r="2229" spans="91:102" ht="21" customHeight="1">
      <c r="CM2229" s="494"/>
      <c r="CN2229" s="496" t="s">
        <v>5393</v>
      </c>
      <c r="CO2229" s="496" t="s">
        <v>15</v>
      </c>
      <c r="CP2229" s="496" t="s">
        <v>689</v>
      </c>
      <c r="CQ2229" s="496" t="s">
        <v>5394</v>
      </c>
      <c r="CR2229" s="496" t="s">
        <v>5394</v>
      </c>
      <c r="CS2229" s="496" t="s">
        <v>1554</v>
      </c>
      <c r="CT2229" s="496" t="s">
        <v>1555</v>
      </c>
      <c r="CU2229" s="496" t="s">
        <v>1556</v>
      </c>
      <c r="CV2229" s="497" t="s">
        <v>5258</v>
      </c>
      <c r="CX2229" s="543">
        <v>1</v>
      </c>
    </row>
    <row r="2230" spans="91:102" ht="21" customHeight="1">
      <c r="CM2230" s="494"/>
      <c r="CN2230" s="496" t="s">
        <v>5395</v>
      </c>
      <c r="CO2230" s="496" t="s">
        <v>15</v>
      </c>
      <c r="CP2230" s="496" t="s">
        <v>689</v>
      </c>
      <c r="CQ2230" s="496" t="s">
        <v>5396</v>
      </c>
      <c r="CR2230" s="496" t="s">
        <v>5396</v>
      </c>
      <c r="CS2230" s="496" t="s">
        <v>1554</v>
      </c>
      <c r="CT2230" s="496" t="s">
        <v>1555</v>
      </c>
      <c r="CU2230" s="496" t="s">
        <v>1556</v>
      </c>
      <c r="CV2230" s="497" t="s">
        <v>5258</v>
      </c>
      <c r="CX2230" s="543">
        <v>1</v>
      </c>
    </row>
    <row r="2231" spans="91:102" ht="21" customHeight="1">
      <c r="CM2231" s="494"/>
      <c r="CN2231" s="496" t="s">
        <v>5397</v>
      </c>
      <c r="CO2231" s="496" t="s">
        <v>15</v>
      </c>
      <c r="CP2231" s="496" t="s">
        <v>689</v>
      </c>
      <c r="CQ2231" s="496" t="s">
        <v>5398</v>
      </c>
      <c r="CR2231" s="496" t="s">
        <v>5398</v>
      </c>
      <c r="CS2231" s="496" t="s">
        <v>1554</v>
      </c>
      <c r="CT2231" s="496" t="s">
        <v>1555</v>
      </c>
      <c r="CU2231" s="496" t="s">
        <v>1556</v>
      </c>
      <c r="CV2231" s="497" t="s">
        <v>5258</v>
      </c>
      <c r="CX2231" s="543">
        <v>1</v>
      </c>
    </row>
    <row r="2232" spans="91:102" ht="21" customHeight="1">
      <c r="CM2232" s="494"/>
      <c r="CN2232" s="496" t="s">
        <v>5399</v>
      </c>
      <c r="CO2232" s="496" t="s">
        <v>15</v>
      </c>
      <c r="CP2232" s="496" t="s">
        <v>689</v>
      </c>
      <c r="CQ2232" s="496" t="s">
        <v>5400</v>
      </c>
      <c r="CR2232" s="496" t="s">
        <v>5400</v>
      </c>
      <c r="CS2232" s="496" t="s">
        <v>1554</v>
      </c>
      <c r="CT2232" s="496" t="s">
        <v>1555</v>
      </c>
      <c r="CU2232" s="496" t="s">
        <v>1556</v>
      </c>
      <c r="CV2232" s="497" t="s">
        <v>5258</v>
      </c>
      <c r="CX2232" s="543">
        <v>1</v>
      </c>
    </row>
    <row r="2233" spans="91:102" ht="21" customHeight="1">
      <c r="CM2233" s="494"/>
      <c r="CN2233" s="496" t="s">
        <v>5401</v>
      </c>
      <c r="CO2233" s="496" t="s">
        <v>15</v>
      </c>
      <c r="CP2233" s="496" t="s">
        <v>689</v>
      </c>
      <c r="CQ2233" s="496" t="s">
        <v>5402</v>
      </c>
      <c r="CR2233" s="496" t="s">
        <v>5402</v>
      </c>
      <c r="CS2233" s="496" t="s">
        <v>1554</v>
      </c>
      <c r="CT2233" s="496" t="s">
        <v>1555</v>
      </c>
      <c r="CU2233" s="496" t="s">
        <v>1556</v>
      </c>
      <c r="CV2233" s="497" t="s">
        <v>5258</v>
      </c>
      <c r="CX2233" s="543">
        <v>1</v>
      </c>
    </row>
    <row r="2234" spans="91:102" ht="21" customHeight="1">
      <c r="CM2234" s="494"/>
      <c r="CN2234" s="496" t="s">
        <v>5403</v>
      </c>
      <c r="CO2234" s="496" t="s">
        <v>15</v>
      </c>
      <c r="CP2234" s="496" t="s">
        <v>689</v>
      </c>
      <c r="CQ2234" s="496" t="s">
        <v>186</v>
      </c>
      <c r="CR2234" s="496" t="s">
        <v>186</v>
      </c>
      <c r="CS2234" s="496" t="s">
        <v>1085</v>
      </c>
      <c r="CT2234" s="496" t="s">
        <v>5284</v>
      </c>
      <c r="CU2234" s="496" t="s">
        <v>1087</v>
      </c>
      <c r="CV2234" s="497" t="s">
        <v>1088</v>
      </c>
      <c r="CX2234" s="543">
        <v>1</v>
      </c>
    </row>
    <row r="2235" spans="91:102" ht="21" customHeight="1">
      <c r="CM2235" s="494"/>
      <c r="CN2235" s="496" t="s">
        <v>5404</v>
      </c>
      <c r="CO2235" s="496" t="s">
        <v>15</v>
      </c>
      <c r="CP2235" s="496" t="s">
        <v>689</v>
      </c>
      <c r="CQ2235" s="496" t="s">
        <v>5405</v>
      </c>
      <c r="CR2235" s="496" t="s">
        <v>5405</v>
      </c>
      <c r="CS2235" s="496" t="s">
        <v>1085</v>
      </c>
      <c r="CT2235" s="496" t="s">
        <v>5284</v>
      </c>
      <c r="CU2235" s="496" t="s">
        <v>1087</v>
      </c>
      <c r="CV2235" s="497" t="s">
        <v>1088</v>
      </c>
      <c r="CX2235" s="543">
        <v>1</v>
      </c>
    </row>
    <row r="2236" spans="91:102" ht="21" customHeight="1">
      <c r="CM2236" s="494"/>
      <c r="CN2236" s="496" t="s">
        <v>5406</v>
      </c>
      <c r="CO2236" s="496" t="s">
        <v>15</v>
      </c>
      <c r="CP2236" s="496" t="s">
        <v>689</v>
      </c>
      <c r="CQ2236" s="496" t="s">
        <v>162</v>
      </c>
      <c r="CR2236" s="496" t="s">
        <v>162</v>
      </c>
      <c r="CS2236" s="496" t="s">
        <v>1085</v>
      </c>
      <c r="CT2236" s="496" t="s">
        <v>5284</v>
      </c>
      <c r="CU2236" s="496" t="s">
        <v>1087</v>
      </c>
      <c r="CV2236" s="497" t="s">
        <v>1088</v>
      </c>
      <c r="CX2236" s="543">
        <v>1</v>
      </c>
    </row>
    <row r="2237" spans="91:102" ht="21" customHeight="1">
      <c r="CM2237" s="494"/>
      <c r="CN2237" s="496" t="s">
        <v>5407</v>
      </c>
      <c r="CO2237" s="496" t="s">
        <v>15</v>
      </c>
      <c r="CP2237" s="496" t="s">
        <v>689</v>
      </c>
      <c r="CQ2237" s="496" t="s">
        <v>168</v>
      </c>
      <c r="CR2237" s="496" t="s">
        <v>168</v>
      </c>
      <c r="CS2237" s="496" t="s">
        <v>1085</v>
      </c>
      <c r="CT2237" s="496" t="s">
        <v>5284</v>
      </c>
      <c r="CU2237" s="496" t="s">
        <v>1087</v>
      </c>
      <c r="CV2237" s="497" t="s">
        <v>1088</v>
      </c>
      <c r="CX2237" s="543">
        <v>1</v>
      </c>
    </row>
    <row r="2238" spans="91:102" ht="21" customHeight="1">
      <c r="CM2238" s="494"/>
      <c r="CN2238" s="496" t="s">
        <v>5408</v>
      </c>
      <c r="CO2238" s="496" t="s">
        <v>15</v>
      </c>
      <c r="CP2238" s="496" t="s">
        <v>689</v>
      </c>
      <c r="CQ2238" s="496" t="s">
        <v>5409</v>
      </c>
      <c r="CR2238" s="496" t="s">
        <v>5410</v>
      </c>
      <c r="CS2238" s="496" t="s">
        <v>1085</v>
      </c>
      <c r="CT2238" s="496" t="s">
        <v>5284</v>
      </c>
      <c r="CU2238" s="496" t="s">
        <v>1087</v>
      </c>
      <c r="CV2238" s="497" t="s">
        <v>1088</v>
      </c>
      <c r="CX2238" s="543">
        <v>1</v>
      </c>
    </row>
    <row r="2239" spans="91:102" ht="21" customHeight="1">
      <c r="CM2239" s="494"/>
      <c r="CN2239" s="496" t="s">
        <v>5411</v>
      </c>
      <c r="CO2239" s="496" t="s">
        <v>15</v>
      </c>
      <c r="CP2239" s="496" t="s">
        <v>689</v>
      </c>
      <c r="CQ2239" s="496" t="s">
        <v>5412</v>
      </c>
      <c r="CR2239" s="496" t="s">
        <v>5412</v>
      </c>
      <c r="CS2239" s="496" t="s">
        <v>1554</v>
      </c>
      <c r="CT2239" s="496" t="s">
        <v>1555</v>
      </c>
      <c r="CU2239" s="496" t="s">
        <v>1556</v>
      </c>
      <c r="CV2239" s="497" t="s">
        <v>5258</v>
      </c>
      <c r="CX2239" s="543">
        <v>1</v>
      </c>
    </row>
    <row r="2240" spans="91:102" ht="21" customHeight="1">
      <c r="CM2240" s="494"/>
      <c r="CN2240" s="496" t="s">
        <v>5413</v>
      </c>
      <c r="CO2240" s="496" t="s">
        <v>15</v>
      </c>
      <c r="CP2240" s="496" t="s">
        <v>689</v>
      </c>
      <c r="CQ2240" s="496" t="s">
        <v>5414</v>
      </c>
      <c r="CR2240" s="496" t="s">
        <v>5414</v>
      </c>
      <c r="CS2240" s="496" t="s">
        <v>1554</v>
      </c>
      <c r="CT2240" s="496" t="s">
        <v>1555</v>
      </c>
      <c r="CU2240" s="496" t="s">
        <v>1556</v>
      </c>
      <c r="CV2240" s="497" t="s">
        <v>5258</v>
      </c>
      <c r="CX2240" s="543">
        <v>1</v>
      </c>
    </row>
    <row r="2241" spans="91:102" ht="21" customHeight="1">
      <c r="CM2241" s="494"/>
      <c r="CN2241" s="496" t="s">
        <v>5415</v>
      </c>
      <c r="CO2241" s="496" t="s">
        <v>15</v>
      </c>
      <c r="CP2241" s="496" t="s">
        <v>689</v>
      </c>
      <c r="CQ2241" s="496" t="s">
        <v>5416</v>
      </c>
      <c r="CR2241" s="496" t="s">
        <v>5416</v>
      </c>
      <c r="CS2241" s="496" t="s">
        <v>1554</v>
      </c>
      <c r="CT2241" s="496" t="s">
        <v>1555</v>
      </c>
      <c r="CU2241" s="496" t="s">
        <v>1556</v>
      </c>
      <c r="CV2241" s="497" t="s">
        <v>5258</v>
      </c>
      <c r="CX2241" s="543">
        <v>1</v>
      </c>
    </row>
    <row r="2242" spans="91:102" ht="21" customHeight="1">
      <c r="CM2242" s="494"/>
      <c r="CN2242" s="496" t="s">
        <v>5417</v>
      </c>
      <c r="CO2242" s="496" t="s">
        <v>15</v>
      </c>
      <c r="CP2242" s="496" t="s">
        <v>689</v>
      </c>
      <c r="CQ2242" s="496" t="s">
        <v>865</v>
      </c>
      <c r="CR2242" s="496" t="s">
        <v>865</v>
      </c>
      <c r="CS2242" s="496" t="s">
        <v>1085</v>
      </c>
      <c r="CT2242" s="496" t="s">
        <v>5284</v>
      </c>
      <c r="CU2242" s="496" t="s">
        <v>1087</v>
      </c>
      <c r="CV2242" s="497" t="s">
        <v>1088</v>
      </c>
      <c r="CX2242" s="543">
        <v>1</v>
      </c>
    </row>
    <row r="2243" spans="91:102" ht="21" customHeight="1">
      <c r="CM2243" s="494"/>
      <c r="CN2243" s="496" t="s">
        <v>5418</v>
      </c>
      <c r="CO2243" s="496" t="s">
        <v>15</v>
      </c>
      <c r="CP2243" s="496" t="s">
        <v>689</v>
      </c>
      <c r="CQ2243" s="496" t="s">
        <v>5419</v>
      </c>
      <c r="CR2243" s="496" t="s">
        <v>5419</v>
      </c>
      <c r="CS2243" s="496" t="s">
        <v>1085</v>
      </c>
      <c r="CT2243" s="496" t="s">
        <v>5284</v>
      </c>
      <c r="CU2243" s="496" t="s">
        <v>1087</v>
      </c>
      <c r="CV2243" s="497" t="s">
        <v>1088</v>
      </c>
      <c r="CX2243" s="543">
        <v>1</v>
      </c>
    </row>
    <row r="2244" spans="91:102" ht="21" customHeight="1">
      <c r="CM2244" s="494"/>
      <c r="CN2244" s="496" t="s">
        <v>5420</v>
      </c>
      <c r="CO2244" s="496" t="s">
        <v>15</v>
      </c>
      <c r="CP2244" s="496" t="s">
        <v>689</v>
      </c>
      <c r="CQ2244" s="496" t="s">
        <v>5421</v>
      </c>
      <c r="CR2244" s="496" t="s">
        <v>5421</v>
      </c>
      <c r="CS2244" s="496" t="s">
        <v>1554</v>
      </c>
      <c r="CT2244" s="496" t="s">
        <v>1555</v>
      </c>
      <c r="CU2244" s="496" t="s">
        <v>1556</v>
      </c>
      <c r="CV2244" s="497" t="s">
        <v>5258</v>
      </c>
      <c r="CX2244" s="543">
        <v>1</v>
      </c>
    </row>
    <row r="2245" spans="91:102" ht="21" customHeight="1">
      <c r="CM2245" s="494"/>
      <c r="CN2245" s="496" t="s">
        <v>5422</v>
      </c>
      <c r="CO2245" s="496" t="s">
        <v>15</v>
      </c>
      <c r="CP2245" s="496" t="s">
        <v>689</v>
      </c>
      <c r="CQ2245" s="496" t="s">
        <v>5423</v>
      </c>
      <c r="CR2245" s="496" t="s">
        <v>5423</v>
      </c>
      <c r="CS2245" s="496" t="s">
        <v>1554</v>
      </c>
      <c r="CT2245" s="496" t="s">
        <v>1555</v>
      </c>
      <c r="CU2245" s="496" t="s">
        <v>1556</v>
      </c>
      <c r="CV2245" s="497" t="s">
        <v>5258</v>
      </c>
      <c r="CX2245" s="543">
        <v>1</v>
      </c>
    </row>
    <row r="2246" spans="91:102" ht="21" customHeight="1">
      <c r="CM2246" s="494"/>
      <c r="CN2246" s="496" t="s">
        <v>5424</v>
      </c>
      <c r="CO2246" s="496" t="s">
        <v>15</v>
      </c>
      <c r="CP2246" s="496" t="s">
        <v>689</v>
      </c>
      <c r="CQ2246" s="496" t="s">
        <v>5425</v>
      </c>
      <c r="CR2246" s="496" t="s">
        <v>5425</v>
      </c>
      <c r="CS2246" s="496" t="s">
        <v>1554</v>
      </c>
      <c r="CT2246" s="496" t="s">
        <v>1555</v>
      </c>
      <c r="CU2246" s="496" t="s">
        <v>1556</v>
      </c>
      <c r="CV2246" s="497" t="s">
        <v>5258</v>
      </c>
      <c r="CX2246" s="543">
        <v>1</v>
      </c>
    </row>
    <row r="2247" spans="91:102" ht="21" customHeight="1">
      <c r="CM2247" s="494"/>
      <c r="CN2247" s="496" t="s">
        <v>5426</v>
      </c>
      <c r="CO2247" s="496" t="s">
        <v>15</v>
      </c>
      <c r="CP2247" s="496" t="s">
        <v>689</v>
      </c>
      <c r="CQ2247" s="496" t="s">
        <v>5427</v>
      </c>
      <c r="CR2247" s="496" t="s">
        <v>5427</v>
      </c>
      <c r="CS2247" s="496" t="s">
        <v>1554</v>
      </c>
      <c r="CT2247" s="496" t="s">
        <v>1555</v>
      </c>
      <c r="CU2247" s="496" t="s">
        <v>1556</v>
      </c>
      <c r="CV2247" s="497" t="s">
        <v>5258</v>
      </c>
      <c r="CX2247" s="543">
        <v>1</v>
      </c>
    </row>
    <row r="2248" spans="91:102" ht="21" customHeight="1">
      <c r="CM2248" s="494"/>
      <c r="CN2248" s="496" t="s">
        <v>5428</v>
      </c>
      <c r="CO2248" s="496" t="s">
        <v>15</v>
      </c>
      <c r="CP2248" s="496" t="s">
        <v>689</v>
      </c>
      <c r="CQ2248" s="496" t="s">
        <v>5429</v>
      </c>
      <c r="CR2248" s="496" t="s">
        <v>5429</v>
      </c>
      <c r="CS2248" s="496" t="s">
        <v>1554</v>
      </c>
      <c r="CT2248" s="496" t="s">
        <v>1555</v>
      </c>
      <c r="CU2248" s="496" t="s">
        <v>1556</v>
      </c>
      <c r="CV2248" s="497" t="s">
        <v>5258</v>
      </c>
      <c r="CX2248" s="543">
        <v>1</v>
      </c>
    </row>
    <row r="2249" spans="91:102" ht="21" customHeight="1">
      <c r="CM2249" s="494"/>
      <c r="CN2249" s="496" t="s">
        <v>5430</v>
      </c>
      <c r="CO2249" s="496" t="s">
        <v>15</v>
      </c>
      <c r="CP2249" s="496" t="s">
        <v>689</v>
      </c>
      <c r="CQ2249" s="496" t="s">
        <v>5431</v>
      </c>
      <c r="CR2249" s="496" t="s">
        <v>78</v>
      </c>
      <c r="CS2249" s="496" t="s">
        <v>1085</v>
      </c>
      <c r="CT2249" s="496" t="s">
        <v>5284</v>
      </c>
      <c r="CU2249" s="496" t="s">
        <v>1087</v>
      </c>
      <c r="CV2249" s="497" t="s">
        <v>1088</v>
      </c>
      <c r="CX2249" s="543">
        <v>1</v>
      </c>
    </row>
    <row r="2250" spans="91:102" ht="21" customHeight="1">
      <c r="CM2250" s="494"/>
      <c r="CN2250" s="496" t="s">
        <v>5432</v>
      </c>
      <c r="CO2250" s="496" t="s">
        <v>15</v>
      </c>
      <c r="CP2250" s="496" t="s">
        <v>689</v>
      </c>
      <c r="CQ2250" s="496" t="s">
        <v>5433</v>
      </c>
      <c r="CR2250" s="496" t="s">
        <v>5433</v>
      </c>
      <c r="CS2250" s="496" t="s">
        <v>1554</v>
      </c>
      <c r="CT2250" s="496" t="s">
        <v>1555</v>
      </c>
      <c r="CU2250" s="496" t="s">
        <v>1556</v>
      </c>
      <c r="CV2250" s="497" t="s">
        <v>5258</v>
      </c>
      <c r="CX2250" s="543">
        <v>1</v>
      </c>
    </row>
    <row r="2251" spans="91:102" ht="21" customHeight="1">
      <c r="CM2251" s="494"/>
      <c r="CN2251" s="496" t="s">
        <v>5434</v>
      </c>
      <c r="CO2251" s="496" t="s">
        <v>15</v>
      </c>
      <c r="CP2251" s="496" t="s">
        <v>689</v>
      </c>
      <c r="CQ2251" s="496" t="s">
        <v>1005</v>
      </c>
      <c r="CR2251" s="496" t="s">
        <v>1005</v>
      </c>
      <c r="CS2251" s="496" t="s">
        <v>1554</v>
      </c>
      <c r="CT2251" s="496" t="s">
        <v>1555</v>
      </c>
      <c r="CU2251" s="496" t="s">
        <v>1556</v>
      </c>
      <c r="CV2251" s="497" t="s">
        <v>5258</v>
      </c>
      <c r="CX2251" s="543">
        <v>1</v>
      </c>
    </row>
    <row r="2252" spans="91:102" ht="21" customHeight="1">
      <c r="CM2252" s="494"/>
      <c r="CN2252" s="496" t="s">
        <v>5435</v>
      </c>
      <c r="CO2252" s="496" t="s">
        <v>15</v>
      </c>
      <c r="CP2252" s="496" t="s">
        <v>689</v>
      </c>
      <c r="CQ2252" s="496" t="s">
        <v>5436</v>
      </c>
      <c r="CR2252" s="496" t="s">
        <v>5436</v>
      </c>
      <c r="CS2252" s="496" t="s">
        <v>1554</v>
      </c>
      <c r="CT2252" s="496" t="s">
        <v>1555</v>
      </c>
      <c r="CU2252" s="496" t="s">
        <v>1556</v>
      </c>
      <c r="CV2252" s="497" t="s">
        <v>5258</v>
      </c>
      <c r="CX2252" s="543">
        <v>1</v>
      </c>
    </row>
    <row r="2253" spans="91:102" ht="21" customHeight="1">
      <c r="CM2253" s="494"/>
      <c r="CN2253" s="496" t="s">
        <v>5437</v>
      </c>
      <c r="CO2253" s="496" t="s">
        <v>15</v>
      </c>
      <c r="CP2253" s="496" t="s">
        <v>689</v>
      </c>
      <c r="CQ2253" s="496" t="s">
        <v>5438</v>
      </c>
      <c r="CR2253" s="496" t="s">
        <v>5438</v>
      </c>
      <c r="CS2253" s="496" t="s">
        <v>1554</v>
      </c>
      <c r="CT2253" s="496" t="s">
        <v>1555</v>
      </c>
      <c r="CU2253" s="496" t="s">
        <v>1556</v>
      </c>
      <c r="CV2253" s="497" t="s">
        <v>5258</v>
      </c>
      <c r="CX2253" s="543">
        <v>1</v>
      </c>
    </row>
    <row r="2254" spans="91:102" ht="21" customHeight="1">
      <c r="CM2254" s="494"/>
      <c r="CN2254" s="496" t="s">
        <v>5439</v>
      </c>
      <c r="CO2254" s="496" t="s">
        <v>15</v>
      </c>
      <c r="CP2254" s="496" t="s">
        <v>689</v>
      </c>
      <c r="CQ2254" s="496" t="s">
        <v>5440</v>
      </c>
      <c r="CR2254" s="496" t="s">
        <v>5440</v>
      </c>
      <c r="CS2254" s="496" t="s">
        <v>1554</v>
      </c>
      <c r="CT2254" s="496" t="s">
        <v>1555</v>
      </c>
      <c r="CU2254" s="496" t="s">
        <v>1556</v>
      </c>
      <c r="CV2254" s="497" t="s">
        <v>5258</v>
      </c>
      <c r="CX2254" s="543">
        <v>1</v>
      </c>
    </row>
    <row r="2255" spans="91:102" ht="21" customHeight="1">
      <c r="CM2255" s="494"/>
      <c r="CN2255" s="496" t="s">
        <v>5441</v>
      </c>
      <c r="CO2255" s="496" t="s">
        <v>15</v>
      </c>
      <c r="CP2255" s="496" t="s">
        <v>689</v>
      </c>
      <c r="CQ2255" s="496" t="s">
        <v>5442</v>
      </c>
      <c r="CR2255" s="496" t="s">
        <v>5442</v>
      </c>
      <c r="CS2255" s="496" t="s">
        <v>1554</v>
      </c>
      <c r="CT2255" s="496" t="s">
        <v>1555</v>
      </c>
      <c r="CU2255" s="496" t="s">
        <v>1556</v>
      </c>
      <c r="CV2255" s="497" t="s">
        <v>5258</v>
      </c>
      <c r="CX2255" s="543">
        <v>1</v>
      </c>
    </row>
    <row r="2256" spans="91:102" ht="21" customHeight="1">
      <c r="CM2256" s="494"/>
      <c r="CN2256" s="496" t="s">
        <v>5443</v>
      </c>
      <c r="CO2256" s="496" t="s">
        <v>15</v>
      </c>
      <c r="CP2256" s="496" t="s">
        <v>689</v>
      </c>
      <c r="CQ2256" s="496" t="s">
        <v>1006</v>
      </c>
      <c r="CR2256" s="496" t="s">
        <v>1006</v>
      </c>
      <c r="CS2256" s="496" t="s">
        <v>1554</v>
      </c>
      <c r="CT2256" s="496" t="s">
        <v>1555</v>
      </c>
      <c r="CU2256" s="496" t="s">
        <v>1556</v>
      </c>
      <c r="CV2256" s="497" t="s">
        <v>5258</v>
      </c>
      <c r="CX2256" s="543">
        <v>1</v>
      </c>
    </row>
    <row r="2257" spans="91:102" ht="21" customHeight="1">
      <c r="CM2257" s="494"/>
      <c r="CN2257" s="496" t="s">
        <v>5444</v>
      </c>
      <c r="CO2257" s="496" t="s">
        <v>15</v>
      </c>
      <c r="CP2257" s="496" t="s">
        <v>689</v>
      </c>
      <c r="CQ2257" s="496" t="s">
        <v>5445</v>
      </c>
      <c r="CR2257" s="496" t="s">
        <v>5445</v>
      </c>
      <c r="CS2257" s="496" t="s">
        <v>1554</v>
      </c>
      <c r="CT2257" s="496" t="s">
        <v>1555</v>
      </c>
      <c r="CU2257" s="496" t="s">
        <v>1556</v>
      </c>
      <c r="CV2257" s="497" t="s">
        <v>5258</v>
      </c>
      <c r="CX2257" s="543">
        <v>1</v>
      </c>
    </row>
    <row r="2258" spans="91:102" ht="21" customHeight="1">
      <c r="CM2258" s="494"/>
      <c r="CN2258" s="496" t="s">
        <v>5446</v>
      </c>
      <c r="CO2258" s="496" t="s">
        <v>15</v>
      </c>
      <c r="CP2258" s="496" t="s">
        <v>689</v>
      </c>
      <c r="CQ2258" s="496" t="s">
        <v>5447</v>
      </c>
      <c r="CR2258" s="496" t="s">
        <v>5447</v>
      </c>
      <c r="CS2258" s="496" t="s">
        <v>1554</v>
      </c>
      <c r="CT2258" s="496" t="s">
        <v>1555</v>
      </c>
      <c r="CU2258" s="496" t="s">
        <v>1556</v>
      </c>
      <c r="CV2258" s="497" t="s">
        <v>5258</v>
      </c>
      <c r="CX2258" s="543">
        <v>1</v>
      </c>
    </row>
    <row r="2259" spans="91:102" ht="21" customHeight="1">
      <c r="CM2259" s="494"/>
      <c r="CN2259" s="496" t="s">
        <v>5448</v>
      </c>
      <c r="CO2259" s="496" t="s">
        <v>15</v>
      </c>
      <c r="CP2259" s="496" t="s">
        <v>689</v>
      </c>
      <c r="CQ2259" s="496" t="s">
        <v>5449</v>
      </c>
      <c r="CR2259" s="496" t="s">
        <v>5449</v>
      </c>
      <c r="CS2259" s="496" t="s">
        <v>1554</v>
      </c>
      <c r="CT2259" s="496" t="s">
        <v>1555</v>
      </c>
      <c r="CU2259" s="496" t="s">
        <v>1556</v>
      </c>
      <c r="CV2259" s="497" t="s">
        <v>5258</v>
      </c>
      <c r="CX2259" s="543">
        <v>1</v>
      </c>
    </row>
    <row r="2260" spans="91:102" ht="21" customHeight="1">
      <c r="CM2260" s="494"/>
      <c r="CN2260" s="496" t="s">
        <v>5450</v>
      </c>
      <c r="CO2260" s="496" t="s">
        <v>15</v>
      </c>
      <c r="CP2260" s="496" t="s">
        <v>689</v>
      </c>
      <c r="CQ2260" s="496" t="s">
        <v>5451</v>
      </c>
      <c r="CR2260" s="496" t="s">
        <v>5451</v>
      </c>
      <c r="CS2260" s="496" t="s">
        <v>1554</v>
      </c>
      <c r="CT2260" s="496" t="s">
        <v>1555</v>
      </c>
      <c r="CU2260" s="496" t="s">
        <v>1556</v>
      </c>
      <c r="CV2260" s="497" t="s">
        <v>5258</v>
      </c>
      <c r="CX2260" s="543">
        <v>1</v>
      </c>
    </row>
    <row r="2261" spans="91:102" ht="21" customHeight="1">
      <c r="CM2261" s="494"/>
      <c r="CN2261" s="496" t="s">
        <v>5452</v>
      </c>
      <c r="CO2261" s="496" t="s">
        <v>15</v>
      </c>
      <c r="CP2261" s="496" t="s">
        <v>689</v>
      </c>
      <c r="CQ2261" s="496" t="s">
        <v>5453</v>
      </c>
      <c r="CR2261" s="496" t="s">
        <v>90</v>
      </c>
      <c r="CS2261" s="496" t="s">
        <v>1085</v>
      </c>
      <c r="CT2261" s="496" t="s">
        <v>5284</v>
      </c>
      <c r="CU2261" s="496" t="s">
        <v>1087</v>
      </c>
      <c r="CV2261" s="497" t="s">
        <v>1088</v>
      </c>
      <c r="CX2261" s="543">
        <v>1</v>
      </c>
    </row>
    <row r="2262" spans="91:102" ht="21" customHeight="1">
      <c r="CM2262" s="494"/>
      <c r="CN2262" s="496" t="s">
        <v>5454</v>
      </c>
      <c r="CO2262" s="496" t="s">
        <v>15</v>
      </c>
      <c r="CP2262" s="496" t="s">
        <v>689</v>
      </c>
      <c r="CQ2262" s="496" t="s">
        <v>5455</v>
      </c>
      <c r="CR2262" s="496" t="s">
        <v>5455</v>
      </c>
      <c r="CS2262" s="496" t="s">
        <v>1554</v>
      </c>
      <c r="CT2262" s="496" t="s">
        <v>1555</v>
      </c>
      <c r="CU2262" s="496" t="s">
        <v>1556</v>
      </c>
      <c r="CV2262" s="497" t="s">
        <v>5258</v>
      </c>
      <c r="CX2262" s="543">
        <v>1</v>
      </c>
    </row>
    <row r="2263" spans="91:102" ht="21" customHeight="1">
      <c r="CM2263" s="494"/>
      <c r="CN2263" s="496" t="s">
        <v>5456</v>
      </c>
      <c r="CO2263" s="496" t="s">
        <v>15</v>
      </c>
      <c r="CP2263" s="496" t="s">
        <v>689</v>
      </c>
      <c r="CQ2263" s="496" t="s">
        <v>5457</v>
      </c>
      <c r="CR2263" s="496" t="s">
        <v>5457</v>
      </c>
      <c r="CS2263" s="496" t="s">
        <v>1554</v>
      </c>
      <c r="CT2263" s="496" t="s">
        <v>1555</v>
      </c>
      <c r="CU2263" s="496" t="s">
        <v>1556</v>
      </c>
      <c r="CV2263" s="497" t="s">
        <v>5258</v>
      </c>
      <c r="CX2263" s="543">
        <v>1</v>
      </c>
    </row>
    <row r="2264" spans="91:102" ht="21" customHeight="1">
      <c r="CM2264" s="494"/>
      <c r="CN2264" s="496" t="s">
        <v>5458</v>
      </c>
      <c r="CO2264" s="496" t="s">
        <v>15</v>
      </c>
      <c r="CP2264" s="496" t="s">
        <v>689</v>
      </c>
      <c r="CQ2264" s="496" t="s">
        <v>5459</v>
      </c>
      <c r="CR2264" s="496" t="s">
        <v>5459</v>
      </c>
      <c r="CS2264" s="496" t="s">
        <v>1085</v>
      </c>
      <c r="CT2264" s="496" t="s">
        <v>5284</v>
      </c>
      <c r="CU2264" s="496" t="s">
        <v>1087</v>
      </c>
      <c r="CV2264" s="497" t="s">
        <v>1088</v>
      </c>
      <c r="CX2264" s="543">
        <v>1</v>
      </c>
    </row>
    <row r="2265" spans="91:102" ht="21" customHeight="1">
      <c r="CM2265" s="494"/>
      <c r="CN2265" s="496" t="s">
        <v>5460</v>
      </c>
      <c r="CO2265" s="496" t="s">
        <v>15</v>
      </c>
      <c r="CP2265" s="496" t="s">
        <v>689</v>
      </c>
      <c r="CQ2265" s="496" t="s">
        <v>5461</v>
      </c>
      <c r="CR2265" s="496" t="s">
        <v>5461</v>
      </c>
      <c r="CS2265" s="496" t="s">
        <v>1554</v>
      </c>
      <c r="CT2265" s="496" t="s">
        <v>1555</v>
      </c>
      <c r="CU2265" s="496" t="s">
        <v>1556</v>
      </c>
      <c r="CV2265" s="497" t="s">
        <v>5258</v>
      </c>
      <c r="CX2265" s="543">
        <v>1</v>
      </c>
    </row>
    <row r="2266" spans="91:102" ht="21" customHeight="1">
      <c r="CM2266" s="494"/>
      <c r="CN2266" s="496" t="s">
        <v>5462</v>
      </c>
      <c r="CO2266" s="496" t="s">
        <v>15</v>
      </c>
      <c r="CP2266" s="496" t="s">
        <v>689</v>
      </c>
      <c r="CQ2266" s="496" t="s">
        <v>5463</v>
      </c>
      <c r="CR2266" s="496" t="s">
        <v>5463</v>
      </c>
      <c r="CS2266" s="496" t="s">
        <v>1554</v>
      </c>
      <c r="CT2266" s="496" t="s">
        <v>1555</v>
      </c>
      <c r="CU2266" s="496" t="s">
        <v>1556</v>
      </c>
      <c r="CV2266" s="497" t="s">
        <v>5258</v>
      </c>
      <c r="CX2266" s="543">
        <v>1</v>
      </c>
    </row>
    <row r="2267" spans="91:102" ht="21" customHeight="1">
      <c r="CM2267" s="494"/>
      <c r="CN2267" s="496" t="s">
        <v>5464</v>
      </c>
      <c r="CO2267" s="496" t="s">
        <v>15</v>
      </c>
      <c r="CP2267" s="496" t="s">
        <v>689</v>
      </c>
      <c r="CQ2267" s="496" t="s">
        <v>5465</v>
      </c>
      <c r="CR2267" s="496" t="s">
        <v>5465</v>
      </c>
      <c r="CS2267" s="496" t="s">
        <v>1554</v>
      </c>
      <c r="CT2267" s="496" t="s">
        <v>1555</v>
      </c>
      <c r="CU2267" s="496" t="s">
        <v>1556</v>
      </c>
      <c r="CV2267" s="497" t="s">
        <v>5258</v>
      </c>
      <c r="CX2267" s="543">
        <v>1</v>
      </c>
    </row>
    <row r="2268" spans="91:102" ht="21" customHeight="1">
      <c r="CM2268" s="494"/>
      <c r="CN2268" s="496" t="s">
        <v>5466</v>
      </c>
      <c r="CO2268" s="496" t="s">
        <v>15</v>
      </c>
      <c r="CP2268" s="496" t="s">
        <v>689</v>
      </c>
      <c r="CQ2268" s="496" t="s">
        <v>5467</v>
      </c>
      <c r="CR2268" s="496" t="s">
        <v>5467</v>
      </c>
      <c r="CS2268" s="496" t="s">
        <v>1554</v>
      </c>
      <c r="CT2268" s="496" t="s">
        <v>1555</v>
      </c>
      <c r="CU2268" s="496" t="s">
        <v>1556</v>
      </c>
      <c r="CV2268" s="497" t="s">
        <v>5258</v>
      </c>
      <c r="CX2268" s="543">
        <v>1</v>
      </c>
    </row>
    <row r="2269" spans="91:102" ht="21" customHeight="1">
      <c r="CM2269" s="494"/>
      <c r="CN2269" s="496" t="s">
        <v>5468</v>
      </c>
      <c r="CO2269" s="496" t="s">
        <v>15</v>
      </c>
      <c r="CP2269" s="496" t="s">
        <v>689</v>
      </c>
      <c r="CQ2269" s="496" t="s">
        <v>5469</v>
      </c>
      <c r="CR2269" s="496" t="s">
        <v>5469</v>
      </c>
      <c r="CS2269" s="496" t="s">
        <v>1554</v>
      </c>
      <c r="CT2269" s="496" t="s">
        <v>1555</v>
      </c>
      <c r="CU2269" s="496" t="s">
        <v>1556</v>
      </c>
      <c r="CV2269" s="497" t="s">
        <v>5258</v>
      </c>
      <c r="CX2269" s="543">
        <v>1</v>
      </c>
    </row>
    <row r="2270" spans="91:102" ht="21" customHeight="1">
      <c r="CM2270" s="494"/>
      <c r="CN2270" s="496" t="s">
        <v>5470</v>
      </c>
      <c r="CO2270" s="496" t="s">
        <v>15</v>
      </c>
      <c r="CP2270" s="496" t="s">
        <v>689</v>
      </c>
      <c r="CQ2270" s="496" t="s">
        <v>5471</v>
      </c>
      <c r="CR2270" s="496" t="s">
        <v>5471</v>
      </c>
      <c r="CS2270" s="496" t="s">
        <v>1554</v>
      </c>
      <c r="CT2270" s="496" t="s">
        <v>1555</v>
      </c>
      <c r="CU2270" s="496" t="s">
        <v>1556</v>
      </c>
      <c r="CV2270" s="497" t="s">
        <v>5258</v>
      </c>
      <c r="CX2270" s="543">
        <v>1</v>
      </c>
    </row>
    <row r="2271" spans="91:102" ht="21" customHeight="1">
      <c r="CM2271" s="494"/>
      <c r="CN2271" s="496" t="s">
        <v>5472</v>
      </c>
      <c r="CO2271" s="496" t="s">
        <v>15</v>
      </c>
      <c r="CP2271" s="496" t="s">
        <v>689</v>
      </c>
      <c r="CQ2271" s="496" t="s">
        <v>5473</v>
      </c>
      <c r="CR2271" s="496" t="s">
        <v>5473</v>
      </c>
      <c r="CS2271" s="496" t="s">
        <v>1554</v>
      </c>
      <c r="CT2271" s="496" t="s">
        <v>1555</v>
      </c>
      <c r="CU2271" s="496" t="s">
        <v>1556</v>
      </c>
      <c r="CV2271" s="497" t="s">
        <v>5258</v>
      </c>
      <c r="CX2271" s="543">
        <v>1</v>
      </c>
    </row>
    <row r="2272" spans="91:102" ht="21" customHeight="1">
      <c r="CM2272" s="494"/>
      <c r="CN2272" s="496" t="s">
        <v>5474</v>
      </c>
      <c r="CO2272" s="496" t="s">
        <v>15</v>
      </c>
      <c r="CP2272" s="496" t="s">
        <v>689</v>
      </c>
      <c r="CQ2272" s="496" t="s">
        <v>5475</v>
      </c>
      <c r="CR2272" s="496" t="s">
        <v>5475</v>
      </c>
      <c r="CS2272" s="496" t="s">
        <v>1554</v>
      </c>
      <c r="CT2272" s="496" t="s">
        <v>1555</v>
      </c>
      <c r="CU2272" s="496" t="s">
        <v>1556</v>
      </c>
      <c r="CV2272" s="497" t="s">
        <v>5258</v>
      </c>
      <c r="CX2272" s="543">
        <v>1</v>
      </c>
    </row>
    <row r="2273" spans="91:102" ht="21" customHeight="1">
      <c r="CM2273" s="494"/>
      <c r="CN2273" s="496" t="s">
        <v>5476</v>
      </c>
      <c r="CO2273" s="496" t="s">
        <v>15</v>
      </c>
      <c r="CP2273" s="496" t="s">
        <v>689</v>
      </c>
      <c r="CQ2273" s="496" t="s">
        <v>5477</v>
      </c>
      <c r="CR2273" s="496" t="s">
        <v>5477</v>
      </c>
      <c r="CS2273" s="496" t="s">
        <v>1554</v>
      </c>
      <c r="CT2273" s="496" t="s">
        <v>1555</v>
      </c>
      <c r="CU2273" s="496" t="s">
        <v>1556</v>
      </c>
      <c r="CV2273" s="497" t="s">
        <v>5258</v>
      </c>
      <c r="CX2273" s="543">
        <v>1</v>
      </c>
    </row>
    <row r="2274" spans="91:102" ht="21" customHeight="1">
      <c r="CM2274" s="494"/>
      <c r="CN2274" s="496" t="s">
        <v>5478</v>
      </c>
      <c r="CO2274" s="496" t="s">
        <v>15</v>
      </c>
      <c r="CP2274" s="496" t="s">
        <v>689</v>
      </c>
      <c r="CQ2274" s="496" t="s">
        <v>5479</v>
      </c>
      <c r="CR2274" s="496" t="s">
        <v>5479</v>
      </c>
      <c r="CS2274" s="496" t="s">
        <v>1554</v>
      </c>
      <c r="CT2274" s="496" t="s">
        <v>1555</v>
      </c>
      <c r="CU2274" s="496" t="s">
        <v>1556</v>
      </c>
      <c r="CV2274" s="497" t="s">
        <v>5258</v>
      </c>
      <c r="CX2274" s="543">
        <v>1</v>
      </c>
    </row>
    <row r="2275" spans="91:102" ht="21" customHeight="1">
      <c r="CM2275" s="494"/>
      <c r="CN2275" s="496" t="s">
        <v>5480</v>
      </c>
      <c r="CO2275" s="496" t="s">
        <v>15</v>
      </c>
      <c r="CP2275" s="496" t="s">
        <v>689</v>
      </c>
      <c r="CQ2275" s="496" t="s">
        <v>5481</v>
      </c>
      <c r="CR2275" s="496" t="s">
        <v>5481</v>
      </c>
      <c r="CS2275" s="496" t="s">
        <v>1554</v>
      </c>
      <c r="CT2275" s="496" t="s">
        <v>1555</v>
      </c>
      <c r="CU2275" s="496" t="s">
        <v>1556</v>
      </c>
      <c r="CV2275" s="497" t="s">
        <v>5258</v>
      </c>
      <c r="CX2275" s="543">
        <v>1</v>
      </c>
    </row>
    <row r="2276" spans="91:102" ht="21" customHeight="1">
      <c r="CM2276" s="494"/>
      <c r="CN2276" s="496" t="s">
        <v>5482</v>
      </c>
      <c r="CO2276" s="496" t="s">
        <v>15</v>
      </c>
      <c r="CP2276" s="496" t="s">
        <v>689</v>
      </c>
      <c r="CQ2276" s="496" t="s">
        <v>5483</v>
      </c>
      <c r="CR2276" s="496" t="s">
        <v>5483</v>
      </c>
      <c r="CS2276" s="496" t="s">
        <v>1554</v>
      </c>
      <c r="CT2276" s="496" t="s">
        <v>1555</v>
      </c>
      <c r="CU2276" s="496" t="s">
        <v>1556</v>
      </c>
      <c r="CV2276" s="497" t="s">
        <v>5258</v>
      </c>
      <c r="CX2276" s="543">
        <v>1</v>
      </c>
    </row>
    <row r="2277" spans="91:102" ht="21" customHeight="1">
      <c r="CM2277" s="494"/>
      <c r="CN2277" s="496" t="s">
        <v>5484</v>
      </c>
      <c r="CO2277" s="496" t="s">
        <v>15</v>
      </c>
      <c r="CP2277" s="496" t="s">
        <v>689</v>
      </c>
      <c r="CQ2277" s="496" t="s">
        <v>5485</v>
      </c>
      <c r="CR2277" s="496" t="s">
        <v>5485</v>
      </c>
      <c r="CS2277" s="496" t="s">
        <v>1554</v>
      </c>
      <c r="CT2277" s="496" t="s">
        <v>1555</v>
      </c>
      <c r="CU2277" s="496" t="s">
        <v>1556</v>
      </c>
      <c r="CV2277" s="497" t="s">
        <v>5258</v>
      </c>
      <c r="CX2277" s="543">
        <v>1</v>
      </c>
    </row>
    <row r="2278" spans="91:102" ht="21" customHeight="1">
      <c r="CM2278" s="494"/>
      <c r="CN2278" s="496" t="s">
        <v>5486</v>
      </c>
      <c r="CO2278" s="496" t="s">
        <v>15</v>
      </c>
      <c r="CP2278" s="496" t="s">
        <v>689</v>
      </c>
      <c r="CQ2278" s="496" t="s">
        <v>5487</v>
      </c>
      <c r="CR2278" s="496" t="s">
        <v>5487</v>
      </c>
      <c r="CS2278" s="496" t="s">
        <v>1151</v>
      </c>
      <c r="CT2278" s="496" t="s">
        <v>1152</v>
      </c>
      <c r="CU2278" s="496" t="s">
        <v>1087</v>
      </c>
      <c r="CV2278" s="497" t="s">
        <v>1153</v>
      </c>
      <c r="CX2278" s="543">
        <v>1</v>
      </c>
    </row>
    <row r="2279" spans="91:102" ht="21" customHeight="1">
      <c r="CM2279" s="494"/>
      <c r="CN2279" s="496" t="s">
        <v>5488</v>
      </c>
      <c r="CO2279" s="496" t="s">
        <v>15</v>
      </c>
      <c r="CP2279" s="496" t="s">
        <v>689</v>
      </c>
      <c r="CQ2279" s="496" t="s">
        <v>5489</v>
      </c>
      <c r="CR2279" s="496" t="s">
        <v>5489</v>
      </c>
      <c r="CS2279" s="496" t="s">
        <v>1151</v>
      </c>
      <c r="CT2279" s="496" t="s">
        <v>1152</v>
      </c>
      <c r="CU2279" s="496" t="s">
        <v>1087</v>
      </c>
      <c r="CV2279" s="497" t="s">
        <v>1153</v>
      </c>
      <c r="CX2279" s="543">
        <v>1</v>
      </c>
    </row>
    <row r="2280" spans="91:102" ht="21" customHeight="1">
      <c r="CM2280" s="494"/>
      <c r="CN2280" s="496" t="s">
        <v>5490</v>
      </c>
      <c r="CO2280" s="496" t="s">
        <v>15</v>
      </c>
      <c r="CP2280" s="496" t="s">
        <v>689</v>
      </c>
      <c r="CQ2280" s="496" t="s">
        <v>27</v>
      </c>
      <c r="CR2280" s="496" t="s">
        <v>27</v>
      </c>
      <c r="CS2280" s="496" t="s">
        <v>1085</v>
      </c>
      <c r="CT2280" s="496" t="s">
        <v>5284</v>
      </c>
      <c r="CU2280" s="496" t="s">
        <v>1087</v>
      </c>
      <c r="CV2280" s="497" t="s">
        <v>1088</v>
      </c>
      <c r="CX2280" s="543">
        <v>1</v>
      </c>
    </row>
    <row r="2281" spans="91:102" ht="21" customHeight="1">
      <c r="CM2281" s="494"/>
      <c r="CN2281" s="496" t="s">
        <v>5491</v>
      </c>
      <c r="CO2281" s="496" t="s">
        <v>15</v>
      </c>
      <c r="CP2281" s="496" t="s">
        <v>689</v>
      </c>
      <c r="CQ2281" s="496" t="s">
        <v>6</v>
      </c>
      <c r="CR2281" s="496" t="s">
        <v>6</v>
      </c>
      <c r="CS2281" s="496" t="s">
        <v>1085</v>
      </c>
      <c r="CT2281" s="496" t="s">
        <v>5284</v>
      </c>
      <c r="CU2281" s="496" t="s">
        <v>1087</v>
      </c>
      <c r="CV2281" s="497" t="s">
        <v>1088</v>
      </c>
      <c r="CX2281" s="543">
        <v>1</v>
      </c>
    </row>
    <row r="2282" spans="91:102" ht="21" customHeight="1">
      <c r="CM2282" s="494"/>
      <c r="CN2282" s="496" t="s">
        <v>5492</v>
      </c>
      <c r="CO2282" s="496" t="s">
        <v>15</v>
      </c>
      <c r="CP2282" s="496" t="s">
        <v>689</v>
      </c>
      <c r="CQ2282" s="496" t="s">
        <v>5493</v>
      </c>
      <c r="CR2282" s="496" t="s">
        <v>5493</v>
      </c>
      <c r="CS2282" s="496" t="s">
        <v>1554</v>
      </c>
      <c r="CT2282" s="496" t="s">
        <v>1555</v>
      </c>
      <c r="CU2282" s="496" t="s">
        <v>1556</v>
      </c>
      <c r="CV2282" s="497" t="s">
        <v>5258</v>
      </c>
      <c r="CX2282" s="543">
        <v>1</v>
      </c>
    </row>
    <row r="2283" spans="91:102" ht="21" customHeight="1">
      <c r="CM2283" s="494"/>
      <c r="CN2283" s="496" t="s">
        <v>5494</v>
      </c>
      <c r="CO2283" s="496" t="s">
        <v>15</v>
      </c>
      <c r="CP2283" s="496" t="s">
        <v>689</v>
      </c>
      <c r="CQ2283" s="496" t="s">
        <v>52</v>
      </c>
      <c r="CR2283" s="496" t="s">
        <v>52</v>
      </c>
      <c r="CS2283" s="496" t="s">
        <v>1554</v>
      </c>
      <c r="CT2283" s="496" t="s">
        <v>1555</v>
      </c>
      <c r="CU2283" s="496" t="s">
        <v>1556</v>
      </c>
      <c r="CV2283" s="497" t="s">
        <v>5258</v>
      </c>
      <c r="CX2283" s="543">
        <v>1</v>
      </c>
    </row>
    <row r="2284" spans="91:102" ht="21" customHeight="1">
      <c r="CM2284" s="494"/>
      <c r="CN2284" s="496" t="s">
        <v>5495</v>
      </c>
      <c r="CO2284" s="496" t="s">
        <v>15</v>
      </c>
      <c r="CP2284" s="496" t="s">
        <v>689</v>
      </c>
      <c r="CQ2284" s="496" t="s">
        <v>5496</v>
      </c>
      <c r="CR2284" s="496" t="s">
        <v>5496</v>
      </c>
      <c r="CS2284" s="496" t="s">
        <v>1554</v>
      </c>
      <c r="CT2284" s="496" t="s">
        <v>1555</v>
      </c>
      <c r="CU2284" s="496" t="s">
        <v>1556</v>
      </c>
      <c r="CV2284" s="497" t="s">
        <v>5258</v>
      </c>
      <c r="CX2284" s="543">
        <v>1</v>
      </c>
    </row>
    <row r="2285" spans="91:102" ht="21" customHeight="1">
      <c r="CM2285" s="494"/>
      <c r="CN2285" s="496" t="s">
        <v>5497</v>
      </c>
      <c r="CO2285" s="496" t="s">
        <v>15</v>
      </c>
      <c r="CP2285" s="496" t="s">
        <v>689</v>
      </c>
      <c r="CQ2285" s="496" t="s">
        <v>5498</v>
      </c>
      <c r="CR2285" s="496" t="s">
        <v>5498</v>
      </c>
      <c r="CS2285" s="496" t="s">
        <v>1554</v>
      </c>
      <c r="CT2285" s="496" t="s">
        <v>1555</v>
      </c>
      <c r="CU2285" s="496" t="s">
        <v>1556</v>
      </c>
      <c r="CV2285" s="497" t="s">
        <v>5258</v>
      </c>
      <c r="CX2285" s="543">
        <v>1</v>
      </c>
    </row>
    <row r="2286" spans="91:102" ht="21" customHeight="1">
      <c r="CM2286" s="494"/>
      <c r="CN2286" s="496" t="s">
        <v>5499</v>
      </c>
      <c r="CO2286" s="496" t="s">
        <v>15</v>
      </c>
      <c r="CP2286" s="496" t="s">
        <v>689</v>
      </c>
      <c r="CQ2286" s="496" t="s">
        <v>5500</v>
      </c>
      <c r="CR2286" s="496" t="s">
        <v>5500</v>
      </c>
      <c r="CS2286" s="496" t="s">
        <v>1554</v>
      </c>
      <c r="CT2286" s="496" t="s">
        <v>1555</v>
      </c>
      <c r="CU2286" s="496" t="s">
        <v>1556</v>
      </c>
      <c r="CV2286" s="497" t="s">
        <v>5258</v>
      </c>
      <c r="CX2286" s="543">
        <v>1</v>
      </c>
    </row>
    <row r="2287" spans="91:102" ht="21" customHeight="1">
      <c r="CM2287" s="494"/>
      <c r="CN2287" s="496" t="s">
        <v>5501</v>
      </c>
      <c r="CO2287" s="496" t="s">
        <v>15</v>
      </c>
      <c r="CP2287" s="496" t="s">
        <v>689</v>
      </c>
      <c r="CQ2287" s="496" t="s">
        <v>5502</v>
      </c>
      <c r="CR2287" s="496" t="s">
        <v>5502</v>
      </c>
      <c r="CS2287" s="496" t="s">
        <v>1554</v>
      </c>
      <c r="CT2287" s="496" t="s">
        <v>1555</v>
      </c>
      <c r="CU2287" s="496" t="s">
        <v>1556</v>
      </c>
      <c r="CV2287" s="497" t="s">
        <v>5258</v>
      </c>
      <c r="CX2287" s="543">
        <v>1</v>
      </c>
    </row>
    <row r="2288" spans="91:102" ht="21" customHeight="1">
      <c r="CM2288" s="494"/>
      <c r="CN2288" s="496" t="s">
        <v>5503</v>
      </c>
      <c r="CO2288" s="496" t="s">
        <v>15</v>
      </c>
      <c r="CP2288" s="496" t="s">
        <v>689</v>
      </c>
      <c r="CQ2288" s="496" t="s">
        <v>5504</v>
      </c>
      <c r="CR2288" s="496" t="s">
        <v>5504</v>
      </c>
      <c r="CS2288" s="496" t="s">
        <v>1554</v>
      </c>
      <c r="CT2288" s="496" t="s">
        <v>1555</v>
      </c>
      <c r="CU2288" s="496" t="s">
        <v>1556</v>
      </c>
      <c r="CV2288" s="497" t="s">
        <v>5258</v>
      </c>
      <c r="CX2288" s="543">
        <v>1</v>
      </c>
    </row>
    <row r="2289" spans="91:102" ht="21" customHeight="1">
      <c r="CM2289" s="494"/>
      <c r="CN2289" s="496" t="s">
        <v>5505</v>
      </c>
      <c r="CO2289" s="496" t="s">
        <v>15</v>
      </c>
      <c r="CP2289" s="496" t="s">
        <v>689</v>
      </c>
      <c r="CQ2289" s="496" t="s">
        <v>5506</v>
      </c>
      <c r="CR2289" s="496" t="s">
        <v>5506</v>
      </c>
      <c r="CS2289" s="496" t="s">
        <v>1554</v>
      </c>
      <c r="CT2289" s="496" t="s">
        <v>1555</v>
      </c>
      <c r="CU2289" s="496" t="s">
        <v>1556</v>
      </c>
      <c r="CV2289" s="497" t="s">
        <v>5258</v>
      </c>
      <c r="CX2289" s="543">
        <v>1</v>
      </c>
    </row>
    <row r="2290" spans="91:102" ht="21" customHeight="1">
      <c r="CM2290" s="494"/>
      <c r="CN2290" s="496" t="s">
        <v>5507</v>
      </c>
      <c r="CO2290" s="496" t="s">
        <v>15</v>
      </c>
      <c r="CP2290" s="496" t="s">
        <v>689</v>
      </c>
      <c r="CQ2290" s="496" t="s">
        <v>5508</v>
      </c>
      <c r="CR2290" s="496" t="s">
        <v>5508</v>
      </c>
      <c r="CS2290" s="496" t="s">
        <v>1554</v>
      </c>
      <c r="CT2290" s="496" t="s">
        <v>1555</v>
      </c>
      <c r="CU2290" s="496" t="s">
        <v>1556</v>
      </c>
      <c r="CV2290" s="497" t="s">
        <v>5258</v>
      </c>
      <c r="CX2290" s="543">
        <v>1</v>
      </c>
    </row>
    <row r="2291" spans="91:102" ht="21" customHeight="1">
      <c r="CM2291" s="494"/>
      <c r="CN2291" s="496" t="s">
        <v>5509</v>
      </c>
      <c r="CO2291" s="496" t="s">
        <v>15</v>
      </c>
      <c r="CP2291" s="496" t="s">
        <v>689</v>
      </c>
      <c r="CQ2291" s="496" t="s">
        <v>5510</v>
      </c>
      <c r="CR2291" s="496" t="s">
        <v>5510</v>
      </c>
      <c r="CS2291" s="496" t="s">
        <v>1554</v>
      </c>
      <c r="CT2291" s="496" t="s">
        <v>1555</v>
      </c>
      <c r="CU2291" s="496" t="s">
        <v>1556</v>
      </c>
      <c r="CV2291" s="497" t="s">
        <v>5258</v>
      </c>
      <c r="CX2291" s="543">
        <v>1</v>
      </c>
    </row>
    <row r="2292" spans="91:102" ht="21" customHeight="1">
      <c r="CM2292" s="494"/>
      <c r="CN2292" s="496" t="s">
        <v>5511</v>
      </c>
      <c r="CO2292" s="496" t="s">
        <v>15</v>
      </c>
      <c r="CP2292" s="496" t="s">
        <v>689</v>
      </c>
      <c r="CQ2292" s="496" t="s">
        <v>5512</v>
      </c>
      <c r="CR2292" s="496" t="s">
        <v>5512</v>
      </c>
      <c r="CS2292" s="496" t="s">
        <v>1554</v>
      </c>
      <c r="CT2292" s="496" t="s">
        <v>1555</v>
      </c>
      <c r="CU2292" s="496" t="s">
        <v>1556</v>
      </c>
      <c r="CV2292" s="497" t="s">
        <v>5258</v>
      </c>
      <c r="CX2292" s="543">
        <v>1</v>
      </c>
    </row>
    <row r="2293" spans="91:102" ht="21" customHeight="1">
      <c r="CM2293" s="494"/>
      <c r="CN2293" s="496" t="s">
        <v>5513</v>
      </c>
      <c r="CO2293" s="496" t="s">
        <v>15</v>
      </c>
      <c r="CP2293" s="496" t="s">
        <v>689</v>
      </c>
      <c r="CQ2293" s="496" t="s">
        <v>65</v>
      </c>
      <c r="CR2293" s="496" t="s">
        <v>65</v>
      </c>
      <c r="CS2293" s="496" t="s">
        <v>1085</v>
      </c>
      <c r="CT2293" s="496" t="s">
        <v>5284</v>
      </c>
      <c r="CU2293" s="496" t="s">
        <v>1087</v>
      </c>
      <c r="CV2293" s="497" t="s">
        <v>1088</v>
      </c>
      <c r="CX2293" s="543">
        <v>1</v>
      </c>
    </row>
    <row r="2294" spans="91:102" ht="21" customHeight="1">
      <c r="CM2294" s="494"/>
      <c r="CN2294" s="496" t="s">
        <v>5514</v>
      </c>
      <c r="CO2294" s="496" t="s">
        <v>15</v>
      </c>
      <c r="CP2294" s="496" t="s">
        <v>689</v>
      </c>
      <c r="CQ2294" s="496" t="s">
        <v>5515</v>
      </c>
      <c r="CR2294" s="496" t="s">
        <v>5515</v>
      </c>
      <c r="CS2294" s="496" t="s">
        <v>1554</v>
      </c>
      <c r="CT2294" s="496" t="s">
        <v>1555</v>
      </c>
      <c r="CU2294" s="496" t="s">
        <v>1556</v>
      </c>
      <c r="CV2294" s="497" t="s">
        <v>5258</v>
      </c>
      <c r="CX2294" s="543">
        <v>1</v>
      </c>
    </row>
    <row r="2295" spans="91:102" ht="21" customHeight="1">
      <c r="CM2295" s="494"/>
      <c r="CN2295" s="496" t="s">
        <v>5516</v>
      </c>
      <c r="CO2295" s="496" t="s">
        <v>15</v>
      </c>
      <c r="CP2295" s="496" t="s">
        <v>689</v>
      </c>
      <c r="CQ2295" s="496" t="s">
        <v>5517</v>
      </c>
      <c r="CR2295" s="496" t="s">
        <v>5517</v>
      </c>
      <c r="CS2295" s="496" t="s">
        <v>1151</v>
      </c>
      <c r="CT2295" s="496" t="s">
        <v>1152</v>
      </c>
      <c r="CU2295" s="496" t="s">
        <v>1087</v>
      </c>
      <c r="CV2295" s="497" t="s">
        <v>1153</v>
      </c>
      <c r="CX2295" s="543">
        <v>1</v>
      </c>
    </row>
    <row r="2296" spans="91:102" ht="21" customHeight="1">
      <c r="CM2296" s="494"/>
      <c r="CN2296" s="496" t="s">
        <v>5518</v>
      </c>
      <c r="CO2296" s="496" t="s">
        <v>15</v>
      </c>
      <c r="CP2296" s="496" t="s">
        <v>689</v>
      </c>
      <c r="CQ2296" s="496" t="s">
        <v>336</v>
      </c>
      <c r="CR2296" s="496" t="s">
        <v>336</v>
      </c>
      <c r="CS2296" s="496" t="s">
        <v>1151</v>
      </c>
      <c r="CT2296" s="496" t="s">
        <v>1152</v>
      </c>
      <c r="CU2296" s="496" t="s">
        <v>1087</v>
      </c>
      <c r="CV2296" s="497" t="s">
        <v>1153</v>
      </c>
      <c r="CX2296" s="543">
        <v>1</v>
      </c>
    </row>
    <row r="2297" spans="91:102" ht="21" customHeight="1">
      <c r="CM2297" s="494"/>
      <c r="CN2297" s="496" t="s">
        <v>5519</v>
      </c>
      <c r="CO2297" s="496" t="s">
        <v>15</v>
      </c>
      <c r="CP2297" s="496" t="s">
        <v>689</v>
      </c>
      <c r="CQ2297" s="496" t="s">
        <v>5520</v>
      </c>
      <c r="CR2297" s="496" t="s">
        <v>5520</v>
      </c>
      <c r="CS2297" s="496" t="s">
        <v>1554</v>
      </c>
      <c r="CT2297" s="496" t="s">
        <v>1555</v>
      </c>
      <c r="CU2297" s="496" t="s">
        <v>1556</v>
      </c>
      <c r="CV2297" s="497" t="s">
        <v>5258</v>
      </c>
      <c r="CX2297" s="543">
        <v>1</v>
      </c>
    </row>
    <row r="2298" spans="91:102" ht="21" customHeight="1">
      <c r="CM2298" s="494"/>
      <c r="CN2298" s="496" t="s">
        <v>5521</v>
      </c>
      <c r="CO2298" s="496" t="s">
        <v>15</v>
      </c>
      <c r="CP2298" s="496" t="s">
        <v>689</v>
      </c>
      <c r="CQ2298" s="496" t="s">
        <v>5522</v>
      </c>
      <c r="CR2298" s="496" t="s">
        <v>5522</v>
      </c>
      <c r="CS2298" s="496" t="s">
        <v>1554</v>
      </c>
      <c r="CT2298" s="496" t="s">
        <v>1555</v>
      </c>
      <c r="CU2298" s="496" t="s">
        <v>1556</v>
      </c>
      <c r="CV2298" s="497" t="s">
        <v>5258</v>
      </c>
      <c r="CX2298" s="543">
        <v>1</v>
      </c>
    </row>
    <row r="2299" spans="91:102" ht="21" customHeight="1">
      <c r="CM2299" s="494"/>
      <c r="CN2299" s="496" t="s">
        <v>5523</v>
      </c>
      <c r="CO2299" s="496" t="s">
        <v>15</v>
      </c>
      <c r="CP2299" s="496" t="s">
        <v>689</v>
      </c>
      <c r="CQ2299" s="496" t="s">
        <v>5524</v>
      </c>
      <c r="CR2299" s="496" t="s">
        <v>5524</v>
      </c>
      <c r="CS2299" s="496" t="s">
        <v>1554</v>
      </c>
      <c r="CT2299" s="496" t="s">
        <v>1555</v>
      </c>
      <c r="CU2299" s="496" t="s">
        <v>1556</v>
      </c>
      <c r="CV2299" s="497" t="s">
        <v>5258</v>
      </c>
      <c r="CX2299" s="543">
        <v>1</v>
      </c>
    </row>
    <row r="2300" spans="91:102" ht="21" customHeight="1">
      <c r="CM2300" s="494"/>
      <c r="CN2300" s="496" t="s">
        <v>5525</v>
      </c>
      <c r="CO2300" s="496" t="s">
        <v>15</v>
      </c>
      <c r="CP2300" s="496" t="s">
        <v>689</v>
      </c>
      <c r="CQ2300" s="496" t="s">
        <v>5526</v>
      </c>
      <c r="CR2300" s="496" t="s">
        <v>5526</v>
      </c>
      <c r="CS2300" s="496" t="s">
        <v>1554</v>
      </c>
      <c r="CT2300" s="496" t="s">
        <v>1555</v>
      </c>
      <c r="CU2300" s="496" t="s">
        <v>1556</v>
      </c>
      <c r="CV2300" s="497" t="s">
        <v>5258</v>
      </c>
      <c r="CX2300" s="543">
        <v>1</v>
      </c>
    </row>
    <row r="2301" spans="91:102" ht="21" customHeight="1">
      <c r="CM2301" s="494"/>
      <c r="CN2301" s="496" t="s">
        <v>5527</v>
      </c>
      <c r="CO2301" s="496" t="s">
        <v>15</v>
      </c>
      <c r="CP2301" s="496" t="s">
        <v>689</v>
      </c>
      <c r="CQ2301" s="496" t="s">
        <v>5528</v>
      </c>
      <c r="CR2301" s="496" t="s">
        <v>5528</v>
      </c>
      <c r="CS2301" s="496" t="s">
        <v>1554</v>
      </c>
      <c r="CT2301" s="496" t="s">
        <v>1555</v>
      </c>
      <c r="CU2301" s="496" t="s">
        <v>1556</v>
      </c>
      <c r="CV2301" s="497" t="s">
        <v>5258</v>
      </c>
      <c r="CX2301" s="543">
        <v>1</v>
      </c>
    </row>
    <row r="2302" spans="91:102" ht="21" customHeight="1">
      <c r="CM2302" s="494"/>
      <c r="CN2302" s="496" t="s">
        <v>5529</v>
      </c>
      <c r="CO2302" s="496" t="s">
        <v>15</v>
      </c>
      <c r="CP2302" s="496" t="s">
        <v>689</v>
      </c>
      <c r="CQ2302" s="496" t="s">
        <v>28</v>
      </c>
      <c r="CR2302" s="496" t="s">
        <v>28</v>
      </c>
      <c r="CS2302" s="496" t="s">
        <v>1085</v>
      </c>
      <c r="CT2302" s="496" t="s">
        <v>5284</v>
      </c>
      <c r="CU2302" s="496" t="s">
        <v>1087</v>
      </c>
      <c r="CV2302" s="497" t="s">
        <v>1088</v>
      </c>
      <c r="CX2302" s="543">
        <v>1</v>
      </c>
    </row>
    <row r="2303" spans="91:102" ht="21" customHeight="1">
      <c r="CM2303" s="494"/>
      <c r="CN2303" s="496" t="s">
        <v>5530</v>
      </c>
      <c r="CO2303" s="496" t="s">
        <v>15</v>
      </c>
      <c r="CP2303" s="496" t="s">
        <v>689</v>
      </c>
      <c r="CQ2303" s="496" t="s">
        <v>39</v>
      </c>
      <c r="CR2303" s="496" t="s">
        <v>39</v>
      </c>
      <c r="CS2303" s="496" t="s">
        <v>1085</v>
      </c>
      <c r="CT2303" s="496" t="s">
        <v>5284</v>
      </c>
      <c r="CU2303" s="496" t="s">
        <v>1087</v>
      </c>
      <c r="CV2303" s="497" t="s">
        <v>1088</v>
      </c>
      <c r="CX2303" s="543">
        <v>1</v>
      </c>
    </row>
    <row r="2304" spans="91:102" ht="21" customHeight="1">
      <c r="CM2304" s="494"/>
      <c r="CN2304" s="496" t="s">
        <v>5531</v>
      </c>
      <c r="CO2304" s="496" t="s">
        <v>15</v>
      </c>
      <c r="CP2304" s="496" t="s">
        <v>689</v>
      </c>
      <c r="CQ2304" s="496" t="s">
        <v>201</v>
      </c>
      <c r="CR2304" s="496" t="s">
        <v>201</v>
      </c>
      <c r="CS2304" s="496" t="s">
        <v>1085</v>
      </c>
      <c r="CT2304" s="496" t="s">
        <v>5284</v>
      </c>
      <c r="CU2304" s="496" t="s">
        <v>1087</v>
      </c>
      <c r="CV2304" s="497" t="s">
        <v>1088</v>
      </c>
      <c r="CX2304" s="543">
        <v>1</v>
      </c>
    </row>
    <row r="2305" spans="91:102" ht="21" customHeight="1">
      <c r="CM2305" s="494"/>
      <c r="CN2305" s="496" t="s">
        <v>5532</v>
      </c>
      <c r="CO2305" s="496" t="s">
        <v>15</v>
      </c>
      <c r="CP2305" s="496" t="s">
        <v>689</v>
      </c>
      <c r="CQ2305" s="496" t="s">
        <v>5533</v>
      </c>
      <c r="CR2305" s="496" t="s">
        <v>5533</v>
      </c>
      <c r="CS2305" s="496" t="s">
        <v>1554</v>
      </c>
      <c r="CT2305" s="496" t="s">
        <v>1555</v>
      </c>
      <c r="CU2305" s="496" t="s">
        <v>1556</v>
      </c>
      <c r="CV2305" s="497" t="s">
        <v>5258</v>
      </c>
      <c r="CX2305" s="543">
        <v>1</v>
      </c>
    </row>
    <row r="2306" spans="91:102" ht="21" customHeight="1">
      <c r="CM2306" s="494"/>
      <c r="CN2306" s="496" t="s">
        <v>5534</v>
      </c>
      <c r="CO2306" s="496" t="s">
        <v>15</v>
      </c>
      <c r="CP2306" s="496" t="s">
        <v>689</v>
      </c>
      <c r="CQ2306" s="496" t="s">
        <v>1007</v>
      </c>
      <c r="CR2306" s="496" t="s">
        <v>1007</v>
      </c>
      <c r="CS2306" s="496" t="s">
        <v>1554</v>
      </c>
      <c r="CT2306" s="496" t="s">
        <v>1555</v>
      </c>
      <c r="CU2306" s="496" t="s">
        <v>1556</v>
      </c>
      <c r="CV2306" s="497" t="s">
        <v>5258</v>
      </c>
      <c r="CX2306" s="543">
        <v>1</v>
      </c>
    </row>
    <row r="2307" spans="91:102" ht="21" customHeight="1">
      <c r="CM2307" s="494"/>
      <c r="CN2307" s="496" t="s">
        <v>5535</v>
      </c>
      <c r="CO2307" s="496" t="s">
        <v>15</v>
      </c>
      <c r="CP2307" s="496" t="s">
        <v>689</v>
      </c>
      <c r="CQ2307" s="496" t="s">
        <v>5536</v>
      </c>
      <c r="CR2307" s="496" t="s">
        <v>5536</v>
      </c>
      <c r="CS2307" s="496" t="s">
        <v>1554</v>
      </c>
      <c r="CT2307" s="496" t="s">
        <v>1555</v>
      </c>
      <c r="CU2307" s="496" t="s">
        <v>1556</v>
      </c>
      <c r="CV2307" s="497" t="s">
        <v>5258</v>
      </c>
      <c r="CX2307" s="543">
        <v>1</v>
      </c>
    </row>
    <row r="2308" spans="91:102" ht="21" customHeight="1">
      <c r="CM2308" s="494"/>
      <c r="CN2308" s="496" t="s">
        <v>5537</v>
      </c>
      <c r="CO2308" s="496" t="s">
        <v>15</v>
      </c>
      <c r="CP2308" s="496" t="s">
        <v>689</v>
      </c>
      <c r="CQ2308" s="496" t="s">
        <v>5538</v>
      </c>
      <c r="CR2308" s="496" t="s">
        <v>5538</v>
      </c>
      <c r="CS2308" s="496" t="s">
        <v>1554</v>
      </c>
      <c r="CT2308" s="496" t="s">
        <v>1555</v>
      </c>
      <c r="CU2308" s="496" t="s">
        <v>1556</v>
      </c>
      <c r="CV2308" s="497" t="s">
        <v>5258</v>
      </c>
      <c r="CX2308" s="543">
        <v>1</v>
      </c>
    </row>
    <row r="2309" spans="91:102" ht="21" customHeight="1">
      <c r="CM2309" s="494"/>
      <c r="CN2309" s="496" t="s">
        <v>5539</v>
      </c>
      <c r="CO2309" s="496" t="s">
        <v>15</v>
      </c>
      <c r="CP2309" s="496" t="s">
        <v>689</v>
      </c>
      <c r="CQ2309" s="496" t="s">
        <v>5540</v>
      </c>
      <c r="CR2309" s="496" t="s">
        <v>5540</v>
      </c>
      <c r="CS2309" s="496" t="s">
        <v>1554</v>
      </c>
      <c r="CT2309" s="496" t="s">
        <v>1555</v>
      </c>
      <c r="CU2309" s="496" t="s">
        <v>1556</v>
      </c>
      <c r="CV2309" s="497" t="s">
        <v>5258</v>
      </c>
      <c r="CX2309" s="543">
        <v>1</v>
      </c>
    </row>
    <row r="2310" spans="91:102" ht="21" customHeight="1">
      <c r="CM2310" s="494"/>
      <c r="CN2310" s="496" t="s">
        <v>5541</v>
      </c>
      <c r="CO2310" s="496" t="s">
        <v>15</v>
      </c>
      <c r="CP2310" s="496" t="s">
        <v>689</v>
      </c>
      <c r="CQ2310" s="496" t="s">
        <v>5542</v>
      </c>
      <c r="CR2310" s="496" t="s">
        <v>5542</v>
      </c>
      <c r="CS2310" s="496" t="s">
        <v>1085</v>
      </c>
      <c r="CT2310" s="496" t="s">
        <v>5284</v>
      </c>
      <c r="CU2310" s="496" t="s">
        <v>1087</v>
      </c>
      <c r="CV2310" s="497" t="s">
        <v>1088</v>
      </c>
      <c r="CX2310" s="543">
        <v>1</v>
      </c>
    </row>
    <row r="2311" spans="91:102" ht="21" customHeight="1">
      <c r="CM2311" s="494"/>
      <c r="CN2311" s="496" t="s">
        <v>5543</v>
      </c>
      <c r="CO2311" s="496" t="s">
        <v>15</v>
      </c>
      <c r="CP2311" s="496" t="s">
        <v>689</v>
      </c>
      <c r="CQ2311" s="496" t="s">
        <v>5544</v>
      </c>
      <c r="CR2311" s="496" t="s">
        <v>5544</v>
      </c>
      <c r="CS2311" s="496" t="s">
        <v>1554</v>
      </c>
      <c r="CT2311" s="496" t="s">
        <v>1555</v>
      </c>
      <c r="CU2311" s="496" t="s">
        <v>1556</v>
      </c>
      <c r="CV2311" s="497" t="s">
        <v>5258</v>
      </c>
      <c r="CX2311" s="543">
        <v>1</v>
      </c>
    </row>
    <row r="2312" spans="91:102" ht="21" customHeight="1">
      <c r="CM2312" s="494"/>
      <c r="CN2312" s="496" t="s">
        <v>5545</v>
      </c>
      <c r="CO2312" s="496" t="s">
        <v>15</v>
      </c>
      <c r="CP2312" s="496" t="s">
        <v>689</v>
      </c>
      <c r="CQ2312" s="496" t="s">
        <v>5546</v>
      </c>
      <c r="CR2312" s="496" t="s">
        <v>5546</v>
      </c>
      <c r="CS2312" s="496" t="s">
        <v>1554</v>
      </c>
      <c r="CT2312" s="496" t="s">
        <v>1555</v>
      </c>
      <c r="CU2312" s="496" t="s">
        <v>1556</v>
      </c>
      <c r="CV2312" s="497" t="s">
        <v>5258</v>
      </c>
      <c r="CX2312" s="543">
        <v>1</v>
      </c>
    </row>
    <row r="2313" spans="91:102" ht="21" customHeight="1">
      <c r="CM2313" s="494"/>
      <c r="CN2313" s="496" t="s">
        <v>5547</v>
      </c>
      <c r="CO2313" s="496" t="s">
        <v>15</v>
      </c>
      <c r="CP2313" s="496" t="s">
        <v>689</v>
      </c>
      <c r="CQ2313" s="496" t="s">
        <v>337</v>
      </c>
      <c r="CR2313" s="496" t="s">
        <v>337</v>
      </c>
      <c r="CS2313" s="496" t="s">
        <v>1151</v>
      </c>
      <c r="CT2313" s="496" t="s">
        <v>1152</v>
      </c>
      <c r="CU2313" s="496" t="s">
        <v>1087</v>
      </c>
      <c r="CV2313" s="497" t="s">
        <v>1153</v>
      </c>
      <c r="CX2313" s="543">
        <v>1</v>
      </c>
    </row>
    <row r="2314" spans="91:102" ht="21" customHeight="1">
      <c r="CM2314" s="494"/>
      <c r="CN2314" s="496" t="s">
        <v>5548</v>
      </c>
      <c r="CO2314" s="496" t="s">
        <v>15</v>
      </c>
      <c r="CP2314" s="496" t="s">
        <v>689</v>
      </c>
      <c r="CQ2314" s="496" t="s">
        <v>338</v>
      </c>
      <c r="CR2314" s="496" t="s">
        <v>338</v>
      </c>
      <c r="CS2314" s="496" t="s">
        <v>1151</v>
      </c>
      <c r="CT2314" s="496" t="s">
        <v>1152</v>
      </c>
      <c r="CU2314" s="496" t="s">
        <v>1087</v>
      </c>
      <c r="CV2314" s="497" t="s">
        <v>1153</v>
      </c>
      <c r="CX2314" s="543">
        <v>1</v>
      </c>
    </row>
    <row r="2315" spans="91:102" ht="21" customHeight="1">
      <c r="CM2315" s="494"/>
      <c r="CN2315" s="496" t="s">
        <v>5549</v>
      </c>
      <c r="CO2315" s="496" t="s">
        <v>15</v>
      </c>
      <c r="CP2315" s="496" t="s">
        <v>689</v>
      </c>
      <c r="CQ2315" s="496" t="s">
        <v>103</v>
      </c>
      <c r="CR2315" s="496" t="s">
        <v>103</v>
      </c>
      <c r="CS2315" s="496" t="s">
        <v>1554</v>
      </c>
      <c r="CT2315" s="496" t="s">
        <v>1555</v>
      </c>
      <c r="CU2315" s="496" t="s">
        <v>1556</v>
      </c>
      <c r="CV2315" s="497" t="s">
        <v>5258</v>
      </c>
      <c r="CX2315" s="543">
        <v>1</v>
      </c>
    </row>
    <row r="2316" spans="91:102" ht="21" customHeight="1">
      <c r="CM2316" s="494"/>
      <c r="CN2316" s="496" t="s">
        <v>5550</v>
      </c>
      <c r="CO2316" s="496" t="s">
        <v>15</v>
      </c>
      <c r="CP2316" s="496" t="s">
        <v>689</v>
      </c>
      <c r="CQ2316" s="496" t="s">
        <v>5551</v>
      </c>
      <c r="CR2316" s="496" t="s">
        <v>5551</v>
      </c>
      <c r="CS2316" s="496" t="s">
        <v>1554</v>
      </c>
      <c r="CT2316" s="496" t="s">
        <v>1555</v>
      </c>
      <c r="CU2316" s="496" t="s">
        <v>1556</v>
      </c>
      <c r="CV2316" s="497" t="s">
        <v>5258</v>
      </c>
      <c r="CX2316" s="543">
        <v>1</v>
      </c>
    </row>
    <row r="2317" spans="91:102" ht="21" customHeight="1">
      <c r="CM2317" s="494"/>
      <c r="CN2317" s="496" t="s">
        <v>5552</v>
      </c>
      <c r="CO2317" s="496" t="s">
        <v>15</v>
      </c>
      <c r="CP2317" s="496" t="s">
        <v>689</v>
      </c>
      <c r="CQ2317" s="496" t="s">
        <v>5553</v>
      </c>
      <c r="CR2317" s="496" t="s">
        <v>5553</v>
      </c>
      <c r="CS2317" s="496" t="s">
        <v>1554</v>
      </c>
      <c r="CT2317" s="496" t="s">
        <v>1555</v>
      </c>
      <c r="CU2317" s="496" t="s">
        <v>1556</v>
      </c>
      <c r="CV2317" s="497" t="s">
        <v>5258</v>
      </c>
      <c r="CX2317" s="543">
        <v>1</v>
      </c>
    </row>
    <row r="2318" spans="91:102" ht="21" customHeight="1">
      <c r="CM2318" s="494"/>
      <c r="CN2318" s="496" t="s">
        <v>5554</v>
      </c>
      <c r="CO2318" s="496" t="s">
        <v>15</v>
      </c>
      <c r="CP2318" s="496" t="s">
        <v>689</v>
      </c>
      <c r="CQ2318" s="496" t="s">
        <v>5555</v>
      </c>
      <c r="CR2318" s="496" t="s">
        <v>5555</v>
      </c>
      <c r="CS2318" s="496" t="s">
        <v>1554</v>
      </c>
      <c r="CT2318" s="496" t="s">
        <v>1555</v>
      </c>
      <c r="CU2318" s="496" t="s">
        <v>1556</v>
      </c>
      <c r="CV2318" s="497" t="s">
        <v>5258</v>
      </c>
      <c r="CX2318" s="543">
        <v>1</v>
      </c>
    </row>
    <row r="2319" spans="91:102" ht="21" customHeight="1">
      <c r="CM2319" s="494"/>
      <c r="CN2319" s="496" t="s">
        <v>5556</v>
      </c>
      <c r="CO2319" s="496" t="s">
        <v>15</v>
      </c>
      <c r="CP2319" s="496" t="s">
        <v>689</v>
      </c>
      <c r="CQ2319" s="496" t="s">
        <v>5557</v>
      </c>
      <c r="CR2319" s="496" t="s">
        <v>5557</v>
      </c>
      <c r="CS2319" s="496" t="s">
        <v>1554</v>
      </c>
      <c r="CT2319" s="496" t="s">
        <v>1555</v>
      </c>
      <c r="CU2319" s="496" t="s">
        <v>1556</v>
      </c>
      <c r="CV2319" s="497" t="s">
        <v>5258</v>
      </c>
      <c r="CX2319" s="543">
        <v>1</v>
      </c>
    </row>
    <row r="2320" spans="91:102" ht="21" customHeight="1">
      <c r="CM2320" s="494"/>
      <c r="CN2320" s="496" t="s">
        <v>5558</v>
      </c>
      <c r="CO2320" s="496" t="s">
        <v>15</v>
      </c>
      <c r="CP2320" s="496" t="s">
        <v>689</v>
      </c>
      <c r="CQ2320" s="496" t="s">
        <v>5559</v>
      </c>
      <c r="CR2320" s="496" t="s">
        <v>5559</v>
      </c>
      <c r="CS2320" s="496" t="s">
        <v>1554</v>
      </c>
      <c r="CT2320" s="496" t="s">
        <v>1555</v>
      </c>
      <c r="CU2320" s="496" t="s">
        <v>1556</v>
      </c>
      <c r="CV2320" s="497" t="s">
        <v>5258</v>
      </c>
      <c r="CX2320" s="543">
        <v>1</v>
      </c>
    </row>
    <row r="2321" spans="91:102" ht="21" customHeight="1">
      <c r="CM2321" s="494"/>
      <c r="CN2321" s="496" t="s">
        <v>5560</v>
      </c>
      <c r="CO2321" s="496" t="s">
        <v>15</v>
      </c>
      <c r="CP2321" s="496" t="s">
        <v>689</v>
      </c>
      <c r="CQ2321" s="496" t="s">
        <v>5561</v>
      </c>
      <c r="CR2321" s="496" t="s">
        <v>5561</v>
      </c>
      <c r="CS2321" s="496" t="s">
        <v>1554</v>
      </c>
      <c r="CT2321" s="496" t="s">
        <v>1555</v>
      </c>
      <c r="CU2321" s="496" t="s">
        <v>1556</v>
      </c>
      <c r="CV2321" s="497" t="s">
        <v>5258</v>
      </c>
      <c r="CX2321" s="543">
        <v>1</v>
      </c>
    </row>
    <row r="2322" spans="91:102" ht="21" customHeight="1">
      <c r="CM2322" s="494"/>
      <c r="CN2322" s="496" t="s">
        <v>5562</v>
      </c>
      <c r="CO2322" s="496" t="s">
        <v>15</v>
      </c>
      <c r="CP2322" s="496" t="s">
        <v>689</v>
      </c>
      <c r="CQ2322" s="496" t="s">
        <v>5563</v>
      </c>
      <c r="CR2322" s="496" t="s">
        <v>5563</v>
      </c>
      <c r="CS2322" s="496" t="s">
        <v>1554</v>
      </c>
      <c r="CT2322" s="496" t="s">
        <v>1555</v>
      </c>
      <c r="CU2322" s="496" t="s">
        <v>1556</v>
      </c>
      <c r="CV2322" s="497" t="s">
        <v>5258</v>
      </c>
      <c r="CX2322" s="543">
        <v>1</v>
      </c>
    </row>
    <row r="2323" spans="91:102" ht="21" customHeight="1">
      <c r="CM2323" s="494"/>
      <c r="CN2323" s="496" t="s">
        <v>5564</v>
      </c>
      <c r="CO2323" s="496" t="s">
        <v>15</v>
      </c>
      <c r="CP2323" s="496" t="s">
        <v>689</v>
      </c>
      <c r="CQ2323" s="496" t="s">
        <v>5565</v>
      </c>
      <c r="CR2323" s="496" t="s">
        <v>5565</v>
      </c>
      <c r="CS2323" s="496" t="s">
        <v>1554</v>
      </c>
      <c r="CT2323" s="496" t="s">
        <v>1555</v>
      </c>
      <c r="CU2323" s="496" t="s">
        <v>1556</v>
      </c>
      <c r="CV2323" s="497" t="s">
        <v>5258</v>
      </c>
      <c r="CX2323" s="543">
        <v>1</v>
      </c>
    </row>
    <row r="2324" spans="91:102" ht="21" customHeight="1">
      <c r="CM2324" s="494"/>
      <c r="CN2324" s="496" t="s">
        <v>5566</v>
      </c>
      <c r="CO2324" s="496" t="s">
        <v>15</v>
      </c>
      <c r="CP2324" s="496" t="s">
        <v>689</v>
      </c>
      <c r="CQ2324" s="496" t="s">
        <v>117</v>
      </c>
      <c r="CR2324" s="496" t="s">
        <v>117</v>
      </c>
      <c r="CS2324" s="496" t="s">
        <v>1085</v>
      </c>
      <c r="CT2324" s="496" t="s">
        <v>5284</v>
      </c>
      <c r="CU2324" s="496" t="s">
        <v>1087</v>
      </c>
      <c r="CV2324" s="497" t="s">
        <v>1088</v>
      </c>
      <c r="CX2324" s="543">
        <v>1</v>
      </c>
    </row>
    <row r="2325" spans="91:102" ht="21" customHeight="1">
      <c r="CM2325" s="494"/>
      <c r="CN2325" s="496" t="s">
        <v>5567</v>
      </c>
      <c r="CO2325" s="496" t="s">
        <v>15</v>
      </c>
      <c r="CP2325" s="496" t="s">
        <v>689</v>
      </c>
      <c r="CQ2325" s="496" t="s">
        <v>5568</v>
      </c>
      <c r="CR2325" s="496" t="s">
        <v>5568</v>
      </c>
      <c r="CS2325" s="496" t="s">
        <v>1554</v>
      </c>
      <c r="CT2325" s="496" t="s">
        <v>1555</v>
      </c>
      <c r="CU2325" s="496" t="s">
        <v>1556</v>
      </c>
      <c r="CV2325" s="497" t="s">
        <v>5258</v>
      </c>
      <c r="CX2325" s="543">
        <v>1</v>
      </c>
    </row>
    <row r="2326" spans="91:102" ht="21" customHeight="1">
      <c r="CM2326" s="494"/>
      <c r="CN2326" s="496" t="s">
        <v>5569</v>
      </c>
      <c r="CO2326" s="496" t="s">
        <v>15</v>
      </c>
      <c r="CP2326" s="496" t="s">
        <v>689</v>
      </c>
      <c r="CQ2326" s="496" t="s">
        <v>5570</v>
      </c>
      <c r="CR2326" s="496" t="s">
        <v>5570</v>
      </c>
      <c r="CS2326" s="496" t="s">
        <v>1554</v>
      </c>
      <c r="CT2326" s="496" t="s">
        <v>1555</v>
      </c>
      <c r="CU2326" s="496" t="s">
        <v>1556</v>
      </c>
      <c r="CV2326" s="497" t="s">
        <v>5258</v>
      </c>
      <c r="CX2326" s="543">
        <v>1</v>
      </c>
    </row>
    <row r="2327" spans="91:102" ht="21" customHeight="1">
      <c r="CM2327" s="494"/>
      <c r="CN2327" s="496" t="s">
        <v>5571</v>
      </c>
      <c r="CO2327" s="496" t="s">
        <v>15</v>
      </c>
      <c r="CP2327" s="496" t="s">
        <v>689</v>
      </c>
      <c r="CQ2327" s="496" t="s">
        <v>5572</v>
      </c>
      <c r="CR2327" s="496" t="s">
        <v>5572</v>
      </c>
      <c r="CS2327" s="496" t="s">
        <v>1554</v>
      </c>
      <c r="CT2327" s="496" t="s">
        <v>1555</v>
      </c>
      <c r="CU2327" s="496" t="s">
        <v>1556</v>
      </c>
      <c r="CV2327" s="497" t="s">
        <v>5258</v>
      </c>
      <c r="CX2327" s="543">
        <v>1</v>
      </c>
    </row>
    <row r="2328" spans="91:102" ht="21" customHeight="1">
      <c r="CM2328" s="494"/>
      <c r="CN2328" s="496" t="s">
        <v>5573</v>
      </c>
      <c r="CO2328" s="496" t="s">
        <v>15</v>
      </c>
      <c r="CP2328" s="496" t="s">
        <v>689</v>
      </c>
      <c r="CQ2328" s="496" t="s">
        <v>5574</v>
      </c>
      <c r="CR2328" s="496" t="s">
        <v>5574</v>
      </c>
      <c r="CS2328" s="496" t="s">
        <v>1554</v>
      </c>
      <c r="CT2328" s="496" t="s">
        <v>1555</v>
      </c>
      <c r="CU2328" s="496" t="s">
        <v>1556</v>
      </c>
      <c r="CV2328" s="497" t="s">
        <v>5258</v>
      </c>
      <c r="CX2328" s="543">
        <v>1</v>
      </c>
    </row>
    <row r="2329" spans="91:102" ht="21" customHeight="1">
      <c r="CM2329" s="494"/>
      <c r="CN2329" s="496" t="s">
        <v>5575</v>
      </c>
      <c r="CO2329" s="496" t="s">
        <v>15</v>
      </c>
      <c r="CP2329" s="496" t="s">
        <v>689</v>
      </c>
      <c r="CQ2329" s="496" t="s">
        <v>339</v>
      </c>
      <c r="CR2329" s="496" t="s">
        <v>1008</v>
      </c>
      <c r="CS2329" s="496" t="s">
        <v>1085</v>
      </c>
      <c r="CT2329" s="496" t="s">
        <v>5284</v>
      </c>
      <c r="CU2329" s="496" t="s">
        <v>1087</v>
      </c>
      <c r="CV2329" s="497" t="s">
        <v>1088</v>
      </c>
      <c r="CX2329" s="543">
        <v>1</v>
      </c>
    </row>
    <row r="2330" spans="91:102" ht="21" customHeight="1">
      <c r="CM2330" s="494"/>
      <c r="CN2330" s="496" t="s">
        <v>5576</v>
      </c>
      <c r="CO2330" s="496" t="s">
        <v>15</v>
      </c>
      <c r="CP2330" s="496" t="s">
        <v>689</v>
      </c>
      <c r="CQ2330" s="496" t="s">
        <v>5577</v>
      </c>
      <c r="CR2330" s="496" t="s">
        <v>1009</v>
      </c>
      <c r="CS2330" s="496" t="s">
        <v>1085</v>
      </c>
      <c r="CT2330" s="496" t="s">
        <v>5284</v>
      </c>
      <c r="CU2330" s="496" t="s">
        <v>1087</v>
      </c>
      <c r="CV2330" s="497" t="s">
        <v>1088</v>
      </c>
      <c r="CX2330" s="543">
        <v>1</v>
      </c>
    </row>
    <row r="2331" spans="91:102" ht="21" customHeight="1">
      <c r="CM2331" s="494"/>
      <c r="CN2331" s="496" t="s">
        <v>5578</v>
      </c>
      <c r="CO2331" s="496" t="s">
        <v>15</v>
      </c>
      <c r="CP2331" s="496" t="s">
        <v>689</v>
      </c>
      <c r="CQ2331" s="496" t="s">
        <v>5579</v>
      </c>
      <c r="CR2331" s="496" t="s">
        <v>5579</v>
      </c>
      <c r="CS2331" s="496" t="s">
        <v>1554</v>
      </c>
      <c r="CT2331" s="496" t="s">
        <v>1555</v>
      </c>
      <c r="CU2331" s="496" t="s">
        <v>1556</v>
      </c>
      <c r="CV2331" s="497" t="s">
        <v>5258</v>
      </c>
      <c r="CX2331" s="543">
        <v>1</v>
      </c>
    </row>
    <row r="2332" spans="91:102" ht="21" customHeight="1">
      <c r="CM2332" s="494"/>
      <c r="CN2332" s="496" t="s">
        <v>5580</v>
      </c>
      <c r="CO2332" s="496" t="s">
        <v>15</v>
      </c>
      <c r="CP2332" s="496" t="s">
        <v>689</v>
      </c>
      <c r="CQ2332" s="496" t="s">
        <v>5581</v>
      </c>
      <c r="CR2332" s="496" t="s">
        <v>5581</v>
      </c>
      <c r="CS2332" s="496" t="s">
        <v>1554</v>
      </c>
      <c r="CT2332" s="496" t="s">
        <v>1555</v>
      </c>
      <c r="CU2332" s="496" t="s">
        <v>1556</v>
      </c>
      <c r="CV2332" s="497" t="s">
        <v>5258</v>
      </c>
      <c r="CX2332" s="543">
        <v>1</v>
      </c>
    </row>
    <row r="2333" spans="91:102" ht="21" customHeight="1">
      <c r="CM2333" s="494"/>
      <c r="CN2333" s="496" t="s">
        <v>5582</v>
      </c>
      <c r="CO2333" s="496" t="s">
        <v>15</v>
      </c>
      <c r="CP2333" s="496" t="s">
        <v>689</v>
      </c>
      <c r="CQ2333" s="496" t="s">
        <v>361</v>
      </c>
      <c r="CR2333" s="496" t="s">
        <v>361</v>
      </c>
      <c r="CS2333" s="496" t="s">
        <v>1554</v>
      </c>
      <c r="CT2333" s="496" t="s">
        <v>1555</v>
      </c>
      <c r="CU2333" s="496" t="s">
        <v>1556</v>
      </c>
      <c r="CV2333" s="497" t="s">
        <v>5258</v>
      </c>
      <c r="CX2333" s="543">
        <v>1</v>
      </c>
    </row>
    <row r="2334" spans="91:102" ht="21" customHeight="1">
      <c r="CM2334" s="494"/>
      <c r="CN2334" s="496" t="s">
        <v>5583</v>
      </c>
      <c r="CO2334" s="496" t="s">
        <v>15</v>
      </c>
      <c r="CP2334" s="496" t="s">
        <v>689</v>
      </c>
      <c r="CQ2334" s="496" t="s">
        <v>5584</v>
      </c>
      <c r="CR2334" s="496" t="s">
        <v>5584</v>
      </c>
      <c r="CS2334" s="496" t="s">
        <v>1085</v>
      </c>
      <c r="CT2334" s="496" t="s">
        <v>5284</v>
      </c>
      <c r="CU2334" s="496" t="s">
        <v>1087</v>
      </c>
      <c r="CV2334" s="497" t="s">
        <v>1088</v>
      </c>
      <c r="CX2334" s="543">
        <v>1</v>
      </c>
    </row>
    <row r="2335" spans="91:102" ht="21" customHeight="1">
      <c r="CM2335" s="494"/>
      <c r="CN2335" s="496" t="s">
        <v>5585</v>
      </c>
      <c r="CO2335" s="496" t="s">
        <v>15</v>
      </c>
      <c r="CP2335" s="496" t="s">
        <v>689</v>
      </c>
      <c r="CQ2335" s="496" t="s">
        <v>5586</v>
      </c>
      <c r="CR2335" s="496" t="s">
        <v>5586</v>
      </c>
      <c r="CS2335" s="496" t="s">
        <v>1554</v>
      </c>
      <c r="CT2335" s="496" t="s">
        <v>1555</v>
      </c>
      <c r="CU2335" s="496" t="s">
        <v>1556</v>
      </c>
      <c r="CV2335" s="497" t="s">
        <v>5258</v>
      </c>
      <c r="CX2335" s="543">
        <v>1</v>
      </c>
    </row>
    <row r="2336" spans="91:102" ht="21" customHeight="1">
      <c r="CM2336" s="494"/>
      <c r="CN2336" s="496" t="s">
        <v>5587</v>
      </c>
      <c r="CO2336" s="496" t="s">
        <v>15</v>
      </c>
      <c r="CP2336" s="496" t="s">
        <v>689</v>
      </c>
      <c r="CQ2336" s="496" t="s">
        <v>5588</v>
      </c>
      <c r="CR2336" s="496" t="s">
        <v>5588</v>
      </c>
      <c r="CS2336" s="496" t="s">
        <v>1554</v>
      </c>
      <c r="CT2336" s="496" t="s">
        <v>1555</v>
      </c>
      <c r="CU2336" s="496" t="s">
        <v>1556</v>
      </c>
      <c r="CV2336" s="497" t="s">
        <v>5258</v>
      </c>
      <c r="CX2336" s="543">
        <v>1</v>
      </c>
    </row>
    <row r="2337" spans="91:102" ht="21" customHeight="1">
      <c r="CM2337" s="494"/>
      <c r="CN2337" s="496" t="s">
        <v>5589</v>
      </c>
      <c r="CO2337" s="496" t="s">
        <v>15</v>
      </c>
      <c r="CP2337" s="496" t="s">
        <v>689</v>
      </c>
      <c r="CQ2337" s="496" t="s">
        <v>193</v>
      </c>
      <c r="CR2337" s="496" t="s">
        <v>193</v>
      </c>
      <c r="CS2337" s="496" t="s">
        <v>1554</v>
      </c>
      <c r="CT2337" s="496" t="s">
        <v>1555</v>
      </c>
      <c r="CU2337" s="496" t="s">
        <v>1556</v>
      </c>
      <c r="CV2337" s="497" t="s">
        <v>5258</v>
      </c>
      <c r="CX2337" s="543">
        <v>1</v>
      </c>
    </row>
    <row r="2338" spans="91:102" ht="21" customHeight="1">
      <c r="CM2338" s="494"/>
      <c r="CN2338" s="496" t="s">
        <v>5590</v>
      </c>
      <c r="CO2338" s="496" t="s">
        <v>15</v>
      </c>
      <c r="CP2338" s="496" t="s">
        <v>689</v>
      </c>
      <c r="CQ2338" s="496" t="s">
        <v>5591</v>
      </c>
      <c r="CR2338" s="496" t="s">
        <v>5591</v>
      </c>
      <c r="CS2338" s="496" t="s">
        <v>1554</v>
      </c>
      <c r="CT2338" s="496" t="s">
        <v>1555</v>
      </c>
      <c r="CU2338" s="496" t="s">
        <v>1556</v>
      </c>
      <c r="CV2338" s="497" t="s">
        <v>5258</v>
      </c>
      <c r="CX2338" s="543">
        <v>1</v>
      </c>
    </row>
    <row r="2339" spans="91:102" ht="21" customHeight="1">
      <c r="CM2339" s="494"/>
      <c r="CN2339" s="496" t="s">
        <v>5592</v>
      </c>
      <c r="CO2339" s="496" t="s">
        <v>15</v>
      </c>
      <c r="CP2339" s="496" t="s">
        <v>689</v>
      </c>
      <c r="CQ2339" s="496" t="s">
        <v>5593</v>
      </c>
      <c r="CR2339" s="496" t="s">
        <v>5593</v>
      </c>
      <c r="CS2339" s="496" t="s">
        <v>1554</v>
      </c>
      <c r="CT2339" s="496" t="s">
        <v>1555</v>
      </c>
      <c r="CU2339" s="496" t="s">
        <v>1556</v>
      </c>
      <c r="CV2339" s="497" t="s">
        <v>5258</v>
      </c>
      <c r="CX2339" s="543">
        <v>1</v>
      </c>
    </row>
    <row r="2340" spans="91:102" ht="21" customHeight="1">
      <c r="CM2340" s="494"/>
      <c r="CN2340" s="496" t="s">
        <v>5594</v>
      </c>
      <c r="CO2340" s="496" t="s">
        <v>15</v>
      </c>
      <c r="CP2340" s="496" t="s">
        <v>689</v>
      </c>
      <c r="CQ2340" s="496" t="s">
        <v>5595</v>
      </c>
      <c r="CR2340" s="496" t="s">
        <v>5595</v>
      </c>
      <c r="CS2340" s="496" t="s">
        <v>1554</v>
      </c>
      <c r="CT2340" s="496" t="s">
        <v>1555</v>
      </c>
      <c r="CU2340" s="496" t="s">
        <v>1556</v>
      </c>
      <c r="CV2340" s="497" t="s">
        <v>5258</v>
      </c>
      <c r="CX2340" s="543">
        <v>1</v>
      </c>
    </row>
    <row r="2341" spans="91:102" ht="21" customHeight="1">
      <c r="CM2341" s="494"/>
      <c r="CN2341" s="496" t="s">
        <v>5596</v>
      </c>
      <c r="CO2341" s="496" t="s">
        <v>15</v>
      </c>
      <c r="CP2341" s="496" t="s">
        <v>689</v>
      </c>
      <c r="CQ2341" s="496" t="s">
        <v>5597</v>
      </c>
      <c r="CR2341" s="496" t="s">
        <v>5597</v>
      </c>
      <c r="CS2341" s="496" t="s">
        <v>1554</v>
      </c>
      <c r="CT2341" s="496" t="s">
        <v>1555</v>
      </c>
      <c r="CU2341" s="496" t="s">
        <v>1556</v>
      </c>
      <c r="CV2341" s="497" t="s">
        <v>5258</v>
      </c>
      <c r="CX2341" s="543">
        <v>1</v>
      </c>
    </row>
    <row r="2342" spans="91:102" ht="21" customHeight="1">
      <c r="CM2342" s="494"/>
      <c r="CN2342" s="496" t="s">
        <v>5598</v>
      </c>
      <c r="CO2342" s="496" t="s">
        <v>15</v>
      </c>
      <c r="CP2342" s="496" t="s">
        <v>689</v>
      </c>
      <c r="CQ2342" s="496" t="s">
        <v>5599</v>
      </c>
      <c r="CR2342" s="496" t="s">
        <v>5599</v>
      </c>
      <c r="CS2342" s="496" t="s">
        <v>1554</v>
      </c>
      <c r="CT2342" s="496" t="s">
        <v>1555</v>
      </c>
      <c r="CU2342" s="496" t="s">
        <v>1556</v>
      </c>
      <c r="CV2342" s="497" t="s">
        <v>5258</v>
      </c>
      <c r="CX2342" s="543">
        <v>1</v>
      </c>
    </row>
    <row r="2343" spans="91:102" ht="21" customHeight="1">
      <c r="CM2343" s="494"/>
      <c r="CN2343" s="496" t="s">
        <v>5600</v>
      </c>
      <c r="CO2343" s="496" t="s">
        <v>15</v>
      </c>
      <c r="CP2343" s="496" t="s">
        <v>689</v>
      </c>
      <c r="CQ2343" s="496" t="s">
        <v>197</v>
      </c>
      <c r="CR2343" s="496" t="s">
        <v>197</v>
      </c>
      <c r="CS2343" s="496" t="s">
        <v>1085</v>
      </c>
      <c r="CT2343" s="496" t="s">
        <v>5284</v>
      </c>
      <c r="CU2343" s="496" t="s">
        <v>1087</v>
      </c>
      <c r="CV2343" s="497" t="s">
        <v>1088</v>
      </c>
      <c r="CX2343" s="543">
        <v>1</v>
      </c>
    </row>
    <row r="2344" spans="91:102" ht="21" customHeight="1">
      <c r="CM2344" s="494"/>
      <c r="CN2344" s="496" t="s">
        <v>5601</v>
      </c>
      <c r="CO2344" s="496" t="s">
        <v>15</v>
      </c>
      <c r="CP2344" s="496" t="s">
        <v>689</v>
      </c>
      <c r="CQ2344" s="496" t="s">
        <v>5602</v>
      </c>
      <c r="CR2344" s="496" t="s">
        <v>5602</v>
      </c>
      <c r="CS2344" s="496" t="s">
        <v>1554</v>
      </c>
      <c r="CT2344" s="496" t="s">
        <v>1555</v>
      </c>
      <c r="CU2344" s="496" t="s">
        <v>1556</v>
      </c>
      <c r="CV2344" s="497" t="s">
        <v>5258</v>
      </c>
      <c r="CX2344" s="543">
        <v>1</v>
      </c>
    </row>
    <row r="2345" spans="91:102" ht="21" customHeight="1">
      <c r="CM2345" s="494"/>
      <c r="CN2345" s="496" t="s">
        <v>5603</v>
      </c>
      <c r="CO2345" s="496" t="s">
        <v>15</v>
      </c>
      <c r="CP2345" s="496" t="s">
        <v>689</v>
      </c>
      <c r="CQ2345" s="496" t="s">
        <v>149</v>
      </c>
      <c r="CR2345" s="496" t="s">
        <v>149</v>
      </c>
      <c r="CS2345" s="496" t="s">
        <v>1554</v>
      </c>
      <c r="CT2345" s="496" t="s">
        <v>1555</v>
      </c>
      <c r="CU2345" s="496" t="s">
        <v>1556</v>
      </c>
      <c r="CV2345" s="497" t="s">
        <v>5258</v>
      </c>
      <c r="CX2345" s="543">
        <v>1</v>
      </c>
    </row>
    <row r="2346" spans="91:102" ht="21" customHeight="1">
      <c r="CM2346" s="494"/>
      <c r="CN2346" s="496" t="s">
        <v>5604</v>
      </c>
      <c r="CO2346" s="496" t="s">
        <v>15</v>
      </c>
      <c r="CP2346" s="496" t="s">
        <v>689</v>
      </c>
      <c r="CQ2346" s="496" t="s">
        <v>157</v>
      </c>
      <c r="CR2346" s="496" t="s">
        <v>157</v>
      </c>
      <c r="CS2346" s="496" t="s">
        <v>1085</v>
      </c>
      <c r="CT2346" s="496" t="s">
        <v>5284</v>
      </c>
      <c r="CU2346" s="496" t="s">
        <v>1087</v>
      </c>
      <c r="CV2346" s="497" t="s">
        <v>1088</v>
      </c>
      <c r="CX2346" s="543">
        <v>1</v>
      </c>
    </row>
    <row r="2347" spans="91:102" ht="21" customHeight="1">
      <c r="CM2347" s="494"/>
      <c r="CN2347" s="496" t="s">
        <v>5605</v>
      </c>
      <c r="CO2347" s="496" t="s">
        <v>15</v>
      </c>
      <c r="CP2347" s="496" t="s">
        <v>689</v>
      </c>
      <c r="CQ2347" s="496" t="s">
        <v>5606</v>
      </c>
      <c r="CR2347" s="496" t="s">
        <v>5606</v>
      </c>
      <c r="CS2347" s="496" t="s">
        <v>1554</v>
      </c>
      <c r="CT2347" s="496" t="s">
        <v>1555</v>
      </c>
      <c r="CU2347" s="496" t="s">
        <v>1556</v>
      </c>
      <c r="CV2347" s="497" t="s">
        <v>5258</v>
      </c>
      <c r="CX2347" s="543">
        <v>1</v>
      </c>
    </row>
    <row r="2348" spans="91:102" ht="21" customHeight="1">
      <c r="CM2348" s="494"/>
      <c r="CN2348" s="496" t="s">
        <v>5607</v>
      </c>
      <c r="CO2348" s="496" t="s">
        <v>15</v>
      </c>
      <c r="CP2348" s="496" t="s">
        <v>689</v>
      </c>
      <c r="CQ2348" s="496" t="s">
        <v>5608</v>
      </c>
      <c r="CR2348" s="496" t="s">
        <v>5608</v>
      </c>
      <c r="CS2348" s="496" t="s">
        <v>1554</v>
      </c>
      <c r="CT2348" s="496" t="s">
        <v>1555</v>
      </c>
      <c r="CU2348" s="496" t="s">
        <v>1556</v>
      </c>
      <c r="CV2348" s="497" t="s">
        <v>5258</v>
      </c>
      <c r="CX2348" s="543">
        <v>1</v>
      </c>
    </row>
    <row r="2349" spans="91:102" ht="21" customHeight="1">
      <c r="CM2349" s="494"/>
      <c r="CN2349" s="496" t="s">
        <v>5609</v>
      </c>
      <c r="CO2349" s="496" t="s">
        <v>15</v>
      </c>
      <c r="CP2349" s="496" t="s">
        <v>689</v>
      </c>
      <c r="CQ2349" s="496" t="s">
        <v>5610</v>
      </c>
      <c r="CR2349" s="496" t="s">
        <v>5610</v>
      </c>
      <c r="CS2349" s="496" t="s">
        <v>1554</v>
      </c>
      <c r="CT2349" s="496" t="s">
        <v>1555</v>
      </c>
      <c r="CU2349" s="496" t="s">
        <v>1556</v>
      </c>
      <c r="CV2349" s="497" t="s">
        <v>5258</v>
      </c>
      <c r="CX2349" s="543">
        <v>1</v>
      </c>
    </row>
    <row r="2350" spans="91:102" ht="21" customHeight="1">
      <c r="CM2350" s="494"/>
      <c r="CN2350" s="496" t="s">
        <v>5611</v>
      </c>
      <c r="CO2350" s="496" t="s">
        <v>15</v>
      </c>
      <c r="CP2350" s="496" t="s">
        <v>689</v>
      </c>
      <c r="CQ2350" s="496" t="s">
        <v>5612</v>
      </c>
      <c r="CR2350" s="496" t="s">
        <v>5612</v>
      </c>
      <c r="CS2350" s="496" t="s">
        <v>1554</v>
      </c>
      <c r="CT2350" s="496" t="s">
        <v>1555</v>
      </c>
      <c r="CU2350" s="496" t="s">
        <v>1556</v>
      </c>
      <c r="CV2350" s="497" t="s">
        <v>5258</v>
      </c>
      <c r="CX2350" s="543">
        <v>1</v>
      </c>
    </row>
    <row r="2351" spans="91:102" ht="21" customHeight="1">
      <c r="CM2351" s="494"/>
      <c r="CN2351" s="496" t="s">
        <v>5613</v>
      </c>
      <c r="CO2351" s="496" t="s">
        <v>15</v>
      </c>
      <c r="CP2351" s="496" t="s">
        <v>689</v>
      </c>
      <c r="CQ2351" s="496" t="s">
        <v>5614</v>
      </c>
      <c r="CR2351" s="496" t="s">
        <v>5614</v>
      </c>
      <c r="CS2351" s="496" t="s">
        <v>1554</v>
      </c>
      <c r="CT2351" s="496" t="s">
        <v>1555</v>
      </c>
      <c r="CU2351" s="496" t="s">
        <v>1556</v>
      </c>
      <c r="CV2351" s="497" t="s">
        <v>5258</v>
      </c>
      <c r="CX2351" s="543">
        <v>1</v>
      </c>
    </row>
    <row r="2352" spans="91:102" ht="21" customHeight="1">
      <c r="CM2352" s="494"/>
      <c r="CN2352" s="496" t="s">
        <v>5615</v>
      </c>
      <c r="CO2352" s="496" t="s">
        <v>15</v>
      </c>
      <c r="CP2352" s="496" t="s">
        <v>689</v>
      </c>
      <c r="CQ2352" s="496" t="s">
        <v>5616</v>
      </c>
      <c r="CR2352" s="496" t="s">
        <v>5616</v>
      </c>
      <c r="CS2352" s="496" t="s">
        <v>1085</v>
      </c>
      <c r="CT2352" s="496" t="s">
        <v>5284</v>
      </c>
      <c r="CU2352" s="496" t="s">
        <v>1087</v>
      </c>
      <c r="CV2352" s="497" t="s">
        <v>1088</v>
      </c>
      <c r="CX2352" s="543">
        <v>1</v>
      </c>
    </row>
    <row r="2353" spans="91:102" ht="21" customHeight="1">
      <c r="CM2353" s="494"/>
      <c r="CN2353" s="496" t="s">
        <v>5617</v>
      </c>
      <c r="CO2353" s="496" t="s">
        <v>15</v>
      </c>
      <c r="CP2353" s="496" t="s">
        <v>689</v>
      </c>
      <c r="CQ2353" s="496" t="s">
        <v>5618</v>
      </c>
      <c r="CR2353" s="496" t="s">
        <v>5618</v>
      </c>
      <c r="CS2353" s="496" t="s">
        <v>1554</v>
      </c>
      <c r="CT2353" s="496" t="s">
        <v>1555</v>
      </c>
      <c r="CU2353" s="496" t="s">
        <v>1556</v>
      </c>
      <c r="CV2353" s="497" t="s">
        <v>5258</v>
      </c>
      <c r="CX2353" s="543">
        <v>1</v>
      </c>
    </row>
    <row r="2354" spans="91:102" ht="21" customHeight="1">
      <c r="CM2354" s="494"/>
      <c r="CN2354" s="496" t="s">
        <v>5619</v>
      </c>
      <c r="CO2354" s="496" t="s">
        <v>15</v>
      </c>
      <c r="CP2354" s="496" t="s">
        <v>689</v>
      </c>
      <c r="CQ2354" s="496" t="s">
        <v>210</v>
      </c>
      <c r="CR2354" s="496" t="s">
        <v>210</v>
      </c>
      <c r="CS2354" s="496" t="s">
        <v>1085</v>
      </c>
      <c r="CT2354" s="496" t="s">
        <v>5284</v>
      </c>
      <c r="CU2354" s="496" t="s">
        <v>1087</v>
      </c>
      <c r="CV2354" s="497" t="s">
        <v>1088</v>
      </c>
      <c r="CX2354" s="543">
        <v>1</v>
      </c>
    </row>
    <row r="2355" spans="91:102" ht="21" customHeight="1">
      <c r="CM2355" s="494"/>
      <c r="CN2355" s="496" t="s">
        <v>5620</v>
      </c>
      <c r="CO2355" s="496" t="s">
        <v>15</v>
      </c>
      <c r="CP2355" s="496" t="s">
        <v>689</v>
      </c>
      <c r="CQ2355" s="496" t="s">
        <v>5621</v>
      </c>
      <c r="CR2355" s="496" t="s">
        <v>5621</v>
      </c>
      <c r="CS2355" s="496" t="s">
        <v>1554</v>
      </c>
      <c r="CT2355" s="496" t="s">
        <v>1555</v>
      </c>
      <c r="CU2355" s="496" t="s">
        <v>1556</v>
      </c>
      <c r="CV2355" s="497" t="s">
        <v>5258</v>
      </c>
      <c r="CX2355" s="543">
        <v>1</v>
      </c>
    </row>
    <row r="2356" spans="91:102" ht="21" customHeight="1">
      <c r="CM2356" s="494"/>
      <c r="CN2356" s="496" t="s">
        <v>5622</v>
      </c>
      <c r="CO2356" s="496" t="s">
        <v>15</v>
      </c>
      <c r="CP2356" s="496" t="s">
        <v>689</v>
      </c>
      <c r="CQ2356" s="496" t="s">
        <v>5623</v>
      </c>
      <c r="CR2356" s="496" t="s">
        <v>5624</v>
      </c>
      <c r="CS2356" s="496" t="s">
        <v>1085</v>
      </c>
      <c r="CT2356" s="496" t="s">
        <v>5284</v>
      </c>
      <c r="CU2356" s="496" t="s">
        <v>1087</v>
      </c>
      <c r="CV2356" s="497" t="s">
        <v>1088</v>
      </c>
      <c r="CX2356" s="543">
        <v>1</v>
      </c>
    </row>
    <row r="2357" spans="91:102" ht="21" customHeight="1">
      <c r="CM2357" s="494"/>
      <c r="CN2357" s="496" t="s">
        <v>5625</v>
      </c>
      <c r="CO2357" s="496" t="s">
        <v>15</v>
      </c>
      <c r="CP2357" s="496" t="s">
        <v>689</v>
      </c>
      <c r="CQ2357" s="496" t="s">
        <v>5626</v>
      </c>
      <c r="CR2357" s="496" t="s">
        <v>5627</v>
      </c>
      <c r="CS2357" s="496" t="s">
        <v>1085</v>
      </c>
      <c r="CT2357" s="496" t="s">
        <v>5284</v>
      </c>
      <c r="CU2357" s="496" t="s">
        <v>1087</v>
      </c>
      <c r="CV2357" s="497" t="s">
        <v>1088</v>
      </c>
      <c r="CX2357" s="543">
        <v>1</v>
      </c>
    </row>
    <row r="2358" spans="91:102" ht="21" customHeight="1">
      <c r="CM2358" s="494"/>
      <c r="CN2358" s="496" t="s">
        <v>5628</v>
      </c>
      <c r="CO2358" s="496" t="s">
        <v>15</v>
      </c>
      <c r="CP2358" s="496" t="s">
        <v>689</v>
      </c>
      <c r="CQ2358" s="496" t="s">
        <v>5629</v>
      </c>
      <c r="CR2358" s="496" t="s">
        <v>5629</v>
      </c>
      <c r="CS2358" s="496" t="s">
        <v>1554</v>
      </c>
      <c r="CT2358" s="496" t="s">
        <v>1555</v>
      </c>
      <c r="CU2358" s="496" t="s">
        <v>1556</v>
      </c>
      <c r="CV2358" s="497" t="s">
        <v>5258</v>
      </c>
      <c r="CX2358" s="543">
        <v>1</v>
      </c>
    </row>
    <row r="2359" spans="91:102" ht="21" customHeight="1">
      <c r="CM2359" s="494"/>
      <c r="CN2359" s="496" t="s">
        <v>5630</v>
      </c>
      <c r="CO2359" s="496" t="s">
        <v>15</v>
      </c>
      <c r="CP2359" s="496" t="s">
        <v>689</v>
      </c>
      <c r="CQ2359" s="496" t="s">
        <v>340</v>
      </c>
      <c r="CR2359" s="496" t="s">
        <v>340</v>
      </c>
      <c r="CS2359" s="496" t="s">
        <v>1151</v>
      </c>
      <c r="CT2359" s="496" t="s">
        <v>1152</v>
      </c>
      <c r="CU2359" s="496" t="s">
        <v>1087</v>
      </c>
      <c r="CV2359" s="497" t="s">
        <v>1153</v>
      </c>
      <c r="CX2359" s="543">
        <v>1</v>
      </c>
    </row>
    <row r="2360" spans="91:102" ht="21" customHeight="1">
      <c r="CM2360" s="494"/>
      <c r="CN2360" s="496" t="s">
        <v>5631</v>
      </c>
      <c r="CO2360" s="496" t="s">
        <v>15</v>
      </c>
      <c r="CP2360" s="496" t="s">
        <v>689</v>
      </c>
      <c r="CQ2360" s="496" t="s">
        <v>341</v>
      </c>
      <c r="CR2360" s="496" t="s">
        <v>341</v>
      </c>
      <c r="CS2360" s="496" t="s">
        <v>1151</v>
      </c>
      <c r="CT2360" s="496" t="s">
        <v>1152</v>
      </c>
      <c r="CU2360" s="496" t="s">
        <v>1087</v>
      </c>
      <c r="CV2360" s="497" t="s">
        <v>1153</v>
      </c>
      <c r="CX2360" s="543">
        <v>1</v>
      </c>
    </row>
    <row r="2361" spans="91:102" ht="21" customHeight="1">
      <c r="CM2361" s="494"/>
      <c r="CN2361" s="496" t="s">
        <v>5632</v>
      </c>
      <c r="CO2361" s="496" t="s">
        <v>15</v>
      </c>
      <c r="CP2361" s="496" t="s">
        <v>689</v>
      </c>
      <c r="CQ2361" s="496" t="s">
        <v>188</v>
      </c>
      <c r="CR2361" s="496" t="s">
        <v>188</v>
      </c>
      <c r="CS2361" s="496" t="s">
        <v>1554</v>
      </c>
      <c r="CT2361" s="496" t="s">
        <v>1555</v>
      </c>
      <c r="CU2361" s="496" t="s">
        <v>1556</v>
      </c>
      <c r="CV2361" s="497" t="s">
        <v>5258</v>
      </c>
      <c r="CX2361" s="543">
        <v>1</v>
      </c>
    </row>
    <row r="2362" spans="91:102" ht="21" customHeight="1">
      <c r="CM2362" s="494"/>
      <c r="CN2362" s="496" t="s">
        <v>5633</v>
      </c>
      <c r="CO2362" s="496" t="s">
        <v>15</v>
      </c>
      <c r="CP2362" s="496" t="s">
        <v>689</v>
      </c>
      <c r="CQ2362" s="496" t="s">
        <v>5634</v>
      </c>
      <c r="CR2362" s="496" t="s">
        <v>5634</v>
      </c>
      <c r="CS2362" s="496" t="s">
        <v>1554</v>
      </c>
      <c r="CT2362" s="496" t="s">
        <v>1555</v>
      </c>
      <c r="CU2362" s="496" t="s">
        <v>1556</v>
      </c>
      <c r="CV2362" s="497" t="s">
        <v>5258</v>
      </c>
      <c r="CX2362" s="543">
        <v>1</v>
      </c>
    </row>
    <row r="2363" spans="91:102" ht="21" customHeight="1">
      <c r="CM2363" s="494"/>
      <c r="CN2363" s="496" t="s">
        <v>5635</v>
      </c>
      <c r="CO2363" s="496" t="s">
        <v>15</v>
      </c>
      <c r="CP2363" s="496" t="s">
        <v>689</v>
      </c>
      <c r="CQ2363" s="496" t="s">
        <v>5636</v>
      </c>
      <c r="CR2363" s="496" t="s">
        <v>5636</v>
      </c>
      <c r="CS2363" s="496" t="s">
        <v>1554</v>
      </c>
      <c r="CT2363" s="496" t="s">
        <v>1555</v>
      </c>
      <c r="CU2363" s="496" t="s">
        <v>1556</v>
      </c>
      <c r="CV2363" s="497" t="s">
        <v>5258</v>
      </c>
      <c r="CX2363" s="543">
        <v>1</v>
      </c>
    </row>
    <row r="2364" spans="91:102" ht="21" customHeight="1">
      <c r="CM2364" s="494"/>
      <c r="CN2364" s="496" t="s">
        <v>5637</v>
      </c>
      <c r="CO2364" s="496" t="s">
        <v>15</v>
      </c>
      <c r="CP2364" s="496" t="s">
        <v>689</v>
      </c>
      <c r="CQ2364" s="496" t="s">
        <v>5638</v>
      </c>
      <c r="CR2364" s="496" t="s">
        <v>5638</v>
      </c>
      <c r="CS2364" s="496" t="s">
        <v>1554</v>
      </c>
      <c r="CT2364" s="496" t="s">
        <v>1555</v>
      </c>
      <c r="CU2364" s="496" t="s">
        <v>1556</v>
      </c>
      <c r="CV2364" s="497" t="s">
        <v>5258</v>
      </c>
      <c r="CX2364" s="543">
        <v>1</v>
      </c>
    </row>
    <row r="2365" spans="91:102" ht="21" customHeight="1">
      <c r="CM2365" s="494"/>
      <c r="CN2365" s="496" t="s">
        <v>5639</v>
      </c>
      <c r="CO2365" s="496" t="s">
        <v>15</v>
      </c>
      <c r="CP2365" s="496" t="s">
        <v>689</v>
      </c>
      <c r="CQ2365" s="496" t="s">
        <v>5640</v>
      </c>
      <c r="CR2365" s="496" t="s">
        <v>5640</v>
      </c>
      <c r="CS2365" s="496" t="s">
        <v>1554</v>
      </c>
      <c r="CT2365" s="496" t="s">
        <v>1555</v>
      </c>
      <c r="CU2365" s="496" t="s">
        <v>1556</v>
      </c>
      <c r="CV2365" s="497" t="s">
        <v>5258</v>
      </c>
      <c r="CX2365" s="543">
        <v>1</v>
      </c>
    </row>
    <row r="2366" spans="91:102" ht="21" customHeight="1">
      <c r="CM2366" s="494"/>
      <c r="CN2366" s="496" t="s">
        <v>5641</v>
      </c>
      <c r="CO2366" s="496" t="s">
        <v>15</v>
      </c>
      <c r="CP2366" s="496" t="s">
        <v>689</v>
      </c>
      <c r="CQ2366" s="496" t="s">
        <v>5642</v>
      </c>
      <c r="CR2366" s="496" t="s">
        <v>5642</v>
      </c>
      <c r="CS2366" s="496" t="s">
        <v>1554</v>
      </c>
      <c r="CT2366" s="496" t="s">
        <v>1555</v>
      </c>
      <c r="CU2366" s="496" t="s">
        <v>1556</v>
      </c>
      <c r="CV2366" s="497" t="s">
        <v>5258</v>
      </c>
      <c r="CX2366" s="543">
        <v>1</v>
      </c>
    </row>
    <row r="2367" spans="91:102" ht="21" customHeight="1">
      <c r="CM2367" s="494"/>
      <c r="CN2367" s="496" t="s">
        <v>5643</v>
      </c>
      <c r="CO2367" s="496" t="s">
        <v>15</v>
      </c>
      <c r="CP2367" s="496" t="s">
        <v>689</v>
      </c>
      <c r="CQ2367" s="496" t="s">
        <v>191</v>
      </c>
      <c r="CR2367" s="496" t="s">
        <v>191</v>
      </c>
      <c r="CS2367" s="496" t="s">
        <v>1085</v>
      </c>
      <c r="CT2367" s="496" t="s">
        <v>5284</v>
      </c>
      <c r="CU2367" s="496" t="s">
        <v>1087</v>
      </c>
      <c r="CV2367" s="497" t="s">
        <v>1088</v>
      </c>
      <c r="CX2367" s="543">
        <v>1</v>
      </c>
    </row>
    <row r="2368" spans="91:102" ht="21" customHeight="1">
      <c r="CM2368" s="494"/>
      <c r="CN2368" s="496" t="s">
        <v>5644</v>
      </c>
      <c r="CO2368" s="496" t="s">
        <v>15</v>
      </c>
      <c r="CP2368" s="496" t="s">
        <v>689</v>
      </c>
      <c r="CQ2368" s="496" t="s">
        <v>5645</v>
      </c>
      <c r="CR2368" s="496" t="s">
        <v>5645</v>
      </c>
      <c r="CS2368" s="496" t="s">
        <v>1554</v>
      </c>
      <c r="CT2368" s="496" t="s">
        <v>1555</v>
      </c>
      <c r="CU2368" s="496" t="s">
        <v>1556</v>
      </c>
      <c r="CV2368" s="497" t="s">
        <v>5258</v>
      </c>
      <c r="CX2368" s="543">
        <v>1</v>
      </c>
    </row>
    <row r="2369" spans="91:102" ht="21" customHeight="1">
      <c r="CM2369" s="494"/>
      <c r="CN2369" s="496" t="s">
        <v>5646</v>
      </c>
      <c r="CO2369" s="496" t="s">
        <v>15</v>
      </c>
      <c r="CP2369" s="496" t="s">
        <v>689</v>
      </c>
      <c r="CQ2369" s="496" t="s">
        <v>5647</v>
      </c>
      <c r="CR2369" s="496" t="s">
        <v>5647</v>
      </c>
      <c r="CS2369" s="496" t="s">
        <v>1554</v>
      </c>
      <c r="CT2369" s="496" t="s">
        <v>1555</v>
      </c>
      <c r="CU2369" s="496" t="s">
        <v>1556</v>
      </c>
      <c r="CV2369" s="497" t="s">
        <v>5258</v>
      </c>
      <c r="CX2369" s="543">
        <v>1</v>
      </c>
    </row>
    <row r="2370" spans="91:102" ht="21" customHeight="1">
      <c r="CM2370" s="494"/>
      <c r="CN2370" s="496" t="s">
        <v>5648</v>
      </c>
      <c r="CO2370" s="496" t="s">
        <v>15</v>
      </c>
      <c r="CP2370" s="496" t="s">
        <v>689</v>
      </c>
      <c r="CQ2370" s="496" t="s">
        <v>5649</v>
      </c>
      <c r="CR2370" s="496" t="s">
        <v>5649</v>
      </c>
      <c r="CS2370" s="496" t="s">
        <v>1554</v>
      </c>
      <c r="CT2370" s="496" t="s">
        <v>1555</v>
      </c>
      <c r="CU2370" s="496" t="s">
        <v>1556</v>
      </c>
      <c r="CV2370" s="497" t="s">
        <v>5258</v>
      </c>
      <c r="CX2370" s="543">
        <v>1</v>
      </c>
    </row>
    <row r="2371" spans="91:102" ht="21" customHeight="1">
      <c r="CM2371" s="494"/>
      <c r="CN2371" s="496" t="s">
        <v>5650</v>
      </c>
      <c r="CO2371" s="496" t="s">
        <v>15</v>
      </c>
      <c r="CP2371" s="496" t="s">
        <v>689</v>
      </c>
      <c r="CQ2371" s="496" t="s">
        <v>5651</v>
      </c>
      <c r="CR2371" s="496" t="s">
        <v>5651</v>
      </c>
      <c r="CS2371" s="496" t="s">
        <v>1554</v>
      </c>
      <c r="CT2371" s="496" t="s">
        <v>1555</v>
      </c>
      <c r="CU2371" s="496" t="s">
        <v>1556</v>
      </c>
      <c r="CV2371" s="497" t="s">
        <v>5258</v>
      </c>
      <c r="CX2371" s="543">
        <v>1</v>
      </c>
    </row>
    <row r="2372" spans="91:102" ht="21" customHeight="1">
      <c r="CM2372" s="494"/>
      <c r="CN2372" s="496" t="s">
        <v>5652</v>
      </c>
      <c r="CO2372" s="496" t="s">
        <v>15</v>
      </c>
      <c r="CP2372" s="496" t="s">
        <v>689</v>
      </c>
      <c r="CQ2372" s="496" t="s">
        <v>5653</v>
      </c>
      <c r="CR2372" s="496" t="s">
        <v>5653</v>
      </c>
      <c r="CS2372" s="496" t="s">
        <v>1554</v>
      </c>
      <c r="CT2372" s="496" t="s">
        <v>1555</v>
      </c>
      <c r="CU2372" s="496" t="s">
        <v>1556</v>
      </c>
      <c r="CV2372" s="497" t="s">
        <v>5258</v>
      </c>
      <c r="CX2372" s="543">
        <v>1</v>
      </c>
    </row>
    <row r="2373" spans="91:102" ht="21" customHeight="1">
      <c r="CM2373" s="494"/>
      <c r="CN2373" s="496" t="s">
        <v>5654</v>
      </c>
      <c r="CO2373" s="496" t="s">
        <v>15</v>
      </c>
      <c r="CP2373" s="496" t="s">
        <v>689</v>
      </c>
      <c r="CQ2373" s="496" t="s">
        <v>342</v>
      </c>
      <c r="CR2373" s="496" t="s">
        <v>342</v>
      </c>
      <c r="CS2373" s="496" t="s">
        <v>1151</v>
      </c>
      <c r="CT2373" s="496" t="s">
        <v>1152</v>
      </c>
      <c r="CU2373" s="496" t="s">
        <v>1087</v>
      </c>
      <c r="CV2373" s="497" t="s">
        <v>1153</v>
      </c>
      <c r="CX2373" s="543">
        <v>1</v>
      </c>
    </row>
    <row r="2374" spans="91:102" ht="21" customHeight="1">
      <c r="CM2374" s="494"/>
      <c r="CN2374" s="496" t="s">
        <v>5655</v>
      </c>
      <c r="CO2374" s="496" t="s">
        <v>15</v>
      </c>
      <c r="CP2374" s="496" t="s">
        <v>689</v>
      </c>
      <c r="CQ2374" s="496" t="s">
        <v>5656</v>
      </c>
      <c r="CR2374" s="496" t="s">
        <v>5656</v>
      </c>
      <c r="CS2374" s="496" t="s">
        <v>1554</v>
      </c>
      <c r="CT2374" s="496" t="s">
        <v>1555</v>
      </c>
      <c r="CU2374" s="496" t="s">
        <v>1556</v>
      </c>
      <c r="CV2374" s="497" t="s">
        <v>5258</v>
      </c>
      <c r="CX2374" s="543">
        <v>1</v>
      </c>
    </row>
    <row r="2375" spans="91:102" ht="21" customHeight="1">
      <c r="CM2375" s="494"/>
      <c r="CN2375" s="496" t="s">
        <v>5657</v>
      </c>
      <c r="CO2375" s="496" t="s">
        <v>15</v>
      </c>
      <c r="CP2375" s="496" t="s">
        <v>689</v>
      </c>
      <c r="CQ2375" s="496" t="s">
        <v>5658</v>
      </c>
      <c r="CR2375" s="496" t="s">
        <v>5658</v>
      </c>
      <c r="CS2375" s="496" t="s">
        <v>1554</v>
      </c>
      <c r="CT2375" s="496" t="s">
        <v>1555</v>
      </c>
      <c r="CU2375" s="496" t="s">
        <v>1556</v>
      </c>
      <c r="CV2375" s="497" t="s">
        <v>5258</v>
      </c>
      <c r="CX2375" s="543">
        <v>1</v>
      </c>
    </row>
    <row r="2376" spans="91:102" ht="21" customHeight="1">
      <c r="CM2376" s="494"/>
      <c r="CN2376" s="496" t="s">
        <v>5659</v>
      </c>
      <c r="CO2376" s="496" t="s">
        <v>15</v>
      </c>
      <c r="CP2376" s="496" t="s">
        <v>689</v>
      </c>
      <c r="CQ2376" s="496" t="s">
        <v>5660</v>
      </c>
      <c r="CR2376" s="496" t="s">
        <v>5660</v>
      </c>
      <c r="CS2376" s="496" t="s">
        <v>1554</v>
      </c>
      <c r="CT2376" s="496" t="s">
        <v>1555</v>
      </c>
      <c r="CU2376" s="496" t="s">
        <v>1556</v>
      </c>
      <c r="CV2376" s="497" t="s">
        <v>5258</v>
      </c>
      <c r="CX2376" s="543">
        <v>1</v>
      </c>
    </row>
    <row r="2377" spans="91:102" ht="21" customHeight="1">
      <c r="CM2377" s="494"/>
      <c r="CN2377" s="496" t="s">
        <v>5661</v>
      </c>
      <c r="CO2377" s="496" t="s">
        <v>15</v>
      </c>
      <c r="CP2377" s="496" t="s">
        <v>689</v>
      </c>
      <c r="CQ2377" s="496" t="s">
        <v>1010</v>
      </c>
      <c r="CR2377" s="496" t="s">
        <v>1010</v>
      </c>
      <c r="CS2377" s="496" t="s">
        <v>1554</v>
      </c>
      <c r="CT2377" s="496" t="s">
        <v>1555</v>
      </c>
      <c r="CU2377" s="496" t="s">
        <v>1556</v>
      </c>
      <c r="CV2377" s="497" t="s">
        <v>5258</v>
      </c>
      <c r="CX2377" s="543">
        <v>1</v>
      </c>
    </row>
    <row r="2378" spans="91:102" ht="21" customHeight="1">
      <c r="CM2378" s="494"/>
      <c r="CN2378" s="496" t="s">
        <v>5662</v>
      </c>
      <c r="CO2378" s="496" t="s">
        <v>15</v>
      </c>
      <c r="CP2378" s="496" t="s">
        <v>689</v>
      </c>
      <c r="CQ2378" s="496" t="s">
        <v>1011</v>
      </c>
      <c r="CR2378" s="496" t="s">
        <v>1011</v>
      </c>
      <c r="CS2378" s="496" t="s">
        <v>1085</v>
      </c>
      <c r="CT2378" s="496" t="s">
        <v>5284</v>
      </c>
      <c r="CU2378" s="496" t="s">
        <v>1087</v>
      </c>
      <c r="CV2378" s="497" t="s">
        <v>1088</v>
      </c>
      <c r="CX2378" s="543">
        <v>1</v>
      </c>
    </row>
    <row r="2379" spans="91:102" ht="21" customHeight="1">
      <c r="CM2379" s="494"/>
      <c r="CN2379" s="496" t="s">
        <v>5663</v>
      </c>
      <c r="CO2379" s="496" t="s">
        <v>15</v>
      </c>
      <c r="CP2379" s="496" t="s">
        <v>689</v>
      </c>
      <c r="CQ2379" s="496" t="s">
        <v>5664</v>
      </c>
      <c r="CR2379" s="496" t="s">
        <v>5664</v>
      </c>
      <c r="CS2379" s="496" t="s">
        <v>1554</v>
      </c>
      <c r="CT2379" s="496" t="s">
        <v>1555</v>
      </c>
      <c r="CU2379" s="496" t="s">
        <v>1556</v>
      </c>
      <c r="CV2379" s="497" t="s">
        <v>5258</v>
      </c>
      <c r="CX2379" s="543">
        <v>1</v>
      </c>
    </row>
    <row r="2380" spans="91:102" ht="21" customHeight="1">
      <c r="CM2380" s="494"/>
      <c r="CN2380" s="496" t="s">
        <v>5665</v>
      </c>
      <c r="CO2380" s="496" t="s">
        <v>15</v>
      </c>
      <c r="CP2380" s="496" t="s">
        <v>689</v>
      </c>
      <c r="CQ2380" s="496" t="s">
        <v>5666</v>
      </c>
      <c r="CR2380" s="496" t="s">
        <v>5666</v>
      </c>
      <c r="CS2380" s="496" t="s">
        <v>1554</v>
      </c>
      <c r="CT2380" s="496" t="s">
        <v>1555</v>
      </c>
      <c r="CU2380" s="496" t="s">
        <v>1556</v>
      </c>
      <c r="CV2380" s="497" t="s">
        <v>5258</v>
      </c>
      <c r="CX2380" s="543">
        <v>1</v>
      </c>
    </row>
    <row r="2381" spans="91:102" ht="21" customHeight="1">
      <c r="CM2381" s="494"/>
      <c r="CN2381" s="496" t="s">
        <v>5667</v>
      </c>
      <c r="CO2381" s="496" t="s">
        <v>15</v>
      </c>
      <c r="CP2381" s="496" t="s">
        <v>689</v>
      </c>
      <c r="CQ2381" s="496" t="s">
        <v>5668</v>
      </c>
      <c r="CR2381" s="496" t="s">
        <v>5668</v>
      </c>
      <c r="CS2381" s="496" t="s">
        <v>1554</v>
      </c>
      <c r="CT2381" s="496" t="s">
        <v>1555</v>
      </c>
      <c r="CU2381" s="496" t="s">
        <v>1556</v>
      </c>
      <c r="CV2381" s="497" t="s">
        <v>5258</v>
      </c>
      <c r="CX2381" s="543">
        <v>1</v>
      </c>
    </row>
    <row r="2382" spans="91:102" ht="21" customHeight="1">
      <c r="CM2382" s="494"/>
      <c r="CN2382" s="496" t="s">
        <v>5669</v>
      </c>
      <c r="CO2382" s="496" t="s">
        <v>15</v>
      </c>
      <c r="CP2382" s="496" t="s">
        <v>689</v>
      </c>
      <c r="CQ2382" s="496" t="s">
        <v>5670</v>
      </c>
      <c r="CR2382" s="496" t="s">
        <v>5670</v>
      </c>
      <c r="CS2382" s="496" t="s">
        <v>1554</v>
      </c>
      <c r="CT2382" s="496" t="s">
        <v>1555</v>
      </c>
      <c r="CU2382" s="496" t="s">
        <v>1556</v>
      </c>
      <c r="CV2382" s="497" t="s">
        <v>5258</v>
      </c>
      <c r="CX2382" s="543">
        <v>1</v>
      </c>
    </row>
    <row r="2383" spans="91:102" ht="21" customHeight="1">
      <c r="CM2383" s="494"/>
      <c r="CN2383" s="496" t="s">
        <v>5671</v>
      </c>
      <c r="CO2383" s="496" t="s">
        <v>15</v>
      </c>
      <c r="CP2383" s="496" t="s">
        <v>689</v>
      </c>
      <c r="CQ2383" s="496" t="s">
        <v>5672</v>
      </c>
      <c r="CR2383" s="496" t="s">
        <v>5672</v>
      </c>
      <c r="CS2383" s="496" t="s">
        <v>1554</v>
      </c>
      <c r="CT2383" s="496" t="s">
        <v>1555</v>
      </c>
      <c r="CU2383" s="496" t="s">
        <v>1556</v>
      </c>
      <c r="CV2383" s="497" t="s">
        <v>5258</v>
      </c>
      <c r="CX2383" s="543">
        <v>1</v>
      </c>
    </row>
    <row r="2384" spans="91:102" ht="21" customHeight="1">
      <c r="CM2384" s="494"/>
      <c r="CN2384" s="496" t="s">
        <v>5673</v>
      </c>
      <c r="CO2384" s="496" t="s">
        <v>15</v>
      </c>
      <c r="CP2384" s="496" t="s">
        <v>689</v>
      </c>
      <c r="CQ2384" s="496" t="s">
        <v>5674</v>
      </c>
      <c r="CR2384" s="496" t="s">
        <v>5674</v>
      </c>
      <c r="CS2384" s="496" t="s">
        <v>1554</v>
      </c>
      <c r="CT2384" s="496" t="s">
        <v>1555</v>
      </c>
      <c r="CU2384" s="496" t="s">
        <v>1556</v>
      </c>
      <c r="CV2384" s="497" t="s">
        <v>5258</v>
      </c>
      <c r="CX2384" s="543">
        <v>1</v>
      </c>
    </row>
    <row r="2385" spans="91:102" ht="21" customHeight="1">
      <c r="CM2385" s="494"/>
      <c r="CN2385" s="496" t="s">
        <v>5675</v>
      </c>
      <c r="CO2385" s="496" t="s">
        <v>15</v>
      </c>
      <c r="CP2385" s="496" t="s">
        <v>689</v>
      </c>
      <c r="CQ2385" s="496" t="s">
        <v>5676</v>
      </c>
      <c r="CR2385" s="496" t="s">
        <v>5676</v>
      </c>
      <c r="CS2385" s="496" t="s">
        <v>1554</v>
      </c>
      <c r="CT2385" s="496" t="s">
        <v>1555</v>
      </c>
      <c r="CU2385" s="496" t="s">
        <v>1556</v>
      </c>
      <c r="CV2385" s="497" t="s">
        <v>5258</v>
      </c>
      <c r="CX2385" s="543">
        <v>1</v>
      </c>
    </row>
    <row r="2386" spans="91:102" ht="21" customHeight="1">
      <c r="CM2386" s="494"/>
      <c r="CN2386" s="496" t="s">
        <v>5677</v>
      </c>
      <c r="CO2386" s="496" t="s">
        <v>15</v>
      </c>
      <c r="CP2386" s="496" t="s">
        <v>689</v>
      </c>
      <c r="CQ2386" s="496" t="s">
        <v>5678</v>
      </c>
      <c r="CR2386" s="496" t="s">
        <v>5678</v>
      </c>
      <c r="CS2386" s="496" t="s">
        <v>1554</v>
      </c>
      <c r="CT2386" s="496" t="s">
        <v>1555</v>
      </c>
      <c r="CU2386" s="496" t="s">
        <v>1556</v>
      </c>
      <c r="CV2386" s="497" t="s">
        <v>5258</v>
      </c>
      <c r="CX2386" s="543">
        <v>1</v>
      </c>
    </row>
    <row r="2387" spans="91:102" ht="21" customHeight="1">
      <c r="CM2387" s="494"/>
      <c r="CN2387" s="496" t="s">
        <v>5679</v>
      </c>
      <c r="CO2387" s="496" t="s">
        <v>15</v>
      </c>
      <c r="CP2387" s="496" t="s">
        <v>689</v>
      </c>
      <c r="CQ2387" s="496" t="s">
        <v>5680</v>
      </c>
      <c r="CR2387" s="496" t="s">
        <v>5680</v>
      </c>
      <c r="CS2387" s="496" t="s">
        <v>1554</v>
      </c>
      <c r="CT2387" s="496" t="s">
        <v>1555</v>
      </c>
      <c r="CU2387" s="496" t="s">
        <v>1556</v>
      </c>
      <c r="CV2387" s="497" t="s">
        <v>5258</v>
      </c>
      <c r="CX2387" s="543">
        <v>1</v>
      </c>
    </row>
    <row r="2388" spans="91:102" ht="21" customHeight="1">
      <c r="CM2388" s="494"/>
      <c r="CN2388" s="496" t="s">
        <v>5681</v>
      </c>
      <c r="CO2388" s="496" t="s">
        <v>15</v>
      </c>
      <c r="CP2388" s="496" t="s">
        <v>689</v>
      </c>
      <c r="CQ2388" s="496" t="s">
        <v>5682</v>
      </c>
      <c r="CR2388" s="496" t="s">
        <v>5682</v>
      </c>
      <c r="CS2388" s="496" t="s">
        <v>1554</v>
      </c>
      <c r="CT2388" s="496" t="s">
        <v>1555</v>
      </c>
      <c r="CU2388" s="496" t="s">
        <v>1556</v>
      </c>
      <c r="CV2388" s="497" t="s">
        <v>5258</v>
      </c>
      <c r="CX2388" s="543">
        <v>1</v>
      </c>
    </row>
    <row r="2389" spans="91:102" ht="21" customHeight="1">
      <c r="CM2389" s="494"/>
      <c r="CN2389" s="496" t="s">
        <v>5683</v>
      </c>
      <c r="CO2389" s="496" t="s">
        <v>15</v>
      </c>
      <c r="CP2389" s="496" t="s">
        <v>689</v>
      </c>
      <c r="CQ2389" s="496" t="s">
        <v>5684</v>
      </c>
      <c r="CR2389" s="496" t="s">
        <v>5684</v>
      </c>
      <c r="CS2389" s="496" t="s">
        <v>1554</v>
      </c>
      <c r="CT2389" s="496" t="s">
        <v>1555</v>
      </c>
      <c r="CU2389" s="496" t="s">
        <v>1556</v>
      </c>
      <c r="CV2389" s="497" t="s">
        <v>5258</v>
      </c>
      <c r="CX2389" s="543">
        <v>1</v>
      </c>
    </row>
    <row r="2390" spans="91:102" ht="21" customHeight="1">
      <c r="CM2390" s="494"/>
      <c r="CN2390" s="496" t="s">
        <v>5685</v>
      </c>
      <c r="CO2390" s="496" t="s">
        <v>15</v>
      </c>
      <c r="CP2390" s="496" t="s">
        <v>689</v>
      </c>
      <c r="CQ2390" s="496" t="s">
        <v>5686</v>
      </c>
      <c r="CR2390" s="496" t="s">
        <v>5686</v>
      </c>
      <c r="CS2390" s="496" t="s">
        <v>1554</v>
      </c>
      <c r="CT2390" s="496" t="s">
        <v>1555</v>
      </c>
      <c r="CU2390" s="496" t="s">
        <v>1556</v>
      </c>
      <c r="CV2390" s="497" t="s">
        <v>5258</v>
      </c>
      <c r="CX2390" s="543">
        <v>1</v>
      </c>
    </row>
    <row r="2391" spans="91:102" ht="21" customHeight="1">
      <c r="CM2391" s="494"/>
      <c r="CN2391" s="496" t="s">
        <v>5687</v>
      </c>
      <c r="CO2391" s="496" t="s">
        <v>15</v>
      </c>
      <c r="CP2391" s="496" t="s">
        <v>689</v>
      </c>
      <c r="CQ2391" s="496" t="s">
        <v>5688</v>
      </c>
      <c r="CR2391" s="496" t="s">
        <v>5688</v>
      </c>
      <c r="CS2391" s="496" t="s">
        <v>1554</v>
      </c>
      <c r="CT2391" s="496" t="s">
        <v>1555</v>
      </c>
      <c r="CU2391" s="496" t="s">
        <v>1556</v>
      </c>
      <c r="CV2391" s="497" t="s">
        <v>5258</v>
      </c>
      <c r="CX2391" s="543">
        <v>1</v>
      </c>
    </row>
    <row r="2392" spans="91:102" ht="21" customHeight="1">
      <c r="CM2392" s="494"/>
      <c r="CN2392" s="496" t="s">
        <v>5689</v>
      </c>
      <c r="CO2392" s="496" t="s">
        <v>15</v>
      </c>
      <c r="CP2392" s="496" t="s">
        <v>689</v>
      </c>
      <c r="CQ2392" s="496" t="s">
        <v>5690</v>
      </c>
      <c r="CR2392" s="496" t="s">
        <v>5690</v>
      </c>
      <c r="CS2392" s="496" t="s">
        <v>1554</v>
      </c>
      <c r="CT2392" s="496" t="s">
        <v>1555</v>
      </c>
      <c r="CU2392" s="496" t="s">
        <v>1556</v>
      </c>
      <c r="CV2392" s="497" t="s">
        <v>5258</v>
      </c>
      <c r="CX2392" s="543">
        <v>1</v>
      </c>
    </row>
    <row r="2393" spans="91:102" ht="21" customHeight="1">
      <c r="CM2393" s="494"/>
      <c r="CN2393" s="496" t="s">
        <v>5691</v>
      </c>
      <c r="CO2393" s="496" t="s">
        <v>15</v>
      </c>
      <c r="CP2393" s="496" t="s">
        <v>689</v>
      </c>
      <c r="CQ2393" s="496" t="s">
        <v>5692</v>
      </c>
      <c r="CR2393" s="496" t="s">
        <v>5692</v>
      </c>
      <c r="CS2393" s="496" t="s">
        <v>1151</v>
      </c>
      <c r="CT2393" s="496" t="s">
        <v>1152</v>
      </c>
      <c r="CU2393" s="496" t="s">
        <v>1087</v>
      </c>
      <c r="CV2393" s="497" t="s">
        <v>1153</v>
      </c>
      <c r="CX2393" s="543">
        <v>1</v>
      </c>
    </row>
    <row r="2394" spans="91:102" ht="21" customHeight="1">
      <c r="CM2394" s="494"/>
      <c r="CN2394" s="496" t="s">
        <v>5693</v>
      </c>
      <c r="CO2394" s="496" t="s">
        <v>15</v>
      </c>
      <c r="CP2394" s="496" t="s">
        <v>689</v>
      </c>
      <c r="CQ2394" s="496" t="s">
        <v>5694</v>
      </c>
      <c r="CR2394" s="496" t="s">
        <v>5694</v>
      </c>
      <c r="CS2394" s="496" t="s">
        <v>1151</v>
      </c>
      <c r="CT2394" s="496" t="s">
        <v>1152</v>
      </c>
      <c r="CU2394" s="496" t="s">
        <v>1087</v>
      </c>
      <c r="CV2394" s="497" t="s">
        <v>1153</v>
      </c>
      <c r="CX2394" s="543">
        <v>1</v>
      </c>
    </row>
    <row r="2395" spans="91:102" ht="21" customHeight="1">
      <c r="CM2395" s="494"/>
      <c r="CN2395" s="496" t="s">
        <v>5695</v>
      </c>
      <c r="CO2395" s="496" t="s">
        <v>15</v>
      </c>
      <c r="CP2395" s="496" t="s">
        <v>689</v>
      </c>
      <c r="CQ2395" s="496" t="s">
        <v>5696</v>
      </c>
      <c r="CR2395" s="496" t="s">
        <v>5696</v>
      </c>
      <c r="CS2395" s="496" t="s">
        <v>1554</v>
      </c>
      <c r="CT2395" s="496" t="s">
        <v>1555</v>
      </c>
      <c r="CU2395" s="496" t="s">
        <v>1556</v>
      </c>
      <c r="CV2395" s="497" t="s">
        <v>5258</v>
      </c>
      <c r="CX2395" s="543">
        <v>1</v>
      </c>
    </row>
    <row r="2396" spans="91:102" ht="21" customHeight="1">
      <c r="CM2396" s="494"/>
      <c r="CN2396" s="496" t="s">
        <v>5697</v>
      </c>
      <c r="CO2396" s="496" t="s">
        <v>15</v>
      </c>
      <c r="CP2396" s="496" t="s">
        <v>690</v>
      </c>
      <c r="CQ2396" s="496" t="s">
        <v>5698</v>
      </c>
      <c r="CR2396" s="496" t="s">
        <v>5698</v>
      </c>
      <c r="CS2396" s="496" t="s">
        <v>1085</v>
      </c>
      <c r="CT2396" s="496" t="s">
        <v>5699</v>
      </c>
      <c r="CU2396" s="496" t="s">
        <v>1087</v>
      </c>
      <c r="CV2396" s="497" t="s">
        <v>1088</v>
      </c>
      <c r="CX2396" s="543">
        <v>1</v>
      </c>
    </row>
    <row r="2397" spans="91:102" ht="21" customHeight="1">
      <c r="CM2397" s="494"/>
      <c r="CN2397" s="496" t="s">
        <v>5700</v>
      </c>
      <c r="CO2397" s="496" t="s">
        <v>15</v>
      </c>
      <c r="CP2397" s="496" t="s">
        <v>690</v>
      </c>
      <c r="CQ2397" s="496" t="s">
        <v>5701</v>
      </c>
      <c r="CR2397" s="496" t="s">
        <v>5701</v>
      </c>
      <c r="CS2397" s="496" t="s">
        <v>1085</v>
      </c>
      <c r="CT2397" s="496" t="s">
        <v>5699</v>
      </c>
      <c r="CU2397" s="496" t="s">
        <v>1087</v>
      </c>
      <c r="CV2397" s="497" t="s">
        <v>1088</v>
      </c>
      <c r="CX2397" s="543">
        <v>1</v>
      </c>
    </row>
    <row r="2398" spans="91:102" ht="21" customHeight="1">
      <c r="CM2398" s="494"/>
      <c r="CN2398" s="496" t="s">
        <v>5702</v>
      </c>
      <c r="CO2398" s="496" t="s">
        <v>15</v>
      </c>
      <c r="CP2398" s="496" t="s">
        <v>690</v>
      </c>
      <c r="CQ2398" s="496" t="s">
        <v>5703</v>
      </c>
      <c r="CR2398" s="496" t="s">
        <v>5703</v>
      </c>
      <c r="CS2398" s="496" t="s">
        <v>1085</v>
      </c>
      <c r="CT2398" s="496" t="s">
        <v>5699</v>
      </c>
      <c r="CU2398" s="496" t="s">
        <v>1087</v>
      </c>
      <c r="CV2398" s="497" t="s">
        <v>1088</v>
      </c>
      <c r="CX2398" s="543">
        <v>1</v>
      </c>
    </row>
    <row r="2399" spans="91:102" ht="21" customHeight="1">
      <c r="CM2399" s="494"/>
      <c r="CN2399" s="496" t="s">
        <v>5704</v>
      </c>
      <c r="CO2399" s="496" t="s">
        <v>15</v>
      </c>
      <c r="CP2399" s="496" t="s">
        <v>690</v>
      </c>
      <c r="CQ2399" s="496" t="s">
        <v>5705</v>
      </c>
      <c r="CR2399" s="496" t="s">
        <v>5705</v>
      </c>
      <c r="CS2399" s="496" t="s">
        <v>1085</v>
      </c>
      <c r="CT2399" s="496" t="s">
        <v>5699</v>
      </c>
      <c r="CU2399" s="496" t="s">
        <v>1087</v>
      </c>
      <c r="CV2399" s="497" t="s">
        <v>1088</v>
      </c>
      <c r="CX2399" s="543">
        <v>1</v>
      </c>
    </row>
    <row r="2400" spans="91:102" ht="21" customHeight="1">
      <c r="CM2400" s="494"/>
      <c r="CN2400" s="496" t="s">
        <v>5706</v>
      </c>
      <c r="CO2400" s="496" t="s">
        <v>15</v>
      </c>
      <c r="CP2400" s="496" t="s">
        <v>690</v>
      </c>
      <c r="CQ2400" s="496" t="s">
        <v>5707</v>
      </c>
      <c r="CR2400" s="496" t="s">
        <v>5707</v>
      </c>
      <c r="CS2400" s="496" t="s">
        <v>1085</v>
      </c>
      <c r="CT2400" s="496" t="s">
        <v>5699</v>
      </c>
      <c r="CU2400" s="496" t="s">
        <v>1087</v>
      </c>
      <c r="CV2400" s="497" t="s">
        <v>1088</v>
      </c>
      <c r="CX2400" s="543">
        <v>1</v>
      </c>
    </row>
    <row r="2401" spans="91:102" ht="21" customHeight="1">
      <c r="CM2401" s="494"/>
      <c r="CN2401" s="496" t="s">
        <v>5708</v>
      </c>
      <c r="CO2401" s="496" t="s">
        <v>15</v>
      </c>
      <c r="CP2401" s="496" t="s">
        <v>690</v>
      </c>
      <c r="CQ2401" s="496" t="s">
        <v>5709</v>
      </c>
      <c r="CR2401" s="496" t="s">
        <v>5709</v>
      </c>
      <c r="CS2401" s="496" t="s">
        <v>1085</v>
      </c>
      <c r="CT2401" s="496" t="s">
        <v>5699</v>
      </c>
      <c r="CU2401" s="496" t="s">
        <v>1087</v>
      </c>
      <c r="CV2401" s="497" t="s">
        <v>1088</v>
      </c>
      <c r="CX2401" s="543">
        <v>1</v>
      </c>
    </row>
    <row r="2402" spans="91:102" ht="21" customHeight="1">
      <c r="CM2402" s="494"/>
      <c r="CN2402" s="496" t="s">
        <v>5710</v>
      </c>
      <c r="CO2402" s="496" t="s">
        <v>15</v>
      </c>
      <c r="CP2402" s="496" t="s">
        <v>690</v>
      </c>
      <c r="CQ2402" s="496" t="s">
        <v>1478</v>
      </c>
      <c r="CR2402" s="496" t="s">
        <v>860</v>
      </c>
      <c r="CS2402" s="496" t="s">
        <v>1151</v>
      </c>
      <c r="CT2402" s="496" t="s">
        <v>1446</v>
      </c>
      <c r="CU2402" s="496" t="s">
        <v>1087</v>
      </c>
      <c r="CV2402" s="497" t="s">
        <v>1153</v>
      </c>
      <c r="CX2402" s="543">
        <v>1</v>
      </c>
    </row>
    <row r="2403" spans="91:102" ht="21" customHeight="1">
      <c r="CM2403" s="494"/>
      <c r="CN2403" s="496" t="s">
        <v>5711</v>
      </c>
      <c r="CO2403" s="496" t="s">
        <v>15</v>
      </c>
      <c r="CP2403" s="496" t="s">
        <v>690</v>
      </c>
      <c r="CQ2403" s="496" t="s">
        <v>857</v>
      </c>
      <c r="CR2403" s="496" t="s">
        <v>861</v>
      </c>
      <c r="CS2403" s="496" t="s">
        <v>1085</v>
      </c>
      <c r="CT2403" s="496" t="s">
        <v>5699</v>
      </c>
      <c r="CU2403" s="496" t="s">
        <v>1087</v>
      </c>
      <c r="CV2403" s="497" t="s">
        <v>1088</v>
      </c>
      <c r="CX2403" s="543">
        <v>1</v>
      </c>
    </row>
    <row r="2404" spans="91:102" ht="21" customHeight="1">
      <c r="CM2404" s="494"/>
      <c r="CN2404" s="496" t="s">
        <v>5712</v>
      </c>
      <c r="CO2404" s="496" t="s">
        <v>15</v>
      </c>
      <c r="CP2404" s="496" t="s">
        <v>690</v>
      </c>
      <c r="CQ2404" s="496" t="s">
        <v>1481</v>
      </c>
      <c r="CR2404" s="496" t="s">
        <v>863</v>
      </c>
      <c r="CS2404" s="496" t="s">
        <v>1085</v>
      </c>
      <c r="CT2404" s="496" t="s">
        <v>5699</v>
      </c>
      <c r="CU2404" s="496" t="s">
        <v>1087</v>
      </c>
      <c r="CV2404" s="497" t="s">
        <v>1088</v>
      </c>
      <c r="CX2404" s="543">
        <v>1</v>
      </c>
    </row>
    <row r="2405" spans="91:102" ht="21" customHeight="1">
      <c r="CM2405" s="494"/>
      <c r="CN2405" s="496" t="s">
        <v>5713</v>
      </c>
      <c r="CO2405" s="496" t="s">
        <v>15</v>
      </c>
      <c r="CP2405" s="496" t="s">
        <v>690</v>
      </c>
      <c r="CQ2405" s="496" t="s">
        <v>1483</v>
      </c>
      <c r="CR2405" s="496" t="s">
        <v>1484</v>
      </c>
      <c r="CS2405" s="496" t="s">
        <v>1151</v>
      </c>
      <c r="CT2405" s="496" t="s">
        <v>1446</v>
      </c>
      <c r="CU2405" s="496" t="s">
        <v>1087</v>
      </c>
      <c r="CV2405" s="497" t="s">
        <v>1153</v>
      </c>
      <c r="CX2405" s="543">
        <v>1</v>
      </c>
    </row>
    <row r="2406" spans="91:102" ht="21" customHeight="1">
      <c r="CM2406" s="494"/>
      <c r="CN2406" s="496" t="s">
        <v>5714</v>
      </c>
      <c r="CO2406" s="496" t="s">
        <v>15</v>
      </c>
      <c r="CP2406" s="496" t="s">
        <v>690</v>
      </c>
      <c r="CQ2406" s="496" t="s">
        <v>1486</v>
      </c>
      <c r="CR2406" s="496" t="s">
        <v>864</v>
      </c>
      <c r="CS2406" s="496" t="s">
        <v>1151</v>
      </c>
      <c r="CT2406" s="496" t="s">
        <v>1446</v>
      </c>
      <c r="CU2406" s="496" t="s">
        <v>1087</v>
      </c>
      <c r="CV2406" s="497" t="s">
        <v>1153</v>
      </c>
      <c r="CX2406" s="543">
        <v>1</v>
      </c>
    </row>
    <row r="2407" spans="91:102" ht="21" customHeight="1">
      <c r="CM2407" s="494"/>
      <c r="CN2407" s="496" t="s">
        <v>5715</v>
      </c>
      <c r="CO2407" s="496" t="s">
        <v>15</v>
      </c>
      <c r="CP2407" s="496" t="s">
        <v>690</v>
      </c>
      <c r="CQ2407" s="496" t="s">
        <v>1488</v>
      </c>
      <c r="CR2407" s="496" t="s">
        <v>867</v>
      </c>
      <c r="CS2407" s="496" t="s">
        <v>1151</v>
      </c>
      <c r="CT2407" s="496" t="s">
        <v>1446</v>
      </c>
      <c r="CU2407" s="496" t="s">
        <v>1087</v>
      </c>
      <c r="CV2407" s="497" t="s">
        <v>1153</v>
      </c>
      <c r="CX2407" s="543">
        <v>1</v>
      </c>
    </row>
    <row r="2408" spans="91:102" ht="21" customHeight="1">
      <c r="CM2408" s="494"/>
      <c r="CN2408" s="496" t="s">
        <v>5716</v>
      </c>
      <c r="CO2408" s="496" t="s">
        <v>15</v>
      </c>
      <c r="CP2408" s="496" t="s">
        <v>690</v>
      </c>
      <c r="CQ2408" s="496" t="s">
        <v>1490</v>
      </c>
      <c r="CR2408" s="496" t="s">
        <v>869</v>
      </c>
      <c r="CS2408" s="496" t="s">
        <v>1085</v>
      </c>
      <c r="CT2408" s="496" t="s">
        <v>5699</v>
      </c>
      <c r="CU2408" s="496" t="s">
        <v>1087</v>
      </c>
      <c r="CV2408" s="497" t="s">
        <v>1088</v>
      </c>
      <c r="CX2408" s="543">
        <v>1</v>
      </c>
    </row>
    <row r="2409" spans="91:102" ht="21" customHeight="1">
      <c r="CM2409" s="494"/>
      <c r="CN2409" s="496" t="s">
        <v>5717</v>
      </c>
      <c r="CO2409" s="496" t="s">
        <v>15</v>
      </c>
      <c r="CP2409" s="496" t="s">
        <v>690</v>
      </c>
      <c r="CQ2409" s="496" t="s">
        <v>693</v>
      </c>
      <c r="CR2409" s="496" t="s">
        <v>693</v>
      </c>
      <c r="CS2409" s="496" t="s">
        <v>1085</v>
      </c>
      <c r="CT2409" s="496" t="s">
        <v>5699</v>
      </c>
      <c r="CU2409" s="496" t="s">
        <v>1087</v>
      </c>
      <c r="CV2409" s="497" t="s">
        <v>1088</v>
      </c>
      <c r="CX2409" s="543">
        <v>1</v>
      </c>
    </row>
    <row r="2410" spans="91:102" ht="21" customHeight="1">
      <c r="CM2410" s="494"/>
      <c r="CN2410" s="496" t="s">
        <v>5718</v>
      </c>
      <c r="CO2410" s="496" t="s">
        <v>15</v>
      </c>
      <c r="CP2410" s="496" t="s">
        <v>690</v>
      </c>
      <c r="CQ2410" s="496" t="s">
        <v>5719</v>
      </c>
      <c r="CR2410" s="496" t="s">
        <v>5720</v>
      </c>
      <c r="CS2410" s="496" t="s">
        <v>1085</v>
      </c>
      <c r="CT2410" s="496" t="s">
        <v>5699</v>
      </c>
      <c r="CU2410" s="496" t="s">
        <v>1087</v>
      </c>
      <c r="CV2410" s="497" t="s">
        <v>1088</v>
      </c>
      <c r="CX2410" s="543">
        <v>1</v>
      </c>
    </row>
    <row r="2411" spans="91:102" ht="21" customHeight="1">
      <c r="CM2411" s="494"/>
      <c r="CN2411" s="496" t="s">
        <v>5721</v>
      </c>
      <c r="CO2411" s="496" t="s">
        <v>15</v>
      </c>
      <c r="CP2411" s="496" t="s">
        <v>690</v>
      </c>
      <c r="CQ2411" s="496" t="s">
        <v>694</v>
      </c>
      <c r="CR2411" s="496" t="s">
        <v>694</v>
      </c>
      <c r="CS2411" s="496" t="s">
        <v>1085</v>
      </c>
      <c r="CT2411" s="496" t="s">
        <v>5699</v>
      </c>
      <c r="CU2411" s="496" t="s">
        <v>1087</v>
      </c>
      <c r="CV2411" s="497" t="s">
        <v>1088</v>
      </c>
      <c r="CX2411" s="543">
        <v>1</v>
      </c>
    </row>
    <row r="2412" spans="91:102" ht="21" customHeight="1">
      <c r="CM2412" s="494"/>
      <c r="CN2412" s="496" t="s">
        <v>5722</v>
      </c>
      <c r="CO2412" s="496" t="s">
        <v>15</v>
      </c>
      <c r="CP2412" s="496" t="s">
        <v>1511</v>
      </c>
      <c r="CQ2412" s="496" t="s">
        <v>3801</v>
      </c>
      <c r="CR2412" s="496" t="s">
        <v>3801</v>
      </c>
      <c r="CS2412" s="496" t="s">
        <v>1085</v>
      </c>
      <c r="CT2412" s="496" t="s">
        <v>3799</v>
      </c>
      <c r="CU2412" s="496" t="s">
        <v>1087</v>
      </c>
      <c r="CV2412" s="497" t="s">
        <v>1088</v>
      </c>
      <c r="CX2412" s="543">
        <v>1</v>
      </c>
    </row>
    <row r="2413" spans="91:102" ht="21" customHeight="1">
      <c r="CM2413" s="494"/>
      <c r="CN2413" s="496" t="s">
        <v>5723</v>
      </c>
      <c r="CO2413" s="496" t="s">
        <v>15</v>
      </c>
      <c r="CP2413" s="496" t="s">
        <v>1511</v>
      </c>
      <c r="CQ2413" s="496" t="s">
        <v>3808</v>
      </c>
      <c r="CR2413" s="496" t="s">
        <v>3808</v>
      </c>
      <c r="CS2413" s="496" t="s">
        <v>1085</v>
      </c>
      <c r="CT2413" s="496" t="s">
        <v>3799</v>
      </c>
      <c r="CU2413" s="496" t="s">
        <v>1087</v>
      </c>
      <c r="CV2413" s="497" t="s">
        <v>1088</v>
      </c>
      <c r="CX2413" s="543">
        <v>1</v>
      </c>
    </row>
    <row r="2414" spans="91:102" ht="21" customHeight="1">
      <c r="CM2414" s="494"/>
      <c r="CN2414" s="496" t="s">
        <v>5724</v>
      </c>
      <c r="CO2414" s="496" t="s">
        <v>15</v>
      </c>
      <c r="CP2414" s="496" t="s">
        <v>1511</v>
      </c>
      <c r="CQ2414" s="496" t="s">
        <v>5725</v>
      </c>
      <c r="CR2414" s="496" t="s">
        <v>5726</v>
      </c>
      <c r="CS2414" s="496" t="s">
        <v>1085</v>
      </c>
      <c r="CT2414" s="496" t="s">
        <v>3799</v>
      </c>
      <c r="CU2414" s="496" t="s">
        <v>1087</v>
      </c>
      <c r="CV2414" s="497" t="s">
        <v>1088</v>
      </c>
      <c r="CX2414" s="543">
        <v>1</v>
      </c>
    </row>
    <row r="2415" spans="91:102" ht="21" customHeight="1">
      <c r="CM2415" s="494"/>
      <c r="CN2415" s="496" t="s">
        <v>5727</v>
      </c>
      <c r="CO2415" s="496" t="s">
        <v>15</v>
      </c>
      <c r="CP2415" s="496" t="s">
        <v>1511</v>
      </c>
      <c r="CQ2415" s="496" t="s">
        <v>5728</v>
      </c>
      <c r="CR2415" s="496" t="s">
        <v>5729</v>
      </c>
      <c r="CS2415" s="496" t="s">
        <v>1085</v>
      </c>
      <c r="CT2415" s="496" t="s">
        <v>3799</v>
      </c>
      <c r="CU2415" s="496" t="s">
        <v>1087</v>
      </c>
      <c r="CV2415" s="497" t="s">
        <v>1088</v>
      </c>
      <c r="CX2415" s="543">
        <v>1</v>
      </c>
    </row>
    <row r="2416" spans="91:102" ht="21" customHeight="1">
      <c r="CM2416" s="494"/>
      <c r="CN2416" s="496" t="s">
        <v>5730</v>
      </c>
      <c r="CO2416" s="496" t="s">
        <v>15</v>
      </c>
      <c r="CP2416" s="496" t="s">
        <v>1511</v>
      </c>
      <c r="CQ2416" s="496" t="s">
        <v>1052</v>
      </c>
      <c r="CR2416" s="496" t="s">
        <v>1052</v>
      </c>
      <c r="CS2416" s="496" t="s">
        <v>1085</v>
      </c>
      <c r="CT2416" s="496" t="s">
        <v>3799</v>
      </c>
      <c r="CU2416" s="496" t="s">
        <v>1087</v>
      </c>
      <c r="CV2416" s="497" t="s">
        <v>1088</v>
      </c>
      <c r="CX2416" s="543">
        <v>1</v>
      </c>
    </row>
    <row r="2417" spans="92:102" ht="21" customHeight="1">
      <c r="CN2417" s="496" t="s">
        <v>5747</v>
      </c>
      <c r="CO2417" s="496" t="s">
        <v>1083</v>
      </c>
      <c r="CP2417" s="496" t="s">
        <v>690</v>
      </c>
      <c r="CQ2417" s="496" t="s">
        <v>5738</v>
      </c>
      <c r="CR2417" s="496" t="s">
        <v>5738</v>
      </c>
      <c r="CS2417" s="496" t="s">
        <v>1085</v>
      </c>
      <c r="CT2417" s="496" t="s">
        <v>5748</v>
      </c>
      <c r="CU2417" s="496" t="s">
        <v>1087</v>
      </c>
      <c r="CV2417" s="497" t="s">
        <v>1153</v>
      </c>
      <c r="CX2417" s="543">
        <v>1</v>
      </c>
    </row>
    <row r="2418" spans="92:102" ht="21" customHeight="1">
      <c r="CN2418" s="496" t="s">
        <v>5749</v>
      </c>
      <c r="CO2418" s="496" t="s">
        <v>1083</v>
      </c>
      <c r="CP2418" s="496" t="s">
        <v>689</v>
      </c>
      <c r="CQ2418" s="496" t="s">
        <v>887</v>
      </c>
      <c r="CR2418" s="496" t="s">
        <v>887</v>
      </c>
      <c r="CS2418" s="496" t="s">
        <v>5750</v>
      </c>
      <c r="CT2418" s="496" t="s">
        <v>5751</v>
      </c>
      <c r="CU2418" s="496" t="s">
        <v>1087</v>
      </c>
      <c r="CV2418" s="497" t="s">
        <v>1153</v>
      </c>
      <c r="CX2418" s="543">
        <v>1</v>
      </c>
    </row>
    <row r="2419" spans="92:102" ht="21" customHeight="1">
      <c r="CN2419" s="496" t="s">
        <v>5752</v>
      </c>
      <c r="CO2419" s="496" t="s">
        <v>1083</v>
      </c>
      <c r="CP2419" s="496" t="s">
        <v>689</v>
      </c>
      <c r="CQ2419" s="496" t="s">
        <v>5753</v>
      </c>
      <c r="CR2419" s="496" t="s">
        <v>5753</v>
      </c>
      <c r="CS2419" s="496" t="s">
        <v>5750</v>
      </c>
      <c r="CT2419" s="496" t="s">
        <v>5754</v>
      </c>
      <c r="CU2419" s="496" t="s">
        <v>1087</v>
      </c>
      <c r="CV2419" s="497" t="s">
        <v>1153</v>
      </c>
      <c r="CX2419" s="543">
        <v>1</v>
      </c>
    </row>
    <row r="2420" spans="92:102" ht="21" customHeight="1">
      <c r="CN2420" s="496" t="s">
        <v>5755</v>
      </c>
      <c r="CO2420" s="496" t="s">
        <v>1083</v>
      </c>
      <c r="CP2420" s="496" t="s">
        <v>689</v>
      </c>
      <c r="CQ2420" s="496" t="s">
        <v>5756</v>
      </c>
      <c r="CR2420" s="496" t="s">
        <v>5756</v>
      </c>
      <c r="CS2420" s="496" t="s">
        <v>5750</v>
      </c>
      <c r="CT2420" s="496" t="s">
        <v>5757</v>
      </c>
      <c r="CU2420" s="496" t="s">
        <v>1087</v>
      </c>
      <c r="CV2420" s="497" t="s">
        <v>1153</v>
      </c>
      <c r="CX2420" s="543">
        <v>1</v>
      </c>
    </row>
    <row r="2421" spans="92:102" ht="21" customHeight="1">
      <c r="CN2421" s="496" t="s">
        <v>5758</v>
      </c>
      <c r="CO2421" s="496" t="s">
        <v>8</v>
      </c>
      <c r="CP2421" s="496" t="s">
        <v>689</v>
      </c>
      <c r="CQ2421" s="496" t="s">
        <v>45</v>
      </c>
      <c r="CR2421" s="496" t="s">
        <v>45</v>
      </c>
      <c r="CS2421" s="496" t="s">
        <v>5750</v>
      </c>
      <c r="CT2421" s="496" t="s">
        <v>5759</v>
      </c>
      <c r="CU2421" s="496" t="s">
        <v>1087</v>
      </c>
      <c r="CV2421" s="497" t="s">
        <v>1153</v>
      </c>
      <c r="CX2421" s="543">
        <v>1</v>
      </c>
    </row>
    <row r="2422" spans="92:102" ht="21" customHeight="1">
      <c r="CN2422" s="496" t="s">
        <v>5760</v>
      </c>
      <c r="CO2422" s="496" t="s">
        <v>8</v>
      </c>
      <c r="CP2422" s="496" t="s">
        <v>689</v>
      </c>
      <c r="CQ2422" s="496" t="s">
        <v>5761</v>
      </c>
      <c r="CR2422" s="496" t="s">
        <v>5761</v>
      </c>
      <c r="CS2422" s="496" t="s">
        <v>5750</v>
      </c>
      <c r="CT2422" s="496" t="s">
        <v>5762</v>
      </c>
      <c r="CU2422" s="496" t="s">
        <v>1087</v>
      </c>
      <c r="CV2422" s="497" t="s">
        <v>1153</v>
      </c>
      <c r="CX2422" s="543">
        <v>1</v>
      </c>
    </row>
    <row r="2423" spans="92:102" ht="21" customHeight="1">
      <c r="CN2423" s="496" t="s">
        <v>5763</v>
      </c>
      <c r="CO2423" s="496" t="s">
        <v>11</v>
      </c>
      <c r="CP2423" s="496" t="s">
        <v>689</v>
      </c>
      <c r="CQ2423" s="496" t="s">
        <v>5764</v>
      </c>
      <c r="CR2423" s="496" t="s">
        <v>5764</v>
      </c>
      <c r="CS2423" s="496" t="s">
        <v>5765</v>
      </c>
      <c r="CT2423" s="496" t="s">
        <v>5766</v>
      </c>
      <c r="CU2423" s="496" t="s">
        <v>1087</v>
      </c>
      <c r="CV2423" s="497" t="s">
        <v>1153</v>
      </c>
      <c r="CX2423" s="543">
        <v>1</v>
      </c>
    </row>
    <row r="2424" spans="92:102" ht="21" customHeight="1">
      <c r="CN2424" s="496" t="s">
        <v>5767</v>
      </c>
      <c r="CO2424" s="496" t="s">
        <v>11</v>
      </c>
      <c r="CP2424" s="496" t="s">
        <v>689</v>
      </c>
      <c r="CQ2424" s="496" t="s">
        <v>5768</v>
      </c>
      <c r="CR2424" s="496" t="s">
        <v>5768</v>
      </c>
      <c r="CS2424" s="496" t="s">
        <v>5765</v>
      </c>
      <c r="CT2424" s="496" t="s">
        <v>5769</v>
      </c>
      <c r="CU2424" s="496" t="s">
        <v>1087</v>
      </c>
      <c r="CV2424" s="497" t="s">
        <v>1153</v>
      </c>
      <c r="CX2424" s="543">
        <v>1</v>
      </c>
    </row>
    <row r="2425" spans="92:102" ht="21" customHeight="1">
      <c r="CN2425" s="496"/>
      <c r="CO2425" s="496"/>
      <c r="CP2425" s="496"/>
      <c r="CQ2425" s="496" t="s">
        <v>5770</v>
      </c>
      <c r="CR2425" s="496" t="s">
        <v>5771</v>
      </c>
      <c r="CS2425" s="496" t="s">
        <v>1085</v>
      </c>
      <c r="CT2425" s="496" t="s">
        <v>5772</v>
      </c>
      <c r="CU2425" s="496" t="s">
        <v>3961</v>
      </c>
      <c r="CV2425" s="497" t="s">
        <v>1153</v>
      </c>
      <c r="CX2425" s="543">
        <v>1</v>
      </c>
    </row>
    <row r="2426" spans="92:102" ht="21" customHeight="1">
      <c r="CN2426" s="496"/>
      <c r="CO2426" s="496"/>
      <c r="CP2426" s="496"/>
      <c r="CQ2426" s="496" t="s">
        <v>5773</v>
      </c>
      <c r="CR2426" s="496" t="s">
        <v>17</v>
      </c>
      <c r="CS2426" s="496" t="s">
        <v>1085</v>
      </c>
      <c r="CT2426" s="496" t="s">
        <v>5774</v>
      </c>
      <c r="CU2426" s="496" t="s">
        <v>3961</v>
      </c>
      <c r="CV2426" s="497" t="s">
        <v>1153</v>
      </c>
      <c r="CX2426" s="543">
        <v>1</v>
      </c>
    </row>
    <row r="2427" spans="92:102" ht="21" customHeight="1">
      <c r="CN2427" s="496"/>
      <c r="CO2427" s="496"/>
      <c r="CP2427" s="496"/>
      <c r="CQ2427" s="496" t="s">
        <v>5775</v>
      </c>
      <c r="CR2427" s="496" t="s">
        <v>713</v>
      </c>
      <c r="CS2427" s="496" t="s">
        <v>1085</v>
      </c>
      <c r="CT2427" s="496" t="s">
        <v>5776</v>
      </c>
      <c r="CU2427" s="496" t="s">
        <v>3961</v>
      </c>
      <c r="CV2427" s="497" t="s">
        <v>1153</v>
      </c>
      <c r="CX2427" s="543">
        <v>1</v>
      </c>
    </row>
    <row r="2428" spans="92:102" ht="21" customHeight="1">
      <c r="CN2428" s="496"/>
      <c r="CO2428" s="496"/>
      <c r="CP2428" s="496"/>
      <c r="CQ2428" s="496" t="s">
        <v>5777</v>
      </c>
      <c r="CR2428" s="496" t="s">
        <v>5778</v>
      </c>
      <c r="CS2428" s="496" t="s">
        <v>1085</v>
      </c>
      <c r="CT2428" s="496" t="s">
        <v>5774</v>
      </c>
      <c r="CU2428" s="496" t="s">
        <v>3961</v>
      </c>
      <c r="CV2428" s="497" t="s">
        <v>1153</v>
      </c>
      <c r="CX2428" s="543">
        <v>1</v>
      </c>
    </row>
    <row r="2429" spans="92:102" ht="21" customHeight="1">
      <c r="CN2429" s="496"/>
      <c r="CO2429" s="496"/>
      <c r="CP2429" s="496"/>
      <c r="CQ2429" s="496" t="s">
        <v>5779</v>
      </c>
      <c r="CR2429" s="496" t="s">
        <v>5780</v>
      </c>
      <c r="CS2429" s="496" t="s">
        <v>1085</v>
      </c>
      <c r="CT2429" s="496" t="s">
        <v>5781</v>
      </c>
      <c r="CU2429" s="496" t="s">
        <v>3961</v>
      </c>
      <c r="CV2429" s="497" t="s">
        <v>1153</v>
      </c>
      <c r="CX2429" s="543">
        <v>1</v>
      </c>
    </row>
    <row r="2430" spans="92:102" ht="21" customHeight="1">
      <c r="CN2430" s="496"/>
      <c r="CO2430" s="496"/>
      <c r="CP2430" s="496"/>
      <c r="CQ2430" s="496" t="s">
        <v>1285</v>
      </c>
      <c r="CR2430" s="496" t="s">
        <v>1286</v>
      </c>
      <c r="CS2430" s="496" t="s">
        <v>1085</v>
      </c>
      <c r="CT2430" s="496" t="s">
        <v>5772</v>
      </c>
      <c r="CU2430" s="496" t="s">
        <v>3961</v>
      </c>
      <c r="CV2430" s="497" t="s">
        <v>1153</v>
      </c>
      <c r="CX2430" s="543">
        <v>1</v>
      </c>
    </row>
    <row r="2431" spans="92:102" ht="21" customHeight="1">
      <c r="CN2431" s="496"/>
      <c r="CO2431" s="496"/>
      <c r="CP2431" s="496"/>
      <c r="CQ2431" s="496" t="s">
        <v>5782</v>
      </c>
      <c r="CR2431" s="496" t="s">
        <v>42</v>
      </c>
      <c r="CS2431" s="496" t="s">
        <v>1085</v>
      </c>
      <c r="CT2431" s="496" t="s">
        <v>5774</v>
      </c>
      <c r="CU2431" s="496" t="s">
        <v>3961</v>
      </c>
      <c r="CV2431" s="497" t="s">
        <v>1153</v>
      </c>
      <c r="CX2431" s="543">
        <v>1</v>
      </c>
    </row>
    <row r="2432" spans="92:102" ht="21" customHeight="1">
      <c r="CN2432" s="496"/>
      <c r="CO2432" s="496"/>
      <c r="CP2432" s="496"/>
      <c r="CQ2432" s="496" t="s">
        <v>5783</v>
      </c>
      <c r="CR2432" s="496" t="s">
        <v>5784</v>
      </c>
      <c r="CS2432" s="496" t="s">
        <v>1085</v>
      </c>
      <c r="CT2432" s="496" t="s">
        <v>5776</v>
      </c>
      <c r="CU2432" s="496" t="s">
        <v>3961</v>
      </c>
      <c r="CV2432" s="497" t="s">
        <v>1153</v>
      </c>
      <c r="CX2432" s="543">
        <v>1</v>
      </c>
    </row>
    <row r="2433" spans="92:102" ht="21" customHeight="1">
      <c r="CN2433" s="496"/>
      <c r="CO2433" s="496"/>
      <c r="CP2433" s="496"/>
      <c r="CQ2433" s="496" t="s">
        <v>5785</v>
      </c>
      <c r="CR2433" s="496" t="s">
        <v>30</v>
      </c>
      <c r="CS2433" s="496" t="s">
        <v>1085</v>
      </c>
      <c r="CT2433" s="496" t="s">
        <v>5774</v>
      </c>
      <c r="CU2433" s="496" t="s">
        <v>3961</v>
      </c>
      <c r="CV2433" s="497" t="s">
        <v>1153</v>
      </c>
      <c r="CX2433" s="543">
        <v>1</v>
      </c>
    </row>
    <row r="2434" spans="92:102" ht="21" customHeight="1">
      <c r="CN2434" s="496"/>
      <c r="CO2434" s="496"/>
      <c r="CP2434" s="496"/>
      <c r="CQ2434" s="496" t="s">
        <v>5786</v>
      </c>
      <c r="CR2434" s="496" t="s">
        <v>5787</v>
      </c>
      <c r="CS2434" s="496" t="s">
        <v>1085</v>
      </c>
      <c r="CT2434" s="496" t="s">
        <v>5772</v>
      </c>
      <c r="CU2434" s="496" t="s">
        <v>3961</v>
      </c>
      <c r="CV2434" s="497" t="s">
        <v>1153</v>
      </c>
      <c r="CX2434" s="543">
        <v>1</v>
      </c>
    </row>
    <row r="2435" spans="92:102" ht="21" customHeight="1">
      <c r="CN2435" s="496"/>
      <c r="CO2435" s="496"/>
      <c r="CP2435" s="496"/>
      <c r="CQ2435" s="496" t="s">
        <v>5788</v>
      </c>
      <c r="CR2435" s="496" t="s">
        <v>5789</v>
      </c>
      <c r="CS2435" s="496" t="s">
        <v>1085</v>
      </c>
      <c r="CT2435" s="496" t="s">
        <v>5774</v>
      </c>
      <c r="CU2435" s="496" t="s">
        <v>3961</v>
      </c>
      <c r="CV2435" s="497" t="s">
        <v>1153</v>
      </c>
      <c r="CX2435" s="543">
        <v>1</v>
      </c>
    </row>
    <row r="2436" spans="92:102" ht="21" customHeight="1">
      <c r="CN2436" s="496"/>
      <c r="CO2436" s="496"/>
      <c r="CP2436" s="496"/>
      <c r="CQ2436" s="496" t="s">
        <v>5790</v>
      </c>
      <c r="CR2436" s="496" t="s">
        <v>5791</v>
      </c>
      <c r="CS2436" s="496" t="s">
        <v>1085</v>
      </c>
      <c r="CT2436" s="496" t="s">
        <v>5776</v>
      </c>
      <c r="CU2436" s="496" t="s">
        <v>3961</v>
      </c>
      <c r="CV2436" s="497" t="s">
        <v>1153</v>
      </c>
      <c r="CX2436" s="543">
        <v>1</v>
      </c>
    </row>
    <row r="2437" spans="92:102" ht="21" customHeight="1">
      <c r="CN2437" s="496"/>
      <c r="CO2437" s="496"/>
      <c r="CP2437" s="496"/>
      <c r="CQ2437" s="496" t="s">
        <v>5792</v>
      </c>
      <c r="CR2437" s="496" t="s">
        <v>5793</v>
      </c>
      <c r="CS2437" s="496" t="s">
        <v>1085</v>
      </c>
      <c r="CT2437" s="496" t="s">
        <v>5774</v>
      </c>
      <c r="CU2437" s="496" t="s">
        <v>3961</v>
      </c>
      <c r="CV2437" s="497" t="s">
        <v>1153</v>
      </c>
      <c r="CX2437" s="543">
        <v>1</v>
      </c>
    </row>
    <row r="2438" spans="92:102" ht="21" customHeight="1">
      <c r="CN2438" s="496"/>
      <c r="CO2438" s="496"/>
      <c r="CP2438" s="496"/>
      <c r="CQ2438" s="496" t="s">
        <v>5219</v>
      </c>
      <c r="CR2438" s="496" t="s">
        <v>5219</v>
      </c>
      <c r="CS2438" s="496" t="s">
        <v>1085</v>
      </c>
      <c r="CT2438" s="496" t="s">
        <v>5794</v>
      </c>
      <c r="CU2438" s="496" t="s">
        <v>5795</v>
      </c>
      <c r="CV2438" s="497" t="s">
        <v>1153</v>
      </c>
      <c r="CX2438" s="543">
        <v>1</v>
      </c>
    </row>
    <row r="2439" spans="92:102" ht="21" customHeight="1">
      <c r="CN2439" s="496"/>
      <c r="CO2439" s="496"/>
      <c r="CP2439" s="496"/>
      <c r="CQ2439" s="496" t="s">
        <v>5796</v>
      </c>
      <c r="CR2439" s="496" t="s">
        <v>5796</v>
      </c>
      <c r="CS2439" s="496" t="s">
        <v>1085</v>
      </c>
      <c r="CT2439" s="496" t="s">
        <v>5794</v>
      </c>
      <c r="CU2439" s="496" t="s">
        <v>5795</v>
      </c>
      <c r="CV2439" s="497" t="s">
        <v>1153</v>
      </c>
      <c r="CX2439" s="543">
        <v>1</v>
      </c>
    </row>
    <row r="2440" spans="92:102" ht="21" customHeight="1">
      <c r="CN2440" s="496"/>
      <c r="CO2440" s="496"/>
      <c r="CP2440" s="496"/>
      <c r="CQ2440" s="496" t="s">
        <v>5208</v>
      </c>
      <c r="CR2440" s="496" t="s">
        <v>5208</v>
      </c>
      <c r="CS2440" s="496" t="s">
        <v>1085</v>
      </c>
      <c r="CT2440" s="496" t="s">
        <v>5797</v>
      </c>
      <c r="CU2440" s="496" t="s">
        <v>5795</v>
      </c>
      <c r="CV2440" s="497" t="s">
        <v>1153</v>
      </c>
      <c r="CX2440" s="543">
        <v>1</v>
      </c>
    </row>
    <row r="2441" spans="92:102" ht="21" customHeight="1">
      <c r="CN2441" s="496"/>
      <c r="CO2441" s="496"/>
      <c r="CP2441" s="496"/>
      <c r="CQ2441" s="496" t="s">
        <v>5148</v>
      </c>
      <c r="CR2441" s="496" t="s">
        <v>5148</v>
      </c>
      <c r="CS2441" s="496" t="s">
        <v>1085</v>
      </c>
      <c r="CT2441" s="496" t="s">
        <v>5797</v>
      </c>
      <c r="CU2441" s="496" t="s">
        <v>5795</v>
      </c>
      <c r="CV2441" s="497" t="s">
        <v>1153</v>
      </c>
      <c r="CX2441" s="543">
        <v>1</v>
      </c>
    </row>
    <row r="2442" spans="92:102" ht="21" customHeight="1">
      <c r="CN2442" s="496"/>
      <c r="CO2442" s="496"/>
      <c r="CP2442" s="496"/>
      <c r="CQ2442" s="496" t="s">
        <v>5156</v>
      </c>
      <c r="CR2442" s="496" t="s">
        <v>5157</v>
      </c>
      <c r="CS2442" s="496" t="s">
        <v>1085</v>
      </c>
      <c r="CT2442" s="496" t="s">
        <v>5797</v>
      </c>
      <c r="CU2442" s="496" t="s">
        <v>5795</v>
      </c>
      <c r="CV2442" s="497" t="s">
        <v>1153</v>
      </c>
      <c r="CX2442" s="543">
        <v>1</v>
      </c>
    </row>
    <row r="2443" spans="92:102" ht="21" customHeight="1">
      <c r="CN2443" s="496"/>
      <c r="CO2443" s="496"/>
      <c r="CP2443" s="496"/>
      <c r="CQ2443" s="496" t="s">
        <v>5144</v>
      </c>
      <c r="CR2443" s="496" t="s">
        <v>5144</v>
      </c>
      <c r="CS2443" s="496" t="s">
        <v>1085</v>
      </c>
      <c r="CT2443" s="496" t="s">
        <v>5797</v>
      </c>
      <c r="CU2443" s="496" t="s">
        <v>5795</v>
      </c>
      <c r="CV2443" s="497" t="s">
        <v>1153</v>
      </c>
      <c r="CX2443" s="543">
        <v>1</v>
      </c>
    </row>
    <row r="2444" spans="92:102" ht="21" customHeight="1">
      <c r="CN2444" s="496"/>
      <c r="CO2444" s="496"/>
      <c r="CP2444" s="496"/>
      <c r="CQ2444" s="496" t="s">
        <v>5190</v>
      </c>
      <c r="CR2444" s="496" t="s">
        <v>5190</v>
      </c>
      <c r="CS2444" s="496" t="s">
        <v>1085</v>
      </c>
      <c r="CT2444" s="496" t="s">
        <v>5797</v>
      </c>
      <c r="CU2444" s="496" t="s">
        <v>5795</v>
      </c>
      <c r="CV2444" s="497" t="s">
        <v>1153</v>
      </c>
      <c r="CX2444" s="543">
        <v>1</v>
      </c>
    </row>
    <row r="2445" spans="92:102" ht="21" customHeight="1">
      <c r="CN2445" s="496"/>
      <c r="CO2445" s="496"/>
      <c r="CP2445" s="496"/>
      <c r="CQ2445" s="496" t="s">
        <v>5185</v>
      </c>
      <c r="CR2445" s="496" t="s">
        <v>5185</v>
      </c>
      <c r="CS2445" s="496" t="s">
        <v>1085</v>
      </c>
      <c r="CT2445" s="496" t="s">
        <v>5797</v>
      </c>
      <c r="CU2445" s="496" t="s">
        <v>5795</v>
      </c>
      <c r="CV2445" s="497" t="s">
        <v>1153</v>
      </c>
      <c r="CX2445" s="543">
        <v>1</v>
      </c>
    </row>
    <row r="2446" spans="92:102" ht="21" customHeight="1">
      <c r="CN2446" s="496"/>
      <c r="CO2446" s="496"/>
      <c r="CP2446" s="496"/>
      <c r="CQ2446" s="496" t="s">
        <v>5200</v>
      </c>
      <c r="CR2446" s="496" t="s">
        <v>5200</v>
      </c>
      <c r="CS2446" s="496" t="s">
        <v>1085</v>
      </c>
      <c r="CT2446" s="496" t="s">
        <v>5797</v>
      </c>
      <c r="CU2446" s="496" t="s">
        <v>5795</v>
      </c>
      <c r="CV2446" s="497" t="s">
        <v>1153</v>
      </c>
      <c r="CX2446" s="543">
        <v>1</v>
      </c>
    </row>
    <row r="2447" spans="92:102" ht="21" customHeight="1">
      <c r="CN2447" s="496"/>
      <c r="CO2447" s="496"/>
      <c r="CP2447" s="496"/>
      <c r="CQ2447" s="496" t="s">
        <v>5223</v>
      </c>
      <c r="CR2447" s="496" t="s">
        <v>5224</v>
      </c>
      <c r="CS2447" s="496" t="s">
        <v>1085</v>
      </c>
      <c r="CT2447" s="496" t="s">
        <v>5797</v>
      </c>
      <c r="CU2447" s="496" t="s">
        <v>5795</v>
      </c>
      <c r="CV2447" s="497" t="s">
        <v>1153</v>
      </c>
      <c r="CX2447" s="543">
        <v>1</v>
      </c>
    </row>
    <row r="2448" spans="92:102" ht="21" customHeight="1">
      <c r="CN2448" s="496"/>
      <c r="CO2448" s="496"/>
      <c r="CP2448" s="496"/>
      <c r="CQ2448" s="496" t="s">
        <v>5177</v>
      </c>
      <c r="CR2448" s="496" t="s">
        <v>5178</v>
      </c>
      <c r="CS2448" s="496" t="s">
        <v>1085</v>
      </c>
      <c r="CT2448" s="496" t="s">
        <v>5797</v>
      </c>
      <c r="CU2448" s="496" t="s">
        <v>5795</v>
      </c>
      <c r="CV2448" s="497" t="s">
        <v>1153</v>
      </c>
      <c r="CX2448" s="543">
        <v>1</v>
      </c>
    </row>
    <row r="2449" spans="1:102" ht="21" customHeight="1">
      <c r="CN2449" s="496"/>
      <c r="CO2449" s="496"/>
      <c r="CP2449" s="496"/>
      <c r="CQ2449" s="496" t="s">
        <v>5206</v>
      </c>
      <c r="CR2449" s="496" t="s">
        <v>5206</v>
      </c>
      <c r="CS2449" s="496" t="s">
        <v>1085</v>
      </c>
      <c r="CT2449" s="496" t="s">
        <v>5797</v>
      </c>
      <c r="CU2449" s="496" t="s">
        <v>5795</v>
      </c>
      <c r="CV2449" s="497" t="s">
        <v>1153</v>
      </c>
      <c r="CX2449" s="543">
        <v>1</v>
      </c>
    </row>
    <row r="2450" spans="1:102" ht="21" customHeight="1">
      <c r="CN2450" s="496"/>
      <c r="CO2450" s="496"/>
      <c r="CP2450" s="496"/>
      <c r="CQ2450" s="496" t="s">
        <v>5173</v>
      </c>
      <c r="CR2450" s="496" t="s">
        <v>5173</v>
      </c>
      <c r="CS2450" s="496" t="s">
        <v>1085</v>
      </c>
      <c r="CT2450" s="496" t="s">
        <v>5797</v>
      </c>
      <c r="CU2450" s="496" t="s">
        <v>5795</v>
      </c>
      <c r="CV2450" s="497" t="s">
        <v>1153</v>
      </c>
      <c r="CX2450" s="543">
        <v>1</v>
      </c>
    </row>
    <row r="2451" spans="1:102" ht="21" customHeight="1">
      <c r="CN2451" s="496"/>
      <c r="CO2451" s="496"/>
      <c r="CP2451" s="496"/>
      <c r="CQ2451" s="496" t="s">
        <v>5198</v>
      </c>
      <c r="CR2451" s="496" t="s">
        <v>5198</v>
      </c>
      <c r="CS2451" s="496" t="s">
        <v>1085</v>
      </c>
      <c r="CT2451" s="496" t="s">
        <v>5797</v>
      </c>
      <c r="CU2451" s="496" t="s">
        <v>5795</v>
      </c>
      <c r="CV2451" s="497" t="s">
        <v>1153</v>
      </c>
      <c r="CX2451" s="543">
        <v>1</v>
      </c>
    </row>
    <row r="2452" spans="1:102" ht="21" customHeight="1">
      <c r="CN2452" s="496"/>
      <c r="CO2452" s="496"/>
      <c r="CP2452" s="496"/>
      <c r="CQ2452" s="496" t="s">
        <v>5204</v>
      </c>
      <c r="CR2452" s="496" t="s">
        <v>5204</v>
      </c>
      <c r="CS2452" s="496" t="s">
        <v>1085</v>
      </c>
      <c r="CT2452" s="496" t="s">
        <v>5797</v>
      </c>
      <c r="CU2452" s="496" t="s">
        <v>5795</v>
      </c>
      <c r="CV2452" s="497" t="s">
        <v>1153</v>
      </c>
      <c r="CX2452" s="543">
        <v>1</v>
      </c>
    </row>
    <row r="2453" spans="1:102" ht="21" customHeight="1">
      <c r="CN2453" s="576"/>
      <c r="CO2453" s="576"/>
      <c r="CP2453" s="576"/>
      <c r="CQ2453" s="576" t="s">
        <v>5221</v>
      </c>
      <c r="CR2453" s="576" t="s">
        <v>5221</v>
      </c>
      <c r="CS2453" s="576" t="s">
        <v>1085</v>
      </c>
      <c r="CT2453" s="576" t="s">
        <v>5797</v>
      </c>
      <c r="CU2453" s="576" t="s">
        <v>5795</v>
      </c>
      <c r="CV2453" s="577" t="s">
        <v>1153</v>
      </c>
      <c r="CX2453" s="543">
        <v>1</v>
      </c>
    </row>
    <row r="2454" spans="1:102" ht="21" customHeight="1">
      <c r="CP2454" s="578" t="s">
        <v>1511</v>
      </c>
      <c r="CQ2454" s="578" t="s">
        <v>313</v>
      </c>
      <c r="CR2454" s="578" t="s">
        <v>313</v>
      </c>
      <c r="CS2454" s="578" t="s">
        <v>1085</v>
      </c>
      <c r="CT2454" s="578" t="s">
        <v>5896</v>
      </c>
      <c r="CU2454" s="578" t="s">
        <v>1087</v>
      </c>
      <c r="CV2454" s="578" t="s">
        <v>1088</v>
      </c>
      <c r="CX2454" s="543">
        <v>1</v>
      </c>
    </row>
    <row r="2455" spans="1:102" ht="21" customHeight="1">
      <c r="CO2455" s="578"/>
      <c r="CP2455" s="578" t="s">
        <v>1960</v>
      </c>
      <c r="CQ2455" s="578" t="s">
        <v>5901</v>
      </c>
      <c r="CR2455" s="578" t="s">
        <v>5901</v>
      </c>
      <c r="CS2455" s="578" t="s">
        <v>1085</v>
      </c>
      <c r="CT2455" s="578" t="s">
        <v>6099</v>
      </c>
      <c r="CU2455" s="578" t="s">
        <v>3961</v>
      </c>
      <c r="CV2455" s="578" t="s">
        <v>6100</v>
      </c>
      <c r="CX2455" s="543">
        <v>1</v>
      </c>
    </row>
    <row r="2456" spans="1:102" ht="21" customHeight="1">
      <c r="CX2456" s="543">
        <v>1</v>
      </c>
    </row>
    <row r="2457" spans="1:102" ht="21" customHeight="1">
      <c r="CX2457" s="543">
        <v>1</v>
      </c>
    </row>
    <row r="2458" spans="1:102" ht="21" customHeight="1">
      <c r="CX2458" s="579" t="s">
        <v>380</v>
      </c>
    </row>
    <row r="2459" spans="1:102" ht="21" customHeight="1">
      <c r="A2459" s="543">
        <v>1</v>
      </c>
      <c r="B2459" s="543">
        <v>1</v>
      </c>
      <c r="C2459" s="543">
        <v>1</v>
      </c>
      <c r="D2459" s="543">
        <v>1</v>
      </c>
      <c r="E2459" s="543">
        <v>1</v>
      </c>
      <c r="F2459" s="543">
        <v>1</v>
      </c>
      <c r="G2459" s="543">
        <v>1</v>
      </c>
      <c r="H2459" s="543">
        <v>1</v>
      </c>
      <c r="I2459" s="543">
        <v>1</v>
      </c>
      <c r="J2459" s="543">
        <v>1</v>
      </c>
      <c r="K2459" s="543">
        <v>1</v>
      </c>
      <c r="L2459" s="543">
        <v>1</v>
      </c>
      <c r="M2459" s="543">
        <v>1</v>
      </c>
      <c r="N2459" s="543">
        <v>1</v>
      </c>
      <c r="O2459" s="543">
        <v>1</v>
      </c>
      <c r="P2459" s="543">
        <v>1</v>
      </c>
      <c r="Q2459" s="543">
        <v>1</v>
      </c>
      <c r="R2459" s="543">
        <v>1</v>
      </c>
      <c r="S2459" s="543">
        <v>1</v>
      </c>
      <c r="T2459" s="543">
        <v>1</v>
      </c>
      <c r="U2459" s="543">
        <v>1</v>
      </c>
      <c r="V2459" s="543">
        <v>1</v>
      </c>
      <c r="W2459" s="543">
        <v>1</v>
      </c>
      <c r="X2459" s="543">
        <v>1</v>
      </c>
      <c r="Y2459" s="543">
        <v>1</v>
      </c>
      <c r="Z2459" s="543">
        <v>1</v>
      </c>
      <c r="AA2459" s="543">
        <v>1</v>
      </c>
      <c r="AB2459" s="543">
        <v>1</v>
      </c>
      <c r="AC2459" s="543">
        <v>1</v>
      </c>
      <c r="AD2459" s="543">
        <v>1</v>
      </c>
      <c r="AE2459" s="543">
        <v>1</v>
      </c>
      <c r="AF2459" s="543">
        <v>1</v>
      </c>
      <c r="AG2459" s="543">
        <v>1</v>
      </c>
      <c r="AH2459" s="543">
        <v>1</v>
      </c>
      <c r="AI2459" s="543">
        <v>1</v>
      </c>
      <c r="AJ2459" s="543">
        <v>1</v>
      </c>
      <c r="AK2459" s="543">
        <v>1</v>
      </c>
      <c r="AL2459" s="543">
        <v>1</v>
      </c>
      <c r="AM2459" s="543">
        <v>1</v>
      </c>
      <c r="AN2459" s="543">
        <v>1</v>
      </c>
      <c r="AO2459" s="543">
        <v>1</v>
      </c>
      <c r="AP2459" s="543">
        <v>1</v>
      </c>
      <c r="AQ2459" s="543">
        <v>1</v>
      </c>
      <c r="AR2459" s="543">
        <v>1</v>
      </c>
      <c r="AS2459" s="543">
        <v>1</v>
      </c>
      <c r="AT2459" s="543">
        <v>1</v>
      </c>
      <c r="AU2459" s="543">
        <v>1</v>
      </c>
      <c r="AV2459" s="543">
        <v>1</v>
      </c>
      <c r="AW2459" s="543">
        <v>1</v>
      </c>
      <c r="AX2459" s="543">
        <v>1</v>
      </c>
      <c r="AY2459" s="543">
        <v>1</v>
      </c>
      <c r="AZ2459" s="543">
        <v>1</v>
      </c>
      <c r="BA2459" s="543">
        <v>1</v>
      </c>
      <c r="BB2459" s="543">
        <v>1</v>
      </c>
      <c r="BC2459" s="543">
        <v>1</v>
      </c>
      <c r="BD2459" s="543">
        <v>1</v>
      </c>
      <c r="BE2459" s="543">
        <v>1</v>
      </c>
      <c r="BF2459" s="543">
        <v>1</v>
      </c>
      <c r="BG2459" s="543">
        <v>1</v>
      </c>
      <c r="BH2459" s="543">
        <v>1</v>
      </c>
      <c r="BI2459" s="543">
        <v>1</v>
      </c>
      <c r="BJ2459" s="543">
        <v>1</v>
      </c>
      <c r="BK2459" s="543">
        <v>1</v>
      </c>
      <c r="BL2459" s="543">
        <v>1</v>
      </c>
      <c r="BM2459" s="543">
        <v>1</v>
      </c>
      <c r="BN2459" s="543">
        <v>1</v>
      </c>
      <c r="BO2459" s="543">
        <v>1</v>
      </c>
      <c r="BP2459" s="543">
        <v>1</v>
      </c>
      <c r="BQ2459" s="543">
        <v>1</v>
      </c>
      <c r="BR2459" s="543">
        <v>1</v>
      </c>
      <c r="BS2459" s="543">
        <v>1</v>
      </c>
      <c r="BT2459" s="543">
        <v>1</v>
      </c>
      <c r="BU2459" s="543">
        <v>1</v>
      </c>
      <c r="BV2459" s="543">
        <v>1</v>
      </c>
      <c r="BW2459" s="543">
        <v>1</v>
      </c>
      <c r="BX2459" s="543">
        <v>1</v>
      </c>
      <c r="BY2459" s="543">
        <v>1</v>
      </c>
      <c r="BZ2459" s="543">
        <v>1</v>
      </c>
      <c r="CA2459" s="543">
        <v>1</v>
      </c>
      <c r="CB2459" s="543">
        <v>1</v>
      </c>
      <c r="CC2459" s="543">
        <v>1</v>
      </c>
      <c r="CD2459" s="543">
        <v>1</v>
      </c>
      <c r="CE2459" s="543">
        <v>1</v>
      </c>
      <c r="CF2459" s="543">
        <v>1</v>
      </c>
      <c r="CG2459" s="543">
        <v>1</v>
      </c>
      <c r="CH2459" s="543">
        <v>1</v>
      </c>
      <c r="CI2459" s="543">
        <v>1</v>
      </c>
      <c r="CJ2459" s="543">
        <v>1</v>
      </c>
      <c r="CK2459" s="543">
        <v>1</v>
      </c>
      <c r="CL2459" s="543">
        <v>1</v>
      </c>
      <c r="CM2459" s="543">
        <v>1</v>
      </c>
      <c r="CN2459" s="543">
        <v>1</v>
      </c>
      <c r="CO2459" s="543">
        <v>1</v>
      </c>
      <c r="CP2459" s="543">
        <v>1</v>
      </c>
      <c r="CQ2459" s="543">
        <v>1</v>
      </c>
      <c r="CR2459" s="543">
        <v>1</v>
      </c>
      <c r="CS2459" s="543">
        <v>1</v>
      </c>
      <c r="CT2459" s="543">
        <v>1</v>
      </c>
      <c r="CU2459" s="543">
        <v>1</v>
      </c>
      <c r="CV2459" s="543">
        <v>1</v>
      </c>
      <c r="CW2459" s="543">
        <v>1</v>
      </c>
      <c r="CX2459" s="545" t="str">
        <f>ADDRESS(ROW(),COLUMN(),4)</f>
        <v>CX2459</v>
      </c>
    </row>
  </sheetData>
  <mergeCells count="7">
    <mergeCell ref="A94:S94"/>
    <mergeCell ref="A1:S1"/>
    <mergeCell ref="A2:S2"/>
    <mergeCell ref="A3:S3"/>
    <mergeCell ref="B5:D5"/>
    <mergeCell ref="A70:S70"/>
    <mergeCell ref="A80:S80"/>
  </mergeCells>
  <conditionalFormatting sqref="E7:R66">
    <cfRule type="expression" dxfId="38" priority="1">
      <formula>E7="X"</formula>
    </cfRule>
    <cfRule type="expression" dxfId="37" priority="2">
      <formula>E7="?"</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8F85C-1348-4601-B575-D9D5F71390E1}">
  <dimension ref="A1:BJ793"/>
  <sheetViews>
    <sheetView topLeftCell="A13" workbookViewId="0">
      <selection activeCell="A13" sqref="A13"/>
    </sheetView>
  </sheetViews>
  <sheetFormatPr baseColWidth="10" defaultRowHeight="15"/>
  <cols>
    <col min="1" max="1" width="8" style="1" customWidth="1"/>
    <col min="2" max="2" width="80" style="1" customWidth="1"/>
    <col min="3" max="3" width="5" style="1" customWidth="1"/>
    <col min="4" max="4" width="80" style="1" customWidth="1"/>
    <col min="5" max="5" width="40" style="1" customWidth="1"/>
    <col min="6" max="6" width="37.140625" style="1" customWidth="1"/>
    <col min="7" max="7" width="28" style="1" customWidth="1"/>
    <col min="8" max="8" width="16.28515625" style="1" customWidth="1"/>
    <col min="9" max="9" width="14" style="1" customWidth="1"/>
    <col min="10" max="10" width="24" style="1" customWidth="1"/>
    <col min="11" max="14" width="14" style="1" hidden="1" customWidth="1"/>
    <col min="15" max="61" width="13" style="1" hidden="1" customWidth="1"/>
    <col min="62" max="62" width="36.5703125" style="1" customWidth="1"/>
    <col min="63" max="16384" width="11.42578125" style="1"/>
  </cols>
  <sheetData>
    <row r="1" spans="1:62" ht="21.95" customHeight="1">
      <c r="A1" s="1410" t="s">
        <v>8258</v>
      </c>
      <c r="B1" s="1411"/>
      <c r="C1" s="1411"/>
      <c r="D1" s="1411"/>
      <c r="E1" s="1411"/>
      <c r="F1" s="1411"/>
      <c r="G1" s="1411"/>
      <c r="H1" s="1411"/>
      <c r="I1" s="1411"/>
      <c r="J1" s="1411"/>
      <c r="BF1" s="1072" t="s">
        <v>8259</v>
      </c>
      <c r="BG1" s="1073" t="s">
        <v>8260</v>
      </c>
      <c r="BH1" s="1072" t="s">
        <v>8261</v>
      </c>
      <c r="BI1" s="1072" t="s">
        <v>8262</v>
      </c>
      <c r="BJ1" s="1035" t="s">
        <v>841</v>
      </c>
    </row>
    <row r="2" spans="1:62" ht="21" customHeight="1">
      <c r="A2" s="1074"/>
      <c r="B2" s="1034" t="str">
        <f>"1. Saisir la recette ou la liste d’ingrédients en "&amp;B14</f>
        <v>1. Saisir la recette ou la liste d’ingrédients en COLONNE B</v>
      </c>
      <c r="C2" s="1075"/>
      <c r="D2" s="1075"/>
      <c r="E2" s="1075"/>
      <c r="F2" s="1075"/>
      <c r="G2" s="1075"/>
      <c r="H2" s="1075"/>
      <c r="I2" s="1075"/>
      <c r="J2" s="1075"/>
      <c r="BF2" s="1" t="s">
        <v>9</v>
      </c>
      <c r="BG2" s="1076" t="s">
        <v>689</v>
      </c>
      <c r="BH2" s="1" t="s">
        <v>20</v>
      </c>
      <c r="BI2" s="1" t="s">
        <v>7383</v>
      </c>
    </row>
    <row r="3" spans="1:62" ht="21" customHeight="1">
      <c r="A3" s="1074"/>
      <c r="B3" s="1034" t="str">
        <f>"2. Vérifier les résultats en colonnes "&amp;D13&amp;" et "&amp;E13</f>
        <v>2. Vérifier les résultats en colonnes D et E</v>
      </c>
      <c r="C3" s="1075"/>
      <c r="D3" s="1075"/>
      <c r="E3" s="1075"/>
      <c r="F3" s="1075"/>
      <c r="G3" s="1075"/>
      <c r="H3" s="1075"/>
      <c r="I3" s="1075"/>
      <c r="J3" s="1077" t="s">
        <v>8263</v>
      </c>
      <c r="BF3" s="1" t="s">
        <v>9</v>
      </c>
      <c r="BG3" s="1076" t="s">
        <v>689</v>
      </c>
      <c r="BH3" s="1" t="s">
        <v>1</v>
      </c>
      <c r="BI3" s="1" t="s">
        <v>7384</v>
      </c>
      <c r="BJ3" s="1037" t="s">
        <v>8264</v>
      </c>
    </row>
    <row r="4" spans="1:62" ht="21" customHeight="1">
      <c r="A4" s="1074"/>
      <c r="B4" s="1034" t="str">
        <f>"3. Copier "&amp;D13&amp;" : "&amp; E13&amp;" puis coller dans la fiche recette avec Collage spécial &gt; Valeurs."</f>
        <v>3. Copier D : E puis coller dans la fiche recette avec Collage spécial &gt; Valeurs.</v>
      </c>
      <c r="C4" s="1075"/>
      <c r="D4" s="1075"/>
      <c r="E4" s="1075"/>
      <c r="F4" s="1075"/>
      <c r="G4" s="1075"/>
      <c r="H4" s="1075"/>
      <c r="I4" s="1075"/>
      <c r="J4" s="1075"/>
      <c r="BF4" s="1" t="s">
        <v>9</v>
      </c>
      <c r="BG4" s="1076" t="s">
        <v>689</v>
      </c>
      <c r="BH4" s="1" t="s">
        <v>46</v>
      </c>
      <c r="BI4" s="1" t="s">
        <v>7385</v>
      </c>
      <c r="BJ4" s="1078" t="s">
        <v>8265</v>
      </c>
    </row>
    <row r="5" spans="1:62" ht="21" customHeight="1">
      <c r="A5" s="1074"/>
      <c r="B5" s="1034" t="s">
        <v>8266</v>
      </c>
      <c r="C5" s="1075"/>
      <c r="D5" s="1075"/>
      <c r="E5" s="1075"/>
      <c r="F5" s="1075"/>
      <c r="G5" s="1075"/>
      <c r="H5" s="1075"/>
      <c r="I5" s="1075"/>
      <c r="J5" s="1075"/>
      <c r="BF5" s="1" t="s">
        <v>9</v>
      </c>
      <c r="BG5" s="1076" t="s">
        <v>689</v>
      </c>
      <c r="BH5" s="1" t="s">
        <v>40</v>
      </c>
      <c r="BI5" s="1" t="s">
        <v>7386</v>
      </c>
      <c r="BJ5" s="1078" t="s">
        <v>720</v>
      </c>
    </row>
    <row r="6" spans="1:62" ht="18" customHeight="1">
      <c r="A6" s="3"/>
      <c r="B6" s="3"/>
      <c r="C6" s="3"/>
      <c r="D6" s="3"/>
      <c r="E6" s="3"/>
      <c r="F6" s="3"/>
      <c r="G6" s="3"/>
      <c r="H6" s="3"/>
      <c r="I6" s="3"/>
      <c r="J6" s="3"/>
      <c r="BF6" s="1" t="s">
        <v>9</v>
      </c>
      <c r="BG6" s="1076" t="s">
        <v>689</v>
      </c>
      <c r="BH6" s="1" t="s">
        <v>7035</v>
      </c>
      <c r="BI6" s="1" t="s">
        <v>7387</v>
      </c>
      <c r="BJ6" s="1078" t="s">
        <v>8267</v>
      </c>
    </row>
    <row r="7" spans="1:62" ht="21" customHeight="1">
      <c r="A7" s="1079"/>
      <c r="B7" s="1079" t="str">
        <f>"Colonnes utiles : "&amp; B13&amp;"  = saisie, "&amp;D13&amp;" = texte à coller, "&amp; E13&amp;" = allergènes détectés"</f>
        <v>Colonnes utiles : B  = saisie, D = texte à coller, E = allergènes détectés</v>
      </c>
      <c r="C7" s="1043"/>
      <c r="D7" s="1043"/>
      <c r="E7" s="1048"/>
      <c r="F7" s="1048"/>
      <c r="G7" s="1048"/>
      <c r="H7" s="1048"/>
      <c r="I7" s="1048"/>
      <c r="J7" s="1048"/>
      <c r="BF7" s="1" t="s">
        <v>9</v>
      </c>
      <c r="BG7" s="1076" t="s">
        <v>689</v>
      </c>
      <c r="BH7" s="1" t="s">
        <v>7036</v>
      </c>
      <c r="BI7" s="1" t="s">
        <v>7388</v>
      </c>
      <c r="BJ7" s="1078" t="s">
        <v>261</v>
      </c>
    </row>
    <row r="8" spans="1:62" ht="21" customHeight="1">
      <c r="A8" s="3"/>
      <c r="B8" s="3"/>
      <c r="C8" s="3"/>
      <c r="D8" s="3"/>
      <c r="E8" s="3"/>
      <c r="F8" s="3"/>
      <c r="G8" s="3"/>
      <c r="H8" s="3"/>
      <c r="I8" s="3"/>
      <c r="J8" s="3"/>
      <c r="BF8" s="1" t="s">
        <v>9</v>
      </c>
      <c r="BG8" s="1076" t="s">
        <v>689</v>
      </c>
      <c r="BH8" s="1" t="s">
        <v>7037</v>
      </c>
      <c r="BI8" s="1" t="s">
        <v>7389</v>
      </c>
      <c r="BJ8" s="1080" t="s">
        <v>8268</v>
      </c>
    </row>
    <row r="9" spans="1:62" ht="21" customHeight="1">
      <c r="A9" s="1412" t="s">
        <v>8269</v>
      </c>
      <c r="B9" s="1413"/>
      <c r="C9" s="1413"/>
      <c r="D9" s="1413"/>
      <c r="E9" s="1413"/>
      <c r="F9" s="1413"/>
      <c r="G9" s="1413"/>
      <c r="H9" s="1413"/>
      <c r="I9" s="1413"/>
      <c r="J9" s="1413"/>
      <c r="BF9" s="1" t="s">
        <v>9</v>
      </c>
      <c r="BG9" s="1076" t="s">
        <v>689</v>
      </c>
      <c r="BH9" s="1" t="s">
        <v>108</v>
      </c>
      <c r="BI9" s="1" t="s">
        <v>7390</v>
      </c>
    </row>
    <row r="10" spans="1:62" ht="15.75" customHeight="1">
      <c r="A10" s="3"/>
      <c r="B10" s="43" t="s">
        <v>8270</v>
      </c>
      <c r="C10" s="3"/>
      <c r="D10" s="3"/>
      <c r="E10" s="3"/>
      <c r="F10" s="3"/>
      <c r="G10" s="3"/>
      <c r="H10" s="3"/>
      <c r="I10" s="3"/>
      <c r="J10" s="3"/>
      <c r="BF10" s="1" t="s">
        <v>9</v>
      </c>
      <c r="BG10" s="1076" t="s">
        <v>689</v>
      </c>
      <c r="BH10" s="1" t="s">
        <v>122</v>
      </c>
      <c r="BI10" s="1" t="s">
        <v>7391</v>
      </c>
    </row>
    <row r="11" spans="1:62">
      <c r="A11" s="1081" t="s">
        <v>8271</v>
      </c>
      <c r="B11" s="3"/>
      <c r="C11" s="3"/>
      <c r="D11" s="3"/>
      <c r="E11" s="3"/>
      <c r="F11" s="3"/>
      <c r="G11" s="3"/>
      <c r="H11" s="3"/>
      <c r="I11" s="3"/>
      <c r="J11" s="3"/>
      <c r="BF11" s="1" t="s">
        <v>9</v>
      </c>
      <c r="BG11" s="1076" t="s">
        <v>689</v>
      </c>
      <c r="BH11" s="1" t="s">
        <v>3831</v>
      </c>
      <c r="BI11" s="1" t="s">
        <v>7392</v>
      </c>
    </row>
    <row r="12" spans="1:62">
      <c r="A12" s="1081" t="s">
        <v>8271</v>
      </c>
      <c r="B12" s="3"/>
      <c r="C12" s="3"/>
      <c r="D12" s="3"/>
      <c r="E12" s="3"/>
      <c r="F12" s="3"/>
      <c r="G12" s="3"/>
      <c r="H12" s="3"/>
      <c r="I12" s="3"/>
      <c r="J12" s="3"/>
      <c r="BF12" s="1" t="s">
        <v>9</v>
      </c>
      <c r="BG12" s="1076" t="s">
        <v>689</v>
      </c>
      <c r="BH12" s="1" t="s">
        <v>7038</v>
      </c>
      <c r="BI12" s="1" t="s">
        <v>7393</v>
      </c>
    </row>
    <row r="13" spans="1:62">
      <c r="A13" s="1081"/>
      <c r="B13" s="2" t="str">
        <f>SUBSTITUTE(ADDRESS(1,COLUMN(),4),"1","")</f>
        <v>B</v>
      </c>
      <c r="C13" s="3"/>
      <c r="D13" s="2" t="str">
        <f>SUBSTITUTE(ADDRESS(1,COLUMN(),4),"1","")</f>
        <v>D</v>
      </c>
      <c r="E13" s="2" t="str">
        <f>SUBSTITUTE(ADDRESS(1,COLUMN(),4),"1","")</f>
        <v>E</v>
      </c>
      <c r="F13" s="3"/>
      <c r="G13" s="3"/>
      <c r="H13" s="3"/>
      <c r="I13" s="3"/>
      <c r="J13" s="3"/>
      <c r="BF13" s="1" t="s">
        <v>9</v>
      </c>
      <c r="BG13" s="1076" t="s">
        <v>689</v>
      </c>
      <c r="BH13" s="1" t="s">
        <v>7039</v>
      </c>
      <c r="BI13" s="1" t="s">
        <v>7394</v>
      </c>
    </row>
    <row r="14" spans="1:62" ht="18.75">
      <c r="A14" s="3"/>
      <c r="B14" s="1082" t="str">
        <f>"COLONNE "&amp;SUBSTITUTE(ADDRESS(1,COLUMN(),4),"1","")</f>
        <v>COLONNE B</v>
      </c>
      <c r="D14" s="1082" t="str">
        <f>"COLONNE "&amp;SUBSTITUTE(ADDRESS(1,COLUMN(),4),"1","")</f>
        <v>COLONNE D</v>
      </c>
      <c r="E14" s="1082" t="str">
        <f>"COLONNE "&amp;SUBSTITUTE(ADDRESS(1,COLUMN(),4),"1","")</f>
        <v>COLONNE E</v>
      </c>
      <c r="F14" s="3"/>
      <c r="G14" s="3"/>
      <c r="H14" s="3"/>
      <c r="I14" s="3"/>
      <c r="J14" s="3"/>
      <c r="BF14" s="1" t="s">
        <v>9</v>
      </c>
      <c r="BG14" s="1076" t="s">
        <v>689</v>
      </c>
      <c r="BH14" s="1" t="s">
        <v>7040</v>
      </c>
      <c r="BI14" s="1" t="s">
        <v>7395</v>
      </c>
    </row>
    <row r="15" spans="1:62" ht="27.95" customHeight="1">
      <c r="A15" s="1083" t="s">
        <v>6456</v>
      </c>
      <c r="B15" s="1083" t="s">
        <v>8175</v>
      </c>
      <c r="C15" s="1083"/>
      <c r="D15" s="1084" t="s">
        <v>8176</v>
      </c>
      <c r="E15" s="1084" t="s">
        <v>8177</v>
      </c>
      <c r="F15" s="1083" t="s">
        <v>8178</v>
      </c>
      <c r="G15" s="1083" t="s">
        <v>8179</v>
      </c>
      <c r="H15" s="1083" t="s">
        <v>8180</v>
      </c>
      <c r="I15" s="1083" t="s">
        <v>8181</v>
      </c>
      <c r="J15" s="1083" t="s">
        <v>8182</v>
      </c>
      <c r="K15" s="1072" t="s">
        <v>8183</v>
      </c>
      <c r="L15" s="1072" t="s">
        <v>8272</v>
      </c>
      <c r="M15" s="1072" t="s">
        <v>8273</v>
      </c>
      <c r="N15" s="1072" t="s">
        <v>8188</v>
      </c>
      <c r="O15" s="1072" t="s">
        <v>8189</v>
      </c>
      <c r="P15" s="1072" t="s">
        <v>8190</v>
      </c>
      <c r="Q15" s="1072" t="s">
        <v>8191</v>
      </c>
      <c r="R15" s="1072" t="s">
        <v>8192</v>
      </c>
      <c r="S15" s="1072" t="s">
        <v>8195</v>
      </c>
      <c r="T15" s="1072" t="s">
        <v>8197</v>
      </c>
      <c r="U15" s="1072" t="s">
        <v>8199</v>
      </c>
      <c r="V15" s="1072" t="s">
        <v>8200</v>
      </c>
      <c r="W15" s="1072" t="s">
        <v>8201</v>
      </c>
      <c r="X15" s="1072" t="s">
        <v>8203</v>
      </c>
      <c r="Y15" s="1072" t="s">
        <v>8205</v>
      </c>
      <c r="Z15" s="1072" t="s">
        <v>8206</v>
      </c>
      <c r="AA15" s="1072" t="s">
        <v>8208</v>
      </c>
      <c r="AB15" s="1072" t="s">
        <v>8209</v>
      </c>
      <c r="AC15" s="1072" t="s">
        <v>8210</v>
      </c>
      <c r="AD15" s="1072" t="s">
        <v>8211</v>
      </c>
      <c r="AE15" s="1072" t="s">
        <v>8214</v>
      </c>
      <c r="AF15" s="1072" t="s">
        <v>8215</v>
      </c>
      <c r="AG15" s="1072" t="s">
        <v>8217</v>
      </c>
      <c r="AH15" s="1072" t="s">
        <v>8219</v>
      </c>
      <c r="AI15" s="1072" t="s">
        <v>8221</v>
      </c>
      <c r="AJ15" s="1072" t="s">
        <v>8223</v>
      </c>
      <c r="AK15" s="1072" t="s">
        <v>8225</v>
      </c>
      <c r="AL15" s="1072" t="s">
        <v>8227</v>
      </c>
      <c r="AM15" s="1072" t="s">
        <v>8228</v>
      </c>
      <c r="AN15" s="1072" t="s">
        <v>8193</v>
      </c>
      <c r="AO15" s="1072" t="s">
        <v>8194</v>
      </c>
      <c r="AP15" s="1072" t="s">
        <v>8196</v>
      </c>
      <c r="AQ15" s="1072" t="s">
        <v>8198</v>
      </c>
      <c r="AR15" s="1072" t="s">
        <v>8202</v>
      </c>
      <c r="AS15" s="1072" t="s">
        <v>8204</v>
      </c>
      <c r="AT15" s="1072" t="s">
        <v>8207</v>
      </c>
      <c r="AU15" s="1072" t="s">
        <v>8212</v>
      </c>
      <c r="AV15" s="1072" t="s">
        <v>8213</v>
      </c>
      <c r="AW15" s="1072" t="s">
        <v>8216</v>
      </c>
      <c r="AX15" s="1072" t="s">
        <v>8218</v>
      </c>
      <c r="AY15" s="1072" t="s">
        <v>8220</v>
      </c>
      <c r="AZ15" s="1072" t="s">
        <v>8222</v>
      </c>
      <c r="BA15" s="1072" t="s">
        <v>8224</v>
      </c>
      <c r="BB15" s="1072" t="s">
        <v>8226</v>
      </c>
      <c r="BC15" s="1072" t="s">
        <v>8229</v>
      </c>
      <c r="BF15" s="1" t="s">
        <v>9</v>
      </c>
      <c r="BG15" s="1076" t="s">
        <v>689</v>
      </c>
      <c r="BH15" s="1" t="s">
        <v>270</v>
      </c>
      <c r="BI15" s="1" t="s">
        <v>7396</v>
      </c>
    </row>
    <row r="16" spans="1:62" ht="30" customHeight="1">
      <c r="A16" s="1085">
        <f t="shared" ref="A16:A79" si="0">IF(B16="","",ROW())</f>
        <v>16</v>
      </c>
      <c r="B16" s="1086" t="s">
        <v>8274</v>
      </c>
      <c r="C16" s="1085" t="s">
        <v>254</v>
      </c>
      <c r="D16" s="1087" t="str">
        <f t="shared" ref="D16:D79" si="1">IF(B16="","",TRIM(SUBSTITUTE(B16,"*",""))&amp;IF(COUNTIF(E16,"*⚠*")&gt;0," *",""))</f>
        <v>Portez à ébullition, puis baissez le feu et</v>
      </c>
      <c r="E16" s="1088" t="str">
        <f t="shared" ref="E16:E79" si="2">IF(B16="","",MID(IF(AN16&lt;&gt;""," • "&amp;AN16,"")&amp;IF(AP16&lt;&gt;""," • "&amp;AP16,"")&amp;IF(AQ16&lt;&gt;""," • "&amp;AQ16,"")&amp;IF(AR16&lt;&gt;""," • "&amp;AR16,"")&amp;IF(AS16&lt;&gt;""," • "&amp;AS16,"")&amp;IF(AT16&lt;&gt;""," • "&amp;AT16,"")&amp;IF(AU16&lt;&gt;""," • "&amp;AU16,"")&amp;IF(AW16&lt;&gt;""," • "&amp;AW16,"")&amp;IF(AX16&lt;&gt;""," • "&amp;AX16,"")&amp;IF(AY16&lt;&gt;""," • "&amp;AY16,"")&amp;IF(AZ16&lt;&gt;""," • "&amp;AZ16,"")&amp;IF(BA16&lt;&gt;""," • "&amp;BA16,"")&amp;IF(BB16&lt;&gt;""," • "&amp;BB16,"")&amp;IF(BC16&lt;&gt;""," • "&amp;BC16,""),4,32767))</f>
        <v/>
      </c>
      <c r="F16" s="1089" t="str">
        <f t="shared" ref="F16:F79" si="3">IF(B16="","",TRIM(B16)&amp;IF(H16&gt;0," *",""))</f>
        <v>Portez à ébullition, puis baissez le feu et</v>
      </c>
      <c r="G16" s="1090" t="str">
        <f t="shared" ref="G16:G79" si="4">IF(B16="","",MID(IF(AO16&lt;&gt;""," • "&amp;AO16,"")&amp;IF(AV16&lt;&gt;""," • "&amp;AV16,""),4,32767))</f>
        <v/>
      </c>
      <c r="H16" s="1085">
        <f t="shared" ref="H16:H79" si="5">IF(B16="","",--(AN16&lt;&gt;"")+--(AP16&lt;&gt;"")+--(AQ16&lt;&gt;"")+--(AR16&lt;&gt;"")+--(AS16&lt;&gt;"")+--(AT16&lt;&gt;"")+--(AU16&lt;&gt;"")+--(AW16&lt;&gt;"")+--(AX16&lt;&gt;"")+--(AY16&lt;&gt;"")+--(AZ16&lt;&gt;"")+--(BA16&lt;&gt;"")+--(BB16&lt;&gt;"")+--(BC16&lt;&gt;""))</f>
        <v>0</v>
      </c>
      <c r="I16" s="1085">
        <f t="shared" ref="I16:I79" si="6">IF(B16="","",--(AO16&lt;&gt;"")+--(AV16&lt;&gt;""))</f>
        <v>0</v>
      </c>
      <c r="J16" s="1090" t="str">
        <f t="shared" ref="J16:J79" si="7">IF(B16="","",IF(E16&lt;&gt;"",E16,IF(G16&lt;&gt;"",G16,"aucun match")))</f>
        <v>aucun match</v>
      </c>
      <c r="K16" s="1044" t="str">
        <f t="shared" ref="K16:K79" si="8">IF(B16="","",LOWER(B16))</f>
        <v>portez à ébullition, puis baissez le feu et</v>
      </c>
      <c r="L16" s="1044" t="str">
        <f t="shared" ref="L16:L79" si="9">IF(K16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K16,"œ","oe"),"æ","ae"),"à","a"),"á","a"),"â","a"),"ä","a"),"ã","a"),"å","a"),"ç","c"),"è","e"),"é","e"),"ê","e"),"ë","e"),"ì","i"),"í","i"),"î","i"),"ï","i"),"ñ","n"),"ò","o"),"ó","o"),"ô","o"),"ö","o"),"õ","o"),"ù","u"),"ú","u"),"û","u"),"ü","u"),"ý","y"),"ÿ","y"))</f>
        <v>portez a ebullition, puis baissez le feu et</v>
      </c>
      <c r="M16" s="1044" t="str">
        <f t="shared" ref="M16:M79" si="10">IF(L16="","",SUBSTITUTE(SUBSTITUTE(SUBSTITUTE(SUBSTITUTE(SUBSTITUTE(SUBSTITUTE(SUBSTITUTE(SUBSTITUTE(SUBSTITUTE(SUBSTITUTE(SUBSTITUTE(SUBSTITUTE(SUBSTITUTE(SUBSTITUTE(SUBSTITUTE(SUBSTITUTE(SUBSTITUTE(L16,CHAR(10)," "),CHAR(13)," "),","," "),"."," "),":"," "),"/"," "),"-"," "),"_"," "),CHAR(34)," "),CHAR(40)," "),CHAR(41)," "),CHAR(39)," "),"?"," "),"!"," "),"+"," "),"*"," "),"&amp;"," "))</f>
        <v>portez a ebullition  puis baissez le feu et</v>
      </c>
      <c r="N16" s="1044" t="str">
        <f t="shared" ref="N16:N79" si="11">IF(M16="",""," "&amp;TRIM(SUBSTITUTE(SUBSTITUTE(SUBSTITUTE(M16,"  "," "),"  "," "),"  "," "))&amp;" ")</f>
        <v xml:space="preserve"> portez a ebullition puis baissez le feu et </v>
      </c>
      <c r="O16" s="1044">
        <f t="shared" ref="O16:O79" si="12">IF($B16="",0,SUMPRODUCT(($BF$2:$BF$793="Gluten")*($BG$2:$BG$793="INFO")*(COUNTIF($N16,"*"&amp;$BH$2:$BH$793&amp;"*")&gt;0)*1))</f>
        <v>0</v>
      </c>
      <c r="P16" s="1044">
        <f t="shared" ref="P16:P79" si="13">IF($B16="",0,SUMPRODUCT(($BF$2:$BF$793="Gluten")*($BG$2:$BG$793="EXCL")*(COUNTIF($N16,"*"&amp;$BH$2:$BH$793&amp;"*")&gt;0)*1))</f>
        <v>0</v>
      </c>
      <c r="Q16" s="1044">
        <f t="shared" ref="Q16:Q79" si="14">IF($B16="",0,SUMPRODUCT(($BF$2:$BF$793="Gluten")*($BG$2:$BG$793="ALERTE")*(COUNTIF($N16,"*"&amp;$BH$2:$BH$793&amp;"*")&gt;0)*1))</f>
        <v>0</v>
      </c>
      <c r="R16" s="1044">
        <f t="shared" ref="R16:R79" si="15">IF($B16="",0,SUMPRODUCT(($BF$2:$BF$793="Gluten")*($BG$2:$BG$793="SUSP")*(COUNTIF($N16,"*"&amp;$BH$2:$BH$793&amp;"*")&gt;0)*1))</f>
        <v>0</v>
      </c>
      <c r="S16" s="1044">
        <f t="shared" ref="S16:S79" si="16">IF($B16="",0,SUMPRODUCT(($BF$2:$BF$793="Crustaces")*($BG$2:$BG$793="ALERTE")*(COUNTIF($N16,"*"&amp;$BH$2:$BH$793&amp;"*")&gt;0)*1))</f>
        <v>0</v>
      </c>
      <c r="T16" s="1044">
        <f t="shared" ref="T16:T79" si="17">IF($B16="",0,SUMPRODUCT(($BF$2:$BF$793="Oeufs")*($BG$2:$BG$793="ALERTE")*(COUNTIF($N16,"*"&amp;$BH$2:$BH$793&amp;"*")&gt;0)*1))</f>
        <v>0</v>
      </c>
      <c r="U16" s="1044">
        <f t="shared" ref="U16:U79" si="18">IF($B16="",0,SUMPRODUCT(($BF$2:$BF$793="Poissons")*($BG$2:$BG$793="INFO")*(COUNTIF($N16,"*"&amp;$BH$2:$BH$793&amp;"*")&gt;0)*1))</f>
        <v>0</v>
      </c>
      <c r="V16" s="1044">
        <f t="shared" ref="V16:V79" si="19">IF($B16="",0,SUMPRODUCT(($BF$2:$BF$793="Poissons")*($BG$2:$BG$793="EXCL")*(COUNTIF($N16,"*"&amp;$BH$2:$BH$793&amp;"*")&gt;0)*1))</f>
        <v>0</v>
      </c>
      <c r="W16" s="1044">
        <f t="shared" ref="W16:W79" si="20">IF($B16="",0,SUMPRODUCT(($BF$2:$BF$793="Poissons")*($BG$2:$BG$793="ALERTE")*(COUNTIF($N16,"*"&amp;$BH$2:$BH$793&amp;"*")&gt;0)*1))</f>
        <v>0</v>
      </c>
      <c r="X16" s="1044">
        <f t="shared" ref="X16:X79" si="21">IF($B16="",0,SUMPRODUCT(($BF$2:$BF$793="Arachides")*($BG$2:$BG$793="ALERTE")*(COUNTIF($N16,"*"&amp;$BH$2:$BH$793&amp;"*")&gt;0)*1))</f>
        <v>0</v>
      </c>
      <c r="Y16" s="1044">
        <f t="shared" ref="Y16:Y79" si="22">IF($B16="",0,SUMPRODUCT(($BF$2:$BF$793="Soja")*($BG$2:$BG$793="INFO")*(COUNTIF($N16,"*"&amp;$BH$2:$BH$793&amp;"*")&gt;0)*1))</f>
        <v>0</v>
      </c>
      <c r="Z16" s="1044">
        <f t="shared" ref="Z16:Z79" si="23">IF($B16="",0,SUMPRODUCT(($BF$2:$BF$793="Soja")*($BG$2:$BG$793="ALERTE")*(COUNTIF($N16,"*"&amp;$BH$2:$BH$793&amp;"*")&gt;0)*1))</f>
        <v>0</v>
      </c>
      <c r="AA16" s="1044">
        <f t="shared" ref="AA16:AA79" si="24">IF($B16="",0,SUMPRODUCT(($BF$2:$BF$793="Lait")*($BG$2:$BG$793="INFO")*(COUNTIF($N16,"*"&amp;$BH$2:$BH$793&amp;"*")&gt;0)*1))</f>
        <v>0</v>
      </c>
      <c r="AB16" s="1044">
        <f t="shared" ref="AB16:AB79" si="25">IF($B16="",0,SUMPRODUCT(($BF$2:$BF$793="Lait")*($BG$2:$BG$793="EXCL")*(COUNTIF($N16,"*"&amp;$BH$2:$BH$793&amp;"*")&gt;0)*1))</f>
        <v>0</v>
      </c>
      <c r="AC16" s="1044">
        <f t="shared" ref="AC16:AC79" si="26">IF($B16="",0,SUMPRODUCT(($BF$2:$BF$793="Lait")*($BG$2:$BG$793="ALERTE")*(COUNTIF($N16,"*"&amp;$BH$2:$BH$793&amp;"*")&gt;0)*1))</f>
        <v>0</v>
      </c>
      <c r="AD16" s="1044">
        <f t="shared" ref="AD16:AD79" si="27">IF($B16="",0,SUMPRODUCT(($BF$2:$BF$793="Lait")*($BG$2:$BG$793="SUSP")*(COUNTIF($N16,"*"&amp;$BH$2:$BH$793&amp;"*")&gt;0)*1))</f>
        <v>0</v>
      </c>
      <c r="AE16" s="1044">
        <f t="shared" ref="AE16:AE79" si="28">IF($B16="",0,SUMPRODUCT(($BF$2:$BF$793="Fruits a coque")*($BG$2:$BG$793="EXCL")*(COUNTIF($N16,"*"&amp;$BH$2:$BH$793&amp;"*")&gt;0)*1))</f>
        <v>0</v>
      </c>
      <c r="AF16" s="1044">
        <f t="shared" ref="AF16:AF79" si="29">IF($B16="",0,SUMPRODUCT(($BF$2:$BF$793="Fruits a coque")*($BG$2:$BG$793="ALERTE")*(COUNTIF($N16,"*"&amp;$BH$2:$BH$793&amp;"*")&gt;0)*1))</f>
        <v>0</v>
      </c>
      <c r="AG16" s="1044">
        <f t="shared" ref="AG16:AG79" si="30">IF($B16="",0,SUMPRODUCT(($BF$2:$BF$793="Celeri")*($BG$2:$BG$793="ALERTE")*(COUNTIF($N16,"*"&amp;$BH$2:$BH$793&amp;"*")&gt;0)*1))</f>
        <v>0</v>
      </c>
      <c r="AH16" s="1044">
        <f t="shared" ref="AH16:AH79" si="31">IF($B16="",0,SUMPRODUCT(($BF$2:$BF$793="Moutarde")*($BG$2:$BG$793="ALERTE")*(COUNTIF($N16,"*"&amp;$BH$2:$BH$793&amp;"*")&gt;0)*1))</f>
        <v>0</v>
      </c>
      <c r="AI16" s="1044">
        <f t="shared" ref="AI16:AI79" si="32">IF($B16="",0,SUMPRODUCT(($BF$2:$BF$793="Sesame")*($BG$2:$BG$793="ALERTE")*(COUNTIF($N16,"*"&amp;$BH$2:$BH$793&amp;"*")&gt;0)*1))</f>
        <v>0</v>
      </c>
      <c r="AJ16" s="1044">
        <f t="shared" ref="AJ16:AJ79" si="33">IF($B16="",0,SUMPRODUCT(($BF$2:$BF$793="Sulfites")*($BG$2:$BG$793="ALERTE")*(COUNTIF($N16,"*"&amp;$BH$2:$BH$793&amp;"*")&gt;0)*1))</f>
        <v>0</v>
      </c>
      <c r="AK16" s="1044">
        <f t="shared" ref="AK16:AK79" si="34">IF($B16="",0,SUMPRODUCT(($BF$2:$BF$793="Lupin")*($BG$2:$BG$793="ALERTE")*(COUNTIF($N16,"*"&amp;$BH$2:$BH$793&amp;"*")&gt;0)*1))</f>
        <v>0</v>
      </c>
      <c r="AL16" s="1044">
        <f t="shared" ref="AL16:AL79" si="35">IF($B16="",0,SUMPRODUCT(($BF$2:$BF$793="Mollusques")*($BG$2:$BG$793="EXCL")*(COUNTIF($N16,"*"&amp;$BH$2:$BH$793&amp;"*")&gt;0)*1))</f>
        <v>0</v>
      </c>
      <c r="AM16" s="1044">
        <f t="shared" ref="AM16:AM79" si="36">IF($B16="",0,SUMPRODUCT(($BF$2:$BF$793="Mollusques")*($BG$2:$BG$793="ALERTE")*(COUNTIF($N16,"*"&amp;$BH$2:$BH$793&amp;"*")&gt;0)*1))</f>
        <v>0</v>
      </c>
      <c r="AN16" s="1044" t="str">
        <f t="shared" ref="AN16:AN79" si="37">IF(B16="","",IF(O16&gt;0,"info Gluten",IF(AND(Q16&gt;0,P16=0),"⚠ Gluten","")))</f>
        <v/>
      </c>
      <c r="AO16" s="1044" t="str">
        <f t="shared" ref="AO16:AO79" si="38">IF(B16="","",IF(AND(AN16="",R16&gt;0,P16=0),"suspicion Gluten",""))</f>
        <v/>
      </c>
      <c r="AP16" s="1044" t="str">
        <f t="shared" ref="AP16:AP79" si="39">IF(B16="","",IF(S16&gt;0,"⚠ Crustaces",""))</f>
        <v/>
      </c>
      <c r="AQ16" s="1044" t="str">
        <f t="shared" ref="AQ16:AQ79" si="40">IF(B16="","",IF(T16&gt;0,"⚠ Oeufs",""))</f>
        <v/>
      </c>
      <c r="AR16" s="1044" t="str">
        <f t="shared" ref="AR16:AR79" si="41">IF(B16="","",IF(U16&gt;0,"info Poissons",IF(AND(W16&gt;0,V16=0),"⚠ Poissons","")))</f>
        <v/>
      </c>
      <c r="AS16" s="1044" t="str">
        <f t="shared" ref="AS16:AS79" si="42">IF(B16="","",IF(X16&gt;0,"⚠ Arachides",""))</f>
        <v/>
      </c>
      <c r="AT16" s="1044" t="str">
        <f t="shared" ref="AT16:AT79" si="43">IF(B16="","",IF(Y16&gt;0,"info Soja",IF(Z16&gt;0,"⚠ Soja","")))</f>
        <v/>
      </c>
      <c r="AU16" s="1044" t="str">
        <f t="shared" ref="AU16:AU79" si="44">IF(B16="","",IF(AA16&gt;0,"info Lait",IF(AND(AC16&gt;0,AB16=0),"⚠ Lait","")))</f>
        <v/>
      </c>
      <c r="AV16" s="1044" t="str">
        <f t="shared" ref="AV16:AV79" si="45">IF(B16="","",IF(AND(AU16="",AD16&gt;0,AB16=0),"suspicion Lait",""))</f>
        <v/>
      </c>
      <c r="AW16" s="1044" t="str">
        <f t="shared" ref="AW16:AW79" si="46">IF(B16="","",IF(AND(AF16&gt;0,AE16=0),"⚠ Fruits a coque",""))</f>
        <v/>
      </c>
      <c r="AX16" s="1044" t="str">
        <f t="shared" ref="AX16:AX79" si="47">IF(B16="","",IF(AG16&gt;0,"⚠ Celeri",""))</f>
        <v/>
      </c>
      <c r="AY16" s="1044" t="str">
        <f t="shared" ref="AY16:AY79" si="48">IF(B16="","",IF(AH16&gt;0,"⚠ Moutarde",""))</f>
        <v/>
      </c>
      <c r="AZ16" s="1044" t="str">
        <f t="shared" ref="AZ16:AZ79" si="49">IF(B16="","",IF(AI16&gt;0,"⚠ Sesame",""))</f>
        <v/>
      </c>
      <c r="BA16" s="1044" t="str">
        <f t="shared" ref="BA16:BA79" si="50">IF(B16="","",IF(AJ16&gt;0,"⚠ Sulfites",""))</f>
        <v/>
      </c>
      <c r="BB16" s="1044" t="str">
        <f t="shared" ref="BB16:BB79" si="51">IF(B16="","",IF(AK16&gt;0,"⚠ Lupin",""))</f>
        <v/>
      </c>
      <c r="BC16" s="1044" t="str">
        <f t="shared" ref="BC16:BC79" si="52">IF(B16="","",IF(AND(AM16&gt;0,AL16=0),"⚠ Mollusques",""))</f>
        <v/>
      </c>
      <c r="BF16" s="1" t="s">
        <v>9</v>
      </c>
      <c r="BG16" s="1076" t="s">
        <v>689</v>
      </c>
      <c r="BH16" s="1" t="s">
        <v>3836</v>
      </c>
      <c r="BI16" s="1" t="s">
        <v>7397</v>
      </c>
    </row>
    <row r="17" spans="1:61" ht="30" customHeight="1">
      <c r="A17" s="1085">
        <f t="shared" si="0"/>
        <v>17</v>
      </c>
      <c r="B17" s="1086" t="s">
        <v>8275</v>
      </c>
      <c r="C17" s="1085" t="s">
        <v>254</v>
      </c>
      <c r="D17" s="1087" t="str">
        <f t="shared" si="1"/>
        <v>1. Coupez la viande en cubes d’environ 4 cm et mettez-la dans un grand saladier. Ajoutez-y les oignons coupés en rondelles, les carottes coupées en rondelles, les lardons, l’ail émincé et le bouquet garni. Versez le vin rouge sur le tout et laissez mariner au frais pendant 24 heures.</v>
      </c>
      <c r="E17" s="1088" t="str">
        <f t="shared" si="2"/>
        <v/>
      </c>
      <c r="F17" s="1089" t="str">
        <f t="shared" si="3"/>
        <v>1. Coupez la viande en cubes d’environ 4 cm et mettez-la dans un grand saladier. Ajoutez-y les oignons coupés en rondelles, les carottes coupées en rondelles, les lardons, l’ail émincé et le bouquet garni. Versez le vin rouge sur le tout et laissez mariner au frais pendant 24 heures.</v>
      </c>
      <c r="G17" s="1090" t="str">
        <f t="shared" si="4"/>
        <v/>
      </c>
      <c r="H17" s="1085">
        <f t="shared" si="5"/>
        <v>0</v>
      </c>
      <c r="I17" s="1085">
        <f t="shared" si="6"/>
        <v>0</v>
      </c>
      <c r="J17" s="1090" t="str">
        <f t="shared" si="7"/>
        <v>aucun match</v>
      </c>
      <c r="K17" s="1044" t="str">
        <f t="shared" si="8"/>
        <v>1. coupez la viande en cubes d’environ 4 cm et mettez-la dans un grand saladier. ajoutez-y les oignons coupés en rondelles, les carottes coupées en rondelles, les lardons, l’ail émincé et le bouquet garni. versez le vin rouge sur le tout et laissez mariner au frais pendant 24 heures.</v>
      </c>
      <c r="L17" s="1044" t="str">
        <f t="shared" si="9"/>
        <v>1. coupez la viande en cubes d’environ 4 cm et mettez-la dans un grand saladier. ajoutez-y les oignons coupes en rondelles, les carottes coupees en rondelles, les lardons, l’ail emince et le bouquet garni. versez le vin rouge sur le tout et laissez mariner au frais pendant 24 heures.</v>
      </c>
      <c r="M17" s="1044" t="str">
        <f t="shared" si="10"/>
        <v xml:space="preserve">1  coupez la viande en cubes d’environ 4 cm et mettez la dans un grand saladier  ajoutez y les oignons coupes en rondelles  les carottes coupees en rondelles  les lardons  l’ail emince et le bouquet garni  versez le vin rouge sur le tout et laissez mariner au frais pendant 24 heures </v>
      </c>
      <c r="N17" s="1044" t="str">
        <f t="shared" si="11"/>
        <v xml:space="preserve"> 1 coupez la viande en cubes d’environ 4 cm et mettez la dans un grand saladier ajoutez y les oignons coupes en rondelles les carottes coupees en rondelles les lardons l’ail emince et le bouquet garni versez le vin rouge sur le tout et laissez mariner au frais pendant 24 heures </v>
      </c>
      <c r="O17" s="1044">
        <f t="shared" si="12"/>
        <v>0</v>
      </c>
      <c r="P17" s="1044">
        <f t="shared" si="13"/>
        <v>0</v>
      </c>
      <c r="Q17" s="1044">
        <f t="shared" si="14"/>
        <v>0</v>
      </c>
      <c r="R17" s="1044">
        <f t="shared" si="15"/>
        <v>0</v>
      </c>
      <c r="S17" s="1044">
        <f t="shared" si="16"/>
        <v>0</v>
      </c>
      <c r="T17" s="1044">
        <f t="shared" si="17"/>
        <v>0</v>
      </c>
      <c r="U17" s="1044">
        <f t="shared" si="18"/>
        <v>0</v>
      </c>
      <c r="V17" s="1044">
        <f t="shared" si="19"/>
        <v>0</v>
      </c>
      <c r="W17" s="1044">
        <f t="shared" si="20"/>
        <v>0</v>
      </c>
      <c r="X17" s="1044">
        <f t="shared" si="21"/>
        <v>0</v>
      </c>
      <c r="Y17" s="1044">
        <f t="shared" si="22"/>
        <v>0</v>
      </c>
      <c r="Z17" s="1044">
        <f t="shared" si="23"/>
        <v>0</v>
      </c>
      <c r="AA17" s="1044">
        <f t="shared" si="24"/>
        <v>0</v>
      </c>
      <c r="AB17" s="1044">
        <f t="shared" si="25"/>
        <v>0</v>
      </c>
      <c r="AC17" s="1044">
        <f t="shared" si="26"/>
        <v>0</v>
      </c>
      <c r="AD17" s="1044">
        <f t="shared" si="27"/>
        <v>0</v>
      </c>
      <c r="AE17" s="1044">
        <f t="shared" si="28"/>
        <v>0</v>
      </c>
      <c r="AF17" s="1044">
        <f t="shared" si="29"/>
        <v>0</v>
      </c>
      <c r="AG17" s="1044">
        <f t="shared" si="30"/>
        <v>0</v>
      </c>
      <c r="AH17" s="1044">
        <f t="shared" si="31"/>
        <v>0</v>
      </c>
      <c r="AI17" s="1044">
        <f t="shared" si="32"/>
        <v>0</v>
      </c>
      <c r="AJ17" s="1044">
        <f t="shared" si="33"/>
        <v>0</v>
      </c>
      <c r="AK17" s="1044">
        <f t="shared" si="34"/>
        <v>0</v>
      </c>
      <c r="AL17" s="1044">
        <f t="shared" si="35"/>
        <v>0</v>
      </c>
      <c r="AM17" s="1044">
        <f t="shared" si="36"/>
        <v>0</v>
      </c>
      <c r="AN17" s="1044" t="str">
        <f t="shared" si="37"/>
        <v/>
      </c>
      <c r="AO17" s="1044" t="str">
        <f t="shared" si="38"/>
        <v/>
      </c>
      <c r="AP17" s="1044" t="str">
        <f t="shared" si="39"/>
        <v/>
      </c>
      <c r="AQ17" s="1044" t="str">
        <f t="shared" si="40"/>
        <v/>
      </c>
      <c r="AR17" s="1044" t="str">
        <f t="shared" si="41"/>
        <v/>
      </c>
      <c r="AS17" s="1044" t="str">
        <f t="shared" si="42"/>
        <v/>
      </c>
      <c r="AT17" s="1044" t="str">
        <f t="shared" si="43"/>
        <v/>
      </c>
      <c r="AU17" s="1044" t="str">
        <f t="shared" si="44"/>
        <v/>
      </c>
      <c r="AV17" s="1044" t="str">
        <f t="shared" si="45"/>
        <v/>
      </c>
      <c r="AW17" s="1044" t="str">
        <f t="shared" si="46"/>
        <v/>
      </c>
      <c r="AX17" s="1044" t="str">
        <f t="shared" si="47"/>
        <v/>
      </c>
      <c r="AY17" s="1044" t="str">
        <f t="shared" si="48"/>
        <v/>
      </c>
      <c r="AZ17" s="1044" t="str">
        <f t="shared" si="49"/>
        <v/>
      </c>
      <c r="BA17" s="1044" t="str">
        <f t="shared" si="50"/>
        <v/>
      </c>
      <c r="BB17" s="1044" t="str">
        <f t="shared" si="51"/>
        <v/>
      </c>
      <c r="BC17" s="1044" t="str">
        <f t="shared" si="52"/>
        <v/>
      </c>
      <c r="BF17" s="1" t="s">
        <v>9</v>
      </c>
      <c r="BG17" s="1076" t="s">
        <v>689</v>
      </c>
      <c r="BH17" s="1" t="s">
        <v>135</v>
      </c>
      <c r="BI17" s="1" t="s">
        <v>7398</v>
      </c>
    </row>
    <row r="18" spans="1:61" ht="30" customHeight="1">
      <c r="A18" s="1085">
        <f t="shared" si="0"/>
        <v>18</v>
      </c>
      <c r="B18" s="1086" t="s">
        <v>8276</v>
      </c>
      <c r="C18" s="1085" t="s">
        <v>254</v>
      </c>
      <c r="D18" s="1087" t="str">
        <f t="shared" si="1"/>
        <v>2. Le lendemain, sortez la viande et les légumes de la marinade et égouttez-les. Réservez la marinade.</v>
      </c>
      <c r="E18" s="1088" t="str">
        <f t="shared" si="2"/>
        <v/>
      </c>
      <c r="F18" s="1089" t="str">
        <f t="shared" si="3"/>
        <v>2. Le lendemain, sortez la viande et les légumes de la marinade et égouttez-les. Réservez la marinade.</v>
      </c>
      <c r="G18" s="1090" t="str">
        <f t="shared" si="4"/>
        <v/>
      </c>
      <c r="H18" s="1085">
        <f t="shared" si="5"/>
        <v>0</v>
      </c>
      <c r="I18" s="1085">
        <f t="shared" si="6"/>
        <v>0</v>
      </c>
      <c r="J18" s="1090" t="str">
        <f t="shared" si="7"/>
        <v>aucun match</v>
      </c>
      <c r="K18" s="1044" t="str">
        <f t="shared" si="8"/>
        <v>2. le lendemain, sortez la viande et les légumes de la marinade et égouttez-les. réservez la marinade.</v>
      </c>
      <c r="L18" s="1044" t="str">
        <f t="shared" si="9"/>
        <v>2. le lendemain, sortez la viande et les legumes de la marinade et egouttez-les. reservez la marinade.</v>
      </c>
      <c r="M18" s="1044" t="str">
        <f t="shared" si="10"/>
        <v xml:space="preserve">2  le lendemain  sortez la viande et les legumes de la marinade et egouttez les  reservez la marinade </v>
      </c>
      <c r="N18" s="1044" t="str">
        <f t="shared" si="11"/>
        <v xml:space="preserve"> 2 le lendemain sortez la viande et les legumes de la marinade et egouttez les reservez la marinade </v>
      </c>
      <c r="O18" s="1044">
        <f t="shared" si="12"/>
        <v>0</v>
      </c>
      <c r="P18" s="1044">
        <f t="shared" si="13"/>
        <v>0</v>
      </c>
      <c r="Q18" s="1044">
        <f t="shared" si="14"/>
        <v>0</v>
      </c>
      <c r="R18" s="1044">
        <f t="shared" si="15"/>
        <v>0</v>
      </c>
      <c r="S18" s="1044">
        <f t="shared" si="16"/>
        <v>0</v>
      </c>
      <c r="T18" s="1044">
        <f t="shared" si="17"/>
        <v>0</v>
      </c>
      <c r="U18" s="1044">
        <f t="shared" si="18"/>
        <v>0</v>
      </c>
      <c r="V18" s="1044">
        <f t="shared" si="19"/>
        <v>0</v>
      </c>
      <c r="W18" s="1044">
        <f t="shared" si="20"/>
        <v>0</v>
      </c>
      <c r="X18" s="1044">
        <f t="shared" si="21"/>
        <v>0</v>
      </c>
      <c r="Y18" s="1044">
        <f t="shared" si="22"/>
        <v>0</v>
      </c>
      <c r="Z18" s="1044">
        <f t="shared" si="23"/>
        <v>0</v>
      </c>
      <c r="AA18" s="1044">
        <f t="shared" si="24"/>
        <v>0</v>
      </c>
      <c r="AB18" s="1044">
        <f t="shared" si="25"/>
        <v>0</v>
      </c>
      <c r="AC18" s="1044">
        <f t="shared" si="26"/>
        <v>0</v>
      </c>
      <c r="AD18" s="1044">
        <f t="shared" si="27"/>
        <v>0</v>
      </c>
      <c r="AE18" s="1044">
        <f t="shared" si="28"/>
        <v>0</v>
      </c>
      <c r="AF18" s="1044">
        <f t="shared" si="29"/>
        <v>0</v>
      </c>
      <c r="AG18" s="1044">
        <f t="shared" si="30"/>
        <v>0</v>
      </c>
      <c r="AH18" s="1044">
        <f t="shared" si="31"/>
        <v>0</v>
      </c>
      <c r="AI18" s="1044">
        <f t="shared" si="32"/>
        <v>0</v>
      </c>
      <c r="AJ18" s="1044">
        <f t="shared" si="33"/>
        <v>0</v>
      </c>
      <c r="AK18" s="1044">
        <f t="shared" si="34"/>
        <v>0</v>
      </c>
      <c r="AL18" s="1044">
        <f t="shared" si="35"/>
        <v>0</v>
      </c>
      <c r="AM18" s="1044">
        <f t="shared" si="36"/>
        <v>0</v>
      </c>
      <c r="AN18" s="1044" t="str">
        <f t="shared" si="37"/>
        <v/>
      </c>
      <c r="AO18" s="1044" t="str">
        <f t="shared" si="38"/>
        <v/>
      </c>
      <c r="AP18" s="1044" t="str">
        <f t="shared" si="39"/>
        <v/>
      </c>
      <c r="AQ18" s="1044" t="str">
        <f t="shared" si="40"/>
        <v/>
      </c>
      <c r="AR18" s="1044" t="str">
        <f t="shared" si="41"/>
        <v/>
      </c>
      <c r="AS18" s="1044" t="str">
        <f t="shared" si="42"/>
        <v/>
      </c>
      <c r="AT18" s="1044" t="str">
        <f t="shared" si="43"/>
        <v/>
      </c>
      <c r="AU18" s="1044" t="str">
        <f t="shared" si="44"/>
        <v/>
      </c>
      <c r="AV18" s="1044" t="str">
        <f t="shared" si="45"/>
        <v/>
      </c>
      <c r="AW18" s="1044" t="str">
        <f t="shared" si="46"/>
        <v/>
      </c>
      <c r="AX18" s="1044" t="str">
        <f t="shared" si="47"/>
        <v/>
      </c>
      <c r="AY18" s="1044" t="str">
        <f t="shared" si="48"/>
        <v/>
      </c>
      <c r="AZ18" s="1044" t="str">
        <f t="shared" si="49"/>
        <v/>
      </c>
      <c r="BA18" s="1044" t="str">
        <f t="shared" si="50"/>
        <v/>
      </c>
      <c r="BB18" s="1044" t="str">
        <f t="shared" si="51"/>
        <v/>
      </c>
      <c r="BC18" s="1044" t="str">
        <f t="shared" si="52"/>
        <v/>
      </c>
      <c r="BF18" s="1" t="s">
        <v>9</v>
      </c>
      <c r="BG18" s="1076" t="s">
        <v>689</v>
      </c>
      <c r="BH18" s="1" t="s">
        <v>7041</v>
      </c>
      <c r="BI18" s="1" t="s">
        <v>7399</v>
      </c>
    </row>
    <row r="19" spans="1:61" ht="30" customHeight="1">
      <c r="A19" s="1085">
        <f t="shared" si="0"/>
        <v>19</v>
      </c>
      <c r="B19" s="1086" t="s">
        <v>8277</v>
      </c>
      <c r="C19" s="1085" t="s">
        <v>254</v>
      </c>
      <c r="D19" s="1087" t="str">
        <f t="shared" si="1"/>
        <v>3. Dans une cocotte en fonte, faites chauffer l’huile d’olive à feu moyen. Ajoutez la viande et faites-la dorer de tous les côtés. Retirez-la de la cocotte et réservez-la.</v>
      </c>
      <c r="E19" s="1088" t="str">
        <f t="shared" si="2"/>
        <v/>
      </c>
      <c r="F19" s="1089" t="str">
        <f t="shared" si="3"/>
        <v>3. Dans une cocotte en fonte, faites chauffer l’huile d’olive à feu moyen. Ajoutez la viande et faites-la dorer de tous les côtés. Retirez-la de la cocotte et réservez-la.</v>
      </c>
      <c r="G19" s="1090" t="str">
        <f t="shared" si="4"/>
        <v/>
      </c>
      <c r="H19" s="1085">
        <f t="shared" si="5"/>
        <v>0</v>
      </c>
      <c r="I19" s="1085">
        <f t="shared" si="6"/>
        <v>0</v>
      </c>
      <c r="J19" s="1090" t="str">
        <f t="shared" si="7"/>
        <v>aucun match</v>
      </c>
      <c r="K19" s="1044" t="str">
        <f t="shared" si="8"/>
        <v>3. dans une cocotte en fonte, faites chauffer l’huile d’olive à feu moyen. ajoutez la viande et faites-la dorer de tous les côtés. retirez-la de la cocotte et réservez-la.</v>
      </c>
      <c r="L19" s="1044" t="str">
        <f t="shared" si="9"/>
        <v>3. dans une cocotte en fonte, faites chauffer l’huile d’olive a feu moyen. ajoutez la viande et faites-la dorer de tous les cotes. retirez-la de la cocotte et reservez-la.</v>
      </c>
      <c r="M19" s="1044" t="str">
        <f t="shared" si="10"/>
        <v xml:space="preserve">3  dans une cocotte en fonte  faites chauffer l’huile d’olive a feu moyen  ajoutez la viande et faites la dorer de tous les cotes  retirez la de la cocotte et reservez la </v>
      </c>
      <c r="N19" s="1044" t="str">
        <f t="shared" si="11"/>
        <v xml:space="preserve"> 3 dans une cocotte en fonte faites chauffer l’huile d’olive a feu moyen ajoutez la viande et faites la dorer de tous les cotes retirez la de la cocotte et reservez la </v>
      </c>
      <c r="O19" s="1044">
        <f t="shared" si="12"/>
        <v>0</v>
      </c>
      <c r="P19" s="1044">
        <f t="shared" si="13"/>
        <v>0</v>
      </c>
      <c r="Q19" s="1044">
        <f t="shared" si="14"/>
        <v>0</v>
      </c>
      <c r="R19" s="1044">
        <f t="shared" si="15"/>
        <v>0</v>
      </c>
      <c r="S19" s="1044">
        <f t="shared" si="16"/>
        <v>0</v>
      </c>
      <c r="T19" s="1044">
        <f t="shared" si="17"/>
        <v>0</v>
      </c>
      <c r="U19" s="1044">
        <f t="shared" si="18"/>
        <v>0</v>
      </c>
      <c r="V19" s="1044">
        <f t="shared" si="19"/>
        <v>0</v>
      </c>
      <c r="W19" s="1044">
        <f t="shared" si="20"/>
        <v>0</v>
      </c>
      <c r="X19" s="1044">
        <f t="shared" si="21"/>
        <v>0</v>
      </c>
      <c r="Y19" s="1044">
        <f t="shared" si="22"/>
        <v>0</v>
      </c>
      <c r="Z19" s="1044">
        <f t="shared" si="23"/>
        <v>0</v>
      </c>
      <c r="AA19" s="1044">
        <f t="shared" si="24"/>
        <v>0</v>
      </c>
      <c r="AB19" s="1044">
        <f t="shared" si="25"/>
        <v>0</v>
      </c>
      <c r="AC19" s="1044">
        <f t="shared" si="26"/>
        <v>0</v>
      </c>
      <c r="AD19" s="1044">
        <f t="shared" si="27"/>
        <v>0</v>
      </c>
      <c r="AE19" s="1044">
        <f t="shared" si="28"/>
        <v>0</v>
      </c>
      <c r="AF19" s="1044">
        <f t="shared" si="29"/>
        <v>0</v>
      </c>
      <c r="AG19" s="1044">
        <f t="shared" si="30"/>
        <v>0</v>
      </c>
      <c r="AH19" s="1044">
        <f t="shared" si="31"/>
        <v>0</v>
      </c>
      <c r="AI19" s="1044">
        <f t="shared" si="32"/>
        <v>0</v>
      </c>
      <c r="AJ19" s="1044">
        <f t="shared" si="33"/>
        <v>0</v>
      </c>
      <c r="AK19" s="1044">
        <f t="shared" si="34"/>
        <v>0</v>
      </c>
      <c r="AL19" s="1044">
        <f t="shared" si="35"/>
        <v>0</v>
      </c>
      <c r="AM19" s="1044">
        <f t="shared" si="36"/>
        <v>0</v>
      </c>
      <c r="AN19" s="1044" t="str">
        <f t="shared" si="37"/>
        <v/>
      </c>
      <c r="AO19" s="1044" t="str">
        <f t="shared" si="38"/>
        <v/>
      </c>
      <c r="AP19" s="1044" t="str">
        <f t="shared" si="39"/>
        <v/>
      </c>
      <c r="AQ19" s="1044" t="str">
        <f t="shared" si="40"/>
        <v/>
      </c>
      <c r="AR19" s="1044" t="str">
        <f t="shared" si="41"/>
        <v/>
      </c>
      <c r="AS19" s="1044" t="str">
        <f t="shared" si="42"/>
        <v/>
      </c>
      <c r="AT19" s="1044" t="str">
        <f t="shared" si="43"/>
        <v/>
      </c>
      <c r="AU19" s="1044" t="str">
        <f t="shared" si="44"/>
        <v/>
      </c>
      <c r="AV19" s="1044" t="str">
        <f t="shared" si="45"/>
        <v/>
      </c>
      <c r="AW19" s="1044" t="str">
        <f t="shared" si="46"/>
        <v/>
      </c>
      <c r="AX19" s="1044" t="str">
        <f t="shared" si="47"/>
        <v/>
      </c>
      <c r="AY19" s="1044" t="str">
        <f t="shared" si="48"/>
        <v/>
      </c>
      <c r="AZ19" s="1044" t="str">
        <f t="shared" si="49"/>
        <v/>
      </c>
      <c r="BA19" s="1044" t="str">
        <f t="shared" si="50"/>
        <v/>
      </c>
      <c r="BB19" s="1044" t="str">
        <f t="shared" si="51"/>
        <v/>
      </c>
      <c r="BC19" s="1044" t="str">
        <f t="shared" si="52"/>
        <v/>
      </c>
      <c r="BF19" s="1" t="s">
        <v>9</v>
      </c>
      <c r="BG19" s="1076" t="s">
        <v>689</v>
      </c>
      <c r="BH19" s="1" t="s">
        <v>7042</v>
      </c>
      <c r="BI19" s="1" t="s">
        <v>7400</v>
      </c>
    </row>
    <row r="20" spans="1:61" ht="30" customHeight="1">
      <c r="A20" s="1085">
        <f t="shared" si="0"/>
        <v>20</v>
      </c>
      <c r="B20" s="1086" t="s">
        <v>8278</v>
      </c>
      <c r="C20" s="1085" t="s">
        <v>254</v>
      </c>
      <c r="D20" s="1087" t="str">
        <f t="shared" si="1"/>
        <v>4. Dans la même cocotte, faites revenir les légumes et les lardons pendant environ 5 minutes. Saupoudrez de farine et mélangez bien. *</v>
      </c>
      <c r="E20" s="1088" t="str">
        <f t="shared" si="2"/>
        <v>⚠ Gluten</v>
      </c>
      <c r="F20" s="1089" t="str">
        <f t="shared" si="3"/>
        <v>4. Dans la même cocotte, faites revenir les légumes et les lardons pendant environ 5 minutes. Saupoudrez de farine et mélangez bien. *</v>
      </c>
      <c r="G20" s="1090" t="str">
        <f t="shared" si="4"/>
        <v/>
      </c>
      <c r="H20" s="1085">
        <f t="shared" si="5"/>
        <v>1</v>
      </c>
      <c r="I20" s="1085">
        <f t="shared" si="6"/>
        <v>0</v>
      </c>
      <c r="J20" s="1090" t="str">
        <f t="shared" si="7"/>
        <v>⚠ Gluten</v>
      </c>
      <c r="K20" s="1044" t="str">
        <f t="shared" si="8"/>
        <v>4. dans la même cocotte, faites revenir les légumes et les lardons pendant environ 5 minutes. saupoudrez de farine et mélangez bien.</v>
      </c>
      <c r="L20" s="1044" t="str">
        <f t="shared" si="9"/>
        <v>4. dans la meme cocotte, faites revenir les legumes et les lardons pendant environ 5 minutes. saupoudrez de farine et melangez bien.</v>
      </c>
      <c r="M20" s="1044" t="str">
        <f t="shared" si="10"/>
        <v xml:space="preserve">4  dans la meme cocotte  faites revenir les legumes et les lardons pendant environ 5 minutes  saupoudrez de farine et melangez bien </v>
      </c>
      <c r="N20" s="1044" t="str">
        <f t="shared" si="11"/>
        <v xml:space="preserve"> 4 dans la meme cocotte faites revenir les legumes et les lardons pendant environ 5 minutes saupoudrez de farine et melangez bien </v>
      </c>
      <c r="O20" s="1044">
        <f t="shared" si="12"/>
        <v>0</v>
      </c>
      <c r="P20" s="1044">
        <f t="shared" si="13"/>
        <v>0</v>
      </c>
      <c r="Q20" s="1044">
        <f t="shared" si="14"/>
        <v>1</v>
      </c>
      <c r="R20" s="1044">
        <f t="shared" si="15"/>
        <v>1</v>
      </c>
      <c r="S20" s="1044">
        <f t="shared" si="16"/>
        <v>0</v>
      </c>
      <c r="T20" s="1044">
        <f t="shared" si="17"/>
        <v>0</v>
      </c>
      <c r="U20" s="1044">
        <f t="shared" si="18"/>
        <v>0</v>
      </c>
      <c r="V20" s="1044">
        <f t="shared" si="19"/>
        <v>0</v>
      </c>
      <c r="W20" s="1044">
        <f t="shared" si="20"/>
        <v>0</v>
      </c>
      <c r="X20" s="1044">
        <f t="shared" si="21"/>
        <v>0</v>
      </c>
      <c r="Y20" s="1044">
        <f t="shared" si="22"/>
        <v>0</v>
      </c>
      <c r="Z20" s="1044">
        <f t="shared" si="23"/>
        <v>0</v>
      </c>
      <c r="AA20" s="1044">
        <f t="shared" si="24"/>
        <v>0</v>
      </c>
      <c r="AB20" s="1044">
        <f t="shared" si="25"/>
        <v>0</v>
      </c>
      <c r="AC20" s="1044">
        <f t="shared" si="26"/>
        <v>0</v>
      </c>
      <c r="AD20" s="1044">
        <f t="shared" si="27"/>
        <v>0</v>
      </c>
      <c r="AE20" s="1044">
        <f t="shared" si="28"/>
        <v>0</v>
      </c>
      <c r="AF20" s="1044">
        <f t="shared" si="29"/>
        <v>0</v>
      </c>
      <c r="AG20" s="1044">
        <f t="shared" si="30"/>
        <v>0</v>
      </c>
      <c r="AH20" s="1044">
        <f t="shared" si="31"/>
        <v>0</v>
      </c>
      <c r="AI20" s="1044">
        <f t="shared" si="32"/>
        <v>0</v>
      </c>
      <c r="AJ20" s="1044">
        <f t="shared" si="33"/>
        <v>0</v>
      </c>
      <c r="AK20" s="1044">
        <f t="shared" si="34"/>
        <v>0</v>
      </c>
      <c r="AL20" s="1044">
        <f t="shared" si="35"/>
        <v>0</v>
      </c>
      <c r="AM20" s="1044">
        <f t="shared" si="36"/>
        <v>0</v>
      </c>
      <c r="AN20" s="1044" t="str">
        <f t="shared" si="37"/>
        <v>⚠ Gluten</v>
      </c>
      <c r="AO20" s="1044" t="str">
        <f t="shared" si="38"/>
        <v/>
      </c>
      <c r="AP20" s="1044" t="str">
        <f t="shared" si="39"/>
        <v/>
      </c>
      <c r="AQ20" s="1044" t="str">
        <f t="shared" si="40"/>
        <v/>
      </c>
      <c r="AR20" s="1044" t="str">
        <f t="shared" si="41"/>
        <v/>
      </c>
      <c r="AS20" s="1044" t="str">
        <f t="shared" si="42"/>
        <v/>
      </c>
      <c r="AT20" s="1044" t="str">
        <f t="shared" si="43"/>
        <v/>
      </c>
      <c r="AU20" s="1044" t="str">
        <f t="shared" si="44"/>
        <v/>
      </c>
      <c r="AV20" s="1044" t="str">
        <f t="shared" si="45"/>
        <v/>
      </c>
      <c r="AW20" s="1044" t="str">
        <f t="shared" si="46"/>
        <v/>
      </c>
      <c r="AX20" s="1044" t="str">
        <f t="shared" si="47"/>
        <v/>
      </c>
      <c r="AY20" s="1044" t="str">
        <f t="shared" si="48"/>
        <v/>
      </c>
      <c r="AZ20" s="1044" t="str">
        <f t="shared" si="49"/>
        <v/>
      </c>
      <c r="BA20" s="1044" t="str">
        <f t="shared" si="50"/>
        <v/>
      </c>
      <c r="BB20" s="1044" t="str">
        <f t="shared" si="51"/>
        <v/>
      </c>
      <c r="BC20" s="1044" t="str">
        <f t="shared" si="52"/>
        <v/>
      </c>
      <c r="BF20" s="1" t="s">
        <v>9</v>
      </c>
      <c r="BG20" s="1076" t="s">
        <v>689</v>
      </c>
      <c r="BH20" s="1" t="s">
        <v>7043</v>
      </c>
      <c r="BI20" s="1" t="s">
        <v>7401</v>
      </c>
    </row>
    <row r="21" spans="1:61" ht="30" customHeight="1">
      <c r="A21" s="1085">
        <f t="shared" si="0"/>
        <v>21</v>
      </c>
      <c r="B21" s="1086" t="s">
        <v>8279</v>
      </c>
      <c r="C21" s="1085" t="s">
        <v>254</v>
      </c>
      <c r="D21" s="1087" t="str">
        <f t="shared" si="1"/>
        <v>5. Remettez la viande dans la cocotte et versez la marinade filtrée par-dessus. Ajoutez de l’eau si nécessaire pour recouvrir la viande. Salez et poivrez.</v>
      </c>
      <c r="E21" s="1088" t="str">
        <f t="shared" si="2"/>
        <v/>
      </c>
      <c r="F21" s="1089" t="str">
        <f t="shared" si="3"/>
        <v>5. Remettez la viande dans la cocotte et versez la marinade filtrée par-dessus. Ajoutez de l’eau si nécessaire pour recouvrir la viande. Salez et poivrez.</v>
      </c>
      <c r="G21" s="1090" t="str">
        <f t="shared" si="4"/>
        <v/>
      </c>
      <c r="H21" s="1085">
        <f t="shared" si="5"/>
        <v>0</v>
      </c>
      <c r="I21" s="1085">
        <f t="shared" si="6"/>
        <v>0</v>
      </c>
      <c r="J21" s="1090" t="str">
        <f t="shared" si="7"/>
        <v>aucun match</v>
      </c>
      <c r="K21" s="1044" t="str">
        <f t="shared" si="8"/>
        <v>5. remettez la viande dans la cocotte et versez la marinade filtrée par-dessus. ajoutez de l’eau si nécessaire pour recouvrir la viande. salez et poivrez.</v>
      </c>
      <c r="L21" s="1044" t="str">
        <f t="shared" si="9"/>
        <v>5. remettez la viande dans la cocotte et versez la marinade filtree par-dessus. ajoutez de l’eau si necessaire pour recouvrir la viande. salez et poivrez.</v>
      </c>
      <c r="M21" s="1044" t="str">
        <f t="shared" si="10"/>
        <v xml:space="preserve">5  remettez la viande dans la cocotte et versez la marinade filtree par dessus  ajoutez de l’eau si necessaire pour recouvrir la viande  salez et poivrez </v>
      </c>
      <c r="N21" s="1044" t="str">
        <f t="shared" si="11"/>
        <v xml:space="preserve"> 5 remettez la viande dans la cocotte et versez la marinade filtree par dessus ajoutez de l’eau si necessaire pour recouvrir la viande salez et poivrez </v>
      </c>
      <c r="O21" s="1044">
        <f t="shared" si="12"/>
        <v>0</v>
      </c>
      <c r="P21" s="1044">
        <f t="shared" si="13"/>
        <v>0</v>
      </c>
      <c r="Q21" s="1044">
        <f t="shared" si="14"/>
        <v>0</v>
      </c>
      <c r="R21" s="1044">
        <f t="shared" si="15"/>
        <v>0</v>
      </c>
      <c r="S21" s="1044">
        <f t="shared" si="16"/>
        <v>0</v>
      </c>
      <c r="T21" s="1044">
        <f t="shared" si="17"/>
        <v>0</v>
      </c>
      <c r="U21" s="1044">
        <f t="shared" si="18"/>
        <v>0</v>
      </c>
      <c r="V21" s="1044">
        <f t="shared" si="19"/>
        <v>0</v>
      </c>
      <c r="W21" s="1044">
        <f t="shared" si="20"/>
        <v>0</v>
      </c>
      <c r="X21" s="1044">
        <f t="shared" si="21"/>
        <v>0</v>
      </c>
      <c r="Y21" s="1044">
        <f t="shared" si="22"/>
        <v>0</v>
      </c>
      <c r="Z21" s="1044">
        <f t="shared" si="23"/>
        <v>0</v>
      </c>
      <c r="AA21" s="1044">
        <f t="shared" si="24"/>
        <v>0</v>
      </c>
      <c r="AB21" s="1044">
        <f t="shared" si="25"/>
        <v>0</v>
      </c>
      <c r="AC21" s="1044">
        <f t="shared" si="26"/>
        <v>0</v>
      </c>
      <c r="AD21" s="1044">
        <f t="shared" si="27"/>
        <v>0</v>
      </c>
      <c r="AE21" s="1044">
        <f t="shared" si="28"/>
        <v>0</v>
      </c>
      <c r="AF21" s="1044">
        <f t="shared" si="29"/>
        <v>0</v>
      </c>
      <c r="AG21" s="1044">
        <f t="shared" si="30"/>
        <v>0</v>
      </c>
      <c r="AH21" s="1044">
        <f t="shared" si="31"/>
        <v>0</v>
      </c>
      <c r="AI21" s="1044">
        <f t="shared" si="32"/>
        <v>0</v>
      </c>
      <c r="AJ21" s="1044">
        <f t="shared" si="33"/>
        <v>0</v>
      </c>
      <c r="AK21" s="1044">
        <f t="shared" si="34"/>
        <v>0</v>
      </c>
      <c r="AL21" s="1044">
        <f t="shared" si="35"/>
        <v>0</v>
      </c>
      <c r="AM21" s="1044">
        <f t="shared" si="36"/>
        <v>0</v>
      </c>
      <c r="AN21" s="1044" t="str">
        <f t="shared" si="37"/>
        <v/>
      </c>
      <c r="AO21" s="1044" t="str">
        <f t="shared" si="38"/>
        <v/>
      </c>
      <c r="AP21" s="1044" t="str">
        <f t="shared" si="39"/>
        <v/>
      </c>
      <c r="AQ21" s="1044" t="str">
        <f t="shared" si="40"/>
        <v/>
      </c>
      <c r="AR21" s="1044" t="str">
        <f t="shared" si="41"/>
        <v/>
      </c>
      <c r="AS21" s="1044" t="str">
        <f t="shared" si="42"/>
        <v/>
      </c>
      <c r="AT21" s="1044" t="str">
        <f t="shared" si="43"/>
        <v/>
      </c>
      <c r="AU21" s="1044" t="str">
        <f t="shared" si="44"/>
        <v/>
      </c>
      <c r="AV21" s="1044" t="str">
        <f t="shared" si="45"/>
        <v/>
      </c>
      <c r="AW21" s="1044" t="str">
        <f t="shared" si="46"/>
        <v/>
      </c>
      <c r="AX21" s="1044" t="str">
        <f t="shared" si="47"/>
        <v/>
      </c>
      <c r="AY21" s="1044" t="str">
        <f t="shared" si="48"/>
        <v/>
      </c>
      <c r="AZ21" s="1044" t="str">
        <f t="shared" si="49"/>
        <v/>
      </c>
      <c r="BA21" s="1044" t="str">
        <f t="shared" si="50"/>
        <v/>
      </c>
      <c r="BB21" s="1044" t="str">
        <f t="shared" si="51"/>
        <v/>
      </c>
      <c r="BC21" s="1044" t="str">
        <f t="shared" si="52"/>
        <v/>
      </c>
      <c r="BF21" s="1" t="s">
        <v>9</v>
      </c>
      <c r="BG21" s="1076" t="s">
        <v>689</v>
      </c>
      <c r="BH21" s="1" t="s">
        <v>166</v>
      </c>
      <c r="BI21" s="1" t="s">
        <v>7402</v>
      </c>
    </row>
    <row r="22" spans="1:61" ht="30" customHeight="1">
      <c r="A22" s="1085">
        <f t="shared" si="0"/>
        <v>22</v>
      </c>
      <c r="B22" s="1086" t="s">
        <v>8280</v>
      </c>
      <c r="C22" s="1085" t="s">
        <v>254</v>
      </c>
      <c r="D22" s="1087" t="str">
        <f t="shared" si="1"/>
        <v>6. Portez à ébullition, puis baissez le feu et laissez mijoter à feu doux pendant environ 3 heures, en remuant de temps en temps. La viande doit être tendre et la sauce onctueuse.</v>
      </c>
      <c r="E22" s="1088" t="str">
        <f t="shared" si="2"/>
        <v/>
      </c>
      <c r="F22" s="1089" t="str">
        <f t="shared" si="3"/>
        <v>6. Portez à ébullition, puis baissez le feu et laissez mijoter à feu doux pendant environ 3 heures, en remuant de temps en temps. La viande doit être tendre et la sauce onctueuse.</v>
      </c>
      <c r="G22" s="1090" t="str">
        <f t="shared" si="4"/>
        <v/>
      </c>
      <c r="H22" s="1085">
        <f t="shared" si="5"/>
        <v>0</v>
      </c>
      <c r="I22" s="1085">
        <f t="shared" si="6"/>
        <v>0</v>
      </c>
      <c r="J22" s="1090" t="str">
        <f t="shared" si="7"/>
        <v>aucun match</v>
      </c>
      <c r="K22" s="1044" t="str">
        <f t="shared" si="8"/>
        <v>6. portez à ébullition, puis baissez le feu et laissez mijoter à feu doux pendant environ 3 heures, en remuant de temps en temps. la viande doit être tendre et la sauce onctueuse.</v>
      </c>
      <c r="L22" s="1044" t="str">
        <f t="shared" si="9"/>
        <v>6. portez a ebullition, puis baissez le feu et laissez mijoter a feu doux pendant environ 3 heures, en remuant de temps en temps. la viande doit etre tendre et la sauce onctueuse.</v>
      </c>
      <c r="M22" s="1044" t="str">
        <f t="shared" si="10"/>
        <v xml:space="preserve">6  portez a ebullition  puis baissez le feu et laissez mijoter a feu doux pendant environ 3 heures  en remuant de temps en temps  la viande doit etre tendre et la sauce onctueuse </v>
      </c>
      <c r="N22" s="1044" t="str">
        <f t="shared" si="11"/>
        <v xml:space="preserve"> 6 portez a ebullition puis baissez le feu et laissez mijoter a feu doux pendant environ 3 heures en remuant de temps en temps la viande doit etre tendre et la sauce onctueuse </v>
      </c>
      <c r="O22" s="1044">
        <f t="shared" si="12"/>
        <v>0</v>
      </c>
      <c r="P22" s="1044">
        <f t="shared" si="13"/>
        <v>0</v>
      </c>
      <c r="Q22" s="1044">
        <f t="shared" si="14"/>
        <v>0</v>
      </c>
      <c r="R22" s="1044">
        <f t="shared" si="15"/>
        <v>0</v>
      </c>
      <c r="S22" s="1044">
        <f t="shared" si="16"/>
        <v>0</v>
      </c>
      <c r="T22" s="1044">
        <f t="shared" si="17"/>
        <v>0</v>
      </c>
      <c r="U22" s="1044">
        <f t="shared" si="18"/>
        <v>0</v>
      </c>
      <c r="V22" s="1044">
        <f t="shared" si="19"/>
        <v>0</v>
      </c>
      <c r="W22" s="1044">
        <f t="shared" si="20"/>
        <v>0</v>
      </c>
      <c r="X22" s="1044">
        <f t="shared" si="21"/>
        <v>0</v>
      </c>
      <c r="Y22" s="1044">
        <f t="shared" si="22"/>
        <v>0</v>
      </c>
      <c r="Z22" s="1044">
        <f t="shared" si="23"/>
        <v>0</v>
      </c>
      <c r="AA22" s="1044">
        <f t="shared" si="24"/>
        <v>0</v>
      </c>
      <c r="AB22" s="1044">
        <f t="shared" si="25"/>
        <v>0</v>
      </c>
      <c r="AC22" s="1044">
        <f t="shared" si="26"/>
        <v>0</v>
      </c>
      <c r="AD22" s="1044">
        <f t="shared" si="27"/>
        <v>0</v>
      </c>
      <c r="AE22" s="1044">
        <f t="shared" si="28"/>
        <v>0</v>
      </c>
      <c r="AF22" s="1044">
        <f t="shared" si="29"/>
        <v>0</v>
      </c>
      <c r="AG22" s="1044">
        <f t="shared" si="30"/>
        <v>0</v>
      </c>
      <c r="AH22" s="1044">
        <f t="shared" si="31"/>
        <v>0</v>
      </c>
      <c r="AI22" s="1044">
        <f t="shared" si="32"/>
        <v>0</v>
      </c>
      <c r="AJ22" s="1044">
        <f t="shared" si="33"/>
        <v>0</v>
      </c>
      <c r="AK22" s="1044">
        <f t="shared" si="34"/>
        <v>0</v>
      </c>
      <c r="AL22" s="1044">
        <f t="shared" si="35"/>
        <v>0</v>
      </c>
      <c r="AM22" s="1044">
        <f t="shared" si="36"/>
        <v>0</v>
      </c>
      <c r="AN22" s="1044" t="str">
        <f t="shared" si="37"/>
        <v/>
      </c>
      <c r="AO22" s="1044" t="str">
        <f t="shared" si="38"/>
        <v/>
      </c>
      <c r="AP22" s="1044" t="str">
        <f t="shared" si="39"/>
        <v/>
      </c>
      <c r="AQ22" s="1044" t="str">
        <f t="shared" si="40"/>
        <v/>
      </c>
      <c r="AR22" s="1044" t="str">
        <f t="shared" si="41"/>
        <v/>
      </c>
      <c r="AS22" s="1044" t="str">
        <f t="shared" si="42"/>
        <v/>
      </c>
      <c r="AT22" s="1044" t="str">
        <f t="shared" si="43"/>
        <v/>
      </c>
      <c r="AU22" s="1044" t="str">
        <f t="shared" si="44"/>
        <v/>
      </c>
      <c r="AV22" s="1044" t="str">
        <f t="shared" si="45"/>
        <v/>
      </c>
      <c r="AW22" s="1044" t="str">
        <f t="shared" si="46"/>
        <v/>
      </c>
      <c r="AX22" s="1044" t="str">
        <f t="shared" si="47"/>
        <v/>
      </c>
      <c r="AY22" s="1044" t="str">
        <f t="shared" si="48"/>
        <v/>
      </c>
      <c r="AZ22" s="1044" t="str">
        <f t="shared" si="49"/>
        <v/>
      </c>
      <c r="BA22" s="1044" t="str">
        <f t="shared" si="50"/>
        <v/>
      </c>
      <c r="BB22" s="1044" t="str">
        <f t="shared" si="51"/>
        <v/>
      </c>
      <c r="BC22" s="1044" t="str">
        <f t="shared" si="52"/>
        <v/>
      </c>
      <c r="BF22" s="1" t="s">
        <v>9</v>
      </c>
      <c r="BG22" s="1076" t="s">
        <v>689</v>
      </c>
      <c r="BH22" s="1" t="s">
        <v>7044</v>
      </c>
      <c r="BI22" s="1" t="s">
        <v>7403</v>
      </c>
    </row>
    <row r="23" spans="1:61" ht="30" customHeight="1">
      <c r="A23" s="1085">
        <f t="shared" si="0"/>
        <v>23</v>
      </c>
      <c r="B23" s="1086" t="s">
        <v>8281</v>
      </c>
      <c r="C23" s="1085" t="s">
        <v>254</v>
      </c>
      <c r="D23" s="1087" t="str">
        <f t="shared" si="1"/>
        <v>7. Pendant ce temps, faites revenir les champignons dans une poêle avec un peu d’huile d’olive pendant environ 5 minutes.</v>
      </c>
      <c r="E23" s="1088" t="str">
        <f t="shared" si="2"/>
        <v/>
      </c>
      <c r="F23" s="1089" t="str">
        <f t="shared" si="3"/>
        <v>7. Pendant ce temps, faites revenir les champignons dans une poêle avec un peu d’huile d’olive pendant environ 5 minutes.</v>
      </c>
      <c r="G23" s="1090" t="str">
        <f t="shared" si="4"/>
        <v/>
      </c>
      <c r="H23" s="1085">
        <f t="shared" si="5"/>
        <v>0</v>
      </c>
      <c r="I23" s="1085">
        <f t="shared" si="6"/>
        <v>0</v>
      </c>
      <c r="J23" s="1090" t="str">
        <f t="shared" si="7"/>
        <v>aucun match</v>
      </c>
      <c r="K23" s="1044" t="str">
        <f t="shared" si="8"/>
        <v>7. pendant ce temps, faites revenir les champignons dans une poêle avec un peu d’huile d’olive pendant environ 5 minutes.</v>
      </c>
      <c r="L23" s="1044" t="str">
        <f t="shared" si="9"/>
        <v>7. pendant ce temps, faites revenir les champignons dans une poele avec un peu d’huile d’olive pendant environ 5 minutes.</v>
      </c>
      <c r="M23" s="1044" t="str">
        <f t="shared" si="10"/>
        <v xml:space="preserve">7  pendant ce temps  faites revenir les champignons dans une poele avec un peu d’huile d’olive pendant environ 5 minutes </v>
      </c>
      <c r="N23" s="1044" t="str">
        <f t="shared" si="11"/>
        <v xml:space="preserve"> 7 pendant ce temps faites revenir les champignons dans une poele avec un peu d’huile d’olive pendant environ 5 minutes </v>
      </c>
      <c r="O23" s="1044">
        <f t="shared" si="12"/>
        <v>0</v>
      </c>
      <c r="P23" s="1044">
        <f t="shared" si="13"/>
        <v>0</v>
      </c>
      <c r="Q23" s="1044">
        <f t="shared" si="14"/>
        <v>0</v>
      </c>
      <c r="R23" s="1044">
        <f t="shared" si="15"/>
        <v>0</v>
      </c>
      <c r="S23" s="1044">
        <f t="shared" si="16"/>
        <v>0</v>
      </c>
      <c r="T23" s="1044">
        <f t="shared" si="17"/>
        <v>0</v>
      </c>
      <c r="U23" s="1044">
        <f t="shared" si="18"/>
        <v>0</v>
      </c>
      <c r="V23" s="1044">
        <f t="shared" si="19"/>
        <v>0</v>
      </c>
      <c r="W23" s="1044">
        <f t="shared" si="20"/>
        <v>0</v>
      </c>
      <c r="X23" s="1044">
        <f t="shared" si="21"/>
        <v>0</v>
      </c>
      <c r="Y23" s="1044">
        <f t="shared" si="22"/>
        <v>0</v>
      </c>
      <c r="Z23" s="1044">
        <f t="shared" si="23"/>
        <v>0</v>
      </c>
      <c r="AA23" s="1044">
        <f t="shared" si="24"/>
        <v>0</v>
      </c>
      <c r="AB23" s="1044">
        <f t="shared" si="25"/>
        <v>0</v>
      </c>
      <c r="AC23" s="1044">
        <f t="shared" si="26"/>
        <v>0</v>
      </c>
      <c r="AD23" s="1044">
        <f t="shared" si="27"/>
        <v>0</v>
      </c>
      <c r="AE23" s="1044">
        <f t="shared" si="28"/>
        <v>0</v>
      </c>
      <c r="AF23" s="1044">
        <f t="shared" si="29"/>
        <v>0</v>
      </c>
      <c r="AG23" s="1044">
        <f t="shared" si="30"/>
        <v>0</v>
      </c>
      <c r="AH23" s="1044">
        <f t="shared" si="31"/>
        <v>0</v>
      </c>
      <c r="AI23" s="1044">
        <f t="shared" si="32"/>
        <v>0</v>
      </c>
      <c r="AJ23" s="1044">
        <f t="shared" si="33"/>
        <v>0</v>
      </c>
      <c r="AK23" s="1044">
        <f t="shared" si="34"/>
        <v>0</v>
      </c>
      <c r="AL23" s="1044">
        <f t="shared" si="35"/>
        <v>0</v>
      </c>
      <c r="AM23" s="1044">
        <f t="shared" si="36"/>
        <v>0</v>
      </c>
      <c r="AN23" s="1044" t="str">
        <f t="shared" si="37"/>
        <v/>
      </c>
      <c r="AO23" s="1044" t="str">
        <f t="shared" si="38"/>
        <v/>
      </c>
      <c r="AP23" s="1044" t="str">
        <f t="shared" si="39"/>
        <v/>
      </c>
      <c r="AQ23" s="1044" t="str">
        <f t="shared" si="40"/>
        <v/>
      </c>
      <c r="AR23" s="1044" t="str">
        <f t="shared" si="41"/>
        <v/>
      </c>
      <c r="AS23" s="1044" t="str">
        <f t="shared" si="42"/>
        <v/>
      </c>
      <c r="AT23" s="1044" t="str">
        <f t="shared" si="43"/>
        <v/>
      </c>
      <c r="AU23" s="1044" t="str">
        <f t="shared" si="44"/>
        <v/>
      </c>
      <c r="AV23" s="1044" t="str">
        <f t="shared" si="45"/>
        <v/>
      </c>
      <c r="AW23" s="1044" t="str">
        <f t="shared" si="46"/>
        <v/>
      </c>
      <c r="AX23" s="1044" t="str">
        <f t="shared" si="47"/>
        <v/>
      </c>
      <c r="AY23" s="1044" t="str">
        <f t="shared" si="48"/>
        <v/>
      </c>
      <c r="AZ23" s="1044" t="str">
        <f t="shared" si="49"/>
        <v/>
      </c>
      <c r="BA23" s="1044" t="str">
        <f t="shared" si="50"/>
        <v/>
      </c>
      <c r="BB23" s="1044" t="str">
        <f t="shared" si="51"/>
        <v/>
      </c>
      <c r="BC23" s="1044" t="str">
        <f t="shared" si="52"/>
        <v/>
      </c>
      <c r="BF23" s="1" t="s">
        <v>9</v>
      </c>
      <c r="BG23" s="1076" t="s">
        <v>689</v>
      </c>
      <c r="BH23" s="1" t="s">
        <v>7045</v>
      </c>
      <c r="BI23" s="1" t="s">
        <v>7404</v>
      </c>
    </row>
    <row r="24" spans="1:61" ht="30" customHeight="1">
      <c r="A24" s="1085">
        <f t="shared" si="0"/>
        <v>24</v>
      </c>
      <c r="B24" s="1086" t="s">
        <v>8282</v>
      </c>
      <c r="C24" s="1085" t="s">
        <v>254</v>
      </c>
      <c r="D24" s="1087" t="str">
        <f t="shared" si="1"/>
        <v>8. Ajoutez les champignons dans la cocotte environ 30 minutes avant la fin de la cuisson.</v>
      </c>
      <c r="E24" s="1088" t="str">
        <f t="shared" si="2"/>
        <v/>
      </c>
      <c r="F24" s="1089" t="str">
        <f t="shared" si="3"/>
        <v>8. Ajoutez les champignons dans la cocotte environ 30 minutes avant la fin de la cuisson.</v>
      </c>
      <c r="G24" s="1090" t="str">
        <f t="shared" si="4"/>
        <v/>
      </c>
      <c r="H24" s="1085">
        <f t="shared" si="5"/>
        <v>0</v>
      </c>
      <c r="I24" s="1085">
        <f t="shared" si="6"/>
        <v>0</v>
      </c>
      <c r="J24" s="1090" t="str">
        <f t="shared" si="7"/>
        <v>aucun match</v>
      </c>
      <c r="K24" s="1044" t="str">
        <f t="shared" si="8"/>
        <v>8. ajoutez les champignons dans la cocotte environ 30 minutes avant la fin de la cuisson.</v>
      </c>
      <c r="L24" s="1044" t="str">
        <f t="shared" si="9"/>
        <v>8. ajoutez les champignons dans la cocotte environ 30 minutes avant la fin de la cuisson.</v>
      </c>
      <c r="M24" s="1044" t="str">
        <f t="shared" si="10"/>
        <v xml:space="preserve">8  ajoutez les champignons dans la cocotte environ 30 minutes avant la fin de la cuisson </v>
      </c>
      <c r="N24" s="1044" t="str">
        <f t="shared" si="11"/>
        <v xml:space="preserve"> 8 ajoutez les champignons dans la cocotte environ 30 minutes avant la fin de la cuisson </v>
      </c>
      <c r="O24" s="1044">
        <f t="shared" si="12"/>
        <v>0</v>
      </c>
      <c r="P24" s="1044">
        <f t="shared" si="13"/>
        <v>0</v>
      </c>
      <c r="Q24" s="1044">
        <f t="shared" si="14"/>
        <v>0</v>
      </c>
      <c r="R24" s="1044">
        <f t="shared" si="15"/>
        <v>0</v>
      </c>
      <c r="S24" s="1044">
        <f t="shared" si="16"/>
        <v>0</v>
      </c>
      <c r="T24" s="1044">
        <f t="shared" si="17"/>
        <v>0</v>
      </c>
      <c r="U24" s="1044">
        <f t="shared" si="18"/>
        <v>0</v>
      </c>
      <c r="V24" s="1044">
        <f t="shared" si="19"/>
        <v>0</v>
      </c>
      <c r="W24" s="1044">
        <f t="shared" si="20"/>
        <v>0</v>
      </c>
      <c r="X24" s="1044">
        <f t="shared" si="21"/>
        <v>0</v>
      </c>
      <c r="Y24" s="1044">
        <f t="shared" si="22"/>
        <v>0</v>
      </c>
      <c r="Z24" s="1044">
        <f t="shared" si="23"/>
        <v>0</v>
      </c>
      <c r="AA24" s="1044">
        <f t="shared" si="24"/>
        <v>0</v>
      </c>
      <c r="AB24" s="1044">
        <f t="shared" si="25"/>
        <v>0</v>
      </c>
      <c r="AC24" s="1044">
        <f t="shared" si="26"/>
        <v>0</v>
      </c>
      <c r="AD24" s="1044">
        <f t="shared" si="27"/>
        <v>0</v>
      </c>
      <c r="AE24" s="1044">
        <f t="shared" si="28"/>
        <v>0</v>
      </c>
      <c r="AF24" s="1044">
        <f t="shared" si="29"/>
        <v>0</v>
      </c>
      <c r="AG24" s="1044">
        <f t="shared" si="30"/>
        <v>0</v>
      </c>
      <c r="AH24" s="1044">
        <f t="shared" si="31"/>
        <v>0</v>
      </c>
      <c r="AI24" s="1044">
        <f t="shared" si="32"/>
        <v>0</v>
      </c>
      <c r="AJ24" s="1044">
        <f t="shared" si="33"/>
        <v>0</v>
      </c>
      <c r="AK24" s="1044">
        <f t="shared" si="34"/>
        <v>0</v>
      </c>
      <c r="AL24" s="1044">
        <f t="shared" si="35"/>
        <v>0</v>
      </c>
      <c r="AM24" s="1044">
        <f t="shared" si="36"/>
        <v>0</v>
      </c>
      <c r="AN24" s="1044" t="str">
        <f t="shared" si="37"/>
        <v/>
      </c>
      <c r="AO24" s="1044" t="str">
        <f t="shared" si="38"/>
        <v/>
      </c>
      <c r="AP24" s="1044" t="str">
        <f t="shared" si="39"/>
        <v/>
      </c>
      <c r="AQ24" s="1044" t="str">
        <f t="shared" si="40"/>
        <v/>
      </c>
      <c r="AR24" s="1044" t="str">
        <f t="shared" si="41"/>
        <v/>
      </c>
      <c r="AS24" s="1044" t="str">
        <f t="shared" si="42"/>
        <v/>
      </c>
      <c r="AT24" s="1044" t="str">
        <f t="shared" si="43"/>
        <v/>
      </c>
      <c r="AU24" s="1044" t="str">
        <f t="shared" si="44"/>
        <v/>
      </c>
      <c r="AV24" s="1044" t="str">
        <f t="shared" si="45"/>
        <v/>
      </c>
      <c r="AW24" s="1044" t="str">
        <f t="shared" si="46"/>
        <v/>
      </c>
      <c r="AX24" s="1044" t="str">
        <f t="shared" si="47"/>
        <v/>
      </c>
      <c r="AY24" s="1044" t="str">
        <f t="shared" si="48"/>
        <v/>
      </c>
      <c r="AZ24" s="1044" t="str">
        <f t="shared" si="49"/>
        <v/>
      </c>
      <c r="BA24" s="1044" t="str">
        <f t="shared" si="50"/>
        <v/>
      </c>
      <c r="BB24" s="1044" t="str">
        <f t="shared" si="51"/>
        <v/>
      </c>
      <c r="BC24" s="1044" t="str">
        <f t="shared" si="52"/>
        <v/>
      </c>
      <c r="BF24" s="1" t="s">
        <v>9</v>
      </c>
      <c r="BG24" s="1076" t="s">
        <v>689</v>
      </c>
      <c r="BH24" s="1" t="s">
        <v>272</v>
      </c>
      <c r="BI24" s="1" t="s">
        <v>7405</v>
      </c>
    </row>
    <row r="25" spans="1:61" ht="30" customHeight="1">
      <c r="A25" s="1085">
        <f t="shared" si="0"/>
        <v>25</v>
      </c>
      <c r="B25" s="1086" t="s">
        <v>8283</v>
      </c>
      <c r="C25" s="1085" t="s">
        <v>254</v>
      </c>
      <c r="D25" s="1087" t="str">
        <f t="shared" si="1"/>
        <v>9. Servez le bœuf bourguignon bien chaud accompagné de pommes de terre, de pâtes ou de riz. *</v>
      </c>
      <c r="E25" s="1088" t="str">
        <f t="shared" si="2"/>
        <v>⚠ Gluten • ⚠ Oeufs</v>
      </c>
      <c r="F25" s="1089" t="str">
        <f t="shared" si="3"/>
        <v>9. Servez le bœuf bourguignon bien chaud accompagné de pommes de terre, de pâtes ou de riz. *</v>
      </c>
      <c r="G25" s="1090" t="str">
        <f t="shared" si="4"/>
        <v/>
      </c>
      <c r="H25" s="1085">
        <f t="shared" si="5"/>
        <v>2</v>
      </c>
      <c r="I25" s="1085">
        <f t="shared" si="6"/>
        <v>0</v>
      </c>
      <c r="J25" s="1090" t="str">
        <f t="shared" si="7"/>
        <v>⚠ Gluten • ⚠ Oeufs</v>
      </c>
      <c r="K25" s="1044" t="str">
        <f t="shared" si="8"/>
        <v>9. servez le bœuf bourguignon bien chaud accompagné de pommes de terre, de pâtes ou de riz.</v>
      </c>
      <c r="L25" s="1044" t="str">
        <f t="shared" si="9"/>
        <v>9. servez le boeuf bourguignon bien chaud accompagne de pommes de terre, de pates ou de riz.</v>
      </c>
      <c r="M25" s="1044" t="str">
        <f t="shared" si="10"/>
        <v xml:space="preserve">9  servez le boeuf bourguignon bien chaud accompagne de pommes de terre  de pates ou de riz </v>
      </c>
      <c r="N25" s="1044" t="str">
        <f t="shared" si="11"/>
        <v xml:space="preserve"> 9 servez le boeuf bourguignon bien chaud accompagne de pommes de terre de pates ou de riz </v>
      </c>
      <c r="O25" s="1044">
        <f t="shared" si="12"/>
        <v>0</v>
      </c>
      <c r="P25" s="1044">
        <f t="shared" si="13"/>
        <v>0</v>
      </c>
      <c r="Q25" s="1044">
        <f t="shared" si="14"/>
        <v>1</v>
      </c>
      <c r="R25" s="1044">
        <f t="shared" si="15"/>
        <v>1</v>
      </c>
      <c r="S25" s="1044">
        <f t="shared" si="16"/>
        <v>0</v>
      </c>
      <c r="T25" s="1044">
        <f t="shared" si="17"/>
        <v>1</v>
      </c>
      <c r="U25" s="1044">
        <f t="shared" si="18"/>
        <v>0</v>
      </c>
      <c r="V25" s="1044">
        <f t="shared" si="19"/>
        <v>0</v>
      </c>
      <c r="W25" s="1044">
        <f t="shared" si="20"/>
        <v>0</v>
      </c>
      <c r="X25" s="1044">
        <f t="shared" si="21"/>
        <v>0</v>
      </c>
      <c r="Y25" s="1044">
        <f t="shared" si="22"/>
        <v>0</v>
      </c>
      <c r="Z25" s="1044">
        <f t="shared" si="23"/>
        <v>0</v>
      </c>
      <c r="AA25" s="1044">
        <f t="shared" si="24"/>
        <v>0</v>
      </c>
      <c r="AB25" s="1044">
        <f t="shared" si="25"/>
        <v>0</v>
      </c>
      <c r="AC25" s="1044">
        <f t="shared" si="26"/>
        <v>0</v>
      </c>
      <c r="AD25" s="1044">
        <f t="shared" si="27"/>
        <v>0</v>
      </c>
      <c r="AE25" s="1044">
        <f t="shared" si="28"/>
        <v>0</v>
      </c>
      <c r="AF25" s="1044">
        <f t="shared" si="29"/>
        <v>0</v>
      </c>
      <c r="AG25" s="1044">
        <f t="shared" si="30"/>
        <v>0</v>
      </c>
      <c r="AH25" s="1044">
        <f t="shared" si="31"/>
        <v>0</v>
      </c>
      <c r="AI25" s="1044">
        <f t="shared" si="32"/>
        <v>0</v>
      </c>
      <c r="AJ25" s="1044">
        <f t="shared" si="33"/>
        <v>0</v>
      </c>
      <c r="AK25" s="1044">
        <f t="shared" si="34"/>
        <v>0</v>
      </c>
      <c r="AL25" s="1044">
        <f t="shared" si="35"/>
        <v>0</v>
      </c>
      <c r="AM25" s="1044">
        <f t="shared" si="36"/>
        <v>0</v>
      </c>
      <c r="AN25" s="1044" t="str">
        <f t="shared" si="37"/>
        <v>⚠ Gluten</v>
      </c>
      <c r="AO25" s="1044" t="str">
        <f t="shared" si="38"/>
        <v/>
      </c>
      <c r="AP25" s="1044" t="str">
        <f t="shared" si="39"/>
        <v/>
      </c>
      <c r="AQ25" s="1044" t="str">
        <f t="shared" si="40"/>
        <v>⚠ Oeufs</v>
      </c>
      <c r="AR25" s="1044" t="str">
        <f t="shared" si="41"/>
        <v/>
      </c>
      <c r="AS25" s="1044" t="str">
        <f t="shared" si="42"/>
        <v/>
      </c>
      <c r="AT25" s="1044" t="str">
        <f t="shared" si="43"/>
        <v/>
      </c>
      <c r="AU25" s="1044" t="str">
        <f t="shared" si="44"/>
        <v/>
      </c>
      <c r="AV25" s="1044" t="str">
        <f t="shared" si="45"/>
        <v/>
      </c>
      <c r="AW25" s="1044" t="str">
        <f t="shared" si="46"/>
        <v/>
      </c>
      <c r="AX25" s="1044" t="str">
        <f t="shared" si="47"/>
        <v/>
      </c>
      <c r="AY25" s="1044" t="str">
        <f t="shared" si="48"/>
        <v/>
      </c>
      <c r="AZ25" s="1044" t="str">
        <f t="shared" si="49"/>
        <v/>
      </c>
      <c r="BA25" s="1044" t="str">
        <f t="shared" si="50"/>
        <v/>
      </c>
      <c r="BB25" s="1044" t="str">
        <f t="shared" si="51"/>
        <v/>
      </c>
      <c r="BC25" s="1044" t="str">
        <f t="shared" si="52"/>
        <v/>
      </c>
      <c r="BF25" s="1" t="s">
        <v>9</v>
      </c>
      <c r="BG25" s="1076" t="s">
        <v>689</v>
      </c>
      <c r="BH25" s="1" t="s">
        <v>3842</v>
      </c>
      <c r="BI25" s="1" t="s">
        <v>7406</v>
      </c>
    </row>
    <row r="26" spans="1:61" ht="30" customHeight="1">
      <c r="A26" s="1085">
        <f t="shared" si="0"/>
        <v>26</v>
      </c>
      <c r="B26" s="1086" t="s">
        <v>8284</v>
      </c>
      <c r="C26" s="1085" t="s">
        <v>254</v>
      </c>
      <c r="D26" s="1087" t="str">
        <f t="shared" si="1"/>
        <v>►Bon Appétit</v>
      </c>
      <c r="E26" s="1088" t="str">
        <f t="shared" si="2"/>
        <v/>
      </c>
      <c r="F26" s="1089" t="str">
        <f t="shared" si="3"/>
        <v>►Bon Appétit</v>
      </c>
      <c r="G26" s="1090" t="str">
        <f t="shared" si="4"/>
        <v/>
      </c>
      <c r="H26" s="1085">
        <f t="shared" si="5"/>
        <v>0</v>
      </c>
      <c r="I26" s="1085">
        <f t="shared" si="6"/>
        <v>0</v>
      </c>
      <c r="J26" s="1090" t="str">
        <f t="shared" si="7"/>
        <v>aucun match</v>
      </c>
      <c r="K26" s="1044" t="str">
        <f t="shared" si="8"/>
        <v>►bon appétit</v>
      </c>
      <c r="L26" s="1044" t="str">
        <f t="shared" si="9"/>
        <v>►bon appetit</v>
      </c>
      <c r="M26" s="1044" t="str">
        <f t="shared" si="10"/>
        <v>►bon appetit</v>
      </c>
      <c r="N26" s="1044" t="str">
        <f t="shared" si="11"/>
        <v xml:space="preserve"> ►bon appetit </v>
      </c>
      <c r="O26" s="1044">
        <f t="shared" si="12"/>
        <v>0</v>
      </c>
      <c r="P26" s="1044">
        <f t="shared" si="13"/>
        <v>0</v>
      </c>
      <c r="Q26" s="1044">
        <f t="shared" si="14"/>
        <v>0</v>
      </c>
      <c r="R26" s="1044">
        <f t="shared" si="15"/>
        <v>0</v>
      </c>
      <c r="S26" s="1044">
        <f t="shared" si="16"/>
        <v>0</v>
      </c>
      <c r="T26" s="1044">
        <f t="shared" si="17"/>
        <v>0</v>
      </c>
      <c r="U26" s="1044">
        <f t="shared" si="18"/>
        <v>0</v>
      </c>
      <c r="V26" s="1044">
        <f t="shared" si="19"/>
        <v>0</v>
      </c>
      <c r="W26" s="1044">
        <f t="shared" si="20"/>
        <v>0</v>
      </c>
      <c r="X26" s="1044">
        <f t="shared" si="21"/>
        <v>0</v>
      </c>
      <c r="Y26" s="1044">
        <f t="shared" si="22"/>
        <v>0</v>
      </c>
      <c r="Z26" s="1044">
        <f t="shared" si="23"/>
        <v>0</v>
      </c>
      <c r="AA26" s="1044">
        <f t="shared" si="24"/>
        <v>0</v>
      </c>
      <c r="AB26" s="1044">
        <f t="shared" si="25"/>
        <v>0</v>
      </c>
      <c r="AC26" s="1044">
        <f t="shared" si="26"/>
        <v>0</v>
      </c>
      <c r="AD26" s="1044">
        <f t="shared" si="27"/>
        <v>0</v>
      </c>
      <c r="AE26" s="1044">
        <f t="shared" si="28"/>
        <v>0</v>
      </c>
      <c r="AF26" s="1044">
        <f t="shared" si="29"/>
        <v>0</v>
      </c>
      <c r="AG26" s="1044">
        <f t="shared" si="30"/>
        <v>0</v>
      </c>
      <c r="AH26" s="1044">
        <f t="shared" si="31"/>
        <v>0</v>
      </c>
      <c r="AI26" s="1044">
        <f t="shared" si="32"/>
        <v>0</v>
      </c>
      <c r="AJ26" s="1044">
        <f t="shared" si="33"/>
        <v>0</v>
      </c>
      <c r="AK26" s="1044">
        <f t="shared" si="34"/>
        <v>0</v>
      </c>
      <c r="AL26" s="1044">
        <f t="shared" si="35"/>
        <v>0</v>
      </c>
      <c r="AM26" s="1044">
        <f t="shared" si="36"/>
        <v>0</v>
      </c>
      <c r="AN26" s="1044" t="str">
        <f t="shared" si="37"/>
        <v/>
      </c>
      <c r="AO26" s="1044" t="str">
        <f t="shared" si="38"/>
        <v/>
      </c>
      <c r="AP26" s="1044" t="str">
        <f t="shared" si="39"/>
        <v/>
      </c>
      <c r="AQ26" s="1044" t="str">
        <f t="shared" si="40"/>
        <v/>
      </c>
      <c r="AR26" s="1044" t="str">
        <f t="shared" si="41"/>
        <v/>
      </c>
      <c r="AS26" s="1044" t="str">
        <f t="shared" si="42"/>
        <v/>
      </c>
      <c r="AT26" s="1044" t="str">
        <f t="shared" si="43"/>
        <v/>
      </c>
      <c r="AU26" s="1044" t="str">
        <f t="shared" si="44"/>
        <v/>
      </c>
      <c r="AV26" s="1044" t="str">
        <f t="shared" si="45"/>
        <v/>
      </c>
      <c r="AW26" s="1044" t="str">
        <f t="shared" si="46"/>
        <v/>
      </c>
      <c r="AX26" s="1044" t="str">
        <f t="shared" si="47"/>
        <v/>
      </c>
      <c r="AY26" s="1044" t="str">
        <f t="shared" si="48"/>
        <v/>
      </c>
      <c r="AZ26" s="1044" t="str">
        <f t="shared" si="49"/>
        <v/>
      </c>
      <c r="BA26" s="1044" t="str">
        <f t="shared" si="50"/>
        <v/>
      </c>
      <c r="BB26" s="1044" t="str">
        <f t="shared" si="51"/>
        <v/>
      </c>
      <c r="BC26" s="1044" t="str">
        <f t="shared" si="52"/>
        <v/>
      </c>
      <c r="BF26" s="1" t="s">
        <v>9</v>
      </c>
      <c r="BG26" s="1076" t="s">
        <v>689</v>
      </c>
      <c r="BH26" s="1" t="s">
        <v>273</v>
      </c>
      <c r="BI26" s="1" t="s">
        <v>7407</v>
      </c>
    </row>
    <row r="27" spans="1:61" ht="30" customHeight="1">
      <c r="A27" s="1085" t="str">
        <f t="shared" si="0"/>
        <v/>
      </c>
      <c r="B27" s="1086"/>
      <c r="C27" s="1085" t="s">
        <v>254</v>
      </c>
      <c r="D27" s="1087" t="str">
        <f t="shared" si="1"/>
        <v/>
      </c>
      <c r="E27" s="1088" t="str">
        <f t="shared" si="2"/>
        <v/>
      </c>
      <c r="F27" s="1089" t="str">
        <f t="shared" si="3"/>
        <v/>
      </c>
      <c r="G27" s="1090" t="str">
        <f t="shared" si="4"/>
        <v/>
      </c>
      <c r="H27" s="1085" t="str">
        <f t="shared" si="5"/>
        <v/>
      </c>
      <c r="I27" s="1085" t="str">
        <f t="shared" si="6"/>
        <v/>
      </c>
      <c r="J27" s="1090" t="str">
        <f t="shared" si="7"/>
        <v/>
      </c>
      <c r="K27" s="1044" t="str">
        <f t="shared" si="8"/>
        <v/>
      </c>
      <c r="L27" s="1044" t="str">
        <f t="shared" si="9"/>
        <v/>
      </c>
      <c r="M27" s="1044" t="str">
        <f t="shared" si="10"/>
        <v/>
      </c>
      <c r="N27" s="1044" t="str">
        <f t="shared" si="11"/>
        <v/>
      </c>
      <c r="O27" s="1044">
        <f t="shared" si="12"/>
        <v>0</v>
      </c>
      <c r="P27" s="1044">
        <f t="shared" si="13"/>
        <v>0</v>
      </c>
      <c r="Q27" s="1044">
        <f t="shared" si="14"/>
        <v>0</v>
      </c>
      <c r="R27" s="1044">
        <f t="shared" si="15"/>
        <v>0</v>
      </c>
      <c r="S27" s="1044">
        <f t="shared" si="16"/>
        <v>0</v>
      </c>
      <c r="T27" s="1044">
        <f t="shared" si="17"/>
        <v>0</v>
      </c>
      <c r="U27" s="1044">
        <f t="shared" si="18"/>
        <v>0</v>
      </c>
      <c r="V27" s="1044">
        <f t="shared" si="19"/>
        <v>0</v>
      </c>
      <c r="W27" s="1044">
        <f t="shared" si="20"/>
        <v>0</v>
      </c>
      <c r="X27" s="1044">
        <f t="shared" si="21"/>
        <v>0</v>
      </c>
      <c r="Y27" s="1044">
        <f t="shared" si="22"/>
        <v>0</v>
      </c>
      <c r="Z27" s="1044">
        <f t="shared" si="23"/>
        <v>0</v>
      </c>
      <c r="AA27" s="1044">
        <f t="shared" si="24"/>
        <v>0</v>
      </c>
      <c r="AB27" s="1044">
        <f t="shared" si="25"/>
        <v>0</v>
      </c>
      <c r="AC27" s="1044">
        <f t="shared" si="26"/>
        <v>0</v>
      </c>
      <c r="AD27" s="1044">
        <f t="shared" si="27"/>
        <v>0</v>
      </c>
      <c r="AE27" s="1044">
        <f t="shared" si="28"/>
        <v>0</v>
      </c>
      <c r="AF27" s="1044">
        <f t="shared" si="29"/>
        <v>0</v>
      </c>
      <c r="AG27" s="1044">
        <f t="shared" si="30"/>
        <v>0</v>
      </c>
      <c r="AH27" s="1044">
        <f t="shared" si="31"/>
        <v>0</v>
      </c>
      <c r="AI27" s="1044">
        <f t="shared" si="32"/>
        <v>0</v>
      </c>
      <c r="AJ27" s="1044">
        <f t="shared" si="33"/>
        <v>0</v>
      </c>
      <c r="AK27" s="1044">
        <f t="shared" si="34"/>
        <v>0</v>
      </c>
      <c r="AL27" s="1044">
        <f t="shared" si="35"/>
        <v>0</v>
      </c>
      <c r="AM27" s="1044">
        <f t="shared" si="36"/>
        <v>0</v>
      </c>
      <c r="AN27" s="1044" t="str">
        <f t="shared" si="37"/>
        <v/>
      </c>
      <c r="AO27" s="1044" t="str">
        <f t="shared" si="38"/>
        <v/>
      </c>
      <c r="AP27" s="1044" t="str">
        <f t="shared" si="39"/>
        <v/>
      </c>
      <c r="AQ27" s="1044" t="str">
        <f t="shared" si="40"/>
        <v/>
      </c>
      <c r="AR27" s="1044" t="str">
        <f t="shared" si="41"/>
        <v/>
      </c>
      <c r="AS27" s="1044" t="str">
        <f t="shared" si="42"/>
        <v/>
      </c>
      <c r="AT27" s="1044" t="str">
        <f t="shared" si="43"/>
        <v/>
      </c>
      <c r="AU27" s="1044" t="str">
        <f t="shared" si="44"/>
        <v/>
      </c>
      <c r="AV27" s="1044" t="str">
        <f t="shared" si="45"/>
        <v/>
      </c>
      <c r="AW27" s="1044" t="str">
        <f t="shared" si="46"/>
        <v/>
      </c>
      <c r="AX27" s="1044" t="str">
        <f t="shared" si="47"/>
        <v/>
      </c>
      <c r="AY27" s="1044" t="str">
        <f t="shared" si="48"/>
        <v/>
      </c>
      <c r="AZ27" s="1044" t="str">
        <f t="shared" si="49"/>
        <v/>
      </c>
      <c r="BA27" s="1044" t="str">
        <f t="shared" si="50"/>
        <v/>
      </c>
      <c r="BB27" s="1044" t="str">
        <f t="shared" si="51"/>
        <v/>
      </c>
      <c r="BC27" s="1044" t="str">
        <f t="shared" si="52"/>
        <v/>
      </c>
      <c r="BF27" s="1" t="s">
        <v>9</v>
      </c>
      <c r="BG27" s="1076" t="s">
        <v>689</v>
      </c>
      <c r="BH27" s="1" t="s">
        <v>7046</v>
      </c>
      <c r="BI27" s="1" t="s">
        <v>7408</v>
      </c>
    </row>
    <row r="28" spans="1:61" ht="30" customHeight="1">
      <c r="A28" s="1085" t="str">
        <f t="shared" si="0"/>
        <v/>
      </c>
      <c r="B28" s="1086"/>
      <c r="C28" s="1085" t="s">
        <v>254</v>
      </c>
      <c r="D28" s="1087" t="str">
        <f t="shared" si="1"/>
        <v/>
      </c>
      <c r="E28" s="1088" t="str">
        <f t="shared" si="2"/>
        <v/>
      </c>
      <c r="F28" s="1089" t="str">
        <f t="shared" si="3"/>
        <v/>
      </c>
      <c r="G28" s="1090" t="str">
        <f t="shared" si="4"/>
        <v/>
      </c>
      <c r="H28" s="1085" t="str">
        <f t="shared" si="5"/>
        <v/>
      </c>
      <c r="I28" s="1085" t="str">
        <f t="shared" si="6"/>
        <v/>
      </c>
      <c r="J28" s="1090" t="str">
        <f t="shared" si="7"/>
        <v/>
      </c>
      <c r="K28" s="1044" t="str">
        <f t="shared" si="8"/>
        <v/>
      </c>
      <c r="L28" s="1044" t="str">
        <f t="shared" si="9"/>
        <v/>
      </c>
      <c r="M28" s="1044" t="str">
        <f t="shared" si="10"/>
        <v/>
      </c>
      <c r="N28" s="1044" t="str">
        <f t="shared" si="11"/>
        <v/>
      </c>
      <c r="O28" s="1044">
        <f t="shared" si="12"/>
        <v>0</v>
      </c>
      <c r="P28" s="1044">
        <f t="shared" si="13"/>
        <v>0</v>
      </c>
      <c r="Q28" s="1044">
        <f t="shared" si="14"/>
        <v>0</v>
      </c>
      <c r="R28" s="1044">
        <f t="shared" si="15"/>
        <v>0</v>
      </c>
      <c r="S28" s="1044">
        <f t="shared" si="16"/>
        <v>0</v>
      </c>
      <c r="T28" s="1044">
        <f t="shared" si="17"/>
        <v>0</v>
      </c>
      <c r="U28" s="1044">
        <f t="shared" si="18"/>
        <v>0</v>
      </c>
      <c r="V28" s="1044">
        <f t="shared" si="19"/>
        <v>0</v>
      </c>
      <c r="W28" s="1044">
        <f t="shared" si="20"/>
        <v>0</v>
      </c>
      <c r="X28" s="1044">
        <f t="shared" si="21"/>
        <v>0</v>
      </c>
      <c r="Y28" s="1044">
        <f t="shared" si="22"/>
        <v>0</v>
      </c>
      <c r="Z28" s="1044">
        <f t="shared" si="23"/>
        <v>0</v>
      </c>
      <c r="AA28" s="1044">
        <f t="shared" si="24"/>
        <v>0</v>
      </c>
      <c r="AB28" s="1044">
        <f t="shared" si="25"/>
        <v>0</v>
      </c>
      <c r="AC28" s="1044">
        <f t="shared" si="26"/>
        <v>0</v>
      </c>
      <c r="AD28" s="1044">
        <f t="shared" si="27"/>
        <v>0</v>
      </c>
      <c r="AE28" s="1044">
        <f t="shared" si="28"/>
        <v>0</v>
      </c>
      <c r="AF28" s="1044">
        <f t="shared" si="29"/>
        <v>0</v>
      </c>
      <c r="AG28" s="1044">
        <f t="shared" si="30"/>
        <v>0</v>
      </c>
      <c r="AH28" s="1044">
        <f t="shared" si="31"/>
        <v>0</v>
      </c>
      <c r="AI28" s="1044">
        <f t="shared" si="32"/>
        <v>0</v>
      </c>
      <c r="AJ28" s="1044">
        <f t="shared" si="33"/>
        <v>0</v>
      </c>
      <c r="AK28" s="1044">
        <f t="shared" si="34"/>
        <v>0</v>
      </c>
      <c r="AL28" s="1044">
        <f t="shared" si="35"/>
        <v>0</v>
      </c>
      <c r="AM28" s="1044">
        <f t="shared" si="36"/>
        <v>0</v>
      </c>
      <c r="AN28" s="1044" t="str">
        <f t="shared" si="37"/>
        <v/>
      </c>
      <c r="AO28" s="1044" t="str">
        <f t="shared" si="38"/>
        <v/>
      </c>
      <c r="AP28" s="1044" t="str">
        <f t="shared" si="39"/>
        <v/>
      </c>
      <c r="AQ28" s="1044" t="str">
        <f t="shared" si="40"/>
        <v/>
      </c>
      <c r="AR28" s="1044" t="str">
        <f t="shared" si="41"/>
        <v/>
      </c>
      <c r="AS28" s="1044" t="str">
        <f t="shared" si="42"/>
        <v/>
      </c>
      <c r="AT28" s="1044" t="str">
        <f t="shared" si="43"/>
        <v/>
      </c>
      <c r="AU28" s="1044" t="str">
        <f t="shared" si="44"/>
        <v/>
      </c>
      <c r="AV28" s="1044" t="str">
        <f t="shared" si="45"/>
        <v/>
      </c>
      <c r="AW28" s="1044" t="str">
        <f t="shared" si="46"/>
        <v/>
      </c>
      <c r="AX28" s="1044" t="str">
        <f t="shared" si="47"/>
        <v/>
      </c>
      <c r="AY28" s="1044" t="str">
        <f t="shared" si="48"/>
        <v/>
      </c>
      <c r="AZ28" s="1044" t="str">
        <f t="shared" si="49"/>
        <v/>
      </c>
      <c r="BA28" s="1044" t="str">
        <f t="shared" si="50"/>
        <v/>
      </c>
      <c r="BB28" s="1044" t="str">
        <f t="shared" si="51"/>
        <v/>
      </c>
      <c r="BC28" s="1044" t="str">
        <f t="shared" si="52"/>
        <v/>
      </c>
      <c r="BF28" s="1" t="s">
        <v>9</v>
      </c>
      <c r="BG28" s="1076" t="s">
        <v>689</v>
      </c>
      <c r="BH28" s="1" t="s">
        <v>7047</v>
      </c>
      <c r="BI28" s="1" t="s">
        <v>7409</v>
      </c>
    </row>
    <row r="29" spans="1:61" ht="30" customHeight="1">
      <c r="A29" s="1085" t="str">
        <f t="shared" si="0"/>
        <v/>
      </c>
      <c r="B29" s="1086"/>
      <c r="C29" s="1085" t="s">
        <v>254</v>
      </c>
      <c r="D29" s="1087" t="str">
        <f t="shared" si="1"/>
        <v/>
      </c>
      <c r="E29" s="1088" t="str">
        <f t="shared" si="2"/>
        <v/>
      </c>
      <c r="F29" s="1089" t="str">
        <f t="shared" si="3"/>
        <v/>
      </c>
      <c r="G29" s="1090" t="str">
        <f t="shared" si="4"/>
        <v/>
      </c>
      <c r="H29" s="1085" t="str">
        <f t="shared" si="5"/>
        <v/>
      </c>
      <c r="I29" s="1085" t="str">
        <f t="shared" si="6"/>
        <v/>
      </c>
      <c r="J29" s="1090" t="str">
        <f t="shared" si="7"/>
        <v/>
      </c>
      <c r="K29" s="1044" t="str">
        <f t="shared" si="8"/>
        <v/>
      </c>
      <c r="L29" s="1044" t="str">
        <f t="shared" si="9"/>
        <v/>
      </c>
      <c r="M29" s="1044" t="str">
        <f t="shared" si="10"/>
        <v/>
      </c>
      <c r="N29" s="1044" t="str">
        <f t="shared" si="11"/>
        <v/>
      </c>
      <c r="O29" s="1044">
        <f t="shared" si="12"/>
        <v>0</v>
      </c>
      <c r="P29" s="1044">
        <f t="shared" si="13"/>
        <v>0</v>
      </c>
      <c r="Q29" s="1044">
        <f t="shared" si="14"/>
        <v>0</v>
      </c>
      <c r="R29" s="1044">
        <f t="shared" si="15"/>
        <v>0</v>
      </c>
      <c r="S29" s="1044">
        <f t="shared" si="16"/>
        <v>0</v>
      </c>
      <c r="T29" s="1044">
        <f t="shared" si="17"/>
        <v>0</v>
      </c>
      <c r="U29" s="1044">
        <f t="shared" si="18"/>
        <v>0</v>
      </c>
      <c r="V29" s="1044">
        <f t="shared" si="19"/>
        <v>0</v>
      </c>
      <c r="W29" s="1044">
        <f t="shared" si="20"/>
        <v>0</v>
      </c>
      <c r="X29" s="1044">
        <f t="shared" si="21"/>
        <v>0</v>
      </c>
      <c r="Y29" s="1044">
        <f t="shared" si="22"/>
        <v>0</v>
      </c>
      <c r="Z29" s="1044">
        <f t="shared" si="23"/>
        <v>0</v>
      </c>
      <c r="AA29" s="1044">
        <f t="shared" si="24"/>
        <v>0</v>
      </c>
      <c r="AB29" s="1044">
        <f t="shared" si="25"/>
        <v>0</v>
      </c>
      <c r="AC29" s="1044">
        <f t="shared" si="26"/>
        <v>0</v>
      </c>
      <c r="AD29" s="1044">
        <f t="shared" si="27"/>
        <v>0</v>
      </c>
      <c r="AE29" s="1044">
        <f t="shared" si="28"/>
        <v>0</v>
      </c>
      <c r="AF29" s="1044">
        <f t="shared" si="29"/>
        <v>0</v>
      </c>
      <c r="AG29" s="1044">
        <f t="shared" si="30"/>
        <v>0</v>
      </c>
      <c r="AH29" s="1044">
        <f t="shared" si="31"/>
        <v>0</v>
      </c>
      <c r="AI29" s="1044">
        <f t="shared" si="32"/>
        <v>0</v>
      </c>
      <c r="AJ29" s="1044">
        <f t="shared" si="33"/>
        <v>0</v>
      </c>
      <c r="AK29" s="1044">
        <f t="shared" si="34"/>
        <v>0</v>
      </c>
      <c r="AL29" s="1044">
        <f t="shared" si="35"/>
        <v>0</v>
      </c>
      <c r="AM29" s="1044">
        <f t="shared" si="36"/>
        <v>0</v>
      </c>
      <c r="AN29" s="1044" t="str">
        <f t="shared" si="37"/>
        <v/>
      </c>
      <c r="AO29" s="1044" t="str">
        <f t="shared" si="38"/>
        <v/>
      </c>
      <c r="AP29" s="1044" t="str">
        <f t="shared" si="39"/>
        <v/>
      </c>
      <c r="AQ29" s="1044" t="str">
        <f t="shared" si="40"/>
        <v/>
      </c>
      <c r="AR29" s="1044" t="str">
        <f t="shared" si="41"/>
        <v/>
      </c>
      <c r="AS29" s="1044" t="str">
        <f t="shared" si="42"/>
        <v/>
      </c>
      <c r="AT29" s="1044" t="str">
        <f t="shared" si="43"/>
        <v/>
      </c>
      <c r="AU29" s="1044" t="str">
        <f t="shared" si="44"/>
        <v/>
      </c>
      <c r="AV29" s="1044" t="str">
        <f t="shared" si="45"/>
        <v/>
      </c>
      <c r="AW29" s="1044" t="str">
        <f t="shared" si="46"/>
        <v/>
      </c>
      <c r="AX29" s="1044" t="str">
        <f t="shared" si="47"/>
        <v/>
      </c>
      <c r="AY29" s="1044" t="str">
        <f t="shared" si="48"/>
        <v/>
      </c>
      <c r="AZ29" s="1044" t="str">
        <f t="shared" si="49"/>
        <v/>
      </c>
      <c r="BA29" s="1044" t="str">
        <f t="shared" si="50"/>
        <v/>
      </c>
      <c r="BB29" s="1044" t="str">
        <f t="shared" si="51"/>
        <v/>
      </c>
      <c r="BC29" s="1044" t="str">
        <f t="shared" si="52"/>
        <v/>
      </c>
      <c r="BF29" s="1" t="s">
        <v>9</v>
      </c>
      <c r="BG29" s="1076" t="s">
        <v>689</v>
      </c>
      <c r="BH29" s="1" t="s">
        <v>3849</v>
      </c>
      <c r="BI29" s="1" t="s">
        <v>7410</v>
      </c>
    </row>
    <row r="30" spans="1:61" ht="30" customHeight="1">
      <c r="A30" s="1085" t="str">
        <f t="shared" si="0"/>
        <v/>
      </c>
      <c r="B30" s="1086"/>
      <c r="C30" s="1085" t="s">
        <v>254</v>
      </c>
      <c r="D30" s="1087" t="str">
        <f t="shared" si="1"/>
        <v/>
      </c>
      <c r="E30" s="1088" t="str">
        <f t="shared" si="2"/>
        <v/>
      </c>
      <c r="F30" s="1089" t="str">
        <f t="shared" si="3"/>
        <v/>
      </c>
      <c r="G30" s="1090" t="str">
        <f t="shared" si="4"/>
        <v/>
      </c>
      <c r="H30" s="1085" t="str">
        <f t="shared" si="5"/>
        <v/>
      </c>
      <c r="I30" s="1085" t="str">
        <f t="shared" si="6"/>
        <v/>
      </c>
      <c r="J30" s="1090" t="str">
        <f t="shared" si="7"/>
        <v/>
      </c>
      <c r="K30" s="1044" t="str">
        <f t="shared" si="8"/>
        <v/>
      </c>
      <c r="L30" s="1044" t="str">
        <f t="shared" si="9"/>
        <v/>
      </c>
      <c r="M30" s="1044" t="str">
        <f t="shared" si="10"/>
        <v/>
      </c>
      <c r="N30" s="1044" t="str">
        <f t="shared" si="11"/>
        <v/>
      </c>
      <c r="O30" s="1044">
        <f t="shared" si="12"/>
        <v>0</v>
      </c>
      <c r="P30" s="1044">
        <f t="shared" si="13"/>
        <v>0</v>
      </c>
      <c r="Q30" s="1044">
        <f t="shared" si="14"/>
        <v>0</v>
      </c>
      <c r="R30" s="1044">
        <f t="shared" si="15"/>
        <v>0</v>
      </c>
      <c r="S30" s="1044">
        <f t="shared" si="16"/>
        <v>0</v>
      </c>
      <c r="T30" s="1044">
        <f t="shared" si="17"/>
        <v>0</v>
      </c>
      <c r="U30" s="1044">
        <f t="shared" si="18"/>
        <v>0</v>
      </c>
      <c r="V30" s="1044">
        <f t="shared" si="19"/>
        <v>0</v>
      </c>
      <c r="W30" s="1044">
        <f t="shared" si="20"/>
        <v>0</v>
      </c>
      <c r="X30" s="1044">
        <f t="shared" si="21"/>
        <v>0</v>
      </c>
      <c r="Y30" s="1044">
        <f t="shared" si="22"/>
        <v>0</v>
      </c>
      <c r="Z30" s="1044">
        <f t="shared" si="23"/>
        <v>0</v>
      </c>
      <c r="AA30" s="1044">
        <f t="shared" si="24"/>
        <v>0</v>
      </c>
      <c r="AB30" s="1044">
        <f t="shared" si="25"/>
        <v>0</v>
      </c>
      <c r="AC30" s="1044">
        <f t="shared" si="26"/>
        <v>0</v>
      </c>
      <c r="AD30" s="1044">
        <f t="shared" si="27"/>
        <v>0</v>
      </c>
      <c r="AE30" s="1044">
        <f t="shared" si="28"/>
        <v>0</v>
      </c>
      <c r="AF30" s="1044">
        <f t="shared" si="29"/>
        <v>0</v>
      </c>
      <c r="AG30" s="1044">
        <f t="shared" si="30"/>
        <v>0</v>
      </c>
      <c r="AH30" s="1044">
        <f t="shared" si="31"/>
        <v>0</v>
      </c>
      <c r="AI30" s="1044">
        <f t="shared" si="32"/>
        <v>0</v>
      </c>
      <c r="AJ30" s="1044">
        <f t="shared" si="33"/>
        <v>0</v>
      </c>
      <c r="AK30" s="1044">
        <f t="shared" si="34"/>
        <v>0</v>
      </c>
      <c r="AL30" s="1044">
        <f t="shared" si="35"/>
        <v>0</v>
      </c>
      <c r="AM30" s="1044">
        <f t="shared" si="36"/>
        <v>0</v>
      </c>
      <c r="AN30" s="1044" t="str">
        <f t="shared" si="37"/>
        <v/>
      </c>
      <c r="AO30" s="1044" t="str">
        <f t="shared" si="38"/>
        <v/>
      </c>
      <c r="AP30" s="1044" t="str">
        <f t="shared" si="39"/>
        <v/>
      </c>
      <c r="AQ30" s="1044" t="str">
        <f t="shared" si="40"/>
        <v/>
      </c>
      <c r="AR30" s="1044" t="str">
        <f t="shared" si="41"/>
        <v/>
      </c>
      <c r="AS30" s="1044" t="str">
        <f t="shared" si="42"/>
        <v/>
      </c>
      <c r="AT30" s="1044" t="str">
        <f t="shared" si="43"/>
        <v/>
      </c>
      <c r="AU30" s="1044" t="str">
        <f t="shared" si="44"/>
        <v/>
      </c>
      <c r="AV30" s="1044" t="str">
        <f t="shared" si="45"/>
        <v/>
      </c>
      <c r="AW30" s="1044" t="str">
        <f t="shared" si="46"/>
        <v/>
      </c>
      <c r="AX30" s="1044" t="str">
        <f t="shared" si="47"/>
        <v/>
      </c>
      <c r="AY30" s="1044" t="str">
        <f t="shared" si="48"/>
        <v/>
      </c>
      <c r="AZ30" s="1044" t="str">
        <f t="shared" si="49"/>
        <v/>
      </c>
      <c r="BA30" s="1044" t="str">
        <f t="shared" si="50"/>
        <v/>
      </c>
      <c r="BB30" s="1044" t="str">
        <f t="shared" si="51"/>
        <v/>
      </c>
      <c r="BC30" s="1044" t="str">
        <f t="shared" si="52"/>
        <v/>
      </c>
      <c r="BF30" s="1" t="s">
        <v>9</v>
      </c>
      <c r="BG30" s="1076" t="s">
        <v>689</v>
      </c>
      <c r="BH30" s="1" t="s">
        <v>7048</v>
      </c>
      <c r="BI30" s="1" t="s">
        <v>7411</v>
      </c>
    </row>
    <row r="31" spans="1:61" ht="30" customHeight="1">
      <c r="A31" s="1085" t="str">
        <f t="shared" si="0"/>
        <v/>
      </c>
      <c r="B31" s="1086"/>
      <c r="C31" s="1085" t="s">
        <v>254</v>
      </c>
      <c r="D31" s="1087" t="str">
        <f t="shared" si="1"/>
        <v/>
      </c>
      <c r="E31" s="1088" t="str">
        <f t="shared" si="2"/>
        <v/>
      </c>
      <c r="F31" s="1089" t="str">
        <f t="shared" si="3"/>
        <v/>
      </c>
      <c r="G31" s="1090" t="str">
        <f t="shared" si="4"/>
        <v/>
      </c>
      <c r="H31" s="1085" t="str">
        <f t="shared" si="5"/>
        <v/>
      </c>
      <c r="I31" s="1085" t="str">
        <f t="shared" si="6"/>
        <v/>
      </c>
      <c r="J31" s="1090" t="str">
        <f t="shared" si="7"/>
        <v/>
      </c>
      <c r="K31" s="1044" t="str">
        <f t="shared" si="8"/>
        <v/>
      </c>
      <c r="L31" s="1044" t="str">
        <f t="shared" si="9"/>
        <v/>
      </c>
      <c r="M31" s="1044" t="str">
        <f t="shared" si="10"/>
        <v/>
      </c>
      <c r="N31" s="1044" t="str">
        <f t="shared" si="11"/>
        <v/>
      </c>
      <c r="O31" s="1044">
        <f t="shared" si="12"/>
        <v>0</v>
      </c>
      <c r="P31" s="1044">
        <f t="shared" si="13"/>
        <v>0</v>
      </c>
      <c r="Q31" s="1044">
        <f t="shared" si="14"/>
        <v>0</v>
      </c>
      <c r="R31" s="1044">
        <f t="shared" si="15"/>
        <v>0</v>
      </c>
      <c r="S31" s="1044">
        <f t="shared" si="16"/>
        <v>0</v>
      </c>
      <c r="T31" s="1044">
        <f t="shared" si="17"/>
        <v>0</v>
      </c>
      <c r="U31" s="1044">
        <f t="shared" si="18"/>
        <v>0</v>
      </c>
      <c r="V31" s="1044">
        <f t="shared" si="19"/>
        <v>0</v>
      </c>
      <c r="W31" s="1044">
        <f t="shared" si="20"/>
        <v>0</v>
      </c>
      <c r="X31" s="1044">
        <f t="shared" si="21"/>
        <v>0</v>
      </c>
      <c r="Y31" s="1044">
        <f t="shared" si="22"/>
        <v>0</v>
      </c>
      <c r="Z31" s="1044">
        <f t="shared" si="23"/>
        <v>0</v>
      </c>
      <c r="AA31" s="1044">
        <f t="shared" si="24"/>
        <v>0</v>
      </c>
      <c r="AB31" s="1044">
        <f t="shared" si="25"/>
        <v>0</v>
      </c>
      <c r="AC31" s="1044">
        <f t="shared" si="26"/>
        <v>0</v>
      </c>
      <c r="AD31" s="1044">
        <f t="shared" si="27"/>
        <v>0</v>
      </c>
      <c r="AE31" s="1044">
        <f t="shared" si="28"/>
        <v>0</v>
      </c>
      <c r="AF31" s="1044">
        <f t="shared" si="29"/>
        <v>0</v>
      </c>
      <c r="AG31" s="1044">
        <f t="shared" si="30"/>
        <v>0</v>
      </c>
      <c r="AH31" s="1044">
        <f t="shared" si="31"/>
        <v>0</v>
      </c>
      <c r="AI31" s="1044">
        <f t="shared" si="32"/>
        <v>0</v>
      </c>
      <c r="AJ31" s="1044">
        <f t="shared" si="33"/>
        <v>0</v>
      </c>
      <c r="AK31" s="1044">
        <f t="shared" si="34"/>
        <v>0</v>
      </c>
      <c r="AL31" s="1044">
        <f t="shared" si="35"/>
        <v>0</v>
      </c>
      <c r="AM31" s="1044">
        <f t="shared" si="36"/>
        <v>0</v>
      </c>
      <c r="AN31" s="1044" t="str">
        <f t="shared" si="37"/>
        <v/>
      </c>
      <c r="AO31" s="1044" t="str">
        <f t="shared" si="38"/>
        <v/>
      </c>
      <c r="AP31" s="1044" t="str">
        <f t="shared" si="39"/>
        <v/>
      </c>
      <c r="AQ31" s="1044" t="str">
        <f t="shared" si="40"/>
        <v/>
      </c>
      <c r="AR31" s="1044" t="str">
        <f t="shared" si="41"/>
        <v/>
      </c>
      <c r="AS31" s="1044" t="str">
        <f t="shared" si="42"/>
        <v/>
      </c>
      <c r="AT31" s="1044" t="str">
        <f t="shared" si="43"/>
        <v/>
      </c>
      <c r="AU31" s="1044" t="str">
        <f t="shared" si="44"/>
        <v/>
      </c>
      <c r="AV31" s="1044" t="str">
        <f t="shared" si="45"/>
        <v/>
      </c>
      <c r="AW31" s="1044" t="str">
        <f t="shared" si="46"/>
        <v/>
      </c>
      <c r="AX31" s="1044" t="str">
        <f t="shared" si="47"/>
        <v/>
      </c>
      <c r="AY31" s="1044" t="str">
        <f t="shared" si="48"/>
        <v/>
      </c>
      <c r="AZ31" s="1044" t="str">
        <f t="shared" si="49"/>
        <v/>
      </c>
      <c r="BA31" s="1044" t="str">
        <f t="shared" si="50"/>
        <v/>
      </c>
      <c r="BB31" s="1044" t="str">
        <f t="shared" si="51"/>
        <v/>
      </c>
      <c r="BC31" s="1044" t="str">
        <f t="shared" si="52"/>
        <v/>
      </c>
      <c r="BF31" s="1" t="s">
        <v>9</v>
      </c>
      <c r="BG31" s="1076" t="s">
        <v>689</v>
      </c>
      <c r="BH31" s="1" t="s">
        <v>7049</v>
      </c>
      <c r="BI31" s="1" t="s">
        <v>7412</v>
      </c>
    </row>
    <row r="32" spans="1:61" ht="30" customHeight="1">
      <c r="A32" s="1085" t="str">
        <f t="shared" si="0"/>
        <v/>
      </c>
      <c r="B32" s="1086"/>
      <c r="C32" s="1085" t="s">
        <v>254</v>
      </c>
      <c r="D32" s="1087" t="str">
        <f t="shared" si="1"/>
        <v/>
      </c>
      <c r="E32" s="1088" t="str">
        <f t="shared" si="2"/>
        <v/>
      </c>
      <c r="F32" s="1089" t="str">
        <f t="shared" si="3"/>
        <v/>
      </c>
      <c r="G32" s="1090" t="str">
        <f t="shared" si="4"/>
        <v/>
      </c>
      <c r="H32" s="1085" t="str">
        <f t="shared" si="5"/>
        <v/>
      </c>
      <c r="I32" s="1085" t="str">
        <f t="shared" si="6"/>
        <v/>
      </c>
      <c r="J32" s="1090" t="str">
        <f t="shared" si="7"/>
        <v/>
      </c>
      <c r="K32" s="1044" t="str">
        <f t="shared" si="8"/>
        <v/>
      </c>
      <c r="L32" s="1044" t="str">
        <f t="shared" si="9"/>
        <v/>
      </c>
      <c r="M32" s="1044" t="str">
        <f t="shared" si="10"/>
        <v/>
      </c>
      <c r="N32" s="1044" t="str">
        <f t="shared" si="11"/>
        <v/>
      </c>
      <c r="O32" s="1044">
        <f t="shared" si="12"/>
        <v>0</v>
      </c>
      <c r="P32" s="1044">
        <f t="shared" si="13"/>
        <v>0</v>
      </c>
      <c r="Q32" s="1044">
        <f t="shared" si="14"/>
        <v>0</v>
      </c>
      <c r="R32" s="1044">
        <f t="shared" si="15"/>
        <v>0</v>
      </c>
      <c r="S32" s="1044">
        <f t="shared" si="16"/>
        <v>0</v>
      </c>
      <c r="T32" s="1044">
        <f t="shared" si="17"/>
        <v>0</v>
      </c>
      <c r="U32" s="1044">
        <f t="shared" si="18"/>
        <v>0</v>
      </c>
      <c r="V32" s="1044">
        <f t="shared" si="19"/>
        <v>0</v>
      </c>
      <c r="W32" s="1044">
        <f t="shared" si="20"/>
        <v>0</v>
      </c>
      <c r="X32" s="1044">
        <f t="shared" si="21"/>
        <v>0</v>
      </c>
      <c r="Y32" s="1044">
        <f t="shared" si="22"/>
        <v>0</v>
      </c>
      <c r="Z32" s="1044">
        <f t="shared" si="23"/>
        <v>0</v>
      </c>
      <c r="AA32" s="1044">
        <f t="shared" si="24"/>
        <v>0</v>
      </c>
      <c r="AB32" s="1044">
        <f t="shared" si="25"/>
        <v>0</v>
      </c>
      <c r="AC32" s="1044">
        <f t="shared" si="26"/>
        <v>0</v>
      </c>
      <c r="AD32" s="1044">
        <f t="shared" si="27"/>
        <v>0</v>
      </c>
      <c r="AE32" s="1044">
        <f t="shared" si="28"/>
        <v>0</v>
      </c>
      <c r="AF32" s="1044">
        <f t="shared" si="29"/>
        <v>0</v>
      </c>
      <c r="AG32" s="1044">
        <f t="shared" si="30"/>
        <v>0</v>
      </c>
      <c r="AH32" s="1044">
        <f t="shared" si="31"/>
        <v>0</v>
      </c>
      <c r="AI32" s="1044">
        <f t="shared" si="32"/>
        <v>0</v>
      </c>
      <c r="AJ32" s="1044">
        <f t="shared" si="33"/>
        <v>0</v>
      </c>
      <c r="AK32" s="1044">
        <f t="shared" si="34"/>
        <v>0</v>
      </c>
      <c r="AL32" s="1044">
        <f t="shared" si="35"/>
        <v>0</v>
      </c>
      <c r="AM32" s="1044">
        <f t="shared" si="36"/>
        <v>0</v>
      </c>
      <c r="AN32" s="1044" t="str">
        <f t="shared" si="37"/>
        <v/>
      </c>
      <c r="AO32" s="1044" t="str">
        <f t="shared" si="38"/>
        <v/>
      </c>
      <c r="AP32" s="1044" t="str">
        <f t="shared" si="39"/>
        <v/>
      </c>
      <c r="AQ32" s="1044" t="str">
        <f t="shared" si="40"/>
        <v/>
      </c>
      <c r="AR32" s="1044" t="str">
        <f t="shared" si="41"/>
        <v/>
      </c>
      <c r="AS32" s="1044" t="str">
        <f t="shared" si="42"/>
        <v/>
      </c>
      <c r="AT32" s="1044" t="str">
        <f t="shared" si="43"/>
        <v/>
      </c>
      <c r="AU32" s="1044" t="str">
        <f t="shared" si="44"/>
        <v/>
      </c>
      <c r="AV32" s="1044" t="str">
        <f t="shared" si="45"/>
        <v/>
      </c>
      <c r="AW32" s="1044" t="str">
        <f t="shared" si="46"/>
        <v/>
      </c>
      <c r="AX32" s="1044" t="str">
        <f t="shared" si="47"/>
        <v/>
      </c>
      <c r="AY32" s="1044" t="str">
        <f t="shared" si="48"/>
        <v/>
      </c>
      <c r="AZ32" s="1044" t="str">
        <f t="shared" si="49"/>
        <v/>
      </c>
      <c r="BA32" s="1044" t="str">
        <f t="shared" si="50"/>
        <v/>
      </c>
      <c r="BB32" s="1044" t="str">
        <f t="shared" si="51"/>
        <v/>
      </c>
      <c r="BC32" s="1044" t="str">
        <f t="shared" si="52"/>
        <v/>
      </c>
      <c r="BF32" s="1" t="s">
        <v>9</v>
      </c>
      <c r="BG32" s="1076" t="s">
        <v>689</v>
      </c>
      <c r="BH32" s="1" t="s">
        <v>7050</v>
      </c>
      <c r="BI32" s="1" t="s">
        <v>7413</v>
      </c>
    </row>
    <row r="33" spans="1:61" ht="30" customHeight="1">
      <c r="A33" s="1085" t="str">
        <f t="shared" si="0"/>
        <v/>
      </c>
      <c r="B33" s="1086"/>
      <c r="C33" s="1085" t="s">
        <v>254</v>
      </c>
      <c r="D33" s="1087" t="str">
        <f t="shared" si="1"/>
        <v/>
      </c>
      <c r="E33" s="1088" t="str">
        <f t="shared" si="2"/>
        <v/>
      </c>
      <c r="F33" s="1089" t="str">
        <f t="shared" si="3"/>
        <v/>
      </c>
      <c r="G33" s="1090" t="str">
        <f t="shared" si="4"/>
        <v/>
      </c>
      <c r="H33" s="1085" t="str">
        <f t="shared" si="5"/>
        <v/>
      </c>
      <c r="I33" s="1085" t="str">
        <f t="shared" si="6"/>
        <v/>
      </c>
      <c r="J33" s="1090" t="str">
        <f t="shared" si="7"/>
        <v/>
      </c>
      <c r="K33" s="1044" t="str">
        <f t="shared" si="8"/>
        <v/>
      </c>
      <c r="L33" s="1044" t="str">
        <f t="shared" si="9"/>
        <v/>
      </c>
      <c r="M33" s="1044" t="str">
        <f t="shared" si="10"/>
        <v/>
      </c>
      <c r="N33" s="1044" t="str">
        <f t="shared" si="11"/>
        <v/>
      </c>
      <c r="O33" s="1044">
        <f t="shared" si="12"/>
        <v>0</v>
      </c>
      <c r="P33" s="1044">
        <f t="shared" si="13"/>
        <v>0</v>
      </c>
      <c r="Q33" s="1044">
        <f t="shared" si="14"/>
        <v>0</v>
      </c>
      <c r="R33" s="1044">
        <f t="shared" si="15"/>
        <v>0</v>
      </c>
      <c r="S33" s="1044">
        <f t="shared" si="16"/>
        <v>0</v>
      </c>
      <c r="T33" s="1044">
        <f t="shared" si="17"/>
        <v>0</v>
      </c>
      <c r="U33" s="1044">
        <f t="shared" si="18"/>
        <v>0</v>
      </c>
      <c r="V33" s="1044">
        <f t="shared" si="19"/>
        <v>0</v>
      </c>
      <c r="W33" s="1044">
        <f t="shared" si="20"/>
        <v>0</v>
      </c>
      <c r="X33" s="1044">
        <f t="shared" si="21"/>
        <v>0</v>
      </c>
      <c r="Y33" s="1044">
        <f t="shared" si="22"/>
        <v>0</v>
      </c>
      <c r="Z33" s="1044">
        <f t="shared" si="23"/>
        <v>0</v>
      </c>
      <c r="AA33" s="1044">
        <f t="shared" si="24"/>
        <v>0</v>
      </c>
      <c r="AB33" s="1044">
        <f t="shared" si="25"/>
        <v>0</v>
      </c>
      <c r="AC33" s="1044">
        <f t="shared" si="26"/>
        <v>0</v>
      </c>
      <c r="AD33" s="1044">
        <f t="shared" si="27"/>
        <v>0</v>
      </c>
      <c r="AE33" s="1044">
        <f t="shared" si="28"/>
        <v>0</v>
      </c>
      <c r="AF33" s="1044">
        <f t="shared" si="29"/>
        <v>0</v>
      </c>
      <c r="AG33" s="1044">
        <f t="shared" si="30"/>
        <v>0</v>
      </c>
      <c r="AH33" s="1044">
        <f t="shared" si="31"/>
        <v>0</v>
      </c>
      <c r="AI33" s="1044">
        <f t="shared" si="32"/>
        <v>0</v>
      </c>
      <c r="AJ33" s="1044">
        <f t="shared" si="33"/>
        <v>0</v>
      </c>
      <c r="AK33" s="1044">
        <f t="shared" si="34"/>
        <v>0</v>
      </c>
      <c r="AL33" s="1044">
        <f t="shared" si="35"/>
        <v>0</v>
      </c>
      <c r="AM33" s="1044">
        <f t="shared" si="36"/>
        <v>0</v>
      </c>
      <c r="AN33" s="1044" t="str">
        <f t="shared" si="37"/>
        <v/>
      </c>
      <c r="AO33" s="1044" t="str">
        <f t="shared" si="38"/>
        <v/>
      </c>
      <c r="AP33" s="1044" t="str">
        <f t="shared" si="39"/>
        <v/>
      </c>
      <c r="AQ33" s="1044" t="str">
        <f t="shared" si="40"/>
        <v/>
      </c>
      <c r="AR33" s="1044" t="str">
        <f t="shared" si="41"/>
        <v/>
      </c>
      <c r="AS33" s="1044" t="str">
        <f t="shared" si="42"/>
        <v/>
      </c>
      <c r="AT33" s="1044" t="str">
        <f t="shared" si="43"/>
        <v/>
      </c>
      <c r="AU33" s="1044" t="str">
        <f t="shared" si="44"/>
        <v/>
      </c>
      <c r="AV33" s="1044" t="str">
        <f t="shared" si="45"/>
        <v/>
      </c>
      <c r="AW33" s="1044" t="str">
        <f t="shared" si="46"/>
        <v/>
      </c>
      <c r="AX33" s="1044" t="str">
        <f t="shared" si="47"/>
        <v/>
      </c>
      <c r="AY33" s="1044" t="str">
        <f t="shared" si="48"/>
        <v/>
      </c>
      <c r="AZ33" s="1044" t="str">
        <f t="shared" si="49"/>
        <v/>
      </c>
      <c r="BA33" s="1044" t="str">
        <f t="shared" si="50"/>
        <v/>
      </c>
      <c r="BB33" s="1044" t="str">
        <f t="shared" si="51"/>
        <v/>
      </c>
      <c r="BC33" s="1044" t="str">
        <f t="shared" si="52"/>
        <v/>
      </c>
      <c r="BF33" s="1" t="s">
        <v>9</v>
      </c>
      <c r="BG33" s="1076" t="s">
        <v>689</v>
      </c>
      <c r="BH33" s="1" t="s">
        <v>7051</v>
      </c>
      <c r="BI33" s="1" t="s">
        <v>7414</v>
      </c>
    </row>
    <row r="34" spans="1:61" ht="30" customHeight="1">
      <c r="A34" s="1085" t="str">
        <f t="shared" si="0"/>
        <v/>
      </c>
      <c r="B34" s="1086"/>
      <c r="C34" s="1085" t="s">
        <v>254</v>
      </c>
      <c r="D34" s="1087" t="str">
        <f t="shared" si="1"/>
        <v/>
      </c>
      <c r="E34" s="1088" t="str">
        <f t="shared" si="2"/>
        <v/>
      </c>
      <c r="F34" s="1089" t="str">
        <f t="shared" si="3"/>
        <v/>
      </c>
      <c r="G34" s="1090" t="str">
        <f t="shared" si="4"/>
        <v/>
      </c>
      <c r="H34" s="1085" t="str">
        <f t="shared" si="5"/>
        <v/>
      </c>
      <c r="I34" s="1085" t="str">
        <f t="shared" si="6"/>
        <v/>
      </c>
      <c r="J34" s="1090" t="str">
        <f t="shared" si="7"/>
        <v/>
      </c>
      <c r="K34" s="1044" t="str">
        <f t="shared" si="8"/>
        <v/>
      </c>
      <c r="L34" s="1044" t="str">
        <f t="shared" si="9"/>
        <v/>
      </c>
      <c r="M34" s="1044" t="str">
        <f t="shared" si="10"/>
        <v/>
      </c>
      <c r="N34" s="1044" t="str">
        <f t="shared" si="11"/>
        <v/>
      </c>
      <c r="O34" s="1044">
        <f t="shared" si="12"/>
        <v>0</v>
      </c>
      <c r="P34" s="1044">
        <f t="shared" si="13"/>
        <v>0</v>
      </c>
      <c r="Q34" s="1044">
        <f t="shared" si="14"/>
        <v>0</v>
      </c>
      <c r="R34" s="1044">
        <f t="shared" si="15"/>
        <v>0</v>
      </c>
      <c r="S34" s="1044">
        <f t="shared" si="16"/>
        <v>0</v>
      </c>
      <c r="T34" s="1044">
        <f t="shared" si="17"/>
        <v>0</v>
      </c>
      <c r="U34" s="1044">
        <f t="shared" si="18"/>
        <v>0</v>
      </c>
      <c r="V34" s="1044">
        <f t="shared" si="19"/>
        <v>0</v>
      </c>
      <c r="W34" s="1044">
        <f t="shared" si="20"/>
        <v>0</v>
      </c>
      <c r="X34" s="1044">
        <f t="shared" si="21"/>
        <v>0</v>
      </c>
      <c r="Y34" s="1044">
        <f t="shared" si="22"/>
        <v>0</v>
      </c>
      <c r="Z34" s="1044">
        <f t="shared" si="23"/>
        <v>0</v>
      </c>
      <c r="AA34" s="1044">
        <f t="shared" si="24"/>
        <v>0</v>
      </c>
      <c r="AB34" s="1044">
        <f t="shared" si="25"/>
        <v>0</v>
      </c>
      <c r="AC34" s="1044">
        <f t="shared" si="26"/>
        <v>0</v>
      </c>
      <c r="AD34" s="1044">
        <f t="shared" si="27"/>
        <v>0</v>
      </c>
      <c r="AE34" s="1044">
        <f t="shared" si="28"/>
        <v>0</v>
      </c>
      <c r="AF34" s="1044">
        <f t="shared" si="29"/>
        <v>0</v>
      </c>
      <c r="AG34" s="1044">
        <f t="shared" si="30"/>
        <v>0</v>
      </c>
      <c r="AH34" s="1044">
        <f t="shared" si="31"/>
        <v>0</v>
      </c>
      <c r="AI34" s="1044">
        <f t="shared" si="32"/>
        <v>0</v>
      </c>
      <c r="AJ34" s="1044">
        <f t="shared" si="33"/>
        <v>0</v>
      </c>
      <c r="AK34" s="1044">
        <f t="shared" si="34"/>
        <v>0</v>
      </c>
      <c r="AL34" s="1044">
        <f t="shared" si="35"/>
        <v>0</v>
      </c>
      <c r="AM34" s="1044">
        <f t="shared" si="36"/>
        <v>0</v>
      </c>
      <c r="AN34" s="1044" t="str">
        <f t="shared" si="37"/>
        <v/>
      </c>
      <c r="AO34" s="1044" t="str">
        <f t="shared" si="38"/>
        <v/>
      </c>
      <c r="AP34" s="1044" t="str">
        <f t="shared" si="39"/>
        <v/>
      </c>
      <c r="AQ34" s="1044" t="str">
        <f t="shared" si="40"/>
        <v/>
      </c>
      <c r="AR34" s="1044" t="str">
        <f t="shared" si="41"/>
        <v/>
      </c>
      <c r="AS34" s="1044" t="str">
        <f t="shared" si="42"/>
        <v/>
      </c>
      <c r="AT34" s="1044" t="str">
        <f t="shared" si="43"/>
        <v/>
      </c>
      <c r="AU34" s="1044" t="str">
        <f t="shared" si="44"/>
        <v/>
      </c>
      <c r="AV34" s="1044" t="str">
        <f t="shared" si="45"/>
        <v/>
      </c>
      <c r="AW34" s="1044" t="str">
        <f t="shared" si="46"/>
        <v/>
      </c>
      <c r="AX34" s="1044" t="str">
        <f t="shared" si="47"/>
        <v/>
      </c>
      <c r="AY34" s="1044" t="str">
        <f t="shared" si="48"/>
        <v/>
      </c>
      <c r="AZ34" s="1044" t="str">
        <f t="shared" si="49"/>
        <v/>
      </c>
      <c r="BA34" s="1044" t="str">
        <f t="shared" si="50"/>
        <v/>
      </c>
      <c r="BB34" s="1044" t="str">
        <f t="shared" si="51"/>
        <v/>
      </c>
      <c r="BC34" s="1044" t="str">
        <f t="shared" si="52"/>
        <v/>
      </c>
      <c r="BF34" s="1" t="s">
        <v>9</v>
      </c>
      <c r="BG34" s="1076" t="s">
        <v>689</v>
      </c>
      <c r="BH34" s="1" t="s">
        <v>7052</v>
      </c>
      <c r="BI34" s="1" t="s">
        <v>7415</v>
      </c>
    </row>
    <row r="35" spans="1:61" ht="30" customHeight="1">
      <c r="A35" s="1085" t="str">
        <f t="shared" si="0"/>
        <v/>
      </c>
      <c r="B35" s="1086"/>
      <c r="C35" s="1085" t="s">
        <v>254</v>
      </c>
      <c r="D35" s="1087" t="str">
        <f t="shared" si="1"/>
        <v/>
      </c>
      <c r="E35" s="1088" t="str">
        <f t="shared" si="2"/>
        <v/>
      </c>
      <c r="F35" s="1089" t="str">
        <f t="shared" si="3"/>
        <v/>
      </c>
      <c r="G35" s="1090" t="str">
        <f t="shared" si="4"/>
        <v/>
      </c>
      <c r="H35" s="1085" t="str">
        <f t="shared" si="5"/>
        <v/>
      </c>
      <c r="I35" s="1085" t="str">
        <f t="shared" si="6"/>
        <v/>
      </c>
      <c r="J35" s="1090" t="str">
        <f t="shared" si="7"/>
        <v/>
      </c>
      <c r="K35" s="1044" t="str">
        <f t="shared" si="8"/>
        <v/>
      </c>
      <c r="L35" s="1044" t="str">
        <f t="shared" si="9"/>
        <v/>
      </c>
      <c r="M35" s="1044" t="str">
        <f t="shared" si="10"/>
        <v/>
      </c>
      <c r="N35" s="1044" t="str">
        <f t="shared" si="11"/>
        <v/>
      </c>
      <c r="O35" s="1044">
        <f t="shared" si="12"/>
        <v>0</v>
      </c>
      <c r="P35" s="1044">
        <f t="shared" si="13"/>
        <v>0</v>
      </c>
      <c r="Q35" s="1044">
        <f t="shared" si="14"/>
        <v>0</v>
      </c>
      <c r="R35" s="1044">
        <f t="shared" si="15"/>
        <v>0</v>
      </c>
      <c r="S35" s="1044">
        <f t="shared" si="16"/>
        <v>0</v>
      </c>
      <c r="T35" s="1044">
        <f t="shared" si="17"/>
        <v>0</v>
      </c>
      <c r="U35" s="1044">
        <f t="shared" si="18"/>
        <v>0</v>
      </c>
      <c r="V35" s="1044">
        <f t="shared" si="19"/>
        <v>0</v>
      </c>
      <c r="W35" s="1044">
        <f t="shared" si="20"/>
        <v>0</v>
      </c>
      <c r="X35" s="1044">
        <f t="shared" si="21"/>
        <v>0</v>
      </c>
      <c r="Y35" s="1044">
        <f t="shared" si="22"/>
        <v>0</v>
      </c>
      <c r="Z35" s="1044">
        <f t="shared" si="23"/>
        <v>0</v>
      </c>
      <c r="AA35" s="1044">
        <f t="shared" si="24"/>
        <v>0</v>
      </c>
      <c r="AB35" s="1044">
        <f t="shared" si="25"/>
        <v>0</v>
      </c>
      <c r="AC35" s="1044">
        <f t="shared" si="26"/>
        <v>0</v>
      </c>
      <c r="AD35" s="1044">
        <f t="shared" si="27"/>
        <v>0</v>
      </c>
      <c r="AE35" s="1044">
        <f t="shared" si="28"/>
        <v>0</v>
      </c>
      <c r="AF35" s="1044">
        <f t="shared" si="29"/>
        <v>0</v>
      </c>
      <c r="AG35" s="1044">
        <f t="shared" si="30"/>
        <v>0</v>
      </c>
      <c r="AH35" s="1044">
        <f t="shared" si="31"/>
        <v>0</v>
      </c>
      <c r="AI35" s="1044">
        <f t="shared" si="32"/>
        <v>0</v>
      </c>
      <c r="AJ35" s="1044">
        <f t="shared" si="33"/>
        <v>0</v>
      </c>
      <c r="AK35" s="1044">
        <f t="shared" si="34"/>
        <v>0</v>
      </c>
      <c r="AL35" s="1044">
        <f t="shared" si="35"/>
        <v>0</v>
      </c>
      <c r="AM35" s="1044">
        <f t="shared" si="36"/>
        <v>0</v>
      </c>
      <c r="AN35" s="1044" t="str">
        <f t="shared" si="37"/>
        <v/>
      </c>
      <c r="AO35" s="1044" t="str">
        <f t="shared" si="38"/>
        <v/>
      </c>
      <c r="AP35" s="1044" t="str">
        <f t="shared" si="39"/>
        <v/>
      </c>
      <c r="AQ35" s="1044" t="str">
        <f t="shared" si="40"/>
        <v/>
      </c>
      <c r="AR35" s="1044" t="str">
        <f t="shared" si="41"/>
        <v/>
      </c>
      <c r="AS35" s="1044" t="str">
        <f t="shared" si="42"/>
        <v/>
      </c>
      <c r="AT35" s="1044" t="str">
        <f t="shared" si="43"/>
        <v/>
      </c>
      <c r="AU35" s="1044" t="str">
        <f t="shared" si="44"/>
        <v/>
      </c>
      <c r="AV35" s="1044" t="str">
        <f t="shared" si="45"/>
        <v/>
      </c>
      <c r="AW35" s="1044" t="str">
        <f t="shared" si="46"/>
        <v/>
      </c>
      <c r="AX35" s="1044" t="str">
        <f t="shared" si="47"/>
        <v/>
      </c>
      <c r="AY35" s="1044" t="str">
        <f t="shared" si="48"/>
        <v/>
      </c>
      <c r="AZ35" s="1044" t="str">
        <f t="shared" si="49"/>
        <v/>
      </c>
      <c r="BA35" s="1044" t="str">
        <f t="shared" si="50"/>
        <v/>
      </c>
      <c r="BB35" s="1044" t="str">
        <f t="shared" si="51"/>
        <v/>
      </c>
      <c r="BC35" s="1044" t="str">
        <f t="shared" si="52"/>
        <v/>
      </c>
      <c r="BF35" s="1" t="s">
        <v>9</v>
      </c>
      <c r="BG35" s="1076" t="s">
        <v>689</v>
      </c>
      <c r="BH35" s="1" t="s">
        <v>7053</v>
      </c>
      <c r="BI35" s="1" t="s">
        <v>7416</v>
      </c>
    </row>
    <row r="36" spans="1:61" ht="30" customHeight="1">
      <c r="A36" s="1085" t="str">
        <f t="shared" si="0"/>
        <v/>
      </c>
      <c r="B36" s="1086"/>
      <c r="C36" s="1085" t="s">
        <v>254</v>
      </c>
      <c r="D36" s="1087" t="str">
        <f t="shared" si="1"/>
        <v/>
      </c>
      <c r="E36" s="1088" t="str">
        <f t="shared" si="2"/>
        <v/>
      </c>
      <c r="F36" s="1089" t="str">
        <f t="shared" si="3"/>
        <v/>
      </c>
      <c r="G36" s="1090" t="str">
        <f t="shared" si="4"/>
        <v/>
      </c>
      <c r="H36" s="1085" t="str">
        <f t="shared" si="5"/>
        <v/>
      </c>
      <c r="I36" s="1085" t="str">
        <f t="shared" si="6"/>
        <v/>
      </c>
      <c r="J36" s="1090" t="str">
        <f t="shared" si="7"/>
        <v/>
      </c>
      <c r="K36" s="1044" t="str">
        <f t="shared" si="8"/>
        <v/>
      </c>
      <c r="L36" s="1044" t="str">
        <f t="shared" si="9"/>
        <v/>
      </c>
      <c r="M36" s="1044" t="str">
        <f t="shared" si="10"/>
        <v/>
      </c>
      <c r="N36" s="1044" t="str">
        <f t="shared" si="11"/>
        <v/>
      </c>
      <c r="O36" s="1044">
        <f t="shared" si="12"/>
        <v>0</v>
      </c>
      <c r="P36" s="1044">
        <f t="shared" si="13"/>
        <v>0</v>
      </c>
      <c r="Q36" s="1044">
        <f t="shared" si="14"/>
        <v>0</v>
      </c>
      <c r="R36" s="1044">
        <f t="shared" si="15"/>
        <v>0</v>
      </c>
      <c r="S36" s="1044">
        <f t="shared" si="16"/>
        <v>0</v>
      </c>
      <c r="T36" s="1044">
        <f t="shared" si="17"/>
        <v>0</v>
      </c>
      <c r="U36" s="1044">
        <f t="shared" si="18"/>
        <v>0</v>
      </c>
      <c r="V36" s="1044">
        <f t="shared" si="19"/>
        <v>0</v>
      </c>
      <c r="W36" s="1044">
        <f t="shared" si="20"/>
        <v>0</v>
      </c>
      <c r="X36" s="1044">
        <f t="shared" si="21"/>
        <v>0</v>
      </c>
      <c r="Y36" s="1044">
        <f t="shared" si="22"/>
        <v>0</v>
      </c>
      <c r="Z36" s="1044">
        <f t="shared" si="23"/>
        <v>0</v>
      </c>
      <c r="AA36" s="1044">
        <f t="shared" si="24"/>
        <v>0</v>
      </c>
      <c r="AB36" s="1044">
        <f t="shared" si="25"/>
        <v>0</v>
      </c>
      <c r="AC36" s="1044">
        <f t="shared" si="26"/>
        <v>0</v>
      </c>
      <c r="AD36" s="1044">
        <f t="shared" si="27"/>
        <v>0</v>
      </c>
      <c r="AE36" s="1044">
        <f t="shared" si="28"/>
        <v>0</v>
      </c>
      <c r="AF36" s="1044">
        <f t="shared" si="29"/>
        <v>0</v>
      </c>
      <c r="AG36" s="1044">
        <f t="shared" si="30"/>
        <v>0</v>
      </c>
      <c r="AH36" s="1044">
        <f t="shared" si="31"/>
        <v>0</v>
      </c>
      <c r="AI36" s="1044">
        <f t="shared" si="32"/>
        <v>0</v>
      </c>
      <c r="AJ36" s="1044">
        <f t="shared" si="33"/>
        <v>0</v>
      </c>
      <c r="AK36" s="1044">
        <f t="shared" si="34"/>
        <v>0</v>
      </c>
      <c r="AL36" s="1044">
        <f t="shared" si="35"/>
        <v>0</v>
      </c>
      <c r="AM36" s="1044">
        <f t="shared" si="36"/>
        <v>0</v>
      </c>
      <c r="AN36" s="1044" t="str">
        <f t="shared" si="37"/>
        <v/>
      </c>
      <c r="AO36" s="1044" t="str">
        <f t="shared" si="38"/>
        <v/>
      </c>
      <c r="AP36" s="1044" t="str">
        <f t="shared" si="39"/>
        <v/>
      </c>
      <c r="AQ36" s="1044" t="str">
        <f t="shared" si="40"/>
        <v/>
      </c>
      <c r="AR36" s="1044" t="str">
        <f t="shared" si="41"/>
        <v/>
      </c>
      <c r="AS36" s="1044" t="str">
        <f t="shared" si="42"/>
        <v/>
      </c>
      <c r="AT36" s="1044" t="str">
        <f t="shared" si="43"/>
        <v/>
      </c>
      <c r="AU36" s="1044" t="str">
        <f t="shared" si="44"/>
        <v/>
      </c>
      <c r="AV36" s="1044" t="str">
        <f t="shared" si="45"/>
        <v/>
      </c>
      <c r="AW36" s="1044" t="str">
        <f t="shared" si="46"/>
        <v/>
      </c>
      <c r="AX36" s="1044" t="str">
        <f t="shared" si="47"/>
        <v/>
      </c>
      <c r="AY36" s="1044" t="str">
        <f t="shared" si="48"/>
        <v/>
      </c>
      <c r="AZ36" s="1044" t="str">
        <f t="shared" si="49"/>
        <v/>
      </c>
      <c r="BA36" s="1044" t="str">
        <f t="shared" si="50"/>
        <v/>
      </c>
      <c r="BB36" s="1044" t="str">
        <f t="shared" si="51"/>
        <v/>
      </c>
      <c r="BC36" s="1044" t="str">
        <f t="shared" si="52"/>
        <v/>
      </c>
      <c r="BF36" s="1" t="s">
        <v>9</v>
      </c>
      <c r="BG36" s="1076" t="s">
        <v>689</v>
      </c>
      <c r="BH36" s="1" t="s">
        <v>7054</v>
      </c>
      <c r="BI36" s="1" t="s">
        <v>7417</v>
      </c>
    </row>
    <row r="37" spans="1:61" ht="30" customHeight="1">
      <c r="A37" s="1085" t="str">
        <f t="shared" si="0"/>
        <v/>
      </c>
      <c r="B37" s="1086"/>
      <c r="C37" s="1085" t="s">
        <v>254</v>
      </c>
      <c r="D37" s="1087" t="str">
        <f t="shared" si="1"/>
        <v/>
      </c>
      <c r="E37" s="1088" t="str">
        <f t="shared" si="2"/>
        <v/>
      </c>
      <c r="F37" s="1089" t="str">
        <f t="shared" si="3"/>
        <v/>
      </c>
      <c r="G37" s="1090" t="str">
        <f t="shared" si="4"/>
        <v/>
      </c>
      <c r="H37" s="1085" t="str">
        <f t="shared" si="5"/>
        <v/>
      </c>
      <c r="I37" s="1085" t="str">
        <f t="shared" si="6"/>
        <v/>
      </c>
      <c r="J37" s="1090" t="str">
        <f t="shared" si="7"/>
        <v/>
      </c>
      <c r="K37" s="1044" t="str">
        <f t="shared" si="8"/>
        <v/>
      </c>
      <c r="L37" s="1044" t="str">
        <f t="shared" si="9"/>
        <v/>
      </c>
      <c r="M37" s="1044" t="str">
        <f t="shared" si="10"/>
        <v/>
      </c>
      <c r="N37" s="1044" t="str">
        <f t="shared" si="11"/>
        <v/>
      </c>
      <c r="O37" s="1044">
        <f t="shared" si="12"/>
        <v>0</v>
      </c>
      <c r="P37" s="1044">
        <f t="shared" si="13"/>
        <v>0</v>
      </c>
      <c r="Q37" s="1044">
        <f t="shared" si="14"/>
        <v>0</v>
      </c>
      <c r="R37" s="1044">
        <f t="shared" si="15"/>
        <v>0</v>
      </c>
      <c r="S37" s="1044">
        <f t="shared" si="16"/>
        <v>0</v>
      </c>
      <c r="T37" s="1044">
        <f t="shared" si="17"/>
        <v>0</v>
      </c>
      <c r="U37" s="1044">
        <f t="shared" si="18"/>
        <v>0</v>
      </c>
      <c r="V37" s="1044">
        <f t="shared" si="19"/>
        <v>0</v>
      </c>
      <c r="W37" s="1044">
        <f t="shared" si="20"/>
        <v>0</v>
      </c>
      <c r="X37" s="1044">
        <f t="shared" si="21"/>
        <v>0</v>
      </c>
      <c r="Y37" s="1044">
        <f t="shared" si="22"/>
        <v>0</v>
      </c>
      <c r="Z37" s="1044">
        <f t="shared" si="23"/>
        <v>0</v>
      </c>
      <c r="AA37" s="1044">
        <f t="shared" si="24"/>
        <v>0</v>
      </c>
      <c r="AB37" s="1044">
        <f t="shared" si="25"/>
        <v>0</v>
      </c>
      <c r="AC37" s="1044">
        <f t="shared" si="26"/>
        <v>0</v>
      </c>
      <c r="AD37" s="1044">
        <f t="shared" si="27"/>
        <v>0</v>
      </c>
      <c r="AE37" s="1044">
        <f t="shared" si="28"/>
        <v>0</v>
      </c>
      <c r="AF37" s="1044">
        <f t="shared" si="29"/>
        <v>0</v>
      </c>
      <c r="AG37" s="1044">
        <f t="shared" si="30"/>
        <v>0</v>
      </c>
      <c r="AH37" s="1044">
        <f t="shared" si="31"/>
        <v>0</v>
      </c>
      <c r="AI37" s="1044">
        <f t="shared" si="32"/>
        <v>0</v>
      </c>
      <c r="AJ37" s="1044">
        <f t="shared" si="33"/>
        <v>0</v>
      </c>
      <c r="AK37" s="1044">
        <f t="shared" si="34"/>
        <v>0</v>
      </c>
      <c r="AL37" s="1044">
        <f t="shared" si="35"/>
        <v>0</v>
      </c>
      <c r="AM37" s="1044">
        <f t="shared" si="36"/>
        <v>0</v>
      </c>
      <c r="AN37" s="1044" t="str">
        <f t="shared" si="37"/>
        <v/>
      </c>
      <c r="AO37" s="1044" t="str">
        <f t="shared" si="38"/>
        <v/>
      </c>
      <c r="AP37" s="1044" t="str">
        <f t="shared" si="39"/>
        <v/>
      </c>
      <c r="AQ37" s="1044" t="str">
        <f t="shared" si="40"/>
        <v/>
      </c>
      <c r="AR37" s="1044" t="str">
        <f t="shared" si="41"/>
        <v/>
      </c>
      <c r="AS37" s="1044" t="str">
        <f t="shared" si="42"/>
        <v/>
      </c>
      <c r="AT37" s="1044" t="str">
        <f t="shared" si="43"/>
        <v/>
      </c>
      <c r="AU37" s="1044" t="str">
        <f t="shared" si="44"/>
        <v/>
      </c>
      <c r="AV37" s="1044" t="str">
        <f t="shared" si="45"/>
        <v/>
      </c>
      <c r="AW37" s="1044" t="str">
        <f t="shared" si="46"/>
        <v/>
      </c>
      <c r="AX37" s="1044" t="str">
        <f t="shared" si="47"/>
        <v/>
      </c>
      <c r="AY37" s="1044" t="str">
        <f t="shared" si="48"/>
        <v/>
      </c>
      <c r="AZ37" s="1044" t="str">
        <f t="shared" si="49"/>
        <v/>
      </c>
      <c r="BA37" s="1044" t="str">
        <f t="shared" si="50"/>
        <v/>
      </c>
      <c r="BB37" s="1044" t="str">
        <f t="shared" si="51"/>
        <v/>
      </c>
      <c r="BC37" s="1044" t="str">
        <f t="shared" si="52"/>
        <v/>
      </c>
      <c r="BF37" s="1" t="s">
        <v>9</v>
      </c>
      <c r="BG37" s="1076" t="s">
        <v>689</v>
      </c>
      <c r="BH37" s="1" t="s">
        <v>7055</v>
      </c>
      <c r="BI37" s="1" t="s">
        <v>7418</v>
      </c>
    </row>
    <row r="38" spans="1:61" ht="30" customHeight="1">
      <c r="A38" s="1085" t="str">
        <f t="shared" si="0"/>
        <v/>
      </c>
      <c r="B38" s="1086"/>
      <c r="C38" s="1085" t="s">
        <v>254</v>
      </c>
      <c r="D38" s="1087" t="str">
        <f t="shared" si="1"/>
        <v/>
      </c>
      <c r="E38" s="1088" t="str">
        <f t="shared" si="2"/>
        <v/>
      </c>
      <c r="F38" s="1089" t="str">
        <f t="shared" si="3"/>
        <v/>
      </c>
      <c r="G38" s="1090" t="str">
        <f t="shared" si="4"/>
        <v/>
      </c>
      <c r="H38" s="1085" t="str">
        <f t="shared" si="5"/>
        <v/>
      </c>
      <c r="I38" s="1085" t="str">
        <f t="shared" si="6"/>
        <v/>
      </c>
      <c r="J38" s="1090" t="str">
        <f t="shared" si="7"/>
        <v/>
      </c>
      <c r="K38" s="1044" t="str">
        <f t="shared" si="8"/>
        <v/>
      </c>
      <c r="L38" s="1044" t="str">
        <f t="shared" si="9"/>
        <v/>
      </c>
      <c r="M38" s="1044" t="str">
        <f t="shared" si="10"/>
        <v/>
      </c>
      <c r="N38" s="1044" t="str">
        <f t="shared" si="11"/>
        <v/>
      </c>
      <c r="O38" s="1044">
        <f t="shared" si="12"/>
        <v>0</v>
      </c>
      <c r="P38" s="1044">
        <f t="shared" si="13"/>
        <v>0</v>
      </c>
      <c r="Q38" s="1044">
        <f t="shared" si="14"/>
        <v>0</v>
      </c>
      <c r="R38" s="1044">
        <f t="shared" si="15"/>
        <v>0</v>
      </c>
      <c r="S38" s="1044">
        <f t="shared" si="16"/>
        <v>0</v>
      </c>
      <c r="T38" s="1044">
        <f t="shared" si="17"/>
        <v>0</v>
      </c>
      <c r="U38" s="1044">
        <f t="shared" si="18"/>
        <v>0</v>
      </c>
      <c r="V38" s="1044">
        <f t="shared" si="19"/>
        <v>0</v>
      </c>
      <c r="W38" s="1044">
        <f t="shared" si="20"/>
        <v>0</v>
      </c>
      <c r="X38" s="1044">
        <f t="shared" si="21"/>
        <v>0</v>
      </c>
      <c r="Y38" s="1044">
        <f t="shared" si="22"/>
        <v>0</v>
      </c>
      <c r="Z38" s="1044">
        <f t="shared" si="23"/>
        <v>0</v>
      </c>
      <c r="AA38" s="1044">
        <f t="shared" si="24"/>
        <v>0</v>
      </c>
      <c r="AB38" s="1044">
        <f t="shared" si="25"/>
        <v>0</v>
      </c>
      <c r="AC38" s="1044">
        <f t="shared" si="26"/>
        <v>0</v>
      </c>
      <c r="AD38" s="1044">
        <f t="shared" si="27"/>
        <v>0</v>
      </c>
      <c r="AE38" s="1044">
        <f t="shared" si="28"/>
        <v>0</v>
      </c>
      <c r="AF38" s="1044">
        <f t="shared" si="29"/>
        <v>0</v>
      </c>
      <c r="AG38" s="1044">
        <f t="shared" si="30"/>
        <v>0</v>
      </c>
      <c r="AH38" s="1044">
        <f t="shared" si="31"/>
        <v>0</v>
      </c>
      <c r="AI38" s="1044">
        <f t="shared" si="32"/>
        <v>0</v>
      </c>
      <c r="AJ38" s="1044">
        <f t="shared" si="33"/>
        <v>0</v>
      </c>
      <c r="AK38" s="1044">
        <f t="shared" si="34"/>
        <v>0</v>
      </c>
      <c r="AL38" s="1044">
        <f t="shared" si="35"/>
        <v>0</v>
      </c>
      <c r="AM38" s="1044">
        <f t="shared" si="36"/>
        <v>0</v>
      </c>
      <c r="AN38" s="1044" t="str">
        <f t="shared" si="37"/>
        <v/>
      </c>
      <c r="AO38" s="1044" t="str">
        <f t="shared" si="38"/>
        <v/>
      </c>
      <c r="AP38" s="1044" t="str">
        <f t="shared" si="39"/>
        <v/>
      </c>
      <c r="AQ38" s="1044" t="str">
        <f t="shared" si="40"/>
        <v/>
      </c>
      <c r="AR38" s="1044" t="str">
        <f t="shared" si="41"/>
        <v/>
      </c>
      <c r="AS38" s="1044" t="str">
        <f t="shared" si="42"/>
        <v/>
      </c>
      <c r="AT38" s="1044" t="str">
        <f t="shared" si="43"/>
        <v/>
      </c>
      <c r="AU38" s="1044" t="str">
        <f t="shared" si="44"/>
        <v/>
      </c>
      <c r="AV38" s="1044" t="str">
        <f t="shared" si="45"/>
        <v/>
      </c>
      <c r="AW38" s="1044" t="str">
        <f t="shared" si="46"/>
        <v/>
      </c>
      <c r="AX38" s="1044" t="str">
        <f t="shared" si="47"/>
        <v/>
      </c>
      <c r="AY38" s="1044" t="str">
        <f t="shared" si="48"/>
        <v/>
      </c>
      <c r="AZ38" s="1044" t="str">
        <f t="shared" si="49"/>
        <v/>
      </c>
      <c r="BA38" s="1044" t="str">
        <f t="shared" si="50"/>
        <v/>
      </c>
      <c r="BB38" s="1044" t="str">
        <f t="shared" si="51"/>
        <v/>
      </c>
      <c r="BC38" s="1044" t="str">
        <f t="shared" si="52"/>
        <v/>
      </c>
      <c r="BF38" s="1" t="s">
        <v>9</v>
      </c>
      <c r="BG38" s="1076" t="s">
        <v>689</v>
      </c>
      <c r="BH38" s="1" t="s">
        <v>7056</v>
      </c>
      <c r="BI38" s="1" t="s">
        <v>7419</v>
      </c>
    </row>
    <row r="39" spans="1:61" ht="30" customHeight="1">
      <c r="A39" s="1085" t="str">
        <f t="shared" si="0"/>
        <v/>
      </c>
      <c r="B39" s="1086"/>
      <c r="C39" s="1085" t="s">
        <v>254</v>
      </c>
      <c r="D39" s="1087" t="str">
        <f t="shared" si="1"/>
        <v/>
      </c>
      <c r="E39" s="1088" t="str">
        <f t="shared" si="2"/>
        <v/>
      </c>
      <c r="F39" s="1089" t="str">
        <f t="shared" si="3"/>
        <v/>
      </c>
      <c r="G39" s="1090" t="str">
        <f t="shared" si="4"/>
        <v/>
      </c>
      <c r="H39" s="1085" t="str">
        <f t="shared" si="5"/>
        <v/>
      </c>
      <c r="I39" s="1085" t="str">
        <f t="shared" si="6"/>
        <v/>
      </c>
      <c r="J39" s="1090" t="str">
        <f t="shared" si="7"/>
        <v/>
      </c>
      <c r="K39" s="1044" t="str">
        <f t="shared" si="8"/>
        <v/>
      </c>
      <c r="L39" s="1044" t="str">
        <f t="shared" si="9"/>
        <v/>
      </c>
      <c r="M39" s="1044" t="str">
        <f t="shared" si="10"/>
        <v/>
      </c>
      <c r="N39" s="1044" t="str">
        <f t="shared" si="11"/>
        <v/>
      </c>
      <c r="O39" s="1044">
        <f t="shared" si="12"/>
        <v>0</v>
      </c>
      <c r="P39" s="1044">
        <f t="shared" si="13"/>
        <v>0</v>
      </c>
      <c r="Q39" s="1044">
        <f t="shared" si="14"/>
        <v>0</v>
      </c>
      <c r="R39" s="1044">
        <f t="shared" si="15"/>
        <v>0</v>
      </c>
      <c r="S39" s="1044">
        <f t="shared" si="16"/>
        <v>0</v>
      </c>
      <c r="T39" s="1044">
        <f t="shared" si="17"/>
        <v>0</v>
      </c>
      <c r="U39" s="1044">
        <f t="shared" si="18"/>
        <v>0</v>
      </c>
      <c r="V39" s="1044">
        <f t="shared" si="19"/>
        <v>0</v>
      </c>
      <c r="W39" s="1044">
        <f t="shared" si="20"/>
        <v>0</v>
      </c>
      <c r="X39" s="1044">
        <f t="shared" si="21"/>
        <v>0</v>
      </c>
      <c r="Y39" s="1044">
        <f t="shared" si="22"/>
        <v>0</v>
      </c>
      <c r="Z39" s="1044">
        <f t="shared" si="23"/>
        <v>0</v>
      </c>
      <c r="AA39" s="1044">
        <f t="shared" si="24"/>
        <v>0</v>
      </c>
      <c r="AB39" s="1044">
        <f t="shared" si="25"/>
        <v>0</v>
      </c>
      <c r="AC39" s="1044">
        <f t="shared" si="26"/>
        <v>0</v>
      </c>
      <c r="AD39" s="1044">
        <f t="shared" si="27"/>
        <v>0</v>
      </c>
      <c r="AE39" s="1044">
        <f t="shared" si="28"/>
        <v>0</v>
      </c>
      <c r="AF39" s="1044">
        <f t="shared" si="29"/>
        <v>0</v>
      </c>
      <c r="AG39" s="1044">
        <f t="shared" si="30"/>
        <v>0</v>
      </c>
      <c r="AH39" s="1044">
        <f t="shared" si="31"/>
        <v>0</v>
      </c>
      <c r="AI39" s="1044">
        <f t="shared" si="32"/>
        <v>0</v>
      </c>
      <c r="AJ39" s="1044">
        <f t="shared" si="33"/>
        <v>0</v>
      </c>
      <c r="AK39" s="1044">
        <f t="shared" si="34"/>
        <v>0</v>
      </c>
      <c r="AL39" s="1044">
        <f t="shared" si="35"/>
        <v>0</v>
      </c>
      <c r="AM39" s="1044">
        <f t="shared" si="36"/>
        <v>0</v>
      </c>
      <c r="AN39" s="1044" t="str">
        <f t="shared" si="37"/>
        <v/>
      </c>
      <c r="AO39" s="1044" t="str">
        <f t="shared" si="38"/>
        <v/>
      </c>
      <c r="AP39" s="1044" t="str">
        <f t="shared" si="39"/>
        <v/>
      </c>
      <c r="AQ39" s="1044" t="str">
        <f t="shared" si="40"/>
        <v/>
      </c>
      <c r="AR39" s="1044" t="str">
        <f t="shared" si="41"/>
        <v/>
      </c>
      <c r="AS39" s="1044" t="str">
        <f t="shared" si="42"/>
        <v/>
      </c>
      <c r="AT39" s="1044" t="str">
        <f t="shared" si="43"/>
        <v/>
      </c>
      <c r="AU39" s="1044" t="str">
        <f t="shared" si="44"/>
        <v/>
      </c>
      <c r="AV39" s="1044" t="str">
        <f t="shared" si="45"/>
        <v/>
      </c>
      <c r="AW39" s="1044" t="str">
        <f t="shared" si="46"/>
        <v/>
      </c>
      <c r="AX39" s="1044" t="str">
        <f t="shared" si="47"/>
        <v/>
      </c>
      <c r="AY39" s="1044" t="str">
        <f t="shared" si="48"/>
        <v/>
      </c>
      <c r="AZ39" s="1044" t="str">
        <f t="shared" si="49"/>
        <v/>
      </c>
      <c r="BA39" s="1044" t="str">
        <f t="shared" si="50"/>
        <v/>
      </c>
      <c r="BB39" s="1044" t="str">
        <f t="shared" si="51"/>
        <v/>
      </c>
      <c r="BC39" s="1044" t="str">
        <f t="shared" si="52"/>
        <v/>
      </c>
      <c r="BF39" s="1" t="s">
        <v>7027</v>
      </c>
      <c r="BG39" s="1076" t="s">
        <v>689</v>
      </c>
      <c r="BH39" s="1" t="s">
        <v>7057</v>
      </c>
      <c r="BI39" s="1" t="s">
        <v>7420</v>
      </c>
    </row>
    <row r="40" spans="1:61" ht="30" customHeight="1">
      <c r="A40" s="1085" t="str">
        <f t="shared" si="0"/>
        <v/>
      </c>
      <c r="B40" s="1086"/>
      <c r="C40" s="1085" t="s">
        <v>254</v>
      </c>
      <c r="D40" s="1087" t="str">
        <f t="shared" si="1"/>
        <v/>
      </c>
      <c r="E40" s="1088" t="str">
        <f t="shared" si="2"/>
        <v/>
      </c>
      <c r="F40" s="1089" t="str">
        <f t="shared" si="3"/>
        <v/>
      </c>
      <c r="G40" s="1090" t="str">
        <f t="shared" si="4"/>
        <v/>
      </c>
      <c r="H40" s="1085" t="str">
        <f t="shared" si="5"/>
        <v/>
      </c>
      <c r="I40" s="1085" t="str">
        <f t="shared" si="6"/>
        <v/>
      </c>
      <c r="J40" s="1090" t="str">
        <f t="shared" si="7"/>
        <v/>
      </c>
      <c r="K40" s="1044" t="str">
        <f t="shared" si="8"/>
        <v/>
      </c>
      <c r="L40" s="1044" t="str">
        <f t="shared" si="9"/>
        <v/>
      </c>
      <c r="M40" s="1044" t="str">
        <f t="shared" si="10"/>
        <v/>
      </c>
      <c r="N40" s="1044" t="str">
        <f t="shared" si="11"/>
        <v/>
      </c>
      <c r="O40" s="1044">
        <f t="shared" si="12"/>
        <v>0</v>
      </c>
      <c r="P40" s="1044">
        <f t="shared" si="13"/>
        <v>0</v>
      </c>
      <c r="Q40" s="1044">
        <f t="shared" si="14"/>
        <v>0</v>
      </c>
      <c r="R40" s="1044">
        <f t="shared" si="15"/>
        <v>0</v>
      </c>
      <c r="S40" s="1044">
        <f t="shared" si="16"/>
        <v>0</v>
      </c>
      <c r="T40" s="1044">
        <f t="shared" si="17"/>
        <v>0</v>
      </c>
      <c r="U40" s="1044">
        <f t="shared" si="18"/>
        <v>0</v>
      </c>
      <c r="V40" s="1044">
        <f t="shared" si="19"/>
        <v>0</v>
      </c>
      <c r="W40" s="1044">
        <f t="shared" si="20"/>
        <v>0</v>
      </c>
      <c r="X40" s="1044">
        <f t="shared" si="21"/>
        <v>0</v>
      </c>
      <c r="Y40" s="1044">
        <f t="shared" si="22"/>
        <v>0</v>
      </c>
      <c r="Z40" s="1044">
        <f t="shared" si="23"/>
        <v>0</v>
      </c>
      <c r="AA40" s="1044">
        <f t="shared" si="24"/>
        <v>0</v>
      </c>
      <c r="AB40" s="1044">
        <f t="shared" si="25"/>
        <v>0</v>
      </c>
      <c r="AC40" s="1044">
        <f t="shared" si="26"/>
        <v>0</v>
      </c>
      <c r="AD40" s="1044">
        <f t="shared" si="27"/>
        <v>0</v>
      </c>
      <c r="AE40" s="1044">
        <f t="shared" si="28"/>
        <v>0</v>
      </c>
      <c r="AF40" s="1044">
        <f t="shared" si="29"/>
        <v>0</v>
      </c>
      <c r="AG40" s="1044">
        <f t="shared" si="30"/>
        <v>0</v>
      </c>
      <c r="AH40" s="1044">
        <f t="shared" si="31"/>
        <v>0</v>
      </c>
      <c r="AI40" s="1044">
        <f t="shared" si="32"/>
        <v>0</v>
      </c>
      <c r="AJ40" s="1044">
        <f t="shared" si="33"/>
        <v>0</v>
      </c>
      <c r="AK40" s="1044">
        <f t="shared" si="34"/>
        <v>0</v>
      </c>
      <c r="AL40" s="1044">
        <f t="shared" si="35"/>
        <v>0</v>
      </c>
      <c r="AM40" s="1044">
        <f t="shared" si="36"/>
        <v>0</v>
      </c>
      <c r="AN40" s="1044" t="str">
        <f t="shared" si="37"/>
        <v/>
      </c>
      <c r="AO40" s="1044" t="str">
        <f t="shared" si="38"/>
        <v/>
      </c>
      <c r="AP40" s="1044" t="str">
        <f t="shared" si="39"/>
        <v/>
      </c>
      <c r="AQ40" s="1044" t="str">
        <f t="shared" si="40"/>
        <v/>
      </c>
      <c r="AR40" s="1044" t="str">
        <f t="shared" si="41"/>
        <v/>
      </c>
      <c r="AS40" s="1044" t="str">
        <f t="shared" si="42"/>
        <v/>
      </c>
      <c r="AT40" s="1044" t="str">
        <f t="shared" si="43"/>
        <v/>
      </c>
      <c r="AU40" s="1044" t="str">
        <f t="shared" si="44"/>
        <v/>
      </c>
      <c r="AV40" s="1044" t="str">
        <f t="shared" si="45"/>
        <v/>
      </c>
      <c r="AW40" s="1044" t="str">
        <f t="shared" si="46"/>
        <v/>
      </c>
      <c r="AX40" s="1044" t="str">
        <f t="shared" si="47"/>
        <v/>
      </c>
      <c r="AY40" s="1044" t="str">
        <f t="shared" si="48"/>
        <v/>
      </c>
      <c r="AZ40" s="1044" t="str">
        <f t="shared" si="49"/>
        <v/>
      </c>
      <c r="BA40" s="1044" t="str">
        <f t="shared" si="50"/>
        <v/>
      </c>
      <c r="BB40" s="1044" t="str">
        <f t="shared" si="51"/>
        <v/>
      </c>
      <c r="BC40" s="1044" t="str">
        <f t="shared" si="52"/>
        <v/>
      </c>
      <c r="BF40" s="1" t="s">
        <v>7027</v>
      </c>
      <c r="BG40" s="1076" t="s">
        <v>689</v>
      </c>
      <c r="BH40" s="1" t="s">
        <v>7058</v>
      </c>
      <c r="BI40" s="1" t="s">
        <v>7421</v>
      </c>
    </row>
    <row r="41" spans="1:61" ht="30" customHeight="1">
      <c r="A41" s="1085" t="str">
        <f t="shared" si="0"/>
        <v/>
      </c>
      <c r="B41" s="1086"/>
      <c r="C41" s="1085" t="s">
        <v>254</v>
      </c>
      <c r="D41" s="1087" t="str">
        <f t="shared" si="1"/>
        <v/>
      </c>
      <c r="E41" s="1088" t="str">
        <f t="shared" si="2"/>
        <v/>
      </c>
      <c r="F41" s="1089" t="str">
        <f t="shared" si="3"/>
        <v/>
      </c>
      <c r="G41" s="1090" t="str">
        <f t="shared" si="4"/>
        <v/>
      </c>
      <c r="H41" s="1085" t="str">
        <f t="shared" si="5"/>
        <v/>
      </c>
      <c r="I41" s="1085" t="str">
        <f t="shared" si="6"/>
        <v/>
      </c>
      <c r="J41" s="1090" t="str">
        <f t="shared" si="7"/>
        <v/>
      </c>
      <c r="K41" s="1044" t="str">
        <f t="shared" si="8"/>
        <v/>
      </c>
      <c r="L41" s="1044" t="str">
        <f t="shared" si="9"/>
        <v/>
      </c>
      <c r="M41" s="1044" t="str">
        <f t="shared" si="10"/>
        <v/>
      </c>
      <c r="N41" s="1044" t="str">
        <f t="shared" si="11"/>
        <v/>
      </c>
      <c r="O41" s="1044">
        <f t="shared" si="12"/>
        <v>0</v>
      </c>
      <c r="P41" s="1044">
        <f t="shared" si="13"/>
        <v>0</v>
      </c>
      <c r="Q41" s="1044">
        <f t="shared" si="14"/>
        <v>0</v>
      </c>
      <c r="R41" s="1044">
        <f t="shared" si="15"/>
        <v>0</v>
      </c>
      <c r="S41" s="1044">
        <f t="shared" si="16"/>
        <v>0</v>
      </c>
      <c r="T41" s="1044">
        <f t="shared" si="17"/>
        <v>0</v>
      </c>
      <c r="U41" s="1044">
        <f t="shared" si="18"/>
        <v>0</v>
      </c>
      <c r="V41" s="1044">
        <f t="shared" si="19"/>
        <v>0</v>
      </c>
      <c r="W41" s="1044">
        <f t="shared" si="20"/>
        <v>0</v>
      </c>
      <c r="X41" s="1044">
        <f t="shared" si="21"/>
        <v>0</v>
      </c>
      <c r="Y41" s="1044">
        <f t="shared" si="22"/>
        <v>0</v>
      </c>
      <c r="Z41" s="1044">
        <f t="shared" si="23"/>
        <v>0</v>
      </c>
      <c r="AA41" s="1044">
        <f t="shared" si="24"/>
        <v>0</v>
      </c>
      <c r="AB41" s="1044">
        <f t="shared" si="25"/>
        <v>0</v>
      </c>
      <c r="AC41" s="1044">
        <f t="shared" si="26"/>
        <v>0</v>
      </c>
      <c r="AD41" s="1044">
        <f t="shared" si="27"/>
        <v>0</v>
      </c>
      <c r="AE41" s="1044">
        <f t="shared" si="28"/>
        <v>0</v>
      </c>
      <c r="AF41" s="1044">
        <f t="shared" si="29"/>
        <v>0</v>
      </c>
      <c r="AG41" s="1044">
        <f t="shared" si="30"/>
        <v>0</v>
      </c>
      <c r="AH41" s="1044">
        <f t="shared" si="31"/>
        <v>0</v>
      </c>
      <c r="AI41" s="1044">
        <f t="shared" si="32"/>
        <v>0</v>
      </c>
      <c r="AJ41" s="1044">
        <f t="shared" si="33"/>
        <v>0</v>
      </c>
      <c r="AK41" s="1044">
        <f t="shared" si="34"/>
        <v>0</v>
      </c>
      <c r="AL41" s="1044">
        <f t="shared" si="35"/>
        <v>0</v>
      </c>
      <c r="AM41" s="1044">
        <f t="shared" si="36"/>
        <v>0</v>
      </c>
      <c r="AN41" s="1044" t="str">
        <f t="shared" si="37"/>
        <v/>
      </c>
      <c r="AO41" s="1044" t="str">
        <f t="shared" si="38"/>
        <v/>
      </c>
      <c r="AP41" s="1044" t="str">
        <f t="shared" si="39"/>
        <v/>
      </c>
      <c r="AQ41" s="1044" t="str">
        <f t="shared" si="40"/>
        <v/>
      </c>
      <c r="AR41" s="1044" t="str">
        <f t="shared" si="41"/>
        <v/>
      </c>
      <c r="AS41" s="1044" t="str">
        <f t="shared" si="42"/>
        <v/>
      </c>
      <c r="AT41" s="1044" t="str">
        <f t="shared" si="43"/>
        <v/>
      </c>
      <c r="AU41" s="1044" t="str">
        <f t="shared" si="44"/>
        <v/>
      </c>
      <c r="AV41" s="1044" t="str">
        <f t="shared" si="45"/>
        <v/>
      </c>
      <c r="AW41" s="1044" t="str">
        <f t="shared" si="46"/>
        <v/>
      </c>
      <c r="AX41" s="1044" t="str">
        <f t="shared" si="47"/>
        <v/>
      </c>
      <c r="AY41" s="1044" t="str">
        <f t="shared" si="48"/>
        <v/>
      </c>
      <c r="AZ41" s="1044" t="str">
        <f t="shared" si="49"/>
        <v/>
      </c>
      <c r="BA41" s="1044" t="str">
        <f t="shared" si="50"/>
        <v/>
      </c>
      <c r="BB41" s="1044" t="str">
        <f t="shared" si="51"/>
        <v/>
      </c>
      <c r="BC41" s="1044" t="str">
        <f t="shared" si="52"/>
        <v/>
      </c>
      <c r="BF41" s="1" t="s">
        <v>7027</v>
      </c>
      <c r="BG41" s="1076" t="s">
        <v>689</v>
      </c>
      <c r="BH41" s="1" t="s">
        <v>2</v>
      </c>
      <c r="BI41" s="1" t="s">
        <v>7422</v>
      </c>
    </row>
    <row r="42" spans="1:61" ht="30" customHeight="1">
      <c r="A42" s="1085" t="str">
        <f t="shared" si="0"/>
        <v/>
      </c>
      <c r="B42" s="1086"/>
      <c r="C42" s="1085" t="s">
        <v>254</v>
      </c>
      <c r="D42" s="1087" t="str">
        <f t="shared" si="1"/>
        <v/>
      </c>
      <c r="E42" s="1088" t="str">
        <f t="shared" si="2"/>
        <v/>
      </c>
      <c r="F42" s="1089" t="str">
        <f t="shared" si="3"/>
        <v/>
      </c>
      <c r="G42" s="1090" t="str">
        <f t="shared" si="4"/>
        <v/>
      </c>
      <c r="H42" s="1085" t="str">
        <f t="shared" si="5"/>
        <v/>
      </c>
      <c r="I42" s="1085" t="str">
        <f t="shared" si="6"/>
        <v/>
      </c>
      <c r="J42" s="1090" t="str">
        <f t="shared" si="7"/>
        <v/>
      </c>
      <c r="K42" s="1044" t="str">
        <f t="shared" si="8"/>
        <v/>
      </c>
      <c r="L42" s="1044" t="str">
        <f t="shared" si="9"/>
        <v/>
      </c>
      <c r="M42" s="1044" t="str">
        <f t="shared" si="10"/>
        <v/>
      </c>
      <c r="N42" s="1044" t="str">
        <f t="shared" si="11"/>
        <v/>
      </c>
      <c r="O42" s="1044">
        <f t="shared" si="12"/>
        <v>0</v>
      </c>
      <c r="P42" s="1044">
        <f t="shared" si="13"/>
        <v>0</v>
      </c>
      <c r="Q42" s="1044">
        <f t="shared" si="14"/>
        <v>0</v>
      </c>
      <c r="R42" s="1044">
        <f t="shared" si="15"/>
        <v>0</v>
      </c>
      <c r="S42" s="1044">
        <f t="shared" si="16"/>
        <v>0</v>
      </c>
      <c r="T42" s="1044">
        <f t="shared" si="17"/>
        <v>0</v>
      </c>
      <c r="U42" s="1044">
        <f t="shared" si="18"/>
        <v>0</v>
      </c>
      <c r="V42" s="1044">
        <f t="shared" si="19"/>
        <v>0</v>
      </c>
      <c r="W42" s="1044">
        <f t="shared" si="20"/>
        <v>0</v>
      </c>
      <c r="X42" s="1044">
        <f t="shared" si="21"/>
        <v>0</v>
      </c>
      <c r="Y42" s="1044">
        <f t="shared" si="22"/>
        <v>0</v>
      </c>
      <c r="Z42" s="1044">
        <f t="shared" si="23"/>
        <v>0</v>
      </c>
      <c r="AA42" s="1044">
        <f t="shared" si="24"/>
        <v>0</v>
      </c>
      <c r="AB42" s="1044">
        <f t="shared" si="25"/>
        <v>0</v>
      </c>
      <c r="AC42" s="1044">
        <f t="shared" si="26"/>
        <v>0</v>
      </c>
      <c r="AD42" s="1044">
        <f t="shared" si="27"/>
        <v>0</v>
      </c>
      <c r="AE42" s="1044">
        <f t="shared" si="28"/>
        <v>0</v>
      </c>
      <c r="AF42" s="1044">
        <f t="shared" si="29"/>
        <v>0</v>
      </c>
      <c r="AG42" s="1044">
        <f t="shared" si="30"/>
        <v>0</v>
      </c>
      <c r="AH42" s="1044">
        <f t="shared" si="31"/>
        <v>0</v>
      </c>
      <c r="AI42" s="1044">
        <f t="shared" si="32"/>
        <v>0</v>
      </c>
      <c r="AJ42" s="1044">
        <f t="shared" si="33"/>
        <v>0</v>
      </c>
      <c r="AK42" s="1044">
        <f t="shared" si="34"/>
        <v>0</v>
      </c>
      <c r="AL42" s="1044">
        <f t="shared" si="35"/>
        <v>0</v>
      </c>
      <c r="AM42" s="1044">
        <f t="shared" si="36"/>
        <v>0</v>
      </c>
      <c r="AN42" s="1044" t="str">
        <f t="shared" si="37"/>
        <v/>
      </c>
      <c r="AO42" s="1044" t="str">
        <f t="shared" si="38"/>
        <v/>
      </c>
      <c r="AP42" s="1044" t="str">
        <f t="shared" si="39"/>
        <v/>
      </c>
      <c r="AQ42" s="1044" t="str">
        <f t="shared" si="40"/>
        <v/>
      </c>
      <c r="AR42" s="1044" t="str">
        <f t="shared" si="41"/>
        <v/>
      </c>
      <c r="AS42" s="1044" t="str">
        <f t="shared" si="42"/>
        <v/>
      </c>
      <c r="AT42" s="1044" t="str">
        <f t="shared" si="43"/>
        <v/>
      </c>
      <c r="AU42" s="1044" t="str">
        <f t="shared" si="44"/>
        <v/>
      </c>
      <c r="AV42" s="1044" t="str">
        <f t="shared" si="45"/>
        <v/>
      </c>
      <c r="AW42" s="1044" t="str">
        <f t="shared" si="46"/>
        <v/>
      </c>
      <c r="AX42" s="1044" t="str">
        <f t="shared" si="47"/>
        <v/>
      </c>
      <c r="AY42" s="1044" t="str">
        <f t="shared" si="48"/>
        <v/>
      </c>
      <c r="AZ42" s="1044" t="str">
        <f t="shared" si="49"/>
        <v/>
      </c>
      <c r="BA42" s="1044" t="str">
        <f t="shared" si="50"/>
        <v/>
      </c>
      <c r="BB42" s="1044" t="str">
        <f t="shared" si="51"/>
        <v/>
      </c>
      <c r="BC42" s="1044" t="str">
        <f t="shared" si="52"/>
        <v/>
      </c>
      <c r="BF42" s="1" t="s">
        <v>7027</v>
      </c>
      <c r="BG42" s="1076" t="s">
        <v>689</v>
      </c>
      <c r="BH42" s="1" t="s">
        <v>277</v>
      </c>
      <c r="BI42" s="1" t="s">
        <v>7423</v>
      </c>
    </row>
    <row r="43" spans="1:61" ht="30" customHeight="1">
      <c r="A43" s="1085" t="str">
        <f t="shared" si="0"/>
        <v/>
      </c>
      <c r="B43" s="1086"/>
      <c r="C43" s="1085" t="s">
        <v>254</v>
      </c>
      <c r="D43" s="1087" t="str">
        <f t="shared" si="1"/>
        <v/>
      </c>
      <c r="E43" s="1088" t="str">
        <f t="shared" si="2"/>
        <v/>
      </c>
      <c r="F43" s="1089" t="str">
        <f t="shared" si="3"/>
        <v/>
      </c>
      <c r="G43" s="1090" t="str">
        <f t="shared" si="4"/>
        <v/>
      </c>
      <c r="H43" s="1085" t="str">
        <f t="shared" si="5"/>
        <v/>
      </c>
      <c r="I43" s="1085" t="str">
        <f t="shared" si="6"/>
        <v/>
      </c>
      <c r="J43" s="1090" t="str">
        <f t="shared" si="7"/>
        <v/>
      </c>
      <c r="K43" s="1044" t="str">
        <f t="shared" si="8"/>
        <v/>
      </c>
      <c r="L43" s="1044" t="str">
        <f t="shared" si="9"/>
        <v/>
      </c>
      <c r="M43" s="1044" t="str">
        <f t="shared" si="10"/>
        <v/>
      </c>
      <c r="N43" s="1044" t="str">
        <f t="shared" si="11"/>
        <v/>
      </c>
      <c r="O43" s="1044">
        <f t="shared" si="12"/>
        <v>0</v>
      </c>
      <c r="P43" s="1044">
        <f t="shared" si="13"/>
        <v>0</v>
      </c>
      <c r="Q43" s="1044">
        <f t="shared" si="14"/>
        <v>0</v>
      </c>
      <c r="R43" s="1044">
        <f t="shared" si="15"/>
        <v>0</v>
      </c>
      <c r="S43" s="1044">
        <f t="shared" si="16"/>
        <v>0</v>
      </c>
      <c r="T43" s="1044">
        <f t="shared" si="17"/>
        <v>0</v>
      </c>
      <c r="U43" s="1044">
        <f t="shared" si="18"/>
        <v>0</v>
      </c>
      <c r="V43" s="1044">
        <f t="shared" si="19"/>
        <v>0</v>
      </c>
      <c r="W43" s="1044">
        <f t="shared" si="20"/>
        <v>0</v>
      </c>
      <c r="X43" s="1044">
        <f t="shared" si="21"/>
        <v>0</v>
      </c>
      <c r="Y43" s="1044">
        <f t="shared" si="22"/>
        <v>0</v>
      </c>
      <c r="Z43" s="1044">
        <f t="shared" si="23"/>
        <v>0</v>
      </c>
      <c r="AA43" s="1044">
        <f t="shared" si="24"/>
        <v>0</v>
      </c>
      <c r="AB43" s="1044">
        <f t="shared" si="25"/>
        <v>0</v>
      </c>
      <c r="AC43" s="1044">
        <f t="shared" si="26"/>
        <v>0</v>
      </c>
      <c r="AD43" s="1044">
        <f t="shared" si="27"/>
        <v>0</v>
      </c>
      <c r="AE43" s="1044">
        <f t="shared" si="28"/>
        <v>0</v>
      </c>
      <c r="AF43" s="1044">
        <f t="shared" si="29"/>
        <v>0</v>
      </c>
      <c r="AG43" s="1044">
        <f t="shared" si="30"/>
        <v>0</v>
      </c>
      <c r="AH43" s="1044">
        <f t="shared" si="31"/>
        <v>0</v>
      </c>
      <c r="AI43" s="1044">
        <f t="shared" si="32"/>
        <v>0</v>
      </c>
      <c r="AJ43" s="1044">
        <f t="shared" si="33"/>
        <v>0</v>
      </c>
      <c r="AK43" s="1044">
        <f t="shared" si="34"/>
        <v>0</v>
      </c>
      <c r="AL43" s="1044">
        <f t="shared" si="35"/>
        <v>0</v>
      </c>
      <c r="AM43" s="1044">
        <f t="shared" si="36"/>
        <v>0</v>
      </c>
      <c r="AN43" s="1044" t="str">
        <f t="shared" si="37"/>
        <v/>
      </c>
      <c r="AO43" s="1044" t="str">
        <f t="shared" si="38"/>
        <v/>
      </c>
      <c r="AP43" s="1044" t="str">
        <f t="shared" si="39"/>
        <v/>
      </c>
      <c r="AQ43" s="1044" t="str">
        <f t="shared" si="40"/>
        <v/>
      </c>
      <c r="AR43" s="1044" t="str">
        <f t="shared" si="41"/>
        <v/>
      </c>
      <c r="AS43" s="1044" t="str">
        <f t="shared" si="42"/>
        <v/>
      </c>
      <c r="AT43" s="1044" t="str">
        <f t="shared" si="43"/>
        <v/>
      </c>
      <c r="AU43" s="1044" t="str">
        <f t="shared" si="44"/>
        <v/>
      </c>
      <c r="AV43" s="1044" t="str">
        <f t="shared" si="45"/>
        <v/>
      </c>
      <c r="AW43" s="1044" t="str">
        <f t="shared" si="46"/>
        <v/>
      </c>
      <c r="AX43" s="1044" t="str">
        <f t="shared" si="47"/>
        <v/>
      </c>
      <c r="AY43" s="1044" t="str">
        <f t="shared" si="48"/>
        <v/>
      </c>
      <c r="AZ43" s="1044" t="str">
        <f t="shared" si="49"/>
        <v/>
      </c>
      <c r="BA43" s="1044" t="str">
        <f t="shared" si="50"/>
        <v/>
      </c>
      <c r="BB43" s="1044" t="str">
        <f t="shared" si="51"/>
        <v/>
      </c>
      <c r="BC43" s="1044" t="str">
        <f t="shared" si="52"/>
        <v/>
      </c>
      <c r="BF43" s="1" t="s">
        <v>7027</v>
      </c>
      <c r="BG43" s="1076" t="s">
        <v>689</v>
      </c>
      <c r="BH43" s="1" t="s">
        <v>7059</v>
      </c>
      <c r="BI43" s="1" t="s">
        <v>7424</v>
      </c>
    </row>
    <row r="44" spans="1:61" ht="30" customHeight="1">
      <c r="A44" s="1085" t="str">
        <f t="shared" si="0"/>
        <v/>
      </c>
      <c r="B44" s="1086"/>
      <c r="C44" s="1085" t="s">
        <v>254</v>
      </c>
      <c r="D44" s="1087" t="str">
        <f t="shared" si="1"/>
        <v/>
      </c>
      <c r="E44" s="1088" t="str">
        <f t="shared" si="2"/>
        <v/>
      </c>
      <c r="F44" s="1089" t="str">
        <f t="shared" si="3"/>
        <v/>
      </c>
      <c r="G44" s="1090" t="str">
        <f t="shared" si="4"/>
        <v/>
      </c>
      <c r="H44" s="1085" t="str">
        <f t="shared" si="5"/>
        <v/>
      </c>
      <c r="I44" s="1085" t="str">
        <f t="shared" si="6"/>
        <v/>
      </c>
      <c r="J44" s="1090" t="str">
        <f t="shared" si="7"/>
        <v/>
      </c>
      <c r="K44" s="1044" t="str">
        <f t="shared" si="8"/>
        <v/>
      </c>
      <c r="L44" s="1044" t="str">
        <f t="shared" si="9"/>
        <v/>
      </c>
      <c r="M44" s="1044" t="str">
        <f t="shared" si="10"/>
        <v/>
      </c>
      <c r="N44" s="1044" t="str">
        <f t="shared" si="11"/>
        <v/>
      </c>
      <c r="O44" s="1044">
        <f t="shared" si="12"/>
        <v>0</v>
      </c>
      <c r="P44" s="1044">
        <f t="shared" si="13"/>
        <v>0</v>
      </c>
      <c r="Q44" s="1044">
        <f t="shared" si="14"/>
        <v>0</v>
      </c>
      <c r="R44" s="1044">
        <f t="shared" si="15"/>
        <v>0</v>
      </c>
      <c r="S44" s="1044">
        <f t="shared" si="16"/>
        <v>0</v>
      </c>
      <c r="T44" s="1044">
        <f t="shared" si="17"/>
        <v>0</v>
      </c>
      <c r="U44" s="1044">
        <f t="shared" si="18"/>
        <v>0</v>
      </c>
      <c r="V44" s="1044">
        <f t="shared" si="19"/>
        <v>0</v>
      </c>
      <c r="W44" s="1044">
        <f t="shared" si="20"/>
        <v>0</v>
      </c>
      <c r="X44" s="1044">
        <f t="shared" si="21"/>
        <v>0</v>
      </c>
      <c r="Y44" s="1044">
        <f t="shared" si="22"/>
        <v>0</v>
      </c>
      <c r="Z44" s="1044">
        <f t="shared" si="23"/>
        <v>0</v>
      </c>
      <c r="AA44" s="1044">
        <f t="shared" si="24"/>
        <v>0</v>
      </c>
      <c r="AB44" s="1044">
        <f t="shared" si="25"/>
        <v>0</v>
      </c>
      <c r="AC44" s="1044">
        <f t="shared" si="26"/>
        <v>0</v>
      </c>
      <c r="AD44" s="1044">
        <f t="shared" si="27"/>
        <v>0</v>
      </c>
      <c r="AE44" s="1044">
        <f t="shared" si="28"/>
        <v>0</v>
      </c>
      <c r="AF44" s="1044">
        <f t="shared" si="29"/>
        <v>0</v>
      </c>
      <c r="AG44" s="1044">
        <f t="shared" si="30"/>
        <v>0</v>
      </c>
      <c r="AH44" s="1044">
        <f t="shared" si="31"/>
        <v>0</v>
      </c>
      <c r="AI44" s="1044">
        <f t="shared" si="32"/>
        <v>0</v>
      </c>
      <c r="AJ44" s="1044">
        <f t="shared" si="33"/>
        <v>0</v>
      </c>
      <c r="AK44" s="1044">
        <f t="shared" si="34"/>
        <v>0</v>
      </c>
      <c r="AL44" s="1044">
        <f t="shared" si="35"/>
        <v>0</v>
      </c>
      <c r="AM44" s="1044">
        <f t="shared" si="36"/>
        <v>0</v>
      </c>
      <c r="AN44" s="1044" t="str">
        <f t="shared" si="37"/>
        <v/>
      </c>
      <c r="AO44" s="1044" t="str">
        <f t="shared" si="38"/>
        <v/>
      </c>
      <c r="AP44" s="1044" t="str">
        <f t="shared" si="39"/>
        <v/>
      </c>
      <c r="AQ44" s="1044" t="str">
        <f t="shared" si="40"/>
        <v/>
      </c>
      <c r="AR44" s="1044" t="str">
        <f t="shared" si="41"/>
        <v/>
      </c>
      <c r="AS44" s="1044" t="str">
        <f t="shared" si="42"/>
        <v/>
      </c>
      <c r="AT44" s="1044" t="str">
        <f t="shared" si="43"/>
        <v/>
      </c>
      <c r="AU44" s="1044" t="str">
        <f t="shared" si="44"/>
        <v/>
      </c>
      <c r="AV44" s="1044" t="str">
        <f t="shared" si="45"/>
        <v/>
      </c>
      <c r="AW44" s="1044" t="str">
        <f t="shared" si="46"/>
        <v/>
      </c>
      <c r="AX44" s="1044" t="str">
        <f t="shared" si="47"/>
        <v/>
      </c>
      <c r="AY44" s="1044" t="str">
        <f t="shared" si="48"/>
        <v/>
      </c>
      <c r="AZ44" s="1044" t="str">
        <f t="shared" si="49"/>
        <v/>
      </c>
      <c r="BA44" s="1044" t="str">
        <f t="shared" si="50"/>
        <v/>
      </c>
      <c r="BB44" s="1044" t="str">
        <f t="shared" si="51"/>
        <v/>
      </c>
      <c r="BC44" s="1044" t="str">
        <f t="shared" si="52"/>
        <v/>
      </c>
      <c r="BF44" s="1" t="s">
        <v>7027</v>
      </c>
      <c r="BG44" s="1076" t="s">
        <v>689</v>
      </c>
      <c r="BH44" s="1" t="s">
        <v>35</v>
      </c>
      <c r="BI44" s="1" t="s">
        <v>7425</v>
      </c>
    </row>
    <row r="45" spans="1:61" ht="30" customHeight="1">
      <c r="A45" s="1085" t="str">
        <f t="shared" si="0"/>
        <v/>
      </c>
      <c r="B45" s="1086"/>
      <c r="C45" s="1085" t="s">
        <v>254</v>
      </c>
      <c r="D45" s="1087" t="str">
        <f t="shared" si="1"/>
        <v/>
      </c>
      <c r="E45" s="1088" t="str">
        <f t="shared" si="2"/>
        <v/>
      </c>
      <c r="F45" s="1089" t="str">
        <f t="shared" si="3"/>
        <v/>
      </c>
      <c r="G45" s="1090" t="str">
        <f t="shared" si="4"/>
        <v/>
      </c>
      <c r="H45" s="1085" t="str">
        <f t="shared" si="5"/>
        <v/>
      </c>
      <c r="I45" s="1085" t="str">
        <f t="shared" si="6"/>
        <v/>
      </c>
      <c r="J45" s="1090" t="str">
        <f t="shared" si="7"/>
        <v/>
      </c>
      <c r="K45" s="1044" t="str">
        <f t="shared" si="8"/>
        <v/>
      </c>
      <c r="L45" s="1044" t="str">
        <f t="shared" si="9"/>
        <v/>
      </c>
      <c r="M45" s="1044" t="str">
        <f t="shared" si="10"/>
        <v/>
      </c>
      <c r="N45" s="1044" t="str">
        <f t="shared" si="11"/>
        <v/>
      </c>
      <c r="O45" s="1044">
        <f t="shared" si="12"/>
        <v>0</v>
      </c>
      <c r="P45" s="1044">
        <f t="shared" si="13"/>
        <v>0</v>
      </c>
      <c r="Q45" s="1044">
        <f t="shared" si="14"/>
        <v>0</v>
      </c>
      <c r="R45" s="1044">
        <f t="shared" si="15"/>
        <v>0</v>
      </c>
      <c r="S45" s="1044">
        <f t="shared" si="16"/>
        <v>0</v>
      </c>
      <c r="T45" s="1044">
        <f t="shared" si="17"/>
        <v>0</v>
      </c>
      <c r="U45" s="1044">
        <f t="shared" si="18"/>
        <v>0</v>
      </c>
      <c r="V45" s="1044">
        <f t="shared" si="19"/>
        <v>0</v>
      </c>
      <c r="W45" s="1044">
        <f t="shared" si="20"/>
        <v>0</v>
      </c>
      <c r="X45" s="1044">
        <f t="shared" si="21"/>
        <v>0</v>
      </c>
      <c r="Y45" s="1044">
        <f t="shared" si="22"/>
        <v>0</v>
      </c>
      <c r="Z45" s="1044">
        <f t="shared" si="23"/>
        <v>0</v>
      </c>
      <c r="AA45" s="1044">
        <f t="shared" si="24"/>
        <v>0</v>
      </c>
      <c r="AB45" s="1044">
        <f t="shared" si="25"/>
        <v>0</v>
      </c>
      <c r="AC45" s="1044">
        <f t="shared" si="26"/>
        <v>0</v>
      </c>
      <c r="AD45" s="1044">
        <f t="shared" si="27"/>
        <v>0</v>
      </c>
      <c r="AE45" s="1044">
        <f t="shared" si="28"/>
        <v>0</v>
      </c>
      <c r="AF45" s="1044">
        <f t="shared" si="29"/>
        <v>0</v>
      </c>
      <c r="AG45" s="1044">
        <f t="shared" si="30"/>
        <v>0</v>
      </c>
      <c r="AH45" s="1044">
        <f t="shared" si="31"/>
        <v>0</v>
      </c>
      <c r="AI45" s="1044">
        <f t="shared" si="32"/>
        <v>0</v>
      </c>
      <c r="AJ45" s="1044">
        <f t="shared" si="33"/>
        <v>0</v>
      </c>
      <c r="AK45" s="1044">
        <f t="shared" si="34"/>
        <v>0</v>
      </c>
      <c r="AL45" s="1044">
        <f t="shared" si="35"/>
        <v>0</v>
      </c>
      <c r="AM45" s="1044">
        <f t="shared" si="36"/>
        <v>0</v>
      </c>
      <c r="AN45" s="1044" t="str">
        <f t="shared" si="37"/>
        <v/>
      </c>
      <c r="AO45" s="1044" t="str">
        <f t="shared" si="38"/>
        <v/>
      </c>
      <c r="AP45" s="1044" t="str">
        <f t="shared" si="39"/>
        <v/>
      </c>
      <c r="AQ45" s="1044" t="str">
        <f t="shared" si="40"/>
        <v/>
      </c>
      <c r="AR45" s="1044" t="str">
        <f t="shared" si="41"/>
        <v/>
      </c>
      <c r="AS45" s="1044" t="str">
        <f t="shared" si="42"/>
        <v/>
      </c>
      <c r="AT45" s="1044" t="str">
        <f t="shared" si="43"/>
        <v/>
      </c>
      <c r="AU45" s="1044" t="str">
        <f t="shared" si="44"/>
        <v/>
      </c>
      <c r="AV45" s="1044" t="str">
        <f t="shared" si="45"/>
        <v/>
      </c>
      <c r="AW45" s="1044" t="str">
        <f t="shared" si="46"/>
        <v/>
      </c>
      <c r="AX45" s="1044" t="str">
        <f t="shared" si="47"/>
        <v/>
      </c>
      <c r="AY45" s="1044" t="str">
        <f t="shared" si="48"/>
        <v/>
      </c>
      <c r="AZ45" s="1044" t="str">
        <f t="shared" si="49"/>
        <v/>
      </c>
      <c r="BA45" s="1044" t="str">
        <f t="shared" si="50"/>
        <v/>
      </c>
      <c r="BB45" s="1044" t="str">
        <f t="shared" si="51"/>
        <v/>
      </c>
      <c r="BC45" s="1044" t="str">
        <f t="shared" si="52"/>
        <v/>
      </c>
      <c r="BF45" s="1" t="s">
        <v>7027</v>
      </c>
      <c r="BG45" s="1076" t="s">
        <v>689</v>
      </c>
      <c r="BH45" s="1" t="s">
        <v>280</v>
      </c>
      <c r="BI45" s="1" t="s">
        <v>7426</v>
      </c>
    </row>
    <row r="46" spans="1:61" ht="30" customHeight="1">
      <c r="A46" s="1085" t="str">
        <f t="shared" si="0"/>
        <v/>
      </c>
      <c r="B46" s="1086"/>
      <c r="C46" s="1085" t="s">
        <v>254</v>
      </c>
      <c r="D46" s="1087" t="str">
        <f t="shared" si="1"/>
        <v/>
      </c>
      <c r="E46" s="1088" t="str">
        <f t="shared" si="2"/>
        <v/>
      </c>
      <c r="F46" s="1089" t="str">
        <f t="shared" si="3"/>
        <v/>
      </c>
      <c r="G46" s="1090" t="str">
        <f t="shared" si="4"/>
        <v/>
      </c>
      <c r="H46" s="1085" t="str">
        <f t="shared" si="5"/>
        <v/>
      </c>
      <c r="I46" s="1085" t="str">
        <f t="shared" si="6"/>
        <v/>
      </c>
      <c r="J46" s="1090" t="str">
        <f t="shared" si="7"/>
        <v/>
      </c>
      <c r="K46" s="1044" t="str">
        <f t="shared" si="8"/>
        <v/>
      </c>
      <c r="L46" s="1044" t="str">
        <f t="shared" si="9"/>
        <v/>
      </c>
      <c r="M46" s="1044" t="str">
        <f t="shared" si="10"/>
        <v/>
      </c>
      <c r="N46" s="1044" t="str">
        <f t="shared" si="11"/>
        <v/>
      </c>
      <c r="O46" s="1044">
        <f t="shared" si="12"/>
        <v>0</v>
      </c>
      <c r="P46" s="1044">
        <f t="shared" si="13"/>
        <v>0</v>
      </c>
      <c r="Q46" s="1044">
        <f t="shared" si="14"/>
        <v>0</v>
      </c>
      <c r="R46" s="1044">
        <f t="shared" si="15"/>
        <v>0</v>
      </c>
      <c r="S46" s="1044">
        <f t="shared" si="16"/>
        <v>0</v>
      </c>
      <c r="T46" s="1044">
        <f t="shared" si="17"/>
        <v>0</v>
      </c>
      <c r="U46" s="1044">
        <f t="shared" si="18"/>
        <v>0</v>
      </c>
      <c r="V46" s="1044">
        <f t="shared" si="19"/>
        <v>0</v>
      </c>
      <c r="W46" s="1044">
        <f t="shared" si="20"/>
        <v>0</v>
      </c>
      <c r="X46" s="1044">
        <f t="shared" si="21"/>
        <v>0</v>
      </c>
      <c r="Y46" s="1044">
        <f t="shared" si="22"/>
        <v>0</v>
      </c>
      <c r="Z46" s="1044">
        <f t="shared" si="23"/>
        <v>0</v>
      </c>
      <c r="AA46" s="1044">
        <f t="shared" si="24"/>
        <v>0</v>
      </c>
      <c r="AB46" s="1044">
        <f t="shared" si="25"/>
        <v>0</v>
      </c>
      <c r="AC46" s="1044">
        <f t="shared" si="26"/>
        <v>0</v>
      </c>
      <c r="AD46" s="1044">
        <f t="shared" si="27"/>
        <v>0</v>
      </c>
      <c r="AE46" s="1044">
        <f t="shared" si="28"/>
        <v>0</v>
      </c>
      <c r="AF46" s="1044">
        <f t="shared" si="29"/>
        <v>0</v>
      </c>
      <c r="AG46" s="1044">
        <f t="shared" si="30"/>
        <v>0</v>
      </c>
      <c r="AH46" s="1044">
        <f t="shared" si="31"/>
        <v>0</v>
      </c>
      <c r="AI46" s="1044">
        <f t="shared" si="32"/>
        <v>0</v>
      </c>
      <c r="AJ46" s="1044">
        <f t="shared" si="33"/>
        <v>0</v>
      </c>
      <c r="AK46" s="1044">
        <f t="shared" si="34"/>
        <v>0</v>
      </c>
      <c r="AL46" s="1044">
        <f t="shared" si="35"/>
        <v>0</v>
      </c>
      <c r="AM46" s="1044">
        <f t="shared" si="36"/>
        <v>0</v>
      </c>
      <c r="AN46" s="1044" t="str">
        <f t="shared" si="37"/>
        <v/>
      </c>
      <c r="AO46" s="1044" t="str">
        <f t="shared" si="38"/>
        <v/>
      </c>
      <c r="AP46" s="1044" t="str">
        <f t="shared" si="39"/>
        <v/>
      </c>
      <c r="AQ46" s="1044" t="str">
        <f t="shared" si="40"/>
        <v/>
      </c>
      <c r="AR46" s="1044" t="str">
        <f t="shared" si="41"/>
        <v/>
      </c>
      <c r="AS46" s="1044" t="str">
        <f t="shared" si="42"/>
        <v/>
      </c>
      <c r="AT46" s="1044" t="str">
        <f t="shared" si="43"/>
        <v/>
      </c>
      <c r="AU46" s="1044" t="str">
        <f t="shared" si="44"/>
        <v/>
      </c>
      <c r="AV46" s="1044" t="str">
        <f t="shared" si="45"/>
        <v/>
      </c>
      <c r="AW46" s="1044" t="str">
        <f t="shared" si="46"/>
        <v/>
      </c>
      <c r="AX46" s="1044" t="str">
        <f t="shared" si="47"/>
        <v/>
      </c>
      <c r="AY46" s="1044" t="str">
        <f t="shared" si="48"/>
        <v/>
      </c>
      <c r="AZ46" s="1044" t="str">
        <f t="shared" si="49"/>
        <v/>
      </c>
      <c r="BA46" s="1044" t="str">
        <f t="shared" si="50"/>
        <v/>
      </c>
      <c r="BB46" s="1044" t="str">
        <f t="shared" si="51"/>
        <v/>
      </c>
      <c r="BC46" s="1044" t="str">
        <f t="shared" si="52"/>
        <v/>
      </c>
      <c r="BF46" s="1" t="s">
        <v>7027</v>
      </c>
      <c r="BG46" s="1076" t="s">
        <v>689</v>
      </c>
      <c r="BH46" s="1" t="s">
        <v>7060</v>
      </c>
      <c r="BI46" s="1" t="s">
        <v>7427</v>
      </c>
    </row>
    <row r="47" spans="1:61" ht="30" customHeight="1">
      <c r="A47" s="1085" t="str">
        <f t="shared" si="0"/>
        <v/>
      </c>
      <c r="B47" s="1086"/>
      <c r="C47" s="1085" t="s">
        <v>254</v>
      </c>
      <c r="D47" s="1087" t="str">
        <f t="shared" si="1"/>
        <v/>
      </c>
      <c r="E47" s="1088" t="str">
        <f t="shared" si="2"/>
        <v/>
      </c>
      <c r="F47" s="1089" t="str">
        <f t="shared" si="3"/>
        <v/>
      </c>
      <c r="G47" s="1090" t="str">
        <f t="shared" si="4"/>
        <v/>
      </c>
      <c r="H47" s="1085" t="str">
        <f t="shared" si="5"/>
        <v/>
      </c>
      <c r="I47" s="1085" t="str">
        <f t="shared" si="6"/>
        <v/>
      </c>
      <c r="J47" s="1090" t="str">
        <f t="shared" si="7"/>
        <v/>
      </c>
      <c r="K47" s="1044" t="str">
        <f t="shared" si="8"/>
        <v/>
      </c>
      <c r="L47" s="1044" t="str">
        <f t="shared" si="9"/>
        <v/>
      </c>
      <c r="M47" s="1044" t="str">
        <f t="shared" si="10"/>
        <v/>
      </c>
      <c r="N47" s="1044" t="str">
        <f t="shared" si="11"/>
        <v/>
      </c>
      <c r="O47" s="1044">
        <f t="shared" si="12"/>
        <v>0</v>
      </c>
      <c r="P47" s="1044">
        <f t="shared" si="13"/>
        <v>0</v>
      </c>
      <c r="Q47" s="1044">
        <f t="shared" si="14"/>
        <v>0</v>
      </c>
      <c r="R47" s="1044">
        <f t="shared" si="15"/>
        <v>0</v>
      </c>
      <c r="S47" s="1044">
        <f t="shared" si="16"/>
        <v>0</v>
      </c>
      <c r="T47" s="1044">
        <f t="shared" si="17"/>
        <v>0</v>
      </c>
      <c r="U47" s="1044">
        <f t="shared" si="18"/>
        <v>0</v>
      </c>
      <c r="V47" s="1044">
        <f t="shared" si="19"/>
        <v>0</v>
      </c>
      <c r="W47" s="1044">
        <f t="shared" si="20"/>
        <v>0</v>
      </c>
      <c r="X47" s="1044">
        <f t="shared" si="21"/>
        <v>0</v>
      </c>
      <c r="Y47" s="1044">
        <f t="shared" si="22"/>
        <v>0</v>
      </c>
      <c r="Z47" s="1044">
        <f t="shared" si="23"/>
        <v>0</v>
      </c>
      <c r="AA47" s="1044">
        <f t="shared" si="24"/>
        <v>0</v>
      </c>
      <c r="AB47" s="1044">
        <f t="shared" si="25"/>
        <v>0</v>
      </c>
      <c r="AC47" s="1044">
        <f t="shared" si="26"/>
        <v>0</v>
      </c>
      <c r="AD47" s="1044">
        <f t="shared" si="27"/>
        <v>0</v>
      </c>
      <c r="AE47" s="1044">
        <f t="shared" si="28"/>
        <v>0</v>
      </c>
      <c r="AF47" s="1044">
        <f t="shared" si="29"/>
        <v>0</v>
      </c>
      <c r="AG47" s="1044">
        <f t="shared" si="30"/>
        <v>0</v>
      </c>
      <c r="AH47" s="1044">
        <f t="shared" si="31"/>
        <v>0</v>
      </c>
      <c r="AI47" s="1044">
        <f t="shared" si="32"/>
        <v>0</v>
      </c>
      <c r="AJ47" s="1044">
        <f t="shared" si="33"/>
        <v>0</v>
      </c>
      <c r="AK47" s="1044">
        <f t="shared" si="34"/>
        <v>0</v>
      </c>
      <c r="AL47" s="1044">
        <f t="shared" si="35"/>
        <v>0</v>
      </c>
      <c r="AM47" s="1044">
        <f t="shared" si="36"/>
        <v>0</v>
      </c>
      <c r="AN47" s="1044" t="str">
        <f t="shared" si="37"/>
        <v/>
      </c>
      <c r="AO47" s="1044" t="str">
        <f t="shared" si="38"/>
        <v/>
      </c>
      <c r="AP47" s="1044" t="str">
        <f t="shared" si="39"/>
        <v/>
      </c>
      <c r="AQ47" s="1044" t="str">
        <f t="shared" si="40"/>
        <v/>
      </c>
      <c r="AR47" s="1044" t="str">
        <f t="shared" si="41"/>
        <v/>
      </c>
      <c r="AS47" s="1044" t="str">
        <f t="shared" si="42"/>
        <v/>
      </c>
      <c r="AT47" s="1044" t="str">
        <f t="shared" si="43"/>
        <v/>
      </c>
      <c r="AU47" s="1044" t="str">
        <f t="shared" si="44"/>
        <v/>
      </c>
      <c r="AV47" s="1044" t="str">
        <f t="shared" si="45"/>
        <v/>
      </c>
      <c r="AW47" s="1044" t="str">
        <f t="shared" si="46"/>
        <v/>
      </c>
      <c r="AX47" s="1044" t="str">
        <f t="shared" si="47"/>
        <v/>
      </c>
      <c r="AY47" s="1044" t="str">
        <f t="shared" si="48"/>
        <v/>
      </c>
      <c r="AZ47" s="1044" t="str">
        <f t="shared" si="49"/>
        <v/>
      </c>
      <c r="BA47" s="1044" t="str">
        <f t="shared" si="50"/>
        <v/>
      </c>
      <c r="BB47" s="1044" t="str">
        <f t="shared" si="51"/>
        <v/>
      </c>
      <c r="BC47" s="1044" t="str">
        <f t="shared" si="52"/>
        <v/>
      </c>
      <c r="BF47" s="1" t="s">
        <v>7027</v>
      </c>
      <c r="BG47" s="1076" t="s">
        <v>689</v>
      </c>
      <c r="BH47" s="1" t="s">
        <v>7061</v>
      </c>
      <c r="BI47" s="1" t="s">
        <v>7428</v>
      </c>
    </row>
    <row r="48" spans="1:61" ht="30" customHeight="1">
      <c r="A48" s="1085" t="str">
        <f t="shared" si="0"/>
        <v/>
      </c>
      <c r="B48" s="1086"/>
      <c r="C48" s="1085" t="s">
        <v>254</v>
      </c>
      <c r="D48" s="1087" t="str">
        <f t="shared" si="1"/>
        <v/>
      </c>
      <c r="E48" s="1088" t="str">
        <f t="shared" si="2"/>
        <v/>
      </c>
      <c r="F48" s="1089" t="str">
        <f t="shared" si="3"/>
        <v/>
      </c>
      <c r="G48" s="1090" t="str">
        <f t="shared" si="4"/>
        <v/>
      </c>
      <c r="H48" s="1085" t="str">
        <f t="shared" si="5"/>
        <v/>
      </c>
      <c r="I48" s="1085" t="str">
        <f t="shared" si="6"/>
        <v/>
      </c>
      <c r="J48" s="1090" t="str">
        <f t="shared" si="7"/>
        <v/>
      </c>
      <c r="K48" s="1044" t="str">
        <f t="shared" si="8"/>
        <v/>
      </c>
      <c r="L48" s="1044" t="str">
        <f t="shared" si="9"/>
        <v/>
      </c>
      <c r="M48" s="1044" t="str">
        <f t="shared" si="10"/>
        <v/>
      </c>
      <c r="N48" s="1044" t="str">
        <f t="shared" si="11"/>
        <v/>
      </c>
      <c r="O48" s="1044">
        <f t="shared" si="12"/>
        <v>0</v>
      </c>
      <c r="P48" s="1044">
        <f t="shared" si="13"/>
        <v>0</v>
      </c>
      <c r="Q48" s="1044">
        <f t="shared" si="14"/>
        <v>0</v>
      </c>
      <c r="R48" s="1044">
        <f t="shared" si="15"/>
        <v>0</v>
      </c>
      <c r="S48" s="1044">
        <f t="shared" si="16"/>
        <v>0</v>
      </c>
      <c r="T48" s="1044">
        <f t="shared" si="17"/>
        <v>0</v>
      </c>
      <c r="U48" s="1044">
        <f t="shared" si="18"/>
        <v>0</v>
      </c>
      <c r="V48" s="1044">
        <f t="shared" si="19"/>
        <v>0</v>
      </c>
      <c r="W48" s="1044">
        <f t="shared" si="20"/>
        <v>0</v>
      </c>
      <c r="X48" s="1044">
        <f t="shared" si="21"/>
        <v>0</v>
      </c>
      <c r="Y48" s="1044">
        <f t="shared" si="22"/>
        <v>0</v>
      </c>
      <c r="Z48" s="1044">
        <f t="shared" si="23"/>
        <v>0</v>
      </c>
      <c r="AA48" s="1044">
        <f t="shared" si="24"/>
        <v>0</v>
      </c>
      <c r="AB48" s="1044">
        <f t="shared" si="25"/>
        <v>0</v>
      </c>
      <c r="AC48" s="1044">
        <f t="shared" si="26"/>
        <v>0</v>
      </c>
      <c r="AD48" s="1044">
        <f t="shared" si="27"/>
        <v>0</v>
      </c>
      <c r="AE48" s="1044">
        <f t="shared" si="28"/>
        <v>0</v>
      </c>
      <c r="AF48" s="1044">
        <f t="shared" si="29"/>
        <v>0</v>
      </c>
      <c r="AG48" s="1044">
        <f t="shared" si="30"/>
        <v>0</v>
      </c>
      <c r="AH48" s="1044">
        <f t="shared" si="31"/>
        <v>0</v>
      </c>
      <c r="AI48" s="1044">
        <f t="shared" si="32"/>
        <v>0</v>
      </c>
      <c r="AJ48" s="1044">
        <f t="shared" si="33"/>
        <v>0</v>
      </c>
      <c r="AK48" s="1044">
        <f t="shared" si="34"/>
        <v>0</v>
      </c>
      <c r="AL48" s="1044">
        <f t="shared" si="35"/>
        <v>0</v>
      </c>
      <c r="AM48" s="1044">
        <f t="shared" si="36"/>
        <v>0</v>
      </c>
      <c r="AN48" s="1044" t="str">
        <f t="shared" si="37"/>
        <v/>
      </c>
      <c r="AO48" s="1044" t="str">
        <f t="shared" si="38"/>
        <v/>
      </c>
      <c r="AP48" s="1044" t="str">
        <f t="shared" si="39"/>
        <v/>
      </c>
      <c r="AQ48" s="1044" t="str">
        <f t="shared" si="40"/>
        <v/>
      </c>
      <c r="AR48" s="1044" t="str">
        <f t="shared" si="41"/>
        <v/>
      </c>
      <c r="AS48" s="1044" t="str">
        <f t="shared" si="42"/>
        <v/>
      </c>
      <c r="AT48" s="1044" t="str">
        <f t="shared" si="43"/>
        <v/>
      </c>
      <c r="AU48" s="1044" t="str">
        <f t="shared" si="44"/>
        <v/>
      </c>
      <c r="AV48" s="1044" t="str">
        <f t="shared" si="45"/>
        <v/>
      </c>
      <c r="AW48" s="1044" t="str">
        <f t="shared" si="46"/>
        <v/>
      </c>
      <c r="AX48" s="1044" t="str">
        <f t="shared" si="47"/>
        <v/>
      </c>
      <c r="AY48" s="1044" t="str">
        <f t="shared" si="48"/>
        <v/>
      </c>
      <c r="AZ48" s="1044" t="str">
        <f t="shared" si="49"/>
        <v/>
      </c>
      <c r="BA48" s="1044" t="str">
        <f t="shared" si="50"/>
        <v/>
      </c>
      <c r="BB48" s="1044" t="str">
        <f t="shared" si="51"/>
        <v/>
      </c>
      <c r="BC48" s="1044" t="str">
        <f t="shared" si="52"/>
        <v/>
      </c>
      <c r="BF48" s="1" t="s">
        <v>7027</v>
      </c>
      <c r="BG48" s="1076" t="s">
        <v>689</v>
      </c>
      <c r="BH48" s="1" t="s">
        <v>4943</v>
      </c>
      <c r="BI48" s="1" t="s">
        <v>7429</v>
      </c>
    </row>
    <row r="49" spans="1:61" ht="30" customHeight="1">
      <c r="A49" s="1085" t="str">
        <f t="shared" si="0"/>
        <v/>
      </c>
      <c r="B49" s="1086"/>
      <c r="C49" s="1085" t="s">
        <v>254</v>
      </c>
      <c r="D49" s="1087" t="str">
        <f t="shared" si="1"/>
        <v/>
      </c>
      <c r="E49" s="1088" t="str">
        <f t="shared" si="2"/>
        <v/>
      </c>
      <c r="F49" s="1089" t="str">
        <f t="shared" si="3"/>
        <v/>
      </c>
      <c r="G49" s="1090" t="str">
        <f t="shared" si="4"/>
        <v/>
      </c>
      <c r="H49" s="1085" t="str">
        <f t="shared" si="5"/>
        <v/>
      </c>
      <c r="I49" s="1085" t="str">
        <f t="shared" si="6"/>
        <v/>
      </c>
      <c r="J49" s="1090" t="str">
        <f t="shared" si="7"/>
        <v/>
      </c>
      <c r="K49" s="1044" t="str">
        <f t="shared" si="8"/>
        <v/>
      </c>
      <c r="L49" s="1044" t="str">
        <f t="shared" si="9"/>
        <v/>
      </c>
      <c r="M49" s="1044" t="str">
        <f t="shared" si="10"/>
        <v/>
      </c>
      <c r="N49" s="1044" t="str">
        <f t="shared" si="11"/>
        <v/>
      </c>
      <c r="O49" s="1044">
        <f t="shared" si="12"/>
        <v>0</v>
      </c>
      <c r="P49" s="1044">
        <f t="shared" si="13"/>
        <v>0</v>
      </c>
      <c r="Q49" s="1044">
        <f t="shared" si="14"/>
        <v>0</v>
      </c>
      <c r="R49" s="1044">
        <f t="shared" si="15"/>
        <v>0</v>
      </c>
      <c r="S49" s="1044">
        <f t="shared" si="16"/>
        <v>0</v>
      </c>
      <c r="T49" s="1044">
        <f t="shared" si="17"/>
        <v>0</v>
      </c>
      <c r="U49" s="1044">
        <f t="shared" si="18"/>
        <v>0</v>
      </c>
      <c r="V49" s="1044">
        <f t="shared" si="19"/>
        <v>0</v>
      </c>
      <c r="W49" s="1044">
        <f t="shared" si="20"/>
        <v>0</v>
      </c>
      <c r="X49" s="1044">
        <f t="shared" si="21"/>
        <v>0</v>
      </c>
      <c r="Y49" s="1044">
        <f t="shared" si="22"/>
        <v>0</v>
      </c>
      <c r="Z49" s="1044">
        <f t="shared" si="23"/>
        <v>0</v>
      </c>
      <c r="AA49" s="1044">
        <f t="shared" si="24"/>
        <v>0</v>
      </c>
      <c r="AB49" s="1044">
        <f t="shared" si="25"/>
        <v>0</v>
      </c>
      <c r="AC49" s="1044">
        <f t="shared" si="26"/>
        <v>0</v>
      </c>
      <c r="AD49" s="1044">
        <f t="shared" si="27"/>
        <v>0</v>
      </c>
      <c r="AE49" s="1044">
        <f t="shared" si="28"/>
        <v>0</v>
      </c>
      <c r="AF49" s="1044">
        <f t="shared" si="29"/>
        <v>0</v>
      </c>
      <c r="AG49" s="1044">
        <f t="shared" si="30"/>
        <v>0</v>
      </c>
      <c r="AH49" s="1044">
        <f t="shared" si="31"/>
        <v>0</v>
      </c>
      <c r="AI49" s="1044">
        <f t="shared" si="32"/>
        <v>0</v>
      </c>
      <c r="AJ49" s="1044">
        <f t="shared" si="33"/>
        <v>0</v>
      </c>
      <c r="AK49" s="1044">
        <f t="shared" si="34"/>
        <v>0</v>
      </c>
      <c r="AL49" s="1044">
        <f t="shared" si="35"/>
        <v>0</v>
      </c>
      <c r="AM49" s="1044">
        <f t="shared" si="36"/>
        <v>0</v>
      </c>
      <c r="AN49" s="1044" t="str">
        <f t="shared" si="37"/>
        <v/>
      </c>
      <c r="AO49" s="1044" t="str">
        <f t="shared" si="38"/>
        <v/>
      </c>
      <c r="AP49" s="1044" t="str">
        <f t="shared" si="39"/>
        <v/>
      </c>
      <c r="AQ49" s="1044" t="str">
        <f t="shared" si="40"/>
        <v/>
      </c>
      <c r="AR49" s="1044" t="str">
        <f t="shared" si="41"/>
        <v/>
      </c>
      <c r="AS49" s="1044" t="str">
        <f t="shared" si="42"/>
        <v/>
      </c>
      <c r="AT49" s="1044" t="str">
        <f t="shared" si="43"/>
        <v/>
      </c>
      <c r="AU49" s="1044" t="str">
        <f t="shared" si="44"/>
        <v/>
      </c>
      <c r="AV49" s="1044" t="str">
        <f t="shared" si="45"/>
        <v/>
      </c>
      <c r="AW49" s="1044" t="str">
        <f t="shared" si="46"/>
        <v/>
      </c>
      <c r="AX49" s="1044" t="str">
        <f t="shared" si="47"/>
        <v/>
      </c>
      <c r="AY49" s="1044" t="str">
        <f t="shared" si="48"/>
        <v/>
      </c>
      <c r="AZ49" s="1044" t="str">
        <f t="shared" si="49"/>
        <v/>
      </c>
      <c r="BA49" s="1044" t="str">
        <f t="shared" si="50"/>
        <v/>
      </c>
      <c r="BB49" s="1044" t="str">
        <f t="shared" si="51"/>
        <v/>
      </c>
      <c r="BC49" s="1044" t="str">
        <f t="shared" si="52"/>
        <v/>
      </c>
      <c r="BF49" s="1" t="s">
        <v>7027</v>
      </c>
      <c r="BG49" s="1076" t="s">
        <v>689</v>
      </c>
      <c r="BH49" s="1" t="s">
        <v>73</v>
      </c>
      <c r="BI49" s="1" t="s">
        <v>7430</v>
      </c>
    </row>
    <row r="50" spans="1:61" ht="30" customHeight="1">
      <c r="A50" s="1085" t="str">
        <f t="shared" si="0"/>
        <v/>
      </c>
      <c r="B50" s="1086"/>
      <c r="C50" s="1085" t="s">
        <v>254</v>
      </c>
      <c r="D50" s="1087" t="str">
        <f t="shared" si="1"/>
        <v/>
      </c>
      <c r="E50" s="1088" t="str">
        <f t="shared" si="2"/>
        <v/>
      </c>
      <c r="F50" s="1089" t="str">
        <f t="shared" si="3"/>
        <v/>
      </c>
      <c r="G50" s="1090" t="str">
        <f t="shared" si="4"/>
        <v/>
      </c>
      <c r="H50" s="1085" t="str">
        <f t="shared" si="5"/>
        <v/>
      </c>
      <c r="I50" s="1085" t="str">
        <f t="shared" si="6"/>
        <v/>
      </c>
      <c r="J50" s="1090" t="str">
        <f t="shared" si="7"/>
        <v/>
      </c>
      <c r="K50" s="1044" t="str">
        <f t="shared" si="8"/>
        <v/>
      </c>
      <c r="L50" s="1044" t="str">
        <f t="shared" si="9"/>
        <v/>
      </c>
      <c r="M50" s="1044" t="str">
        <f t="shared" si="10"/>
        <v/>
      </c>
      <c r="N50" s="1044" t="str">
        <f t="shared" si="11"/>
        <v/>
      </c>
      <c r="O50" s="1044">
        <f t="shared" si="12"/>
        <v>0</v>
      </c>
      <c r="P50" s="1044">
        <f t="shared" si="13"/>
        <v>0</v>
      </c>
      <c r="Q50" s="1044">
        <f t="shared" si="14"/>
        <v>0</v>
      </c>
      <c r="R50" s="1044">
        <f t="shared" si="15"/>
        <v>0</v>
      </c>
      <c r="S50" s="1044">
        <f t="shared" si="16"/>
        <v>0</v>
      </c>
      <c r="T50" s="1044">
        <f t="shared" si="17"/>
        <v>0</v>
      </c>
      <c r="U50" s="1044">
        <f t="shared" si="18"/>
        <v>0</v>
      </c>
      <c r="V50" s="1044">
        <f t="shared" si="19"/>
        <v>0</v>
      </c>
      <c r="W50" s="1044">
        <f t="shared" si="20"/>
        <v>0</v>
      </c>
      <c r="X50" s="1044">
        <f t="shared" si="21"/>
        <v>0</v>
      </c>
      <c r="Y50" s="1044">
        <f t="shared" si="22"/>
        <v>0</v>
      </c>
      <c r="Z50" s="1044">
        <f t="shared" si="23"/>
        <v>0</v>
      </c>
      <c r="AA50" s="1044">
        <f t="shared" si="24"/>
        <v>0</v>
      </c>
      <c r="AB50" s="1044">
        <f t="shared" si="25"/>
        <v>0</v>
      </c>
      <c r="AC50" s="1044">
        <f t="shared" si="26"/>
        <v>0</v>
      </c>
      <c r="AD50" s="1044">
        <f t="shared" si="27"/>
        <v>0</v>
      </c>
      <c r="AE50" s="1044">
        <f t="shared" si="28"/>
        <v>0</v>
      </c>
      <c r="AF50" s="1044">
        <f t="shared" si="29"/>
        <v>0</v>
      </c>
      <c r="AG50" s="1044">
        <f t="shared" si="30"/>
        <v>0</v>
      </c>
      <c r="AH50" s="1044">
        <f t="shared" si="31"/>
        <v>0</v>
      </c>
      <c r="AI50" s="1044">
        <f t="shared" si="32"/>
        <v>0</v>
      </c>
      <c r="AJ50" s="1044">
        <f t="shared" si="33"/>
        <v>0</v>
      </c>
      <c r="AK50" s="1044">
        <f t="shared" si="34"/>
        <v>0</v>
      </c>
      <c r="AL50" s="1044">
        <f t="shared" si="35"/>
        <v>0</v>
      </c>
      <c r="AM50" s="1044">
        <f t="shared" si="36"/>
        <v>0</v>
      </c>
      <c r="AN50" s="1044" t="str">
        <f t="shared" si="37"/>
        <v/>
      </c>
      <c r="AO50" s="1044" t="str">
        <f t="shared" si="38"/>
        <v/>
      </c>
      <c r="AP50" s="1044" t="str">
        <f t="shared" si="39"/>
        <v/>
      </c>
      <c r="AQ50" s="1044" t="str">
        <f t="shared" si="40"/>
        <v/>
      </c>
      <c r="AR50" s="1044" t="str">
        <f t="shared" si="41"/>
        <v/>
      </c>
      <c r="AS50" s="1044" t="str">
        <f t="shared" si="42"/>
        <v/>
      </c>
      <c r="AT50" s="1044" t="str">
        <f t="shared" si="43"/>
        <v/>
      </c>
      <c r="AU50" s="1044" t="str">
        <f t="shared" si="44"/>
        <v/>
      </c>
      <c r="AV50" s="1044" t="str">
        <f t="shared" si="45"/>
        <v/>
      </c>
      <c r="AW50" s="1044" t="str">
        <f t="shared" si="46"/>
        <v/>
      </c>
      <c r="AX50" s="1044" t="str">
        <f t="shared" si="47"/>
        <v/>
      </c>
      <c r="AY50" s="1044" t="str">
        <f t="shared" si="48"/>
        <v/>
      </c>
      <c r="AZ50" s="1044" t="str">
        <f t="shared" si="49"/>
        <v/>
      </c>
      <c r="BA50" s="1044" t="str">
        <f t="shared" si="50"/>
        <v/>
      </c>
      <c r="BB50" s="1044" t="str">
        <f t="shared" si="51"/>
        <v/>
      </c>
      <c r="BC50" s="1044" t="str">
        <f t="shared" si="52"/>
        <v/>
      </c>
      <c r="BF50" s="1" t="s">
        <v>7027</v>
      </c>
      <c r="BG50" s="1076" t="s">
        <v>689</v>
      </c>
      <c r="BH50" s="1" t="s">
        <v>86</v>
      </c>
      <c r="BI50" s="1" t="s">
        <v>7431</v>
      </c>
    </row>
    <row r="51" spans="1:61" ht="30" customHeight="1">
      <c r="A51" s="1085" t="str">
        <f t="shared" si="0"/>
        <v/>
      </c>
      <c r="B51" s="1086"/>
      <c r="C51" s="1085" t="s">
        <v>254</v>
      </c>
      <c r="D51" s="1087" t="str">
        <f t="shared" si="1"/>
        <v/>
      </c>
      <c r="E51" s="1088" t="str">
        <f t="shared" si="2"/>
        <v/>
      </c>
      <c r="F51" s="1089" t="str">
        <f t="shared" si="3"/>
        <v/>
      </c>
      <c r="G51" s="1090" t="str">
        <f t="shared" si="4"/>
        <v/>
      </c>
      <c r="H51" s="1085" t="str">
        <f t="shared" si="5"/>
        <v/>
      </c>
      <c r="I51" s="1085" t="str">
        <f t="shared" si="6"/>
        <v/>
      </c>
      <c r="J51" s="1090" t="str">
        <f t="shared" si="7"/>
        <v/>
      </c>
      <c r="K51" s="1044" t="str">
        <f t="shared" si="8"/>
        <v/>
      </c>
      <c r="L51" s="1044" t="str">
        <f t="shared" si="9"/>
        <v/>
      </c>
      <c r="M51" s="1044" t="str">
        <f t="shared" si="10"/>
        <v/>
      </c>
      <c r="N51" s="1044" t="str">
        <f t="shared" si="11"/>
        <v/>
      </c>
      <c r="O51" s="1044">
        <f t="shared" si="12"/>
        <v>0</v>
      </c>
      <c r="P51" s="1044">
        <f t="shared" si="13"/>
        <v>0</v>
      </c>
      <c r="Q51" s="1044">
        <f t="shared" si="14"/>
        <v>0</v>
      </c>
      <c r="R51" s="1044">
        <f t="shared" si="15"/>
        <v>0</v>
      </c>
      <c r="S51" s="1044">
        <f t="shared" si="16"/>
        <v>0</v>
      </c>
      <c r="T51" s="1044">
        <f t="shared" si="17"/>
        <v>0</v>
      </c>
      <c r="U51" s="1044">
        <f t="shared" si="18"/>
        <v>0</v>
      </c>
      <c r="V51" s="1044">
        <f t="shared" si="19"/>
        <v>0</v>
      </c>
      <c r="W51" s="1044">
        <f t="shared" si="20"/>
        <v>0</v>
      </c>
      <c r="X51" s="1044">
        <f t="shared" si="21"/>
        <v>0</v>
      </c>
      <c r="Y51" s="1044">
        <f t="shared" si="22"/>
        <v>0</v>
      </c>
      <c r="Z51" s="1044">
        <f t="shared" si="23"/>
        <v>0</v>
      </c>
      <c r="AA51" s="1044">
        <f t="shared" si="24"/>
        <v>0</v>
      </c>
      <c r="AB51" s="1044">
        <f t="shared" si="25"/>
        <v>0</v>
      </c>
      <c r="AC51" s="1044">
        <f t="shared" si="26"/>
        <v>0</v>
      </c>
      <c r="AD51" s="1044">
        <f t="shared" si="27"/>
        <v>0</v>
      </c>
      <c r="AE51" s="1044">
        <f t="shared" si="28"/>
        <v>0</v>
      </c>
      <c r="AF51" s="1044">
        <f t="shared" si="29"/>
        <v>0</v>
      </c>
      <c r="AG51" s="1044">
        <f t="shared" si="30"/>
        <v>0</v>
      </c>
      <c r="AH51" s="1044">
        <f t="shared" si="31"/>
        <v>0</v>
      </c>
      <c r="AI51" s="1044">
        <f t="shared" si="32"/>
        <v>0</v>
      </c>
      <c r="AJ51" s="1044">
        <f t="shared" si="33"/>
        <v>0</v>
      </c>
      <c r="AK51" s="1044">
        <f t="shared" si="34"/>
        <v>0</v>
      </c>
      <c r="AL51" s="1044">
        <f t="shared" si="35"/>
        <v>0</v>
      </c>
      <c r="AM51" s="1044">
        <f t="shared" si="36"/>
        <v>0</v>
      </c>
      <c r="AN51" s="1044" t="str">
        <f t="shared" si="37"/>
        <v/>
      </c>
      <c r="AO51" s="1044" t="str">
        <f t="shared" si="38"/>
        <v/>
      </c>
      <c r="AP51" s="1044" t="str">
        <f t="shared" si="39"/>
        <v/>
      </c>
      <c r="AQ51" s="1044" t="str">
        <f t="shared" si="40"/>
        <v/>
      </c>
      <c r="AR51" s="1044" t="str">
        <f t="shared" si="41"/>
        <v/>
      </c>
      <c r="AS51" s="1044" t="str">
        <f t="shared" si="42"/>
        <v/>
      </c>
      <c r="AT51" s="1044" t="str">
        <f t="shared" si="43"/>
        <v/>
      </c>
      <c r="AU51" s="1044" t="str">
        <f t="shared" si="44"/>
        <v/>
      </c>
      <c r="AV51" s="1044" t="str">
        <f t="shared" si="45"/>
        <v/>
      </c>
      <c r="AW51" s="1044" t="str">
        <f t="shared" si="46"/>
        <v/>
      </c>
      <c r="AX51" s="1044" t="str">
        <f t="shared" si="47"/>
        <v/>
      </c>
      <c r="AY51" s="1044" t="str">
        <f t="shared" si="48"/>
        <v/>
      </c>
      <c r="AZ51" s="1044" t="str">
        <f t="shared" si="49"/>
        <v/>
      </c>
      <c r="BA51" s="1044" t="str">
        <f t="shared" si="50"/>
        <v/>
      </c>
      <c r="BB51" s="1044" t="str">
        <f t="shared" si="51"/>
        <v/>
      </c>
      <c r="BC51" s="1044" t="str">
        <f t="shared" si="52"/>
        <v/>
      </c>
      <c r="BF51" s="1" t="s">
        <v>7027</v>
      </c>
      <c r="BG51" s="1076" t="s">
        <v>689</v>
      </c>
      <c r="BH51" s="1" t="s">
        <v>99</v>
      </c>
      <c r="BI51" s="1" t="s">
        <v>7432</v>
      </c>
    </row>
    <row r="52" spans="1:61" ht="30" customHeight="1">
      <c r="A52" s="1085" t="str">
        <f t="shared" si="0"/>
        <v/>
      </c>
      <c r="B52" s="1086"/>
      <c r="C52" s="1085" t="s">
        <v>254</v>
      </c>
      <c r="D52" s="1087" t="str">
        <f t="shared" si="1"/>
        <v/>
      </c>
      <c r="E52" s="1088" t="str">
        <f t="shared" si="2"/>
        <v/>
      </c>
      <c r="F52" s="1089" t="str">
        <f t="shared" si="3"/>
        <v/>
      </c>
      <c r="G52" s="1090" t="str">
        <f t="shared" si="4"/>
        <v/>
      </c>
      <c r="H52" s="1085" t="str">
        <f t="shared" si="5"/>
        <v/>
      </c>
      <c r="I52" s="1085" t="str">
        <f t="shared" si="6"/>
        <v/>
      </c>
      <c r="J52" s="1090" t="str">
        <f t="shared" si="7"/>
        <v/>
      </c>
      <c r="K52" s="1044" t="str">
        <f t="shared" si="8"/>
        <v/>
      </c>
      <c r="L52" s="1044" t="str">
        <f t="shared" si="9"/>
        <v/>
      </c>
      <c r="M52" s="1044" t="str">
        <f t="shared" si="10"/>
        <v/>
      </c>
      <c r="N52" s="1044" t="str">
        <f t="shared" si="11"/>
        <v/>
      </c>
      <c r="O52" s="1044">
        <f t="shared" si="12"/>
        <v>0</v>
      </c>
      <c r="P52" s="1044">
        <f t="shared" si="13"/>
        <v>0</v>
      </c>
      <c r="Q52" s="1044">
        <f t="shared" si="14"/>
        <v>0</v>
      </c>
      <c r="R52" s="1044">
        <f t="shared" si="15"/>
        <v>0</v>
      </c>
      <c r="S52" s="1044">
        <f t="shared" si="16"/>
        <v>0</v>
      </c>
      <c r="T52" s="1044">
        <f t="shared" si="17"/>
        <v>0</v>
      </c>
      <c r="U52" s="1044">
        <f t="shared" si="18"/>
        <v>0</v>
      </c>
      <c r="V52" s="1044">
        <f t="shared" si="19"/>
        <v>0</v>
      </c>
      <c r="W52" s="1044">
        <f t="shared" si="20"/>
        <v>0</v>
      </c>
      <c r="X52" s="1044">
        <f t="shared" si="21"/>
        <v>0</v>
      </c>
      <c r="Y52" s="1044">
        <f t="shared" si="22"/>
        <v>0</v>
      </c>
      <c r="Z52" s="1044">
        <f t="shared" si="23"/>
        <v>0</v>
      </c>
      <c r="AA52" s="1044">
        <f t="shared" si="24"/>
        <v>0</v>
      </c>
      <c r="AB52" s="1044">
        <f t="shared" si="25"/>
        <v>0</v>
      </c>
      <c r="AC52" s="1044">
        <f t="shared" si="26"/>
        <v>0</v>
      </c>
      <c r="AD52" s="1044">
        <f t="shared" si="27"/>
        <v>0</v>
      </c>
      <c r="AE52" s="1044">
        <f t="shared" si="28"/>
        <v>0</v>
      </c>
      <c r="AF52" s="1044">
        <f t="shared" si="29"/>
        <v>0</v>
      </c>
      <c r="AG52" s="1044">
        <f t="shared" si="30"/>
        <v>0</v>
      </c>
      <c r="AH52" s="1044">
        <f t="shared" si="31"/>
        <v>0</v>
      </c>
      <c r="AI52" s="1044">
        <f t="shared" si="32"/>
        <v>0</v>
      </c>
      <c r="AJ52" s="1044">
        <f t="shared" si="33"/>
        <v>0</v>
      </c>
      <c r="AK52" s="1044">
        <f t="shared" si="34"/>
        <v>0</v>
      </c>
      <c r="AL52" s="1044">
        <f t="shared" si="35"/>
        <v>0</v>
      </c>
      <c r="AM52" s="1044">
        <f t="shared" si="36"/>
        <v>0</v>
      </c>
      <c r="AN52" s="1044" t="str">
        <f t="shared" si="37"/>
        <v/>
      </c>
      <c r="AO52" s="1044" t="str">
        <f t="shared" si="38"/>
        <v/>
      </c>
      <c r="AP52" s="1044" t="str">
        <f t="shared" si="39"/>
        <v/>
      </c>
      <c r="AQ52" s="1044" t="str">
        <f t="shared" si="40"/>
        <v/>
      </c>
      <c r="AR52" s="1044" t="str">
        <f t="shared" si="41"/>
        <v/>
      </c>
      <c r="AS52" s="1044" t="str">
        <f t="shared" si="42"/>
        <v/>
      </c>
      <c r="AT52" s="1044" t="str">
        <f t="shared" si="43"/>
        <v/>
      </c>
      <c r="AU52" s="1044" t="str">
        <f t="shared" si="44"/>
        <v/>
      </c>
      <c r="AV52" s="1044" t="str">
        <f t="shared" si="45"/>
        <v/>
      </c>
      <c r="AW52" s="1044" t="str">
        <f t="shared" si="46"/>
        <v/>
      </c>
      <c r="AX52" s="1044" t="str">
        <f t="shared" si="47"/>
        <v/>
      </c>
      <c r="AY52" s="1044" t="str">
        <f t="shared" si="48"/>
        <v/>
      </c>
      <c r="AZ52" s="1044" t="str">
        <f t="shared" si="49"/>
        <v/>
      </c>
      <c r="BA52" s="1044" t="str">
        <f t="shared" si="50"/>
        <v/>
      </c>
      <c r="BB52" s="1044" t="str">
        <f t="shared" si="51"/>
        <v/>
      </c>
      <c r="BC52" s="1044" t="str">
        <f t="shared" si="52"/>
        <v/>
      </c>
      <c r="BF52" s="1" t="s">
        <v>7027</v>
      </c>
      <c r="BG52" s="1076" t="s">
        <v>689</v>
      </c>
      <c r="BH52" s="1" t="s">
        <v>114</v>
      </c>
      <c r="BI52" s="1" t="s">
        <v>7433</v>
      </c>
    </row>
    <row r="53" spans="1:61" ht="30" customHeight="1">
      <c r="A53" s="1085" t="str">
        <f t="shared" si="0"/>
        <v/>
      </c>
      <c r="B53" s="1086"/>
      <c r="C53" s="1085" t="s">
        <v>254</v>
      </c>
      <c r="D53" s="1087" t="str">
        <f t="shared" si="1"/>
        <v/>
      </c>
      <c r="E53" s="1088" t="str">
        <f t="shared" si="2"/>
        <v/>
      </c>
      <c r="F53" s="1089" t="str">
        <f t="shared" si="3"/>
        <v/>
      </c>
      <c r="G53" s="1090" t="str">
        <f t="shared" si="4"/>
        <v/>
      </c>
      <c r="H53" s="1085" t="str">
        <f t="shared" si="5"/>
        <v/>
      </c>
      <c r="I53" s="1085" t="str">
        <f t="shared" si="6"/>
        <v/>
      </c>
      <c r="J53" s="1090" t="str">
        <f t="shared" si="7"/>
        <v/>
      </c>
      <c r="K53" s="1044" t="str">
        <f t="shared" si="8"/>
        <v/>
      </c>
      <c r="L53" s="1044" t="str">
        <f t="shared" si="9"/>
        <v/>
      </c>
      <c r="M53" s="1044" t="str">
        <f t="shared" si="10"/>
        <v/>
      </c>
      <c r="N53" s="1044" t="str">
        <f t="shared" si="11"/>
        <v/>
      </c>
      <c r="O53" s="1044">
        <f t="shared" si="12"/>
        <v>0</v>
      </c>
      <c r="P53" s="1044">
        <f t="shared" si="13"/>
        <v>0</v>
      </c>
      <c r="Q53" s="1044">
        <f t="shared" si="14"/>
        <v>0</v>
      </c>
      <c r="R53" s="1044">
        <f t="shared" si="15"/>
        <v>0</v>
      </c>
      <c r="S53" s="1044">
        <f t="shared" si="16"/>
        <v>0</v>
      </c>
      <c r="T53" s="1044">
        <f t="shared" si="17"/>
        <v>0</v>
      </c>
      <c r="U53" s="1044">
        <f t="shared" si="18"/>
        <v>0</v>
      </c>
      <c r="V53" s="1044">
        <f t="shared" si="19"/>
        <v>0</v>
      </c>
      <c r="W53" s="1044">
        <f t="shared" si="20"/>
        <v>0</v>
      </c>
      <c r="X53" s="1044">
        <f t="shared" si="21"/>
        <v>0</v>
      </c>
      <c r="Y53" s="1044">
        <f t="shared" si="22"/>
        <v>0</v>
      </c>
      <c r="Z53" s="1044">
        <f t="shared" si="23"/>
        <v>0</v>
      </c>
      <c r="AA53" s="1044">
        <f t="shared" si="24"/>
        <v>0</v>
      </c>
      <c r="AB53" s="1044">
        <f t="shared" si="25"/>
        <v>0</v>
      </c>
      <c r="AC53" s="1044">
        <f t="shared" si="26"/>
        <v>0</v>
      </c>
      <c r="AD53" s="1044">
        <f t="shared" si="27"/>
        <v>0</v>
      </c>
      <c r="AE53" s="1044">
        <f t="shared" si="28"/>
        <v>0</v>
      </c>
      <c r="AF53" s="1044">
        <f t="shared" si="29"/>
        <v>0</v>
      </c>
      <c r="AG53" s="1044">
        <f t="shared" si="30"/>
        <v>0</v>
      </c>
      <c r="AH53" s="1044">
        <f t="shared" si="31"/>
        <v>0</v>
      </c>
      <c r="AI53" s="1044">
        <f t="shared" si="32"/>
        <v>0</v>
      </c>
      <c r="AJ53" s="1044">
        <f t="shared" si="33"/>
        <v>0</v>
      </c>
      <c r="AK53" s="1044">
        <f t="shared" si="34"/>
        <v>0</v>
      </c>
      <c r="AL53" s="1044">
        <f t="shared" si="35"/>
        <v>0</v>
      </c>
      <c r="AM53" s="1044">
        <f t="shared" si="36"/>
        <v>0</v>
      </c>
      <c r="AN53" s="1044" t="str">
        <f t="shared" si="37"/>
        <v/>
      </c>
      <c r="AO53" s="1044" t="str">
        <f t="shared" si="38"/>
        <v/>
      </c>
      <c r="AP53" s="1044" t="str">
        <f t="shared" si="39"/>
        <v/>
      </c>
      <c r="AQ53" s="1044" t="str">
        <f t="shared" si="40"/>
        <v/>
      </c>
      <c r="AR53" s="1044" t="str">
        <f t="shared" si="41"/>
        <v/>
      </c>
      <c r="AS53" s="1044" t="str">
        <f t="shared" si="42"/>
        <v/>
      </c>
      <c r="AT53" s="1044" t="str">
        <f t="shared" si="43"/>
        <v/>
      </c>
      <c r="AU53" s="1044" t="str">
        <f t="shared" si="44"/>
        <v/>
      </c>
      <c r="AV53" s="1044" t="str">
        <f t="shared" si="45"/>
        <v/>
      </c>
      <c r="AW53" s="1044" t="str">
        <f t="shared" si="46"/>
        <v/>
      </c>
      <c r="AX53" s="1044" t="str">
        <f t="shared" si="47"/>
        <v/>
      </c>
      <c r="AY53" s="1044" t="str">
        <f t="shared" si="48"/>
        <v/>
      </c>
      <c r="AZ53" s="1044" t="str">
        <f t="shared" si="49"/>
        <v/>
      </c>
      <c r="BA53" s="1044" t="str">
        <f t="shared" si="50"/>
        <v/>
      </c>
      <c r="BB53" s="1044" t="str">
        <f t="shared" si="51"/>
        <v/>
      </c>
      <c r="BC53" s="1044" t="str">
        <f t="shared" si="52"/>
        <v/>
      </c>
      <c r="BF53" s="1" t="s">
        <v>7027</v>
      </c>
      <c r="BG53" s="1076" t="s">
        <v>689</v>
      </c>
      <c r="BH53" s="1" t="s">
        <v>4957</v>
      </c>
      <c r="BI53" s="1" t="s">
        <v>7434</v>
      </c>
    </row>
    <row r="54" spans="1:61" ht="30" customHeight="1">
      <c r="A54" s="1085" t="str">
        <f t="shared" si="0"/>
        <v/>
      </c>
      <c r="B54" s="1086"/>
      <c r="C54" s="1085" t="s">
        <v>254</v>
      </c>
      <c r="D54" s="1087" t="str">
        <f t="shared" si="1"/>
        <v/>
      </c>
      <c r="E54" s="1088" t="str">
        <f t="shared" si="2"/>
        <v/>
      </c>
      <c r="F54" s="1089" t="str">
        <f t="shared" si="3"/>
        <v/>
      </c>
      <c r="G54" s="1090" t="str">
        <f t="shared" si="4"/>
        <v/>
      </c>
      <c r="H54" s="1085" t="str">
        <f t="shared" si="5"/>
        <v/>
      </c>
      <c r="I54" s="1085" t="str">
        <f t="shared" si="6"/>
        <v/>
      </c>
      <c r="J54" s="1090" t="str">
        <f t="shared" si="7"/>
        <v/>
      </c>
      <c r="K54" s="1044" t="str">
        <f t="shared" si="8"/>
        <v/>
      </c>
      <c r="L54" s="1044" t="str">
        <f t="shared" si="9"/>
        <v/>
      </c>
      <c r="M54" s="1044" t="str">
        <f t="shared" si="10"/>
        <v/>
      </c>
      <c r="N54" s="1044" t="str">
        <f t="shared" si="11"/>
        <v/>
      </c>
      <c r="O54" s="1044">
        <f t="shared" si="12"/>
        <v>0</v>
      </c>
      <c r="P54" s="1044">
        <f t="shared" si="13"/>
        <v>0</v>
      </c>
      <c r="Q54" s="1044">
        <f t="shared" si="14"/>
        <v>0</v>
      </c>
      <c r="R54" s="1044">
        <f t="shared" si="15"/>
        <v>0</v>
      </c>
      <c r="S54" s="1044">
        <f t="shared" si="16"/>
        <v>0</v>
      </c>
      <c r="T54" s="1044">
        <f t="shared" si="17"/>
        <v>0</v>
      </c>
      <c r="U54" s="1044">
        <f t="shared" si="18"/>
        <v>0</v>
      </c>
      <c r="V54" s="1044">
        <f t="shared" si="19"/>
        <v>0</v>
      </c>
      <c r="W54" s="1044">
        <f t="shared" si="20"/>
        <v>0</v>
      </c>
      <c r="X54" s="1044">
        <f t="shared" si="21"/>
        <v>0</v>
      </c>
      <c r="Y54" s="1044">
        <f t="shared" si="22"/>
        <v>0</v>
      </c>
      <c r="Z54" s="1044">
        <f t="shared" si="23"/>
        <v>0</v>
      </c>
      <c r="AA54" s="1044">
        <f t="shared" si="24"/>
        <v>0</v>
      </c>
      <c r="AB54" s="1044">
        <f t="shared" si="25"/>
        <v>0</v>
      </c>
      <c r="AC54" s="1044">
        <f t="shared" si="26"/>
        <v>0</v>
      </c>
      <c r="AD54" s="1044">
        <f t="shared" si="27"/>
        <v>0</v>
      </c>
      <c r="AE54" s="1044">
        <f t="shared" si="28"/>
        <v>0</v>
      </c>
      <c r="AF54" s="1044">
        <f t="shared" si="29"/>
        <v>0</v>
      </c>
      <c r="AG54" s="1044">
        <f t="shared" si="30"/>
        <v>0</v>
      </c>
      <c r="AH54" s="1044">
        <f t="shared" si="31"/>
        <v>0</v>
      </c>
      <c r="AI54" s="1044">
        <f t="shared" si="32"/>
        <v>0</v>
      </c>
      <c r="AJ54" s="1044">
        <f t="shared" si="33"/>
        <v>0</v>
      </c>
      <c r="AK54" s="1044">
        <f t="shared" si="34"/>
        <v>0</v>
      </c>
      <c r="AL54" s="1044">
        <f t="shared" si="35"/>
        <v>0</v>
      </c>
      <c r="AM54" s="1044">
        <f t="shared" si="36"/>
        <v>0</v>
      </c>
      <c r="AN54" s="1044" t="str">
        <f t="shared" si="37"/>
        <v/>
      </c>
      <c r="AO54" s="1044" t="str">
        <f t="shared" si="38"/>
        <v/>
      </c>
      <c r="AP54" s="1044" t="str">
        <f t="shared" si="39"/>
        <v/>
      </c>
      <c r="AQ54" s="1044" t="str">
        <f t="shared" si="40"/>
        <v/>
      </c>
      <c r="AR54" s="1044" t="str">
        <f t="shared" si="41"/>
        <v/>
      </c>
      <c r="AS54" s="1044" t="str">
        <f t="shared" si="42"/>
        <v/>
      </c>
      <c r="AT54" s="1044" t="str">
        <f t="shared" si="43"/>
        <v/>
      </c>
      <c r="AU54" s="1044" t="str">
        <f t="shared" si="44"/>
        <v/>
      </c>
      <c r="AV54" s="1044" t="str">
        <f t="shared" si="45"/>
        <v/>
      </c>
      <c r="AW54" s="1044" t="str">
        <f t="shared" si="46"/>
        <v/>
      </c>
      <c r="AX54" s="1044" t="str">
        <f t="shared" si="47"/>
        <v/>
      </c>
      <c r="AY54" s="1044" t="str">
        <f t="shared" si="48"/>
        <v/>
      </c>
      <c r="AZ54" s="1044" t="str">
        <f t="shared" si="49"/>
        <v/>
      </c>
      <c r="BA54" s="1044" t="str">
        <f t="shared" si="50"/>
        <v/>
      </c>
      <c r="BB54" s="1044" t="str">
        <f t="shared" si="51"/>
        <v/>
      </c>
      <c r="BC54" s="1044" t="str">
        <f t="shared" si="52"/>
        <v/>
      </c>
      <c r="BF54" s="1" t="s">
        <v>7027</v>
      </c>
      <c r="BG54" s="1076" t="s">
        <v>689</v>
      </c>
      <c r="BH54" s="1" t="s">
        <v>4960</v>
      </c>
      <c r="BI54" s="1" t="s">
        <v>7435</v>
      </c>
    </row>
    <row r="55" spans="1:61" ht="30" customHeight="1">
      <c r="A55" s="1085" t="str">
        <f t="shared" si="0"/>
        <v/>
      </c>
      <c r="B55" s="1086"/>
      <c r="C55" s="1085" t="s">
        <v>254</v>
      </c>
      <c r="D55" s="1087" t="str">
        <f t="shared" si="1"/>
        <v/>
      </c>
      <c r="E55" s="1088" t="str">
        <f t="shared" si="2"/>
        <v/>
      </c>
      <c r="F55" s="1089" t="str">
        <f t="shared" si="3"/>
        <v/>
      </c>
      <c r="G55" s="1090" t="str">
        <f t="shared" si="4"/>
        <v/>
      </c>
      <c r="H55" s="1085" t="str">
        <f t="shared" si="5"/>
        <v/>
      </c>
      <c r="I55" s="1085" t="str">
        <f t="shared" si="6"/>
        <v/>
      </c>
      <c r="J55" s="1090" t="str">
        <f t="shared" si="7"/>
        <v/>
      </c>
      <c r="K55" s="1044" t="str">
        <f t="shared" si="8"/>
        <v/>
      </c>
      <c r="L55" s="1044" t="str">
        <f t="shared" si="9"/>
        <v/>
      </c>
      <c r="M55" s="1044" t="str">
        <f t="shared" si="10"/>
        <v/>
      </c>
      <c r="N55" s="1044" t="str">
        <f t="shared" si="11"/>
        <v/>
      </c>
      <c r="O55" s="1044">
        <f t="shared" si="12"/>
        <v>0</v>
      </c>
      <c r="P55" s="1044">
        <f t="shared" si="13"/>
        <v>0</v>
      </c>
      <c r="Q55" s="1044">
        <f t="shared" si="14"/>
        <v>0</v>
      </c>
      <c r="R55" s="1044">
        <f t="shared" si="15"/>
        <v>0</v>
      </c>
      <c r="S55" s="1044">
        <f t="shared" si="16"/>
        <v>0</v>
      </c>
      <c r="T55" s="1044">
        <f t="shared" si="17"/>
        <v>0</v>
      </c>
      <c r="U55" s="1044">
        <f t="shared" si="18"/>
        <v>0</v>
      </c>
      <c r="V55" s="1044">
        <f t="shared" si="19"/>
        <v>0</v>
      </c>
      <c r="W55" s="1044">
        <f t="shared" si="20"/>
        <v>0</v>
      </c>
      <c r="X55" s="1044">
        <f t="shared" si="21"/>
        <v>0</v>
      </c>
      <c r="Y55" s="1044">
        <f t="shared" si="22"/>
        <v>0</v>
      </c>
      <c r="Z55" s="1044">
        <f t="shared" si="23"/>
        <v>0</v>
      </c>
      <c r="AA55" s="1044">
        <f t="shared" si="24"/>
        <v>0</v>
      </c>
      <c r="AB55" s="1044">
        <f t="shared" si="25"/>
        <v>0</v>
      </c>
      <c r="AC55" s="1044">
        <f t="shared" si="26"/>
        <v>0</v>
      </c>
      <c r="AD55" s="1044">
        <f t="shared" si="27"/>
        <v>0</v>
      </c>
      <c r="AE55" s="1044">
        <f t="shared" si="28"/>
        <v>0</v>
      </c>
      <c r="AF55" s="1044">
        <f t="shared" si="29"/>
        <v>0</v>
      </c>
      <c r="AG55" s="1044">
        <f t="shared" si="30"/>
        <v>0</v>
      </c>
      <c r="AH55" s="1044">
        <f t="shared" si="31"/>
        <v>0</v>
      </c>
      <c r="AI55" s="1044">
        <f t="shared" si="32"/>
        <v>0</v>
      </c>
      <c r="AJ55" s="1044">
        <f t="shared" si="33"/>
        <v>0</v>
      </c>
      <c r="AK55" s="1044">
        <f t="shared" si="34"/>
        <v>0</v>
      </c>
      <c r="AL55" s="1044">
        <f t="shared" si="35"/>
        <v>0</v>
      </c>
      <c r="AM55" s="1044">
        <f t="shared" si="36"/>
        <v>0</v>
      </c>
      <c r="AN55" s="1044" t="str">
        <f t="shared" si="37"/>
        <v/>
      </c>
      <c r="AO55" s="1044" t="str">
        <f t="shared" si="38"/>
        <v/>
      </c>
      <c r="AP55" s="1044" t="str">
        <f t="shared" si="39"/>
        <v/>
      </c>
      <c r="AQ55" s="1044" t="str">
        <f t="shared" si="40"/>
        <v/>
      </c>
      <c r="AR55" s="1044" t="str">
        <f t="shared" si="41"/>
        <v/>
      </c>
      <c r="AS55" s="1044" t="str">
        <f t="shared" si="42"/>
        <v/>
      </c>
      <c r="AT55" s="1044" t="str">
        <f t="shared" si="43"/>
        <v/>
      </c>
      <c r="AU55" s="1044" t="str">
        <f t="shared" si="44"/>
        <v/>
      </c>
      <c r="AV55" s="1044" t="str">
        <f t="shared" si="45"/>
        <v/>
      </c>
      <c r="AW55" s="1044" t="str">
        <f t="shared" si="46"/>
        <v/>
      </c>
      <c r="AX55" s="1044" t="str">
        <f t="shared" si="47"/>
        <v/>
      </c>
      <c r="AY55" s="1044" t="str">
        <f t="shared" si="48"/>
        <v/>
      </c>
      <c r="AZ55" s="1044" t="str">
        <f t="shared" si="49"/>
        <v/>
      </c>
      <c r="BA55" s="1044" t="str">
        <f t="shared" si="50"/>
        <v/>
      </c>
      <c r="BB55" s="1044" t="str">
        <f t="shared" si="51"/>
        <v/>
      </c>
      <c r="BC55" s="1044" t="str">
        <f t="shared" si="52"/>
        <v/>
      </c>
      <c r="BF55" s="1" t="s">
        <v>7027</v>
      </c>
      <c r="BG55" s="1076" t="s">
        <v>689</v>
      </c>
      <c r="BH55" s="1" t="s">
        <v>7062</v>
      </c>
      <c r="BI55" s="1" t="s">
        <v>7436</v>
      </c>
    </row>
    <row r="56" spans="1:61" ht="30" customHeight="1">
      <c r="A56" s="1085" t="str">
        <f t="shared" si="0"/>
        <v/>
      </c>
      <c r="B56" s="1086"/>
      <c r="C56" s="1085" t="s">
        <v>254</v>
      </c>
      <c r="D56" s="1087" t="str">
        <f t="shared" si="1"/>
        <v/>
      </c>
      <c r="E56" s="1088" t="str">
        <f t="shared" si="2"/>
        <v/>
      </c>
      <c r="F56" s="1089" t="str">
        <f t="shared" si="3"/>
        <v/>
      </c>
      <c r="G56" s="1090" t="str">
        <f t="shared" si="4"/>
        <v/>
      </c>
      <c r="H56" s="1085" t="str">
        <f t="shared" si="5"/>
        <v/>
      </c>
      <c r="I56" s="1085" t="str">
        <f t="shared" si="6"/>
        <v/>
      </c>
      <c r="J56" s="1090" t="str">
        <f t="shared" si="7"/>
        <v/>
      </c>
      <c r="K56" s="1044" t="str">
        <f t="shared" si="8"/>
        <v/>
      </c>
      <c r="L56" s="1044" t="str">
        <f t="shared" si="9"/>
        <v/>
      </c>
      <c r="M56" s="1044" t="str">
        <f t="shared" si="10"/>
        <v/>
      </c>
      <c r="N56" s="1044" t="str">
        <f t="shared" si="11"/>
        <v/>
      </c>
      <c r="O56" s="1044">
        <f t="shared" si="12"/>
        <v>0</v>
      </c>
      <c r="P56" s="1044">
        <f t="shared" si="13"/>
        <v>0</v>
      </c>
      <c r="Q56" s="1044">
        <f t="shared" si="14"/>
        <v>0</v>
      </c>
      <c r="R56" s="1044">
        <f t="shared" si="15"/>
        <v>0</v>
      </c>
      <c r="S56" s="1044">
        <f t="shared" si="16"/>
        <v>0</v>
      </c>
      <c r="T56" s="1044">
        <f t="shared" si="17"/>
        <v>0</v>
      </c>
      <c r="U56" s="1044">
        <f t="shared" si="18"/>
        <v>0</v>
      </c>
      <c r="V56" s="1044">
        <f t="shared" si="19"/>
        <v>0</v>
      </c>
      <c r="W56" s="1044">
        <f t="shared" si="20"/>
        <v>0</v>
      </c>
      <c r="X56" s="1044">
        <f t="shared" si="21"/>
        <v>0</v>
      </c>
      <c r="Y56" s="1044">
        <f t="shared" si="22"/>
        <v>0</v>
      </c>
      <c r="Z56" s="1044">
        <f t="shared" si="23"/>
        <v>0</v>
      </c>
      <c r="AA56" s="1044">
        <f t="shared" si="24"/>
        <v>0</v>
      </c>
      <c r="AB56" s="1044">
        <f t="shared" si="25"/>
        <v>0</v>
      </c>
      <c r="AC56" s="1044">
        <f t="shared" si="26"/>
        <v>0</v>
      </c>
      <c r="AD56" s="1044">
        <f t="shared" si="27"/>
        <v>0</v>
      </c>
      <c r="AE56" s="1044">
        <f t="shared" si="28"/>
        <v>0</v>
      </c>
      <c r="AF56" s="1044">
        <f t="shared" si="29"/>
        <v>0</v>
      </c>
      <c r="AG56" s="1044">
        <f t="shared" si="30"/>
        <v>0</v>
      </c>
      <c r="AH56" s="1044">
        <f t="shared" si="31"/>
        <v>0</v>
      </c>
      <c r="AI56" s="1044">
        <f t="shared" si="32"/>
        <v>0</v>
      </c>
      <c r="AJ56" s="1044">
        <f t="shared" si="33"/>
        <v>0</v>
      </c>
      <c r="AK56" s="1044">
        <f t="shared" si="34"/>
        <v>0</v>
      </c>
      <c r="AL56" s="1044">
        <f t="shared" si="35"/>
        <v>0</v>
      </c>
      <c r="AM56" s="1044">
        <f t="shared" si="36"/>
        <v>0</v>
      </c>
      <c r="AN56" s="1044" t="str">
        <f t="shared" si="37"/>
        <v/>
      </c>
      <c r="AO56" s="1044" t="str">
        <f t="shared" si="38"/>
        <v/>
      </c>
      <c r="AP56" s="1044" t="str">
        <f t="shared" si="39"/>
        <v/>
      </c>
      <c r="AQ56" s="1044" t="str">
        <f t="shared" si="40"/>
        <v/>
      </c>
      <c r="AR56" s="1044" t="str">
        <f t="shared" si="41"/>
        <v/>
      </c>
      <c r="AS56" s="1044" t="str">
        <f t="shared" si="42"/>
        <v/>
      </c>
      <c r="AT56" s="1044" t="str">
        <f t="shared" si="43"/>
        <v/>
      </c>
      <c r="AU56" s="1044" t="str">
        <f t="shared" si="44"/>
        <v/>
      </c>
      <c r="AV56" s="1044" t="str">
        <f t="shared" si="45"/>
        <v/>
      </c>
      <c r="AW56" s="1044" t="str">
        <f t="shared" si="46"/>
        <v/>
      </c>
      <c r="AX56" s="1044" t="str">
        <f t="shared" si="47"/>
        <v/>
      </c>
      <c r="AY56" s="1044" t="str">
        <f t="shared" si="48"/>
        <v/>
      </c>
      <c r="AZ56" s="1044" t="str">
        <f t="shared" si="49"/>
        <v/>
      </c>
      <c r="BA56" s="1044" t="str">
        <f t="shared" si="50"/>
        <v/>
      </c>
      <c r="BB56" s="1044" t="str">
        <f t="shared" si="51"/>
        <v/>
      </c>
      <c r="BC56" s="1044" t="str">
        <f t="shared" si="52"/>
        <v/>
      </c>
      <c r="BF56" s="1" t="s">
        <v>7027</v>
      </c>
      <c r="BG56" s="1076" t="s">
        <v>689</v>
      </c>
      <c r="BH56" s="1" t="s">
        <v>127</v>
      </c>
      <c r="BI56" s="1" t="s">
        <v>7437</v>
      </c>
    </row>
    <row r="57" spans="1:61" ht="30" customHeight="1">
      <c r="A57" s="1085" t="str">
        <f t="shared" si="0"/>
        <v/>
      </c>
      <c r="B57" s="1086"/>
      <c r="C57" s="1085" t="s">
        <v>254</v>
      </c>
      <c r="D57" s="1087" t="str">
        <f t="shared" si="1"/>
        <v/>
      </c>
      <c r="E57" s="1088" t="str">
        <f t="shared" si="2"/>
        <v/>
      </c>
      <c r="F57" s="1089" t="str">
        <f t="shared" si="3"/>
        <v/>
      </c>
      <c r="G57" s="1090" t="str">
        <f t="shared" si="4"/>
        <v/>
      </c>
      <c r="H57" s="1085" t="str">
        <f t="shared" si="5"/>
        <v/>
      </c>
      <c r="I57" s="1085" t="str">
        <f t="shared" si="6"/>
        <v/>
      </c>
      <c r="J57" s="1090" t="str">
        <f t="shared" si="7"/>
        <v/>
      </c>
      <c r="K57" s="1044" t="str">
        <f t="shared" si="8"/>
        <v/>
      </c>
      <c r="L57" s="1044" t="str">
        <f t="shared" si="9"/>
        <v/>
      </c>
      <c r="M57" s="1044" t="str">
        <f t="shared" si="10"/>
        <v/>
      </c>
      <c r="N57" s="1044" t="str">
        <f t="shared" si="11"/>
        <v/>
      </c>
      <c r="O57" s="1044">
        <f t="shared" si="12"/>
        <v>0</v>
      </c>
      <c r="P57" s="1044">
        <f t="shared" si="13"/>
        <v>0</v>
      </c>
      <c r="Q57" s="1044">
        <f t="shared" si="14"/>
        <v>0</v>
      </c>
      <c r="R57" s="1044">
        <f t="shared" si="15"/>
        <v>0</v>
      </c>
      <c r="S57" s="1044">
        <f t="shared" si="16"/>
        <v>0</v>
      </c>
      <c r="T57" s="1044">
        <f t="shared" si="17"/>
        <v>0</v>
      </c>
      <c r="U57" s="1044">
        <f t="shared" si="18"/>
        <v>0</v>
      </c>
      <c r="V57" s="1044">
        <f t="shared" si="19"/>
        <v>0</v>
      </c>
      <c r="W57" s="1044">
        <f t="shared" si="20"/>
        <v>0</v>
      </c>
      <c r="X57" s="1044">
        <f t="shared" si="21"/>
        <v>0</v>
      </c>
      <c r="Y57" s="1044">
        <f t="shared" si="22"/>
        <v>0</v>
      </c>
      <c r="Z57" s="1044">
        <f t="shared" si="23"/>
        <v>0</v>
      </c>
      <c r="AA57" s="1044">
        <f t="shared" si="24"/>
        <v>0</v>
      </c>
      <c r="AB57" s="1044">
        <f t="shared" si="25"/>
        <v>0</v>
      </c>
      <c r="AC57" s="1044">
        <f t="shared" si="26"/>
        <v>0</v>
      </c>
      <c r="AD57" s="1044">
        <f t="shared" si="27"/>
        <v>0</v>
      </c>
      <c r="AE57" s="1044">
        <f t="shared" si="28"/>
        <v>0</v>
      </c>
      <c r="AF57" s="1044">
        <f t="shared" si="29"/>
        <v>0</v>
      </c>
      <c r="AG57" s="1044">
        <f t="shared" si="30"/>
        <v>0</v>
      </c>
      <c r="AH57" s="1044">
        <f t="shared" si="31"/>
        <v>0</v>
      </c>
      <c r="AI57" s="1044">
        <f t="shared" si="32"/>
        <v>0</v>
      </c>
      <c r="AJ57" s="1044">
        <f t="shared" si="33"/>
        <v>0</v>
      </c>
      <c r="AK57" s="1044">
        <f t="shared" si="34"/>
        <v>0</v>
      </c>
      <c r="AL57" s="1044">
        <f t="shared" si="35"/>
        <v>0</v>
      </c>
      <c r="AM57" s="1044">
        <f t="shared" si="36"/>
        <v>0</v>
      </c>
      <c r="AN57" s="1044" t="str">
        <f t="shared" si="37"/>
        <v/>
      </c>
      <c r="AO57" s="1044" t="str">
        <f t="shared" si="38"/>
        <v/>
      </c>
      <c r="AP57" s="1044" t="str">
        <f t="shared" si="39"/>
        <v/>
      </c>
      <c r="AQ57" s="1044" t="str">
        <f t="shared" si="40"/>
        <v/>
      </c>
      <c r="AR57" s="1044" t="str">
        <f t="shared" si="41"/>
        <v/>
      </c>
      <c r="AS57" s="1044" t="str">
        <f t="shared" si="42"/>
        <v/>
      </c>
      <c r="AT57" s="1044" t="str">
        <f t="shared" si="43"/>
        <v/>
      </c>
      <c r="AU57" s="1044" t="str">
        <f t="shared" si="44"/>
        <v/>
      </c>
      <c r="AV57" s="1044" t="str">
        <f t="shared" si="45"/>
        <v/>
      </c>
      <c r="AW57" s="1044" t="str">
        <f t="shared" si="46"/>
        <v/>
      </c>
      <c r="AX57" s="1044" t="str">
        <f t="shared" si="47"/>
        <v/>
      </c>
      <c r="AY57" s="1044" t="str">
        <f t="shared" si="48"/>
        <v/>
      </c>
      <c r="AZ57" s="1044" t="str">
        <f t="shared" si="49"/>
        <v/>
      </c>
      <c r="BA57" s="1044" t="str">
        <f t="shared" si="50"/>
        <v/>
      </c>
      <c r="BB57" s="1044" t="str">
        <f t="shared" si="51"/>
        <v/>
      </c>
      <c r="BC57" s="1044" t="str">
        <f t="shared" si="52"/>
        <v/>
      </c>
      <c r="BF57" s="1" t="s">
        <v>7028</v>
      </c>
      <c r="BG57" s="1076" t="s">
        <v>689</v>
      </c>
      <c r="BH57" s="1" t="s">
        <v>132</v>
      </c>
      <c r="BI57" s="1" t="s">
        <v>7438</v>
      </c>
    </row>
    <row r="58" spans="1:61" ht="30" customHeight="1">
      <c r="A58" s="1085" t="str">
        <f t="shared" si="0"/>
        <v/>
      </c>
      <c r="B58" s="1086"/>
      <c r="C58" s="1085" t="s">
        <v>254</v>
      </c>
      <c r="D58" s="1087" t="str">
        <f t="shared" si="1"/>
        <v/>
      </c>
      <c r="E58" s="1088" t="str">
        <f t="shared" si="2"/>
        <v/>
      </c>
      <c r="F58" s="1089" t="str">
        <f t="shared" si="3"/>
        <v/>
      </c>
      <c r="G58" s="1090" t="str">
        <f t="shared" si="4"/>
        <v/>
      </c>
      <c r="H58" s="1085" t="str">
        <f t="shared" si="5"/>
        <v/>
      </c>
      <c r="I58" s="1085" t="str">
        <f t="shared" si="6"/>
        <v/>
      </c>
      <c r="J58" s="1090" t="str">
        <f t="shared" si="7"/>
        <v/>
      </c>
      <c r="K58" s="1044" t="str">
        <f t="shared" si="8"/>
        <v/>
      </c>
      <c r="L58" s="1044" t="str">
        <f t="shared" si="9"/>
        <v/>
      </c>
      <c r="M58" s="1044" t="str">
        <f t="shared" si="10"/>
        <v/>
      </c>
      <c r="N58" s="1044" t="str">
        <f t="shared" si="11"/>
        <v/>
      </c>
      <c r="O58" s="1044">
        <f t="shared" si="12"/>
        <v>0</v>
      </c>
      <c r="P58" s="1044">
        <f t="shared" si="13"/>
        <v>0</v>
      </c>
      <c r="Q58" s="1044">
        <f t="shared" si="14"/>
        <v>0</v>
      </c>
      <c r="R58" s="1044">
        <f t="shared" si="15"/>
        <v>0</v>
      </c>
      <c r="S58" s="1044">
        <f t="shared" si="16"/>
        <v>0</v>
      </c>
      <c r="T58" s="1044">
        <f t="shared" si="17"/>
        <v>0</v>
      </c>
      <c r="U58" s="1044">
        <f t="shared" si="18"/>
        <v>0</v>
      </c>
      <c r="V58" s="1044">
        <f t="shared" si="19"/>
        <v>0</v>
      </c>
      <c r="W58" s="1044">
        <f t="shared" si="20"/>
        <v>0</v>
      </c>
      <c r="X58" s="1044">
        <f t="shared" si="21"/>
        <v>0</v>
      </c>
      <c r="Y58" s="1044">
        <f t="shared" si="22"/>
        <v>0</v>
      </c>
      <c r="Z58" s="1044">
        <f t="shared" si="23"/>
        <v>0</v>
      </c>
      <c r="AA58" s="1044">
        <f t="shared" si="24"/>
        <v>0</v>
      </c>
      <c r="AB58" s="1044">
        <f t="shared" si="25"/>
        <v>0</v>
      </c>
      <c r="AC58" s="1044">
        <f t="shared" si="26"/>
        <v>0</v>
      </c>
      <c r="AD58" s="1044">
        <f t="shared" si="27"/>
        <v>0</v>
      </c>
      <c r="AE58" s="1044">
        <f t="shared" si="28"/>
        <v>0</v>
      </c>
      <c r="AF58" s="1044">
        <f t="shared" si="29"/>
        <v>0</v>
      </c>
      <c r="AG58" s="1044">
        <f t="shared" si="30"/>
        <v>0</v>
      </c>
      <c r="AH58" s="1044">
        <f t="shared" si="31"/>
        <v>0</v>
      </c>
      <c r="AI58" s="1044">
        <f t="shared" si="32"/>
        <v>0</v>
      </c>
      <c r="AJ58" s="1044">
        <f t="shared" si="33"/>
        <v>0</v>
      </c>
      <c r="AK58" s="1044">
        <f t="shared" si="34"/>
        <v>0</v>
      </c>
      <c r="AL58" s="1044">
        <f t="shared" si="35"/>
        <v>0</v>
      </c>
      <c r="AM58" s="1044">
        <f t="shared" si="36"/>
        <v>0</v>
      </c>
      <c r="AN58" s="1044" t="str">
        <f t="shared" si="37"/>
        <v/>
      </c>
      <c r="AO58" s="1044" t="str">
        <f t="shared" si="38"/>
        <v/>
      </c>
      <c r="AP58" s="1044" t="str">
        <f t="shared" si="39"/>
        <v/>
      </c>
      <c r="AQ58" s="1044" t="str">
        <f t="shared" si="40"/>
        <v/>
      </c>
      <c r="AR58" s="1044" t="str">
        <f t="shared" si="41"/>
        <v/>
      </c>
      <c r="AS58" s="1044" t="str">
        <f t="shared" si="42"/>
        <v/>
      </c>
      <c r="AT58" s="1044" t="str">
        <f t="shared" si="43"/>
        <v/>
      </c>
      <c r="AU58" s="1044" t="str">
        <f t="shared" si="44"/>
        <v/>
      </c>
      <c r="AV58" s="1044" t="str">
        <f t="shared" si="45"/>
        <v/>
      </c>
      <c r="AW58" s="1044" t="str">
        <f t="shared" si="46"/>
        <v/>
      </c>
      <c r="AX58" s="1044" t="str">
        <f t="shared" si="47"/>
        <v/>
      </c>
      <c r="AY58" s="1044" t="str">
        <f t="shared" si="48"/>
        <v/>
      </c>
      <c r="AZ58" s="1044" t="str">
        <f t="shared" si="49"/>
        <v/>
      </c>
      <c r="BA58" s="1044" t="str">
        <f t="shared" si="50"/>
        <v/>
      </c>
      <c r="BB58" s="1044" t="str">
        <f t="shared" si="51"/>
        <v/>
      </c>
      <c r="BC58" s="1044" t="str">
        <f t="shared" si="52"/>
        <v/>
      </c>
      <c r="BF58" s="1" t="s">
        <v>7028</v>
      </c>
      <c r="BG58" s="1076" t="s">
        <v>689</v>
      </c>
      <c r="BH58" s="1" t="s">
        <v>854</v>
      </c>
      <c r="BI58" s="1" t="s">
        <v>7439</v>
      </c>
    </row>
    <row r="59" spans="1:61" ht="30" customHeight="1">
      <c r="A59" s="1085" t="str">
        <f t="shared" si="0"/>
        <v/>
      </c>
      <c r="B59" s="1086"/>
      <c r="C59" s="1085" t="s">
        <v>254</v>
      </c>
      <c r="D59" s="1087" t="str">
        <f t="shared" si="1"/>
        <v/>
      </c>
      <c r="E59" s="1088" t="str">
        <f t="shared" si="2"/>
        <v/>
      </c>
      <c r="F59" s="1089" t="str">
        <f t="shared" si="3"/>
        <v/>
      </c>
      <c r="G59" s="1090" t="str">
        <f t="shared" si="4"/>
        <v/>
      </c>
      <c r="H59" s="1085" t="str">
        <f t="shared" si="5"/>
        <v/>
      </c>
      <c r="I59" s="1085" t="str">
        <f t="shared" si="6"/>
        <v/>
      </c>
      <c r="J59" s="1090" t="str">
        <f t="shared" si="7"/>
        <v/>
      </c>
      <c r="K59" s="1044" t="str">
        <f t="shared" si="8"/>
        <v/>
      </c>
      <c r="L59" s="1044" t="str">
        <f t="shared" si="9"/>
        <v/>
      </c>
      <c r="M59" s="1044" t="str">
        <f t="shared" si="10"/>
        <v/>
      </c>
      <c r="N59" s="1044" t="str">
        <f t="shared" si="11"/>
        <v/>
      </c>
      <c r="O59" s="1044">
        <f t="shared" si="12"/>
        <v>0</v>
      </c>
      <c r="P59" s="1044">
        <f t="shared" si="13"/>
        <v>0</v>
      </c>
      <c r="Q59" s="1044">
        <f t="shared" si="14"/>
        <v>0</v>
      </c>
      <c r="R59" s="1044">
        <f t="shared" si="15"/>
        <v>0</v>
      </c>
      <c r="S59" s="1044">
        <f t="shared" si="16"/>
        <v>0</v>
      </c>
      <c r="T59" s="1044">
        <f t="shared" si="17"/>
        <v>0</v>
      </c>
      <c r="U59" s="1044">
        <f t="shared" si="18"/>
        <v>0</v>
      </c>
      <c r="V59" s="1044">
        <f t="shared" si="19"/>
        <v>0</v>
      </c>
      <c r="W59" s="1044">
        <f t="shared" si="20"/>
        <v>0</v>
      </c>
      <c r="X59" s="1044">
        <f t="shared" si="21"/>
        <v>0</v>
      </c>
      <c r="Y59" s="1044">
        <f t="shared" si="22"/>
        <v>0</v>
      </c>
      <c r="Z59" s="1044">
        <f t="shared" si="23"/>
        <v>0</v>
      </c>
      <c r="AA59" s="1044">
        <f t="shared" si="24"/>
        <v>0</v>
      </c>
      <c r="AB59" s="1044">
        <f t="shared" si="25"/>
        <v>0</v>
      </c>
      <c r="AC59" s="1044">
        <f t="shared" si="26"/>
        <v>0</v>
      </c>
      <c r="AD59" s="1044">
        <f t="shared" si="27"/>
        <v>0</v>
      </c>
      <c r="AE59" s="1044">
        <f t="shared" si="28"/>
        <v>0</v>
      </c>
      <c r="AF59" s="1044">
        <f t="shared" si="29"/>
        <v>0</v>
      </c>
      <c r="AG59" s="1044">
        <f t="shared" si="30"/>
        <v>0</v>
      </c>
      <c r="AH59" s="1044">
        <f t="shared" si="31"/>
        <v>0</v>
      </c>
      <c r="AI59" s="1044">
        <f t="shared" si="32"/>
        <v>0</v>
      </c>
      <c r="AJ59" s="1044">
        <f t="shared" si="33"/>
        <v>0</v>
      </c>
      <c r="AK59" s="1044">
        <f t="shared" si="34"/>
        <v>0</v>
      </c>
      <c r="AL59" s="1044">
        <f t="shared" si="35"/>
        <v>0</v>
      </c>
      <c r="AM59" s="1044">
        <f t="shared" si="36"/>
        <v>0</v>
      </c>
      <c r="AN59" s="1044" t="str">
        <f t="shared" si="37"/>
        <v/>
      </c>
      <c r="AO59" s="1044" t="str">
        <f t="shared" si="38"/>
        <v/>
      </c>
      <c r="AP59" s="1044" t="str">
        <f t="shared" si="39"/>
        <v/>
      </c>
      <c r="AQ59" s="1044" t="str">
        <f t="shared" si="40"/>
        <v/>
      </c>
      <c r="AR59" s="1044" t="str">
        <f t="shared" si="41"/>
        <v/>
      </c>
      <c r="AS59" s="1044" t="str">
        <f t="shared" si="42"/>
        <v/>
      </c>
      <c r="AT59" s="1044" t="str">
        <f t="shared" si="43"/>
        <v/>
      </c>
      <c r="AU59" s="1044" t="str">
        <f t="shared" si="44"/>
        <v/>
      </c>
      <c r="AV59" s="1044" t="str">
        <f t="shared" si="45"/>
        <v/>
      </c>
      <c r="AW59" s="1044" t="str">
        <f t="shared" si="46"/>
        <v/>
      </c>
      <c r="AX59" s="1044" t="str">
        <f t="shared" si="47"/>
        <v/>
      </c>
      <c r="AY59" s="1044" t="str">
        <f t="shared" si="48"/>
        <v/>
      </c>
      <c r="AZ59" s="1044" t="str">
        <f t="shared" si="49"/>
        <v/>
      </c>
      <c r="BA59" s="1044" t="str">
        <f t="shared" si="50"/>
        <v/>
      </c>
      <c r="BB59" s="1044" t="str">
        <f t="shared" si="51"/>
        <v/>
      </c>
      <c r="BC59" s="1044" t="str">
        <f t="shared" si="52"/>
        <v/>
      </c>
      <c r="BF59" s="1" t="s">
        <v>7028</v>
      </c>
      <c r="BG59" s="1076" t="s">
        <v>689</v>
      </c>
      <c r="BH59" s="1" t="s">
        <v>7063</v>
      </c>
      <c r="BI59" s="1" t="s">
        <v>7440</v>
      </c>
    </row>
    <row r="60" spans="1:61" ht="30" customHeight="1">
      <c r="A60" s="1085" t="str">
        <f t="shared" si="0"/>
        <v/>
      </c>
      <c r="B60" s="1086"/>
      <c r="C60" s="1085" t="s">
        <v>254</v>
      </c>
      <c r="D60" s="1087" t="str">
        <f t="shared" si="1"/>
        <v/>
      </c>
      <c r="E60" s="1088" t="str">
        <f t="shared" si="2"/>
        <v/>
      </c>
      <c r="F60" s="1089" t="str">
        <f t="shared" si="3"/>
        <v/>
      </c>
      <c r="G60" s="1090" t="str">
        <f t="shared" si="4"/>
        <v/>
      </c>
      <c r="H60" s="1085" t="str">
        <f t="shared" si="5"/>
        <v/>
      </c>
      <c r="I60" s="1085" t="str">
        <f t="shared" si="6"/>
        <v/>
      </c>
      <c r="J60" s="1090" t="str">
        <f t="shared" si="7"/>
        <v/>
      </c>
      <c r="K60" s="1044" t="str">
        <f t="shared" si="8"/>
        <v/>
      </c>
      <c r="L60" s="1044" t="str">
        <f t="shared" si="9"/>
        <v/>
      </c>
      <c r="M60" s="1044" t="str">
        <f t="shared" si="10"/>
        <v/>
      </c>
      <c r="N60" s="1044" t="str">
        <f t="shared" si="11"/>
        <v/>
      </c>
      <c r="O60" s="1044">
        <f t="shared" si="12"/>
        <v>0</v>
      </c>
      <c r="P60" s="1044">
        <f t="shared" si="13"/>
        <v>0</v>
      </c>
      <c r="Q60" s="1044">
        <f t="shared" si="14"/>
        <v>0</v>
      </c>
      <c r="R60" s="1044">
        <f t="shared" si="15"/>
        <v>0</v>
      </c>
      <c r="S60" s="1044">
        <f t="shared" si="16"/>
        <v>0</v>
      </c>
      <c r="T60" s="1044">
        <f t="shared" si="17"/>
        <v>0</v>
      </c>
      <c r="U60" s="1044">
        <f t="shared" si="18"/>
        <v>0</v>
      </c>
      <c r="V60" s="1044">
        <f t="shared" si="19"/>
        <v>0</v>
      </c>
      <c r="W60" s="1044">
        <f t="shared" si="20"/>
        <v>0</v>
      </c>
      <c r="X60" s="1044">
        <f t="shared" si="21"/>
        <v>0</v>
      </c>
      <c r="Y60" s="1044">
        <f t="shared" si="22"/>
        <v>0</v>
      </c>
      <c r="Z60" s="1044">
        <f t="shared" si="23"/>
        <v>0</v>
      </c>
      <c r="AA60" s="1044">
        <f t="shared" si="24"/>
        <v>0</v>
      </c>
      <c r="AB60" s="1044">
        <f t="shared" si="25"/>
        <v>0</v>
      </c>
      <c r="AC60" s="1044">
        <f t="shared" si="26"/>
        <v>0</v>
      </c>
      <c r="AD60" s="1044">
        <f t="shared" si="27"/>
        <v>0</v>
      </c>
      <c r="AE60" s="1044">
        <f t="shared" si="28"/>
        <v>0</v>
      </c>
      <c r="AF60" s="1044">
        <f t="shared" si="29"/>
        <v>0</v>
      </c>
      <c r="AG60" s="1044">
        <f t="shared" si="30"/>
        <v>0</v>
      </c>
      <c r="AH60" s="1044">
        <f t="shared" si="31"/>
        <v>0</v>
      </c>
      <c r="AI60" s="1044">
        <f t="shared" si="32"/>
        <v>0</v>
      </c>
      <c r="AJ60" s="1044">
        <f t="shared" si="33"/>
        <v>0</v>
      </c>
      <c r="AK60" s="1044">
        <f t="shared" si="34"/>
        <v>0</v>
      </c>
      <c r="AL60" s="1044">
        <f t="shared" si="35"/>
        <v>0</v>
      </c>
      <c r="AM60" s="1044">
        <f t="shared" si="36"/>
        <v>0</v>
      </c>
      <c r="AN60" s="1044" t="str">
        <f t="shared" si="37"/>
        <v/>
      </c>
      <c r="AO60" s="1044" t="str">
        <f t="shared" si="38"/>
        <v/>
      </c>
      <c r="AP60" s="1044" t="str">
        <f t="shared" si="39"/>
        <v/>
      </c>
      <c r="AQ60" s="1044" t="str">
        <f t="shared" si="40"/>
        <v/>
      </c>
      <c r="AR60" s="1044" t="str">
        <f t="shared" si="41"/>
        <v/>
      </c>
      <c r="AS60" s="1044" t="str">
        <f t="shared" si="42"/>
        <v/>
      </c>
      <c r="AT60" s="1044" t="str">
        <f t="shared" si="43"/>
        <v/>
      </c>
      <c r="AU60" s="1044" t="str">
        <f t="shared" si="44"/>
        <v/>
      </c>
      <c r="AV60" s="1044" t="str">
        <f t="shared" si="45"/>
        <v/>
      </c>
      <c r="AW60" s="1044" t="str">
        <f t="shared" si="46"/>
        <v/>
      </c>
      <c r="AX60" s="1044" t="str">
        <f t="shared" si="47"/>
        <v/>
      </c>
      <c r="AY60" s="1044" t="str">
        <f t="shared" si="48"/>
        <v/>
      </c>
      <c r="AZ60" s="1044" t="str">
        <f t="shared" si="49"/>
        <v/>
      </c>
      <c r="BA60" s="1044" t="str">
        <f t="shared" si="50"/>
        <v/>
      </c>
      <c r="BB60" s="1044" t="str">
        <f t="shared" si="51"/>
        <v/>
      </c>
      <c r="BC60" s="1044" t="str">
        <f t="shared" si="52"/>
        <v/>
      </c>
      <c r="BF60" s="1" t="s">
        <v>7028</v>
      </c>
      <c r="BG60" s="1076" t="s">
        <v>689</v>
      </c>
      <c r="BH60" s="1" t="s">
        <v>7064</v>
      </c>
      <c r="BI60" s="1" t="s">
        <v>7441</v>
      </c>
    </row>
    <row r="61" spans="1:61" ht="30" customHeight="1">
      <c r="A61" s="1085" t="str">
        <f t="shared" si="0"/>
        <v/>
      </c>
      <c r="B61" s="1086"/>
      <c r="C61" s="1085" t="s">
        <v>254</v>
      </c>
      <c r="D61" s="1087" t="str">
        <f t="shared" si="1"/>
        <v/>
      </c>
      <c r="E61" s="1088" t="str">
        <f t="shared" si="2"/>
        <v/>
      </c>
      <c r="F61" s="1089" t="str">
        <f t="shared" si="3"/>
        <v/>
      </c>
      <c r="G61" s="1090" t="str">
        <f t="shared" si="4"/>
        <v/>
      </c>
      <c r="H61" s="1085" t="str">
        <f t="shared" si="5"/>
        <v/>
      </c>
      <c r="I61" s="1085" t="str">
        <f t="shared" si="6"/>
        <v/>
      </c>
      <c r="J61" s="1090" t="str">
        <f t="shared" si="7"/>
        <v/>
      </c>
      <c r="K61" s="1044" t="str">
        <f t="shared" si="8"/>
        <v/>
      </c>
      <c r="L61" s="1044" t="str">
        <f t="shared" si="9"/>
        <v/>
      </c>
      <c r="M61" s="1044" t="str">
        <f t="shared" si="10"/>
        <v/>
      </c>
      <c r="N61" s="1044" t="str">
        <f t="shared" si="11"/>
        <v/>
      </c>
      <c r="O61" s="1044">
        <f t="shared" si="12"/>
        <v>0</v>
      </c>
      <c r="P61" s="1044">
        <f t="shared" si="13"/>
        <v>0</v>
      </c>
      <c r="Q61" s="1044">
        <f t="shared" si="14"/>
        <v>0</v>
      </c>
      <c r="R61" s="1044">
        <f t="shared" si="15"/>
        <v>0</v>
      </c>
      <c r="S61" s="1044">
        <f t="shared" si="16"/>
        <v>0</v>
      </c>
      <c r="T61" s="1044">
        <f t="shared" si="17"/>
        <v>0</v>
      </c>
      <c r="U61" s="1044">
        <f t="shared" si="18"/>
        <v>0</v>
      </c>
      <c r="V61" s="1044">
        <f t="shared" si="19"/>
        <v>0</v>
      </c>
      <c r="W61" s="1044">
        <f t="shared" si="20"/>
        <v>0</v>
      </c>
      <c r="X61" s="1044">
        <f t="shared" si="21"/>
        <v>0</v>
      </c>
      <c r="Y61" s="1044">
        <f t="shared" si="22"/>
        <v>0</v>
      </c>
      <c r="Z61" s="1044">
        <f t="shared" si="23"/>
        <v>0</v>
      </c>
      <c r="AA61" s="1044">
        <f t="shared" si="24"/>
        <v>0</v>
      </c>
      <c r="AB61" s="1044">
        <f t="shared" si="25"/>
        <v>0</v>
      </c>
      <c r="AC61" s="1044">
        <f t="shared" si="26"/>
        <v>0</v>
      </c>
      <c r="AD61" s="1044">
        <f t="shared" si="27"/>
        <v>0</v>
      </c>
      <c r="AE61" s="1044">
        <f t="shared" si="28"/>
        <v>0</v>
      </c>
      <c r="AF61" s="1044">
        <f t="shared" si="29"/>
        <v>0</v>
      </c>
      <c r="AG61" s="1044">
        <f t="shared" si="30"/>
        <v>0</v>
      </c>
      <c r="AH61" s="1044">
        <f t="shared" si="31"/>
        <v>0</v>
      </c>
      <c r="AI61" s="1044">
        <f t="shared" si="32"/>
        <v>0</v>
      </c>
      <c r="AJ61" s="1044">
        <f t="shared" si="33"/>
        <v>0</v>
      </c>
      <c r="AK61" s="1044">
        <f t="shared" si="34"/>
        <v>0</v>
      </c>
      <c r="AL61" s="1044">
        <f t="shared" si="35"/>
        <v>0</v>
      </c>
      <c r="AM61" s="1044">
        <f t="shared" si="36"/>
        <v>0</v>
      </c>
      <c r="AN61" s="1044" t="str">
        <f t="shared" si="37"/>
        <v/>
      </c>
      <c r="AO61" s="1044" t="str">
        <f t="shared" si="38"/>
        <v/>
      </c>
      <c r="AP61" s="1044" t="str">
        <f t="shared" si="39"/>
        <v/>
      </c>
      <c r="AQ61" s="1044" t="str">
        <f t="shared" si="40"/>
        <v/>
      </c>
      <c r="AR61" s="1044" t="str">
        <f t="shared" si="41"/>
        <v/>
      </c>
      <c r="AS61" s="1044" t="str">
        <f t="shared" si="42"/>
        <v/>
      </c>
      <c r="AT61" s="1044" t="str">
        <f t="shared" si="43"/>
        <v/>
      </c>
      <c r="AU61" s="1044" t="str">
        <f t="shared" si="44"/>
        <v/>
      </c>
      <c r="AV61" s="1044" t="str">
        <f t="shared" si="45"/>
        <v/>
      </c>
      <c r="AW61" s="1044" t="str">
        <f t="shared" si="46"/>
        <v/>
      </c>
      <c r="AX61" s="1044" t="str">
        <f t="shared" si="47"/>
        <v/>
      </c>
      <c r="AY61" s="1044" t="str">
        <f t="shared" si="48"/>
        <v/>
      </c>
      <c r="AZ61" s="1044" t="str">
        <f t="shared" si="49"/>
        <v/>
      </c>
      <c r="BA61" s="1044" t="str">
        <f t="shared" si="50"/>
        <v/>
      </c>
      <c r="BB61" s="1044" t="str">
        <f t="shared" si="51"/>
        <v/>
      </c>
      <c r="BC61" s="1044" t="str">
        <f t="shared" si="52"/>
        <v/>
      </c>
      <c r="BF61" s="1" t="s">
        <v>7028</v>
      </c>
      <c r="BG61" s="1076" t="s">
        <v>689</v>
      </c>
      <c r="BH61" s="1" t="s">
        <v>282</v>
      </c>
      <c r="BI61" s="1" t="s">
        <v>7442</v>
      </c>
    </row>
    <row r="62" spans="1:61" ht="30" customHeight="1">
      <c r="A62" s="1085" t="str">
        <f t="shared" si="0"/>
        <v/>
      </c>
      <c r="B62" s="1086"/>
      <c r="C62" s="1085" t="s">
        <v>254</v>
      </c>
      <c r="D62" s="1087" t="str">
        <f t="shared" si="1"/>
        <v/>
      </c>
      <c r="E62" s="1088" t="str">
        <f t="shared" si="2"/>
        <v/>
      </c>
      <c r="F62" s="1089" t="str">
        <f t="shared" si="3"/>
        <v/>
      </c>
      <c r="G62" s="1090" t="str">
        <f t="shared" si="4"/>
        <v/>
      </c>
      <c r="H62" s="1085" t="str">
        <f t="shared" si="5"/>
        <v/>
      </c>
      <c r="I62" s="1085" t="str">
        <f t="shared" si="6"/>
        <v/>
      </c>
      <c r="J62" s="1090" t="str">
        <f t="shared" si="7"/>
        <v/>
      </c>
      <c r="K62" s="1044" t="str">
        <f t="shared" si="8"/>
        <v/>
      </c>
      <c r="L62" s="1044" t="str">
        <f t="shared" si="9"/>
        <v/>
      </c>
      <c r="M62" s="1044" t="str">
        <f t="shared" si="10"/>
        <v/>
      </c>
      <c r="N62" s="1044" t="str">
        <f t="shared" si="11"/>
        <v/>
      </c>
      <c r="O62" s="1044">
        <f t="shared" si="12"/>
        <v>0</v>
      </c>
      <c r="P62" s="1044">
        <f t="shared" si="13"/>
        <v>0</v>
      </c>
      <c r="Q62" s="1044">
        <f t="shared" si="14"/>
        <v>0</v>
      </c>
      <c r="R62" s="1044">
        <f t="shared" si="15"/>
        <v>0</v>
      </c>
      <c r="S62" s="1044">
        <f t="shared" si="16"/>
        <v>0</v>
      </c>
      <c r="T62" s="1044">
        <f t="shared" si="17"/>
        <v>0</v>
      </c>
      <c r="U62" s="1044">
        <f t="shared" si="18"/>
        <v>0</v>
      </c>
      <c r="V62" s="1044">
        <f t="shared" si="19"/>
        <v>0</v>
      </c>
      <c r="W62" s="1044">
        <f t="shared" si="20"/>
        <v>0</v>
      </c>
      <c r="X62" s="1044">
        <f t="shared" si="21"/>
        <v>0</v>
      </c>
      <c r="Y62" s="1044">
        <f t="shared" si="22"/>
        <v>0</v>
      </c>
      <c r="Z62" s="1044">
        <f t="shared" si="23"/>
        <v>0</v>
      </c>
      <c r="AA62" s="1044">
        <f t="shared" si="24"/>
        <v>0</v>
      </c>
      <c r="AB62" s="1044">
        <f t="shared" si="25"/>
        <v>0</v>
      </c>
      <c r="AC62" s="1044">
        <f t="shared" si="26"/>
        <v>0</v>
      </c>
      <c r="AD62" s="1044">
        <f t="shared" si="27"/>
        <v>0</v>
      </c>
      <c r="AE62" s="1044">
        <f t="shared" si="28"/>
        <v>0</v>
      </c>
      <c r="AF62" s="1044">
        <f t="shared" si="29"/>
        <v>0</v>
      </c>
      <c r="AG62" s="1044">
        <f t="shared" si="30"/>
        <v>0</v>
      </c>
      <c r="AH62" s="1044">
        <f t="shared" si="31"/>
        <v>0</v>
      </c>
      <c r="AI62" s="1044">
        <f t="shared" si="32"/>
        <v>0</v>
      </c>
      <c r="AJ62" s="1044">
        <f t="shared" si="33"/>
        <v>0</v>
      </c>
      <c r="AK62" s="1044">
        <f t="shared" si="34"/>
        <v>0</v>
      </c>
      <c r="AL62" s="1044">
        <f t="shared" si="35"/>
        <v>0</v>
      </c>
      <c r="AM62" s="1044">
        <f t="shared" si="36"/>
        <v>0</v>
      </c>
      <c r="AN62" s="1044" t="str">
        <f t="shared" si="37"/>
        <v/>
      </c>
      <c r="AO62" s="1044" t="str">
        <f t="shared" si="38"/>
        <v/>
      </c>
      <c r="AP62" s="1044" t="str">
        <f t="shared" si="39"/>
        <v/>
      </c>
      <c r="AQ62" s="1044" t="str">
        <f t="shared" si="40"/>
        <v/>
      </c>
      <c r="AR62" s="1044" t="str">
        <f t="shared" si="41"/>
        <v/>
      </c>
      <c r="AS62" s="1044" t="str">
        <f t="shared" si="42"/>
        <v/>
      </c>
      <c r="AT62" s="1044" t="str">
        <f t="shared" si="43"/>
        <v/>
      </c>
      <c r="AU62" s="1044" t="str">
        <f t="shared" si="44"/>
        <v/>
      </c>
      <c r="AV62" s="1044" t="str">
        <f t="shared" si="45"/>
        <v/>
      </c>
      <c r="AW62" s="1044" t="str">
        <f t="shared" si="46"/>
        <v/>
      </c>
      <c r="AX62" s="1044" t="str">
        <f t="shared" si="47"/>
        <v/>
      </c>
      <c r="AY62" s="1044" t="str">
        <f t="shared" si="48"/>
        <v/>
      </c>
      <c r="AZ62" s="1044" t="str">
        <f t="shared" si="49"/>
        <v/>
      </c>
      <c r="BA62" s="1044" t="str">
        <f t="shared" si="50"/>
        <v/>
      </c>
      <c r="BB62" s="1044" t="str">
        <f t="shared" si="51"/>
        <v/>
      </c>
      <c r="BC62" s="1044" t="str">
        <f t="shared" si="52"/>
        <v/>
      </c>
      <c r="BF62" s="1" t="s">
        <v>7028</v>
      </c>
      <c r="BG62" s="1076" t="s">
        <v>689</v>
      </c>
      <c r="BH62" s="1" t="s">
        <v>119</v>
      </c>
      <c r="BI62" s="1" t="s">
        <v>7443</v>
      </c>
    </row>
    <row r="63" spans="1:61" ht="30" customHeight="1">
      <c r="A63" s="1085" t="str">
        <f t="shared" si="0"/>
        <v/>
      </c>
      <c r="B63" s="1086"/>
      <c r="C63" s="1085" t="s">
        <v>254</v>
      </c>
      <c r="D63" s="1087" t="str">
        <f t="shared" si="1"/>
        <v/>
      </c>
      <c r="E63" s="1088" t="str">
        <f t="shared" si="2"/>
        <v/>
      </c>
      <c r="F63" s="1089" t="str">
        <f t="shared" si="3"/>
        <v/>
      </c>
      <c r="G63" s="1090" t="str">
        <f t="shared" si="4"/>
        <v/>
      </c>
      <c r="H63" s="1085" t="str">
        <f t="shared" si="5"/>
        <v/>
      </c>
      <c r="I63" s="1085" t="str">
        <f t="shared" si="6"/>
        <v/>
      </c>
      <c r="J63" s="1090" t="str">
        <f t="shared" si="7"/>
        <v/>
      </c>
      <c r="K63" s="1044" t="str">
        <f t="shared" si="8"/>
        <v/>
      </c>
      <c r="L63" s="1044" t="str">
        <f t="shared" si="9"/>
        <v/>
      </c>
      <c r="M63" s="1044" t="str">
        <f t="shared" si="10"/>
        <v/>
      </c>
      <c r="N63" s="1044" t="str">
        <f t="shared" si="11"/>
        <v/>
      </c>
      <c r="O63" s="1044">
        <f t="shared" si="12"/>
        <v>0</v>
      </c>
      <c r="P63" s="1044">
        <f t="shared" si="13"/>
        <v>0</v>
      </c>
      <c r="Q63" s="1044">
        <f t="shared" si="14"/>
        <v>0</v>
      </c>
      <c r="R63" s="1044">
        <f t="shared" si="15"/>
        <v>0</v>
      </c>
      <c r="S63" s="1044">
        <f t="shared" si="16"/>
        <v>0</v>
      </c>
      <c r="T63" s="1044">
        <f t="shared" si="17"/>
        <v>0</v>
      </c>
      <c r="U63" s="1044">
        <f t="shared" si="18"/>
        <v>0</v>
      </c>
      <c r="V63" s="1044">
        <f t="shared" si="19"/>
        <v>0</v>
      </c>
      <c r="W63" s="1044">
        <f t="shared" si="20"/>
        <v>0</v>
      </c>
      <c r="X63" s="1044">
        <f t="shared" si="21"/>
        <v>0</v>
      </c>
      <c r="Y63" s="1044">
        <f t="shared" si="22"/>
        <v>0</v>
      </c>
      <c r="Z63" s="1044">
        <f t="shared" si="23"/>
        <v>0</v>
      </c>
      <c r="AA63" s="1044">
        <f t="shared" si="24"/>
        <v>0</v>
      </c>
      <c r="AB63" s="1044">
        <f t="shared" si="25"/>
        <v>0</v>
      </c>
      <c r="AC63" s="1044">
        <f t="shared" si="26"/>
        <v>0</v>
      </c>
      <c r="AD63" s="1044">
        <f t="shared" si="27"/>
        <v>0</v>
      </c>
      <c r="AE63" s="1044">
        <f t="shared" si="28"/>
        <v>0</v>
      </c>
      <c r="AF63" s="1044">
        <f t="shared" si="29"/>
        <v>0</v>
      </c>
      <c r="AG63" s="1044">
        <f t="shared" si="30"/>
        <v>0</v>
      </c>
      <c r="AH63" s="1044">
        <f t="shared" si="31"/>
        <v>0</v>
      </c>
      <c r="AI63" s="1044">
        <f t="shared" si="32"/>
        <v>0</v>
      </c>
      <c r="AJ63" s="1044">
        <f t="shared" si="33"/>
        <v>0</v>
      </c>
      <c r="AK63" s="1044">
        <f t="shared" si="34"/>
        <v>0</v>
      </c>
      <c r="AL63" s="1044">
        <f t="shared" si="35"/>
        <v>0</v>
      </c>
      <c r="AM63" s="1044">
        <f t="shared" si="36"/>
        <v>0</v>
      </c>
      <c r="AN63" s="1044" t="str">
        <f t="shared" si="37"/>
        <v/>
      </c>
      <c r="AO63" s="1044" t="str">
        <f t="shared" si="38"/>
        <v/>
      </c>
      <c r="AP63" s="1044" t="str">
        <f t="shared" si="39"/>
        <v/>
      </c>
      <c r="AQ63" s="1044" t="str">
        <f t="shared" si="40"/>
        <v/>
      </c>
      <c r="AR63" s="1044" t="str">
        <f t="shared" si="41"/>
        <v/>
      </c>
      <c r="AS63" s="1044" t="str">
        <f t="shared" si="42"/>
        <v/>
      </c>
      <c r="AT63" s="1044" t="str">
        <f t="shared" si="43"/>
        <v/>
      </c>
      <c r="AU63" s="1044" t="str">
        <f t="shared" si="44"/>
        <v/>
      </c>
      <c r="AV63" s="1044" t="str">
        <f t="shared" si="45"/>
        <v/>
      </c>
      <c r="AW63" s="1044" t="str">
        <f t="shared" si="46"/>
        <v/>
      </c>
      <c r="AX63" s="1044" t="str">
        <f t="shared" si="47"/>
        <v/>
      </c>
      <c r="AY63" s="1044" t="str">
        <f t="shared" si="48"/>
        <v/>
      </c>
      <c r="AZ63" s="1044" t="str">
        <f t="shared" si="49"/>
        <v/>
      </c>
      <c r="BA63" s="1044" t="str">
        <f t="shared" si="50"/>
        <v/>
      </c>
      <c r="BB63" s="1044" t="str">
        <f t="shared" si="51"/>
        <v/>
      </c>
      <c r="BC63" s="1044" t="str">
        <f t="shared" si="52"/>
        <v/>
      </c>
      <c r="BF63" s="1" t="s">
        <v>7028</v>
      </c>
      <c r="BG63" s="1076" t="s">
        <v>689</v>
      </c>
      <c r="BH63" s="1" t="s">
        <v>43</v>
      </c>
      <c r="BI63" s="1" t="s">
        <v>7444</v>
      </c>
    </row>
    <row r="64" spans="1:61" ht="30" customHeight="1">
      <c r="A64" s="1085" t="str">
        <f t="shared" si="0"/>
        <v/>
      </c>
      <c r="B64" s="1086"/>
      <c r="C64" s="1085" t="s">
        <v>254</v>
      </c>
      <c r="D64" s="1087" t="str">
        <f t="shared" si="1"/>
        <v/>
      </c>
      <c r="E64" s="1088" t="str">
        <f t="shared" si="2"/>
        <v/>
      </c>
      <c r="F64" s="1089" t="str">
        <f t="shared" si="3"/>
        <v/>
      </c>
      <c r="G64" s="1090" t="str">
        <f t="shared" si="4"/>
        <v/>
      </c>
      <c r="H64" s="1085" t="str">
        <f t="shared" si="5"/>
        <v/>
      </c>
      <c r="I64" s="1085" t="str">
        <f t="shared" si="6"/>
        <v/>
      </c>
      <c r="J64" s="1090" t="str">
        <f t="shared" si="7"/>
        <v/>
      </c>
      <c r="K64" s="1044" t="str">
        <f t="shared" si="8"/>
        <v/>
      </c>
      <c r="L64" s="1044" t="str">
        <f t="shared" si="9"/>
        <v/>
      </c>
      <c r="M64" s="1044" t="str">
        <f t="shared" si="10"/>
        <v/>
      </c>
      <c r="N64" s="1044" t="str">
        <f t="shared" si="11"/>
        <v/>
      </c>
      <c r="O64" s="1044">
        <f t="shared" si="12"/>
        <v>0</v>
      </c>
      <c r="P64" s="1044">
        <f t="shared" si="13"/>
        <v>0</v>
      </c>
      <c r="Q64" s="1044">
        <f t="shared" si="14"/>
        <v>0</v>
      </c>
      <c r="R64" s="1044">
        <f t="shared" si="15"/>
        <v>0</v>
      </c>
      <c r="S64" s="1044">
        <f t="shared" si="16"/>
        <v>0</v>
      </c>
      <c r="T64" s="1044">
        <f t="shared" si="17"/>
        <v>0</v>
      </c>
      <c r="U64" s="1044">
        <f t="shared" si="18"/>
        <v>0</v>
      </c>
      <c r="V64" s="1044">
        <f t="shared" si="19"/>
        <v>0</v>
      </c>
      <c r="W64" s="1044">
        <f t="shared" si="20"/>
        <v>0</v>
      </c>
      <c r="X64" s="1044">
        <f t="shared" si="21"/>
        <v>0</v>
      </c>
      <c r="Y64" s="1044">
        <f t="shared" si="22"/>
        <v>0</v>
      </c>
      <c r="Z64" s="1044">
        <f t="shared" si="23"/>
        <v>0</v>
      </c>
      <c r="AA64" s="1044">
        <f t="shared" si="24"/>
        <v>0</v>
      </c>
      <c r="AB64" s="1044">
        <f t="shared" si="25"/>
        <v>0</v>
      </c>
      <c r="AC64" s="1044">
        <f t="shared" si="26"/>
        <v>0</v>
      </c>
      <c r="AD64" s="1044">
        <f t="shared" si="27"/>
        <v>0</v>
      </c>
      <c r="AE64" s="1044">
        <f t="shared" si="28"/>
        <v>0</v>
      </c>
      <c r="AF64" s="1044">
        <f t="shared" si="29"/>
        <v>0</v>
      </c>
      <c r="AG64" s="1044">
        <f t="shared" si="30"/>
        <v>0</v>
      </c>
      <c r="AH64" s="1044">
        <f t="shared" si="31"/>
        <v>0</v>
      </c>
      <c r="AI64" s="1044">
        <f t="shared" si="32"/>
        <v>0</v>
      </c>
      <c r="AJ64" s="1044">
        <f t="shared" si="33"/>
        <v>0</v>
      </c>
      <c r="AK64" s="1044">
        <f t="shared" si="34"/>
        <v>0</v>
      </c>
      <c r="AL64" s="1044">
        <f t="shared" si="35"/>
        <v>0</v>
      </c>
      <c r="AM64" s="1044">
        <f t="shared" si="36"/>
        <v>0</v>
      </c>
      <c r="AN64" s="1044" t="str">
        <f t="shared" si="37"/>
        <v/>
      </c>
      <c r="AO64" s="1044" t="str">
        <f t="shared" si="38"/>
        <v/>
      </c>
      <c r="AP64" s="1044" t="str">
        <f t="shared" si="39"/>
        <v/>
      </c>
      <c r="AQ64" s="1044" t="str">
        <f t="shared" si="40"/>
        <v/>
      </c>
      <c r="AR64" s="1044" t="str">
        <f t="shared" si="41"/>
        <v/>
      </c>
      <c r="AS64" s="1044" t="str">
        <f t="shared" si="42"/>
        <v/>
      </c>
      <c r="AT64" s="1044" t="str">
        <f t="shared" si="43"/>
        <v/>
      </c>
      <c r="AU64" s="1044" t="str">
        <f t="shared" si="44"/>
        <v/>
      </c>
      <c r="AV64" s="1044" t="str">
        <f t="shared" si="45"/>
        <v/>
      </c>
      <c r="AW64" s="1044" t="str">
        <f t="shared" si="46"/>
        <v/>
      </c>
      <c r="AX64" s="1044" t="str">
        <f t="shared" si="47"/>
        <v/>
      </c>
      <c r="AY64" s="1044" t="str">
        <f t="shared" si="48"/>
        <v/>
      </c>
      <c r="AZ64" s="1044" t="str">
        <f t="shared" si="49"/>
        <v/>
      </c>
      <c r="BA64" s="1044" t="str">
        <f t="shared" si="50"/>
        <v/>
      </c>
      <c r="BB64" s="1044" t="str">
        <f t="shared" si="51"/>
        <v/>
      </c>
      <c r="BC64" s="1044" t="str">
        <f t="shared" si="52"/>
        <v/>
      </c>
      <c r="BF64" s="1" t="s">
        <v>7028</v>
      </c>
      <c r="BG64" s="1076" t="s">
        <v>689</v>
      </c>
      <c r="BH64" s="1" t="s">
        <v>55</v>
      </c>
      <c r="BI64" s="1" t="s">
        <v>7445</v>
      </c>
    </row>
    <row r="65" spans="1:61" ht="30" customHeight="1">
      <c r="A65" s="1085" t="str">
        <f t="shared" si="0"/>
        <v/>
      </c>
      <c r="B65" s="1086"/>
      <c r="C65" s="1085" t="s">
        <v>254</v>
      </c>
      <c r="D65" s="1087" t="str">
        <f t="shared" si="1"/>
        <v/>
      </c>
      <c r="E65" s="1088" t="str">
        <f t="shared" si="2"/>
        <v/>
      </c>
      <c r="F65" s="1089" t="str">
        <f t="shared" si="3"/>
        <v/>
      </c>
      <c r="G65" s="1090" t="str">
        <f t="shared" si="4"/>
        <v/>
      </c>
      <c r="H65" s="1085" t="str">
        <f t="shared" si="5"/>
        <v/>
      </c>
      <c r="I65" s="1085" t="str">
        <f t="shared" si="6"/>
        <v/>
      </c>
      <c r="J65" s="1090" t="str">
        <f t="shared" si="7"/>
        <v/>
      </c>
      <c r="K65" s="1044" t="str">
        <f t="shared" si="8"/>
        <v/>
      </c>
      <c r="L65" s="1044" t="str">
        <f t="shared" si="9"/>
        <v/>
      </c>
      <c r="M65" s="1044" t="str">
        <f t="shared" si="10"/>
        <v/>
      </c>
      <c r="N65" s="1044" t="str">
        <f t="shared" si="11"/>
        <v/>
      </c>
      <c r="O65" s="1044">
        <f t="shared" si="12"/>
        <v>0</v>
      </c>
      <c r="P65" s="1044">
        <f t="shared" si="13"/>
        <v>0</v>
      </c>
      <c r="Q65" s="1044">
        <f t="shared" si="14"/>
        <v>0</v>
      </c>
      <c r="R65" s="1044">
        <f t="shared" si="15"/>
        <v>0</v>
      </c>
      <c r="S65" s="1044">
        <f t="shared" si="16"/>
        <v>0</v>
      </c>
      <c r="T65" s="1044">
        <f t="shared" si="17"/>
        <v>0</v>
      </c>
      <c r="U65" s="1044">
        <f t="shared" si="18"/>
        <v>0</v>
      </c>
      <c r="V65" s="1044">
        <f t="shared" si="19"/>
        <v>0</v>
      </c>
      <c r="W65" s="1044">
        <f t="shared" si="20"/>
        <v>0</v>
      </c>
      <c r="X65" s="1044">
        <f t="shared" si="21"/>
        <v>0</v>
      </c>
      <c r="Y65" s="1044">
        <f t="shared" si="22"/>
        <v>0</v>
      </c>
      <c r="Z65" s="1044">
        <f t="shared" si="23"/>
        <v>0</v>
      </c>
      <c r="AA65" s="1044">
        <f t="shared" si="24"/>
        <v>0</v>
      </c>
      <c r="AB65" s="1044">
        <f t="shared" si="25"/>
        <v>0</v>
      </c>
      <c r="AC65" s="1044">
        <f t="shared" si="26"/>
        <v>0</v>
      </c>
      <c r="AD65" s="1044">
        <f t="shared" si="27"/>
        <v>0</v>
      </c>
      <c r="AE65" s="1044">
        <f t="shared" si="28"/>
        <v>0</v>
      </c>
      <c r="AF65" s="1044">
        <f t="shared" si="29"/>
        <v>0</v>
      </c>
      <c r="AG65" s="1044">
        <f t="shared" si="30"/>
        <v>0</v>
      </c>
      <c r="AH65" s="1044">
        <f t="shared" si="31"/>
        <v>0</v>
      </c>
      <c r="AI65" s="1044">
        <f t="shared" si="32"/>
        <v>0</v>
      </c>
      <c r="AJ65" s="1044">
        <f t="shared" si="33"/>
        <v>0</v>
      </c>
      <c r="AK65" s="1044">
        <f t="shared" si="34"/>
        <v>0</v>
      </c>
      <c r="AL65" s="1044">
        <f t="shared" si="35"/>
        <v>0</v>
      </c>
      <c r="AM65" s="1044">
        <f t="shared" si="36"/>
        <v>0</v>
      </c>
      <c r="AN65" s="1044" t="str">
        <f t="shared" si="37"/>
        <v/>
      </c>
      <c r="AO65" s="1044" t="str">
        <f t="shared" si="38"/>
        <v/>
      </c>
      <c r="AP65" s="1044" t="str">
        <f t="shared" si="39"/>
        <v/>
      </c>
      <c r="AQ65" s="1044" t="str">
        <f t="shared" si="40"/>
        <v/>
      </c>
      <c r="AR65" s="1044" t="str">
        <f t="shared" si="41"/>
        <v/>
      </c>
      <c r="AS65" s="1044" t="str">
        <f t="shared" si="42"/>
        <v/>
      </c>
      <c r="AT65" s="1044" t="str">
        <f t="shared" si="43"/>
        <v/>
      </c>
      <c r="AU65" s="1044" t="str">
        <f t="shared" si="44"/>
        <v/>
      </c>
      <c r="AV65" s="1044" t="str">
        <f t="shared" si="45"/>
        <v/>
      </c>
      <c r="AW65" s="1044" t="str">
        <f t="shared" si="46"/>
        <v/>
      </c>
      <c r="AX65" s="1044" t="str">
        <f t="shared" si="47"/>
        <v/>
      </c>
      <c r="AY65" s="1044" t="str">
        <f t="shared" si="48"/>
        <v/>
      </c>
      <c r="AZ65" s="1044" t="str">
        <f t="shared" si="49"/>
        <v/>
      </c>
      <c r="BA65" s="1044" t="str">
        <f t="shared" si="50"/>
        <v/>
      </c>
      <c r="BB65" s="1044" t="str">
        <f t="shared" si="51"/>
        <v/>
      </c>
      <c r="BC65" s="1044" t="str">
        <f t="shared" si="52"/>
        <v/>
      </c>
      <c r="BF65" s="1" t="s">
        <v>7028</v>
      </c>
      <c r="BG65" s="1076" t="s">
        <v>689</v>
      </c>
      <c r="BH65" s="1" t="s">
        <v>7065</v>
      </c>
      <c r="BI65" s="1" t="s">
        <v>7446</v>
      </c>
    </row>
    <row r="66" spans="1:61" ht="30" customHeight="1">
      <c r="A66" s="1085" t="str">
        <f t="shared" si="0"/>
        <v/>
      </c>
      <c r="B66" s="1086"/>
      <c r="C66" s="1085" t="s">
        <v>254</v>
      </c>
      <c r="D66" s="1087" t="str">
        <f t="shared" si="1"/>
        <v/>
      </c>
      <c r="E66" s="1088" t="str">
        <f t="shared" si="2"/>
        <v/>
      </c>
      <c r="F66" s="1089" t="str">
        <f t="shared" si="3"/>
        <v/>
      </c>
      <c r="G66" s="1090" t="str">
        <f t="shared" si="4"/>
        <v/>
      </c>
      <c r="H66" s="1085" t="str">
        <f t="shared" si="5"/>
        <v/>
      </c>
      <c r="I66" s="1085" t="str">
        <f t="shared" si="6"/>
        <v/>
      </c>
      <c r="J66" s="1090" t="str">
        <f t="shared" si="7"/>
        <v/>
      </c>
      <c r="K66" s="1044" t="str">
        <f t="shared" si="8"/>
        <v/>
      </c>
      <c r="L66" s="1044" t="str">
        <f t="shared" si="9"/>
        <v/>
      </c>
      <c r="M66" s="1044" t="str">
        <f t="shared" si="10"/>
        <v/>
      </c>
      <c r="N66" s="1044" t="str">
        <f t="shared" si="11"/>
        <v/>
      </c>
      <c r="O66" s="1044">
        <f t="shared" si="12"/>
        <v>0</v>
      </c>
      <c r="P66" s="1044">
        <f t="shared" si="13"/>
        <v>0</v>
      </c>
      <c r="Q66" s="1044">
        <f t="shared" si="14"/>
        <v>0</v>
      </c>
      <c r="R66" s="1044">
        <f t="shared" si="15"/>
        <v>0</v>
      </c>
      <c r="S66" s="1044">
        <f t="shared" si="16"/>
        <v>0</v>
      </c>
      <c r="T66" s="1044">
        <f t="shared" si="17"/>
        <v>0</v>
      </c>
      <c r="U66" s="1044">
        <f t="shared" si="18"/>
        <v>0</v>
      </c>
      <c r="V66" s="1044">
        <f t="shared" si="19"/>
        <v>0</v>
      </c>
      <c r="W66" s="1044">
        <f t="shared" si="20"/>
        <v>0</v>
      </c>
      <c r="X66" s="1044">
        <f t="shared" si="21"/>
        <v>0</v>
      </c>
      <c r="Y66" s="1044">
        <f t="shared" si="22"/>
        <v>0</v>
      </c>
      <c r="Z66" s="1044">
        <f t="shared" si="23"/>
        <v>0</v>
      </c>
      <c r="AA66" s="1044">
        <f t="shared" si="24"/>
        <v>0</v>
      </c>
      <c r="AB66" s="1044">
        <f t="shared" si="25"/>
        <v>0</v>
      </c>
      <c r="AC66" s="1044">
        <f t="shared" si="26"/>
        <v>0</v>
      </c>
      <c r="AD66" s="1044">
        <f t="shared" si="27"/>
        <v>0</v>
      </c>
      <c r="AE66" s="1044">
        <f t="shared" si="28"/>
        <v>0</v>
      </c>
      <c r="AF66" s="1044">
        <f t="shared" si="29"/>
        <v>0</v>
      </c>
      <c r="AG66" s="1044">
        <f t="shared" si="30"/>
        <v>0</v>
      </c>
      <c r="AH66" s="1044">
        <f t="shared" si="31"/>
        <v>0</v>
      </c>
      <c r="AI66" s="1044">
        <f t="shared" si="32"/>
        <v>0</v>
      </c>
      <c r="AJ66" s="1044">
        <f t="shared" si="33"/>
        <v>0</v>
      </c>
      <c r="AK66" s="1044">
        <f t="shared" si="34"/>
        <v>0</v>
      </c>
      <c r="AL66" s="1044">
        <f t="shared" si="35"/>
        <v>0</v>
      </c>
      <c r="AM66" s="1044">
        <f t="shared" si="36"/>
        <v>0</v>
      </c>
      <c r="AN66" s="1044" t="str">
        <f t="shared" si="37"/>
        <v/>
      </c>
      <c r="AO66" s="1044" t="str">
        <f t="shared" si="38"/>
        <v/>
      </c>
      <c r="AP66" s="1044" t="str">
        <f t="shared" si="39"/>
        <v/>
      </c>
      <c r="AQ66" s="1044" t="str">
        <f t="shared" si="40"/>
        <v/>
      </c>
      <c r="AR66" s="1044" t="str">
        <f t="shared" si="41"/>
        <v/>
      </c>
      <c r="AS66" s="1044" t="str">
        <f t="shared" si="42"/>
        <v/>
      </c>
      <c r="AT66" s="1044" t="str">
        <f t="shared" si="43"/>
        <v/>
      </c>
      <c r="AU66" s="1044" t="str">
        <f t="shared" si="44"/>
        <v/>
      </c>
      <c r="AV66" s="1044" t="str">
        <f t="shared" si="45"/>
        <v/>
      </c>
      <c r="AW66" s="1044" t="str">
        <f t="shared" si="46"/>
        <v/>
      </c>
      <c r="AX66" s="1044" t="str">
        <f t="shared" si="47"/>
        <v/>
      </c>
      <c r="AY66" s="1044" t="str">
        <f t="shared" si="48"/>
        <v/>
      </c>
      <c r="AZ66" s="1044" t="str">
        <f t="shared" si="49"/>
        <v/>
      </c>
      <c r="BA66" s="1044" t="str">
        <f t="shared" si="50"/>
        <v/>
      </c>
      <c r="BB66" s="1044" t="str">
        <f t="shared" si="51"/>
        <v/>
      </c>
      <c r="BC66" s="1044" t="str">
        <f t="shared" si="52"/>
        <v/>
      </c>
      <c r="BF66" s="1" t="s">
        <v>7028</v>
      </c>
      <c r="BG66" s="1076" t="s">
        <v>689</v>
      </c>
      <c r="BH66" s="1" t="s">
        <v>7066</v>
      </c>
      <c r="BI66" s="1" t="s">
        <v>7447</v>
      </c>
    </row>
    <row r="67" spans="1:61" ht="30" customHeight="1">
      <c r="A67" s="1085" t="str">
        <f t="shared" si="0"/>
        <v/>
      </c>
      <c r="B67" s="1086"/>
      <c r="C67" s="1085" t="s">
        <v>254</v>
      </c>
      <c r="D67" s="1087" t="str">
        <f t="shared" si="1"/>
        <v/>
      </c>
      <c r="E67" s="1088" t="str">
        <f t="shared" si="2"/>
        <v/>
      </c>
      <c r="F67" s="1089" t="str">
        <f t="shared" si="3"/>
        <v/>
      </c>
      <c r="G67" s="1090" t="str">
        <f t="shared" si="4"/>
        <v/>
      </c>
      <c r="H67" s="1085" t="str">
        <f t="shared" si="5"/>
        <v/>
      </c>
      <c r="I67" s="1085" t="str">
        <f t="shared" si="6"/>
        <v/>
      </c>
      <c r="J67" s="1090" t="str">
        <f t="shared" si="7"/>
        <v/>
      </c>
      <c r="K67" s="1044" t="str">
        <f t="shared" si="8"/>
        <v/>
      </c>
      <c r="L67" s="1044" t="str">
        <f t="shared" si="9"/>
        <v/>
      </c>
      <c r="M67" s="1044" t="str">
        <f t="shared" si="10"/>
        <v/>
      </c>
      <c r="N67" s="1044" t="str">
        <f t="shared" si="11"/>
        <v/>
      </c>
      <c r="O67" s="1044">
        <f t="shared" si="12"/>
        <v>0</v>
      </c>
      <c r="P67" s="1044">
        <f t="shared" si="13"/>
        <v>0</v>
      </c>
      <c r="Q67" s="1044">
        <f t="shared" si="14"/>
        <v>0</v>
      </c>
      <c r="R67" s="1044">
        <f t="shared" si="15"/>
        <v>0</v>
      </c>
      <c r="S67" s="1044">
        <f t="shared" si="16"/>
        <v>0</v>
      </c>
      <c r="T67" s="1044">
        <f t="shared" si="17"/>
        <v>0</v>
      </c>
      <c r="U67" s="1044">
        <f t="shared" si="18"/>
        <v>0</v>
      </c>
      <c r="V67" s="1044">
        <f t="shared" si="19"/>
        <v>0</v>
      </c>
      <c r="W67" s="1044">
        <f t="shared" si="20"/>
        <v>0</v>
      </c>
      <c r="X67" s="1044">
        <f t="shared" si="21"/>
        <v>0</v>
      </c>
      <c r="Y67" s="1044">
        <f t="shared" si="22"/>
        <v>0</v>
      </c>
      <c r="Z67" s="1044">
        <f t="shared" si="23"/>
        <v>0</v>
      </c>
      <c r="AA67" s="1044">
        <f t="shared" si="24"/>
        <v>0</v>
      </c>
      <c r="AB67" s="1044">
        <f t="shared" si="25"/>
        <v>0</v>
      </c>
      <c r="AC67" s="1044">
        <f t="shared" si="26"/>
        <v>0</v>
      </c>
      <c r="AD67" s="1044">
        <f t="shared" si="27"/>
        <v>0</v>
      </c>
      <c r="AE67" s="1044">
        <f t="shared" si="28"/>
        <v>0</v>
      </c>
      <c r="AF67" s="1044">
        <f t="shared" si="29"/>
        <v>0</v>
      </c>
      <c r="AG67" s="1044">
        <f t="shared" si="30"/>
        <v>0</v>
      </c>
      <c r="AH67" s="1044">
        <f t="shared" si="31"/>
        <v>0</v>
      </c>
      <c r="AI67" s="1044">
        <f t="shared" si="32"/>
        <v>0</v>
      </c>
      <c r="AJ67" s="1044">
        <f t="shared" si="33"/>
        <v>0</v>
      </c>
      <c r="AK67" s="1044">
        <f t="shared" si="34"/>
        <v>0</v>
      </c>
      <c r="AL67" s="1044">
        <f t="shared" si="35"/>
        <v>0</v>
      </c>
      <c r="AM67" s="1044">
        <f t="shared" si="36"/>
        <v>0</v>
      </c>
      <c r="AN67" s="1044" t="str">
        <f t="shared" si="37"/>
        <v/>
      </c>
      <c r="AO67" s="1044" t="str">
        <f t="shared" si="38"/>
        <v/>
      </c>
      <c r="AP67" s="1044" t="str">
        <f t="shared" si="39"/>
        <v/>
      </c>
      <c r="AQ67" s="1044" t="str">
        <f t="shared" si="40"/>
        <v/>
      </c>
      <c r="AR67" s="1044" t="str">
        <f t="shared" si="41"/>
        <v/>
      </c>
      <c r="AS67" s="1044" t="str">
        <f t="shared" si="42"/>
        <v/>
      </c>
      <c r="AT67" s="1044" t="str">
        <f t="shared" si="43"/>
        <v/>
      </c>
      <c r="AU67" s="1044" t="str">
        <f t="shared" si="44"/>
        <v/>
      </c>
      <c r="AV67" s="1044" t="str">
        <f t="shared" si="45"/>
        <v/>
      </c>
      <c r="AW67" s="1044" t="str">
        <f t="shared" si="46"/>
        <v/>
      </c>
      <c r="AX67" s="1044" t="str">
        <f t="shared" si="47"/>
        <v/>
      </c>
      <c r="AY67" s="1044" t="str">
        <f t="shared" si="48"/>
        <v/>
      </c>
      <c r="AZ67" s="1044" t="str">
        <f t="shared" si="49"/>
        <v/>
      </c>
      <c r="BA67" s="1044" t="str">
        <f t="shared" si="50"/>
        <v/>
      </c>
      <c r="BB67" s="1044" t="str">
        <f t="shared" si="51"/>
        <v/>
      </c>
      <c r="BC67" s="1044" t="str">
        <f t="shared" si="52"/>
        <v/>
      </c>
      <c r="BF67" s="1" t="s">
        <v>7028</v>
      </c>
      <c r="BG67" s="1076" t="s">
        <v>689</v>
      </c>
      <c r="BH67" s="1" t="s">
        <v>143</v>
      </c>
      <c r="BI67" s="1" t="s">
        <v>7448</v>
      </c>
    </row>
    <row r="68" spans="1:61" ht="30" customHeight="1">
      <c r="A68" s="1085" t="str">
        <f t="shared" si="0"/>
        <v/>
      </c>
      <c r="B68" s="1086"/>
      <c r="C68" s="1085" t="s">
        <v>254</v>
      </c>
      <c r="D68" s="1087" t="str">
        <f t="shared" si="1"/>
        <v/>
      </c>
      <c r="E68" s="1088" t="str">
        <f t="shared" si="2"/>
        <v/>
      </c>
      <c r="F68" s="1089" t="str">
        <f t="shared" si="3"/>
        <v/>
      </c>
      <c r="G68" s="1090" t="str">
        <f t="shared" si="4"/>
        <v/>
      </c>
      <c r="H68" s="1085" t="str">
        <f t="shared" si="5"/>
        <v/>
      </c>
      <c r="I68" s="1085" t="str">
        <f t="shared" si="6"/>
        <v/>
      </c>
      <c r="J68" s="1090" t="str">
        <f t="shared" si="7"/>
        <v/>
      </c>
      <c r="K68" s="1044" t="str">
        <f t="shared" si="8"/>
        <v/>
      </c>
      <c r="L68" s="1044" t="str">
        <f t="shared" si="9"/>
        <v/>
      </c>
      <c r="M68" s="1044" t="str">
        <f t="shared" si="10"/>
        <v/>
      </c>
      <c r="N68" s="1044" t="str">
        <f t="shared" si="11"/>
        <v/>
      </c>
      <c r="O68" s="1044">
        <f t="shared" si="12"/>
        <v>0</v>
      </c>
      <c r="P68" s="1044">
        <f t="shared" si="13"/>
        <v>0</v>
      </c>
      <c r="Q68" s="1044">
        <f t="shared" si="14"/>
        <v>0</v>
      </c>
      <c r="R68" s="1044">
        <f t="shared" si="15"/>
        <v>0</v>
      </c>
      <c r="S68" s="1044">
        <f t="shared" si="16"/>
        <v>0</v>
      </c>
      <c r="T68" s="1044">
        <f t="shared" si="17"/>
        <v>0</v>
      </c>
      <c r="U68" s="1044">
        <f t="shared" si="18"/>
        <v>0</v>
      </c>
      <c r="V68" s="1044">
        <f t="shared" si="19"/>
        <v>0</v>
      </c>
      <c r="W68" s="1044">
        <f t="shared" si="20"/>
        <v>0</v>
      </c>
      <c r="X68" s="1044">
        <f t="shared" si="21"/>
        <v>0</v>
      </c>
      <c r="Y68" s="1044">
        <f t="shared" si="22"/>
        <v>0</v>
      </c>
      <c r="Z68" s="1044">
        <f t="shared" si="23"/>
        <v>0</v>
      </c>
      <c r="AA68" s="1044">
        <f t="shared" si="24"/>
        <v>0</v>
      </c>
      <c r="AB68" s="1044">
        <f t="shared" si="25"/>
        <v>0</v>
      </c>
      <c r="AC68" s="1044">
        <f t="shared" si="26"/>
        <v>0</v>
      </c>
      <c r="AD68" s="1044">
        <f t="shared" si="27"/>
        <v>0</v>
      </c>
      <c r="AE68" s="1044">
        <f t="shared" si="28"/>
        <v>0</v>
      </c>
      <c r="AF68" s="1044">
        <f t="shared" si="29"/>
        <v>0</v>
      </c>
      <c r="AG68" s="1044">
        <f t="shared" si="30"/>
        <v>0</v>
      </c>
      <c r="AH68" s="1044">
        <f t="shared" si="31"/>
        <v>0</v>
      </c>
      <c r="AI68" s="1044">
        <f t="shared" si="32"/>
        <v>0</v>
      </c>
      <c r="AJ68" s="1044">
        <f t="shared" si="33"/>
        <v>0</v>
      </c>
      <c r="AK68" s="1044">
        <f t="shared" si="34"/>
        <v>0</v>
      </c>
      <c r="AL68" s="1044">
        <f t="shared" si="35"/>
        <v>0</v>
      </c>
      <c r="AM68" s="1044">
        <f t="shared" si="36"/>
        <v>0</v>
      </c>
      <c r="AN68" s="1044" t="str">
        <f t="shared" si="37"/>
        <v/>
      </c>
      <c r="AO68" s="1044" t="str">
        <f t="shared" si="38"/>
        <v/>
      </c>
      <c r="AP68" s="1044" t="str">
        <f t="shared" si="39"/>
        <v/>
      </c>
      <c r="AQ68" s="1044" t="str">
        <f t="shared" si="40"/>
        <v/>
      </c>
      <c r="AR68" s="1044" t="str">
        <f t="shared" si="41"/>
        <v/>
      </c>
      <c r="AS68" s="1044" t="str">
        <f t="shared" si="42"/>
        <v/>
      </c>
      <c r="AT68" s="1044" t="str">
        <f t="shared" si="43"/>
        <v/>
      </c>
      <c r="AU68" s="1044" t="str">
        <f t="shared" si="44"/>
        <v/>
      </c>
      <c r="AV68" s="1044" t="str">
        <f t="shared" si="45"/>
        <v/>
      </c>
      <c r="AW68" s="1044" t="str">
        <f t="shared" si="46"/>
        <v/>
      </c>
      <c r="AX68" s="1044" t="str">
        <f t="shared" si="47"/>
        <v/>
      </c>
      <c r="AY68" s="1044" t="str">
        <f t="shared" si="48"/>
        <v/>
      </c>
      <c r="AZ68" s="1044" t="str">
        <f t="shared" si="49"/>
        <v/>
      </c>
      <c r="BA68" s="1044" t="str">
        <f t="shared" si="50"/>
        <v/>
      </c>
      <c r="BB68" s="1044" t="str">
        <f t="shared" si="51"/>
        <v/>
      </c>
      <c r="BC68" s="1044" t="str">
        <f t="shared" si="52"/>
        <v/>
      </c>
      <c r="BF68" s="1" t="s">
        <v>7028</v>
      </c>
      <c r="BG68" s="1076" t="s">
        <v>689</v>
      </c>
      <c r="BH68" s="1" t="s">
        <v>152</v>
      </c>
      <c r="BI68" s="1" t="s">
        <v>7449</v>
      </c>
    </row>
    <row r="69" spans="1:61" ht="30" customHeight="1">
      <c r="A69" s="1085" t="str">
        <f t="shared" si="0"/>
        <v/>
      </c>
      <c r="B69" s="1086"/>
      <c r="C69" s="1085" t="s">
        <v>254</v>
      </c>
      <c r="D69" s="1087" t="str">
        <f t="shared" si="1"/>
        <v/>
      </c>
      <c r="E69" s="1088" t="str">
        <f t="shared" si="2"/>
        <v/>
      </c>
      <c r="F69" s="1089" t="str">
        <f t="shared" si="3"/>
        <v/>
      </c>
      <c r="G69" s="1090" t="str">
        <f t="shared" si="4"/>
        <v/>
      </c>
      <c r="H69" s="1085" t="str">
        <f t="shared" si="5"/>
        <v/>
      </c>
      <c r="I69" s="1085" t="str">
        <f t="shared" si="6"/>
        <v/>
      </c>
      <c r="J69" s="1090" t="str">
        <f t="shared" si="7"/>
        <v/>
      </c>
      <c r="K69" s="1044" t="str">
        <f t="shared" si="8"/>
        <v/>
      </c>
      <c r="L69" s="1044" t="str">
        <f t="shared" si="9"/>
        <v/>
      </c>
      <c r="M69" s="1044" t="str">
        <f t="shared" si="10"/>
        <v/>
      </c>
      <c r="N69" s="1044" t="str">
        <f t="shared" si="11"/>
        <v/>
      </c>
      <c r="O69" s="1044">
        <f t="shared" si="12"/>
        <v>0</v>
      </c>
      <c r="P69" s="1044">
        <f t="shared" si="13"/>
        <v>0</v>
      </c>
      <c r="Q69" s="1044">
        <f t="shared" si="14"/>
        <v>0</v>
      </c>
      <c r="R69" s="1044">
        <f t="shared" si="15"/>
        <v>0</v>
      </c>
      <c r="S69" s="1044">
        <f t="shared" si="16"/>
        <v>0</v>
      </c>
      <c r="T69" s="1044">
        <f t="shared" si="17"/>
        <v>0</v>
      </c>
      <c r="U69" s="1044">
        <f t="shared" si="18"/>
        <v>0</v>
      </c>
      <c r="V69" s="1044">
        <f t="shared" si="19"/>
        <v>0</v>
      </c>
      <c r="W69" s="1044">
        <f t="shared" si="20"/>
        <v>0</v>
      </c>
      <c r="X69" s="1044">
        <f t="shared" si="21"/>
        <v>0</v>
      </c>
      <c r="Y69" s="1044">
        <f t="shared" si="22"/>
        <v>0</v>
      </c>
      <c r="Z69" s="1044">
        <f t="shared" si="23"/>
        <v>0</v>
      </c>
      <c r="AA69" s="1044">
        <f t="shared" si="24"/>
        <v>0</v>
      </c>
      <c r="AB69" s="1044">
        <f t="shared" si="25"/>
        <v>0</v>
      </c>
      <c r="AC69" s="1044">
        <f t="shared" si="26"/>
        <v>0</v>
      </c>
      <c r="AD69" s="1044">
        <f t="shared" si="27"/>
        <v>0</v>
      </c>
      <c r="AE69" s="1044">
        <f t="shared" si="28"/>
        <v>0</v>
      </c>
      <c r="AF69" s="1044">
        <f t="shared" si="29"/>
        <v>0</v>
      </c>
      <c r="AG69" s="1044">
        <f t="shared" si="30"/>
        <v>0</v>
      </c>
      <c r="AH69" s="1044">
        <f t="shared" si="31"/>
        <v>0</v>
      </c>
      <c r="AI69" s="1044">
        <f t="shared" si="32"/>
        <v>0</v>
      </c>
      <c r="AJ69" s="1044">
        <f t="shared" si="33"/>
        <v>0</v>
      </c>
      <c r="AK69" s="1044">
        <f t="shared" si="34"/>
        <v>0</v>
      </c>
      <c r="AL69" s="1044">
        <f t="shared" si="35"/>
        <v>0</v>
      </c>
      <c r="AM69" s="1044">
        <f t="shared" si="36"/>
        <v>0</v>
      </c>
      <c r="AN69" s="1044" t="str">
        <f t="shared" si="37"/>
        <v/>
      </c>
      <c r="AO69" s="1044" t="str">
        <f t="shared" si="38"/>
        <v/>
      </c>
      <c r="AP69" s="1044" t="str">
        <f t="shared" si="39"/>
        <v/>
      </c>
      <c r="AQ69" s="1044" t="str">
        <f t="shared" si="40"/>
        <v/>
      </c>
      <c r="AR69" s="1044" t="str">
        <f t="shared" si="41"/>
        <v/>
      </c>
      <c r="AS69" s="1044" t="str">
        <f t="shared" si="42"/>
        <v/>
      </c>
      <c r="AT69" s="1044" t="str">
        <f t="shared" si="43"/>
        <v/>
      </c>
      <c r="AU69" s="1044" t="str">
        <f t="shared" si="44"/>
        <v/>
      </c>
      <c r="AV69" s="1044" t="str">
        <f t="shared" si="45"/>
        <v/>
      </c>
      <c r="AW69" s="1044" t="str">
        <f t="shared" si="46"/>
        <v/>
      </c>
      <c r="AX69" s="1044" t="str">
        <f t="shared" si="47"/>
        <v/>
      </c>
      <c r="AY69" s="1044" t="str">
        <f t="shared" si="48"/>
        <v/>
      </c>
      <c r="AZ69" s="1044" t="str">
        <f t="shared" si="49"/>
        <v/>
      </c>
      <c r="BA69" s="1044" t="str">
        <f t="shared" si="50"/>
        <v/>
      </c>
      <c r="BB69" s="1044" t="str">
        <f t="shared" si="51"/>
        <v/>
      </c>
      <c r="BC69" s="1044" t="str">
        <f t="shared" si="52"/>
        <v/>
      </c>
      <c r="BF69" s="1" t="s">
        <v>7028</v>
      </c>
      <c r="BG69" s="1076" t="s">
        <v>689</v>
      </c>
      <c r="BH69" s="1" t="s">
        <v>866</v>
      </c>
      <c r="BI69" s="1" t="s">
        <v>7450</v>
      </c>
    </row>
    <row r="70" spans="1:61" ht="30" customHeight="1">
      <c r="A70" s="1085" t="str">
        <f t="shared" si="0"/>
        <v/>
      </c>
      <c r="B70" s="1086"/>
      <c r="C70" s="1085" t="s">
        <v>254</v>
      </c>
      <c r="D70" s="1087" t="str">
        <f t="shared" si="1"/>
        <v/>
      </c>
      <c r="E70" s="1088" t="str">
        <f t="shared" si="2"/>
        <v/>
      </c>
      <c r="F70" s="1089" t="str">
        <f t="shared" si="3"/>
        <v/>
      </c>
      <c r="G70" s="1090" t="str">
        <f t="shared" si="4"/>
        <v/>
      </c>
      <c r="H70" s="1085" t="str">
        <f t="shared" si="5"/>
        <v/>
      </c>
      <c r="I70" s="1085" t="str">
        <f t="shared" si="6"/>
        <v/>
      </c>
      <c r="J70" s="1090" t="str">
        <f t="shared" si="7"/>
        <v/>
      </c>
      <c r="K70" s="1044" t="str">
        <f t="shared" si="8"/>
        <v/>
      </c>
      <c r="L70" s="1044" t="str">
        <f t="shared" si="9"/>
        <v/>
      </c>
      <c r="M70" s="1044" t="str">
        <f t="shared" si="10"/>
        <v/>
      </c>
      <c r="N70" s="1044" t="str">
        <f t="shared" si="11"/>
        <v/>
      </c>
      <c r="O70" s="1044">
        <f t="shared" si="12"/>
        <v>0</v>
      </c>
      <c r="P70" s="1044">
        <f t="shared" si="13"/>
        <v>0</v>
      </c>
      <c r="Q70" s="1044">
        <f t="shared" si="14"/>
        <v>0</v>
      </c>
      <c r="R70" s="1044">
        <f t="shared" si="15"/>
        <v>0</v>
      </c>
      <c r="S70" s="1044">
        <f t="shared" si="16"/>
        <v>0</v>
      </c>
      <c r="T70" s="1044">
        <f t="shared" si="17"/>
        <v>0</v>
      </c>
      <c r="U70" s="1044">
        <f t="shared" si="18"/>
        <v>0</v>
      </c>
      <c r="V70" s="1044">
        <f t="shared" si="19"/>
        <v>0</v>
      </c>
      <c r="W70" s="1044">
        <f t="shared" si="20"/>
        <v>0</v>
      </c>
      <c r="X70" s="1044">
        <f t="shared" si="21"/>
        <v>0</v>
      </c>
      <c r="Y70" s="1044">
        <f t="shared" si="22"/>
        <v>0</v>
      </c>
      <c r="Z70" s="1044">
        <f t="shared" si="23"/>
        <v>0</v>
      </c>
      <c r="AA70" s="1044">
        <f t="shared" si="24"/>
        <v>0</v>
      </c>
      <c r="AB70" s="1044">
        <f t="shared" si="25"/>
        <v>0</v>
      </c>
      <c r="AC70" s="1044">
        <f t="shared" si="26"/>
        <v>0</v>
      </c>
      <c r="AD70" s="1044">
        <f t="shared" si="27"/>
        <v>0</v>
      </c>
      <c r="AE70" s="1044">
        <f t="shared" si="28"/>
        <v>0</v>
      </c>
      <c r="AF70" s="1044">
        <f t="shared" si="29"/>
        <v>0</v>
      </c>
      <c r="AG70" s="1044">
        <f t="shared" si="30"/>
        <v>0</v>
      </c>
      <c r="AH70" s="1044">
        <f t="shared" si="31"/>
        <v>0</v>
      </c>
      <c r="AI70" s="1044">
        <f t="shared" si="32"/>
        <v>0</v>
      </c>
      <c r="AJ70" s="1044">
        <f t="shared" si="33"/>
        <v>0</v>
      </c>
      <c r="AK70" s="1044">
        <f t="shared" si="34"/>
        <v>0</v>
      </c>
      <c r="AL70" s="1044">
        <f t="shared" si="35"/>
        <v>0</v>
      </c>
      <c r="AM70" s="1044">
        <f t="shared" si="36"/>
        <v>0</v>
      </c>
      <c r="AN70" s="1044" t="str">
        <f t="shared" si="37"/>
        <v/>
      </c>
      <c r="AO70" s="1044" t="str">
        <f t="shared" si="38"/>
        <v/>
      </c>
      <c r="AP70" s="1044" t="str">
        <f t="shared" si="39"/>
        <v/>
      </c>
      <c r="AQ70" s="1044" t="str">
        <f t="shared" si="40"/>
        <v/>
      </c>
      <c r="AR70" s="1044" t="str">
        <f t="shared" si="41"/>
        <v/>
      </c>
      <c r="AS70" s="1044" t="str">
        <f t="shared" si="42"/>
        <v/>
      </c>
      <c r="AT70" s="1044" t="str">
        <f t="shared" si="43"/>
        <v/>
      </c>
      <c r="AU70" s="1044" t="str">
        <f t="shared" si="44"/>
        <v/>
      </c>
      <c r="AV70" s="1044" t="str">
        <f t="shared" si="45"/>
        <v/>
      </c>
      <c r="AW70" s="1044" t="str">
        <f t="shared" si="46"/>
        <v/>
      </c>
      <c r="AX70" s="1044" t="str">
        <f t="shared" si="47"/>
        <v/>
      </c>
      <c r="AY70" s="1044" t="str">
        <f t="shared" si="48"/>
        <v/>
      </c>
      <c r="AZ70" s="1044" t="str">
        <f t="shared" si="49"/>
        <v/>
      </c>
      <c r="BA70" s="1044" t="str">
        <f t="shared" si="50"/>
        <v/>
      </c>
      <c r="BB70" s="1044" t="str">
        <f t="shared" si="51"/>
        <v/>
      </c>
      <c r="BC70" s="1044" t="str">
        <f t="shared" si="52"/>
        <v/>
      </c>
      <c r="BF70" s="1" t="s">
        <v>7028</v>
      </c>
      <c r="BG70" s="1076" t="s">
        <v>689</v>
      </c>
      <c r="BH70" s="1" t="s">
        <v>1685</v>
      </c>
      <c r="BI70" s="1" t="s">
        <v>7451</v>
      </c>
    </row>
    <row r="71" spans="1:61" ht="30" customHeight="1">
      <c r="A71" s="1085" t="str">
        <f t="shared" si="0"/>
        <v/>
      </c>
      <c r="B71" s="1086"/>
      <c r="C71" s="1085" t="s">
        <v>254</v>
      </c>
      <c r="D71" s="1087" t="str">
        <f t="shared" si="1"/>
        <v/>
      </c>
      <c r="E71" s="1088" t="str">
        <f t="shared" si="2"/>
        <v/>
      </c>
      <c r="F71" s="1089" t="str">
        <f t="shared" si="3"/>
        <v/>
      </c>
      <c r="G71" s="1090" t="str">
        <f t="shared" si="4"/>
        <v/>
      </c>
      <c r="H71" s="1085" t="str">
        <f t="shared" si="5"/>
        <v/>
      </c>
      <c r="I71" s="1085" t="str">
        <f t="shared" si="6"/>
        <v/>
      </c>
      <c r="J71" s="1090" t="str">
        <f t="shared" si="7"/>
        <v/>
      </c>
      <c r="K71" s="1044" t="str">
        <f t="shared" si="8"/>
        <v/>
      </c>
      <c r="L71" s="1044" t="str">
        <f t="shared" si="9"/>
        <v/>
      </c>
      <c r="M71" s="1044" t="str">
        <f t="shared" si="10"/>
        <v/>
      </c>
      <c r="N71" s="1044" t="str">
        <f t="shared" si="11"/>
        <v/>
      </c>
      <c r="O71" s="1044">
        <f t="shared" si="12"/>
        <v>0</v>
      </c>
      <c r="P71" s="1044">
        <f t="shared" si="13"/>
        <v>0</v>
      </c>
      <c r="Q71" s="1044">
        <f t="shared" si="14"/>
        <v>0</v>
      </c>
      <c r="R71" s="1044">
        <f t="shared" si="15"/>
        <v>0</v>
      </c>
      <c r="S71" s="1044">
        <f t="shared" si="16"/>
        <v>0</v>
      </c>
      <c r="T71" s="1044">
        <f t="shared" si="17"/>
        <v>0</v>
      </c>
      <c r="U71" s="1044">
        <f t="shared" si="18"/>
        <v>0</v>
      </c>
      <c r="V71" s="1044">
        <f t="shared" si="19"/>
        <v>0</v>
      </c>
      <c r="W71" s="1044">
        <f t="shared" si="20"/>
        <v>0</v>
      </c>
      <c r="X71" s="1044">
        <f t="shared" si="21"/>
        <v>0</v>
      </c>
      <c r="Y71" s="1044">
        <f t="shared" si="22"/>
        <v>0</v>
      </c>
      <c r="Z71" s="1044">
        <f t="shared" si="23"/>
        <v>0</v>
      </c>
      <c r="AA71" s="1044">
        <f t="shared" si="24"/>
        <v>0</v>
      </c>
      <c r="AB71" s="1044">
        <f t="shared" si="25"/>
        <v>0</v>
      </c>
      <c r="AC71" s="1044">
        <f t="shared" si="26"/>
        <v>0</v>
      </c>
      <c r="AD71" s="1044">
        <f t="shared" si="27"/>
        <v>0</v>
      </c>
      <c r="AE71" s="1044">
        <f t="shared" si="28"/>
        <v>0</v>
      </c>
      <c r="AF71" s="1044">
        <f t="shared" si="29"/>
        <v>0</v>
      </c>
      <c r="AG71" s="1044">
        <f t="shared" si="30"/>
        <v>0</v>
      </c>
      <c r="AH71" s="1044">
        <f t="shared" si="31"/>
        <v>0</v>
      </c>
      <c r="AI71" s="1044">
        <f t="shared" si="32"/>
        <v>0</v>
      </c>
      <c r="AJ71" s="1044">
        <f t="shared" si="33"/>
        <v>0</v>
      </c>
      <c r="AK71" s="1044">
        <f t="shared" si="34"/>
        <v>0</v>
      </c>
      <c r="AL71" s="1044">
        <f t="shared" si="35"/>
        <v>0</v>
      </c>
      <c r="AM71" s="1044">
        <f t="shared" si="36"/>
        <v>0</v>
      </c>
      <c r="AN71" s="1044" t="str">
        <f t="shared" si="37"/>
        <v/>
      </c>
      <c r="AO71" s="1044" t="str">
        <f t="shared" si="38"/>
        <v/>
      </c>
      <c r="AP71" s="1044" t="str">
        <f t="shared" si="39"/>
        <v/>
      </c>
      <c r="AQ71" s="1044" t="str">
        <f t="shared" si="40"/>
        <v/>
      </c>
      <c r="AR71" s="1044" t="str">
        <f t="shared" si="41"/>
        <v/>
      </c>
      <c r="AS71" s="1044" t="str">
        <f t="shared" si="42"/>
        <v/>
      </c>
      <c r="AT71" s="1044" t="str">
        <f t="shared" si="43"/>
        <v/>
      </c>
      <c r="AU71" s="1044" t="str">
        <f t="shared" si="44"/>
        <v/>
      </c>
      <c r="AV71" s="1044" t="str">
        <f t="shared" si="45"/>
        <v/>
      </c>
      <c r="AW71" s="1044" t="str">
        <f t="shared" si="46"/>
        <v/>
      </c>
      <c r="AX71" s="1044" t="str">
        <f t="shared" si="47"/>
        <v/>
      </c>
      <c r="AY71" s="1044" t="str">
        <f t="shared" si="48"/>
        <v/>
      </c>
      <c r="AZ71" s="1044" t="str">
        <f t="shared" si="49"/>
        <v/>
      </c>
      <c r="BA71" s="1044" t="str">
        <f t="shared" si="50"/>
        <v/>
      </c>
      <c r="BB71" s="1044" t="str">
        <f t="shared" si="51"/>
        <v/>
      </c>
      <c r="BC71" s="1044" t="str">
        <f t="shared" si="52"/>
        <v/>
      </c>
      <c r="BF71" s="1" t="s">
        <v>7028</v>
      </c>
      <c r="BG71" s="1076" t="s">
        <v>689</v>
      </c>
      <c r="BH71" s="1" t="s">
        <v>67</v>
      </c>
      <c r="BI71" s="1" t="s">
        <v>7452</v>
      </c>
    </row>
    <row r="72" spans="1:61" ht="30" customHeight="1">
      <c r="A72" s="1085" t="str">
        <f t="shared" si="0"/>
        <v/>
      </c>
      <c r="B72" s="1086"/>
      <c r="C72" s="1085" t="s">
        <v>254</v>
      </c>
      <c r="D72" s="1087" t="str">
        <f t="shared" si="1"/>
        <v/>
      </c>
      <c r="E72" s="1088" t="str">
        <f t="shared" si="2"/>
        <v/>
      </c>
      <c r="F72" s="1089" t="str">
        <f t="shared" si="3"/>
        <v/>
      </c>
      <c r="G72" s="1090" t="str">
        <f t="shared" si="4"/>
        <v/>
      </c>
      <c r="H72" s="1085" t="str">
        <f t="shared" si="5"/>
        <v/>
      </c>
      <c r="I72" s="1085" t="str">
        <f t="shared" si="6"/>
        <v/>
      </c>
      <c r="J72" s="1090" t="str">
        <f t="shared" si="7"/>
        <v/>
      </c>
      <c r="K72" s="1044" t="str">
        <f t="shared" si="8"/>
        <v/>
      </c>
      <c r="L72" s="1044" t="str">
        <f t="shared" si="9"/>
        <v/>
      </c>
      <c r="M72" s="1044" t="str">
        <f t="shared" si="10"/>
        <v/>
      </c>
      <c r="N72" s="1044" t="str">
        <f t="shared" si="11"/>
        <v/>
      </c>
      <c r="O72" s="1044">
        <f t="shared" si="12"/>
        <v>0</v>
      </c>
      <c r="P72" s="1044">
        <f t="shared" si="13"/>
        <v>0</v>
      </c>
      <c r="Q72" s="1044">
        <f t="shared" si="14"/>
        <v>0</v>
      </c>
      <c r="R72" s="1044">
        <f t="shared" si="15"/>
        <v>0</v>
      </c>
      <c r="S72" s="1044">
        <f t="shared" si="16"/>
        <v>0</v>
      </c>
      <c r="T72" s="1044">
        <f t="shared" si="17"/>
        <v>0</v>
      </c>
      <c r="U72" s="1044">
        <f t="shared" si="18"/>
        <v>0</v>
      </c>
      <c r="V72" s="1044">
        <f t="shared" si="19"/>
        <v>0</v>
      </c>
      <c r="W72" s="1044">
        <f t="shared" si="20"/>
        <v>0</v>
      </c>
      <c r="X72" s="1044">
        <f t="shared" si="21"/>
        <v>0</v>
      </c>
      <c r="Y72" s="1044">
        <f t="shared" si="22"/>
        <v>0</v>
      </c>
      <c r="Z72" s="1044">
        <f t="shared" si="23"/>
        <v>0</v>
      </c>
      <c r="AA72" s="1044">
        <f t="shared" si="24"/>
        <v>0</v>
      </c>
      <c r="AB72" s="1044">
        <f t="shared" si="25"/>
        <v>0</v>
      </c>
      <c r="AC72" s="1044">
        <f t="shared" si="26"/>
        <v>0</v>
      </c>
      <c r="AD72" s="1044">
        <f t="shared" si="27"/>
        <v>0</v>
      </c>
      <c r="AE72" s="1044">
        <f t="shared" si="28"/>
        <v>0</v>
      </c>
      <c r="AF72" s="1044">
        <f t="shared" si="29"/>
        <v>0</v>
      </c>
      <c r="AG72" s="1044">
        <f t="shared" si="30"/>
        <v>0</v>
      </c>
      <c r="AH72" s="1044">
        <f t="shared" si="31"/>
        <v>0</v>
      </c>
      <c r="AI72" s="1044">
        <f t="shared" si="32"/>
        <v>0</v>
      </c>
      <c r="AJ72" s="1044">
        <f t="shared" si="33"/>
        <v>0</v>
      </c>
      <c r="AK72" s="1044">
        <f t="shared" si="34"/>
        <v>0</v>
      </c>
      <c r="AL72" s="1044">
        <f t="shared" si="35"/>
        <v>0</v>
      </c>
      <c r="AM72" s="1044">
        <f t="shared" si="36"/>
        <v>0</v>
      </c>
      <c r="AN72" s="1044" t="str">
        <f t="shared" si="37"/>
        <v/>
      </c>
      <c r="AO72" s="1044" t="str">
        <f t="shared" si="38"/>
        <v/>
      </c>
      <c r="AP72" s="1044" t="str">
        <f t="shared" si="39"/>
        <v/>
      </c>
      <c r="AQ72" s="1044" t="str">
        <f t="shared" si="40"/>
        <v/>
      </c>
      <c r="AR72" s="1044" t="str">
        <f t="shared" si="41"/>
        <v/>
      </c>
      <c r="AS72" s="1044" t="str">
        <f t="shared" si="42"/>
        <v/>
      </c>
      <c r="AT72" s="1044" t="str">
        <f t="shared" si="43"/>
        <v/>
      </c>
      <c r="AU72" s="1044" t="str">
        <f t="shared" si="44"/>
        <v/>
      </c>
      <c r="AV72" s="1044" t="str">
        <f t="shared" si="45"/>
        <v/>
      </c>
      <c r="AW72" s="1044" t="str">
        <f t="shared" si="46"/>
        <v/>
      </c>
      <c r="AX72" s="1044" t="str">
        <f t="shared" si="47"/>
        <v/>
      </c>
      <c r="AY72" s="1044" t="str">
        <f t="shared" si="48"/>
        <v/>
      </c>
      <c r="AZ72" s="1044" t="str">
        <f t="shared" si="49"/>
        <v/>
      </c>
      <c r="BA72" s="1044" t="str">
        <f t="shared" si="50"/>
        <v/>
      </c>
      <c r="BB72" s="1044" t="str">
        <f t="shared" si="51"/>
        <v/>
      </c>
      <c r="BC72" s="1044" t="str">
        <f t="shared" si="52"/>
        <v/>
      </c>
      <c r="BF72" s="1" t="s">
        <v>7028</v>
      </c>
      <c r="BG72" s="1076" t="s">
        <v>689</v>
      </c>
      <c r="BH72" s="1" t="s">
        <v>81</v>
      </c>
      <c r="BI72" s="1" t="s">
        <v>7453</v>
      </c>
    </row>
    <row r="73" spans="1:61" ht="30" customHeight="1">
      <c r="A73" s="1085" t="str">
        <f t="shared" si="0"/>
        <v/>
      </c>
      <c r="B73" s="1086"/>
      <c r="C73" s="1085" t="s">
        <v>254</v>
      </c>
      <c r="D73" s="1087" t="str">
        <f t="shared" si="1"/>
        <v/>
      </c>
      <c r="E73" s="1088" t="str">
        <f t="shared" si="2"/>
        <v/>
      </c>
      <c r="F73" s="1089" t="str">
        <f t="shared" si="3"/>
        <v/>
      </c>
      <c r="G73" s="1090" t="str">
        <f t="shared" si="4"/>
        <v/>
      </c>
      <c r="H73" s="1085" t="str">
        <f t="shared" si="5"/>
        <v/>
      </c>
      <c r="I73" s="1085" t="str">
        <f t="shared" si="6"/>
        <v/>
      </c>
      <c r="J73" s="1090" t="str">
        <f t="shared" si="7"/>
        <v/>
      </c>
      <c r="K73" s="1044" t="str">
        <f t="shared" si="8"/>
        <v/>
      </c>
      <c r="L73" s="1044" t="str">
        <f t="shared" si="9"/>
        <v/>
      </c>
      <c r="M73" s="1044" t="str">
        <f t="shared" si="10"/>
        <v/>
      </c>
      <c r="N73" s="1044" t="str">
        <f t="shared" si="11"/>
        <v/>
      </c>
      <c r="O73" s="1044">
        <f t="shared" si="12"/>
        <v>0</v>
      </c>
      <c r="P73" s="1044">
        <f t="shared" si="13"/>
        <v>0</v>
      </c>
      <c r="Q73" s="1044">
        <f t="shared" si="14"/>
        <v>0</v>
      </c>
      <c r="R73" s="1044">
        <f t="shared" si="15"/>
        <v>0</v>
      </c>
      <c r="S73" s="1044">
        <f t="shared" si="16"/>
        <v>0</v>
      </c>
      <c r="T73" s="1044">
        <f t="shared" si="17"/>
        <v>0</v>
      </c>
      <c r="U73" s="1044">
        <f t="shared" si="18"/>
        <v>0</v>
      </c>
      <c r="V73" s="1044">
        <f t="shared" si="19"/>
        <v>0</v>
      </c>
      <c r="W73" s="1044">
        <f t="shared" si="20"/>
        <v>0</v>
      </c>
      <c r="X73" s="1044">
        <f t="shared" si="21"/>
        <v>0</v>
      </c>
      <c r="Y73" s="1044">
        <f t="shared" si="22"/>
        <v>0</v>
      </c>
      <c r="Z73" s="1044">
        <f t="shared" si="23"/>
        <v>0</v>
      </c>
      <c r="AA73" s="1044">
        <f t="shared" si="24"/>
        <v>0</v>
      </c>
      <c r="AB73" s="1044">
        <f t="shared" si="25"/>
        <v>0</v>
      </c>
      <c r="AC73" s="1044">
        <f t="shared" si="26"/>
        <v>0</v>
      </c>
      <c r="AD73" s="1044">
        <f t="shared" si="27"/>
        <v>0</v>
      </c>
      <c r="AE73" s="1044">
        <f t="shared" si="28"/>
        <v>0</v>
      </c>
      <c r="AF73" s="1044">
        <f t="shared" si="29"/>
        <v>0</v>
      </c>
      <c r="AG73" s="1044">
        <f t="shared" si="30"/>
        <v>0</v>
      </c>
      <c r="AH73" s="1044">
        <f t="shared" si="31"/>
        <v>0</v>
      </c>
      <c r="AI73" s="1044">
        <f t="shared" si="32"/>
        <v>0</v>
      </c>
      <c r="AJ73" s="1044">
        <f t="shared" si="33"/>
        <v>0</v>
      </c>
      <c r="AK73" s="1044">
        <f t="shared" si="34"/>
        <v>0</v>
      </c>
      <c r="AL73" s="1044">
        <f t="shared" si="35"/>
        <v>0</v>
      </c>
      <c r="AM73" s="1044">
        <f t="shared" si="36"/>
        <v>0</v>
      </c>
      <c r="AN73" s="1044" t="str">
        <f t="shared" si="37"/>
        <v/>
      </c>
      <c r="AO73" s="1044" t="str">
        <f t="shared" si="38"/>
        <v/>
      </c>
      <c r="AP73" s="1044" t="str">
        <f t="shared" si="39"/>
        <v/>
      </c>
      <c r="AQ73" s="1044" t="str">
        <f t="shared" si="40"/>
        <v/>
      </c>
      <c r="AR73" s="1044" t="str">
        <f t="shared" si="41"/>
        <v/>
      </c>
      <c r="AS73" s="1044" t="str">
        <f t="shared" si="42"/>
        <v/>
      </c>
      <c r="AT73" s="1044" t="str">
        <f t="shared" si="43"/>
        <v/>
      </c>
      <c r="AU73" s="1044" t="str">
        <f t="shared" si="44"/>
        <v/>
      </c>
      <c r="AV73" s="1044" t="str">
        <f t="shared" si="45"/>
        <v/>
      </c>
      <c r="AW73" s="1044" t="str">
        <f t="shared" si="46"/>
        <v/>
      </c>
      <c r="AX73" s="1044" t="str">
        <f t="shared" si="47"/>
        <v/>
      </c>
      <c r="AY73" s="1044" t="str">
        <f t="shared" si="48"/>
        <v/>
      </c>
      <c r="AZ73" s="1044" t="str">
        <f t="shared" si="49"/>
        <v/>
      </c>
      <c r="BA73" s="1044" t="str">
        <f t="shared" si="50"/>
        <v/>
      </c>
      <c r="BB73" s="1044" t="str">
        <f t="shared" si="51"/>
        <v/>
      </c>
      <c r="BC73" s="1044" t="str">
        <f t="shared" si="52"/>
        <v/>
      </c>
      <c r="BF73" s="1" t="s">
        <v>7028</v>
      </c>
      <c r="BG73" s="1076" t="s">
        <v>689</v>
      </c>
      <c r="BH73" s="1" t="s">
        <v>1696</v>
      </c>
      <c r="BI73" s="1" t="s">
        <v>7454</v>
      </c>
    </row>
    <row r="74" spans="1:61" ht="30" customHeight="1">
      <c r="A74" s="1085" t="str">
        <f t="shared" si="0"/>
        <v/>
      </c>
      <c r="B74" s="1086"/>
      <c r="C74" s="1085" t="s">
        <v>254</v>
      </c>
      <c r="D74" s="1087" t="str">
        <f t="shared" si="1"/>
        <v/>
      </c>
      <c r="E74" s="1088" t="str">
        <f t="shared" si="2"/>
        <v/>
      </c>
      <c r="F74" s="1089" t="str">
        <f t="shared" si="3"/>
        <v/>
      </c>
      <c r="G74" s="1090" t="str">
        <f t="shared" si="4"/>
        <v/>
      </c>
      <c r="H74" s="1085" t="str">
        <f t="shared" si="5"/>
        <v/>
      </c>
      <c r="I74" s="1085" t="str">
        <f t="shared" si="6"/>
        <v/>
      </c>
      <c r="J74" s="1090" t="str">
        <f t="shared" si="7"/>
        <v/>
      </c>
      <c r="K74" s="1044" t="str">
        <f t="shared" si="8"/>
        <v/>
      </c>
      <c r="L74" s="1044" t="str">
        <f t="shared" si="9"/>
        <v/>
      </c>
      <c r="M74" s="1044" t="str">
        <f t="shared" si="10"/>
        <v/>
      </c>
      <c r="N74" s="1044" t="str">
        <f t="shared" si="11"/>
        <v/>
      </c>
      <c r="O74" s="1044">
        <f t="shared" si="12"/>
        <v>0</v>
      </c>
      <c r="P74" s="1044">
        <f t="shared" si="13"/>
        <v>0</v>
      </c>
      <c r="Q74" s="1044">
        <f t="shared" si="14"/>
        <v>0</v>
      </c>
      <c r="R74" s="1044">
        <f t="shared" si="15"/>
        <v>0</v>
      </c>
      <c r="S74" s="1044">
        <f t="shared" si="16"/>
        <v>0</v>
      </c>
      <c r="T74" s="1044">
        <f t="shared" si="17"/>
        <v>0</v>
      </c>
      <c r="U74" s="1044">
        <f t="shared" si="18"/>
        <v>0</v>
      </c>
      <c r="V74" s="1044">
        <f t="shared" si="19"/>
        <v>0</v>
      </c>
      <c r="W74" s="1044">
        <f t="shared" si="20"/>
        <v>0</v>
      </c>
      <c r="X74" s="1044">
        <f t="shared" si="21"/>
        <v>0</v>
      </c>
      <c r="Y74" s="1044">
        <f t="shared" si="22"/>
        <v>0</v>
      </c>
      <c r="Z74" s="1044">
        <f t="shared" si="23"/>
        <v>0</v>
      </c>
      <c r="AA74" s="1044">
        <f t="shared" si="24"/>
        <v>0</v>
      </c>
      <c r="AB74" s="1044">
        <f t="shared" si="25"/>
        <v>0</v>
      </c>
      <c r="AC74" s="1044">
        <f t="shared" si="26"/>
        <v>0</v>
      </c>
      <c r="AD74" s="1044">
        <f t="shared" si="27"/>
        <v>0</v>
      </c>
      <c r="AE74" s="1044">
        <f t="shared" si="28"/>
        <v>0</v>
      </c>
      <c r="AF74" s="1044">
        <f t="shared" si="29"/>
        <v>0</v>
      </c>
      <c r="AG74" s="1044">
        <f t="shared" si="30"/>
        <v>0</v>
      </c>
      <c r="AH74" s="1044">
        <f t="shared" si="31"/>
        <v>0</v>
      </c>
      <c r="AI74" s="1044">
        <f t="shared" si="32"/>
        <v>0</v>
      </c>
      <c r="AJ74" s="1044">
        <f t="shared" si="33"/>
        <v>0</v>
      </c>
      <c r="AK74" s="1044">
        <f t="shared" si="34"/>
        <v>0</v>
      </c>
      <c r="AL74" s="1044">
        <f t="shared" si="35"/>
        <v>0</v>
      </c>
      <c r="AM74" s="1044">
        <f t="shared" si="36"/>
        <v>0</v>
      </c>
      <c r="AN74" s="1044" t="str">
        <f t="shared" si="37"/>
        <v/>
      </c>
      <c r="AO74" s="1044" t="str">
        <f t="shared" si="38"/>
        <v/>
      </c>
      <c r="AP74" s="1044" t="str">
        <f t="shared" si="39"/>
        <v/>
      </c>
      <c r="AQ74" s="1044" t="str">
        <f t="shared" si="40"/>
        <v/>
      </c>
      <c r="AR74" s="1044" t="str">
        <f t="shared" si="41"/>
        <v/>
      </c>
      <c r="AS74" s="1044" t="str">
        <f t="shared" si="42"/>
        <v/>
      </c>
      <c r="AT74" s="1044" t="str">
        <f t="shared" si="43"/>
        <v/>
      </c>
      <c r="AU74" s="1044" t="str">
        <f t="shared" si="44"/>
        <v/>
      </c>
      <c r="AV74" s="1044" t="str">
        <f t="shared" si="45"/>
        <v/>
      </c>
      <c r="AW74" s="1044" t="str">
        <f t="shared" si="46"/>
        <v/>
      </c>
      <c r="AX74" s="1044" t="str">
        <f t="shared" si="47"/>
        <v/>
      </c>
      <c r="AY74" s="1044" t="str">
        <f t="shared" si="48"/>
        <v/>
      </c>
      <c r="AZ74" s="1044" t="str">
        <f t="shared" si="49"/>
        <v/>
      </c>
      <c r="BA74" s="1044" t="str">
        <f t="shared" si="50"/>
        <v/>
      </c>
      <c r="BB74" s="1044" t="str">
        <f t="shared" si="51"/>
        <v/>
      </c>
      <c r="BC74" s="1044" t="str">
        <f t="shared" si="52"/>
        <v/>
      </c>
      <c r="BF74" s="1" t="s">
        <v>7028</v>
      </c>
      <c r="BG74" s="1076" t="s">
        <v>689</v>
      </c>
      <c r="BH74" s="1" t="s">
        <v>1703</v>
      </c>
      <c r="BI74" s="1" t="s">
        <v>7455</v>
      </c>
    </row>
    <row r="75" spans="1:61" ht="30" customHeight="1">
      <c r="A75" s="1085" t="str">
        <f t="shared" si="0"/>
        <v/>
      </c>
      <c r="B75" s="1086"/>
      <c r="C75" s="1085" t="s">
        <v>254</v>
      </c>
      <c r="D75" s="1087" t="str">
        <f t="shared" si="1"/>
        <v/>
      </c>
      <c r="E75" s="1088" t="str">
        <f t="shared" si="2"/>
        <v/>
      </c>
      <c r="F75" s="1089" t="str">
        <f t="shared" si="3"/>
        <v/>
      </c>
      <c r="G75" s="1090" t="str">
        <f t="shared" si="4"/>
        <v/>
      </c>
      <c r="H75" s="1085" t="str">
        <f t="shared" si="5"/>
        <v/>
      </c>
      <c r="I75" s="1085" t="str">
        <f t="shared" si="6"/>
        <v/>
      </c>
      <c r="J75" s="1090" t="str">
        <f t="shared" si="7"/>
        <v/>
      </c>
      <c r="K75" s="1044" t="str">
        <f t="shared" si="8"/>
        <v/>
      </c>
      <c r="L75" s="1044" t="str">
        <f t="shared" si="9"/>
        <v/>
      </c>
      <c r="M75" s="1044" t="str">
        <f t="shared" si="10"/>
        <v/>
      </c>
      <c r="N75" s="1044" t="str">
        <f t="shared" si="11"/>
        <v/>
      </c>
      <c r="O75" s="1044">
        <f t="shared" si="12"/>
        <v>0</v>
      </c>
      <c r="P75" s="1044">
        <f t="shared" si="13"/>
        <v>0</v>
      </c>
      <c r="Q75" s="1044">
        <f t="shared" si="14"/>
        <v>0</v>
      </c>
      <c r="R75" s="1044">
        <f t="shared" si="15"/>
        <v>0</v>
      </c>
      <c r="S75" s="1044">
        <f t="shared" si="16"/>
        <v>0</v>
      </c>
      <c r="T75" s="1044">
        <f t="shared" si="17"/>
        <v>0</v>
      </c>
      <c r="U75" s="1044">
        <f t="shared" si="18"/>
        <v>0</v>
      </c>
      <c r="V75" s="1044">
        <f t="shared" si="19"/>
        <v>0</v>
      </c>
      <c r="W75" s="1044">
        <f t="shared" si="20"/>
        <v>0</v>
      </c>
      <c r="X75" s="1044">
        <f t="shared" si="21"/>
        <v>0</v>
      </c>
      <c r="Y75" s="1044">
        <f t="shared" si="22"/>
        <v>0</v>
      </c>
      <c r="Z75" s="1044">
        <f t="shared" si="23"/>
        <v>0</v>
      </c>
      <c r="AA75" s="1044">
        <f t="shared" si="24"/>
        <v>0</v>
      </c>
      <c r="AB75" s="1044">
        <f t="shared" si="25"/>
        <v>0</v>
      </c>
      <c r="AC75" s="1044">
        <f t="shared" si="26"/>
        <v>0</v>
      </c>
      <c r="AD75" s="1044">
        <f t="shared" si="27"/>
        <v>0</v>
      </c>
      <c r="AE75" s="1044">
        <f t="shared" si="28"/>
        <v>0</v>
      </c>
      <c r="AF75" s="1044">
        <f t="shared" si="29"/>
        <v>0</v>
      </c>
      <c r="AG75" s="1044">
        <f t="shared" si="30"/>
        <v>0</v>
      </c>
      <c r="AH75" s="1044">
        <f t="shared" si="31"/>
        <v>0</v>
      </c>
      <c r="AI75" s="1044">
        <f t="shared" si="32"/>
        <v>0</v>
      </c>
      <c r="AJ75" s="1044">
        <f t="shared" si="33"/>
        <v>0</v>
      </c>
      <c r="AK75" s="1044">
        <f t="shared" si="34"/>
        <v>0</v>
      </c>
      <c r="AL75" s="1044">
        <f t="shared" si="35"/>
        <v>0</v>
      </c>
      <c r="AM75" s="1044">
        <f t="shared" si="36"/>
        <v>0</v>
      </c>
      <c r="AN75" s="1044" t="str">
        <f t="shared" si="37"/>
        <v/>
      </c>
      <c r="AO75" s="1044" t="str">
        <f t="shared" si="38"/>
        <v/>
      </c>
      <c r="AP75" s="1044" t="str">
        <f t="shared" si="39"/>
        <v/>
      </c>
      <c r="AQ75" s="1044" t="str">
        <f t="shared" si="40"/>
        <v/>
      </c>
      <c r="AR75" s="1044" t="str">
        <f t="shared" si="41"/>
        <v/>
      </c>
      <c r="AS75" s="1044" t="str">
        <f t="shared" si="42"/>
        <v/>
      </c>
      <c r="AT75" s="1044" t="str">
        <f t="shared" si="43"/>
        <v/>
      </c>
      <c r="AU75" s="1044" t="str">
        <f t="shared" si="44"/>
        <v/>
      </c>
      <c r="AV75" s="1044" t="str">
        <f t="shared" si="45"/>
        <v/>
      </c>
      <c r="AW75" s="1044" t="str">
        <f t="shared" si="46"/>
        <v/>
      </c>
      <c r="AX75" s="1044" t="str">
        <f t="shared" si="47"/>
        <v/>
      </c>
      <c r="AY75" s="1044" t="str">
        <f t="shared" si="48"/>
        <v/>
      </c>
      <c r="AZ75" s="1044" t="str">
        <f t="shared" si="49"/>
        <v/>
      </c>
      <c r="BA75" s="1044" t="str">
        <f t="shared" si="50"/>
        <v/>
      </c>
      <c r="BB75" s="1044" t="str">
        <f t="shared" si="51"/>
        <v/>
      </c>
      <c r="BC75" s="1044" t="str">
        <f t="shared" si="52"/>
        <v/>
      </c>
      <c r="BF75" s="1" t="s">
        <v>7028</v>
      </c>
      <c r="BG75" s="1076" t="s">
        <v>689</v>
      </c>
      <c r="BH75" s="1" t="s">
        <v>7067</v>
      </c>
      <c r="BI75" s="1" t="s">
        <v>7456</v>
      </c>
    </row>
    <row r="76" spans="1:61" ht="30" customHeight="1">
      <c r="A76" s="1085" t="str">
        <f t="shared" si="0"/>
        <v/>
      </c>
      <c r="B76" s="1086"/>
      <c r="C76" s="1085" t="s">
        <v>254</v>
      </c>
      <c r="D76" s="1087" t="str">
        <f t="shared" si="1"/>
        <v/>
      </c>
      <c r="E76" s="1088" t="str">
        <f t="shared" si="2"/>
        <v/>
      </c>
      <c r="F76" s="1089" t="str">
        <f t="shared" si="3"/>
        <v/>
      </c>
      <c r="G76" s="1090" t="str">
        <f t="shared" si="4"/>
        <v/>
      </c>
      <c r="H76" s="1085" t="str">
        <f t="shared" si="5"/>
        <v/>
      </c>
      <c r="I76" s="1085" t="str">
        <f t="shared" si="6"/>
        <v/>
      </c>
      <c r="J76" s="1090" t="str">
        <f t="shared" si="7"/>
        <v/>
      </c>
      <c r="K76" s="1044" t="str">
        <f t="shared" si="8"/>
        <v/>
      </c>
      <c r="L76" s="1044" t="str">
        <f t="shared" si="9"/>
        <v/>
      </c>
      <c r="M76" s="1044" t="str">
        <f t="shared" si="10"/>
        <v/>
      </c>
      <c r="N76" s="1044" t="str">
        <f t="shared" si="11"/>
        <v/>
      </c>
      <c r="O76" s="1044">
        <f t="shared" si="12"/>
        <v>0</v>
      </c>
      <c r="P76" s="1044">
        <f t="shared" si="13"/>
        <v>0</v>
      </c>
      <c r="Q76" s="1044">
        <f t="shared" si="14"/>
        <v>0</v>
      </c>
      <c r="R76" s="1044">
        <f t="shared" si="15"/>
        <v>0</v>
      </c>
      <c r="S76" s="1044">
        <f t="shared" si="16"/>
        <v>0</v>
      </c>
      <c r="T76" s="1044">
        <f t="shared" si="17"/>
        <v>0</v>
      </c>
      <c r="U76" s="1044">
        <f t="shared" si="18"/>
        <v>0</v>
      </c>
      <c r="V76" s="1044">
        <f t="shared" si="19"/>
        <v>0</v>
      </c>
      <c r="W76" s="1044">
        <f t="shared" si="20"/>
        <v>0</v>
      </c>
      <c r="X76" s="1044">
        <f t="shared" si="21"/>
        <v>0</v>
      </c>
      <c r="Y76" s="1044">
        <f t="shared" si="22"/>
        <v>0</v>
      </c>
      <c r="Z76" s="1044">
        <f t="shared" si="23"/>
        <v>0</v>
      </c>
      <c r="AA76" s="1044">
        <f t="shared" si="24"/>
        <v>0</v>
      </c>
      <c r="AB76" s="1044">
        <f t="shared" si="25"/>
        <v>0</v>
      </c>
      <c r="AC76" s="1044">
        <f t="shared" si="26"/>
        <v>0</v>
      </c>
      <c r="AD76" s="1044">
        <f t="shared" si="27"/>
        <v>0</v>
      </c>
      <c r="AE76" s="1044">
        <f t="shared" si="28"/>
        <v>0</v>
      </c>
      <c r="AF76" s="1044">
        <f t="shared" si="29"/>
        <v>0</v>
      </c>
      <c r="AG76" s="1044">
        <f t="shared" si="30"/>
        <v>0</v>
      </c>
      <c r="AH76" s="1044">
        <f t="shared" si="31"/>
        <v>0</v>
      </c>
      <c r="AI76" s="1044">
        <f t="shared" si="32"/>
        <v>0</v>
      </c>
      <c r="AJ76" s="1044">
        <f t="shared" si="33"/>
        <v>0</v>
      </c>
      <c r="AK76" s="1044">
        <f t="shared" si="34"/>
        <v>0</v>
      </c>
      <c r="AL76" s="1044">
        <f t="shared" si="35"/>
        <v>0</v>
      </c>
      <c r="AM76" s="1044">
        <f t="shared" si="36"/>
        <v>0</v>
      </c>
      <c r="AN76" s="1044" t="str">
        <f t="shared" si="37"/>
        <v/>
      </c>
      <c r="AO76" s="1044" t="str">
        <f t="shared" si="38"/>
        <v/>
      </c>
      <c r="AP76" s="1044" t="str">
        <f t="shared" si="39"/>
        <v/>
      </c>
      <c r="AQ76" s="1044" t="str">
        <f t="shared" si="40"/>
        <v/>
      </c>
      <c r="AR76" s="1044" t="str">
        <f t="shared" si="41"/>
        <v/>
      </c>
      <c r="AS76" s="1044" t="str">
        <f t="shared" si="42"/>
        <v/>
      </c>
      <c r="AT76" s="1044" t="str">
        <f t="shared" si="43"/>
        <v/>
      </c>
      <c r="AU76" s="1044" t="str">
        <f t="shared" si="44"/>
        <v/>
      </c>
      <c r="AV76" s="1044" t="str">
        <f t="shared" si="45"/>
        <v/>
      </c>
      <c r="AW76" s="1044" t="str">
        <f t="shared" si="46"/>
        <v/>
      </c>
      <c r="AX76" s="1044" t="str">
        <f t="shared" si="47"/>
        <v/>
      </c>
      <c r="AY76" s="1044" t="str">
        <f t="shared" si="48"/>
        <v/>
      </c>
      <c r="AZ76" s="1044" t="str">
        <f t="shared" si="49"/>
        <v/>
      </c>
      <c r="BA76" s="1044" t="str">
        <f t="shared" si="50"/>
        <v/>
      </c>
      <c r="BB76" s="1044" t="str">
        <f t="shared" si="51"/>
        <v/>
      </c>
      <c r="BC76" s="1044" t="str">
        <f t="shared" si="52"/>
        <v/>
      </c>
      <c r="BF76" s="1" t="s">
        <v>7028</v>
      </c>
      <c r="BG76" s="1076" t="s">
        <v>689</v>
      </c>
      <c r="BH76" s="1" t="s">
        <v>93</v>
      </c>
      <c r="BI76" s="1" t="s">
        <v>7457</v>
      </c>
    </row>
    <row r="77" spans="1:61" ht="30" customHeight="1">
      <c r="A77" s="1085" t="str">
        <f t="shared" si="0"/>
        <v/>
      </c>
      <c r="B77" s="1086"/>
      <c r="C77" s="1085" t="s">
        <v>254</v>
      </c>
      <c r="D77" s="1087" t="str">
        <f t="shared" si="1"/>
        <v/>
      </c>
      <c r="E77" s="1088" t="str">
        <f t="shared" si="2"/>
        <v/>
      </c>
      <c r="F77" s="1089" t="str">
        <f t="shared" si="3"/>
        <v/>
      </c>
      <c r="G77" s="1090" t="str">
        <f t="shared" si="4"/>
        <v/>
      </c>
      <c r="H77" s="1085" t="str">
        <f t="shared" si="5"/>
        <v/>
      </c>
      <c r="I77" s="1085" t="str">
        <f t="shared" si="6"/>
        <v/>
      </c>
      <c r="J77" s="1090" t="str">
        <f t="shared" si="7"/>
        <v/>
      </c>
      <c r="K77" s="1044" t="str">
        <f t="shared" si="8"/>
        <v/>
      </c>
      <c r="L77" s="1044" t="str">
        <f t="shared" si="9"/>
        <v/>
      </c>
      <c r="M77" s="1044" t="str">
        <f t="shared" si="10"/>
        <v/>
      </c>
      <c r="N77" s="1044" t="str">
        <f t="shared" si="11"/>
        <v/>
      </c>
      <c r="O77" s="1044">
        <f t="shared" si="12"/>
        <v>0</v>
      </c>
      <c r="P77" s="1044">
        <f t="shared" si="13"/>
        <v>0</v>
      </c>
      <c r="Q77" s="1044">
        <f t="shared" si="14"/>
        <v>0</v>
      </c>
      <c r="R77" s="1044">
        <f t="shared" si="15"/>
        <v>0</v>
      </c>
      <c r="S77" s="1044">
        <f t="shared" si="16"/>
        <v>0</v>
      </c>
      <c r="T77" s="1044">
        <f t="shared" si="17"/>
        <v>0</v>
      </c>
      <c r="U77" s="1044">
        <f t="shared" si="18"/>
        <v>0</v>
      </c>
      <c r="V77" s="1044">
        <f t="shared" si="19"/>
        <v>0</v>
      </c>
      <c r="W77" s="1044">
        <f t="shared" si="20"/>
        <v>0</v>
      </c>
      <c r="X77" s="1044">
        <f t="shared" si="21"/>
        <v>0</v>
      </c>
      <c r="Y77" s="1044">
        <f t="shared" si="22"/>
        <v>0</v>
      </c>
      <c r="Z77" s="1044">
        <f t="shared" si="23"/>
        <v>0</v>
      </c>
      <c r="AA77" s="1044">
        <f t="shared" si="24"/>
        <v>0</v>
      </c>
      <c r="AB77" s="1044">
        <f t="shared" si="25"/>
        <v>0</v>
      </c>
      <c r="AC77" s="1044">
        <f t="shared" si="26"/>
        <v>0</v>
      </c>
      <c r="AD77" s="1044">
        <f t="shared" si="27"/>
        <v>0</v>
      </c>
      <c r="AE77" s="1044">
        <f t="shared" si="28"/>
        <v>0</v>
      </c>
      <c r="AF77" s="1044">
        <f t="shared" si="29"/>
        <v>0</v>
      </c>
      <c r="AG77" s="1044">
        <f t="shared" si="30"/>
        <v>0</v>
      </c>
      <c r="AH77" s="1044">
        <f t="shared" si="31"/>
        <v>0</v>
      </c>
      <c r="AI77" s="1044">
        <f t="shared" si="32"/>
        <v>0</v>
      </c>
      <c r="AJ77" s="1044">
        <f t="shared" si="33"/>
        <v>0</v>
      </c>
      <c r="AK77" s="1044">
        <f t="shared" si="34"/>
        <v>0</v>
      </c>
      <c r="AL77" s="1044">
        <f t="shared" si="35"/>
        <v>0</v>
      </c>
      <c r="AM77" s="1044">
        <f t="shared" si="36"/>
        <v>0</v>
      </c>
      <c r="AN77" s="1044" t="str">
        <f t="shared" si="37"/>
        <v/>
      </c>
      <c r="AO77" s="1044" t="str">
        <f t="shared" si="38"/>
        <v/>
      </c>
      <c r="AP77" s="1044" t="str">
        <f t="shared" si="39"/>
        <v/>
      </c>
      <c r="AQ77" s="1044" t="str">
        <f t="shared" si="40"/>
        <v/>
      </c>
      <c r="AR77" s="1044" t="str">
        <f t="shared" si="41"/>
        <v/>
      </c>
      <c r="AS77" s="1044" t="str">
        <f t="shared" si="42"/>
        <v/>
      </c>
      <c r="AT77" s="1044" t="str">
        <f t="shared" si="43"/>
        <v/>
      </c>
      <c r="AU77" s="1044" t="str">
        <f t="shared" si="44"/>
        <v/>
      </c>
      <c r="AV77" s="1044" t="str">
        <f t="shared" si="45"/>
        <v/>
      </c>
      <c r="AW77" s="1044" t="str">
        <f t="shared" si="46"/>
        <v/>
      </c>
      <c r="AX77" s="1044" t="str">
        <f t="shared" si="47"/>
        <v/>
      </c>
      <c r="AY77" s="1044" t="str">
        <f t="shared" si="48"/>
        <v/>
      </c>
      <c r="AZ77" s="1044" t="str">
        <f t="shared" si="49"/>
        <v/>
      </c>
      <c r="BA77" s="1044" t="str">
        <f t="shared" si="50"/>
        <v/>
      </c>
      <c r="BB77" s="1044" t="str">
        <f t="shared" si="51"/>
        <v/>
      </c>
      <c r="BC77" s="1044" t="str">
        <f t="shared" si="52"/>
        <v/>
      </c>
      <c r="BF77" s="1" t="s">
        <v>7028</v>
      </c>
      <c r="BG77" s="1076" t="s">
        <v>689</v>
      </c>
      <c r="BH77" s="1" t="s">
        <v>1760</v>
      </c>
      <c r="BI77" s="1" t="s">
        <v>7458</v>
      </c>
    </row>
    <row r="78" spans="1:61" ht="30" customHeight="1">
      <c r="A78" s="1085" t="str">
        <f t="shared" si="0"/>
        <v/>
      </c>
      <c r="B78" s="1086"/>
      <c r="C78" s="1085" t="s">
        <v>254</v>
      </c>
      <c r="D78" s="1087" t="str">
        <f t="shared" si="1"/>
        <v/>
      </c>
      <c r="E78" s="1088" t="str">
        <f t="shared" si="2"/>
        <v/>
      </c>
      <c r="F78" s="1089" t="str">
        <f t="shared" si="3"/>
        <v/>
      </c>
      <c r="G78" s="1090" t="str">
        <f t="shared" si="4"/>
        <v/>
      </c>
      <c r="H78" s="1085" t="str">
        <f t="shared" si="5"/>
        <v/>
      </c>
      <c r="I78" s="1085" t="str">
        <f t="shared" si="6"/>
        <v/>
      </c>
      <c r="J78" s="1090" t="str">
        <f t="shared" si="7"/>
        <v/>
      </c>
      <c r="K78" s="1044" t="str">
        <f t="shared" si="8"/>
        <v/>
      </c>
      <c r="L78" s="1044" t="str">
        <f t="shared" si="9"/>
        <v/>
      </c>
      <c r="M78" s="1044" t="str">
        <f t="shared" si="10"/>
        <v/>
      </c>
      <c r="N78" s="1044" t="str">
        <f t="shared" si="11"/>
        <v/>
      </c>
      <c r="O78" s="1044">
        <f t="shared" si="12"/>
        <v>0</v>
      </c>
      <c r="P78" s="1044">
        <f t="shared" si="13"/>
        <v>0</v>
      </c>
      <c r="Q78" s="1044">
        <f t="shared" si="14"/>
        <v>0</v>
      </c>
      <c r="R78" s="1044">
        <f t="shared" si="15"/>
        <v>0</v>
      </c>
      <c r="S78" s="1044">
        <f t="shared" si="16"/>
        <v>0</v>
      </c>
      <c r="T78" s="1044">
        <f t="shared" si="17"/>
        <v>0</v>
      </c>
      <c r="U78" s="1044">
        <f t="shared" si="18"/>
        <v>0</v>
      </c>
      <c r="V78" s="1044">
        <f t="shared" si="19"/>
        <v>0</v>
      </c>
      <c r="W78" s="1044">
        <f t="shared" si="20"/>
        <v>0</v>
      </c>
      <c r="X78" s="1044">
        <f t="shared" si="21"/>
        <v>0</v>
      </c>
      <c r="Y78" s="1044">
        <f t="shared" si="22"/>
        <v>0</v>
      </c>
      <c r="Z78" s="1044">
        <f t="shared" si="23"/>
        <v>0</v>
      </c>
      <c r="AA78" s="1044">
        <f t="shared" si="24"/>
        <v>0</v>
      </c>
      <c r="AB78" s="1044">
        <f t="shared" si="25"/>
        <v>0</v>
      </c>
      <c r="AC78" s="1044">
        <f t="shared" si="26"/>
        <v>0</v>
      </c>
      <c r="AD78" s="1044">
        <f t="shared" si="27"/>
        <v>0</v>
      </c>
      <c r="AE78" s="1044">
        <f t="shared" si="28"/>
        <v>0</v>
      </c>
      <c r="AF78" s="1044">
        <f t="shared" si="29"/>
        <v>0</v>
      </c>
      <c r="AG78" s="1044">
        <f t="shared" si="30"/>
        <v>0</v>
      </c>
      <c r="AH78" s="1044">
        <f t="shared" si="31"/>
        <v>0</v>
      </c>
      <c r="AI78" s="1044">
        <f t="shared" si="32"/>
        <v>0</v>
      </c>
      <c r="AJ78" s="1044">
        <f t="shared" si="33"/>
        <v>0</v>
      </c>
      <c r="AK78" s="1044">
        <f t="shared" si="34"/>
        <v>0</v>
      </c>
      <c r="AL78" s="1044">
        <f t="shared" si="35"/>
        <v>0</v>
      </c>
      <c r="AM78" s="1044">
        <f t="shared" si="36"/>
        <v>0</v>
      </c>
      <c r="AN78" s="1044" t="str">
        <f t="shared" si="37"/>
        <v/>
      </c>
      <c r="AO78" s="1044" t="str">
        <f t="shared" si="38"/>
        <v/>
      </c>
      <c r="AP78" s="1044" t="str">
        <f t="shared" si="39"/>
        <v/>
      </c>
      <c r="AQ78" s="1044" t="str">
        <f t="shared" si="40"/>
        <v/>
      </c>
      <c r="AR78" s="1044" t="str">
        <f t="shared" si="41"/>
        <v/>
      </c>
      <c r="AS78" s="1044" t="str">
        <f t="shared" si="42"/>
        <v/>
      </c>
      <c r="AT78" s="1044" t="str">
        <f t="shared" si="43"/>
        <v/>
      </c>
      <c r="AU78" s="1044" t="str">
        <f t="shared" si="44"/>
        <v/>
      </c>
      <c r="AV78" s="1044" t="str">
        <f t="shared" si="45"/>
        <v/>
      </c>
      <c r="AW78" s="1044" t="str">
        <f t="shared" si="46"/>
        <v/>
      </c>
      <c r="AX78" s="1044" t="str">
        <f t="shared" si="47"/>
        <v/>
      </c>
      <c r="AY78" s="1044" t="str">
        <f t="shared" si="48"/>
        <v/>
      </c>
      <c r="AZ78" s="1044" t="str">
        <f t="shared" si="49"/>
        <v/>
      </c>
      <c r="BA78" s="1044" t="str">
        <f t="shared" si="50"/>
        <v/>
      </c>
      <c r="BB78" s="1044" t="str">
        <f t="shared" si="51"/>
        <v/>
      </c>
      <c r="BC78" s="1044" t="str">
        <f t="shared" si="52"/>
        <v/>
      </c>
      <c r="BF78" s="1" t="s">
        <v>7028</v>
      </c>
      <c r="BG78" s="1076" t="s">
        <v>689</v>
      </c>
      <c r="BH78" s="1" t="s">
        <v>105</v>
      </c>
      <c r="BI78" s="1" t="s">
        <v>7459</v>
      </c>
    </row>
    <row r="79" spans="1:61" ht="30" customHeight="1">
      <c r="A79" s="1085" t="str">
        <f t="shared" si="0"/>
        <v/>
      </c>
      <c r="B79" s="1086"/>
      <c r="C79" s="1085" t="s">
        <v>254</v>
      </c>
      <c r="D79" s="1087" t="str">
        <f t="shared" si="1"/>
        <v/>
      </c>
      <c r="E79" s="1088" t="str">
        <f t="shared" si="2"/>
        <v/>
      </c>
      <c r="F79" s="1089" t="str">
        <f t="shared" si="3"/>
        <v/>
      </c>
      <c r="G79" s="1090" t="str">
        <f t="shared" si="4"/>
        <v/>
      </c>
      <c r="H79" s="1085" t="str">
        <f t="shared" si="5"/>
        <v/>
      </c>
      <c r="I79" s="1085" t="str">
        <f t="shared" si="6"/>
        <v/>
      </c>
      <c r="J79" s="1090" t="str">
        <f t="shared" si="7"/>
        <v/>
      </c>
      <c r="K79" s="1044" t="str">
        <f t="shared" si="8"/>
        <v/>
      </c>
      <c r="L79" s="1044" t="str">
        <f t="shared" si="9"/>
        <v/>
      </c>
      <c r="M79" s="1044" t="str">
        <f t="shared" si="10"/>
        <v/>
      </c>
      <c r="N79" s="1044" t="str">
        <f t="shared" si="11"/>
        <v/>
      </c>
      <c r="O79" s="1044">
        <f t="shared" si="12"/>
        <v>0</v>
      </c>
      <c r="P79" s="1044">
        <f t="shared" si="13"/>
        <v>0</v>
      </c>
      <c r="Q79" s="1044">
        <f t="shared" si="14"/>
        <v>0</v>
      </c>
      <c r="R79" s="1044">
        <f t="shared" si="15"/>
        <v>0</v>
      </c>
      <c r="S79" s="1044">
        <f t="shared" si="16"/>
        <v>0</v>
      </c>
      <c r="T79" s="1044">
        <f t="shared" si="17"/>
        <v>0</v>
      </c>
      <c r="U79" s="1044">
        <f t="shared" si="18"/>
        <v>0</v>
      </c>
      <c r="V79" s="1044">
        <f t="shared" si="19"/>
        <v>0</v>
      </c>
      <c r="W79" s="1044">
        <f t="shared" si="20"/>
        <v>0</v>
      </c>
      <c r="X79" s="1044">
        <f t="shared" si="21"/>
        <v>0</v>
      </c>
      <c r="Y79" s="1044">
        <f t="shared" si="22"/>
        <v>0</v>
      </c>
      <c r="Z79" s="1044">
        <f t="shared" si="23"/>
        <v>0</v>
      </c>
      <c r="AA79" s="1044">
        <f t="shared" si="24"/>
        <v>0</v>
      </c>
      <c r="AB79" s="1044">
        <f t="shared" si="25"/>
        <v>0</v>
      </c>
      <c r="AC79" s="1044">
        <f t="shared" si="26"/>
        <v>0</v>
      </c>
      <c r="AD79" s="1044">
        <f t="shared" si="27"/>
        <v>0</v>
      </c>
      <c r="AE79" s="1044">
        <f t="shared" si="28"/>
        <v>0</v>
      </c>
      <c r="AF79" s="1044">
        <f t="shared" si="29"/>
        <v>0</v>
      </c>
      <c r="AG79" s="1044">
        <f t="shared" si="30"/>
        <v>0</v>
      </c>
      <c r="AH79" s="1044">
        <f t="shared" si="31"/>
        <v>0</v>
      </c>
      <c r="AI79" s="1044">
        <f t="shared" si="32"/>
        <v>0</v>
      </c>
      <c r="AJ79" s="1044">
        <f t="shared" si="33"/>
        <v>0</v>
      </c>
      <c r="AK79" s="1044">
        <f t="shared" si="34"/>
        <v>0</v>
      </c>
      <c r="AL79" s="1044">
        <f t="shared" si="35"/>
        <v>0</v>
      </c>
      <c r="AM79" s="1044">
        <f t="shared" si="36"/>
        <v>0</v>
      </c>
      <c r="AN79" s="1044" t="str">
        <f t="shared" si="37"/>
        <v/>
      </c>
      <c r="AO79" s="1044" t="str">
        <f t="shared" si="38"/>
        <v/>
      </c>
      <c r="AP79" s="1044" t="str">
        <f t="shared" si="39"/>
        <v/>
      </c>
      <c r="AQ79" s="1044" t="str">
        <f t="shared" si="40"/>
        <v/>
      </c>
      <c r="AR79" s="1044" t="str">
        <f t="shared" si="41"/>
        <v/>
      </c>
      <c r="AS79" s="1044" t="str">
        <f t="shared" si="42"/>
        <v/>
      </c>
      <c r="AT79" s="1044" t="str">
        <f t="shared" si="43"/>
        <v/>
      </c>
      <c r="AU79" s="1044" t="str">
        <f t="shared" si="44"/>
        <v/>
      </c>
      <c r="AV79" s="1044" t="str">
        <f t="shared" si="45"/>
        <v/>
      </c>
      <c r="AW79" s="1044" t="str">
        <f t="shared" si="46"/>
        <v/>
      </c>
      <c r="AX79" s="1044" t="str">
        <f t="shared" si="47"/>
        <v/>
      </c>
      <c r="AY79" s="1044" t="str">
        <f t="shared" si="48"/>
        <v/>
      </c>
      <c r="AZ79" s="1044" t="str">
        <f t="shared" si="49"/>
        <v/>
      </c>
      <c r="BA79" s="1044" t="str">
        <f t="shared" si="50"/>
        <v/>
      </c>
      <c r="BB79" s="1044" t="str">
        <f t="shared" si="51"/>
        <v/>
      </c>
      <c r="BC79" s="1044" t="str">
        <f t="shared" si="52"/>
        <v/>
      </c>
      <c r="BF79" s="1" t="s">
        <v>7028</v>
      </c>
      <c r="BG79" s="1076" t="s">
        <v>689</v>
      </c>
      <c r="BH79" s="1" t="s">
        <v>290</v>
      </c>
      <c r="BI79" s="1" t="s">
        <v>7460</v>
      </c>
    </row>
    <row r="80" spans="1:61" ht="30" customHeight="1">
      <c r="A80" s="1085" t="str">
        <f t="shared" ref="A80:A143" si="53">IF(B80="","",ROW())</f>
        <v/>
      </c>
      <c r="B80" s="1086"/>
      <c r="C80" s="1085" t="s">
        <v>254</v>
      </c>
      <c r="D80" s="1087" t="str">
        <f t="shared" ref="D80:D143" si="54">IF(B80="","",TRIM(SUBSTITUTE(B80,"*",""))&amp;IF(COUNTIF(E80,"*⚠*")&gt;0," *",""))</f>
        <v/>
      </c>
      <c r="E80" s="1088" t="str">
        <f t="shared" ref="E80:E143" si="55">IF(B80="","",MID(IF(AN80&lt;&gt;""," • "&amp;AN80,"")&amp;IF(AP80&lt;&gt;""," • "&amp;AP80,"")&amp;IF(AQ80&lt;&gt;""," • "&amp;AQ80,"")&amp;IF(AR80&lt;&gt;""," • "&amp;AR80,"")&amp;IF(AS80&lt;&gt;""," • "&amp;AS80,"")&amp;IF(AT80&lt;&gt;""," • "&amp;AT80,"")&amp;IF(AU80&lt;&gt;""," • "&amp;AU80,"")&amp;IF(AW80&lt;&gt;""," • "&amp;AW80,"")&amp;IF(AX80&lt;&gt;""," • "&amp;AX80,"")&amp;IF(AY80&lt;&gt;""," • "&amp;AY80,"")&amp;IF(AZ80&lt;&gt;""," • "&amp;AZ80,"")&amp;IF(BA80&lt;&gt;""," • "&amp;BA80,"")&amp;IF(BB80&lt;&gt;""," • "&amp;BB80,"")&amp;IF(BC80&lt;&gt;""," • "&amp;BC80,""),4,32767))</f>
        <v/>
      </c>
      <c r="F80" s="1089" t="str">
        <f t="shared" ref="F80:F143" si="56">IF(B80="","",TRIM(B80)&amp;IF(H80&gt;0," *",""))</f>
        <v/>
      </c>
      <c r="G80" s="1090" t="str">
        <f t="shared" ref="G80:G143" si="57">IF(B80="","",MID(IF(AO80&lt;&gt;""," • "&amp;AO80,"")&amp;IF(AV80&lt;&gt;""," • "&amp;AV80,""),4,32767))</f>
        <v/>
      </c>
      <c r="H80" s="1085" t="str">
        <f t="shared" ref="H80:H143" si="58">IF(B80="","",--(AN80&lt;&gt;"")+--(AP80&lt;&gt;"")+--(AQ80&lt;&gt;"")+--(AR80&lt;&gt;"")+--(AS80&lt;&gt;"")+--(AT80&lt;&gt;"")+--(AU80&lt;&gt;"")+--(AW80&lt;&gt;"")+--(AX80&lt;&gt;"")+--(AY80&lt;&gt;"")+--(AZ80&lt;&gt;"")+--(BA80&lt;&gt;"")+--(BB80&lt;&gt;"")+--(BC80&lt;&gt;""))</f>
        <v/>
      </c>
      <c r="I80" s="1085" t="str">
        <f t="shared" ref="I80:I143" si="59">IF(B80="","",--(AO80&lt;&gt;"")+--(AV80&lt;&gt;""))</f>
        <v/>
      </c>
      <c r="J80" s="1090" t="str">
        <f t="shared" ref="J80:J143" si="60">IF(B80="","",IF(E80&lt;&gt;"",E80,IF(G80&lt;&gt;"",G80,"aucun match")))</f>
        <v/>
      </c>
      <c r="K80" s="1044" t="str">
        <f t="shared" ref="K80:K143" si="61">IF(B80="","",LOWER(B80))</f>
        <v/>
      </c>
      <c r="L80" s="1044" t="str">
        <f t="shared" ref="L80:L143" si="62">IF(K80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K80,"œ","oe"),"æ","ae"),"à","a"),"á","a"),"â","a"),"ä","a"),"ã","a"),"å","a"),"ç","c"),"è","e"),"é","e"),"ê","e"),"ë","e"),"ì","i"),"í","i"),"î","i"),"ï","i"),"ñ","n"),"ò","o"),"ó","o"),"ô","o"),"ö","o"),"õ","o"),"ù","u"),"ú","u"),"û","u"),"ü","u"),"ý","y"),"ÿ","y"))</f>
        <v/>
      </c>
      <c r="M80" s="1044" t="str">
        <f t="shared" ref="M80:M143" si="63">IF(L80="","",SUBSTITUTE(SUBSTITUTE(SUBSTITUTE(SUBSTITUTE(SUBSTITUTE(SUBSTITUTE(SUBSTITUTE(SUBSTITUTE(SUBSTITUTE(SUBSTITUTE(SUBSTITUTE(SUBSTITUTE(SUBSTITUTE(SUBSTITUTE(SUBSTITUTE(SUBSTITUTE(SUBSTITUTE(L80,CHAR(10)," "),CHAR(13)," "),","," "),"."," "),":"," "),"/"," "),"-"," "),"_"," "),CHAR(34)," "),CHAR(40)," "),CHAR(41)," "),CHAR(39)," "),"?"," "),"!"," "),"+"," "),"*"," "),"&amp;"," "))</f>
        <v/>
      </c>
      <c r="N80" s="1044" t="str">
        <f t="shared" ref="N80:N143" si="64">IF(M80="",""," "&amp;TRIM(SUBSTITUTE(SUBSTITUTE(SUBSTITUTE(M80,"  "," "),"  "," "),"  "," "))&amp;" ")</f>
        <v/>
      </c>
      <c r="O80" s="1044">
        <f t="shared" ref="O80:O143" si="65">IF($B80="",0,SUMPRODUCT(($BF$2:$BF$793="Gluten")*($BG$2:$BG$793="INFO")*(COUNTIF($N80,"*"&amp;$BH$2:$BH$793&amp;"*")&gt;0)*1))</f>
        <v>0</v>
      </c>
      <c r="P80" s="1044">
        <f t="shared" ref="P80:P143" si="66">IF($B80="",0,SUMPRODUCT(($BF$2:$BF$793="Gluten")*($BG$2:$BG$793="EXCL")*(COUNTIF($N80,"*"&amp;$BH$2:$BH$793&amp;"*")&gt;0)*1))</f>
        <v>0</v>
      </c>
      <c r="Q80" s="1044">
        <f t="shared" ref="Q80:Q143" si="67">IF($B80="",0,SUMPRODUCT(($BF$2:$BF$793="Gluten")*($BG$2:$BG$793="ALERTE")*(COUNTIF($N80,"*"&amp;$BH$2:$BH$793&amp;"*")&gt;0)*1))</f>
        <v>0</v>
      </c>
      <c r="R80" s="1044">
        <f t="shared" ref="R80:R143" si="68">IF($B80="",0,SUMPRODUCT(($BF$2:$BF$793="Gluten")*($BG$2:$BG$793="SUSP")*(COUNTIF($N80,"*"&amp;$BH$2:$BH$793&amp;"*")&gt;0)*1))</f>
        <v>0</v>
      </c>
      <c r="S80" s="1044">
        <f t="shared" ref="S80:S143" si="69">IF($B80="",0,SUMPRODUCT(($BF$2:$BF$793="Crustaces")*($BG$2:$BG$793="ALERTE")*(COUNTIF($N80,"*"&amp;$BH$2:$BH$793&amp;"*")&gt;0)*1))</f>
        <v>0</v>
      </c>
      <c r="T80" s="1044">
        <f t="shared" ref="T80:T143" si="70">IF($B80="",0,SUMPRODUCT(($BF$2:$BF$793="Oeufs")*($BG$2:$BG$793="ALERTE")*(COUNTIF($N80,"*"&amp;$BH$2:$BH$793&amp;"*")&gt;0)*1))</f>
        <v>0</v>
      </c>
      <c r="U80" s="1044">
        <f t="shared" ref="U80:U143" si="71">IF($B80="",0,SUMPRODUCT(($BF$2:$BF$793="Poissons")*($BG$2:$BG$793="INFO")*(COUNTIF($N80,"*"&amp;$BH$2:$BH$793&amp;"*")&gt;0)*1))</f>
        <v>0</v>
      </c>
      <c r="V80" s="1044">
        <f t="shared" ref="V80:V143" si="72">IF($B80="",0,SUMPRODUCT(($BF$2:$BF$793="Poissons")*($BG$2:$BG$793="EXCL")*(COUNTIF($N80,"*"&amp;$BH$2:$BH$793&amp;"*")&gt;0)*1))</f>
        <v>0</v>
      </c>
      <c r="W80" s="1044">
        <f t="shared" ref="W80:W143" si="73">IF($B80="",0,SUMPRODUCT(($BF$2:$BF$793="Poissons")*($BG$2:$BG$793="ALERTE")*(COUNTIF($N80,"*"&amp;$BH$2:$BH$793&amp;"*")&gt;0)*1))</f>
        <v>0</v>
      </c>
      <c r="X80" s="1044">
        <f t="shared" ref="X80:X143" si="74">IF($B80="",0,SUMPRODUCT(($BF$2:$BF$793="Arachides")*($BG$2:$BG$793="ALERTE")*(COUNTIF($N80,"*"&amp;$BH$2:$BH$793&amp;"*")&gt;0)*1))</f>
        <v>0</v>
      </c>
      <c r="Y80" s="1044">
        <f t="shared" ref="Y80:Y143" si="75">IF($B80="",0,SUMPRODUCT(($BF$2:$BF$793="Soja")*($BG$2:$BG$793="INFO")*(COUNTIF($N80,"*"&amp;$BH$2:$BH$793&amp;"*")&gt;0)*1))</f>
        <v>0</v>
      </c>
      <c r="Z80" s="1044">
        <f t="shared" ref="Z80:Z143" si="76">IF($B80="",0,SUMPRODUCT(($BF$2:$BF$793="Soja")*($BG$2:$BG$793="ALERTE")*(COUNTIF($N80,"*"&amp;$BH$2:$BH$793&amp;"*")&gt;0)*1))</f>
        <v>0</v>
      </c>
      <c r="AA80" s="1044">
        <f t="shared" ref="AA80:AA143" si="77">IF($B80="",0,SUMPRODUCT(($BF$2:$BF$793="Lait")*($BG$2:$BG$793="INFO")*(COUNTIF($N80,"*"&amp;$BH$2:$BH$793&amp;"*")&gt;0)*1))</f>
        <v>0</v>
      </c>
      <c r="AB80" s="1044">
        <f t="shared" ref="AB80:AB143" si="78">IF($B80="",0,SUMPRODUCT(($BF$2:$BF$793="Lait")*($BG$2:$BG$793="EXCL")*(COUNTIF($N80,"*"&amp;$BH$2:$BH$793&amp;"*")&gt;0)*1))</f>
        <v>0</v>
      </c>
      <c r="AC80" s="1044">
        <f t="shared" ref="AC80:AC143" si="79">IF($B80="",0,SUMPRODUCT(($BF$2:$BF$793="Lait")*($BG$2:$BG$793="ALERTE")*(COUNTIF($N80,"*"&amp;$BH$2:$BH$793&amp;"*")&gt;0)*1))</f>
        <v>0</v>
      </c>
      <c r="AD80" s="1044">
        <f t="shared" ref="AD80:AD143" si="80">IF($B80="",0,SUMPRODUCT(($BF$2:$BF$793="Lait")*($BG$2:$BG$793="SUSP")*(COUNTIF($N80,"*"&amp;$BH$2:$BH$793&amp;"*")&gt;0)*1))</f>
        <v>0</v>
      </c>
      <c r="AE80" s="1044">
        <f t="shared" ref="AE80:AE143" si="81">IF($B80="",0,SUMPRODUCT(($BF$2:$BF$793="Fruits a coque")*($BG$2:$BG$793="EXCL")*(COUNTIF($N80,"*"&amp;$BH$2:$BH$793&amp;"*")&gt;0)*1))</f>
        <v>0</v>
      </c>
      <c r="AF80" s="1044">
        <f t="shared" ref="AF80:AF143" si="82">IF($B80="",0,SUMPRODUCT(($BF$2:$BF$793="Fruits a coque")*($BG$2:$BG$793="ALERTE")*(COUNTIF($N80,"*"&amp;$BH$2:$BH$793&amp;"*")&gt;0)*1))</f>
        <v>0</v>
      </c>
      <c r="AG80" s="1044">
        <f t="shared" ref="AG80:AG143" si="83">IF($B80="",0,SUMPRODUCT(($BF$2:$BF$793="Celeri")*($BG$2:$BG$793="ALERTE")*(COUNTIF($N80,"*"&amp;$BH$2:$BH$793&amp;"*")&gt;0)*1))</f>
        <v>0</v>
      </c>
      <c r="AH80" s="1044">
        <f t="shared" ref="AH80:AH143" si="84">IF($B80="",0,SUMPRODUCT(($BF$2:$BF$793="Moutarde")*($BG$2:$BG$793="ALERTE")*(COUNTIF($N80,"*"&amp;$BH$2:$BH$793&amp;"*")&gt;0)*1))</f>
        <v>0</v>
      </c>
      <c r="AI80" s="1044">
        <f t="shared" ref="AI80:AI143" si="85">IF($B80="",0,SUMPRODUCT(($BF$2:$BF$793="Sesame")*($BG$2:$BG$793="ALERTE")*(COUNTIF($N80,"*"&amp;$BH$2:$BH$793&amp;"*")&gt;0)*1))</f>
        <v>0</v>
      </c>
      <c r="AJ80" s="1044">
        <f t="shared" ref="AJ80:AJ143" si="86">IF($B80="",0,SUMPRODUCT(($BF$2:$BF$793="Sulfites")*($BG$2:$BG$793="ALERTE")*(COUNTIF($N80,"*"&amp;$BH$2:$BH$793&amp;"*")&gt;0)*1))</f>
        <v>0</v>
      </c>
      <c r="AK80" s="1044">
        <f t="shared" ref="AK80:AK143" si="87">IF($B80="",0,SUMPRODUCT(($BF$2:$BF$793="Lupin")*($BG$2:$BG$793="ALERTE")*(COUNTIF($N80,"*"&amp;$BH$2:$BH$793&amp;"*")&gt;0)*1))</f>
        <v>0</v>
      </c>
      <c r="AL80" s="1044">
        <f t="shared" ref="AL80:AL143" si="88">IF($B80="",0,SUMPRODUCT(($BF$2:$BF$793="Mollusques")*($BG$2:$BG$793="EXCL")*(COUNTIF($N80,"*"&amp;$BH$2:$BH$793&amp;"*")&gt;0)*1))</f>
        <v>0</v>
      </c>
      <c r="AM80" s="1044">
        <f t="shared" ref="AM80:AM143" si="89">IF($B80="",0,SUMPRODUCT(($BF$2:$BF$793="Mollusques")*($BG$2:$BG$793="ALERTE")*(COUNTIF($N80,"*"&amp;$BH$2:$BH$793&amp;"*")&gt;0)*1))</f>
        <v>0</v>
      </c>
      <c r="AN80" s="1044" t="str">
        <f t="shared" ref="AN80:AN143" si="90">IF(B80="","",IF(O80&gt;0,"info Gluten",IF(AND(Q80&gt;0,P80=0),"⚠ Gluten","")))</f>
        <v/>
      </c>
      <c r="AO80" s="1044" t="str">
        <f t="shared" ref="AO80:AO143" si="91">IF(B80="","",IF(AND(AN80="",R80&gt;0,P80=0),"suspicion Gluten",""))</f>
        <v/>
      </c>
      <c r="AP80" s="1044" t="str">
        <f t="shared" ref="AP80:AP143" si="92">IF(B80="","",IF(S80&gt;0,"⚠ Crustaces",""))</f>
        <v/>
      </c>
      <c r="AQ80" s="1044" t="str">
        <f t="shared" ref="AQ80:AQ143" si="93">IF(B80="","",IF(T80&gt;0,"⚠ Oeufs",""))</f>
        <v/>
      </c>
      <c r="AR80" s="1044" t="str">
        <f t="shared" ref="AR80:AR143" si="94">IF(B80="","",IF(U80&gt;0,"info Poissons",IF(AND(W80&gt;0,V80=0),"⚠ Poissons","")))</f>
        <v/>
      </c>
      <c r="AS80" s="1044" t="str">
        <f t="shared" ref="AS80:AS143" si="95">IF(B80="","",IF(X80&gt;0,"⚠ Arachides",""))</f>
        <v/>
      </c>
      <c r="AT80" s="1044" t="str">
        <f t="shared" ref="AT80:AT143" si="96">IF(B80="","",IF(Y80&gt;0,"info Soja",IF(Z80&gt;0,"⚠ Soja","")))</f>
        <v/>
      </c>
      <c r="AU80" s="1044" t="str">
        <f t="shared" ref="AU80:AU143" si="97">IF(B80="","",IF(AA80&gt;0,"info Lait",IF(AND(AC80&gt;0,AB80=0),"⚠ Lait","")))</f>
        <v/>
      </c>
      <c r="AV80" s="1044" t="str">
        <f t="shared" ref="AV80:AV143" si="98">IF(B80="","",IF(AND(AU80="",AD80&gt;0,AB80=0),"suspicion Lait",""))</f>
        <v/>
      </c>
      <c r="AW80" s="1044" t="str">
        <f t="shared" ref="AW80:AW143" si="99">IF(B80="","",IF(AND(AF80&gt;0,AE80=0),"⚠ Fruits a coque",""))</f>
        <v/>
      </c>
      <c r="AX80" s="1044" t="str">
        <f t="shared" ref="AX80:AX143" si="100">IF(B80="","",IF(AG80&gt;0,"⚠ Celeri",""))</f>
        <v/>
      </c>
      <c r="AY80" s="1044" t="str">
        <f t="shared" ref="AY80:AY143" si="101">IF(B80="","",IF(AH80&gt;0,"⚠ Moutarde",""))</f>
        <v/>
      </c>
      <c r="AZ80" s="1044" t="str">
        <f t="shared" ref="AZ80:AZ143" si="102">IF(B80="","",IF(AI80&gt;0,"⚠ Sesame",""))</f>
        <v/>
      </c>
      <c r="BA80" s="1044" t="str">
        <f t="shared" ref="BA80:BA143" si="103">IF(B80="","",IF(AJ80&gt;0,"⚠ Sulfites",""))</f>
        <v/>
      </c>
      <c r="BB80" s="1044" t="str">
        <f t="shared" ref="BB80:BB143" si="104">IF(B80="","",IF(AK80&gt;0,"⚠ Lupin",""))</f>
        <v/>
      </c>
      <c r="BC80" s="1044" t="str">
        <f t="shared" ref="BC80:BC143" si="105">IF(B80="","",IF(AND(AM80&gt;0,AL80=0),"⚠ Mollusques",""))</f>
        <v/>
      </c>
      <c r="BF80" s="1" t="s">
        <v>7028</v>
      </c>
      <c r="BG80" s="1076" t="s">
        <v>689</v>
      </c>
      <c r="BH80" s="1" t="s">
        <v>292</v>
      </c>
      <c r="BI80" s="1" t="s">
        <v>7461</v>
      </c>
    </row>
    <row r="81" spans="1:61" ht="30" customHeight="1">
      <c r="A81" s="1085" t="str">
        <f t="shared" si="53"/>
        <v/>
      </c>
      <c r="B81" s="1086"/>
      <c r="C81" s="1085" t="s">
        <v>254</v>
      </c>
      <c r="D81" s="1087" t="str">
        <f t="shared" si="54"/>
        <v/>
      </c>
      <c r="E81" s="1088" t="str">
        <f t="shared" si="55"/>
        <v/>
      </c>
      <c r="F81" s="1089" t="str">
        <f t="shared" si="56"/>
        <v/>
      </c>
      <c r="G81" s="1090" t="str">
        <f t="shared" si="57"/>
        <v/>
      </c>
      <c r="H81" s="1085" t="str">
        <f t="shared" si="58"/>
        <v/>
      </c>
      <c r="I81" s="1085" t="str">
        <f t="shared" si="59"/>
        <v/>
      </c>
      <c r="J81" s="1090" t="str">
        <f t="shared" si="60"/>
        <v/>
      </c>
      <c r="K81" s="1044" t="str">
        <f t="shared" si="61"/>
        <v/>
      </c>
      <c r="L81" s="1044" t="str">
        <f t="shared" si="62"/>
        <v/>
      </c>
      <c r="M81" s="1044" t="str">
        <f t="shared" si="63"/>
        <v/>
      </c>
      <c r="N81" s="1044" t="str">
        <f t="shared" si="64"/>
        <v/>
      </c>
      <c r="O81" s="1044">
        <f t="shared" si="65"/>
        <v>0</v>
      </c>
      <c r="P81" s="1044">
        <f t="shared" si="66"/>
        <v>0</v>
      </c>
      <c r="Q81" s="1044">
        <f t="shared" si="67"/>
        <v>0</v>
      </c>
      <c r="R81" s="1044">
        <f t="shared" si="68"/>
        <v>0</v>
      </c>
      <c r="S81" s="1044">
        <f t="shared" si="69"/>
        <v>0</v>
      </c>
      <c r="T81" s="1044">
        <f t="shared" si="70"/>
        <v>0</v>
      </c>
      <c r="U81" s="1044">
        <f t="shared" si="71"/>
        <v>0</v>
      </c>
      <c r="V81" s="1044">
        <f t="shared" si="72"/>
        <v>0</v>
      </c>
      <c r="W81" s="1044">
        <f t="shared" si="73"/>
        <v>0</v>
      </c>
      <c r="X81" s="1044">
        <f t="shared" si="74"/>
        <v>0</v>
      </c>
      <c r="Y81" s="1044">
        <f t="shared" si="75"/>
        <v>0</v>
      </c>
      <c r="Z81" s="1044">
        <f t="shared" si="76"/>
        <v>0</v>
      </c>
      <c r="AA81" s="1044">
        <f t="shared" si="77"/>
        <v>0</v>
      </c>
      <c r="AB81" s="1044">
        <f t="shared" si="78"/>
        <v>0</v>
      </c>
      <c r="AC81" s="1044">
        <f t="shared" si="79"/>
        <v>0</v>
      </c>
      <c r="AD81" s="1044">
        <f t="shared" si="80"/>
        <v>0</v>
      </c>
      <c r="AE81" s="1044">
        <f t="shared" si="81"/>
        <v>0</v>
      </c>
      <c r="AF81" s="1044">
        <f t="shared" si="82"/>
        <v>0</v>
      </c>
      <c r="AG81" s="1044">
        <f t="shared" si="83"/>
        <v>0</v>
      </c>
      <c r="AH81" s="1044">
        <f t="shared" si="84"/>
        <v>0</v>
      </c>
      <c r="AI81" s="1044">
        <f t="shared" si="85"/>
        <v>0</v>
      </c>
      <c r="AJ81" s="1044">
        <f t="shared" si="86"/>
        <v>0</v>
      </c>
      <c r="AK81" s="1044">
        <f t="shared" si="87"/>
        <v>0</v>
      </c>
      <c r="AL81" s="1044">
        <f t="shared" si="88"/>
        <v>0</v>
      </c>
      <c r="AM81" s="1044">
        <f t="shared" si="89"/>
        <v>0</v>
      </c>
      <c r="AN81" s="1044" t="str">
        <f t="shared" si="90"/>
        <v/>
      </c>
      <c r="AO81" s="1044" t="str">
        <f t="shared" si="91"/>
        <v/>
      </c>
      <c r="AP81" s="1044" t="str">
        <f t="shared" si="92"/>
        <v/>
      </c>
      <c r="AQ81" s="1044" t="str">
        <f t="shared" si="93"/>
        <v/>
      </c>
      <c r="AR81" s="1044" t="str">
        <f t="shared" si="94"/>
        <v/>
      </c>
      <c r="AS81" s="1044" t="str">
        <f t="shared" si="95"/>
        <v/>
      </c>
      <c r="AT81" s="1044" t="str">
        <f t="shared" si="96"/>
        <v/>
      </c>
      <c r="AU81" s="1044" t="str">
        <f t="shared" si="97"/>
        <v/>
      </c>
      <c r="AV81" s="1044" t="str">
        <f t="shared" si="98"/>
        <v/>
      </c>
      <c r="AW81" s="1044" t="str">
        <f t="shared" si="99"/>
        <v/>
      </c>
      <c r="AX81" s="1044" t="str">
        <f t="shared" si="100"/>
        <v/>
      </c>
      <c r="AY81" s="1044" t="str">
        <f t="shared" si="101"/>
        <v/>
      </c>
      <c r="AZ81" s="1044" t="str">
        <f t="shared" si="102"/>
        <v/>
      </c>
      <c r="BA81" s="1044" t="str">
        <f t="shared" si="103"/>
        <v/>
      </c>
      <c r="BB81" s="1044" t="str">
        <f t="shared" si="104"/>
        <v/>
      </c>
      <c r="BC81" s="1044" t="str">
        <f t="shared" si="105"/>
        <v/>
      </c>
      <c r="BF81" s="1" t="s">
        <v>7028</v>
      </c>
      <c r="BG81" s="1076" t="s">
        <v>689</v>
      </c>
      <c r="BH81" s="1" t="s">
        <v>873</v>
      </c>
      <c r="BI81" s="1" t="s">
        <v>7462</v>
      </c>
    </row>
    <row r="82" spans="1:61" ht="30" customHeight="1">
      <c r="A82" s="1085" t="str">
        <f t="shared" si="53"/>
        <v/>
      </c>
      <c r="B82" s="1086"/>
      <c r="C82" s="1085" t="s">
        <v>254</v>
      </c>
      <c r="D82" s="1087" t="str">
        <f t="shared" si="54"/>
        <v/>
      </c>
      <c r="E82" s="1088" t="str">
        <f t="shared" si="55"/>
        <v/>
      </c>
      <c r="F82" s="1089" t="str">
        <f t="shared" si="56"/>
        <v/>
      </c>
      <c r="G82" s="1090" t="str">
        <f t="shared" si="57"/>
        <v/>
      </c>
      <c r="H82" s="1085" t="str">
        <f t="shared" si="58"/>
        <v/>
      </c>
      <c r="I82" s="1085" t="str">
        <f t="shared" si="59"/>
        <v/>
      </c>
      <c r="J82" s="1090" t="str">
        <f t="shared" si="60"/>
        <v/>
      </c>
      <c r="K82" s="1044" t="str">
        <f t="shared" si="61"/>
        <v/>
      </c>
      <c r="L82" s="1044" t="str">
        <f t="shared" si="62"/>
        <v/>
      </c>
      <c r="M82" s="1044" t="str">
        <f t="shared" si="63"/>
        <v/>
      </c>
      <c r="N82" s="1044" t="str">
        <f t="shared" si="64"/>
        <v/>
      </c>
      <c r="O82" s="1044">
        <f t="shared" si="65"/>
        <v>0</v>
      </c>
      <c r="P82" s="1044">
        <f t="shared" si="66"/>
        <v>0</v>
      </c>
      <c r="Q82" s="1044">
        <f t="shared" si="67"/>
        <v>0</v>
      </c>
      <c r="R82" s="1044">
        <f t="shared" si="68"/>
        <v>0</v>
      </c>
      <c r="S82" s="1044">
        <f t="shared" si="69"/>
        <v>0</v>
      </c>
      <c r="T82" s="1044">
        <f t="shared" si="70"/>
        <v>0</v>
      </c>
      <c r="U82" s="1044">
        <f t="shared" si="71"/>
        <v>0</v>
      </c>
      <c r="V82" s="1044">
        <f t="shared" si="72"/>
        <v>0</v>
      </c>
      <c r="W82" s="1044">
        <f t="shared" si="73"/>
        <v>0</v>
      </c>
      <c r="X82" s="1044">
        <f t="shared" si="74"/>
        <v>0</v>
      </c>
      <c r="Y82" s="1044">
        <f t="shared" si="75"/>
        <v>0</v>
      </c>
      <c r="Z82" s="1044">
        <f t="shared" si="76"/>
        <v>0</v>
      </c>
      <c r="AA82" s="1044">
        <f t="shared" si="77"/>
        <v>0</v>
      </c>
      <c r="AB82" s="1044">
        <f t="shared" si="78"/>
        <v>0</v>
      </c>
      <c r="AC82" s="1044">
        <f t="shared" si="79"/>
        <v>0</v>
      </c>
      <c r="AD82" s="1044">
        <f t="shared" si="80"/>
        <v>0</v>
      </c>
      <c r="AE82" s="1044">
        <f t="shared" si="81"/>
        <v>0</v>
      </c>
      <c r="AF82" s="1044">
        <f t="shared" si="82"/>
        <v>0</v>
      </c>
      <c r="AG82" s="1044">
        <f t="shared" si="83"/>
        <v>0</v>
      </c>
      <c r="AH82" s="1044">
        <f t="shared" si="84"/>
        <v>0</v>
      </c>
      <c r="AI82" s="1044">
        <f t="shared" si="85"/>
        <v>0</v>
      </c>
      <c r="AJ82" s="1044">
        <f t="shared" si="86"/>
        <v>0</v>
      </c>
      <c r="AK82" s="1044">
        <f t="shared" si="87"/>
        <v>0</v>
      </c>
      <c r="AL82" s="1044">
        <f t="shared" si="88"/>
        <v>0</v>
      </c>
      <c r="AM82" s="1044">
        <f t="shared" si="89"/>
        <v>0</v>
      </c>
      <c r="AN82" s="1044" t="str">
        <f t="shared" si="90"/>
        <v/>
      </c>
      <c r="AO82" s="1044" t="str">
        <f t="shared" si="91"/>
        <v/>
      </c>
      <c r="AP82" s="1044" t="str">
        <f t="shared" si="92"/>
        <v/>
      </c>
      <c r="AQ82" s="1044" t="str">
        <f t="shared" si="93"/>
        <v/>
      </c>
      <c r="AR82" s="1044" t="str">
        <f t="shared" si="94"/>
        <v/>
      </c>
      <c r="AS82" s="1044" t="str">
        <f t="shared" si="95"/>
        <v/>
      </c>
      <c r="AT82" s="1044" t="str">
        <f t="shared" si="96"/>
        <v/>
      </c>
      <c r="AU82" s="1044" t="str">
        <f t="shared" si="97"/>
        <v/>
      </c>
      <c r="AV82" s="1044" t="str">
        <f t="shared" si="98"/>
        <v/>
      </c>
      <c r="AW82" s="1044" t="str">
        <f t="shared" si="99"/>
        <v/>
      </c>
      <c r="AX82" s="1044" t="str">
        <f t="shared" si="100"/>
        <v/>
      </c>
      <c r="AY82" s="1044" t="str">
        <f t="shared" si="101"/>
        <v/>
      </c>
      <c r="AZ82" s="1044" t="str">
        <f t="shared" si="102"/>
        <v/>
      </c>
      <c r="BA82" s="1044" t="str">
        <f t="shared" si="103"/>
        <v/>
      </c>
      <c r="BB82" s="1044" t="str">
        <f t="shared" si="104"/>
        <v/>
      </c>
      <c r="BC82" s="1044" t="str">
        <f t="shared" si="105"/>
        <v/>
      </c>
      <c r="BF82" s="1" t="s">
        <v>7028</v>
      </c>
      <c r="BG82" s="1076" t="s">
        <v>689</v>
      </c>
      <c r="BH82" s="1" t="s">
        <v>874</v>
      </c>
      <c r="BI82" s="1" t="s">
        <v>7463</v>
      </c>
    </row>
    <row r="83" spans="1:61" ht="30" customHeight="1">
      <c r="A83" s="1085" t="str">
        <f t="shared" si="53"/>
        <v/>
      </c>
      <c r="B83" s="1086"/>
      <c r="C83" s="1085" t="s">
        <v>254</v>
      </c>
      <c r="D83" s="1087" t="str">
        <f t="shared" si="54"/>
        <v/>
      </c>
      <c r="E83" s="1088" t="str">
        <f t="shared" si="55"/>
        <v/>
      </c>
      <c r="F83" s="1089" t="str">
        <f t="shared" si="56"/>
        <v/>
      </c>
      <c r="G83" s="1090" t="str">
        <f t="shared" si="57"/>
        <v/>
      </c>
      <c r="H83" s="1085" t="str">
        <f t="shared" si="58"/>
        <v/>
      </c>
      <c r="I83" s="1085" t="str">
        <f t="shared" si="59"/>
        <v/>
      </c>
      <c r="J83" s="1090" t="str">
        <f t="shared" si="60"/>
        <v/>
      </c>
      <c r="K83" s="1044" t="str">
        <f t="shared" si="61"/>
        <v/>
      </c>
      <c r="L83" s="1044" t="str">
        <f t="shared" si="62"/>
        <v/>
      </c>
      <c r="M83" s="1044" t="str">
        <f t="shared" si="63"/>
        <v/>
      </c>
      <c r="N83" s="1044" t="str">
        <f t="shared" si="64"/>
        <v/>
      </c>
      <c r="O83" s="1044">
        <f t="shared" si="65"/>
        <v>0</v>
      </c>
      <c r="P83" s="1044">
        <f t="shared" si="66"/>
        <v>0</v>
      </c>
      <c r="Q83" s="1044">
        <f t="shared" si="67"/>
        <v>0</v>
      </c>
      <c r="R83" s="1044">
        <f t="shared" si="68"/>
        <v>0</v>
      </c>
      <c r="S83" s="1044">
        <f t="shared" si="69"/>
        <v>0</v>
      </c>
      <c r="T83" s="1044">
        <f t="shared" si="70"/>
        <v>0</v>
      </c>
      <c r="U83" s="1044">
        <f t="shared" si="71"/>
        <v>0</v>
      </c>
      <c r="V83" s="1044">
        <f t="shared" si="72"/>
        <v>0</v>
      </c>
      <c r="W83" s="1044">
        <f t="shared" si="73"/>
        <v>0</v>
      </c>
      <c r="X83" s="1044">
        <f t="shared" si="74"/>
        <v>0</v>
      </c>
      <c r="Y83" s="1044">
        <f t="shared" si="75"/>
        <v>0</v>
      </c>
      <c r="Z83" s="1044">
        <f t="shared" si="76"/>
        <v>0</v>
      </c>
      <c r="AA83" s="1044">
        <f t="shared" si="77"/>
        <v>0</v>
      </c>
      <c r="AB83" s="1044">
        <f t="shared" si="78"/>
        <v>0</v>
      </c>
      <c r="AC83" s="1044">
        <f t="shared" si="79"/>
        <v>0</v>
      </c>
      <c r="AD83" s="1044">
        <f t="shared" si="80"/>
        <v>0</v>
      </c>
      <c r="AE83" s="1044">
        <f t="shared" si="81"/>
        <v>0</v>
      </c>
      <c r="AF83" s="1044">
        <f t="shared" si="82"/>
        <v>0</v>
      </c>
      <c r="AG83" s="1044">
        <f t="shared" si="83"/>
        <v>0</v>
      </c>
      <c r="AH83" s="1044">
        <f t="shared" si="84"/>
        <v>0</v>
      </c>
      <c r="AI83" s="1044">
        <f t="shared" si="85"/>
        <v>0</v>
      </c>
      <c r="AJ83" s="1044">
        <f t="shared" si="86"/>
        <v>0</v>
      </c>
      <c r="AK83" s="1044">
        <f t="shared" si="87"/>
        <v>0</v>
      </c>
      <c r="AL83" s="1044">
        <f t="shared" si="88"/>
        <v>0</v>
      </c>
      <c r="AM83" s="1044">
        <f t="shared" si="89"/>
        <v>0</v>
      </c>
      <c r="AN83" s="1044" t="str">
        <f t="shared" si="90"/>
        <v/>
      </c>
      <c r="AO83" s="1044" t="str">
        <f t="shared" si="91"/>
        <v/>
      </c>
      <c r="AP83" s="1044" t="str">
        <f t="shared" si="92"/>
        <v/>
      </c>
      <c r="AQ83" s="1044" t="str">
        <f t="shared" si="93"/>
        <v/>
      </c>
      <c r="AR83" s="1044" t="str">
        <f t="shared" si="94"/>
        <v/>
      </c>
      <c r="AS83" s="1044" t="str">
        <f t="shared" si="95"/>
        <v/>
      </c>
      <c r="AT83" s="1044" t="str">
        <f t="shared" si="96"/>
        <v/>
      </c>
      <c r="AU83" s="1044" t="str">
        <f t="shared" si="97"/>
        <v/>
      </c>
      <c r="AV83" s="1044" t="str">
        <f t="shared" si="98"/>
        <v/>
      </c>
      <c r="AW83" s="1044" t="str">
        <f t="shared" si="99"/>
        <v/>
      </c>
      <c r="AX83" s="1044" t="str">
        <f t="shared" si="100"/>
        <v/>
      </c>
      <c r="AY83" s="1044" t="str">
        <f t="shared" si="101"/>
        <v/>
      </c>
      <c r="AZ83" s="1044" t="str">
        <f t="shared" si="102"/>
        <v/>
      </c>
      <c r="BA83" s="1044" t="str">
        <f t="shared" si="103"/>
        <v/>
      </c>
      <c r="BB83" s="1044" t="str">
        <f t="shared" si="104"/>
        <v/>
      </c>
      <c r="BC83" s="1044" t="str">
        <f t="shared" si="105"/>
        <v/>
      </c>
      <c r="BF83" s="1" t="s">
        <v>7028</v>
      </c>
      <c r="BG83" s="1076" t="s">
        <v>689</v>
      </c>
      <c r="BH83" s="1" t="s">
        <v>293</v>
      </c>
      <c r="BI83" s="1" t="s">
        <v>7464</v>
      </c>
    </row>
    <row r="84" spans="1:61" ht="30" customHeight="1">
      <c r="A84" s="1085" t="str">
        <f t="shared" si="53"/>
        <v/>
      </c>
      <c r="B84" s="1086"/>
      <c r="C84" s="1085" t="s">
        <v>254</v>
      </c>
      <c r="D84" s="1087" t="str">
        <f t="shared" si="54"/>
        <v/>
      </c>
      <c r="E84" s="1088" t="str">
        <f t="shared" si="55"/>
        <v/>
      </c>
      <c r="F84" s="1089" t="str">
        <f t="shared" si="56"/>
        <v/>
      </c>
      <c r="G84" s="1090" t="str">
        <f t="shared" si="57"/>
        <v/>
      </c>
      <c r="H84" s="1085" t="str">
        <f t="shared" si="58"/>
        <v/>
      </c>
      <c r="I84" s="1085" t="str">
        <f t="shared" si="59"/>
        <v/>
      </c>
      <c r="J84" s="1090" t="str">
        <f t="shared" si="60"/>
        <v/>
      </c>
      <c r="K84" s="1044" t="str">
        <f t="shared" si="61"/>
        <v/>
      </c>
      <c r="L84" s="1044" t="str">
        <f t="shared" si="62"/>
        <v/>
      </c>
      <c r="M84" s="1044" t="str">
        <f t="shared" si="63"/>
        <v/>
      </c>
      <c r="N84" s="1044" t="str">
        <f t="shared" si="64"/>
        <v/>
      </c>
      <c r="O84" s="1044">
        <f t="shared" si="65"/>
        <v>0</v>
      </c>
      <c r="P84" s="1044">
        <f t="shared" si="66"/>
        <v>0</v>
      </c>
      <c r="Q84" s="1044">
        <f t="shared" si="67"/>
        <v>0</v>
      </c>
      <c r="R84" s="1044">
        <f t="shared" si="68"/>
        <v>0</v>
      </c>
      <c r="S84" s="1044">
        <f t="shared" si="69"/>
        <v>0</v>
      </c>
      <c r="T84" s="1044">
        <f t="shared" si="70"/>
        <v>0</v>
      </c>
      <c r="U84" s="1044">
        <f t="shared" si="71"/>
        <v>0</v>
      </c>
      <c r="V84" s="1044">
        <f t="shared" si="72"/>
        <v>0</v>
      </c>
      <c r="W84" s="1044">
        <f t="shared" si="73"/>
        <v>0</v>
      </c>
      <c r="X84" s="1044">
        <f t="shared" si="74"/>
        <v>0</v>
      </c>
      <c r="Y84" s="1044">
        <f t="shared" si="75"/>
        <v>0</v>
      </c>
      <c r="Z84" s="1044">
        <f t="shared" si="76"/>
        <v>0</v>
      </c>
      <c r="AA84" s="1044">
        <f t="shared" si="77"/>
        <v>0</v>
      </c>
      <c r="AB84" s="1044">
        <f t="shared" si="78"/>
        <v>0</v>
      </c>
      <c r="AC84" s="1044">
        <f t="shared" si="79"/>
        <v>0</v>
      </c>
      <c r="AD84" s="1044">
        <f t="shared" si="80"/>
        <v>0</v>
      </c>
      <c r="AE84" s="1044">
        <f t="shared" si="81"/>
        <v>0</v>
      </c>
      <c r="AF84" s="1044">
        <f t="shared" si="82"/>
        <v>0</v>
      </c>
      <c r="AG84" s="1044">
        <f t="shared" si="83"/>
        <v>0</v>
      </c>
      <c r="AH84" s="1044">
        <f t="shared" si="84"/>
        <v>0</v>
      </c>
      <c r="AI84" s="1044">
        <f t="shared" si="85"/>
        <v>0</v>
      </c>
      <c r="AJ84" s="1044">
        <f t="shared" si="86"/>
        <v>0</v>
      </c>
      <c r="AK84" s="1044">
        <f t="shared" si="87"/>
        <v>0</v>
      </c>
      <c r="AL84" s="1044">
        <f t="shared" si="88"/>
        <v>0</v>
      </c>
      <c r="AM84" s="1044">
        <f t="shared" si="89"/>
        <v>0</v>
      </c>
      <c r="AN84" s="1044" t="str">
        <f t="shared" si="90"/>
        <v/>
      </c>
      <c r="AO84" s="1044" t="str">
        <f t="shared" si="91"/>
        <v/>
      </c>
      <c r="AP84" s="1044" t="str">
        <f t="shared" si="92"/>
        <v/>
      </c>
      <c r="AQ84" s="1044" t="str">
        <f t="shared" si="93"/>
        <v/>
      </c>
      <c r="AR84" s="1044" t="str">
        <f t="shared" si="94"/>
        <v/>
      </c>
      <c r="AS84" s="1044" t="str">
        <f t="shared" si="95"/>
        <v/>
      </c>
      <c r="AT84" s="1044" t="str">
        <f t="shared" si="96"/>
        <v/>
      </c>
      <c r="AU84" s="1044" t="str">
        <f t="shared" si="97"/>
        <v/>
      </c>
      <c r="AV84" s="1044" t="str">
        <f t="shared" si="98"/>
        <v/>
      </c>
      <c r="AW84" s="1044" t="str">
        <f t="shared" si="99"/>
        <v/>
      </c>
      <c r="AX84" s="1044" t="str">
        <f t="shared" si="100"/>
        <v/>
      </c>
      <c r="AY84" s="1044" t="str">
        <f t="shared" si="101"/>
        <v/>
      </c>
      <c r="AZ84" s="1044" t="str">
        <f t="shared" si="102"/>
        <v/>
      </c>
      <c r="BA84" s="1044" t="str">
        <f t="shared" si="103"/>
        <v/>
      </c>
      <c r="BB84" s="1044" t="str">
        <f t="shared" si="104"/>
        <v/>
      </c>
      <c r="BC84" s="1044" t="str">
        <f t="shared" si="105"/>
        <v/>
      </c>
      <c r="BF84" s="1" t="s">
        <v>7029</v>
      </c>
      <c r="BG84" s="1076" t="s">
        <v>689</v>
      </c>
      <c r="BH84" s="1" t="s">
        <v>24</v>
      </c>
      <c r="BI84" s="1" t="s">
        <v>7465</v>
      </c>
    </row>
    <row r="85" spans="1:61" ht="30" customHeight="1">
      <c r="A85" s="1085" t="str">
        <f t="shared" si="53"/>
        <v/>
      </c>
      <c r="B85" s="1086"/>
      <c r="C85" s="1085" t="s">
        <v>254</v>
      </c>
      <c r="D85" s="1087" t="str">
        <f t="shared" si="54"/>
        <v/>
      </c>
      <c r="E85" s="1088" t="str">
        <f t="shared" si="55"/>
        <v/>
      </c>
      <c r="F85" s="1089" t="str">
        <f t="shared" si="56"/>
        <v/>
      </c>
      <c r="G85" s="1090" t="str">
        <f t="shared" si="57"/>
        <v/>
      </c>
      <c r="H85" s="1085" t="str">
        <f t="shared" si="58"/>
        <v/>
      </c>
      <c r="I85" s="1085" t="str">
        <f t="shared" si="59"/>
        <v/>
      </c>
      <c r="J85" s="1090" t="str">
        <f t="shared" si="60"/>
        <v/>
      </c>
      <c r="K85" s="1044" t="str">
        <f t="shared" si="61"/>
        <v/>
      </c>
      <c r="L85" s="1044" t="str">
        <f t="shared" si="62"/>
        <v/>
      </c>
      <c r="M85" s="1044" t="str">
        <f t="shared" si="63"/>
        <v/>
      </c>
      <c r="N85" s="1044" t="str">
        <f t="shared" si="64"/>
        <v/>
      </c>
      <c r="O85" s="1044">
        <f t="shared" si="65"/>
        <v>0</v>
      </c>
      <c r="P85" s="1044">
        <f t="shared" si="66"/>
        <v>0</v>
      </c>
      <c r="Q85" s="1044">
        <f t="shared" si="67"/>
        <v>0</v>
      </c>
      <c r="R85" s="1044">
        <f t="shared" si="68"/>
        <v>0</v>
      </c>
      <c r="S85" s="1044">
        <f t="shared" si="69"/>
        <v>0</v>
      </c>
      <c r="T85" s="1044">
        <f t="shared" si="70"/>
        <v>0</v>
      </c>
      <c r="U85" s="1044">
        <f t="shared" si="71"/>
        <v>0</v>
      </c>
      <c r="V85" s="1044">
        <f t="shared" si="72"/>
        <v>0</v>
      </c>
      <c r="W85" s="1044">
        <f t="shared" si="73"/>
        <v>0</v>
      </c>
      <c r="X85" s="1044">
        <f t="shared" si="74"/>
        <v>0</v>
      </c>
      <c r="Y85" s="1044">
        <f t="shared" si="75"/>
        <v>0</v>
      </c>
      <c r="Z85" s="1044">
        <f t="shared" si="76"/>
        <v>0</v>
      </c>
      <c r="AA85" s="1044">
        <f t="shared" si="77"/>
        <v>0</v>
      </c>
      <c r="AB85" s="1044">
        <f t="shared" si="78"/>
        <v>0</v>
      </c>
      <c r="AC85" s="1044">
        <f t="shared" si="79"/>
        <v>0</v>
      </c>
      <c r="AD85" s="1044">
        <f t="shared" si="80"/>
        <v>0</v>
      </c>
      <c r="AE85" s="1044">
        <f t="shared" si="81"/>
        <v>0</v>
      </c>
      <c r="AF85" s="1044">
        <f t="shared" si="82"/>
        <v>0</v>
      </c>
      <c r="AG85" s="1044">
        <f t="shared" si="83"/>
        <v>0</v>
      </c>
      <c r="AH85" s="1044">
        <f t="shared" si="84"/>
        <v>0</v>
      </c>
      <c r="AI85" s="1044">
        <f t="shared" si="85"/>
        <v>0</v>
      </c>
      <c r="AJ85" s="1044">
        <f t="shared" si="86"/>
        <v>0</v>
      </c>
      <c r="AK85" s="1044">
        <f t="shared" si="87"/>
        <v>0</v>
      </c>
      <c r="AL85" s="1044">
        <f t="shared" si="88"/>
        <v>0</v>
      </c>
      <c r="AM85" s="1044">
        <f t="shared" si="89"/>
        <v>0</v>
      </c>
      <c r="AN85" s="1044" t="str">
        <f t="shared" si="90"/>
        <v/>
      </c>
      <c r="AO85" s="1044" t="str">
        <f t="shared" si="91"/>
        <v/>
      </c>
      <c r="AP85" s="1044" t="str">
        <f t="shared" si="92"/>
        <v/>
      </c>
      <c r="AQ85" s="1044" t="str">
        <f t="shared" si="93"/>
        <v/>
      </c>
      <c r="AR85" s="1044" t="str">
        <f t="shared" si="94"/>
        <v/>
      </c>
      <c r="AS85" s="1044" t="str">
        <f t="shared" si="95"/>
        <v/>
      </c>
      <c r="AT85" s="1044" t="str">
        <f t="shared" si="96"/>
        <v/>
      </c>
      <c r="AU85" s="1044" t="str">
        <f t="shared" si="97"/>
        <v/>
      </c>
      <c r="AV85" s="1044" t="str">
        <f t="shared" si="98"/>
        <v/>
      </c>
      <c r="AW85" s="1044" t="str">
        <f t="shared" si="99"/>
        <v/>
      </c>
      <c r="AX85" s="1044" t="str">
        <f t="shared" si="100"/>
        <v/>
      </c>
      <c r="AY85" s="1044" t="str">
        <f t="shared" si="101"/>
        <v/>
      </c>
      <c r="AZ85" s="1044" t="str">
        <f t="shared" si="102"/>
        <v/>
      </c>
      <c r="BA85" s="1044" t="str">
        <f t="shared" si="103"/>
        <v/>
      </c>
      <c r="BB85" s="1044" t="str">
        <f t="shared" si="104"/>
        <v/>
      </c>
      <c r="BC85" s="1044" t="str">
        <f t="shared" si="105"/>
        <v/>
      </c>
      <c r="BF85" s="1" t="s">
        <v>7029</v>
      </c>
      <c r="BG85" s="1076" t="s">
        <v>689</v>
      </c>
      <c r="BH85" s="1" t="s">
        <v>34</v>
      </c>
      <c r="BI85" s="1" t="s">
        <v>7466</v>
      </c>
    </row>
    <row r="86" spans="1:61" ht="30" customHeight="1">
      <c r="A86" s="1085" t="str">
        <f t="shared" si="53"/>
        <v/>
      </c>
      <c r="B86" s="1086"/>
      <c r="C86" s="1085" t="s">
        <v>254</v>
      </c>
      <c r="D86" s="1087" t="str">
        <f t="shared" si="54"/>
        <v/>
      </c>
      <c r="E86" s="1088" t="str">
        <f t="shared" si="55"/>
        <v/>
      </c>
      <c r="F86" s="1089" t="str">
        <f t="shared" si="56"/>
        <v/>
      </c>
      <c r="G86" s="1090" t="str">
        <f t="shared" si="57"/>
        <v/>
      </c>
      <c r="H86" s="1085" t="str">
        <f t="shared" si="58"/>
        <v/>
      </c>
      <c r="I86" s="1085" t="str">
        <f t="shared" si="59"/>
        <v/>
      </c>
      <c r="J86" s="1090" t="str">
        <f t="shared" si="60"/>
        <v/>
      </c>
      <c r="K86" s="1044" t="str">
        <f t="shared" si="61"/>
        <v/>
      </c>
      <c r="L86" s="1044" t="str">
        <f t="shared" si="62"/>
        <v/>
      </c>
      <c r="M86" s="1044" t="str">
        <f t="shared" si="63"/>
        <v/>
      </c>
      <c r="N86" s="1044" t="str">
        <f t="shared" si="64"/>
        <v/>
      </c>
      <c r="O86" s="1044">
        <f t="shared" si="65"/>
        <v>0</v>
      </c>
      <c r="P86" s="1044">
        <f t="shared" si="66"/>
        <v>0</v>
      </c>
      <c r="Q86" s="1044">
        <f t="shared" si="67"/>
        <v>0</v>
      </c>
      <c r="R86" s="1044">
        <f t="shared" si="68"/>
        <v>0</v>
      </c>
      <c r="S86" s="1044">
        <f t="shared" si="69"/>
        <v>0</v>
      </c>
      <c r="T86" s="1044">
        <f t="shared" si="70"/>
        <v>0</v>
      </c>
      <c r="U86" s="1044">
        <f t="shared" si="71"/>
        <v>0</v>
      </c>
      <c r="V86" s="1044">
        <f t="shared" si="72"/>
        <v>0</v>
      </c>
      <c r="W86" s="1044">
        <f t="shared" si="73"/>
        <v>0</v>
      </c>
      <c r="X86" s="1044">
        <f t="shared" si="74"/>
        <v>0</v>
      </c>
      <c r="Y86" s="1044">
        <f t="shared" si="75"/>
        <v>0</v>
      </c>
      <c r="Z86" s="1044">
        <f t="shared" si="76"/>
        <v>0</v>
      </c>
      <c r="AA86" s="1044">
        <f t="shared" si="77"/>
        <v>0</v>
      </c>
      <c r="AB86" s="1044">
        <f t="shared" si="78"/>
        <v>0</v>
      </c>
      <c r="AC86" s="1044">
        <f t="shared" si="79"/>
        <v>0</v>
      </c>
      <c r="AD86" s="1044">
        <f t="shared" si="80"/>
        <v>0</v>
      </c>
      <c r="AE86" s="1044">
        <f t="shared" si="81"/>
        <v>0</v>
      </c>
      <c r="AF86" s="1044">
        <f t="shared" si="82"/>
        <v>0</v>
      </c>
      <c r="AG86" s="1044">
        <f t="shared" si="83"/>
        <v>0</v>
      </c>
      <c r="AH86" s="1044">
        <f t="shared" si="84"/>
        <v>0</v>
      </c>
      <c r="AI86" s="1044">
        <f t="shared" si="85"/>
        <v>0</v>
      </c>
      <c r="AJ86" s="1044">
        <f t="shared" si="86"/>
        <v>0</v>
      </c>
      <c r="AK86" s="1044">
        <f t="shared" si="87"/>
        <v>0</v>
      </c>
      <c r="AL86" s="1044">
        <f t="shared" si="88"/>
        <v>0</v>
      </c>
      <c r="AM86" s="1044">
        <f t="shared" si="89"/>
        <v>0</v>
      </c>
      <c r="AN86" s="1044" t="str">
        <f t="shared" si="90"/>
        <v/>
      </c>
      <c r="AO86" s="1044" t="str">
        <f t="shared" si="91"/>
        <v/>
      </c>
      <c r="AP86" s="1044" t="str">
        <f t="shared" si="92"/>
        <v/>
      </c>
      <c r="AQ86" s="1044" t="str">
        <f t="shared" si="93"/>
        <v/>
      </c>
      <c r="AR86" s="1044" t="str">
        <f t="shared" si="94"/>
        <v/>
      </c>
      <c r="AS86" s="1044" t="str">
        <f t="shared" si="95"/>
        <v/>
      </c>
      <c r="AT86" s="1044" t="str">
        <f t="shared" si="96"/>
        <v/>
      </c>
      <c r="AU86" s="1044" t="str">
        <f t="shared" si="97"/>
        <v/>
      </c>
      <c r="AV86" s="1044" t="str">
        <f t="shared" si="98"/>
        <v/>
      </c>
      <c r="AW86" s="1044" t="str">
        <f t="shared" si="99"/>
        <v/>
      </c>
      <c r="AX86" s="1044" t="str">
        <f t="shared" si="100"/>
        <v/>
      </c>
      <c r="AY86" s="1044" t="str">
        <f t="shared" si="101"/>
        <v/>
      </c>
      <c r="AZ86" s="1044" t="str">
        <f t="shared" si="102"/>
        <v/>
      </c>
      <c r="BA86" s="1044" t="str">
        <f t="shared" si="103"/>
        <v/>
      </c>
      <c r="BB86" s="1044" t="str">
        <f t="shared" si="104"/>
        <v/>
      </c>
      <c r="BC86" s="1044" t="str">
        <f t="shared" si="105"/>
        <v/>
      </c>
      <c r="BF86" s="1" t="s">
        <v>7029</v>
      </c>
      <c r="BG86" s="1076" t="s">
        <v>689</v>
      </c>
      <c r="BH86" s="1" t="s">
        <v>40</v>
      </c>
      <c r="BI86" s="1" t="s">
        <v>7467</v>
      </c>
    </row>
    <row r="87" spans="1:61" ht="30" customHeight="1">
      <c r="A87" s="1085" t="str">
        <f t="shared" si="53"/>
        <v/>
      </c>
      <c r="B87" s="1086"/>
      <c r="C87" s="1085" t="s">
        <v>254</v>
      </c>
      <c r="D87" s="1087" t="str">
        <f t="shared" si="54"/>
        <v/>
      </c>
      <c r="E87" s="1088" t="str">
        <f t="shared" si="55"/>
        <v/>
      </c>
      <c r="F87" s="1089" t="str">
        <f t="shared" si="56"/>
        <v/>
      </c>
      <c r="G87" s="1090" t="str">
        <f t="shared" si="57"/>
        <v/>
      </c>
      <c r="H87" s="1085" t="str">
        <f t="shared" si="58"/>
        <v/>
      </c>
      <c r="I87" s="1085" t="str">
        <f t="shared" si="59"/>
        <v/>
      </c>
      <c r="J87" s="1090" t="str">
        <f t="shared" si="60"/>
        <v/>
      </c>
      <c r="K87" s="1044" t="str">
        <f t="shared" si="61"/>
        <v/>
      </c>
      <c r="L87" s="1044" t="str">
        <f t="shared" si="62"/>
        <v/>
      </c>
      <c r="M87" s="1044" t="str">
        <f t="shared" si="63"/>
        <v/>
      </c>
      <c r="N87" s="1044" t="str">
        <f t="shared" si="64"/>
        <v/>
      </c>
      <c r="O87" s="1044">
        <f t="shared" si="65"/>
        <v>0</v>
      </c>
      <c r="P87" s="1044">
        <f t="shared" si="66"/>
        <v>0</v>
      </c>
      <c r="Q87" s="1044">
        <f t="shared" si="67"/>
        <v>0</v>
      </c>
      <c r="R87" s="1044">
        <f t="shared" si="68"/>
        <v>0</v>
      </c>
      <c r="S87" s="1044">
        <f t="shared" si="69"/>
        <v>0</v>
      </c>
      <c r="T87" s="1044">
        <f t="shared" si="70"/>
        <v>0</v>
      </c>
      <c r="U87" s="1044">
        <f t="shared" si="71"/>
        <v>0</v>
      </c>
      <c r="V87" s="1044">
        <f t="shared" si="72"/>
        <v>0</v>
      </c>
      <c r="W87" s="1044">
        <f t="shared" si="73"/>
        <v>0</v>
      </c>
      <c r="X87" s="1044">
        <f t="shared" si="74"/>
        <v>0</v>
      </c>
      <c r="Y87" s="1044">
        <f t="shared" si="75"/>
        <v>0</v>
      </c>
      <c r="Z87" s="1044">
        <f t="shared" si="76"/>
        <v>0</v>
      </c>
      <c r="AA87" s="1044">
        <f t="shared" si="77"/>
        <v>0</v>
      </c>
      <c r="AB87" s="1044">
        <f t="shared" si="78"/>
        <v>0</v>
      </c>
      <c r="AC87" s="1044">
        <f t="shared" si="79"/>
        <v>0</v>
      </c>
      <c r="AD87" s="1044">
        <f t="shared" si="80"/>
        <v>0</v>
      </c>
      <c r="AE87" s="1044">
        <f t="shared" si="81"/>
        <v>0</v>
      </c>
      <c r="AF87" s="1044">
        <f t="shared" si="82"/>
        <v>0</v>
      </c>
      <c r="AG87" s="1044">
        <f t="shared" si="83"/>
        <v>0</v>
      </c>
      <c r="AH87" s="1044">
        <f t="shared" si="84"/>
        <v>0</v>
      </c>
      <c r="AI87" s="1044">
        <f t="shared" si="85"/>
        <v>0</v>
      </c>
      <c r="AJ87" s="1044">
        <f t="shared" si="86"/>
        <v>0</v>
      </c>
      <c r="AK87" s="1044">
        <f t="shared" si="87"/>
        <v>0</v>
      </c>
      <c r="AL87" s="1044">
        <f t="shared" si="88"/>
        <v>0</v>
      </c>
      <c r="AM87" s="1044">
        <f t="shared" si="89"/>
        <v>0</v>
      </c>
      <c r="AN87" s="1044" t="str">
        <f t="shared" si="90"/>
        <v/>
      </c>
      <c r="AO87" s="1044" t="str">
        <f t="shared" si="91"/>
        <v/>
      </c>
      <c r="AP87" s="1044" t="str">
        <f t="shared" si="92"/>
        <v/>
      </c>
      <c r="AQ87" s="1044" t="str">
        <f t="shared" si="93"/>
        <v/>
      </c>
      <c r="AR87" s="1044" t="str">
        <f t="shared" si="94"/>
        <v/>
      </c>
      <c r="AS87" s="1044" t="str">
        <f t="shared" si="95"/>
        <v/>
      </c>
      <c r="AT87" s="1044" t="str">
        <f t="shared" si="96"/>
        <v/>
      </c>
      <c r="AU87" s="1044" t="str">
        <f t="shared" si="97"/>
        <v/>
      </c>
      <c r="AV87" s="1044" t="str">
        <f t="shared" si="98"/>
        <v/>
      </c>
      <c r="AW87" s="1044" t="str">
        <f t="shared" si="99"/>
        <v/>
      </c>
      <c r="AX87" s="1044" t="str">
        <f t="shared" si="100"/>
        <v/>
      </c>
      <c r="AY87" s="1044" t="str">
        <f t="shared" si="101"/>
        <v/>
      </c>
      <c r="AZ87" s="1044" t="str">
        <f t="shared" si="102"/>
        <v/>
      </c>
      <c r="BA87" s="1044" t="str">
        <f t="shared" si="103"/>
        <v/>
      </c>
      <c r="BB87" s="1044" t="str">
        <f t="shared" si="104"/>
        <v/>
      </c>
      <c r="BC87" s="1044" t="str">
        <f t="shared" si="105"/>
        <v/>
      </c>
      <c r="BF87" s="1" t="s">
        <v>7029</v>
      </c>
      <c r="BG87" s="1076" t="s">
        <v>689</v>
      </c>
      <c r="BH87" s="1" t="s">
        <v>7068</v>
      </c>
      <c r="BI87" s="1" t="s">
        <v>7468</v>
      </c>
    </row>
    <row r="88" spans="1:61" ht="30" customHeight="1">
      <c r="A88" s="1085" t="str">
        <f t="shared" si="53"/>
        <v/>
      </c>
      <c r="B88" s="1086"/>
      <c r="C88" s="1085" t="s">
        <v>254</v>
      </c>
      <c r="D88" s="1087" t="str">
        <f t="shared" si="54"/>
        <v/>
      </c>
      <c r="E88" s="1088" t="str">
        <f t="shared" si="55"/>
        <v/>
      </c>
      <c r="F88" s="1089" t="str">
        <f t="shared" si="56"/>
        <v/>
      </c>
      <c r="G88" s="1090" t="str">
        <f t="shared" si="57"/>
        <v/>
      </c>
      <c r="H88" s="1085" t="str">
        <f t="shared" si="58"/>
        <v/>
      </c>
      <c r="I88" s="1085" t="str">
        <f t="shared" si="59"/>
        <v/>
      </c>
      <c r="J88" s="1090" t="str">
        <f t="shared" si="60"/>
        <v/>
      </c>
      <c r="K88" s="1044" t="str">
        <f t="shared" si="61"/>
        <v/>
      </c>
      <c r="L88" s="1044" t="str">
        <f t="shared" si="62"/>
        <v/>
      </c>
      <c r="M88" s="1044" t="str">
        <f t="shared" si="63"/>
        <v/>
      </c>
      <c r="N88" s="1044" t="str">
        <f t="shared" si="64"/>
        <v/>
      </c>
      <c r="O88" s="1044">
        <f t="shared" si="65"/>
        <v>0</v>
      </c>
      <c r="P88" s="1044">
        <f t="shared" si="66"/>
        <v>0</v>
      </c>
      <c r="Q88" s="1044">
        <f t="shared" si="67"/>
        <v>0</v>
      </c>
      <c r="R88" s="1044">
        <f t="shared" si="68"/>
        <v>0</v>
      </c>
      <c r="S88" s="1044">
        <f t="shared" si="69"/>
        <v>0</v>
      </c>
      <c r="T88" s="1044">
        <f t="shared" si="70"/>
        <v>0</v>
      </c>
      <c r="U88" s="1044">
        <f t="shared" si="71"/>
        <v>0</v>
      </c>
      <c r="V88" s="1044">
        <f t="shared" si="72"/>
        <v>0</v>
      </c>
      <c r="W88" s="1044">
        <f t="shared" si="73"/>
        <v>0</v>
      </c>
      <c r="X88" s="1044">
        <f t="shared" si="74"/>
        <v>0</v>
      </c>
      <c r="Y88" s="1044">
        <f t="shared" si="75"/>
        <v>0</v>
      </c>
      <c r="Z88" s="1044">
        <f t="shared" si="76"/>
        <v>0</v>
      </c>
      <c r="AA88" s="1044">
        <f t="shared" si="77"/>
        <v>0</v>
      </c>
      <c r="AB88" s="1044">
        <f t="shared" si="78"/>
        <v>0</v>
      </c>
      <c r="AC88" s="1044">
        <f t="shared" si="79"/>
        <v>0</v>
      </c>
      <c r="AD88" s="1044">
        <f t="shared" si="80"/>
        <v>0</v>
      </c>
      <c r="AE88" s="1044">
        <f t="shared" si="81"/>
        <v>0</v>
      </c>
      <c r="AF88" s="1044">
        <f t="shared" si="82"/>
        <v>0</v>
      </c>
      <c r="AG88" s="1044">
        <f t="shared" si="83"/>
        <v>0</v>
      </c>
      <c r="AH88" s="1044">
        <f t="shared" si="84"/>
        <v>0</v>
      </c>
      <c r="AI88" s="1044">
        <f t="shared" si="85"/>
        <v>0</v>
      </c>
      <c r="AJ88" s="1044">
        <f t="shared" si="86"/>
        <v>0</v>
      </c>
      <c r="AK88" s="1044">
        <f t="shared" si="87"/>
        <v>0</v>
      </c>
      <c r="AL88" s="1044">
        <f t="shared" si="88"/>
        <v>0</v>
      </c>
      <c r="AM88" s="1044">
        <f t="shared" si="89"/>
        <v>0</v>
      </c>
      <c r="AN88" s="1044" t="str">
        <f t="shared" si="90"/>
        <v/>
      </c>
      <c r="AO88" s="1044" t="str">
        <f t="shared" si="91"/>
        <v/>
      </c>
      <c r="AP88" s="1044" t="str">
        <f t="shared" si="92"/>
        <v/>
      </c>
      <c r="AQ88" s="1044" t="str">
        <f t="shared" si="93"/>
        <v/>
      </c>
      <c r="AR88" s="1044" t="str">
        <f t="shared" si="94"/>
        <v/>
      </c>
      <c r="AS88" s="1044" t="str">
        <f t="shared" si="95"/>
        <v/>
      </c>
      <c r="AT88" s="1044" t="str">
        <f t="shared" si="96"/>
        <v/>
      </c>
      <c r="AU88" s="1044" t="str">
        <f t="shared" si="97"/>
        <v/>
      </c>
      <c r="AV88" s="1044" t="str">
        <f t="shared" si="98"/>
        <v/>
      </c>
      <c r="AW88" s="1044" t="str">
        <f t="shared" si="99"/>
        <v/>
      </c>
      <c r="AX88" s="1044" t="str">
        <f t="shared" si="100"/>
        <v/>
      </c>
      <c r="AY88" s="1044" t="str">
        <f t="shared" si="101"/>
        <v/>
      </c>
      <c r="AZ88" s="1044" t="str">
        <f t="shared" si="102"/>
        <v/>
      </c>
      <c r="BA88" s="1044" t="str">
        <f t="shared" si="103"/>
        <v/>
      </c>
      <c r="BB88" s="1044" t="str">
        <f t="shared" si="104"/>
        <v/>
      </c>
      <c r="BC88" s="1044" t="str">
        <f t="shared" si="105"/>
        <v/>
      </c>
      <c r="BF88" s="1" t="s">
        <v>7029</v>
      </c>
      <c r="BG88" s="1076" t="s">
        <v>689</v>
      </c>
      <c r="BH88" s="1" t="s">
        <v>7069</v>
      </c>
      <c r="BI88" s="1" t="s">
        <v>7469</v>
      </c>
    </row>
    <row r="89" spans="1:61" ht="30" customHeight="1">
      <c r="A89" s="1085" t="str">
        <f t="shared" si="53"/>
        <v/>
      </c>
      <c r="B89" s="1086"/>
      <c r="C89" s="1085" t="s">
        <v>254</v>
      </c>
      <c r="D89" s="1087" t="str">
        <f t="shared" si="54"/>
        <v/>
      </c>
      <c r="E89" s="1088" t="str">
        <f t="shared" si="55"/>
        <v/>
      </c>
      <c r="F89" s="1089" t="str">
        <f t="shared" si="56"/>
        <v/>
      </c>
      <c r="G89" s="1090" t="str">
        <f t="shared" si="57"/>
        <v/>
      </c>
      <c r="H89" s="1085" t="str">
        <f t="shared" si="58"/>
        <v/>
      </c>
      <c r="I89" s="1085" t="str">
        <f t="shared" si="59"/>
        <v/>
      </c>
      <c r="J89" s="1090" t="str">
        <f t="shared" si="60"/>
        <v/>
      </c>
      <c r="K89" s="1044" t="str">
        <f t="shared" si="61"/>
        <v/>
      </c>
      <c r="L89" s="1044" t="str">
        <f t="shared" si="62"/>
        <v/>
      </c>
      <c r="M89" s="1044" t="str">
        <f t="shared" si="63"/>
        <v/>
      </c>
      <c r="N89" s="1044" t="str">
        <f t="shared" si="64"/>
        <v/>
      </c>
      <c r="O89" s="1044">
        <f t="shared" si="65"/>
        <v>0</v>
      </c>
      <c r="P89" s="1044">
        <f t="shared" si="66"/>
        <v>0</v>
      </c>
      <c r="Q89" s="1044">
        <f t="shared" si="67"/>
        <v>0</v>
      </c>
      <c r="R89" s="1044">
        <f t="shared" si="68"/>
        <v>0</v>
      </c>
      <c r="S89" s="1044">
        <f t="shared" si="69"/>
        <v>0</v>
      </c>
      <c r="T89" s="1044">
        <f t="shared" si="70"/>
        <v>0</v>
      </c>
      <c r="U89" s="1044">
        <f t="shared" si="71"/>
        <v>0</v>
      </c>
      <c r="V89" s="1044">
        <f t="shared" si="72"/>
        <v>0</v>
      </c>
      <c r="W89" s="1044">
        <f t="shared" si="73"/>
        <v>0</v>
      </c>
      <c r="X89" s="1044">
        <f t="shared" si="74"/>
        <v>0</v>
      </c>
      <c r="Y89" s="1044">
        <f t="shared" si="75"/>
        <v>0</v>
      </c>
      <c r="Z89" s="1044">
        <f t="shared" si="76"/>
        <v>0</v>
      </c>
      <c r="AA89" s="1044">
        <f t="shared" si="77"/>
        <v>0</v>
      </c>
      <c r="AB89" s="1044">
        <f t="shared" si="78"/>
        <v>0</v>
      </c>
      <c r="AC89" s="1044">
        <f t="shared" si="79"/>
        <v>0</v>
      </c>
      <c r="AD89" s="1044">
        <f t="shared" si="80"/>
        <v>0</v>
      </c>
      <c r="AE89" s="1044">
        <f t="shared" si="81"/>
        <v>0</v>
      </c>
      <c r="AF89" s="1044">
        <f t="shared" si="82"/>
        <v>0</v>
      </c>
      <c r="AG89" s="1044">
        <f t="shared" si="83"/>
        <v>0</v>
      </c>
      <c r="AH89" s="1044">
        <f t="shared" si="84"/>
        <v>0</v>
      </c>
      <c r="AI89" s="1044">
        <f t="shared" si="85"/>
        <v>0</v>
      </c>
      <c r="AJ89" s="1044">
        <f t="shared" si="86"/>
        <v>0</v>
      </c>
      <c r="AK89" s="1044">
        <f t="shared" si="87"/>
        <v>0</v>
      </c>
      <c r="AL89" s="1044">
        <f t="shared" si="88"/>
        <v>0</v>
      </c>
      <c r="AM89" s="1044">
        <f t="shared" si="89"/>
        <v>0</v>
      </c>
      <c r="AN89" s="1044" t="str">
        <f t="shared" si="90"/>
        <v/>
      </c>
      <c r="AO89" s="1044" t="str">
        <f t="shared" si="91"/>
        <v/>
      </c>
      <c r="AP89" s="1044" t="str">
        <f t="shared" si="92"/>
        <v/>
      </c>
      <c r="AQ89" s="1044" t="str">
        <f t="shared" si="93"/>
        <v/>
      </c>
      <c r="AR89" s="1044" t="str">
        <f t="shared" si="94"/>
        <v/>
      </c>
      <c r="AS89" s="1044" t="str">
        <f t="shared" si="95"/>
        <v/>
      </c>
      <c r="AT89" s="1044" t="str">
        <f t="shared" si="96"/>
        <v/>
      </c>
      <c r="AU89" s="1044" t="str">
        <f t="shared" si="97"/>
        <v/>
      </c>
      <c r="AV89" s="1044" t="str">
        <f t="shared" si="98"/>
        <v/>
      </c>
      <c r="AW89" s="1044" t="str">
        <f t="shared" si="99"/>
        <v/>
      </c>
      <c r="AX89" s="1044" t="str">
        <f t="shared" si="100"/>
        <v/>
      </c>
      <c r="AY89" s="1044" t="str">
        <f t="shared" si="101"/>
        <v/>
      </c>
      <c r="AZ89" s="1044" t="str">
        <f t="shared" si="102"/>
        <v/>
      </c>
      <c r="BA89" s="1044" t="str">
        <f t="shared" si="103"/>
        <v/>
      </c>
      <c r="BB89" s="1044" t="str">
        <f t="shared" si="104"/>
        <v/>
      </c>
      <c r="BC89" s="1044" t="str">
        <f t="shared" si="105"/>
        <v/>
      </c>
      <c r="BF89" s="1" t="s">
        <v>7029</v>
      </c>
      <c r="BG89" s="1076" t="s">
        <v>689</v>
      </c>
      <c r="BH89" s="1" t="s">
        <v>7070</v>
      </c>
      <c r="BI89" s="1" t="s">
        <v>7470</v>
      </c>
    </row>
    <row r="90" spans="1:61" ht="30" customHeight="1">
      <c r="A90" s="1085" t="str">
        <f t="shared" si="53"/>
        <v/>
      </c>
      <c r="B90" s="1086"/>
      <c r="C90" s="1085" t="s">
        <v>254</v>
      </c>
      <c r="D90" s="1087" t="str">
        <f t="shared" si="54"/>
        <v/>
      </c>
      <c r="E90" s="1088" t="str">
        <f t="shared" si="55"/>
        <v/>
      </c>
      <c r="F90" s="1089" t="str">
        <f t="shared" si="56"/>
        <v/>
      </c>
      <c r="G90" s="1090" t="str">
        <f t="shared" si="57"/>
        <v/>
      </c>
      <c r="H90" s="1085" t="str">
        <f t="shared" si="58"/>
        <v/>
      </c>
      <c r="I90" s="1085" t="str">
        <f t="shared" si="59"/>
        <v/>
      </c>
      <c r="J90" s="1090" t="str">
        <f t="shared" si="60"/>
        <v/>
      </c>
      <c r="K90" s="1044" t="str">
        <f t="shared" si="61"/>
        <v/>
      </c>
      <c r="L90" s="1044" t="str">
        <f t="shared" si="62"/>
        <v/>
      </c>
      <c r="M90" s="1044" t="str">
        <f t="shared" si="63"/>
        <v/>
      </c>
      <c r="N90" s="1044" t="str">
        <f t="shared" si="64"/>
        <v/>
      </c>
      <c r="O90" s="1044">
        <f t="shared" si="65"/>
        <v>0</v>
      </c>
      <c r="P90" s="1044">
        <f t="shared" si="66"/>
        <v>0</v>
      </c>
      <c r="Q90" s="1044">
        <f t="shared" si="67"/>
        <v>0</v>
      </c>
      <c r="R90" s="1044">
        <f t="shared" si="68"/>
        <v>0</v>
      </c>
      <c r="S90" s="1044">
        <f t="shared" si="69"/>
        <v>0</v>
      </c>
      <c r="T90" s="1044">
        <f t="shared" si="70"/>
        <v>0</v>
      </c>
      <c r="U90" s="1044">
        <f t="shared" si="71"/>
        <v>0</v>
      </c>
      <c r="V90" s="1044">
        <f t="shared" si="72"/>
        <v>0</v>
      </c>
      <c r="W90" s="1044">
        <f t="shared" si="73"/>
        <v>0</v>
      </c>
      <c r="X90" s="1044">
        <f t="shared" si="74"/>
        <v>0</v>
      </c>
      <c r="Y90" s="1044">
        <f t="shared" si="75"/>
        <v>0</v>
      </c>
      <c r="Z90" s="1044">
        <f t="shared" si="76"/>
        <v>0</v>
      </c>
      <c r="AA90" s="1044">
        <f t="shared" si="77"/>
        <v>0</v>
      </c>
      <c r="AB90" s="1044">
        <f t="shared" si="78"/>
        <v>0</v>
      </c>
      <c r="AC90" s="1044">
        <f t="shared" si="79"/>
        <v>0</v>
      </c>
      <c r="AD90" s="1044">
        <f t="shared" si="80"/>
        <v>0</v>
      </c>
      <c r="AE90" s="1044">
        <f t="shared" si="81"/>
        <v>0</v>
      </c>
      <c r="AF90" s="1044">
        <f t="shared" si="82"/>
        <v>0</v>
      </c>
      <c r="AG90" s="1044">
        <f t="shared" si="83"/>
        <v>0</v>
      </c>
      <c r="AH90" s="1044">
        <f t="shared" si="84"/>
        <v>0</v>
      </c>
      <c r="AI90" s="1044">
        <f t="shared" si="85"/>
        <v>0</v>
      </c>
      <c r="AJ90" s="1044">
        <f t="shared" si="86"/>
        <v>0</v>
      </c>
      <c r="AK90" s="1044">
        <f t="shared" si="87"/>
        <v>0</v>
      </c>
      <c r="AL90" s="1044">
        <f t="shared" si="88"/>
        <v>0</v>
      </c>
      <c r="AM90" s="1044">
        <f t="shared" si="89"/>
        <v>0</v>
      </c>
      <c r="AN90" s="1044" t="str">
        <f t="shared" si="90"/>
        <v/>
      </c>
      <c r="AO90" s="1044" t="str">
        <f t="shared" si="91"/>
        <v/>
      </c>
      <c r="AP90" s="1044" t="str">
        <f t="shared" si="92"/>
        <v/>
      </c>
      <c r="AQ90" s="1044" t="str">
        <f t="shared" si="93"/>
        <v/>
      </c>
      <c r="AR90" s="1044" t="str">
        <f t="shared" si="94"/>
        <v/>
      </c>
      <c r="AS90" s="1044" t="str">
        <f t="shared" si="95"/>
        <v/>
      </c>
      <c r="AT90" s="1044" t="str">
        <f t="shared" si="96"/>
        <v/>
      </c>
      <c r="AU90" s="1044" t="str">
        <f t="shared" si="97"/>
        <v/>
      </c>
      <c r="AV90" s="1044" t="str">
        <f t="shared" si="98"/>
        <v/>
      </c>
      <c r="AW90" s="1044" t="str">
        <f t="shared" si="99"/>
        <v/>
      </c>
      <c r="AX90" s="1044" t="str">
        <f t="shared" si="100"/>
        <v/>
      </c>
      <c r="AY90" s="1044" t="str">
        <f t="shared" si="101"/>
        <v/>
      </c>
      <c r="AZ90" s="1044" t="str">
        <f t="shared" si="102"/>
        <v/>
      </c>
      <c r="BA90" s="1044" t="str">
        <f t="shared" si="103"/>
        <v/>
      </c>
      <c r="BB90" s="1044" t="str">
        <f t="shared" si="104"/>
        <v/>
      </c>
      <c r="BC90" s="1044" t="str">
        <f t="shared" si="105"/>
        <v/>
      </c>
      <c r="BF90" s="1" t="s">
        <v>7029</v>
      </c>
      <c r="BG90" s="1076" t="s">
        <v>689</v>
      </c>
      <c r="BH90" s="1" t="s">
        <v>7071</v>
      </c>
      <c r="BI90" s="1" t="s">
        <v>7471</v>
      </c>
    </row>
    <row r="91" spans="1:61" ht="30" customHeight="1">
      <c r="A91" s="1085" t="str">
        <f t="shared" si="53"/>
        <v/>
      </c>
      <c r="B91" s="1086"/>
      <c r="C91" s="1085" t="s">
        <v>254</v>
      </c>
      <c r="D91" s="1087" t="str">
        <f t="shared" si="54"/>
        <v/>
      </c>
      <c r="E91" s="1088" t="str">
        <f t="shared" si="55"/>
        <v/>
      </c>
      <c r="F91" s="1089" t="str">
        <f t="shared" si="56"/>
        <v/>
      </c>
      <c r="G91" s="1090" t="str">
        <f t="shared" si="57"/>
        <v/>
      </c>
      <c r="H91" s="1085" t="str">
        <f t="shared" si="58"/>
        <v/>
      </c>
      <c r="I91" s="1085" t="str">
        <f t="shared" si="59"/>
        <v/>
      </c>
      <c r="J91" s="1090" t="str">
        <f t="shared" si="60"/>
        <v/>
      </c>
      <c r="K91" s="1044" t="str">
        <f t="shared" si="61"/>
        <v/>
      </c>
      <c r="L91" s="1044" t="str">
        <f t="shared" si="62"/>
        <v/>
      </c>
      <c r="M91" s="1044" t="str">
        <f t="shared" si="63"/>
        <v/>
      </c>
      <c r="N91" s="1044" t="str">
        <f t="shared" si="64"/>
        <v/>
      </c>
      <c r="O91" s="1044">
        <f t="shared" si="65"/>
        <v>0</v>
      </c>
      <c r="P91" s="1044">
        <f t="shared" si="66"/>
        <v>0</v>
      </c>
      <c r="Q91" s="1044">
        <f t="shared" si="67"/>
        <v>0</v>
      </c>
      <c r="R91" s="1044">
        <f t="shared" si="68"/>
        <v>0</v>
      </c>
      <c r="S91" s="1044">
        <f t="shared" si="69"/>
        <v>0</v>
      </c>
      <c r="T91" s="1044">
        <f t="shared" si="70"/>
        <v>0</v>
      </c>
      <c r="U91" s="1044">
        <f t="shared" si="71"/>
        <v>0</v>
      </c>
      <c r="V91" s="1044">
        <f t="shared" si="72"/>
        <v>0</v>
      </c>
      <c r="W91" s="1044">
        <f t="shared" si="73"/>
        <v>0</v>
      </c>
      <c r="X91" s="1044">
        <f t="shared" si="74"/>
        <v>0</v>
      </c>
      <c r="Y91" s="1044">
        <f t="shared" si="75"/>
        <v>0</v>
      </c>
      <c r="Z91" s="1044">
        <f t="shared" si="76"/>
        <v>0</v>
      </c>
      <c r="AA91" s="1044">
        <f t="shared" si="77"/>
        <v>0</v>
      </c>
      <c r="AB91" s="1044">
        <f t="shared" si="78"/>
        <v>0</v>
      </c>
      <c r="AC91" s="1044">
        <f t="shared" si="79"/>
        <v>0</v>
      </c>
      <c r="AD91" s="1044">
        <f t="shared" si="80"/>
        <v>0</v>
      </c>
      <c r="AE91" s="1044">
        <f t="shared" si="81"/>
        <v>0</v>
      </c>
      <c r="AF91" s="1044">
        <f t="shared" si="82"/>
        <v>0</v>
      </c>
      <c r="AG91" s="1044">
        <f t="shared" si="83"/>
        <v>0</v>
      </c>
      <c r="AH91" s="1044">
        <f t="shared" si="84"/>
        <v>0</v>
      </c>
      <c r="AI91" s="1044">
        <f t="shared" si="85"/>
        <v>0</v>
      </c>
      <c r="AJ91" s="1044">
        <f t="shared" si="86"/>
        <v>0</v>
      </c>
      <c r="AK91" s="1044">
        <f t="shared" si="87"/>
        <v>0</v>
      </c>
      <c r="AL91" s="1044">
        <f t="shared" si="88"/>
        <v>0</v>
      </c>
      <c r="AM91" s="1044">
        <f t="shared" si="89"/>
        <v>0</v>
      </c>
      <c r="AN91" s="1044" t="str">
        <f t="shared" si="90"/>
        <v/>
      </c>
      <c r="AO91" s="1044" t="str">
        <f t="shared" si="91"/>
        <v/>
      </c>
      <c r="AP91" s="1044" t="str">
        <f t="shared" si="92"/>
        <v/>
      </c>
      <c r="AQ91" s="1044" t="str">
        <f t="shared" si="93"/>
        <v/>
      </c>
      <c r="AR91" s="1044" t="str">
        <f t="shared" si="94"/>
        <v/>
      </c>
      <c r="AS91" s="1044" t="str">
        <f t="shared" si="95"/>
        <v/>
      </c>
      <c r="AT91" s="1044" t="str">
        <f t="shared" si="96"/>
        <v/>
      </c>
      <c r="AU91" s="1044" t="str">
        <f t="shared" si="97"/>
        <v/>
      </c>
      <c r="AV91" s="1044" t="str">
        <f t="shared" si="98"/>
        <v/>
      </c>
      <c r="AW91" s="1044" t="str">
        <f t="shared" si="99"/>
        <v/>
      </c>
      <c r="AX91" s="1044" t="str">
        <f t="shared" si="100"/>
        <v/>
      </c>
      <c r="AY91" s="1044" t="str">
        <f t="shared" si="101"/>
        <v/>
      </c>
      <c r="AZ91" s="1044" t="str">
        <f t="shared" si="102"/>
        <v/>
      </c>
      <c r="BA91" s="1044" t="str">
        <f t="shared" si="103"/>
        <v/>
      </c>
      <c r="BB91" s="1044" t="str">
        <f t="shared" si="104"/>
        <v/>
      </c>
      <c r="BC91" s="1044" t="str">
        <f t="shared" si="105"/>
        <v/>
      </c>
      <c r="BF91" s="1" t="s">
        <v>7029</v>
      </c>
      <c r="BG91" s="1076" t="s">
        <v>689</v>
      </c>
      <c r="BH91" s="1" t="s">
        <v>7072</v>
      </c>
      <c r="BI91" s="1" t="s">
        <v>7472</v>
      </c>
    </row>
    <row r="92" spans="1:61" ht="30" customHeight="1">
      <c r="A92" s="1085" t="str">
        <f t="shared" si="53"/>
        <v/>
      </c>
      <c r="B92" s="1086"/>
      <c r="C92" s="1085" t="s">
        <v>254</v>
      </c>
      <c r="D92" s="1087" t="str">
        <f t="shared" si="54"/>
        <v/>
      </c>
      <c r="E92" s="1088" t="str">
        <f t="shared" si="55"/>
        <v/>
      </c>
      <c r="F92" s="1089" t="str">
        <f t="shared" si="56"/>
        <v/>
      </c>
      <c r="G92" s="1090" t="str">
        <f t="shared" si="57"/>
        <v/>
      </c>
      <c r="H92" s="1085" t="str">
        <f t="shared" si="58"/>
        <v/>
      </c>
      <c r="I92" s="1085" t="str">
        <f t="shared" si="59"/>
        <v/>
      </c>
      <c r="J92" s="1090" t="str">
        <f t="shared" si="60"/>
        <v/>
      </c>
      <c r="K92" s="1044" t="str">
        <f t="shared" si="61"/>
        <v/>
      </c>
      <c r="L92" s="1044" t="str">
        <f t="shared" si="62"/>
        <v/>
      </c>
      <c r="M92" s="1044" t="str">
        <f t="shared" si="63"/>
        <v/>
      </c>
      <c r="N92" s="1044" t="str">
        <f t="shared" si="64"/>
        <v/>
      </c>
      <c r="O92" s="1044">
        <f t="shared" si="65"/>
        <v>0</v>
      </c>
      <c r="P92" s="1044">
        <f t="shared" si="66"/>
        <v>0</v>
      </c>
      <c r="Q92" s="1044">
        <f t="shared" si="67"/>
        <v>0</v>
      </c>
      <c r="R92" s="1044">
        <f t="shared" si="68"/>
        <v>0</v>
      </c>
      <c r="S92" s="1044">
        <f t="shared" si="69"/>
        <v>0</v>
      </c>
      <c r="T92" s="1044">
        <f t="shared" si="70"/>
        <v>0</v>
      </c>
      <c r="U92" s="1044">
        <f t="shared" si="71"/>
        <v>0</v>
      </c>
      <c r="V92" s="1044">
        <f t="shared" si="72"/>
        <v>0</v>
      </c>
      <c r="W92" s="1044">
        <f t="shared" si="73"/>
        <v>0</v>
      </c>
      <c r="X92" s="1044">
        <f t="shared" si="74"/>
        <v>0</v>
      </c>
      <c r="Y92" s="1044">
        <f t="shared" si="75"/>
        <v>0</v>
      </c>
      <c r="Z92" s="1044">
        <f t="shared" si="76"/>
        <v>0</v>
      </c>
      <c r="AA92" s="1044">
        <f t="shared" si="77"/>
        <v>0</v>
      </c>
      <c r="AB92" s="1044">
        <f t="shared" si="78"/>
        <v>0</v>
      </c>
      <c r="AC92" s="1044">
        <f t="shared" si="79"/>
        <v>0</v>
      </c>
      <c r="AD92" s="1044">
        <f t="shared" si="80"/>
        <v>0</v>
      </c>
      <c r="AE92" s="1044">
        <f t="shared" si="81"/>
        <v>0</v>
      </c>
      <c r="AF92" s="1044">
        <f t="shared" si="82"/>
        <v>0</v>
      </c>
      <c r="AG92" s="1044">
        <f t="shared" si="83"/>
        <v>0</v>
      </c>
      <c r="AH92" s="1044">
        <f t="shared" si="84"/>
        <v>0</v>
      </c>
      <c r="AI92" s="1044">
        <f t="shared" si="85"/>
        <v>0</v>
      </c>
      <c r="AJ92" s="1044">
        <f t="shared" si="86"/>
        <v>0</v>
      </c>
      <c r="AK92" s="1044">
        <f t="shared" si="87"/>
        <v>0</v>
      </c>
      <c r="AL92" s="1044">
        <f t="shared" si="88"/>
        <v>0</v>
      </c>
      <c r="AM92" s="1044">
        <f t="shared" si="89"/>
        <v>0</v>
      </c>
      <c r="AN92" s="1044" t="str">
        <f t="shared" si="90"/>
        <v/>
      </c>
      <c r="AO92" s="1044" t="str">
        <f t="shared" si="91"/>
        <v/>
      </c>
      <c r="AP92" s="1044" t="str">
        <f t="shared" si="92"/>
        <v/>
      </c>
      <c r="AQ92" s="1044" t="str">
        <f t="shared" si="93"/>
        <v/>
      </c>
      <c r="AR92" s="1044" t="str">
        <f t="shared" si="94"/>
        <v/>
      </c>
      <c r="AS92" s="1044" t="str">
        <f t="shared" si="95"/>
        <v/>
      </c>
      <c r="AT92" s="1044" t="str">
        <f t="shared" si="96"/>
        <v/>
      </c>
      <c r="AU92" s="1044" t="str">
        <f t="shared" si="97"/>
        <v/>
      </c>
      <c r="AV92" s="1044" t="str">
        <f t="shared" si="98"/>
        <v/>
      </c>
      <c r="AW92" s="1044" t="str">
        <f t="shared" si="99"/>
        <v/>
      </c>
      <c r="AX92" s="1044" t="str">
        <f t="shared" si="100"/>
        <v/>
      </c>
      <c r="AY92" s="1044" t="str">
        <f t="shared" si="101"/>
        <v/>
      </c>
      <c r="AZ92" s="1044" t="str">
        <f t="shared" si="102"/>
        <v/>
      </c>
      <c r="BA92" s="1044" t="str">
        <f t="shared" si="103"/>
        <v/>
      </c>
      <c r="BB92" s="1044" t="str">
        <f t="shared" si="104"/>
        <v/>
      </c>
      <c r="BC92" s="1044" t="str">
        <f t="shared" si="105"/>
        <v/>
      </c>
      <c r="BF92" s="1" t="s">
        <v>7029</v>
      </c>
      <c r="BG92" s="1076" t="s">
        <v>689</v>
      </c>
      <c r="BH92" s="1" t="s">
        <v>97</v>
      </c>
      <c r="BI92" s="1" t="s">
        <v>7473</v>
      </c>
    </row>
    <row r="93" spans="1:61" ht="30" customHeight="1">
      <c r="A93" s="1085" t="str">
        <f t="shared" si="53"/>
        <v/>
      </c>
      <c r="B93" s="1086"/>
      <c r="C93" s="1085" t="s">
        <v>254</v>
      </c>
      <c r="D93" s="1087" t="str">
        <f t="shared" si="54"/>
        <v/>
      </c>
      <c r="E93" s="1088" t="str">
        <f t="shared" si="55"/>
        <v/>
      </c>
      <c r="F93" s="1089" t="str">
        <f t="shared" si="56"/>
        <v/>
      </c>
      <c r="G93" s="1090" t="str">
        <f t="shared" si="57"/>
        <v/>
      </c>
      <c r="H93" s="1085" t="str">
        <f t="shared" si="58"/>
        <v/>
      </c>
      <c r="I93" s="1085" t="str">
        <f t="shared" si="59"/>
        <v/>
      </c>
      <c r="J93" s="1090" t="str">
        <f t="shared" si="60"/>
        <v/>
      </c>
      <c r="K93" s="1044" t="str">
        <f t="shared" si="61"/>
        <v/>
      </c>
      <c r="L93" s="1044" t="str">
        <f t="shared" si="62"/>
        <v/>
      </c>
      <c r="M93" s="1044" t="str">
        <f t="shared" si="63"/>
        <v/>
      </c>
      <c r="N93" s="1044" t="str">
        <f t="shared" si="64"/>
        <v/>
      </c>
      <c r="O93" s="1044">
        <f t="shared" si="65"/>
        <v>0</v>
      </c>
      <c r="P93" s="1044">
        <f t="shared" si="66"/>
        <v>0</v>
      </c>
      <c r="Q93" s="1044">
        <f t="shared" si="67"/>
        <v>0</v>
      </c>
      <c r="R93" s="1044">
        <f t="shared" si="68"/>
        <v>0</v>
      </c>
      <c r="S93" s="1044">
        <f t="shared" si="69"/>
        <v>0</v>
      </c>
      <c r="T93" s="1044">
        <f t="shared" si="70"/>
        <v>0</v>
      </c>
      <c r="U93" s="1044">
        <f t="shared" si="71"/>
        <v>0</v>
      </c>
      <c r="V93" s="1044">
        <f t="shared" si="72"/>
        <v>0</v>
      </c>
      <c r="W93" s="1044">
        <f t="shared" si="73"/>
        <v>0</v>
      </c>
      <c r="X93" s="1044">
        <f t="shared" si="74"/>
        <v>0</v>
      </c>
      <c r="Y93" s="1044">
        <f t="shared" si="75"/>
        <v>0</v>
      </c>
      <c r="Z93" s="1044">
        <f t="shared" si="76"/>
        <v>0</v>
      </c>
      <c r="AA93" s="1044">
        <f t="shared" si="77"/>
        <v>0</v>
      </c>
      <c r="AB93" s="1044">
        <f t="shared" si="78"/>
        <v>0</v>
      </c>
      <c r="AC93" s="1044">
        <f t="shared" si="79"/>
        <v>0</v>
      </c>
      <c r="AD93" s="1044">
        <f t="shared" si="80"/>
        <v>0</v>
      </c>
      <c r="AE93" s="1044">
        <f t="shared" si="81"/>
        <v>0</v>
      </c>
      <c r="AF93" s="1044">
        <f t="shared" si="82"/>
        <v>0</v>
      </c>
      <c r="AG93" s="1044">
        <f t="shared" si="83"/>
        <v>0</v>
      </c>
      <c r="AH93" s="1044">
        <f t="shared" si="84"/>
        <v>0</v>
      </c>
      <c r="AI93" s="1044">
        <f t="shared" si="85"/>
        <v>0</v>
      </c>
      <c r="AJ93" s="1044">
        <f t="shared" si="86"/>
        <v>0</v>
      </c>
      <c r="AK93" s="1044">
        <f t="shared" si="87"/>
        <v>0</v>
      </c>
      <c r="AL93" s="1044">
        <f t="shared" si="88"/>
        <v>0</v>
      </c>
      <c r="AM93" s="1044">
        <f t="shared" si="89"/>
        <v>0</v>
      </c>
      <c r="AN93" s="1044" t="str">
        <f t="shared" si="90"/>
        <v/>
      </c>
      <c r="AO93" s="1044" t="str">
        <f t="shared" si="91"/>
        <v/>
      </c>
      <c r="AP93" s="1044" t="str">
        <f t="shared" si="92"/>
        <v/>
      </c>
      <c r="AQ93" s="1044" t="str">
        <f t="shared" si="93"/>
        <v/>
      </c>
      <c r="AR93" s="1044" t="str">
        <f t="shared" si="94"/>
        <v/>
      </c>
      <c r="AS93" s="1044" t="str">
        <f t="shared" si="95"/>
        <v/>
      </c>
      <c r="AT93" s="1044" t="str">
        <f t="shared" si="96"/>
        <v/>
      </c>
      <c r="AU93" s="1044" t="str">
        <f t="shared" si="97"/>
        <v/>
      </c>
      <c r="AV93" s="1044" t="str">
        <f t="shared" si="98"/>
        <v/>
      </c>
      <c r="AW93" s="1044" t="str">
        <f t="shared" si="99"/>
        <v/>
      </c>
      <c r="AX93" s="1044" t="str">
        <f t="shared" si="100"/>
        <v/>
      </c>
      <c r="AY93" s="1044" t="str">
        <f t="shared" si="101"/>
        <v/>
      </c>
      <c r="AZ93" s="1044" t="str">
        <f t="shared" si="102"/>
        <v/>
      </c>
      <c r="BA93" s="1044" t="str">
        <f t="shared" si="103"/>
        <v/>
      </c>
      <c r="BB93" s="1044" t="str">
        <f t="shared" si="104"/>
        <v/>
      </c>
      <c r="BC93" s="1044" t="str">
        <f t="shared" si="105"/>
        <v/>
      </c>
      <c r="BF93" s="1" t="s">
        <v>7029</v>
      </c>
      <c r="BG93" s="1076" t="s">
        <v>689</v>
      </c>
      <c r="BH93" s="1" t="s">
        <v>112</v>
      </c>
      <c r="BI93" s="1" t="s">
        <v>7474</v>
      </c>
    </row>
    <row r="94" spans="1:61" ht="30" customHeight="1">
      <c r="A94" s="1085" t="str">
        <f t="shared" si="53"/>
        <v/>
      </c>
      <c r="B94" s="1086"/>
      <c r="C94" s="1085" t="s">
        <v>254</v>
      </c>
      <c r="D94" s="1087" t="str">
        <f t="shared" si="54"/>
        <v/>
      </c>
      <c r="E94" s="1088" t="str">
        <f t="shared" si="55"/>
        <v/>
      </c>
      <c r="F94" s="1089" t="str">
        <f t="shared" si="56"/>
        <v/>
      </c>
      <c r="G94" s="1090" t="str">
        <f t="shared" si="57"/>
        <v/>
      </c>
      <c r="H94" s="1085" t="str">
        <f t="shared" si="58"/>
        <v/>
      </c>
      <c r="I94" s="1085" t="str">
        <f t="shared" si="59"/>
        <v/>
      </c>
      <c r="J94" s="1090" t="str">
        <f t="shared" si="60"/>
        <v/>
      </c>
      <c r="K94" s="1044" t="str">
        <f t="shared" si="61"/>
        <v/>
      </c>
      <c r="L94" s="1044" t="str">
        <f t="shared" si="62"/>
        <v/>
      </c>
      <c r="M94" s="1044" t="str">
        <f t="shared" si="63"/>
        <v/>
      </c>
      <c r="N94" s="1044" t="str">
        <f t="shared" si="64"/>
        <v/>
      </c>
      <c r="O94" s="1044">
        <f t="shared" si="65"/>
        <v>0</v>
      </c>
      <c r="P94" s="1044">
        <f t="shared" si="66"/>
        <v>0</v>
      </c>
      <c r="Q94" s="1044">
        <f t="shared" si="67"/>
        <v>0</v>
      </c>
      <c r="R94" s="1044">
        <f t="shared" si="68"/>
        <v>0</v>
      </c>
      <c r="S94" s="1044">
        <f t="shared" si="69"/>
        <v>0</v>
      </c>
      <c r="T94" s="1044">
        <f t="shared" si="70"/>
        <v>0</v>
      </c>
      <c r="U94" s="1044">
        <f t="shared" si="71"/>
        <v>0</v>
      </c>
      <c r="V94" s="1044">
        <f t="shared" si="72"/>
        <v>0</v>
      </c>
      <c r="W94" s="1044">
        <f t="shared" si="73"/>
        <v>0</v>
      </c>
      <c r="X94" s="1044">
        <f t="shared" si="74"/>
        <v>0</v>
      </c>
      <c r="Y94" s="1044">
        <f t="shared" si="75"/>
        <v>0</v>
      </c>
      <c r="Z94" s="1044">
        <f t="shared" si="76"/>
        <v>0</v>
      </c>
      <c r="AA94" s="1044">
        <f t="shared" si="77"/>
        <v>0</v>
      </c>
      <c r="AB94" s="1044">
        <f t="shared" si="78"/>
        <v>0</v>
      </c>
      <c r="AC94" s="1044">
        <f t="shared" si="79"/>
        <v>0</v>
      </c>
      <c r="AD94" s="1044">
        <f t="shared" si="80"/>
        <v>0</v>
      </c>
      <c r="AE94" s="1044">
        <f t="shared" si="81"/>
        <v>0</v>
      </c>
      <c r="AF94" s="1044">
        <f t="shared" si="82"/>
        <v>0</v>
      </c>
      <c r="AG94" s="1044">
        <f t="shared" si="83"/>
        <v>0</v>
      </c>
      <c r="AH94" s="1044">
        <f t="shared" si="84"/>
        <v>0</v>
      </c>
      <c r="AI94" s="1044">
        <f t="shared" si="85"/>
        <v>0</v>
      </c>
      <c r="AJ94" s="1044">
        <f t="shared" si="86"/>
        <v>0</v>
      </c>
      <c r="AK94" s="1044">
        <f t="shared" si="87"/>
        <v>0</v>
      </c>
      <c r="AL94" s="1044">
        <f t="shared" si="88"/>
        <v>0</v>
      </c>
      <c r="AM94" s="1044">
        <f t="shared" si="89"/>
        <v>0</v>
      </c>
      <c r="AN94" s="1044" t="str">
        <f t="shared" si="90"/>
        <v/>
      </c>
      <c r="AO94" s="1044" t="str">
        <f t="shared" si="91"/>
        <v/>
      </c>
      <c r="AP94" s="1044" t="str">
        <f t="shared" si="92"/>
        <v/>
      </c>
      <c r="AQ94" s="1044" t="str">
        <f t="shared" si="93"/>
        <v/>
      </c>
      <c r="AR94" s="1044" t="str">
        <f t="shared" si="94"/>
        <v/>
      </c>
      <c r="AS94" s="1044" t="str">
        <f t="shared" si="95"/>
        <v/>
      </c>
      <c r="AT94" s="1044" t="str">
        <f t="shared" si="96"/>
        <v/>
      </c>
      <c r="AU94" s="1044" t="str">
        <f t="shared" si="97"/>
        <v/>
      </c>
      <c r="AV94" s="1044" t="str">
        <f t="shared" si="98"/>
        <v/>
      </c>
      <c r="AW94" s="1044" t="str">
        <f t="shared" si="99"/>
        <v/>
      </c>
      <c r="AX94" s="1044" t="str">
        <f t="shared" si="100"/>
        <v/>
      </c>
      <c r="AY94" s="1044" t="str">
        <f t="shared" si="101"/>
        <v/>
      </c>
      <c r="AZ94" s="1044" t="str">
        <f t="shared" si="102"/>
        <v/>
      </c>
      <c r="BA94" s="1044" t="str">
        <f t="shared" si="103"/>
        <v/>
      </c>
      <c r="BB94" s="1044" t="str">
        <f t="shared" si="104"/>
        <v/>
      </c>
      <c r="BC94" s="1044" t="str">
        <f t="shared" si="105"/>
        <v/>
      </c>
      <c r="BF94" s="1" t="s">
        <v>7029</v>
      </c>
      <c r="BG94" s="1076" t="s">
        <v>689</v>
      </c>
      <c r="BH94" s="1" t="s">
        <v>125</v>
      </c>
      <c r="BI94" s="1" t="s">
        <v>7475</v>
      </c>
    </row>
    <row r="95" spans="1:61" ht="30" customHeight="1">
      <c r="A95" s="1085" t="str">
        <f t="shared" si="53"/>
        <v/>
      </c>
      <c r="B95" s="1086"/>
      <c r="C95" s="1085" t="s">
        <v>254</v>
      </c>
      <c r="D95" s="1087" t="str">
        <f t="shared" si="54"/>
        <v/>
      </c>
      <c r="E95" s="1088" t="str">
        <f t="shared" si="55"/>
        <v/>
      </c>
      <c r="F95" s="1089" t="str">
        <f t="shared" si="56"/>
        <v/>
      </c>
      <c r="G95" s="1090" t="str">
        <f t="shared" si="57"/>
        <v/>
      </c>
      <c r="H95" s="1085" t="str">
        <f t="shared" si="58"/>
        <v/>
      </c>
      <c r="I95" s="1085" t="str">
        <f t="shared" si="59"/>
        <v/>
      </c>
      <c r="J95" s="1090" t="str">
        <f t="shared" si="60"/>
        <v/>
      </c>
      <c r="K95" s="1044" t="str">
        <f t="shared" si="61"/>
        <v/>
      </c>
      <c r="L95" s="1044" t="str">
        <f t="shared" si="62"/>
        <v/>
      </c>
      <c r="M95" s="1044" t="str">
        <f t="shared" si="63"/>
        <v/>
      </c>
      <c r="N95" s="1044" t="str">
        <f t="shared" si="64"/>
        <v/>
      </c>
      <c r="O95" s="1044">
        <f t="shared" si="65"/>
        <v>0</v>
      </c>
      <c r="P95" s="1044">
        <f t="shared" si="66"/>
        <v>0</v>
      </c>
      <c r="Q95" s="1044">
        <f t="shared" si="67"/>
        <v>0</v>
      </c>
      <c r="R95" s="1044">
        <f t="shared" si="68"/>
        <v>0</v>
      </c>
      <c r="S95" s="1044">
        <f t="shared" si="69"/>
        <v>0</v>
      </c>
      <c r="T95" s="1044">
        <f t="shared" si="70"/>
        <v>0</v>
      </c>
      <c r="U95" s="1044">
        <f t="shared" si="71"/>
        <v>0</v>
      </c>
      <c r="V95" s="1044">
        <f t="shared" si="72"/>
        <v>0</v>
      </c>
      <c r="W95" s="1044">
        <f t="shared" si="73"/>
        <v>0</v>
      </c>
      <c r="X95" s="1044">
        <f t="shared" si="74"/>
        <v>0</v>
      </c>
      <c r="Y95" s="1044">
        <f t="shared" si="75"/>
        <v>0</v>
      </c>
      <c r="Z95" s="1044">
        <f t="shared" si="76"/>
        <v>0</v>
      </c>
      <c r="AA95" s="1044">
        <f t="shared" si="77"/>
        <v>0</v>
      </c>
      <c r="AB95" s="1044">
        <f t="shared" si="78"/>
        <v>0</v>
      </c>
      <c r="AC95" s="1044">
        <f t="shared" si="79"/>
        <v>0</v>
      </c>
      <c r="AD95" s="1044">
        <f t="shared" si="80"/>
        <v>0</v>
      </c>
      <c r="AE95" s="1044">
        <f t="shared" si="81"/>
        <v>0</v>
      </c>
      <c r="AF95" s="1044">
        <f t="shared" si="82"/>
        <v>0</v>
      </c>
      <c r="AG95" s="1044">
        <f t="shared" si="83"/>
        <v>0</v>
      </c>
      <c r="AH95" s="1044">
        <f t="shared" si="84"/>
        <v>0</v>
      </c>
      <c r="AI95" s="1044">
        <f t="shared" si="85"/>
        <v>0</v>
      </c>
      <c r="AJ95" s="1044">
        <f t="shared" si="86"/>
        <v>0</v>
      </c>
      <c r="AK95" s="1044">
        <f t="shared" si="87"/>
        <v>0</v>
      </c>
      <c r="AL95" s="1044">
        <f t="shared" si="88"/>
        <v>0</v>
      </c>
      <c r="AM95" s="1044">
        <f t="shared" si="89"/>
        <v>0</v>
      </c>
      <c r="AN95" s="1044" t="str">
        <f t="shared" si="90"/>
        <v/>
      </c>
      <c r="AO95" s="1044" t="str">
        <f t="shared" si="91"/>
        <v/>
      </c>
      <c r="AP95" s="1044" t="str">
        <f t="shared" si="92"/>
        <v/>
      </c>
      <c r="AQ95" s="1044" t="str">
        <f t="shared" si="93"/>
        <v/>
      </c>
      <c r="AR95" s="1044" t="str">
        <f t="shared" si="94"/>
        <v/>
      </c>
      <c r="AS95" s="1044" t="str">
        <f t="shared" si="95"/>
        <v/>
      </c>
      <c r="AT95" s="1044" t="str">
        <f t="shared" si="96"/>
        <v/>
      </c>
      <c r="AU95" s="1044" t="str">
        <f t="shared" si="97"/>
        <v/>
      </c>
      <c r="AV95" s="1044" t="str">
        <f t="shared" si="98"/>
        <v/>
      </c>
      <c r="AW95" s="1044" t="str">
        <f t="shared" si="99"/>
        <v/>
      </c>
      <c r="AX95" s="1044" t="str">
        <f t="shared" si="100"/>
        <v/>
      </c>
      <c r="AY95" s="1044" t="str">
        <f t="shared" si="101"/>
        <v/>
      </c>
      <c r="AZ95" s="1044" t="str">
        <f t="shared" si="102"/>
        <v/>
      </c>
      <c r="BA95" s="1044" t="str">
        <f t="shared" si="103"/>
        <v/>
      </c>
      <c r="BB95" s="1044" t="str">
        <f t="shared" si="104"/>
        <v/>
      </c>
      <c r="BC95" s="1044" t="str">
        <f t="shared" si="105"/>
        <v/>
      </c>
      <c r="BF95" s="1" t="s">
        <v>7029</v>
      </c>
      <c r="BG95" s="1076" t="s">
        <v>689</v>
      </c>
      <c r="BH95" s="1" t="s">
        <v>7073</v>
      </c>
      <c r="BI95" s="1" t="s">
        <v>7476</v>
      </c>
    </row>
    <row r="96" spans="1:61" ht="30" customHeight="1">
      <c r="A96" s="1085" t="str">
        <f t="shared" si="53"/>
        <v/>
      </c>
      <c r="B96" s="1086"/>
      <c r="C96" s="1085" t="s">
        <v>254</v>
      </c>
      <c r="D96" s="1087" t="str">
        <f t="shared" si="54"/>
        <v/>
      </c>
      <c r="E96" s="1088" t="str">
        <f t="shared" si="55"/>
        <v/>
      </c>
      <c r="F96" s="1089" t="str">
        <f t="shared" si="56"/>
        <v/>
      </c>
      <c r="G96" s="1090" t="str">
        <f t="shared" si="57"/>
        <v/>
      </c>
      <c r="H96" s="1085" t="str">
        <f t="shared" si="58"/>
        <v/>
      </c>
      <c r="I96" s="1085" t="str">
        <f t="shared" si="59"/>
        <v/>
      </c>
      <c r="J96" s="1090" t="str">
        <f t="shared" si="60"/>
        <v/>
      </c>
      <c r="K96" s="1044" t="str">
        <f t="shared" si="61"/>
        <v/>
      </c>
      <c r="L96" s="1044" t="str">
        <f t="shared" si="62"/>
        <v/>
      </c>
      <c r="M96" s="1044" t="str">
        <f t="shared" si="63"/>
        <v/>
      </c>
      <c r="N96" s="1044" t="str">
        <f t="shared" si="64"/>
        <v/>
      </c>
      <c r="O96" s="1044">
        <f t="shared" si="65"/>
        <v>0</v>
      </c>
      <c r="P96" s="1044">
        <f t="shared" si="66"/>
        <v>0</v>
      </c>
      <c r="Q96" s="1044">
        <f t="shared" si="67"/>
        <v>0</v>
      </c>
      <c r="R96" s="1044">
        <f t="shared" si="68"/>
        <v>0</v>
      </c>
      <c r="S96" s="1044">
        <f t="shared" si="69"/>
        <v>0</v>
      </c>
      <c r="T96" s="1044">
        <f t="shared" si="70"/>
        <v>0</v>
      </c>
      <c r="U96" s="1044">
        <f t="shared" si="71"/>
        <v>0</v>
      </c>
      <c r="V96" s="1044">
        <f t="shared" si="72"/>
        <v>0</v>
      </c>
      <c r="W96" s="1044">
        <f t="shared" si="73"/>
        <v>0</v>
      </c>
      <c r="X96" s="1044">
        <f t="shared" si="74"/>
        <v>0</v>
      </c>
      <c r="Y96" s="1044">
        <f t="shared" si="75"/>
        <v>0</v>
      </c>
      <c r="Z96" s="1044">
        <f t="shared" si="76"/>
        <v>0</v>
      </c>
      <c r="AA96" s="1044">
        <f t="shared" si="77"/>
        <v>0</v>
      </c>
      <c r="AB96" s="1044">
        <f t="shared" si="78"/>
        <v>0</v>
      </c>
      <c r="AC96" s="1044">
        <f t="shared" si="79"/>
        <v>0</v>
      </c>
      <c r="AD96" s="1044">
        <f t="shared" si="80"/>
        <v>0</v>
      </c>
      <c r="AE96" s="1044">
        <f t="shared" si="81"/>
        <v>0</v>
      </c>
      <c r="AF96" s="1044">
        <f t="shared" si="82"/>
        <v>0</v>
      </c>
      <c r="AG96" s="1044">
        <f t="shared" si="83"/>
        <v>0</v>
      </c>
      <c r="AH96" s="1044">
        <f t="shared" si="84"/>
        <v>0</v>
      </c>
      <c r="AI96" s="1044">
        <f t="shared" si="85"/>
        <v>0</v>
      </c>
      <c r="AJ96" s="1044">
        <f t="shared" si="86"/>
        <v>0</v>
      </c>
      <c r="AK96" s="1044">
        <f t="shared" si="87"/>
        <v>0</v>
      </c>
      <c r="AL96" s="1044">
        <f t="shared" si="88"/>
        <v>0</v>
      </c>
      <c r="AM96" s="1044">
        <f t="shared" si="89"/>
        <v>0</v>
      </c>
      <c r="AN96" s="1044" t="str">
        <f t="shared" si="90"/>
        <v/>
      </c>
      <c r="AO96" s="1044" t="str">
        <f t="shared" si="91"/>
        <v/>
      </c>
      <c r="AP96" s="1044" t="str">
        <f t="shared" si="92"/>
        <v/>
      </c>
      <c r="AQ96" s="1044" t="str">
        <f t="shared" si="93"/>
        <v/>
      </c>
      <c r="AR96" s="1044" t="str">
        <f t="shared" si="94"/>
        <v/>
      </c>
      <c r="AS96" s="1044" t="str">
        <f t="shared" si="95"/>
        <v/>
      </c>
      <c r="AT96" s="1044" t="str">
        <f t="shared" si="96"/>
        <v/>
      </c>
      <c r="AU96" s="1044" t="str">
        <f t="shared" si="97"/>
        <v/>
      </c>
      <c r="AV96" s="1044" t="str">
        <f t="shared" si="98"/>
        <v/>
      </c>
      <c r="AW96" s="1044" t="str">
        <f t="shared" si="99"/>
        <v/>
      </c>
      <c r="AX96" s="1044" t="str">
        <f t="shared" si="100"/>
        <v/>
      </c>
      <c r="AY96" s="1044" t="str">
        <f t="shared" si="101"/>
        <v/>
      </c>
      <c r="AZ96" s="1044" t="str">
        <f t="shared" si="102"/>
        <v/>
      </c>
      <c r="BA96" s="1044" t="str">
        <f t="shared" si="103"/>
        <v/>
      </c>
      <c r="BB96" s="1044" t="str">
        <f t="shared" si="104"/>
        <v/>
      </c>
      <c r="BC96" s="1044" t="str">
        <f t="shared" si="105"/>
        <v/>
      </c>
      <c r="BF96" s="1" t="s">
        <v>7029</v>
      </c>
      <c r="BG96" s="1076" t="s">
        <v>689</v>
      </c>
      <c r="BH96" s="1" t="s">
        <v>148</v>
      </c>
      <c r="BI96" s="1" t="s">
        <v>7477</v>
      </c>
    </row>
    <row r="97" spans="1:61" ht="30" customHeight="1">
      <c r="A97" s="1085" t="str">
        <f t="shared" si="53"/>
        <v/>
      </c>
      <c r="B97" s="1086"/>
      <c r="C97" s="1085" t="s">
        <v>254</v>
      </c>
      <c r="D97" s="1087" t="str">
        <f t="shared" si="54"/>
        <v/>
      </c>
      <c r="E97" s="1088" t="str">
        <f t="shared" si="55"/>
        <v/>
      </c>
      <c r="F97" s="1089" t="str">
        <f t="shared" si="56"/>
        <v/>
      </c>
      <c r="G97" s="1090" t="str">
        <f t="shared" si="57"/>
        <v/>
      </c>
      <c r="H97" s="1085" t="str">
        <f t="shared" si="58"/>
        <v/>
      </c>
      <c r="I97" s="1085" t="str">
        <f t="shared" si="59"/>
        <v/>
      </c>
      <c r="J97" s="1090" t="str">
        <f t="shared" si="60"/>
        <v/>
      </c>
      <c r="K97" s="1044" t="str">
        <f t="shared" si="61"/>
        <v/>
      </c>
      <c r="L97" s="1044" t="str">
        <f t="shared" si="62"/>
        <v/>
      </c>
      <c r="M97" s="1044" t="str">
        <f t="shared" si="63"/>
        <v/>
      </c>
      <c r="N97" s="1044" t="str">
        <f t="shared" si="64"/>
        <v/>
      </c>
      <c r="O97" s="1044">
        <f t="shared" si="65"/>
        <v>0</v>
      </c>
      <c r="P97" s="1044">
        <f t="shared" si="66"/>
        <v>0</v>
      </c>
      <c r="Q97" s="1044">
        <f t="shared" si="67"/>
        <v>0</v>
      </c>
      <c r="R97" s="1044">
        <f t="shared" si="68"/>
        <v>0</v>
      </c>
      <c r="S97" s="1044">
        <f t="shared" si="69"/>
        <v>0</v>
      </c>
      <c r="T97" s="1044">
        <f t="shared" si="70"/>
        <v>0</v>
      </c>
      <c r="U97" s="1044">
        <f t="shared" si="71"/>
        <v>0</v>
      </c>
      <c r="V97" s="1044">
        <f t="shared" si="72"/>
        <v>0</v>
      </c>
      <c r="W97" s="1044">
        <f t="shared" si="73"/>
        <v>0</v>
      </c>
      <c r="X97" s="1044">
        <f t="shared" si="74"/>
        <v>0</v>
      </c>
      <c r="Y97" s="1044">
        <f t="shared" si="75"/>
        <v>0</v>
      </c>
      <c r="Z97" s="1044">
        <f t="shared" si="76"/>
        <v>0</v>
      </c>
      <c r="AA97" s="1044">
        <f t="shared" si="77"/>
        <v>0</v>
      </c>
      <c r="AB97" s="1044">
        <f t="shared" si="78"/>
        <v>0</v>
      </c>
      <c r="AC97" s="1044">
        <f t="shared" si="79"/>
        <v>0</v>
      </c>
      <c r="AD97" s="1044">
        <f t="shared" si="80"/>
        <v>0</v>
      </c>
      <c r="AE97" s="1044">
        <f t="shared" si="81"/>
        <v>0</v>
      </c>
      <c r="AF97" s="1044">
        <f t="shared" si="82"/>
        <v>0</v>
      </c>
      <c r="AG97" s="1044">
        <f t="shared" si="83"/>
        <v>0</v>
      </c>
      <c r="AH97" s="1044">
        <f t="shared" si="84"/>
        <v>0</v>
      </c>
      <c r="AI97" s="1044">
        <f t="shared" si="85"/>
        <v>0</v>
      </c>
      <c r="AJ97" s="1044">
        <f t="shared" si="86"/>
        <v>0</v>
      </c>
      <c r="AK97" s="1044">
        <f t="shared" si="87"/>
        <v>0</v>
      </c>
      <c r="AL97" s="1044">
        <f t="shared" si="88"/>
        <v>0</v>
      </c>
      <c r="AM97" s="1044">
        <f t="shared" si="89"/>
        <v>0</v>
      </c>
      <c r="AN97" s="1044" t="str">
        <f t="shared" si="90"/>
        <v/>
      </c>
      <c r="AO97" s="1044" t="str">
        <f t="shared" si="91"/>
        <v/>
      </c>
      <c r="AP97" s="1044" t="str">
        <f t="shared" si="92"/>
        <v/>
      </c>
      <c r="AQ97" s="1044" t="str">
        <f t="shared" si="93"/>
        <v/>
      </c>
      <c r="AR97" s="1044" t="str">
        <f t="shared" si="94"/>
        <v/>
      </c>
      <c r="AS97" s="1044" t="str">
        <f t="shared" si="95"/>
        <v/>
      </c>
      <c r="AT97" s="1044" t="str">
        <f t="shared" si="96"/>
        <v/>
      </c>
      <c r="AU97" s="1044" t="str">
        <f t="shared" si="97"/>
        <v/>
      </c>
      <c r="AV97" s="1044" t="str">
        <f t="shared" si="98"/>
        <v/>
      </c>
      <c r="AW97" s="1044" t="str">
        <f t="shared" si="99"/>
        <v/>
      </c>
      <c r="AX97" s="1044" t="str">
        <f t="shared" si="100"/>
        <v/>
      </c>
      <c r="AY97" s="1044" t="str">
        <f t="shared" si="101"/>
        <v/>
      </c>
      <c r="AZ97" s="1044" t="str">
        <f t="shared" si="102"/>
        <v/>
      </c>
      <c r="BA97" s="1044" t="str">
        <f t="shared" si="103"/>
        <v/>
      </c>
      <c r="BB97" s="1044" t="str">
        <f t="shared" si="104"/>
        <v/>
      </c>
      <c r="BC97" s="1044" t="str">
        <f t="shared" si="105"/>
        <v/>
      </c>
      <c r="BF97" s="1" t="s">
        <v>7029</v>
      </c>
      <c r="BG97" s="1076" t="s">
        <v>689</v>
      </c>
      <c r="BH97" s="1" t="s">
        <v>7074</v>
      </c>
      <c r="BI97" s="1" t="s">
        <v>7478</v>
      </c>
    </row>
    <row r="98" spans="1:61" ht="30" customHeight="1">
      <c r="A98" s="1085" t="str">
        <f t="shared" si="53"/>
        <v/>
      </c>
      <c r="B98" s="1086"/>
      <c r="C98" s="1085" t="s">
        <v>254</v>
      </c>
      <c r="D98" s="1087" t="str">
        <f t="shared" si="54"/>
        <v/>
      </c>
      <c r="E98" s="1088" t="str">
        <f t="shared" si="55"/>
        <v/>
      </c>
      <c r="F98" s="1089" t="str">
        <f t="shared" si="56"/>
        <v/>
      </c>
      <c r="G98" s="1090" t="str">
        <f t="shared" si="57"/>
        <v/>
      </c>
      <c r="H98" s="1085" t="str">
        <f t="shared" si="58"/>
        <v/>
      </c>
      <c r="I98" s="1085" t="str">
        <f t="shared" si="59"/>
        <v/>
      </c>
      <c r="J98" s="1090" t="str">
        <f t="shared" si="60"/>
        <v/>
      </c>
      <c r="K98" s="1044" t="str">
        <f t="shared" si="61"/>
        <v/>
      </c>
      <c r="L98" s="1044" t="str">
        <f t="shared" si="62"/>
        <v/>
      </c>
      <c r="M98" s="1044" t="str">
        <f t="shared" si="63"/>
        <v/>
      </c>
      <c r="N98" s="1044" t="str">
        <f t="shared" si="64"/>
        <v/>
      </c>
      <c r="O98" s="1044">
        <f t="shared" si="65"/>
        <v>0</v>
      </c>
      <c r="P98" s="1044">
        <f t="shared" si="66"/>
        <v>0</v>
      </c>
      <c r="Q98" s="1044">
        <f t="shared" si="67"/>
        <v>0</v>
      </c>
      <c r="R98" s="1044">
        <f t="shared" si="68"/>
        <v>0</v>
      </c>
      <c r="S98" s="1044">
        <f t="shared" si="69"/>
        <v>0</v>
      </c>
      <c r="T98" s="1044">
        <f t="shared" si="70"/>
        <v>0</v>
      </c>
      <c r="U98" s="1044">
        <f t="shared" si="71"/>
        <v>0</v>
      </c>
      <c r="V98" s="1044">
        <f t="shared" si="72"/>
        <v>0</v>
      </c>
      <c r="W98" s="1044">
        <f t="shared" si="73"/>
        <v>0</v>
      </c>
      <c r="X98" s="1044">
        <f t="shared" si="74"/>
        <v>0</v>
      </c>
      <c r="Y98" s="1044">
        <f t="shared" si="75"/>
        <v>0</v>
      </c>
      <c r="Z98" s="1044">
        <f t="shared" si="76"/>
        <v>0</v>
      </c>
      <c r="AA98" s="1044">
        <f t="shared" si="77"/>
        <v>0</v>
      </c>
      <c r="AB98" s="1044">
        <f t="shared" si="78"/>
        <v>0</v>
      </c>
      <c r="AC98" s="1044">
        <f t="shared" si="79"/>
        <v>0</v>
      </c>
      <c r="AD98" s="1044">
        <f t="shared" si="80"/>
        <v>0</v>
      </c>
      <c r="AE98" s="1044">
        <f t="shared" si="81"/>
        <v>0</v>
      </c>
      <c r="AF98" s="1044">
        <f t="shared" si="82"/>
        <v>0</v>
      </c>
      <c r="AG98" s="1044">
        <f t="shared" si="83"/>
        <v>0</v>
      </c>
      <c r="AH98" s="1044">
        <f t="shared" si="84"/>
        <v>0</v>
      </c>
      <c r="AI98" s="1044">
        <f t="shared" si="85"/>
        <v>0</v>
      </c>
      <c r="AJ98" s="1044">
        <f t="shared" si="86"/>
        <v>0</v>
      </c>
      <c r="AK98" s="1044">
        <f t="shared" si="87"/>
        <v>0</v>
      </c>
      <c r="AL98" s="1044">
        <f t="shared" si="88"/>
        <v>0</v>
      </c>
      <c r="AM98" s="1044">
        <f t="shared" si="89"/>
        <v>0</v>
      </c>
      <c r="AN98" s="1044" t="str">
        <f t="shared" si="90"/>
        <v/>
      </c>
      <c r="AO98" s="1044" t="str">
        <f t="shared" si="91"/>
        <v/>
      </c>
      <c r="AP98" s="1044" t="str">
        <f t="shared" si="92"/>
        <v/>
      </c>
      <c r="AQ98" s="1044" t="str">
        <f t="shared" si="93"/>
        <v/>
      </c>
      <c r="AR98" s="1044" t="str">
        <f t="shared" si="94"/>
        <v/>
      </c>
      <c r="AS98" s="1044" t="str">
        <f t="shared" si="95"/>
        <v/>
      </c>
      <c r="AT98" s="1044" t="str">
        <f t="shared" si="96"/>
        <v/>
      </c>
      <c r="AU98" s="1044" t="str">
        <f t="shared" si="97"/>
        <v/>
      </c>
      <c r="AV98" s="1044" t="str">
        <f t="shared" si="98"/>
        <v/>
      </c>
      <c r="AW98" s="1044" t="str">
        <f t="shared" si="99"/>
        <v/>
      </c>
      <c r="AX98" s="1044" t="str">
        <f t="shared" si="100"/>
        <v/>
      </c>
      <c r="AY98" s="1044" t="str">
        <f t="shared" si="101"/>
        <v/>
      </c>
      <c r="AZ98" s="1044" t="str">
        <f t="shared" si="102"/>
        <v/>
      </c>
      <c r="BA98" s="1044" t="str">
        <f t="shared" si="103"/>
        <v/>
      </c>
      <c r="BB98" s="1044" t="str">
        <f t="shared" si="104"/>
        <v/>
      </c>
      <c r="BC98" s="1044" t="str">
        <f t="shared" si="105"/>
        <v/>
      </c>
      <c r="BF98" s="1" t="s">
        <v>7029</v>
      </c>
      <c r="BG98" s="1076" t="s">
        <v>689</v>
      </c>
      <c r="BH98" s="1" t="s">
        <v>7075</v>
      </c>
      <c r="BI98" s="1" t="s">
        <v>7479</v>
      </c>
    </row>
    <row r="99" spans="1:61" ht="30" customHeight="1">
      <c r="A99" s="1085" t="str">
        <f t="shared" si="53"/>
        <v/>
      </c>
      <c r="B99" s="1086"/>
      <c r="C99" s="1085" t="s">
        <v>254</v>
      </c>
      <c r="D99" s="1087" t="str">
        <f t="shared" si="54"/>
        <v/>
      </c>
      <c r="E99" s="1088" t="str">
        <f t="shared" si="55"/>
        <v/>
      </c>
      <c r="F99" s="1089" t="str">
        <f t="shared" si="56"/>
        <v/>
      </c>
      <c r="G99" s="1090" t="str">
        <f t="shared" si="57"/>
        <v/>
      </c>
      <c r="H99" s="1085" t="str">
        <f t="shared" si="58"/>
        <v/>
      </c>
      <c r="I99" s="1085" t="str">
        <f t="shared" si="59"/>
        <v/>
      </c>
      <c r="J99" s="1090" t="str">
        <f t="shared" si="60"/>
        <v/>
      </c>
      <c r="K99" s="1044" t="str">
        <f t="shared" si="61"/>
        <v/>
      </c>
      <c r="L99" s="1044" t="str">
        <f t="shared" si="62"/>
        <v/>
      </c>
      <c r="M99" s="1044" t="str">
        <f t="shared" si="63"/>
        <v/>
      </c>
      <c r="N99" s="1044" t="str">
        <f t="shared" si="64"/>
        <v/>
      </c>
      <c r="O99" s="1044">
        <f t="shared" si="65"/>
        <v>0</v>
      </c>
      <c r="P99" s="1044">
        <f t="shared" si="66"/>
        <v>0</v>
      </c>
      <c r="Q99" s="1044">
        <f t="shared" si="67"/>
        <v>0</v>
      </c>
      <c r="R99" s="1044">
        <f t="shared" si="68"/>
        <v>0</v>
      </c>
      <c r="S99" s="1044">
        <f t="shared" si="69"/>
        <v>0</v>
      </c>
      <c r="T99" s="1044">
        <f t="shared" si="70"/>
        <v>0</v>
      </c>
      <c r="U99" s="1044">
        <f t="shared" si="71"/>
        <v>0</v>
      </c>
      <c r="V99" s="1044">
        <f t="shared" si="72"/>
        <v>0</v>
      </c>
      <c r="W99" s="1044">
        <f t="shared" si="73"/>
        <v>0</v>
      </c>
      <c r="X99" s="1044">
        <f t="shared" si="74"/>
        <v>0</v>
      </c>
      <c r="Y99" s="1044">
        <f t="shared" si="75"/>
        <v>0</v>
      </c>
      <c r="Z99" s="1044">
        <f t="shared" si="76"/>
        <v>0</v>
      </c>
      <c r="AA99" s="1044">
        <f t="shared" si="77"/>
        <v>0</v>
      </c>
      <c r="AB99" s="1044">
        <f t="shared" si="78"/>
        <v>0</v>
      </c>
      <c r="AC99" s="1044">
        <f t="shared" si="79"/>
        <v>0</v>
      </c>
      <c r="AD99" s="1044">
        <f t="shared" si="80"/>
        <v>0</v>
      </c>
      <c r="AE99" s="1044">
        <f t="shared" si="81"/>
        <v>0</v>
      </c>
      <c r="AF99" s="1044">
        <f t="shared" si="82"/>
        <v>0</v>
      </c>
      <c r="AG99" s="1044">
        <f t="shared" si="83"/>
        <v>0</v>
      </c>
      <c r="AH99" s="1044">
        <f t="shared" si="84"/>
        <v>0</v>
      </c>
      <c r="AI99" s="1044">
        <f t="shared" si="85"/>
        <v>0</v>
      </c>
      <c r="AJ99" s="1044">
        <f t="shared" si="86"/>
        <v>0</v>
      </c>
      <c r="AK99" s="1044">
        <f t="shared" si="87"/>
        <v>0</v>
      </c>
      <c r="AL99" s="1044">
        <f t="shared" si="88"/>
        <v>0</v>
      </c>
      <c r="AM99" s="1044">
        <f t="shared" si="89"/>
        <v>0</v>
      </c>
      <c r="AN99" s="1044" t="str">
        <f t="shared" si="90"/>
        <v/>
      </c>
      <c r="AO99" s="1044" t="str">
        <f t="shared" si="91"/>
        <v/>
      </c>
      <c r="AP99" s="1044" t="str">
        <f t="shared" si="92"/>
        <v/>
      </c>
      <c r="AQ99" s="1044" t="str">
        <f t="shared" si="93"/>
        <v/>
      </c>
      <c r="AR99" s="1044" t="str">
        <f t="shared" si="94"/>
        <v/>
      </c>
      <c r="AS99" s="1044" t="str">
        <f t="shared" si="95"/>
        <v/>
      </c>
      <c r="AT99" s="1044" t="str">
        <f t="shared" si="96"/>
        <v/>
      </c>
      <c r="AU99" s="1044" t="str">
        <f t="shared" si="97"/>
        <v/>
      </c>
      <c r="AV99" s="1044" t="str">
        <f t="shared" si="98"/>
        <v/>
      </c>
      <c r="AW99" s="1044" t="str">
        <f t="shared" si="99"/>
        <v/>
      </c>
      <c r="AX99" s="1044" t="str">
        <f t="shared" si="100"/>
        <v/>
      </c>
      <c r="AY99" s="1044" t="str">
        <f t="shared" si="101"/>
        <v/>
      </c>
      <c r="AZ99" s="1044" t="str">
        <f t="shared" si="102"/>
        <v/>
      </c>
      <c r="BA99" s="1044" t="str">
        <f t="shared" si="103"/>
        <v/>
      </c>
      <c r="BB99" s="1044" t="str">
        <f t="shared" si="104"/>
        <v/>
      </c>
      <c r="BC99" s="1044" t="str">
        <f t="shared" si="105"/>
        <v/>
      </c>
      <c r="BF99" s="1" t="s">
        <v>7029</v>
      </c>
      <c r="BG99" s="1076" t="s">
        <v>689</v>
      </c>
      <c r="BH99" s="1" t="s">
        <v>7076</v>
      </c>
      <c r="BI99" s="1" t="s">
        <v>7480</v>
      </c>
    </row>
    <row r="100" spans="1:61" ht="30" customHeight="1">
      <c r="A100" s="1085" t="str">
        <f t="shared" si="53"/>
        <v/>
      </c>
      <c r="B100" s="1086"/>
      <c r="C100" s="1085" t="s">
        <v>254</v>
      </c>
      <c r="D100" s="1087" t="str">
        <f t="shared" si="54"/>
        <v/>
      </c>
      <c r="E100" s="1088" t="str">
        <f t="shared" si="55"/>
        <v/>
      </c>
      <c r="F100" s="1089" t="str">
        <f t="shared" si="56"/>
        <v/>
      </c>
      <c r="G100" s="1090" t="str">
        <f t="shared" si="57"/>
        <v/>
      </c>
      <c r="H100" s="1085" t="str">
        <f t="shared" si="58"/>
        <v/>
      </c>
      <c r="I100" s="1085" t="str">
        <f t="shared" si="59"/>
        <v/>
      </c>
      <c r="J100" s="1090" t="str">
        <f t="shared" si="60"/>
        <v/>
      </c>
      <c r="K100" s="1044" t="str">
        <f t="shared" si="61"/>
        <v/>
      </c>
      <c r="L100" s="1044" t="str">
        <f t="shared" si="62"/>
        <v/>
      </c>
      <c r="M100" s="1044" t="str">
        <f t="shared" si="63"/>
        <v/>
      </c>
      <c r="N100" s="1044" t="str">
        <f t="shared" si="64"/>
        <v/>
      </c>
      <c r="O100" s="1044">
        <f t="shared" si="65"/>
        <v>0</v>
      </c>
      <c r="P100" s="1044">
        <f t="shared" si="66"/>
        <v>0</v>
      </c>
      <c r="Q100" s="1044">
        <f t="shared" si="67"/>
        <v>0</v>
      </c>
      <c r="R100" s="1044">
        <f t="shared" si="68"/>
        <v>0</v>
      </c>
      <c r="S100" s="1044">
        <f t="shared" si="69"/>
        <v>0</v>
      </c>
      <c r="T100" s="1044">
        <f t="shared" si="70"/>
        <v>0</v>
      </c>
      <c r="U100" s="1044">
        <f t="shared" si="71"/>
        <v>0</v>
      </c>
      <c r="V100" s="1044">
        <f t="shared" si="72"/>
        <v>0</v>
      </c>
      <c r="W100" s="1044">
        <f t="shared" si="73"/>
        <v>0</v>
      </c>
      <c r="X100" s="1044">
        <f t="shared" si="74"/>
        <v>0</v>
      </c>
      <c r="Y100" s="1044">
        <f t="shared" si="75"/>
        <v>0</v>
      </c>
      <c r="Z100" s="1044">
        <f t="shared" si="76"/>
        <v>0</v>
      </c>
      <c r="AA100" s="1044">
        <f t="shared" si="77"/>
        <v>0</v>
      </c>
      <c r="AB100" s="1044">
        <f t="shared" si="78"/>
        <v>0</v>
      </c>
      <c r="AC100" s="1044">
        <f t="shared" si="79"/>
        <v>0</v>
      </c>
      <c r="AD100" s="1044">
        <f t="shared" si="80"/>
        <v>0</v>
      </c>
      <c r="AE100" s="1044">
        <f t="shared" si="81"/>
        <v>0</v>
      </c>
      <c r="AF100" s="1044">
        <f t="shared" si="82"/>
        <v>0</v>
      </c>
      <c r="AG100" s="1044">
        <f t="shared" si="83"/>
        <v>0</v>
      </c>
      <c r="AH100" s="1044">
        <f t="shared" si="84"/>
        <v>0</v>
      </c>
      <c r="AI100" s="1044">
        <f t="shared" si="85"/>
        <v>0</v>
      </c>
      <c r="AJ100" s="1044">
        <f t="shared" si="86"/>
        <v>0</v>
      </c>
      <c r="AK100" s="1044">
        <f t="shared" si="87"/>
        <v>0</v>
      </c>
      <c r="AL100" s="1044">
        <f t="shared" si="88"/>
        <v>0</v>
      </c>
      <c r="AM100" s="1044">
        <f t="shared" si="89"/>
        <v>0</v>
      </c>
      <c r="AN100" s="1044" t="str">
        <f t="shared" si="90"/>
        <v/>
      </c>
      <c r="AO100" s="1044" t="str">
        <f t="shared" si="91"/>
        <v/>
      </c>
      <c r="AP100" s="1044" t="str">
        <f t="shared" si="92"/>
        <v/>
      </c>
      <c r="AQ100" s="1044" t="str">
        <f t="shared" si="93"/>
        <v/>
      </c>
      <c r="AR100" s="1044" t="str">
        <f t="shared" si="94"/>
        <v/>
      </c>
      <c r="AS100" s="1044" t="str">
        <f t="shared" si="95"/>
        <v/>
      </c>
      <c r="AT100" s="1044" t="str">
        <f t="shared" si="96"/>
        <v/>
      </c>
      <c r="AU100" s="1044" t="str">
        <f t="shared" si="97"/>
        <v/>
      </c>
      <c r="AV100" s="1044" t="str">
        <f t="shared" si="98"/>
        <v/>
      </c>
      <c r="AW100" s="1044" t="str">
        <f t="shared" si="99"/>
        <v/>
      </c>
      <c r="AX100" s="1044" t="str">
        <f t="shared" si="100"/>
        <v/>
      </c>
      <c r="AY100" s="1044" t="str">
        <f t="shared" si="101"/>
        <v/>
      </c>
      <c r="AZ100" s="1044" t="str">
        <f t="shared" si="102"/>
        <v/>
      </c>
      <c r="BA100" s="1044" t="str">
        <f t="shared" si="103"/>
        <v/>
      </c>
      <c r="BB100" s="1044" t="str">
        <f t="shared" si="104"/>
        <v/>
      </c>
      <c r="BC100" s="1044" t="str">
        <f t="shared" si="105"/>
        <v/>
      </c>
      <c r="BF100" s="1" t="s">
        <v>7029</v>
      </c>
      <c r="BG100" s="1076" t="s">
        <v>689</v>
      </c>
      <c r="BH100" s="1" t="s">
        <v>7077</v>
      </c>
      <c r="BI100" s="1" t="s">
        <v>7481</v>
      </c>
    </row>
    <row r="101" spans="1:61" ht="30" customHeight="1">
      <c r="A101" s="1085" t="str">
        <f t="shared" si="53"/>
        <v/>
      </c>
      <c r="B101" s="1086"/>
      <c r="C101" s="1085" t="s">
        <v>254</v>
      </c>
      <c r="D101" s="1087" t="str">
        <f t="shared" si="54"/>
        <v/>
      </c>
      <c r="E101" s="1088" t="str">
        <f t="shared" si="55"/>
        <v/>
      </c>
      <c r="F101" s="1089" t="str">
        <f t="shared" si="56"/>
        <v/>
      </c>
      <c r="G101" s="1090" t="str">
        <f t="shared" si="57"/>
        <v/>
      </c>
      <c r="H101" s="1085" t="str">
        <f t="shared" si="58"/>
        <v/>
      </c>
      <c r="I101" s="1085" t="str">
        <f t="shared" si="59"/>
        <v/>
      </c>
      <c r="J101" s="1090" t="str">
        <f t="shared" si="60"/>
        <v/>
      </c>
      <c r="K101" s="1044" t="str">
        <f t="shared" si="61"/>
        <v/>
      </c>
      <c r="L101" s="1044" t="str">
        <f t="shared" si="62"/>
        <v/>
      </c>
      <c r="M101" s="1044" t="str">
        <f t="shared" si="63"/>
        <v/>
      </c>
      <c r="N101" s="1044" t="str">
        <f t="shared" si="64"/>
        <v/>
      </c>
      <c r="O101" s="1044">
        <f t="shared" si="65"/>
        <v>0</v>
      </c>
      <c r="P101" s="1044">
        <f t="shared" si="66"/>
        <v>0</v>
      </c>
      <c r="Q101" s="1044">
        <f t="shared" si="67"/>
        <v>0</v>
      </c>
      <c r="R101" s="1044">
        <f t="shared" si="68"/>
        <v>0</v>
      </c>
      <c r="S101" s="1044">
        <f t="shared" si="69"/>
        <v>0</v>
      </c>
      <c r="T101" s="1044">
        <f t="shared" si="70"/>
        <v>0</v>
      </c>
      <c r="U101" s="1044">
        <f t="shared" si="71"/>
        <v>0</v>
      </c>
      <c r="V101" s="1044">
        <f t="shared" si="72"/>
        <v>0</v>
      </c>
      <c r="W101" s="1044">
        <f t="shared" si="73"/>
        <v>0</v>
      </c>
      <c r="X101" s="1044">
        <f t="shared" si="74"/>
        <v>0</v>
      </c>
      <c r="Y101" s="1044">
        <f t="shared" si="75"/>
        <v>0</v>
      </c>
      <c r="Z101" s="1044">
        <f t="shared" si="76"/>
        <v>0</v>
      </c>
      <c r="AA101" s="1044">
        <f t="shared" si="77"/>
        <v>0</v>
      </c>
      <c r="AB101" s="1044">
        <f t="shared" si="78"/>
        <v>0</v>
      </c>
      <c r="AC101" s="1044">
        <f t="shared" si="79"/>
        <v>0</v>
      </c>
      <c r="AD101" s="1044">
        <f t="shared" si="80"/>
        <v>0</v>
      </c>
      <c r="AE101" s="1044">
        <f t="shared" si="81"/>
        <v>0</v>
      </c>
      <c r="AF101" s="1044">
        <f t="shared" si="82"/>
        <v>0</v>
      </c>
      <c r="AG101" s="1044">
        <f t="shared" si="83"/>
        <v>0</v>
      </c>
      <c r="AH101" s="1044">
        <f t="shared" si="84"/>
        <v>0</v>
      </c>
      <c r="AI101" s="1044">
        <f t="shared" si="85"/>
        <v>0</v>
      </c>
      <c r="AJ101" s="1044">
        <f t="shared" si="86"/>
        <v>0</v>
      </c>
      <c r="AK101" s="1044">
        <f t="shared" si="87"/>
        <v>0</v>
      </c>
      <c r="AL101" s="1044">
        <f t="shared" si="88"/>
        <v>0</v>
      </c>
      <c r="AM101" s="1044">
        <f t="shared" si="89"/>
        <v>0</v>
      </c>
      <c r="AN101" s="1044" t="str">
        <f t="shared" si="90"/>
        <v/>
      </c>
      <c r="AO101" s="1044" t="str">
        <f t="shared" si="91"/>
        <v/>
      </c>
      <c r="AP101" s="1044" t="str">
        <f t="shared" si="92"/>
        <v/>
      </c>
      <c r="AQ101" s="1044" t="str">
        <f t="shared" si="93"/>
        <v/>
      </c>
      <c r="AR101" s="1044" t="str">
        <f t="shared" si="94"/>
        <v/>
      </c>
      <c r="AS101" s="1044" t="str">
        <f t="shared" si="95"/>
        <v/>
      </c>
      <c r="AT101" s="1044" t="str">
        <f t="shared" si="96"/>
        <v/>
      </c>
      <c r="AU101" s="1044" t="str">
        <f t="shared" si="97"/>
        <v/>
      </c>
      <c r="AV101" s="1044" t="str">
        <f t="shared" si="98"/>
        <v/>
      </c>
      <c r="AW101" s="1044" t="str">
        <f t="shared" si="99"/>
        <v/>
      </c>
      <c r="AX101" s="1044" t="str">
        <f t="shared" si="100"/>
        <v/>
      </c>
      <c r="AY101" s="1044" t="str">
        <f t="shared" si="101"/>
        <v/>
      </c>
      <c r="AZ101" s="1044" t="str">
        <f t="shared" si="102"/>
        <v/>
      </c>
      <c r="BA101" s="1044" t="str">
        <f t="shared" si="103"/>
        <v/>
      </c>
      <c r="BB101" s="1044" t="str">
        <f t="shared" si="104"/>
        <v/>
      </c>
      <c r="BC101" s="1044" t="str">
        <f t="shared" si="105"/>
        <v/>
      </c>
      <c r="BF101" s="1" t="s">
        <v>7029</v>
      </c>
      <c r="BG101" s="1076" t="s">
        <v>689</v>
      </c>
      <c r="BH101" s="1" t="s">
        <v>7078</v>
      </c>
      <c r="BI101" s="1" t="s">
        <v>7482</v>
      </c>
    </row>
    <row r="102" spans="1:61" ht="30" customHeight="1">
      <c r="A102" s="1085" t="str">
        <f t="shared" si="53"/>
        <v/>
      </c>
      <c r="B102" s="1086"/>
      <c r="C102" s="1085" t="s">
        <v>254</v>
      </c>
      <c r="D102" s="1087" t="str">
        <f t="shared" si="54"/>
        <v/>
      </c>
      <c r="E102" s="1088" t="str">
        <f t="shared" si="55"/>
        <v/>
      </c>
      <c r="F102" s="1089" t="str">
        <f t="shared" si="56"/>
        <v/>
      </c>
      <c r="G102" s="1090" t="str">
        <f t="shared" si="57"/>
        <v/>
      </c>
      <c r="H102" s="1085" t="str">
        <f t="shared" si="58"/>
        <v/>
      </c>
      <c r="I102" s="1085" t="str">
        <f t="shared" si="59"/>
        <v/>
      </c>
      <c r="J102" s="1090" t="str">
        <f t="shared" si="60"/>
        <v/>
      </c>
      <c r="K102" s="1044" t="str">
        <f t="shared" si="61"/>
        <v/>
      </c>
      <c r="L102" s="1044" t="str">
        <f t="shared" si="62"/>
        <v/>
      </c>
      <c r="M102" s="1044" t="str">
        <f t="shared" si="63"/>
        <v/>
      </c>
      <c r="N102" s="1044" t="str">
        <f t="shared" si="64"/>
        <v/>
      </c>
      <c r="O102" s="1044">
        <f t="shared" si="65"/>
        <v>0</v>
      </c>
      <c r="P102" s="1044">
        <f t="shared" si="66"/>
        <v>0</v>
      </c>
      <c r="Q102" s="1044">
        <f t="shared" si="67"/>
        <v>0</v>
      </c>
      <c r="R102" s="1044">
        <f t="shared" si="68"/>
        <v>0</v>
      </c>
      <c r="S102" s="1044">
        <f t="shared" si="69"/>
        <v>0</v>
      </c>
      <c r="T102" s="1044">
        <f t="shared" si="70"/>
        <v>0</v>
      </c>
      <c r="U102" s="1044">
        <f t="shared" si="71"/>
        <v>0</v>
      </c>
      <c r="V102" s="1044">
        <f t="shared" si="72"/>
        <v>0</v>
      </c>
      <c r="W102" s="1044">
        <f t="shared" si="73"/>
        <v>0</v>
      </c>
      <c r="X102" s="1044">
        <f t="shared" si="74"/>
        <v>0</v>
      </c>
      <c r="Y102" s="1044">
        <f t="shared" si="75"/>
        <v>0</v>
      </c>
      <c r="Z102" s="1044">
        <f t="shared" si="76"/>
        <v>0</v>
      </c>
      <c r="AA102" s="1044">
        <f t="shared" si="77"/>
        <v>0</v>
      </c>
      <c r="AB102" s="1044">
        <f t="shared" si="78"/>
        <v>0</v>
      </c>
      <c r="AC102" s="1044">
        <f t="shared" si="79"/>
        <v>0</v>
      </c>
      <c r="AD102" s="1044">
        <f t="shared" si="80"/>
        <v>0</v>
      </c>
      <c r="AE102" s="1044">
        <f t="shared" si="81"/>
        <v>0</v>
      </c>
      <c r="AF102" s="1044">
        <f t="shared" si="82"/>
        <v>0</v>
      </c>
      <c r="AG102" s="1044">
        <f t="shared" si="83"/>
        <v>0</v>
      </c>
      <c r="AH102" s="1044">
        <f t="shared" si="84"/>
        <v>0</v>
      </c>
      <c r="AI102" s="1044">
        <f t="shared" si="85"/>
        <v>0</v>
      </c>
      <c r="AJ102" s="1044">
        <f t="shared" si="86"/>
        <v>0</v>
      </c>
      <c r="AK102" s="1044">
        <f t="shared" si="87"/>
        <v>0</v>
      </c>
      <c r="AL102" s="1044">
        <f t="shared" si="88"/>
        <v>0</v>
      </c>
      <c r="AM102" s="1044">
        <f t="shared" si="89"/>
        <v>0</v>
      </c>
      <c r="AN102" s="1044" t="str">
        <f t="shared" si="90"/>
        <v/>
      </c>
      <c r="AO102" s="1044" t="str">
        <f t="shared" si="91"/>
        <v/>
      </c>
      <c r="AP102" s="1044" t="str">
        <f t="shared" si="92"/>
        <v/>
      </c>
      <c r="AQ102" s="1044" t="str">
        <f t="shared" si="93"/>
        <v/>
      </c>
      <c r="AR102" s="1044" t="str">
        <f t="shared" si="94"/>
        <v/>
      </c>
      <c r="AS102" s="1044" t="str">
        <f t="shared" si="95"/>
        <v/>
      </c>
      <c r="AT102" s="1044" t="str">
        <f t="shared" si="96"/>
        <v/>
      </c>
      <c r="AU102" s="1044" t="str">
        <f t="shared" si="97"/>
        <v/>
      </c>
      <c r="AV102" s="1044" t="str">
        <f t="shared" si="98"/>
        <v/>
      </c>
      <c r="AW102" s="1044" t="str">
        <f t="shared" si="99"/>
        <v/>
      </c>
      <c r="AX102" s="1044" t="str">
        <f t="shared" si="100"/>
        <v/>
      </c>
      <c r="AY102" s="1044" t="str">
        <f t="shared" si="101"/>
        <v/>
      </c>
      <c r="AZ102" s="1044" t="str">
        <f t="shared" si="102"/>
        <v/>
      </c>
      <c r="BA102" s="1044" t="str">
        <f t="shared" si="103"/>
        <v/>
      </c>
      <c r="BB102" s="1044" t="str">
        <f t="shared" si="104"/>
        <v/>
      </c>
      <c r="BC102" s="1044" t="str">
        <f t="shared" si="105"/>
        <v/>
      </c>
      <c r="BF102" s="1" t="s">
        <v>7029</v>
      </c>
      <c r="BG102" s="1076" t="s">
        <v>689</v>
      </c>
      <c r="BH102" s="1" t="s">
        <v>7079</v>
      </c>
      <c r="BI102" s="1" t="s">
        <v>7483</v>
      </c>
    </row>
    <row r="103" spans="1:61" ht="30" customHeight="1">
      <c r="A103" s="1085" t="str">
        <f t="shared" si="53"/>
        <v/>
      </c>
      <c r="B103" s="1086"/>
      <c r="C103" s="1085" t="s">
        <v>254</v>
      </c>
      <c r="D103" s="1087" t="str">
        <f t="shared" si="54"/>
        <v/>
      </c>
      <c r="E103" s="1088" t="str">
        <f t="shared" si="55"/>
        <v/>
      </c>
      <c r="F103" s="1089" t="str">
        <f t="shared" si="56"/>
        <v/>
      </c>
      <c r="G103" s="1090" t="str">
        <f t="shared" si="57"/>
        <v/>
      </c>
      <c r="H103" s="1085" t="str">
        <f t="shared" si="58"/>
        <v/>
      </c>
      <c r="I103" s="1085" t="str">
        <f t="shared" si="59"/>
        <v/>
      </c>
      <c r="J103" s="1090" t="str">
        <f t="shared" si="60"/>
        <v/>
      </c>
      <c r="K103" s="1044" t="str">
        <f t="shared" si="61"/>
        <v/>
      </c>
      <c r="L103" s="1044" t="str">
        <f t="shared" si="62"/>
        <v/>
      </c>
      <c r="M103" s="1044" t="str">
        <f t="shared" si="63"/>
        <v/>
      </c>
      <c r="N103" s="1044" t="str">
        <f t="shared" si="64"/>
        <v/>
      </c>
      <c r="O103" s="1044">
        <f t="shared" si="65"/>
        <v>0</v>
      </c>
      <c r="P103" s="1044">
        <f t="shared" si="66"/>
        <v>0</v>
      </c>
      <c r="Q103" s="1044">
        <f t="shared" si="67"/>
        <v>0</v>
      </c>
      <c r="R103" s="1044">
        <f t="shared" si="68"/>
        <v>0</v>
      </c>
      <c r="S103" s="1044">
        <f t="shared" si="69"/>
        <v>0</v>
      </c>
      <c r="T103" s="1044">
        <f t="shared" si="70"/>
        <v>0</v>
      </c>
      <c r="U103" s="1044">
        <f t="shared" si="71"/>
        <v>0</v>
      </c>
      <c r="V103" s="1044">
        <f t="shared" si="72"/>
        <v>0</v>
      </c>
      <c r="W103" s="1044">
        <f t="shared" si="73"/>
        <v>0</v>
      </c>
      <c r="X103" s="1044">
        <f t="shared" si="74"/>
        <v>0</v>
      </c>
      <c r="Y103" s="1044">
        <f t="shared" si="75"/>
        <v>0</v>
      </c>
      <c r="Z103" s="1044">
        <f t="shared" si="76"/>
        <v>0</v>
      </c>
      <c r="AA103" s="1044">
        <f t="shared" si="77"/>
        <v>0</v>
      </c>
      <c r="AB103" s="1044">
        <f t="shared" si="78"/>
        <v>0</v>
      </c>
      <c r="AC103" s="1044">
        <f t="shared" si="79"/>
        <v>0</v>
      </c>
      <c r="AD103" s="1044">
        <f t="shared" si="80"/>
        <v>0</v>
      </c>
      <c r="AE103" s="1044">
        <f t="shared" si="81"/>
        <v>0</v>
      </c>
      <c r="AF103" s="1044">
        <f t="shared" si="82"/>
        <v>0</v>
      </c>
      <c r="AG103" s="1044">
        <f t="shared" si="83"/>
        <v>0</v>
      </c>
      <c r="AH103" s="1044">
        <f t="shared" si="84"/>
        <v>0</v>
      </c>
      <c r="AI103" s="1044">
        <f t="shared" si="85"/>
        <v>0</v>
      </c>
      <c r="AJ103" s="1044">
        <f t="shared" si="86"/>
        <v>0</v>
      </c>
      <c r="AK103" s="1044">
        <f t="shared" si="87"/>
        <v>0</v>
      </c>
      <c r="AL103" s="1044">
        <f t="shared" si="88"/>
        <v>0</v>
      </c>
      <c r="AM103" s="1044">
        <f t="shared" si="89"/>
        <v>0</v>
      </c>
      <c r="AN103" s="1044" t="str">
        <f t="shared" si="90"/>
        <v/>
      </c>
      <c r="AO103" s="1044" t="str">
        <f t="shared" si="91"/>
        <v/>
      </c>
      <c r="AP103" s="1044" t="str">
        <f t="shared" si="92"/>
        <v/>
      </c>
      <c r="AQ103" s="1044" t="str">
        <f t="shared" si="93"/>
        <v/>
      </c>
      <c r="AR103" s="1044" t="str">
        <f t="shared" si="94"/>
        <v/>
      </c>
      <c r="AS103" s="1044" t="str">
        <f t="shared" si="95"/>
        <v/>
      </c>
      <c r="AT103" s="1044" t="str">
        <f t="shared" si="96"/>
        <v/>
      </c>
      <c r="AU103" s="1044" t="str">
        <f t="shared" si="97"/>
        <v/>
      </c>
      <c r="AV103" s="1044" t="str">
        <f t="shared" si="98"/>
        <v/>
      </c>
      <c r="AW103" s="1044" t="str">
        <f t="shared" si="99"/>
        <v/>
      </c>
      <c r="AX103" s="1044" t="str">
        <f t="shared" si="100"/>
        <v/>
      </c>
      <c r="AY103" s="1044" t="str">
        <f t="shared" si="101"/>
        <v/>
      </c>
      <c r="AZ103" s="1044" t="str">
        <f t="shared" si="102"/>
        <v/>
      </c>
      <c r="BA103" s="1044" t="str">
        <f t="shared" si="103"/>
        <v/>
      </c>
      <c r="BB103" s="1044" t="str">
        <f t="shared" si="104"/>
        <v/>
      </c>
      <c r="BC103" s="1044" t="str">
        <f t="shared" si="105"/>
        <v/>
      </c>
      <c r="BF103" s="1" t="s">
        <v>7029</v>
      </c>
      <c r="BG103" s="1076" t="s">
        <v>689</v>
      </c>
      <c r="BH103" s="1" t="s">
        <v>878</v>
      </c>
      <c r="BI103" s="1" t="s">
        <v>7484</v>
      </c>
    </row>
    <row r="104" spans="1:61" ht="30" customHeight="1">
      <c r="A104" s="1085" t="str">
        <f t="shared" si="53"/>
        <v/>
      </c>
      <c r="B104" s="1086"/>
      <c r="C104" s="1085" t="s">
        <v>254</v>
      </c>
      <c r="D104" s="1087" t="str">
        <f t="shared" si="54"/>
        <v/>
      </c>
      <c r="E104" s="1088" t="str">
        <f t="shared" si="55"/>
        <v/>
      </c>
      <c r="F104" s="1089" t="str">
        <f t="shared" si="56"/>
        <v/>
      </c>
      <c r="G104" s="1090" t="str">
        <f t="shared" si="57"/>
        <v/>
      </c>
      <c r="H104" s="1085" t="str">
        <f t="shared" si="58"/>
        <v/>
      </c>
      <c r="I104" s="1085" t="str">
        <f t="shared" si="59"/>
        <v/>
      </c>
      <c r="J104" s="1090" t="str">
        <f t="shared" si="60"/>
        <v/>
      </c>
      <c r="K104" s="1044" t="str">
        <f t="shared" si="61"/>
        <v/>
      </c>
      <c r="L104" s="1044" t="str">
        <f t="shared" si="62"/>
        <v/>
      </c>
      <c r="M104" s="1044" t="str">
        <f t="shared" si="63"/>
        <v/>
      </c>
      <c r="N104" s="1044" t="str">
        <f t="shared" si="64"/>
        <v/>
      </c>
      <c r="O104" s="1044">
        <f t="shared" si="65"/>
        <v>0</v>
      </c>
      <c r="P104" s="1044">
        <f t="shared" si="66"/>
        <v>0</v>
      </c>
      <c r="Q104" s="1044">
        <f t="shared" si="67"/>
        <v>0</v>
      </c>
      <c r="R104" s="1044">
        <f t="shared" si="68"/>
        <v>0</v>
      </c>
      <c r="S104" s="1044">
        <f t="shared" si="69"/>
        <v>0</v>
      </c>
      <c r="T104" s="1044">
        <f t="shared" si="70"/>
        <v>0</v>
      </c>
      <c r="U104" s="1044">
        <f t="shared" si="71"/>
        <v>0</v>
      </c>
      <c r="V104" s="1044">
        <f t="shared" si="72"/>
        <v>0</v>
      </c>
      <c r="W104" s="1044">
        <f t="shared" si="73"/>
        <v>0</v>
      </c>
      <c r="X104" s="1044">
        <f t="shared" si="74"/>
        <v>0</v>
      </c>
      <c r="Y104" s="1044">
        <f t="shared" si="75"/>
        <v>0</v>
      </c>
      <c r="Z104" s="1044">
        <f t="shared" si="76"/>
        <v>0</v>
      </c>
      <c r="AA104" s="1044">
        <f t="shared" si="77"/>
        <v>0</v>
      </c>
      <c r="AB104" s="1044">
        <f t="shared" si="78"/>
        <v>0</v>
      </c>
      <c r="AC104" s="1044">
        <f t="shared" si="79"/>
        <v>0</v>
      </c>
      <c r="AD104" s="1044">
        <f t="shared" si="80"/>
        <v>0</v>
      </c>
      <c r="AE104" s="1044">
        <f t="shared" si="81"/>
        <v>0</v>
      </c>
      <c r="AF104" s="1044">
        <f t="shared" si="82"/>
        <v>0</v>
      </c>
      <c r="AG104" s="1044">
        <f t="shared" si="83"/>
        <v>0</v>
      </c>
      <c r="AH104" s="1044">
        <f t="shared" si="84"/>
        <v>0</v>
      </c>
      <c r="AI104" s="1044">
        <f t="shared" si="85"/>
        <v>0</v>
      </c>
      <c r="AJ104" s="1044">
        <f t="shared" si="86"/>
        <v>0</v>
      </c>
      <c r="AK104" s="1044">
        <f t="shared" si="87"/>
        <v>0</v>
      </c>
      <c r="AL104" s="1044">
        <f t="shared" si="88"/>
        <v>0</v>
      </c>
      <c r="AM104" s="1044">
        <f t="shared" si="89"/>
        <v>0</v>
      </c>
      <c r="AN104" s="1044" t="str">
        <f t="shared" si="90"/>
        <v/>
      </c>
      <c r="AO104" s="1044" t="str">
        <f t="shared" si="91"/>
        <v/>
      </c>
      <c r="AP104" s="1044" t="str">
        <f t="shared" si="92"/>
        <v/>
      </c>
      <c r="AQ104" s="1044" t="str">
        <f t="shared" si="93"/>
        <v/>
      </c>
      <c r="AR104" s="1044" t="str">
        <f t="shared" si="94"/>
        <v/>
      </c>
      <c r="AS104" s="1044" t="str">
        <f t="shared" si="95"/>
        <v/>
      </c>
      <c r="AT104" s="1044" t="str">
        <f t="shared" si="96"/>
        <v/>
      </c>
      <c r="AU104" s="1044" t="str">
        <f t="shared" si="97"/>
        <v/>
      </c>
      <c r="AV104" s="1044" t="str">
        <f t="shared" si="98"/>
        <v/>
      </c>
      <c r="AW104" s="1044" t="str">
        <f t="shared" si="99"/>
        <v/>
      </c>
      <c r="AX104" s="1044" t="str">
        <f t="shared" si="100"/>
        <v/>
      </c>
      <c r="AY104" s="1044" t="str">
        <f t="shared" si="101"/>
        <v/>
      </c>
      <c r="AZ104" s="1044" t="str">
        <f t="shared" si="102"/>
        <v/>
      </c>
      <c r="BA104" s="1044" t="str">
        <f t="shared" si="103"/>
        <v/>
      </c>
      <c r="BB104" s="1044" t="str">
        <f t="shared" si="104"/>
        <v/>
      </c>
      <c r="BC104" s="1044" t="str">
        <f t="shared" si="105"/>
        <v/>
      </c>
      <c r="BF104" s="1" t="s">
        <v>7029</v>
      </c>
      <c r="BG104" s="1076" t="s">
        <v>689</v>
      </c>
      <c r="BH104" s="1" t="s">
        <v>7080</v>
      </c>
      <c r="BI104" s="1" t="s">
        <v>7485</v>
      </c>
    </row>
    <row r="105" spans="1:61" ht="30" customHeight="1">
      <c r="A105" s="1085" t="str">
        <f t="shared" si="53"/>
        <v/>
      </c>
      <c r="B105" s="1086"/>
      <c r="C105" s="1085" t="s">
        <v>254</v>
      </c>
      <c r="D105" s="1087" t="str">
        <f t="shared" si="54"/>
        <v/>
      </c>
      <c r="E105" s="1088" t="str">
        <f t="shared" si="55"/>
        <v/>
      </c>
      <c r="F105" s="1089" t="str">
        <f t="shared" si="56"/>
        <v/>
      </c>
      <c r="G105" s="1090" t="str">
        <f t="shared" si="57"/>
        <v/>
      </c>
      <c r="H105" s="1085" t="str">
        <f t="shared" si="58"/>
        <v/>
      </c>
      <c r="I105" s="1085" t="str">
        <f t="shared" si="59"/>
        <v/>
      </c>
      <c r="J105" s="1090" t="str">
        <f t="shared" si="60"/>
        <v/>
      </c>
      <c r="K105" s="1044" t="str">
        <f t="shared" si="61"/>
        <v/>
      </c>
      <c r="L105" s="1044" t="str">
        <f t="shared" si="62"/>
        <v/>
      </c>
      <c r="M105" s="1044" t="str">
        <f t="shared" si="63"/>
        <v/>
      </c>
      <c r="N105" s="1044" t="str">
        <f t="shared" si="64"/>
        <v/>
      </c>
      <c r="O105" s="1044">
        <f t="shared" si="65"/>
        <v>0</v>
      </c>
      <c r="P105" s="1044">
        <f t="shared" si="66"/>
        <v>0</v>
      </c>
      <c r="Q105" s="1044">
        <f t="shared" si="67"/>
        <v>0</v>
      </c>
      <c r="R105" s="1044">
        <f t="shared" si="68"/>
        <v>0</v>
      </c>
      <c r="S105" s="1044">
        <f t="shared" si="69"/>
        <v>0</v>
      </c>
      <c r="T105" s="1044">
        <f t="shared" si="70"/>
        <v>0</v>
      </c>
      <c r="U105" s="1044">
        <f t="shared" si="71"/>
        <v>0</v>
      </c>
      <c r="V105" s="1044">
        <f t="shared" si="72"/>
        <v>0</v>
      </c>
      <c r="W105" s="1044">
        <f t="shared" si="73"/>
        <v>0</v>
      </c>
      <c r="X105" s="1044">
        <f t="shared" si="74"/>
        <v>0</v>
      </c>
      <c r="Y105" s="1044">
        <f t="shared" si="75"/>
        <v>0</v>
      </c>
      <c r="Z105" s="1044">
        <f t="shared" si="76"/>
        <v>0</v>
      </c>
      <c r="AA105" s="1044">
        <f t="shared" si="77"/>
        <v>0</v>
      </c>
      <c r="AB105" s="1044">
        <f t="shared" si="78"/>
        <v>0</v>
      </c>
      <c r="AC105" s="1044">
        <f t="shared" si="79"/>
        <v>0</v>
      </c>
      <c r="AD105" s="1044">
        <f t="shared" si="80"/>
        <v>0</v>
      </c>
      <c r="AE105" s="1044">
        <f t="shared" si="81"/>
        <v>0</v>
      </c>
      <c r="AF105" s="1044">
        <f t="shared" si="82"/>
        <v>0</v>
      </c>
      <c r="AG105" s="1044">
        <f t="shared" si="83"/>
        <v>0</v>
      </c>
      <c r="AH105" s="1044">
        <f t="shared" si="84"/>
        <v>0</v>
      </c>
      <c r="AI105" s="1044">
        <f t="shared" si="85"/>
        <v>0</v>
      </c>
      <c r="AJ105" s="1044">
        <f t="shared" si="86"/>
        <v>0</v>
      </c>
      <c r="AK105" s="1044">
        <f t="shared" si="87"/>
        <v>0</v>
      </c>
      <c r="AL105" s="1044">
        <f t="shared" si="88"/>
        <v>0</v>
      </c>
      <c r="AM105" s="1044">
        <f t="shared" si="89"/>
        <v>0</v>
      </c>
      <c r="AN105" s="1044" t="str">
        <f t="shared" si="90"/>
        <v/>
      </c>
      <c r="AO105" s="1044" t="str">
        <f t="shared" si="91"/>
        <v/>
      </c>
      <c r="AP105" s="1044" t="str">
        <f t="shared" si="92"/>
        <v/>
      </c>
      <c r="AQ105" s="1044" t="str">
        <f t="shared" si="93"/>
        <v/>
      </c>
      <c r="AR105" s="1044" t="str">
        <f t="shared" si="94"/>
        <v/>
      </c>
      <c r="AS105" s="1044" t="str">
        <f t="shared" si="95"/>
        <v/>
      </c>
      <c r="AT105" s="1044" t="str">
        <f t="shared" si="96"/>
        <v/>
      </c>
      <c r="AU105" s="1044" t="str">
        <f t="shared" si="97"/>
        <v/>
      </c>
      <c r="AV105" s="1044" t="str">
        <f t="shared" si="98"/>
        <v/>
      </c>
      <c r="AW105" s="1044" t="str">
        <f t="shared" si="99"/>
        <v/>
      </c>
      <c r="AX105" s="1044" t="str">
        <f t="shared" si="100"/>
        <v/>
      </c>
      <c r="AY105" s="1044" t="str">
        <f t="shared" si="101"/>
        <v/>
      </c>
      <c r="AZ105" s="1044" t="str">
        <f t="shared" si="102"/>
        <v/>
      </c>
      <c r="BA105" s="1044" t="str">
        <f t="shared" si="103"/>
        <v/>
      </c>
      <c r="BB105" s="1044" t="str">
        <f t="shared" si="104"/>
        <v/>
      </c>
      <c r="BC105" s="1044" t="str">
        <f t="shared" si="105"/>
        <v/>
      </c>
      <c r="BF105" s="1" t="s">
        <v>7029</v>
      </c>
      <c r="BG105" s="1076" t="s">
        <v>689</v>
      </c>
      <c r="BH105" s="1" t="s">
        <v>7081</v>
      </c>
      <c r="BI105" s="1" t="s">
        <v>7486</v>
      </c>
    </row>
    <row r="106" spans="1:61" ht="30" customHeight="1">
      <c r="A106" s="1085" t="str">
        <f t="shared" si="53"/>
        <v/>
      </c>
      <c r="B106" s="1086"/>
      <c r="C106" s="1085" t="s">
        <v>254</v>
      </c>
      <c r="D106" s="1087" t="str">
        <f t="shared" si="54"/>
        <v/>
      </c>
      <c r="E106" s="1088" t="str">
        <f t="shared" si="55"/>
        <v/>
      </c>
      <c r="F106" s="1089" t="str">
        <f t="shared" si="56"/>
        <v/>
      </c>
      <c r="G106" s="1090" t="str">
        <f t="shared" si="57"/>
        <v/>
      </c>
      <c r="H106" s="1085" t="str">
        <f t="shared" si="58"/>
        <v/>
      </c>
      <c r="I106" s="1085" t="str">
        <f t="shared" si="59"/>
        <v/>
      </c>
      <c r="J106" s="1090" t="str">
        <f t="shared" si="60"/>
        <v/>
      </c>
      <c r="K106" s="1044" t="str">
        <f t="shared" si="61"/>
        <v/>
      </c>
      <c r="L106" s="1044" t="str">
        <f t="shared" si="62"/>
        <v/>
      </c>
      <c r="M106" s="1044" t="str">
        <f t="shared" si="63"/>
        <v/>
      </c>
      <c r="N106" s="1044" t="str">
        <f t="shared" si="64"/>
        <v/>
      </c>
      <c r="O106" s="1044">
        <f t="shared" si="65"/>
        <v>0</v>
      </c>
      <c r="P106" s="1044">
        <f t="shared" si="66"/>
        <v>0</v>
      </c>
      <c r="Q106" s="1044">
        <f t="shared" si="67"/>
        <v>0</v>
      </c>
      <c r="R106" s="1044">
        <f t="shared" si="68"/>
        <v>0</v>
      </c>
      <c r="S106" s="1044">
        <f t="shared" si="69"/>
        <v>0</v>
      </c>
      <c r="T106" s="1044">
        <f t="shared" si="70"/>
        <v>0</v>
      </c>
      <c r="U106" s="1044">
        <f t="shared" si="71"/>
        <v>0</v>
      </c>
      <c r="V106" s="1044">
        <f t="shared" si="72"/>
        <v>0</v>
      </c>
      <c r="W106" s="1044">
        <f t="shared" si="73"/>
        <v>0</v>
      </c>
      <c r="X106" s="1044">
        <f t="shared" si="74"/>
        <v>0</v>
      </c>
      <c r="Y106" s="1044">
        <f t="shared" si="75"/>
        <v>0</v>
      </c>
      <c r="Z106" s="1044">
        <f t="shared" si="76"/>
        <v>0</v>
      </c>
      <c r="AA106" s="1044">
        <f t="shared" si="77"/>
        <v>0</v>
      </c>
      <c r="AB106" s="1044">
        <f t="shared" si="78"/>
        <v>0</v>
      </c>
      <c r="AC106" s="1044">
        <f t="shared" si="79"/>
        <v>0</v>
      </c>
      <c r="AD106" s="1044">
        <f t="shared" si="80"/>
        <v>0</v>
      </c>
      <c r="AE106" s="1044">
        <f t="shared" si="81"/>
        <v>0</v>
      </c>
      <c r="AF106" s="1044">
        <f t="shared" si="82"/>
        <v>0</v>
      </c>
      <c r="AG106" s="1044">
        <f t="shared" si="83"/>
        <v>0</v>
      </c>
      <c r="AH106" s="1044">
        <f t="shared" si="84"/>
        <v>0</v>
      </c>
      <c r="AI106" s="1044">
        <f t="shared" si="85"/>
        <v>0</v>
      </c>
      <c r="AJ106" s="1044">
        <f t="shared" si="86"/>
        <v>0</v>
      </c>
      <c r="AK106" s="1044">
        <f t="shared" si="87"/>
        <v>0</v>
      </c>
      <c r="AL106" s="1044">
        <f t="shared" si="88"/>
        <v>0</v>
      </c>
      <c r="AM106" s="1044">
        <f t="shared" si="89"/>
        <v>0</v>
      </c>
      <c r="AN106" s="1044" t="str">
        <f t="shared" si="90"/>
        <v/>
      </c>
      <c r="AO106" s="1044" t="str">
        <f t="shared" si="91"/>
        <v/>
      </c>
      <c r="AP106" s="1044" t="str">
        <f t="shared" si="92"/>
        <v/>
      </c>
      <c r="AQ106" s="1044" t="str">
        <f t="shared" si="93"/>
        <v/>
      </c>
      <c r="AR106" s="1044" t="str">
        <f t="shared" si="94"/>
        <v/>
      </c>
      <c r="AS106" s="1044" t="str">
        <f t="shared" si="95"/>
        <v/>
      </c>
      <c r="AT106" s="1044" t="str">
        <f t="shared" si="96"/>
        <v/>
      </c>
      <c r="AU106" s="1044" t="str">
        <f t="shared" si="97"/>
        <v/>
      </c>
      <c r="AV106" s="1044" t="str">
        <f t="shared" si="98"/>
        <v/>
      </c>
      <c r="AW106" s="1044" t="str">
        <f t="shared" si="99"/>
        <v/>
      </c>
      <c r="AX106" s="1044" t="str">
        <f t="shared" si="100"/>
        <v/>
      </c>
      <c r="AY106" s="1044" t="str">
        <f t="shared" si="101"/>
        <v/>
      </c>
      <c r="AZ106" s="1044" t="str">
        <f t="shared" si="102"/>
        <v/>
      </c>
      <c r="BA106" s="1044" t="str">
        <f t="shared" si="103"/>
        <v/>
      </c>
      <c r="BB106" s="1044" t="str">
        <f t="shared" si="104"/>
        <v/>
      </c>
      <c r="BC106" s="1044" t="str">
        <f t="shared" si="105"/>
        <v/>
      </c>
      <c r="BF106" s="1" t="s">
        <v>7029</v>
      </c>
      <c r="BG106" s="1076" t="s">
        <v>689</v>
      </c>
      <c r="BH106" s="1" t="s">
        <v>7082</v>
      </c>
      <c r="BI106" s="1" t="s">
        <v>7487</v>
      </c>
    </row>
    <row r="107" spans="1:61" ht="30" customHeight="1">
      <c r="A107" s="1085" t="str">
        <f t="shared" si="53"/>
        <v/>
      </c>
      <c r="B107" s="1086"/>
      <c r="C107" s="1085" t="s">
        <v>254</v>
      </c>
      <c r="D107" s="1087" t="str">
        <f t="shared" si="54"/>
        <v/>
      </c>
      <c r="E107" s="1088" t="str">
        <f t="shared" si="55"/>
        <v/>
      </c>
      <c r="F107" s="1089" t="str">
        <f t="shared" si="56"/>
        <v/>
      </c>
      <c r="G107" s="1090" t="str">
        <f t="shared" si="57"/>
        <v/>
      </c>
      <c r="H107" s="1085" t="str">
        <f t="shared" si="58"/>
        <v/>
      </c>
      <c r="I107" s="1085" t="str">
        <f t="shared" si="59"/>
        <v/>
      </c>
      <c r="J107" s="1090" t="str">
        <f t="shared" si="60"/>
        <v/>
      </c>
      <c r="K107" s="1044" t="str">
        <f t="shared" si="61"/>
        <v/>
      </c>
      <c r="L107" s="1044" t="str">
        <f t="shared" si="62"/>
        <v/>
      </c>
      <c r="M107" s="1044" t="str">
        <f t="shared" si="63"/>
        <v/>
      </c>
      <c r="N107" s="1044" t="str">
        <f t="shared" si="64"/>
        <v/>
      </c>
      <c r="O107" s="1044">
        <f t="shared" si="65"/>
        <v>0</v>
      </c>
      <c r="P107" s="1044">
        <f t="shared" si="66"/>
        <v>0</v>
      </c>
      <c r="Q107" s="1044">
        <f t="shared" si="67"/>
        <v>0</v>
      </c>
      <c r="R107" s="1044">
        <f t="shared" si="68"/>
        <v>0</v>
      </c>
      <c r="S107" s="1044">
        <f t="shared" si="69"/>
        <v>0</v>
      </c>
      <c r="T107" s="1044">
        <f t="shared" si="70"/>
        <v>0</v>
      </c>
      <c r="U107" s="1044">
        <f t="shared" si="71"/>
        <v>0</v>
      </c>
      <c r="V107" s="1044">
        <f t="shared" si="72"/>
        <v>0</v>
      </c>
      <c r="W107" s="1044">
        <f t="shared" si="73"/>
        <v>0</v>
      </c>
      <c r="X107" s="1044">
        <f t="shared" si="74"/>
        <v>0</v>
      </c>
      <c r="Y107" s="1044">
        <f t="shared" si="75"/>
        <v>0</v>
      </c>
      <c r="Z107" s="1044">
        <f t="shared" si="76"/>
        <v>0</v>
      </c>
      <c r="AA107" s="1044">
        <f t="shared" si="77"/>
        <v>0</v>
      </c>
      <c r="AB107" s="1044">
        <f t="shared" si="78"/>
        <v>0</v>
      </c>
      <c r="AC107" s="1044">
        <f t="shared" si="79"/>
        <v>0</v>
      </c>
      <c r="AD107" s="1044">
        <f t="shared" si="80"/>
        <v>0</v>
      </c>
      <c r="AE107" s="1044">
        <f t="shared" si="81"/>
        <v>0</v>
      </c>
      <c r="AF107" s="1044">
        <f t="shared" si="82"/>
        <v>0</v>
      </c>
      <c r="AG107" s="1044">
        <f t="shared" si="83"/>
        <v>0</v>
      </c>
      <c r="AH107" s="1044">
        <f t="shared" si="84"/>
        <v>0</v>
      </c>
      <c r="AI107" s="1044">
        <f t="shared" si="85"/>
        <v>0</v>
      </c>
      <c r="AJ107" s="1044">
        <f t="shared" si="86"/>
        <v>0</v>
      </c>
      <c r="AK107" s="1044">
        <f t="shared" si="87"/>
        <v>0</v>
      </c>
      <c r="AL107" s="1044">
        <f t="shared" si="88"/>
        <v>0</v>
      </c>
      <c r="AM107" s="1044">
        <f t="shared" si="89"/>
        <v>0</v>
      </c>
      <c r="AN107" s="1044" t="str">
        <f t="shared" si="90"/>
        <v/>
      </c>
      <c r="AO107" s="1044" t="str">
        <f t="shared" si="91"/>
        <v/>
      </c>
      <c r="AP107" s="1044" t="str">
        <f t="shared" si="92"/>
        <v/>
      </c>
      <c r="AQ107" s="1044" t="str">
        <f t="shared" si="93"/>
        <v/>
      </c>
      <c r="AR107" s="1044" t="str">
        <f t="shared" si="94"/>
        <v/>
      </c>
      <c r="AS107" s="1044" t="str">
        <f t="shared" si="95"/>
        <v/>
      </c>
      <c r="AT107" s="1044" t="str">
        <f t="shared" si="96"/>
        <v/>
      </c>
      <c r="AU107" s="1044" t="str">
        <f t="shared" si="97"/>
        <v/>
      </c>
      <c r="AV107" s="1044" t="str">
        <f t="shared" si="98"/>
        <v/>
      </c>
      <c r="AW107" s="1044" t="str">
        <f t="shared" si="99"/>
        <v/>
      </c>
      <c r="AX107" s="1044" t="str">
        <f t="shared" si="100"/>
        <v/>
      </c>
      <c r="AY107" s="1044" t="str">
        <f t="shared" si="101"/>
        <v/>
      </c>
      <c r="AZ107" s="1044" t="str">
        <f t="shared" si="102"/>
        <v/>
      </c>
      <c r="BA107" s="1044" t="str">
        <f t="shared" si="103"/>
        <v/>
      </c>
      <c r="BB107" s="1044" t="str">
        <f t="shared" si="104"/>
        <v/>
      </c>
      <c r="BC107" s="1044" t="str">
        <f t="shared" si="105"/>
        <v/>
      </c>
      <c r="BF107" s="1" t="s">
        <v>7029</v>
      </c>
      <c r="BG107" s="1076" t="s">
        <v>689</v>
      </c>
      <c r="BH107" s="1" t="s">
        <v>297</v>
      </c>
      <c r="BI107" s="1" t="s">
        <v>7488</v>
      </c>
    </row>
    <row r="108" spans="1:61" ht="30" customHeight="1">
      <c r="A108" s="1085" t="str">
        <f t="shared" si="53"/>
        <v/>
      </c>
      <c r="B108" s="1086"/>
      <c r="C108" s="1085" t="s">
        <v>254</v>
      </c>
      <c r="D108" s="1087" t="str">
        <f t="shared" si="54"/>
        <v/>
      </c>
      <c r="E108" s="1088" t="str">
        <f t="shared" si="55"/>
        <v/>
      </c>
      <c r="F108" s="1089" t="str">
        <f t="shared" si="56"/>
        <v/>
      </c>
      <c r="G108" s="1090" t="str">
        <f t="shared" si="57"/>
        <v/>
      </c>
      <c r="H108" s="1085" t="str">
        <f t="shared" si="58"/>
        <v/>
      </c>
      <c r="I108" s="1085" t="str">
        <f t="shared" si="59"/>
        <v/>
      </c>
      <c r="J108" s="1090" t="str">
        <f t="shared" si="60"/>
        <v/>
      </c>
      <c r="K108" s="1044" t="str">
        <f t="shared" si="61"/>
        <v/>
      </c>
      <c r="L108" s="1044" t="str">
        <f t="shared" si="62"/>
        <v/>
      </c>
      <c r="M108" s="1044" t="str">
        <f t="shared" si="63"/>
        <v/>
      </c>
      <c r="N108" s="1044" t="str">
        <f t="shared" si="64"/>
        <v/>
      </c>
      <c r="O108" s="1044">
        <f t="shared" si="65"/>
        <v>0</v>
      </c>
      <c r="P108" s="1044">
        <f t="shared" si="66"/>
        <v>0</v>
      </c>
      <c r="Q108" s="1044">
        <f t="shared" si="67"/>
        <v>0</v>
      </c>
      <c r="R108" s="1044">
        <f t="shared" si="68"/>
        <v>0</v>
      </c>
      <c r="S108" s="1044">
        <f t="shared" si="69"/>
        <v>0</v>
      </c>
      <c r="T108" s="1044">
        <f t="shared" si="70"/>
        <v>0</v>
      </c>
      <c r="U108" s="1044">
        <f t="shared" si="71"/>
        <v>0</v>
      </c>
      <c r="V108" s="1044">
        <f t="shared" si="72"/>
        <v>0</v>
      </c>
      <c r="W108" s="1044">
        <f t="shared" si="73"/>
        <v>0</v>
      </c>
      <c r="X108" s="1044">
        <f t="shared" si="74"/>
        <v>0</v>
      </c>
      <c r="Y108" s="1044">
        <f t="shared" si="75"/>
        <v>0</v>
      </c>
      <c r="Z108" s="1044">
        <f t="shared" si="76"/>
        <v>0</v>
      </c>
      <c r="AA108" s="1044">
        <f t="shared" si="77"/>
        <v>0</v>
      </c>
      <c r="AB108" s="1044">
        <f t="shared" si="78"/>
        <v>0</v>
      </c>
      <c r="AC108" s="1044">
        <f t="shared" si="79"/>
        <v>0</v>
      </c>
      <c r="AD108" s="1044">
        <f t="shared" si="80"/>
        <v>0</v>
      </c>
      <c r="AE108" s="1044">
        <f t="shared" si="81"/>
        <v>0</v>
      </c>
      <c r="AF108" s="1044">
        <f t="shared" si="82"/>
        <v>0</v>
      </c>
      <c r="AG108" s="1044">
        <f t="shared" si="83"/>
        <v>0</v>
      </c>
      <c r="AH108" s="1044">
        <f t="shared" si="84"/>
        <v>0</v>
      </c>
      <c r="AI108" s="1044">
        <f t="shared" si="85"/>
        <v>0</v>
      </c>
      <c r="AJ108" s="1044">
        <f t="shared" si="86"/>
        <v>0</v>
      </c>
      <c r="AK108" s="1044">
        <f t="shared" si="87"/>
        <v>0</v>
      </c>
      <c r="AL108" s="1044">
        <f t="shared" si="88"/>
        <v>0</v>
      </c>
      <c r="AM108" s="1044">
        <f t="shared" si="89"/>
        <v>0</v>
      </c>
      <c r="AN108" s="1044" t="str">
        <f t="shared" si="90"/>
        <v/>
      </c>
      <c r="AO108" s="1044" t="str">
        <f t="shared" si="91"/>
        <v/>
      </c>
      <c r="AP108" s="1044" t="str">
        <f t="shared" si="92"/>
        <v/>
      </c>
      <c r="AQ108" s="1044" t="str">
        <f t="shared" si="93"/>
        <v/>
      </c>
      <c r="AR108" s="1044" t="str">
        <f t="shared" si="94"/>
        <v/>
      </c>
      <c r="AS108" s="1044" t="str">
        <f t="shared" si="95"/>
        <v/>
      </c>
      <c r="AT108" s="1044" t="str">
        <f t="shared" si="96"/>
        <v/>
      </c>
      <c r="AU108" s="1044" t="str">
        <f t="shared" si="97"/>
        <v/>
      </c>
      <c r="AV108" s="1044" t="str">
        <f t="shared" si="98"/>
        <v/>
      </c>
      <c r="AW108" s="1044" t="str">
        <f t="shared" si="99"/>
        <v/>
      </c>
      <c r="AX108" s="1044" t="str">
        <f t="shared" si="100"/>
        <v/>
      </c>
      <c r="AY108" s="1044" t="str">
        <f t="shared" si="101"/>
        <v/>
      </c>
      <c r="AZ108" s="1044" t="str">
        <f t="shared" si="102"/>
        <v/>
      </c>
      <c r="BA108" s="1044" t="str">
        <f t="shared" si="103"/>
        <v/>
      </c>
      <c r="BB108" s="1044" t="str">
        <f t="shared" si="104"/>
        <v/>
      </c>
      <c r="BC108" s="1044" t="str">
        <f t="shared" si="105"/>
        <v/>
      </c>
      <c r="BF108" s="1" t="s">
        <v>7029</v>
      </c>
      <c r="BG108" s="1076" t="s">
        <v>689</v>
      </c>
      <c r="BH108" s="1" t="s">
        <v>147</v>
      </c>
      <c r="BI108" s="1" t="s">
        <v>7489</v>
      </c>
    </row>
    <row r="109" spans="1:61" ht="30" customHeight="1">
      <c r="A109" s="1085" t="str">
        <f t="shared" si="53"/>
        <v/>
      </c>
      <c r="B109" s="1086"/>
      <c r="C109" s="1085" t="s">
        <v>254</v>
      </c>
      <c r="D109" s="1087" t="str">
        <f t="shared" si="54"/>
        <v/>
      </c>
      <c r="E109" s="1088" t="str">
        <f t="shared" si="55"/>
        <v/>
      </c>
      <c r="F109" s="1089" t="str">
        <f t="shared" si="56"/>
        <v/>
      </c>
      <c r="G109" s="1090" t="str">
        <f t="shared" si="57"/>
        <v/>
      </c>
      <c r="H109" s="1085" t="str">
        <f t="shared" si="58"/>
        <v/>
      </c>
      <c r="I109" s="1085" t="str">
        <f t="shared" si="59"/>
        <v/>
      </c>
      <c r="J109" s="1090" t="str">
        <f t="shared" si="60"/>
        <v/>
      </c>
      <c r="K109" s="1044" t="str">
        <f t="shared" si="61"/>
        <v/>
      </c>
      <c r="L109" s="1044" t="str">
        <f t="shared" si="62"/>
        <v/>
      </c>
      <c r="M109" s="1044" t="str">
        <f t="shared" si="63"/>
        <v/>
      </c>
      <c r="N109" s="1044" t="str">
        <f t="shared" si="64"/>
        <v/>
      </c>
      <c r="O109" s="1044">
        <f t="shared" si="65"/>
        <v>0</v>
      </c>
      <c r="P109" s="1044">
        <f t="shared" si="66"/>
        <v>0</v>
      </c>
      <c r="Q109" s="1044">
        <f t="shared" si="67"/>
        <v>0</v>
      </c>
      <c r="R109" s="1044">
        <f t="shared" si="68"/>
        <v>0</v>
      </c>
      <c r="S109" s="1044">
        <f t="shared" si="69"/>
        <v>0</v>
      </c>
      <c r="T109" s="1044">
        <f t="shared" si="70"/>
        <v>0</v>
      </c>
      <c r="U109" s="1044">
        <f t="shared" si="71"/>
        <v>0</v>
      </c>
      <c r="V109" s="1044">
        <f t="shared" si="72"/>
        <v>0</v>
      </c>
      <c r="W109" s="1044">
        <f t="shared" si="73"/>
        <v>0</v>
      </c>
      <c r="X109" s="1044">
        <f t="shared" si="74"/>
        <v>0</v>
      </c>
      <c r="Y109" s="1044">
        <f t="shared" si="75"/>
        <v>0</v>
      </c>
      <c r="Z109" s="1044">
        <f t="shared" si="76"/>
        <v>0</v>
      </c>
      <c r="AA109" s="1044">
        <f t="shared" si="77"/>
        <v>0</v>
      </c>
      <c r="AB109" s="1044">
        <f t="shared" si="78"/>
        <v>0</v>
      </c>
      <c r="AC109" s="1044">
        <f t="shared" si="79"/>
        <v>0</v>
      </c>
      <c r="AD109" s="1044">
        <f t="shared" si="80"/>
        <v>0</v>
      </c>
      <c r="AE109" s="1044">
        <f t="shared" si="81"/>
        <v>0</v>
      </c>
      <c r="AF109" s="1044">
        <f t="shared" si="82"/>
        <v>0</v>
      </c>
      <c r="AG109" s="1044">
        <f t="shared" si="83"/>
        <v>0</v>
      </c>
      <c r="AH109" s="1044">
        <f t="shared" si="84"/>
        <v>0</v>
      </c>
      <c r="AI109" s="1044">
        <f t="shared" si="85"/>
        <v>0</v>
      </c>
      <c r="AJ109" s="1044">
        <f t="shared" si="86"/>
        <v>0</v>
      </c>
      <c r="AK109" s="1044">
        <f t="shared" si="87"/>
        <v>0</v>
      </c>
      <c r="AL109" s="1044">
        <f t="shared" si="88"/>
        <v>0</v>
      </c>
      <c r="AM109" s="1044">
        <f t="shared" si="89"/>
        <v>0</v>
      </c>
      <c r="AN109" s="1044" t="str">
        <f t="shared" si="90"/>
        <v/>
      </c>
      <c r="AO109" s="1044" t="str">
        <f t="shared" si="91"/>
        <v/>
      </c>
      <c r="AP109" s="1044" t="str">
        <f t="shared" si="92"/>
        <v/>
      </c>
      <c r="AQ109" s="1044" t="str">
        <f t="shared" si="93"/>
        <v/>
      </c>
      <c r="AR109" s="1044" t="str">
        <f t="shared" si="94"/>
        <v/>
      </c>
      <c r="AS109" s="1044" t="str">
        <f t="shared" si="95"/>
        <v/>
      </c>
      <c r="AT109" s="1044" t="str">
        <f t="shared" si="96"/>
        <v/>
      </c>
      <c r="AU109" s="1044" t="str">
        <f t="shared" si="97"/>
        <v/>
      </c>
      <c r="AV109" s="1044" t="str">
        <f t="shared" si="98"/>
        <v/>
      </c>
      <c r="AW109" s="1044" t="str">
        <f t="shared" si="99"/>
        <v/>
      </c>
      <c r="AX109" s="1044" t="str">
        <f t="shared" si="100"/>
        <v/>
      </c>
      <c r="AY109" s="1044" t="str">
        <f t="shared" si="101"/>
        <v/>
      </c>
      <c r="AZ109" s="1044" t="str">
        <f t="shared" si="102"/>
        <v/>
      </c>
      <c r="BA109" s="1044" t="str">
        <f t="shared" si="103"/>
        <v/>
      </c>
      <c r="BB109" s="1044" t="str">
        <f t="shared" si="104"/>
        <v/>
      </c>
      <c r="BC109" s="1044" t="str">
        <f t="shared" si="105"/>
        <v/>
      </c>
      <c r="BF109" s="1" t="s">
        <v>7029</v>
      </c>
      <c r="BG109" s="1076" t="s">
        <v>689</v>
      </c>
      <c r="BH109" s="1" t="s">
        <v>181</v>
      </c>
      <c r="BI109" s="1" t="s">
        <v>7490</v>
      </c>
    </row>
    <row r="110" spans="1:61" ht="30" customHeight="1">
      <c r="A110" s="1085" t="str">
        <f t="shared" si="53"/>
        <v/>
      </c>
      <c r="B110" s="1086"/>
      <c r="C110" s="1085" t="s">
        <v>254</v>
      </c>
      <c r="D110" s="1087" t="str">
        <f t="shared" si="54"/>
        <v/>
      </c>
      <c r="E110" s="1088" t="str">
        <f t="shared" si="55"/>
        <v/>
      </c>
      <c r="F110" s="1089" t="str">
        <f t="shared" si="56"/>
        <v/>
      </c>
      <c r="G110" s="1090" t="str">
        <f t="shared" si="57"/>
        <v/>
      </c>
      <c r="H110" s="1085" t="str">
        <f t="shared" si="58"/>
        <v/>
      </c>
      <c r="I110" s="1085" t="str">
        <f t="shared" si="59"/>
        <v/>
      </c>
      <c r="J110" s="1090" t="str">
        <f t="shared" si="60"/>
        <v/>
      </c>
      <c r="K110" s="1044" t="str">
        <f t="shared" si="61"/>
        <v/>
      </c>
      <c r="L110" s="1044" t="str">
        <f t="shared" si="62"/>
        <v/>
      </c>
      <c r="M110" s="1044" t="str">
        <f t="shared" si="63"/>
        <v/>
      </c>
      <c r="N110" s="1044" t="str">
        <f t="shared" si="64"/>
        <v/>
      </c>
      <c r="O110" s="1044">
        <f t="shared" si="65"/>
        <v>0</v>
      </c>
      <c r="P110" s="1044">
        <f t="shared" si="66"/>
        <v>0</v>
      </c>
      <c r="Q110" s="1044">
        <f t="shared" si="67"/>
        <v>0</v>
      </c>
      <c r="R110" s="1044">
        <f t="shared" si="68"/>
        <v>0</v>
      </c>
      <c r="S110" s="1044">
        <f t="shared" si="69"/>
        <v>0</v>
      </c>
      <c r="T110" s="1044">
        <f t="shared" si="70"/>
        <v>0</v>
      </c>
      <c r="U110" s="1044">
        <f t="shared" si="71"/>
        <v>0</v>
      </c>
      <c r="V110" s="1044">
        <f t="shared" si="72"/>
        <v>0</v>
      </c>
      <c r="W110" s="1044">
        <f t="shared" si="73"/>
        <v>0</v>
      </c>
      <c r="X110" s="1044">
        <f t="shared" si="74"/>
        <v>0</v>
      </c>
      <c r="Y110" s="1044">
        <f t="shared" si="75"/>
        <v>0</v>
      </c>
      <c r="Z110" s="1044">
        <f t="shared" si="76"/>
        <v>0</v>
      </c>
      <c r="AA110" s="1044">
        <f t="shared" si="77"/>
        <v>0</v>
      </c>
      <c r="AB110" s="1044">
        <f t="shared" si="78"/>
        <v>0</v>
      </c>
      <c r="AC110" s="1044">
        <f t="shared" si="79"/>
        <v>0</v>
      </c>
      <c r="AD110" s="1044">
        <f t="shared" si="80"/>
        <v>0</v>
      </c>
      <c r="AE110" s="1044">
        <f t="shared" si="81"/>
        <v>0</v>
      </c>
      <c r="AF110" s="1044">
        <f t="shared" si="82"/>
        <v>0</v>
      </c>
      <c r="AG110" s="1044">
        <f t="shared" si="83"/>
        <v>0</v>
      </c>
      <c r="AH110" s="1044">
        <f t="shared" si="84"/>
        <v>0</v>
      </c>
      <c r="AI110" s="1044">
        <f t="shared" si="85"/>
        <v>0</v>
      </c>
      <c r="AJ110" s="1044">
        <f t="shared" si="86"/>
        <v>0</v>
      </c>
      <c r="AK110" s="1044">
        <f t="shared" si="87"/>
        <v>0</v>
      </c>
      <c r="AL110" s="1044">
        <f t="shared" si="88"/>
        <v>0</v>
      </c>
      <c r="AM110" s="1044">
        <f t="shared" si="89"/>
        <v>0</v>
      </c>
      <c r="AN110" s="1044" t="str">
        <f t="shared" si="90"/>
        <v/>
      </c>
      <c r="AO110" s="1044" t="str">
        <f t="shared" si="91"/>
        <v/>
      </c>
      <c r="AP110" s="1044" t="str">
        <f t="shared" si="92"/>
        <v/>
      </c>
      <c r="AQ110" s="1044" t="str">
        <f t="shared" si="93"/>
        <v/>
      </c>
      <c r="AR110" s="1044" t="str">
        <f t="shared" si="94"/>
        <v/>
      </c>
      <c r="AS110" s="1044" t="str">
        <f t="shared" si="95"/>
        <v/>
      </c>
      <c r="AT110" s="1044" t="str">
        <f t="shared" si="96"/>
        <v/>
      </c>
      <c r="AU110" s="1044" t="str">
        <f t="shared" si="97"/>
        <v/>
      </c>
      <c r="AV110" s="1044" t="str">
        <f t="shared" si="98"/>
        <v/>
      </c>
      <c r="AW110" s="1044" t="str">
        <f t="shared" si="99"/>
        <v/>
      </c>
      <c r="AX110" s="1044" t="str">
        <f t="shared" si="100"/>
        <v/>
      </c>
      <c r="AY110" s="1044" t="str">
        <f t="shared" si="101"/>
        <v/>
      </c>
      <c r="AZ110" s="1044" t="str">
        <f t="shared" si="102"/>
        <v/>
      </c>
      <c r="BA110" s="1044" t="str">
        <f t="shared" si="103"/>
        <v/>
      </c>
      <c r="BB110" s="1044" t="str">
        <f t="shared" si="104"/>
        <v/>
      </c>
      <c r="BC110" s="1044" t="str">
        <f t="shared" si="105"/>
        <v/>
      </c>
      <c r="BF110" s="1" t="s">
        <v>7029</v>
      </c>
      <c r="BG110" s="1076" t="s">
        <v>689</v>
      </c>
      <c r="BH110" s="1" t="s">
        <v>7083</v>
      </c>
      <c r="BI110" s="1" t="s">
        <v>7491</v>
      </c>
    </row>
    <row r="111" spans="1:61" ht="30" customHeight="1">
      <c r="A111" s="1085" t="str">
        <f t="shared" si="53"/>
        <v/>
      </c>
      <c r="B111" s="1086"/>
      <c r="C111" s="1085" t="s">
        <v>254</v>
      </c>
      <c r="D111" s="1087" t="str">
        <f t="shared" si="54"/>
        <v/>
      </c>
      <c r="E111" s="1088" t="str">
        <f t="shared" si="55"/>
        <v/>
      </c>
      <c r="F111" s="1089" t="str">
        <f t="shared" si="56"/>
        <v/>
      </c>
      <c r="G111" s="1090" t="str">
        <f t="shared" si="57"/>
        <v/>
      </c>
      <c r="H111" s="1085" t="str">
        <f t="shared" si="58"/>
        <v/>
      </c>
      <c r="I111" s="1085" t="str">
        <f t="shared" si="59"/>
        <v/>
      </c>
      <c r="J111" s="1090" t="str">
        <f t="shared" si="60"/>
        <v/>
      </c>
      <c r="K111" s="1044" t="str">
        <f t="shared" si="61"/>
        <v/>
      </c>
      <c r="L111" s="1044" t="str">
        <f t="shared" si="62"/>
        <v/>
      </c>
      <c r="M111" s="1044" t="str">
        <f t="shared" si="63"/>
        <v/>
      </c>
      <c r="N111" s="1044" t="str">
        <f t="shared" si="64"/>
        <v/>
      </c>
      <c r="O111" s="1044">
        <f t="shared" si="65"/>
        <v>0</v>
      </c>
      <c r="P111" s="1044">
        <f t="shared" si="66"/>
        <v>0</v>
      </c>
      <c r="Q111" s="1044">
        <f t="shared" si="67"/>
        <v>0</v>
      </c>
      <c r="R111" s="1044">
        <f t="shared" si="68"/>
        <v>0</v>
      </c>
      <c r="S111" s="1044">
        <f t="shared" si="69"/>
        <v>0</v>
      </c>
      <c r="T111" s="1044">
        <f t="shared" si="70"/>
        <v>0</v>
      </c>
      <c r="U111" s="1044">
        <f t="shared" si="71"/>
        <v>0</v>
      </c>
      <c r="V111" s="1044">
        <f t="shared" si="72"/>
        <v>0</v>
      </c>
      <c r="W111" s="1044">
        <f t="shared" si="73"/>
        <v>0</v>
      </c>
      <c r="X111" s="1044">
        <f t="shared" si="74"/>
        <v>0</v>
      </c>
      <c r="Y111" s="1044">
        <f t="shared" si="75"/>
        <v>0</v>
      </c>
      <c r="Z111" s="1044">
        <f t="shared" si="76"/>
        <v>0</v>
      </c>
      <c r="AA111" s="1044">
        <f t="shared" si="77"/>
        <v>0</v>
      </c>
      <c r="AB111" s="1044">
        <f t="shared" si="78"/>
        <v>0</v>
      </c>
      <c r="AC111" s="1044">
        <f t="shared" si="79"/>
        <v>0</v>
      </c>
      <c r="AD111" s="1044">
        <f t="shared" si="80"/>
        <v>0</v>
      </c>
      <c r="AE111" s="1044">
        <f t="shared" si="81"/>
        <v>0</v>
      </c>
      <c r="AF111" s="1044">
        <f t="shared" si="82"/>
        <v>0</v>
      </c>
      <c r="AG111" s="1044">
        <f t="shared" si="83"/>
        <v>0</v>
      </c>
      <c r="AH111" s="1044">
        <f t="shared" si="84"/>
        <v>0</v>
      </c>
      <c r="AI111" s="1044">
        <f t="shared" si="85"/>
        <v>0</v>
      </c>
      <c r="AJ111" s="1044">
        <f t="shared" si="86"/>
        <v>0</v>
      </c>
      <c r="AK111" s="1044">
        <f t="shared" si="87"/>
        <v>0</v>
      </c>
      <c r="AL111" s="1044">
        <f t="shared" si="88"/>
        <v>0</v>
      </c>
      <c r="AM111" s="1044">
        <f t="shared" si="89"/>
        <v>0</v>
      </c>
      <c r="AN111" s="1044" t="str">
        <f t="shared" si="90"/>
        <v/>
      </c>
      <c r="AO111" s="1044" t="str">
        <f t="shared" si="91"/>
        <v/>
      </c>
      <c r="AP111" s="1044" t="str">
        <f t="shared" si="92"/>
        <v/>
      </c>
      <c r="AQ111" s="1044" t="str">
        <f t="shared" si="93"/>
        <v/>
      </c>
      <c r="AR111" s="1044" t="str">
        <f t="shared" si="94"/>
        <v/>
      </c>
      <c r="AS111" s="1044" t="str">
        <f t="shared" si="95"/>
        <v/>
      </c>
      <c r="AT111" s="1044" t="str">
        <f t="shared" si="96"/>
        <v/>
      </c>
      <c r="AU111" s="1044" t="str">
        <f t="shared" si="97"/>
        <v/>
      </c>
      <c r="AV111" s="1044" t="str">
        <f t="shared" si="98"/>
        <v/>
      </c>
      <c r="AW111" s="1044" t="str">
        <f t="shared" si="99"/>
        <v/>
      </c>
      <c r="AX111" s="1044" t="str">
        <f t="shared" si="100"/>
        <v/>
      </c>
      <c r="AY111" s="1044" t="str">
        <f t="shared" si="101"/>
        <v/>
      </c>
      <c r="AZ111" s="1044" t="str">
        <f t="shared" si="102"/>
        <v/>
      </c>
      <c r="BA111" s="1044" t="str">
        <f t="shared" si="103"/>
        <v/>
      </c>
      <c r="BB111" s="1044" t="str">
        <f t="shared" si="104"/>
        <v/>
      </c>
      <c r="BC111" s="1044" t="str">
        <f t="shared" si="105"/>
        <v/>
      </c>
      <c r="BF111" s="1" t="s">
        <v>7029</v>
      </c>
      <c r="BG111" s="1076" t="s">
        <v>689</v>
      </c>
      <c r="BH111" s="1" t="s">
        <v>140</v>
      </c>
      <c r="BI111" s="1" t="s">
        <v>7492</v>
      </c>
    </row>
    <row r="112" spans="1:61" ht="30" customHeight="1">
      <c r="A112" s="1085" t="str">
        <f t="shared" si="53"/>
        <v/>
      </c>
      <c r="B112" s="1086"/>
      <c r="C112" s="1085" t="s">
        <v>254</v>
      </c>
      <c r="D112" s="1087" t="str">
        <f t="shared" si="54"/>
        <v/>
      </c>
      <c r="E112" s="1088" t="str">
        <f t="shared" si="55"/>
        <v/>
      </c>
      <c r="F112" s="1089" t="str">
        <f t="shared" si="56"/>
        <v/>
      </c>
      <c r="G112" s="1090" t="str">
        <f t="shared" si="57"/>
        <v/>
      </c>
      <c r="H112" s="1085" t="str">
        <f t="shared" si="58"/>
        <v/>
      </c>
      <c r="I112" s="1085" t="str">
        <f t="shared" si="59"/>
        <v/>
      </c>
      <c r="J112" s="1090" t="str">
        <f t="shared" si="60"/>
        <v/>
      </c>
      <c r="K112" s="1044" t="str">
        <f t="shared" si="61"/>
        <v/>
      </c>
      <c r="L112" s="1044" t="str">
        <f t="shared" si="62"/>
        <v/>
      </c>
      <c r="M112" s="1044" t="str">
        <f t="shared" si="63"/>
        <v/>
      </c>
      <c r="N112" s="1044" t="str">
        <f t="shared" si="64"/>
        <v/>
      </c>
      <c r="O112" s="1044">
        <f t="shared" si="65"/>
        <v>0</v>
      </c>
      <c r="P112" s="1044">
        <f t="shared" si="66"/>
        <v>0</v>
      </c>
      <c r="Q112" s="1044">
        <f t="shared" si="67"/>
        <v>0</v>
      </c>
      <c r="R112" s="1044">
        <f t="shared" si="68"/>
        <v>0</v>
      </c>
      <c r="S112" s="1044">
        <f t="shared" si="69"/>
        <v>0</v>
      </c>
      <c r="T112" s="1044">
        <f t="shared" si="70"/>
        <v>0</v>
      </c>
      <c r="U112" s="1044">
        <f t="shared" si="71"/>
        <v>0</v>
      </c>
      <c r="V112" s="1044">
        <f t="shared" si="72"/>
        <v>0</v>
      </c>
      <c r="W112" s="1044">
        <f t="shared" si="73"/>
        <v>0</v>
      </c>
      <c r="X112" s="1044">
        <f t="shared" si="74"/>
        <v>0</v>
      </c>
      <c r="Y112" s="1044">
        <f t="shared" si="75"/>
        <v>0</v>
      </c>
      <c r="Z112" s="1044">
        <f t="shared" si="76"/>
        <v>0</v>
      </c>
      <c r="AA112" s="1044">
        <f t="shared" si="77"/>
        <v>0</v>
      </c>
      <c r="AB112" s="1044">
        <f t="shared" si="78"/>
        <v>0</v>
      </c>
      <c r="AC112" s="1044">
        <f t="shared" si="79"/>
        <v>0</v>
      </c>
      <c r="AD112" s="1044">
        <f t="shared" si="80"/>
        <v>0</v>
      </c>
      <c r="AE112" s="1044">
        <f t="shared" si="81"/>
        <v>0</v>
      </c>
      <c r="AF112" s="1044">
        <f t="shared" si="82"/>
        <v>0</v>
      </c>
      <c r="AG112" s="1044">
        <f t="shared" si="83"/>
        <v>0</v>
      </c>
      <c r="AH112" s="1044">
        <f t="shared" si="84"/>
        <v>0</v>
      </c>
      <c r="AI112" s="1044">
        <f t="shared" si="85"/>
        <v>0</v>
      </c>
      <c r="AJ112" s="1044">
        <f t="shared" si="86"/>
        <v>0</v>
      </c>
      <c r="AK112" s="1044">
        <f t="shared" si="87"/>
        <v>0</v>
      </c>
      <c r="AL112" s="1044">
        <f t="shared" si="88"/>
        <v>0</v>
      </c>
      <c r="AM112" s="1044">
        <f t="shared" si="89"/>
        <v>0</v>
      </c>
      <c r="AN112" s="1044" t="str">
        <f t="shared" si="90"/>
        <v/>
      </c>
      <c r="AO112" s="1044" t="str">
        <f t="shared" si="91"/>
        <v/>
      </c>
      <c r="AP112" s="1044" t="str">
        <f t="shared" si="92"/>
        <v/>
      </c>
      <c r="AQ112" s="1044" t="str">
        <f t="shared" si="93"/>
        <v/>
      </c>
      <c r="AR112" s="1044" t="str">
        <f t="shared" si="94"/>
        <v/>
      </c>
      <c r="AS112" s="1044" t="str">
        <f t="shared" si="95"/>
        <v/>
      </c>
      <c r="AT112" s="1044" t="str">
        <f t="shared" si="96"/>
        <v/>
      </c>
      <c r="AU112" s="1044" t="str">
        <f t="shared" si="97"/>
        <v/>
      </c>
      <c r="AV112" s="1044" t="str">
        <f t="shared" si="98"/>
        <v/>
      </c>
      <c r="AW112" s="1044" t="str">
        <f t="shared" si="99"/>
        <v/>
      </c>
      <c r="AX112" s="1044" t="str">
        <f t="shared" si="100"/>
        <v/>
      </c>
      <c r="AY112" s="1044" t="str">
        <f t="shared" si="101"/>
        <v/>
      </c>
      <c r="AZ112" s="1044" t="str">
        <f t="shared" si="102"/>
        <v/>
      </c>
      <c r="BA112" s="1044" t="str">
        <f t="shared" si="103"/>
        <v/>
      </c>
      <c r="BB112" s="1044" t="str">
        <f t="shared" si="104"/>
        <v/>
      </c>
      <c r="BC112" s="1044" t="str">
        <f t="shared" si="105"/>
        <v/>
      </c>
      <c r="BF112" s="1" t="s">
        <v>7029</v>
      </c>
      <c r="BG112" s="1076" t="s">
        <v>689</v>
      </c>
      <c r="BH112" s="1" t="s">
        <v>7084</v>
      </c>
      <c r="BI112" s="1" t="s">
        <v>7493</v>
      </c>
    </row>
    <row r="113" spans="1:61" ht="30" customHeight="1">
      <c r="A113" s="1085" t="str">
        <f t="shared" si="53"/>
        <v/>
      </c>
      <c r="B113" s="1086"/>
      <c r="C113" s="1085" t="s">
        <v>254</v>
      </c>
      <c r="D113" s="1087" t="str">
        <f t="shared" si="54"/>
        <v/>
      </c>
      <c r="E113" s="1088" t="str">
        <f t="shared" si="55"/>
        <v/>
      </c>
      <c r="F113" s="1089" t="str">
        <f t="shared" si="56"/>
        <v/>
      </c>
      <c r="G113" s="1090" t="str">
        <f t="shared" si="57"/>
        <v/>
      </c>
      <c r="H113" s="1085" t="str">
        <f t="shared" si="58"/>
        <v/>
      </c>
      <c r="I113" s="1085" t="str">
        <f t="shared" si="59"/>
        <v/>
      </c>
      <c r="J113" s="1090" t="str">
        <f t="shared" si="60"/>
        <v/>
      </c>
      <c r="K113" s="1044" t="str">
        <f t="shared" si="61"/>
        <v/>
      </c>
      <c r="L113" s="1044" t="str">
        <f t="shared" si="62"/>
        <v/>
      </c>
      <c r="M113" s="1044" t="str">
        <f t="shared" si="63"/>
        <v/>
      </c>
      <c r="N113" s="1044" t="str">
        <f t="shared" si="64"/>
        <v/>
      </c>
      <c r="O113" s="1044">
        <f t="shared" si="65"/>
        <v>0</v>
      </c>
      <c r="P113" s="1044">
        <f t="shared" si="66"/>
        <v>0</v>
      </c>
      <c r="Q113" s="1044">
        <f t="shared" si="67"/>
        <v>0</v>
      </c>
      <c r="R113" s="1044">
        <f t="shared" si="68"/>
        <v>0</v>
      </c>
      <c r="S113" s="1044">
        <f t="shared" si="69"/>
        <v>0</v>
      </c>
      <c r="T113" s="1044">
        <f t="shared" si="70"/>
        <v>0</v>
      </c>
      <c r="U113" s="1044">
        <f t="shared" si="71"/>
        <v>0</v>
      </c>
      <c r="V113" s="1044">
        <f t="shared" si="72"/>
        <v>0</v>
      </c>
      <c r="W113" s="1044">
        <f t="shared" si="73"/>
        <v>0</v>
      </c>
      <c r="X113" s="1044">
        <f t="shared" si="74"/>
        <v>0</v>
      </c>
      <c r="Y113" s="1044">
        <f t="shared" si="75"/>
        <v>0</v>
      </c>
      <c r="Z113" s="1044">
        <f t="shared" si="76"/>
        <v>0</v>
      </c>
      <c r="AA113" s="1044">
        <f t="shared" si="77"/>
        <v>0</v>
      </c>
      <c r="AB113" s="1044">
        <f t="shared" si="78"/>
        <v>0</v>
      </c>
      <c r="AC113" s="1044">
        <f t="shared" si="79"/>
        <v>0</v>
      </c>
      <c r="AD113" s="1044">
        <f t="shared" si="80"/>
        <v>0</v>
      </c>
      <c r="AE113" s="1044">
        <f t="shared" si="81"/>
        <v>0</v>
      </c>
      <c r="AF113" s="1044">
        <f t="shared" si="82"/>
        <v>0</v>
      </c>
      <c r="AG113" s="1044">
        <f t="shared" si="83"/>
        <v>0</v>
      </c>
      <c r="AH113" s="1044">
        <f t="shared" si="84"/>
        <v>0</v>
      </c>
      <c r="AI113" s="1044">
        <f t="shared" si="85"/>
        <v>0</v>
      </c>
      <c r="AJ113" s="1044">
        <f t="shared" si="86"/>
        <v>0</v>
      </c>
      <c r="AK113" s="1044">
        <f t="shared" si="87"/>
        <v>0</v>
      </c>
      <c r="AL113" s="1044">
        <f t="shared" si="88"/>
        <v>0</v>
      </c>
      <c r="AM113" s="1044">
        <f t="shared" si="89"/>
        <v>0</v>
      </c>
      <c r="AN113" s="1044" t="str">
        <f t="shared" si="90"/>
        <v/>
      </c>
      <c r="AO113" s="1044" t="str">
        <f t="shared" si="91"/>
        <v/>
      </c>
      <c r="AP113" s="1044" t="str">
        <f t="shared" si="92"/>
        <v/>
      </c>
      <c r="AQ113" s="1044" t="str">
        <f t="shared" si="93"/>
        <v/>
      </c>
      <c r="AR113" s="1044" t="str">
        <f t="shared" si="94"/>
        <v/>
      </c>
      <c r="AS113" s="1044" t="str">
        <f t="shared" si="95"/>
        <v/>
      </c>
      <c r="AT113" s="1044" t="str">
        <f t="shared" si="96"/>
        <v/>
      </c>
      <c r="AU113" s="1044" t="str">
        <f t="shared" si="97"/>
        <v/>
      </c>
      <c r="AV113" s="1044" t="str">
        <f t="shared" si="98"/>
        <v/>
      </c>
      <c r="AW113" s="1044" t="str">
        <f t="shared" si="99"/>
        <v/>
      </c>
      <c r="AX113" s="1044" t="str">
        <f t="shared" si="100"/>
        <v/>
      </c>
      <c r="AY113" s="1044" t="str">
        <f t="shared" si="101"/>
        <v/>
      </c>
      <c r="AZ113" s="1044" t="str">
        <f t="shared" si="102"/>
        <v/>
      </c>
      <c r="BA113" s="1044" t="str">
        <f t="shared" si="103"/>
        <v/>
      </c>
      <c r="BB113" s="1044" t="str">
        <f t="shared" si="104"/>
        <v/>
      </c>
      <c r="BC113" s="1044" t="str">
        <f t="shared" si="105"/>
        <v/>
      </c>
      <c r="BF113" s="1" t="s">
        <v>7029</v>
      </c>
      <c r="BG113" s="1076" t="s">
        <v>689</v>
      </c>
      <c r="BH113" s="1" t="s">
        <v>190</v>
      </c>
      <c r="BI113" s="1" t="s">
        <v>7494</v>
      </c>
    </row>
    <row r="114" spans="1:61" ht="30" customHeight="1">
      <c r="A114" s="1085" t="str">
        <f t="shared" si="53"/>
        <v/>
      </c>
      <c r="B114" s="1086"/>
      <c r="C114" s="1085" t="s">
        <v>254</v>
      </c>
      <c r="D114" s="1087" t="str">
        <f t="shared" si="54"/>
        <v/>
      </c>
      <c r="E114" s="1088" t="str">
        <f t="shared" si="55"/>
        <v/>
      </c>
      <c r="F114" s="1089" t="str">
        <f t="shared" si="56"/>
        <v/>
      </c>
      <c r="G114" s="1090" t="str">
        <f t="shared" si="57"/>
        <v/>
      </c>
      <c r="H114" s="1085" t="str">
        <f t="shared" si="58"/>
        <v/>
      </c>
      <c r="I114" s="1085" t="str">
        <f t="shared" si="59"/>
        <v/>
      </c>
      <c r="J114" s="1090" t="str">
        <f t="shared" si="60"/>
        <v/>
      </c>
      <c r="K114" s="1044" t="str">
        <f t="shared" si="61"/>
        <v/>
      </c>
      <c r="L114" s="1044" t="str">
        <f t="shared" si="62"/>
        <v/>
      </c>
      <c r="M114" s="1044" t="str">
        <f t="shared" si="63"/>
        <v/>
      </c>
      <c r="N114" s="1044" t="str">
        <f t="shared" si="64"/>
        <v/>
      </c>
      <c r="O114" s="1044">
        <f t="shared" si="65"/>
        <v>0</v>
      </c>
      <c r="P114" s="1044">
        <f t="shared" si="66"/>
        <v>0</v>
      </c>
      <c r="Q114" s="1044">
        <f t="shared" si="67"/>
        <v>0</v>
      </c>
      <c r="R114" s="1044">
        <f t="shared" si="68"/>
        <v>0</v>
      </c>
      <c r="S114" s="1044">
        <f t="shared" si="69"/>
        <v>0</v>
      </c>
      <c r="T114" s="1044">
        <f t="shared" si="70"/>
        <v>0</v>
      </c>
      <c r="U114" s="1044">
        <f t="shared" si="71"/>
        <v>0</v>
      </c>
      <c r="V114" s="1044">
        <f t="shared" si="72"/>
        <v>0</v>
      </c>
      <c r="W114" s="1044">
        <f t="shared" si="73"/>
        <v>0</v>
      </c>
      <c r="X114" s="1044">
        <f t="shared" si="74"/>
        <v>0</v>
      </c>
      <c r="Y114" s="1044">
        <f t="shared" si="75"/>
        <v>0</v>
      </c>
      <c r="Z114" s="1044">
        <f t="shared" si="76"/>
        <v>0</v>
      </c>
      <c r="AA114" s="1044">
        <f t="shared" si="77"/>
        <v>0</v>
      </c>
      <c r="AB114" s="1044">
        <f t="shared" si="78"/>
        <v>0</v>
      </c>
      <c r="AC114" s="1044">
        <f t="shared" si="79"/>
        <v>0</v>
      </c>
      <c r="AD114" s="1044">
        <f t="shared" si="80"/>
        <v>0</v>
      </c>
      <c r="AE114" s="1044">
        <f t="shared" si="81"/>
        <v>0</v>
      </c>
      <c r="AF114" s="1044">
        <f t="shared" si="82"/>
        <v>0</v>
      </c>
      <c r="AG114" s="1044">
        <f t="shared" si="83"/>
        <v>0</v>
      </c>
      <c r="AH114" s="1044">
        <f t="shared" si="84"/>
        <v>0</v>
      </c>
      <c r="AI114" s="1044">
        <f t="shared" si="85"/>
        <v>0</v>
      </c>
      <c r="AJ114" s="1044">
        <f t="shared" si="86"/>
        <v>0</v>
      </c>
      <c r="AK114" s="1044">
        <f t="shared" si="87"/>
        <v>0</v>
      </c>
      <c r="AL114" s="1044">
        <f t="shared" si="88"/>
        <v>0</v>
      </c>
      <c r="AM114" s="1044">
        <f t="shared" si="89"/>
        <v>0</v>
      </c>
      <c r="AN114" s="1044" t="str">
        <f t="shared" si="90"/>
        <v/>
      </c>
      <c r="AO114" s="1044" t="str">
        <f t="shared" si="91"/>
        <v/>
      </c>
      <c r="AP114" s="1044" t="str">
        <f t="shared" si="92"/>
        <v/>
      </c>
      <c r="AQ114" s="1044" t="str">
        <f t="shared" si="93"/>
        <v/>
      </c>
      <c r="AR114" s="1044" t="str">
        <f t="shared" si="94"/>
        <v/>
      </c>
      <c r="AS114" s="1044" t="str">
        <f t="shared" si="95"/>
        <v/>
      </c>
      <c r="AT114" s="1044" t="str">
        <f t="shared" si="96"/>
        <v/>
      </c>
      <c r="AU114" s="1044" t="str">
        <f t="shared" si="97"/>
        <v/>
      </c>
      <c r="AV114" s="1044" t="str">
        <f t="shared" si="98"/>
        <v/>
      </c>
      <c r="AW114" s="1044" t="str">
        <f t="shared" si="99"/>
        <v/>
      </c>
      <c r="AX114" s="1044" t="str">
        <f t="shared" si="100"/>
        <v/>
      </c>
      <c r="AY114" s="1044" t="str">
        <f t="shared" si="101"/>
        <v/>
      </c>
      <c r="AZ114" s="1044" t="str">
        <f t="shared" si="102"/>
        <v/>
      </c>
      <c r="BA114" s="1044" t="str">
        <f t="shared" si="103"/>
        <v/>
      </c>
      <c r="BB114" s="1044" t="str">
        <f t="shared" si="104"/>
        <v/>
      </c>
      <c r="BC114" s="1044" t="str">
        <f t="shared" si="105"/>
        <v/>
      </c>
      <c r="BF114" s="1" t="s">
        <v>7029</v>
      </c>
      <c r="BG114" s="1076" t="s">
        <v>689</v>
      </c>
      <c r="BH114" s="1" t="s">
        <v>7085</v>
      </c>
      <c r="BI114" s="1" t="s">
        <v>7495</v>
      </c>
    </row>
    <row r="115" spans="1:61" ht="30" customHeight="1">
      <c r="A115" s="1085" t="str">
        <f t="shared" si="53"/>
        <v/>
      </c>
      <c r="B115" s="1086"/>
      <c r="C115" s="1085" t="s">
        <v>254</v>
      </c>
      <c r="D115" s="1087" t="str">
        <f t="shared" si="54"/>
        <v/>
      </c>
      <c r="E115" s="1088" t="str">
        <f t="shared" si="55"/>
        <v/>
      </c>
      <c r="F115" s="1089" t="str">
        <f t="shared" si="56"/>
        <v/>
      </c>
      <c r="G115" s="1090" t="str">
        <f t="shared" si="57"/>
        <v/>
      </c>
      <c r="H115" s="1085" t="str">
        <f t="shared" si="58"/>
        <v/>
      </c>
      <c r="I115" s="1085" t="str">
        <f t="shared" si="59"/>
        <v/>
      </c>
      <c r="J115" s="1090" t="str">
        <f t="shared" si="60"/>
        <v/>
      </c>
      <c r="K115" s="1044" t="str">
        <f t="shared" si="61"/>
        <v/>
      </c>
      <c r="L115" s="1044" t="str">
        <f t="shared" si="62"/>
        <v/>
      </c>
      <c r="M115" s="1044" t="str">
        <f t="shared" si="63"/>
        <v/>
      </c>
      <c r="N115" s="1044" t="str">
        <f t="shared" si="64"/>
        <v/>
      </c>
      <c r="O115" s="1044">
        <f t="shared" si="65"/>
        <v>0</v>
      </c>
      <c r="P115" s="1044">
        <f t="shared" si="66"/>
        <v>0</v>
      </c>
      <c r="Q115" s="1044">
        <f t="shared" si="67"/>
        <v>0</v>
      </c>
      <c r="R115" s="1044">
        <f t="shared" si="68"/>
        <v>0</v>
      </c>
      <c r="S115" s="1044">
        <f t="shared" si="69"/>
        <v>0</v>
      </c>
      <c r="T115" s="1044">
        <f t="shared" si="70"/>
        <v>0</v>
      </c>
      <c r="U115" s="1044">
        <f t="shared" si="71"/>
        <v>0</v>
      </c>
      <c r="V115" s="1044">
        <f t="shared" si="72"/>
        <v>0</v>
      </c>
      <c r="W115" s="1044">
        <f t="shared" si="73"/>
        <v>0</v>
      </c>
      <c r="X115" s="1044">
        <f t="shared" si="74"/>
        <v>0</v>
      </c>
      <c r="Y115" s="1044">
        <f t="shared" si="75"/>
        <v>0</v>
      </c>
      <c r="Z115" s="1044">
        <f t="shared" si="76"/>
        <v>0</v>
      </c>
      <c r="AA115" s="1044">
        <f t="shared" si="77"/>
        <v>0</v>
      </c>
      <c r="AB115" s="1044">
        <f t="shared" si="78"/>
        <v>0</v>
      </c>
      <c r="AC115" s="1044">
        <f t="shared" si="79"/>
        <v>0</v>
      </c>
      <c r="AD115" s="1044">
        <f t="shared" si="80"/>
        <v>0</v>
      </c>
      <c r="AE115" s="1044">
        <f t="shared" si="81"/>
        <v>0</v>
      </c>
      <c r="AF115" s="1044">
        <f t="shared" si="82"/>
        <v>0</v>
      </c>
      <c r="AG115" s="1044">
        <f t="shared" si="83"/>
        <v>0</v>
      </c>
      <c r="AH115" s="1044">
        <f t="shared" si="84"/>
        <v>0</v>
      </c>
      <c r="AI115" s="1044">
        <f t="shared" si="85"/>
        <v>0</v>
      </c>
      <c r="AJ115" s="1044">
        <f t="shared" si="86"/>
        <v>0</v>
      </c>
      <c r="AK115" s="1044">
        <f t="shared" si="87"/>
        <v>0</v>
      </c>
      <c r="AL115" s="1044">
        <f t="shared" si="88"/>
        <v>0</v>
      </c>
      <c r="AM115" s="1044">
        <f t="shared" si="89"/>
        <v>0</v>
      </c>
      <c r="AN115" s="1044" t="str">
        <f t="shared" si="90"/>
        <v/>
      </c>
      <c r="AO115" s="1044" t="str">
        <f t="shared" si="91"/>
        <v/>
      </c>
      <c r="AP115" s="1044" t="str">
        <f t="shared" si="92"/>
        <v/>
      </c>
      <c r="AQ115" s="1044" t="str">
        <f t="shared" si="93"/>
        <v/>
      </c>
      <c r="AR115" s="1044" t="str">
        <f t="shared" si="94"/>
        <v/>
      </c>
      <c r="AS115" s="1044" t="str">
        <f t="shared" si="95"/>
        <v/>
      </c>
      <c r="AT115" s="1044" t="str">
        <f t="shared" si="96"/>
        <v/>
      </c>
      <c r="AU115" s="1044" t="str">
        <f t="shared" si="97"/>
        <v/>
      </c>
      <c r="AV115" s="1044" t="str">
        <f t="shared" si="98"/>
        <v/>
      </c>
      <c r="AW115" s="1044" t="str">
        <f t="shared" si="99"/>
        <v/>
      </c>
      <c r="AX115" s="1044" t="str">
        <f t="shared" si="100"/>
        <v/>
      </c>
      <c r="AY115" s="1044" t="str">
        <f t="shared" si="101"/>
        <v/>
      </c>
      <c r="AZ115" s="1044" t="str">
        <f t="shared" si="102"/>
        <v/>
      </c>
      <c r="BA115" s="1044" t="str">
        <f t="shared" si="103"/>
        <v/>
      </c>
      <c r="BB115" s="1044" t="str">
        <f t="shared" si="104"/>
        <v/>
      </c>
      <c r="BC115" s="1044" t="str">
        <f t="shared" si="105"/>
        <v/>
      </c>
      <c r="BF115" s="1" t="s">
        <v>7029</v>
      </c>
      <c r="BG115" s="1076" t="s">
        <v>689</v>
      </c>
      <c r="BH115" s="1" t="s">
        <v>4817</v>
      </c>
      <c r="BI115" s="1" t="s">
        <v>7496</v>
      </c>
    </row>
    <row r="116" spans="1:61" ht="30" customHeight="1">
      <c r="A116" s="1085" t="str">
        <f t="shared" si="53"/>
        <v/>
      </c>
      <c r="B116" s="1086"/>
      <c r="C116" s="1085" t="s">
        <v>254</v>
      </c>
      <c r="D116" s="1087" t="str">
        <f t="shared" si="54"/>
        <v/>
      </c>
      <c r="E116" s="1088" t="str">
        <f t="shared" si="55"/>
        <v/>
      </c>
      <c r="F116" s="1089" t="str">
        <f t="shared" si="56"/>
        <v/>
      </c>
      <c r="G116" s="1090" t="str">
        <f t="shared" si="57"/>
        <v/>
      </c>
      <c r="H116" s="1085" t="str">
        <f t="shared" si="58"/>
        <v/>
      </c>
      <c r="I116" s="1085" t="str">
        <f t="shared" si="59"/>
        <v/>
      </c>
      <c r="J116" s="1090" t="str">
        <f t="shared" si="60"/>
        <v/>
      </c>
      <c r="K116" s="1044" t="str">
        <f t="shared" si="61"/>
        <v/>
      </c>
      <c r="L116" s="1044" t="str">
        <f t="shared" si="62"/>
        <v/>
      </c>
      <c r="M116" s="1044" t="str">
        <f t="shared" si="63"/>
        <v/>
      </c>
      <c r="N116" s="1044" t="str">
        <f t="shared" si="64"/>
        <v/>
      </c>
      <c r="O116" s="1044">
        <f t="shared" si="65"/>
        <v>0</v>
      </c>
      <c r="P116" s="1044">
        <f t="shared" si="66"/>
        <v>0</v>
      </c>
      <c r="Q116" s="1044">
        <f t="shared" si="67"/>
        <v>0</v>
      </c>
      <c r="R116" s="1044">
        <f t="shared" si="68"/>
        <v>0</v>
      </c>
      <c r="S116" s="1044">
        <f t="shared" si="69"/>
        <v>0</v>
      </c>
      <c r="T116" s="1044">
        <f t="shared" si="70"/>
        <v>0</v>
      </c>
      <c r="U116" s="1044">
        <f t="shared" si="71"/>
        <v>0</v>
      </c>
      <c r="V116" s="1044">
        <f t="shared" si="72"/>
        <v>0</v>
      </c>
      <c r="W116" s="1044">
        <f t="shared" si="73"/>
        <v>0</v>
      </c>
      <c r="X116" s="1044">
        <f t="shared" si="74"/>
        <v>0</v>
      </c>
      <c r="Y116" s="1044">
        <f t="shared" si="75"/>
        <v>0</v>
      </c>
      <c r="Z116" s="1044">
        <f t="shared" si="76"/>
        <v>0</v>
      </c>
      <c r="AA116" s="1044">
        <f t="shared" si="77"/>
        <v>0</v>
      </c>
      <c r="AB116" s="1044">
        <f t="shared" si="78"/>
        <v>0</v>
      </c>
      <c r="AC116" s="1044">
        <f t="shared" si="79"/>
        <v>0</v>
      </c>
      <c r="AD116" s="1044">
        <f t="shared" si="80"/>
        <v>0</v>
      </c>
      <c r="AE116" s="1044">
        <f t="shared" si="81"/>
        <v>0</v>
      </c>
      <c r="AF116" s="1044">
        <f t="shared" si="82"/>
        <v>0</v>
      </c>
      <c r="AG116" s="1044">
        <f t="shared" si="83"/>
        <v>0</v>
      </c>
      <c r="AH116" s="1044">
        <f t="shared" si="84"/>
        <v>0</v>
      </c>
      <c r="AI116" s="1044">
        <f t="shared" si="85"/>
        <v>0</v>
      </c>
      <c r="AJ116" s="1044">
        <f t="shared" si="86"/>
        <v>0</v>
      </c>
      <c r="AK116" s="1044">
        <f t="shared" si="87"/>
        <v>0</v>
      </c>
      <c r="AL116" s="1044">
        <f t="shared" si="88"/>
        <v>0</v>
      </c>
      <c r="AM116" s="1044">
        <f t="shared" si="89"/>
        <v>0</v>
      </c>
      <c r="AN116" s="1044" t="str">
        <f t="shared" si="90"/>
        <v/>
      </c>
      <c r="AO116" s="1044" t="str">
        <f t="shared" si="91"/>
        <v/>
      </c>
      <c r="AP116" s="1044" t="str">
        <f t="shared" si="92"/>
        <v/>
      </c>
      <c r="AQ116" s="1044" t="str">
        <f t="shared" si="93"/>
        <v/>
      </c>
      <c r="AR116" s="1044" t="str">
        <f t="shared" si="94"/>
        <v/>
      </c>
      <c r="AS116" s="1044" t="str">
        <f t="shared" si="95"/>
        <v/>
      </c>
      <c r="AT116" s="1044" t="str">
        <f t="shared" si="96"/>
        <v/>
      </c>
      <c r="AU116" s="1044" t="str">
        <f t="shared" si="97"/>
        <v/>
      </c>
      <c r="AV116" s="1044" t="str">
        <f t="shared" si="98"/>
        <v/>
      </c>
      <c r="AW116" s="1044" t="str">
        <f t="shared" si="99"/>
        <v/>
      </c>
      <c r="AX116" s="1044" t="str">
        <f t="shared" si="100"/>
        <v/>
      </c>
      <c r="AY116" s="1044" t="str">
        <f t="shared" si="101"/>
        <v/>
      </c>
      <c r="AZ116" s="1044" t="str">
        <f t="shared" si="102"/>
        <v/>
      </c>
      <c r="BA116" s="1044" t="str">
        <f t="shared" si="103"/>
        <v/>
      </c>
      <c r="BB116" s="1044" t="str">
        <f t="shared" si="104"/>
        <v/>
      </c>
      <c r="BC116" s="1044" t="str">
        <f t="shared" si="105"/>
        <v/>
      </c>
      <c r="BF116" s="1" t="s">
        <v>7029</v>
      </c>
      <c r="BG116" s="1076" t="s">
        <v>689</v>
      </c>
      <c r="BH116" s="1" t="s">
        <v>196</v>
      </c>
      <c r="BI116" s="1" t="s">
        <v>7497</v>
      </c>
    </row>
    <row r="117" spans="1:61" ht="30" customHeight="1">
      <c r="A117" s="1085" t="str">
        <f t="shared" si="53"/>
        <v/>
      </c>
      <c r="B117" s="1086"/>
      <c r="C117" s="1085" t="s">
        <v>254</v>
      </c>
      <c r="D117" s="1087" t="str">
        <f t="shared" si="54"/>
        <v/>
      </c>
      <c r="E117" s="1088" t="str">
        <f t="shared" si="55"/>
        <v/>
      </c>
      <c r="F117" s="1089" t="str">
        <f t="shared" si="56"/>
        <v/>
      </c>
      <c r="G117" s="1090" t="str">
        <f t="shared" si="57"/>
        <v/>
      </c>
      <c r="H117" s="1085" t="str">
        <f t="shared" si="58"/>
        <v/>
      </c>
      <c r="I117" s="1085" t="str">
        <f t="shared" si="59"/>
        <v/>
      </c>
      <c r="J117" s="1090" t="str">
        <f t="shared" si="60"/>
        <v/>
      </c>
      <c r="K117" s="1044" t="str">
        <f t="shared" si="61"/>
        <v/>
      </c>
      <c r="L117" s="1044" t="str">
        <f t="shared" si="62"/>
        <v/>
      </c>
      <c r="M117" s="1044" t="str">
        <f t="shared" si="63"/>
        <v/>
      </c>
      <c r="N117" s="1044" t="str">
        <f t="shared" si="64"/>
        <v/>
      </c>
      <c r="O117" s="1044">
        <f t="shared" si="65"/>
        <v>0</v>
      </c>
      <c r="P117" s="1044">
        <f t="shared" si="66"/>
        <v>0</v>
      </c>
      <c r="Q117" s="1044">
        <f t="shared" si="67"/>
        <v>0</v>
      </c>
      <c r="R117" s="1044">
        <f t="shared" si="68"/>
        <v>0</v>
      </c>
      <c r="S117" s="1044">
        <f t="shared" si="69"/>
        <v>0</v>
      </c>
      <c r="T117" s="1044">
        <f t="shared" si="70"/>
        <v>0</v>
      </c>
      <c r="U117" s="1044">
        <f t="shared" si="71"/>
        <v>0</v>
      </c>
      <c r="V117" s="1044">
        <f t="shared" si="72"/>
        <v>0</v>
      </c>
      <c r="W117" s="1044">
        <f t="shared" si="73"/>
        <v>0</v>
      </c>
      <c r="X117" s="1044">
        <f t="shared" si="74"/>
        <v>0</v>
      </c>
      <c r="Y117" s="1044">
        <f t="shared" si="75"/>
        <v>0</v>
      </c>
      <c r="Z117" s="1044">
        <f t="shared" si="76"/>
        <v>0</v>
      </c>
      <c r="AA117" s="1044">
        <f t="shared" si="77"/>
        <v>0</v>
      </c>
      <c r="AB117" s="1044">
        <f t="shared" si="78"/>
        <v>0</v>
      </c>
      <c r="AC117" s="1044">
        <f t="shared" si="79"/>
        <v>0</v>
      </c>
      <c r="AD117" s="1044">
        <f t="shared" si="80"/>
        <v>0</v>
      </c>
      <c r="AE117" s="1044">
        <f t="shared" si="81"/>
        <v>0</v>
      </c>
      <c r="AF117" s="1044">
        <f t="shared" si="82"/>
        <v>0</v>
      </c>
      <c r="AG117" s="1044">
        <f t="shared" si="83"/>
        <v>0</v>
      </c>
      <c r="AH117" s="1044">
        <f t="shared" si="84"/>
        <v>0</v>
      </c>
      <c r="AI117" s="1044">
        <f t="shared" si="85"/>
        <v>0</v>
      </c>
      <c r="AJ117" s="1044">
        <f t="shared" si="86"/>
        <v>0</v>
      </c>
      <c r="AK117" s="1044">
        <f t="shared" si="87"/>
        <v>0</v>
      </c>
      <c r="AL117" s="1044">
        <f t="shared" si="88"/>
        <v>0</v>
      </c>
      <c r="AM117" s="1044">
        <f t="shared" si="89"/>
        <v>0</v>
      </c>
      <c r="AN117" s="1044" t="str">
        <f t="shared" si="90"/>
        <v/>
      </c>
      <c r="AO117" s="1044" t="str">
        <f t="shared" si="91"/>
        <v/>
      </c>
      <c r="AP117" s="1044" t="str">
        <f t="shared" si="92"/>
        <v/>
      </c>
      <c r="AQ117" s="1044" t="str">
        <f t="shared" si="93"/>
        <v/>
      </c>
      <c r="AR117" s="1044" t="str">
        <f t="shared" si="94"/>
        <v/>
      </c>
      <c r="AS117" s="1044" t="str">
        <f t="shared" si="95"/>
        <v/>
      </c>
      <c r="AT117" s="1044" t="str">
        <f t="shared" si="96"/>
        <v/>
      </c>
      <c r="AU117" s="1044" t="str">
        <f t="shared" si="97"/>
        <v/>
      </c>
      <c r="AV117" s="1044" t="str">
        <f t="shared" si="98"/>
        <v/>
      </c>
      <c r="AW117" s="1044" t="str">
        <f t="shared" si="99"/>
        <v/>
      </c>
      <c r="AX117" s="1044" t="str">
        <f t="shared" si="100"/>
        <v/>
      </c>
      <c r="AY117" s="1044" t="str">
        <f t="shared" si="101"/>
        <v/>
      </c>
      <c r="AZ117" s="1044" t="str">
        <f t="shared" si="102"/>
        <v/>
      </c>
      <c r="BA117" s="1044" t="str">
        <f t="shared" si="103"/>
        <v/>
      </c>
      <c r="BB117" s="1044" t="str">
        <f t="shared" si="104"/>
        <v/>
      </c>
      <c r="BC117" s="1044" t="str">
        <f t="shared" si="105"/>
        <v/>
      </c>
      <c r="BF117" s="1" t="s">
        <v>7029</v>
      </c>
      <c r="BG117" s="1076" t="s">
        <v>689</v>
      </c>
      <c r="BH117" s="1" t="s">
        <v>200</v>
      </c>
      <c r="BI117" s="1" t="s">
        <v>7498</v>
      </c>
    </row>
    <row r="118" spans="1:61" ht="30" customHeight="1">
      <c r="A118" s="1085" t="str">
        <f t="shared" si="53"/>
        <v/>
      </c>
      <c r="B118" s="1086"/>
      <c r="C118" s="1085" t="s">
        <v>254</v>
      </c>
      <c r="D118" s="1087" t="str">
        <f t="shared" si="54"/>
        <v/>
      </c>
      <c r="E118" s="1088" t="str">
        <f t="shared" si="55"/>
        <v/>
      </c>
      <c r="F118" s="1089" t="str">
        <f t="shared" si="56"/>
        <v/>
      </c>
      <c r="G118" s="1090" t="str">
        <f t="shared" si="57"/>
        <v/>
      </c>
      <c r="H118" s="1085" t="str">
        <f t="shared" si="58"/>
        <v/>
      </c>
      <c r="I118" s="1085" t="str">
        <f t="shared" si="59"/>
        <v/>
      </c>
      <c r="J118" s="1090" t="str">
        <f t="shared" si="60"/>
        <v/>
      </c>
      <c r="K118" s="1044" t="str">
        <f t="shared" si="61"/>
        <v/>
      </c>
      <c r="L118" s="1044" t="str">
        <f t="shared" si="62"/>
        <v/>
      </c>
      <c r="M118" s="1044" t="str">
        <f t="shared" si="63"/>
        <v/>
      </c>
      <c r="N118" s="1044" t="str">
        <f t="shared" si="64"/>
        <v/>
      </c>
      <c r="O118" s="1044">
        <f t="shared" si="65"/>
        <v>0</v>
      </c>
      <c r="P118" s="1044">
        <f t="shared" si="66"/>
        <v>0</v>
      </c>
      <c r="Q118" s="1044">
        <f t="shared" si="67"/>
        <v>0</v>
      </c>
      <c r="R118" s="1044">
        <f t="shared" si="68"/>
        <v>0</v>
      </c>
      <c r="S118" s="1044">
        <f t="shared" si="69"/>
        <v>0</v>
      </c>
      <c r="T118" s="1044">
        <f t="shared" si="70"/>
        <v>0</v>
      </c>
      <c r="U118" s="1044">
        <f t="shared" si="71"/>
        <v>0</v>
      </c>
      <c r="V118" s="1044">
        <f t="shared" si="72"/>
        <v>0</v>
      </c>
      <c r="W118" s="1044">
        <f t="shared" si="73"/>
        <v>0</v>
      </c>
      <c r="X118" s="1044">
        <f t="shared" si="74"/>
        <v>0</v>
      </c>
      <c r="Y118" s="1044">
        <f t="shared" si="75"/>
        <v>0</v>
      </c>
      <c r="Z118" s="1044">
        <f t="shared" si="76"/>
        <v>0</v>
      </c>
      <c r="AA118" s="1044">
        <f t="shared" si="77"/>
        <v>0</v>
      </c>
      <c r="AB118" s="1044">
        <f t="shared" si="78"/>
        <v>0</v>
      </c>
      <c r="AC118" s="1044">
        <f t="shared" si="79"/>
        <v>0</v>
      </c>
      <c r="AD118" s="1044">
        <f t="shared" si="80"/>
        <v>0</v>
      </c>
      <c r="AE118" s="1044">
        <f t="shared" si="81"/>
        <v>0</v>
      </c>
      <c r="AF118" s="1044">
        <f t="shared" si="82"/>
        <v>0</v>
      </c>
      <c r="AG118" s="1044">
        <f t="shared" si="83"/>
        <v>0</v>
      </c>
      <c r="AH118" s="1044">
        <f t="shared" si="84"/>
        <v>0</v>
      </c>
      <c r="AI118" s="1044">
        <f t="shared" si="85"/>
        <v>0</v>
      </c>
      <c r="AJ118" s="1044">
        <f t="shared" si="86"/>
        <v>0</v>
      </c>
      <c r="AK118" s="1044">
        <f t="shared" si="87"/>
        <v>0</v>
      </c>
      <c r="AL118" s="1044">
        <f t="shared" si="88"/>
        <v>0</v>
      </c>
      <c r="AM118" s="1044">
        <f t="shared" si="89"/>
        <v>0</v>
      </c>
      <c r="AN118" s="1044" t="str">
        <f t="shared" si="90"/>
        <v/>
      </c>
      <c r="AO118" s="1044" t="str">
        <f t="shared" si="91"/>
        <v/>
      </c>
      <c r="AP118" s="1044" t="str">
        <f t="shared" si="92"/>
        <v/>
      </c>
      <c r="AQ118" s="1044" t="str">
        <f t="shared" si="93"/>
        <v/>
      </c>
      <c r="AR118" s="1044" t="str">
        <f t="shared" si="94"/>
        <v/>
      </c>
      <c r="AS118" s="1044" t="str">
        <f t="shared" si="95"/>
        <v/>
      </c>
      <c r="AT118" s="1044" t="str">
        <f t="shared" si="96"/>
        <v/>
      </c>
      <c r="AU118" s="1044" t="str">
        <f t="shared" si="97"/>
        <v/>
      </c>
      <c r="AV118" s="1044" t="str">
        <f t="shared" si="98"/>
        <v/>
      </c>
      <c r="AW118" s="1044" t="str">
        <f t="shared" si="99"/>
        <v/>
      </c>
      <c r="AX118" s="1044" t="str">
        <f t="shared" si="100"/>
        <v/>
      </c>
      <c r="AY118" s="1044" t="str">
        <f t="shared" si="101"/>
        <v/>
      </c>
      <c r="AZ118" s="1044" t="str">
        <f t="shared" si="102"/>
        <v/>
      </c>
      <c r="BA118" s="1044" t="str">
        <f t="shared" si="103"/>
        <v/>
      </c>
      <c r="BB118" s="1044" t="str">
        <f t="shared" si="104"/>
        <v/>
      </c>
      <c r="BC118" s="1044" t="str">
        <f t="shared" si="105"/>
        <v/>
      </c>
      <c r="BF118" s="1" t="s">
        <v>7029</v>
      </c>
      <c r="BG118" s="1076" t="s">
        <v>689</v>
      </c>
      <c r="BH118" s="1" t="s">
        <v>7086</v>
      </c>
      <c r="BI118" s="1" t="s">
        <v>7499</v>
      </c>
    </row>
    <row r="119" spans="1:61" ht="30" customHeight="1">
      <c r="A119" s="1085" t="str">
        <f t="shared" si="53"/>
        <v/>
      </c>
      <c r="B119" s="1086"/>
      <c r="C119" s="1085" t="s">
        <v>254</v>
      </c>
      <c r="D119" s="1087" t="str">
        <f t="shared" si="54"/>
        <v/>
      </c>
      <c r="E119" s="1088" t="str">
        <f t="shared" si="55"/>
        <v/>
      </c>
      <c r="F119" s="1089" t="str">
        <f t="shared" si="56"/>
        <v/>
      </c>
      <c r="G119" s="1090" t="str">
        <f t="shared" si="57"/>
        <v/>
      </c>
      <c r="H119" s="1085" t="str">
        <f t="shared" si="58"/>
        <v/>
      </c>
      <c r="I119" s="1085" t="str">
        <f t="shared" si="59"/>
        <v/>
      </c>
      <c r="J119" s="1090" t="str">
        <f t="shared" si="60"/>
        <v/>
      </c>
      <c r="K119" s="1044" t="str">
        <f t="shared" si="61"/>
        <v/>
      </c>
      <c r="L119" s="1044" t="str">
        <f t="shared" si="62"/>
        <v/>
      </c>
      <c r="M119" s="1044" t="str">
        <f t="shared" si="63"/>
        <v/>
      </c>
      <c r="N119" s="1044" t="str">
        <f t="shared" si="64"/>
        <v/>
      </c>
      <c r="O119" s="1044">
        <f t="shared" si="65"/>
        <v>0</v>
      </c>
      <c r="P119" s="1044">
        <f t="shared" si="66"/>
        <v>0</v>
      </c>
      <c r="Q119" s="1044">
        <f t="shared" si="67"/>
        <v>0</v>
      </c>
      <c r="R119" s="1044">
        <f t="shared" si="68"/>
        <v>0</v>
      </c>
      <c r="S119" s="1044">
        <f t="shared" si="69"/>
        <v>0</v>
      </c>
      <c r="T119" s="1044">
        <f t="shared" si="70"/>
        <v>0</v>
      </c>
      <c r="U119" s="1044">
        <f t="shared" si="71"/>
        <v>0</v>
      </c>
      <c r="V119" s="1044">
        <f t="shared" si="72"/>
        <v>0</v>
      </c>
      <c r="W119" s="1044">
        <f t="shared" si="73"/>
        <v>0</v>
      </c>
      <c r="X119" s="1044">
        <f t="shared" si="74"/>
        <v>0</v>
      </c>
      <c r="Y119" s="1044">
        <f t="shared" si="75"/>
        <v>0</v>
      </c>
      <c r="Z119" s="1044">
        <f t="shared" si="76"/>
        <v>0</v>
      </c>
      <c r="AA119" s="1044">
        <f t="shared" si="77"/>
        <v>0</v>
      </c>
      <c r="AB119" s="1044">
        <f t="shared" si="78"/>
        <v>0</v>
      </c>
      <c r="AC119" s="1044">
        <f t="shared" si="79"/>
        <v>0</v>
      </c>
      <c r="AD119" s="1044">
        <f t="shared" si="80"/>
        <v>0</v>
      </c>
      <c r="AE119" s="1044">
        <f t="shared" si="81"/>
        <v>0</v>
      </c>
      <c r="AF119" s="1044">
        <f t="shared" si="82"/>
        <v>0</v>
      </c>
      <c r="AG119" s="1044">
        <f t="shared" si="83"/>
        <v>0</v>
      </c>
      <c r="AH119" s="1044">
        <f t="shared" si="84"/>
        <v>0</v>
      </c>
      <c r="AI119" s="1044">
        <f t="shared" si="85"/>
        <v>0</v>
      </c>
      <c r="AJ119" s="1044">
        <f t="shared" si="86"/>
        <v>0</v>
      </c>
      <c r="AK119" s="1044">
        <f t="shared" si="87"/>
        <v>0</v>
      </c>
      <c r="AL119" s="1044">
        <f t="shared" si="88"/>
        <v>0</v>
      </c>
      <c r="AM119" s="1044">
        <f t="shared" si="89"/>
        <v>0</v>
      </c>
      <c r="AN119" s="1044" t="str">
        <f t="shared" si="90"/>
        <v/>
      </c>
      <c r="AO119" s="1044" t="str">
        <f t="shared" si="91"/>
        <v/>
      </c>
      <c r="AP119" s="1044" t="str">
        <f t="shared" si="92"/>
        <v/>
      </c>
      <c r="AQ119" s="1044" t="str">
        <f t="shared" si="93"/>
        <v/>
      </c>
      <c r="AR119" s="1044" t="str">
        <f t="shared" si="94"/>
        <v/>
      </c>
      <c r="AS119" s="1044" t="str">
        <f t="shared" si="95"/>
        <v/>
      </c>
      <c r="AT119" s="1044" t="str">
        <f t="shared" si="96"/>
        <v/>
      </c>
      <c r="AU119" s="1044" t="str">
        <f t="shared" si="97"/>
        <v/>
      </c>
      <c r="AV119" s="1044" t="str">
        <f t="shared" si="98"/>
        <v/>
      </c>
      <c r="AW119" s="1044" t="str">
        <f t="shared" si="99"/>
        <v/>
      </c>
      <c r="AX119" s="1044" t="str">
        <f t="shared" si="100"/>
        <v/>
      </c>
      <c r="AY119" s="1044" t="str">
        <f t="shared" si="101"/>
        <v/>
      </c>
      <c r="AZ119" s="1044" t="str">
        <f t="shared" si="102"/>
        <v/>
      </c>
      <c r="BA119" s="1044" t="str">
        <f t="shared" si="103"/>
        <v/>
      </c>
      <c r="BB119" s="1044" t="str">
        <f t="shared" si="104"/>
        <v/>
      </c>
      <c r="BC119" s="1044" t="str">
        <f t="shared" si="105"/>
        <v/>
      </c>
      <c r="BF119" s="1" t="s">
        <v>7029</v>
      </c>
      <c r="BG119" s="1076" t="s">
        <v>689</v>
      </c>
      <c r="BH119" s="1" t="s">
        <v>203</v>
      </c>
      <c r="BI119" s="1" t="s">
        <v>7500</v>
      </c>
    </row>
    <row r="120" spans="1:61" ht="30" customHeight="1">
      <c r="A120" s="1085" t="str">
        <f t="shared" si="53"/>
        <v/>
      </c>
      <c r="B120" s="1086"/>
      <c r="C120" s="1085" t="s">
        <v>254</v>
      </c>
      <c r="D120" s="1087" t="str">
        <f t="shared" si="54"/>
        <v/>
      </c>
      <c r="E120" s="1088" t="str">
        <f t="shared" si="55"/>
        <v/>
      </c>
      <c r="F120" s="1089" t="str">
        <f t="shared" si="56"/>
        <v/>
      </c>
      <c r="G120" s="1090" t="str">
        <f t="shared" si="57"/>
        <v/>
      </c>
      <c r="H120" s="1085" t="str">
        <f t="shared" si="58"/>
        <v/>
      </c>
      <c r="I120" s="1085" t="str">
        <f t="shared" si="59"/>
        <v/>
      </c>
      <c r="J120" s="1090" t="str">
        <f t="shared" si="60"/>
        <v/>
      </c>
      <c r="K120" s="1044" t="str">
        <f t="shared" si="61"/>
        <v/>
      </c>
      <c r="L120" s="1044" t="str">
        <f t="shared" si="62"/>
        <v/>
      </c>
      <c r="M120" s="1044" t="str">
        <f t="shared" si="63"/>
        <v/>
      </c>
      <c r="N120" s="1044" t="str">
        <f t="shared" si="64"/>
        <v/>
      </c>
      <c r="O120" s="1044">
        <f t="shared" si="65"/>
        <v>0</v>
      </c>
      <c r="P120" s="1044">
        <f t="shared" si="66"/>
        <v>0</v>
      </c>
      <c r="Q120" s="1044">
        <f t="shared" si="67"/>
        <v>0</v>
      </c>
      <c r="R120" s="1044">
        <f t="shared" si="68"/>
        <v>0</v>
      </c>
      <c r="S120" s="1044">
        <f t="shared" si="69"/>
        <v>0</v>
      </c>
      <c r="T120" s="1044">
        <f t="shared" si="70"/>
        <v>0</v>
      </c>
      <c r="U120" s="1044">
        <f t="shared" si="71"/>
        <v>0</v>
      </c>
      <c r="V120" s="1044">
        <f t="shared" si="72"/>
        <v>0</v>
      </c>
      <c r="W120" s="1044">
        <f t="shared" si="73"/>
        <v>0</v>
      </c>
      <c r="X120" s="1044">
        <f t="shared" si="74"/>
        <v>0</v>
      </c>
      <c r="Y120" s="1044">
        <f t="shared" si="75"/>
        <v>0</v>
      </c>
      <c r="Z120" s="1044">
        <f t="shared" si="76"/>
        <v>0</v>
      </c>
      <c r="AA120" s="1044">
        <f t="shared" si="77"/>
        <v>0</v>
      </c>
      <c r="AB120" s="1044">
        <f t="shared" si="78"/>
        <v>0</v>
      </c>
      <c r="AC120" s="1044">
        <f t="shared" si="79"/>
        <v>0</v>
      </c>
      <c r="AD120" s="1044">
        <f t="shared" si="80"/>
        <v>0</v>
      </c>
      <c r="AE120" s="1044">
        <f t="shared" si="81"/>
        <v>0</v>
      </c>
      <c r="AF120" s="1044">
        <f t="shared" si="82"/>
        <v>0</v>
      </c>
      <c r="AG120" s="1044">
        <f t="shared" si="83"/>
        <v>0</v>
      </c>
      <c r="AH120" s="1044">
        <f t="shared" si="84"/>
        <v>0</v>
      </c>
      <c r="AI120" s="1044">
        <f t="shared" si="85"/>
        <v>0</v>
      </c>
      <c r="AJ120" s="1044">
        <f t="shared" si="86"/>
        <v>0</v>
      </c>
      <c r="AK120" s="1044">
        <f t="shared" si="87"/>
        <v>0</v>
      </c>
      <c r="AL120" s="1044">
        <f t="shared" si="88"/>
        <v>0</v>
      </c>
      <c r="AM120" s="1044">
        <f t="shared" si="89"/>
        <v>0</v>
      </c>
      <c r="AN120" s="1044" t="str">
        <f t="shared" si="90"/>
        <v/>
      </c>
      <c r="AO120" s="1044" t="str">
        <f t="shared" si="91"/>
        <v/>
      </c>
      <c r="AP120" s="1044" t="str">
        <f t="shared" si="92"/>
        <v/>
      </c>
      <c r="AQ120" s="1044" t="str">
        <f t="shared" si="93"/>
        <v/>
      </c>
      <c r="AR120" s="1044" t="str">
        <f t="shared" si="94"/>
        <v/>
      </c>
      <c r="AS120" s="1044" t="str">
        <f t="shared" si="95"/>
        <v/>
      </c>
      <c r="AT120" s="1044" t="str">
        <f t="shared" si="96"/>
        <v/>
      </c>
      <c r="AU120" s="1044" t="str">
        <f t="shared" si="97"/>
        <v/>
      </c>
      <c r="AV120" s="1044" t="str">
        <f t="shared" si="98"/>
        <v/>
      </c>
      <c r="AW120" s="1044" t="str">
        <f t="shared" si="99"/>
        <v/>
      </c>
      <c r="AX120" s="1044" t="str">
        <f t="shared" si="100"/>
        <v/>
      </c>
      <c r="AY120" s="1044" t="str">
        <f t="shared" si="101"/>
        <v/>
      </c>
      <c r="AZ120" s="1044" t="str">
        <f t="shared" si="102"/>
        <v/>
      </c>
      <c r="BA120" s="1044" t="str">
        <f t="shared" si="103"/>
        <v/>
      </c>
      <c r="BB120" s="1044" t="str">
        <f t="shared" si="104"/>
        <v/>
      </c>
      <c r="BC120" s="1044" t="str">
        <f t="shared" si="105"/>
        <v/>
      </c>
      <c r="BF120" s="1" t="s">
        <v>7029</v>
      </c>
      <c r="BG120" s="1076" t="s">
        <v>689</v>
      </c>
      <c r="BH120" s="1" t="s">
        <v>206</v>
      </c>
      <c r="BI120" s="1" t="s">
        <v>7501</v>
      </c>
    </row>
    <row r="121" spans="1:61" ht="30" customHeight="1">
      <c r="A121" s="1085" t="str">
        <f t="shared" si="53"/>
        <v/>
      </c>
      <c r="B121" s="1086"/>
      <c r="C121" s="1085" t="s">
        <v>254</v>
      </c>
      <c r="D121" s="1087" t="str">
        <f t="shared" si="54"/>
        <v/>
      </c>
      <c r="E121" s="1088" t="str">
        <f t="shared" si="55"/>
        <v/>
      </c>
      <c r="F121" s="1089" t="str">
        <f t="shared" si="56"/>
        <v/>
      </c>
      <c r="G121" s="1090" t="str">
        <f t="shared" si="57"/>
        <v/>
      </c>
      <c r="H121" s="1085" t="str">
        <f t="shared" si="58"/>
        <v/>
      </c>
      <c r="I121" s="1085" t="str">
        <f t="shared" si="59"/>
        <v/>
      </c>
      <c r="J121" s="1090" t="str">
        <f t="shared" si="60"/>
        <v/>
      </c>
      <c r="K121" s="1044" t="str">
        <f t="shared" si="61"/>
        <v/>
      </c>
      <c r="L121" s="1044" t="str">
        <f t="shared" si="62"/>
        <v/>
      </c>
      <c r="M121" s="1044" t="str">
        <f t="shared" si="63"/>
        <v/>
      </c>
      <c r="N121" s="1044" t="str">
        <f t="shared" si="64"/>
        <v/>
      </c>
      <c r="O121" s="1044">
        <f t="shared" si="65"/>
        <v>0</v>
      </c>
      <c r="P121" s="1044">
        <f t="shared" si="66"/>
        <v>0</v>
      </c>
      <c r="Q121" s="1044">
        <f t="shared" si="67"/>
        <v>0</v>
      </c>
      <c r="R121" s="1044">
        <f t="shared" si="68"/>
        <v>0</v>
      </c>
      <c r="S121" s="1044">
        <f t="shared" si="69"/>
        <v>0</v>
      </c>
      <c r="T121" s="1044">
        <f t="shared" si="70"/>
        <v>0</v>
      </c>
      <c r="U121" s="1044">
        <f t="shared" si="71"/>
        <v>0</v>
      </c>
      <c r="V121" s="1044">
        <f t="shared" si="72"/>
        <v>0</v>
      </c>
      <c r="W121" s="1044">
        <f t="shared" si="73"/>
        <v>0</v>
      </c>
      <c r="X121" s="1044">
        <f t="shared" si="74"/>
        <v>0</v>
      </c>
      <c r="Y121" s="1044">
        <f t="shared" si="75"/>
        <v>0</v>
      </c>
      <c r="Z121" s="1044">
        <f t="shared" si="76"/>
        <v>0</v>
      </c>
      <c r="AA121" s="1044">
        <f t="shared" si="77"/>
        <v>0</v>
      </c>
      <c r="AB121" s="1044">
        <f t="shared" si="78"/>
        <v>0</v>
      </c>
      <c r="AC121" s="1044">
        <f t="shared" si="79"/>
        <v>0</v>
      </c>
      <c r="AD121" s="1044">
        <f t="shared" si="80"/>
        <v>0</v>
      </c>
      <c r="AE121" s="1044">
        <f t="shared" si="81"/>
        <v>0</v>
      </c>
      <c r="AF121" s="1044">
        <f t="shared" si="82"/>
        <v>0</v>
      </c>
      <c r="AG121" s="1044">
        <f t="shared" si="83"/>
        <v>0</v>
      </c>
      <c r="AH121" s="1044">
        <f t="shared" si="84"/>
        <v>0</v>
      </c>
      <c r="AI121" s="1044">
        <f t="shared" si="85"/>
        <v>0</v>
      </c>
      <c r="AJ121" s="1044">
        <f t="shared" si="86"/>
        <v>0</v>
      </c>
      <c r="AK121" s="1044">
        <f t="shared" si="87"/>
        <v>0</v>
      </c>
      <c r="AL121" s="1044">
        <f t="shared" si="88"/>
        <v>0</v>
      </c>
      <c r="AM121" s="1044">
        <f t="shared" si="89"/>
        <v>0</v>
      </c>
      <c r="AN121" s="1044" t="str">
        <f t="shared" si="90"/>
        <v/>
      </c>
      <c r="AO121" s="1044" t="str">
        <f t="shared" si="91"/>
        <v/>
      </c>
      <c r="AP121" s="1044" t="str">
        <f t="shared" si="92"/>
        <v/>
      </c>
      <c r="AQ121" s="1044" t="str">
        <f t="shared" si="93"/>
        <v/>
      </c>
      <c r="AR121" s="1044" t="str">
        <f t="shared" si="94"/>
        <v/>
      </c>
      <c r="AS121" s="1044" t="str">
        <f t="shared" si="95"/>
        <v/>
      </c>
      <c r="AT121" s="1044" t="str">
        <f t="shared" si="96"/>
        <v/>
      </c>
      <c r="AU121" s="1044" t="str">
        <f t="shared" si="97"/>
        <v/>
      </c>
      <c r="AV121" s="1044" t="str">
        <f t="shared" si="98"/>
        <v/>
      </c>
      <c r="AW121" s="1044" t="str">
        <f t="shared" si="99"/>
        <v/>
      </c>
      <c r="AX121" s="1044" t="str">
        <f t="shared" si="100"/>
        <v/>
      </c>
      <c r="AY121" s="1044" t="str">
        <f t="shared" si="101"/>
        <v/>
      </c>
      <c r="AZ121" s="1044" t="str">
        <f t="shared" si="102"/>
        <v/>
      </c>
      <c r="BA121" s="1044" t="str">
        <f t="shared" si="103"/>
        <v/>
      </c>
      <c r="BB121" s="1044" t="str">
        <f t="shared" si="104"/>
        <v/>
      </c>
      <c r="BC121" s="1044" t="str">
        <f t="shared" si="105"/>
        <v/>
      </c>
      <c r="BF121" s="1" t="s">
        <v>7029</v>
      </c>
      <c r="BG121" s="1076" t="s">
        <v>689</v>
      </c>
      <c r="BH121" s="1" t="s">
        <v>209</v>
      </c>
      <c r="BI121" s="1" t="s">
        <v>7502</v>
      </c>
    </row>
    <row r="122" spans="1:61" ht="30" customHeight="1">
      <c r="A122" s="1085" t="str">
        <f t="shared" si="53"/>
        <v/>
      </c>
      <c r="B122" s="1086"/>
      <c r="C122" s="1085" t="s">
        <v>254</v>
      </c>
      <c r="D122" s="1087" t="str">
        <f t="shared" si="54"/>
        <v/>
      </c>
      <c r="E122" s="1088" t="str">
        <f t="shared" si="55"/>
        <v/>
      </c>
      <c r="F122" s="1089" t="str">
        <f t="shared" si="56"/>
        <v/>
      </c>
      <c r="G122" s="1090" t="str">
        <f t="shared" si="57"/>
        <v/>
      </c>
      <c r="H122" s="1085" t="str">
        <f t="shared" si="58"/>
        <v/>
      </c>
      <c r="I122" s="1085" t="str">
        <f t="shared" si="59"/>
        <v/>
      </c>
      <c r="J122" s="1090" t="str">
        <f t="shared" si="60"/>
        <v/>
      </c>
      <c r="K122" s="1044" t="str">
        <f t="shared" si="61"/>
        <v/>
      </c>
      <c r="L122" s="1044" t="str">
        <f t="shared" si="62"/>
        <v/>
      </c>
      <c r="M122" s="1044" t="str">
        <f t="shared" si="63"/>
        <v/>
      </c>
      <c r="N122" s="1044" t="str">
        <f t="shared" si="64"/>
        <v/>
      </c>
      <c r="O122" s="1044">
        <f t="shared" si="65"/>
        <v>0</v>
      </c>
      <c r="P122" s="1044">
        <f t="shared" si="66"/>
        <v>0</v>
      </c>
      <c r="Q122" s="1044">
        <f t="shared" si="67"/>
        <v>0</v>
      </c>
      <c r="R122" s="1044">
        <f t="shared" si="68"/>
        <v>0</v>
      </c>
      <c r="S122" s="1044">
        <f t="shared" si="69"/>
        <v>0</v>
      </c>
      <c r="T122" s="1044">
        <f t="shared" si="70"/>
        <v>0</v>
      </c>
      <c r="U122" s="1044">
        <f t="shared" si="71"/>
        <v>0</v>
      </c>
      <c r="V122" s="1044">
        <f t="shared" si="72"/>
        <v>0</v>
      </c>
      <c r="W122" s="1044">
        <f t="shared" si="73"/>
        <v>0</v>
      </c>
      <c r="X122" s="1044">
        <f t="shared" si="74"/>
        <v>0</v>
      </c>
      <c r="Y122" s="1044">
        <f t="shared" si="75"/>
        <v>0</v>
      </c>
      <c r="Z122" s="1044">
        <f t="shared" si="76"/>
        <v>0</v>
      </c>
      <c r="AA122" s="1044">
        <f t="shared" si="77"/>
        <v>0</v>
      </c>
      <c r="AB122" s="1044">
        <f t="shared" si="78"/>
        <v>0</v>
      </c>
      <c r="AC122" s="1044">
        <f t="shared" si="79"/>
        <v>0</v>
      </c>
      <c r="AD122" s="1044">
        <f t="shared" si="80"/>
        <v>0</v>
      </c>
      <c r="AE122" s="1044">
        <f t="shared" si="81"/>
        <v>0</v>
      </c>
      <c r="AF122" s="1044">
        <f t="shared" si="82"/>
        <v>0</v>
      </c>
      <c r="AG122" s="1044">
        <f t="shared" si="83"/>
        <v>0</v>
      </c>
      <c r="AH122" s="1044">
        <f t="shared" si="84"/>
        <v>0</v>
      </c>
      <c r="AI122" s="1044">
        <f t="shared" si="85"/>
        <v>0</v>
      </c>
      <c r="AJ122" s="1044">
        <f t="shared" si="86"/>
        <v>0</v>
      </c>
      <c r="AK122" s="1044">
        <f t="shared" si="87"/>
        <v>0</v>
      </c>
      <c r="AL122" s="1044">
        <f t="shared" si="88"/>
        <v>0</v>
      </c>
      <c r="AM122" s="1044">
        <f t="shared" si="89"/>
        <v>0</v>
      </c>
      <c r="AN122" s="1044" t="str">
        <f t="shared" si="90"/>
        <v/>
      </c>
      <c r="AO122" s="1044" t="str">
        <f t="shared" si="91"/>
        <v/>
      </c>
      <c r="AP122" s="1044" t="str">
        <f t="shared" si="92"/>
        <v/>
      </c>
      <c r="AQ122" s="1044" t="str">
        <f t="shared" si="93"/>
        <v/>
      </c>
      <c r="AR122" s="1044" t="str">
        <f t="shared" si="94"/>
        <v/>
      </c>
      <c r="AS122" s="1044" t="str">
        <f t="shared" si="95"/>
        <v/>
      </c>
      <c r="AT122" s="1044" t="str">
        <f t="shared" si="96"/>
        <v/>
      </c>
      <c r="AU122" s="1044" t="str">
        <f t="shared" si="97"/>
        <v/>
      </c>
      <c r="AV122" s="1044" t="str">
        <f t="shared" si="98"/>
        <v/>
      </c>
      <c r="AW122" s="1044" t="str">
        <f t="shared" si="99"/>
        <v/>
      </c>
      <c r="AX122" s="1044" t="str">
        <f t="shared" si="100"/>
        <v/>
      </c>
      <c r="AY122" s="1044" t="str">
        <f t="shared" si="101"/>
        <v/>
      </c>
      <c r="AZ122" s="1044" t="str">
        <f t="shared" si="102"/>
        <v/>
      </c>
      <c r="BA122" s="1044" t="str">
        <f t="shared" si="103"/>
        <v/>
      </c>
      <c r="BB122" s="1044" t="str">
        <f t="shared" si="104"/>
        <v/>
      </c>
      <c r="BC122" s="1044" t="str">
        <f t="shared" si="105"/>
        <v/>
      </c>
      <c r="BF122" s="1" t="s">
        <v>7029</v>
      </c>
      <c r="BG122" s="1076" t="s">
        <v>689</v>
      </c>
      <c r="BH122" s="1" t="s">
        <v>212</v>
      </c>
      <c r="BI122" s="1" t="s">
        <v>7503</v>
      </c>
    </row>
    <row r="123" spans="1:61" ht="30" customHeight="1">
      <c r="A123" s="1085" t="str">
        <f t="shared" si="53"/>
        <v/>
      </c>
      <c r="B123" s="1086"/>
      <c r="C123" s="1085" t="s">
        <v>254</v>
      </c>
      <c r="D123" s="1087" t="str">
        <f t="shared" si="54"/>
        <v/>
      </c>
      <c r="E123" s="1088" t="str">
        <f t="shared" si="55"/>
        <v/>
      </c>
      <c r="F123" s="1089" t="str">
        <f t="shared" si="56"/>
        <v/>
      </c>
      <c r="G123" s="1090" t="str">
        <f t="shared" si="57"/>
        <v/>
      </c>
      <c r="H123" s="1085" t="str">
        <f t="shared" si="58"/>
        <v/>
      </c>
      <c r="I123" s="1085" t="str">
        <f t="shared" si="59"/>
        <v/>
      </c>
      <c r="J123" s="1090" t="str">
        <f t="shared" si="60"/>
        <v/>
      </c>
      <c r="K123" s="1044" t="str">
        <f t="shared" si="61"/>
        <v/>
      </c>
      <c r="L123" s="1044" t="str">
        <f t="shared" si="62"/>
        <v/>
      </c>
      <c r="M123" s="1044" t="str">
        <f t="shared" si="63"/>
        <v/>
      </c>
      <c r="N123" s="1044" t="str">
        <f t="shared" si="64"/>
        <v/>
      </c>
      <c r="O123" s="1044">
        <f t="shared" si="65"/>
        <v>0</v>
      </c>
      <c r="P123" s="1044">
        <f t="shared" si="66"/>
        <v>0</v>
      </c>
      <c r="Q123" s="1044">
        <f t="shared" si="67"/>
        <v>0</v>
      </c>
      <c r="R123" s="1044">
        <f t="shared" si="68"/>
        <v>0</v>
      </c>
      <c r="S123" s="1044">
        <f t="shared" si="69"/>
        <v>0</v>
      </c>
      <c r="T123" s="1044">
        <f t="shared" si="70"/>
        <v>0</v>
      </c>
      <c r="U123" s="1044">
        <f t="shared" si="71"/>
        <v>0</v>
      </c>
      <c r="V123" s="1044">
        <f t="shared" si="72"/>
        <v>0</v>
      </c>
      <c r="W123" s="1044">
        <f t="shared" si="73"/>
        <v>0</v>
      </c>
      <c r="X123" s="1044">
        <f t="shared" si="74"/>
        <v>0</v>
      </c>
      <c r="Y123" s="1044">
        <f t="shared" si="75"/>
        <v>0</v>
      </c>
      <c r="Z123" s="1044">
        <f t="shared" si="76"/>
        <v>0</v>
      </c>
      <c r="AA123" s="1044">
        <f t="shared" si="77"/>
        <v>0</v>
      </c>
      <c r="AB123" s="1044">
        <f t="shared" si="78"/>
        <v>0</v>
      </c>
      <c r="AC123" s="1044">
        <f t="shared" si="79"/>
        <v>0</v>
      </c>
      <c r="AD123" s="1044">
        <f t="shared" si="80"/>
        <v>0</v>
      </c>
      <c r="AE123" s="1044">
        <f t="shared" si="81"/>
        <v>0</v>
      </c>
      <c r="AF123" s="1044">
        <f t="shared" si="82"/>
        <v>0</v>
      </c>
      <c r="AG123" s="1044">
        <f t="shared" si="83"/>
        <v>0</v>
      </c>
      <c r="AH123" s="1044">
        <f t="shared" si="84"/>
        <v>0</v>
      </c>
      <c r="AI123" s="1044">
        <f t="shared" si="85"/>
        <v>0</v>
      </c>
      <c r="AJ123" s="1044">
        <f t="shared" si="86"/>
        <v>0</v>
      </c>
      <c r="AK123" s="1044">
        <f t="shared" si="87"/>
        <v>0</v>
      </c>
      <c r="AL123" s="1044">
        <f t="shared" si="88"/>
        <v>0</v>
      </c>
      <c r="AM123" s="1044">
        <f t="shared" si="89"/>
        <v>0</v>
      </c>
      <c r="AN123" s="1044" t="str">
        <f t="shared" si="90"/>
        <v/>
      </c>
      <c r="AO123" s="1044" t="str">
        <f t="shared" si="91"/>
        <v/>
      </c>
      <c r="AP123" s="1044" t="str">
        <f t="shared" si="92"/>
        <v/>
      </c>
      <c r="AQ123" s="1044" t="str">
        <f t="shared" si="93"/>
        <v/>
      </c>
      <c r="AR123" s="1044" t="str">
        <f t="shared" si="94"/>
        <v/>
      </c>
      <c r="AS123" s="1044" t="str">
        <f t="shared" si="95"/>
        <v/>
      </c>
      <c r="AT123" s="1044" t="str">
        <f t="shared" si="96"/>
        <v/>
      </c>
      <c r="AU123" s="1044" t="str">
        <f t="shared" si="97"/>
        <v/>
      </c>
      <c r="AV123" s="1044" t="str">
        <f t="shared" si="98"/>
        <v/>
      </c>
      <c r="AW123" s="1044" t="str">
        <f t="shared" si="99"/>
        <v/>
      </c>
      <c r="AX123" s="1044" t="str">
        <f t="shared" si="100"/>
        <v/>
      </c>
      <c r="AY123" s="1044" t="str">
        <f t="shared" si="101"/>
        <v/>
      </c>
      <c r="AZ123" s="1044" t="str">
        <f t="shared" si="102"/>
        <v/>
      </c>
      <c r="BA123" s="1044" t="str">
        <f t="shared" si="103"/>
        <v/>
      </c>
      <c r="BB123" s="1044" t="str">
        <f t="shared" si="104"/>
        <v/>
      </c>
      <c r="BC123" s="1044" t="str">
        <f t="shared" si="105"/>
        <v/>
      </c>
      <c r="BF123" s="1" t="s">
        <v>7029</v>
      </c>
      <c r="BG123" s="1076" t="s">
        <v>689</v>
      </c>
      <c r="BH123" s="1" t="s">
        <v>213</v>
      </c>
      <c r="BI123" s="1" t="s">
        <v>7504</v>
      </c>
    </row>
    <row r="124" spans="1:61" ht="30" customHeight="1">
      <c r="A124" s="1085" t="str">
        <f t="shared" si="53"/>
        <v/>
      </c>
      <c r="B124" s="1086"/>
      <c r="C124" s="1085" t="s">
        <v>254</v>
      </c>
      <c r="D124" s="1087" t="str">
        <f t="shared" si="54"/>
        <v/>
      </c>
      <c r="E124" s="1088" t="str">
        <f t="shared" si="55"/>
        <v/>
      </c>
      <c r="F124" s="1089" t="str">
        <f t="shared" si="56"/>
        <v/>
      </c>
      <c r="G124" s="1090" t="str">
        <f t="shared" si="57"/>
        <v/>
      </c>
      <c r="H124" s="1085" t="str">
        <f t="shared" si="58"/>
        <v/>
      </c>
      <c r="I124" s="1085" t="str">
        <f t="shared" si="59"/>
        <v/>
      </c>
      <c r="J124" s="1090" t="str">
        <f t="shared" si="60"/>
        <v/>
      </c>
      <c r="K124" s="1044" t="str">
        <f t="shared" si="61"/>
        <v/>
      </c>
      <c r="L124" s="1044" t="str">
        <f t="shared" si="62"/>
        <v/>
      </c>
      <c r="M124" s="1044" t="str">
        <f t="shared" si="63"/>
        <v/>
      </c>
      <c r="N124" s="1044" t="str">
        <f t="shared" si="64"/>
        <v/>
      </c>
      <c r="O124" s="1044">
        <f t="shared" si="65"/>
        <v>0</v>
      </c>
      <c r="P124" s="1044">
        <f t="shared" si="66"/>
        <v>0</v>
      </c>
      <c r="Q124" s="1044">
        <f t="shared" si="67"/>
        <v>0</v>
      </c>
      <c r="R124" s="1044">
        <f t="shared" si="68"/>
        <v>0</v>
      </c>
      <c r="S124" s="1044">
        <f t="shared" si="69"/>
        <v>0</v>
      </c>
      <c r="T124" s="1044">
        <f t="shared" si="70"/>
        <v>0</v>
      </c>
      <c r="U124" s="1044">
        <f t="shared" si="71"/>
        <v>0</v>
      </c>
      <c r="V124" s="1044">
        <f t="shared" si="72"/>
        <v>0</v>
      </c>
      <c r="W124" s="1044">
        <f t="shared" si="73"/>
        <v>0</v>
      </c>
      <c r="X124" s="1044">
        <f t="shared" si="74"/>
        <v>0</v>
      </c>
      <c r="Y124" s="1044">
        <f t="shared" si="75"/>
        <v>0</v>
      </c>
      <c r="Z124" s="1044">
        <f t="shared" si="76"/>
        <v>0</v>
      </c>
      <c r="AA124" s="1044">
        <f t="shared" si="77"/>
        <v>0</v>
      </c>
      <c r="AB124" s="1044">
        <f t="shared" si="78"/>
        <v>0</v>
      </c>
      <c r="AC124" s="1044">
        <f t="shared" si="79"/>
        <v>0</v>
      </c>
      <c r="AD124" s="1044">
        <f t="shared" si="80"/>
        <v>0</v>
      </c>
      <c r="AE124" s="1044">
        <f t="shared" si="81"/>
        <v>0</v>
      </c>
      <c r="AF124" s="1044">
        <f t="shared" si="82"/>
        <v>0</v>
      </c>
      <c r="AG124" s="1044">
        <f t="shared" si="83"/>
        <v>0</v>
      </c>
      <c r="AH124" s="1044">
        <f t="shared" si="84"/>
        <v>0</v>
      </c>
      <c r="AI124" s="1044">
        <f t="shared" si="85"/>
        <v>0</v>
      </c>
      <c r="AJ124" s="1044">
        <f t="shared" si="86"/>
        <v>0</v>
      </c>
      <c r="AK124" s="1044">
        <f t="shared" si="87"/>
        <v>0</v>
      </c>
      <c r="AL124" s="1044">
        <f t="shared" si="88"/>
        <v>0</v>
      </c>
      <c r="AM124" s="1044">
        <f t="shared" si="89"/>
        <v>0</v>
      </c>
      <c r="AN124" s="1044" t="str">
        <f t="shared" si="90"/>
        <v/>
      </c>
      <c r="AO124" s="1044" t="str">
        <f t="shared" si="91"/>
        <v/>
      </c>
      <c r="AP124" s="1044" t="str">
        <f t="shared" si="92"/>
        <v/>
      </c>
      <c r="AQ124" s="1044" t="str">
        <f t="shared" si="93"/>
        <v/>
      </c>
      <c r="AR124" s="1044" t="str">
        <f t="shared" si="94"/>
        <v/>
      </c>
      <c r="AS124" s="1044" t="str">
        <f t="shared" si="95"/>
        <v/>
      </c>
      <c r="AT124" s="1044" t="str">
        <f t="shared" si="96"/>
        <v/>
      </c>
      <c r="AU124" s="1044" t="str">
        <f t="shared" si="97"/>
        <v/>
      </c>
      <c r="AV124" s="1044" t="str">
        <f t="shared" si="98"/>
        <v/>
      </c>
      <c r="AW124" s="1044" t="str">
        <f t="shared" si="99"/>
        <v/>
      </c>
      <c r="AX124" s="1044" t="str">
        <f t="shared" si="100"/>
        <v/>
      </c>
      <c r="AY124" s="1044" t="str">
        <f t="shared" si="101"/>
        <v/>
      </c>
      <c r="AZ124" s="1044" t="str">
        <f t="shared" si="102"/>
        <v/>
      </c>
      <c r="BA124" s="1044" t="str">
        <f t="shared" si="103"/>
        <v/>
      </c>
      <c r="BB124" s="1044" t="str">
        <f t="shared" si="104"/>
        <v/>
      </c>
      <c r="BC124" s="1044" t="str">
        <f t="shared" si="105"/>
        <v/>
      </c>
      <c r="BF124" s="1" t="s">
        <v>7029</v>
      </c>
      <c r="BG124" s="1076" t="s">
        <v>689</v>
      </c>
      <c r="BH124" s="1" t="s">
        <v>215</v>
      </c>
      <c r="BI124" s="1" t="s">
        <v>7505</v>
      </c>
    </row>
    <row r="125" spans="1:61" ht="30" customHeight="1">
      <c r="A125" s="1085" t="str">
        <f t="shared" si="53"/>
        <v/>
      </c>
      <c r="B125" s="1086"/>
      <c r="C125" s="1085" t="s">
        <v>254</v>
      </c>
      <c r="D125" s="1087" t="str">
        <f t="shared" si="54"/>
        <v/>
      </c>
      <c r="E125" s="1088" t="str">
        <f t="shared" si="55"/>
        <v/>
      </c>
      <c r="F125" s="1089" t="str">
        <f t="shared" si="56"/>
        <v/>
      </c>
      <c r="G125" s="1090" t="str">
        <f t="shared" si="57"/>
        <v/>
      </c>
      <c r="H125" s="1085" t="str">
        <f t="shared" si="58"/>
        <v/>
      </c>
      <c r="I125" s="1085" t="str">
        <f t="shared" si="59"/>
        <v/>
      </c>
      <c r="J125" s="1090" t="str">
        <f t="shared" si="60"/>
        <v/>
      </c>
      <c r="K125" s="1044" t="str">
        <f t="shared" si="61"/>
        <v/>
      </c>
      <c r="L125" s="1044" t="str">
        <f t="shared" si="62"/>
        <v/>
      </c>
      <c r="M125" s="1044" t="str">
        <f t="shared" si="63"/>
        <v/>
      </c>
      <c r="N125" s="1044" t="str">
        <f t="shared" si="64"/>
        <v/>
      </c>
      <c r="O125" s="1044">
        <f t="shared" si="65"/>
        <v>0</v>
      </c>
      <c r="P125" s="1044">
        <f t="shared" si="66"/>
        <v>0</v>
      </c>
      <c r="Q125" s="1044">
        <f t="shared" si="67"/>
        <v>0</v>
      </c>
      <c r="R125" s="1044">
        <f t="shared" si="68"/>
        <v>0</v>
      </c>
      <c r="S125" s="1044">
        <f t="shared" si="69"/>
        <v>0</v>
      </c>
      <c r="T125" s="1044">
        <f t="shared" si="70"/>
        <v>0</v>
      </c>
      <c r="U125" s="1044">
        <f t="shared" si="71"/>
        <v>0</v>
      </c>
      <c r="V125" s="1044">
        <f t="shared" si="72"/>
        <v>0</v>
      </c>
      <c r="W125" s="1044">
        <f t="shared" si="73"/>
        <v>0</v>
      </c>
      <c r="X125" s="1044">
        <f t="shared" si="74"/>
        <v>0</v>
      </c>
      <c r="Y125" s="1044">
        <f t="shared" si="75"/>
        <v>0</v>
      </c>
      <c r="Z125" s="1044">
        <f t="shared" si="76"/>
        <v>0</v>
      </c>
      <c r="AA125" s="1044">
        <f t="shared" si="77"/>
        <v>0</v>
      </c>
      <c r="AB125" s="1044">
        <f t="shared" si="78"/>
        <v>0</v>
      </c>
      <c r="AC125" s="1044">
        <f t="shared" si="79"/>
        <v>0</v>
      </c>
      <c r="AD125" s="1044">
        <f t="shared" si="80"/>
        <v>0</v>
      </c>
      <c r="AE125" s="1044">
        <f t="shared" si="81"/>
        <v>0</v>
      </c>
      <c r="AF125" s="1044">
        <f t="shared" si="82"/>
        <v>0</v>
      </c>
      <c r="AG125" s="1044">
        <f t="shared" si="83"/>
        <v>0</v>
      </c>
      <c r="AH125" s="1044">
        <f t="shared" si="84"/>
        <v>0</v>
      </c>
      <c r="AI125" s="1044">
        <f t="shared" si="85"/>
        <v>0</v>
      </c>
      <c r="AJ125" s="1044">
        <f t="shared" si="86"/>
        <v>0</v>
      </c>
      <c r="AK125" s="1044">
        <f t="shared" si="87"/>
        <v>0</v>
      </c>
      <c r="AL125" s="1044">
        <f t="shared" si="88"/>
        <v>0</v>
      </c>
      <c r="AM125" s="1044">
        <f t="shared" si="89"/>
        <v>0</v>
      </c>
      <c r="AN125" s="1044" t="str">
        <f t="shared" si="90"/>
        <v/>
      </c>
      <c r="AO125" s="1044" t="str">
        <f t="shared" si="91"/>
        <v/>
      </c>
      <c r="AP125" s="1044" t="str">
        <f t="shared" si="92"/>
        <v/>
      </c>
      <c r="AQ125" s="1044" t="str">
        <f t="shared" si="93"/>
        <v/>
      </c>
      <c r="AR125" s="1044" t="str">
        <f t="shared" si="94"/>
        <v/>
      </c>
      <c r="AS125" s="1044" t="str">
        <f t="shared" si="95"/>
        <v/>
      </c>
      <c r="AT125" s="1044" t="str">
        <f t="shared" si="96"/>
        <v/>
      </c>
      <c r="AU125" s="1044" t="str">
        <f t="shared" si="97"/>
        <v/>
      </c>
      <c r="AV125" s="1044" t="str">
        <f t="shared" si="98"/>
        <v/>
      </c>
      <c r="AW125" s="1044" t="str">
        <f t="shared" si="99"/>
        <v/>
      </c>
      <c r="AX125" s="1044" t="str">
        <f t="shared" si="100"/>
        <v/>
      </c>
      <c r="AY125" s="1044" t="str">
        <f t="shared" si="101"/>
        <v/>
      </c>
      <c r="AZ125" s="1044" t="str">
        <f t="shared" si="102"/>
        <v/>
      </c>
      <c r="BA125" s="1044" t="str">
        <f t="shared" si="103"/>
        <v/>
      </c>
      <c r="BB125" s="1044" t="str">
        <f t="shared" si="104"/>
        <v/>
      </c>
      <c r="BC125" s="1044" t="str">
        <f t="shared" si="105"/>
        <v/>
      </c>
      <c r="BF125" s="1" t="s">
        <v>7029</v>
      </c>
      <c r="BG125" s="1076" t="s">
        <v>689</v>
      </c>
      <c r="BH125" s="1" t="s">
        <v>303</v>
      </c>
      <c r="BI125" s="1" t="s">
        <v>7506</v>
      </c>
    </row>
    <row r="126" spans="1:61" ht="30" customHeight="1">
      <c r="A126" s="1085" t="str">
        <f t="shared" si="53"/>
        <v/>
      </c>
      <c r="B126" s="1086"/>
      <c r="C126" s="1085" t="s">
        <v>254</v>
      </c>
      <c r="D126" s="1087" t="str">
        <f t="shared" si="54"/>
        <v/>
      </c>
      <c r="E126" s="1088" t="str">
        <f t="shared" si="55"/>
        <v/>
      </c>
      <c r="F126" s="1089" t="str">
        <f t="shared" si="56"/>
        <v/>
      </c>
      <c r="G126" s="1090" t="str">
        <f t="shared" si="57"/>
        <v/>
      </c>
      <c r="H126" s="1085" t="str">
        <f t="shared" si="58"/>
        <v/>
      </c>
      <c r="I126" s="1085" t="str">
        <f t="shared" si="59"/>
        <v/>
      </c>
      <c r="J126" s="1090" t="str">
        <f t="shared" si="60"/>
        <v/>
      </c>
      <c r="K126" s="1044" t="str">
        <f t="shared" si="61"/>
        <v/>
      </c>
      <c r="L126" s="1044" t="str">
        <f t="shared" si="62"/>
        <v/>
      </c>
      <c r="M126" s="1044" t="str">
        <f t="shared" si="63"/>
        <v/>
      </c>
      <c r="N126" s="1044" t="str">
        <f t="shared" si="64"/>
        <v/>
      </c>
      <c r="O126" s="1044">
        <f t="shared" si="65"/>
        <v>0</v>
      </c>
      <c r="P126" s="1044">
        <f t="shared" si="66"/>
        <v>0</v>
      </c>
      <c r="Q126" s="1044">
        <f t="shared" si="67"/>
        <v>0</v>
      </c>
      <c r="R126" s="1044">
        <f t="shared" si="68"/>
        <v>0</v>
      </c>
      <c r="S126" s="1044">
        <f t="shared" si="69"/>
        <v>0</v>
      </c>
      <c r="T126" s="1044">
        <f t="shared" si="70"/>
        <v>0</v>
      </c>
      <c r="U126" s="1044">
        <f t="shared" si="71"/>
        <v>0</v>
      </c>
      <c r="V126" s="1044">
        <f t="shared" si="72"/>
        <v>0</v>
      </c>
      <c r="W126" s="1044">
        <f t="shared" si="73"/>
        <v>0</v>
      </c>
      <c r="X126" s="1044">
        <f t="shared" si="74"/>
        <v>0</v>
      </c>
      <c r="Y126" s="1044">
        <f t="shared" si="75"/>
        <v>0</v>
      </c>
      <c r="Z126" s="1044">
        <f t="shared" si="76"/>
        <v>0</v>
      </c>
      <c r="AA126" s="1044">
        <f t="shared" si="77"/>
        <v>0</v>
      </c>
      <c r="AB126" s="1044">
        <f t="shared" si="78"/>
        <v>0</v>
      </c>
      <c r="AC126" s="1044">
        <f t="shared" si="79"/>
        <v>0</v>
      </c>
      <c r="AD126" s="1044">
        <f t="shared" si="80"/>
        <v>0</v>
      </c>
      <c r="AE126" s="1044">
        <f t="shared" si="81"/>
        <v>0</v>
      </c>
      <c r="AF126" s="1044">
        <f t="shared" si="82"/>
        <v>0</v>
      </c>
      <c r="AG126" s="1044">
        <f t="shared" si="83"/>
        <v>0</v>
      </c>
      <c r="AH126" s="1044">
        <f t="shared" si="84"/>
        <v>0</v>
      </c>
      <c r="AI126" s="1044">
        <f t="shared" si="85"/>
        <v>0</v>
      </c>
      <c r="AJ126" s="1044">
        <f t="shared" si="86"/>
        <v>0</v>
      </c>
      <c r="AK126" s="1044">
        <f t="shared" si="87"/>
        <v>0</v>
      </c>
      <c r="AL126" s="1044">
        <f t="shared" si="88"/>
        <v>0</v>
      </c>
      <c r="AM126" s="1044">
        <f t="shared" si="89"/>
        <v>0</v>
      </c>
      <c r="AN126" s="1044" t="str">
        <f t="shared" si="90"/>
        <v/>
      </c>
      <c r="AO126" s="1044" t="str">
        <f t="shared" si="91"/>
        <v/>
      </c>
      <c r="AP126" s="1044" t="str">
        <f t="shared" si="92"/>
        <v/>
      </c>
      <c r="AQ126" s="1044" t="str">
        <f t="shared" si="93"/>
        <v/>
      </c>
      <c r="AR126" s="1044" t="str">
        <f t="shared" si="94"/>
        <v/>
      </c>
      <c r="AS126" s="1044" t="str">
        <f t="shared" si="95"/>
        <v/>
      </c>
      <c r="AT126" s="1044" t="str">
        <f t="shared" si="96"/>
        <v/>
      </c>
      <c r="AU126" s="1044" t="str">
        <f t="shared" si="97"/>
        <v/>
      </c>
      <c r="AV126" s="1044" t="str">
        <f t="shared" si="98"/>
        <v/>
      </c>
      <c r="AW126" s="1044" t="str">
        <f t="shared" si="99"/>
        <v/>
      </c>
      <c r="AX126" s="1044" t="str">
        <f t="shared" si="100"/>
        <v/>
      </c>
      <c r="AY126" s="1044" t="str">
        <f t="shared" si="101"/>
        <v/>
      </c>
      <c r="AZ126" s="1044" t="str">
        <f t="shared" si="102"/>
        <v/>
      </c>
      <c r="BA126" s="1044" t="str">
        <f t="shared" si="103"/>
        <v/>
      </c>
      <c r="BB126" s="1044" t="str">
        <f t="shared" si="104"/>
        <v/>
      </c>
      <c r="BC126" s="1044" t="str">
        <f t="shared" si="105"/>
        <v/>
      </c>
      <c r="BF126" s="1" t="s">
        <v>7029</v>
      </c>
      <c r="BG126" s="1076" t="s">
        <v>689</v>
      </c>
      <c r="BH126" s="1" t="s">
        <v>7087</v>
      </c>
      <c r="BI126" s="1" t="s">
        <v>7507</v>
      </c>
    </row>
    <row r="127" spans="1:61" ht="30" customHeight="1">
      <c r="A127" s="1085" t="str">
        <f t="shared" si="53"/>
        <v/>
      </c>
      <c r="B127" s="1086"/>
      <c r="C127" s="1085" t="s">
        <v>254</v>
      </c>
      <c r="D127" s="1087" t="str">
        <f t="shared" si="54"/>
        <v/>
      </c>
      <c r="E127" s="1088" t="str">
        <f t="shared" si="55"/>
        <v/>
      </c>
      <c r="F127" s="1089" t="str">
        <f t="shared" si="56"/>
        <v/>
      </c>
      <c r="G127" s="1090" t="str">
        <f t="shared" si="57"/>
        <v/>
      </c>
      <c r="H127" s="1085" t="str">
        <f t="shared" si="58"/>
        <v/>
      </c>
      <c r="I127" s="1085" t="str">
        <f t="shared" si="59"/>
        <v/>
      </c>
      <c r="J127" s="1090" t="str">
        <f t="shared" si="60"/>
        <v/>
      </c>
      <c r="K127" s="1044" t="str">
        <f t="shared" si="61"/>
        <v/>
      </c>
      <c r="L127" s="1044" t="str">
        <f t="shared" si="62"/>
        <v/>
      </c>
      <c r="M127" s="1044" t="str">
        <f t="shared" si="63"/>
        <v/>
      </c>
      <c r="N127" s="1044" t="str">
        <f t="shared" si="64"/>
        <v/>
      </c>
      <c r="O127" s="1044">
        <f t="shared" si="65"/>
        <v>0</v>
      </c>
      <c r="P127" s="1044">
        <f t="shared" si="66"/>
        <v>0</v>
      </c>
      <c r="Q127" s="1044">
        <f t="shared" si="67"/>
        <v>0</v>
      </c>
      <c r="R127" s="1044">
        <f t="shared" si="68"/>
        <v>0</v>
      </c>
      <c r="S127" s="1044">
        <f t="shared" si="69"/>
        <v>0</v>
      </c>
      <c r="T127" s="1044">
        <f t="shared" si="70"/>
        <v>0</v>
      </c>
      <c r="U127" s="1044">
        <f t="shared" si="71"/>
        <v>0</v>
      </c>
      <c r="V127" s="1044">
        <f t="shared" si="72"/>
        <v>0</v>
      </c>
      <c r="W127" s="1044">
        <f t="shared" si="73"/>
        <v>0</v>
      </c>
      <c r="X127" s="1044">
        <f t="shared" si="74"/>
        <v>0</v>
      </c>
      <c r="Y127" s="1044">
        <f t="shared" si="75"/>
        <v>0</v>
      </c>
      <c r="Z127" s="1044">
        <f t="shared" si="76"/>
        <v>0</v>
      </c>
      <c r="AA127" s="1044">
        <f t="shared" si="77"/>
        <v>0</v>
      </c>
      <c r="AB127" s="1044">
        <f t="shared" si="78"/>
        <v>0</v>
      </c>
      <c r="AC127" s="1044">
        <f t="shared" si="79"/>
        <v>0</v>
      </c>
      <c r="AD127" s="1044">
        <f t="shared" si="80"/>
        <v>0</v>
      </c>
      <c r="AE127" s="1044">
        <f t="shared" si="81"/>
        <v>0</v>
      </c>
      <c r="AF127" s="1044">
        <f t="shared" si="82"/>
        <v>0</v>
      </c>
      <c r="AG127" s="1044">
        <f t="shared" si="83"/>
        <v>0</v>
      </c>
      <c r="AH127" s="1044">
        <f t="shared" si="84"/>
        <v>0</v>
      </c>
      <c r="AI127" s="1044">
        <f t="shared" si="85"/>
        <v>0</v>
      </c>
      <c r="AJ127" s="1044">
        <f t="shared" si="86"/>
        <v>0</v>
      </c>
      <c r="AK127" s="1044">
        <f t="shared" si="87"/>
        <v>0</v>
      </c>
      <c r="AL127" s="1044">
        <f t="shared" si="88"/>
        <v>0</v>
      </c>
      <c r="AM127" s="1044">
        <f t="shared" si="89"/>
        <v>0</v>
      </c>
      <c r="AN127" s="1044" t="str">
        <f t="shared" si="90"/>
        <v/>
      </c>
      <c r="AO127" s="1044" t="str">
        <f t="shared" si="91"/>
        <v/>
      </c>
      <c r="AP127" s="1044" t="str">
        <f t="shared" si="92"/>
        <v/>
      </c>
      <c r="AQ127" s="1044" t="str">
        <f t="shared" si="93"/>
        <v/>
      </c>
      <c r="AR127" s="1044" t="str">
        <f t="shared" si="94"/>
        <v/>
      </c>
      <c r="AS127" s="1044" t="str">
        <f t="shared" si="95"/>
        <v/>
      </c>
      <c r="AT127" s="1044" t="str">
        <f t="shared" si="96"/>
        <v/>
      </c>
      <c r="AU127" s="1044" t="str">
        <f t="shared" si="97"/>
        <v/>
      </c>
      <c r="AV127" s="1044" t="str">
        <f t="shared" si="98"/>
        <v/>
      </c>
      <c r="AW127" s="1044" t="str">
        <f t="shared" si="99"/>
        <v/>
      </c>
      <c r="AX127" s="1044" t="str">
        <f t="shared" si="100"/>
        <v/>
      </c>
      <c r="AY127" s="1044" t="str">
        <f t="shared" si="101"/>
        <v/>
      </c>
      <c r="AZ127" s="1044" t="str">
        <f t="shared" si="102"/>
        <v/>
      </c>
      <c r="BA127" s="1044" t="str">
        <f t="shared" si="103"/>
        <v/>
      </c>
      <c r="BB127" s="1044" t="str">
        <f t="shared" si="104"/>
        <v/>
      </c>
      <c r="BC127" s="1044" t="str">
        <f t="shared" si="105"/>
        <v/>
      </c>
      <c r="BF127" s="1" t="s">
        <v>7029</v>
      </c>
      <c r="BG127" s="1076" t="s">
        <v>689</v>
      </c>
      <c r="BH127" s="1" t="s">
        <v>217</v>
      </c>
      <c r="BI127" s="1" t="s">
        <v>7508</v>
      </c>
    </row>
    <row r="128" spans="1:61" ht="30" customHeight="1">
      <c r="A128" s="1085" t="str">
        <f t="shared" si="53"/>
        <v/>
      </c>
      <c r="B128" s="1086"/>
      <c r="C128" s="1085" t="s">
        <v>254</v>
      </c>
      <c r="D128" s="1087" t="str">
        <f t="shared" si="54"/>
        <v/>
      </c>
      <c r="E128" s="1088" t="str">
        <f t="shared" si="55"/>
        <v/>
      </c>
      <c r="F128" s="1089" t="str">
        <f t="shared" si="56"/>
        <v/>
      </c>
      <c r="G128" s="1090" t="str">
        <f t="shared" si="57"/>
        <v/>
      </c>
      <c r="H128" s="1085" t="str">
        <f t="shared" si="58"/>
        <v/>
      </c>
      <c r="I128" s="1085" t="str">
        <f t="shared" si="59"/>
        <v/>
      </c>
      <c r="J128" s="1090" t="str">
        <f t="shared" si="60"/>
        <v/>
      </c>
      <c r="K128" s="1044" t="str">
        <f t="shared" si="61"/>
        <v/>
      </c>
      <c r="L128" s="1044" t="str">
        <f t="shared" si="62"/>
        <v/>
      </c>
      <c r="M128" s="1044" t="str">
        <f t="shared" si="63"/>
        <v/>
      </c>
      <c r="N128" s="1044" t="str">
        <f t="shared" si="64"/>
        <v/>
      </c>
      <c r="O128" s="1044">
        <f t="shared" si="65"/>
        <v>0</v>
      </c>
      <c r="P128" s="1044">
        <f t="shared" si="66"/>
        <v>0</v>
      </c>
      <c r="Q128" s="1044">
        <f t="shared" si="67"/>
        <v>0</v>
      </c>
      <c r="R128" s="1044">
        <f t="shared" si="68"/>
        <v>0</v>
      </c>
      <c r="S128" s="1044">
        <f t="shared" si="69"/>
        <v>0</v>
      </c>
      <c r="T128" s="1044">
        <f t="shared" si="70"/>
        <v>0</v>
      </c>
      <c r="U128" s="1044">
        <f t="shared" si="71"/>
        <v>0</v>
      </c>
      <c r="V128" s="1044">
        <f t="shared" si="72"/>
        <v>0</v>
      </c>
      <c r="W128" s="1044">
        <f t="shared" si="73"/>
        <v>0</v>
      </c>
      <c r="X128" s="1044">
        <f t="shared" si="74"/>
        <v>0</v>
      </c>
      <c r="Y128" s="1044">
        <f t="shared" si="75"/>
        <v>0</v>
      </c>
      <c r="Z128" s="1044">
        <f t="shared" si="76"/>
        <v>0</v>
      </c>
      <c r="AA128" s="1044">
        <f t="shared" si="77"/>
        <v>0</v>
      </c>
      <c r="AB128" s="1044">
        <f t="shared" si="78"/>
        <v>0</v>
      </c>
      <c r="AC128" s="1044">
        <f t="shared" si="79"/>
        <v>0</v>
      </c>
      <c r="AD128" s="1044">
        <f t="shared" si="80"/>
        <v>0</v>
      </c>
      <c r="AE128" s="1044">
        <f t="shared" si="81"/>
        <v>0</v>
      </c>
      <c r="AF128" s="1044">
        <f t="shared" si="82"/>
        <v>0</v>
      </c>
      <c r="AG128" s="1044">
        <f t="shared" si="83"/>
        <v>0</v>
      </c>
      <c r="AH128" s="1044">
        <f t="shared" si="84"/>
        <v>0</v>
      </c>
      <c r="AI128" s="1044">
        <f t="shared" si="85"/>
        <v>0</v>
      </c>
      <c r="AJ128" s="1044">
        <f t="shared" si="86"/>
        <v>0</v>
      </c>
      <c r="AK128" s="1044">
        <f t="shared" si="87"/>
        <v>0</v>
      </c>
      <c r="AL128" s="1044">
        <f t="shared" si="88"/>
        <v>0</v>
      </c>
      <c r="AM128" s="1044">
        <f t="shared" si="89"/>
        <v>0</v>
      </c>
      <c r="AN128" s="1044" t="str">
        <f t="shared" si="90"/>
        <v/>
      </c>
      <c r="AO128" s="1044" t="str">
        <f t="shared" si="91"/>
        <v/>
      </c>
      <c r="AP128" s="1044" t="str">
        <f t="shared" si="92"/>
        <v/>
      </c>
      <c r="AQ128" s="1044" t="str">
        <f t="shared" si="93"/>
        <v/>
      </c>
      <c r="AR128" s="1044" t="str">
        <f t="shared" si="94"/>
        <v/>
      </c>
      <c r="AS128" s="1044" t="str">
        <f t="shared" si="95"/>
        <v/>
      </c>
      <c r="AT128" s="1044" t="str">
        <f t="shared" si="96"/>
        <v/>
      </c>
      <c r="AU128" s="1044" t="str">
        <f t="shared" si="97"/>
        <v/>
      </c>
      <c r="AV128" s="1044" t="str">
        <f t="shared" si="98"/>
        <v/>
      </c>
      <c r="AW128" s="1044" t="str">
        <f t="shared" si="99"/>
        <v/>
      </c>
      <c r="AX128" s="1044" t="str">
        <f t="shared" si="100"/>
        <v/>
      </c>
      <c r="AY128" s="1044" t="str">
        <f t="shared" si="101"/>
        <v/>
      </c>
      <c r="AZ128" s="1044" t="str">
        <f t="shared" si="102"/>
        <v/>
      </c>
      <c r="BA128" s="1044" t="str">
        <f t="shared" si="103"/>
        <v/>
      </c>
      <c r="BB128" s="1044" t="str">
        <f t="shared" si="104"/>
        <v/>
      </c>
      <c r="BC128" s="1044" t="str">
        <f t="shared" si="105"/>
        <v/>
      </c>
      <c r="BF128" s="1" t="s">
        <v>7029</v>
      </c>
      <c r="BG128" s="1076" t="s">
        <v>689</v>
      </c>
      <c r="BH128" s="1" t="s">
        <v>219</v>
      </c>
      <c r="BI128" s="1" t="s">
        <v>7509</v>
      </c>
    </row>
    <row r="129" spans="1:61" ht="30" customHeight="1">
      <c r="A129" s="1085" t="str">
        <f t="shared" si="53"/>
        <v/>
      </c>
      <c r="B129" s="1086"/>
      <c r="C129" s="1085" t="s">
        <v>254</v>
      </c>
      <c r="D129" s="1087" t="str">
        <f t="shared" si="54"/>
        <v/>
      </c>
      <c r="E129" s="1088" t="str">
        <f t="shared" si="55"/>
        <v/>
      </c>
      <c r="F129" s="1089" t="str">
        <f t="shared" si="56"/>
        <v/>
      </c>
      <c r="G129" s="1090" t="str">
        <f t="shared" si="57"/>
        <v/>
      </c>
      <c r="H129" s="1085" t="str">
        <f t="shared" si="58"/>
        <v/>
      </c>
      <c r="I129" s="1085" t="str">
        <f t="shared" si="59"/>
        <v/>
      </c>
      <c r="J129" s="1090" t="str">
        <f t="shared" si="60"/>
        <v/>
      </c>
      <c r="K129" s="1044" t="str">
        <f t="shared" si="61"/>
        <v/>
      </c>
      <c r="L129" s="1044" t="str">
        <f t="shared" si="62"/>
        <v/>
      </c>
      <c r="M129" s="1044" t="str">
        <f t="shared" si="63"/>
        <v/>
      </c>
      <c r="N129" s="1044" t="str">
        <f t="shared" si="64"/>
        <v/>
      </c>
      <c r="O129" s="1044">
        <f t="shared" si="65"/>
        <v>0</v>
      </c>
      <c r="P129" s="1044">
        <f t="shared" si="66"/>
        <v>0</v>
      </c>
      <c r="Q129" s="1044">
        <f t="shared" si="67"/>
        <v>0</v>
      </c>
      <c r="R129" s="1044">
        <f t="shared" si="68"/>
        <v>0</v>
      </c>
      <c r="S129" s="1044">
        <f t="shared" si="69"/>
        <v>0</v>
      </c>
      <c r="T129" s="1044">
        <f t="shared" si="70"/>
        <v>0</v>
      </c>
      <c r="U129" s="1044">
        <f t="shared" si="71"/>
        <v>0</v>
      </c>
      <c r="V129" s="1044">
        <f t="shared" si="72"/>
        <v>0</v>
      </c>
      <c r="W129" s="1044">
        <f t="shared" si="73"/>
        <v>0</v>
      </c>
      <c r="X129" s="1044">
        <f t="shared" si="74"/>
        <v>0</v>
      </c>
      <c r="Y129" s="1044">
        <f t="shared" si="75"/>
        <v>0</v>
      </c>
      <c r="Z129" s="1044">
        <f t="shared" si="76"/>
        <v>0</v>
      </c>
      <c r="AA129" s="1044">
        <f t="shared" si="77"/>
        <v>0</v>
      </c>
      <c r="AB129" s="1044">
        <f t="shared" si="78"/>
        <v>0</v>
      </c>
      <c r="AC129" s="1044">
        <f t="shared" si="79"/>
        <v>0</v>
      </c>
      <c r="AD129" s="1044">
        <f t="shared" si="80"/>
        <v>0</v>
      </c>
      <c r="AE129" s="1044">
        <f t="shared" si="81"/>
        <v>0</v>
      </c>
      <c r="AF129" s="1044">
        <f t="shared" si="82"/>
        <v>0</v>
      </c>
      <c r="AG129" s="1044">
        <f t="shared" si="83"/>
        <v>0</v>
      </c>
      <c r="AH129" s="1044">
        <f t="shared" si="84"/>
        <v>0</v>
      </c>
      <c r="AI129" s="1044">
        <f t="shared" si="85"/>
        <v>0</v>
      </c>
      <c r="AJ129" s="1044">
        <f t="shared" si="86"/>
        <v>0</v>
      </c>
      <c r="AK129" s="1044">
        <f t="shared" si="87"/>
        <v>0</v>
      </c>
      <c r="AL129" s="1044">
        <f t="shared" si="88"/>
        <v>0</v>
      </c>
      <c r="AM129" s="1044">
        <f t="shared" si="89"/>
        <v>0</v>
      </c>
      <c r="AN129" s="1044" t="str">
        <f t="shared" si="90"/>
        <v/>
      </c>
      <c r="AO129" s="1044" t="str">
        <f t="shared" si="91"/>
        <v/>
      </c>
      <c r="AP129" s="1044" t="str">
        <f t="shared" si="92"/>
        <v/>
      </c>
      <c r="AQ129" s="1044" t="str">
        <f t="shared" si="93"/>
        <v/>
      </c>
      <c r="AR129" s="1044" t="str">
        <f t="shared" si="94"/>
        <v/>
      </c>
      <c r="AS129" s="1044" t="str">
        <f t="shared" si="95"/>
        <v/>
      </c>
      <c r="AT129" s="1044" t="str">
        <f t="shared" si="96"/>
        <v/>
      </c>
      <c r="AU129" s="1044" t="str">
        <f t="shared" si="97"/>
        <v/>
      </c>
      <c r="AV129" s="1044" t="str">
        <f t="shared" si="98"/>
        <v/>
      </c>
      <c r="AW129" s="1044" t="str">
        <f t="shared" si="99"/>
        <v/>
      </c>
      <c r="AX129" s="1044" t="str">
        <f t="shared" si="100"/>
        <v/>
      </c>
      <c r="AY129" s="1044" t="str">
        <f t="shared" si="101"/>
        <v/>
      </c>
      <c r="AZ129" s="1044" t="str">
        <f t="shared" si="102"/>
        <v/>
      </c>
      <c r="BA129" s="1044" t="str">
        <f t="shared" si="103"/>
        <v/>
      </c>
      <c r="BB129" s="1044" t="str">
        <f t="shared" si="104"/>
        <v/>
      </c>
      <c r="BC129" s="1044" t="str">
        <f t="shared" si="105"/>
        <v/>
      </c>
      <c r="BF129" s="1" t="s">
        <v>7029</v>
      </c>
      <c r="BG129" s="1076" t="s">
        <v>689</v>
      </c>
      <c r="BH129" s="1" t="s">
        <v>221</v>
      </c>
      <c r="BI129" s="1" t="s">
        <v>7510</v>
      </c>
    </row>
    <row r="130" spans="1:61" ht="30" customHeight="1">
      <c r="A130" s="1085" t="str">
        <f t="shared" si="53"/>
        <v/>
      </c>
      <c r="B130" s="1086"/>
      <c r="C130" s="1085" t="s">
        <v>254</v>
      </c>
      <c r="D130" s="1087" t="str">
        <f t="shared" si="54"/>
        <v/>
      </c>
      <c r="E130" s="1088" t="str">
        <f t="shared" si="55"/>
        <v/>
      </c>
      <c r="F130" s="1089" t="str">
        <f t="shared" si="56"/>
        <v/>
      </c>
      <c r="G130" s="1090" t="str">
        <f t="shared" si="57"/>
        <v/>
      </c>
      <c r="H130" s="1085" t="str">
        <f t="shared" si="58"/>
        <v/>
      </c>
      <c r="I130" s="1085" t="str">
        <f t="shared" si="59"/>
        <v/>
      </c>
      <c r="J130" s="1090" t="str">
        <f t="shared" si="60"/>
        <v/>
      </c>
      <c r="K130" s="1044" t="str">
        <f t="shared" si="61"/>
        <v/>
      </c>
      <c r="L130" s="1044" t="str">
        <f t="shared" si="62"/>
        <v/>
      </c>
      <c r="M130" s="1044" t="str">
        <f t="shared" si="63"/>
        <v/>
      </c>
      <c r="N130" s="1044" t="str">
        <f t="shared" si="64"/>
        <v/>
      </c>
      <c r="O130" s="1044">
        <f t="shared" si="65"/>
        <v>0</v>
      </c>
      <c r="P130" s="1044">
        <f t="shared" si="66"/>
        <v>0</v>
      </c>
      <c r="Q130" s="1044">
        <f t="shared" si="67"/>
        <v>0</v>
      </c>
      <c r="R130" s="1044">
        <f t="shared" si="68"/>
        <v>0</v>
      </c>
      <c r="S130" s="1044">
        <f t="shared" si="69"/>
        <v>0</v>
      </c>
      <c r="T130" s="1044">
        <f t="shared" si="70"/>
        <v>0</v>
      </c>
      <c r="U130" s="1044">
        <f t="shared" si="71"/>
        <v>0</v>
      </c>
      <c r="V130" s="1044">
        <f t="shared" si="72"/>
        <v>0</v>
      </c>
      <c r="W130" s="1044">
        <f t="shared" si="73"/>
        <v>0</v>
      </c>
      <c r="X130" s="1044">
        <f t="shared" si="74"/>
        <v>0</v>
      </c>
      <c r="Y130" s="1044">
        <f t="shared" si="75"/>
        <v>0</v>
      </c>
      <c r="Z130" s="1044">
        <f t="shared" si="76"/>
        <v>0</v>
      </c>
      <c r="AA130" s="1044">
        <f t="shared" si="77"/>
        <v>0</v>
      </c>
      <c r="AB130" s="1044">
        <f t="shared" si="78"/>
        <v>0</v>
      </c>
      <c r="AC130" s="1044">
        <f t="shared" si="79"/>
        <v>0</v>
      </c>
      <c r="AD130" s="1044">
        <f t="shared" si="80"/>
        <v>0</v>
      </c>
      <c r="AE130" s="1044">
        <f t="shared" si="81"/>
        <v>0</v>
      </c>
      <c r="AF130" s="1044">
        <f t="shared" si="82"/>
        <v>0</v>
      </c>
      <c r="AG130" s="1044">
        <f t="shared" si="83"/>
        <v>0</v>
      </c>
      <c r="AH130" s="1044">
        <f t="shared" si="84"/>
        <v>0</v>
      </c>
      <c r="AI130" s="1044">
        <f t="shared" si="85"/>
        <v>0</v>
      </c>
      <c r="AJ130" s="1044">
        <f t="shared" si="86"/>
        <v>0</v>
      </c>
      <c r="AK130" s="1044">
        <f t="shared" si="87"/>
        <v>0</v>
      </c>
      <c r="AL130" s="1044">
        <f t="shared" si="88"/>
        <v>0</v>
      </c>
      <c r="AM130" s="1044">
        <f t="shared" si="89"/>
        <v>0</v>
      </c>
      <c r="AN130" s="1044" t="str">
        <f t="shared" si="90"/>
        <v/>
      </c>
      <c r="AO130" s="1044" t="str">
        <f t="shared" si="91"/>
        <v/>
      </c>
      <c r="AP130" s="1044" t="str">
        <f t="shared" si="92"/>
        <v/>
      </c>
      <c r="AQ130" s="1044" t="str">
        <f t="shared" si="93"/>
        <v/>
      </c>
      <c r="AR130" s="1044" t="str">
        <f t="shared" si="94"/>
        <v/>
      </c>
      <c r="AS130" s="1044" t="str">
        <f t="shared" si="95"/>
        <v/>
      </c>
      <c r="AT130" s="1044" t="str">
        <f t="shared" si="96"/>
        <v/>
      </c>
      <c r="AU130" s="1044" t="str">
        <f t="shared" si="97"/>
        <v/>
      </c>
      <c r="AV130" s="1044" t="str">
        <f t="shared" si="98"/>
        <v/>
      </c>
      <c r="AW130" s="1044" t="str">
        <f t="shared" si="99"/>
        <v/>
      </c>
      <c r="AX130" s="1044" t="str">
        <f t="shared" si="100"/>
        <v/>
      </c>
      <c r="AY130" s="1044" t="str">
        <f t="shared" si="101"/>
        <v/>
      </c>
      <c r="AZ130" s="1044" t="str">
        <f t="shared" si="102"/>
        <v/>
      </c>
      <c r="BA130" s="1044" t="str">
        <f t="shared" si="103"/>
        <v/>
      </c>
      <c r="BB130" s="1044" t="str">
        <f t="shared" si="104"/>
        <v/>
      </c>
      <c r="BC130" s="1044" t="str">
        <f t="shared" si="105"/>
        <v/>
      </c>
      <c r="BF130" s="1" t="s">
        <v>7029</v>
      </c>
      <c r="BG130" s="1076" t="s">
        <v>689</v>
      </c>
      <c r="BH130" s="1" t="s">
        <v>222</v>
      </c>
      <c r="BI130" s="1" t="s">
        <v>7511</v>
      </c>
    </row>
    <row r="131" spans="1:61" ht="30" customHeight="1">
      <c r="A131" s="1085" t="str">
        <f t="shared" si="53"/>
        <v/>
      </c>
      <c r="B131" s="1086"/>
      <c r="C131" s="1085" t="s">
        <v>254</v>
      </c>
      <c r="D131" s="1087" t="str">
        <f t="shared" si="54"/>
        <v/>
      </c>
      <c r="E131" s="1088" t="str">
        <f t="shared" si="55"/>
        <v/>
      </c>
      <c r="F131" s="1089" t="str">
        <f t="shared" si="56"/>
        <v/>
      </c>
      <c r="G131" s="1090" t="str">
        <f t="shared" si="57"/>
        <v/>
      </c>
      <c r="H131" s="1085" t="str">
        <f t="shared" si="58"/>
        <v/>
      </c>
      <c r="I131" s="1085" t="str">
        <f t="shared" si="59"/>
        <v/>
      </c>
      <c r="J131" s="1090" t="str">
        <f t="shared" si="60"/>
        <v/>
      </c>
      <c r="K131" s="1044" t="str">
        <f t="shared" si="61"/>
        <v/>
      </c>
      <c r="L131" s="1044" t="str">
        <f t="shared" si="62"/>
        <v/>
      </c>
      <c r="M131" s="1044" t="str">
        <f t="shared" si="63"/>
        <v/>
      </c>
      <c r="N131" s="1044" t="str">
        <f t="shared" si="64"/>
        <v/>
      </c>
      <c r="O131" s="1044">
        <f t="shared" si="65"/>
        <v>0</v>
      </c>
      <c r="P131" s="1044">
        <f t="shared" si="66"/>
        <v>0</v>
      </c>
      <c r="Q131" s="1044">
        <f t="shared" si="67"/>
        <v>0</v>
      </c>
      <c r="R131" s="1044">
        <f t="shared" si="68"/>
        <v>0</v>
      </c>
      <c r="S131" s="1044">
        <f t="shared" si="69"/>
        <v>0</v>
      </c>
      <c r="T131" s="1044">
        <f t="shared" si="70"/>
        <v>0</v>
      </c>
      <c r="U131" s="1044">
        <f t="shared" si="71"/>
        <v>0</v>
      </c>
      <c r="V131" s="1044">
        <f t="shared" si="72"/>
        <v>0</v>
      </c>
      <c r="W131" s="1044">
        <f t="shared" si="73"/>
        <v>0</v>
      </c>
      <c r="X131" s="1044">
        <f t="shared" si="74"/>
        <v>0</v>
      </c>
      <c r="Y131" s="1044">
        <f t="shared" si="75"/>
        <v>0</v>
      </c>
      <c r="Z131" s="1044">
        <f t="shared" si="76"/>
        <v>0</v>
      </c>
      <c r="AA131" s="1044">
        <f t="shared" si="77"/>
        <v>0</v>
      </c>
      <c r="AB131" s="1044">
        <f t="shared" si="78"/>
        <v>0</v>
      </c>
      <c r="AC131" s="1044">
        <f t="shared" si="79"/>
        <v>0</v>
      </c>
      <c r="AD131" s="1044">
        <f t="shared" si="80"/>
        <v>0</v>
      </c>
      <c r="AE131" s="1044">
        <f t="shared" si="81"/>
        <v>0</v>
      </c>
      <c r="AF131" s="1044">
        <f t="shared" si="82"/>
        <v>0</v>
      </c>
      <c r="AG131" s="1044">
        <f t="shared" si="83"/>
        <v>0</v>
      </c>
      <c r="AH131" s="1044">
        <f t="shared" si="84"/>
        <v>0</v>
      </c>
      <c r="AI131" s="1044">
        <f t="shared" si="85"/>
        <v>0</v>
      </c>
      <c r="AJ131" s="1044">
        <f t="shared" si="86"/>
        <v>0</v>
      </c>
      <c r="AK131" s="1044">
        <f t="shared" si="87"/>
        <v>0</v>
      </c>
      <c r="AL131" s="1044">
        <f t="shared" si="88"/>
        <v>0</v>
      </c>
      <c r="AM131" s="1044">
        <f t="shared" si="89"/>
        <v>0</v>
      </c>
      <c r="AN131" s="1044" t="str">
        <f t="shared" si="90"/>
        <v/>
      </c>
      <c r="AO131" s="1044" t="str">
        <f t="shared" si="91"/>
        <v/>
      </c>
      <c r="AP131" s="1044" t="str">
        <f t="shared" si="92"/>
        <v/>
      </c>
      <c r="AQ131" s="1044" t="str">
        <f t="shared" si="93"/>
        <v/>
      </c>
      <c r="AR131" s="1044" t="str">
        <f t="shared" si="94"/>
        <v/>
      </c>
      <c r="AS131" s="1044" t="str">
        <f t="shared" si="95"/>
        <v/>
      </c>
      <c r="AT131" s="1044" t="str">
        <f t="shared" si="96"/>
        <v/>
      </c>
      <c r="AU131" s="1044" t="str">
        <f t="shared" si="97"/>
        <v/>
      </c>
      <c r="AV131" s="1044" t="str">
        <f t="shared" si="98"/>
        <v/>
      </c>
      <c r="AW131" s="1044" t="str">
        <f t="shared" si="99"/>
        <v/>
      </c>
      <c r="AX131" s="1044" t="str">
        <f t="shared" si="100"/>
        <v/>
      </c>
      <c r="AY131" s="1044" t="str">
        <f t="shared" si="101"/>
        <v/>
      </c>
      <c r="AZ131" s="1044" t="str">
        <f t="shared" si="102"/>
        <v/>
      </c>
      <c r="BA131" s="1044" t="str">
        <f t="shared" si="103"/>
        <v/>
      </c>
      <c r="BB131" s="1044" t="str">
        <f t="shared" si="104"/>
        <v/>
      </c>
      <c r="BC131" s="1044" t="str">
        <f t="shared" si="105"/>
        <v/>
      </c>
      <c r="BF131" s="1" t="s">
        <v>7029</v>
      </c>
      <c r="BG131" s="1076" t="s">
        <v>689</v>
      </c>
      <c r="BH131" s="1" t="s">
        <v>223</v>
      </c>
      <c r="BI131" s="1" t="s">
        <v>7512</v>
      </c>
    </row>
    <row r="132" spans="1:61" ht="30" customHeight="1">
      <c r="A132" s="1085" t="str">
        <f t="shared" si="53"/>
        <v/>
      </c>
      <c r="B132" s="1086"/>
      <c r="C132" s="1085" t="s">
        <v>254</v>
      </c>
      <c r="D132" s="1087" t="str">
        <f t="shared" si="54"/>
        <v/>
      </c>
      <c r="E132" s="1088" t="str">
        <f t="shared" si="55"/>
        <v/>
      </c>
      <c r="F132" s="1089" t="str">
        <f t="shared" si="56"/>
        <v/>
      </c>
      <c r="G132" s="1090" t="str">
        <f t="shared" si="57"/>
        <v/>
      </c>
      <c r="H132" s="1085" t="str">
        <f t="shared" si="58"/>
        <v/>
      </c>
      <c r="I132" s="1085" t="str">
        <f t="shared" si="59"/>
        <v/>
      </c>
      <c r="J132" s="1090" t="str">
        <f t="shared" si="60"/>
        <v/>
      </c>
      <c r="K132" s="1044" t="str">
        <f t="shared" si="61"/>
        <v/>
      </c>
      <c r="L132" s="1044" t="str">
        <f t="shared" si="62"/>
        <v/>
      </c>
      <c r="M132" s="1044" t="str">
        <f t="shared" si="63"/>
        <v/>
      </c>
      <c r="N132" s="1044" t="str">
        <f t="shared" si="64"/>
        <v/>
      </c>
      <c r="O132" s="1044">
        <f t="shared" si="65"/>
        <v>0</v>
      </c>
      <c r="P132" s="1044">
        <f t="shared" si="66"/>
        <v>0</v>
      </c>
      <c r="Q132" s="1044">
        <f t="shared" si="67"/>
        <v>0</v>
      </c>
      <c r="R132" s="1044">
        <f t="shared" si="68"/>
        <v>0</v>
      </c>
      <c r="S132" s="1044">
        <f t="shared" si="69"/>
        <v>0</v>
      </c>
      <c r="T132" s="1044">
        <f t="shared" si="70"/>
        <v>0</v>
      </c>
      <c r="U132" s="1044">
        <f t="shared" si="71"/>
        <v>0</v>
      </c>
      <c r="V132" s="1044">
        <f t="shared" si="72"/>
        <v>0</v>
      </c>
      <c r="W132" s="1044">
        <f t="shared" si="73"/>
        <v>0</v>
      </c>
      <c r="X132" s="1044">
        <f t="shared" si="74"/>
        <v>0</v>
      </c>
      <c r="Y132" s="1044">
        <f t="shared" si="75"/>
        <v>0</v>
      </c>
      <c r="Z132" s="1044">
        <f t="shared" si="76"/>
        <v>0</v>
      </c>
      <c r="AA132" s="1044">
        <f t="shared" si="77"/>
        <v>0</v>
      </c>
      <c r="AB132" s="1044">
        <f t="shared" si="78"/>
        <v>0</v>
      </c>
      <c r="AC132" s="1044">
        <f t="shared" si="79"/>
        <v>0</v>
      </c>
      <c r="AD132" s="1044">
        <f t="shared" si="80"/>
        <v>0</v>
      </c>
      <c r="AE132" s="1044">
        <f t="shared" si="81"/>
        <v>0</v>
      </c>
      <c r="AF132" s="1044">
        <f t="shared" si="82"/>
        <v>0</v>
      </c>
      <c r="AG132" s="1044">
        <f t="shared" si="83"/>
        <v>0</v>
      </c>
      <c r="AH132" s="1044">
        <f t="shared" si="84"/>
        <v>0</v>
      </c>
      <c r="AI132" s="1044">
        <f t="shared" si="85"/>
        <v>0</v>
      </c>
      <c r="AJ132" s="1044">
        <f t="shared" si="86"/>
        <v>0</v>
      </c>
      <c r="AK132" s="1044">
        <f t="shared" si="87"/>
        <v>0</v>
      </c>
      <c r="AL132" s="1044">
        <f t="shared" si="88"/>
        <v>0</v>
      </c>
      <c r="AM132" s="1044">
        <f t="shared" si="89"/>
        <v>0</v>
      </c>
      <c r="AN132" s="1044" t="str">
        <f t="shared" si="90"/>
        <v/>
      </c>
      <c r="AO132" s="1044" t="str">
        <f t="shared" si="91"/>
        <v/>
      </c>
      <c r="AP132" s="1044" t="str">
        <f t="shared" si="92"/>
        <v/>
      </c>
      <c r="AQ132" s="1044" t="str">
        <f t="shared" si="93"/>
        <v/>
      </c>
      <c r="AR132" s="1044" t="str">
        <f t="shared" si="94"/>
        <v/>
      </c>
      <c r="AS132" s="1044" t="str">
        <f t="shared" si="95"/>
        <v/>
      </c>
      <c r="AT132" s="1044" t="str">
        <f t="shared" si="96"/>
        <v/>
      </c>
      <c r="AU132" s="1044" t="str">
        <f t="shared" si="97"/>
        <v/>
      </c>
      <c r="AV132" s="1044" t="str">
        <f t="shared" si="98"/>
        <v/>
      </c>
      <c r="AW132" s="1044" t="str">
        <f t="shared" si="99"/>
        <v/>
      </c>
      <c r="AX132" s="1044" t="str">
        <f t="shared" si="100"/>
        <v/>
      </c>
      <c r="AY132" s="1044" t="str">
        <f t="shared" si="101"/>
        <v/>
      </c>
      <c r="AZ132" s="1044" t="str">
        <f t="shared" si="102"/>
        <v/>
      </c>
      <c r="BA132" s="1044" t="str">
        <f t="shared" si="103"/>
        <v/>
      </c>
      <c r="BB132" s="1044" t="str">
        <f t="shared" si="104"/>
        <v/>
      </c>
      <c r="BC132" s="1044" t="str">
        <f t="shared" si="105"/>
        <v/>
      </c>
      <c r="BF132" s="1" t="s">
        <v>7029</v>
      </c>
      <c r="BG132" s="1076" t="s">
        <v>689</v>
      </c>
      <c r="BH132" s="1" t="s">
        <v>7088</v>
      </c>
      <c r="BI132" s="1" t="s">
        <v>7513</v>
      </c>
    </row>
    <row r="133" spans="1:61" ht="30" customHeight="1">
      <c r="A133" s="1085" t="str">
        <f t="shared" si="53"/>
        <v/>
      </c>
      <c r="B133" s="1086"/>
      <c r="C133" s="1085" t="s">
        <v>254</v>
      </c>
      <c r="D133" s="1087" t="str">
        <f t="shared" si="54"/>
        <v/>
      </c>
      <c r="E133" s="1088" t="str">
        <f t="shared" si="55"/>
        <v/>
      </c>
      <c r="F133" s="1089" t="str">
        <f t="shared" si="56"/>
        <v/>
      </c>
      <c r="G133" s="1090" t="str">
        <f t="shared" si="57"/>
        <v/>
      </c>
      <c r="H133" s="1085" t="str">
        <f t="shared" si="58"/>
        <v/>
      </c>
      <c r="I133" s="1085" t="str">
        <f t="shared" si="59"/>
        <v/>
      </c>
      <c r="J133" s="1090" t="str">
        <f t="shared" si="60"/>
        <v/>
      </c>
      <c r="K133" s="1044" t="str">
        <f t="shared" si="61"/>
        <v/>
      </c>
      <c r="L133" s="1044" t="str">
        <f t="shared" si="62"/>
        <v/>
      </c>
      <c r="M133" s="1044" t="str">
        <f t="shared" si="63"/>
        <v/>
      </c>
      <c r="N133" s="1044" t="str">
        <f t="shared" si="64"/>
        <v/>
      </c>
      <c r="O133" s="1044">
        <f t="shared" si="65"/>
        <v>0</v>
      </c>
      <c r="P133" s="1044">
        <f t="shared" si="66"/>
        <v>0</v>
      </c>
      <c r="Q133" s="1044">
        <f t="shared" si="67"/>
        <v>0</v>
      </c>
      <c r="R133" s="1044">
        <f t="shared" si="68"/>
        <v>0</v>
      </c>
      <c r="S133" s="1044">
        <f t="shared" si="69"/>
        <v>0</v>
      </c>
      <c r="T133" s="1044">
        <f t="shared" si="70"/>
        <v>0</v>
      </c>
      <c r="U133" s="1044">
        <f t="shared" si="71"/>
        <v>0</v>
      </c>
      <c r="V133" s="1044">
        <f t="shared" si="72"/>
        <v>0</v>
      </c>
      <c r="W133" s="1044">
        <f t="shared" si="73"/>
        <v>0</v>
      </c>
      <c r="X133" s="1044">
        <f t="shared" si="74"/>
        <v>0</v>
      </c>
      <c r="Y133" s="1044">
        <f t="shared" si="75"/>
        <v>0</v>
      </c>
      <c r="Z133" s="1044">
        <f t="shared" si="76"/>
        <v>0</v>
      </c>
      <c r="AA133" s="1044">
        <f t="shared" si="77"/>
        <v>0</v>
      </c>
      <c r="AB133" s="1044">
        <f t="shared" si="78"/>
        <v>0</v>
      </c>
      <c r="AC133" s="1044">
        <f t="shared" si="79"/>
        <v>0</v>
      </c>
      <c r="AD133" s="1044">
        <f t="shared" si="80"/>
        <v>0</v>
      </c>
      <c r="AE133" s="1044">
        <f t="shared" si="81"/>
        <v>0</v>
      </c>
      <c r="AF133" s="1044">
        <f t="shared" si="82"/>
        <v>0</v>
      </c>
      <c r="AG133" s="1044">
        <f t="shared" si="83"/>
        <v>0</v>
      </c>
      <c r="AH133" s="1044">
        <f t="shared" si="84"/>
        <v>0</v>
      </c>
      <c r="AI133" s="1044">
        <f t="shared" si="85"/>
        <v>0</v>
      </c>
      <c r="AJ133" s="1044">
        <f t="shared" si="86"/>
        <v>0</v>
      </c>
      <c r="AK133" s="1044">
        <f t="shared" si="87"/>
        <v>0</v>
      </c>
      <c r="AL133" s="1044">
        <f t="shared" si="88"/>
        <v>0</v>
      </c>
      <c r="AM133" s="1044">
        <f t="shared" si="89"/>
        <v>0</v>
      </c>
      <c r="AN133" s="1044" t="str">
        <f t="shared" si="90"/>
        <v/>
      </c>
      <c r="AO133" s="1044" t="str">
        <f t="shared" si="91"/>
        <v/>
      </c>
      <c r="AP133" s="1044" t="str">
        <f t="shared" si="92"/>
        <v/>
      </c>
      <c r="AQ133" s="1044" t="str">
        <f t="shared" si="93"/>
        <v/>
      </c>
      <c r="AR133" s="1044" t="str">
        <f t="shared" si="94"/>
        <v/>
      </c>
      <c r="AS133" s="1044" t="str">
        <f t="shared" si="95"/>
        <v/>
      </c>
      <c r="AT133" s="1044" t="str">
        <f t="shared" si="96"/>
        <v/>
      </c>
      <c r="AU133" s="1044" t="str">
        <f t="shared" si="97"/>
        <v/>
      </c>
      <c r="AV133" s="1044" t="str">
        <f t="shared" si="98"/>
        <v/>
      </c>
      <c r="AW133" s="1044" t="str">
        <f t="shared" si="99"/>
        <v/>
      </c>
      <c r="AX133" s="1044" t="str">
        <f t="shared" si="100"/>
        <v/>
      </c>
      <c r="AY133" s="1044" t="str">
        <f t="shared" si="101"/>
        <v/>
      </c>
      <c r="AZ133" s="1044" t="str">
        <f t="shared" si="102"/>
        <v/>
      </c>
      <c r="BA133" s="1044" t="str">
        <f t="shared" si="103"/>
        <v/>
      </c>
      <c r="BB133" s="1044" t="str">
        <f t="shared" si="104"/>
        <v/>
      </c>
      <c r="BC133" s="1044" t="str">
        <f t="shared" si="105"/>
        <v/>
      </c>
      <c r="BF133" s="1" t="s">
        <v>7029</v>
      </c>
      <c r="BG133" s="1076" t="s">
        <v>689</v>
      </c>
      <c r="BH133" s="1" t="s">
        <v>224</v>
      </c>
      <c r="BI133" s="1" t="s">
        <v>7514</v>
      </c>
    </row>
    <row r="134" spans="1:61" ht="30" customHeight="1">
      <c r="A134" s="1085" t="str">
        <f t="shared" si="53"/>
        <v/>
      </c>
      <c r="B134" s="1086"/>
      <c r="C134" s="1085" t="s">
        <v>254</v>
      </c>
      <c r="D134" s="1087" t="str">
        <f t="shared" si="54"/>
        <v/>
      </c>
      <c r="E134" s="1088" t="str">
        <f t="shared" si="55"/>
        <v/>
      </c>
      <c r="F134" s="1089" t="str">
        <f t="shared" si="56"/>
        <v/>
      </c>
      <c r="G134" s="1090" t="str">
        <f t="shared" si="57"/>
        <v/>
      </c>
      <c r="H134" s="1085" t="str">
        <f t="shared" si="58"/>
        <v/>
      </c>
      <c r="I134" s="1085" t="str">
        <f t="shared" si="59"/>
        <v/>
      </c>
      <c r="J134" s="1090" t="str">
        <f t="shared" si="60"/>
        <v/>
      </c>
      <c r="K134" s="1044" t="str">
        <f t="shared" si="61"/>
        <v/>
      </c>
      <c r="L134" s="1044" t="str">
        <f t="shared" si="62"/>
        <v/>
      </c>
      <c r="M134" s="1044" t="str">
        <f t="shared" si="63"/>
        <v/>
      </c>
      <c r="N134" s="1044" t="str">
        <f t="shared" si="64"/>
        <v/>
      </c>
      <c r="O134" s="1044">
        <f t="shared" si="65"/>
        <v>0</v>
      </c>
      <c r="P134" s="1044">
        <f t="shared" si="66"/>
        <v>0</v>
      </c>
      <c r="Q134" s="1044">
        <f t="shared" si="67"/>
        <v>0</v>
      </c>
      <c r="R134" s="1044">
        <f t="shared" si="68"/>
        <v>0</v>
      </c>
      <c r="S134" s="1044">
        <f t="shared" si="69"/>
        <v>0</v>
      </c>
      <c r="T134" s="1044">
        <f t="shared" si="70"/>
        <v>0</v>
      </c>
      <c r="U134" s="1044">
        <f t="shared" si="71"/>
        <v>0</v>
      </c>
      <c r="V134" s="1044">
        <f t="shared" si="72"/>
        <v>0</v>
      </c>
      <c r="W134" s="1044">
        <f t="shared" si="73"/>
        <v>0</v>
      </c>
      <c r="X134" s="1044">
        <f t="shared" si="74"/>
        <v>0</v>
      </c>
      <c r="Y134" s="1044">
        <f t="shared" si="75"/>
        <v>0</v>
      </c>
      <c r="Z134" s="1044">
        <f t="shared" si="76"/>
        <v>0</v>
      </c>
      <c r="AA134" s="1044">
        <f t="shared" si="77"/>
        <v>0</v>
      </c>
      <c r="AB134" s="1044">
        <f t="shared" si="78"/>
        <v>0</v>
      </c>
      <c r="AC134" s="1044">
        <f t="shared" si="79"/>
        <v>0</v>
      </c>
      <c r="AD134" s="1044">
        <f t="shared" si="80"/>
        <v>0</v>
      </c>
      <c r="AE134" s="1044">
        <f t="shared" si="81"/>
        <v>0</v>
      </c>
      <c r="AF134" s="1044">
        <f t="shared" si="82"/>
        <v>0</v>
      </c>
      <c r="AG134" s="1044">
        <f t="shared" si="83"/>
        <v>0</v>
      </c>
      <c r="AH134" s="1044">
        <f t="shared" si="84"/>
        <v>0</v>
      </c>
      <c r="AI134" s="1044">
        <f t="shared" si="85"/>
        <v>0</v>
      </c>
      <c r="AJ134" s="1044">
        <f t="shared" si="86"/>
        <v>0</v>
      </c>
      <c r="AK134" s="1044">
        <f t="shared" si="87"/>
        <v>0</v>
      </c>
      <c r="AL134" s="1044">
        <f t="shared" si="88"/>
        <v>0</v>
      </c>
      <c r="AM134" s="1044">
        <f t="shared" si="89"/>
        <v>0</v>
      </c>
      <c r="AN134" s="1044" t="str">
        <f t="shared" si="90"/>
        <v/>
      </c>
      <c r="AO134" s="1044" t="str">
        <f t="shared" si="91"/>
        <v/>
      </c>
      <c r="AP134" s="1044" t="str">
        <f t="shared" si="92"/>
        <v/>
      </c>
      <c r="AQ134" s="1044" t="str">
        <f t="shared" si="93"/>
        <v/>
      </c>
      <c r="AR134" s="1044" t="str">
        <f t="shared" si="94"/>
        <v/>
      </c>
      <c r="AS134" s="1044" t="str">
        <f t="shared" si="95"/>
        <v/>
      </c>
      <c r="AT134" s="1044" t="str">
        <f t="shared" si="96"/>
        <v/>
      </c>
      <c r="AU134" s="1044" t="str">
        <f t="shared" si="97"/>
        <v/>
      </c>
      <c r="AV134" s="1044" t="str">
        <f t="shared" si="98"/>
        <v/>
      </c>
      <c r="AW134" s="1044" t="str">
        <f t="shared" si="99"/>
        <v/>
      </c>
      <c r="AX134" s="1044" t="str">
        <f t="shared" si="100"/>
        <v/>
      </c>
      <c r="AY134" s="1044" t="str">
        <f t="shared" si="101"/>
        <v/>
      </c>
      <c r="AZ134" s="1044" t="str">
        <f t="shared" si="102"/>
        <v/>
      </c>
      <c r="BA134" s="1044" t="str">
        <f t="shared" si="103"/>
        <v/>
      </c>
      <c r="BB134" s="1044" t="str">
        <f t="shared" si="104"/>
        <v/>
      </c>
      <c r="BC134" s="1044" t="str">
        <f t="shared" si="105"/>
        <v/>
      </c>
      <c r="BF134" s="1" t="s">
        <v>7029</v>
      </c>
      <c r="BG134" s="1076" t="s">
        <v>689</v>
      </c>
      <c r="BH134" s="1" t="s">
        <v>7089</v>
      </c>
      <c r="BI134" s="1" t="s">
        <v>7515</v>
      </c>
    </row>
    <row r="135" spans="1:61" ht="30" customHeight="1">
      <c r="A135" s="1085" t="str">
        <f t="shared" si="53"/>
        <v/>
      </c>
      <c r="B135" s="1086"/>
      <c r="C135" s="1085" t="s">
        <v>254</v>
      </c>
      <c r="D135" s="1087" t="str">
        <f t="shared" si="54"/>
        <v/>
      </c>
      <c r="E135" s="1088" t="str">
        <f t="shared" si="55"/>
        <v/>
      </c>
      <c r="F135" s="1089" t="str">
        <f t="shared" si="56"/>
        <v/>
      </c>
      <c r="G135" s="1090" t="str">
        <f t="shared" si="57"/>
        <v/>
      </c>
      <c r="H135" s="1085" t="str">
        <f t="shared" si="58"/>
        <v/>
      </c>
      <c r="I135" s="1085" t="str">
        <f t="shared" si="59"/>
        <v/>
      </c>
      <c r="J135" s="1090" t="str">
        <f t="shared" si="60"/>
        <v/>
      </c>
      <c r="K135" s="1044" t="str">
        <f t="shared" si="61"/>
        <v/>
      </c>
      <c r="L135" s="1044" t="str">
        <f t="shared" si="62"/>
        <v/>
      </c>
      <c r="M135" s="1044" t="str">
        <f t="shared" si="63"/>
        <v/>
      </c>
      <c r="N135" s="1044" t="str">
        <f t="shared" si="64"/>
        <v/>
      </c>
      <c r="O135" s="1044">
        <f t="shared" si="65"/>
        <v>0</v>
      </c>
      <c r="P135" s="1044">
        <f t="shared" si="66"/>
        <v>0</v>
      </c>
      <c r="Q135" s="1044">
        <f t="shared" si="67"/>
        <v>0</v>
      </c>
      <c r="R135" s="1044">
        <f t="shared" si="68"/>
        <v>0</v>
      </c>
      <c r="S135" s="1044">
        <f t="shared" si="69"/>
        <v>0</v>
      </c>
      <c r="T135" s="1044">
        <f t="shared" si="70"/>
        <v>0</v>
      </c>
      <c r="U135" s="1044">
        <f t="shared" si="71"/>
        <v>0</v>
      </c>
      <c r="V135" s="1044">
        <f t="shared" si="72"/>
        <v>0</v>
      </c>
      <c r="W135" s="1044">
        <f t="shared" si="73"/>
        <v>0</v>
      </c>
      <c r="X135" s="1044">
        <f t="shared" si="74"/>
        <v>0</v>
      </c>
      <c r="Y135" s="1044">
        <f t="shared" si="75"/>
        <v>0</v>
      </c>
      <c r="Z135" s="1044">
        <f t="shared" si="76"/>
        <v>0</v>
      </c>
      <c r="AA135" s="1044">
        <f t="shared" si="77"/>
        <v>0</v>
      </c>
      <c r="AB135" s="1044">
        <f t="shared" si="78"/>
        <v>0</v>
      </c>
      <c r="AC135" s="1044">
        <f t="shared" si="79"/>
        <v>0</v>
      </c>
      <c r="AD135" s="1044">
        <f t="shared" si="80"/>
        <v>0</v>
      </c>
      <c r="AE135" s="1044">
        <f t="shared" si="81"/>
        <v>0</v>
      </c>
      <c r="AF135" s="1044">
        <f t="shared" si="82"/>
        <v>0</v>
      </c>
      <c r="AG135" s="1044">
        <f t="shared" si="83"/>
        <v>0</v>
      </c>
      <c r="AH135" s="1044">
        <f t="shared" si="84"/>
        <v>0</v>
      </c>
      <c r="AI135" s="1044">
        <f t="shared" si="85"/>
        <v>0</v>
      </c>
      <c r="AJ135" s="1044">
        <f t="shared" si="86"/>
        <v>0</v>
      </c>
      <c r="AK135" s="1044">
        <f t="shared" si="87"/>
        <v>0</v>
      </c>
      <c r="AL135" s="1044">
        <f t="shared" si="88"/>
        <v>0</v>
      </c>
      <c r="AM135" s="1044">
        <f t="shared" si="89"/>
        <v>0</v>
      </c>
      <c r="AN135" s="1044" t="str">
        <f t="shared" si="90"/>
        <v/>
      </c>
      <c r="AO135" s="1044" t="str">
        <f t="shared" si="91"/>
        <v/>
      </c>
      <c r="AP135" s="1044" t="str">
        <f t="shared" si="92"/>
        <v/>
      </c>
      <c r="AQ135" s="1044" t="str">
        <f t="shared" si="93"/>
        <v/>
      </c>
      <c r="AR135" s="1044" t="str">
        <f t="shared" si="94"/>
        <v/>
      </c>
      <c r="AS135" s="1044" t="str">
        <f t="shared" si="95"/>
        <v/>
      </c>
      <c r="AT135" s="1044" t="str">
        <f t="shared" si="96"/>
        <v/>
      </c>
      <c r="AU135" s="1044" t="str">
        <f t="shared" si="97"/>
        <v/>
      </c>
      <c r="AV135" s="1044" t="str">
        <f t="shared" si="98"/>
        <v/>
      </c>
      <c r="AW135" s="1044" t="str">
        <f t="shared" si="99"/>
        <v/>
      </c>
      <c r="AX135" s="1044" t="str">
        <f t="shared" si="100"/>
        <v/>
      </c>
      <c r="AY135" s="1044" t="str">
        <f t="shared" si="101"/>
        <v/>
      </c>
      <c r="AZ135" s="1044" t="str">
        <f t="shared" si="102"/>
        <v/>
      </c>
      <c r="BA135" s="1044" t="str">
        <f t="shared" si="103"/>
        <v/>
      </c>
      <c r="BB135" s="1044" t="str">
        <f t="shared" si="104"/>
        <v/>
      </c>
      <c r="BC135" s="1044" t="str">
        <f t="shared" si="105"/>
        <v/>
      </c>
      <c r="BF135" s="1" t="s">
        <v>7029</v>
      </c>
      <c r="BG135" s="1076" t="s">
        <v>689</v>
      </c>
      <c r="BH135" s="1" t="s">
        <v>7090</v>
      </c>
      <c r="BI135" s="1" t="s">
        <v>7516</v>
      </c>
    </row>
    <row r="136" spans="1:61" ht="30" customHeight="1">
      <c r="A136" s="1085" t="str">
        <f t="shared" si="53"/>
        <v/>
      </c>
      <c r="B136" s="1086"/>
      <c r="C136" s="1085" t="s">
        <v>254</v>
      </c>
      <c r="D136" s="1087" t="str">
        <f t="shared" si="54"/>
        <v/>
      </c>
      <c r="E136" s="1088" t="str">
        <f t="shared" si="55"/>
        <v/>
      </c>
      <c r="F136" s="1089" t="str">
        <f t="shared" si="56"/>
        <v/>
      </c>
      <c r="G136" s="1090" t="str">
        <f t="shared" si="57"/>
        <v/>
      </c>
      <c r="H136" s="1085" t="str">
        <f t="shared" si="58"/>
        <v/>
      </c>
      <c r="I136" s="1085" t="str">
        <f t="shared" si="59"/>
        <v/>
      </c>
      <c r="J136" s="1090" t="str">
        <f t="shared" si="60"/>
        <v/>
      </c>
      <c r="K136" s="1044" t="str">
        <f t="shared" si="61"/>
        <v/>
      </c>
      <c r="L136" s="1044" t="str">
        <f t="shared" si="62"/>
        <v/>
      </c>
      <c r="M136" s="1044" t="str">
        <f t="shared" si="63"/>
        <v/>
      </c>
      <c r="N136" s="1044" t="str">
        <f t="shared" si="64"/>
        <v/>
      </c>
      <c r="O136" s="1044">
        <f t="shared" si="65"/>
        <v>0</v>
      </c>
      <c r="P136" s="1044">
        <f t="shared" si="66"/>
        <v>0</v>
      </c>
      <c r="Q136" s="1044">
        <f t="shared" si="67"/>
        <v>0</v>
      </c>
      <c r="R136" s="1044">
        <f t="shared" si="68"/>
        <v>0</v>
      </c>
      <c r="S136" s="1044">
        <f t="shared" si="69"/>
        <v>0</v>
      </c>
      <c r="T136" s="1044">
        <f t="shared" si="70"/>
        <v>0</v>
      </c>
      <c r="U136" s="1044">
        <f t="shared" si="71"/>
        <v>0</v>
      </c>
      <c r="V136" s="1044">
        <f t="shared" si="72"/>
        <v>0</v>
      </c>
      <c r="W136" s="1044">
        <f t="shared" si="73"/>
        <v>0</v>
      </c>
      <c r="X136" s="1044">
        <f t="shared" si="74"/>
        <v>0</v>
      </c>
      <c r="Y136" s="1044">
        <f t="shared" si="75"/>
        <v>0</v>
      </c>
      <c r="Z136" s="1044">
        <f t="shared" si="76"/>
        <v>0</v>
      </c>
      <c r="AA136" s="1044">
        <f t="shared" si="77"/>
        <v>0</v>
      </c>
      <c r="AB136" s="1044">
        <f t="shared" si="78"/>
        <v>0</v>
      </c>
      <c r="AC136" s="1044">
        <f t="shared" si="79"/>
        <v>0</v>
      </c>
      <c r="AD136" s="1044">
        <f t="shared" si="80"/>
        <v>0</v>
      </c>
      <c r="AE136" s="1044">
        <f t="shared" si="81"/>
        <v>0</v>
      </c>
      <c r="AF136" s="1044">
        <f t="shared" si="82"/>
        <v>0</v>
      </c>
      <c r="AG136" s="1044">
        <f t="shared" si="83"/>
        <v>0</v>
      </c>
      <c r="AH136" s="1044">
        <f t="shared" si="84"/>
        <v>0</v>
      </c>
      <c r="AI136" s="1044">
        <f t="shared" si="85"/>
        <v>0</v>
      </c>
      <c r="AJ136" s="1044">
        <f t="shared" si="86"/>
        <v>0</v>
      </c>
      <c r="AK136" s="1044">
        <f t="shared" si="87"/>
        <v>0</v>
      </c>
      <c r="AL136" s="1044">
        <f t="shared" si="88"/>
        <v>0</v>
      </c>
      <c r="AM136" s="1044">
        <f t="shared" si="89"/>
        <v>0</v>
      </c>
      <c r="AN136" s="1044" t="str">
        <f t="shared" si="90"/>
        <v/>
      </c>
      <c r="AO136" s="1044" t="str">
        <f t="shared" si="91"/>
        <v/>
      </c>
      <c r="AP136" s="1044" t="str">
        <f t="shared" si="92"/>
        <v/>
      </c>
      <c r="AQ136" s="1044" t="str">
        <f t="shared" si="93"/>
        <v/>
      </c>
      <c r="AR136" s="1044" t="str">
        <f t="shared" si="94"/>
        <v/>
      </c>
      <c r="AS136" s="1044" t="str">
        <f t="shared" si="95"/>
        <v/>
      </c>
      <c r="AT136" s="1044" t="str">
        <f t="shared" si="96"/>
        <v/>
      </c>
      <c r="AU136" s="1044" t="str">
        <f t="shared" si="97"/>
        <v/>
      </c>
      <c r="AV136" s="1044" t="str">
        <f t="shared" si="98"/>
        <v/>
      </c>
      <c r="AW136" s="1044" t="str">
        <f t="shared" si="99"/>
        <v/>
      </c>
      <c r="AX136" s="1044" t="str">
        <f t="shared" si="100"/>
        <v/>
      </c>
      <c r="AY136" s="1044" t="str">
        <f t="shared" si="101"/>
        <v/>
      </c>
      <c r="AZ136" s="1044" t="str">
        <f t="shared" si="102"/>
        <v/>
      </c>
      <c r="BA136" s="1044" t="str">
        <f t="shared" si="103"/>
        <v/>
      </c>
      <c r="BB136" s="1044" t="str">
        <f t="shared" si="104"/>
        <v/>
      </c>
      <c r="BC136" s="1044" t="str">
        <f t="shared" si="105"/>
        <v/>
      </c>
      <c r="BF136" s="1" t="s">
        <v>7029</v>
      </c>
      <c r="BG136" s="1076" t="s">
        <v>689</v>
      </c>
      <c r="BH136" s="1" t="s">
        <v>225</v>
      </c>
      <c r="BI136" s="1" t="s">
        <v>7517</v>
      </c>
    </row>
    <row r="137" spans="1:61" ht="30" customHeight="1">
      <c r="A137" s="1085" t="str">
        <f t="shared" si="53"/>
        <v/>
      </c>
      <c r="B137" s="1086"/>
      <c r="C137" s="1085" t="s">
        <v>254</v>
      </c>
      <c r="D137" s="1087" t="str">
        <f t="shared" si="54"/>
        <v/>
      </c>
      <c r="E137" s="1088" t="str">
        <f t="shared" si="55"/>
        <v/>
      </c>
      <c r="F137" s="1089" t="str">
        <f t="shared" si="56"/>
        <v/>
      </c>
      <c r="G137" s="1090" t="str">
        <f t="shared" si="57"/>
        <v/>
      </c>
      <c r="H137" s="1085" t="str">
        <f t="shared" si="58"/>
        <v/>
      </c>
      <c r="I137" s="1085" t="str">
        <f t="shared" si="59"/>
        <v/>
      </c>
      <c r="J137" s="1090" t="str">
        <f t="shared" si="60"/>
        <v/>
      </c>
      <c r="K137" s="1044" t="str">
        <f t="shared" si="61"/>
        <v/>
      </c>
      <c r="L137" s="1044" t="str">
        <f t="shared" si="62"/>
        <v/>
      </c>
      <c r="M137" s="1044" t="str">
        <f t="shared" si="63"/>
        <v/>
      </c>
      <c r="N137" s="1044" t="str">
        <f t="shared" si="64"/>
        <v/>
      </c>
      <c r="O137" s="1044">
        <f t="shared" si="65"/>
        <v>0</v>
      </c>
      <c r="P137" s="1044">
        <f t="shared" si="66"/>
        <v>0</v>
      </c>
      <c r="Q137" s="1044">
        <f t="shared" si="67"/>
        <v>0</v>
      </c>
      <c r="R137" s="1044">
        <f t="shared" si="68"/>
        <v>0</v>
      </c>
      <c r="S137" s="1044">
        <f t="shared" si="69"/>
        <v>0</v>
      </c>
      <c r="T137" s="1044">
        <f t="shared" si="70"/>
        <v>0</v>
      </c>
      <c r="U137" s="1044">
        <f t="shared" si="71"/>
        <v>0</v>
      </c>
      <c r="V137" s="1044">
        <f t="shared" si="72"/>
        <v>0</v>
      </c>
      <c r="W137" s="1044">
        <f t="shared" si="73"/>
        <v>0</v>
      </c>
      <c r="X137" s="1044">
        <f t="shared" si="74"/>
        <v>0</v>
      </c>
      <c r="Y137" s="1044">
        <f t="shared" si="75"/>
        <v>0</v>
      </c>
      <c r="Z137" s="1044">
        <f t="shared" si="76"/>
        <v>0</v>
      </c>
      <c r="AA137" s="1044">
        <f t="shared" si="77"/>
        <v>0</v>
      </c>
      <c r="AB137" s="1044">
        <f t="shared" si="78"/>
        <v>0</v>
      </c>
      <c r="AC137" s="1044">
        <f t="shared" si="79"/>
        <v>0</v>
      </c>
      <c r="AD137" s="1044">
        <f t="shared" si="80"/>
        <v>0</v>
      </c>
      <c r="AE137" s="1044">
        <f t="shared" si="81"/>
        <v>0</v>
      </c>
      <c r="AF137" s="1044">
        <f t="shared" si="82"/>
        <v>0</v>
      </c>
      <c r="AG137" s="1044">
        <f t="shared" si="83"/>
        <v>0</v>
      </c>
      <c r="AH137" s="1044">
        <f t="shared" si="84"/>
        <v>0</v>
      </c>
      <c r="AI137" s="1044">
        <f t="shared" si="85"/>
        <v>0</v>
      </c>
      <c r="AJ137" s="1044">
        <f t="shared" si="86"/>
        <v>0</v>
      </c>
      <c r="AK137" s="1044">
        <f t="shared" si="87"/>
        <v>0</v>
      </c>
      <c r="AL137" s="1044">
        <f t="shared" si="88"/>
        <v>0</v>
      </c>
      <c r="AM137" s="1044">
        <f t="shared" si="89"/>
        <v>0</v>
      </c>
      <c r="AN137" s="1044" t="str">
        <f t="shared" si="90"/>
        <v/>
      </c>
      <c r="AO137" s="1044" t="str">
        <f t="shared" si="91"/>
        <v/>
      </c>
      <c r="AP137" s="1044" t="str">
        <f t="shared" si="92"/>
        <v/>
      </c>
      <c r="AQ137" s="1044" t="str">
        <f t="shared" si="93"/>
        <v/>
      </c>
      <c r="AR137" s="1044" t="str">
        <f t="shared" si="94"/>
        <v/>
      </c>
      <c r="AS137" s="1044" t="str">
        <f t="shared" si="95"/>
        <v/>
      </c>
      <c r="AT137" s="1044" t="str">
        <f t="shared" si="96"/>
        <v/>
      </c>
      <c r="AU137" s="1044" t="str">
        <f t="shared" si="97"/>
        <v/>
      </c>
      <c r="AV137" s="1044" t="str">
        <f t="shared" si="98"/>
        <v/>
      </c>
      <c r="AW137" s="1044" t="str">
        <f t="shared" si="99"/>
        <v/>
      </c>
      <c r="AX137" s="1044" t="str">
        <f t="shared" si="100"/>
        <v/>
      </c>
      <c r="AY137" s="1044" t="str">
        <f t="shared" si="101"/>
        <v/>
      </c>
      <c r="AZ137" s="1044" t="str">
        <f t="shared" si="102"/>
        <v/>
      </c>
      <c r="BA137" s="1044" t="str">
        <f t="shared" si="103"/>
        <v/>
      </c>
      <c r="BB137" s="1044" t="str">
        <f t="shared" si="104"/>
        <v/>
      </c>
      <c r="BC137" s="1044" t="str">
        <f t="shared" si="105"/>
        <v/>
      </c>
      <c r="BF137" s="1" t="s">
        <v>7029</v>
      </c>
      <c r="BG137" s="1076" t="s">
        <v>689</v>
      </c>
      <c r="BH137" s="1" t="s">
        <v>4847</v>
      </c>
      <c r="BI137" s="1" t="s">
        <v>7518</v>
      </c>
    </row>
    <row r="138" spans="1:61" ht="30" customHeight="1">
      <c r="A138" s="1085" t="str">
        <f t="shared" si="53"/>
        <v/>
      </c>
      <c r="B138" s="1086"/>
      <c r="C138" s="1085" t="s">
        <v>254</v>
      </c>
      <c r="D138" s="1087" t="str">
        <f t="shared" si="54"/>
        <v/>
      </c>
      <c r="E138" s="1088" t="str">
        <f t="shared" si="55"/>
        <v/>
      </c>
      <c r="F138" s="1089" t="str">
        <f t="shared" si="56"/>
        <v/>
      </c>
      <c r="G138" s="1090" t="str">
        <f t="shared" si="57"/>
        <v/>
      </c>
      <c r="H138" s="1085" t="str">
        <f t="shared" si="58"/>
        <v/>
      </c>
      <c r="I138" s="1085" t="str">
        <f t="shared" si="59"/>
        <v/>
      </c>
      <c r="J138" s="1090" t="str">
        <f t="shared" si="60"/>
        <v/>
      </c>
      <c r="K138" s="1044" t="str">
        <f t="shared" si="61"/>
        <v/>
      </c>
      <c r="L138" s="1044" t="str">
        <f t="shared" si="62"/>
        <v/>
      </c>
      <c r="M138" s="1044" t="str">
        <f t="shared" si="63"/>
        <v/>
      </c>
      <c r="N138" s="1044" t="str">
        <f t="shared" si="64"/>
        <v/>
      </c>
      <c r="O138" s="1044">
        <f t="shared" si="65"/>
        <v>0</v>
      </c>
      <c r="P138" s="1044">
        <f t="shared" si="66"/>
        <v>0</v>
      </c>
      <c r="Q138" s="1044">
        <f t="shared" si="67"/>
        <v>0</v>
      </c>
      <c r="R138" s="1044">
        <f t="shared" si="68"/>
        <v>0</v>
      </c>
      <c r="S138" s="1044">
        <f t="shared" si="69"/>
        <v>0</v>
      </c>
      <c r="T138" s="1044">
        <f t="shared" si="70"/>
        <v>0</v>
      </c>
      <c r="U138" s="1044">
        <f t="shared" si="71"/>
        <v>0</v>
      </c>
      <c r="V138" s="1044">
        <f t="shared" si="72"/>
        <v>0</v>
      </c>
      <c r="W138" s="1044">
        <f t="shared" si="73"/>
        <v>0</v>
      </c>
      <c r="X138" s="1044">
        <f t="shared" si="74"/>
        <v>0</v>
      </c>
      <c r="Y138" s="1044">
        <f t="shared" si="75"/>
        <v>0</v>
      </c>
      <c r="Z138" s="1044">
        <f t="shared" si="76"/>
        <v>0</v>
      </c>
      <c r="AA138" s="1044">
        <f t="shared" si="77"/>
        <v>0</v>
      </c>
      <c r="AB138" s="1044">
        <f t="shared" si="78"/>
        <v>0</v>
      </c>
      <c r="AC138" s="1044">
        <f t="shared" si="79"/>
        <v>0</v>
      </c>
      <c r="AD138" s="1044">
        <f t="shared" si="80"/>
        <v>0</v>
      </c>
      <c r="AE138" s="1044">
        <f t="shared" si="81"/>
        <v>0</v>
      </c>
      <c r="AF138" s="1044">
        <f t="shared" si="82"/>
        <v>0</v>
      </c>
      <c r="AG138" s="1044">
        <f t="shared" si="83"/>
        <v>0</v>
      </c>
      <c r="AH138" s="1044">
        <f t="shared" si="84"/>
        <v>0</v>
      </c>
      <c r="AI138" s="1044">
        <f t="shared" si="85"/>
        <v>0</v>
      </c>
      <c r="AJ138" s="1044">
        <f t="shared" si="86"/>
        <v>0</v>
      </c>
      <c r="AK138" s="1044">
        <f t="shared" si="87"/>
        <v>0</v>
      </c>
      <c r="AL138" s="1044">
        <f t="shared" si="88"/>
        <v>0</v>
      </c>
      <c r="AM138" s="1044">
        <f t="shared" si="89"/>
        <v>0</v>
      </c>
      <c r="AN138" s="1044" t="str">
        <f t="shared" si="90"/>
        <v/>
      </c>
      <c r="AO138" s="1044" t="str">
        <f t="shared" si="91"/>
        <v/>
      </c>
      <c r="AP138" s="1044" t="str">
        <f t="shared" si="92"/>
        <v/>
      </c>
      <c r="AQ138" s="1044" t="str">
        <f t="shared" si="93"/>
        <v/>
      </c>
      <c r="AR138" s="1044" t="str">
        <f t="shared" si="94"/>
        <v/>
      </c>
      <c r="AS138" s="1044" t="str">
        <f t="shared" si="95"/>
        <v/>
      </c>
      <c r="AT138" s="1044" t="str">
        <f t="shared" si="96"/>
        <v/>
      </c>
      <c r="AU138" s="1044" t="str">
        <f t="shared" si="97"/>
        <v/>
      </c>
      <c r="AV138" s="1044" t="str">
        <f t="shared" si="98"/>
        <v/>
      </c>
      <c r="AW138" s="1044" t="str">
        <f t="shared" si="99"/>
        <v/>
      </c>
      <c r="AX138" s="1044" t="str">
        <f t="shared" si="100"/>
        <v/>
      </c>
      <c r="AY138" s="1044" t="str">
        <f t="shared" si="101"/>
        <v/>
      </c>
      <c r="AZ138" s="1044" t="str">
        <f t="shared" si="102"/>
        <v/>
      </c>
      <c r="BA138" s="1044" t="str">
        <f t="shared" si="103"/>
        <v/>
      </c>
      <c r="BB138" s="1044" t="str">
        <f t="shared" si="104"/>
        <v/>
      </c>
      <c r="BC138" s="1044" t="str">
        <f t="shared" si="105"/>
        <v/>
      </c>
      <c r="BF138" s="1" t="s">
        <v>7029</v>
      </c>
      <c r="BG138" s="1076" t="s">
        <v>689</v>
      </c>
      <c r="BH138" s="1" t="s">
        <v>4849</v>
      </c>
      <c r="BI138" s="1" t="s">
        <v>7519</v>
      </c>
    </row>
    <row r="139" spans="1:61" ht="30" customHeight="1">
      <c r="A139" s="1085" t="str">
        <f t="shared" si="53"/>
        <v/>
      </c>
      <c r="B139" s="1086"/>
      <c r="C139" s="1085" t="s">
        <v>254</v>
      </c>
      <c r="D139" s="1087" t="str">
        <f t="shared" si="54"/>
        <v/>
      </c>
      <c r="E139" s="1088" t="str">
        <f t="shared" si="55"/>
        <v/>
      </c>
      <c r="F139" s="1089" t="str">
        <f t="shared" si="56"/>
        <v/>
      </c>
      <c r="G139" s="1090" t="str">
        <f t="shared" si="57"/>
        <v/>
      </c>
      <c r="H139" s="1085" t="str">
        <f t="shared" si="58"/>
        <v/>
      </c>
      <c r="I139" s="1085" t="str">
        <f t="shared" si="59"/>
        <v/>
      </c>
      <c r="J139" s="1090" t="str">
        <f t="shared" si="60"/>
        <v/>
      </c>
      <c r="K139" s="1044" t="str">
        <f t="shared" si="61"/>
        <v/>
      </c>
      <c r="L139" s="1044" t="str">
        <f t="shared" si="62"/>
        <v/>
      </c>
      <c r="M139" s="1044" t="str">
        <f t="shared" si="63"/>
        <v/>
      </c>
      <c r="N139" s="1044" t="str">
        <f t="shared" si="64"/>
        <v/>
      </c>
      <c r="O139" s="1044">
        <f t="shared" si="65"/>
        <v>0</v>
      </c>
      <c r="P139" s="1044">
        <f t="shared" si="66"/>
        <v>0</v>
      </c>
      <c r="Q139" s="1044">
        <f t="shared" si="67"/>
        <v>0</v>
      </c>
      <c r="R139" s="1044">
        <f t="shared" si="68"/>
        <v>0</v>
      </c>
      <c r="S139" s="1044">
        <f t="shared" si="69"/>
        <v>0</v>
      </c>
      <c r="T139" s="1044">
        <f t="shared" si="70"/>
        <v>0</v>
      </c>
      <c r="U139" s="1044">
        <f t="shared" si="71"/>
        <v>0</v>
      </c>
      <c r="V139" s="1044">
        <f t="shared" si="72"/>
        <v>0</v>
      </c>
      <c r="W139" s="1044">
        <f t="shared" si="73"/>
        <v>0</v>
      </c>
      <c r="X139" s="1044">
        <f t="shared" si="74"/>
        <v>0</v>
      </c>
      <c r="Y139" s="1044">
        <f t="shared" si="75"/>
        <v>0</v>
      </c>
      <c r="Z139" s="1044">
        <f t="shared" si="76"/>
        <v>0</v>
      </c>
      <c r="AA139" s="1044">
        <f t="shared" si="77"/>
        <v>0</v>
      </c>
      <c r="AB139" s="1044">
        <f t="shared" si="78"/>
        <v>0</v>
      </c>
      <c r="AC139" s="1044">
        <f t="shared" si="79"/>
        <v>0</v>
      </c>
      <c r="AD139" s="1044">
        <f t="shared" si="80"/>
        <v>0</v>
      </c>
      <c r="AE139" s="1044">
        <f t="shared" si="81"/>
        <v>0</v>
      </c>
      <c r="AF139" s="1044">
        <f t="shared" si="82"/>
        <v>0</v>
      </c>
      <c r="AG139" s="1044">
        <f t="shared" si="83"/>
        <v>0</v>
      </c>
      <c r="AH139" s="1044">
        <f t="shared" si="84"/>
        <v>0</v>
      </c>
      <c r="AI139" s="1044">
        <f t="shared" si="85"/>
        <v>0</v>
      </c>
      <c r="AJ139" s="1044">
        <f t="shared" si="86"/>
        <v>0</v>
      </c>
      <c r="AK139" s="1044">
        <f t="shared" si="87"/>
        <v>0</v>
      </c>
      <c r="AL139" s="1044">
        <f t="shared" si="88"/>
        <v>0</v>
      </c>
      <c r="AM139" s="1044">
        <f t="shared" si="89"/>
        <v>0</v>
      </c>
      <c r="AN139" s="1044" t="str">
        <f t="shared" si="90"/>
        <v/>
      </c>
      <c r="AO139" s="1044" t="str">
        <f t="shared" si="91"/>
        <v/>
      </c>
      <c r="AP139" s="1044" t="str">
        <f t="shared" si="92"/>
        <v/>
      </c>
      <c r="AQ139" s="1044" t="str">
        <f t="shared" si="93"/>
        <v/>
      </c>
      <c r="AR139" s="1044" t="str">
        <f t="shared" si="94"/>
        <v/>
      </c>
      <c r="AS139" s="1044" t="str">
        <f t="shared" si="95"/>
        <v/>
      </c>
      <c r="AT139" s="1044" t="str">
        <f t="shared" si="96"/>
        <v/>
      </c>
      <c r="AU139" s="1044" t="str">
        <f t="shared" si="97"/>
        <v/>
      </c>
      <c r="AV139" s="1044" t="str">
        <f t="shared" si="98"/>
        <v/>
      </c>
      <c r="AW139" s="1044" t="str">
        <f t="shared" si="99"/>
        <v/>
      </c>
      <c r="AX139" s="1044" t="str">
        <f t="shared" si="100"/>
        <v/>
      </c>
      <c r="AY139" s="1044" t="str">
        <f t="shared" si="101"/>
        <v/>
      </c>
      <c r="AZ139" s="1044" t="str">
        <f t="shared" si="102"/>
        <v/>
      </c>
      <c r="BA139" s="1044" t="str">
        <f t="shared" si="103"/>
        <v/>
      </c>
      <c r="BB139" s="1044" t="str">
        <f t="shared" si="104"/>
        <v/>
      </c>
      <c r="BC139" s="1044" t="str">
        <f t="shared" si="105"/>
        <v/>
      </c>
      <c r="BF139" s="1" t="s">
        <v>7029</v>
      </c>
      <c r="BG139" s="1076" t="s">
        <v>689</v>
      </c>
      <c r="BH139" s="1" t="s">
        <v>305</v>
      </c>
      <c r="BI139" s="1" t="s">
        <v>7520</v>
      </c>
    </row>
    <row r="140" spans="1:61" ht="30" customHeight="1">
      <c r="A140" s="1085" t="str">
        <f t="shared" si="53"/>
        <v/>
      </c>
      <c r="B140" s="1086"/>
      <c r="C140" s="1085" t="s">
        <v>254</v>
      </c>
      <c r="D140" s="1087" t="str">
        <f t="shared" si="54"/>
        <v/>
      </c>
      <c r="E140" s="1088" t="str">
        <f t="shared" si="55"/>
        <v/>
      </c>
      <c r="F140" s="1089" t="str">
        <f t="shared" si="56"/>
        <v/>
      </c>
      <c r="G140" s="1090" t="str">
        <f t="shared" si="57"/>
        <v/>
      </c>
      <c r="H140" s="1085" t="str">
        <f t="shared" si="58"/>
        <v/>
      </c>
      <c r="I140" s="1085" t="str">
        <f t="shared" si="59"/>
        <v/>
      </c>
      <c r="J140" s="1090" t="str">
        <f t="shared" si="60"/>
        <v/>
      </c>
      <c r="K140" s="1044" t="str">
        <f t="shared" si="61"/>
        <v/>
      </c>
      <c r="L140" s="1044" t="str">
        <f t="shared" si="62"/>
        <v/>
      </c>
      <c r="M140" s="1044" t="str">
        <f t="shared" si="63"/>
        <v/>
      </c>
      <c r="N140" s="1044" t="str">
        <f t="shared" si="64"/>
        <v/>
      </c>
      <c r="O140" s="1044">
        <f t="shared" si="65"/>
        <v>0</v>
      </c>
      <c r="P140" s="1044">
        <f t="shared" si="66"/>
        <v>0</v>
      </c>
      <c r="Q140" s="1044">
        <f t="shared" si="67"/>
        <v>0</v>
      </c>
      <c r="R140" s="1044">
        <f t="shared" si="68"/>
        <v>0</v>
      </c>
      <c r="S140" s="1044">
        <f t="shared" si="69"/>
        <v>0</v>
      </c>
      <c r="T140" s="1044">
        <f t="shared" si="70"/>
        <v>0</v>
      </c>
      <c r="U140" s="1044">
        <f t="shared" si="71"/>
        <v>0</v>
      </c>
      <c r="V140" s="1044">
        <f t="shared" si="72"/>
        <v>0</v>
      </c>
      <c r="W140" s="1044">
        <f t="shared" si="73"/>
        <v>0</v>
      </c>
      <c r="X140" s="1044">
        <f t="shared" si="74"/>
        <v>0</v>
      </c>
      <c r="Y140" s="1044">
        <f t="shared" si="75"/>
        <v>0</v>
      </c>
      <c r="Z140" s="1044">
        <f t="shared" si="76"/>
        <v>0</v>
      </c>
      <c r="AA140" s="1044">
        <f t="shared" si="77"/>
        <v>0</v>
      </c>
      <c r="AB140" s="1044">
        <f t="shared" si="78"/>
        <v>0</v>
      </c>
      <c r="AC140" s="1044">
        <f t="shared" si="79"/>
        <v>0</v>
      </c>
      <c r="AD140" s="1044">
        <f t="shared" si="80"/>
        <v>0</v>
      </c>
      <c r="AE140" s="1044">
        <f t="shared" si="81"/>
        <v>0</v>
      </c>
      <c r="AF140" s="1044">
        <f t="shared" si="82"/>
        <v>0</v>
      </c>
      <c r="AG140" s="1044">
        <f t="shared" si="83"/>
        <v>0</v>
      </c>
      <c r="AH140" s="1044">
        <f t="shared" si="84"/>
        <v>0</v>
      </c>
      <c r="AI140" s="1044">
        <f t="shared" si="85"/>
        <v>0</v>
      </c>
      <c r="AJ140" s="1044">
        <f t="shared" si="86"/>
        <v>0</v>
      </c>
      <c r="AK140" s="1044">
        <f t="shared" si="87"/>
        <v>0</v>
      </c>
      <c r="AL140" s="1044">
        <f t="shared" si="88"/>
        <v>0</v>
      </c>
      <c r="AM140" s="1044">
        <f t="shared" si="89"/>
        <v>0</v>
      </c>
      <c r="AN140" s="1044" t="str">
        <f t="shared" si="90"/>
        <v/>
      </c>
      <c r="AO140" s="1044" t="str">
        <f t="shared" si="91"/>
        <v/>
      </c>
      <c r="AP140" s="1044" t="str">
        <f t="shared" si="92"/>
        <v/>
      </c>
      <c r="AQ140" s="1044" t="str">
        <f t="shared" si="93"/>
        <v/>
      </c>
      <c r="AR140" s="1044" t="str">
        <f t="shared" si="94"/>
        <v/>
      </c>
      <c r="AS140" s="1044" t="str">
        <f t="shared" si="95"/>
        <v/>
      </c>
      <c r="AT140" s="1044" t="str">
        <f t="shared" si="96"/>
        <v/>
      </c>
      <c r="AU140" s="1044" t="str">
        <f t="shared" si="97"/>
        <v/>
      </c>
      <c r="AV140" s="1044" t="str">
        <f t="shared" si="98"/>
        <v/>
      </c>
      <c r="AW140" s="1044" t="str">
        <f t="shared" si="99"/>
        <v/>
      </c>
      <c r="AX140" s="1044" t="str">
        <f t="shared" si="100"/>
        <v/>
      </c>
      <c r="AY140" s="1044" t="str">
        <f t="shared" si="101"/>
        <v/>
      </c>
      <c r="AZ140" s="1044" t="str">
        <f t="shared" si="102"/>
        <v/>
      </c>
      <c r="BA140" s="1044" t="str">
        <f t="shared" si="103"/>
        <v/>
      </c>
      <c r="BB140" s="1044" t="str">
        <f t="shared" si="104"/>
        <v/>
      </c>
      <c r="BC140" s="1044" t="str">
        <f t="shared" si="105"/>
        <v/>
      </c>
      <c r="BF140" s="1" t="s">
        <v>7029</v>
      </c>
      <c r="BG140" s="1076" t="s">
        <v>689</v>
      </c>
      <c r="BH140" s="1" t="s">
        <v>7091</v>
      </c>
      <c r="BI140" s="1" t="s">
        <v>7521</v>
      </c>
    </row>
    <row r="141" spans="1:61" ht="30" customHeight="1">
      <c r="A141" s="1085" t="str">
        <f t="shared" si="53"/>
        <v/>
      </c>
      <c r="B141" s="1086"/>
      <c r="C141" s="1085" t="s">
        <v>254</v>
      </c>
      <c r="D141" s="1087" t="str">
        <f t="shared" si="54"/>
        <v/>
      </c>
      <c r="E141" s="1088" t="str">
        <f t="shared" si="55"/>
        <v/>
      </c>
      <c r="F141" s="1089" t="str">
        <f t="shared" si="56"/>
        <v/>
      </c>
      <c r="G141" s="1090" t="str">
        <f t="shared" si="57"/>
        <v/>
      </c>
      <c r="H141" s="1085" t="str">
        <f t="shared" si="58"/>
        <v/>
      </c>
      <c r="I141" s="1085" t="str">
        <f t="shared" si="59"/>
        <v/>
      </c>
      <c r="J141" s="1090" t="str">
        <f t="shared" si="60"/>
        <v/>
      </c>
      <c r="K141" s="1044" t="str">
        <f t="shared" si="61"/>
        <v/>
      </c>
      <c r="L141" s="1044" t="str">
        <f t="shared" si="62"/>
        <v/>
      </c>
      <c r="M141" s="1044" t="str">
        <f t="shared" si="63"/>
        <v/>
      </c>
      <c r="N141" s="1044" t="str">
        <f t="shared" si="64"/>
        <v/>
      </c>
      <c r="O141" s="1044">
        <f t="shared" si="65"/>
        <v>0</v>
      </c>
      <c r="P141" s="1044">
        <f t="shared" si="66"/>
        <v>0</v>
      </c>
      <c r="Q141" s="1044">
        <f t="shared" si="67"/>
        <v>0</v>
      </c>
      <c r="R141" s="1044">
        <f t="shared" si="68"/>
        <v>0</v>
      </c>
      <c r="S141" s="1044">
        <f t="shared" si="69"/>
        <v>0</v>
      </c>
      <c r="T141" s="1044">
        <f t="shared" si="70"/>
        <v>0</v>
      </c>
      <c r="U141" s="1044">
        <f t="shared" si="71"/>
        <v>0</v>
      </c>
      <c r="V141" s="1044">
        <f t="shared" si="72"/>
        <v>0</v>
      </c>
      <c r="W141" s="1044">
        <f t="shared" si="73"/>
        <v>0</v>
      </c>
      <c r="X141" s="1044">
        <f t="shared" si="74"/>
        <v>0</v>
      </c>
      <c r="Y141" s="1044">
        <f t="shared" si="75"/>
        <v>0</v>
      </c>
      <c r="Z141" s="1044">
        <f t="shared" si="76"/>
        <v>0</v>
      </c>
      <c r="AA141" s="1044">
        <f t="shared" si="77"/>
        <v>0</v>
      </c>
      <c r="AB141" s="1044">
        <f t="shared" si="78"/>
        <v>0</v>
      </c>
      <c r="AC141" s="1044">
        <f t="shared" si="79"/>
        <v>0</v>
      </c>
      <c r="AD141" s="1044">
        <f t="shared" si="80"/>
        <v>0</v>
      </c>
      <c r="AE141" s="1044">
        <f t="shared" si="81"/>
        <v>0</v>
      </c>
      <c r="AF141" s="1044">
        <f t="shared" si="82"/>
        <v>0</v>
      </c>
      <c r="AG141" s="1044">
        <f t="shared" si="83"/>
        <v>0</v>
      </c>
      <c r="AH141" s="1044">
        <f t="shared" si="84"/>
        <v>0</v>
      </c>
      <c r="AI141" s="1044">
        <f t="shared" si="85"/>
        <v>0</v>
      </c>
      <c r="AJ141" s="1044">
        <f t="shared" si="86"/>
        <v>0</v>
      </c>
      <c r="AK141" s="1044">
        <f t="shared" si="87"/>
        <v>0</v>
      </c>
      <c r="AL141" s="1044">
        <f t="shared" si="88"/>
        <v>0</v>
      </c>
      <c r="AM141" s="1044">
        <f t="shared" si="89"/>
        <v>0</v>
      </c>
      <c r="AN141" s="1044" t="str">
        <f t="shared" si="90"/>
        <v/>
      </c>
      <c r="AO141" s="1044" t="str">
        <f t="shared" si="91"/>
        <v/>
      </c>
      <c r="AP141" s="1044" t="str">
        <f t="shared" si="92"/>
        <v/>
      </c>
      <c r="AQ141" s="1044" t="str">
        <f t="shared" si="93"/>
        <v/>
      </c>
      <c r="AR141" s="1044" t="str">
        <f t="shared" si="94"/>
        <v/>
      </c>
      <c r="AS141" s="1044" t="str">
        <f t="shared" si="95"/>
        <v/>
      </c>
      <c r="AT141" s="1044" t="str">
        <f t="shared" si="96"/>
        <v/>
      </c>
      <c r="AU141" s="1044" t="str">
        <f t="shared" si="97"/>
        <v/>
      </c>
      <c r="AV141" s="1044" t="str">
        <f t="shared" si="98"/>
        <v/>
      </c>
      <c r="AW141" s="1044" t="str">
        <f t="shared" si="99"/>
        <v/>
      </c>
      <c r="AX141" s="1044" t="str">
        <f t="shared" si="100"/>
        <v/>
      </c>
      <c r="AY141" s="1044" t="str">
        <f t="shared" si="101"/>
        <v/>
      </c>
      <c r="AZ141" s="1044" t="str">
        <f t="shared" si="102"/>
        <v/>
      </c>
      <c r="BA141" s="1044" t="str">
        <f t="shared" si="103"/>
        <v/>
      </c>
      <c r="BB141" s="1044" t="str">
        <f t="shared" si="104"/>
        <v/>
      </c>
      <c r="BC141" s="1044" t="str">
        <f t="shared" si="105"/>
        <v/>
      </c>
      <c r="BF141" s="1" t="s">
        <v>7029</v>
      </c>
      <c r="BG141" s="1076" t="s">
        <v>689</v>
      </c>
      <c r="BH141" s="1" t="s">
        <v>7092</v>
      </c>
      <c r="BI141" s="1" t="s">
        <v>7522</v>
      </c>
    </row>
    <row r="142" spans="1:61" ht="30" customHeight="1">
      <c r="A142" s="1085" t="str">
        <f t="shared" si="53"/>
        <v/>
      </c>
      <c r="B142" s="1086"/>
      <c r="C142" s="1085" t="s">
        <v>254</v>
      </c>
      <c r="D142" s="1087" t="str">
        <f t="shared" si="54"/>
        <v/>
      </c>
      <c r="E142" s="1088" t="str">
        <f t="shared" si="55"/>
        <v/>
      </c>
      <c r="F142" s="1089" t="str">
        <f t="shared" si="56"/>
        <v/>
      </c>
      <c r="G142" s="1090" t="str">
        <f t="shared" si="57"/>
        <v/>
      </c>
      <c r="H142" s="1085" t="str">
        <f t="shared" si="58"/>
        <v/>
      </c>
      <c r="I142" s="1085" t="str">
        <f t="shared" si="59"/>
        <v/>
      </c>
      <c r="J142" s="1090" t="str">
        <f t="shared" si="60"/>
        <v/>
      </c>
      <c r="K142" s="1044" t="str">
        <f t="shared" si="61"/>
        <v/>
      </c>
      <c r="L142" s="1044" t="str">
        <f t="shared" si="62"/>
        <v/>
      </c>
      <c r="M142" s="1044" t="str">
        <f t="shared" si="63"/>
        <v/>
      </c>
      <c r="N142" s="1044" t="str">
        <f t="shared" si="64"/>
        <v/>
      </c>
      <c r="O142" s="1044">
        <f t="shared" si="65"/>
        <v>0</v>
      </c>
      <c r="P142" s="1044">
        <f t="shared" si="66"/>
        <v>0</v>
      </c>
      <c r="Q142" s="1044">
        <f t="shared" si="67"/>
        <v>0</v>
      </c>
      <c r="R142" s="1044">
        <f t="shared" si="68"/>
        <v>0</v>
      </c>
      <c r="S142" s="1044">
        <f t="shared" si="69"/>
        <v>0</v>
      </c>
      <c r="T142" s="1044">
        <f t="shared" si="70"/>
        <v>0</v>
      </c>
      <c r="U142" s="1044">
        <f t="shared" si="71"/>
        <v>0</v>
      </c>
      <c r="V142" s="1044">
        <f t="shared" si="72"/>
        <v>0</v>
      </c>
      <c r="W142" s="1044">
        <f t="shared" si="73"/>
        <v>0</v>
      </c>
      <c r="X142" s="1044">
        <f t="shared" si="74"/>
        <v>0</v>
      </c>
      <c r="Y142" s="1044">
        <f t="shared" si="75"/>
        <v>0</v>
      </c>
      <c r="Z142" s="1044">
        <f t="shared" si="76"/>
        <v>0</v>
      </c>
      <c r="AA142" s="1044">
        <f t="shared" si="77"/>
        <v>0</v>
      </c>
      <c r="AB142" s="1044">
        <f t="shared" si="78"/>
        <v>0</v>
      </c>
      <c r="AC142" s="1044">
        <f t="shared" si="79"/>
        <v>0</v>
      </c>
      <c r="AD142" s="1044">
        <f t="shared" si="80"/>
        <v>0</v>
      </c>
      <c r="AE142" s="1044">
        <f t="shared" si="81"/>
        <v>0</v>
      </c>
      <c r="AF142" s="1044">
        <f t="shared" si="82"/>
        <v>0</v>
      </c>
      <c r="AG142" s="1044">
        <f t="shared" si="83"/>
        <v>0</v>
      </c>
      <c r="AH142" s="1044">
        <f t="shared" si="84"/>
        <v>0</v>
      </c>
      <c r="AI142" s="1044">
        <f t="shared" si="85"/>
        <v>0</v>
      </c>
      <c r="AJ142" s="1044">
        <f t="shared" si="86"/>
        <v>0</v>
      </c>
      <c r="AK142" s="1044">
        <f t="shared" si="87"/>
        <v>0</v>
      </c>
      <c r="AL142" s="1044">
        <f t="shared" si="88"/>
        <v>0</v>
      </c>
      <c r="AM142" s="1044">
        <f t="shared" si="89"/>
        <v>0</v>
      </c>
      <c r="AN142" s="1044" t="str">
        <f t="shared" si="90"/>
        <v/>
      </c>
      <c r="AO142" s="1044" t="str">
        <f t="shared" si="91"/>
        <v/>
      </c>
      <c r="AP142" s="1044" t="str">
        <f t="shared" si="92"/>
        <v/>
      </c>
      <c r="AQ142" s="1044" t="str">
        <f t="shared" si="93"/>
        <v/>
      </c>
      <c r="AR142" s="1044" t="str">
        <f t="shared" si="94"/>
        <v/>
      </c>
      <c r="AS142" s="1044" t="str">
        <f t="shared" si="95"/>
        <v/>
      </c>
      <c r="AT142" s="1044" t="str">
        <f t="shared" si="96"/>
        <v/>
      </c>
      <c r="AU142" s="1044" t="str">
        <f t="shared" si="97"/>
        <v/>
      </c>
      <c r="AV142" s="1044" t="str">
        <f t="shared" si="98"/>
        <v/>
      </c>
      <c r="AW142" s="1044" t="str">
        <f t="shared" si="99"/>
        <v/>
      </c>
      <c r="AX142" s="1044" t="str">
        <f t="shared" si="100"/>
        <v/>
      </c>
      <c r="AY142" s="1044" t="str">
        <f t="shared" si="101"/>
        <v/>
      </c>
      <c r="AZ142" s="1044" t="str">
        <f t="shared" si="102"/>
        <v/>
      </c>
      <c r="BA142" s="1044" t="str">
        <f t="shared" si="103"/>
        <v/>
      </c>
      <c r="BB142" s="1044" t="str">
        <f t="shared" si="104"/>
        <v/>
      </c>
      <c r="BC142" s="1044" t="str">
        <f t="shared" si="105"/>
        <v/>
      </c>
      <c r="BF142" s="1" t="s">
        <v>7029</v>
      </c>
      <c r="BG142" s="1076" t="s">
        <v>689</v>
      </c>
      <c r="BH142" s="1" t="s">
        <v>4854</v>
      </c>
      <c r="BI142" s="1" t="s">
        <v>7523</v>
      </c>
    </row>
    <row r="143" spans="1:61" ht="30" customHeight="1">
      <c r="A143" s="1085" t="str">
        <f t="shared" si="53"/>
        <v/>
      </c>
      <c r="B143" s="1086"/>
      <c r="C143" s="1085" t="s">
        <v>254</v>
      </c>
      <c r="D143" s="1087" t="str">
        <f t="shared" si="54"/>
        <v/>
      </c>
      <c r="E143" s="1088" t="str">
        <f t="shared" si="55"/>
        <v/>
      </c>
      <c r="F143" s="1089" t="str">
        <f t="shared" si="56"/>
        <v/>
      </c>
      <c r="G143" s="1090" t="str">
        <f t="shared" si="57"/>
        <v/>
      </c>
      <c r="H143" s="1085" t="str">
        <f t="shared" si="58"/>
        <v/>
      </c>
      <c r="I143" s="1085" t="str">
        <f t="shared" si="59"/>
        <v/>
      </c>
      <c r="J143" s="1090" t="str">
        <f t="shared" si="60"/>
        <v/>
      </c>
      <c r="K143" s="1044" t="str">
        <f t="shared" si="61"/>
        <v/>
      </c>
      <c r="L143" s="1044" t="str">
        <f t="shared" si="62"/>
        <v/>
      </c>
      <c r="M143" s="1044" t="str">
        <f t="shared" si="63"/>
        <v/>
      </c>
      <c r="N143" s="1044" t="str">
        <f t="shared" si="64"/>
        <v/>
      </c>
      <c r="O143" s="1044">
        <f t="shared" si="65"/>
        <v>0</v>
      </c>
      <c r="P143" s="1044">
        <f t="shared" si="66"/>
        <v>0</v>
      </c>
      <c r="Q143" s="1044">
        <f t="shared" si="67"/>
        <v>0</v>
      </c>
      <c r="R143" s="1044">
        <f t="shared" si="68"/>
        <v>0</v>
      </c>
      <c r="S143" s="1044">
        <f t="shared" si="69"/>
        <v>0</v>
      </c>
      <c r="T143" s="1044">
        <f t="shared" si="70"/>
        <v>0</v>
      </c>
      <c r="U143" s="1044">
        <f t="shared" si="71"/>
        <v>0</v>
      </c>
      <c r="V143" s="1044">
        <f t="shared" si="72"/>
        <v>0</v>
      </c>
      <c r="W143" s="1044">
        <f t="shared" si="73"/>
        <v>0</v>
      </c>
      <c r="X143" s="1044">
        <f t="shared" si="74"/>
        <v>0</v>
      </c>
      <c r="Y143" s="1044">
        <f t="shared" si="75"/>
        <v>0</v>
      </c>
      <c r="Z143" s="1044">
        <f t="shared" si="76"/>
        <v>0</v>
      </c>
      <c r="AA143" s="1044">
        <f t="shared" si="77"/>
        <v>0</v>
      </c>
      <c r="AB143" s="1044">
        <f t="shared" si="78"/>
        <v>0</v>
      </c>
      <c r="AC143" s="1044">
        <f t="shared" si="79"/>
        <v>0</v>
      </c>
      <c r="AD143" s="1044">
        <f t="shared" si="80"/>
        <v>0</v>
      </c>
      <c r="AE143" s="1044">
        <f t="shared" si="81"/>
        <v>0</v>
      </c>
      <c r="AF143" s="1044">
        <f t="shared" si="82"/>
        <v>0</v>
      </c>
      <c r="AG143" s="1044">
        <f t="shared" si="83"/>
        <v>0</v>
      </c>
      <c r="AH143" s="1044">
        <f t="shared" si="84"/>
        <v>0</v>
      </c>
      <c r="AI143" s="1044">
        <f t="shared" si="85"/>
        <v>0</v>
      </c>
      <c r="AJ143" s="1044">
        <f t="shared" si="86"/>
        <v>0</v>
      </c>
      <c r="AK143" s="1044">
        <f t="shared" si="87"/>
        <v>0</v>
      </c>
      <c r="AL143" s="1044">
        <f t="shared" si="88"/>
        <v>0</v>
      </c>
      <c r="AM143" s="1044">
        <f t="shared" si="89"/>
        <v>0</v>
      </c>
      <c r="AN143" s="1044" t="str">
        <f t="shared" si="90"/>
        <v/>
      </c>
      <c r="AO143" s="1044" t="str">
        <f t="shared" si="91"/>
        <v/>
      </c>
      <c r="AP143" s="1044" t="str">
        <f t="shared" si="92"/>
        <v/>
      </c>
      <c r="AQ143" s="1044" t="str">
        <f t="shared" si="93"/>
        <v/>
      </c>
      <c r="AR143" s="1044" t="str">
        <f t="shared" si="94"/>
        <v/>
      </c>
      <c r="AS143" s="1044" t="str">
        <f t="shared" si="95"/>
        <v/>
      </c>
      <c r="AT143" s="1044" t="str">
        <f t="shared" si="96"/>
        <v/>
      </c>
      <c r="AU143" s="1044" t="str">
        <f t="shared" si="97"/>
        <v/>
      </c>
      <c r="AV143" s="1044" t="str">
        <f t="shared" si="98"/>
        <v/>
      </c>
      <c r="AW143" s="1044" t="str">
        <f t="shared" si="99"/>
        <v/>
      </c>
      <c r="AX143" s="1044" t="str">
        <f t="shared" si="100"/>
        <v/>
      </c>
      <c r="AY143" s="1044" t="str">
        <f t="shared" si="101"/>
        <v/>
      </c>
      <c r="AZ143" s="1044" t="str">
        <f t="shared" si="102"/>
        <v/>
      </c>
      <c r="BA143" s="1044" t="str">
        <f t="shared" si="103"/>
        <v/>
      </c>
      <c r="BB143" s="1044" t="str">
        <f t="shared" si="104"/>
        <v/>
      </c>
      <c r="BC143" s="1044" t="str">
        <f t="shared" si="105"/>
        <v/>
      </c>
      <c r="BF143" s="1" t="s">
        <v>7029</v>
      </c>
      <c r="BG143" s="1076" t="s">
        <v>689</v>
      </c>
      <c r="BH143" s="1" t="s">
        <v>7093</v>
      </c>
      <c r="BI143" s="1" t="s">
        <v>7524</v>
      </c>
    </row>
    <row r="144" spans="1:61" ht="30" customHeight="1">
      <c r="A144" s="1085" t="str">
        <f t="shared" ref="A144:A200" si="106">IF(B144="","",ROW())</f>
        <v/>
      </c>
      <c r="B144" s="1086"/>
      <c r="C144" s="1085" t="s">
        <v>254</v>
      </c>
      <c r="D144" s="1087" t="str">
        <f t="shared" ref="D144:D200" si="107">IF(B144="","",TRIM(SUBSTITUTE(B144,"*",""))&amp;IF(COUNTIF(E144,"*⚠*")&gt;0," *",""))</f>
        <v/>
      </c>
      <c r="E144" s="1088" t="str">
        <f t="shared" ref="E144:E200" si="108">IF(B144="","",MID(IF(AN144&lt;&gt;""," • "&amp;AN144,"")&amp;IF(AP144&lt;&gt;""," • "&amp;AP144,"")&amp;IF(AQ144&lt;&gt;""," • "&amp;AQ144,"")&amp;IF(AR144&lt;&gt;""," • "&amp;AR144,"")&amp;IF(AS144&lt;&gt;""," • "&amp;AS144,"")&amp;IF(AT144&lt;&gt;""," • "&amp;AT144,"")&amp;IF(AU144&lt;&gt;""," • "&amp;AU144,"")&amp;IF(AW144&lt;&gt;""," • "&amp;AW144,"")&amp;IF(AX144&lt;&gt;""," • "&amp;AX144,"")&amp;IF(AY144&lt;&gt;""," • "&amp;AY144,"")&amp;IF(AZ144&lt;&gt;""," • "&amp;AZ144,"")&amp;IF(BA144&lt;&gt;""," • "&amp;BA144,"")&amp;IF(BB144&lt;&gt;""," • "&amp;BB144,"")&amp;IF(BC144&lt;&gt;""," • "&amp;BC144,""),4,32767))</f>
        <v/>
      </c>
      <c r="F144" s="1089" t="str">
        <f t="shared" ref="F144:F200" si="109">IF(B144="","",TRIM(B144)&amp;IF(H144&gt;0," *",""))</f>
        <v/>
      </c>
      <c r="G144" s="1090" t="str">
        <f t="shared" ref="G144:G200" si="110">IF(B144="","",MID(IF(AO144&lt;&gt;""," • "&amp;AO144,"")&amp;IF(AV144&lt;&gt;""," • "&amp;AV144,""),4,32767))</f>
        <v/>
      </c>
      <c r="H144" s="1085" t="str">
        <f t="shared" ref="H144:H200" si="111">IF(B144="","",--(AN144&lt;&gt;"")+--(AP144&lt;&gt;"")+--(AQ144&lt;&gt;"")+--(AR144&lt;&gt;"")+--(AS144&lt;&gt;"")+--(AT144&lt;&gt;"")+--(AU144&lt;&gt;"")+--(AW144&lt;&gt;"")+--(AX144&lt;&gt;"")+--(AY144&lt;&gt;"")+--(AZ144&lt;&gt;"")+--(BA144&lt;&gt;"")+--(BB144&lt;&gt;"")+--(BC144&lt;&gt;""))</f>
        <v/>
      </c>
      <c r="I144" s="1085" t="str">
        <f t="shared" ref="I144:I200" si="112">IF(B144="","",--(AO144&lt;&gt;"")+--(AV144&lt;&gt;""))</f>
        <v/>
      </c>
      <c r="J144" s="1090" t="str">
        <f t="shared" ref="J144:J200" si="113">IF(B144="","",IF(E144&lt;&gt;"",E144,IF(G144&lt;&gt;"",G144,"aucun match")))</f>
        <v/>
      </c>
      <c r="K144" s="1044" t="str">
        <f t="shared" ref="K144:K200" si="114">IF(B144="","",LOWER(B144))</f>
        <v/>
      </c>
      <c r="L144" s="1044" t="str">
        <f t="shared" ref="L144:L200" si="115">IF(K144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K144,"œ","oe"),"æ","ae"),"à","a"),"á","a"),"â","a"),"ä","a"),"ã","a"),"å","a"),"ç","c"),"è","e"),"é","e"),"ê","e"),"ë","e"),"ì","i"),"í","i"),"î","i"),"ï","i"),"ñ","n"),"ò","o"),"ó","o"),"ô","o"),"ö","o"),"õ","o"),"ù","u"),"ú","u"),"û","u"),"ü","u"),"ý","y"),"ÿ","y"))</f>
        <v/>
      </c>
      <c r="M144" s="1044" t="str">
        <f t="shared" ref="M144:M200" si="116">IF(L144="","",SUBSTITUTE(SUBSTITUTE(SUBSTITUTE(SUBSTITUTE(SUBSTITUTE(SUBSTITUTE(SUBSTITUTE(SUBSTITUTE(SUBSTITUTE(SUBSTITUTE(SUBSTITUTE(SUBSTITUTE(SUBSTITUTE(SUBSTITUTE(SUBSTITUTE(SUBSTITUTE(SUBSTITUTE(L144,CHAR(10)," "),CHAR(13)," "),","," "),"."," "),":"," "),"/"," "),"-"," "),"_"," "),CHAR(34)," "),CHAR(40)," "),CHAR(41)," "),CHAR(39)," "),"?"," "),"!"," "),"+"," "),"*"," "),"&amp;"," "))</f>
        <v/>
      </c>
      <c r="N144" s="1044" t="str">
        <f t="shared" ref="N144:N200" si="117">IF(M144="",""," "&amp;TRIM(SUBSTITUTE(SUBSTITUTE(SUBSTITUTE(M144,"  "," "),"  "," "),"  "," "))&amp;" ")</f>
        <v/>
      </c>
      <c r="O144" s="1044">
        <f t="shared" ref="O144:O200" si="118">IF($B144="",0,SUMPRODUCT(($BF$2:$BF$793="Gluten")*($BG$2:$BG$793="INFO")*(COUNTIF($N144,"*"&amp;$BH$2:$BH$793&amp;"*")&gt;0)*1))</f>
        <v>0</v>
      </c>
      <c r="P144" s="1044">
        <f t="shared" ref="P144:P200" si="119">IF($B144="",0,SUMPRODUCT(($BF$2:$BF$793="Gluten")*($BG$2:$BG$793="EXCL")*(COUNTIF($N144,"*"&amp;$BH$2:$BH$793&amp;"*")&gt;0)*1))</f>
        <v>0</v>
      </c>
      <c r="Q144" s="1044">
        <f t="shared" ref="Q144:Q200" si="120">IF($B144="",0,SUMPRODUCT(($BF$2:$BF$793="Gluten")*($BG$2:$BG$793="ALERTE")*(COUNTIF($N144,"*"&amp;$BH$2:$BH$793&amp;"*")&gt;0)*1))</f>
        <v>0</v>
      </c>
      <c r="R144" s="1044">
        <f t="shared" ref="R144:R200" si="121">IF($B144="",0,SUMPRODUCT(($BF$2:$BF$793="Gluten")*($BG$2:$BG$793="SUSP")*(COUNTIF($N144,"*"&amp;$BH$2:$BH$793&amp;"*")&gt;0)*1))</f>
        <v>0</v>
      </c>
      <c r="S144" s="1044">
        <f t="shared" ref="S144:S200" si="122">IF($B144="",0,SUMPRODUCT(($BF$2:$BF$793="Crustaces")*($BG$2:$BG$793="ALERTE")*(COUNTIF($N144,"*"&amp;$BH$2:$BH$793&amp;"*")&gt;0)*1))</f>
        <v>0</v>
      </c>
      <c r="T144" s="1044">
        <f t="shared" ref="T144:T200" si="123">IF($B144="",0,SUMPRODUCT(($BF$2:$BF$793="Oeufs")*($BG$2:$BG$793="ALERTE")*(COUNTIF($N144,"*"&amp;$BH$2:$BH$793&amp;"*")&gt;0)*1))</f>
        <v>0</v>
      </c>
      <c r="U144" s="1044">
        <f t="shared" ref="U144:U200" si="124">IF($B144="",0,SUMPRODUCT(($BF$2:$BF$793="Poissons")*($BG$2:$BG$793="INFO")*(COUNTIF($N144,"*"&amp;$BH$2:$BH$793&amp;"*")&gt;0)*1))</f>
        <v>0</v>
      </c>
      <c r="V144" s="1044">
        <f t="shared" ref="V144:V200" si="125">IF($B144="",0,SUMPRODUCT(($BF$2:$BF$793="Poissons")*($BG$2:$BG$793="EXCL")*(COUNTIF($N144,"*"&amp;$BH$2:$BH$793&amp;"*")&gt;0)*1))</f>
        <v>0</v>
      </c>
      <c r="W144" s="1044">
        <f t="shared" ref="W144:W200" si="126">IF($B144="",0,SUMPRODUCT(($BF$2:$BF$793="Poissons")*($BG$2:$BG$793="ALERTE")*(COUNTIF($N144,"*"&amp;$BH$2:$BH$793&amp;"*")&gt;0)*1))</f>
        <v>0</v>
      </c>
      <c r="X144" s="1044">
        <f t="shared" ref="X144:X200" si="127">IF($B144="",0,SUMPRODUCT(($BF$2:$BF$793="Arachides")*($BG$2:$BG$793="ALERTE")*(COUNTIF($N144,"*"&amp;$BH$2:$BH$793&amp;"*")&gt;0)*1))</f>
        <v>0</v>
      </c>
      <c r="Y144" s="1044">
        <f t="shared" ref="Y144:Y200" si="128">IF($B144="",0,SUMPRODUCT(($BF$2:$BF$793="Soja")*($BG$2:$BG$793="INFO")*(COUNTIF($N144,"*"&amp;$BH$2:$BH$793&amp;"*")&gt;0)*1))</f>
        <v>0</v>
      </c>
      <c r="Z144" s="1044">
        <f t="shared" ref="Z144:Z200" si="129">IF($B144="",0,SUMPRODUCT(($BF$2:$BF$793="Soja")*($BG$2:$BG$793="ALERTE")*(COUNTIF($N144,"*"&amp;$BH$2:$BH$793&amp;"*")&gt;0)*1))</f>
        <v>0</v>
      </c>
      <c r="AA144" s="1044">
        <f t="shared" ref="AA144:AA200" si="130">IF($B144="",0,SUMPRODUCT(($BF$2:$BF$793="Lait")*($BG$2:$BG$793="INFO")*(COUNTIF($N144,"*"&amp;$BH$2:$BH$793&amp;"*")&gt;0)*1))</f>
        <v>0</v>
      </c>
      <c r="AB144" s="1044">
        <f t="shared" ref="AB144:AB200" si="131">IF($B144="",0,SUMPRODUCT(($BF$2:$BF$793="Lait")*($BG$2:$BG$793="EXCL")*(COUNTIF($N144,"*"&amp;$BH$2:$BH$793&amp;"*")&gt;0)*1))</f>
        <v>0</v>
      </c>
      <c r="AC144" s="1044">
        <f t="shared" ref="AC144:AC200" si="132">IF($B144="",0,SUMPRODUCT(($BF$2:$BF$793="Lait")*($BG$2:$BG$793="ALERTE")*(COUNTIF($N144,"*"&amp;$BH$2:$BH$793&amp;"*")&gt;0)*1))</f>
        <v>0</v>
      </c>
      <c r="AD144" s="1044">
        <f t="shared" ref="AD144:AD200" si="133">IF($B144="",0,SUMPRODUCT(($BF$2:$BF$793="Lait")*($BG$2:$BG$793="SUSP")*(COUNTIF($N144,"*"&amp;$BH$2:$BH$793&amp;"*")&gt;0)*1))</f>
        <v>0</v>
      </c>
      <c r="AE144" s="1044">
        <f t="shared" ref="AE144:AE200" si="134">IF($B144="",0,SUMPRODUCT(($BF$2:$BF$793="Fruits a coque")*($BG$2:$BG$793="EXCL")*(COUNTIF($N144,"*"&amp;$BH$2:$BH$793&amp;"*")&gt;0)*1))</f>
        <v>0</v>
      </c>
      <c r="AF144" s="1044">
        <f t="shared" ref="AF144:AF200" si="135">IF($B144="",0,SUMPRODUCT(($BF$2:$BF$793="Fruits a coque")*($BG$2:$BG$793="ALERTE")*(COUNTIF($N144,"*"&amp;$BH$2:$BH$793&amp;"*")&gt;0)*1))</f>
        <v>0</v>
      </c>
      <c r="AG144" s="1044">
        <f t="shared" ref="AG144:AG200" si="136">IF($B144="",0,SUMPRODUCT(($BF$2:$BF$793="Celeri")*($BG$2:$BG$793="ALERTE")*(COUNTIF($N144,"*"&amp;$BH$2:$BH$793&amp;"*")&gt;0)*1))</f>
        <v>0</v>
      </c>
      <c r="AH144" s="1044">
        <f t="shared" ref="AH144:AH200" si="137">IF($B144="",0,SUMPRODUCT(($BF$2:$BF$793="Moutarde")*($BG$2:$BG$793="ALERTE")*(COUNTIF($N144,"*"&amp;$BH$2:$BH$793&amp;"*")&gt;0)*1))</f>
        <v>0</v>
      </c>
      <c r="AI144" s="1044">
        <f t="shared" ref="AI144:AI200" si="138">IF($B144="",0,SUMPRODUCT(($BF$2:$BF$793="Sesame")*($BG$2:$BG$793="ALERTE")*(COUNTIF($N144,"*"&amp;$BH$2:$BH$793&amp;"*")&gt;0)*1))</f>
        <v>0</v>
      </c>
      <c r="AJ144" s="1044">
        <f t="shared" ref="AJ144:AJ200" si="139">IF($B144="",0,SUMPRODUCT(($BF$2:$BF$793="Sulfites")*($BG$2:$BG$793="ALERTE")*(COUNTIF($N144,"*"&amp;$BH$2:$BH$793&amp;"*")&gt;0)*1))</f>
        <v>0</v>
      </c>
      <c r="AK144" s="1044">
        <f t="shared" ref="AK144:AK200" si="140">IF($B144="",0,SUMPRODUCT(($BF$2:$BF$793="Lupin")*($BG$2:$BG$793="ALERTE")*(COUNTIF($N144,"*"&amp;$BH$2:$BH$793&amp;"*")&gt;0)*1))</f>
        <v>0</v>
      </c>
      <c r="AL144" s="1044">
        <f t="shared" ref="AL144:AL200" si="141">IF($B144="",0,SUMPRODUCT(($BF$2:$BF$793="Mollusques")*($BG$2:$BG$793="EXCL")*(COUNTIF($N144,"*"&amp;$BH$2:$BH$793&amp;"*")&gt;0)*1))</f>
        <v>0</v>
      </c>
      <c r="AM144" s="1044">
        <f t="shared" ref="AM144:AM200" si="142">IF($B144="",0,SUMPRODUCT(($BF$2:$BF$793="Mollusques")*($BG$2:$BG$793="ALERTE")*(COUNTIF($N144,"*"&amp;$BH$2:$BH$793&amp;"*")&gt;0)*1))</f>
        <v>0</v>
      </c>
      <c r="AN144" s="1044" t="str">
        <f t="shared" ref="AN144:AN200" si="143">IF(B144="","",IF(O144&gt;0,"info Gluten",IF(AND(Q144&gt;0,P144=0),"⚠ Gluten","")))</f>
        <v/>
      </c>
      <c r="AO144" s="1044" t="str">
        <f t="shared" ref="AO144:AO200" si="144">IF(B144="","",IF(AND(AN144="",R144&gt;0,P144=0),"suspicion Gluten",""))</f>
        <v/>
      </c>
      <c r="AP144" s="1044" t="str">
        <f t="shared" ref="AP144:AP200" si="145">IF(B144="","",IF(S144&gt;0,"⚠ Crustaces",""))</f>
        <v/>
      </c>
      <c r="AQ144" s="1044" t="str">
        <f t="shared" ref="AQ144:AQ200" si="146">IF(B144="","",IF(T144&gt;0,"⚠ Oeufs",""))</f>
        <v/>
      </c>
      <c r="AR144" s="1044" t="str">
        <f t="shared" ref="AR144:AR200" si="147">IF(B144="","",IF(U144&gt;0,"info Poissons",IF(AND(W144&gt;0,V144=0),"⚠ Poissons","")))</f>
        <v/>
      </c>
      <c r="AS144" s="1044" t="str">
        <f t="shared" ref="AS144:AS200" si="148">IF(B144="","",IF(X144&gt;0,"⚠ Arachides",""))</f>
        <v/>
      </c>
      <c r="AT144" s="1044" t="str">
        <f t="shared" ref="AT144:AT200" si="149">IF(B144="","",IF(Y144&gt;0,"info Soja",IF(Z144&gt;0,"⚠ Soja","")))</f>
        <v/>
      </c>
      <c r="AU144" s="1044" t="str">
        <f t="shared" ref="AU144:AU200" si="150">IF(B144="","",IF(AA144&gt;0,"info Lait",IF(AND(AC144&gt;0,AB144=0),"⚠ Lait","")))</f>
        <v/>
      </c>
      <c r="AV144" s="1044" t="str">
        <f t="shared" ref="AV144:AV200" si="151">IF(B144="","",IF(AND(AU144="",AD144&gt;0,AB144=0),"suspicion Lait",""))</f>
        <v/>
      </c>
      <c r="AW144" s="1044" t="str">
        <f t="shared" ref="AW144:AW200" si="152">IF(B144="","",IF(AND(AF144&gt;0,AE144=0),"⚠ Fruits a coque",""))</f>
        <v/>
      </c>
      <c r="AX144" s="1044" t="str">
        <f t="shared" ref="AX144:AX200" si="153">IF(B144="","",IF(AG144&gt;0,"⚠ Celeri",""))</f>
        <v/>
      </c>
      <c r="AY144" s="1044" t="str">
        <f t="shared" ref="AY144:AY200" si="154">IF(B144="","",IF(AH144&gt;0,"⚠ Moutarde",""))</f>
        <v/>
      </c>
      <c r="AZ144" s="1044" t="str">
        <f t="shared" ref="AZ144:AZ200" si="155">IF(B144="","",IF(AI144&gt;0,"⚠ Sesame",""))</f>
        <v/>
      </c>
      <c r="BA144" s="1044" t="str">
        <f t="shared" ref="BA144:BA200" si="156">IF(B144="","",IF(AJ144&gt;0,"⚠ Sulfites",""))</f>
        <v/>
      </c>
      <c r="BB144" s="1044" t="str">
        <f t="shared" ref="BB144:BB200" si="157">IF(B144="","",IF(AK144&gt;0,"⚠ Lupin",""))</f>
        <v/>
      </c>
      <c r="BC144" s="1044" t="str">
        <f t="shared" ref="BC144:BC200" si="158">IF(B144="","",IF(AND(AM144&gt;0,AL144=0),"⚠ Mollusques",""))</f>
        <v/>
      </c>
      <c r="BF144" s="1" t="s">
        <v>7029</v>
      </c>
      <c r="BG144" s="1076" t="s">
        <v>689</v>
      </c>
      <c r="BH144" s="1" t="s">
        <v>4857</v>
      </c>
      <c r="BI144" s="1" t="s">
        <v>7525</v>
      </c>
    </row>
    <row r="145" spans="1:61" ht="30" customHeight="1">
      <c r="A145" s="1085" t="str">
        <f t="shared" si="106"/>
        <v/>
      </c>
      <c r="B145" s="1086"/>
      <c r="C145" s="1085" t="s">
        <v>254</v>
      </c>
      <c r="D145" s="1087" t="str">
        <f t="shared" si="107"/>
        <v/>
      </c>
      <c r="E145" s="1088" t="str">
        <f t="shared" si="108"/>
        <v/>
      </c>
      <c r="F145" s="1089" t="str">
        <f t="shared" si="109"/>
        <v/>
      </c>
      <c r="G145" s="1090" t="str">
        <f t="shared" si="110"/>
        <v/>
      </c>
      <c r="H145" s="1085" t="str">
        <f t="shared" si="111"/>
        <v/>
      </c>
      <c r="I145" s="1085" t="str">
        <f t="shared" si="112"/>
        <v/>
      </c>
      <c r="J145" s="1090" t="str">
        <f t="shared" si="113"/>
        <v/>
      </c>
      <c r="K145" s="1044" t="str">
        <f t="shared" si="114"/>
        <v/>
      </c>
      <c r="L145" s="1044" t="str">
        <f t="shared" si="115"/>
        <v/>
      </c>
      <c r="M145" s="1044" t="str">
        <f t="shared" si="116"/>
        <v/>
      </c>
      <c r="N145" s="1044" t="str">
        <f t="shared" si="117"/>
        <v/>
      </c>
      <c r="O145" s="1044">
        <f t="shared" si="118"/>
        <v>0</v>
      </c>
      <c r="P145" s="1044">
        <f t="shared" si="119"/>
        <v>0</v>
      </c>
      <c r="Q145" s="1044">
        <f t="shared" si="120"/>
        <v>0</v>
      </c>
      <c r="R145" s="1044">
        <f t="shared" si="121"/>
        <v>0</v>
      </c>
      <c r="S145" s="1044">
        <f t="shared" si="122"/>
        <v>0</v>
      </c>
      <c r="T145" s="1044">
        <f t="shared" si="123"/>
        <v>0</v>
      </c>
      <c r="U145" s="1044">
        <f t="shared" si="124"/>
        <v>0</v>
      </c>
      <c r="V145" s="1044">
        <f t="shared" si="125"/>
        <v>0</v>
      </c>
      <c r="W145" s="1044">
        <f t="shared" si="126"/>
        <v>0</v>
      </c>
      <c r="X145" s="1044">
        <f t="shared" si="127"/>
        <v>0</v>
      </c>
      <c r="Y145" s="1044">
        <f t="shared" si="128"/>
        <v>0</v>
      </c>
      <c r="Z145" s="1044">
        <f t="shared" si="129"/>
        <v>0</v>
      </c>
      <c r="AA145" s="1044">
        <f t="shared" si="130"/>
        <v>0</v>
      </c>
      <c r="AB145" s="1044">
        <f t="shared" si="131"/>
        <v>0</v>
      </c>
      <c r="AC145" s="1044">
        <f t="shared" si="132"/>
        <v>0</v>
      </c>
      <c r="AD145" s="1044">
        <f t="shared" si="133"/>
        <v>0</v>
      </c>
      <c r="AE145" s="1044">
        <f t="shared" si="134"/>
        <v>0</v>
      </c>
      <c r="AF145" s="1044">
        <f t="shared" si="135"/>
        <v>0</v>
      </c>
      <c r="AG145" s="1044">
        <f t="shared" si="136"/>
        <v>0</v>
      </c>
      <c r="AH145" s="1044">
        <f t="shared" si="137"/>
        <v>0</v>
      </c>
      <c r="AI145" s="1044">
        <f t="shared" si="138"/>
        <v>0</v>
      </c>
      <c r="AJ145" s="1044">
        <f t="shared" si="139"/>
        <v>0</v>
      </c>
      <c r="AK145" s="1044">
        <f t="shared" si="140"/>
        <v>0</v>
      </c>
      <c r="AL145" s="1044">
        <f t="shared" si="141"/>
        <v>0</v>
      </c>
      <c r="AM145" s="1044">
        <f t="shared" si="142"/>
        <v>0</v>
      </c>
      <c r="AN145" s="1044" t="str">
        <f t="shared" si="143"/>
        <v/>
      </c>
      <c r="AO145" s="1044" t="str">
        <f t="shared" si="144"/>
        <v/>
      </c>
      <c r="AP145" s="1044" t="str">
        <f t="shared" si="145"/>
        <v/>
      </c>
      <c r="AQ145" s="1044" t="str">
        <f t="shared" si="146"/>
        <v/>
      </c>
      <c r="AR145" s="1044" t="str">
        <f t="shared" si="147"/>
        <v/>
      </c>
      <c r="AS145" s="1044" t="str">
        <f t="shared" si="148"/>
        <v/>
      </c>
      <c r="AT145" s="1044" t="str">
        <f t="shared" si="149"/>
        <v/>
      </c>
      <c r="AU145" s="1044" t="str">
        <f t="shared" si="150"/>
        <v/>
      </c>
      <c r="AV145" s="1044" t="str">
        <f t="shared" si="151"/>
        <v/>
      </c>
      <c r="AW145" s="1044" t="str">
        <f t="shared" si="152"/>
        <v/>
      </c>
      <c r="AX145" s="1044" t="str">
        <f t="shared" si="153"/>
        <v/>
      </c>
      <c r="AY145" s="1044" t="str">
        <f t="shared" si="154"/>
        <v/>
      </c>
      <c r="AZ145" s="1044" t="str">
        <f t="shared" si="155"/>
        <v/>
      </c>
      <c r="BA145" s="1044" t="str">
        <f t="shared" si="156"/>
        <v/>
      </c>
      <c r="BB145" s="1044" t="str">
        <f t="shared" si="157"/>
        <v/>
      </c>
      <c r="BC145" s="1044" t="str">
        <f t="shared" si="158"/>
        <v/>
      </c>
      <c r="BF145" s="1" t="s">
        <v>7029</v>
      </c>
      <c r="BG145" s="1076" t="s">
        <v>689</v>
      </c>
      <c r="BH145" s="1" t="s">
        <v>4860</v>
      </c>
      <c r="BI145" s="1" t="s">
        <v>7526</v>
      </c>
    </row>
    <row r="146" spans="1:61" ht="30" customHeight="1">
      <c r="A146" s="1085" t="str">
        <f t="shared" si="106"/>
        <v/>
      </c>
      <c r="B146" s="1086"/>
      <c r="C146" s="1085" t="s">
        <v>254</v>
      </c>
      <c r="D146" s="1087" t="str">
        <f t="shared" si="107"/>
        <v/>
      </c>
      <c r="E146" s="1088" t="str">
        <f t="shared" si="108"/>
        <v/>
      </c>
      <c r="F146" s="1089" t="str">
        <f t="shared" si="109"/>
        <v/>
      </c>
      <c r="G146" s="1090" t="str">
        <f t="shared" si="110"/>
        <v/>
      </c>
      <c r="H146" s="1085" t="str">
        <f t="shared" si="111"/>
        <v/>
      </c>
      <c r="I146" s="1085" t="str">
        <f t="shared" si="112"/>
        <v/>
      </c>
      <c r="J146" s="1090" t="str">
        <f t="shared" si="113"/>
        <v/>
      </c>
      <c r="K146" s="1044" t="str">
        <f t="shared" si="114"/>
        <v/>
      </c>
      <c r="L146" s="1044" t="str">
        <f t="shared" si="115"/>
        <v/>
      </c>
      <c r="M146" s="1044" t="str">
        <f t="shared" si="116"/>
        <v/>
      </c>
      <c r="N146" s="1044" t="str">
        <f t="shared" si="117"/>
        <v/>
      </c>
      <c r="O146" s="1044">
        <f t="shared" si="118"/>
        <v>0</v>
      </c>
      <c r="P146" s="1044">
        <f t="shared" si="119"/>
        <v>0</v>
      </c>
      <c r="Q146" s="1044">
        <f t="shared" si="120"/>
        <v>0</v>
      </c>
      <c r="R146" s="1044">
        <f t="shared" si="121"/>
        <v>0</v>
      </c>
      <c r="S146" s="1044">
        <f t="shared" si="122"/>
        <v>0</v>
      </c>
      <c r="T146" s="1044">
        <f t="shared" si="123"/>
        <v>0</v>
      </c>
      <c r="U146" s="1044">
        <f t="shared" si="124"/>
        <v>0</v>
      </c>
      <c r="V146" s="1044">
        <f t="shared" si="125"/>
        <v>0</v>
      </c>
      <c r="W146" s="1044">
        <f t="shared" si="126"/>
        <v>0</v>
      </c>
      <c r="X146" s="1044">
        <f t="shared" si="127"/>
        <v>0</v>
      </c>
      <c r="Y146" s="1044">
        <f t="shared" si="128"/>
        <v>0</v>
      </c>
      <c r="Z146" s="1044">
        <f t="shared" si="129"/>
        <v>0</v>
      </c>
      <c r="AA146" s="1044">
        <f t="shared" si="130"/>
        <v>0</v>
      </c>
      <c r="AB146" s="1044">
        <f t="shared" si="131"/>
        <v>0</v>
      </c>
      <c r="AC146" s="1044">
        <f t="shared" si="132"/>
        <v>0</v>
      </c>
      <c r="AD146" s="1044">
        <f t="shared" si="133"/>
        <v>0</v>
      </c>
      <c r="AE146" s="1044">
        <f t="shared" si="134"/>
        <v>0</v>
      </c>
      <c r="AF146" s="1044">
        <f t="shared" si="135"/>
        <v>0</v>
      </c>
      <c r="AG146" s="1044">
        <f t="shared" si="136"/>
        <v>0</v>
      </c>
      <c r="AH146" s="1044">
        <f t="shared" si="137"/>
        <v>0</v>
      </c>
      <c r="AI146" s="1044">
        <f t="shared" si="138"/>
        <v>0</v>
      </c>
      <c r="AJ146" s="1044">
        <f t="shared" si="139"/>
        <v>0</v>
      </c>
      <c r="AK146" s="1044">
        <f t="shared" si="140"/>
        <v>0</v>
      </c>
      <c r="AL146" s="1044">
        <f t="shared" si="141"/>
        <v>0</v>
      </c>
      <c r="AM146" s="1044">
        <f t="shared" si="142"/>
        <v>0</v>
      </c>
      <c r="AN146" s="1044" t="str">
        <f t="shared" si="143"/>
        <v/>
      </c>
      <c r="AO146" s="1044" t="str">
        <f t="shared" si="144"/>
        <v/>
      </c>
      <c r="AP146" s="1044" t="str">
        <f t="shared" si="145"/>
        <v/>
      </c>
      <c r="AQ146" s="1044" t="str">
        <f t="shared" si="146"/>
        <v/>
      </c>
      <c r="AR146" s="1044" t="str">
        <f t="shared" si="147"/>
        <v/>
      </c>
      <c r="AS146" s="1044" t="str">
        <f t="shared" si="148"/>
        <v/>
      </c>
      <c r="AT146" s="1044" t="str">
        <f t="shared" si="149"/>
        <v/>
      </c>
      <c r="AU146" s="1044" t="str">
        <f t="shared" si="150"/>
        <v/>
      </c>
      <c r="AV146" s="1044" t="str">
        <f t="shared" si="151"/>
        <v/>
      </c>
      <c r="AW146" s="1044" t="str">
        <f t="shared" si="152"/>
        <v/>
      </c>
      <c r="AX146" s="1044" t="str">
        <f t="shared" si="153"/>
        <v/>
      </c>
      <c r="AY146" s="1044" t="str">
        <f t="shared" si="154"/>
        <v/>
      </c>
      <c r="AZ146" s="1044" t="str">
        <f t="shared" si="155"/>
        <v/>
      </c>
      <c r="BA146" s="1044" t="str">
        <f t="shared" si="156"/>
        <v/>
      </c>
      <c r="BB146" s="1044" t="str">
        <f t="shared" si="157"/>
        <v/>
      </c>
      <c r="BC146" s="1044" t="str">
        <f t="shared" si="158"/>
        <v/>
      </c>
      <c r="BF146" s="1" t="s">
        <v>7029</v>
      </c>
      <c r="BG146" s="1076" t="s">
        <v>689</v>
      </c>
      <c r="BH146" s="1" t="s">
        <v>7094</v>
      </c>
      <c r="BI146" s="1" t="s">
        <v>7527</v>
      </c>
    </row>
    <row r="147" spans="1:61" ht="30" customHeight="1">
      <c r="A147" s="1085" t="str">
        <f t="shared" si="106"/>
        <v/>
      </c>
      <c r="B147" s="1086"/>
      <c r="C147" s="1085" t="s">
        <v>254</v>
      </c>
      <c r="D147" s="1087" t="str">
        <f t="shared" si="107"/>
        <v/>
      </c>
      <c r="E147" s="1088" t="str">
        <f t="shared" si="108"/>
        <v/>
      </c>
      <c r="F147" s="1089" t="str">
        <f t="shared" si="109"/>
        <v/>
      </c>
      <c r="G147" s="1090" t="str">
        <f t="shared" si="110"/>
        <v/>
      </c>
      <c r="H147" s="1085" t="str">
        <f t="shared" si="111"/>
        <v/>
      </c>
      <c r="I147" s="1085" t="str">
        <f t="shared" si="112"/>
        <v/>
      </c>
      <c r="J147" s="1090" t="str">
        <f t="shared" si="113"/>
        <v/>
      </c>
      <c r="K147" s="1044" t="str">
        <f t="shared" si="114"/>
        <v/>
      </c>
      <c r="L147" s="1044" t="str">
        <f t="shared" si="115"/>
        <v/>
      </c>
      <c r="M147" s="1044" t="str">
        <f t="shared" si="116"/>
        <v/>
      </c>
      <c r="N147" s="1044" t="str">
        <f t="shared" si="117"/>
        <v/>
      </c>
      <c r="O147" s="1044">
        <f t="shared" si="118"/>
        <v>0</v>
      </c>
      <c r="P147" s="1044">
        <f t="shared" si="119"/>
        <v>0</v>
      </c>
      <c r="Q147" s="1044">
        <f t="shared" si="120"/>
        <v>0</v>
      </c>
      <c r="R147" s="1044">
        <f t="shared" si="121"/>
        <v>0</v>
      </c>
      <c r="S147" s="1044">
        <f t="shared" si="122"/>
        <v>0</v>
      </c>
      <c r="T147" s="1044">
        <f t="shared" si="123"/>
        <v>0</v>
      </c>
      <c r="U147" s="1044">
        <f t="shared" si="124"/>
        <v>0</v>
      </c>
      <c r="V147" s="1044">
        <f t="shared" si="125"/>
        <v>0</v>
      </c>
      <c r="W147" s="1044">
        <f t="shared" si="126"/>
        <v>0</v>
      </c>
      <c r="X147" s="1044">
        <f t="shared" si="127"/>
        <v>0</v>
      </c>
      <c r="Y147" s="1044">
        <f t="shared" si="128"/>
        <v>0</v>
      </c>
      <c r="Z147" s="1044">
        <f t="shared" si="129"/>
        <v>0</v>
      </c>
      <c r="AA147" s="1044">
        <f t="shared" si="130"/>
        <v>0</v>
      </c>
      <c r="AB147" s="1044">
        <f t="shared" si="131"/>
        <v>0</v>
      </c>
      <c r="AC147" s="1044">
        <f t="shared" si="132"/>
        <v>0</v>
      </c>
      <c r="AD147" s="1044">
        <f t="shared" si="133"/>
        <v>0</v>
      </c>
      <c r="AE147" s="1044">
        <f t="shared" si="134"/>
        <v>0</v>
      </c>
      <c r="AF147" s="1044">
        <f t="shared" si="135"/>
        <v>0</v>
      </c>
      <c r="AG147" s="1044">
        <f t="shared" si="136"/>
        <v>0</v>
      </c>
      <c r="AH147" s="1044">
        <f t="shared" si="137"/>
        <v>0</v>
      </c>
      <c r="AI147" s="1044">
        <f t="shared" si="138"/>
        <v>0</v>
      </c>
      <c r="AJ147" s="1044">
        <f t="shared" si="139"/>
        <v>0</v>
      </c>
      <c r="AK147" s="1044">
        <f t="shared" si="140"/>
        <v>0</v>
      </c>
      <c r="AL147" s="1044">
        <f t="shared" si="141"/>
        <v>0</v>
      </c>
      <c r="AM147" s="1044">
        <f t="shared" si="142"/>
        <v>0</v>
      </c>
      <c r="AN147" s="1044" t="str">
        <f t="shared" si="143"/>
        <v/>
      </c>
      <c r="AO147" s="1044" t="str">
        <f t="shared" si="144"/>
        <v/>
      </c>
      <c r="AP147" s="1044" t="str">
        <f t="shared" si="145"/>
        <v/>
      </c>
      <c r="AQ147" s="1044" t="str">
        <f t="shared" si="146"/>
        <v/>
      </c>
      <c r="AR147" s="1044" t="str">
        <f t="shared" si="147"/>
        <v/>
      </c>
      <c r="AS147" s="1044" t="str">
        <f t="shared" si="148"/>
        <v/>
      </c>
      <c r="AT147" s="1044" t="str">
        <f t="shared" si="149"/>
        <v/>
      </c>
      <c r="AU147" s="1044" t="str">
        <f t="shared" si="150"/>
        <v/>
      </c>
      <c r="AV147" s="1044" t="str">
        <f t="shared" si="151"/>
        <v/>
      </c>
      <c r="AW147" s="1044" t="str">
        <f t="shared" si="152"/>
        <v/>
      </c>
      <c r="AX147" s="1044" t="str">
        <f t="shared" si="153"/>
        <v/>
      </c>
      <c r="AY147" s="1044" t="str">
        <f t="shared" si="154"/>
        <v/>
      </c>
      <c r="AZ147" s="1044" t="str">
        <f t="shared" si="155"/>
        <v/>
      </c>
      <c r="BA147" s="1044" t="str">
        <f t="shared" si="156"/>
        <v/>
      </c>
      <c r="BB147" s="1044" t="str">
        <f t="shared" si="157"/>
        <v/>
      </c>
      <c r="BC147" s="1044" t="str">
        <f t="shared" si="158"/>
        <v/>
      </c>
      <c r="BF147" s="1" t="s">
        <v>7029</v>
      </c>
      <c r="BG147" s="1076" t="s">
        <v>689</v>
      </c>
      <c r="BH147" s="1" t="s">
        <v>7095</v>
      </c>
      <c r="BI147" s="1" t="s">
        <v>7528</v>
      </c>
    </row>
    <row r="148" spans="1:61" ht="30" customHeight="1">
      <c r="A148" s="1085" t="str">
        <f t="shared" si="106"/>
        <v/>
      </c>
      <c r="B148" s="1086"/>
      <c r="C148" s="1085" t="s">
        <v>254</v>
      </c>
      <c r="D148" s="1087" t="str">
        <f t="shared" si="107"/>
        <v/>
      </c>
      <c r="E148" s="1088" t="str">
        <f t="shared" si="108"/>
        <v/>
      </c>
      <c r="F148" s="1089" t="str">
        <f t="shared" si="109"/>
        <v/>
      </c>
      <c r="G148" s="1090" t="str">
        <f t="shared" si="110"/>
        <v/>
      </c>
      <c r="H148" s="1085" t="str">
        <f t="shared" si="111"/>
        <v/>
      </c>
      <c r="I148" s="1085" t="str">
        <f t="shared" si="112"/>
        <v/>
      </c>
      <c r="J148" s="1090" t="str">
        <f t="shared" si="113"/>
        <v/>
      </c>
      <c r="K148" s="1044" t="str">
        <f t="shared" si="114"/>
        <v/>
      </c>
      <c r="L148" s="1044" t="str">
        <f t="shared" si="115"/>
        <v/>
      </c>
      <c r="M148" s="1044" t="str">
        <f t="shared" si="116"/>
        <v/>
      </c>
      <c r="N148" s="1044" t="str">
        <f t="shared" si="117"/>
        <v/>
      </c>
      <c r="O148" s="1044">
        <f t="shared" si="118"/>
        <v>0</v>
      </c>
      <c r="P148" s="1044">
        <f t="shared" si="119"/>
        <v>0</v>
      </c>
      <c r="Q148" s="1044">
        <f t="shared" si="120"/>
        <v>0</v>
      </c>
      <c r="R148" s="1044">
        <f t="shared" si="121"/>
        <v>0</v>
      </c>
      <c r="S148" s="1044">
        <f t="shared" si="122"/>
        <v>0</v>
      </c>
      <c r="T148" s="1044">
        <f t="shared" si="123"/>
        <v>0</v>
      </c>
      <c r="U148" s="1044">
        <f t="shared" si="124"/>
        <v>0</v>
      </c>
      <c r="V148" s="1044">
        <f t="shared" si="125"/>
        <v>0</v>
      </c>
      <c r="W148" s="1044">
        <f t="shared" si="126"/>
        <v>0</v>
      </c>
      <c r="X148" s="1044">
        <f t="shared" si="127"/>
        <v>0</v>
      </c>
      <c r="Y148" s="1044">
        <f t="shared" si="128"/>
        <v>0</v>
      </c>
      <c r="Z148" s="1044">
        <f t="shared" si="129"/>
        <v>0</v>
      </c>
      <c r="AA148" s="1044">
        <f t="shared" si="130"/>
        <v>0</v>
      </c>
      <c r="AB148" s="1044">
        <f t="shared" si="131"/>
        <v>0</v>
      </c>
      <c r="AC148" s="1044">
        <f t="shared" si="132"/>
        <v>0</v>
      </c>
      <c r="AD148" s="1044">
        <f t="shared" si="133"/>
        <v>0</v>
      </c>
      <c r="AE148" s="1044">
        <f t="shared" si="134"/>
        <v>0</v>
      </c>
      <c r="AF148" s="1044">
        <f t="shared" si="135"/>
        <v>0</v>
      </c>
      <c r="AG148" s="1044">
        <f t="shared" si="136"/>
        <v>0</v>
      </c>
      <c r="AH148" s="1044">
        <f t="shared" si="137"/>
        <v>0</v>
      </c>
      <c r="AI148" s="1044">
        <f t="shared" si="138"/>
        <v>0</v>
      </c>
      <c r="AJ148" s="1044">
        <f t="shared" si="139"/>
        <v>0</v>
      </c>
      <c r="AK148" s="1044">
        <f t="shared" si="140"/>
        <v>0</v>
      </c>
      <c r="AL148" s="1044">
        <f t="shared" si="141"/>
        <v>0</v>
      </c>
      <c r="AM148" s="1044">
        <f t="shared" si="142"/>
        <v>0</v>
      </c>
      <c r="AN148" s="1044" t="str">
        <f t="shared" si="143"/>
        <v/>
      </c>
      <c r="AO148" s="1044" t="str">
        <f t="shared" si="144"/>
        <v/>
      </c>
      <c r="AP148" s="1044" t="str">
        <f t="shared" si="145"/>
        <v/>
      </c>
      <c r="AQ148" s="1044" t="str">
        <f t="shared" si="146"/>
        <v/>
      </c>
      <c r="AR148" s="1044" t="str">
        <f t="shared" si="147"/>
        <v/>
      </c>
      <c r="AS148" s="1044" t="str">
        <f t="shared" si="148"/>
        <v/>
      </c>
      <c r="AT148" s="1044" t="str">
        <f t="shared" si="149"/>
        <v/>
      </c>
      <c r="AU148" s="1044" t="str">
        <f t="shared" si="150"/>
        <v/>
      </c>
      <c r="AV148" s="1044" t="str">
        <f t="shared" si="151"/>
        <v/>
      </c>
      <c r="AW148" s="1044" t="str">
        <f t="shared" si="152"/>
        <v/>
      </c>
      <c r="AX148" s="1044" t="str">
        <f t="shared" si="153"/>
        <v/>
      </c>
      <c r="AY148" s="1044" t="str">
        <f t="shared" si="154"/>
        <v/>
      </c>
      <c r="AZ148" s="1044" t="str">
        <f t="shared" si="155"/>
        <v/>
      </c>
      <c r="BA148" s="1044" t="str">
        <f t="shared" si="156"/>
        <v/>
      </c>
      <c r="BB148" s="1044" t="str">
        <f t="shared" si="157"/>
        <v/>
      </c>
      <c r="BC148" s="1044" t="str">
        <f t="shared" si="158"/>
        <v/>
      </c>
      <c r="BF148" s="1" t="s">
        <v>7</v>
      </c>
      <c r="BG148" s="1076" t="s">
        <v>689</v>
      </c>
      <c r="BH148" s="1" t="s">
        <v>1091</v>
      </c>
      <c r="BI148" s="1" t="s">
        <v>7529</v>
      </c>
    </row>
    <row r="149" spans="1:61" ht="30" customHeight="1">
      <c r="A149" s="1085" t="str">
        <f t="shared" si="106"/>
        <v/>
      </c>
      <c r="B149" s="1086"/>
      <c r="C149" s="1085" t="s">
        <v>254</v>
      </c>
      <c r="D149" s="1087" t="str">
        <f t="shared" si="107"/>
        <v/>
      </c>
      <c r="E149" s="1088" t="str">
        <f t="shared" si="108"/>
        <v/>
      </c>
      <c r="F149" s="1089" t="str">
        <f t="shared" si="109"/>
        <v/>
      </c>
      <c r="G149" s="1090" t="str">
        <f t="shared" si="110"/>
        <v/>
      </c>
      <c r="H149" s="1085" t="str">
        <f t="shared" si="111"/>
        <v/>
      </c>
      <c r="I149" s="1085" t="str">
        <f t="shared" si="112"/>
        <v/>
      </c>
      <c r="J149" s="1090" t="str">
        <f t="shared" si="113"/>
        <v/>
      </c>
      <c r="K149" s="1044" t="str">
        <f t="shared" si="114"/>
        <v/>
      </c>
      <c r="L149" s="1044" t="str">
        <f t="shared" si="115"/>
        <v/>
      </c>
      <c r="M149" s="1044" t="str">
        <f t="shared" si="116"/>
        <v/>
      </c>
      <c r="N149" s="1044" t="str">
        <f t="shared" si="117"/>
        <v/>
      </c>
      <c r="O149" s="1044">
        <f t="shared" si="118"/>
        <v>0</v>
      </c>
      <c r="P149" s="1044">
        <f t="shared" si="119"/>
        <v>0</v>
      </c>
      <c r="Q149" s="1044">
        <f t="shared" si="120"/>
        <v>0</v>
      </c>
      <c r="R149" s="1044">
        <f t="shared" si="121"/>
        <v>0</v>
      </c>
      <c r="S149" s="1044">
        <f t="shared" si="122"/>
        <v>0</v>
      </c>
      <c r="T149" s="1044">
        <f t="shared" si="123"/>
        <v>0</v>
      </c>
      <c r="U149" s="1044">
        <f t="shared" si="124"/>
        <v>0</v>
      </c>
      <c r="V149" s="1044">
        <f t="shared" si="125"/>
        <v>0</v>
      </c>
      <c r="W149" s="1044">
        <f t="shared" si="126"/>
        <v>0</v>
      </c>
      <c r="X149" s="1044">
        <f t="shared" si="127"/>
        <v>0</v>
      </c>
      <c r="Y149" s="1044">
        <f t="shared" si="128"/>
        <v>0</v>
      </c>
      <c r="Z149" s="1044">
        <f t="shared" si="129"/>
        <v>0</v>
      </c>
      <c r="AA149" s="1044">
        <f t="shared" si="130"/>
        <v>0</v>
      </c>
      <c r="AB149" s="1044">
        <f t="shared" si="131"/>
        <v>0</v>
      </c>
      <c r="AC149" s="1044">
        <f t="shared" si="132"/>
        <v>0</v>
      </c>
      <c r="AD149" s="1044">
        <f t="shared" si="133"/>
        <v>0</v>
      </c>
      <c r="AE149" s="1044">
        <f t="shared" si="134"/>
        <v>0</v>
      </c>
      <c r="AF149" s="1044">
        <f t="shared" si="135"/>
        <v>0</v>
      </c>
      <c r="AG149" s="1044">
        <f t="shared" si="136"/>
        <v>0</v>
      </c>
      <c r="AH149" s="1044">
        <f t="shared" si="137"/>
        <v>0</v>
      </c>
      <c r="AI149" s="1044">
        <f t="shared" si="138"/>
        <v>0</v>
      </c>
      <c r="AJ149" s="1044">
        <f t="shared" si="139"/>
        <v>0</v>
      </c>
      <c r="AK149" s="1044">
        <f t="shared" si="140"/>
        <v>0</v>
      </c>
      <c r="AL149" s="1044">
        <f t="shared" si="141"/>
        <v>0</v>
      </c>
      <c r="AM149" s="1044">
        <f t="shared" si="142"/>
        <v>0</v>
      </c>
      <c r="AN149" s="1044" t="str">
        <f t="shared" si="143"/>
        <v/>
      </c>
      <c r="AO149" s="1044" t="str">
        <f t="shared" si="144"/>
        <v/>
      </c>
      <c r="AP149" s="1044" t="str">
        <f t="shared" si="145"/>
        <v/>
      </c>
      <c r="AQ149" s="1044" t="str">
        <f t="shared" si="146"/>
        <v/>
      </c>
      <c r="AR149" s="1044" t="str">
        <f t="shared" si="147"/>
        <v/>
      </c>
      <c r="AS149" s="1044" t="str">
        <f t="shared" si="148"/>
        <v/>
      </c>
      <c r="AT149" s="1044" t="str">
        <f t="shared" si="149"/>
        <v/>
      </c>
      <c r="AU149" s="1044" t="str">
        <f t="shared" si="150"/>
        <v/>
      </c>
      <c r="AV149" s="1044" t="str">
        <f t="shared" si="151"/>
        <v/>
      </c>
      <c r="AW149" s="1044" t="str">
        <f t="shared" si="152"/>
        <v/>
      </c>
      <c r="AX149" s="1044" t="str">
        <f t="shared" si="153"/>
        <v/>
      </c>
      <c r="AY149" s="1044" t="str">
        <f t="shared" si="154"/>
        <v/>
      </c>
      <c r="AZ149" s="1044" t="str">
        <f t="shared" si="155"/>
        <v/>
      </c>
      <c r="BA149" s="1044" t="str">
        <f t="shared" si="156"/>
        <v/>
      </c>
      <c r="BB149" s="1044" t="str">
        <f t="shared" si="157"/>
        <v/>
      </c>
      <c r="BC149" s="1044" t="str">
        <f t="shared" si="158"/>
        <v/>
      </c>
      <c r="BF149" s="1" t="s">
        <v>7</v>
      </c>
      <c r="BG149" s="1076" t="s">
        <v>689</v>
      </c>
      <c r="BH149" s="1" t="s">
        <v>7096</v>
      </c>
      <c r="BI149" s="1" t="s">
        <v>7530</v>
      </c>
    </row>
    <row r="150" spans="1:61" ht="30" customHeight="1">
      <c r="A150" s="1085" t="str">
        <f t="shared" si="106"/>
        <v/>
      </c>
      <c r="B150" s="1086"/>
      <c r="C150" s="1085" t="s">
        <v>254</v>
      </c>
      <c r="D150" s="1087" t="str">
        <f t="shared" si="107"/>
        <v/>
      </c>
      <c r="E150" s="1088" t="str">
        <f t="shared" si="108"/>
        <v/>
      </c>
      <c r="F150" s="1089" t="str">
        <f t="shared" si="109"/>
        <v/>
      </c>
      <c r="G150" s="1090" t="str">
        <f t="shared" si="110"/>
        <v/>
      </c>
      <c r="H150" s="1085" t="str">
        <f t="shared" si="111"/>
        <v/>
      </c>
      <c r="I150" s="1085" t="str">
        <f t="shared" si="112"/>
        <v/>
      </c>
      <c r="J150" s="1090" t="str">
        <f t="shared" si="113"/>
        <v/>
      </c>
      <c r="K150" s="1044" t="str">
        <f t="shared" si="114"/>
        <v/>
      </c>
      <c r="L150" s="1044" t="str">
        <f t="shared" si="115"/>
        <v/>
      </c>
      <c r="M150" s="1044" t="str">
        <f t="shared" si="116"/>
        <v/>
      </c>
      <c r="N150" s="1044" t="str">
        <f t="shared" si="117"/>
        <v/>
      </c>
      <c r="O150" s="1044">
        <f t="shared" si="118"/>
        <v>0</v>
      </c>
      <c r="P150" s="1044">
        <f t="shared" si="119"/>
        <v>0</v>
      </c>
      <c r="Q150" s="1044">
        <f t="shared" si="120"/>
        <v>0</v>
      </c>
      <c r="R150" s="1044">
        <f t="shared" si="121"/>
        <v>0</v>
      </c>
      <c r="S150" s="1044">
        <f t="shared" si="122"/>
        <v>0</v>
      </c>
      <c r="T150" s="1044">
        <f t="shared" si="123"/>
        <v>0</v>
      </c>
      <c r="U150" s="1044">
        <f t="shared" si="124"/>
        <v>0</v>
      </c>
      <c r="V150" s="1044">
        <f t="shared" si="125"/>
        <v>0</v>
      </c>
      <c r="W150" s="1044">
        <f t="shared" si="126"/>
        <v>0</v>
      </c>
      <c r="X150" s="1044">
        <f t="shared" si="127"/>
        <v>0</v>
      </c>
      <c r="Y150" s="1044">
        <f t="shared" si="128"/>
        <v>0</v>
      </c>
      <c r="Z150" s="1044">
        <f t="shared" si="129"/>
        <v>0</v>
      </c>
      <c r="AA150" s="1044">
        <f t="shared" si="130"/>
        <v>0</v>
      </c>
      <c r="AB150" s="1044">
        <f t="shared" si="131"/>
        <v>0</v>
      </c>
      <c r="AC150" s="1044">
        <f t="shared" si="132"/>
        <v>0</v>
      </c>
      <c r="AD150" s="1044">
        <f t="shared" si="133"/>
        <v>0</v>
      </c>
      <c r="AE150" s="1044">
        <f t="shared" si="134"/>
        <v>0</v>
      </c>
      <c r="AF150" s="1044">
        <f t="shared" si="135"/>
        <v>0</v>
      </c>
      <c r="AG150" s="1044">
        <f t="shared" si="136"/>
        <v>0</v>
      </c>
      <c r="AH150" s="1044">
        <f t="shared" si="137"/>
        <v>0</v>
      </c>
      <c r="AI150" s="1044">
        <f t="shared" si="138"/>
        <v>0</v>
      </c>
      <c r="AJ150" s="1044">
        <f t="shared" si="139"/>
        <v>0</v>
      </c>
      <c r="AK150" s="1044">
        <f t="shared" si="140"/>
        <v>0</v>
      </c>
      <c r="AL150" s="1044">
        <f t="shared" si="141"/>
        <v>0</v>
      </c>
      <c r="AM150" s="1044">
        <f t="shared" si="142"/>
        <v>0</v>
      </c>
      <c r="AN150" s="1044" t="str">
        <f t="shared" si="143"/>
        <v/>
      </c>
      <c r="AO150" s="1044" t="str">
        <f t="shared" si="144"/>
        <v/>
      </c>
      <c r="AP150" s="1044" t="str">
        <f t="shared" si="145"/>
        <v/>
      </c>
      <c r="AQ150" s="1044" t="str">
        <f t="shared" si="146"/>
        <v/>
      </c>
      <c r="AR150" s="1044" t="str">
        <f t="shared" si="147"/>
        <v/>
      </c>
      <c r="AS150" s="1044" t="str">
        <f t="shared" si="148"/>
        <v/>
      </c>
      <c r="AT150" s="1044" t="str">
        <f t="shared" si="149"/>
        <v/>
      </c>
      <c r="AU150" s="1044" t="str">
        <f t="shared" si="150"/>
        <v/>
      </c>
      <c r="AV150" s="1044" t="str">
        <f t="shared" si="151"/>
        <v/>
      </c>
      <c r="AW150" s="1044" t="str">
        <f t="shared" si="152"/>
        <v/>
      </c>
      <c r="AX150" s="1044" t="str">
        <f t="shared" si="153"/>
        <v/>
      </c>
      <c r="AY150" s="1044" t="str">
        <f t="shared" si="154"/>
        <v/>
      </c>
      <c r="AZ150" s="1044" t="str">
        <f t="shared" si="155"/>
        <v/>
      </c>
      <c r="BA150" s="1044" t="str">
        <f t="shared" si="156"/>
        <v/>
      </c>
      <c r="BB150" s="1044" t="str">
        <f t="shared" si="157"/>
        <v/>
      </c>
      <c r="BC150" s="1044" t="str">
        <f t="shared" si="158"/>
        <v/>
      </c>
      <c r="BF150" s="1" t="s">
        <v>7</v>
      </c>
      <c r="BG150" s="1076" t="s">
        <v>689</v>
      </c>
      <c r="BH150" s="1" t="s">
        <v>7097</v>
      </c>
      <c r="BI150" s="1" t="s">
        <v>7531</v>
      </c>
    </row>
    <row r="151" spans="1:61" ht="30" customHeight="1">
      <c r="A151" s="1085" t="str">
        <f t="shared" si="106"/>
        <v/>
      </c>
      <c r="B151" s="1086"/>
      <c r="C151" s="1085" t="s">
        <v>254</v>
      </c>
      <c r="D151" s="1087" t="str">
        <f t="shared" si="107"/>
        <v/>
      </c>
      <c r="E151" s="1088" t="str">
        <f t="shared" si="108"/>
        <v/>
      </c>
      <c r="F151" s="1089" t="str">
        <f t="shared" si="109"/>
        <v/>
      </c>
      <c r="G151" s="1090" t="str">
        <f t="shared" si="110"/>
        <v/>
      </c>
      <c r="H151" s="1085" t="str">
        <f t="shared" si="111"/>
        <v/>
      </c>
      <c r="I151" s="1085" t="str">
        <f t="shared" si="112"/>
        <v/>
      </c>
      <c r="J151" s="1090" t="str">
        <f t="shared" si="113"/>
        <v/>
      </c>
      <c r="K151" s="1044" t="str">
        <f t="shared" si="114"/>
        <v/>
      </c>
      <c r="L151" s="1044" t="str">
        <f t="shared" si="115"/>
        <v/>
      </c>
      <c r="M151" s="1044" t="str">
        <f t="shared" si="116"/>
        <v/>
      </c>
      <c r="N151" s="1044" t="str">
        <f t="shared" si="117"/>
        <v/>
      </c>
      <c r="O151" s="1044">
        <f t="shared" si="118"/>
        <v>0</v>
      </c>
      <c r="P151" s="1044">
        <f t="shared" si="119"/>
        <v>0</v>
      </c>
      <c r="Q151" s="1044">
        <f t="shared" si="120"/>
        <v>0</v>
      </c>
      <c r="R151" s="1044">
        <f t="shared" si="121"/>
        <v>0</v>
      </c>
      <c r="S151" s="1044">
        <f t="shared" si="122"/>
        <v>0</v>
      </c>
      <c r="T151" s="1044">
        <f t="shared" si="123"/>
        <v>0</v>
      </c>
      <c r="U151" s="1044">
        <f t="shared" si="124"/>
        <v>0</v>
      </c>
      <c r="V151" s="1044">
        <f t="shared" si="125"/>
        <v>0</v>
      </c>
      <c r="W151" s="1044">
        <f t="shared" si="126"/>
        <v>0</v>
      </c>
      <c r="X151" s="1044">
        <f t="shared" si="127"/>
        <v>0</v>
      </c>
      <c r="Y151" s="1044">
        <f t="shared" si="128"/>
        <v>0</v>
      </c>
      <c r="Z151" s="1044">
        <f t="shared" si="129"/>
        <v>0</v>
      </c>
      <c r="AA151" s="1044">
        <f t="shared" si="130"/>
        <v>0</v>
      </c>
      <c r="AB151" s="1044">
        <f t="shared" si="131"/>
        <v>0</v>
      </c>
      <c r="AC151" s="1044">
        <f t="shared" si="132"/>
        <v>0</v>
      </c>
      <c r="AD151" s="1044">
        <f t="shared" si="133"/>
        <v>0</v>
      </c>
      <c r="AE151" s="1044">
        <f t="shared" si="134"/>
        <v>0</v>
      </c>
      <c r="AF151" s="1044">
        <f t="shared" si="135"/>
        <v>0</v>
      </c>
      <c r="AG151" s="1044">
        <f t="shared" si="136"/>
        <v>0</v>
      </c>
      <c r="AH151" s="1044">
        <f t="shared" si="137"/>
        <v>0</v>
      </c>
      <c r="AI151" s="1044">
        <f t="shared" si="138"/>
        <v>0</v>
      </c>
      <c r="AJ151" s="1044">
        <f t="shared" si="139"/>
        <v>0</v>
      </c>
      <c r="AK151" s="1044">
        <f t="shared" si="140"/>
        <v>0</v>
      </c>
      <c r="AL151" s="1044">
        <f t="shared" si="141"/>
        <v>0</v>
      </c>
      <c r="AM151" s="1044">
        <f t="shared" si="142"/>
        <v>0</v>
      </c>
      <c r="AN151" s="1044" t="str">
        <f t="shared" si="143"/>
        <v/>
      </c>
      <c r="AO151" s="1044" t="str">
        <f t="shared" si="144"/>
        <v/>
      </c>
      <c r="AP151" s="1044" t="str">
        <f t="shared" si="145"/>
        <v/>
      </c>
      <c r="AQ151" s="1044" t="str">
        <f t="shared" si="146"/>
        <v/>
      </c>
      <c r="AR151" s="1044" t="str">
        <f t="shared" si="147"/>
        <v/>
      </c>
      <c r="AS151" s="1044" t="str">
        <f t="shared" si="148"/>
        <v/>
      </c>
      <c r="AT151" s="1044" t="str">
        <f t="shared" si="149"/>
        <v/>
      </c>
      <c r="AU151" s="1044" t="str">
        <f t="shared" si="150"/>
        <v/>
      </c>
      <c r="AV151" s="1044" t="str">
        <f t="shared" si="151"/>
        <v/>
      </c>
      <c r="AW151" s="1044" t="str">
        <f t="shared" si="152"/>
        <v/>
      </c>
      <c r="AX151" s="1044" t="str">
        <f t="shared" si="153"/>
        <v/>
      </c>
      <c r="AY151" s="1044" t="str">
        <f t="shared" si="154"/>
        <v/>
      </c>
      <c r="AZ151" s="1044" t="str">
        <f t="shared" si="155"/>
        <v/>
      </c>
      <c r="BA151" s="1044" t="str">
        <f t="shared" si="156"/>
        <v/>
      </c>
      <c r="BB151" s="1044" t="str">
        <f t="shared" si="157"/>
        <v/>
      </c>
      <c r="BC151" s="1044" t="str">
        <f t="shared" si="158"/>
        <v/>
      </c>
      <c r="BF151" s="1" t="s">
        <v>7</v>
      </c>
      <c r="BG151" s="1076" t="s">
        <v>689</v>
      </c>
      <c r="BH151" s="1" t="s">
        <v>142</v>
      </c>
      <c r="BI151" s="1" t="s">
        <v>7532</v>
      </c>
    </row>
    <row r="152" spans="1:61" ht="30" customHeight="1">
      <c r="A152" s="1085" t="str">
        <f t="shared" si="106"/>
        <v/>
      </c>
      <c r="B152" s="1086"/>
      <c r="C152" s="1085" t="s">
        <v>254</v>
      </c>
      <c r="D152" s="1087" t="str">
        <f t="shared" si="107"/>
        <v/>
      </c>
      <c r="E152" s="1088" t="str">
        <f t="shared" si="108"/>
        <v/>
      </c>
      <c r="F152" s="1089" t="str">
        <f t="shared" si="109"/>
        <v/>
      </c>
      <c r="G152" s="1090" t="str">
        <f t="shared" si="110"/>
        <v/>
      </c>
      <c r="H152" s="1085" t="str">
        <f t="shared" si="111"/>
        <v/>
      </c>
      <c r="I152" s="1085" t="str">
        <f t="shared" si="112"/>
        <v/>
      </c>
      <c r="J152" s="1090" t="str">
        <f t="shared" si="113"/>
        <v/>
      </c>
      <c r="K152" s="1044" t="str">
        <f t="shared" si="114"/>
        <v/>
      </c>
      <c r="L152" s="1044" t="str">
        <f t="shared" si="115"/>
        <v/>
      </c>
      <c r="M152" s="1044" t="str">
        <f t="shared" si="116"/>
        <v/>
      </c>
      <c r="N152" s="1044" t="str">
        <f t="shared" si="117"/>
        <v/>
      </c>
      <c r="O152" s="1044">
        <f t="shared" si="118"/>
        <v>0</v>
      </c>
      <c r="P152" s="1044">
        <f t="shared" si="119"/>
        <v>0</v>
      </c>
      <c r="Q152" s="1044">
        <f t="shared" si="120"/>
        <v>0</v>
      </c>
      <c r="R152" s="1044">
        <f t="shared" si="121"/>
        <v>0</v>
      </c>
      <c r="S152" s="1044">
        <f t="shared" si="122"/>
        <v>0</v>
      </c>
      <c r="T152" s="1044">
        <f t="shared" si="123"/>
        <v>0</v>
      </c>
      <c r="U152" s="1044">
        <f t="shared" si="124"/>
        <v>0</v>
      </c>
      <c r="V152" s="1044">
        <f t="shared" si="125"/>
        <v>0</v>
      </c>
      <c r="W152" s="1044">
        <f t="shared" si="126"/>
        <v>0</v>
      </c>
      <c r="X152" s="1044">
        <f t="shared" si="127"/>
        <v>0</v>
      </c>
      <c r="Y152" s="1044">
        <f t="shared" si="128"/>
        <v>0</v>
      </c>
      <c r="Z152" s="1044">
        <f t="shared" si="129"/>
        <v>0</v>
      </c>
      <c r="AA152" s="1044">
        <f t="shared" si="130"/>
        <v>0</v>
      </c>
      <c r="AB152" s="1044">
        <f t="shared" si="131"/>
        <v>0</v>
      </c>
      <c r="AC152" s="1044">
        <f t="shared" si="132"/>
        <v>0</v>
      </c>
      <c r="AD152" s="1044">
        <f t="shared" si="133"/>
        <v>0</v>
      </c>
      <c r="AE152" s="1044">
        <f t="shared" si="134"/>
        <v>0</v>
      </c>
      <c r="AF152" s="1044">
        <f t="shared" si="135"/>
        <v>0</v>
      </c>
      <c r="AG152" s="1044">
        <f t="shared" si="136"/>
        <v>0</v>
      </c>
      <c r="AH152" s="1044">
        <f t="shared" si="137"/>
        <v>0</v>
      </c>
      <c r="AI152" s="1044">
        <f t="shared" si="138"/>
        <v>0</v>
      </c>
      <c r="AJ152" s="1044">
        <f t="shared" si="139"/>
        <v>0</v>
      </c>
      <c r="AK152" s="1044">
        <f t="shared" si="140"/>
        <v>0</v>
      </c>
      <c r="AL152" s="1044">
        <f t="shared" si="141"/>
        <v>0</v>
      </c>
      <c r="AM152" s="1044">
        <f t="shared" si="142"/>
        <v>0</v>
      </c>
      <c r="AN152" s="1044" t="str">
        <f t="shared" si="143"/>
        <v/>
      </c>
      <c r="AO152" s="1044" t="str">
        <f t="shared" si="144"/>
        <v/>
      </c>
      <c r="AP152" s="1044" t="str">
        <f t="shared" si="145"/>
        <v/>
      </c>
      <c r="AQ152" s="1044" t="str">
        <f t="shared" si="146"/>
        <v/>
      </c>
      <c r="AR152" s="1044" t="str">
        <f t="shared" si="147"/>
        <v/>
      </c>
      <c r="AS152" s="1044" t="str">
        <f t="shared" si="148"/>
        <v/>
      </c>
      <c r="AT152" s="1044" t="str">
        <f t="shared" si="149"/>
        <v/>
      </c>
      <c r="AU152" s="1044" t="str">
        <f t="shared" si="150"/>
        <v/>
      </c>
      <c r="AV152" s="1044" t="str">
        <f t="shared" si="151"/>
        <v/>
      </c>
      <c r="AW152" s="1044" t="str">
        <f t="shared" si="152"/>
        <v/>
      </c>
      <c r="AX152" s="1044" t="str">
        <f t="shared" si="153"/>
        <v/>
      </c>
      <c r="AY152" s="1044" t="str">
        <f t="shared" si="154"/>
        <v/>
      </c>
      <c r="AZ152" s="1044" t="str">
        <f t="shared" si="155"/>
        <v/>
      </c>
      <c r="BA152" s="1044" t="str">
        <f t="shared" si="156"/>
        <v/>
      </c>
      <c r="BB152" s="1044" t="str">
        <f t="shared" si="157"/>
        <v/>
      </c>
      <c r="BC152" s="1044" t="str">
        <f t="shared" si="158"/>
        <v/>
      </c>
      <c r="BF152" s="1" t="s">
        <v>7</v>
      </c>
      <c r="BG152" s="1076" t="s">
        <v>689</v>
      </c>
      <c r="BH152" s="1" t="s">
        <v>308</v>
      </c>
      <c r="BI152" s="1" t="s">
        <v>7533</v>
      </c>
    </row>
    <row r="153" spans="1:61" ht="30" customHeight="1">
      <c r="A153" s="1085" t="str">
        <f t="shared" si="106"/>
        <v/>
      </c>
      <c r="B153" s="1086"/>
      <c r="C153" s="1085" t="s">
        <v>254</v>
      </c>
      <c r="D153" s="1087" t="str">
        <f t="shared" si="107"/>
        <v/>
      </c>
      <c r="E153" s="1088" t="str">
        <f t="shared" si="108"/>
        <v/>
      </c>
      <c r="F153" s="1089" t="str">
        <f t="shared" si="109"/>
        <v/>
      </c>
      <c r="G153" s="1090" t="str">
        <f t="shared" si="110"/>
        <v/>
      </c>
      <c r="H153" s="1085" t="str">
        <f t="shared" si="111"/>
        <v/>
      </c>
      <c r="I153" s="1085" t="str">
        <f t="shared" si="112"/>
        <v/>
      </c>
      <c r="J153" s="1090" t="str">
        <f t="shared" si="113"/>
        <v/>
      </c>
      <c r="K153" s="1044" t="str">
        <f t="shared" si="114"/>
        <v/>
      </c>
      <c r="L153" s="1044" t="str">
        <f t="shared" si="115"/>
        <v/>
      </c>
      <c r="M153" s="1044" t="str">
        <f t="shared" si="116"/>
        <v/>
      </c>
      <c r="N153" s="1044" t="str">
        <f t="shared" si="117"/>
        <v/>
      </c>
      <c r="O153" s="1044">
        <f t="shared" si="118"/>
        <v>0</v>
      </c>
      <c r="P153" s="1044">
        <f t="shared" si="119"/>
        <v>0</v>
      </c>
      <c r="Q153" s="1044">
        <f t="shared" si="120"/>
        <v>0</v>
      </c>
      <c r="R153" s="1044">
        <f t="shared" si="121"/>
        <v>0</v>
      </c>
      <c r="S153" s="1044">
        <f t="shared" si="122"/>
        <v>0</v>
      </c>
      <c r="T153" s="1044">
        <f t="shared" si="123"/>
        <v>0</v>
      </c>
      <c r="U153" s="1044">
        <f t="shared" si="124"/>
        <v>0</v>
      </c>
      <c r="V153" s="1044">
        <f t="shared" si="125"/>
        <v>0</v>
      </c>
      <c r="W153" s="1044">
        <f t="shared" si="126"/>
        <v>0</v>
      </c>
      <c r="X153" s="1044">
        <f t="shared" si="127"/>
        <v>0</v>
      </c>
      <c r="Y153" s="1044">
        <f t="shared" si="128"/>
        <v>0</v>
      </c>
      <c r="Z153" s="1044">
        <f t="shared" si="129"/>
        <v>0</v>
      </c>
      <c r="AA153" s="1044">
        <f t="shared" si="130"/>
        <v>0</v>
      </c>
      <c r="AB153" s="1044">
        <f t="shared" si="131"/>
        <v>0</v>
      </c>
      <c r="AC153" s="1044">
        <f t="shared" si="132"/>
        <v>0</v>
      </c>
      <c r="AD153" s="1044">
        <f t="shared" si="133"/>
        <v>0</v>
      </c>
      <c r="AE153" s="1044">
        <f t="shared" si="134"/>
        <v>0</v>
      </c>
      <c r="AF153" s="1044">
        <f t="shared" si="135"/>
        <v>0</v>
      </c>
      <c r="AG153" s="1044">
        <f t="shared" si="136"/>
        <v>0</v>
      </c>
      <c r="AH153" s="1044">
        <f t="shared" si="137"/>
        <v>0</v>
      </c>
      <c r="AI153" s="1044">
        <f t="shared" si="138"/>
        <v>0</v>
      </c>
      <c r="AJ153" s="1044">
        <f t="shared" si="139"/>
        <v>0</v>
      </c>
      <c r="AK153" s="1044">
        <f t="shared" si="140"/>
        <v>0</v>
      </c>
      <c r="AL153" s="1044">
        <f t="shared" si="141"/>
        <v>0</v>
      </c>
      <c r="AM153" s="1044">
        <f t="shared" si="142"/>
        <v>0</v>
      </c>
      <c r="AN153" s="1044" t="str">
        <f t="shared" si="143"/>
        <v/>
      </c>
      <c r="AO153" s="1044" t="str">
        <f t="shared" si="144"/>
        <v/>
      </c>
      <c r="AP153" s="1044" t="str">
        <f t="shared" si="145"/>
        <v/>
      </c>
      <c r="AQ153" s="1044" t="str">
        <f t="shared" si="146"/>
        <v/>
      </c>
      <c r="AR153" s="1044" t="str">
        <f t="shared" si="147"/>
        <v/>
      </c>
      <c r="AS153" s="1044" t="str">
        <f t="shared" si="148"/>
        <v/>
      </c>
      <c r="AT153" s="1044" t="str">
        <f t="shared" si="149"/>
        <v/>
      </c>
      <c r="AU153" s="1044" t="str">
        <f t="shared" si="150"/>
        <v/>
      </c>
      <c r="AV153" s="1044" t="str">
        <f t="shared" si="151"/>
        <v/>
      </c>
      <c r="AW153" s="1044" t="str">
        <f t="shared" si="152"/>
        <v/>
      </c>
      <c r="AX153" s="1044" t="str">
        <f t="shared" si="153"/>
        <v/>
      </c>
      <c r="AY153" s="1044" t="str">
        <f t="shared" si="154"/>
        <v/>
      </c>
      <c r="AZ153" s="1044" t="str">
        <f t="shared" si="155"/>
        <v/>
      </c>
      <c r="BA153" s="1044" t="str">
        <f t="shared" si="156"/>
        <v/>
      </c>
      <c r="BB153" s="1044" t="str">
        <f t="shared" si="157"/>
        <v/>
      </c>
      <c r="BC153" s="1044" t="str">
        <f t="shared" si="158"/>
        <v/>
      </c>
      <c r="BF153" s="1" t="s">
        <v>7</v>
      </c>
      <c r="BG153" s="1076" t="s">
        <v>689</v>
      </c>
      <c r="BH153" s="1" t="s">
        <v>702</v>
      </c>
      <c r="BI153" s="1" t="s">
        <v>7534</v>
      </c>
    </row>
    <row r="154" spans="1:61" ht="30" customHeight="1">
      <c r="A154" s="1085" t="str">
        <f t="shared" si="106"/>
        <v/>
      </c>
      <c r="B154" s="1086"/>
      <c r="C154" s="1085" t="s">
        <v>254</v>
      </c>
      <c r="D154" s="1087" t="str">
        <f t="shared" si="107"/>
        <v/>
      </c>
      <c r="E154" s="1088" t="str">
        <f t="shared" si="108"/>
        <v/>
      </c>
      <c r="F154" s="1089" t="str">
        <f t="shared" si="109"/>
        <v/>
      </c>
      <c r="G154" s="1090" t="str">
        <f t="shared" si="110"/>
        <v/>
      </c>
      <c r="H154" s="1085" t="str">
        <f t="shared" si="111"/>
        <v/>
      </c>
      <c r="I154" s="1085" t="str">
        <f t="shared" si="112"/>
        <v/>
      </c>
      <c r="J154" s="1090" t="str">
        <f t="shared" si="113"/>
        <v/>
      </c>
      <c r="K154" s="1044" t="str">
        <f t="shared" si="114"/>
        <v/>
      </c>
      <c r="L154" s="1044" t="str">
        <f t="shared" si="115"/>
        <v/>
      </c>
      <c r="M154" s="1044" t="str">
        <f t="shared" si="116"/>
        <v/>
      </c>
      <c r="N154" s="1044" t="str">
        <f t="shared" si="117"/>
        <v/>
      </c>
      <c r="O154" s="1044">
        <f t="shared" si="118"/>
        <v>0</v>
      </c>
      <c r="P154" s="1044">
        <f t="shared" si="119"/>
        <v>0</v>
      </c>
      <c r="Q154" s="1044">
        <f t="shared" si="120"/>
        <v>0</v>
      </c>
      <c r="R154" s="1044">
        <f t="shared" si="121"/>
        <v>0</v>
      </c>
      <c r="S154" s="1044">
        <f t="shared" si="122"/>
        <v>0</v>
      </c>
      <c r="T154" s="1044">
        <f t="shared" si="123"/>
        <v>0</v>
      </c>
      <c r="U154" s="1044">
        <f t="shared" si="124"/>
        <v>0</v>
      </c>
      <c r="V154" s="1044">
        <f t="shared" si="125"/>
        <v>0</v>
      </c>
      <c r="W154" s="1044">
        <f t="shared" si="126"/>
        <v>0</v>
      </c>
      <c r="X154" s="1044">
        <f t="shared" si="127"/>
        <v>0</v>
      </c>
      <c r="Y154" s="1044">
        <f t="shared" si="128"/>
        <v>0</v>
      </c>
      <c r="Z154" s="1044">
        <f t="shared" si="129"/>
        <v>0</v>
      </c>
      <c r="AA154" s="1044">
        <f t="shared" si="130"/>
        <v>0</v>
      </c>
      <c r="AB154" s="1044">
        <f t="shared" si="131"/>
        <v>0</v>
      </c>
      <c r="AC154" s="1044">
        <f t="shared" si="132"/>
        <v>0</v>
      </c>
      <c r="AD154" s="1044">
        <f t="shared" si="133"/>
        <v>0</v>
      </c>
      <c r="AE154" s="1044">
        <f t="shared" si="134"/>
        <v>0</v>
      </c>
      <c r="AF154" s="1044">
        <f t="shared" si="135"/>
        <v>0</v>
      </c>
      <c r="AG154" s="1044">
        <f t="shared" si="136"/>
        <v>0</v>
      </c>
      <c r="AH154" s="1044">
        <f t="shared" si="137"/>
        <v>0</v>
      </c>
      <c r="AI154" s="1044">
        <f t="shared" si="138"/>
        <v>0</v>
      </c>
      <c r="AJ154" s="1044">
        <f t="shared" si="139"/>
        <v>0</v>
      </c>
      <c r="AK154" s="1044">
        <f t="shared" si="140"/>
        <v>0</v>
      </c>
      <c r="AL154" s="1044">
        <f t="shared" si="141"/>
        <v>0</v>
      </c>
      <c r="AM154" s="1044">
        <f t="shared" si="142"/>
        <v>0</v>
      </c>
      <c r="AN154" s="1044" t="str">
        <f t="shared" si="143"/>
        <v/>
      </c>
      <c r="AO154" s="1044" t="str">
        <f t="shared" si="144"/>
        <v/>
      </c>
      <c r="AP154" s="1044" t="str">
        <f t="shared" si="145"/>
        <v/>
      </c>
      <c r="AQ154" s="1044" t="str">
        <f t="shared" si="146"/>
        <v/>
      </c>
      <c r="AR154" s="1044" t="str">
        <f t="shared" si="147"/>
        <v/>
      </c>
      <c r="AS154" s="1044" t="str">
        <f t="shared" si="148"/>
        <v/>
      </c>
      <c r="AT154" s="1044" t="str">
        <f t="shared" si="149"/>
        <v/>
      </c>
      <c r="AU154" s="1044" t="str">
        <f t="shared" si="150"/>
        <v/>
      </c>
      <c r="AV154" s="1044" t="str">
        <f t="shared" si="151"/>
        <v/>
      </c>
      <c r="AW154" s="1044" t="str">
        <f t="shared" si="152"/>
        <v/>
      </c>
      <c r="AX154" s="1044" t="str">
        <f t="shared" si="153"/>
        <v/>
      </c>
      <c r="AY154" s="1044" t="str">
        <f t="shared" si="154"/>
        <v/>
      </c>
      <c r="AZ154" s="1044" t="str">
        <f t="shared" si="155"/>
        <v/>
      </c>
      <c r="BA154" s="1044" t="str">
        <f t="shared" si="156"/>
        <v/>
      </c>
      <c r="BB154" s="1044" t="str">
        <f t="shared" si="157"/>
        <v/>
      </c>
      <c r="BC154" s="1044" t="str">
        <f t="shared" si="158"/>
        <v/>
      </c>
      <c r="BF154" s="1" t="s">
        <v>7</v>
      </c>
      <c r="BG154" s="1076" t="s">
        <v>689</v>
      </c>
      <c r="BH154" s="1" t="s">
        <v>884</v>
      </c>
      <c r="BI154" s="1" t="s">
        <v>7535</v>
      </c>
    </row>
    <row r="155" spans="1:61" ht="30" customHeight="1">
      <c r="A155" s="1085" t="str">
        <f t="shared" si="106"/>
        <v/>
      </c>
      <c r="B155" s="1086"/>
      <c r="C155" s="1085" t="s">
        <v>254</v>
      </c>
      <c r="D155" s="1087" t="str">
        <f t="shared" si="107"/>
        <v/>
      </c>
      <c r="E155" s="1088" t="str">
        <f t="shared" si="108"/>
        <v/>
      </c>
      <c r="F155" s="1089" t="str">
        <f t="shared" si="109"/>
        <v/>
      </c>
      <c r="G155" s="1090" t="str">
        <f t="shared" si="110"/>
        <v/>
      </c>
      <c r="H155" s="1085" t="str">
        <f t="shared" si="111"/>
        <v/>
      </c>
      <c r="I155" s="1085" t="str">
        <f t="shared" si="112"/>
        <v/>
      </c>
      <c r="J155" s="1090" t="str">
        <f t="shared" si="113"/>
        <v/>
      </c>
      <c r="K155" s="1044" t="str">
        <f t="shared" si="114"/>
        <v/>
      </c>
      <c r="L155" s="1044" t="str">
        <f t="shared" si="115"/>
        <v/>
      </c>
      <c r="M155" s="1044" t="str">
        <f t="shared" si="116"/>
        <v/>
      </c>
      <c r="N155" s="1044" t="str">
        <f t="shared" si="117"/>
        <v/>
      </c>
      <c r="O155" s="1044">
        <f t="shared" si="118"/>
        <v>0</v>
      </c>
      <c r="P155" s="1044">
        <f t="shared" si="119"/>
        <v>0</v>
      </c>
      <c r="Q155" s="1044">
        <f t="shared" si="120"/>
        <v>0</v>
      </c>
      <c r="R155" s="1044">
        <f t="shared" si="121"/>
        <v>0</v>
      </c>
      <c r="S155" s="1044">
        <f t="shared" si="122"/>
        <v>0</v>
      </c>
      <c r="T155" s="1044">
        <f t="shared" si="123"/>
        <v>0</v>
      </c>
      <c r="U155" s="1044">
        <f t="shared" si="124"/>
        <v>0</v>
      </c>
      <c r="V155" s="1044">
        <f t="shared" si="125"/>
        <v>0</v>
      </c>
      <c r="W155" s="1044">
        <f t="shared" si="126"/>
        <v>0</v>
      </c>
      <c r="X155" s="1044">
        <f t="shared" si="127"/>
        <v>0</v>
      </c>
      <c r="Y155" s="1044">
        <f t="shared" si="128"/>
        <v>0</v>
      </c>
      <c r="Z155" s="1044">
        <f t="shared" si="129"/>
        <v>0</v>
      </c>
      <c r="AA155" s="1044">
        <f t="shared" si="130"/>
        <v>0</v>
      </c>
      <c r="AB155" s="1044">
        <f t="shared" si="131"/>
        <v>0</v>
      </c>
      <c r="AC155" s="1044">
        <f t="shared" si="132"/>
        <v>0</v>
      </c>
      <c r="AD155" s="1044">
        <f t="shared" si="133"/>
        <v>0</v>
      </c>
      <c r="AE155" s="1044">
        <f t="shared" si="134"/>
        <v>0</v>
      </c>
      <c r="AF155" s="1044">
        <f t="shared" si="135"/>
        <v>0</v>
      </c>
      <c r="AG155" s="1044">
        <f t="shared" si="136"/>
        <v>0</v>
      </c>
      <c r="AH155" s="1044">
        <f t="shared" si="137"/>
        <v>0</v>
      </c>
      <c r="AI155" s="1044">
        <f t="shared" si="138"/>
        <v>0</v>
      </c>
      <c r="AJ155" s="1044">
        <f t="shared" si="139"/>
        <v>0</v>
      </c>
      <c r="AK155" s="1044">
        <f t="shared" si="140"/>
        <v>0</v>
      </c>
      <c r="AL155" s="1044">
        <f t="shared" si="141"/>
        <v>0</v>
      </c>
      <c r="AM155" s="1044">
        <f t="shared" si="142"/>
        <v>0</v>
      </c>
      <c r="AN155" s="1044" t="str">
        <f t="shared" si="143"/>
        <v/>
      </c>
      <c r="AO155" s="1044" t="str">
        <f t="shared" si="144"/>
        <v/>
      </c>
      <c r="AP155" s="1044" t="str">
        <f t="shared" si="145"/>
        <v/>
      </c>
      <c r="AQ155" s="1044" t="str">
        <f t="shared" si="146"/>
        <v/>
      </c>
      <c r="AR155" s="1044" t="str">
        <f t="shared" si="147"/>
        <v/>
      </c>
      <c r="AS155" s="1044" t="str">
        <f t="shared" si="148"/>
        <v/>
      </c>
      <c r="AT155" s="1044" t="str">
        <f t="shared" si="149"/>
        <v/>
      </c>
      <c r="AU155" s="1044" t="str">
        <f t="shared" si="150"/>
        <v/>
      </c>
      <c r="AV155" s="1044" t="str">
        <f t="shared" si="151"/>
        <v/>
      </c>
      <c r="AW155" s="1044" t="str">
        <f t="shared" si="152"/>
        <v/>
      </c>
      <c r="AX155" s="1044" t="str">
        <f t="shared" si="153"/>
        <v/>
      </c>
      <c r="AY155" s="1044" t="str">
        <f t="shared" si="154"/>
        <v/>
      </c>
      <c r="AZ155" s="1044" t="str">
        <f t="shared" si="155"/>
        <v/>
      </c>
      <c r="BA155" s="1044" t="str">
        <f t="shared" si="156"/>
        <v/>
      </c>
      <c r="BB155" s="1044" t="str">
        <f t="shared" si="157"/>
        <v/>
      </c>
      <c r="BC155" s="1044" t="str">
        <f t="shared" si="158"/>
        <v/>
      </c>
      <c r="BF155" s="1" t="s">
        <v>7</v>
      </c>
      <c r="BG155" s="1076" t="s">
        <v>689</v>
      </c>
      <c r="BH155" s="1" t="s">
        <v>1813</v>
      </c>
      <c r="BI155" s="1" t="s">
        <v>7536</v>
      </c>
    </row>
    <row r="156" spans="1:61" ht="30" customHeight="1">
      <c r="A156" s="1085" t="str">
        <f t="shared" si="106"/>
        <v/>
      </c>
      <c r="B156" s="1086"/>
      <c r="C156" s="1085" t="s">
        <v>254</v>
      </c>
      <c r="D156" s="1087" t="str">
        <f t="shared" si="107"/>
        <v/>
      </c>
      <c r="E156" s="1088" t="str">
        <f t="shared" si="108"/>
        <v/>
      </c>
      <c r="F156" s="1089" t="str">
        <f t="shared" si="109"/>
        <v/>
      </c>
      <c r="G156" s="1090" t="str">
        <f t="shared" si="110"/>
        <v/>
      </c>
      <c r="H156" s="1085" t="str">
        <f t="shared" si="111"/>
        <v/>
      </c>
      <c r="I156" s="1085" t="str">
        <f t="shared" si="112"/>
        <v/>
      </c>
      <c r="J156" s="1090" t="str">
        <f t="shared" si="113"/>
        <v/>
      </c>
      <c r="K156" s="1044" t="str">
        <f t="shared" si="114"/>
        <v/>
      </c>
      <c r="L156" s="1044" t="str">
        <f t="shared" si="115"/>
        <v/>
      </c>
      <c r="M156" s="1044" t="str">
        <f t="shared" si="116"/>
        <v/>
      </c>
      <c r="N156" s="1044" t="str">
        <f t="shared" si="117"/>
        <v/>
      </c>
      <c r="O156" s="1044">
        <f t="shared" si="118"/>
        <v>0</v>
      </c>
      <c r="P156" s="1044">
        <f t="shared" si="119"/>
        <v>0</v>
      </c>
      <c r="Q156" s="1044">
        <f t="shared" si="120"/>
        <v>0</v>
      </c>
      <c r="R156" s="1044">
        <f t="shared" si="121"/>
        <v>0</v>
      </c>
      <c r="S156" s="1044">
        <f t="shared" si="122"/>
        <v>0</v>
      </c>
      <c r="T156" s="1044">
        <f t="shared" si="123"/>
        <v>0</v>
      </c>
      <c r="U156" s="1044">
        <f t="shared" si="124"/>
        <v>0</v>
      </c>
      <c r="V156" s="1044">
        <f t="shared" si="125"/>
        <v>0</v>
      </c>
      <c r="W156" s="1044">
        <f t="shared" si="126"/>
        <v>0</v>
      </c>
      <c r="X156" s="1044">
        <f t="shared" si="127"/>
        <v>0</v>
      </c>
      <c r="Y156" s="1044">
        <f t="shared" si="128"/>
        <v>0</v>
      </c>
      <c r="Z156" s="1044">
        <f t="shared" si="129"/>
        <v>0</v>
      </c>
      <c r="AA156" s="1044">
        <f t="shared" si="130"/>
        <v>0</v>
      </c>
      <c r="AB156" s="1044">
        <f t="shared" si="131"/>
        <v>0</v>
      </c>
      <c r="AC156" s="1044">
        <f t="shared" si="132"/>
        <v>0</v>
      </c>
      <c r="AD156" s="1044">
        <f t="shared" si="133"/>
        <v>0</v>
      </c>
      <c r="AE156" s="1044">
        <f t="shared" si="134"/>
        <v>0</v>
      </c>
      <c r="AF156" s="1044">
        <f t="shared" si="135"/>
        <v>0</v>
      </c>
      <c r="AG156" s="1044">
        <f t="shared" si="136"/>
        <v>0</v>
      </c>
      <c r="AH156" s="1044">
        <f t="shared" si="137"/>
        <v>0</v>
      </c>
      <c r="AI156" s="1044">
        <f t="shared" si="138"/>
        <v>0</v>
      </c>
      <c r="AJ156" s="1044">
        <f t="shared" si="139"/>
        <v>0</v>
      </c>
      <c r="AK156" s="1044">
        <f t="shared" si="140"/>
        <v>0</v>
      </c>
      <c r="AL156" s="1044">
        <f t="shared" si="141"/>
        <v>0</v>
      </c>
      <c r="AM156" s="1044">
        <f t="shared" si="142"/>
        <v>0</v>
      </c>
      <c r="AN156" s="1044" t="str">
        <f t="shared" si="143"/>
        <v/>
      </c>
      <c r="AO156" s="1044" t="str">
        <f t="shared" si="144"/>
        <v/>
      </c>
      <c r="AP156" s="1044" t="str">
        <f t="shared" si="145"/>
        <v/>
      </c>
      <c r="AQ156" s="1044" t="str">
        <f t="shared" si="146"/>
        <v/>
      </c>
      <c r="AR156" s="1044" t="str">
        <f t="shared" si="147"/>
        <v/>
      </c>
      <c r="AS156" s="1044" t="str">
        <f t="shared" si="148"/>
        <v/>
      </c>
      <c r="AT156" s="1044" t="str">
        <f t="shared" si="149"/>
        <v/>
      </c>
      <c r="AU156" s="1044" t="str">
        <f t="shared" si="150"/>
        <v/>
      </c>
      <c r="AV156" s="1044" t="str">
        <f t="shared" si="151"/>
        <v/>
      </c>
      <c r="AW156" s="1044" t="str">
        <f t="shared" si="152"/>
        <v/>
      </c>
      <c r="AX156" s="1044" t="str">
        <f t="shared" si="153"/>
        <v/>
      </c>
      <c r="AY156" s="1044" t="str">
        <f t="shared" si="154"/>
        <v/>
      </c>
      <c r="AZ156" s="1044" t="str">
        <f t="shared" si="155"/>
        <v/>
      </c>
      <c r="BA156" s="1044" t="str">
        <f t="shared" si="156"/>
        <v/>
      </c>
      <c r="BB156" s="1044" t="str">
        <f t="shared" si="157"/>
        <v/>
      </c>
      <c r="BC156" s="1044" t="str">
        <f t="shared" si="158"/>
        <v/>
      </c>
      <c r="BF156" s="1" t="s">
        <v>7</v>
      </c>
      <c r="BG156" s="1076" t="s">
        <v>689</v>
      </c>
      <c r="BH156" s="1" t="s">
        <v>29</v>
      </c>
      <c r="BI156" s="1" t="s">
        <v>7537</v>
      </c>
    </row>
    <row r="157" spans="1:61" ht="30" customHeight="1">
      <c r="A157" s="1085" t="str">
        <f t="shared" si="106"/>
        <v/>
      </c>
      <c r="B157" s="1086"/>
      <c r="C157" s="1085" t="s">
        <v>254</v>
      </c>
      <c r="D157" s="1087" t="str">
        <f t="shared" si="107"/>
        <v/>
      </c>
      <c r="E157" s="1088" t="str">
        <f t="shared" si="108"/>
        <v/>
      </c>
      <c r="F157" s="1089" t="str">
        <f t="shared" si="109"/>
        <v/>
      </c>
      <c r="G157" s="1090" t="str">
        <f t="shared" si="110"/>
        <v/>
      </c>
      <c r="H157" s="1085" t="str">
        <f t="shared" si="111"/>
        <v/>
      </c>
      <c r="I157" s="1085" t="str">
        <f t="shared" si="112"/>
        <v/>
      </c>
      <c r="J157" s="1090" t="str">
        <f t="shared" si="113"/>
        <v/>
      </c>
      <c r="K157" s="1044" t="str">
        <f t="shared" si="114"/>
        <v/>
      </c>
      <c r="L157" s="1044" t="str">
        <f t="shared" si="115"/>
        <v/>
      </c>
      <c r="M157" s="1044" t="str">
        <f t="shared" si="116"/>
        <v/>
      </c>
      <c r="N157" s="1044" t="str">
        <f t="shared" si="117"/>
        <v/>
      </c>
      <c r="O157" s="1044">
        <f t="shared" si="118"/>
        <v>0</v>
      </c>
      <c r="P157" s="1044">
        <f t="shared" si="119"/>
        <v>0</v>
      </c>
      <c r="Q157" s="1044">
        <f t="shared" si="120"/>
        <v>0</v>
      </c>
      <c r="R157" s="1044">
        <f t="shared" si="121"/>
        <v>0</v>
      </c>
      <c r="S157" s="1044">
        <f t="shared" si="122"/>
        <v>0</v>
      </c>
      <c r="T157" s="1044">
        <f t="shared" si="123"/>
        <v>0</v>
      </c>
      <c r="U157" s="1044">
        <f t="shared" si="124"/>
        <v>0</v>
      </c>
      <c r="V157" s="1044">
        <f t="shared" si="125"/>
        <v>0</v>
      </c>
      <c r="W157" s="1044">
        <f t="shared" si="126"/>
        <v>0</v>
      </c>
      <c r="X157" s="1044">
        <f t="shared" si="127"/>
        <v>0</v>
      </c>
      <c r="Y157" s="1044">
        <f t="shared" si="128"/>
        <v>0</v>
      </c>
      <c r="Z157" s="1044">
        <f t="shared" si="129"/>
        <v>0</v>
      </c>
      <c r="AA157" s="1044">
        <f t="shared" si="130"/>
        <v>0</v>
      </c>
      <c r="AB157" s="1044">
        <f t="shared" si="131"/>
        <v>0</v>
      </c>
      <c r="AC157" s="1044">
        <f t="shared" si="132"/>
        <v>0</v>
      </c>
      <c r="AD157" s="1044">
        <f t="shared" si="133"/>
        <v>0</v>
      </c>
      <c r="AE157" s="1044">
        <f t="shared" si="134"/>
        <v>0</v>
      </c>
      <c r="AF157" s="1044">
        <f t="shared" si="135"/>
        <v>0</v>
      </c>
      <c r="AG157" s="1044">
        <f t="shared" si="136"/>
        <v>0</v>
      </c>
      <c r="AH157" s="1044">
        <f t="shared" si="137"/>
        <v>0</v>
      </c>
      <c r="AI157" s="1044">
        <f t="shared" si="138"/>
        <v>0</v>
      </c>
      <c r="AJ157" s="1044">
        <f t="shared" si="139"/>
        <v>0</v>
      </c>
      <c r="AK157" s="1044">
        <f t="shared" si="140"/>
        <v>0</v>
      </c>
      <c r="AL157" s="1044">
        <f t="shared" si="141"/>
        <v>0</v>
      </c>
      <c r="AM157" s="1044">
        <f t="shared" si="142"/>
        <v>0</v>
      </c>
      <c r="AN157" s="1044" t="str">
        <f t="shared" si="143"/>
        <v/>
      </c>
      <c r="AO157" s="1044" t="str">
        <f t="shared" si="144"/>
        <v/>
      </c>
      <c r="AP157" s="1044" t="str">
        <f t="shared" si="145"/>
        <v/>
      </c>
      <c r="AQ157" s="1044" t="str">
        <f t="shared" si="146"/>
        <v/>
      </c>
      <c r="AR157" s="1044" t="str">
        <f t="shared" si="147"/>
        <v/>
      </c>
      <c r="AS157" s="1044" t="str">
        <f t="shared" si="148"/>
        <v/>
      </c>
      <c r="AT157" s="1044" t="str">
        <f t="shared" si="149"/>
        <v/>
      </c>
      <c r="AU157" s="1044" t="str">
        <f t="shared" si="150"/>
        <v/>
      </c>
      <c r="AV157" s="1044" t="str">
        <f t="shared" si="151"/>
        <v/>
      </c>
      <c r="AW157" s="1044" t="str">
        <f t="shared" si="152"/>
        <v/>
      </c>
      <c r="AX157" s="1044" t="str">
        <f t="shared" si="153"/>
        <v/>
      </c>
      <c r="AY157" s="1044" t="str">
        <f t="shared" si="154"/>
        <v/>
      </c>
      <c r="AZ157" s="1044" t="str">
        <f t="shared" si="155"/>
        <v/>
      </c>
      <c r="BA157" s="1044" t="str">
        <f t="shared" si="156"/>
        <v/>
      </c>
      <c r="BB157" s="1044" t="str">
        <f t="shared" si="157"/>
        <v/>
      </c>
      <c r="BC157" s="1044" t="str">
        <f t="shared" si="158"/>
        <v/>
      </c>
      <c r="BF157" s="1" t="s">
        <v>7</v>
      </c>
      <c r="BG157" s="1076" t="s">
        <v>689</v>
      </c>
      <c r="BH157" s="1" t="s">
        <v>7098</v>
      </c>
      <c r="BI157" s="1" t="s">
        <v>7538</v>
      </c>
    </row>
    <row r="158" spans="1:61" ht="30" customHeight="1">
      <c r="A158" s="1085" t="str">
        <f t="shared" si="106"/>
        <v/>
      </c>
      <c r="B158" s="1086"/>
      <c r="C158" s="1085" t="s">
        <v>254</v>
      </c>
      <c r="D158" s="1087" t="str">
        <f t="shared" si="107"/>
        <v/>
      </c>
      <c r="E158" s="1088" t="str">
        <f t="shared" si="108"/>
        <v/>
      </c>
      <c r="F158" s="1089" t="str">
        <f t="shared" si="109"/>
        <v/>
      </c>
      <c r="G158" s="1090" t="str">
        <f t="shared" si="110"/>
        <v/>
      </c>
      <c r="H158" s="1085" t="str">
        <f t="shared" si="111"/>
        <v/>
      </c>
      <c r="I158" s="1085" t="str">
        <f t="shared" si="112"/>
        <v/>
      </c>
      <c r="J158" s="1090" t="str">
        <f t="shared" si="113"/>
        <v/>
      </c>
      <c r="K158" s="1044" t="str">
        <f t="shared" si="114"/>
        <v/>
      </c>
      <c r="L158" s="1044" t="str">
        <f t="shared" si="115"/>
        <v/>
      </c>
      <c r="M158" s="1044" t="str">
        <f t="shared" si="116"/>
        <v/>
      </c>
      <c r="N158" s="1044" t="str">
        <f t="shared" si="117"/>
        <v/>
      </c>
      <c r="O158" s="1044">
        <f t="shared" si="118"/>
        <v>0</v>
      </c>
      <c r="P158" s="1044">
        <f t="shared" si="119"/>
        <v>0</v>
      </c>
      <c r="Q158" s="1044">
        <f t="shared" si="120"/>
        <v>0</v>
      </c>
      <c r="R158" s="1044">
        <f t="shared" si="121"/>
        <v>0</v>
      </c>
      <c r="S158" s="1044">
        <f t="shared" si="122"/>
        <v>0</v>
      </c>
      <c r="T158" s="1044">
        <f t="shared" si="123"/>
        <v>0</v>
      </c>
      <c r="U158" s="1044">
        <f t="shared" si="124"/>
        <v>0</v>
      </c>
      <c r="V158" s="1044">
        <f t="shared" si="125"/>
        <v>0</v>
      </c>
      <c r="W158" s="1044">
        <f t="shared" si="126"/>
        <v>0</v>
      </c>
      <c r="X158" s="1044">
        <f t="shared" si="127"/>
        <v>0</v>
      </c>
      <c r="Y158" s="1044">
        <f t="shared" si="128"/>
        <v>0</v>
      </c>
      <c r="Z158" s="1044">
        <f t="shared" si="129"/>
        <v>0</v>
      </c>
      <c r="AA158" s="1044">
        <f t="shared" si="130"/>
        <v>0</v>
      </c>
      <c r="AB158" s="1044">
        <f t="shared" si="131"/>
        <v>0</v>
      </c>
      <c r="AC158" s="1044">
        <f t="shared" si="132"/>
        <v>0</v>
      </c>
      <c r="AD158" s="1044">
        <f t="shared" si="133"/>
        <v>0</v>
      </c>
      <c r="AE158" s="1044">
        <f t="shared" si="134"/>
        <v>0</v>
      </c>
      <c r="AF158" s="1044">
        <f t="shared" si="135"/>
        <v>0</v>
      </c>
      <c r="AG158" s="1044">
        <f t="shared" si="136"/>
        <v>0</v>
      </c>
      <c r="AH158" s="1044">
        <f t="shared" si="137"/>
        <v>0</v>
      </c>
      <c r="AI158" s="1044">
        <f t="shared" si="138"/>
        <v>0</v>
      </c>
      <c r="AJ158" s="1044">
        <f t="shared" si="139"/>
        <v>0</v>
      </c>
      <c r="AK158" s="1044">
        <f t="shared" si="140"/>
        <v>0</v>
      </c>
      <c r="AL158" s="1044">
        <f t="shared" si="141"/>
        <v>0</v>
      </c>
      <c r="AM158" s="1044">
        <f t="shared" si="142"/>
        <v>0</v>
      </c>
      <c r="AN158" s="1044" t="str">
        <f t="shared" si="143"/>
        <v/>
      </c>
      <c r="AO158" s="1044" t="str">
        <f t="shared" si="144"/>
        <v/>
      </c>
      <c r="AP158" s="1044" t="str">
        <f t="shared" si="145"/>
        <v/>
      </c>
      <c r="AQ158" s="1044" t="str">
        <f t="shared" si="146"/>
        <v/>
      </c>
      <c r="AR158" s="1044" t="str">
        <f t="shared" si="147"/>
        <v/>
      </c>
      <c r="AS158" s="1044" t="str">
        <f t="shared" si="148"/>
        <v/>
      </c>
      <c r="AT158" s="1044" t="str">
        <f t="shared" si="149"/>
        <v/>
      </c>
      <c r="AU158" s="1044" t="str">
        <f t="shared" si="150"/>
        <v/>
      </c>
      <c r="AV158" s="1044" t="str">
        <f t="shared" si="151"/>
        <v/>
      </c>
      <c r="AW158" s="1044" t="str">
        <f t="shared" si="152"/>
        <v/>
      </c>
      <c r="AX158" s="1044" t="str">
        <f t="shared" si="153"/>
        <v/>
      </c>
      <c r="AY158" s="1044" t="str">
        <f t="shared" si="154"/>
        <v/>
      </c>
      <c r="AZ158" s="1044" t="str">
        <f t="shared" si="155"/>
        <v/>
      </c>
      <c r="BA158" s="1044" t="str">
        <f t="shared" si="156"/>
        <v/>
      </c>
      <c r="BB158" s="1044" t="str">
        <f t="shared" si="157"/>
        <v/>
      </c>
      <c r="BC158" s="1044" t="str">
        <f t="shared" si="158"/>
        <v/>
      </c>
      <c r="BF158" s="1" t="s">
        <v>7</v>
      </c>
      <c r="BG158" s="1076" t="s">
        <v>689</v>
      </c>
      <c r="BH158" s="1" t="s">
        <v>7099</v>
      </c>
      <c r="BI158" s="1" t="s">
        <v>7539</v>
      </c>
    </row>
    <row r="159" spans="1:61" ht="30" customHeight="1">
      <c r="A159" s="1085" t="str">
        <f t="shared" si="106"/>
        <v/>
      </c>
      <c r="B159" s="1086"/>
      <c r="C159" s="1085" t="s">
        <v>254</v>
      </c>
      <c r="D159" s="1087" t="str">
        <f t="shared" si="107"/>
        <v/>
      </c>
      <c r="E159" s="1088" t="str">
        <f t="shared" si="108"/>
        <v/>
      </c>
      <c r="F159" s="1089" t="str">
        <f t="shared" si="109"/>
        <v/>
      </c>
      <c r="G159" s="1090" t="str">
        <f t="shared" si="110"/>
        <v/>
      </c>
      <c r="H159" s="1085" t="str">
        <f t="shared" si="111"/>
        <v/>
      </c>
      <c r="I159" s="1085" t="str">
        <f t="shared" si="112"/>
        <v/>
      </c>
      <c r="J159" s="1090" t="str">
        <f t="shared" si="113"/>
        <v/>
      </c>
      <c r="K159" s="1044" t="str">
        <f t="shared" si="114"/>
        <v/>
      </c>
      <c r="L159" s="1044" t="str">
        <f t="shared" si="115"/>
        <v/>
      </c>
      <c r="M159" s="1044" t="str">
        <f t="shared" si="116"/>
        <v/>
      </c>
      <c r="N159" s="1044" t="str">
        <f t="shared" si="117"/>
        <v/>
      </c>
      <c r="O159" s="1044">
        <f t="shared" si="118"/>
        <v>0</v>
      </c>
      <c r="P159" s="1044">
        <f t="shared" si="119"/>
        <v>0</v>
      </c>
      <c r="Q159" s="1044">
        <f t="shared" si="120"/>
        <v>0</v>
      </c>
      <c r="R159" s="1044">
        <f t="shared" si="121"/>
        <v>0</v>
      </c>
      <c r="S159" s="1044">
        <f t="shared" si="122"/>
        <v>0</v>
      </c>
      <c r="T159" s="1044">
        <f t="shared" si="123"/>
        <v>0</v>
      </c>
      <c r="U159" s="1044">
        <f t="shared" si="124"/>
        <v>0</v>
      </c>
      <c r="V159" s="1044">
        <f t="shared" si="125"/>
        <v>0</v>
      </c>
      <c r="W159" s="1044">
        <f t="shared" si="126"/>
        <v>0</v>
      </c>
      <c r="X159" s="1044">
        <f t="shared" si="127"/>
        <v>0</v>
      </c>
      <c r="Y159" s="1044">
        <f t="shared" si="128"/>
        <v>0</v>
      </c>
      <c r="Z159" s="1044">
        <f t="shared" si="129"/>
        <v>0</v>
      </c>
      <c r="AA159" s="1044">
        <f t="shared" si="130"/>
        <v>0</v>
      </c>
      <c r="AB159" s="1044">
        <f t="shared" si="131"/>
        <v>0</v>
      </c>
      <c r="AC159" s="1044">
        <f t="shared" si="132"/>
        <v>0</v>
      </c>
      <c r="AD159" s="1044">
        <f t="shared" si="133"/>
        <v>0</v>
      </c>
      <c r="AE159" s="1044">
        <f t="shared" si="134"/>
        <v>0</v>
      </c>
      <c r="AF159" s="1044">
        <f t="shared" si="135"/>
        <v>0</v>
      </c>
      <c r="AG159" s="1044">
        <f t="shared" si="136"/>
        <v>0</v>
      </c>
      <c r="AH159" s="1044">
        <f t="shared" si="137"/>
        <v>0</v>
      </c>
      <c r="AI159" s="1044">
        <f t="shared" si="138"/>
        <v>0</v>
      </c>
      <c r="AJ159" s="1044">
        <f t="shared" si="139"/>
        <v>0</v>
      </c>
      <c r="AK159" s="1044">
        <f t="shared" si="140"/>
        <v>0</v>
      </c>
      <c r="AL159" s="1044">
        <f t="shared" si="141"/>
        <v>0</v>
      </c>
      <c r="AM159" s="1044">
        <f t="shared" si="142"/>
        <v>0</v>
      </c>
      <c r="AN159" s="1044" t="str">
        <f t="shared" si="143"/>
        <v/>
      </c>
      <c r="AO159" s="1044" t="str">
        <f t="shared" si="144"/>
        <v/>
      </c>
      <c r="AP159" s="1044" t="str">
        <f t="shared" si="145"/>
        <v/>
      </c>
      <c r="AQ159" s="1044" t="str">
        <f t="shared" si="146"/>
        <v/>
      </c>
      <c r="AR159" s="1044" t="str">
        <f t="shared" si="147"/>
        <v/>
      </c>
      <c r="AS159" s="1044" t="str">
        <f t="shared" si="148"/>
        <v/>
      </c>
      <c r="AT159" s="1044" t="str">
        <f t="shared" si="149"/>
        <v/>
      </c>
      <c r="AU159" s="1044" t="str">
        <f t="shared" si="150"/>
        <v/>
      </c>
      <c r="AV159" s="1044" t="str">
        <f t="shared" si="151"/>
        <v/>
      </c>
      <c r="AW159" s="1044" t="str">
        <f t="shared" si="152"/>
        <v/>
      </c>
      <c r="AX159" s="1044" t="str">
        <f t="shared" si="153"/>
        <v/>
      </c>
      <c r="AY159" s="1044" t="str">
        <f t="shared" si="154"/>
        <v/>
      </c>
      <c r="AZ159" s="1044" t="str">
        <f t="shared" si="155"/>
        <v/>
      </c>
      <c r="BA159" s="1044" t="str">
        <f t="shared" si="156"/>
        <v/>
      </c>
      <c r="BB159" s="1044" t="str">
        <f t="shared" si="157"/>
        <v/>
      </c>
      <c r="BC159" s="1044" t="str">
        <f t="shared" si="158"/>
        <v/>
      </c>
      <c r="BF159" s="1" t="s">
        <v>7</v>
      </c>
      <c r="BG159" s="1076" t="s">
        <v>689</v>
      </c>
      <c r="BH159" s="1" t="s">
        <v>7100</v>
      </c>
      <c r="BI159" s="1" t="s">
        <v>7540</v>
      </c>
    </row>
    <row r="160" spans="1:61" ht="30" customHeight="1">
      <c r="A160" s="1085" t="str">
        <f t="shared" si="106"/>
        <v/>
      </c>
      <c r="B160" s="1086"/>
      <c r="C160" s="1085" t="s">
        <v>254</v>
      </c>
      <c r="D160" s="1087" t="str">
        <f t="shared" si="107"/>
        <v/>
      </c>
      <c r="E160" s="1088" t="str">
        <f t="shared" si="108"/>
        <v/>
      </c>
      <c r="F160" s="1089" t="str">
        <f t="shared" si="109"/>
        <v/>
      </c>
      <c r="G160" s="1090" t="str">
        <f t="shared" si="110"/>
        <v/>
      </c>
      <c r="H160" s="1085" t="str">
        <f t="shared" si="111"/>
        <v/>
      </c>
      <c r="I160" s="1085" t="str">
        <f t="shared" si="112"/>
        <v/>
      </c>
      <c r="J160" s="1090" t="str">
        <f t="shared" si="113"/>
        <v/>
      </c>
      <c r="K160" s="1044" t="str">
        <f t="shared" si="114"/>
        <v/>
      </c>
      <c r="L160" s="1044" t="str">
        <f t="shared" si="115"/>
        <v/>
      </c>
      <c r="M160" s="1044" t="str">
        <f t="shared" si="116"/>
        <v/>
      </c>
      <c r="N160" s="1044" t="str">
        <f t="shared" si="117"/>
        <v/>
      </c>
      <c r="O160" s="1044">
        <f t="shared" si="118"/>
        <v>0</v>
      </c>
      <c r="P160" s="1044">
        <f t="shared" si="119"/>
        <v>0</v>
      </c>
      <c r="Q160" s="1044">
        <f t="shared" si="120"/>
        <v>0</v>
      </c>
      <c r="R160" s="1044">
        <f t="shared" si="121"/>
        <v>0</v>
      </c>
      <c r="S160" s="1044">
        <f t="shared" si="122"/>
        <v>0</v>
      </c>
      <c r="T160" s="1044">
        <f t="shared" si="123"/>
        <v>0</v>
      </c>
      <c r="U160" s="1044">
        <f t="shared" si="124"/>
        <v>0</v>
      </c>
      <c r="V160" s="1044">
        <f t="shared" si="125"/>
        <v>0</v>
      </c>
      <c r="W160" s="1044">
        <f t="shared" si="126"/>
        <v>0</v>
      </c>
      <c r="X160" s="1044">
        <f t="shared" si="127"/>
        <v>0</v>
      </c>
      <c r="Y160" s="1044">
        <f t="shared" si="128"/>
        <v>0</v>
      </c>
      <c r="Z160" s="1044">
        <f t="shared" si="129"/>
        <v>0</v>
      </c>
      <c r="AA160" s="1044">
        <f t="shared" si="130"/>
        <v>0</v>
      </c>
      <c r="AB160" s="1044">
        <f t="shared" si="131"/>
        <v>0</v>
      </c>
      <c r="AC160" s="1044">
        <f t="shared" si="132"/>
        <v>0</v>
      </c>
      <c r="AD160" s="1044">
        <f t="shared" si="133"/>
        <v>0</v>
      </c>
      <c r="AE160" s="1044">
        <f t="shared" si="134"/>
        <v>0</v>
      </c>
      <c r="AF160" s="1044">
        <f t="shared" si="135"/>
        <v>0</v>
      </c>
      <c r="AG160" s="1044">
        <f t="shared" si="136"/>
        <v>0</v>
      </c>
      <c r="AH160" s="1044">
        <f t="shared" si="137"/>
        <v>0</v>
      </c>
      <c r="AI160" s="1044">
        <f t="shared" si="138"/>
        <v>0</v>
      </c>
      <c r="AJ160" s="1044">
        <f t="shared" si="139"/>
        <v>0</v>
      </c>
      <c r="AK160" s="1044">
        <f t="shared" si="140"/>
        <v>0</v>
      </c>
      <c r="AL160" s="1044">
        <f t="shared" si="141"/>
        <v>0</v>
      </c>
      <c r="AM160" s="1044">
        <f t="shared" si="142"/>
        <v>0</v>
      </c>
      <c r="AN160" s="1044" t="str">
        <f t="shared" si="143"/>
        <v/>
      </c>
      <c r="AO160" s="1044" t="str">
        <f t="shared" si="144"/>
        <v/>
      </c>
      <c r="AP160" s="1044" t="str">
        <f t="shared" si="145"/>
        <v/>
      </c>
      <c r="AQ160" s="1044" t="str">
        <f t="shared" si="146"/>
        <v/>
      </c>
      <c r="AR160" s="1044" t="str">
        <f t="shared" si="147"/>
        <v/>
      </c>
      <c r="AS160" s="1044" t="str">
        <f t="shared" si="148"/>
        <v/>
      </c>
      <c r="AT160" s="1044" t="str">
        <f t="shared" si="149"/>
        <v/>
      </c>
      <c r="AU160" s="1044" t="str">
        <f t="shared" si="150"/>
        <v/>
      </c>
      <c r="AV160" s="1044" t="str">
        <f t="shared" si="151"/>
        <v/>
      </c>
      <c r="AW160" s="1044" t="str">
        <f t="shared" si="152"/>
        <v/>
      </c>
      <c r="AX160" s="1044" t="str">
        <f t="shared" si="153"/>
        <v/>
      </c>
      <c r="AY160" s="1044" t="str">
        <f t="shared" si="154"/>
        <v/>
      </c>
      <c r="AZ160" s="1044" t="str">
        <f t="shared" si="155"/>
        <v/>
      </c>
      <c r="BA160" s="1044" t="str">
        <f t="shared" si="156"/>
        <v/>
      </c>
      <c r="BB160" s="1044" t="str">
        <f t="shared" si="157"/>
        <v/>
      </c>
      <c r="BC160" s="1044" t="str">
        <f t="shared" si="158"/>
        <v/>
      </c>
      <c r="BF160" s="1" t="s">
        <v>7</v>
      </c>
      <c r="BG160" s="1076" t="s">
        <v>689</v>
      </c>
      <c r="BH160" s="1" t="s">
        <v>7101</v>
      </c>
      <c r="BI160" s="1" t="s">
        <v>7541</v>
      </c>
    </row>
    <row r="161" spans="1:61" ht="30" customHeight="1">
      <c r="A161" s="1085" t="str">
        <f t="shared" si="106"/>
        <v/>
      </c>
      <c r="B161" s="1086"/>
      <c r="C161" s="1085" t="s">
        <v>254</v>
      </c>
      <c r="D161" s="1087" t="str">
        <f t="shared" si="107"/>
        <v/>
      </c>
      <c r="E161" s="1088" t="str">
        <f t="shared" si="108"/>
        <v/>
      </c>
      <c r="F161" s="1089" t="str">
        <f t="shared" si="109"/>
        <v/>
      </c>
      <c r="G161" s="1090" t="str">
        <f t="shared" si="110"/>
        <v/>
      </c>
      <c r="H161" s="1085" t="str">
        <f t="shared" si="111"/>
        <v/>
      </c>
      <c r="I161" s="1085" t="str">
        <f t="shared" si="112"/>
        <v/>
      </c>
      <c r="J161" s="1090" t="str">
        <f t="shared" si="113"/>
        <v/>
      </c>
      <c r="K161" s="1044" t="str">
        <f t="shared" si="114"/>
        <v/>
      </c>
      <c r="L161" s="1044" t="str">
        <f t="shared" si="115"/>
        <v/>
      </c>
      <c r="M161" s="1044" t="str">
        <f t="shared" si="116"/>
        <v/>
      </c>
      <c r="N161" s="1044" t="str">
        <f t="shared" si="117"/>
        <v/>
      </c>
      <c r="O161" s="1044">
        <f t="shared" si="118"/>
        <v>0</v>
      </c>
      <c r="P161" s="1044">
        <f t="shared" si="119"/>
        <v>0</v>
      </c>
      <c r="Q161" s="1044">
        <f t="shared" si="120"/>
        <v>0</v>
      </c>
      <c r="R161" s="1044">
        <f t="shared" si="121"/>
        <v>0</v>
      </c>
      <c r="S161" s="1044">
        <f t="shared" si="122"/>
        <v>0</v>
      </c>
      <c r="T161" s="1044">
        <f t="shared" si="123"/>
        <v>0</v>
      </c>
      <c r="U161" s="1044">
        <f t="shared" si="124"/>
        <v>0</v>
      </c>
      <c r="V161" s="1044">
        <f t="shared" si="125"/>
        <v>0</v>
      </c>
      <c r="W161" s="1044">
        <f t="shared" si="126"/>
        <v>0</v>
      </c>
      <c r="X161" s="1044">
        <f t="shared" si="127"/>
        <v>0</v>
      </c>
      <c r="Y161" s="1044">
        <f t="shared" si="128"/>
        <v>0</v>
      </c>
      <c r="Z161" s="1044">
        <f t="shared" si="129"/>
        <v>0</v>
      </c>
      <c r="AA161" s="1044">
        <f t="shared" si="130"/>
        <v>0</v>
      </c>
      <c r="AB161" s="1044">
        <f t="shared" si="131"/>
        <v>0</v>
      </c>
      <c r="AC161" s="1044">
        <f t="shared" si="132"/>
        <v>0</v>
      </c>
      <c r="AD161" s="1044">
        <f t="shared" si="133"/>
        <v>0</v>
      </c>
      <c r="AE161" s="1044">
        <f t="shared" si="134"/>
        <v>0</v>
      </c>
      <c r="AF161" s="1044">
        <f t="shared" si="135"/>
        <v>0</v>
      </c>
      <c r="AG161" s="1044">
        <f t="shared" si="136"/>
        <v>0</v>
      </c>
      <c r="AH161" s="1044">
        <f t="shared" si="137"/>
        <v>0</v>
      </c>
      <c r="AI161" s="1044">
        <f t="shared" si="138"/>
        <v>0</v>
      </c>
      <c r="AJ161" s="1044">
        <f t="shared" si="139"/>
        <v>0</v>
      </c>
      <c r="AK161" s="1044">
        <f t="shared" si="140"/>
        <v>0</v>
      </c>
      <c r="AL161" s="1044">
        <f t="shared" si="141"/>
        <v>0</v>
      </c>
      <c r="AM161" s="1044">
        <f t="shared" si="142"/>
        <v>0</v>
      </c>
      <c r="AN161" s="1044" t="str">
        <f t="shared" si="143"/>
        <v/>
      </c>
      <c r="AO161" s="1044" t="str">
        <f t="shared" si="144"/>
        <v/>
      </c>
      <c r="AP161" s="1044" t="str">
        <f t="shared" si="145"/>
        <v/>
      </c>
      <c r="AQ161" s="1044" t="str">
        <f t="shared" si="146"/>
        <v/>
      </c>
      <c r="AR161" s="1044" t="str">
        <f t="shared" si="147"/>
        <v/>
      </c>
      <c r="AS161" s="1044" t="str">
        <f t="shared" si="148"/>
        <v/>
      </c>
      <c r="AT161" s="1044" t="str">
        <f t="shared" si="149"/>
        <v/>
      </c>
      <c r="AU161" s="1044" t="str">
        <f t="shared" si="150"/>
        <v/>
      </c>
      <c r="AV161" s="1044" t="str">
        <f t="shared" si="151"/>
        <v/>
      </c>
      <c r="AW161" s="1044" t="str">
        <f t="shared" si="152"/>
        <v/>
      </c>
      <c r="AX161" s="1044" t="str">
        <f t="shared" si="153"/>
        <v/>
      </c>
      <c r="AY161" s="1044" t="str">
        <f t="shared" si="154"/>
        <v/>
      </c>
      <c r="AZ161" s="1044" t="str">
        <f t="shared" si="155"/>
        <v/>
      </c>
      <c r="BA161" s="1044" t="str">
        <f t="shared" si="156"/>
        <v/>
      </c>
      <c r="BB161" s="1044" t="str">
        <f t="shared" si="157"/>
        <v/>
      </c>
      <c r="BC161" s="1044" t="str">
        <f t="shared" si="158"/>
        <v/>
      </c>
      <c r="BF161" s="1" t="s">
        <v>7</v>
      </c>
      <c r="BG161" s="1076" t="s">
        <v>689</v>
      </c>
      <c r="BH161" s="1" t="s">
        <v>183</v>
      </c>
      <c r="BI161" s="1" t="s">
        <v>7542</v>
      </c>
    </row>
    <row r="162" spans="1:61" ht="30" customHeight="1">
      <c r="A162" s="1085" t="str">
        <f t="shared" si="106"/>
        <v/>
      </c>
      <c r="B162" s="1086"/>
      <c r="C162" s="1085" t="s">
        <v>254</v>
      </c>
      <c r="D162" s="1087" t="str">
        <f t="shared" si="107"/>
        <v/>
      </c>
      <c r="E162" s="1088" t="str">
        <f t="shared" si="108"/>
        <v/>
      </c>
      <c r="F162" s="1089" t="str">
        <f t="shared" si="109"/>
        <v/>
      </c>
      <c r="G162" s="1090" t="str">
        <f t="shared" si="110"/>
        <v/>
      </c>
      <c r="H162" s="1085" t="str">
        <f t="shared" si="111"/>
        <v/>
      </c>
      <c r="I162" s="1085" t="str">
        <f t="shared" si="112"/>
        <v/>
      </c>
      <c r="J162" s="1090" t="str">
        <f t="shared" si="113"/>
        <v/>
      </c>
      <c r="K162" s="1044" t="str">
        <f t="shared" si="114"/>
        <v/>
      </c>
      <c r="L162" s="1044" t="str">
        <f t="shared" si="115"/>
        <v/>
      </c>
      <c r="M162" s="1044" t="str">
        <f t="shared" si="116"/>
        <v/>
      </c>
      <c r="N162" s="1044" t="str">
        <f t="shared" si="117"/>
        <v/>
      </c>
      <c r="O162" s="1044">
        <f t="shared" si="118"/>
        <v>0</v>
      </c>
      <c r="P162" s="1044">
        <f t="shared" si="119"/>
        <v>0</v>
      </c>
      <c r="Q162" s="1044">
        <f t="shared" si="120"/>
        <v>0</v>
      </c>
      <c r="R162" s="1044">
        <f t="shared" si="121"/>
        <v>0</v>
      </c>
      <c r="S162" s="1044">
        <f t="shared" si="122"/>
        <v>0</v>
      </c>
      <c r="T162" s="1044">
        <f t="shared" si="123"/>
        <v>0</v>
      </c>
      <c r="U162" s="1044">
        <f t="shared" si="124"/>
        <v>0</v>
      </c>
      <c r="V162" s="1044">
        <f t="shared" si="125"/>
        <v>0</v>
      </c>
      <c r="W162" s="1044">
        <f t="shared" si="126"/>
        <v>0</v>
      </c>
      <c r="X162" s="1044">
        <f t="shared" si="127"/>
        <v>0</v>
      </c>
      <c r="Y162" s="1044">
        <f t="shared" si="128"/>
        <v>0</v>
      </c>
      <c r="Z162" s="1044">
        <f t="shared" si="129"/>
        <v>0</v>
      </c>
      <c r="AA162" s="1044">
        <f t="shared" si="130"/>
        <v>0</v>
      </c>
      <c r="AB162" s="1044">
        <f t="shared" si="131"/>
        <v>0</v>
      </c>
      <c r="AC162" s="1044">
        <f t="shared" si="132"/>
        <v>0</v>
      </c>
      <c r="AD162" s="1044">
        <f t="shared" si="133"/>
        <v>0</v>
      </c>
      <c r="AE162" s="1044">
        <f t="shared" si="134"/>
        <v>0</v>
      </c>
      <c r="AF162" s="1044">
        <f t="shared" si="135"/>
        <v>0</v>
      </c>
      <c r="AG162" s="1044">
        <f t="shared" si="136"/>
        <v>0</v>
      </c>
      <c r="AH162" s="1044">
        <f t="shared" si="137"/>
        <v>0</v>
      </c>
      <c r="AI162" s="1044">
        <f t="shared" si="138"/>
        <v>0</v>
      </c>
      <c r="AJ162" s="1044">
        <f t="shared" si="139"/>
        <v>0</v>
      </c>
      <c r="AK162" s="1044">
        <f t="shared" si="140"/>
        <v>0</v>
      </c>
      <c r="AL162" s="1044">
        <f t="shared" si="141"/>
        <v>0</v>
      </c>
      <c r="AM162" s="1044">
        <f t="shared" si="142"/>
        <v>0</v>
      </c>
      <c r="AN162" s="1044" t="str">
        <f t="shared" si="143"/>
        <v/>
      </c>
      <c r="AO162" s="1044" t="str">
        <f t="shared" si="144"/>
        <v/>
      </c>
      <c r="AP162" s="1044" t="str">
        <f t="shared" si="145"/>
        <v/>
      </c>
      <c r="AQ162" s="1044" t="str">
        <f t="shared" si="146"/>
        <v/>
      </c>
      <c r="AR162" s="1044" t="str">
        <f t="shared" si="147"/>
        <v/>
      </c>
      <c r="AS162" s="1044" t="str">
        <f t="shared" si="148"/>
        <v/>
      </c>
      <c r="AT162" s="1044" t="str">
        <f t="shared" si="149"/>
        <v/>
      </c>
      <c r="AU162" s="1044" t="str">
        <f t="shared" si="150"/>
        <v/>
      </c>
      <c r="AV162" s="1044" t="str">
        <f t="shared" si="151"/>
        <v/>
      </c>
      <c r="AW162" s="1044" t="str">
        <f t="shared" si="152"/>
        <v/>
      </c>
      <c r="AX162" s="1044" t="str">
        <f t="shared" si="153"/>
        <v/>
      </c>
      <c r="AY162" s="1044" t="str">
        <f t="shared" si="154"/>
        <v/>
      </c>
      <c r="AZ162" s="1044" t="str">
        <f t="shared" si="155"/>
        <v/>
      </c>
      <c r="BA162" s="1044" t="str">
        <f t="shared" si="156"/>
        <v/>
      </c>
      <c r="BB162" s="1044" t="str">
        <f t="shared" si="157"/>
        <v/>
      </c>
      <c r="BC162" s="1044" t="str">
        <f t="shared" si="158"/>
        <v/>
      </c>
      <c r="BF162" s="1" t="s">
        <v>7</v>
      </c>
      <c r="BG162" s="1076" t="s">
        <v>689</v>
      </c>
      <c r="BH162" s="1" t="s">
        <v>889</v>
      </c>
      <c r="BI162" s="1" t="s">
        <v>7543</v>
      </c>
    </row>
    <row r="163" spans="1:61" ht="30" customHeight="1">
      <c r="A163" s="1085" t="str">
        <f t="shared" si="106"/>
        <v/>
      </c>
      <c r="B163" s="1086"/>
      <c r="C163" s="1085" t="s">
        <v>254</v>
      </c>
      <c r="D163" s="1087" t="str">
        <f t="shared" si="107"/>
        <v/>
      </c>
      <c r="E163" s="1088" t="str">
        <f t="shared" si="108"/>
        <v/>
      </c>
      <c r="F163" s="1089" t="str">
        <f t="shared" si="109"/>
        <v/>
      </c>
      <c r="G163" s="1090" t="str">
        <f t="shared" si="110"/>
        <v/>
      </c>
      <c r="H163" s="1085" t="str">
        <f t="shared" si="111"/>
        <v/>
      </c>
      <c r="I163" s="1085" t="str">
        <f t="shared" si="112"/>
        <v/>
      </c>
      <c r="J163" s="1090" t="str">
        <f t="shared" si="113"/>
        <v/>
      </c>
      <c r="K163" s="1044" t="str">
        <f t="shared" si="114"/>
        <v/>
      </c>
      <c r="L163" s="1044" t="str">
        <f t="shared" si="115"/>
        <v/>
      </c>
      <c r="M163" s="1044" t="str">
        <f t="shared" si="116"/>
        <v/>
      </c>
      <c r="N163" s="1044" t="str">
        <f t="shared" si="117"/>
        <v/>
      </c>
      <c r="O163" s="1044">
        <f t="shared" si="118"/>
        <v>0</v>
      </c>
      <c r="P163" s="1044">
        <f t="shared" si="119"/>
        <v>0</v>
      </c>
      <c r="Q163" s="1044">
        <f t="shared" si="120"/>
        <v>0</v>
      </c>
      <c r="R163" s="1044">
        <f t="shared" si="121"/>
        <v>0</v>
      </c>
      <c r="S163" s="1044">
        <f t="shared" si="122"/>
        <v>0</v>
      </c>
      <c r="T163" s="1044">
        <f t="shared" si="123"/>
        <v>0</v>
      </c>
      <c r="U163" s="1044">
        <f t="shared" si="124"/>
        <v>0</v>
      </c>
      <c r="V163" s="1044">
        <f t="shared" si="125"/>
        <v>0</v>
      </c>
      <c r="W163" s="1044">
        <f t="shared" si="126"/>
        <v>0</v>
      </c>
      <c r="X163" s="1044">
        <f t="shared" si="127"/>
        <v>0</v>
      </c>
      <c r="Y163" s="1044">
        <f t="shared" si="128"/>
        <v>0</v>
      </c>
      <c r="Z163" s="1044">
        <f t="shared" si="129"/>
        <v>0</v>
      </c>
      <c r="AA163" s="1044">
        <f t="shared" si="130"/>
        <v>0</v>
      </c>
      <c r="AB163" s="1044">
        <f t="shared" si="131"/>
        <v>0</v>
      </c>
      <c r="AC163" s="1044">
        <f t="shared" si="132"/>
        <v>0</v>
      </c>
      <c r="AD163" s="1044">
        <f t="shared" si="133"/>
        <v>0</v>
      </c>
      <c r="AE163" s="1044">
        <f t="shared" si="134"/>
        <v>0</v>
      </c>
      <c r="AF163" s="1044">
        <f t="shared" si="135"/>
        <v>0</v>
      </c>
      <c r="AG163" s="1044">
        <f t="shared" si="136"/>
        <v>0</v>
      </c>
      <c r="AH163" s="1044">
        <f t="shared" si="137"/>
        <v>0</v>
      </c>
      <c r="AI163" s="1044">
        <f t="shared" si="138"/>
        <v>0</v>
      </c>
      <c r="AJ163" s="1044">
        <f t="shared" si="139"/>
        <v>0</v>
      </c>
      <c r="AK163" s="1044">
        <f t="shared" si="140"/>
        <v>0</v>
      </c>
      <c r="AL163" s="1044">
        <f t="shared" si="141"/>
        <v>0</v>
      </c>
      <c r="AM163" s="1044">
        <f t="shared" si="142"/>
        <v>0</v>
      </c>
      <c r="AN163" s="1044" t="str">
        <f t="shared" si="143"/>
        <v/>
      </c>
      <c r="AO163" s="1044" t="str">
        <f t="shared" si="144"/>
        <v/>
      </c>
      <c r="AP163" s="1044" t="str">
        <f t="shared" si="145"/>
        <v/>
      </c>
      <c r="AQ163" s="1044" t="str">
        <f t="shared" si="146"/>
        <v/>
      </c>
      <c r="AR163" s="1044" t="str">
        <f t="shared" si="147"/>
        <v/>
      </c>
      <c r="AS163" s="1044" t="str">
        <f t="shared" si="148"/>
        <v/>
      </c>
      <c r="AT163" s="1044" t="str">
        <f t="shared" si="149"/>
        <v/>
      </c>
      <c r="AU163" s="1044" t="str">
        <f t="shared" si="150"/>
        <v/>
      </c>
      <c r="AV163" s="1044" t="str">
        <f t="shared" si="151"/>
        <v/>
      </c>
      <c r="AW163" s="1044" t="str">
        <f t="shared" si="152"/>
        <v/>
      </c>
      <c r="AX163" s="1044" t="str">
        <f t="shared" si="153"/>
        <v/>
      </c>
      <c r="AY163" s="1044" t="str">
        <f t="shared" si="154"/>
        <v/>
      </c>
      <c r="AZ163" s="1044" t="str">
        <f t="shared" si="155"/>
        <v/>
      </c>
      <c r="BA163" s="1044" t="str">
        <f t="shared" si="156"/>
        <v/>
      </c>
      <c r="BB163" s="1044" t="str">
        <f t="shared" si="157"/>
        <v/>
      </c>
      <c r="BC163" s="1044" t="str">
        <f t="shared" si="158"/>
        <v/>
      </c>
      <c r="BF163" s="1" t="s">
        <v>7</v>
      </c>
      <c r="BG163" s="1076" t="s">
        <v>689</v>
      </c>
      <c r="BH163" s="1" t="s">
        <v>198</v>
      </c>
      <c r="BI163" s="1" t="s">
        <v>7544</v>
      </c>
    </row>
    <row r="164" spans="1:61" ht="30" customHeight="1">
      <c r="A164" s="1085" t="str">
        <f t="shared" si="106"/>
        <v/>
      </c>
      <c r="B164" s="1086"/>
      <c r="C164" s="1085" t="s">
        <v>254</v>
      </c>
      <c r="D164" s="1087" t="str">
        <f t="shared" si="107"/>
        <v/>
      </c>
      <c r="E164" s="1088" t="str">
        <f t="shared" si="108"/>
        <v/>
      </c>
      <c r="F164" s="1089" t="str">
        <f t="shared" si="109"/>
        <v/>
      </c>
      <c r="G164" s="1090" t="str">
        <f t="shared" si="110"/>
        <v/>
      </c>
      <c r="H164" s="1085" t="str">
        <f t="shared" si="111"/>
        <v/>
      </c>
      <c r="I164" s="1085" t="str">
        <f t="shared" si="112"/>
        <v/>
      </c>
      <c r="J164" s="1090" t="str">
        <f t="shared" si="113"/>
        <v/>
      </c>
      <c r="K164" s="1044" t="str">
        <f t="shared" si="114"/>
        <v/>
      </c>
      <c r="L164" s="1044" t="str">
        <f t="shared" si="115"/>
        <v/>
      </c>
      <c r="M164" s="1044" t="str">
        <f t="shared" si="116"/>
        <v/>
      </c>
      <c r="N164" s="1044" t="str">
        <f t="shared" si="117"/>
        <v/>
      </c>
      <c r="O164" s="1044">
        <f t="shared" si="118"/>
        <v>0</v>
      </c>
      <c r="P164" s="1044">
        <f t="shared" si="119"/>
        <v>0</v>
      </c>
      <c r="Q164" s="1044">
        <f t="shared" si="120"/>
        <v>0</v>
      </c>
      <c r="R164" s="1044">
        <f t="shared" si="121"/>
        <v>0</v>
      </c>
      <c r="S164" s="1044">
        <f t="shared" si="122"/>
        <v>0</v>
      </c>
      <c r="T164" s="1044">
        <f t="shared" si="123"/>
        <v>0</v>
      </c>
      <c r="U164" s="1044">
        <f t="shared" si="124"/>
        <v>0</v>
      </c>
      <c r="V164" s="1044">
        <f t="shared" si="125"/>
        <v>0</v>
      </c>
      <c r="W164" s="1044">
        <f t="shared" si="126"/>
        <v>0</v>
      </c>
      <c r="X164" s="1044">
        <f t="shared" si="127"/>
        <v>0</v>
      </c>
      <c r="Y164" s="1044">
        <f t="shared" si="128"/>
        <v>0</v>
      </c>
      <c r="Z164" s="1044">
        <f t="shared" si="129"/>
        <v>0</v>
      </c>
      <c r="AA164" s="1044">
        <f t="shared" si="130"/>
        <v>0</v>
      </c>
      <c r="AB164" s="1044">
        <f t="shared" si="131"/>
        <v>0</v>
      </c>
      <c r="AC164" s="1044">
        <f t="shared" si="132"/>
        <v>0</v>
      </c>
      <c r="AD164" s="1044">
        <f t="shared" si="133"/>
        <v>0</v>
      </c>
      <c r="AE164" s="1044">
        <f t="shared" si="134"/>
        <v>0</v>
      </c>
      <c r="AF164" s="1044">
        <f t="shared" si="135"/>
        <v>0</v>
      </c>
      <c r="AG164" s="1044">
        <f t="shared" si="136"/>
        <v>0</v>
      </c>
      <c r="AH164" s="1044">
        <f t="shared" si="137"/>
        <v>0</v>
      </c>
      <c r="AI164" s="1044">
        <f t="shared" si="138"/>
        <v>0</v>
      </c>
      <c r="AJ164" s="1044">
        <f t="shared" si="139"/>
        <v>0</v>
      </c>
      <c r="AK164" s="1044">
        <f t="shared" si="140"/>
        <v>0</v>
      </c>
      <c r="AL164" s="1044">
        <f t="shared" si="141"/>
        <v>0</v>
      </c>
      <c r="AM164" s="1044">
        <f t="shared" si="142"/>
        <v>0</v>
      </c>
      <c r="AN164" s="1044" t="str">
        <f t="shared" si="143"/>
        <v/>
      </c>
      <c r="AO164" s="1044" t="str">
        <f t="shared" si="144"/>
        <v/>
      </c>
      <c r="AP164" s="1044" t="str">
        <f t="shared" si="145"/>
        <v/>
      </c>
      <c r="AQ164" s="1044" t="str">
        <f t="shared" si="146"/>
        <v/>
      </c>
      <c r="AR164" s="1044" t="str">
        <f t="shared" si="147"/>
        <v/>
      </c>
      <c r="AS164" s="1044" t="str">
        <f t="shared" si="148"/>
        <v/>
      </c>
      <c r="AT164" s="1044" t="str">
        <f t="shared" si="149"/>
        <v/>
      </c>
      <c r="AU164" s="1044" t="str">
        <f t="shared" si="150"/>
        <v/>
      </c>
      <c r="AV164" s="1044" t="str">
        <f t="shared" si="151"/>
        <v/>
      </c>
      <c r="AW164" s="1044" t="str">
        <f t="shared" si="152"/>
        <v/>
      </c>
      <c r="AX164" s="1044" t="str">
        <f t="shared" si="153"/>
        <v/>
      </c>
      <c r="AY164" s="1044" t="str">
        <f t="shared" si="154"/>
        <v/>
      </c>
      <c r="AZ164" s="1044" t="str">
        <f t="shared" si="155"/>
        <v/>
      </c>
      <c r="BA164" s="1044" t="str">
        <f t="shared" si="156"/>
        <v/>
      </c>
      <c r="BB164" s="1044" t="str">
        <f t="shared" si="157"/>
        <v/>
      </c>
      <c r="BC164" s="1044" t="str">
        <f t="shared" si="158"/>
        <v/>
      </c>
      <c r="BF164" s="1" t="s">
        <v>7</v>
      </c>
      <c r="BG164" s="1076" t="s">
        <v>689</v>
      </c>
      <c r="BH164" s="1" t="s">
        <v>7102</v>
      </c>
      <c r="BI164" s="1" t="s">
        <v>7545</v>
      </c>
    </row>
    <row r="165" spans="1:61" ht="30" customHeight="1">
      <c r="A165" s="1085" t="str">
        <f t="shared" si="106"/>
        <v/>
      </c>
      <c r="B165" s="1086"/>
      <c r="C165" s="1085" t="s">
        <v>254</v>
      </c>
      <c r="D165" s="1087" t="str">
        <f t="shared" si="107"/>
        <v/>
      </c>
      <c r="E165" s="1088" t="str">
        <f t="shared" si="108"/>
        <v/>
      </c>
      <c r="F165" s="1089" t="str">
        <f t="shared" si="109"/>
        <v/>
      </c>
      <c r="G165" s="1090" t="str">
        <f t="shared" si="110"/>
        <v/>
      </c>
      <c r="H165" s="1085" t="str">
        <f t="shared" si="111"/>
        <v/>
      </c>
      <c r="I165" s="1085" t="str">
        <f t="shared" si="112"/>
        <v/>
      </c>
      <c r="J165" s="1090" t="str">
        <f t="shared" si="113"/>
        <v/>
      </c>
      <c r="K165" s="1044" t="str">
        <f t="shared" si="114"/>
        <v/>
      </c>
      <c r="L165" s="1044" t="str">
        <f t="shared" si="115"/>
        <v/>
      </c>
      <c r="M165" s="1044" t="str">
        <f t="shared" si="116"/>
        <v/>
      </c>
      <c r="N165" s="1044" t="str">
        <f t="shared" si="117"/>
        <v/>
      </c>
      <c r="O165" s="1044">
        <f t="shared" si="118"/>
        <v>0</v>
      </c>
      <c r="P165" s="1044">
        <f t="shared" si="119"/>
        <v>0</v>
      </c>
      <c r="Q165" s="1044">
        <f t="shared" si="120"/>
        <v>0</v>
      </c>
      <c r="R165" s="1044">
        <f t="shared" si="121"/>
        <v>0</v>
      </c>
      <c r="S165" s="1044">
        <f t="shared" si="122"/>
        <v>0</v>
      </c>
      <c r="T165" s="1044">
        <f t="shared" si="123"/>
        <v>0</v>
      </c>
      <c r="U165" s="1044">
        <f t="shared" si="124"/>
        <v>0</v>
      </c>
      <c r="V165" s="1044">
        <f t="shared" si="125"/>
        <v>0</v>
      </c>
      <c r="W165" s="1044">
        <f t="shared" si="126"/>
        <v>0</v>
      </c>
      <c r="X165" s="1044">
        <f t="shared" si="127"/>
        <v>0</v>
      </c>
      <c r="Y165" s="1044">
        <f t="shared" si="128"/>
        <v>0</v>
      </c>
      <c r="Z165" s="1044">
        <f t="shared" si="129"/>
        <v>0</v>
      </c>
      <c r="AA165" s="1044">
        <f t="shared" si="130"/>
        <v>0</v>
      </c>
      <c r="AB165" s="1044">
        <f t="shared" si="131"/>
        <v>0</v>
      </c>
      <c r="AC165" s="1044">
        <f t="shared" si="132"/>
        <v>0</v>
      </c>
      <c r="AD165" s="1044">
        <f t="shared" si="133"/>
        <v>0</v>
      </c>
      <c r="AE165" s="1044">
        <f t="shared" si="134"/>
        <v>0</v>
      </c>
      <c r="AF165" s="1044">
        <f t="shared" si="135"/>
        <v>0</v>
      </c>
      <c r="AG165" s="1044">
        <f t="shared" si="136"/>
        <v>0</v>
      </c>
      <c r="AH165" s="1044">
        <f t="shared" si="137"/>
        <v>0</v>
      </c>
      <c r="AI165" s="1044">
        <f t="shared" si="138"/>
        <v>0</v>
      </c>
      <c r="AJ165" s="1044">
        <f t="shared" si="139"/>
        <v>0</v>
      </c>
      <c r="AK165" s="1044">
        <f t="shared" si="140"/>
        <v>0</v>
      </c>
      <c r="AL165" s="1044">
        <f t="shared" si="141"/>
        <v>0</v>
      </c>
      <c r="AM165" s="1044">
        <f t="shared" si="142"/>
        <v>0</v>
      </c>
      <c r="AN165" s="1044" t="str">
        <f t="shared" si="143"/>
        <v/>
      </c>
      <c r="AO165" s="1044" t="str">
        <f t="shared" si="144"/>
        <v/>
      </c>
      <c r="AP165" s="1044" t="str">
        <f t="shared" si="145"/>
        <v/>
      </c>
      <c r="AQ165" s="1044" t="str">
        <f t="shared" si="146"/>
        <v/>
      </c>
      <c r="AR165" s="1044" t="str">
        <f t="shared" si="147"/>
        <v/>
      </c>
      <c r="AS165" s="1044" t="str">
        <f t="shared" si="148"/>
        <v/>
      </c>
      <c r="AT165" s="1044" t="str">
        <f t="shared" si="149"/>
        <v/>
      </c>
      <c r="AU165" s="1044" t="str">
        <f t="shared" si="150"/>
        <v/>
      </c>
      <c r="AV165" s="1044" t="str">
        <f t="shared" si="151"/>
        <v/>
      </c>
      <c r="AW165" s="1044" t="str">
        <f t="shared" si="152"/>
        <v/>
      </c>
      <c r="AX165" s="1044" t="str">
        <f t="shared" si="153"/>
        <v/>
      </c>
      <c r="AY165" s="1044" t="str">
        <f t="shared" si="154"/>
        <v/>
      </c>
      <c r="AZ165" s="1044" t="str">
        <f t="shared" si="155"/>
        <v/>
      </c>
      <c r="BA165" s="1044" t="str">
        <f t="shared" si="156"/>
        <v/>
      </c>
      <c r="BB165" s="1044" t="str">
        <f t="shared" si="157"/>
        <v/>
      </c>
      <c r="BC165" s="1044" t="str">
        <f t="shared" si="158"/>
        <v/>
      </c>
      <c r="BF165" s="1" t="s">
        <v>7</v>
      </c>
      <c r="BG165" s="1076" t="s">
        <v>689</v>
      </c>
      <c r="BH165" s="1" t="s">
        <v>7103</v>
      </c>
      <c r="BI165" s="1" t="s">
        <v>7546</v>
      </c>
    </row>
    <row r="166" spans="1:61" ht="30" customHeight="1">
      <c r="A166" s="1085" t="str">
        <f t="shared" si="106"/>
        <v/>
      </c>
      <c r="B166" s="1086"/>
      <c r="C166" s="1085" t="s">
        <v>254</v>
      </c>
      <c r="D166" s="1087" t="str">
        <f t="shared" si="107"/>
        <v/>
      </c>
      <c r="E166" s="1088" t="str">
        <f t="shared" si="108"/>
        <v/>
      </c>
      <c r="F166" s="1089" t="str">
        <f t="shared" si="109"/>
        <v/>
      </c>
      <c r="G166" s="1090" t="str">
        <f t="shared" si="110"/>
        <v/>
      </c>
      <c r="H166" s="1085" t="str">
        <f t="shared" si="111"/>
        <v/>
      </c>
      <c r="I166" s="1085" t="str">
        <f t="shared" si="112"/>
        <v/>
      </c>
      <c r="J166" s="1090" t="str">
        <f t="shared" si="113"/>
        <v/>
      </c>
      <c r="K166" s="1044" t="str">
        <f t="shared" si="114"/>
        <v/>
      </c>
      <c r="L166" s="1044" t="str">
        <f t="shared" si="115"/>
        <v/>
      </c>
      <c r="M166" s="1044" t="str">
        <f t="shared" si="116"/>
        <v/>
      </c>
      <c r="N166" s="1044" t="str">
        <f t="shared" si="117"/>
        <v/>
      </c>
      <c r="O166" s="1044">
        <f t="shared" si="118"/>
        <v>0</v>
      </c>
      <c r="P166" s="1044">
        <f t="shared" si="119"/>
        <v>0</v>
      </c>
      <c r="Q166" s="1044">
        <f t="shared" si="120"/>
        <v>0</v>
      </c>
      <c r="R166" s="1044">
        <f t="shared" si="121"/>
        <v>0</v>
      </c>
      <c r="S166" s="1044">
        <f t="shared" si="122"/>
        <v>0</v>
      </c>
      <c r="T166" s="1044">
        <f t="shared" si="123"/>
        <v>0</v>
      </c>
      <c r="U166" s="1044">
        <f t="shared" si="124"/>
        <v>0</v>
      </c>
      <c r="V166" s="1044">
        <f t="shared" si="125"/>
        <v>0</v>
      </c>
      <c r="W166" s="1044">
        <f t="shared" si="126"/>
        <v>0</v>
      </c>
      <c r="X166" s="1044">
        <f t="shared" si="127"/>
        <v>0</v>
      </c>
      <c r="Y166" s="1044">
        <f t="shared" si="128"/>
        <v>0</v>
      </c>
      <c r="Z166" s="1044">
        <f t="shared" si="129"/>
        <v>0</v>
      </c>
      <c r="AA166" s="1044">
        <f t="shared" si="130"/>
        <v>0</v>
      </c>
      <c r="AB166" s="1044">
        <f t="shared" si="131"/>
        <v>0</v>
      </c>
      <c r="AC166" s="1044">
        <f t="shared" si="132"/>
        <v>0</v>
      </c>
      <c r="AD166" s="1044">
        <f t="shared" si="133"/>
        <v>0</v>
      </c>
      <c r="AE166" s="1044">
        <f t="shared" si="134"/>
        <v>0</v>
      </c>
      <c r="AF166" s="1044">
        <f t="shared" si="135"/>
        <v>0</v>
      </c>
      <c r="AG166" s="1044">
        <f t="shared" si="136"/>
        <v>0</v>
      </c>
      <c r="AH166" s="1044">
        <f t="shared" si="137"/>
        <v>0</v>
      </c>
      <c r="AI166" s="1044">
        <f t="shared" si="138"/>
        <v>0</v>
      </c>
      <c r="AJ166" s="1044">
        <f t="shared" si="139"/>
        <v>0</v>
      </c>
      <c r="AK166" s="1044">
        <f t="shared" si="140"/>
        <v>0</v>
      </c>
      <c r="AL166" s="1044">
        <f t="shared" si="141"/>
        <v>0</v>
      </c>
      <c r="AM166" s="1044">
        <f t="shared" si="142"/>
        <v>0</v>
      </c>
      <c r="AN166" s="1044" t="str">
        <f t="shared" si="143"/>
        <v/>
      </c>
      <c r="AO166" s="1044" t="str">
        <f t="shared" si="144"/>
        <v/>
      </c>
      <c r="AP166" s="1044" t="str">
        <f t="shared" si="145"/>
        <v/>
      </c>
      <c r="AQ166" s="1044" t="str">
        <f t="shared" si="146"/>
        <v/>
      </c>
      <c r="AR166" s="1044" t="str">
        <f t="shared" si="147"/>
        <v/>
      </c>
      <c r="AS166" s="1044" t="str">
        <f t="shared" si="148"/>
        <v/>
      </c>
      <c r="AT166" s="1044" t="str">
        <f t="shared" si="149"/>
        <v/>
      </c>
      <c r="AU166" s="1044" t="str">
        <f t="shared" si="150"/>
        <v/>
      </c>
      <c r="AV166" s="1044" t="str">
        <f t="shared" si="151"/>
        <v/>
      </c>
      <c r="AW166" s="1044" t="str">
        <f t="shared" si="152"/>
        <v/>
      </c>
      <c r="AX166" s="1044" t="str">
        <f t="shared" si="153"/>
        <v/>
      </c>
      <c r="AY166" s="1044" t="str">
        <f t="shared" si="154"/>
        <v/>
      </c>
      <c r="AZ166" s="1044" t="str">
        <f t="shared" si="155"/>
        <v/>
      </c>
      <c r="BA166" s="1044" t="str">
        <f t="shared" si="156"/>
        <v/>
      </c>
      <c r="BB166" s="1044" t="str">
        <f t="shared" si="157"/>
        <v/>
      </c>
      <c r="BC166" s="1044" t="str">
        <f t="shared" si="158"/>
        <v/>
      </c>
      <c r="BF166" s="1" t="s">
        <v>7</v>
      </c>
      <c r="BG166" s="1076" t="s">
        <v>689</v>
      </c>
      <c r="BH166" s="1" t="s">
        <v>187</v>
      </c>
      <c r="BI166" s="1" t="s">
        <v>7547</v>
      </c>
    </row>
    <row r="167" spans="1:61" ht="30" customHeight="1">
      <c r="A167" s="1085" t="str">
        <f t="shared" si="106"/>
        <v/>
      </c>
      <c r="B167" s="1086"/>
      <c r="C167" s="1085" t="s">
        <v>254</v>
      </c>
      <c r="D167" s="1087" t="str">
        <f t="shared" si="107"/>
        <v/>
      </c>
      <c r="E167" s="1088" t="str">
        <f t="shared" si="108"/>
        <v/>
      </c>
      <c r="F167" s="1089" t="str">
        <f t="shared" si="109"/>
        <v/>
      </c>
      <c r="G167" s="1090" t="str">
        <f t="shared" si="110"/>
        <v/>
      </c>
      <c r="H167" s="1085" t="str">
        <f t="shared" si="111"/>
        <v/>
      </c>
      <c r="I167" s="1085" t="str">
        <f t="shared" si="112"/>
        <v/>
      </c>
      <c r="J167" s="1090" t="str">
        <f t="shared" si="113"/>
        <v/>
      </c>
      <c r="K167" s="1044" t="str">
        <f t="shared" si="114"/>
        <v/>
      </c>
      <c r="L167" s="1044" t="str">
        <f t="shared" si="115"/>
        <v/>
      </c>
      <c r="M167" s="1044" t="str">
        <f t="shared" si="116"/>
        <v/>
      </c>
      <c r="N167" s="1044" t="str">
        <f t="shared" si="117"/>
        <v/>
      </c>
      <c r="O167" s="1044">
        <f t="shared" si="118"/>
        <v>0</v>
      </c>
      <c r="P167" s="1044">
        <f t="shared" si="119"/>
        <v>0</v>
      </c>
      <c r="Q167" s="1044">
        <f t="shared" si="120"/>
        <v>0</v>
      </c>
      <c r="R167" s="1044">
        <f t="shared" si="121"/>
        <v>0</v>
      </c>
      <c r="S167" s="1044">
        <f t="shared" si="122"/>
        <v>0</v>
      </c>
      <c r="T167" s="1044">
        <f t="shared" si="123"/>
        <v>0</v>
      </c>
      <c r="U167" s="1044">
        <f t="shared" si="124"/>
        <v>0</v>
      </c>
      <c r="V167" s="1044">
        <f t="shared" si="125"/>
        <v>0</v>
      </c>
      <c r="W167" s="1044">
        <f t="shared" si="126"/>
        <v>0</v>
      </c>
      <c r="X167" s="1044">
        <f t="shared" si="127"/>
        <v>0</v>
      </c>
      <c r="Y167" s="1044">
        <f t="shared" si="128"/>
        <v>0</v>
      </c>
      <c r="Z167" s="1044">
        <f t="shared" si="129"/>
        <v>0</v>
      </c>
      <c r="AA167" s="1044">
        <f t="shared" si="130"/>
        <v>0</v>
      </c>
      <c r="AB167" s="1044">
        <f t="shared" si="131"/>
        <v>0</v>
      </c>
      <c r="AC167" s="1044">
        <f t="shared" si="132"/>
        <v>0</v>
      </c>
      <c r="AD167" s="1044">
        <f t="shared" si="133"/>
        <v>0</v>
      </c>
      <c r="AE167" s="1044">
        <f t="shared" si="134"/>
        <v>0</v>
      </c>
      <c r="AF167" s="1044">
        <f t="shared" si="135"/>
        <v>0</v>
      </c>
      <c r="AG167" s="1044">
        <f t="shared" si="136"/>
        <v>0</v>
      </c>
      <c r="AH167" s="1044">
        <f t="shared" si="137"/>
        <v>0</v>
      </c>
      <c r="AI167" s="1044">
        <f t="shared" si="138"/>
        <v>0</v>
      </c>
      <c r="AJ167" s="1044">
        <f t="shared" si="139"/>
        <v>0</v>
      </c>
      <c r="AK167" s="1044">
        <f t="shared" si="140"/>
        <v>0</v>
      </c>
      <c r="AL167" s="1044">
        <f t="shared" si="141"/>
        <v>0</v>
      </c>
      <c r="AM167" s="1044">
        <f t="shared" si="142"/>
        <v>0</v>
      </c>
      <c r="AN167" s="1044" t="str">
        <f t="shared" si="143"/>
        <v/>
      </c>
      <c r="AO167" s="1044" t="str">
        <f t="shared" si="144"/>
        <v/>
      </c>
      <c r="AP167" s="1044" t="str">
        <f t="shared" si="145"/>
        <v/>
      </c>
      <c r="AQ167" s="1044" t="str">
        <f t="shared" si="146"/>
        <v/>
      </c>
      <c r="AR167" s="1044" t="str">
        <f t="shared" si="147"/>
        <v/>
      </c>
      <c r="AS167" s="1044" t="str">
        <f t="shared" si="148"/>
        <v/>
      </c>
      <c r="AT167" s="1044" t="str">
        <f t="shared" si="149"/>
        <v/>
      </c>
      <c r="AU167" s="1044" t="str">
        <f t="shared" si="150"/>
        <v/>
      </c>
      <c r="AV167" s="1044" t="str">
        <f t="shared" si="151"/>
        <v/>
      </c>
      <c r="AW167" s="1044" t="str">
        <f t="shared" si="152"/>
        <v/>
      </c>
      <c r="AX167" s="1044" t="str">
        <f t="shared" si="153"/>
        <v/>
      </c>
      <c r="AY167" s="1044" t="str">
        <f t="shared" si="154"/>
        <v/>
      </c>
      <c r="AZ167" s="1044" t="str">
        <f t="shared" si="155"/>
        <v/>
      </c>
      <c r="BA167" s="1044" t="str">
        <f t="shared" si="156"/>
        <v/>
      </c>
      <c r="BB167" s="1044" t="str">
        <f t="shared" si="157"/>
        <v/>
      </c>
      <c r="BC167" s="1044" t="str">
        <f t="shared" si="158"/>
        <v/>
      </c>
      <c r="BF167" s="1" t="s">
        <v>7</v>
      </c>
      <c r="BG167" s="1076" t="s">
        <v>689</v>
      </c>
      <c r="BH167" s="1" t="s">
        <v>897</v>
      </c>
      <c r="BI167" s="1" t="s">
        <v>7548</v>
      </c>
    </row>
    <row r="168" spans="1:61" ht="30" customHeight="1">
      <c r="A168" s="1085" t="str">
        <f t="shared" si="106"/>
        <v/>
      </c>
      <c r="B168" s="1086"/>
      <c r="C168" s="1085" t="s">
        <v>254</v>
      </c>
      <c r="D168" s="1087" t="str">
        <f t="shared" si="107"/>
        <v/>
      </c>
      <c r="E168" s="1088" t="str">
        <f t="shared" si="108"/>
        <v/>
      </c>
      <c r="F168" s="1089" t="str">
        <f t="shared" si="109"/>
        <v/>
      </c>
      <c r="G168" s="1090" t="str">
        <f t="shared" si="110"/>
        <v/>
      </c>
      <c r="H168" s="1085" t="str">
        <f t="shared" si="111"/>
        <v/>
      </c>
      <c r="I168" s="1085" t="str">
        <f t="shared" si="112"/>
        <v/>
      </c>
      <c r="J168" s="1090" t="str">
        <f t="shared" si="113"/>
        <v/>
      </c>
      <c r="K168" s="1044" t="str">
        <f t="shared" si="114"/>
        <v/>
      </c>
      <c r="L168" s="1044" t="str">
        <f t="shared" si="115"/>
        <v/>
      </c>
      <c r="M168" s="1044" t="str">
        <f t="shared" si="116"/>
        <v/>
      </c>
      <c r="N168" s="1044" t="str">
        <f t="shared" si="117"/>
        <v/>
      </c>
      <c r="O168" s="1044">
        <f t="shared" si="118"/>
        <v>0</v>
      </c>
      <c r="P168" s="1044">
        <f t="shared" si="119"/>
        <v>0</v>
      </c>
      <c r="Q168" s="1044">
        <f t="shared" si="120"/>
        <v>0</v>
      </c>
      <c r="R168" s="1044">
        <f t="shared" si="121"/>
        <v>0</v>
      </c>
      <c r="S168" s="1044">
        <f t="shared" si="122"/>
        <v>0</v>
      </c>
      <c r="T168" s="1044">
        <f t="shared" si="123"/>
        <v>0</v>
      </c>
      <c r="U168" s="1044">
        <f t="shared" si="124"/>
        <v>0</v>
      </c>
      <c r="V168" s="1044">
        <f t="shared" si="125"/>
        <v>0</v>
      </c>
      <c r="W168" s="1044">
        <f t="shared" si="126"/>
        <v>0</v>
      </c>
      <c r="X168" s="1044">
        <f t="shared" si="127"/>
        <v>0</v>
      </c>
      <c r="Y168" s="1044">
        <f t="shared" si="128"/>
        <v>0</v>
      </c>
      <c r="Z168" s="1044">
        <f t="shared" si="129"/>
        <v>0</v>
      </c>
      <c r="AA168" s="1044">
        <f t="shared" si="130"/>
        <v>0</v>
      </c>
      <c r="AB168" s="1044">
        <f t="shared" si="131"/>
        <v>0</v>
      </c>
      <c r="AC168" s="1044">
        <f t="shared" si="132"/>
        <v>0</v>
      </c>
      <c r="AD168" s="1044">
        <f t="shared" si="133"/>
        <v>0</v>
      </c>
      <c r="AE168" s="1044">
        <f t="shared" si="134"/>
        <v>0</v>
      </c>
      <c r="AF168" s="1044">
        <f t="shared" si="135"/>
        <v>0</v>
      </c>
      <c r="AG168" s="1044">
        <f t="shared" si="136"/>
        <v>0</v>
      </c>
      <c r="AH168" s="1044">
        <f t="shared" si="137"/>
        <v>0</v>
      </c>
      <c r="AI168" s="1044">
        <f t="shared" si="138"/>
        <v>0</v>
      </c>
      <c r="AJ168" s="1044">
        <f t="shared" si="139"/>
        <v>0</v>
      </c>
      <c r="AK168" s="1044">
        <f t="shared" si="140"/>
        <v>0</v>
      </c>
      <c r="AL168" s="1044">
        <f t="shared" si="141"/>
        <v>0</v>
      </c>
      <c r="AM168" s="1044">
        <f t="shared" si="142"/>
        <v>0</v>
      </c>
      <c r="AN168" s="1044" t="str">
        <f t="shared" si="143"/>
        <v/>
      </c>
      <c r="AO168" s="1044" t="str">
        <f t="shared" si="144"/>
        <v/>
      </c>
      <c r="AP168" s="1044" t="str">
        <f t="shared" si="145"/>
        <v/>
      </c>
      <c r="AQ168" s="1044" t="str">
        <f t="shared" si="146"/>
        <v/>
      </c>
      <c r="AR168" s="1044" t="str">
        <f t="shared" si="147"/>
        <v/>
      </c>
      <c r="AS168" s="1044" t="str">
        <f t="shared" si="148"/>
        <v/>
      </c>
      <c r="AT168" s="1044" t="str">
        <f t="shared" si="149"/>
        <v/>
      </c>
      <c r="AU168" s="1044" t="str">
        <f t="shared" si="150"/>
        <v/>
      </c>
      <c r="AV168" s="1044" t="str">
        <f t="shared" si="151"/>
        <v/>
      </c>
      <c r="AW168" s="1044" t="str">
        <f t="shared" si="152"/>
        <v/>
      </c>
      <c r="AX168" s="1044" t="str">
        <f t="shared" si="153"/>
        <v/>
      </c>
      <c r="AY168" s="1044" t="str">
        <f t="shared" si="154"/>
        <v/>
      </c>
      <c r="AZ168" s="1044" t="str">
        <f t="shared" si="155"/>
        <v/>
      </c>
      <c r="BA168" s="1044" t="str">
        <f t="shared" si="156"/>
        <v/>
      </c>
      <c r="BB168" s="1044" t="str">
        <f t="shared" si="157"/>
        <v/>
      </c>
      <c r="BC168" s="1044" t="str">
        <f t="shared" si="158"/>
        <v/>
      </c>
      <c r="BF168" s="1" t="s">
        <v>7</v>
      </c>
      <c r="BG168" s="1076" t="s">
        <v>689</v>
      </c>
      <c r="BH168" s="1" t="s">
        <v>66</v>
      </c>
      <c r="BI168" s="1" t="s">
        <v>7549</v>
      </c>
    </row>
    <row r="169" spans="1:61" ht="30" customHeight="1">
      <c r="A169" s="1085" t="str">
        <f t="shared" si="106"/>
        <v/>
      </c>
      <c r="B169" s="1086"/>
      <c r="C169" s="1085" t="s">
        <v>254</v>
      </c>
      <c r="D169" s="1087" t="str">
        <f t="shared" si="107"/>
        <v/>
      </c>
      <c r="E169" s="1088" t="str">
        <f t="shared" si="108"/>
        <v/>
      </c>
      <c r="F169" s="1089" t="str">
        <f t="shared" si="109"/>
        <v/>
      </c>
      <c r="G169" s="1090" t="str">
        <f t="shared" si="110"/>
        <v/>
      </c>
      <c r="H169" s="1085" t="str">
        <f t="shared" si="111"/>
        <v/>
      </c>
      <c r="I169" s="1085" t="str">
        <f t="shared" si="112"/>
        <v/>
      </c>
      <c r="J169" s="1090" t="str">
        <f t="shared" si="113"/>
        <v/>
      </c>
      <c r="K169" s="1044" t="str">
        <f t="shared" si="114"/>
        <v/>
      </c>
      <c r="L169" s="1044" t="str">
        <f t="shared" si="115"/>
        <v/>
      </c>
      <c r="M169" s="1044" t="str">
        <f t="shared" si="116"/>
        <v/>
      </c>
      <c r="N169" s="1044" t="str">
        <f t="shared" si="117"/>
        <v/>
      </c>
      <c r="O169" s="1044">
        <f t="shared" si="118"/>
        <v>0</v>
      </c>
      <c r="P169" s="1044">
        <f t="shared" si="119"/>
        <v>0</v>
      </c>
      <c r="Q169" s="1044">
        <f t="shared" si="120"/>
        <v>0</v>
      </c>
      <c r="R169" s="1044">
        <f t="shared" si="121"/>
        <v>0</v>
      </c>
      <c r="S169" s="1044">
        <f t="shared" si="122"/>
        <v>0</v>
      </c>
      <c r="T169" s="1044">
        <f t="shared" si="123"/>
        <v>0</v>
      </c>
      <c r="U169" s="1044">
        <f t="shared" si="124"/>
        <v>0</v>
      </c>
      <c r="V169" s="1044">
        <f t="shared" si="125"/>
        <v>0</v>
      </c>
      <c r="W169" s="1044">
        <f t="shared" si="126"/>
        <v>0</v>
      </c>
      <c r="X169" s="1044">
        <f t="shared" si="127"/>
        <v>0</v>
      </c>
      <c r="Y169" s="1044">
        <f t="shared" si="128"/>
        <v>0</v>
      </c>
      <c r="Z169" s="1044">
        <f t="shared" si="129"/>
        <v>0</v>
      </c>
      <c r="AA169" s="1044">
        <f t="shared" si="130"/>
        <v>0</v>
      </c>
      <c r="AB169" s="1044">
        <f t="shared" si="131"/>
        <v>0</v>
      </c>
      <c r="AC169" s="1044">
        <f t="shared" si="132"/>
        <v>0</v>
      </c>
      <c r="AD169" s="1044">
        <f t="shared" si="133"/>
        <v>0</v>
      </c>
      <c r="AE169" s="1044">
        <f t="shared" si="134"/>
        <v>0</v>
      </c>
      <c r="AF169" s="1044">
        <f t="shared" si="135"/>
        <v>0</v>
      </c>
      <c r="AG169" s="1044">
        <f t="shared" si="136"/>
        <v>0</v>
      </c>
      <c r="AH169" s="1044">
        <f t="shared" si="137"/>
        <v>0</v>
      </c>
      <c r="AI169" s="1044">
        <f t="shared" si="138"/>
        <v>0</v>
      </c>
      <c r="AJ169" s="1044">
        <f t="shared" si="139"/>
        <v>0</v>
      </c>
      <c r="AK169" s="1044">
        <f t="shared" si="140"/>
        <v>0</v>
      </c>
      <c r="AL169" s="1044">
        <f t="shared" si="141"/>
        <v>0</v>
      </c>
      <c r="AM169" s="1044">
        <f t="shared" si="142"/>
        <v>0</v>
      </c>
      <c r="AN169" s="1044" t="str">
        <f t="shared" si="143"/>
        <v/>
      </c>
      <c r="AO169" s="1044" t="str">
        <f t="shared" si="144"/>
        <v/>
      </c>
      <c r="AP169" s="1044" t="str">
        <f t="shared" si="145"/>
        <v/>
      </c>
      <c r="AQ169" s="1044" t="str">
        <f t="shared" si="146"/>
        <v/>
      </c>
      <c r="AR169" s="1044" t="str">
        <f t="shared" si="147"/>
        <v/>
      </c>
      <c r="AS169" s="1044" t="str">
        <f t="shared" si="148"/>
        <v/>
      </c>
      <c r="AT169" s="1044" t="str">
        <f t="shared" si="149"/>
        <v/>
      </c>
      <c r="AU169" s="1044" t="str">
        <f t="shared" si="150"/>
        <v/>
      </c>
      <c r="AV169" s="1044" t="str">
        <f t="shared" si="151"/>
        <v/>
      </c>
      <c r="AW169" s="1044" t="str">
        <f t="shared" si="152"/>
        <v/>
      </c>
      <c r="AX169" s="1044" t="str">
        <f t="shared" si="153"/>
        <v/>
      </c>
      <c r="AY169" s="1044" t="str">
        <f t="shared" si="154"/>
        <v/>
      </c>
      <c r="AZ169" s="1044" t="str">
        <f t="shared" si="155"/>
        <v/>
      </c>
      <c r="BA169" s="1044" t="str">
        <f t="shared" si="156"/>
        <v/>
      </c>
      <c r="BB169" s="1044" t="str">
        <f t="shared" si="157"/>
        <v/>
      </c>
      <c r="BC169" s="1044" t="str">
        <f t="shared" si="158"/>
        <v/>
      </c>
      <c r="BF169" s="1" t="s">
        <v>7</v>
      </c>
      <c r="BG169" s="1076" t="s">
        <v>689</v>
      </c>
      <c r="BH169" s="1" t="s">
        <v>170</v>
      </c>
      <c r="BI169" s="1" t="s">
        <v>7550</v>
      </c>
    </row>
    <row r="170" spans="1:61" ht="30" customHeight="1">
      <c r="A170" s="1085" t="str">
        <f t="shared" si="106"/>
        <v/>
      </c>
      <c r="B170" s="1086"/>
      <c r="C170" s="1085" t="s">
        <v>254</v>
      </c>
      <c r="D170" s="1087" t="str">
        <f t="shared" si="107"/>
        <v/>
      </c>
      <c r="E170" s="1088" t="str">
        <f t="shared" si="108"/>
        <v/>
      </c>
      <c r="F170" s="1089" t="str">
        <f t="shared" si="109"/>
        <v/>
      </c>
      <c r="G170" s="1090" t="str">
        <f t="shared" si="110"/>
        <v/>
      </c>
      <c r="H170" s="1085" t="str">
        <f t="shared" si="111"/>
        <v/>
      </c>
      <c r="I170" s="1085" t="str">
        <f t="shared" si="112"/>
        <v/>
      </c>
      <c r="J170" s="1090" t="str">
        <f t="shared" si="113"/>
        <v/>
      </c>
      <c r="K170" s="1044" t="str">
        <f t="shared" si="114"/>
        <v/>
      </c>
      <c r="L170" s="1044" t="str">
        <f t="shared" si="115"/>
        <v/>
      </c>
      <c r="M170" s="1044" t="str">
        <f t="shared" si="116"/>
        <v/>
      </c>
      <c r="N170" s="1044" t="str">
        <f t="shared" si="117"/>
        <v/>
      </c>
      <c r="O170" s="1044">
        <f t="shared" si="118"/>
        <v>0</v>
      </c>
      <c r="P170" s="1044">
        <f t="shared" si="119"/>
        <v>0</v>
      </c>
      <c r="Q170" s="1044">
        <f t="shared" si="120"/>
        <v>0</v>
      </c>
      <c r="R170" s="1044">
        <f t="shared" si="121"/>
        <v>0</v>
      </c>
      <c r="S170" s="1044">
        <f t="shared" si="122"/>
        <v>0</v>
      </c>
      <c r="T170" s="1044">
        <f t="shared" si="123"/>
        <v>0</v>
      </c>
      <c r="U170" s="1044">
        <f t="shared" si="124"/>
        <v>0</v>
      </c>
      <c r="V170" s="1044">
        <f t="shared" si="125"/>
        <v>0</v>
      </c>
      <c r="W170" s="1044">
        <f t="shared" si="126"/>
        <v>0</v>
      </c>
      <c r="X170" s="1044">
        <f t="shared" si="127"/>
        <v>0</v>
      </c>
      <c r="Y170" s="1044">
        <f t="shared" si="128"/>
        <v>0</v>
      </c>
      <c r="Z170" s="1044">
        <f t="shared" si="129"/>
        <v>0</v>
      </c>
      <c r="AA170" s="1044">
        <f t="shared" si="130"/>
        <v>0</v>
      </c>
      <c r="AB170" s="1044">
        <f t="shared" si="131"/>
        <v>0</v>
      </c>
      <c r="AC170" s="1044">
        <f t="shared" si="132"/>
        <v>0</v>
      </c>
      <c r="AD170" s="1044">
        <f t="shared" si="133"/>
        <v>0</v>
      </c>
      <c r="AE170" s="1044">
        <f t="shared" si="134"/>
        <v>0</v>
      </c>
      <c r="AF170" s="1044">
        <f t="shared" si="135"/>
        <v>0</v>
      </c>
      <c r="AG170" s="1044">
        <f t="shared" si="136"/>
        <v>0</v>
      </c>
      <c r="AH170" s="1044">
        <f t="shared" si="137"/>
        <v>0</v>
      </c>
      <c r="AI170" s="1044">
        <f t="shared" si="138"/>
        <v>0</v>
      </c>
      <c r="AJ170" s="1044">
        <f t="shared" si="139"/>
        <v>0</v>
      </c>
      <c r="AK170" s="1044">
        <f t="shared" si="140"/>
        <v>0</v>
      </c>
      <c r="AL170" s="1044">
        <f t="shared" si="141"/>
        <v>0</v>
      </c>
      <c r="AM170" s="1044">
        <f t="shared" si="142"/>
        <v>0</v>
      </c>
      <c r="AN170" s="1044" t="str">
        <f t="shared" si="143"/>
        <v/>
      </c>
      <c r="AO170" s="1044" t="str">
        <f t="shared" si="144"/>
        <v/>
      </c>
      <c r="AP170" s="1044" t="str">
        <f t="shared" si="145"/>
        <v/>
      </c>
      <c r="AQ170" s="1044" t="str">
        <f t="shared" si="146"/>
        <v/>
      </c>
      <c r="AR170" s="1044" t="str">
        <f t="shared" si="147"/>
        <v/>
      </c>
      <c r="AS170" s="1044" t="str">
        <f t="shared" si="148"/>
        <v/>
      </c>
      <c r="AT170" s="1044" t="str">
        <f t="shared" si="149"/>
        <v/>
      </c>
      <c r="AU170" s="1044" t="str">
        <f t="shared" si="150"/>
        <v/>
      </c>
      <c r="AV170" s="1044" t="str">
        <f t="shared" si="151"/>
        <v/>
      </c>
      <c r="AW170" s="1044" t="str">
        <f t="shared" si="152"/>
        <v/>
      </c>
      <c r="AX170" s="1044" t="str">
        <f t="shared" si="153"/>
        <v/>
      </c>
      <c r="AY170" s="1044" t="str">
        <f t="shared" si="154"/>
        <v/>
      </c>
      <c r="AZ170" s="1044" t="str">
        <f t="shared" si="155"/>
        <v/>
      </c>
      <c r="BA170" s="1044" t="str">
        <f t="shared" si="156"/>
        <v/>
      </c>
      <c r="BB170" s="1044" t="str">
        <f t="shared" si="157"/>
        <v/>
      </c>
      <c r="BC170" s="1044" t="str">
        <f t="shared" si="158"/>
        <v/>
      </c>
      <c r="BF170" s="1" t="s">
        <v>7</v>
      </c>
      <c r="BG170" s="1076" t="s">
        <v>689</v>
      </c>
      <c r="BH170" s="1" t="s">
        <v>313</v>
      </c>
      <c r="BI170" s="1" t="s">
        <v>7551</v>
      </c>
    </row>
    <row r="171" spans="1:61" ht="30" customHeight="1">
      <c r="A171" s="1085" t="str">
        <f t="shared" si="106"/>
        <v/>
      </c>
      <c r="B171" s="1086"/>
      <c r="C171" s="1085" t="s">
        <v>254</v>
      </c>
      <c r="D171" s="1087" t="str">
        <f t="shared" si="107"/>
        <v/>
      </c>
      <c r="E171" s="1088" t="str">
        <f t="shared" si="108"/>
        <v/>
      </c>
      <c r="F171" s="1089" t="str">
        <f t="shared" si="109"/>
        <v/>
      </c>
      <c r="G171" s="1090" t="str">
        <f t="shared" si="110"/>
        <v/>
      </c>
      <c r="H171" s="1085" t="str">
        <f t="shared" si="111"/>
        <v/>
      </c>
      <c r="I171" s="1085" t="str">
        <f t="shared" si="112"/>
        <v/>
      </c>
      <c r="J171" s="1090" t="str">
        <f t="shared" si="113"/>
        <v/>
      </c>
      <c r="K171" s="1044" t="str">
        <f t="shared" si="114"/>
        <v/>
      </c>
      <c r="L171" s="1044" t="str">
        <f t="shared" si="115"/>
        <v/>
      </c>
      <c r="M171" s="1044" t="str">
        <f t="shared" si="116"/>
        <v/>
      </c>
      <c r="N171" s="1044" t="str">
        <f t="shared" si="117"/>
        <v/>
      </c>
      <c r="O171" s="1044">
        <f t="shared" si="118"/>
        <v>0</v>
      </c>
      <c r="P171" s="1044">
        <f t="shared" si="119"/>
        <v>0</v>
      </c>
      <c r="Q171" s="1044">
        <f t="shared" si="120"/>
        <v>0</v>
      </c>
      <c r="R171" s="1044">
        <f t="shared" si="121"/>
        <v>0</v>
      </c>
      <c r="S171" s="1044">
        <f t="shared" si="122"/>
        <v>0</v>
      </c>
      <c r="T171" s="1044">
        <f t="shared" si="123"/>
        <v>0</v>
      </c>
      <c r="U171" s="1044">
        <f t="shared" si="124"/>
        <v>0</v>
      </c>
      <c r="V171" s="1044">
        <f t="shared" si="125"/>
        <v>0</v>
      </c>
      <c r="W171" s="1044">
        <f t="shared" si="126"/>
        <v>0</v>
      </c>
      <c r="X171" s="1044">
        <f t="shared" si="127"/>
        <v>0</v>
      </c>
      <c r="Y171" s="1044">
        <f t="shared" si="128"/>
        <v>0</v>
      </c>
      <c r="Z171" s="1044">
        <f t="shared" si="129"/>
        <v>0</v>
      </c>
      <c r="AA171" s="1044">
        <f t="shared" si="130"/>
        <v>0</v>
      </c>
      <c r="AB171" s="1044">
        <f t="shared" si="131"/>
        <v>0</v>
      </c>
      <c r="AC171" s="1044">
        <f t="shared" si="132"/>
        <v>0</v>
      </c>
      <c r="AD171" s="1044">
        <f t="shared" si="133"/>
        <v>0</v>
      </c>
      <c r="AE171" s="1044">
        <f t="shared" si="134"/>
        <v>0</v>
      </c>
      <c r="AF171" s="1044">
        <f t="shared" si="135"/>
        <v>0</v>
      </c>
      <c r="AG171" s="1044">
        <f t="shared" si="136"/>
        <v>0</v>
      </c>
      <c r="AH171" s="1044">
        <f t="shared" si="137"/>
        <v>0</v>
      </c>
      <c r="AI171" s="1044">
        <f t="shared" si="138"/>
        <v>0</v>
      </c>
      <c r="AJ171" s="1044">
        <f t="shared" si="139"/>
        <v>0</v>
      </c>
      <c r="AK171" s="1044">
        <f t="shared" si="140"/>
        <v>0</v>
      </c>
      <c r="AL171" s="1044">
        <f t="shared" si="141"/>
        <v>0</v>
      </c>
      <c r="AM171" s="1044">
        <f t="shared" si="142"/>
        <v>0</v>
      </c>
      <c r="AN171" s="1044" t="str">
        <f t="shared" si="143"/>
        <v/>
      </c>
      <c r="AO171" s="1044" t="str">
        <f t="shared" si="144"/>
        <v/>
      </c>
      <c r="AP171" s="1044" t="str">
        <f t="shared" si="145"/>
        <v/>
      </c>
      <c r="AQ171" s="1044" t="str">
        <f t="shared" si="146"/>
        <v/>
      </c>
      <c r="AR171" s="1044" t="str">
        <f t="shared" si="147"/>
        <v/>
      </c>
      <c r="AS171" s="1044" t="str">
        <f t="shared" si="148"/>
        <v/>
      </c>
      <c r="AT171" s="1044" t="str">
        <f t="shared" si="149"/>
        <v/>
      </c>
      <c r="AU171" s="1044" t="str">
        <f t="shared" si="150"/>
        <v/>
      </c>
      <c r="AV171" s="1044" t="str">
        <f t="shared" si="151"/>
        <v/>
      </c>
      <c r="AW171" s="1044" t="str">
        <f t="shared" si="152"/>
        <v/>
      </c>
      <c r="AX171" s="1044" t="str">
        <f t="shared" si="153"/>
        <v/>
      </c>
      <c r="AY171" s="1044" t="str">
        <f t="shared" si="154"/>
        <v/>
      </c>
      <c r="AZ171" s="1044" t="str">
        <f t="shared" si="155"/>
        <v/>
      </c>
      <c r="BA171" s="1044" t="str">
        <f t="shared" si="156"/>
        <v/>
      </c>
      <c r="BB171" s="1044" t="str">
        <f t="shared" si="157"/>
        <v/>
      </c>
      <c r="BC171" s="1044" t="str">
        <f t="shared" si="158"/>
        <v/>
      </c>
      <c r="BF171" s="1" t="s">
        <v>7</v>
      </c>
      <c r="BG171" s="1076" t="s">
        <v>689</v>
      </c>
      <c r="BH171" s="1" t="s">
        <v>1227</v>
      </c>
      <c r="BI171" s="1" t="s">
        <v>7552</v>
      </c>
    </row>
    <row r="172" spans="1:61" ht="30" customHeight="1">
      <c r="A172" s="1085" t="str">
        <f t="shared" si="106"/>
        <v/>
      </c>
      <c r="B172" s="1086"/>
      <c r="C172" s="1085" t="s">
        <v>254</v>
      </c>
      <c r="D172" s="1087" t="str">
        <f t="shared" si="107"/>
        <v/>
      </c>
      <c r="E172" s="1088" t="str">
        <f t="shared" si="108"/>
        <v/>
      </c>
      <c r="F172" s="1089" t="str">
        <f t="shared" si="109"/>
        <v/>
      </c>
      <c r="G172" s="1090" t="str">
        <f t="shared" si="110"/>
        <v/>
      </c>
      <c r="H172" s="1085" t="str">
        <f t="shared" si="111"/>
        <v/>
      </c>
      <c r="I172" s="1085" t="str">
        <f t="shared" si="112"/>
        <v/>
      </c>
      <c r="J172" s="1090" t="str">
        <f t="shared" si="113"/>
        <v/>
      </c>
      <c r="K172" s="1044" t="str">
        <f t="shared" si="114"/>
        <v/>
      </c>
      <c r="L172" s="1044" t="str">
        <f t="shared" si="115"/>
        <v/>
      </c>
      <c r="M172" s="1044" t="str">
        <f t="shared" si="116"/>
        <v/>
      </c>
      <c r="N172" s="1044" t="str">
        <f t="shared" si="117"/>
        <v/>
      </c>
      <c r="O172" s="1044">
        <f t="shared" si="118"/>
        <v>0</v>
      </c>
      <c r="P172" s="1044">
        <f t="shared" si="119"/>
        <v>0</v>
      </c>
      <c r="Q172" s="1044">
        <f t="shared" si="120"/>
        <v>0</v>
      </c>
      <c r="R172" s="1044">
        <f t="shared" si="121"/>
        <v>0</v>
      </c>
      <c r="S172" s="1044">
        <f t="shared" si="122"/>
        <v>0</v>
      </c>
      <c r="T172" s="1044">
        <f t="shared" si="123"/>
        <v>0</v>
      </c>
      <c r="U172" s="1044">
        <f t="shared" si="124"/>
        <v>0</v>
      </c>
      <c r="V172" s="1044">
        <f t="shared" si="125"/>
        <v>0</v>
      </c>
      <c r="W172" s="1044">
        <f t="shared" si="126"/>
        <v>0</v>
      </c>
      <c r="X172" s="1044">
        <f t="shared" si="127"/>
        <v>0</v>
      </c>
      <c r="Y172" s="1044">
        <f t="shared" si="128"/>
        <v>0</v>
      </c>
      <c r="Z172" s="1044">
        <f t="shared" si="129"/>
        <v>0</v>
      </c>
      <c r="AA172" s="1044">
        <f t="shared" si="130"/>
        <v>0</v>
      </c>
      <c r="AB172" s="1044">
        <f t="shared" si="131"/>
        <v>0</v>
      </c>
      <c r="AC172" s="1044">
        <f t="shared" si="132"/>
        <v>0</v>
      </c>
      <c r="AD172" s="1044">
        <f t="shared" si="133"/>
        <v>0</v>
      </c>
      <c r="AE172" s="1044">
        <f t="shared" si="134"/>
        <v>0</v>
      </c>
      <c r="AF172" s="1044">
        <f t="shared" si="135"/>
        <v>0</v>
      </c>
      <c r="AG172" s="1044">
        <f t="shared" si="136"/>
        <v>0</v>
      </c>
      <c r="AH172" s="1044">
        <f t="shared" si="137"/>
        <v>0</v>
      </c>
      <c r="AI172" s="1044">
        <f t="shared" si="138"/>
        <v>0</v>
      </c>
      <c r="AJ172" s="1044">
        <f t="shared" si="139"/>
        <v>0</v>
      </c>
      <c r="AK172" s="1044">
        <f t="shared" si="140"/>
        <v>0</v>
      </c>
      <c r="AL172" s="1044">
        <f t="shared" si="141"/>
        <v>0</v>
      </c>
      <c r="AM172" s="1044">
        <f t="shared" si="142"/>
        <v>0</v>
      </c>
      <c r="AN172" s="1044" t="str">
        <f t="shared" si="143"/>
        <v/>
      </c>
      <c r="AO172" s="1044" t="str">
        <f t="shared" si="144"/>
        <v/>
      </c>
      <c r="AP172" s="1044" t="str">
        <f t="shared" si="145"/>
        <v/>
      </c>
      <c r="AQ172" s="1044" t="str">
        <f t="shared" si="146"/>
        <v/>
      </c>
      <c r="AR172" s="1044" t="str">
        <f t="shared" si="147"/>
        <v/>
      </c>
      <c r="AS172" s="1044" t="str">
        <f t="shared" si="148"/>
        <v/>
      </c>
      <c r="AT172" s="1044" t="str">
        <f t="shared" si="149"/>
        <v/>
      </c>
      <c r="AU172" s="1044" t="str">
        <f t="shared" si="150"/>
        <v/>
      </c>
      <c r="AV172" s="1044" t="str">
        <f t="shared" si="151"/>
        <v/>
      </c>
      <c r="AW172" s="1044" t="str">
        <f t="shared" si="152"/>
        <v/>
      </c>
      <c r="AX172" s="1044" t="str">
        <f t="shared" si="153"/>
        <v/>
      </c>
      <c r="AY172" s="1044" t="str">
        <f t="shared" si="154"/>
        <v/>
      </c>
      <c r="AZ172" s="1044" t="str">
        <f t="shared" si="155"/>
        <v/>
      </c>
      <c r="BA172" s="1044" t="str">
        <f t="shared" si="156"/>
        <v/>
      </c>
      <c r="BB172" s="1044" t="str">
        <f t="shared" si="157"/>
        <v/>
      </c>
      <c r="BC172" s="1044" t="str">
        <f t="shared" si="158"/>
        <v/>
      </c>
      <c r="BF172" s="1" t="s">
        <v>7</v>
      </c>
      <c r="BG172" s="1076" t="s">
        <v>689</v>
      </c>
      <c r="BH172" s="1" t="s">
        <v>1230</v>
      </c>
      <c r="BI172" s="1" t="s">
        <v>7553</v>
      </c>
    </row>
    <row r="173" spans="1:61" ht="30" customHeight="1">
      <c r="A173" s="1085" t="str">
        <f t="shared" si="106"/>
        <v/>
      </c>
      <c r="B173" s="1086"/>
      <c r="C173" s="1085" t="s">
        <v>254</v>
      </c>
      <c r="D173" s="1087" t="str">
        <f t="shared" si="107"/>
        <v/>
      </c>
      <c r="E173" s="1088" t="str">
        <f t="shared" si="108"/>
        <v/>
      </c>
      <c r="F173" s="1089" t="str">
        <f t="shared" si="109"/>
        <v/>
      </c>
      <c r="G173" s="1090" t="str">
        <f t="shared" si="110"/>
        <v/>
      </c>
      <c r="H173" s="1085" t="str">
        <f t="shared" si="111"/>
        <v/>
      </c>
      <c r="I173" s="1085" t="str">
        <f t="shared" si="112"/>
        <v/>
      </c>
      <c r="J173" s="1090" t="str">
        <f t="shared" si="113"/>
        <v/>
      </c>
      <c r="K173" s="1044" t="str">
        <f t="shared" si="114"/>
        <v/>
      </c>
      <c r="L173" s="1044" t="str">
        <f t="shared" si="115"/>
        <v/>
      </c>
      <c r="M173" s="1044" t="str">
        <f t="shared" si="116"/>
        <v/>
      </c>
      <c r="N173" s="1044" t="str">
        <f t="shared" si="117"/>
        <v/>
      </c>
      <c r="O173" s="1044">
        <f t="shared" si="118"/>
        <v>0</v>
      </c>
      <c r="P173" s="1044">
        <f t="shared" si="119"/>
        <v>0</v>
      </c>
      <c r="Q173" s="1044">
        <f t="shared" si="120"/>
        <v>0</v>
      </c>
      <c r="R173" s="1044">
        <f t="shared" si="121"/>
        <v>0</v>
      </c>
      <c r="S173" s="1044">
        <f t="shared" si="122"/>
        <v>0</v>
      </c>
      <c r="T173" s="1044">
        <f t="shared" si="123"/>
        <v>0</v>
      </c>
      <c r="U173" s="1044">
        <f t="shared" si="124"/>
        <v>0</v>
      </c>
      <c r="V173" s="1044">
        <f t="shared" si="125"/>
        <v>0</v>
      </c>
      <c r="W173" s="1044">
        <f t="shared" si="126"/>
        <v>0</v>
      </c>
      <c r="X173" s="1044">
        <f t="shared" si="127"/>
        <v>0</v>
      </c>
      <c r="Y173" s="1044">
        <f t="shared" si="128"/>
        <v>0</v>
      </c>
      <c r="Z173" s="1044">
        <f t="shared" si="129"/>
        <v>0</v>
      </c>
      <c r="AA173" s="1044">
        <f t="shared" si="130"/>
        <v>0</v>
      </c>
      <c r="AB173" s="1044">
        <f t="shared" si="131"/>
        <v>0</v>
      </c>
      <c r="AC173" s="1044">
        <f t="shared" si="132"/>
        <v>0</v>
      </c>
      <c r="AD173" s="1044">
        <f t="shared" si="133"/>
        <v>0</v>
      </c>
      <c r="AE173" s="1044">
        <f t="shared" si="134"/>
        <v>0</v>
      </c>
      <c r="AF173" s="1044">
        <f t="shared" si="135"/>
        <v>0</v>
      </c>
      <c r="AG173" s="1044">
        <f t="shared" si="136"/>
        <v>0</v>
      </c>
      <c r="AH173" s="1044">
        <f t="shared" si="137"/>
        <v>0</v>
      </c>
      <c r="AI173" s="1044">
        <f t="shared" si="138"/>
        <v>0</v>
      </c>
      <c r="AJ173" s="1044">
        <f t="shared" si="139"/>
        <v>0</v>
      </c>
      <c r="AK173" s="1044">
        <f t="shared" si="140"/>
        <v>0</v>
      </c>
      <c r="AL173" s="1044">
        <f t="shared" si="141"/>
        <v>0</v>
      </c>
      <c r="AM173" s="1044">
        <f t="shared" si="142"/>
        <v>0</v>
      </c>
      <c r="AN173" s="1044" t="str">
        <f t="shared" si="143"/>
        <v/>
      </c>
      <c r="AO173" s="1044" t="str">
        <f t="shared" si="144"/>
        <v/>
      </c>
      <c r="AP173" s="1044" t="str">
        <f t="shared" si="145"/>
        <v/>
      </c>
      <c r="AQ173" s="1044" t="str">
        <f t="shared" si="146"/>
        <v/>
      </c>
      <c r="AR173" s="1044" t="str">
        <f t="shared" si="147"/>
        <v/>
      </c>
      <c r="AS173" s="1044" t="str">
        <f t="shared" si="148"/>
        <v/>
      </c>
      <c r="AT173" s="1044" t="str">
        <f t="shared" si="149"/>
        <v/>
      </c>
      <c r="AU173" s="1044" t="str">
        <f t="shared" si="150"/>
        <v/>
      </c>
      <c r="AV173" s="1044" t="str">
        <f t="shared" si="151"/>
        <v/>
      </c>
      <c r="AW173" s="1044" t="str">
        <f t="shared" si="152"/>
        <v/>
      </c>
      <c r="AX173" s="1044" t="str">
        <f t="shared" si="153"/>
        <v/>
      </c>
      <c r="AY173" s="1044" t="str">
        <f t="shared" si="154"/>
        <v/>
      </c>
      <c r="AZ173" s="1044" t="str">
        <f t="shared" si="155"/>
        <v/>
      </c>
      <c r="BA173" s="1044" t="str">
        <f t="shared" si="156"/>
        <v/>
      </c>
      <c r="BB173" s="1044" t="str">
        <f t="shared" si="157"/>
        <v/>
      </c>
      <c r="BC173" s="1044" t="str">
        <f t="shared" si="158"/>
        <v/>
      </c>
      <c r="BF173" s="1" t="s">
        <v>7</v>
      </c>
      <c r="BG173" s="1076" t="s">
        <v>689</v>
      </c>
      <c r="BH173" s="1" t="s">
        <v>1232</v>
      </c>
      <c r="BI173" s="1" t="s">
        <v>7554</v>
      </c>
    </row>
    <row r="174" spans="1:61" ht="30" customHeight="1">
      <c r="A174" s="1085" t="str">
        <f t="shared" si="106"/>
        <v/>
      </c>
      <c r="B174" s="1086"/>
      <c r="C174" s="1085" t="s">
        <v>254</v>
      </c>
      <c r="D174" s="1087" t="str">
        <f t="shared" si="107"/>
        <v/>
      </c>
      <c r="E174" s="1088" t="str">
        <f t="shared" si="108"/>
        <v/>
      </c>
      <c r="F174" s="1089" t="str">
        <f t="shared" si="109"/>
        <v/>
      </c>
      <c r="G174" s="1090" t="str">
        <f t="shared" si="110"/>
        <v/>
      </c>
      <c r="H174" s="1085" t="str">
        <f t="shared" si="111"/>
        <v/>
      </c>
      <c r="I174" s="1085" t="str">
        <f t="shared" si="112"/>
        <v/>
      </c>
      <c r="J174" s="1090" t="str">
        <f t="shared" si="113"/>
        <v/>
      </c>
      <c r="K174" s="1044" t="str">
        <f t="shared" si="114"/>
        <v/>
      </c>
      <c r="L174" s="1044" t="str">
        <f t="shared" si="115"/>
        <v/>
      </c>
      <c r="M174" s="1044" t="str">
        <f t="shared" si="116"/>
        <v/>
      </c>
      <c r="N174" s="1044" t="str">
        <f t="shared" si="117"/>
        <v/>
      </c>
      <c r="O174" s="1044">
        <f t="shared" si="118"/>
        <v>0</v>
      </c>
      <c r="P174" s="1044">
        <f t="shared" si="119"/>
        <v>0</v>
      </c>
      <c r="Q174" s="1044">
        <f t="shared" si="120"/>
        <v>0</v>
      </c>
      <c r="R174" s="1044">
        <f t="shared" si="121"/>
        <v>0</v>
      </c>
      <c r="S174" s="1044">
        <f t="shared" si="122"/>
        <v>0</v>
      </c>
      <c r="T174" s="1044">
        <f t="shared" si="123"/>
        <v>0</v>
      </c>
      <c r="U174" s="1044">
        <f t="shared" si="124"/>
        <v>0</v>
      </c>
      <c r="V174" s="1044">
        <f t="shared" si="125"/>
        <v>0</v>
      </c>
      <c r="W174" s="1044">
        <f t="shared" si="126"/>
        <v>0</v>
      </c>
      <c r="X174" s="1044">
        <f t="shared" si="127"/>
        <v>0</v>
      </c>
      <c r="Y174" s="1044">
        <f t="shared" si="128"/>
        <v>0</v>
      </c>
      <c r="Z174" s="1044">
        <f t="shared" si="129"/>
        <v>0</v>
      </c>
      <c r="AA174" s="1044">
        <f t="shared" si="130"/>
        <v>0</v>
      </c>
      <c r="AB174" s="1044">
        <f t="shared" si="131"/>
        <v>0</v>
      </c>
      <c r="AC174" s="1044">
        <f t="shared" si="132"/>
        <v>0</v>
      </c>
      <c r="AD174" s="1044">
        <f t="shared" si="133"/>
        <v>0</v>
      </c>
      <c r="AE174" s="1044">
        <f t="shared" si="134"/>
        <v>0</v>
      </c>
      <c r="AF174" s="1044">
        <f t="shared" si="135"/>
        <v>0</v>
      </c>
      <c r="AG174" s="1044">
        <f t="shared" si="136"/>
        <v>0</v>
      </c>
      <c r="AH174" s="1044">
        <f t="shared" si="137"/>
        <v>0</v>
      </c>
      <c r="AI174" s="1044">
        <f t="shared" si="138"/>
        <v>0</v>
      </c>
      <c r="AJ174" s="1044">
        <f t="shared" si="139"/>
        <v>0</v>
      </c>
      <c r="AK174" s="1044">
        <f t="shared" si="140"/>
        <v>0</v>
      </c>
      <c r="AL174" s="1044">
        <f t="shared" si="141"/>
        <v>0</v>
      </c>
      <c r="AM174" s="1044">
        <f t="shared" si="142"/>
        <v>0</v>
      </c>
      <c r="AN174" s="1044" t="str">
        <f t="shared" si="143"/>
        <v/>
      </c>
      <c r="AO174" s="1044" t="str">
        <f t="shared" si="144"/>
        <v/>
      </c>
      <c r="AP174" s="1044" t="str">
        <f t="shared" si="145"/>
        <v/>
      </c>
      <c r="AQ174" s="1044" t="str">
        <f t="shared" si="146"/>
        <v/>
      </c>
      <c r="AR174" s="1044" t="str">
        <f t="shared" si="147"/>
        <v/>
      </c>
      <c r="AS174" s="1044" t="str">
        <f t="shared" si="148"/>
        <v/>
      </c>
      <c r="AT174" s="1044" t="str">
        <f t="shared" si="149"/>
        <v/>
      </c>
      <c r="AU174" s="1044" t="str">
        <f t="shared" si="150"/>
        <v/>
      </c>
      <c r="AV174" s="1044" t="str">
        <f t="shared" si="151"/>
        <v/>
      </c>
      <c r="AW174" s="1044" t="str">
        <f t="shared" si="152"/>
        <v/>
      </c>
      <c r="AX174" s="1044" t="str">
        <f t="shared" si="153"/>
        <v/>
      </c>
      <c r="AY174" s="1044" t="str">
        <f t="shared" si="154"/>
        <v/>
      </c>
      <c r="AZ174" s="1044" t="str">
        <f t="shared" si="155"/>
        <v/>
      </c>
      <c r="BA174" s="1044" t="str">
        <f t="shared" si="156"/>
        <v/>
      </c>
      <c r="BB174" s="1044" t="str">
        <f t="shared" si="157"/>
        <v/>
      </c>
      <c r="BC174" s="1044" t="str">
        <f t="shared" si="158"/>
        <v/>
      </c>
      <c r="BF174" s="1" t="s">
        <v>7</v>
      </c>
      <c r="BG174" s="1076" t="s">
        <v>689</v>
      </c>
      <c r="BH174" s="1" t="s">
        <v>41</v>
      </c>
      <c r="BI174" s="1" t="s">
        <v>7555</v>
      </c>
    </row>
    <row r="175" spans="1:61" ht="30" customHeight="1">
      <c r="A175" s="1085" t="str">
        <f t="shared" si="106"/>
        <v/>
      </c>
      <c r="B175" s="1086"/>
      <c r="C175" s="1085" t="s">
        <v>254</v>
      </c>
      <c r="D175" s="1087" t="str">
        <f t="shared" si="107"/>
        <v/>
      </c>
      <c r="E175" s="1088" t="str">
        <f t="shared" si="108"/>
        <v/>
      </c>
      <c r="F175" s="1089" t="str">
        <f t="shared" si="109"/>
        <v/>
      </c>
      <c r="G175" s="1090" t="str">
        <f t="shared" si="110"/>
        <v/>
      </c>
      <c r="H175" s="1085" t="str">
        <f t="shared" si="111"/>
        <v/>
      </c>
      <c r="I175" s="1085" t="str">
        <f t="shared" si="112"/>
        <v/>
      </c>
      <c r="J175" s="1090" t="str">
        <f t="shared" si="113"/>
        <v/>
      </c>
      <c r="K175" s="1044" t="str">
        <f t="shared" si="114"/>
        <v/>
      </c>
      <c r="L175" s="1044" t="str">
        <f t="shared" si="115"/>
        <v/>
      </c>
      <c r="M175" s="1044" t="str">
        <f t="shared" si="116"/>
        <v/>
      </c>
      <c r="N175" s="1044" t="str">
        <f t="shared" si="117"/>
        <v/>
      </c>
      <c r="O175" s="1044">
        <f t="shared" si="118"/>
        <v>0</v>
      </c>
      <c r="P175" s="1044">
        <f t="shared" si="119"/>
        <v>0</v>
      </c>
      <c r="Q175" s="1044">
        <f t="shared" si="120"/>
        <v>0</v>
      </c>
      <c r="R175" s="1044">
        <f t="shared" si="121"/>
        <v>0</v>
      </c>
      <c r="S175" s="1044">
        <f t="shared" si="122"/>
        <v>0</v>
      </c>
      <c r="T175" s="1044">
        <f t="shared" si="123"/>
        <v>0</v>
      </c>
      <c r="U175" s="1044">
        <f t="shared" si="124"/>
        <v>0</v>
      </c>
      <c r="V175" s="1044">
        <f t="shared" si="125"/>
        <v>0</v>
      </c>
      <c r="W175" s="1044">
        <f t="shared" si="126"/>
        <v>0</v>
      </c>
      <c r="X175" s="1044">
        <f t="shared" si="127"/>
        <v>0</v>
      </c>
      <c r="Y175" s="1044">
        <f t="shared" si="128"/>
        <v>0</v>
      </c>
      <c r="Z175" s="1044">
        <f t="shared" si="129"/>
        <v>0</v>
      </c>
      <c r="AA175" s="1044">
        <f t="shared" si="130"/>
        <v>0</v>
      </c>
      <c r="AB175" s="1044">
        <f t="shared" si="131"/>
        <v>0</v>
      </c>
      <c r="AC175" s="1044">
        <f t="shared" si="132"/>
        <v>0</v>
      </c>
      <c r="AD175" s="1044">
        <f t="shared" si="133"/>
        <v>0</v>
      </c>
      <c r="AE175" s="1044">
        <f t="shared" si="134"/>
        <v>0</v>
      </c>
      <c r="AF175" s="1044">
        <f t="shared" si="135"/>
        <v>0</v>
      </c>
      <c r="AG175" s="1044">
        <f t="shared" si="136"/>
        <v>0</v>
      </c>
      <c r="AH175" s="1044">
        <f t="shared" si="137"/>
        <v>0</v>
      </c>
      <c r="AI175" s="1044">
        <f t="shared" si="138"/>
        <v>0</v>
      </c>
      <c r="AJ175" s="1044">
        <f t="shared" si="139"/>
        <v>0</v>
      </c>
      <c r="AK175" s="1044">
        <f t="shared" si="140"/>
        <v>0</v>
      </c>
      <c r="AL175" s="1044">
        <f t="shared" si="141"/>
        <v>0</v>
      </c>
      <c r="AM175" s="1044">
        <f t="shared" si="142"/>
        <v>0</v>
      </c>
      <c r="AN175" s="1044" t="str">
        <f t="shared" si="143"/>
        <v/>
      </c>
      <c r="AO175" s="1044" t="str">
        <f t="shared" si="144"/>
        <v/>
      </c>
      <c r="AP175" s="1044" t="str">
        <f t="shared" si="145"/>
        <v/>
      </c>
      <c r="AQ175" s="1044" t="str">
        <f t="shared" si="146"/>
        <v/>
      </c>
      <c r="AR175" s="1044" t="str">
        <f t="shared" si="147"/>
        <v/>
      </c>
      <c r="AS175" s="1044" t="str">
        <f t="shared" si="148"/>
        <v/>
      </c>
      <c r="AT175" s="1044" t="str">
        <f t="shared" si="149"/>
        <v/>
      </c>
      <c r="AU175" s="1044" t="str">
        <f t="shared" si="150"/>
        <v/>
      </c>
      <c r="AV175" s="1044" t="str">
        <f t="shared" si="151"/>
        <v/>
      </c>
      <c r="AW175" s="1044" t="str">
        <f t="shared" si="152"/>
        <v/>
      </c>
      <c r="AX175" s="1044" t="str">
        <f t="shared" si="153"/>
        <v/>
      </c>
      <c r="AY175" s="1044" t="str">
        <f t="shared" si="154"/>
        <v/>
      </c>
      <c r="AZ175" s="1044" t="str">
        <f t="shared" si="155"/>
        <v/>
      </c>
      <c r="BA175" s="1044" t="str">
        <f t="shared" si="156"/>
        <v/>
      </c>
      <c r="BB175" s="1044" t="str">
        <f t="shared" si="157"/>
        <v/>
      </c>
      <c r="BC175" s="1044" t="str">
        <f t="shared" si="158"/>
        <v/>
      </c>
      <c r="BF175" s="1" t="s">
        <v>7</v>
      </c>
      <c r="BG175" s="1076" t="s">
        <v>689</v>
      </c>
      <c r="BH175" s="1" t="s">
        <v>1236</v>
      </c>
      <c r="BI175" s="1" t="s">
        <v>7556</v>
      </c>
    </row>
    <row r="176" spans="1:61" ht="30" customHeight="1">
      <c r="A176" s="1085" t="str">
        <f t="shared" si="106"/>
        <v/>
      </c>
      <c r="B176" s="1086"/>
      <c r="C176" s="1085" t="s">
        <v>254</v>
      </c>
      <c r="D176" s="1087" t="str">
        <f t="shared" si="107"/>
        <v/>
      </c>
      <c r="E176" s="1088" t="str">
        <f t="shared" si="108"/>
        <v/>
      </c>
      <c r="F176" s="1089" t="str">
        <f t="shared" si="109"/>
        <v/>
      </c>
      <c r="G176" s="1090" t="str">
        <f t="shared" si="110"/>
        <v/>
      </c>
      <c r="H176" s="1085" t="str">
        <f t="shared" si="111"/>
        <v/>
      </c>
      <c r="I176" s="1085" t="str">
        <f t="shared" si="112"/>
        <v/>
      </c>
      <c r="J176" s="1090" t="str">
        <f t="shared" si="113"/>
        <v/>
      </c>
      <c r="K176" s="1044" t="str">
        <f t="shared" si="114"/>
        <v/>
      </c>
      <c r="L176" s="1044" t="str">
        <f t="shared" si="115"/>
        <v/>
      </c>
      <c r="M176" s="1044" t="str">
        <f t="shared" si="116"/>
        <v/>
      </c>
      <c r="N176" s="1044" t="str">
        <f t="shared" si="117"/>
        <v/>
      </c>
      <c r="O176" s="1044">
        <f t="shared" si="118"/>
        <v>0</v>
      </c>
      <c r="P176" s="1044">
        <f t="shared" si="119"/>
        <v>0</v>
      </c>
      <c r="Q176" s="1044">
        <f t="shared" si="120"/>
        <v>0</v>
      </c>
      <c r="R176" s="1044">
        <f t="shared" si="121"/>
        <v>0</v>
      </c>
      <c r="S176" s="1044">
        <f t="shared" si="122"/>
        <v>0</v>
      </c>
      <c r="T176" s="1044">
        <f t="shared" si="123"/>
        <v>0</v>
      </c>
      <c r="U176" s="1044">
        <f t="shared" si="124"/>
        <v>0</v>
      </c>
      <c r="V176" s="1044">
        <f t="shared" si="125"/>
        <v>0</v>
      </c>
      <c r="W176" s="1044">
        <f t="shared" si="126"/>
        <v>0</v>
      </c>
      <c r="X176" s="1044">
        <f t="shared" si="127"/>
        <v>0</v>
      </c>
      <c r="Y176" s="1044">
        <f t="shared" si="128"/>
        <v>0</v>
      </c>
      <c r="Z176" s="1044">
        <f t="shared" si="129"/>
        <v>0</v>
      </c>
      <c r="AA176" s="1044">
        <f t="shared" si="130"/>
        <v>0</v>
      </c>
      <c r="AB176" s="1044">
        <f t="shared" si="131"/>
        <v>0</v>
      </c>
      <c r="AC176" s="1044">
        <f t="shared" si="132"/>
        <v>0</v>
      </c>
      <c r="AD176" s="1044">
        <f t="shared" si="133"/>
        <v>0</v>
      </c>
      <c r="AE176" s="1044">
        <f t="shared" si="134"/>
        <v>0</v>
      </c>
      <c r="AF176" s="1044">
        <f t="shared" si="135"/>
        <v>0</v>
      </c>
      <c r="AG176" s="1044">
        <f t="shared" si="136"/>
        <v>0</v>
      </c>
      <c r="AH176" s="1044">
        <f t="shared" si="137"/>
        <v>0</v>
      </c>
      <c r="AI176" s="1044">
        <f t="shared" si="138"/>
        <v>0</v>
      </c>
      <c r="AJ176" s="1044">
        <f t="shared" si="139"/>
        <v>0</v>
      </c>
      <c r="AK176" s="1044">
        <f t="shared" si="140"/>
        <v>0</v>
      </c>
      <c r="AL176" s="1044">
        <f t="shared" si="141"/>
        <v>0</v>
      </c>
      <c r="AM176" s="1044">
        <f t="shared" si="142"/>
        <v>0</v>
      </c>
      <c r="AN176" s="1044" t="str">
        <f t="shared" si="143"/>
        <v/>
      </c>
      <c r="AO176" s="1044" t="str">
        <f t="shared" si="144"/>
        <v/>
      </c>
      <c r="AP176" s="1044" t="str">
        <f t="shared" si="145"/>
        <v/>
      </c>
      <c r="AQ176" s="1044" t="str">
        <f t="shared" si="146"/>
        <v/>
      </c>
      <c r="AR176" s="1044" t="str">
        <f t="shared" si="147"/>
        <v/>
      </c>
      <c r="AS176" s="1044" t="str">
        <f t="shared" si="148"/>
        <v/>
      </c>
      <c r="AT176" s="1044" t="str">
        <f t="shared" si="149"/>
        <v/>
      </c>
      <c r="AU176" s="1044" t="str">
        <f t="shared" si="150"/>
        <v/>
      </c>
      <c r="AV176" s="1044" t="str">
        <f t="shared" si="151"/>
        <v/>
      </c>
      <c r="AW176" s="1044" t="str">
        <f t="shared" si="152"/>
        <v/>
      </c>
      <c r="AX176" s="1044" t="str">
        <f t="shared" si="153"/>
        <v/>
      </c>
      <c r="AY176" s="1044" t="str">
        <f t="shared" si="154"/>
        <v/>
      </c>
      <c r="AZ176" s="1044" t="str">
        <f t="shared" si="155"/>
        <v/>
      </c>
      <c r="BA176" s="1044" t="str">
        <f t="shared" si="156"/>
        <v/>
      </c>
      <c r="BB176" s="1044" t="str">
        <f t="shared" si="157"/>
        <v/>
      </c>
      <c r="BC176" s="1044" t="str">
        <f t="shared" si="158"/>
        <v/>
      </c>
      <c r="BF176" s="1" t="s">
        <v>7</v>
      </c>
      <c r="BG176" s="1076" t="s">
        <v>689</v>
      </c>
      <c r="BH176" s="1" t="s">
        <v>7104</v>
      </c>
      <c r="BI176" s="1" t="s">
        <v>7557</v>
      </c>
    </row>
    <row r="177" spans="1:61" ht="30" customHeight="1">
      <c r="A177" s="1085" t="str">
        <f t="shared" si="106"/>
        <v/>
      </c>
      <c r="B177" s="1086"/>
      <c r="C177" s="1085" t="s">
        <v>254</v>
      </c>
      <c r="D177" s="1087" t="str">
        <f t="shared" si="107"/>
        <v/>
      </c>
      <c r="E177" s="1088" t="str">
        <f t="shared" si="108"/>
        <v/>
      </c>
      <c r="F177" s="1089" t="str">
        <f t="shared" si="109"/>
        <v/>
      </c>
      <c r="G177" s="1090" t="str">
        <f t="shared" si="110"/>
        <v/>
      </c>
      <c r="H177" s="1085" t="str">
        <f t="shared" si="111"/>
        <v/>
      </c>
      <c r="I177" s="1085" t="str">
        <f t="shared" si="112"/>
        <v/>
      </c>
      <c r="J177" s="1090" t="str">
        <f t="shared" si="113"/>
        <v/>
      </c>
      <c r="K177" s="1044" t="str">
        <f t="shared" si="114"/>
        <v/>
      </c>
      <c r="L177" s="1044" t="str">
        <f t="shared" si="115"/>
        <v/>
      </c>
      <c r="M177" s="1044" t="str">
        <f t="shared" si="116"/>
        <v/>
      </c>
      <c r="N177" s="1044" t="str">
        <f t="shared" si="117"/>
        <v/>
      </c>
      <c r="O177" s="1044">
        <f t="shared" si="118"/>
        <v>0</v>
      </c>
      <c r="P177" s="1044">
        <f t="shared" si="119"/>
        <v>0</v>
      </c>
      <c r="Q177" s="1044">
        <f t="shared" si="120"/>
        <v>0</v>
      </c>
      <c r="R177" s="1044">
        <f t="shared" si="121"/>
        <v>0</v>
      </c>
      <c r="S177" s="1044">
        <f t="shared" si="122"/>
        <v>0</v>
      </c>
      <c r="T177" s="1044">
        <f t="shared" si="123"/>
        <v>0</v>
      </c>
      <c r="U177" s="1044">
        <f t="shared" si="124"/>
        <v>0</v>
      </c>
      <c r="V177" s="1044">
        <f t="shared" si="125"/>
        <v>0</v>
      </c>
      <c r="W177" s="1044">
        <f t="shared" si="126"/>
        <v>0</v>
      </c>
      <c r="X177" s="1044">
        <f t="shared" si="127"/>
        <v>0</v>
      </c>
      <c r="Y177" s="1044">
        <f t="shared" si="128"/>
        <v>0</v>
      </c>
      <c r="Z177" s="1044">
        <f t="shared" si="129"/>
        <v>0</v>
      </c>
      <c r="AA177" s="1044">
        <f t="shared" si="130"/>
        <v>0</v>
      </c>
      <c r="AB177" s="1044">
        <f t="shared" si="131"/>
        <v>0</v>
      </c>
      <c r="AC177" s="1044">
        <f t="shared" si="132"/>
        <v>0</v>
      </c>
      <c r="AD177" s="1044">
        <f t="shared" si="133"/>
        <v>0</v>
      </c>
      <c r="AE177" s="1044">
        <f t="shared" si="134"/>
        <v>0</v>
      </c>
      <c r="AF177" s="1044">
        <f t="shared" si="135"/>
        <v>0</v>
      </c>
      <c r="AG177" s="1044">
        <f t="shared" si="136"/>
        <v>0</v>
      </c>
      <c r="AH177" s="1044">
        <f t="shared" si="137"/>
        <v>0</v>
      </c>
      <c r="AI177" s="1044">
        <f t="shared" si="138"/>
        <v>0</v>
      </c>
      <c r="AJ177" s="1044">
        <f t="shared" si="139"/>
        <v>0</v>
      </c>
      <c r="AK177" s="1044">
        <f t="shared" si="140"/>
        <v>0</v>
      </c>
      <c r="AL177" s="1044">
        <f t="shared" si="141"/>
        <v>0</v>
      </c>
      <c r="AM177" s="1044">
        <f t="shared" si="142"/>
        <v>0</v>
      </c>
      <c r="AN177" s="1044" t="str">
        <f t="shared" si="143"/>
        <v/>
      </c>
      <c r="AO177" s="1044" t="str">
        <f t="shared" si="144"/>
        <v/>
      </c>
      <c r="AP177" s="1044" t="str">
        <f t="shared" si="145"/>
        <v/>
      </c>
      <c r="AQ177" s="1044" t="str">
        <f t="shared" si="146"/>
        <v/>
      </c>
      <c r="AR177" s="1044" t="str">
        <f t="shared" si="147"/>
        <v/>
      </c>
      <c r="AS177" s="1044" t="str">
        <f t="shared" si="148"/>
        <v/>
      </c>
      <c r="AT177" s="1044" t="str">
        <f t="shared" si="149"/>
        <v/>
      </c>
      <c r="AU177" s="1044" t="str">
        <f t="shared" si="150"/>
        <v/>
      </c>
      <c r="AV177" s="1044" t="str">
        <f t="shared" si="151"/>
        <v/>
      </c>
      <c r="AW177" s="1044" t="str">
        <f t="shared" si="152"/>
        <v/>
      </c>
      <c r="AX177" s="1044" t="str">
        <f t="shared" si="153"/>
        <v/>
      </c>
      <c r="AY177" s="1044" t="str">
        <f t="shared" si="154"/>
        <v/>
      </c>
      <c r="AZ177" s="1044" t="str">
        <f t="shared" si="155"/>
        <v/>
      </c>
      <c r="BA177" s="1044" t="str">
        <f t="shared" si="156"/>
        <v/>
      </c>
      <c r="BB177" s="1044" t="str">
        <f t="shared" si="157"/>
        <v/>
      </c>
      <c r="BC177" s="1044" t="str">
        <f t="shared" si="158"/>
        <v/>
      </c>
      <c r="BF177" s="1" t="s">
        <v>7</v>
      </c>
      <c r="BG177" s="1076" t="s">
        <v>689</v>
      </c>
      <c r="BH177" s="1" t="s">
        <v>1242</v>
      </c>
      <c r="BI177" s="1" t="s">
        <v>7558</v>
      </c>
    </row>
    <row r="178" spans="1:61" ht="30" customHeight="1">
      <c r="A178" s="1085" t="str">
        <f t="shared" si="106"/>
        <v/>
      </c>
      <c r="B178" s="1086"/>
      <c r="C178" s="1085" t="s">
        <v>254</v>
      </c>
      <c r="D178" s="1087" t="str">
        <f t="shared" si="107"/>
        <v/>
      </c>
      <c r="E178" s="1088" t="str">
        <f t="shared" si="108"/>
        <v/>
      </c>
      <c r="F178" s="1089" t="str">
        <f t="shared" si="109"/>
        <v/>
      </c>
      <c r="G178" s="1090" t="str">
        <f t="shared" si="110"/>
        <v/>
      </c>
      <c r="H178" s="1085" t="str">
        <f t="shared" si="111"/>
        <v/>
      </c>
      <c r="I178" s="1085" t="str">
        <f t="shared" si="112"/>
        <v/>
      </c>
      <c r="J178" s="1090" t="str">
        <f t="shared" si="113"/>
        <v/>
      </c>
      <c r="K178" s="1044" t="str">
        <f t="shared" si="114"/>
        <v/>
      </c>
      <c r="L178" s="1044" t="str">
        <f t="shared" si="115"/>
        <v/>
      </c>
      <c r="M178" s="1044" t="str">
        <f t="shared" si="116"/>
        <v/>
      </c>
      <c r="N178" s="1044" t="str">
        <f t="shared" si="117"/>
        <v/>
      </c>
      <c r="O178" s="1044">
        <f t="shared" si="118"/>
        <v>0</v>
      </c>
      <c r="P178" s="1044">
        <f t="shared" si="119"/>
        <v>0</v>
      </c>
      <c r="Q178" s="1044">
        <f t="shared" si="120"/>
        <v>0</v>
      </c>
      <c r="R178" s="1044">
        <f t="shared" si="121"/>
        <v>0</v>
      </c>
      <c r="S178" s="1044">
        <f t="shared" si="122"/>
        <v>0</v>
      </c>
      <c r="T178" s="1044">
        <f t="shared" si="123"/>
        <v>0</v>
      </c>
      <c r="U178" s="1044">
        <f t="shared" si="124"/>
        <v>0</v>
      </c>
      <c r="V178" s="1044">
        <f t="shared" si="125"/>
        <v>0</v>
      </c>
      <c r="W178" s="1044">
        <f t="shared" si="126"/>
        <v>0</v>
      </c>
      <c r="X178" s="1044">
        <f t="shared" si="127"/>
        <v>0</v>
      </c>
      <c r="Y178" s="1044">
        <f t="shared" si="128"/>
        <v>0</v>
      </c>
      <c r="Z178" s="1044">
        <f t="shared" si="129"/>
        <v>0</v>
      </c>
      <c r="AA178" s="1044">
        <f t="shared" si="130"/>
        <v>0</v>
      </c>
      <c r="AB178" s="1044">
        <f t="shared" si="131"/>
        <v>0</v>
      </c>
      <c r="AC178" s="1044">
        <f t="shared" si="132"/>
        <v>0</v>
      </c>
      <c r="AD178" s="1044">
        <f t="shared" si="133"/>
        <v>0</v>
      </c>
      <c r="AE178" s="1044">
        <f t="shared" si="134"/>
        <v>0</v>
      </c>
      <c r="AF178" s="1044">
        <f t="shared" si="135"/>
        <v>0</v>
      </c>
      <c r="AG178" s="1044">
        <f t="shared" si="136"/>
        <v>0</v>
      </c>
      <c r="AH178" s="1044">
        <f t="shared" si="137"/>
        <v>0</v>
      </c>
      <c r="AI178" s="1044">
        <f t="shared" si="138"/>
        <v>0</v>
      </c>
      <c r="AJ178" s="1044">
        <f t="shared" si="139"/>
        <v>0</v>
      </c>
      <c r="AK178" s="1044">
        <f t="shared" si="140"/>
        <v>0</v>
      </c>
      <c r="AL178" s="1044">
        <f t="shared" si="141"/>
        <v>0</v>
      </c>
      <c r="AM178" s="1044">
        <f t="shared" si="142"/>
        <v>0</v>
      </c>
      <c r="AN178" s="1044" t="str">
        <f t="shared" si="143"/>
        <v/>
      </c>
      <c r="AO178" s="1044" t="str">
        <f t="shared" si="144"/>
        <v/>
      </c>
      <c r="AP178" s="1044" t="str">
        <f t="shared" si="145"/>
        <v/>
      </c>
      <c r="AQ178" s="1044" t="str">
        <f t="shared" si="146"/>
        <v/>
      </c>
      <c r="AR178" s="1044" t="str">
        <f t="shared" si="147"/>
        <v/>
      </c>
      <c r="AS178" s="1044" t="str">
        <f t="shared" si="148"/>
        <v/>
      </c>
      <c r="AT178" s="1044" t="str">
        <f t="shared" si="149"/>
        <v/>
      </c>
      <c r="AU178" s="1044" t="str">
        <f t="shared" si="150"/>
        <v/>
      </c>
      <c r="AV178" s="1044" t="str">
        <f t="shared" si="151"/>
        <v/>
      </c>
      <c r="AW178" s="1044" t="str">
        <f t="shared" si="152"/>
        <v/>
      </c>
      <c r="AX178" s="1044" t="str">
        <f t="shared" si="153"/>
        <v/>
      </c>
      <c r="AY178" s="1044" t="str">
        <f t="shared" si="154"/>
        <v/>
      </c>
      <c r="AZ178" s="1044" t="str">
        <f t="shared" si="155"/>
        <v/>
      </c>
      <c r="BA178" s="1044" t="str">
        <f t="shared" si="156"/>
        <v/>
      </c>
      <c r="BB178" s="1044" t="str">
        <f t="shared" si="157"/>
        <v/>
      </c>
      <c r="BC178" s="1044" t="str">
        <f t="shared" si="158"/>
        <v/>
      </c>
      <c r="BF178" s="1" t="s">
        <v>7</v>
      </c>
      <c r="BG178" s="1076" t="s">
        <v>689</v>
      </c>
      <c r="BH178" s="1" t="s">
        <v>7105</v>
      </c>
      <c r="BI178" s="1" t="s">
        <v>7559</v>
      </c>
    </row>
    <row r="179" spans="1:61" ht="30" customHeight="1">
      <c r="A179" s="1085" t="str">
        <f t="shared" si="106"/>
        <v/>
      </c>
      <c r="B179" s="1086"/>
      <c r="C179" s="1085" t="s">
        <v>254</v>
      </c>
      <c r="D179" s="1087" t="str">
        <f t="shared" si="107"/>
        <v/>
      </c>
      <c r="E179" s="1088" t="str">
        <f t="shared" si="108"/>
        <v/>
      </c>
      <c r="F179" s="1089" t="str">
        <f t="shared" si="109"/>
        <v/>
      </c>
      <c r="G179" s="1090" t="str">
        <f t="shared" si="110"/>
        <v/>
      </c>
      <c r="H179" s="1085" t="str">
        <f t="shared" si="111"/>
        <v/>
      </c>
      <c r="I179" s="1085" t="str">
        <f t="shared" si="112"/>
        <v/>
      </c>
      <c r="J179" s="1090" t="str">
        <f t="shared" si="113"/>
        <v/>
      </c>
      <c r="K179" s="1044" t="str">
        <f t="shared" si="114"/>
        <v/>
      </c>
      <c r="L179" s="1044" t="str">
        <f t="shared" si="115"/>
        <v/>
      </c>
      <c r="M179" s="1044" t="str">
        <f t="shared" si="116"/>
        <v/>
      </c>
      <c r="N179" s="1044" t="str">
        <f t="shared" si="117"/>
        <v/>
      </c>
      <c r="O179" s="1044">
        <f t="shared" si="118"/>
        <v>0</v>
      </c>
      <c r="P179" s="1044">
        <f t="shared" si="119"/>
        <v>0</v>
      </c>
      <c r="Q179" s="1044">
        <f t="shared" si="120"/>
        <v>0</v>
      </c>
      <c r="R179" s="1044">
        <f t="shared" si="121"/>
        <v>0</v>
      </c>
      <c r="S179" s="1044">
        <f t="shared" si="122"/>
        <v>0</v>
      </c>
      <c r="T179" s="1044">
        <f t="shared" si="123"/>
        <v>0</v>
      </c>
      <c r="U179" s="1044">
        <f t="shared" si="124"/>
        <v>0</v>
      </c>
      <c r="V179" s="1044">
        <f t="shared" si="125"/>
        <v>0</v>
      </c>
      <c r="W179" s="1044">
        <f t="shared" si="126"/>
        <v>0</v>
      </c>
      <c r="X179" s="1044">
        <f t="shared" si="127"/>
        <v>0</v>
      </c>
      <c r="Y179" s="1044">
        <f t="shared" si="128"/>
        <v>0</v>
      </c>
      <c r="Z179" s="1044">
        <f t="shared" si="129"/>
        <v>0</v>
      </c>
      <c r="AA179" s="1044">
        <f t="shared" si="130"/>
        <v>0</v>
      </c>
      <c r="AB179" s="1044">
        <f t="shared" si="131"/>
        <v>0</v>
      </c>
      <c r="AC179" s="1044">
        <f t="shared" si="132"/>
        <v>0</v>
      </c>
      <c r="AD179" s="1044">
        <f t="shared" si="133"/>
        <v>0</v>
      </c>
      <c r="AE179" s="1044">
        <f t="shared" si="134"/>
        <v>0</v>
      </c>
      <c r="AF179" s="1044">
        <f t="shared" si="135"/>
        <v>0</v>
      </c>
      <c r="AG179" s="1044">
        <f t="shared" si="136"/>
        <v>0</v>
      </c>
      <c r="AH179" s="1044">
        <f t="shared" si="137"/>
        <v>0</v>
      </c>
      <c r="AI179" s="1044">
        <f t="shared" si="138"/>
        <v>0</v>
      </c>
      <c r="AJ179" s="1044">
        <f t="shared" si="139"/>
        <v>0</v>
      </c>
      <c r="AK179" s="1044">
        <f t="shared" si="140"/>
        <v>0</v>
      </c>
      <c r="AL179" s="1044">
        <f t="shared" si="141"/>
        <v>0</v>
      </c>
      <c r="AM179" s="1044">
        <f t="shared" si="142"/>
        <v>0</v>
      </c>
      <c r="AN179" s="1044" t="str">
        <f t="shared" si="143"/>
        <v/>
      </c>
      <c r="AO179" s="1044" t="str">
        <f t="shared" si="144"/>
        <v/>
      </c>
      <c r="AP179" s="1044" t="str">
        <f t="shared" si="145"/>
        <v/>
      </c>
      <c r="AQ179" s="1044" t="str">
        <f t="shared" si="146"/>
        <v/>
      </c>
      <c r="AR179" s="1044" t="str">
        <f t="shared" si="147"/>
        <v/>
      </c>
      <c r="AS179" s="1044" t="str">
        <f t="shared" si="148"/>
        <v/>
      </c>
      <c r="AT179" s="1044" t="str">
        <f t="shared" si="149"/>
        <v/>
      </c>
      <c r="AU179" s="1044" t="str">
        <f t="shared" si="150"/>
        <v/>
      </c>
      <c r="AV179" s="1044" t="str">
        <f t="shared" si="151"/>
        <v/>
      </c>
      <c r="AW179" s="1044" t="str">
        <f t="shared" si="152"/>
        <v/>
      </c>
      <c r="AX179" s="1044" t="str">
        <f t="shared" si="153"/>
        <v/>
      </c>
      <c r="AY179" s="1044" t="str">
        <f t="shared" si="154"/>
        <v/>
      </c>
      <c r="AZ179" s="1044" t="str">
        <f t="shared" si="155"/>
        <v/>
      </c>
      <c r="BA179" s="1044" t="str">
        <f t="shared" si="156"/>
        <v/>
      </c>
      <c r="BB179" s="1044" t="str">
        <f t="shared" si="157"/>
        <v/>
      </c>
      <c r="BC179" s="1044" t="str">
        <f t="shared" si="158"/>
        <v/>
      </c>
      <c r="BF179" s="1" t="s">
        <v>7</v>
      </c>
      <c r="BG179" s="1076" t="s">
        <v>689</v>
      </c>
      <c r="BH179" s="1" t="s">
        <v>7106</v>
      </c>
      <c r="BI179" s="1" t="s">
        <v>7560</v>
      </c>
    </row>
    <row r="180" spans="1:61" ht="30" customHeight="1">
      <c r="A180" s="1085" t="str">
        <f t="shared" si="106"/>
        <v/>
      </c>
      <c r="B180" s="1086"/>
      <c r="C180" s="1085" t="s">
        <v>254</v>
      </c>
      <c r="D180" s="1087" t="str">
        <f t="shared" si="107"/>
        <v/>
      </c>
      <c r="E180" s="1088" t="str">
        <f t="shared" si="108"/>
        <v/>
      </c>
      <c r="F180" s="1089" t="str">
        <f t="shared" si="109"/>
        <v/>
      </c>
      <c r="G180" s="1090" t="str">
        <f t="shared" si="110"/>
        <v/>
      </c>
      <c r="H180" s="1085" t="str">
        <f t="shared" si="111"/>
        <v/>
      </c>
      <c r="I180" s="1085" t="str">
        <f t="shared" si="112"/>
        <v/>
      </c>
      <c r="J180" s="1090" t="str">
        <f t="shared" si="113"/>
        <v/>
      </c>
      <c r="K180" s="1044" t="str">
        <f t="shared" si="114"/>
        <v/>
      </c>
      <c r="L180" s="1044" t="str">
        <f t="shared" si="115"/>
        <v/>
      </c>
      <c r="M180" s="1044" t="str">
        <f t="shared" si="116"/>
        <v/>
      </c>
      <c r="N180" s="1044" t="str">
        <f t="shared" si="117"/>
        <v/>
      </c>
      <c r="O180" s="1044">
        <f t="shared" si="118"/>
        <v>0</v>
      </c>
      <c r="P180" s="1044">
        <f t="shared" si="119"/>
        <v>0</v>
      </c>
      <c r="Q180" s="1044">
        <f t="shared" si="120"/>
        <v>0</v>
      </c>
      <c r="R180" s="1044">
        <f t="shared" si="121"/>
        <v>0</v>
      </c>
      <c r="S180" s="1044">
        <f t="shared" si="122"/>
        <v>0</v>
      </c>
      <c r="T180" s="1044">
        <f t="shared" si="123"/>
        <v>0</v>
      </c>
      <c r="U180" s="1044">
        <f t="shared" si="124"/>
        <v>0</v>
      </c>
      <c r="V180" s="1044">
        <f t="shared" si="125"/>
        <v>0</v>
      </c>
      <c r="W180" s="1044">
        <f t="shared" si="126"/>
        <v>0</v>
      </c>
      <c r="X180" s="1044">
        <f t="shared" si="127"/>
        <v>0</v>
      </c>
      <c r="Y180" s="1044">
        <f t="shared" si="128"/>
        <v>0</v>
      </c>
      <c r="Z180" s="1044">
        <f t="shared" si="129"/>
        <v>0</v>
      </c>
      <c r="AA180" s="1044">
        <f t="shared" si="130"/>
        <v>0</v>
      </c>
      <c r="AB180" s="1044">
        <f t="shared" si="131"/>
        <v>0</v>
      </c>
      <c r="AC180" s="1044">
        <f t="shared" si="132"/>
        <v>0</v>
      </c>
      <c r="AD180" s="1044">
        <f t="shared" si="133"/>
        <v>0</v>
      </c>
      <c r="AE180" s="1044">
        <f t="shared" si="134"/>
        <v>0</v>
      </c>
      <c r="AF180" s="1044">
        <f t="shared" si="135"/>
        <v>0</v>
      </c>
      <c r="AG180" s="1044">
        <f t="shared" si="136"/>
        <v>0</v>
      </c>
      <c r="AH180" s="1044">
        <f t="shared" si="137"/>
        <v>0</v>
      </c>
      <c r="AI180" s="1044">
        <f t="shared" si="138"/>
        <v>0</v>
      </c>
      <c r="AJ180" s="1044">
        <f t="shared" si="139"/>
        <v>0</v>
      </c>
      <c r="AK180" s="1044">
        <f t="shared" si="140"/>
        <v>0</v>
      </c>
      <c r="AL180" s="1044">
        <f t="shared" si="141"/>
        <v>0</v>
      </c>
      <c r="AM180" s="1044">
        <f t="shared" si="142"/>
        <v>0</v>
      </c>
      <c r="AN180" s="1044" t="str">
        <f t="shared" si="143"/>
        <v/>
      </c>
      <c r="AO180" s="1044" t="str">
        <f t="shared" si="144"/>
        <v/>
      </c>
      <c r="AP180" s="1044" t="str">
        <f t="shared" si="145"/>
        <v/>
      </c>
      <c r="AQ180" s="1044" t="str">
        <f t="shared" si="146"/>
        <v/>
      </c>
      <c r="AR180" s="1044" t="str">
        <f t="shared" si="147"/>
        <v/>
      </c>
      <c r="AS180" s="1044" t="str">
        <f t="shared" si="148"/>
        <v/>
      </c>
      <c r="AT180" s="1044" t="str">
        <f t="shared" si="149"/>
        <v/>
      </c>
      <c r="AU180" s="1044" t="str">
        <f t="shared" si="150"/>
        <v/>
      </c>
      <c r="AV180" s="1044" t="str">
        <f t="shared" si="151"/>
        <v/>
      </c>
      <c r="AW180" s="1044" t="str">
        <f t="shared" si="152"/>
        <v/>
      </c>
      <c r="AX180" s="1044" t="str">
        <f t="shared" si="153"/>
        <v/>
      </c>
      <c r="AY180" s="1044" t="str">
        <f t="shared" si="154"/>
        <v/>
      </c>
      <c r="AZ180" s="1044" t="str">
        <f t="shared" si="155"/>
        <v/>
      </c>
      <c r="BA180" s="1044" t="str">
        <f t="shared" si="156"/>
        <v/>
      </c>
      <c r="BB180" s="1044" t="str">
        <f t="shared" si="157"/>
        <v/>
      </c>
      <c r="BC180" s="1044" t="str">
        <f t="shared" si="158"/>
        <v/>
      </c>
      <c r="BF180" s="1" t="s">
        <v>7</v>
      </c>
      <c r="BG180" s="1076" t="s">
        <v>689</v>
      </c>
      <c r="BH180" s="1" t="s">
        <v>7107</v>
      </c>
      <c r="BI180" s="1" t="s">
        <v>7561</v>
      </c>
    </row>
    <row r="181" spans="1:61" ht="30" customHeight="1">
      <c r="A181" s="1085" t="str">
        <f t="shared" si="106"/>
        <v/>
      </c>
      <c r="B181" s="1086"/>
      <c r="C181" s="1085" t="s">
        <v>254</v>
      </c>
      <c r="D181" s="1087" t="str">
        <f t="shared" si="107"/>
        <v/>
      </c>
      <c r="E181" s="1088" t="str">
        <f t="shared" si="108"/>
        <v/>
      </c>
      <c r="F181" s="1089" t="str">
        <f t="shared" si="109"/>
        <v/>
      </c>
      <c r="G181" s="1090" t="str">
        <f t="shared" si="110"/>
        <v/>
      </c>
      <c r="H181" s="1085" t="str">
        <f t="shared" si="111"/>
        <v/>
      </c>
      <c r="I181" s="1085" t="str">
        <f t="shared" si="112"/>
        <v/>
      </c>
      <c r="J181" s="1090" t="str">
        <f t="shared" si="113"/>
        <v/>
      </c>
      <c r="K181" s="1044" t="str">
        <f t="shared" si="114"/>
        <v/>
      </c>
      <c r="L181" s="1044" t="str">
        <f t="shared" si="115"/>
        <v/>
      </c>
      <c r="M181" s="1044" t="str">
        <f t="shared" si="116"/>
        <v/>
      </c>
      <c r="N181" s="1044" t="str">
        <f t="shared" si="117"/>
        <v/>
      </c>
      <c r="O181" s="1044">
        <f t="shared" si="118"/>
        <v>0</v>
      </c>
      <c r="P181" s="1044">
        <f t="shared" si="119"/>
        <v>0</v>
      </c>
      <c r="Q181" s="1044">
        <f t="shared" si="120"/>
        <v>0</v>
      </c>
      <c r="R181" s="1044">
        <f t="shared" si="121"/>
        <v>0</v>
      </c>
      <c r="S181" s="1044">
        <f t="shared" si="122"/>
        <v>0</v>
      </c>
      <c r="T181" s="1044">
        <f t="shared" si="123"/>
        <v>0</v>
      </c>
      <c r="U181" s="1044">
        <f t="shared" si="124"/>
        <v>0</v>
      </c>
      <c r="V181" s="1044">
        <f t="shared" si="125"/>
        <v>0</v>
      </c>
      <c r="W181" s="1044">
        <f t="shared" si="126"/>
        <v>0</v>
      </c>
      <c r="X181" s="1044">
        <f t="shared" si="127"/>
        <v>0</v>
      </c>
      <c r="Y181" s="1044">
        <f t="shared" si="128"/>
        <v>0</v>
      </c>
      <c r="Z181" s="1044">
        <f t="shared" si="129"/>
        <v>0</v>
      </c>
      <c r="AA181" s="1044">
        <f t="shared" si="130"/>
        <v>0</v>
      </c>
      <c r="AB181" s="1044">
        <f t="shared" si="131"/>
        <v>0</v>
      </c>
      <c r="AC181" s="1044">
        <f t="shared" si="132"/>
        <v>0</v>
      </c>
      <c r="AD181" s="1044">
        <f t="shared" si="133"/>
        <v>0</v>
      </c>
      <c r="AE181" s="1044">
        <f t="shared" si="134"/>
        <v>0</v>
      </c>
      <c r="AF181" s="1044">
        <f t="shared" si="135"/>
        <v>0</v>
      </c>
      <c r="AG181" s="1044">
        <f t="shared" si="136"/>
        <v>0</v>
      </c>
      <c r="AH181" s="1044">
        <f t="shared" si="137"/>
        <v>0</v>
      </c>
      <c r="AI181" s="1044">
        <f t="shared" si="138"/>
        <v>0</v>
      </c>
      <c r="AJ181" s="1044">
        <f t="shared" si="139"/>
        <v>0</v>
      </c>
      <c r="AK181" s="1044">
        <f t="shared" si="140"/>
        <v>0</v>
      </c>
      <c r="AL181" s="1044">
        <f t="shared" si="141"/>
        <v>0</v>
      </c>
      <c r="AM181" s="1044">
        <f t="shared" si="142"/>
        <v>0</v>
      </c>
      <c r="AN181" s="1044" t="str">
        <f t="shared" si="143"/>
        <v/>
      </c>
      <c r="AO181" s="1044" t="str">
        <f t="shared" si="144"/>
        <v/>
      </c>
      <c r="AP181" s="1044" t="str">
        <f t="shared" si="145"/>
        <v/>
      </c>
      <c r="AQ181" s="1044" t="str">
        <f t="shared" si="146"/>
        <v/>
      </c>
      <c r="AR181" s="1044" t="str">
        <f t="shared" si="147"/>
        <v/>
      </c>
      <c r="AS181" s="1044" t="str">
        <f t="shared" si="148"/>
        <v/>
      </c>
      <c r="AT181" s="1044" t="str">
        <f t="shared" si="149"/>
        <v/>
      </c>
      <c r="AU181" s="1044" t="str">
        <f t="shared" si="150"/>
        <v/>
      </c>
      <c r="AV181" s="1044" t="str">
        <f t="shared" si="151"/>
        <v/>
      </c>
      <c r="AW181" s="1044" t="str">
        <f t="shared" si="152"/>
        <v/>
      </c>
      <c r="AX181" s="1044" t="str">
        <f t="shared" si="153"/>
        <v/>
      </c>
      <c r="AY181" s="1044" t="str">
        <f t="shared" si="154"/>
        <v/>
      </c>
      <c r="AZ181" s="1044" t="str">
        <f t="shared" si="155"/>
        <v/>
      </c>
      <c r="BA181" s="1044" t="str">
        <f t="shared" si="156"/>
        <v/>
      </c>
      <c r="BB181" s="1044" t="str">
        <f t="shared" si="157"/>
        <v/>
      </c>
      <c r="BC181" s="1044" t="str">
        <f t="shared" si="158"/>
        <v/>
      </c>
      <c r="BF181" s="1" t="s">
        <v>7</v>
      </c>
      <c r="BG181" s="1076" t="s">
        <v>689</v>
      </c>
      <c r="BH181" s="1" t="s">
        <v>7108</v>
      </c>
      <c r="BI181" s="1" t="s">
        <v>7562</v>
      </c>
    </row>
    <row r="182" spans="1:61" ht="30" customHeight="1">
      <c r="A182" s="1085" t="str">
        <f t="shared" si="106"/>
        <v/>
      </c>
      <c r="B182" s="1086"/>
      <c r="C182" s="1085" t="s">
        <v>254</v>
      </c>
      <c r="D182" s="1087" t="str">
        <f t="shared" si="107"/>
        <v/>
      </c>
      <c r="E182" s="1088" t="str">
        <f t="shared" si="108"/>
        <v/>
      </c>
      <c r="F182" s="1089" t="str">
        <f t="shared" si="109"/>
        <v/>
      </c>
      <c r="G182" s="1090" t="str">
        <f t="shared" si="110"/>
        <v/>
      </c>
      <c r="H182" s="1085" t="str">
        <f t="shared" si="111"/>
        <v/>
      </c>
      <c r="I182" s="1085" t="str">
        <f t="shared" si="112"/>
        <v/>
      </c>
      <c r="J182" s="1090" t="str">
        <f t="shared" si="113"/>
        <v/>
      </c>
      <c r="K182" s="1044" t="str">
        <f t="shared" si="114"/>
        <v/>
      </c>
      <c r="L182" s="1044" t="str">
        <f t="shared" si="115"/>
        <v/>
      </c>
      <c r="M182" s="1044" t="str">
        <f t="shared" si="116"/>
        <v/>
      </c>
      <c r="N182" s="1044" t="str">
        <f t="shared" si="117"/>
        <v/>
      </c>
      <c r="O182" s="1044">
        <f t="shared" si="118"/>
        <v>0</v>
      </c>
      <c r="P182" s="1044">
        <f t="shared" si="119"/>
        <v>0</v>
      </c>
      <c r="Q182" s="1044">
        <f t="shared" si="120"/>
        <v>0</v>
      </c>
      <c r="R182" s="1044">
        <f t="shared" si="121"/>
        <v>0</v>
      </c>
      <c r="S182" s="1044">
        <f t="shared" si="122"/>
        <v>0</v>
      </c>
      <c r="T182" s="1044">
        <f t="shared" si="123"/>
        <v>0</v>
      </c>
      <c r="U182" s="1044">
        <f t="shared" si="124"/>
        <v>0</v>
      </c>
      <c r="V182" s="1044">
        <f t="shared" si="125"/>
        <v>0</v>
      </c>
      <c r="W182" s="1044">
        <f t="shared" si="126"/>
        <v>0</v>
      </c>
      <c r="X182" s="1044">
        <f t="shared" si="127"/>
        <v>0</v>
      </c>
      <c r="Y182" s="1044">
        <f t="shared" si="128"/>
        <v>0</v>
      </c>
      <c r="Z182" s="1044">
        <f t="shared" si="129"/>
        <v>0</v>
      </c>
      <c r="AA182" s="1044">
        <f t="shared" si="130"/>
        <v>0</v>
      </c>
      <c r="AB182" s="1044">
        <f t="shared" si="131"/>
        <v>0</v>
      </c>
      <c r="AC182" s="1044">
        <f t="shared" si="132"/>
        <v>0</v>
      </c>
      <c r="AD182" s="1044">
        <f t="shared" si="133"/>
        <v>0</v>
      </c>
      <c r="AE182" s="1044">
        <f t="shared" si="134"/>
        <v>0</v>
      </c>
      <c r="AF182" s="1044">
        <f t="shared" si="135"/>
        <v>0</v>
      </c>
      <c r="AG182" s="1044">
        <f t="shared" si="136"/>
        <v>0</v>
      </c>
      <c r="AH182" s="1044">
        <f t="shared" si="137"/>
        <v>0</v>
      </c>
      <c r="AI182" s="1044">
        <f t="shared" si="138"/>
        <v>0</v>
      </c>
      <c r="AJ182" s="1044">
        <f t="shared" si="139"/>
        <v>0</v>
      </c>
      <c r="AK182" s="1044">
        <f t="shared" si="140"/>
        <v>0</v>
      </c>
      <c r="AL182" s="1044">
        <f t="shared" si="141"/>
        <v>0</v>
      </c>
      <c r="AM182" s="1044">
        <f t="shared" si="142"/>
        <v>0</v>
      </c>
      <c r="AN182" s="1044" t="str">
        <f t="shared" si="143"/>
        <v/>
      </c>
      <c r="AO182" s="1044" t="str">
        <f t="shared" si="144"/>
        <v/>
      </c>
      <c r="AP182" s="1044" t="str">
        <f t="shared" si="145"/>
        <v/>
      </c>
      <c r="AQ182" s="1044" t="str">
        <f t="shared" si="146"/>
        <v/>
      </c>
      <c r="AR182" s="1044" t="str">
        <f t="shared" si="147"/>
        <v/>
      </c>
      <c r="AS182" s="1044" t="str">
        <f t="shared" si="148"/>
        <v/>
      </c>
      <c r="AT182" s="1044" t="str">
        <f t="shared" si="149"/>
        <v/>
      </c>
      <c r="AU182" s="1044" t="str">
        <f t="shared" si="150"/>
        <v/>
      </c>
      <c r="AV182" s="1044" t="str">
        <f t="shared" si="151"/>
        <v/>
      </c>
      <c r="AW182" s="1044" t="str">
        <f t="shared" si="152"/>
        <v/>
      </c>
      <c r="AX182" s="1044" t="str">
        <f t="shared" si="153"/>
        <v/>
      </c>
      <c r="AY182" s="1044" t="str">
        <f t="shared" si="154"/>
        <v/>
      </c>
      <c r="AZ182" s="1044" t="str">
        <f t="shared" si="155"/>
        <v/>
      </c>
      <c r="BA182" s="1044" t="str">
        <f t="shared" si="156"/>
        <v/>
      </c>
      <c r="BB182" s="1044" t="str">
        <f t="shared" si="157"/>
        <v/>
      </c>
      <c r="BC182" s="1044" t="str">
        <f t="shared" si="158"/>
        <v/>
      </c>
      <c r="BF182" s="1" t="s">
        <v>7</v>
      </c>
      <c r="BG182" s="1076" t="s">
        <v>689</v>
      </c>
      <c r="BH182" s="1" t="s">
        <v>54</v>
      </c>
      <c r="BI182" s="1" t="s">
        <v>7563</v>
      </c>
    </row>
    <row r="183" spans="1:61" ht="30" customHeight="1">
      <c r="A183" s="1085" t="str">
        <f t="shared" si="106"/>
        <v/>
      </c>
      <c r="B183" s="1086"/>
      <c r="C183" s="1085" t="s">
        <v>254</v>
      </c>
      <c r="D183" s="1087" t="str">
        <f t="shared" si="107"/>
        <v/>
      </c>
      <c r="E183" s="1088" t="str">
        <f t="shared" si="108"/>
        <v/>
      </c>
      <c r="F183" s="1089" t="str">
        <f t="shared" si="109"/>
        <v/>
      </c>
      <c r="G183" s="1090" t="str">
        <f t="shared" si="110"/>
        <v/>
      </c>
      <c r="H183" s="1085" t="str">
        <f t="shared" si="111"/>
        <v/>
      </c>
      <c r="I183" s="1085" t="str">
        <f t="shared" si="112"/>
        <v/>
      </c>
      <c r="J183" s="1090" t="str">
        <f t="shared" si="113"/>
        <v/>
      </c>
      <c r="K183" s="1044" t="str">
        <f t="shared" si="114"/>
        <v/>
      </c>
      <c r="L183" s="1044" t="str">
        <f t="shared" si="115"/>
        <v/>
      </c>
      <c r="M183" s="1044" t="str">
        <f t="shared" si="116"/>
        <v/>
      </c>
      <c r="N183" s="1044" t="str">
        <f t="shared" si="117"/>
        <v/>
      </c>
      <c r="O183" s="1044">
        <f t="shared" si="118"/>
        <v>0</v>
      </c>
      <c r="P183" s="1044">
        <f t="shared" si="119"/>
        <v>0</v>
      </c>
      <c r="Q183" s="1044">
        <f t="shared" si="120"/>
        <v>0</v>
      </c>
      <c r="R183" s="1044">
        <f t="shared" si="121"/>
        <v>0</v>
      </c>
      <c r="S183" s="1044">
        <f t="shared" si="122"/>
        <v>0</v>
      </c>
      <c r="T183" s="1044">
        <f t="shared" si="123"/>
        <v>0</v>
      </c>
      <c r="U183" s="1044">
        <f t="shared" si="124"/>
        <v>0</v>
      </c>
      <c r="V183" s="1044">
        <f t="shared" si="125"/>
        <v>0</v>
      </c>
      <c r="W183" s="1044">
        <f t="shared" si="126"/>
        <v>0</v>
      </c>
      <c r="X183" s="1044">
        <f t="shared" si="127"/>
        <v>0</v>
      </c>
      <c r="Y183" s="1044">
        <f t="shared" si="128"/>
        <v>0</v>
      </c>
      <c r="Z183" s="1044">
        <f t="shared" si="129"/>
        <v>0</v>
      </c>
      <c r="AA183" s="1044">
        <f t="shared" si="130"/>
        <v>0</v>
      </c>
      <c r="AB183" s="1044">
        <f t="shared" si="131"/>
        <v>0</v>
      </c>
      <c r="AC183" s="1044">
        <f t="shared" si="132"/>
        <v>0</v>
      </c>
      <c r="AD183" s="1044">
        <f t="shared" si="133"/>
        <v>0</v>
      </c>
      <c r="AE183" s="1044">
        <f t="shared" si="134"/>
        <v>0</v>
      </c>
      <c r="AF183" s="1044">
        <f t="shared" si="135"/>
        <v>0</v>
      </c>
      <c r="AG183" s="1044">
        <f t="shared" si="136"/>
        <v>0</v>
      </c>
      <c r="AH183" s="1044">
        <f t="shared" si="137"/>
        <v>0</v>
      </c>
      <c r="AI183" s="1044">
        <f t="shared" si="138"/>
        <v>0</v>
      </c>
      <c r="AJ183" s="1044">
        <f t="shared" si="139"/>
        <v>0</v>
      </c>
      <c r="AK183" s="1044">
        <f t="shared" si="140"/>
        <v>0</v>
      </c>
      <c r="AL183" s="1044">
        <f t="shared" si="141"/>
        <v>0</v>
      </c>
      <c r="AM183" s="1044">
        <f t="shared" si="142"/>
        <v>0</v>
      </c>
      <c r="AN183" s="1044" t="str">
        <f t="shared" si="143"/>
        <v/>
      </c>
      <c r="AO183" s="1044" t="str">
        <f t="shared" si="144"/>
        <v/>
      </c>
      <c r="AP183" s="1044" t="str">
        <f t="shared" si="145"/>
        <v/>
      </c>
      <c r="AQ183" s="1044" t="str">
        <f t="shared" si="146"/>
        <v/>
      </c>
      <c r="AR183" s="1044" t="str">
        <f t="shared" si="147"/>
        <v/>
      </c>
      <c r="AS183" s="1044" t="str">
        <f t="shared" si="148"/>
        <v/>
      </c>
      <c r="AT183" s="1044" t="str">
        <f t="shared" si="149"/>
        <v/>
      </c>
      <c r="AU183" s="1044" t="str">
        <f t="shared" si="150"/>
        <v/>
      </c>
      <c r="AV183" s="1044" t="str">
        <f t="shared" si="151"/>
        <v/>
      </c>
      <c r="AW183" s="1044" t="str">
        <f t="shared" si="152"/>
        <v/>
      </c>
      <c r="AX183" s="1044" t="str">
        <f t="shared" si="153"/>
        <v/>
      </c>
      <c r="AY183" s="1044" t="str">
        <f t="shared" si="154"/>
        <v/>
      </c>
      <c r="AZ183" s="1044" t="str">
        <f t="shared" si="155"/>
        <v/>
      </c>
      <c r="BA183" s="1044" t="str">
        <f t="shared" si="156"/>
        <v/>
      </c>
      <c r="BB183" s="1044" t="str">
        <f t="shared" si="157"/>
        <v/>
      </c>
      <c r="BC183" s="1044" t="str">
        <f t="shared" si="158"/>
        <v/>
      </c>
      <c r="BF183" s="1" t="s">
        <v>7</v>
      </c>
      <c r="BG183" s="1076" t="s">
        <v>689</v>
      </c>
      <c r="BH183" s="1" t="s">
        <v>906</v>
      </c>
      <c r="BI183" s="1" t="s">
        <v>7564</v>
      </c>
    </row>
    <row r="184" spans="1:61" ht="30" customHeight="1">
      <c r="A184" s="1085" t="str">
        <f t="shared" si="106"/>
        <v/>
      </c>
      <c r="B184" s="1086"/>
      <c r="C184" s="1085" t="s">
        <v>254</v>
      </c>
      <c r="D184" s="1087" t="str">
        <f t="shared" si="107"/>
        <v/>
      </c>
      <c r="E184" s="1088" t="str">
        <f t="shared" si="108"/>
        <v/>
      </c>
      <c r="F184" s="1089" t="str">
        <f t="shared" si="109"/>
        <v/>
      </c>
      <c r="G184" s="1090" t="str">
        <f t="shared" si="110"/>
        <v/>
      </c>
      <c r="H184" s="1085" t="str">
        <f t="shared" si="111"/>
        <v/>
      </c>
      <c r="I184" s="1085" t="str">
        <f t="shared" si="112"/>
        <v/>
      </c>
      <c r="J184" s="1090" t="str">
        <f t="shared" si="113"/>
        <v/>
      </c>
      <c r="K184" s="1044" t="str">
        <f t="shared" si="114"/>
        <v/>
      </c>
      <c r="L184" s="1044" t="str">
        <f t="shared" si="115"/>
        <v/>
      </c>
      <c r="M184" s="1044" t="str">
        <f t="shared" si="116"/>
        <v/>
      </c>
      <c r="N184" s="1044" t="str">
        <f t="shared" si="117"/>
        <v/>
      </c>
      <c r="O184" s="1044">
        <f t="shared" si="118"/>
        <v>0</v>
      </c>
      <c r="P184" s="1044">
        <f t="shared" si="119"/>
        <v>0</v>
      </c>
      <c r="Q184" s="1044">
        <f t="shared" si="120"/>
        <v>0</v>
      </c>
      <c r="R184" s="1044">
        <f t="shared" si="121"/>
        <v>0</v>
      </c>
      <c r="S184" s="1044">
        <f t="shared" si="122"/>
        <v>0</v>
      </c>
      <c r="T184" s="1044">
        <f t="shared" si="123"/>
        <v>0</v>
      </c>
      <c r="U184" s="1044">
        <f t="shared" si="124"/>
        <v>0</v>
      </c>
      <c r="V184" s="1044">
        <f t="shared" si="125"/>
        <v>0</v>
      </c>
      <c r="W184" s="1044">
        <f t="shared" si="126"/>
        <v>0</v>
      </c>
      <c r="X184" s="1044">
        <f t="shared" si="127"/>
        <v>0</v>
      </c>
      <c r="Y184" s="1044">
        <f t="shared" si="128"/>
        <v>0</v>
      </c>
      <c r="Z184" s="1044">
        <f t="shared" si="129"/>
        <v>0</v>
      </c>
      <c r="AA184" s="1044">
        <f t="shared" si="130"/>
        <v>0</v>
      </c>
      <c r="AB184" s="1044">
        <f t="shared" si="131"/>
        <v>0</v>
      </c>
      <c r="AC184" s="1044">
        <f t="shared" si="132"/>
        <v>0</v>
      </c>
      <c r="AD184" s="1044">
        <f t="shared" si="133"/>
        <v>0</v>
      </c>
      <c r="AE184" s="1044">
        <f t="shared" si="134"/>
        <v>0</v>
      </c>
      <c r="AF184" s="1044">
        <f t="shared" si="135"/>
        <v>0</v>
      </c>
      <c r="AG184" s="1044">
        <f t="shared" si="136"/>
        <v>0</v>
      </c>
      <c r="AH184" s="1044">
        <f t="shared" si="137"/>
        <v>0</v>
      </c>
      <c r="AI184" s="1044">
        <f t="shared" si="138"/>
        <v>0</v>
      </c>
      <c r="AJ184" s="1044">
        <f t="shared" si="139"/>
        <v>0</v>
      </c>
      <c r="AK184" s="1044">
        <f t="shared" si="140"/>
        <v>0</v>
      </c>
      <c r="AL184" s="1044">
        <f t="shared" si="141"/>
        <v>0</v>
      </c>
      <c r="AM184" s="1044">
        <f t="shared" si="142"/>
        <v>0</v>
      </c>
      <c r="AN184" s="1044" t="str">
        <f t="shared" si="143"/>
        <v/>
      </c>
      <c r="AO184" s="1044" t="str">
        <f t="shared" si="144"/>
        <v/>
      </c>
      <c r="AP184" s="1044" t="str">
        <f t="shared" si="145"/>
        <v/>
      </c>
      <c r="AQ184" s="1044" t="str">
        <f t="shared" si="146"/>
        <v/>
      </c>
      <c r="AR184" s="1044" t="str">
        <f t="shared" si="147"/>
        <v/>
      </c>
      <c r="AS184" s="1044" t="str">
        <f t="shared" si="148"/>
        <v/>
      </c>
      <c r="AT184" s="1044" t="str">
        <f t="shared" si="149"/>
        <v/>
      </c>
      <c r="AU184" s="1044" t="str">
        <f t="shared" si="150"/>
        <v/>
      </c>
      <c r="AV184" s="1044" t="str">
        <f t="shared" si="151"/>
        <v/>
      </c>
      <c r="AW184" s="1044" t="str">
        <f t="shared" si="152"/>
        <v/>
      </c>
      <c r="AX184" s="1044" t="str">
        <f t="shared" si="153"/>
        <v/>
      </c>
      <c r="AY184" s="1044" t="str">
        <f t="shared" si="154"/>
        <v/>
      </c>
      <c r="AZ184" s="1044" t="str">
        <f t="shared" si="155"/>
        <v/>
      </c>
      <c r="BA184" s="1044" t="str">
        <f t="shared" si="156"/>
        <v/>
      </c>
      <c r="BB184" s="1044" t="str">
        <f t="shared" si="157"/>
        <v/>
      </c>
      <c r="BC184" s="1044" t="str">
        <f t="shared" si="158"/>
        <v/>
      </c>
      <c r="BF184" s="1" t="s">
        <v>7</v>
      </c>
      <c r="BG184" s="1076" t="s">
        <v>689</v>
      </c>
      <c r="BH184" s="1" t="s">
        <v>192</v>
      </c>
      <c r="BI184" s="1" t="s">
        <v>7565</v>
      </c>
    </row>
    <row r="185" spans="1:61" ht="30" customHeight="1">
      <c r="A185" s="1085" t="str">
        <f t="shared" si="106"/>
        <v/>
      </c>
      <c r="B185" s="1086"/>
      <c r="C185" s="1085" t="s">
        <v>254</v>
      </c>
      <c r="D185" s="1087" t="str">
        <f t="shared" si="107"/>
        <v/>
      </c>
      <c r="E185" s="1088" t="str">
        <f t="shared" si="108"/>
        <v/>
      </c>
      <c r="F185" s="1089" t="str">
        <f t="shared" si="109"/>
        <v/>
      </c>
      <c r="G185" s="1090" t="str">
        <f t="shared" si="110"/>
        <v/>
      </c>
      <c r="H185" s="1085" t="str">
        <f t="shared" si="111"/>
        <v/>
      </c>
      <c r="I185" s="1085" t="str">
        <f t="shared" si="112"/>
        <v/>
      </c>
      <c r="J185" s="1090" t="str">
        <f t="shared" si="113"/>
        <v/>
      </c>
      <c r="K185" s="1044" t="str">
        <f t="shared" si="114"/>
        <v/>
      </c>
      <c r="L185" s="1044" t="str">
        <f t="shared" si="115"/>
        <v/>
      </c>
      <c r="M185" s="1044" t="str">
        <f t="shared" si="116"/>
        <v/>
      </c>
      <c r="N185" s="1044" t="str">
        <f t="shared" si="117"/>
        <v/>
      </c>
      <c r="O185" s="1044">
        <f t="shared" si="118"/>
        <v>0</v>
      </c>
      <c r="P185" s="1044">
        <f t="shared" si="119"/>
        <v>0</v>
      </c>
      <c r="Q185" s="1044">
        <f t="shared" si="120"/>
        <v>0</v>
      </c>
      <c r="R185" s="1044">
        <f t="shared" si="121"/>
        <v>0</v>
      </c>
      <c r="S185" s="1044">
        <f t="shared" si="122"/>
        <v>0</v>
      </c>
      <c r="T185" s="1044">
        <f t="shared" si="123"/>
        <v>0</v>
      </c>
      <c r="U185" s="1044">
        <f t="shared" si="124"/>
        <v>0</v>
      </c>
      <c r="V185" s="1044">
        <f t="shared" si="125"/>
        <v>0</v>
      </c>
      <c r="W185" s="1044">
        <f t="shared" si="126"/>
        <v>0</v>
      </c>
      <c r="X185" s="1044">
        <f t="shared" si="127"/>
        <v>0</v>
      </c>
      <c r="Y185" s="1044">
        <f t="shared" si="128"/>
        <v>0</v>
      </c>
      <c r="Z185" s="1044">
        <f t="shared" si="129"/>
        <v>0</v>
      </c>
      <c r="AA185" s="1044">
        <f t="shared" si="130"/>
        <v>0</v>
      </c>
      <c r="AB185" s="1044">
        <f t="shared" si="131"/>
        <v>0</v>
      </c>
      <c r="AC185" s="1044">
        <f t="shared" si="132"/>
        <v>0</v>
      </c>
      <c r="AD185" s="1044">
        <f t="shared" si="133"/>
        <v>0</v>
      </c>
      <c r="AE185" s="1044">
        <f t="shared" si="134"/>
        <v>0</v>
      </c>
      <c r="AF185" s="1044">
        <f t="shared" si="135"/>
        <v>0</v>
      </c>
      <c r="AG185" s="1044">
        <f t="shared" si="136"/>
        <v>0</v>
      </c>
      <c r="AH185" s="1044">
        <f t="shared" si="137"/>
        <v>0</v>
      </c>
      <c r="AI185" s="1044">
        <f t="shared" si="138"/>
        <v>0</v>
      </c>
      <c r="AJ185" s="1044">
        <f t="shared" si="139"/>
        <v>0</v>
      </c>
      <c r="AK185" s="1044">
        <f t="shared" si="140"/>
        <v>0</v>
      </c>
      <c r="AL185" s="1044">
        <f t="shared" si="141"/>
        <v>0</v>
      </c>
      <c r="AM185" s="1044">
        <f t="shared" si="142"/>
        <v>0</v>
      </c>
      <c r="AN185" s="1044" t="str">
        <f t="shared" si="143"/>
        <v/>
      </c>
      <c r="AO185" s="1044" t="str">
        <f t="shared" si="144"/>
        <v/>
      </c>
      <c r="AP185" s="1044" t="str">
        <f t="shared" si="145"/>
        <v/>
      </c>
      <c r="AQ185" s="1044" t="str">
        <f t="shared" si="146"/>
        <v/>
      </c>
      <c r="AR185" s="1044" t="str">
        <f t="shared" si="147"/>
        <v/>
      </c>
      <c r="AS185" s="1044" t="str">
        <f t="shared" si="148"/>
        <v/>
      </c>
      <c r="AT185" s="1044" t="str">
        <f t="shared" si="149"/>
        <v/>
      </c>
      <c r="AU185" s="1044" t="str">
        <f t="shared" si="150"/>
        <v/>
      </c>
      <c r="AV185" s="1044" t="str">
        <f t="shared" si="151"/>
        <v/>
      </c>
      <c r="AW185" s="1044" t="str">
        <f t="shared" si="152"/>
        <v/>
      </c>
      <c r="AX185" s="1044" t="str">
        <f t="shared" si="153"/>
        <v/>
      </c>
      <c r="AY185" s="1044" t="str">
        <f t="shared" si="154"/>
        <v/>
      </c>
      <c r="AZ185" s="1044" t="str">
        <f t="shared" si="155"/>
        <v/>
      </c>
      <c r="BA185" s="1044" t="str">
        <f t="shared" si="156"/>
        <v/>
      </c>
      <c r="BB185" s="1044" t="str">
        <f t="shared" si="157"/>
        <v/>
      </c>
      <c r="BC185" s="1044" t="str">
        <f t="shared" si="158"/>
        <v/>
      </c>
      <c r="BF185" s="1" t="s">
        <v>7</v>
      </c>
      <c r="BG185" s="1076" t="s">
        <v>689</v>
      </c>
      <c r="BH185" s="1" t="s">
        <v>16</v>
      </c>
      <c r="BI185" s="1" t="s">
        <v>7566</v>
      </c>
    </row>
    <row r="186" spans="1:61" ht="30" customHeight="1">
      <c r="A186" s="1085" t="str">
        <f t="shared" si="106"/>
        <v/>
      </c>
      <c r="B186" s="1086"/>
      <c r="C186" s="1085" t="s">
        <v>254</v>
      </c>
      <c r="D186" s="1087" t="str">
        <f t="shared" si="107"/>
        <v/>
      </c>
      <c r="E186" s="1088" t="str">
        <f t="shared" si="108"/>
        <v/>
      </c>
      <c r="F186" s="1089" t="str">
        <f t="shared" si="109"/>
        <v/>
      </c>
      <c r="G186" s="1090" t="str">
        <f t="shared" si="110"/>
        <v/>
      </c>
      <c r="H186" s="1085" t="str">
        <f t="shared" si="111"/>
        <v/>
      </c>
      <c r="I186" s="1085" t="str">
        <f t="shared" si="112"/>
        <v/>
      </c>
      <c r="J186" s="1090" t="str">
        <f t="shared" si="113"/>
        <v/>
      </c>
      <c r="K186" s="1044" t="str">
        <f t="shared" si="114"/>
        <v/>
      </c>
      <c r="L186" s="1044" t="str">
        <f t="shared" si="115"/>
        <v/>
      </c>
      <c r="M186" s="1044" t="str">
        <f t="shared" si="116"/>
        <v/>
      </c>
      <c r="N186" s="1044" t="str">
        <f t="shared" si="117"/>
        <v/>
      </c>
      <c r="O186" s="1044">
        <f t="shared" si="118"/>
        <v>0</v>
      </c>
      <c r="P186" s="1044">
        <f t="shared" si="119"/>
        <v>0</v>
      </c>
      <c r="Q186" s="1044">
        <f t="shared" si="120"/>
        <v>0</v>
      </c>
      <c r="R186" s="1044">
        <f t="shared" si="121"/>
        <v>0</v>
      </c>
      <c r="S186" s="1044">
        <f t="shared" si="122"/>
        <v>0</v>
      </c>
      <c r="T186" s="1044">
        <f t="shared" si="123"/>
        <v>0</v>
      </c>
      <c r="U186" s="1044">
        <f t="shared" si="124"/>
        <v>0</v>
      </c>
      <c r="V186" s="1044">
        <f t="shared" si="125"/>
        <v>0</v>
      </c>
      <c r="W186" s="1044">
        <f t="shared" si="126"/>
        <v>0</v>
      </c>
      <c r="X186" s="1044">
        <f t="shared" si="127"/>
        <v>0</v>
      </c>
      <c r="Y186" s="1044">
        <f t="shared" si="128"/>
        <v>0</v>
      </c>
      <c r="Z186" s="1044">
        <f t="shared" si="129"/>
        <v>0</v>
      </c>
      <c r="AA186" s="1044">
        <f t="shared" si="130"/>
        <v>0</v>
      </c>
      <c r="AB186" s="1044">
        <f t="shared" si="131"/>
        <v>0</v>
      </c>
      <c r="AC186" s="1044">
        <f t="shared" si="132"/>
        <v>0</v>
      </c>
      <c r="AD186" s="1044">
        <f t="shared" si="133"/>
        <v>0</v>
      </c>
      <c r="AE186" s="1044">
        <f t="shared" si="134"/>
        <v>0</v>
      </c>
      <c r="AF186" s="1044">
        <f t="shared" si="135"/>
        <v>0</v>
      </c>
      <c r="AG186" s="1044">
        <f t="shared" si="136"/>
        <v>0</v>
      </c>
      <c r="AH186" s="1044">
        <f t="shared" si="137"/>
        <v>0</v>
      </c>
      <c r="AI186" s="1044">
        <f t="shared" si="138"/>
        <v>0</v>
      </c>
      <c r="AJ186" s="1044">
        <f t="shared" si="139"/>
        <v>0</v>
      </c>
      <c r="AK186" s="1044">
        <f t="shared" si="140"/>
        <v>0</v>
      </c>
      <c r="AL186" s="1044">
        <f t="shared" si="141"/>
        <v>0</v>
      </c>
      <c r="AM186" s="1044">
        <f t="shared" si="142"/>
        <v>0</v>
      </c>
      <c r="AN186" s="1044" t="str">
        <f t="shared" si="143"/>
        <v/>
      </c>
      <c r="AO186" s="1044" t="str">
        <f t="shared" si="144"/>
        <v/>
      </c>
      <c r="AP186" s="1044" t="str">
        <f t="shared" si="145"/>
        <v/>
      </c>
      <c r="AQ186" s="1044" t="str">
        <f t="shared" si="146"/>
        <v/>
      </c>
      <c r="AR186" s="1044" t="str">
        <f t="shared" si="147"/>
        <v/>
      </c>
      <c r="AS186" s="1044" t="str">
        <f t="shared" si="148"/>
        <v/>
      </c>
      <c r="AT186" s="1044" t="str">
        <f t="shared" si="149"/>
        <v/>
      </c>
      <c r="AU186" s="1044" t="str">
        <f t="shared" si="150"/>
        <v/>
      </c>
      <c r="AV186" s="1044" t="str">
        <f t="shared" si="151"/>
        <v/>
      </c>
      <c r="AW186" s="1044" t="str">
        <f t="shared" si="152"/>
        <v/>
      </c>
      <c r="AX186" s="1044" t="str">
        <f t="shared" si="153"/>
        <v/>
      </c>
      <c r="AY186" s="1044" t="str">
        <f t="shared" si="154"/>
        <v/>
      </c>
      <c r="AZ186" s="1044" t="str">
        <f t="shared" si="155"/>
        <v/>
      </c>
      <c r="BA186" s="1044" t="str">
        <f t="shared" si="156"/>
        <v/>
      </c>
      <c r="BB186" s="1044" t="str">
        <f t="shared" si="157"/>
        <v/>
      </c>
      <c r="BC186" s="1044" t="str">
        <f t="shared" si="158"/>
        <v/>
      </c>
      <c r="BF186" s="1" t="s">
        <v>7</v>
      </c>
      <c r="BG186" s="1076" t="s">
        <v>689</v>
      </c>
      <c r="BH186" s="1" t="s">
        <v>92</v>
      </c>
      <c r="BI186" s="1" t="s">
        <v>7567</v>
      </c>
    </row>
    <row r="187" spans="1:61" ht="30" customHeight="1">
      <c r="A187" s="1085" t="str">
        <f t="shared" si="106"/>
        <v/>
      </c>
      <c r="B187" s="1086"/>
      <c r="C187" s="1085" t="s">
        <v>254</v>
      </c>
      <c r="D187" s="1087" t="str">
        <f t="shared" si="107"/>
        <v/>
      </c>
      <c r="E187" s="1088" t="str">
        <f t="shared" si="108"/>
        <v/>
      </c>
      <c r="F187" s="1089" t="str">
        <f t="shared" si="109"/>
        <v/>
      </c>
      <c r="G187" s="1090" t="str">
        <f t="shared" si="110"/>
        <v/>
      </c>
      <c r="H187" s="1085" t="str">
        <f t="shared" si="111"/>
        <v/>
      </c>
      <c r="I187" s="1085" t="str">
        <f t="shared" si="112"/>
        <v/>
      </c>
      <c r="J187" s="1090" t="str">
        <f t="shared" si="113"/>
        <v/>
      </c>
      <c r="K187" s="1044" t="str">
        <f t="shared" si="114"/>
        <v/>
      </c>
      <c r="L187" s="1044" t="str">
        <f t="shared" si="115"/>
        <v/>
      </c>
      <c r="M187" s="1044" t="str">
        <f t="shared" si="116"/>
        <v/>
      </c>
      <c r="N187" s="1044" t="str">
        <f t="shared" si="117"/>
        <v/>
      </c>
      <c r="O187" s="1044">
        <f t="shared" si="118"/>
        <v>0</v>
      </c>
      <c r="P187" s="1044">
        <f t="shared" si="119"/>
        <v>0</v>
      </c>
      <c r="Q187" s="1044">
        <f t="shared" si="120"/>
        <v>0</v>
      </c>
      <c r="R187" s="1044">
        <f t="shared" si="121"/>
        <v>0</v>
      </c>
      <c r="S187" s="1044">
        <f t="shared" si="122"/>
        <v>0</v>
      </c>
      <c r="T187" s="1044">
        <f t="shared" si="123"/>
        <v>0</v>
      </c>
      <c r="U187" s="1044">
        <f t="shared" si="124"/>
        <v>0</v>
      </c>
      <c r="V187" s="1044">
        <f t="shared" si="125"/>
        <v>0</v>
      </c>
      <c r="W187" s="1044">
        <f t="shared" si="126"/>
        <v>0</v>
      </c>
      <c r="X187" s="1044">
        <f t="shared" si="127"/>
        <v>0</v>
      </c>
      <c r="Y187" s="1044">
        <f t="shared" si="128"/>
        <v>0</v>
      </c>
      <c r="Z187" s="1044">
        <f t="shared" si="129"/>
        <v>0</v>
      </c>
      <c r="AA187" s="1044">
        <f t="shared" si="130"/>
        <v>0</v>
      </c>
      <c r="AB187" s="1044">
        <f t="shared" si="131"/>
        <v>0</v>
      </c>
      <c r="AC187" s="1044">
        <f t="shared" si="132"/>
        <v>0</v>
      </c>
      <c r="AD187" s="1044">
        <f t="shared" si="133"/>
        <v>0</v>
      </c>
      <c r="AE187" s="1044">
        <f t="shared" si="134"/>
        <v>0</v>
      </c>
      <c r="AF187" s="1044">
        <f t="shared" si="135"/>
        <v>0</v>
      </c>
      <c r="AG187" s="1044">
        <f t="shared" si="136"/>
        <v>0</v>
      </c>
      <c r="AH187" s="1044">
        <f t="shared" si="137"/>
        <v>0</v>
      </c>
      <c r="AI187" s="1044">
        <f t="shared" si="138"/>
        <v>0</v>
      </c>
      <c r="AJ187" s="1044">
        <f t="shared" si="139"/>
        <v>0</v>
      </c>
      <c r="AK187" s="1044">
        <f t="shared" si="140"/>
        <v>0</v>
      </c>
      <c r="AL187" s="1044">
        <f t="shared" si="141"/>
        <v>0</v>
      </c>
      <c r="AM187" s="1044">
        <f t="shared" si="142"/>
        <v>0</v>
      </c>
      <c r="AN187" s="1044" t="str">
        <f t="shared" si="143"/>
        <v/>
      </c>
      <c r="AO187" s="1044" t="str">
        <f t="shared" si="144"/>
        <v/>
      </c>
      <c r="AP187" s="1044" t="str">
        <f t="shared" si="145"/>
        <v/>
      </c>
      <c r="AQ187" s="1044" t="str">
        <f t="shared" si="146"/>
        <v/>
      </c>
      <c r="AR187" s="1044" t="str">
        <f t="shared" si="147"/>
        <v/>
      </c>
      <c r="AS187" s="1044" t="str">
        <f t="shared" si="148"/>
        <v/>
      </c>
      <c r="AT187" s="1044" t="str">
        <f t="shared" si="149"/>
        <v/>
      </c>
      <c r="AU187" s="1044" t="str">
        <f t="shared" si="150"/>
        <v/>
      </c>
      <c r="AV187" s="1044" t="str">
        <f t="shared" si="151"/>
        <v/>
      </c>
      <c r="AW187" s="1044" t="str">
        <f t="shared" si="152"/>
        <v/>
      </c>
      <c r="AX187" s="1044" t="str">
        <f t="shared" si="153"/>
        <v/>
      </c>
      <c r="AY187" s="1044" t="str">
        <f t="shared" si="154"/>
        <v/>
      </c>
      <c r="AZ187" s="1044" t="str">
        <f t="shared" si="155"/>
        <v/>
      </c>
      <c r="BA187" s="1044" t="str">
        <f t="shared" si="156"/>
        <v/>
      </c>
      <c r="BB187" s="1044" t="str">
        <f t="shared" si="157"/>
        <v/>
      </c>
      <c r="BC187" s="1044" t="str">
        <f t="shared" si="158"/>
        <v/>
      </c>
      <c r="BF187" s="1" t="s">
        <v>7</v>
      </c>
      <c r="BG187" s="1076" t="s">
        <v>689</v>
      </c>
      <c r="BH187" s="1" t="s">
        <v>208</v>
      </c>
      <c r="BI187" s="1" t="s">
        <v>7568</v>
      </c>
    </row>
    <row r="188" spans="1:61" ht="30" customHeight="1">
      <c r="A188" s="1085" t="str">
        <f t="shared" si="106"/>
        <v/>
      </c>
      <c r="B188" s="1086"/>
      <c r="C188" s="1085" t="s">
        <v>254</v>
      </c>
      <c r="D188" s="1087" t="str">
        <f t="shared" si="107"/>
        <v/>
      </c>
      <c r="E188" s="1088" t="str">
        <f t="shared" si="108"/>
        <v/>
      </c>
      <c r="F188" s="1089" t="str">
        <f t="shared" si="109"/>
        <v/>
      </c>
      <c r="G188" s="1090" t="str">
        <f t="shared" si="110"/>
        <v/>
      </c>
      <c r="H188" s="1085" t="str">
        <f t="shared" si="111"/>
        <v/>
      </c>
      <c r="I188" s="1085" t="str">
        <f t="shared" si="112"/>
        <v/>
      </c>
      <c r="J188" s="1090" t="str">
        <f t="shared" si="113"/>
        <v/>
      </c>
      <c r="K188" s="1044" t="str">
        <f t="shared" si="114"/>
        <v/>
      </c>
      <c r="L188" s="1044" t="str">
        <f t="shared" si="115"/>
        <v/>
      </c>
      <c r="M188" s="1044" t="str">
        <f t="shared" si="116"/>
        <v/>
      </c>
      <c r="N188" s="1044" t="str">
        <f t="shared" si="117"/>
        <v/>
      </c>
      <c r="O188" s="1044">
        <f t="shared" si="118"/>
        <v>0</v>
      </c>
      <c r="P188" s="1044">
        <f t="shared" si="119"/>
        <v>0</v>
      </c>
      <c r="Q188" s="1044">
        <f t="shared" si="120"/>
        <v>0</v>
      </c>
      <c r="R188" s="1044">
        <f t="shared" si="121"/>
        <v>0</v>
      </c>
      <c r="S188" s="1044">
        <f t="shared" si="122"/>
        <v>0</v>
      </c>
      <c r="T188" s="1044">
        <f t="shared" si="123"/>
        <v>0</v>
      </c>
      <c r="U188" s="1044">
        <f t="shared" si="124"/>
        <v>0</v>
      </c>
      <c r="V188" s="1044">
        <f t="shared" si="125"/>
        <v>0</v>
      </c>
      <c r="W188" s="1044">
        <f t="shared" si="126"/>
        <v>0</v>
      </c>
      <c r="X188" s="1044">
        <f t="shared" si="127"/>
        <v>0</v>
      </c>
      <c r="Y188" s="1044">
        <f t="shared" si="128"/>
        <v>0</v>
      </c>
      <c r="Z188" s="1044">
        <f t="shared" si="129"/>
        <v>0</v>
      </c>
      <c r="AA188" s="1044">
        <f t="shared" si="130"/>
        <v>0</v>
      </c>
      <c r="AB188" s="1044">
        <f t="shared" si="131"/>
        <v>0</v>
      </c>
      <c r="AC188" s="1044">
        <f t="shared" si="132"/>
        <v>0</v>
      </c>
      <c r="AD188" s="1044">
        <f t="shared" si="133"/>
        <v>0</v>
      </c>
      <c r="AE188" s="1044">
        <f t="shared" si="134"/>
        <v>0</v>
      </c>
      <c r="AF188" s="1044">
        <f t="shared" si="135"/>
        <v>0</v>
      </c>
      <c r="AG188" s="1044">
        <f t="shared" si="136"/>
        <v>0</v>
      </c>
      <c r="AH188" s="1044">
        <f t="shared" si="137"/>
        <v>0</v>
      </c>
      <c r="AI188" s="1044">
        <f t="shared" si="138"/>
        <v>0</v>
      </c>
      <c r="AJ188" s="1044">
        <f t="shared" si="139"/>
        <v>0</v>
      </c>
      <c r="AK188" s="1044">
        <f t="shared" si="140"/>
        <v>0</v>
      </c>
      <c r="AL188" s="1044">
        <f t="shared" si="141"/>
        <v>0</v>
      </c>
      <c r="AM188" s="1044">
        <f t="shared" si="142"/>
        <v>0</v>
      </c>
      <c r="AN188" s="1044" t="str">
        <f t="shared" si="143"/>
        <v/>
      </c>
      <c r="AO188" s="1044" t="str">
        <f t="shared" si="144"/>
        <v/>
      </c>
      <c r="AP188" s="1044" t="str">
        <f t="shared" si="145"/>
        <v/>
      </c>
      <c r="AQ188" s="1044" t="str">
        <f t="shared" si="146"/>
        <v/>
      </c>
      <c r="AR188" s="1044" t="str">
        <f t="shared" si="147"/>
        <v/>
      </c>
      <c r="AS188" s="1044" t="str">
        <f t="shared" si="148"/>
        <v/>
      </c>
      <c r="AT188" s="1044" t="str">
        <f t="shared" si="149"/>
        <v/>
      </c>
      <c r="AU188" s="1044" t="str">
        <f t="shared" si="150"/>
        <v/>
      </c>
      <c r="AV188" s="1044" t="str">
        <f t="shared" si="151"/>
        <v/>
      </c>
      <c r="AW188" s="1044" t="str">
        <f t="shared" si="152"/>
        <v/>
      </c>
      <c r="AX188" s="1044" t="str">
        <f t="shared" si="153"/>
        <v/>
      </c>
      <c r="AY188" s="1044" t="str">
        <f t="shared" si="154"/>
        <v/>
      </c>
      <c r="AZ188" s="1044" t="str">
        <f t="shared" si="155"/>
        <v/>
      </c>
      <c r="BA188" s="1044" t="str">
        <f t="shared" si="156"/>
        <v/>
      </c>
      <c r="BB188" s="1044" t="str">
        <f t="shared" si="157"/>
        <v/>
      </c>
      <c r="BC188" s="1044" t="str">
        <f t="shared" si="158"/>
        <v/>
      </c>
      <c r="BF188" s="1" t="s">
        <v>7</v>
      </c>
      <c r="BG188" s="1076" t="s">
        <v>689</v>
      </c>
      <c r="BH188" s="1" t="s">
        <v>159</v>
      </c>
      <c r="BI188" s="1" t="s">
        <v>7569</v>
      </c>
    </row>
    <row r="189" spans="1:61" ht="30" customHeight="1">
      <c r="A189" s="1085" t="str">
        <f t="shared" si="106"/>
        <v/>
      </c>
      <c r="B189" s="1086"/>
      <c r="C189" s="1085" t="s">
        <v>254</v>
      </c>
      <c r="D189" s="1087" t="str">
        <f t="shared" si="107"/>
        <v/>
      </c>
      <c r="E189" s="1088" t="str">
        <f t="shared" si="108"/>
        <v/>
      </c>
      <c r="F189" s="1089" t="str">
        <f t="shared" si="109"/>
        <v/>
      </c>
      <c r="G189" s="1090" t="str">
        <f t="shared" si="110"/>
        <v/>
      </c>
      <c r="H189" s="1085" t="str">
        <f t="shared" si="111"/>
        <v/>
      </c>
      <c r="I189" s="1085" t="str">
        <f t="shared" si="112"/>
        <v/>
      </c>
      <c r="J189" s="1090" t="str">
        <f t="shared" si="113"/>
        <v/>
      </c>
      <c r="K189" s="1044" t="str">
        <f t="shared" si="114"/>
        <v/>
      </c>
      <c r="L189" s="1044" t="str">
        <f t="shared" si="115"/>
        <v/>
      </c>
      <c r="M189" s="1044" t="str">
        <f t="shared" si="116"/>
        <v/>
      </c>
      <c r="N189" s="1044" t="str">
        <f t="shared" si="117"/>
        <v/>
      </c>
      <c r="O189" s="1044">
        <f t="shared" si="118"/>
        <v>0</v>
      </c>
      <c r="P189" s="1044">
        <f t="shared" si="119"/>
        <v>0</v>
      </c>
      <c r="Q189" s="1044">
        <f t="shared" si="120"/>
        <v>0</v>
      </c>
      <c r="R189" s="1044">
        <f t="shared" si="121"/>
        <v>0</v>
      </c>
      <c r="S189" s="1044">
        <f t="shared" si="122"/>
        <v>0</v>
      </c>
      <c r="T189" s="1044">
        <f t="shared" si="123"/>
        <v>0</v>
      </c>
      <c r="U189" s="1044">
        <f t="shared" si="124"/>
        <v>0</v>
      </c>
      <c r="V189" s="1044">
        <f t="shared" si="125"/>
        <v>0</v>
      </c>
      <c r="W189" s="1044">
        <f t="shared" si="126"/>
        <v>0</v>
      </c>
      <c r="X189" s="1044">
        <f t="shared" si="127"/>
        <v>0</v>
      </c>
      <c r="Y189" s="1044">
        <f t="shared" si="128"/>
        <v>0</v>
      </c>
      <c r="Z189" s="1044">
        <f t="shared" si="129"/>
        <v>0</v>
      </c>
      <c r="AA189" s="1044">
        <f t="shared" si="130"/>
        <v>0</v>
      </c>
      <c r="AB189" s="1044">
        <f t="shared" si="131"/>
        <v>0</v>
      </c>
      <c r="AC189" s="1044">
        <f t="shared" si="132"/>
        <v>0</v>
      </c>
      <c r="AD189" s="1044">
        <f t="shared" si="133"/>
        <v>0</v>
      </c>
      <c r="AE189" s="1044">
        <f t="shared" si="134"/>
        <v>0</v>
      </c>
      <c r="AF189" s="1044">
        <f t="shared" si="135"/>
        <v>0</v>
      </c>
      <c r="AG189" s="1044">
        <f t="shared" si="136"/>
        <v>0</v>
      </c>
      <c r="AH189" s="1044">
        <f t="shared" si="137"/>
        <v>0</v>
      </c>
      <c r="AI189" s="1044">
        <f t="shared" si="138"/>
        <v>0</v>
      </c>
      <c r="AJ189" s="1044">
        <f t="shared" si="139"/>
        <v>0</v>
      </c>
      <c r="AK189" s="1044">
        <f t="shared" si="140"/>
        <v>0</v>
      </c>
      <c r="AL189" s="1044">
        <f t="shared" si="141"/>
        <v>0</v>
      </c>
      <c r="AM189" s="1044">
        <f t="shared" si="142"/>
        <v>0</v>
      </c>
      <c r="AN189" s="1044" t="str">
        <f t="shared" si="143"/>
        <v/>
      </c>
      <c r="AO189" s="1044" t="str">
        <f t="shared" si="144"/>
        <v/>
      </c>
      <c r="AP189" s="1044" t="str">
        <f t="shared" si="145"/>
        <v/>
      </c>
      <c r="AQ189" s="1044" t="str">
        <f t="shared" si="146"/>
        <v/>
      </c>
      <c r="AR189" s="1044" t="str">
        <f t="shared" si="147"/>
        <v/>
      </c>
      <c r="AS189" s="1044" t="str">
        <f t="shared" si="148"/>
        <v/>
      </c>
      <c r="AT189" s="1044" t="str">
        <f t="shared" si="149"/>
        <v/>
      </c>
      <c r="AU189" s="1044" t="str">
        <f t="shared" si="150"/>
        <v/>
      </c>
      <c r="AV189" s="1044" t="str">
        <f t="shared" si="151"/>
        <v/>
      </c>
      <c r="AW189" s="1044" t="str">
        <f t="shared" si="152"/>
        <v/>
      </c>
      <c r="AX189" s="1044" t="str">
        <f t="shared" si="153"/>
        <v/>
      </c>
      <c r="AY189" s="1044" t="str">
        <f t="shared" si="154"/>
        <v/>
      </c>
      <c r="AZ189" s="1044" t="str">
        <f t="shared" si="155"/>
        <v/>
      </c>
      <c r="BA189" s="1044" t="str">
        <f t="shared" si="156"/>
        <v/>
      </c>
      <c r="BB189" s="1044" t="str">
        <f t="shared" si="157"/>
        <v/>
      </c>
      <c r="BC189" s="1044" t="str">
        <f t="shared" si="158"/>
        <v/>
      </c>
      <c r="BF189" s="1" t="s">
        <v>7</v>
      </c>
      <c r="BG189" s="1076" t="s">
        <v>689</v>
      </c>
      <c r="BH189" s="1" t="s">
        <v>164</v>
      </c>
      <c r="BI189" s="1" t="s">
        <v>7570</v>
      </c>
    </row>
    <row r="190" spans="1:61" ht="30" customHeight="1">
      <c r="A190" s="1085" t="str">
        <f t="shared" si="106"/>
        <v/>
      </c>
      <c r="B190" s="1086"/>
      <c r="C190" s="1085" t="s">
        <v>254</v>
      </c>
      <c r="D190" s="1087" t="str">
        <f t="shared" si="107"/>
        <v/>
      </c>
      <c r="E190" s="1088" t="str">
        <f t="shared" si="108"/>
        <v/>
      </c>
      <c r="F190" s="1089" t="str">
        <f t="shared" si="109"/>
        <v/>
      </c>
      <c r="G190" s="1090" t="str">
        <f t="shared" si="110"/>
        <v/>
      </c>
      <c r="H190" s="1085" t="str">
        <f t="shared" si="111"/>
        <v/>
      </c>
      <c r="I190" s="1085" t="str">
        <f t="shared" si="112"/>
        <v/>
      </c>
      <c r="J190" s="1090" t="str">
        <f t="shared" si="113"/>
        <v/>
      </c>
      <c r="K190" s="1044" t="str">
        <f t="shared" si="114"/>
        <v/>
      </c>
      <c r="L190" s="1044" t="str">
        <f t="shared" si="115"/>
        <v/>
      </c>
      <c r="M190" s="1044" t="str">
        <f t="shared" si="116"/>
        <v/>
      </c>
      <c r="N190" s="1044" t="str">
        <f t="shared" si="117"/>
        <v/>
      </c>
      <c r="O190" s="1044">
        <f t="shared" si="118"/>
        <v>0</v>
      </c>
      <c r="P190" s="1044">
        <f t="shared" si="119"/>
        <v>0</v>
      </c>
      <c r="Q190" s="1044">
        <f t="shared" si="120"/>
        <v>0</v>
      </c>
      <c r="R190" s="1044">
        <f t="shared" si="121"/>
        <v>0</v>
      </c>
      <c r="S190" s="1044">
        <f t="shared" si="122"/>
        <v>0</v>
      </c>
      <c r="T190" s="1044">
        <f t="shared" si="123"/>
        <v>0</v>
      </c>
      <c r="U190" s="1044">
        <f t="shared" si="124"/>
        <v>0</v>
      </c>
      <c r="V190" s="1044">
        <f t="shared" si="125"/>
        <v>0</v>
      </c>
      <c r="W190" s="1044">
        <f t="shared" si="126"/>
        <v>0</v>
      </c>
      <c r="X190" s="1044">
        <f t="shared" si="127"/>
        <v>0</v>
      </c>
      <c r="Y190" s="1044">
        <f t="shared" si="128"/>
        <v>0</v>
      </c>
      <c r="Z190" s="1044">
        <f t="shared" si="129"/>
        <v>0</v>
      </c>
      <c r="AA190" s="1044">
        <f t="shared" si="130"/>
        <v>0</v>
      </c>
      <c r="AB190" s="1044">
        <f t="shared" si="131"/>
        <v>0</v>
      </c>
      <c r="AC190" s="1044">
        <f t="shared" si="132"/>
        <v>0</v>
      </c>
      <c r="AD190" s="1044">
        <f t="shared" si="133"/>
        <v>0</v>
      </c>
      <c r="AE190" s="1044">
        <f t="shared" si="134"/>
        <v>0</v>
      </c>
      <c r="AF190" s="1044">
        <f t="shared" si="135"/>
        <v>0</v>
      </c>
      <c r="AG190" s="1044">
        <f t="shared" si="136"/>
        <v>0</v>
      </c>
      <c r="AH190" s="1044">
        <f t="shared" si="137"/>
        <v>0</v>
      </c>
      <c r="AI190" s="1044">
        <f t="shared" si="138"/>
        <v>0</v>
      </c>
      <c r="AJ190" s="1044">
        <f t="shared" si="139"/>
        <v>0</v>
      </c>
      <c r="AK190" s="1044">
        <f t="shared" si="140"/>
        <v>0</v>
      </c>
      <c r="AL190" s="1044">
        <f t="shared" si="141"/>
        <v>0</v>
      </c>
      <c r="AM190" s="1044">
        <f t="shared" si="142"/>
        <v>0</v>
      </c>
      <c r="AN190" s="1044" t="str">
        <f t="shared" si="143"/>
        <v/>
      </c>
      <c r="AO190" s="1044" t="str">
        <f t="shared" si="144"/>
        <v/>
      </c>
      <c r="AP190" s="1044" t="str">
        <f t="shared" si="145"/>
        <v/>
      </c>
      <c r="AQ190" s="1044" t="str">
        <f t="shared" si="146"/>
        <v/>
      </c>
      <c r="AR190" s="1044" t="str">
        <f t="shared" si="147"/>
        <v/>
      </c>
      <c r="AS190" s="1044" t="str">
        <f t="shared" si="148"/>
        <v/>
      </c>
      <c r="AT190" s="1044" t="str">
        <f t="shared" si="149"/>
        <v/>
      </c>
      <c r="AU190" s="1044" t="str">
        <f t="shared" si="150"/>
        <v/>
      </c>
      <c r="AV190" s="1044" t="str">
        <f t="shared" si="151"/>
        <v/>
      </c>
      <c r="AW190" s="1044" t="str">
        <f t="shared" si="152"/>
        <v/>
      </c>
      <c r="AX190" s="1044" t="str">
        <f t="shared" si="153"/>
        <v/>
      </c>
      <c r="AY190" s="1044" t="str">
        <f t="shared" si="154"/>
        <v/>
      </c>
      <c r="AZ190" s="1044" t="str">
        <f t="shared" si="155"/>
        <v/>
      </c>
      <c r="BA190" s="1044" t="str">
        <f t="shared" si="156"/>
        <v/>
      </c>
      <c r="BB190" s="1044" t="str">
        <f t="shared" si="157"/>
        <v/>
      </c>
      <c r="BC190" s="1044" t="str">
        <f t="shared" si="158"/>
        <v/>
      </c>
      <c r="BF190" s="1" t="s">
        <v>7</v>
      </c>
      <c r="BG190" s="1076" t="s">
        <v>689</v>
      </c>
      <c r="BH190" s="1" t="s">
        <v>7109</v>
      </c>
      <c r="BI190" s="1" t="s">
        <v>7571</v>
      </c>
    </row>
    <row r="191" spans="1:61" ht="30" customHeight="1">
      <c r="A191" s="1085" t="str">
        <f t="shared" si="106"/>
        <v/>
      </c>
      <c r="B191" s="1086"/>
      <c r="C191" s="1085" t="s">
        <v>254</v>
      </c>
      <c r="D191" s="1087" t="str">
        <f t="shared" si="107"/>
        <v/>
      </c>
      <c r="E191" s="1088" t="str">
        <f t="shared" si="108"/>
        <v/>
      </c>
      <c r="F191" s="1089" t="str">
        <f t="shared" si="109"/>
        <v/>
      </c>
      <c r="G191" s="1090" t="str">
        <f t="shared" si="110"/>
        <v/>
      </c>
      <c r="H191" s="1085" t="str">
        <f t="shared" si="111"/>
        <v/>
      </c>
      <c r="I191" s="1085" t="str">
        <f t="shared" si="112"/>
        <v/>
      </c>
      <c r="J191" s="1090" t="str">
        <f t="shared" si="113"/>
        <v/>
      </c>
      <c r="K191" s="1044" t="str">
        <f t="shared" si="114"/>
        <v/>
      </c>
      <c r="L191" s="1044" t="str">
        <f t="shared" si="115"/>
        <v/>
      </c>
      <c r="M191" s="1044" t="str">
        <f t="shared" si="116"/>
        <v/>
      </c>
      <c r="N191" s="1044" t="str">
        <f t="shared" si="117"/>
        <v/>
      </c>
      <c r="O191" s="1044">
        <f t="shared" si="118"/>
        <v>0</v>
      </c>
      <c r="P191" s="1044">
        <f t="shared" si="119"/>
        <v>0</v>
      </c>
      <c r="Q191" s="1044">
        <f t="shared" si="120"/>
        <v>0</v>
      </c>
      <c r="R191" s="1044">
        <f t="shared" si="121"/>
        <v>0</v>
      </c>
      <c r="S191" s="1044">
        <f t="shared" si="122"/>
        <v>0</v>
      </c>
      <c r="T191" s="1044">
        <f t="shared" si="123"/>
        <v>0</v>
      </c>
      <c r="U191" s="1044">
        <f t="shared" si="124"/>
        <v>0</v>
      </c>
      <c r="V191" s="1044">
        <f t="shared" si="125"/>
        <v>0</v>
      </c>
      <c r="W191" s="1044">
        <f t="shared" si="126"/>
        <v>0</v>
      </c>
      <c r="X191" s="1044">
        <f t="shared" si="127"/>
        <v>0</v>
      </c>
      <c r="Y191" s="1044">
        <f t="shared" si="128"/>
        <v>0</v>
      </c>
      <c r="Z191" s="1044">
        <f t="shared" si="129"/>
        <v>0</v>
      </c>
      <c r="AA191" s="1044">
        <f t="shared" si="130"/>
        <v>0</v>
      </c>
      <c r="AB191" s="1044">
        <f t="shared" si="131"/>
        <v>0</v>
      </c>
      <c r="AC191" s="1044">
        <f t="shared" si="132"/>
        <v>0</v>
      </c>
      <c r="AD191" s="1044">
        <f t="shared" si="133"/>
        <v>0</v>
      </c>
      <c r="AE191" s="1044">
        <f t="shared" si="134"/>
        <v>0</v>
      </c>
      <c r="AF191" s="1044">
        <f t="shared" si="135"/>
        <v>0</v>
      </c>
      <c r="AG191" s="1044">
        <f t="shared" si="136"/>
        <v>0</v>
      </c>
      <c r="AH191" s="1044">
        <f t="shared" si="137"/>
        <v>0</v>
      </c>
      <c r="AI191" s="1044">
        <f t="shared" si="138"/>
        <v>0</v>
      </c>
      <c r="AJ191" s="1044">
        <f t="shared" si="139"/>
        <v>0</v>
      </c>
      <c r="AK191" s="1044">
        <f t="shared" si="140"/>
        <v>0</v>
      </c>
      <c r="AL191" s="1044">
        <f t="shared" si="141"/>
        <v>0</v>
      </c>
      <c r="AM191" s="1044">
        <f t="shared" si="142"/>
        <v>0</v>
      </c>
      <c r="AN191" s="1044" t="str">
        <f t="shared" si="143"/>
        <v/>
      </c>
      <c r="AO191" s="1044" t="str">
        <f t="shared" si="144"/>
        <v/>
      </c>
      <c r="AP191" s="1044" t="str">
        <f t="shared" si="145"/>
        <v/>
      </c>
      <c r="AQ191" s="1044" t="str">
        <f t="shared" si="146"/>
        <v/>
      </c>
      <c r="AR191" s="1044" t="str">
        <f t="shared" si="147"/>
        <v/>
      </c>
      <c r="AS191" s="1044" t="str">
        <f t="shared" si="148"/>
        <v/>
      </c>
      <c r="AT191" s="1044" t="str">
        <f t="shared" si="149"/>
        <v/>
      </c>
      <c r="AU191" s="1044" t="str">
        <f t="shared" si="150"/>
        <v/>
      </c>
      <c r="AV191" s="1044" t="str">
        <f t="shared" si="151"/>
        <v/>
      </c>
      <c r="AW191" s="1044" t="str">
        <f t="shared" si="152"/>
        <v/>
      </c>
      <c r="AX191" s="1044" t="str">
        <f t="shared" si="153"/>
        <v/>
      </c>
      <c r="AY191" s="1044" t="str">
        <f t="shared" si="154"/>
        <v/>
      </c>
      <c r="AZ191" s="1044" t="str">
        <f t="shared" si="155"/>
        <v/>
      </c>
      <c r="BA191" s="1044" t="str">
        <f t="shared" si="156"/>
        <v/>
      </c>
      <c r="BB191" s="1044" t="str">
        <f t="shared" si="157"/>
        <v/>
      </c>
      <c r="BC191" s="1044" t="str">
        <f t="shared" si="158"/>
        <v/>
      </c>
      <c r="BF191" s="1" t="s">
        <v>7</v>
      </c>
      <c r="BG191" s="1076" t="s">
        <v>689</v>
      </c>
      <c r="BH191" s="1" t="s">
        <v>314</v>
      </c>
      <c r="BI191" s="1" t="s">
        <v>7572</v>
      </c>
    </row>
    <row r="192" spans="1:61" ht="30" customHeight="1">
      <c r="A192" s="1085" t="str">
        <f t="shared" si="106"/>
        <v/>
      </c>
      <c r="B192" s="1086"/>
      <c r="C192" s="1085" t="s">
        <v>254</v>
      </c>
      <c r="D192" s="1087" t="str">
        <f t="shared" si="107"/>
        <v/>
      </c>
      <c r="E192" s="1088" t="str">
        <f t="shared" si="108"/>
        <v/>
      </c>
      <c r="F192" s="1089" t="str">
        <f t="shared" si="109"/>
        <v/>
      </c>
      <c r="G192" s="1090" t="str">
        <f t="shared" si="110"/>
        <v/>
      </c>
      <c r="H192" s="1085" t="str">
        <f t="shared" si="111"/>
        <v/>
      </c>
      <c r="I192" s="1085" t="str">
        <f t="shared" si="112"/>
        <v/>
      </c>
      <c r="J192" s="1090" t="str">
        <f t="shared" si="113"/>
        <v/>
      </c>
      <c r="K192" s="1044" t="str">
        <f t="shared" si="114"/>
        <v/>
      </c>
      <c r="L192" s="1044" t="str">
        <f t="shared" si="115"/>
        <v/>
      </c>
      <c r="M192" s="1044" t="str">
        <f t="shared" si="116"/>
        <v/>
      </c>
      <c r="N192" s="1044" t="str">
        <f t="shared" si="117"/>
        <v/>
      </c>
      <c r="O192" s="1044">
        <f t="shared" si="118"/>
        <v>0</v>
      </c>
      <c r="P192" s="1044">
        <f t="shared" si="119"/>
        <v>0</v>
      </c>
      <c r="Q192" s="1044">
        <f t="shared" si="120"/>
        <v>0</v>
      </c>
      <c r="R192" s="1044">
        <f t="shared" si="121"/>
        <v>0</v>
      </c>
      <c r="S192" s="1044">
        <f t="shared" si="122"/>
        <v>0</v>
      </c>
      <c r="T192" s="1044">
        <f t="shared" si="123"/>
        <v>0</v>
      </c>
      <c r="U192" s="1044">
        <f t="shared" si="124"/>
        <v>0</v>
      </c>
      <c r="V192" s="1044">
        <f t="shared" si="125"/>
        <v>0</v>
      </c>
      <c r="W192" s="1044">
        <f t="shared" si="126"/>
        <v>0</v>
      </c>
      <c r="X192" s="1044">
        <f t="shared" si="127"/>
        <v>0</v>
      </c>
      <c r="Y192" s="1044">
        <f t="shared" si="128"/>
        <v>0</v>
      </c>
      <c r="Z192" s="1044">
        <f t="shared" si="129"/>
        <v>0</v>
      </c>
      <c r="AA192" s="1044">
        <f t="shared" si="130"/>
        <v>0</v>
      </c>
      <c r="AB192" s="1044">
        <f t="shared" si="131"/>
        <v>0</v>
      </c>
      <c r="AC192" s="1044">
        <f t="shared" si="132"/>
        <v>0</v>
      </c>
      <c r="AD192" s="1044">
        <f t="shared" si="133"/>
        <v>0</v>
      </c>
      <c r="AE192" s="1044">
        <f t="shared" si="134"/>
        <v>0</v>
      </c>
      <c r="AF192" s="1044">
        <f t="shared" si="135"/>
        <v>0</v>
      </c>
      <c r="AG192" s="1044">
        <f t="shared" si="136"/>
        <v>0</v>
      </c>
      <c r="AH192" s="1044">
        <f t="shared" si="137"/>
        <v>0</v>
      </c>
      <c r="AI192" s="1044">
        <f t="shared" si="138"/>
        <v>0</v>
      </c>
      <c r="AJ192" s="1044">
        <f t="shared" si="139"/>
        <v>0</v>
      </c>
      <c r="AK192" s="1044">
        <f t="shared" si="140"/>
        <v>0</v>
      </c>
      <c r="AL192" s="1044">
        <f t="shared" si="141"/>
        <v>0</v>
      </c>
      <c r="AM192" s="1044">
        <f t="shared" si="142"/>
        <v>0</v>
      </c>
      <c r="AN192" s="1044" t="str">
        <f t="shared" si="143"/>
        <v/>
      </c>
      <c r="AO192" s="1044" t="str">
        <f t="shared" si="144"/>
        <v/>
      </c>
      <c r="AP192" s="1044" t="str">
        <f t="shared" si="145"/>
        <v/>
      </c>
      <c r="AQ192" s="1044" t="str">
        <f t="shared" si="146"/>
        <v/>
      </c>
      <c r="AR192" s="1044" t="str">
        <f t="shared" si="147"/>
        <v/>
      </c>
      <c r="AS192" s="1044" t="str">
        <f t="shared" si="148"/>
        <v/>
      </c>
      <c r="AT192" s="1044" t="str">
        <f t="shared" si="149"/>
        <v/>
      </c>
      <c r="AU192" s="1044" t="str">
        <f t="shared" si="150"/>
        <v/>
      </c>
      <c r="AV192" s="1044" t="str">
        <f t="shared" si="151"/>
        <v/>
      </c>
      <c r="AW192" s="1044" t="str">
        <f t="shared" si="152"/>
        <v/>
      </c>
      <c r="AX192" s="1044" t="str">
        <f t="shared" si="153"/>
        <v/>
      </c>
      <c r="AY192" s="1044" t="str">
        <f t="shared" si="154"/>
        <v/>
      </c>
      <c r="AZ192" s="1044" t="str">
        <f t="shared" si="155"/>
        <v/>
      </c>
      <c r="BA192" s="1044" t="str">
        <f t="shared" si="156"/>
        <v/>
      </c>
      <c r="BB192" s="1044" t="str">
        <f t="shared" si="157"/>
        <v/>
      </c>
      <c r="BC192" s="1044" t="str">
        <f t="shared" si="158"/>
        <v/>
      </c>
      <c r="BF192" s="1" t="s">
        <v>7</v>
      </c>
      <c r="BG192" s="1076" t="s">
        <v>689</v>
      </c>
      <c r="BH192" s="1" t="s">
        <v>131</v>
      </c>
      <c r="BI192" s="1" t="s">
        <v>7573</v>
      </c>
    </row>
    <row r="193" spans="1:61" ht="30" customHeight="1">
      <c r="A193" s="1085" t="str">
        <f t="shared" si="106"/>
        <v/>
      </c>
      <c r="B193" s="1086"/>
      <c r="C193" s="1085" t="s">
        <v>254</v>
      </c>
      <c r="D193" s="1087" t="str">
        <f t="shared" si="107"/>
        <v/>
      </c>
      <c r="E193" s="1088" t="str">
        <f t="shared" si="108"/>
        <v/>
      </c>
      <c r="F193" s="1089" t="str">
        <f t="shared" si="109"/>
        <v/>
      </c>
      <c r="G193" s="1090" t="str">
        <f t="shared" si="110"/>
        <v/>
      </c>
      <c r="H193" s="1085" t="str">
        <f t="shared" si="111"/>
        <v/>
      </c>
      <c r="I193" s="1085" t="str">
        <f t="shared" si="112"/>
        <v/>
      </c>
      <c r="J193" s="1090" t="str">
        <f t="shared" si="113"/>
        <v/>
      </c>
      <c r="K193" s="1044" t="str">
        <f t="shared" si="114"/>
        <v/>
      </c>
      <c r="L193" s="1044" t="str">
        <f t="shared" si="115"/>
        <v/>
      </c>
      <c r="M193" s="1044" t="str">
        <f t="shared" si="116"/>
        <v/>
      </c>
      <c r="N193" s="1044" t="str">
        <f t="shared" si="117"/>
        <v/>
      </c>
      <c r="O193" s="1044">
        <f t="shared" si="118"/>
        <v>0</v>
      </c>
      <c r="P193" s="1044">
        <f t="shared" si="119"/>
        <v>0</v>
      </c>
      <c r="Q193" s="1044">
        <f t="shared" si="120"/>
        <v>0</v>
      </c>
      <c r="R193" s="1044">
        <f t="shared" si="121"/>
        <v>0</v>
      </c>
      <c r="S193" s="1044">
        <f t="shared" si="122"/>
        <v>0</v>
      </c>
      <c r="T193" s="1044">
        <f t="shared" si="123"/>
        <v>0</v>
      </c>
      <c r="U193" s="1044">
        <f t="shared" si="124"/>
        <v>0</v>
      </c>
      <c r="V193" s="1044">
        <f t="shared" si="125"/>
        <v>0</v>
      </c>
      <c r="W193" s="1044">
        <f t="shared" si="126"/>
        <v>0</v>
      </c>
      <c r="X193" s="1044">
        <f t="shared" si="127"/>
        <v>0</v>
      </c>
      <c r="Y193" s="1044">
        <f t="shared" si="128"/>
        <v>0</v>
      </c>
      <c r="Z193" s="1044">
        <f t="shared" si="129"/>
        <v>0</v>
      </c>
      <c r="AA193" s="1044">
        <f t="shared" si="130"/>
        <v>0</v>
      </c>
      <c r="AB193" s="1044">
        <f t="shared" si="131"/>
        <v>0</v>
      </c>
      <c r="AC193" s="1044">
        <f t="shared" si="132"/>
        <v>0</v>
      </c>
      <c r="AD193" s="1044">
        <f t="shared" si="133"/>
        <v>0</v>
      </c>
      <c r="AE193" s="1044">
        <f t="shared" si="134"/>
        <v>0</v>
      </c>
      <c r="AF193" s="1044">
        <f t="shared" si="135"/>
        <v>0</v>
      </c>
      <c r="AG193" s="1044">
        <f t="shared" si="136"/>
        <v>0</v>
      </c>
      <c r="AH193" s="1044">
        <f t="shared" si="137"/>
        <v>0</v>
      </c>
      <c r="AI193" s="1044">
        <f t="shared" si="138"/>
        <v>0</v>
      </c>
      <c r="AJ193" s="1044">
        <f t="shared" si="139"/>
        <v>0</v>
      </c>
      <c r="AK193" s="1044">
        <f t="shared" si="140"/>
        <v>0</v>
      </c>
      <c r="AL193" s="1044">
        <f t="shared" si="141"/>
        <v>0</v>
      </c>
      <c r="AM193" s="1044">
        <f t="shared" si="142"/>
        <v>0</v>
      </c>
      <c r="AN193" s="1044" t="str">
        <f t="shared" si="143"/>
        <v/>
      </c>
      <c r="AO193" s="1044" t="str">
        <f t="shared" si="144"/>
        <v/>
      </c>
      <c r="AP193" s="1044" t="str">
        <f t="shared" si="145"/>
        <v/>
      </c>
      <c r="AQ193" s="1044" t="str">
        <f t="shared" si="146"/>
        <v/>
      </c>
      <c r="AR193" s="1044" t="str">
        <f t="shared" si="147"/>
        <v/>
      </c>
      <c r="AS193" s="1044" t="str">
        <f t="shared" si="148"/>
        <v/>
      </c>
      <c r="AT193" s="1044" t="str">
        <f t="shared" si="149"/>
        <v/>
      </c>
      <c r="AU193" s="1044" t="str">
        <f t="shared" si="150"/>
        <v/>
      </c>
      <c r="AV193" s="1044" t="str">
        <f t="shared" si="151"/>
        <v/>
      </c>
      <c r="AW193" s="1044" t="str">
        <f t="shared" si="152"/>
        <v/>
      </c>
      <c r="AX193" s="1044" t="str">
        <f t="shared" si="153"/>
        <v/>
      </c>
      <c r="AY193" s="1044" t="str">
        <f t="shared" si="154"/>
        <v/>
      </c>
      <c r="AZ193" s="1044" t="str">
        <f t="shared" si="155"/>
        <v/>
      </c>
      <c r="BA193" s="1044" t="str">
        <f t="shared" si="156"/>
        <v/>
      </c>
      <c r="BB193" s="1044" t="str">
        <f t="shared" si="157"/>
        <v/>
      </c>
      <c r="BC193" s="1044" t="str">
        <f t="shared" si="158"/>
        <v/>
      </c>
      <c r="BF193" s="1" t="s">
        <v>7</v>
      </c>
      <c r="BG193" s="1076" t="s">
        <v>689</v>
      </c>
      <c r="BH193" s="1" t="s">
        <v>1335</v>
      </c>
      <c r="BI193" s="1" t="s">
        <v>7574</v>
      </c>
    </row>
    <row r="194" spans="1:61" ht="30" customHeight="1">
      <c r="A194" s="1085" t="str">
        <f t="shared" si="106"/>
        <v/>
      </c>
      <c r="B194" s="1086"/>
      <c r="C194" s="1085" t="s">
        <v>254</v>
      </c>
      <c r="D194" s="1087" t="str">
        <f t="shared" si="107"/>
        <v/>
      </c>
      <c r="E194" s="1088" t="str">
        <f t="shared" si="108"/>
        <v/>
      </c>
      <c r="F194" s="1089" t="str">
        <f t="shared" si="109"/>
        <v/>
      </c>
      <c r="G194" s="1090" t="str">
        <f t="shared" si="110"/>
        <v/>
      </c>
      <c r="H194" s="1085" t="str">
        <f t="shared" si="111"/>
        <v/>
      </c>
      <c r="I194" s="1085" t="str">
        <f t="shared" si="112"/>
        <v/>
      </c>
      <c r="J194" s="1090" t="str">
        <f t="shared" si="113"/>
        <v/>
      </c>
      <c r="K194" s="1044" t="str">
        <f t="shared" si="114"/>
        <v/>
      </c>
      <c r="L194" s="1044" t="str">
        <f t="shared" si="115"/>
        <v/>
      </c>
      <c r="M194" s="1044" t="str">
        <f t="shared" si="116"/>
        <v/>
      </c>
      <c r="N194" s="1044" t="str">
        <f t="shared" si="117"/>
        <v/>
      </c>
      <c r="O194" s="1044">
        <f t="shared" si="118"/>
        <v>0</v>
      </c>
      <c r="P194" s="1044">
        <f t="shared" si="119"/>
        <v>0</v>
      </c>
      <c r="Q194" s="1044">
        <f t="shared" si="120"/>
        <v>0</v>
      </c>
      <c r="R194" s="1044">
        <f t="shared" si="121"/>
        <v>0</v>
      </c>
      <c r="S194" s="1044">
        <f t="shared" si="122"/>
        <v>0</v>
      </c>
      <c r="T194" s="1044">
        <f t="shared" si="123"/>
        <v>0</v>
      </c>
      <c r="U194" s="1044">
        <f t="shared" si="124"/>
        <v>0</v>
      </c>
      <c r="V194" s="1044">
        <f t="shared" si="125"/>
        <v>0</v>
      </c>
      <c r="W194" s="1044">
        <f t="shared" si="126"/>
        <v>0</v>
      </c>
      <c r="X194" s="1044">
        <f t="shared" si="127"/>
        <v>0</v>
      </c>
      <c r="Y194" s="1044">
        <f t="shared" si="128"/>
        <v>0</v>
      </c>
      <c r="Z194" s="1044">
        <f t="shared" si="129"/>
        <v>0</v>
      </c>
      <c r="AA194" s="1044">
        <f t="shared" si="130"/>
        <v>0</v>
      </c>
      <c r="AB194" s="1044">
        <f t="shared" si="131"/>
        <v>0</v>
      </c>
      <c r="AC194" s="1044">
        <f t="shared" si="132"/>
        <v>0</v>
      </c>
      <c r="AD194" s="1044">
        <f t="shared" si="133"/>
        <v>0</v>
      </c>
      <c r="AE194" s="1044">
        <f t="shared" si="134"/>
        <v>0</v>
      </c>
      <c r="AF194" s="1044">
        <f t="shared" si="135"/>
        <v>0</v>
      </c>
      <c r="AG194" s="1044">
        <f t="shared" si="136"/>
        <v>0</v>
      </c>
      <c r="AH194" s="1044">
        <f t="shared" si="137"/>
        <v>0</v>
      </c>
      <c r="AI194" s="1044">
        <f t="shared" si="138"/>
        <v>0</v>
      </c>
      <c r="AJ194" s="1044">
        <f t="shared" si="139"/>
        <v>0</v>
      </c>
      <c r="AK194" s="1044">
        <f t="shared" si="140"/>
        <v>0</v>
      </c>
      <c r="AL194" s="1044">
        <f t="shared" si="141"/>
        <v>0</v>
      </c>
      <c r="AM194" s="1044">
        <f t="shared" si="142"/>
        <v>0</v>
      </c>
      <c r="AN194" s="1044" t="str">
        <f t="shared" si="143"/>
        <v/>
      </c>
      <c r="AO194" s="1044" t="str">
        <f t="shared" si="144"/>
        <v/>
      </c>
      <c r="AP194" s="1044" t="str">
        <f t="shared" si="145"/>
        <v/>
      </c>
      <c r="AQ194" s="1044" t="str">
        <f t="shared" si="146"/>
        <v/>
      </c>
      <c r="AR194" s="1044" t="str">
        <f t="shared" si="147"/>
        <v/>
      </c>
      <c r="AS194" s="1044" t="str">
        <f t="shared" si="148"/>
        <v/>
      </c>
      <c r="AT194" s="1044" t="str">
        <f t="shared" si="149"/>
        <v/>
      </c>
      <c r="AU194" s="1044" t="str">
        <f t="shared" si="150"/>
        <v/>
      </c>
      <c r="AV194" s="1044" t="str">
        <f t="shared" si="151"/>
        <v/>
      </c>
      <c r="AW194" s="1044" t="str">
        <f t="shared" si="152"/>
        <v/>
      </c>
      <c r="AX194" s="1044" t="str">
        <f t="shared" si="153"/>
        <v/>
      </c>
      <c r="AY194" s="1044" t="str">
        <f t="shared" si="154"/>
        <v/>
      </c>
      <c r="AZ194" s="1044" t="str">
        <f t="shared" si="155"/>
        <v/>
      </c>
      <c r="BA194" s="1044" t="str">
        <f t="shared" si="156"/>
        <v/>
      </c>
      <c r="BB194" s="1044" t="str">
        <f t="shared" si="157"/>
        <v/>
      </c>
      <c r="BC194" s="1044" t="str">
        <f t="shared" si="158"/>
        <v/>
      </c>
      <c r="BF194" s="1" t="s">
        <v>7</v>
      </c>
      <c r="BG194" s="1076" t="s">
        <v>689</v>
      </c>
      <c r="BH194" s="1" t="s">
        <v>7110</v>
      </c>
      <c r="BI194" s="1" t="s">
        <v>7575</v>
      </c>
    </row>
    <row r="195" spans="1:61" ht="30" customHeight="1">
      <c r="A195" s="1085" t="str">
        <f t="shared" si="106"/>
        <v/>
      </c>
      <c r="B195" s="1086"/>
      <c r="C195" s="1085" t="s">
        <v>254</v>
      </c>
      <c r="D195" s="1087" t="str">
        <f t="shared" si="107"/>
        <v/>
      </c>
      <c r="E195" s="1088" t="str">
        <f t="shared" si="108"/>
        <v/>
      </c>
      <c r="F195" s="1089" t="str">
        <f t="shared" si="109"/>
        <v/>
      </c>
      <c r="G195" s="1090" t="str">
        <f t="shared" si="110"/>
        <v/>
      </c>
      <c r="H195" s="1085" t="str">
        <f t="shared" si="111"/>
        <v/>
      </c>
      <c r="I195" s="1085" t="str">
        <f t="shared" si="112"/>
        <v/>
      </c>
      <c r="J195" s="1090" t="str">
        <f t="shared" si="113"/>
        <v/>
      </c>
      <c r="K195" s="1044" t="str">
        <f t="shared" si="114"/>
        <v/>
      </c>
      <c r="L195" s="1044" t="str">
        <f t="shared" si="115"/>
        <v/>
      </c>
      <c r="M195" s="1044" t="str">
        <f t="shared" si="116"/>
        <v/>
      </c>
      <c r="N195" s="1044" t="str">
        <f t="shared" si="117"/>
        <v/>
      </c>
      <c r="O195" s="1044">
        <f t="shared" si="118"/>
        <v>0</v>
      </c>
      <c r="P195" s="1044">
        <f t="shared" si="119"/>
        <v>0</v>
      </c>
      <c r="Q195" s="1044">
        <f t="shared" si="120"/>
        <v>0</v>
      </c>
      <c r="R195" s="1044">
        <f t="shared" si="121"/>
        <v>0</v>
      </c>
      <c r="S195" s="1044">
        <f t="shared" si="122"/>
        <v>0</v>
      </c>
      <c r="T195" s="1044">
        <f t="shared" si="123"/>
        <v>0</v>
      </c>
      <c r="U195" s="1044">
        <f t="shared" si="124"/>
        <v>0</v>
      </c>
      <c r="V195" s="1044">
        <f t="shared" si="125"/>
        <v>0</v>
      </c>
      <c r="W195" s="1044">
        <f t="shared" si="126"/>
        <v>0</v>
      </c>
      <c r="X195" s="1044">
        <f t="shared" si="127"/>
        <v>0</v>
      </c>
      <c r="Y195" s="1044">
        <f t="shared" si="128"/>
        <v>0</v>
      </c>
      <c r="Z195" s="1044">
        <f t="shared" si="129"/>
        <v>0</v>
      </c>
      <c r="AA195" s="1044">
        <f t="shared" si="130"/>
        <v>0</v>
      </c>
      <c r="AB195" s="1044">
        <f t="shared" si="131"/>
        <v>0</v>
      </c>
      <c r="AC195" s="1044">
        <f t="shared" si="132"/>
        <v>0</v>
      </c>
      <c r="AD195" s="1044">
        <f t="shared" si="133"/>
        <v>0</v>
      </c>
      <c r="AE195" s="1044">
        <f t="shared" si="134"/>
        <v>0</v>
      </c>
      <c r="AF195" s="1044">
        <f t="shared" si="135"/>
        <v>0</v>
      </c>
      <c r="AG195" s="1044">
        <f t="shared" si="136"/>
        <v>0</v>
      </c>
      <c r="AH195" s="1044">
        <f t="shared" si="137"/>
        <v>0</v>
      </c>
      <c r="AI195" s="1044">
        <f t="shared" si="138"/>
        <v>0</v>
      </c>
      <c r="AJ195" s="1044">
        <f t="shared" si="139"/>
        <v>0</v>
      </c>
      <c r="AK195" s="1044">
        <f t="shared" si="140"/>
        <v>0</v>
      </c>
      <c r="AL195" s="1044">
        <f t="shared" si="141"/>
        <v>0</v>
      </c>
      <c r="AM195" s="1044">
        <f t="shared" si="142"/>
        <v>0</v>
      </c>
      <c r="AN195" s="1044" t="str">
        <f t="shared" si="143"/>
        <v/>
      </c>
      <c r="AO195" s="1044" t="str">
        <f t="shared" si="144"/>
        <v/>
      </c>
      <c r="AP195" s="1044" t="str">
        <f t="shared" si="145"/>
        <v/>
      </c>
      <c r="AQ195" s="1044" t="str">
        <f t="shared" si="146"/>
        <v/>
      </c>
      <c r="AR195" s="1044" t="str">
        <f t="shared" si="147"/>
        <v/>
      </c>
      <c r="AS195" s="1044" t="str">
        <f t="shared" si="148"/>
        <v/>
      </c>
      <c r="AT195" s="1044" t="str">
        <f t="shared" si="149"/>
        <v/>
      </c>
      <c r="AU195" s="1044" t="str">
        <f t="shared" si="150"/>
        <v/>
      </c>
      <c r="AV195" s="1044" t="str">
        <f t="shared" si="151"/>
        <v/>
      </c>
      <c r="AW195" s="1044" t="str">
        <f t="shared" si="152"/>
        <v/>
      </c>
      <c r="AX195" s="1044" t="str">
        <f t="shared" si="153"/>
        <v/>
      </c>
      <c r="AY195" s="1044" t="str">
        <f t="shared" si="154"/>
        <v/>
      </c>
      <c r="AZ195" s="1044" t="str">
        <f t="shared" si="155"/>
        <v/>
      </c>
      <c r="BA195" s="1044" t="str">
        <f t="shared" si="156"/>
        <v/>
      </c>
      <c r="BB195" s="1044" t="str">
        <f t="shared" si="157"/>
        <v/>
      </c>
      <c r="BC195" s="1044" t="str">
        <f t="shared" si="158"/>
        <v/>
      </c>
      <c r="BF195" s="1" t="s">
        <v>7</v>
      </c>
      <c r="BG195" s="1076" t="s">
        <v>689</v>
      </c>
      <c r="BH195" s="1" t="s">
        <v>1345</v>
      </c>
      <c r="BI195" s="1" t="s">
        <v>7576</v>
      </c>
    </row>
    <row r="196" spans="1:61" ht="30" customHeight="1">
      <c r="A196" s="1085" t="str">
        <f t="shared" si="106"/>
        <v/>
      </c>
      <c r="B196" s="1086"/>
      <c r="C196" s="1085" t="s">
        <v>254</v>
      </c>
      <c r="D196" s="1087" t="str">
        <f t="shared" si="107"/>
        <v/>
      </c>
      <c r="E196" s="1088" t="str">
        <f t="shared" si="108"/>
        <v/>
      </c>
      <c r="F196" s="1089" t="str">
        <f t="shared" si="109"/>
        <v/>
      </c>
      <c r="G196" s="1090" t="str">
        <f t="shared" si="110"/>
        <v/>
      </c>
      <c r="H196" s="1085" t="str">
        <f t="shared" si="111"/>
        <v/>
      </c>
      <c r="I196" s="1085" t="str">
        <f t="shared" si="112"/>
        <v/>
      </c>
      <c r="J196" s="1090" t="str">
        <f t="shared" si="113"/>
        <v/>
      </c>
      <c r="K196" s="1044" t="str">
        <f t="shared" si="114"/>
        <v/>
      </c>
      <c r="L196" s="1044" t="str">
        <f t="shared" si="115"/>
        <v/>
      </c>
      <c r="M196" s="1044" t="str">
        <f t="shared" si="116"/>
        <v/>
      </c>
      <c r="N196" s="1044" t="str">
        <f t="shared" si="117"/>
        <v/>
      </c>
      <c r="O196" s="1044">
        <f t="shared" si="118"/>
        <v>0</v>
      </c>
      <c r="P196" s="1044">
        <f t="shared" si="119"/>
        <v>0</v>
      </c>
      <c r="Q196" s="1044">
        <f t="shared" si="120"/>
        <v>0</v>
      </c>
      <c r="R196" s="1044">
        <f t="shared" si="121"/>
        <v>0</v>
      </c>
      <c r="S196" s="1044">
        <f t="shared" si="122"/>
        <v>0</v>
      </c>
      <c r="T196" s="1044">
        <f t="shared" si="123"/>
        <v>0</v>
      </c>
      <c r="U196" s="1044">
        <f t="shared" si="124"/>
        <v>0</v>
      </c>
      <c r="V196" s="1044">
        <f t="shared" si="125"/>
        <v>0</v>
      </c>
      <c r="W196" s="1044">
        <f t="shared" si="126"/>
        <v>0</v>
      </c>
      <c r="X196" s="1044">
        <f t="shared" si="127"/>
        <v>0</v>
      </c>
      <c r="Y196" s="1044">
        <f t="shared" si="128"/>
        <v>0</v>
      </c>
      <c r="Z196" s="1044">
        <f t="shared" si="129"/>
        <v>0</v>
      </c>
      <c r="AA196" s="1044">
        <f t="shared" si="130"/>
        <v>0</v>
      </c>
      <c r="AB196" s="1044">
        <f t="shared" si="131"/>
        <v>0</v>
      </c>
      <c r="AC196" s="1044">
        <f t="shared" si="132"/>
        <v>0</v>
      </c>
      <c r="AD196" s="1044">
        <f t="shared" si="133"/>
        <v>0</v>
      </c>
      <c r="AE196" s="1044">
        <f t="shared" si="134"/>
        <v>0</v>
      </c>
      <c r="AF196" s="1044">
        <f t="shared" si="135"/>
        <v>0</v>
      </c>
      <c r="AG196" s="1044">
        <f t="shared" si="136"/>
        <v>0</v>
      </c>
      <c r="AH196" s="1044">
        <f t="shared" si="137"/>
        <v>0</v>
      </c>
      <c r="AI196" s="1044">
        <f t="shared" si="138"/>
        <v>0</v>
      </c>
      <c r="AJ196" s="1044">
        <f t="shared" si="139"/>
        <v>0</v>
      </c>
      <c r="AK196" s="1044">
        <f t="shared" si="140"/>
        <v>0</v>
      </c>
      <c r="AL196" s="1044">
        <f t="shared" si="141"/>
        <v>0</v>
      </c>
      <c r="AM196" s="1044">
        <f t="shared" si="142"/>
        <v>0</v>
      </c>
      <c r="AN196" s="1044" t="str">
        <f t="shared" si="143"/>
        <v/>
      </c>
      <c r="AO196" s="1044" t="str">
        <f t="shared" si="144"/>
        <v/>
      </c>
      <c r="AP196" s="1044" t="str">
        <f t="shared" si="145"/>
        <v/>
      </c>
      <c r="AQ196" s="1044" t="str">
        <f t="shared" si="146"/>
        <v/>
      </c>
      <c r="AR196" s="1044" t="str">
        <f t="shared" si="147"/>
        <v/>
      </c>
      <c r="AS196" s="1044" t="str">
        <f t="shared" si="148"/>
        <v/>
      </c>
      <c r="AT196" s="1044" t="str">
        <f t="shared" si="149"/>
        <v/>
      </c>
      <c r="AU196" s="1044" t="str">
        <f t="shared" si="150"/>
        <v/>
      </c>
      <c r="AV196" s="1044" t="str">
        <f t="shared" si="151"/>
        <v/>
      </c>
      <c r="AW196" s="1044" t="str">
        <f t="shared" si="152"/>
        <v/>
      </c>
      <c r="AX196" s="1044" t="str">
        <f t="shared" si="153"/>
        <v/>
      </c>
      <c r="AY196" s="1044" t="str">
        <f t="shared" si="154"/>
        <v/>
      </c>
      <c r="AZ196" s="1044" t="str">
        <f t="shared" si="155"/>
        <v/>
      </c>
      <c r="BA196" s="1044" t="str">
        <f t="shared" si="156"/>
        <v/>
      </c>
      <c r="BB196" s="1044" t="str">
        <f t="shared" si="157"/>
        <v/>
      </c>
      <c r="BC196" s="1044" t="str">
        <f t="shared" si="158"/>
        <v/>
      </c>
      <c r="BF196" s="1" t="s">
        <v>7</v>
      </c>
      <c r="BG196" s="1076" t="s">
        <v>689</v>
      </c>
      <c r="BH196" s="1" t="s">
        <v>202</v>
      </c>
      <c r="BI196" s="1" t="s">
        <v>7577</v>
      </c>
    </row>
    <row r="197" spans="1:61" ht="30" customHeight="1">
      <c r="A197" s="1085" t="str">
        <f t="shared" si="106"/>
        <v/>
      </c>
      <c r="B197" s="1086"/>
      <c r="C197" s="1085" t="s">
        <v>254</v>
      </c>
      <c r="D197" s="1087" t="str">
        <f t="shared" si="107"/>
        <v/>
      </c>
      <c r="E197" s="1088" t="str">
        <f t="shared" si="108"/>
        <v/>
      </c>
      <c r="F197" s="1089" t="str">
        <f t="shared" si="109"/>
        <v/>
      </c>
      <c r="G197" s="1090" t="str">
        <f t="shared" si="110"/>
        <v/>
      </c>
      <c r="H197" s="1085" t="str">
        <f t="shared" si="111"/>
        <v/>
      </c>
      <c r="I197" s="1085" t="str">
        <f t="shared" si="112"/>
        <v/>
      </c>
      <c r="J197" s="1090" t="str">
        <f t="shared" si="113"/>
        <v/>
      </c>
      <c r="K197" s="1044" t="str">
        <f t="shared" si="114"/>
        <v/>
      </c>
      <c r="L197" s="1044" t="str">
        <f t="shared" si="115"/>
        <v/>
      </c>
      <c r="M197" s="1044" t="str">
        <f t="shared" si="116"/>
        <v/>
      </c>
      <c r="N197" s="1044" t="str">
        <f t="shared" si="117"/>
        <v/>
      </c>
      <c r="O197" s="1044">
        <f t="shared" si="118"/>
        <v>0</v>
      </c>
      <c r="P197" s="1044">
        <f t="shared" si="119"/>
        <v>0</v>
      </c>
      <c r="Q197" s="1044">
        <f t="shared" si="120"/>
        <v>0</v>
      </c>
      <c r="R197" s="1044">
        <f t="shared" si="121"/>
        <v>0</v>
      </c>
      <c r="S197" s="1044">
        <f t="shared" si="122"/>
        <v>0</v>
      </c>
      <c r="T197" s="1044">
        <f t="shared" si="123"/>
        <v>0</v>
      </c>
      <c r="U197" s="1044">
        <f t="shared" si="124"/>
        <v>0</v>
      </c>
      <c r="V197" s="1044">
        <f t="shared" si="125"/>
        <v>0</v>
      </c>
      <c r="W197" s="1044">
        <f t="shared" si="126"/>
        <v>0</v>
      </c>
      <c r="X197" s="1044">
        <f t="shared" si="127"/>
        <v>0</v>
      </c>
      <c r="Y197" s="1044">
        <f t="shared" si="128"/>
        <v>0</v>
      </c>
      <c r="Z197" s="1044">
        <f t="shared" si="129"/>
        <v>0</v>
      </c>
      <c r="AA197" s="1044">
        <f t="shared" si="130"/>
        <v>0</v>
      </c>
      <c r="AB197" s="1044">
        <f t="shared" si="131"/>
        <v>0</v>
      </c>
      <c r="AC197" s="1044">
        <f t="shared" si="132"/>
        <v>0</v>
      </c>
      <c r="AD197" s="1044">
        <f t="shared" si="133"/>
        <v>0</v>
      </c>
      <c r="AE197" s="1044">
        <f t="shared" si="134"/>
        <v>0</v>
      </c>
      <c r="AF197" s="1044">
        <f t="shared" si="135"/>
        <v>0</v>
      </c>
      <c r="AG197" s="1044">
        <f t="shared" si="136"/>
        <v>0</v>
      </c>
      <c r="AH197" s="1044">
        <f t="shared" si="137"/>
        <v>0</v>
      </c>
      <c r="AI197" s="1044">
        <f t="shared" si="138"/>
        <v>0</v>
      </c>
      <c r="AJ197" s="1044">
        <f t="shared" si="139"/>
        <v>0</v>
      </c>
      <c r="AK197" s="1044">
        <f t="shared" si="140"/>
        <v>0</v>
      </c>
      <c r="AL197" s="1044">
        <f t="shared" si="141"/>
        <v>0</v>
      </c>
      <c r="AM197" s="1044">
        <f t="shared" si="142"/>
        <v>0</v>
      </c>
      <c r="AN197" s="1044" t="str">
        <f t="shared" si="143"/>
        <v/>
      </c>
      <c r="AO197" s="1044" t="str">
        <f t="shared" si="144"/>
        <v/>
      </c>
      <c r="AP197" s="1044" t="str">
        <f t="shared" si="145"/>
        <v/>
      </c>
      <c r="AQ197" s="1044" t="str">
        <f t="shared" si="146"/>
        <v/>
      </c>
      <c r="AR197" s="1044" t="str">
        <f t="shared" si="147"/>
        <v/>
      </c>
      <c r="AS197" s="1044" t="str">
        <f t="shared" si="148"/>
        <v/>
      </c>
      <c r="AT197" s="1044" t="str">
        <f t="shared" si="149"/>
        <v/>
      </c>
      <c r="AU197" s="1044" t="str">
        <f t="shared" si="150"/>
        <v/>
      </c>
      <c r="AV197" s="1044" t="str">
        <f t="shared" si="151"/>
        <v/>
      </c>
      <c r="AW197" s="1044" t="str">
        <f t="shared" si="152"/>
        <v/>
      </c>
      <c r="AX197" s="1044" t="str">
        <f t="shared" si="153"/>
        <v/>
      </c>
      <c r="AY197" s="1044" t="str">
        <f t="shared" si="154"/>
        <v/>
      </c>
      <c r="AZ197" s="1044" t="str">
        <f t="shared" si="155"/>
        <v/>
      </c>
      <c r="BA197" s="1044" t="str">
        <f t="shared" si="156"/>
        <v/>
      </c>
      <c r="BB197" s="1044" t="str">
        <f t="shared" si="157"/>
        <v/>
      </c>
      <c r="BC197" s="1044" t="str">
        <f t="shared" si="158"/>
        <v/>
      </c>
      <c r="BF197" s="1" t="s">
        <v>7</v>
      </c>
      <c r="BG197" s="1076" t="s">
        <v>689</v>
      </c>
      <c r="BH197" s="1" t="s">
        <v>1071</v>
      </c>
      <c r="BI197" s="1" t="s">
        <v>7578</v>
      </c>
    </row>
    <row r="198" spans="1:61" ht="30" customHeight="1">
      <c r="A198" s="1085" t="str">
        <f t="shared" si="106"/>
        <v/>
      </c>
      <c r="B198" s="1086"/>
      <c r="C198" s="1085" t="s">
        <v>254</v>
      </c>
      <c r="D198" s="1087" t="str">
        <f t="shared" si="107"/>
        <v/>
      </c>
      <c r="E198" s="1088" t="str">
        <f t="shared" si="108"/>
        <v/>
      </c>
      <c r="F198" s="1089" t="str">
        <f t="shared" si="109"/>
        <v/>
      </c>
      <c r="G198" s="1090" t="str">
        <f t="shared" si="110"/>
        <v/>
      </c>
      <c r="H198" s="1085" t="str">
        <f t="shared" si="111"/>
        <v/>
      </c>
      <c r="I198" s="1085" t="str">
        <f t="shared" si="112"/>
        <v/>
      </c>
      <c r="J198" s="1090" t="str">
        <f t="shared" si="113"/>
        <v/>
      </c>
      <c r="K198" s="1044" t="str">
        <f t="shared" si="114"/>
        <v/>
      </c>
      <c r="L198" s="1044" t="str">
        <f t="shared" si="115"/>
        <v/>
      </c>
      <c r="M198" s="1044" t="str">
        <f t="shared" si="116"/>
        <v/>
      </c>
      <c r="N198" s="1044" t="str">
        <f t="shared" si="117"/>
        <v/>
      </c>
      <c r="O198" s="1044">
        <f t="shared" si="118"/>
        <v>0</v>
      </c>
      <c r="P198" s="1044">
        <f t="shared" si="119"/>
        <v>0</v>
      </c>
      <c r="Q198" s="1044">
        <f t="shared" si="120"/>
        <v>0</v>
      </c>
      <c r="R198" s="1044">
        <f t="shared" si="121"/>
        <v>0</v>
      </c>
      <c r="S198" s="1044">
        <f t="shared" si="122"/>
        <v>0</v>
      </c>
      <c r="T198" s="1044">
        <f t="shared" si="123"/>
        <v>0</v>
      </c>
      <c r="U198" s="1044">
        <f t="shared" si="124"/>
        <v>0</v>
      </c>
      <c r="V198" s="1044">
        <f t="shared" si="125"/>
        <v>0</v>
      </c>
      <c r="W198" s="1044">
        <f t="shared" si="126"/>
        <v>0</v>
      </c>
      <c r="X198" s="1044">
        <f t="shared" si="127"/>
        <v>0</v>
      </c>
      <c r="Y198" s="1044">
        <f t="shared" si="128"/>
        <v>0</v>
      </c>
      <c r="Z198" s="1044">
        <f t="shared" si="129"/>
        <v>0</v>
      </c>
      <c r="AA198" s="1044">
        <f t="shared" si="130"/>
        <v>0</v>
      </c>
      <c r="AB198" s="1044">
        <f t="shared" si="131"/>
        <v>0</v>
      </c>
      <c r="AC198" s="1044">
        <f t="shared" si="132"/>
        <v>0</v>
      </c>
      <c r="AD198" s="1044">
        <f t="shared" si="133"/>
        <v>0</v>
      </c>
      <c r="AE198" s="1044">
        <f t="shared" si="134"/>
        <v>0</v>
      </c>
      <c r="AF198" s="1044">
        <f t="shared" si="135"/>
        <v>0</v>
      </c>
      <c r="AG198" s="1044">
        <f t="shared" si="136"/>
        <v>0</v>
      </c>
      <c r="AH198" s="1044">
        <f t="shared" si="137"/>
        <v>0</v>
      </c>
      <c r="AI198" s="1044">
        <f t="shared" si="138"/>
        <v>0</v>
      </c>
      <c r="AJ198" s="1044">
        <f t="shared" si="139"/>
        <v>0</v>
      </c>
      <c r="AK198" s="1044">
        <f t="shared" si="140"/>
        <v>0</v>
      </c>
      <c r="AL198" s="1044">
        <f t="shared" si="141"/>
        <v>0</v>
      </c>
      <c r="AM198" s="1044">
        <f t="shared" si="142"/>
        <v>0</v>
      </c>
      <c r="AN198" s="1044" t="str">
        <f t="shared" si="143"/>
        <v/>
      </c>
      <c r="AO198" s="1044" t="str">
        <f t="shared" si="144"/>
        <v/>
      </c>
      <c r="AP198" s="1044" t="str">
        <f t="shared" si="145"/>
        <v/>
      </c>
      <c r="AQ198" s="1044" t="str">
        <f t="shared" si="146"/>
        <v/>
      </c>
      <c r="AR198" s="1044" t="str">
        <f t="shared" si="147"/>
        <v/>
      </c>
      <c r="AS198" s="1044" t="str">
        <f t="shared" si="148"/>
        <v/>
      </c>
      <c r="AT198" s="1044" t="str">
        <f t="shared" si="149"/>
        <v/>
      </c>
      <c r="AU198" s="1044" t="str">
        <f t="shared" si="150"/>
        <v/>
      </c>
      <c r="AV198" s="1044" t="str">
        <f t="shared" si="151"/>
        <v/>
      </c>
      <c r="AW198" s="1044" t="str">
        <f t="shared" si="152"/>
        <v/>
      </c>
      <c r="AX198" s="1044" t="str">
        <f t="shared" si="153"/>
        <v/>
      </c>
      <c r="AY198" s="1044" t="str">
        <f t="shared" si="154"/>
        <v/>
      </c>
      <c r="AZ198" s="1044" t="str">
        <f t="shared" si="155"/>
        <v/>
      </c>
      <c r="BA198" s="1044" t="str">
        <f t="shared" si="156"/>
        <v/>
      </c>
      <c r="BB198" s="1044" t="str">
        <f t="shared" si="157"/>
        <v/>
      </c>
      <c r="BC198" s="1044" t="str">
        <f t="shared" si="158"/>
        <v/>
      </c>
      <c r="BF198" s="1" t="s">
        <v>7</v>
      </c>
      <c r="BG198" s="1076" t="s">
        <v>689</v>
      </c>
      <c r="BH198" s="1" t="s">
        <v>1359</v>
      </c>
      <c r="BI198" s="1" t="s">
        <v>7579</v>
      </c>
    </row>
    <row r="199" spans="1:61" ht="30" customHeight="1">
      <c r="A199" s="1085" t="str">
        <f t="shared" si="106"/>
        <v/>
      </c>
      <c r="B199" s="1086"/>
      <c r="C199" s="1085" t="s">
        <v>254</v>
      </c>
      <c r="D199" s="1087" t="str">
        <f t="shared" si="107"/>
        <v/>
      </c>
      <c r="E199" s="1088" t="str">
        <f t="shared" si="108"/>
        <v/>
      </c>
      <c r="F199" s="1089" t="str">
        <f t="shared" si="109"/>
        <v/>
      </c>
      <c r="G199" s="1090" t="str">
        <f t="shared" si="110"/>
        <v/>
      </c>
      <c r="H199" s="1085" t="str">
        <f t="shared" si="111"/>
        <v/>
      </c>
      <c r="I199" s="1085" t="str">
        <f t="shared" si="112"/>
        <v/>
      </c>
      <c r="J199" s="1090" t="str">
        <f t="shared" si="113"/>
        <v/>
      </c>
      <c r="K199" s="1044" t="str">
        <f t="shared" si="114"/>
        <v/>
      </c>
      <c r="L199" s="1044" t="str">
        <f t="shared" si="115"/>
        <v/>
      </c>
      <c r="M199" s="1044" t="str">
        <f t="shared" si="116"/>
        <v/>
      </c>
      <c r="N199" s="1044" t="str">
        <f t="shared" si="117"/>
        <v/>
      </c>
      <c r="O199" s="1044">
        <f t="shared" si="118"/>
        <v>0</v>
      </c>
      <c r="P199" s="1044">
        <f t="shared" si="119"/>
        <v>0</v>
      </c>
      <c r="Q199" s="1044">
        <f t="shared" si="120"/>
        <v>0</v>
      </c>
      <c r="R199" s="1044">
        <f t="shared" si="121"/>
        <v>0</v>
      </c>
      <c r="S199" s="1044">
        <f t="shared" si="122"/>
        <v>0</v>
      </c>
      <c r="T199" s="1044">
        <f t="shared" si="123"/>
        <v>0</v>
      </c>
      <c r="U199" s="1044">
        <f t="shared" si="124"/>
        <v>0</v>
      </c>
      <c r="V199" s="1044">
        <f t="shared" si="125"/>
        <v>0</v>
      </c>
      <c r="W199" s="1044">
        <f t="shared" si="126"/>
        <v>0</v>
      </c>
      <c r="X199" s="1044">
        <f t="shared" si="127"/>
        <v>0</v>
      </c>
      <c r="Y199" s="1044">
        <f t="shared" si="128"/>
        <v>0</v>
      </c>
      <c r="Z199" s="1044">
        <f t="shared" si="129"/>
        <v>0</v>
      </c>
      <c r="AA199" s="1044">
        <f t="shared" si="130"/>
        <v>0</v>
      </c>
      <c r="AB199" s="1044">
        <f t="shared" si="131"/>
        <v>0</v>
      </c>
      <c r="AC199" s="1044">
        <f t="shared" si="132"/>
        <v>0</v>
      </c>
      <c r="AD199" s="1044">
        <f t="shared" si="133"/>
        <v>0</v>
      </c>
      <c r="AE199" s="1044">
        <f t="shared" si="134"/>
        <v>0</v>
      </c>
      <c r="AF199" s="1044">
        <f t="shared" si="135"/>
        <v>0</v>
      </c>
      <c r="AG199" s="1044">
        <f t="shared" si="136"/>
        <v>0</v>
      </c>
      <c r="AH199" s="1044">
        <f t="shared" si="137"/>
        <v>0</v>
      </c>
      <c r="AI199" s="1044">
        <f t="shared" si="138"/>
        <v>0</v>
      </c>
      <c r="AJ199" s="1044">
        <f t="shared" si="139"/>
        <v>0</v>
      </c>
      <c r="AK199" s="1044">
        <f t="shared" si="140"/>
        <v>0</v>
      </c>
      <c r="AL199" s="1044">
        <f t="shared" si="141"/>
        <v>0</v>
      </c>
      <c r="AM199" s="1044">
        <f t="shared" si="142"/>
        <v>0</v>
      </c>
      <c r="AN199" s="1044" t="str">
        <f t="shared" si="143"/>
        <v/>
      </c>
      <c r="AO199" s="1044" t="str">
        <f t="shared" si="144"/>
        <v/>
      </c>
      <c r="AP199" s="1044" t="str">
        <f t="shared" si="145"/>
        <v/>
      </c>
      <c r="AQ199" s="1044" t="str">
        <f t="shared" si="146"/>
        <v/>
      </c>
      <c r="AR199" s="1044" t="str">
        <f t="shared" si="147"/>
        <v/>
      </c>
      <c r="AS199" s="1044" t="str">
        <f t="shared" si="148"/>
        <v/>
      </c>
      <c r="AT199" s="1044" t="str">
        <f t="shared" si="149"/>
        <v/>
      </c>
      <c r="AU199" s="1044" t="str">
        <f t="shared" si="150"/>
        <v/>
      </c>
      <c r="AV199" s="1044" t="str">
        <f t="shared" si="151"/>
        <v/>
      </c>
      <c r="AW199" s="1044" t="str">
        <f t="shared" si="152"/>
        <v/>
      </c>
      <c r="AX199" s="1044" t="str">
        <f t="shared" si="153"/>
        <v/>
      </c>
      <c r="AY199" s="1044" t="str">
        <f t="shared" si="154"/>
        <v/>
      </c>
      <c r="AZ199" s="1044" t="str">
        <f t="shared" si="155"/>
        <v/>
      </c>
      <c r="BA199" s="1044" t="str">
        <f t="shared" si="156"/>
        <v/>
      </c>
      <c r="BB199" s="1044" t="str">
        <f t="shared" si="157"/>
        <v/>
      </c>
      <c r="BC199" s="1044" t="str">
        <f t="shared" si="158"/>
        <v/>
      </c>
      <c r="BF199" s="1" t="s">
        <v>7</v>
      </c>
      <c r="BG199" s="1076" t="s">
        <v>689</v>
      </c>
      <c r="BH199" s="1" t="s">
        <v>1362</v>
      </c>
      <c r="BI199" s="1" t="s">
        <v>7580</v>
      </c>
    </row>
    <row r="200" spans="1:61" ht="30" customHeight="1">
      <c r="A200" s="1085" t="str">
        <f t="shared" si="106"/>
        <v/>
      </c>
      <c r="B200" s="1086"/>
      <c r="C200" s="1085" t="s">
        <v>254</v>
      </c>
      <c r="D200" s="1087" t="str">
        <f t="shared" si="107"/>
        <v/>
      </c>
      <c r="E200" s="1088" t="str">
        <f t="shared" si="108"/>
        <v/>
      </c>
      <c r="F200" s="1089" t="str">
        <f t="shared" si="109"/>
        <v/>
      </c>
      <c r="G200" s="1090" t="str">
        <f t="shared" si="110"/>
        <v/>
      </c>
      <c r="H200" s="1085" t="str">
        <f t="shared" si="111"/>
        <v/>
      </c>
      <c r="I200" s="1085" t="str">
        <f t="shared" si="112"/>
        <v/>
      </c>
      <c r="J200" s="1090" t="str">
        <f t="shared" si="113"/>
        <v/>
      </c>
      <c r="K200" s="1044" t="str">
        <f t="shared" si="114"/>
        <v/>
      </c>
      <c r="L200" s="1044" t="str">
        <f t="shared" si="115"/>
        <v/>
      </c>
      <c r="M200" s="1044" t="str">
        <f t="shared" si="116"/>
        <v/>
      </c>
      <c r="N200" s="1044" t="str">
        <f t="shared" si="117"/>
        <v/>
      </c>
      <c r="O200" s="1044">
        <f t="shared" si="118"/>
        <v>0</v>
      </c>
      <c r="P200" s="1044">
        <f t="shared" si="119"/>
        <v>0</v>
      </c>
      <c r="Q200" s="1044">
        <f t="shared" si="120"/>
        <v>0</v>
      </c>
      <c r="R200" s="1044">
        <f t="shared" si="121"/>
        <v>0</v>
      </c>
      <c r="S200" s="1044">
        <f t="shared" si="122"/>
        <v>0</v>
      </c>
      <c r="T200" s="1044">
        <f t="shared" si="123"/>
        <v>0</v>
      </c>
      <c r="U200" s="1044">
        <f t="shared" si="124"/>
        <v>0</v>
      </c>
      <c r="V200" s="1044">
        <f t="shared" si="125"/>
        <v>0</v>
      </c>
      <c r="W200" s="1044">
        <f t="shared" si="126"/>
        <v>0</v>
      </c>
      <c r="X200" s="1044">
        <f t="shared" si="127"/>
        <v>0</v>
      </c>
      <c r="Y200" s="1044">
        <f t="shared" si="128"/>
        <v>0</v>
      </c>
      <c r="Z200" s="1044">
        <f t="shared" si="129"/>
        <v>0</v>
      </c>
      <c r="AA200" s="1044">
        <f t="shared" si="130"/>
        <v>0</v>
      </c>
      <c r="AB200" s="1044">
        <f t="shared" si="131"/>
        <v>0</v>
      </c>
      <c r="AC200" s="1044">
        <f t="shared" si="132"/>
        <v>0</v>
      </c>
      <c r="AD200" s="1044">
        <f t="shared" si="133"/>
        <v>0</v>
      </c>
      <c r="AE200" s="1044">
        <f t="shared" si="134"/>
        <v>0</v>
      </c>
      <c r="AF200" s="1044">
        <f t="shared" si="135"/>
        <v>0</v>
      </c>
      <c r="AG200" s="1044">
        <f t="shared" si="136"/>
        <v>0</v>
      </c>
      <c r="AH200" s="1044">
        <f t="shared" si="137"/>
        <v>0</v>
      </c>
      <c r="AI200" s="1044">
        <f t="shared" si="138"/>
        <v>0</v>
      </c>
      <c r="AJ200" s="1044">
        <f t="shared" si="139"/>
        <v>0</v>
      </c>
      <c r="AK200" s="1044">
        <f t="shared" si="140"/>
        <v>0</v>
      </c>
      <c r="AL200" s="1044">
        <f t="shared" si="141"/>
        <v>0</v>
      </c>
      <c r="AM200" s="1044">
        <f t="shared" si="142"/>
        <v>0</v>
      </c>
      <c r="AN200" s="1044" t="str">
        <f t="shared" si="143"/>
        <v/>
      </c>
      <c r="AO200" s="1044" t="str">
        <f t="shared" si="144"/>
        <v/>
      </c>
      <c r="AP200" s="1044" t="str">
        <f t="shared" si="145"/>
        <v/>
      </c>
      <c r="AQ200" s="1044" t="str">
        <f t="shared" si="146"/>
        <v/>
      </c>
      <c r="AR200" s="1044" t="str">
        <f t="shared" si="147"/>
        <v/>
      </c>
      <c r="AS200" s="1044" t="str">
        <f t="shared" si="148"/>
        <v/>
      </c>
      <c r="AT200" s="1044" t="str">
        <f t="shared" si="149"/>
        <v/>
      </c>
      <c r="AU200" s="1044" t="str">
        <f t="shared" si="150"/>
        <v/>
      </c>
      <c r="AV200" s="1044" t="str">
        <f t="shared" si="151"/>
        <v/>
      </c>
      <c r="AW200" s="1044" t="str">
        <f t="shared" si="152"/>
        <v/>
      </c>
      <c r="AX200" s="1044" t="str">
        <f t="shared" si="153"/>
        <v/>
      </c>
      <c r="AY200" s="1044" t="str">
        <f t="shared" si="154"/>
        <v/>
      </c>
      <c r="AZ200" s="1044" t="str">
        <f t="shared" si="155"/>
        <v/>
      </c>
      <c r="BA200" s="1044" t="str">
        <f t="shared" si="156"/>
        <v/>
      </c>
      <c r="BB200" s="1044" t="str">
        <f t="shared" si="157"/>
        <v/>
      </c>
      <c r="BC200" s="1044" t="str">
        <f t="shared" si="158"/>
        <v/>
      </c>
      <c r="BF200" s="1" t="s">
        <v>7</v>
      </c>
      <c r="BG200" s="1076" t="s">
        <v>689</v>
      </c>
      <c r="BH200" s="1" t="s">
        <v>1371</v>
      </c>
      <c r="BI200" s="1" t="s">
        <v>7581</v>
      </c>
    </row>
    <row r="201" spans="1:61">
      <c r="BF201" s="1" t="s">
        <v>7</v>
      </c>
      <c r="BG201" s="1076" t="s">
        <v>689</v>
      </c>
      <c r="BH201" s="1" t="s">
        <v>7111</v>
      </c>
      <c r="BI201" s="1" t="s">
        <v>7582</v>
      </c>
    </row>
    <row r="202" spans="1:61">
      <c r="BF202" s="1" t="s">
        <v>7</v>
      </c>
      <c r="BG202" s="1076" t="s">
        <v>689</v>
      </c>
      <c r="BH202" s="1" t="s">
        <v>1944</v>
      </c>
      <c r="BI202" s="1" t="s">
        <v>7583</v>
      </c>
    </row>
    <row r="203" spans="1:61">
      <c r="BF203" s="1" t="s">
        <v>7</v>
      </c>
      <c r="BG203" s="1076" t="s">
        <v>689</v>
      </c>
      <c r="BH203" s="1" t="s">
        <v>80</v>
      </c>
      <c r="BI203" s="1" t="s">
        <v>7584</v>
      </c>
    </row>
    <row r="204" spans="1:61">
      <c r="BF204" s="1" t="s">
        <v>7</v>
      </c>
      <c r="BG204" s="1076" t="s">
        <v>689</v>
      </c>
      <c r="BH204" s="1" t="s">
        <v>317</v>
      </c>
      <c r="BI204" s="1" t="s">
        <v>7585</v>
      </c>
    </row>
    <row r="205" spans="1:61">
      <c r="BF205" s="1" t="s">
        <v>7</v>
      </c>
      <c r="BG205" s="1076" t="s">
        <v>689</v>
      </c>
      <c r="BH205" s="1" t="s">
        <v>118</v>
      </c>
      <c r="BI205" s="1" t="s">
        <v>7586</v>
      </c>
    </row>
    <row r="206" spans="1:61">
      <c r="BF206" s="1" t="s">
        <v>7</v>
      </c>
      <c r="BG206" s="1076" t="s">
        <v>689</v>
      </c>
      <c r="BH206" s="1" t="s">
        <v>194</v>
      </c>
      <c r="BI206" s="1" t="s">
        <v>7587</v>
      </c>
    </row>
    <row r="207" spans="1:61">
      <c r="BF207" s="1" t="s">
        <v>7</v>
      </c>
      <c r="BG207" s="1076" t="s">
        <v>689</v>
      </c>
      <c r="BH207" s="1" t="s">
        <v>704</v>
      </c>
      <c r="BI207" s="1" t="s">
        <v>7588</v>
      </c>
    </row>
    <row r="208" spans="1:61">
      <c r="BF208" s="1" t="s">
        <v>7</v>
      </c>
      <c r="BG208" s="1076" t="s">
        <v>689</v>
      </c>
      <c r="BH208" s="1" t="s">
        <v>7112</v>
      </c>
      <c r="BI208" s="1" t="s">
        <v>7589</v>
      </c>
    </row>
    <row r="209" spans="58:61">
      <c r="BF209" s="1" t="s">
        <v>7</v>
      </c>
      <c r="BG209" s="1076" t="s">
        <v>689</v>
      </c>
      <c r="BH209" s="1" t="s">
        <v>7113</v>
      </c>
      <c r="BI209" s="1" t="s">
        <v>7590</v>
      </c>
    </row>
    <row r="210" spans="58:61">
      <c r="BF210" s="1" t="s">
        <v>7</v>
      </c>
      <c r="BG210" s="1076" t="s">
        <v>689</v>
      </c>
      <c r="BH210" s="1" t="s">
        <v>7114</v>
      </c>
      <c r="BI210" s="1" t="s">
        <v>7591</v>
      </c>
    </row>
    <row r="211" spans="58:61">
      <c r="BF211" s="1" t="s">
        <v>7</v>
      </c>
      <c r="BG211" s="1076" t="s">
        <v>689</v>
      </c>
      <c r="BH211" s="1" t="s">
        <v>7115</v>
      </c>
      <c r="BI211" s="1" t="s">
        <v>7592</v>
      </c>
    </row>
    <row r="212" spans="58:61">
      <c r="BF212" s="1" t="s">
        <v>7</v>
      </c>
      <c r="BG212" s="1076" t="s">
        <v>689</v>
      </c>
      <c r="BH212" s="1" t="s">
        <v>189</v>
      </c>
      <c r="BI212" s="1" t="s">
        <v>7593</v>
      </c>
    </row>
    <row r="213" spans="58:61">
      <c r="BF213" s="1" t="s">
        <v>7</v>
      </c>
      <c r="BG213" s="1076" t="s">
        <v>689</v>
      </c>
      <c r="BH213" s="1" t="s">
        <v>7116</v>
      </c>
      <c r="BI213" s="1" t="s">
        <v>7594</v>
      </c>
    </row>
    <row r="214" spans="58:61">
      <c r="BF214" s="1" t="s">
        <v>7</v>
      </c>
      <c r="BG214" s="1076" t="s">
        <v>689</v>
      </c>
      <c r="BH214" s="1" t="s">
        <v>318</v>
      </c>
      <c r="BI214" s="1" t="s">
        <v>7595</v>
      </c>
    </row>
    <row r="215" spans="58:61">
      <c r="BF215" s="1" t="s">
        <v>7</v>
      </c>
      <c r="BG215" s="1076" t="s">
        <v>689</v>
      </c>
      <c r="BH215" s="1" t="s">
        <v>151</v>
      </c>
      <c r="BI215" s="1" t="s">
        <v>7596</v>
      </c>
    </row>
    <row r="216" spans="58:61">
      <c r="BF216" s="1" t="s">
        <v>7</v>
      </c>
      <c r="BG216" s="1076" t="s">
        <v>689</v>
      </c>
      <c r="BH216" s="1" t="s">
        <v>7117</v>
      </c>
      <c r="BI216" s="1" t="s">
        <v>7597</v>
      </c>
    </row>
    <row r="217" spans="58:61">
      <c r="BF217" s="1" t="s">
        <v>7</v>
      </c>
      <c r="BG217" s="1076" t="s">
        <v>689</v>
      </c>
      <c r="BH217" s="1" t="s">
        <v>7118</v>
      </c>
      <c r="BI217" s="1" t="s">
        <v>7598</v>
      </c>
    </row>
    <row r="218" spans="58:61">
      <c r="BF218" s="1" t="s">
        <v>7</v>
      </c>
      <c r="BG218" s="1076" t="s">
        <v>689</v>
      </c>
      <c r="BH218" s="1" t="s">
        <v>1435</v>
      </c>
      <c r="BI218" s="1" t="s">
        <v>7599</v>
      </c>
    </row>
    <row r="219" spans="58:61">
      <c r="BF219" s="1" t="s">
        <v>11</v>
      </c>
      <c r="BG219" s="1076" t="s">
        <v>689</v>
      </c>
      <c r="BH219" s="1" t="s">
        <v>322</v>
      </c>
      <c r="BI219" s="1" t="s">
        <v>7600</v>
      </c>
    </row>
    <row r="220" spans="58:61">
      <c r="BF220" s="1" t="s">
        <v>11</v>
      </c>
      <c r="BG220" s="1076" t="s">
        <v>689</v>
      </c>
      <c r="BH220" s="1" t="s">
        <v>167</v>
      </c>
      <c r="BI220" s="1" t="s">
        <v>7601</v>
      </c>
    </row>
    <row r="221" spans="58:61">
      <c r="BF221" s="1" t="s">
        <v>11</v>
      </c>
      <c r="BG221" s="1076" t="s">
        <v>689</v>
      </c>
      <c r="BH221" s="1" t="s">
        <v>3987</v>
      </c>
      <c r="BI221" s="1" t="s">
        <v>7602</v>
      </c>
    </row>
    <row r="222" spans="58:61">
      <c r="BF222" s="1" t="s">
        <v>11</v>
      </c>
      <c r="BG222" s="1076" t="s">
        <v>689</v>
      </c>
      <c r="BH222" s="1" t="s">
        <v>696</v>
      </c>
      <c r="BI222" s="1" t="s">
        <v>7603</v>
      </c>
    </row>
    <row r="223" spans="58:61">
      <c r="BF223" s="1" t="s">
        <v>11</v>
      </c>
      <c r="BG223" s="1076" t="s">
        <v>689</v>
      </c>
      <c r="BH223" s="1" t="s">
        <v>697</v>
      </c>
      <c r="BI223" s="1" t="s">
        <v>7604</v>
      </c>
    </row>
    <row r="224" spans="58:61">
      <c r="BF224" s="1" t="s">
        <v>11</v>
      </c>
      <c r="BG224" s="1076" t="s">
        <v>689</v>
      </c>
      <c r="BH224" s="1" t="s">
        <v>695</v>
      </c>
      <c r="BI224" s="1" t="s">
        <v>7605</v>
      </c>
    </row>
    <row r="225" spans="58:61">
      <c r="BF225" s="1" t="s">
        <v>11</v>
      </c>
      <c r="BG225" s="1076" t="s">
        <v>689</v>
      </c>
      <c r="BH225" s="1" t="s">
        <v>3995</v>
      </c>
      <c r="BI225" s="1" t="s">
        <v>7606</v>
      </c>
    </row>
    <row r="226" spans="58:61">
      <c r="BF226" s="1" t="s">
        <v>11</v>
      </c>
      <c r="BG226" s="1076" t="s">
        <v>689</v>
      </c>
      <c r="BH226" s="1" t="s">
        <v>325</v>
      </c>
      <c r="BI226" s="1" t="s">
        <v>7607</v>
      </c>
    </row>
    <row r="227" spans="58:61">
      <c r="BF227" s="1" t="s">
        <v>11</v>
      </c>
      <c r="BG227" s="1076" t="s">
        <v>689</v>
      </c>
      <c r="BH227" s="1" t="s">
        <v>4073</v>
      </c>
      <c r="BI227" s="1" t="s">
        <v>7608</v>
      </c>
    </row>
    <row r="228" spans="58:61">
      <c r="BF228" s="1" t="s">
        <v>11</v>
      </c>
      <c r="BG228" s="1076" t="s">
        <v>689</v>
      </c>
      <c r="BH228" s="1" t="s">
        <v>7119</v>
      </c>
      <c r="BI228" s="1" t="s">
        <v>7609</v>
      </c>
    </row>
    <row r="229" spans="58:61">
      <c r="BF229" s="1" t="s">
        <v>11</v>
      </c>
      <c r="BG229" s="1076" t="s">
        <v>689</v>
      </c>
      <c r="BH229" s="1" t="s">
        <v>4076</v>
      </c>
      <c r="BI229" s="1" t="s">
        <v>7610</v>
      </c>
    </row>
    <row r="230" spans="58:61">
      <c r="BF230" s="1" t="s">
        <v>11</v>
      </c>
      <c r="BG230" s="1076" t="s">
        <v>689</v>
      </c>
      <c r="BH230" s="1" t="s">
        <v>110</v>
      </c>
      <c r="BI230" s="1" t="s">
        <v>7611</v>
      </c>
    </row>
    <row r="231" spans="58:61">
      <c r="BF231" s="1" t="s">
        <v>11</v>
      </c>
      <c r="BG231" s="1076" t="s">
        <v>689</v>
      </c>
      <c r="BH231" s="1" t="s">
        <v>96</v>
      </c>
      <c r="BI231" s="1" t="s">
        <v>7612</v>
      </c>
    </row>
    <row r="232" spans="58:61">
      <c r="BF232" s="1" t="s">
        <v>11</v>
      </c>
      <c r="BG232" s="1076" t="s">
        <v>689</v>
      </c>
      <c r="BH232" s="1" t="s">
        <v>948</v>
      </c>
      <c r="BI232" s="1" t="s">
        <v>7613</v>
      </c>
    </row>
    <row r="233" spans="58:61">
      <c r="BF233" s="1" t="s">
        <v>11</v>
      </c>
      <c r="BG233" s="1076" t="s">
        <v>689</v>
      </c>
      <c r="BH233" s="1" t="s">
        <v>4112</v>
      </c>
      <c r="BI233" s="1" t="s">
        <v>7614</v>
      </c>
    </row>
    <row r="234" spans="58:61">
      <c r="BF234" s="1" t="s">
        <v>11</v>
      </c>
      <c r="BG234" s="1076" t="s">
        <v>689</v>
      </c>
      <c r="BH234" s="1" t="s">
        <v>698</v>
      </c>
      <c r="BI234" s="1" t="s">
        <v>7615</v>
      </c>
    </row>
    <row r="235" spans="58:61">
      <c r="BF235" s="1" t="s">
        <v>11</v>
      </c>
      <c r="BG235" s="1076" t="s">
        <v>689</v>
      </c>
      <c r="BH235" s="1" t="s">
        <v>7120</v>
      </c>
      <c r="BI235" s="1" t="s">
        <v>7616</v>
      </c>
    </row>
    <row r="236" spans="58:61">
      <c r="BF236" s="1" t="s">
        <v>11</v>
      </c>
      <c r="BG236" s="1076" t="s">
        <v>689</v>
      </c>
      <c r="BH236" s="1" t="s">
        <v>4136</v>
      </c>
      <c r="BI236" s="1" t="s">
        <v>7617</v>
      </c>
    </row>
    <row r="237" spans="58:61">
      <c r="BF237" s="1" t="s">
        <v>11</v>
      </c>
      <c r="BG237" s="1076" t="s">
        <v>689</v>
      </c>
      <c r="BH237" s="1" t="s">
        <v>4139</v>
      </c>
      <c r="BI237" s="1" t="s">
        <v>7618</v>
      </c>
    </row>
    <row r="238" spans="58:61">
      <c r="BF238" s="1" t="s">
        <v>11</v>
      </c>
      <c r="BG238" s="1076" t="s">
        <v>689</v>
      </c>
      <c r="BH238" s="1" t="s">
        <v>180</v>
      </c>
      <c r="BI238" s="1" t="s">
        <v>7619</v>
      </c>
    </row>
    <row r="239" spans="58:61">
      <c r="BF239" s="1" t="s">
        <v>11</v>
      </c>
      <c r="BG239" s="1076" t="s">
        <v>689</v>
      </c>
      <c r="BH239" s="1" t="s">
        <v>328</v>
      </c>
      <c r="BI239" s="1" t="s">
        <v>7620</v>
      </c>
    </row>
    <row r="240" spans="58:61">
      <c r="BF240" s="1" t="s">
        <v>11</v>
      </c>
      <c r="BG240" s="1076" t="s">
        <v>689</v>
      </c>
      <c r="BH240" s="1" t="s">
        <v>959</v>
      </c>
      <c r="BI240" s="1" t="s">
        <v>7621</v>
      </c>
    </row>
    <row r="241" spans="58:61">
      <c r="BF241" s="1" t="s">
        <v>11</v>
      </c>
      <c r="BG241" s="1076" t="s">
        <v>689</v>
      </c>
      <c r="BH241" s="1" t="s">
        <v>961</v>
      </c>
      <c r="BI241" s="1" t="s">
        <v>7622</v>
      </c>
    </row>
    <row r="242" spans="58:61">
      <c r="BF242" s="1" t="s">
        <v>11</v>
      </c>
      <c r="BG242" s="1076" t="s">
        <v>689</v>
      </c>
      <c r="BH242" s="1" t="s">
        <v>962</v>
      </c>
      <c r="BI242" s="1" t="s">
        <v>7623</v>
      </c>
    </row>
    <row r="243" spans="58:61">
      <c r="BF243" s="1" t="s">
        <v>11</v>
      </c>
      <c r="BG243" s="1076" t="s">
        <v>689</v>
      </c>
      <c r="BH243" s="1" t="s">
        <v>176</v>
      </c>
      <c r="BI243" s="1" t="s">
        <v>7624</v>
      </c>
    </row>
    <row r="244" spans="58:61">
      <c r="BF244" s="1" t="s">
        <v>11</v>
      </c>
      <c r="BG244" s="1076" t="s">
        <v>689</v>
      </c>
      <c r="BH244" s="1" t="s">
        <v>965</v>
      </c>
      <c r="BI244" s="1" t="s">
        <v>7625</v>
      </c>
    </row>
    <row r="245" spans="58:61">
      <c r="BF245" s="1" t="s">
        <v>11</v>
      </c>
      <c r="BG245" s="1076" t="s">
        <v>689</v>
      </c>
      <c r="BH245" s="1" t="s">
        <v>7121</v>
      </c>
      <c r="BI245" s="1" t="s">
        <v>7626</v>
      </c>
    </row>
    <row r="246" spans="58:61">
      <c r="BF246" s="1" t="s">
        <v>11</v>
      </c>
      <c r="BG246" s="1076" t="s">
        <v>689</v>
      </c>
      <c r="BH246" s="1" t="s">
        <v>7122</v>
      </c>
      <c r="BI246" s="1" t="s">
        <v>7627</v>
      </c>
    </row>
    <row r="247" spans="58:61">
      <c r="BF247" s="1" t="s">
        <v>11</v>
      </c>
      <c r="BG247" s="1076" t="s">
        <v>689</v>
      </c>
      <c r="BH247" s="1" t="s">
        <v>7123</v>
      </c>
      <c r="BI247" s="1" t="s">
        <v>7628</v>
      </c>
    </row>
    <row r="248" spans="58:61">
      <c r="BF248" s="1" t="s">
        <v>11</v>
      </c>
      <c r="BG248" s="1076" t="s">
        <v>689</v>
      </c>
      <c r="BH248" s="1" t="s">
        <v>7124</v>
      </c>
      <c r="BI248" s="1" t="s">
        <v>7629</v>
      </c>
    </row>
    <row r="249" spans="58:61">
      <c r="BF249" s="1" t="s">
        <v>11</v>
      </c>
      <c r="BG249" s="1076" t="s">
        <v>689</v>
      </c>
      <c r="BH249" s="1" t="s">
        <v>967</v>
      </c>
      <c r="BI249" s="1" t="s">
        <v>7630</v>
      </c>
    </row>
    <row r="250" spans="58:61">
      <c r="BF250" s="1" t="s">
        <v>11</v>
      </c>
      <c r="BG250" s="1076" t="s">
        <v>689</v>
      </c>
      <c r="BH250" s="1" t="s">
        <v>4212</v>
      </c>
      <c r="BI250" s="1" t="s">
        <v>7631</v>
      </c>
    </row>
    <row r="251" spans="58:61">
      <c r="BF251" s="1" t="s">
        <v>11</v>
      </c>
      <c r="BG251" s="1076" t="s">
        <v>689</v>
      </c>
      <c r="BH251" s="1" t="s">
        <v>699</v>
      </c>
      <c r="BI251" s="1" t="s">
        <v>7632</v>
      </c>
    </row>
    <row r="252" spans="58:61">
      <c r="BF252" s="1" t="s">
        <v>11</v>
      </c>
      <c r="BG252" s="1076" t="s">
        <v>689</v>
      </c>
      <c r="BH252" s="1" t="s">
        <v>4252</v>
      </c>
      <c r="BI252" s="1" t="s">
        <v>7633</v>
      </c>
    </row>
    <row r="253" spans="58:61">
      <c r="BF253" s="1" t="s">
        <v>11</v>
      </c>
      <c r="BG253" s="1076" t="s">
        <v>689</v>
      </c>
      <c r="BH253" s="1" t="s">
        <v>84</v>
      </c>
      <c r="BI253" s="1" t="s">
        <v>7634</v>
      </c>
    </row>
    <row r="254" spans="58:61">
      <c r="BF254" s="1" t="s">
        <v>11</v>
      </c>
      <c r="BG254" s="1076" t="s">
        <v>689</v>
      </c>
      <c r="BH254" s="1" t="s">
        <v>70</v>
      </c>
      <c r="BI254" s="1" t="s">
        <v>7635</v>
      </c>
    </row>
    <row r="255" spans="58:61">
      <c r="BF255" s="1" t="s">
        <v>11</v>
      </c>
      <c r="BG255" s="1076" t="s">
        <v>689</v>
      </c>
      <c r="BH255" s="1" t="s">
        <v>23</v>
      </c>
      <c r="BI255" s="1" t="s">
        <v>7636</v>
      </c>
    </row>
    <row r="256" spans="58:61">
      <c r="BF256" s="1" t="s">
        <v>11</v>
      </c>
      <c r="BG256" s="1076" t="s">
        <v>689</v>
      </c>
      <c r="BH256" s="1" t="s">
        <v>4264</v>
      </c>
      <c r="BI256" s="1" t="s">
        <v>7637</v>
      </c>
    </row>
    <row r="257" spans="58:61">
      <c r="BF257" s="1" t="s">
        <v>11</v>
      </c>
      <c r="BG257" s="1076" t="s">
        <v>689</v>
      </c>
      <c r="BH257" s="1" t="s">
        <v>7125</v>
      </c>
      <c r="BI257" s="1" t="s">
        <v>7638</v>
      </c>
    </row>
    <row r="258" spans="58:61">
      <c r="BF258" s="1" t="s">
        <v>11</v>
      </c>
      <c r="BG258" s="1076" t="s">
        <v>689</v>
      </c>
      <c r="BH258" s="1" t="s">
        <v>4267</v>
      </c>
      <c r="BI258" s="1" t="s">
        <v>7639</v>
      </c>
    </row>
    <row r="259" spans="58:61">
      <c r="BF259" s="1" t="s">
        <v>11</v>
      </c>
      <c r="BG259" s="1076" t="s">
        <v>689</v>
      </c>
      <c r="BH259" s="1" t="s">
        <v>58</v>
      </c>
      <c r="BI259" s="1" t="s">
        <v>7640</v>
      </c>
    </row>
    <row r="260" spans="58:61">
      <c r="BF260" s="1" t="s">
        <v>11</v>
      </c>
      <c r="BG260" s="1076" t="s">
        <v>689</v>
      </c>
      <c r="BH260" s="1" t="s">
        <v>47</v>
      </c>
      <c r="BI260" s="1" t="s">
        <v>7641</v>
      </c>
    </row>
    <row r="261" spans="58:61">
      <c r="BF261" s="1" t="s">
        <v>11</v>
      </c>
      <c r="BG261" s="1076" t="s">
        <v>689</v>
      </c>
      <c r="BH261" s="1" t="s">
        <v>156</v>
      </c>
      <c r="BI261" s="1" t="s">
        <v>7642</v>
      </c>
    </row>
    <row r="262" spans="58:61">
      <c r="BF262" s="1" t="s">
        <v>11</v>
      </c>
      <c r="BG262" s="1076" t="s">
        <v>689</v>
      </c>
      <c r="BH262" s="1" t="s">
        <v>33</v>
      </c>
      <c r="BI262" s="1" t="s">
        <v>7643</v>
      </c>
    </row>
    <row r="263" spans="58:61">
      <c r="BF263" s="1" t="s">
        <v>11</v>
      </c>
      <c r="BG263" s="1076" t="s">
        <v>689</v>
      </c>
      <c r="BH263" s="1" t="s">
        <v>185</v>
      </c>
      <c r="BI263" s="1" t="s">
        <v>7644</v>
      </c>
    </row>
    <row r="264" spans="58:61">
      <c r="BF264" s="1" t="s">
        <v>11</v>
      </c>
      <c r="BG264" s="1076" t="s">
        <v>689</v>
      </c>
      <c r="BH264" s="1" t="s">
        <v>4300</v>
      </c>
      <c r="BI264" s="1" t="s">
        <v>7645</v>
      </c>
    </row>
    <row r="265" spans="58:61">
      <c r="BF265" s="1" t="s">
        <v>11</v>
      </c>
      <c r="BG265" s="1076" t="s">
        <v>689</v>
      </c>
      <c r="BH265" s="1" t="s">
        <v>4325</v>
      </c>
      <c r="BI265" s="1" t="s">
        <v>7646</v>
      </c>
    </row>
    <row r="266" spans="58:61">
      <c r="BF266" s="1" t="s">
        <v>11</v>
      </c>
      <c r="BG266" s="1076" t="s">
        <v>689</v>
      </c>
      <c r="BH266" s="1" t="s">
        <v>981</v>
      </c>
      <c r="BI266" s="1" t="s">
        <v>7647</v>
      </c>
    </row>
    <row r="267" spans="58:61">
      <c r="BF267" s="1" t="s">
        <v>11</v>
      </c>
      <c r="BG267" s="1076" t="s">
        <v>689</v>
      </c>
      <c r="BH267" s="1" t="s">
        <v>985</v>
      </c>
      <c r="BI267" s="1" t="s">
        <v>7648</v>
      </c>
    </row>
    <row r="268" spans="58:61">
      <c r="BF268" s="1" t="s">
        <v>11</v>
      </c>
      <c r="BG268" s="1076" t="s">
        <v>689</v>
      </c>
      <c r="BH268" s="1" t="s">
        <v>331</v>
      </c>
      <c r="BI268" s="1" t="s">
        <v>7649</v>
      </c>
    </row>
    <row r="269" spans="58:61">
      <c r="BF269" s="1" t="s">
        <v>11</v>
      </c>
      <c r="BG269" s="1076" t="s">
        <v>689</v>
      </c>
      <c r="BH269" s="1" t="s">
        <v>986</v>
      </c>
      <c r="BI269" s="1" t="s">
        <v>7650</v>
      </c>
    </row>
    <row r="270" spans="58:61">
      <c r="BF270" s="1" t="s">
        <v>11</v>
      </c>
      <c r="BG270" s="1076" t="s">
        <v>689</v>
      </c>
      <c r="BH270" s="1" t="s">
        <v>146</v>
      </c>
      <c r="BI270" s="1" t="s">
        <v>7651</v>
      </c>
    </row>
    <row r="271" spans="58:61">
      <c r="BF271" s="1" t="s">
        <v>11</v>
      </c>
      <c r="BG271" s="1076" t="s">
        <v>689</v>
      </c>
      <c r="BH271" s="1" t="s">
        <v>4399</v>
      </c>
      <c r="BI271" s="1" t="s">
        <v>7652</v>
      </c>
    </row>
    <row r="272" spans="58:61">
      <c r="BF272" s="1" t="s">
        <v>11</v>
      </c>
      <c r="BG272" s="1076" t="s">
        <v>689</v>
      </c>
      <c r="BH272" s="1" t="s">
        <v>7126</v>
      </c>
      <c r="BI272" s="1" t="s">
        <v>7653</v>
      </c>
    </row>
    <row r="273" spans="58:61">
      <c r="BF273" s="1" t="s">
        <v>11</v>
      </c>
      <c r="BG273" s="1076" t="s">
        <v>689</v>
      </c>
      <c r="BH273" s="1" t="s">
        <v>123</v>
      </c>
      <c r="BI273" s="1" t="s">
        <v>7654</v>
      </c>
    </row>
    <row r="274" spans="58:61">
      <c r="BF274" s="1" t="s">
        <v>11</v>
      </c>
      <c r="BG274" s="1076" t="s">
        <v>689</v>
      </c>
      <c r="BH274" s="1" t="s">
        <v>136</v>
      </c>
      <c r="BI274" s="1" t="s">
        <v>7655</v>
      </c>
    </row>
    <row r="275" spans="58:61">
      <c r="BF275" s="1" t="s">
        <v>11</v>
      </c>
      <c r="BG275" s="1076" t="s">
        <v>689</v>
      </c>
      <c r="BH275" s="1" t="s">
        <v>4423</v>
      </c>
      <c r="BI275" s="1" t="s">
        <v>7656</v>
      </c>
    </row>
    <row r="276" spans="58:61">
      <c r="BF276" s="1" t="s">
        <v>11</v>
      </c>
      <c r="BG276" s="1076" t="s">
        <v>689</v>
      </c>
      <c r="BH276" s="1" t="s">
        <v>4465</v>
      </c>
      <c r="BI276" s="1" t="s">
        <v>7657</v>
      </c>
    </row>
    <row r="277" spans="58:61">
      <c r="BF277" s="1" t="s">
        <v>11</v>
      </c>
      <c r="BG277" s="1076" t="s">
        <v>689</v>
      </c>
      <c r="BH277" s="1" t="s">
        <v>332</v>
      </c>
      <c r="BI277" s="1" t="s">
        <v>7658</v>
      </c>
    </row>
    <row r="278" spans="58:61">
      <c r="BF278" s="1" t="s">
        <v>11</v>
      </c>
      <c r="BG278" s="1076" t="s">
        <v>689</v>
      </c>
      <c r="BH278" s="1" t="s">
        <v>7127</v>
      </c>
      <c r="BI278" s="1" t="s">
        <v>7659</v>
      </c>
    </row>
    <row r="279" spans="58:61">
      <c r="BF279" s="1" t="s">
        <v>11</v>
      </c>
      <c r="BG279" s="1076" t="s">
        <v>689</v>
      </c>
      <c r="BH279" s="1" t="s">
        <v>4515</v>
      </c>
      <c r="BI279" s="1" t="s">
        <v>7660</v>
      </c>
    </row>
    <row r="280" spans="58:61">
      <c r="BF280" s="1" t="s">
        <v>11</v>
      </c>
      <c r="BG280" s="1076" t="s">
        <v>689</v>
      </c>
      <c r="BH280" s="1" t="s">
        <v>172</v>
      </c>
      <c r="BI280" s="1" t="s">
        <v>7661</v>
      </c>
    </row>
    <row r="281" spans="58:61">
      <c r="BF281" s="1" t="s">
        <v>14</v>
      </c>
      <c r="BG281" s="1076" t="s">
        <v>689</v>
      </c>
      <c r="BH281" s="1" t="s">
        <v>7128</v>
      </c>
      <c r="BI281" s="1" t="s">
        <v>7662</v>
      </c>
    </row>
    <row r="282" spans="58:61">
      <c r="BF282" s="1" t="s">
        <v>14</v>
      </c>
      <c r="BG282" s="1076" t="s">
        <v>689</v>
      </c>
      <c r="BH282" s="1" t="s">
        <v>38</v>
      </c>
      <c r="BI282" s="1" t="s">
        <v>7663</v>
      </c>
    </row>
    <row r="283" spans="58:61">
      <c r="BF283" s="1" t="s">
        <v>14</v>
      </c>
      <c r="BG283" s="1076" t="s">
        <v>689</v>
      </c>
      <c r="BH283" s="1" t="s">
        <v>7129</v>
      </c>
      <c r="BI283" s="1" t="s">
        <v>7664</v>
      </c>
    </row>
    <row r="284" spans="58:61">
      <c r="BF284" s="1" t="s">
        <v>14</v>
      </c>
      <c r="BG284" s="1076" t="s">
        <v>689</v>
      </c>
      <c r="BH284" s="1" t="s">
        <v>64</v>
      </c>
      <c r="BI284" s="1" t="s">
        <v>7665</v>
      </c>
    </row>
    <row r="285" spans="58:61">
      <c r="BF285" s="1" t="s">
        <v>14</v>
      </c>
      <c r="BG285" s="1076" t="s">
        <v>689</v>
      </c>
      <c r="BH285" s="1" t="s">
        <v>51</v>
      </c>
      <c r="BI285" s="1" t="s">
        <v>7666</v>
      </c>
    </row>
    <row r="286" spans="58:61">
      <c r="BF286" s="1" t="s">
        <v>14</v>
      </c>
      <c r="BG286" s="1076" t="s">
        <v>689</v>
      </c>
      <c r="BH286" s="1" t="s">
        <v>7130</v>
      </c>
      <c r="BI286" s="1" t="s">
        <v>7667</v>
      </c>
    </row>
    <row r="287" spans="58:61">
      <c r="BF287" s="1" t="s">
        <v>14</v>
      </c>
      <c r="BG287" s="1076" t="s">
        <v>689</v>
      </c>
      <c r="BH287" s="1" t="s">
        <v>5</v>
      </c>
      <c r="BI287" s="1" t="s">
        <v>7668</v>
      </c>
    </row>
    <row r="288" spans="58:61">
      <c r="BF288" s="1" t="s">
        <v>14</v>
      </c>
      <c r="BG288" s="1076" t="s">
        <v>689</v>
      </c>
      <c r="BH288" s="1" t="s">
        <v>77</v>
      </c>
      <c r="BI288" s="1" t="s">
        <v>7669</v>
      </c>
    </row>
    <row r="289" spans="58:61">
      <c r="BF289" s="1" t="s">
        <v>14</v>
      </c>
      <c r="BG289" s="1076" t="s">
        <v>689</v>
      </c>
      <c r="BH289" s="1" t="s">
        <v>89</v>
      </c>
      <c r="BI289" s="1" t="s">
        <v>7670</v>
      </c>
    </row>
    <row r="290" spans="58:61">
      <c r="BF290" s="1" t="s">
        <v>14</v>
      </c>
      <c r="BG290" s="1076" t="s">
        <v>689</v>
      </c>
      <c r="BH290" s="1" t="s">
        <v>116</v>
      </c>
      <c r="BI290" s="1" t="s">
        <v>7671</v>
      </c>
    </row>
    <row r="291" spans="58:61">
      <c r="BF291" s="1" t="s">
        <v>14</v>
      </c>
      <c r="BG291" s="1076" t="s">
        <v>689</v>
      </c>
      <c r="BH291" s="1" t="s">
        <v>102</v>
      </c>
      <c r="BI291" s="1" t="s">
        <v>7672</v>
      </c>
    </row>
    <row r="292" spans="58:61">
      <c r="BF292" s="1" t="s">
        <v>15</v>
      </c>
      <c r="BG292" s="1076" t="s">
        <v>689</v>
      </c>
      <c r="BH292" s="1" t="s">
        <v>691</v>
      </c>
      <c r="BI292" s="1" t="s">
        <v>7673</v>
      </c>
    </row>
    <row r="293" spans="58:61">
      <c r="BF293" s="1" t="s">
        <v>15</v>
      </c>
      <c r="BG293" s="1076" t="s">
        <v>689</v>
      </c>
      <c r="BH293" s="1" t="s">
        <v>5288</v>
      </c>
      <c r="BI293" s="1" t="s">
        <v>7674</v>
      </c>
    </row>
    <row r="294" spans="58:61">
      <c r="BF294" s="1" t="s">
        <v>15</v>
      </c>
      <c r="BG294" s="1076" t="s">
        <v>689</v>
      </c>
      <c r="BH294" s="1" t="s">
        <v>5290</v>
      </c>
      <c r="BI294" s="1" t="s">
        <v>7675</v>
      </c>
    </row>
    <row r="295" spans="58:61">
      <c r="BF295" s="1" t="s">
        <v>15</v>
      </c>
      <c r="BG295" s="1076" t="s">
        <v>689</v>
      </c>
      <c r="BH295" s="1" t="s">
        <v>1001</v>
      </c>
      <c r="BI295" s="1" t="s">
        <v>7676</v>
      </c>
    </row>
    <row r="296" spans="58:61">
      <c r="BF296" s="1" t="s">
        <v>15</v>
      </c>
      <c r="BG296" s="1076" t="s">
        <v>689</v>
      </c>
      <c r="BH296" s="1" t="s">
        <v>343</v>
      </c>
      <c r="BI296" s="1" t="s">
        <v>7677</v>
      </c>
    </row>
    <row r="297" spans="58:61">
      <c r="BF297" s="1" t="s">
        <v>15</v>
      </c>
      <c r="BG297" s="1076" t="s">
        <v>689</v>
      </c>
      <c r="BH297" s="1" t="s">
        <v>173</v>
      </c>
      <c r="BI297" s="1" t="s">
        <v>7678</v>
      </c>
    </row>
    <row r="298" spans="58:61">
      <c r="BF298" s="1" t="s">
        <v>15</v>
      </c>
      <c r="BG298" s="1076" t="s">
        <v>689</v>
      </c>
      <c r="BH298" s="1" t="s">
        <v>177</v>
      </c>
      <c r="BI298" s="1" t="s">
        <v>7679</v>
      </c>
    </row>
    <row r="299" spans="58:61">
      <c r="BF299" s="1" t="s">
        <v>15</v>
      </c>
      <c r="BG299" s="1076" t="s">
        <v>689</v>
      </c>
      <c r="BH299" s="1" t="s">
        <v>692</v>
      </c>
      <c r="BI299" s="1" t="s">
        <v>7680</v>
      </c>
    </row>
    <row r="300" spans="58:61">
      <c r="BF300" s="1" t="s">
        <v>15</v>
      </c>
      <c r="BG300" s="1076" t="s">
        <v>689</v>
      </c>
      <c r="BH300" s="1" t="s">
        <v>129</v>
      </c>
      <c r="BI300" s="1" t="s">
        <v>7681</v>
      </c>
    </row>
    <row r="301" spans="58:61">
      <c r="BF301" s="1" t="s">
        <v>15</v>
      </c>
      <c r="BG301" s="1076" t="s">
        <v>689</v>
      </c>
      <c r="BH301" s="1" t="s">
        <v>138</v>
      </c>
      <c r="BI301" s="1" t="s">
        <v>7682</v>
      </c>
    </row>
    <row r="302" spans="58:61">
      <c r="BF302" s="1" t="s">
        <v>15</v>
      </c>
      <c r="BG302" s="1076" t="s">
        <v>689</v>
      </c>
      <c r="BH302" s="1" t="s">
        <v>204</v>
      </c>
      <c r="BI302" s="1" t="s">
        <v>7683</v>
      </c>
    </row>
    <row r="303" spans="58:61">
      <c r="BF303" s="1" t="s">
        <v>15</v>
      </c>
      <c r="BG303" s="1076" t="s">
        <v>689</v>
      </c>
      <c r="BH303" s="1" t="s">
        <v>207</v>
      </c>
      <c r="BI303" s="1" t="s">
        <v>7684</v>
      </c>
    </row>
    <row r="304" spans="58:61">
      <c r="BF304" s="1" t="s">
        <v>15</v>
      </c>
      <c r="BG304" s="1076" t="s">
        <v>689</v>
      </c>
      <c r="BH304" s="1" t="s">
        <v>182</v>
      </c>
      <c r="BI304" s="1" t="s">
        <v>7685</v>
      </c>
    </row>
    <row r="305" spans="58:61">
      <c r="BF305" s="1" t="s">
        <v>15</v>
      </c>
      <c r="BG305" s="1076" t="s">
        <v>689</v>
      </c>
      <c r="BH305" s="1" t="s">
        <v>186</v>
      </c>
      <c r="BI305" s="1" t="s">
        <v>7686</v>
      </c>
    </row>
    <row r="306" spans="58:61">
      <c r="BF306" s="1" t="s">
        <v>15</v>
      </c>
      <c r="BG306" s="1076" t="s">
        <v>689</v>
      </c>
      <c r="BH306" s="1" t="s">
        <v>162</v>
      </c>
      <c r="BI306" s="1" t="s">
        <v>7687</v>
      </c>
    </row>
    <row r="307" spans="58:61">
      <c r="BF307" s="1" t="s">
        <v>15</v>
      </c>
      <c r="BG307" s="1076" t="s">
        <v>689</v>
      </c>
      <c r="BH307" s="1" t="s">
        <v>168</v>
      </c>
      <c r="BI307" s="1" t="s">
        <v>7688</v>
      </c>
    </row>
    <row r="308" spans="58:61">
      <c r="BF308" s="1" t="s">
        <v>15</v>
      </c>
      <c r="BG308" s="1076" t="s">
        <v>689</v>
      </c>
      <c r="BH308" s="1" t="s">
        <v>7131</v>
      </c>
      <c r="BI308" s="1" t="s">
        <v>7689</v>
      </c>
    </row>
    <row r="309" spans="58:61">
      <c r="BF309" s="1" t="s">
        <v>15</v>
      </c>
      <c r="BG309" s="1076" t="s">
        <v>689</v>
      </c>
      <c r="BH309" s="1" t="s">
        <v>78</v>
      </c>
      <c r="BI309" s="1" t="s">
        <v>7690</v>
      </c>
    </row>
    <row r="310" spans="58:61">
      <c r="BF310" s="1" t="s">
        <v>15</v>
      </c>
      <c r="BG310" s="1076" t="s">
        <v>689</v>
      </c>
      <c r="BH310" s="1" t="s">
        <v>90</v>
      </c>
      <c r="BI310" s="1" t="s">
        <v>7691</v>
      </c>
    </row>
    <row r="311" spans="58:61">
      <c r="BF311" s="1" t="s">
        <v>15</v>
      </c>
      <c r="BG311" s="1076" t="s">
        <v>689</v>
      </c>
      <c r="BH311" s="1" t="s">
        <v>27</v>
      </c>
      <c r="BI311" s="1" t="s">
        <v>7692</v>
      </c>
    </row>
    <row r="312" spans="58:61">
      <c r="BF312" s="1" t="s">
        <v>15</v>
      </c>
      <c r="BG312" s="1076" t="s">
        <v>689</v>
      </c>
      <c r="BH312" s="1" t="s">
        <v>6</v>
      </c>
      <c r="BI312" s="1" t="s">
        <v>7693</v>
      </c>
    </row>
    <row r="313" spans="58:61">
      <c r="BF313" s="1" t="s">
        <v>15</v>
      </c>
      <c r="BG313" s="1076" t="s">
        <v>689</v>
      </c>
      <c r="BH313" s="1" t="s">
        <v>7132</v>
      </c>
      <c r="BI313" s="1" t="s">
        <v>7694</v>
      </c>
    </row>
    <row r="314" spans="58:61">
      <c r="BF314" s="1" t="s">
        <v>15</v>
      </c>
      <c r="BG314" s="1076" t="s">
        <v>689</v>
      </c>
      <c r="BH314" s="1" t="s">
        <v>65</v>
      </c>
      <c r="BI314" s="1" t="s">
        <v>7695</v>
      </c>
    </row>
    <row r="315" spans="58:61">
      <c r="BF315" s="1" t="s">
        <v>15</v>
      </c>
      <c r="BG315" s="1076" t="s">
        <v>689</v>
      </c>
      <c r="BH315" s="1" t="s">
        <v>28</v>
      </c>
      <c r="BI315" s="1" t="s">
        <v>7696</v>
      </c>
    </row>
    <row r="316" spans="58:61">
      <c r="BF316" s="1" t="s">
        <v>15</v>
      </c>
      <c r="BG316" s="1076" t="s">
        <v>689</v>
      </c>
      <c r="BH316" s="1" t="s">
        <v>39</v>
      </c>
      <c r="BI316" s="1" t="s">
        <v>7697</v>
      </c>
    </row>
    <row r="317" spans="58:61">
      <c r="BF317" s="1" t="s">
        <v>15</v>
      </c>
      <c r="BG317" s="1076" t="s">
        <v>689</v>
      </c>
      <c r="BH317" s="1" t="s">
        <v>201</v>
      </c>
      <c r="BI317" s="1" t="s">
        <v>7698</v>
      </c>
    </row>
    <row r="318" spans="58:61">
      <c r="BF318" s="1" t="s">
        <v>15</v>
      </c>
      <c r="BG318" s="1076" t="s">
        <v>689</v>
      </c>
      <c r="BH318" s="1" t="s">
        <v>1007</v>
      </c>
      <c r="BI318" s="1" t="s">
        <v>7699</v>
      </c>
    </row>
    <row r="319" spans="58:61">
      <c r="BF319" s="1" t="s">
        <v>15</v>
      </c>
      <c r="BG319" s="1076" t="s">
        <v>689</v>
      </c>
      <c r="BH319" s="1" t="s">
        <v>5542</v>
      </c>
      <c r="BI319" s="1" t="s">
        <v>7700</v>
      </c>
    </row>
    <row r="320" spans="58:61">
      <c r="BF320" s="1" t="s">
        <v>15</v>
      </c>
      <c r="BG320" s="1076" t="s">
        <v>689</v>
      </c>
      <c r="BH320" s="1" t="s">
        <v>103</v>
      </c>
      <c r="BI320" s="1" t="s">
        <v>7701</v>
      </c>
    </row>
    <row r="321" spans="58:61">
      <c r="BF321" s="1" t="s">
        <v>15</v>
      </c>
      <c r="BG321" s="1076" t="s">
        <v>689</v>
      </c>
      <c r="BH321" s="1" t="s">
        <v>117</v>
      </c>
      <c r="BI321" s="1" t="s">
        <v>7702</v>
      </c>
    </row>
    <row r="322" spans="58:61">
      <c r="BF322" s="1" t="s">
        <v>15</v>
      </c>
      <c r="BG322" s="1076" t="s">
        <v>689</v>
      </c>
      <c r="BH322" s="1" t="s">
        <v>361</v>
      </c>
      <c r="BI322" s="1" t="s">
        <v>7703</v>
      </c>
    </row>
    <row r="323" spans="58:61">
      <c r="BF323" s="1" t="s">
        <v>15</v>
      </c>
      <c r="BG323" s="1076" t="s">
        <v>689</v>
      </c>
      <c r="BH323" s="1" t="s">
        <v>193</v>
      </c>
      <c r="BI323" s="1" t="s">
        <v>7704</v>
      </c>
    </row>
    <row r="324" spans="58:61">
      <c r="BF324" s="1" t="s">
        <v>15</v>
      </c>
      <c r="BG324" s="1076" t="s">
        <v>689</v>
      </c>
      <c r="BH324" s="1" t="s">
        <v>197</v>
      </c>
      <c r="BI324" s="1" t="s">
        <v>7705</v>
      </c>
    </row>
    <row r="325" spans="58:61">
      <c r="BF325" s="1" t="s">
        <v>15</v>
      </c>
      <c r="BG325" s="1076" t="s">
        <v>689</v>
      </c>
      <c r="BH325" s="1" t="s">
        <v>149</v>
      </c>
      <c r="BI325" s="1" t="s">
        <v>7706</v>
      </c>
    </row>
    <row r="326" spans="58:61">
      <c r="BF326" s="1" t="s">
        <v>15</v>
      </c>
      <c r="BG326" s="1076" t="s">
        <v>689</v>
      </c>
      <c r="BH326" s="1" t="s">
        <v>157</v>
      </c>
      <c r="BI326" s="1" t="s">
        <v>7707</v>
      </c>
    </row>
    <row r="327" spans="58:61">
      <c r="BF327" s="1" t="s">
        <v>15</v>
      </c>
      <c r="BG327" s="1076" t="s">
        <v>689</v>
      </c>
      <c r="BH327" s="1" t="s">
        <v>210</v>
      </c>
      <c r="BI327" s="1" t="s">
        <v>7708</v>
      </c>
    </row>
    <row r="328" spans="58:61">
      <c r="BF328" s="1" t="s">
        <v>15</v>
      </c>
      <c r="BG328" s="1076" t="s">
        <v>689</v>
      </c>
      <c r="BH328" s="1" t="s">
        <v>188</v>
      </c>
      <c r="BI328" s="1" t="s">
        <v>7709</v>
      </c>
    </row>
    <row r="329" spans="58:61">
      <c r="BF329" s="1" t="s">
        <v>15</v>
      </c>
      <c r="BG329" s="1076" t="s">
        <v>689</v>
      </c>
      <c r="BH329" s="1" t="s">
        <v>191</v>
      </c>
      <c r="BI329" s="1" t="s">
        <v>7710</v>
      </c>
    </row>
    <row r="330" spans="58:61">
      <c r="BF330" s="1" t="s">
        <v>15</v>
      </c>
      <c r="BG330" s="1076" t="s">
        <v>689</v>
      </c>
      <c r="BH330" s="1" t="s">
        <v>1010</v>
      </c>
      <c r="BI330" s="1" t="s">
        <v>7711</v>
      </c>
    </row>
    <row r="331" spans="58:61">
      <c r="BF331" s="1" t="s">
        <v>15</v>
      </c>
      <c r="BG331" s="1076" t="s">
        <v>689</v>
      </c>
      <c r="BH331" s="1" t="s">
        <v>1011</v>
      </c>
      <c r="BI331" s="1" t="s">
        <v>7712</v>
      </c>
    </row>
    <row r="332" spans="58:61">
      <c r="BF332" s="1" t="s">
        <v>12</v>
      </c>
      <c r="BG332" s="1076" t="s">
        <v>689</v>
      </c>
      <c r="BH332" s="1" t="s">
        <v>7133</v>
      </c>
      <c r="BI332" s="1" t="s">
        <v>7713</v>
      </c>
    </row>
    <row r="333" spans="58:61">
      <c r="BF333" s="1" t="s">
        <v>12</v>
      </c>
      <c r="BG333" s="1076" t="s">
        <v>689</v>
      </c>
      <c r="BH333" s="1" t="s">
        <v>61</v>
      </c>
      <c r="BI333" s="1" t="s">
        <v>7714</v>
      </c>
    </row>
    <row r="334" spans="58:61">
      <c r="BF334" s="1" t="s">
        <v>12</v>
      </c>
      <c r="BG334" s="1076" t="s">
        <v>689</v>
      </c>
      <c r="BH334" s="1" t="s">
        <v>36</v>
      </c>
      <c r="BI334" s="1" t="s">
        <v>7715</v>
      </c>
    </row>
    <row r="335" spans="58:61">
      <c r="BF335" s="1" t="s">
        <v>12</v>
      </c>
      <c r="BG335" s="1076" t="s">
        <v>689</v>
      </c>
      <c r="BH335" s="1" t="s">
        <v>48</v>
      </c>
      <c r="BI335" s="1" t="s">
        <v>7716</v>
      </c>
    </row>
    <row r="336" spans="58:61">
      <c r="BF336" s="1" t="s">
        <v>12</v>
      </c>
      <c r="BG336" s="1076" t="s">
        <v>689</v>
      </c>
      <c r="BH336" s="1" t="s">
        <v>7134</v>
      </c>
      <c r="BI336" s="1" t="s">
        <v>7717</v>
      </c>
    </row>
    <row r="337" spans="58:61">
      <c r="BF337" s="1" t="s">
        <v>12</v>
      </c>
      <c r="BG337" s="1076" t="s">
        <v>689</v>
      </c>
      <c r="BH337" s="1" t="s">
        <v>7135</v>
      </c>
      <c r="BI337" s="1" t="s">
        <v>7718</v>
      </c>
    </row>
    <row r="338" spans="58:61">
      <c r="BF338" s="1" t="s">
        <v>12</v>
      </c>
      <c r="BG338" s="1076" t="s">
        <v>689</v>
      </c>
      <c r="BH338" s="1" t="s">
        <v>7136</v>
      </c>
      <c r="BI338" s="1" t="s">
        <v>7719</v>
      </c>
    </row>
    <row r="339" spans="58:61">
      <c r="BF339" s="1" t="s">
        <v>12</v>
      </c>
      <c r="BG339" s="1076" t="s">
        <v>689</v>
      </c>
      <c r="BH339" s="1" t="s">
        <v>87</v>
      </c>
      <c r="BI339" s="1" t="s">
        <v>7720</v>
      </c>
    </row>
    <row r="340" spans="58:61">
      <c r="BF340" s="1" t="s">
        <v>12</v>
      </c>
      <c r="BG340" s="1076" t="s">
        <v>689</v>
      </c>
      <c r="BH340" s="1" t="s">
        <v>25</v>
      </c>
      <c r="BI340" s="1" t="s">
        <v>7721</v>
      </c>
    </row>
    <row r="341" spans="58:61">
      <c r="BF341" s="1" t="s">
        <v>12</v>
      </c>
      <c r="BG341" s="1076" t="s">
        <v>689</v>
      </c>
      <c r="BH341" s="1" t="s">
        <v>5002</v>
      </c>
      <c r="BI341" s="1" t="s">
        <v>7722</v>
      </c>
    </row>
    <row r="342" spans="58:61">
      <c r="BF342" s="1" t="s">
        <v>12</v>
      </c>
      <c r="BG342" s="1076" t="s">
        <v>689</v>
      </c>
      <c r="BH342" s="1" t="s">
        <v>5004</v>
      </c>
      <c r="BI342" s="1" t="s">
        <v>7723</v>
      </c>
    </row>
    <row r="343" spans="58:61">
      <c r="BF343" s="1" t="s">
        <v>12</v>
      </c>
      <c r="BG343" s="1076" t="s">
        <v>689</v>
      </c>
      <c r="BH343" s="1" t="s">
        <v>74</v>
      </c>
      <c r="BI343" s="1" t="s">
        <v>7724</v>
      </c>
    </row>
    <row r="344" spans="58:61">
      <c r="BF344" s="1" t="s">
        <v>12</v>
      </c>
      <c r="BG344" s="1076" t="s">
        <v>689</v>
      </c>
      <c r="BH344" s="1" t="s">
        <v>7137</v>
      </c>
      <c r="BI344" s="1" t="s">
        <v>7725</v>
      </c>
    </row>
    <row r="345" spans="58:61">
      <c r="BF345" s="1" t="s">
        <v>7030</v>
      </c>
      <c r="BG345" s="1076" t="s">
        <v>689</v>
      </c>
      <c r="BH345" s="1" t="s">
        <v>120</v>
      </c>
      <c r="BI345" s="1" t="s">
        <v>7726</v>
      </c>
    </row>
    <row r="346" spans="58:61">
      <c r="BF346" s="1" t="s">
        <v>7030</v>
      </c>
      <c r="BG346" s="1076" t="s">
        <v>689</v>
      </c>
      <c r="BH346" s="1" t="s">
        <v>7138</v>
      </c>
      <c r="BI346" s="1" t="s">
        <v>7727</v>
      </c>
    </row>
    <row r="347" spans="58:61">
      <c r="BF347" s="1" t="s">
        <v>7030</v>
      </c>
      <c r="BG347" s="1076" t="s">
        <v>689</v>
      </c>
      <c r="BH347" s="1" t="s">
        <v>7139</v>
      </c>
      <c r="BI347" s="1" t="s">
        <v>7728</v>
      </c>
    </row>
    <row r="348" spans="58:61">
      <c r="BF348" s="1" t="s">
        <v>7030</v>
      </c>
      <c r="BG348" s="1076" t="s">
        <v>689</v>
      </c>
      <c r="BH348" s="1" t="s">
        <v>44</v>
      </c>
      <c r="BI348" s="1" t="s">
        <v>7729</v>
      </c>
    </row>
    <row r="349" spans="58:61">
      <c r="BF349" s="1" t="s">
        <v>7030</v>
      </c>
      <c r="BG349" s="1076" t="s">
        <v>689</v>
      </c>
      <c r="BH349" s="1" t="s">
        <v>7140</v>
      </c>
      <c r="BI349" s="1" t="s">
        <v>7730</v>
      </c>
    </row>
    <row r="350" spans="58:61">
      <c r="BF350" s="1" t="s">
        <v>7030</v>
      </c>
      <c r="BG350" s="1076" t="s">
        <v>689</v>
      </c>
      <c r="BH350" s="1" t="s">
        <v>7141</v>
      </c>
      <c r="BI350" s="1" t="s">
        <v>7731</v>
      </c>
    </row>
    <row r="351" spans="58:61">
      <c r="BF351" s="1" t="s">
        <v>7030</v>
      </c>
      <c r="BG351" s="1076" t="s">
        <v>689</v>
      </c>
      <c r="BH351" s="1" t="s">
        <v>7142</v>
      </c>
      <c r="BI351" s="1" t="s">
        <v>7732</v>
      </c>
    </row>
    <row r="352" spans="58:61">
      <c r="BF352" s="1" t="s">
        <v>7030</v>
      </c>
      <c r="BG352" s="1076" t="s">
        <v>689</v>
      </c>
      <c r="BH352" s="1" t="s">
        <v>56</v>
      </c>
      <c r="BI352" s="1" t="s">
        <v>7733</v>
      </c>
    </row>
    <row r="353" spans="58:61">
      <c r="BF353" s="1" t="s">
        <v>7030</v>
      </c>
      <c r="BG353" s="1076" t="s">
        <v>689</v>
      </c>
      <c r="BH353" s="1" t="s">
        <v>7143</v>
      </c>
      <c r="BI353" s="1" t="s">
        <v>7734</v>
      </c>
    </row>
    <row r="354" spans="58:61">
      <c r="BF354" s="1" t="s">
        <v>7030</v>
      </c>
      <c r="BG354" s="1076" t="s">
        <v>689</v>
      </c>
      <c r="BH354" s="1" t="s">
        <v>7144</v>
      </c>
      <c r="BI354" s="1" t="s">
        <v>7735</v>
      </c>
    </row>
    <row r="355" spans="58:61">
      <c r="BF355" s="1" t="s">
        <v>7030</v>
      </c>
      <c r="BG355" s="1076" t="s">
        <v>689</v>
      </c>
      <c r="BH355" s="1" t="s">
        <v>7145</v>
      </c>
      <c r="BI355" s="1" t="s">
        <v>7736</v>
      </c>
    </row>
    <row r="356" spans="58:61">
      <c r="BF356" s="1" t="s">
        <v>7030</v>
      </c>
      <c r="BG356" s="1076" t="s">
        <v>689</v>
      </c>
      <c r="BH356" s="1" t="s">
        <v>1835</v>
      </c>
      <c r="BI356" s="1" t="s">
        <v>7737</v>
      </c>
    </row>
    <row r="357" spans="58:61">
      <c r="BF357" s="1" t="s">
        <v>7030</v>
      </c>
      <c r="BG357" s="1076" t="s">
        <v>689</v>
      </c>
      <c r="BH357" s="1" t="s">
        <v>68</v>
      </c>
      <c r="BI357" s="1" t="s">
        <v>7738</v>
      </c>
    </row>
    <row r="358" spans="58:61">
      <c r="BF358" s="1" t="s">
        <v>7030</v>
      </c>
      <c r="BG358" s="1076" t="s">
        <v>689</v>
      </c>
      <c r="BH358" s="1" t="s">
        <v>7146</v>
      </c>
      <c r="BI358" s="1" t="s">
        <v>7739</v>
      </c>
    </row>
    <row r="359" spans="58:61">
      <c r="BF359" s="1" t="s">
        <v>7030</v>
      </c>
      <c r="BG359" s="1076" t="s">
        <v>689</v>
      </c>
      <c r="BH359" s="1" t="s">
        <v>7147</v>
      </c>
      <c r="BI359" s="1" t="s">
        <v>7740</v>
      </c>
    </row>
    <row r="360" spans="58:61">
      <c r="BF360" s="1" t="s">
        <v>7030</v>
      </c>
      <c r="BG360" s="1076" t="s">
        <v>689</v>
      </c>
      <c r="BH360" s="1" t="s">
        <v>82</v>
      </c>
      <c r="BI360" s="1" t="s">
        <v>7741</v>
      </c>
    </row>
    <row r="361" spans="58:61">
      <c r="BF361" s="1" t="s">
        <v>7030</v>
      </c>
      <c r="BG361" s="1076" t="s">
        <v>689</v>
      </c>
      <c r="BH361" s="1" t="s">
        <v>7148</v>
      </c>
      <c r="BI361" s="1" t="s">
        <v>7742</v>
      </c>
    </row>
    <row r="362" spans="58:61">
      <c r="BF362" s="1" t="s">
        <v>7030</v>
      </c>
      <c r="BG362" s="1076" t="s">
        <v>689</v>
      </c>
      <c r="BH362" s="1" t="s">
        <v>7149</v>
      </c>
      <c r="BI362" s="1" t="s">
        <v>7743</v>
      </c>
    </row>
    <row r="363" spans="58:61">
      <c r="BF363" s="1" t="s">
        <v>7030</v>
      </c>
      <c r="BG363" s="1076" t="s">
        <v>689</v>
      </c>
      <c r="BH363" s="1" t="s">
        <v>1860</v>
      </c>
      <c r="BI363" s="1" t="s">
        <v>7744</v>
      </c>
    </row>
    <row r="364" spans="58:61">
      <c r="BF364" s="1" t="s">
        <v>7030</v>
      </c>
      <c r="BG364" s="1076" t="s">
        <v>689</v>
      </c>
      <c r="BH364" s="1" t="s">
        <v>7150</v>
      </c>
      <c r="BI364" s="1" t="s">
        <v>7745</v>
      </c>
    </row>
    <row r="365" spans="58:61">
      <c r="BF365" s="1" t="s">
        <v>7030</v>
      </c>
      <c r="BG365" s="1076" t="s">
        <v>689</v>
      </c>
      <c r="BH365" s="1" t="s">
        <v>18</v>
      </c>
      <c r="BI365" s="1" t="s">
        <v>7746</v>
      </c>
    </row>
    <row r="366" spans="58:61">
      <c r="BF366" s="1" t="s">
        <v>7030</v>
      </c>
      <c r="BG366" s="1076" t="s">
        <v>689</v>
      </c>
      <c r="BH366" s="1" t="s">
        <v>7151</v>
      </c>
      <c r="BI366" s="1" t="s">
        <v>7747</v>
      </c>
    </row>
    <row r="367" spans="58:61">
      <c r="BF367" s="1" t="s">
        <v>7030</v>
      </c>
      <c r="BG367" s="1076" t="s">
        <v>689</v>
      </c>
      <c r="BH367" s="1" t="s">
        <v>7152</v>
      </c>
      <c r="BI367" s="1" t="s">
        <v>7748</v>
      </c>
    </row>
    <row r="368" spans="58:61">
      <c r="BF368" s="1" t="s">
        <v>7030</v>
      </c>
      <c r="BG368" s="1076" t="s">
        <v>689</v>
      </c>
      <c r="BH368" s="1" t="s">
        <v>7153</v>
      </c>
      <c r="BI368" s="1" t="s">
        <v>7749</v>
      </c>
    </row>
    <row r="369" spans="58:61">
      <c r="BF369" s="1" t="s">
        <v>7030</v>
      </c>
      <c r="BG369" s="1076" t="s">
        <v>689</v>
      </c>
      <c r="BH369" s="1" t="s">
        <v>0</v>
      </c>
      <c r="BI369" s="1" t="s">
        <v>7750</v>
      </c>
    </row>
    <row r="370" spans="58:61">
      <c r="BF370" s="1" t="s">
        <v>7030</v>
      </c>
      <c r="BG370" s="1076" t="s">
        <v>689</v>
      </c>
      <c r="BH370" s="1" t="s">
        <v>7154</v>
      </c>
      <c r="BI370" s="1" t="s">
        <v>7751</v>
      </c>
    </row>
    <row r="371" spans="58:61">
      <c r="BF371" s="1" t="s">
        <v>7030</v>
      </c>
      <c r="BG371" s="1076" t="s">
        <v>689</v>
      </c>
      <c r="BH371" s="1" t="s">
        <v>7155</v>
      </c>
      <c r="BI371" s="1" t="s">
        <v>7752</v>
      </c>
    </row>
    <row r="372" spans="58:61">
      <c r="BF372" s="1" t="s">
        <v>7030</v>
      </c>
      <c r="BG372" s="1076" t="s">
        <v>689</v>
      </c>
      <c r="BH372" s="1" t="s">
        <v>7156</v>
      </c>
      <c r="BI372" s="1" t="s">
        <v>7753</v>
      </c>
    </row>
    <row r="373" spans="58:61">
      <c r="BF373" s="1" t="s">
        <v>7030</v>
      </c>
      <c r="BG373" s="1076" t="s">
        <v>689</v>
      </c>
      <c r="BH373" s="1" t="s">
        <v>133</v>
      </c>
      <c r="BI373" s="1" t="s">
        <v>7754</v>
      </c>
    </row>
    <row r="374" spans="58:61">
      <c r="BF374" s="1" t="s">
        <v>7030</v>
      </c>
      <c r="BG374" s="1076" t="s">
        <v>689</v>
      </c>
      <c r="BH374" s="1" t="s">
        <v>7157</v>
      </c>
      <c r="BI374" s="1" t="s">
        <v>7755</v>
      </c>
    </row>
    <row r="375" spans="58:61">
      <c r="BF375" s="1" t="s">
        <v>7030</v>
      </c>
      <c r="BG375" s="1076" t="s">
        <v>689</v>
      </c>
      <c r="BH375" s="1" t="s">
        <v>1886</v>
      </c>
      <c r="BI375" s="1" t="s">
        <v>7756</v>
      </c>
    </row>
    <row r="376" spans="58:61">
      <c r="BF376" s="1" t="s">
        <v>7030</v>
      </c>
      <c r="BG376" s="1076" t="s">
        <v>689</v>
      </c>
      <c r="BH376" s="1" t="s">
        <v>1889</v>
      </c>
      <c r="BI376" s="1" t="s">
        <v>7757</v>
      </c>
    </row>
    <row r="377" spans="58:61">
      <c r="BF377" s="1" t="s">
        <v>7030</v>
      </c>
      <c r="BG377" s="1076" t="s">
        <v>689</v>
      </c>
      <c r="BH377" s="1" t="s">
        <v>144</v>
      </c>
      <c r="BI377" s="1" t="s">
        <v>7758</v>
      </c>
    </row>
    <row r="378" spans="58:61">
      <c r="BF378" s="1" t="s">
        <v>7030</v>
      </c>
      <c r="BG378" s="1076" t="s">
        <v>689</v>
      </c>
      <c r="BH378" s="1" t="s">
        <v>153</v>
      </c>
      <c r="BI378" s="1" t="s">
        <v>7759</v>
      </c>
    </row>
    <row r="379" spans="58:61">
      <c r="BF379" s="1" t="s">
        <v>7030</v>
      </c>
      <c r="BG379" s="1076" t="s">
        <v>689</v>
      </c>
      <c r="BH379" s="1" t="s">
        <v>106</v>
      </c>
      <c r="BI379" s="1" t="s">
        <v>7760</v>
      </c>
    </row>
    <row r="380" spans="58:61">
      <c r="BF380" s="1" t="s">
        <v>8</v>
      </c>
      <c r="BG380" s="1076" t="s">
        <v>689</v>
      </c>
      <c r="BH380" s="1" t="s">
        <v>134</v>
      </c>
      <c r="BI380" s="1" t="s">
        <v>7761</v>
      </c>
    </row>
    <row r="381" spans="58:61">
      <c r="BF381" s="1" t="s">
        <v>8</v>
      </c>
      <c r="BG381" s="1076" t="s">
        <v>689</v>
      </c>
      <c r="BH381" s="1" t="s">
        <v>165</v>
      </c>
      <c r="BI381" s="1" t="s">
        <v>7762</v>
      </c>
    </row>
    <row r="382" spans="58:61">
      <c r="BF382" s="1" t="s">
        <v>8</v>
      </c>
      <c r="BG382" s="1076" t="s">
        <v>689</v>
      </c>
      <c r="BH382" s="1" t="s">
        <v>69</v>
      </c>
      <c r="BI382" s="1" t="s">
        <v>7763</v>
      </c>
    </row>
    <row r="383" spans="58:61">
      <c r="BF383" s="1" t="s">
        <v>8</v>
      </c>
      <c r="BG383" s="1076" t="s">
        <v>689</v>
      </c>
      <c r="BH383" s="1" t="s">
        <v>7158</v>
      </c>
      <c r="BI383" s="1" t="s">
        <v>7764</v>
      </c>
    </row>
    <row r="384" spans="58:61">
      <c r="BF384" s="1" t="s">
        <v>8</v>
      </c>
      <c r="BG384" s="1076" t="s">
        <v>689</v>
      </c>
      <c r="BH384" s="1" t="s">
        <v>83</v>
      </c>
      <c r="BI384" s="1" t="s">
        <v>7765</v>
      </c>
    </row>
    <row r="385" spans="58:61">
      <c r="BF385" s="1" t="s">
        <v>8</v>
      </c>
      <c r="BG385" s="1076" t="s">
        <v>689</v>
      </c>
      <c r="BH385" s="1" t="s">
        <v>7159</v>
      </c>
      <c r="BI385" s="1" t="s">
        <v>7766</v>
      </c>
    </row>
    <row r="386" spans="58:61">
      <c r="BF386" s="1" t="s">
        <v>8</v>
      </c>
      <c r="BG386" s="1076" t="s">
        <v>689</v>
      </c>
      <c r="BH386" s="1" t="s">
        <v>171</v>
      </c>
      <c r="BI386" s="1" t="s">
        <v>7767</v>
      </c>
    </row>
    <row r="387" spans="58:61">
      <c r="BF387" s="1" t="s">
        <v>8</v>
      </c>
      <c r="BG387" s="1076" t="s">
        <v>689</v>
      </c>
      <c r="BH387" s="1" t="s">
        <v>7160</v>
      </c>
      <c r="BI387" s="1" t="s">
        <v>7768</v>
      </c>
    </row>
    <row r="388" spans="58:61">
      <c r="BF388" s="1" t="s">
        <v>8</v>
      </c>
      <c r="BG388" s="1076" t="s">
        <v>689</v>
      </c>
      <c r="BH388" s="1" t="s">
        <v>1028</v>
      </c>
      <c r="BI388" s="1" t="s">
        <v>7769</v>
      </c>
    </row>
    <row r="389" spans="58:61">
      <c r="BF389" s="1" t="s">
        <v>8</v>
      </c>
      <c r="BG389" s="1076" t="s">
        <v>689</v>
      </c>
      <c r="BH389" s="1" t="s">
        <v>1030</v>
      </c>
      <c r="BI389" s="1" t="s">
        <v>7770</v>
      </c>
    </row>
    <row r="390" spans="58:61">
      <c r="BF390" s="1" t="s">
        <v>8</v>
      </c>
      <c r="BG390" s="1076" t="s">
        <v>689</v>
      </c>
      <c r="BH390" s="1" t="s">
        <v>1031</v>
      </c>
      <c r="BI390" s="1" t="s">
        <v>7771</v>
      </c>
    </row>
    <row r="391" spans="58:61">
      <c r="BF391" s="1" t="s">
        <v>8</v>
      </c>
      <c r="BG391" s="1076" t="s">
        <v>689</v>
      </c>
      <c r="BH391" s="1" t="s">
        <v>700</v>
      </c>
      <c r="BI391" s="1" t="s">
        <v>7772</v>
      </c>
    </row>
    <row r="392" spans="58:61">
      <c r="BF392" s="1" t="s">
        <v>8</v>
      </c>
      <c r="BG392" s="1076" t="s">
        <v>689</v>
      </c>
      <c r="BH392" s="1" t="s">
        <v>358</v>
      </c>
      <c r="BI392" s="1" t="s">
        <v>7773</v>
      </c>
    </row>
    <row r="393" spans="58:61">
      <c r="BF393" s="1" t="s">
        <v>8</v>
      </c>
      <c r="BG393" s="1076" t="s">
        <v>689</v>
      </c>
      <c r="BH393" s="1" t="s">
        <v>359</v>
      </c>
      <c r="BI393" s="1" t="s">
        <v>7774</v>
      </c>
    </row>
    <row r="394" spans="58:61">
      <c r="BF394" s="1" t="s">
        <v>8</v>
      </c>
      <c r="BG394" s="1076" t="s">
        <v>689</v>
      </c>
      <c r="BH394" s="1" t="s">
        <v>2719</v>
      </c>
      <c r="BI394" s="1" t="s">
        <v>7775</v>
      </c>
    </row>
    <row r="395" spans="58:61">
      <c r="BF395" s="1" t="s">
        <v>8</v>
      </c>
      <c r="BG395" s="1076" t="s">
        <v>689</v>
      </c>
      <c r="BH395" s="1" t="s">
        <v>1033</v>
      </c>
      <c r="BI395" s="1" t="s">
        <v>7776</v>
      </c>
    </row>
    <row r="396" spans="58:61">
      <c r="BF396" s="1" t="s">
        <v>8</v>
      </c>
      <c r="BG396" s="1076" t="s">
        <v>689</v>
      </c>
      <c r="BH396" s="1" t="s">
        <v>701</v>
      </c>
      <c r="BI396" s="1" t="s">
        <v>7777</v>
      </c>
    </row>
    <row r="397" spans="58:61">
      <c r="BF397" s="1" t="s">
        <v>8</v>
      </c>
      <c r="BG397" s="1076" t="s">
        <v>689</v>
      </c>
      <c r="BH397" s="1" t="s">
        <v>1036</v>
      </c>
      <c r="BI397" s="1" t="s">
        <v>7778</v>
      </c>
    </row>
    <row r="398" spans="58:61">
      <c r="BF398" s="1" t="s">
        <v>8</v>
      </c>
      <c r="BG398" s="1076" t="s">
        <v>689</v>
      </c>
      <c r="BH398" s="1" t="s">
        <v>154</v>
      </c>
      <c r="BI398" s="1" t="s">
        <v>7779</v>
      </c>
    </row>
    <row r="399" spans="58:61">
      <c r="BF399" s="1" t="s">
        <v>8</v>
      </c>
      <c r="BG399" s="1076" t="s">
        <v>689</v>
      </c>
      <c r="BH399" s="1" t="s">
        <v>94</v>
      </c>
      <c r="BI399" s="1" t="s">
        <v>7780</v>
      </c>
    </row>
    <row r="400" spans="58:61">
      <c r="BF400" s="1" t="s">
        <v>8</v>
      </c>
      <c r="BG400" s="1076" t="s">
        <v>689</v>
      </c>
      <c r="BH400" s="1" t="s">
        <v>1041</v>
      </c>
      <c r="BI400" s="1" t="s">
        <v>7781</v>
      </c>
    </row>
    <row r="401" spans="58:61">
      <c r="BF401" s="1" t="s">
        <v>8</v>
      </c>
      <c r="BG401" s="1076" t="s">
        <v>689</v>
      </c>
      <c r="BH401" s="1" t="s">
        <v>7161</v>
      </c>
      <c r="BI401" s="1" t="s">
        <v>7782</v>
      </c>
    </row>
    <row r="402" spans="58:61">
      <c r="BF402" s="1" t="s">
        <v>8</v>
      </c>
      <c r="BG402" s="1076" t="s">
        <v>689</v>
      </c>
      <c r="BH402" s="1" t="s">
        <v>7162</v>
      </c>
      <c r="BI402" s="1" t="s">
        <v>7783</v>
      </c>
    </row>
    <row r="403" spans="58:61">
      <c r="BF403" s="1" t="s">
        <v>8</v>
      </c>
      <c r="BG403" s="1076" t="s">
        <v>689</v>
      </c>
      <c r="BH403" s="1" t="s">
        <v>19</v>
      </c>
      <c r="BI403" s="1" t="s">
        <v>7784</v>
      </c>
    </row>
    <row r="404" spans="58:61">
      <c r="BF404" s="1" t="s">
        <v>8</v>
      </c>
      <c r="BG404" s="1076" t="s">
        <v>689</v>
      </c>
      <c r="BH404" s="1" t="s">
        <v>31</v>
      </c>
      <c r="BI404" s="1" t="s">
        <v>7785</v>
      </c>
    </row>
    <row r="405" spans="58:61">
      <c r="BF405" s="1" t="s">
        <v>8</v>
      </c>
      <c r="BG405" s="1076" t="s">
        <v>689</v>
      </c>
      <c r="BH405" s="1" t="s">
        <v>3256</v>
      </c>
      <c r="BI405" s="1" t="s">
        <v>7786</v>
      </c>
    </row>
    <row r="406" spans="58:61">
      <c r="BF406" s="1" t="s">
        <v>8</v>
      </c>
      <c r="BG406" s="1076" t="s">
        <v>689</v>
      </c>
      <c r="BH406" s="1" t="s">
        <v>7163</v>
      </c>
      <c r="BI406" s="1" t="s">
        <v>7787</v>
      </c>
    </row>
    <row r="407" spans="58:61">
      <c r="BF407" s="1" t="s">
        <v>8</v>
      </c>
      <c r="BG407" s="1076" t="s">
        <v>689</v>
      </c>
      <c r="BH407" s="1" t="s">
        <v>107</v>
      </c>
      <c r="BI407" s="1" t="s">
        <v>7788</v>
      </c>
    </row>
    <row r="408" spans="58:61">
      <c r="BF408" s="1" t="s">
        <v>8</v>
      </c>
      <c r="BG408" s="1076" t="s">
        <v>689</v>
      </c>
      <c r="BH408" s="1" t="s">
        <v>121</v>
      </c>
      <c r="BI408" s="1" t="s">
        <v>7789</v>
      </c>
    </row>
    <row r="409" spans="58:61">
      <c r="BF409" s="1" t="s">
        <v>8</v>
      </c>
      <c r="BG409" s="1076" t="s">
        <v>689</v>
      </c>
      <c r="BH409" s="1" t="s">
        <v>1052</v>
      </c>
      <c r="BI409" s="1" t="s">
        <v>7790</v>
      </c>
    </row>
    <row r="410" spans="58:61">
      <c r="BF410" s="1" t="s">
        <v>8</v>
      </c>
      <c r="BG410" s="1076" t="s">
        <v>689</v>
      </c>
      <c r="BH410" s="1" t="s">
        <v>57</v>
      </c>
      <c r="BI410" s="1" t="s">
        <v>7791</v>
      </c>
    </row>
    <row r="411" spans="58:61">
      <c r="BF411" s="1" t="s">
        <v>8</v>
      </c>
      <c r="BG411" s="1076" t="s">
        <v>689</v>
      </c>
      <c r="BH411" s="1" t="s">
        <v>160</v>
      </c>
      <c r="BI411" s="1" t="s">
        <v>7792</v>
      </c>
    </row>
    <row r="412" spans="58:61">
      <c r="BF412" s="1" t="s">
        <v>8</v>
      </c>
      <c r="BG412" s="1076" t="s">
        <v>689</v>
      </c>
      <c r="BH412" s="1" t="s">
        <v>179</v>
      </c>
      <c r="BI412" s="1" t="s">
        <v>7793</v>
      </c>
    </row>
    <row r="413" spans="58:61">
      <c r="BF413" s="1" t="s">
        <v>8</v>
      </c>
      <c r="BG413" s="1076" t="s">
        <v>689</v>
      </c>
      <c r="BH413" s="1" t="s">
        <v>45</v>
      </c>
      <c r="BI413" s="1" t="s">
        <v>7794</v>
      </c>
    </row>
    <row r="414" spans="58:61">
      <c r="BF414" s="1" t="s">
        <v>8</v>
      </c>
      <c r="BG414" s="1076" t="s">
        <v>689</v>
      </c>
      <c r="BH414" s="1" t="s">
        <v>1060</v>
      </c>
      <c r="BI414" s="1" t="s">
        <v>7795</v>
      </c>
    </row>
    <row r="415" spans="58:61">
      <c r="BF415" s="1" t="s">
        <v>8</v>
      </c>
      <c r="BG415" s="1076" t="s">
        <v>689</v>
      </c>
      <c r="BH415" s="1" t="s">
        <v>145</v>
      </c>
      <c r="BI415" s="1" t="s">
        <v>7796</v>
      </c>
    </row>
    <row r="416" spans="58:61">
      <c r="BF416" s="1" t="s">
        <v>7031</v>
      </c>
      <c r="BG416" s="1076" t="s">
        <v>689</v>
      </c>
      <c r="BH416" s="1" t="s">
        <v>128</v>
      </c>
      <c r="BI416" s="1" t="s">
        <v>7797</v>
      </c>
    </row>
    <row r="417" spans="58:61">
      <c r="BF417" s="1" t="s">
        <v>7031</v>
      </c>
      <c r="BG417" s="1076" t="s">
        <v>689</v>
      </c>
      <c r="BH417" s="1" t="s">
        <v>49</v>
      </c>
      <c r="BI417" s="1" t="s">
        <v>7798</v>
      </c>
    </row>
    <row r="418" spans="58:61">
      <c r="BF418" s="1" t="s">
        <v>7031</v>
      </c>
      <c r="BG418" s="1076" t="s">
        <v>689</v>
      </c>
      <c r="BH418" s="1" t="s">
        <v>37</v>
      </c>
      <c r="BI418" s="1" t="s">
        <v>7799</v>
      </c>
    </row>
    <row r="419" spans="58:61">
      <c r="BF419" s="1" t="s">
        <v>7031</v>
      </c>
      <c r="BG419" s="1076" t="s">
        <v>689</v>
      </c>
      <c r="BH419" s="1" t="s">
        <v>7164</v>
      </c>
      <c r="BI419" s="1" t="s">
        <v>7800</v>
      </c>
    </row>
    <row r="420" spans="58:61">
      <c r="BF420" s="1" t="s">
        <v>7031</v>
      </c>
      <c r="BG420" s="1076" t="s">
        <v>689</v>
      </c>
      <c r="BH420" s="1" t="s">
        <v>5050</v>
      </c>
      <c r="BI420" s="1" t="s">
        <v>7801</v>
      </c>
    </row>
    <row r="421" spans="58:61">
      <c r="BF421" s="1" t="s">
        <v>7031</v>
      </c>
      <c r="BG421" s="1076" t="s">
        <v>689</v>
      </c>
      <c r="BH421" s="1" t="s">
        <v>62</v>
      </c>
      <c r="BI421" s="1" t="s">
        <v>7802</v>
      </c>
    </row>
    <row r="422" spans="58:61">
      <c r="BF422" s="1" t="s">
        <v>7031</v>
      </c>
      <c r="BG422" s="1076" t="s">
        <v>689</v>
      </c>
      <c r="BH422" s="1" t="s">
        <v>7165</v>
      </c>
      <c r="BI422" s="1" t="s">
        <v>7803</v>
      </c>
    </row>
    <row r="423" spans="58:61">
      <c r="BF423" s="1" t="s">
        <v>7031</v>
      </c>
      <c r="BG423" s="1076" t="s">
        <v>689</v>
      </c>
      <c r="BH423" s="1" t="s">
        <v>115</v>
      </c>
      <c r="BI423" s="1" t="s">
        <v>7804</v>
      </c>
    </row>
    <row r="424" spans="58:61">
      <c r="BF424" s="1" t="s">
        <v>7031</v>
      </c>
      <c r="BG424" s="1076" t="s">
        <v>689</v>
      </c>
      <c r="BH424" s="1" t="s">
        <v>100</v>
      </c>
      <c r="BI424" s="1" t="s">
        <v>7805</v>
      </c>
    </row>
    <row r="425" spans="58:61">
      <c r="BF425" s="1" t="s">
        <v>7031</v>
      </c>
      <c r="BG425" s="1076" t="s">
        <v>689</v>
      </c>
      <c r="BH425" s="1" t="s">
        <v>3</v>
      </c>
      <c r="BI425" s="1" t="s">
        <v>7806</v>
      </c>
    </row>
    <row r="426" spans="58:61">
      <c r="BF426" s="1" t="s">
        <v>7031</v>
      </c>
      <c r="BG426" s="1076" t="s">
        <v>689</v>
      </c>
      <c r="BH426" s="1" t="s">
        <v>88</v>
      </c>
      <c r="BI426" s="1" t="s">
        <v>7807</v>
      </c>
    </row>
    <row r="427" spans="58:61">
      <c r="BF427" s="1" t="s">
        <v>7031</v>
      </c>
      <c r="BG427" s="1076" t="s">
        <v>689</v>
      </c>
      <c r="BH427" s="1" t="s">
        <v>75</v>
      </c>
      <c r="BI427" s="1" t="s">
        <v>7808</v>
      </c>
    </row>
    <row r="428" spans="58:61">
      <c r="BF428" s="1" t="s">
        <v>10</v>
      </c>
      <c r="BG428" s="1076" t="s">
        <v>689</v>
      </c>
      <c r="BH428" s="1" t="s">
        <v>21</v>
      </c>
      <c r="BI428" s="1" t="s">
        <v>7809</v>
      </c>
    </row>
    <row r="429" spans="58:61">
      <c r="BF429" s="1" t="s">
        <v>10</v>
      </c>
      <c r="BG429" s="1076" t="s">
        <v>689</v>
      </c>
      <c r="BH429" s="1" t="s">
        <v>7166</v>
      </c>
      <c r="BI429" s="1" t="s">
        <v>7810</v>
      </c>
    </row>
    <row r="430" spans="58:61">
      <c r="BF430" s="1" t="s">
        <v>10</v>
      </c>
      <c r="BG430" s="1076" t="s">
        <v>689</v>
      </c>
      <c r="BH430" s="1" t="s">
        <v>7167</v>
      </c>
      <c r="BI430" s="1" t="s">
        <v>7811</v>
      </c>
    </row>
    <row r="431" spans="58:61">
      <c r="BF431" s="1" t="s">
        <v>10</v>
      </c>
      <c r="BG431" s="1076" t="s">
        <v>689</v>
      </c>
      <c r="BH431" s="1" t="s">
        <v>7168</v>
      </c>
      <c r="BI431" s="1" t="s">
        <v>7812</v>
      </c>
    </row>
    <row r="432" spans="58:61">
      <c r="BF432" s="1" t="s">
        <v>10</v>
      </c>
      <c r="BG432" s="1076" t="s">
        <v>689</v>
      </c>
      <c r="BH432" s="1" t="s">
        <v>7169</v>
      </c>
      <c r="BI432" s="1" t="s">
        <v>7813</v>
      </c>
    </row>
    <row r="433" spans="58:61">
      <c r="BF433" s="1" t="s">
        <v>10</v>
      </c>
      <c r="BG433" s="1076" t="s">
        <v>689</v>
      </c>
      <c r="BH433" s="1" t="s">
        <v>59</v>
      </c>
      <c r="BI433" s="1" t="s">
        <v>7814</v>
      </c>
    </row>
    <row r="434" spans="58:61">
      <c r="BF434" s="1" t="s">
        <v>10</v>
      </c>
      <c r="BG434" s="1076" t="s">
        <v>689</v>
      </c>
      <c r="BH434" s="1" t="s">
        <v>7170</v>
      </c>
      <c r="BI434" s="1" t="s">
        <v>7815</v>
      </c>
    </row>
    <row r="435" spans="58:61">
      <c r="BF435" s="1" t="s">
        <v>10</v>
      </c>
      <c r="BG435" s="1076" t="s">
        <v>689</v>
      </c>
      <c r="BH435" s="1" t="s">
        <v>7171</v>
      </c>
      <c r="BI435" s="1" t="s">
        <v>7816</v>
      </c>
    </row>
    <row r="436" spans="58:61">
      <c r="BF436" s="1" t="s">
        <v>10</v>
      </c>
      <c r="BG436" s="1076" t="s">
        <v>689</v>
      </c>
      <c r="BH436" s="1" t="s">
        <v>95</v>
      </c>
      <c r="BI436" s="1" t="s">
        <v>7817</v>
      </c>
    </row>
    <row r="437" spans="58:61">
      <c r="BF437" s="1" t="s">
        <v>10</v>
      </c>
      <c r="BG437" s="1076" t="s">
        <v>689</v>
      </c>
      <c r="BH437" s="1" t="s">
        <v>109</v>
      </c>
      <c r="BI437" s="1" t="s">
        <v>7818</v>
      </c>
    </row>
    <row r="438" spans="58:61">
      <c r="BF438" s="1" t="s">
        <v>10</v>
      </c>
      <c r="BG438" s="1076" t="s">
        <v>689</v>
      </c>
      <c r="BH438" s="1" t="s">
        <v>7172</v>
      </c>
      <c r="BI438" s="1" t="s">
        <v>7819</v>
      </c>
    </row>
    <row r="439" spans="58:61">
      <c r="BF439" s="1" t="s">
        <v>10</v>
      </c>
      <c r="BG439" s="1076" t="s">
        <v>689</v>
      </c>
      <c r="BH439" s="1" t="s">
        <v>7173</v>
      </c>
      <c r="BI439" s="1" t="s">
        <v>7820</v>
      </c>
    </row>
    <row r="440" spans="58:61">
      <c r="BF440" s="1" t="s">
        <v>10</v>
      </c>
      <c r="BG440" s="1076" t="s">
        <v>689</v>
      </c>
      <c r="BH440" s="1" t="s">
        <v>7174</v>
      </c>
      <c r="BI440" s="1" t="s">
        <v>7821</v>
      </c>
    </row>
    <row r="441" spans="58:61">
      <c r="BF441" s="1" t="s">
        <v>10</v>
      </c>
      <c r="BG441" s="1076" t="s">
        <v>689</v>
      </c>
      <c r="BH441" s="1" t="s">
        <v>7175</v>
      </c>
      <c r="BI441" s="1" t="s">
        <v>7822</v>
      </c>
    </row>
    <row r="442" spans="58:61">
      <c r="BF442" s="1" t="s">
        <v>10</v>
      </c>
      <c r="BG442" s="1076" t="s">
        <v>689</v>
      </c>
      <c r="BH442" s="1" t="s">
        <v>155</v>
      </c>
      <c r="BI442" s="1" t="s">
        <v>7823</v>
      </c>
    </row>
    <row r="443" spans="58:61">
      <c r="BF443" s="1" t="s">
        <v>10</v>
      </c>
      <c r="BG443" s="1076" t="s">
        <v>689</v>
      </c>
      <c r="BH443" s="1" t="s">
        <v>7176</v>
      </c>
      <c r="BI443" s="1" t="s">
        <v>7824</v>
      </c>
    </row>
    <row r="444" spans="58:61">
      <c r="BF444" s="1" t="s">
        <v>10</v>
      </c>
      <c r="BG444" s="1076" t="s">
        <v>689</v>
      </c>
      <c r="BH444" s="1" t="s">
        <v>7177</v>
      </c>
      <c r="BI444" s="1" t="s">
        <v>7825</v>
      </c>
    </row>
    <row r="445" spans="58:61">
      <c r="BF445" s="1" t="s">
        <v>10</v>
      </c>
      <c r="BG445" s="1076" t="s">
        <v>689</v>
      </c>
      <c r="BH445" s="1" t="s">
        <v>7178</v>
      </c>
      <c r="BI445" s="1" t="s">
        <v>7826</v>
      </c>
    </row>
    <row r="446" spans="58:61">
      <c r="BF446" s="1" t="s">
        <v>10</v>
      </c>
      <c r="BG446" s="1076" t="s">
        <v>689</v>
      </c>
      <c r="BH446" s="1" t="s">
        <v>7179</v>
      </c>
      <c r="BI446" s="1" t="s">
        <v>7827</v>
      </c>
    </row>
    <row r="447" spans="58:61">
      <c r="BF447" s="1" t="s">
        <v>10</v>
      </c>
      <c r="BG447" s="1076" t="s">
        <v>689</v>
      </c>
      <c r="BH447" s="1" t="s">
        <v>175</v>
      </c>
      <c r="BI447" s="1" t="s">
        <v>7828</v>
      </c>
    </row>
    <row r="448" spans="58:61">
      <c r="BF448" s="1" t="s">
        <v>10</v>
      </c>
      <c r="BG448" s="1076" t="s">
        <v>689</v>
      </c>
      <c r="BH448" s="1" t="s">
        <v>7180</v>
      </c>
      <c r="BI448" s="1" t="s">
        <v>7829</v>
      </c>
    </row>
    <row r="449" spans="58:61">
      <c r="BF449" s="1" t="s">
        <v>10</v>
      </c>
      <c r="BG449" s="1076" t="s">
        <v>689</v>
      </c>
      <c r="BH449" s="1" t="s">
        <v>184</v>
      </c>
      <c r="BI449" s="1" t="s">
        <v>7830</v>
      </c>
    </row>
    <row r="450" spans="58:61">
      <c r="BF450" s="1" t="s">
        <v>10</v>
      </c>
      <c r="BG450" s="1076" t="s">
        <v>689</v>
      </c>
      <c r="BH450" s="1" t="s">
        <v>7181</v>
      </c>
      <c r="BI450" s="1" t="s">
        <v>7831</v>
      </c>
    </row>
    <row r="451" spans="58:61">
      <c r="BF451" s="1" t="s">
        <v>10</v>
      </c>
      <c r="BG451" s="1076" t="s">
        <v>689</v>
      </c>
      <c r="BH451" s="1" t="s">
        <v>7182</v>
      </c>
      <c r="BI451" s="1" t="s">
        <v>7832</v>
      </c>
    </row>
    <row r="452" spans="58:61">
      <c r="BF452" s="1" t="s">
        <v>10</v>
      </c>
      <c r="BG452" s="1076" t="s">
        <v>689</v>
      </c>
      <c r="BH452" s="1" t="s">
        <v>7183</v>
      </c>
      <c r="BI452" s="1" t="s">
        <v>7833</v>
      </c>
    </row>
    <row r="453" spans="58:61">
      <c r="BF453" s="1" t="s">
        <v>10</v>
      </c>
      <c r="BG453" s="1076" t="s">
        <v>689</v>
      </c>
      <c r="BH453" s="1" t="s">
        <v>195</v>
      </c>
      <c r="BI453" s="1" t="s">
        <v>7834</v>
      </c>
    </row>
    <row r="454" spans="58:61">
      <c r="BF454" s="1" t="s">
        <v>10</v>
      </c>
      <c r="BG454" s="1076" t="s">
        <v>689</v>
      </c>
      <c r="BH454" s="1" t="s">
        <v>3890</v>
      </c>
      <c r="BI454" s="1" t="s">
        <v>7835</v>
      </c>
    </row>
    <row r="455" spans="58:61">
      <c r="BF455" s="1" t="s">
        <v>10</v>
      </c>
      <c r="BG455" s="1076" t="s">
        <v>689</v>
      </c>
      <c r="BH455" s="1" t="s">
        <v>199</v>
      </c>
      <c r="BI455" s="1" t="s">
        <v>7836</v>
      </c>
    </row>
    <row r="456" spans="58:61">
      <c r="BF456" s="1" t="s">
        <v>10</v>
      </c>
      <c r="BG456" s="1076" t="s">
        <v>689</v>
      </c>
      <c r="BH456" s="1" t="s">
        <v>7184</v>
      </c>
      <c r="BI456" s="1" t="s">
        <v>7837</v>
      </c>
    </row>
    <row r="457" spans="58:61">
      <c r="BF457" s="1" t="s">
        <v>10</v>
      </c>
      <c r="BG457" s="1076" t="s">
        <v>689</v>
      </c>
      <c r="BH457" s="1" t="s">
        <v>205</v>
      </c>
      <c r="BI457" s="1" t="s">
        <v>7838</v>
      </c>
    </row>
    <row r="458" spans="58:61">
      <c r="BF458" s="1" t="s">
        <v>10</v>
      </c>
      <c r="BG458" s="1076" t="s">
        <v>689</v>
      </c>
      <c r="BH458" s="1" t="s">
        <v>7185</v>
      </c>
      <c r="BI458" s="1" t="s">
        <v>7839</v>
      </c>
    </row>
    <row r="459" spans="58:61">
      <c r="BF459" s="1" t="s">
        <v>10</v>
      </c>
      <c r="BG459" s="1076" t="s">
        <v>689</v>
      </c>
      <c r="BH459" s="1" t="s">
        <v>7186</v>
      </c>
      <c r="BI459" s="1" t="s">
        <v>7840</v>
      </c>
    </row>
    <row r="460" spans="58:61">
      <c r="BF460" s="1" t="s">
        <v>10</v>
      </c>
      <c r="BG460" s="1076" t="s">
        <v>689</v>
      </c>
      <c r="BH460" s="1" t="s">
        <v>7187</v>
      </c>
      <c r="BI460" s="1" t="s">
        <v>7841</v>
      </c>
    </row>
    <row r="461" spans="58:61">
      <c r="BF461" s="1" t="s">
        <v>10</v>
      </c>
      <c r="BG461" s="1076" t="s">
        <v>689</v>
      </c>
      <c r="BH461" s="1" t="s">
        <v>211</v>
      </c>
      <c r="BI461" s="1" t="s">
        <v>7842</v>
      </c>
    </row>
    <row r="462" spans="58:61">
      <c r="BF462" s="1" t="s">
        <v>10</v>
      </c>
      <c r="BG462" s="1076" t="s">
        <v>689</v>
      </c>
      <c r="BH462" s="1" t="s">
        <v>7188</v>
      </c>
      <c r="BI462" s="1" t="s">
        <v>7843</v>
      </c>
    </row>
    <row r="463" spans="58:61">
      <c r="BF463" s="1" t="s">
        <v>10</v>
      </c>
      <c r="BG463" s="1076" t="s">
        <v>689</v>
      </c>
      <c r="BH463" s="1" t="s">
        <v>214</v>
      </c>
      <c r="BI463" s="1" t="s">
        <v>7844</v>
      </c>
    </row>
    <row r="464" spans="58:61">
      <c r="BF464" s="1" t="s">
        <v>10</v>
      </c>
      <c r="BG464" s="1076" t="s">
        <v>689</v>
      </c>
      <c r="BH464" s="1" t="s">
        <v>216</v>
      </c>
      <c r="BI464" s="1" t="s">
        <v>7845</v>
      </c>
    </row>
    <row r="465" spans="58:61">
      <c r="BF465" s="1" t="s">
        <v>10</v>
      </c>
      <c r="BG465" s="1076" t="s">
        <v>689</v>
      </c>
      <c r="BH465" s="1" t="s">
        <v>367</v>
      </c>
      <c r="BI465" s="1" t="s">
        <v>7846</v>
      </c>
    </row>
    <row r="466" spans="58:61">
      <c r="BF466" s="1" t="s">
        <v>10</v>
      </c>
      <c r="BG466" s="1076" t="s">
        <v>689</v>
      </c>
      <c r="BH466" s="1" t="s">
        <v>218</v>
      </c>
      <c r="BI466" s="1" t="s">
        <v>7847</v>
      </c>
    </row>
    <row r="467" spans="58:61">
      <c r="BF467" s="1" t="s">
        <v>10</v>
      </c>
      <c r="BG467" s="1076" t="s">
        <v>689</v>
      </c>
      <c r="BH467" s="1" t="s">
        <v>220</v>
      </c>
      <c r="BI467" s="1" t="s">
        <v>7848</v>
      </c>
    </row>
    <row r="468" spans="58:61">
      <c r="BF468" s="1" t="s">
        <v>10</v>
      </c>
      <c r="BG468" s="1076" t="s">
        <v>689</v>
      </c>
      <c r="BH468" s="1" t="s">
        <v>7189</v>
      </c>
      <c r="BI468" s="1" t="s">
        <v>7849</v>
      </c>
    </row>
    <row r="469" spans="58:61">
      <c r="BF469" s="1" t="s">
        <v>10</v>
      </c>
      <c r="BG469" s="1076" t="s">
        <v>689</v>
      </c>
      <c r="BH469" s="1" t="s">
        <v>7190</v>
      </c>
      <c r="BI469" s="1" t="s">
        <v>7850</v>
      </c>
    </row>
    <row r="470" spans="58:61">
      <c r="BF470" s="1" t="s">
        <v>10</v>
      </c>
      <c r="BG470" s="1076" t="s">
        <v>689</v>
      </c>
      <c r="BH470" s="1" t="s">
        <v>7191</v>
      </c>
      <c r="BI470" s="1" t="s">
        <v>7851</v>
      </c>
    </row>
    <row r="471" spans="58:61">
      <c r="BF471" s="1" t="s">
        <v>13</v>
      </c>
      <c r="BG471" s="1076" t="s">
        <v>689</v>
      </c>
      <c r="BH471" s="1" t="s">
        <v>50</v>
      </c>
      <c r="BI471" s="1" t="s">
        <v>7852</v>
      </c>
    </row>
    <row r="472" spans="58:61">
      <c r="BF472" s="1" t="s">
        <v>13</v>
      </c>
      <c r="BG472" s="1076" t="s">
        <v>689</v>
      </c>
      <c r="BH472" s="1" t="s">
        <v>76</v>
      </c>
      <c r="BI472" s="1" t="s">
        <v>7853</v>
      </c>
    </row>
    <row r="473" spans="58:61">
      <c r="BF473" s="1" t="s">
        <v>13</v>
      </c>
      <c r="BG473" s="1076" t="s">
        <v>689</v>
      </c>
      <c r="BH473" s="1" t="s">
        <v>7192</v>
      </c>
      <c r="BI473" s="1" t="s">
        <v>7854</v>
      </c>
    </row>
    <row r="474" spans="58:61">
      <c r="BF474" s="1" t="s">
        <v>13</v>
      </c>
      <c r="BG474" s="1076" t="s">
        <v>689</v>
      </c>
      <c r="BH474" s="1" t="s">
        <v>63</v>
      </c>
      <c r="BI474" s="1" t="s">
        <v>7855</v>
      </c>
    </row>
    <row r="475" spans="58:61">
      <c r="BF475" s="1" t="s">
        <v>13</v>
      </c>
      <c r="BG475" s="1076" t="s">
        <v>689</v>
      </c>
      <c r="BH475" s="1" t="s">
        <v>368</v>
      </c>
      <c r="BI475" s="1" t="s">
        <v>7856</v>
      </c>
    </row>
    <row r="476" spans="58:61">
      <c r="BF476" s="1" t="s">
        <v>13</v>
      </c>
      <c r="BG476" s="1076" t="s">
        <v>689</v>
      </c>
      <c r="BH476" s="1" t="s">
        <v>369</v>
      </c>
      <c r="BI476" s="1" t="s">
        <v>7857</v>
      </c>
    </row>
    <row r="477" spans="58:61">
      <c r="BF477" s="1" t="s">
        <v>13</v>
      </c>
      <c r="BG477" s="1076" t="s">
        <v>689</v>
      </c>
      <c r="BH477" s="1" t="s">
        <v>370</v>
      </c>
      <c r="BI477" s="1" t="s">
        <v>7858</v>
      </c>
    </row>
    <row r="478" spans="58:61">
      <c r="BF478" s="1" t="s">
        <v>13</v>
      </c>
      <c r="BG478" s="1076" t="s">
        <v>689</v>
      </c>
      <c r="BH478" s="1" t="s">
        <v>371</v>
      </c>
      <c r="BI478" s="1" t="s">
        <v>7859</v>
      </c>
    </row>
    <row r="479" spans="58:61">
      <c r="BF479" s="1" t="s">
        <v>13</v>
      </c>
      <c r="BG479" s="1076" t="s">
        <v>689</v>
      </c>
      <c r="BH479" s="1" t="s">
        <v>372</v>
      </c>
      <c r="BI479" s="1" t="s">
        <v>7860</v>
      </c>
    </row>
    <row r="480" spans="58:61">
      <c r="BF480" s="1" t="s">
        <v>13</v>
      </c>
      <c r="BG480" s="1076" t="s">
        <v>689</v>
      </c>
      <c r="BH480" s="1" t="s">
        <v>374</v>
      </c>
      <c r="BI480" s="1" t="s">
        <v>7861</v>
      </c>
    </row>
    <row r="481" spans="58:61">
      <c r="BF481" s="1" t="s">
        <v>13</v>
      </c>
      <c r="BG481" s="1076" t="s">
        <v>689</v>
      </c>
      <c r="BH481" s="1" t="s">
        <v>375</v>
      </c>
      <c r="BI481" s="1" t="s">
        <v>7862</v>
      </c>
    </row>
    <row r="482" spans="58:61">
      <c r="BF482" s="1" t="s">
        <v>13</v>
      </c>
      <c r="BG482" s="1076" t="s">
        <v>689</v>
      </c>
      <c r="BH482" s="1" t="s">
        <v>376</v>
      </c>
      <c r="BI482" s="1" t="s">
        <v>7863</v>
      </c>
    </row>
    <row r="483" spans="58:61">
      <c r="BF483" s="1" t="s">
        <v>13</v>
      </c>
      <c r="BG483" s="1076" t="s">
        <v>689</v>
      </c>
      <c r="BH483" s="1" t="s">
        <v>101</v>
      </c>
      <c r="BI483" s="1" t="s">
        <v>7864</v>
      </c>
    </row>
    <row r="484" spans="58:61">
      <c r="BF484" s="1" t="s">
        <v>13</v>
      </c>
      <c r="BG484" s="1076" t="s">
        <v>689</v>
      </c>
      <c r="BH484" s="1" t="s">
        <v>7193</v>
      </c>
      <c r="BI484" s="1" t="s">
        <v>7865</v>
      </c>
    </row>
    <row r="485" spans="58:61">
      <c r="BF485" s="1" t="s">
        <v>13</v>
      </c>
      <c r="BG485" s="1076" t="s">
        <v>689</v>
      </c>
      <c r="BH485" s="1" t="s">
        <v>7194</v>
      </c>
      <c r="BI485" s="1" t="s">
        <v>7866</v>
      </c>
    </row>
    <row r="486" spans="58:61">
      <c r="BF486" s="1" t="s">
        <v>13</v>
      </c>
      <c r="BG486" s="1076" t="s">
        <v>689</v>
      </c>
      <c r="BH486" s="1" t="s">
        <v>7195</v>
      </c>
      <c r="BI486" s="1" t="s">
        <v>7867</v>
      </c>
    </row>
    <row r="487" spans="58:61">
      <c r="BF487" s="1" t="s">
        <v>13</v>
      </c>
      <c r="BG487" s="1076" t="s">
        <v>689</v>
      </c>
      <c r="BH487" s="1" t="s">
        <v>26</v>
      </c>
      <c r="BI487" s="1" t="s">
        <v>7868</v>
      </c>
    </row>
    <row r="488" spans="58:61">
      <c r="BF488" s="1" t="s">
        <v>13</v>
      </c>
      <c r="BG488" s="1076" t="s">
        <v>689</v>
      </c>
      <c r="BH488" s="1" t="s">
        <v>7196</v>
      </c>
      <c r="BI488" s="1" t="s">
        <v>7869</v>
      </c>
    </row>
    <row r="489" spans="58:61">
      <c r="BF489" s="1" t="s">
        <v>13</v>
      </c>
      <c r="BG489" s="1076" t="s">
        <v>689</v>
      </c>
      <c r="BH489" s="1" t="s">
        <v>7197</v>
      </c>
      <c r="BI489" s="1" t="s">
        <v>7870</v>
      </c>
    </row>
    <row r="490" spans="58:61">
      <c r="BF490" s="1" t="s">
        <v>13</v>
      </c>
      <c r="BG490" s="1076" t="s">
        <v>689</v>
      </c>
      <c r="BH490" s="1" t="s">
        <v>7198</v>
      </c>
      <c r="BI490" s="1" t="s">
        <v>7871</v>
      </c>
    </row>
    <row r="491" spans="58:61">
      <c r="BF491" s="1" t="s">
        <v>13</v>
      </c>
      <c r="BG491" s="1076" t="s">
        <v>689</v>
      </c>
      <c r="BH491" s="1" t="s">
        <v>7199</v>
      </c>
      <c r="BI491" s="1" t="s">
        <v>7872</v>
      </c>
    </row>
    <row r="492" spans="58:61">
      <c r="BF492" s="1" t="s">
        <v>13</v>
      </c>
      <c r="BG492" s="1076" t="s">
        <v>689</v>
      </c>
      <c r="BH492" s="1" t="s">
        <v>4</v>
      </c>
      <c r="BI492" s="1" t="s">
        <v>7873</v>
      </c>
    </row>
    <row r="493" spans="58:61">
      <c r="BF493" s="1" t="s">
        <v>13</v>
      </c>
      <c r="BG493" s="1076" t="s">
        <v>689</v>
      </c>
      <c r="BH493" s="1" t="s">
        <v>7200</v>
      </c>
      <c r="BI493" s="1" t="s">
        <v>7874</v>
      </c>
    </row>
    <row r="494" spans="58:61">
      <c r="BF494" s="1" t="s">
        <v>13</v>
      </c>
      <c r="BG494" s="1076" t="s">
        <v>689</v>
      </c>
      <c r="BH494" s="1" t="s">
        <v>7201</v>
      </c>
      <c r="BI494" s="1" t="s">
        <v>7875</v>
      </c>
    </row>
    <row r="495" spans="58:61">
      <c r="BF495" s="1" t="s">
        <v>7029</v>
      </c>
      <c r="BG495" s="1050" t="s">
        <v>690</v>
      </c>
      <c r="BH495" s="1" t="s">
        <v>998</v>
      </c>
      <c r="BI495" s="1" t="s">
        <v>7876</v>
      </c>
    </row>
    <row r="496" spans="58:61">
      <c r="BF496" s="1" t="s">
        <v>7029</v>
      </c>
      <c r="BG496" s="1050" t="s">
        <v>690</v>
      </c>
      <c r="BH496" s="1" t="s">
        <v>999</v>
      </c>
      <c r="BI496" s="1" t="s">
        <v>7877</v>
      </c>
    </row>
    <row r="497" spans="58:61">
      <c r="BF497" s="1" t="s">
        <v>7029</v>
      </c>
      <c r="BG497" s="1050" t="s">
        <v>690</v>
      </c>
      <c r="BH497" s="1" t="s">
        <v>7202</v>
      </c>
      <c r="BI497" s="1" t="s">
        <v>7878</v>
      </c>
    </row>
    <row r="498" spans="58:61">
      <c r="BF498" s="1" t="s">
        <v>7029</v>
      </c>
      <c r="BG498" s="1050" t="s">
        <v>690</v>
      </c>
      <c r="BH498" s="1" t="s">
        <v>98</v>
      </c>
      <c r="BI498" s="1" t="s">
        <v>7879</v>
      </c>
    </row>
    <row r="499" spans="58:61">
      <c r="BF499" s="1" t="s">
        <v>7029</v>
      </c>
      <c r="BG499" s="1050" t="s">
        <v>690</v>
      </c>
      <c r="BH499" s="1" t="s">
        <v>139</v>
      </c>
      <c r="BI499" s="1" t="s">
        <v>7880</v>
      </c>
    </row>
    <row r="500" spans="58:61">
      <c r="BF500" s="1" t="s">
        <v>7029</v>
      </c>
      <c r="BG500" s="1050" t="s">
        <v>690</v>
      </c>
      <c r="BH500" s="1" t="s">
        <v>7203</v>
      </c>
      <c r="BI500" s="1" t="s">
        <v>7881</v>
      </c>
    </row>
    <row r="501" spans="58:61">
      <c r="BF501" s="1" t="s">
        <v>7029</v>
      </c>
      <c r="BG501" s="1050" t="s">
        <v>690</v>
      </c>
      <c r="BH501" s="1" t="s">
        <v>7204</v>
      </c>
      <c r="BI501" s="1" t="s">
        <v>7882</v>
      </c>
    </row>
    <row r="502" spans="58:61">
      <c r="BF502" s="1" t="s">
        <v>7029</v>
      </c>
      <c r="BG502" s="1050" t="s">
        <v>690</v>
      </c>
      <c r="BH502" s="1" t="s">
        <v>79</v>
      </c>
      <c r="BI502" s="1" t="s">
        <v>7883</v>
      </c>
    </row>
    <row r="503" spans="58:61">
      <c r="BF503" s="1" t="s">
        <v>7029</v>
      </c>
      <c r="BG503" s="1050" t="s">
        <v>690</v>
      </c>
      <c r="BH503" s="1" t="s">
        <v>4872</v>
      </c>
      <c r="BI503" s="1" t="s">
        <v>7884</v>
      </c>
    </row>
    <row r="504" spans="58:61">
      <c r="BF504" s="1" t="s">
        <v>7029</v>
      </c>
      <c r="BG504" s="1050" t="s">
        <v>690</v>
      </c>
      <c r="BH504" s="1" t="s">
        <v>707</v>
      </c>
      <c r="BI504" s="1" t="s">
        <v>7885</v>
      </c>
    </row>
    <row r="505" spans="58:61">
      <c r="BF505" s="1" t="s">
        <v>7029</v>
      </c>
      <c r="BG505" s="1050" t="s">
        <v>690</v>
      </c>
      <c r="BH505" s="1" t="s">
        <v>72</v>
      </c>
      <c r="BI505" s="1" t="s">
        <v>7886</v>
      </c>
    </row>
    <row r="506" spans="58:61">
      <c r="BF506" s="1" t="s">
        <v>7029</v>
      </c>
      <c r="BG506" s="1050" t="s">
        <v>690</v>
      </c>
      <c r="BH506" s="1" t="s">
        <v>113</v>
      </c>
      <c r="BI506" s="1" t="s">
        <v>7887</v>
      </c>
    </row>
    <row r="507" spans="58:61">
      <c r="BF507" s="1" t="s">
        <v>7029</v>
      </c>
      <c r="BG507" s="1050" t="s">
        <v>690</v>
      </c>
      <c r="BH507" s="1" t="s">
        <v>126</v>
      </c>
      <c r="BI507" s="1" t="s">
        <v>7888</v>
      </c>
    </row>
    <row r="508" spans="58:61">
      <c r="BF508" s="1" t="s">
        <v>7029</v>
      </c>
      <c r="BG508" s="1050" t="s">
        <v>690</v>
      </c>
      <c r="BH508" s="1" t="s">
        <v>163</v>
      </c>
      <c r="BI508" s="1" t="s">
        <v>7889</v>
      </c>
    </row>
    <row r="509" spans="58:61">
      <c r="BF509" s="1" t="s">
        <v>7029</v>
      </c>
      <c r="BG509" s="1050" t="s">
        <v>690</v>
      </c>
      <c r="BH509" s="1" t="s">
        <v>4882</v>
      </c>
      <c r="BI509" s="1" t="s">
        <v>7890</v>
      </c>
    </row>
    <row r="510" spans="58:61">
      <c r="BF510" s="1" t="s">
        <v>7029</v>
      </c>
      <c r="BG510" s="1050" t="s">
        <v>690</v>
      </c>
      <c r="BH510" s="1" t="s">
        <v>60</v>
      </c>
      <c r="BI510" s="1" t="s">
        <v>7891</v>
      </c>
    </row>
    <row r="511" spans="58:61">
      <c r="BF511" s="1" t="s">
        <v>7029</v>
      </c>
      <c r="BG511" s="1050" t="s">
        <v>690</v>
      </c>
      <c r="BH511" s="1" t="s">
        <v>7205</v>
      </c>
      <c r="BI511" s="1" t="s">
        <v>7892</v>
      </c>
    </row>
    <row r="512" spans="58:61">
      <c r="BF512" s="1" t="s">
        <v>7029</v>
      </c>
      <c r="BG512" s="1050" t="s">
        <v>690</v>
      </c>
      <c r="BH512" s="1" t="s">
        <v>53</v>
      </c>
      <c r="BI512" s="1" t="s">
        <v>7893</v>
      </c>
    </row>
    <row r="513" spans="58:61">
      <c r="BF513" s="1" t="s">
        <v>7029</v>
      </c>
      <c r="BG513" s="1050" t="s">
        <v>690</v>
      </c>
      <c r="BH513" s="1" t="s">
        <v>7206</v>
      </c>
      <c r="BI513" s="1" t="s">
        <v>7894</v>
      </c>
    </row>
    <row r="514" spans="58:61">
      <c r="BF514" s="1" t="s">
        <v>7029</v>
      </c>
      <c r="BG514" s="1050" t="s">
        <v>690</v>
      </c>
      <c r="BH514" s="1" t="s">
        <v>7207</v>
      </c>
      <c r="BI514" s="1" t="s">
        <v>7895</v>
      </c>
    </row>
    <row r="515" spans="58:61">
      <c r="BF515" s="1" t="s">
        <v>7029</v>
      </c>
      <c r="BG515" s="1050" t="s">
        <v>690</v>
      </c>
      <c r="BH515" s="1" t="s">
        <v>28</v>
      </c>
      <c r="BI515" s="1" t="s">
        <v>7896</v>
      </c>
    </row>
    <row r="516" spans="58:61">
      <c r="BF516" s="1" t="s">
        <v>7029</v>
      </c>
      <c r="BG516" s="1050" t="s">
        <v>690</v>
      </c>
      <c r="BH516" s="1" t="s">
        <v>39</v>
      </c>
      <c r="BI516" s="1" t="s">
        <v>7897</v>
      </c>
    </row>
    <row r="517" spans="58:61">
      <c r="BF517" s="1" t="s">
        <v>7029</v>
      </c>
      <c r="BG517" s="1050" t="s">
        <v>690</v>
      </c>
      <c r="BH517" s="1" t="s">
        <v>4892</v>
      </c>
      <c r="BI517" s="1" t="s">
        <v>7898</v>
      </c>
    </row>
    <row r="518" spans="58:61">
      <c r="BF518" s="1" t="s">
        <v>7029</v>
      </c>
      <c r="BG518" s="1050" t="s">
        <v>690</v>
      </c>
      <c r="BH518" s="1" t="s">
        <v>7208</v>
      </c>
      <c r="BI518" s="1" t="s">
        <v>7899</v>
      </c>
    </row>
    <row r="519" spans="58:61">
      <c r="BF519" s="1" t="s">
        <v>7029</v>
      </c>
      <c r="BG519" s="1050" t="s">
        <v>690</v>
      </c>
      <c r="BH519" s="1" t="s">
        <v>104</v>
      </c>
      <c r="BI519" s="1" t="s">
        <v>7900</v>
      </c>
    </row>
    <row r="520" spans="58:61">
      <c r="BF520" s="1" t="s">
        <v>7029</v>
      </c>
      <c r="BG520" s="1050" t="s">
        <v>690</v>
      </c>
      <c r="BH520" s="1" t="s">
        <v>7209</v>
      </c>
      <c r="BI520" s="1" t="s">
        <v>7901</v>
      </c>
    </row>
    <row r="521" spans="58:61">
      <c r="BF521" s="1" t="s">
        <v>7029</v>
      </c>
      <c r="BG521" s="1050" t="s">
        <v>690</v>
      </c>
      <c r="BH521" s="1" t="s">
        <v>7210</v>
      </c>
      <c r="BI521" s="1" t="s">
        <v>7902</v>
      </c>
    </row>
    <row r="522" spans="58:61">
      <c r="BF522" s="1" t="s">
        <v>7029</v>
      </c>
      <c r="BG522" s="1050" t="s">
        <v>690</v>
      </c>
      <c r="BH522" s="1" t="s">
        <v>7211</v>
      </c>
      <c r="BI522" s="1" t="s">
        <v>7903</v>
      </c>
    </row>
    <row r="523" spans="58:61">
      <c r="BF523" s="1" t="s">
        <v>7029</v>
      </c>
      <c r="BG523" s="1050" t="s">
        <v>690</v>
      </c>
      <c r="BH523" s="1" t="s">
        <v>7212</v>
      </c>
      <c r="BI523" s="1" t="s">
        <v>7904</v>
      </c>
    </row>
    <row r="524" spans="58:61">
      <c r="BF524" s="1" t="s">
        <v>7</v>
      </c>
      <c r="BG524" s="1050" t="s">
        <v>690</v>
      </c>
      <c r="BH524" s="1" t="s">
        <v>7213</v>
      </c>
      <c r="BI524" s="1" t="s">
        <v>7905</v>
      </c>
    </row>
    <row r="525" spans="58:61">
      <c r="BF525" s="1" t="s">
        <v>7</v>
      </c>
      <c r="BG525" s="1050" t="s">
        <v>690</v>
      </c>
      <c r="BH525" s="1" t="s">
        <v>7214</v>
      </c>
      <c r="BI525" s="1" t="s">
        <v>7906</v>
      </c>
    </row>
    <row r="526" spans="58:61">
      <c r="BF526" s="1" t="s">
        <v>7</v>
      </c>
      <c r="BG526" s="1050" t="s">
        <v>690</v>
      </c>
      <c r="BH526" s="1" t="s">
        <v>7215</v>
      </c>
      <c r="BI526" s="1" t="s">
        <v>7907</v>
      </c>
    </row>
    <row r="527" spans="58:61">
      <c r="BF527" s="1" t="s">
        <v>7</v>
      </c>
      <c r="BG527" s="1050" t="s">
        <v>690</v>
      </c>
      <c r="BH527" s="1" t="s">
        <v>7216</v>
      </c>
      <c r="BI527" s="1" t="s">
        <v>7908</v>
      </c>
    </row>
    <row r="528" spans="58:61">
      <c r="BF528" s="1" t="s">
        <v>7</v>
      </c>
      <c r="BG528" s="1050" t="s">
        <v>690</v>
      </c>
      <c r="BH528" s="1" t="s">
        <v>7217</v>
      </c>
      <c r="BI528" s="1" t="s">
        <v>7909</v>
      </c>
    </row>
    <row r="529" spans="58:61">
      <c r="BF529" s="1" t="s">
        <v>7</v>
      </c>
      <c r="BG529" s="1050" t="s">
        <v>690</v>
      </c>
      <c r="BH529" s="1" t="s">
        <v>706</v>
      </c>
      <c r="BI529" s="1" t="s">
        <v>7910</v>
      </c>
    </row>
    <row r="530" spans="58:61">
      <c r="BF530" s="1" t="s">
        <v>7</v>
      </c>
      <c r="BG530" s="1050" t="s">
        <v>690</v>
      </c>
      <c r="BH530" s="1" t="s">
        <v>7218</v>
      </c>
      <c r="BI530" s="1" t="s">
        <v>7911</v>
      </c>
    </row>
    <row r="531" spans="58:61">
      <c r="BF531" s="1" t="s">
        <v>7</v>
      </c>
      <c r="BG531" s="1050" t="s">
        <v>690</v>
      </c>
      <c r="BH531" s="1" t="s">
        <v>7219</v>
      </c>
      <c r="BI531" s="1" t="s">
        <v>7912</v>
      </c>
    </row>
    <row r="532" spans="58:61">
      <c r="BF532" s="1" t="s">
        <v>7</v>
      </c>
      <c r="BG532" s="1050" t="s">
        <v>690</v>
      </c>
      <c r="BH532" s="1" t="s">
        <v>7220</v>
      </c>
      <c r="BI532" s="1" t="s">
        <v>7913</v>
      </c>
    </row>
    <row r="533" spans="58:61">
      <c r="BF533" s="1" t="s">
        <v>7</v>
      </c>
      <c r="BG533" s="1050" t="s">
        <v>690</v>
      </c>
      <c r="BH533" s="1" t="s">
        <v>7221</v>
      </c>
      <c r="BI533" s="1" t="s">
        <v>7914</v>
      </c>
    </row>
    <row r="534" spans="58:61">
      <c r="BF534" s="1" t="s">
        <v>7</v>
      </c>
      <c r="BG534" s="1050" t="s">
        <v>690</v>
      </c>
      <c r="BH534" s="1" t="s">
        <v>709</v>
      </c>
      <c r="BI534" s="1" t="s">
        <v>7915</v>
      </c>
    </row>
    <row r="535" spans="58:61">
      <c r="BF535" s="1" t="s">
        <v>7</v>
      </c>
      <c r="BG535" s="1050" t="s">
        <v>690</v>
      </c>
      <c r="BH535" s="1" t="s">
        <v>7222</v>
      </c>
      <c r="BI535" s="1" t="s">
        <v>7916</v>
      </c>
    </row>
    <row r="536" spans="58:61">
      <c r="BF536" s="1" t="s">
        <v>7</v>
      </c>
      <c r="BG536" s="1050" t="s">
        <v>690</v>
      </c>
      <c r="BH536" s="1" t="s">
        <v>707</v>
      </c>
      <c r="BI536" s="1" t="s">
        <v>7917</v>
      </c>
    </row>
    <row r="537" spans="58:61">
      <c r="BF537" s="1" t="s">
        <v>7</v>
      </c>
      <c r="BG537" s="1050" t="s">
        <v>690</v>
      </c>
      <c r="BH537" s="1" t="s">
        <v>7223</v>
      </c>
      <c r="BI537" s="1" t="s">
        <v>7918</v>
      </c>
    </row>
    <row r="538" spans="58:61">
      <c r="BF538" s="1" t="s">
        <v>7</v>
      </c>
      <c r="BG538" s="1050" t="s">
        <v>690</v>
      </c>
      <c r="BH538" s="1" t="s">
        <v>1458</v>
      </c>
      <c r="BI538" s="1" t="s">
        <v>7919</v>
      </c>
    </row>
    <row r="539" spans="58:61">
      <c r="BF539" s="1" t="s">
        <v>7</v>
      </c>
      <c r="BG539" s="1050" t="s">
        <v>690</v>
      </c>
      <c r="BH539" s="1" t="s">
        <v>7224</v>
      </c>
      <c r="BI539" s="1" t="s">
        <v>7920</v>
      </c>
    </row>
    <row r="540" spans="58:61">
      <c r="BF540" s="1" t="s">
        <v>7</v>
      </c>
      <c r="BG540" s="1050" t="s">
        <v>690</v>
      </c>
      <c r="BH540" s="1" t="s">
        <v>38</v>
      </c>
      <c r="BI540" s="1" t="s">
        <v>7921</v>
      </c>
    </row>
    <row r="541" spans="58:61">
      <c r="BF541" s="1" t="s">
        <v>7</v>
      </c>
      <c r="BG541" s="1050" t="s">
        <v>690</v>
      </c>
      <c r="BH541" s="1" t="s">
        <v>711</v>
      </c>
      <c r="BI541" s="1" t="s">
        <v>7922</v>
      </c>
    </row>
    <row r="542" spans="58:61">
      <c r="BF542" s="1" t="s">
        <v>7</v>
      </c>
      <c r="BG542" s="1050" t="s">
        <v>690</v>
      </c>
      <c r="BH542" s="1" t="s">
        <v>1463</v>
      </c>
      <c r="BI542" s="1" t="s">
        <v>7923</v>
      </c>
    </row>
    <row r="543" spans="58:61">
      <c r="BF543" s="1" t="s">
        <v>7</v>
      </c>
      <c r="BG543" s="1050" t="s">
        <v>690</v>
      </c>
      <c r="BH543" s="1" t="s">
        <v>7225</v>
      </c>
      <c r="BI543" s="1" t="s">
        <v>7924</v>
      </c>
    </row>
    <row r="544" spans="58:61">
      <c r="BF544" s="1" t="s">
        <v>7</v>
      </c>
      <c r="BG544" s="1050" t="s">
        <v>690</v>
      </c>
      <c r="BH544" s="1" t="s">
        <v>61</v>
      </c>
      <c r="BI544" s="1" t="s">
        <v>7925</v>
      </c>
    </row>
    <row r="545" spans="58:61">
      <c r="BF545" s="1" t="s">
        <v>7</v>
      </c>
      <c r="BG545" s="1050" t="s">
        <v>690</v>
      </c>
      <c r="BH545" s="1" t="s">
        <v>705</v>
      </c>
      <c r="BI545" s="1" t="s">
        <v>7926</v>
      </c>
    </row>
    <row r="546" spans="58:61">
      <c r="BF546" s="1" t="s">
        <v>7</v>
      </c>
      <c r="BG546" s="1050" t="s">
        <v>690</v>
      </c>
      <c r="BH546" s="1" t="s">
        <v>7226</v>
      </c>
      <c r="BI546" s="1" t="s">
        <v>7927</v>
      </c>
    </row>
    <row r="547" spans="58:61">
      <c r="BF547" s="1" t="s">
        <v>7</v>
      </c>
      <c r="BG547" s="1050" t="s">
        <v>690</v>
      </c>
      <c r="BH547" s="1" t="s">
        <v>7227</v>
      </c>
      <c r="BI547" s="1" t="s">
        <v>7928</v>
      </c>
    </row>
    <row r="548" spans="58:61">
      <c r="BF548" s="1" t="s">
        <v>7</v>
      </c>
      <c r="BG548" s="1050" t="s">
        <v>690</v>
      </c>
      <c r="BH548" s="1" t="s">
        <v>7228</v>
      </c>
      <c r="BI548" s="1" t="s">
        <v>7929</v>
      </c>
    </row>
    <row r="549" spans="58:61">
      <c r="BF549" s="1" t="s">
        <v>7</v>
      </c>
      <c r="BG549" s="1050" t="s">
        <v>690</v>
      </c>
      <c r="BH549" s="1" t="s">
        <v>7229</v>
      </c>
      <c r="BI549" s="1" t="s">
        <v>7930</v>
      </c>
    </row>
    <row r="550" spans="58:61">
      <c r="BF550" s="1" t="s">
        <v>7</v>
      </c>
      <c r="BG550" s="1050" t="s">
        <v>690</v>
      </c>
      <c r="BH550" s="1" t="s">
        <v>708</v>
      </c>
      <c r="BI550" s="1" t="s">
        <v>7931</v>
      </c>
    </row>
    <row r="551" spans="58:61">
      <c r="BF551" s="1" t="s">
        <v>7</v>
      </c>
      <c r="BG551" s="1050" t="s">
        <v>690</v>
      </c>
      <c r="BH551" s="1" t="s">
        <v>7230</v>
      </c>
      <c r="BI551" s="1" t="s">
        <v>7932</v>
      </c>
    </row>
    <row r="552" spans="58:61">
      <c r="BF552" s="1" t="s">
        <v>7</v>
      </c>
      <c r="BG552" s="1050" t="s">
        <v>690</v>
      </c>
      <c r="BH552" s="1" t="s">
        <v>1466</v>
      </c>
      <c r="BI552" s="1" t="s">
        <v>7933</v>
      </c>
    </row>
    <row r="553" spans="58:61">
      <c r="BF553" s="1" t="s">
        <v>7</v>
      </c>
      <c r="BG553" s="1050" t="s">
        <v>690</v>
      </c>
      <c r="BH553" s="1" t="s">
        <v>712</v>
      </c>
      <c r="BI553" s="1" t="s">
        <v>7934</v>
      </c>
    </row>
    <row r="554" spans="58:61">
      <c r="BF554" s="1" t="s">
        <v>7</v>
      </c>
      <c r="BG554" s="1050" t="s">
        <v>690</v>
      </c>
      <c r="BH554" s="1" t="s">
        <v>7231</v>
      </c>
      <c r="BI554" s="1" t="s">
        <v>7935</v>
      </c>
    </row>
    <row r="555" spans="58:61">
      <c r="BF555" s="1" t="s">
        <v>7</v>
      </c>
      <c r="BG555" s="1050" t="s">
        <v>690</v>
      </c>
      <c r="BH555" s="1" t="s">
        <v>710</v>
      </c>
      <c r="BI555" s="1" t="s">
        <v>7936</v>
      </c>
    </row>
    <row r="556" spans="58:61">
      <c r="BF556" s="1" t="s">
        <v>7</v>
      </c>
      <c r="BG556" s="1050" t="s">
        <v>690</v>
      </c>
      <c r="BH556" s="1" t="s">
        <v>109</v>
      </c>
      <c r="BI556" s="1" t="s">
        <v>7937</v>
      </c>
    </row>
    <row r="557" spans="58:61">
      <c r="BF557" s="1" t="s">
        <v>7</v>
      </c>
      <c r="BG557" s="1050" t="s">
        <v>690</v>
      </c>
      <c r="BH557" s="1" t="s">
        <v>7232</v>
      </c>
      <c r="BI557" s="1" t="s">
        <v>7938</v>
      </c>
    </row>
    <row r="558" spans="58:61">
      <c r="BF558" s="1" t="s">
        <v>7</v>
      </c>
      <c r="BG558" s="1050" t="s">
        <v>690</v>
      </c>
      <c r="BH558" s="1" t="s">
        <v>7233</v>
      </c>
      <c r="BI558" s="1" t="s">
        <v>7939</v>
      </c>
    </row>
    <row r="559" spans="58:61">
      <c r="BF559" s="1" t="s">
        <v>7</v>
      </c>
      <c r="BG559" s="1050" t="s">
        <v>690</v>
      </c>
      <c r="BH559" s="1" t="s">
        <v>1470</v>
      </c>
      <c r="BI559" s="1" t="s">
        <v>7940</v>
      </c>
    </row>
    <row r="560" spans="58:61">
      <c r="BF560" s="1" t="s">
        <v>7</v>
      </c>
      <c r="BG560" s="1050" t="s">
        <v>690</v>
      </c>
      <c r="BH560" s="1" t="s">
        <v>7234</v>
      </c>
      <c r="BI560" s="1" t="s">
        <v>7941</v>
      </c>
    </row>
    <row r="561" spans="58:61">
      <c r="BF561" s="1" t="s">
        <v>7</v>
      </c>
      <c r="BG561" s="1050" t="s">
        <v>690</v>
      </c>
      <c r="BH561" s="1" t="s">
        <v>7129</v>
      </c>
      <c r="BI561" s="1" t="s">
        <v>7942</v>
      </c>
    </row>
    <row r="562" spans="58:61">
      <c r="BF562" s="1" t="s">
        <v>7</v>
      </c>
      <c r="BG562" s="1050" t="s">
        <v>690</v>
      </c>
      <c r="BH562" s="1" t="s">
        <v>7173</v>
      </c>
      <c r="BI562" s="1" t="s">
        <v>7943</v>
      </c>
    </row>
    <row r="563" spans="58:61">
      <c r="BF563" s="1" t="s">
        <v>7</v>
      </c>
      <c r="BG563" s="1050" t="s">
        <v>690</v>
      </c>
      <c r="BH563" s="1" t="s">
        <v>7235</v>
      </c>
      <c r="BI563" s="1" t="s">
        <v>7944</v>
      </c>
    </row>
    <row r="564" spans="58:61">
      <c r="BF564" s="1" t="s">
        <v>7</v>
      </c>
      <c r="BG564" s="1050" t="s">
        <v>690</v>
      </c>
      <c r="BH564" s="1" t="s">
        <v>7236</v>
      </c>
      <c r="BI564" s="1" t="s">
        <v>7945</v>
      </c>
    </row>
    <row r="565" spans="58:61">
      <c r="BF565" s="1" t="s">
        <v>7</v>
      </c>
      <c r="BG565" s="1050" t="s">
        <v>690</v>
      </c>
      <c r="BH565" s="1" t="s">
        <v>7237</v>
      </c>
      <c r="BI565" s="1" t="s">
        <v>7946</v>
      </c>
    </row>
    <row r="566" spans="58:61">
      <c r="BF566" s="1" t="s">
        <v>7</v>
      </c>
      <c r="BG566" s="1050" t="s">
        <v>690</v>
      </c>
      <c r="BH566" s="1" t="s">
        <v>7238</v>
      </c>
      <c r="BI566" s="1" t="s">
        <v>7947</v>
      </c>
    </row>
    <row r="567" spans="58:61">
      <c r="BF567" s="1" t="s">
        <v>7</v>
      </c>
      <c r="BG567" s="1050" t="s">
        <v>690</v>
      </c>
      <c r="BH567" s="1" t="s">
        <v>7239</v>
      </c>
      <c r="BI567" s="1" t="s">
        <v>7948</v>
      </c>
    </row>
    <row r="568" spans="58:61">
      <c r="BF568" s="1" t="s">
        <v>7</v>
      </c>
      <c r="BG568" s="1050" t="s">
        <v>690</v>
      </c>
      <c r="BH568" s="1" t="s">
        <v>116</v>
      </c>
      <c r="BI568" s="1" t="s">
        <v>7949</v>
      </c>
    </row>
    <row r="569" spans="58:61">
      <c r="BF569" s="1" t="s">
        <v>7</v>
      </c>
      <c r="BG569" s="1050" t="s">
        <v>690</v>
      </c>
      <c r="BH569" s="1" t="s">
        <v>7240</v>
      </c>
      <c r="BI569" s="1" t="s">
        <v>7950</v>
      </c>
    </row>
    <row r="570" spans="58:61">
      <c r="BF570" s="1" t="s">
        <v>7</v>
      </c>
      <c r="BG570" s="1050" t="s">
        <v>690</v>
      </c>
      <c r="BH570" s="1" t="s">
        <v>7241</v>
      </c>
      <c r="BI570" s="1" t="s">
        <v>7951</v>
      </c>
    </row>
    <row r="571" spans="58:61">
      <c r="BF571" s="1" t="s">
        <v>7</v>
      </c>
      <c r="BG571" s="1050" t="s">
        <v>690</v>
      </c>
      <c r="BH571" s="1" t="s">
        <v>7242</v>
      </c>
      <c r="BI571" s="1" t="s">
        <v>7952</v>
      </c>
    </row>
    <row r="572" spans="58:61">
      <c r="BF572" s="1" t="s">
        <v>7</v>
      </c>
      <c r="BG572" s="1050" t="s">
        <v>690</v>
      </c>
      <c r="BH572" s="1" t="s">
        <v>7243</v>
      </c>
      <c r="BI572" s="1" t="s">
        <v>7953</v>
      </c>
    </row>
    <row r="573" spans="58:61">
      <c r="BF573" s="1" t="s">
        <v>7</v>
      </c>
      <c r="BG573" s="1050" t="s">
        <v>690</v>
      </c>
      <c r="BH573" s="1" t="s">
        <v>7244</v>
      </c>
      <c r="BI573" s="1" t="s">
        <v>7954</v>
      </c>
    </row>
    <row r="574" spans="58:61">
      <c r="BF574" s="1" t="s">
        <v>7</v>
      </c>
      <c r="BG574" s="1050" t="s">
        <v>690</v>
      </c>
      <c r="BH574" s="1" t="s">
        <v>7245</v>
      </c>
      <c r="BI574" s="1" t="s">
        <v>7955</v>
      </c>
    </row>
    <row r="575" spans="58:61">
      <c r="BF575" s="1" t="s">
        <v>7</v>
      </c>
      <c r="BG575" s="1050" t="s">
        <v>690</v>
      </c>
      <c r="BH575" s="1" t="s">
        <v>7246</v>
      </c>
      <c r="BI575" s="1" t="s">
        <v>7956</v>
      </c>
    </row>
    <row r="576" spans="58:61">
      <c r="BF576" s="1" t="s">
        <v>7</v>
      </c>
      <c r="BG576" s="1050" t="s">
        <v>690</v>
      </c>
      <c r="BH576" s="1" t="s">
        <v>7247</v>
      </c>
      <c r="BI576" s="1" t="s">
        <v>7957</v>
      </c>
    </row>
    <row r="577" spans="58:61">
      <c r="BF577" s="1" t="s">
        <v>7</v>
      </c>
      <c r="BG577" s="1050" t="s">
        <v>690</v>
      </c>
      <c r="BH577" s="1" t="s">
        <v>7248</v>
      </c>
      <c r="BI577" s="1" t="s">
        <v>7958</v>
      </c>
    </row>
    <row r="578" spans="58:61">
      <c r="BF578" s="1" t="s">
        <v>11</v>
      </c>
      <c r="BG578" s="1050" t="s">
        <v>690</v>
      </c>
      <c r="BH578" s="1" t="s">
        <v>141</v>
      </c>
      <c r="BI578" s="1" t="s">
        <v>7959</v>
      </c>
    </row>
    <row r="579" spans="58:61">
      <c r="BF579" s="1" t="s">
        <v>11</v>
      </c>
      <c r="BG579" s="1050" t="s">
        <v>690</v>
      </c>
      <c r="BH579" s="1" t="s">
        <v>7249</v>
      </c>
      <c r="BI579" s="1" t="s">
        <v>7960</v>
      </c>
    </row>
    <row r="580" spans="58:61">
      <c r="BF580" s="1" t="s">
        <v>11</v>
      </c>
      <c r="BG580" s="1050" t="s">
        <v>690</v>
      </c>
      <c r="BH580" s="1" t="s">
        <v>46</v>
      </c>
      <c r="BI580" s="1" t="s">
        <v>7961</v>
      </c>
    </row>
    <row r="581" spans="58:61">
      <c r="BF581" s="1" t="s">
        <v>11</v>
      </c>
      <c r="BG581" s="1050" t="s">
        <v>690</v>
      </c>
      <c r="BH581" s="1" t="s">
        <v>7250</v>
      </c>
      <c r="BI581" s="1" t="s">
        <v>7962</v>
      </c>
    </row>
    <row r="582" spans="58:61">
      <c r="BF582" s="1" t="s">
        <v>11</v>
      </c>
      <c r="BG582" s="1050" t="s">
        <v>690</v>
      </c>
      <c r="BH582" s="1" t="s">
        <v>40</v>
      </c>
      <c r="BI582" s="1" t="s">
        <v>7963</v>
      </c>
    </row>
    <row r="583" spans="58:61">
      <c r="BF583" s="1" t="s">
        <v>11</v>
      </c>
      <c r="BG583" s="1050" t="s">
        <v>690</v>
      </c>
      <c r="BH583" s="1" t="s">
        <v>7035</v>
      </c>
      <c r="BI583" s="1" t="s">
        <v>7964</v>
      </c>
    </row>
    <row r="584" spans="58:61">
      <c r="BF584" s="1" t="s">
        <v>11</v>
      </c>
      <c r="BG584" s="1050" t="s">
        <v>690</v>
      </c>
      <c r="BH584" s="1" t="s">
        <v>150</v>
      </c>
      <c r="BI584" s="1" t="s">
        <v>7965</v>
      </c>
    </row>
    <row r="585" spans="58:61">
      <c r="BF585" s="1" t="s">
        <v>11</v>
      </c>
      <c r="BG585" s="1050" t="s">
        <v>690</v>
      </c>
      <c r="BH585" s="1" t="s">
        <v>158</v>
      </c>
      <c r="BI585" s="1" t="s">
        <v>7966</v>
      </c>
    </row>
    <row r="586" spans="58:61">
      <c r="BF586" s="1" t="s">
        <v>11</v>
      </c>
      <c r="BG586" s="1050" t="s">
        <v>690</v>
      </c>
      <c r="BH586" s="1" t="s">
        <v>169</v>
      </c>
      <c r="BI586" s="1" t="s">
        <v>7967</v>
      </c>
    </row>
    <row r="587" spans="58:61">
      <c r="BF587" s="1" t="s">
        <v>11</v>
      </c>
      <c r="BG587" s="1050" t="s">
        <v>690</v>
      </c>
      <c r="BH587" s="1" t="s">
        <v>7251</v>
      </c>
      <c r="BI587" s="1" t="s">
        <v>7968</v>
      </c>
    </row>
    <row r="588" spans="58:61">
      <c r="BF588" s="1" t="s">
        <v>11</v>
      </c>
      <c r="BG588" s="1050" t="s">
        <v>690</v>
      </c>
      <c r="BH588" s="1" t="s">
        <v>91</v>
      </c>
      <c r="BI588" s="1" t="s">
        <v>7969</v>
      </c>
    </row>
    <row r="589" spans="58:61">
      <c r="BF589" s="1" t="s">
        <v>11</v>
      </c>
      <c r="BG589" s="1050" t="s">
        <v>690</v>
      </c>
      <c r="BH589" s="1" t="s">
        <v>7252</v>
      </c>
      <c r="BI589" s="1" t="s">
        <v>7970</v>
      </c>
    </row>
    <row r="590" spans="58:61">
      <c r="BF590" s="1" t="s">
        <v>11</v>
      </c>
      <c r="BG590" s="1050" t="s">
        <v>690</v>
      </c>
      <c r="BH590" s="1" t="s">
        <v>7253</v>
      </c>
      <c r="BI590" s="1" t="s">
        <v>7971</v>
      </c>
    </row>
    <row r="591" spans="58:61">
      <c r="BF591" s="1" t="s">
        <v>11</v>
      </c>
      <c r="BG591" s="1050" t="s">
        <v>690</v>
      </c>
      <c r="BH591" s="1" t="s">
        <v>7254</v>
      </c>
      <c r="BI591" s="1" t="s">
        <v>7972</v>
      </c>
    </row>
    <row r="592" spans="58:61">
      <c r="BF592" s="1" t="s">
        <v>11</v>
      </c>
      <c r="BG592" s="1050" t="s">
        <v>690</v>
      </c>
      <c r="BH592" s="1" t="s">
        <v>7255</v>
      </c>
      <c r="BI592" s="1" t="s">
        <v>7973</v>
      </c>
    </row>
    <row r="593" spans="58:61">
      <c r="BF593" s="1" t="s">
        <v>11</v>
      </c>
      <c r="BG593" s="1050" t="s">
        <v>690</v>
      </c>
      <c r="BH593" s="1" t="s">
        <v>7256</v>
      </c>
      <c r="BI593" s="1" t="s">
        <v>7974</v>
      </c>
    </row>
    <row r="594" spans="58:61">
      <c r="BF594" s="1" t="s">
        <v>11</v>
      </c>
      <c r="BG594" s="1050" t="s">
        <v>690</v>
      </c>
      <c r="BH594" s="1" t="s">
        <v>21</v>
      </c>
      <c r="BI594" s="1" t="s">
        <v>7975</v>
      </c>
    </row>
    <row r="595" spans="58:61">
      <c r="BF595" s="1" t="s">
        <v>11</v>
      </c>
      <c r="BG595" s="1050" t="s">
        <v>690</v>
      </c>
      <c r="BH595" s="1" t="s">
        <v>7257</v>
      </c>
      <c r="BI595" s="1" t="s">
        <v>7976</v>
      </c>
    </row>
    <row r="596" spans="58:61">
      <c r="BF596" s="1" t="s">
        <v>11</v>
      </c>
      <c r="BG596" s="1050" t="s">
        <v>690</v>
      </c>
      <c r="BH596" s="1" t="s">
        <v>7068</v>
      </c>
      <c r="BI596" s="1" t="s">
        <v>7977</v>
      </c>
    </row>
    <row r="597" spans="58:61">
      <c r="BF597" s="1" t="s">
        <v>11</v>
      </c>
      <c r="BG597" s="1050" t="s">
        <v>690</v>
      </c>
      <c r="BH597" s="1" t="s">
        <v>7101</v>
      </c>
      <c r="BI597" s="1" t="s">
        <v>7978</v>
      </c>
    </row>
    <row r="598" spans="58:61">
      <c r="BF598" s="1" t="s">
        <v>11</v>
      </c>
      <c r="BG598" s="1050" t="s">
        <v>690</v>
      </c>
      <c r="BH598" s="1" t="s">
        <v>7069</v>
      </c>
      <c r="BI598" s="1" t="s">
        <v>7979</v>
      </c>
    </row>
    <row r="599" spans="58:61">
      <c r="BF599" s="1" t="s">
        <v>11</v>
      </c>
      <c r="BG599" s="1050" t="s">
        <v>690</v>
      </c>
      <c r="BH599" s="1" t="s">
        <v>7258</v>
      </c>
      <c r="BI599" s="1" t="s">
        <v>7980</v>
      </c>
    </row>
    <row r="600" spans="58:61">
      <c r="BF600" s="1" t="s">
        <v>11</v>
      </c>
      <c r="BG600" s="1050" t="s">
        <v>690</v>
      </c>
      <c r="BH600" s="1" t="s">
        <v>7259</v>
      </c>
      <c r="BI600" s="1" t="s">
        <v>7981</v>
      </c>
    </row>
    <row r="601" spans="58:61">
      <c r="BF601" s="1" t="s">
        <v>11</v>
      </c>
      <c r="BG601" s="1050" t="s">
        <v>690</v>
      </c>
      <c r="BH601" s="1" t="s">
        <v>7260</v>
      </c>
      <c r="BI601" s="1" t="s">
        <v>7982</v>
      </c>
    </row>
    <row r="602" spans="58:61">
      <c r="BF602" s="1" t="s">
        <v>11</v>
      </c>
      <c r="BG602" s="1050" t="s">
        <v>690</v>
      </c>
      <c r="BH602" s="1" t="s">
        <v>7071</v>
      </c>
      <c r="BI602" s="1" t="s">
        <v>7983</v>
      </c>
    </row>
    <row r="603" spans="58:61">
      <c r="BF603" s="1" t="s">
        <v>11</v>
      </c>
      <c r="BG603" s="1050" t="s">
        <v>690</v>
      </c>
      <c r="BH603" s="1" t="s">
        <v>7072</v>
      </c>
      <c r="BI603" s="1" t="s">
        <v>7984</v>
      </c>
    </row>
    <row r="604" spans="58:61">
      <c r="BF604" s="1" t="s">
        <v>11</v>
      </c>
      <c r="BG604" s="1050" t="s">
        <v>690</v>
      </c>
      <c r="BH604" s="1" t="s">
        <v>7261</v>
      </c>
      <c r="BI604" s="1" t="s">
        <v>7985</v>
      </c>
    </row>
    <row r="605" spans="58:61">
      <c r="BF605" s="1" t="s">
        <v>11</v>
      </c>
      <c r="BG605" s="1050" t="s">
        <v>690</v>
      </c>
      <c r="BH605" s="1" t="s">
        <v>7262</v>
      </c>
      <c r="BI605" s="1" t="s">
        <v>7986</v>
      </c>
    </row>
    <row r="606" spans="58:61">
      <c r="BF606" s="1" t="s">
        <v>11</v>
      </c>
      <c r="BG606" s="1050" t="s">
        <v>690</v>
      </c>
      <c r="BH606" s="1" t="s">
        <v>7167</v>
      </c>
      <c r="BI606" s="1" t="s">
        <v>7987</v>
      </c>
    </row>
    <row r="607" spans="58:61">
      <c r="BF607" s="1" t="s">
        <v>11</v>
      </c>
      <c r="BG607" s="1050" t="s">
        <v>690</v>
      </c>
      <c r="BH607" s="1" t="s">
        <v>7168</v>
      </c>
      <c r="BI607" s="1" t="s">
        <v>7988</v>
      </c>
    </row>
    <row r="608" spans="58:61">
      <c r="BF608" s="1" t="s">
        <v>11</v>
      </c>
      <c r="BG608" s="1050" t="s">
        <v>690</v>
      </c>
      <c r="BH608" s="1" t="s">
        <v>130</v>
      </c>
      <c r="BI608" s="1" t="s">
        <v>7989</v>
      </c>
    </row>
    <row r="609" spans="58:61">
      <c r="BF609" s="1" t="s">
        <v>11</v>
      </c>
      <c r="BG609" s="1050" t="s">
        <v>690</v>
      </c>
      <c r="BH609" s="1" t="s">
        <v>7263</v>
      </c>
      <c r="BI609" s="1" t="s">
        <v>7990</v>
      </c>
    </row>
    <row r="610" spans="58:61">
      <c r="BF610" s="1" t="s">
        <v>11</v>
      </c>
      <c r="BG610" s="1050" t="s">
        <v>690</v>
      </c>
      <c r="BH610" s="1" t="s">
        <v>7264</v>
      </c>
      <c r="BI610" s="1" t="s">
        <v>7991</v>
      </c>
    </row>
    <row r="611" spans="58:61">
      <c r="BF611" s="1" t="s">
        <v>11</v>
      </c>
      <c r="BG611" s="1050" t="s">
        <v>690</v>
      </c>
      <c r="BH611" s="1" t="s">
        <v>125</v>
      </c>
      <c r="BI611" s="1" t="s">
        <v>7992</v>
      </c>
    </row>
    <row r="612" spans="58:61">
      <c r="BF612" s="1" t="s">
        <v>11</v>
      </c>
      <c r="BG612" s="1050" t="s">
        <v>690</v>
      </c>
      <c r="BH612" s="1" t="s">
        <v>7073</v>
      </c>
      <c r="BI612" s="1" t="s">
        <v>7993</v>
      </c>
    </row>
    <row r="613" spans="58:61">
      <c r="BF613" s="1" t="s">
        <v>11</v>
      </c>
      <c r="BG613" s="1050" t="s">
        <v>690</v>
      </c>
      <c r="BH613" s="1" t="s">
        <v>71</v>
      </c>
      <c r="BI613" s="1" t="s">
        <v>7994</v>
      </c>
    </row>
    <row r="614" spans="58:61">
      <c r="BF614" s="1" t="s">
        <v>11</v>
      </c>
      <c r="BG614" s="1050" t="s">
        <v>690</v>
      </c>
      <c r="BH614" s="1" t="s">
        <v>148</v>
      </c>
      <c r="BI614" s="1" t="s">
        <v>7995</v>
      </c>
    </row>
    <row r="615" spans="58:61">
      <c r="BF615" s="1" t="s">
        <v>11</v>
      </c>
      <c r="BG615" s="1050" t="s">
        <v>690</v>
      </c>
      <c r="BH615" s="1" t="s">
        <v>4577</v>
      </c>
      <c r="BI615" s="1" t="s">
        <v>7996</v>
      </c>
    </row>
    <row r="616" spans="58:61">
      <c r="BF616" s="1" t="s">
        <v>11</v>
      </c>
      <c r="BG616" s="1050" t="s">
        <v>690</v>
      </c>
      <c r="BH616" s="1" t="s">
        <v>7265</v>
      </c>
      <c r="BI616" s="1" t="s">
        <v>7997</v>
      </c>
    </row>
    <row r="617" spans="58:61">
      <c r="BF617" s="1" t="s">
        <v>11</v>
      </c>
      <c r="BG617" s="1050" t="s">
        <v>690</v>
      </c>
      <c r="BH617" s="1" t="s">
        <v>79</v>
      </c>
      <c r="BI617" s="1" t="s">
        <v>7998</v>
      </c>
    </row>
    <row r="618" spans="58:61">
      <c r="BF618" s="1" t="s">
        <v>11</v>
      </c>
      <c r="BG618" s="1050" t="s">
        <v>690</v>
      </c>
      <c r="BH618" s="1" t="s">
        <v>7266</v>
      </c>
      <c r="BI618" s="1" t="s">
        <v>7999</v>
      </c>
    </row>
    <row r="619" spans="58:61">
      <c r="BF619" s="1" t="s">
        <v>11</v>
      </c>
      <c r="BG619" s="1050" t="s">
        <v>690</v>
      </c>
      <c r="BH619" s="1" t="s">
        <v>4582</v>
      </c>
      <c r="BI619" s="1" t="s">
        <v>8000</v>
      </c>
    </row>
    <row r="620" spans="58:61">
      <c r="BF620" s="1" t="s">
        <v>11</v>
      </c>
      <c r="BG620" s="1050" t="s">
        <v>690</v>
      </c>
      <c r="BH620" s="1" t="s">
        <v>7267</v>
      </c>
      <c r="BI620" s="1" t="s">
        <v>8001</v>
      </c>
    </row>
    <row r="621" spans="58:61">
      <c r="BF621" s="1" t="s">
        <v>11</v>
      </c>
      <c r="BG621" s="1050" t="s">
        <v>690</v>
      </c>
      <c r="BH621" s="1" t="s">
        <v>7074</v>
      </c>
      <c r="BI621" s="1" t="s">
        <v>8002</v>
      </c>
    </row>
    <row r="622" spans="58:61">
      <c r="BF622" s="1" t="s">
        <v>11</v>
      </c>
      <c r="BG622" s="1050" t="s">
        <v>690</v>
      </c>
      <c r="BH622" s="1" t="s">
        <v>7075</v>
      </c>
      <c r="BI622" s="1" t="s">
        <v>8003</v>
      </c>
    </row>
    <row r="623" spans="58:61">
      <c r="BF623" s="1" t="s">
        <v>11</v>
      </c>
      <c r="BG623" s="1050" t="s">
        <v>690</v>
      </c>
      <c r="BH623" s="1" t="s">
        <v>7268</v>
      </c>
      <c r="BI623" s="1" t="s">
        <v>8004</v>
      </c>
    </row>
    <row r="624" spans="58:61">
      <c r="BF624" s="1" t="s">
        <v>11</v>
      </c>
      <c r="BG624" s="1050" t="s">
        <v>690</v>
      </c>
      <c r="BH624" s="1" t="s">
        <v>7269</v>
      </c>
      <c r="BI624" s="1" t="s">
        <v>8005</v>
      </c>
    </row>
    <row r="625" spans="58:61">
      <c r="BF625" s="1" t="s">
        <v>11</v>
      </c>
      <c r="BG625" s="1050" t="s">
        <v>690</v>
      </c>
      <c r="BH625" s="1" t="s">
        <v>85</v>
      </c>
      <c r="BI625" s="1" t="s">
        <v>8006</v>
      </c>
    </row>
    <row r="626" spans="58:61">
      <c r="BF626" s="1" t="s">
        <v>11</v>
      </c>
      <c r="BG626" s="1050" t="s">
        <v>690</v>
      </c>
      <c r="BH626" s="1" t="s">
        <v>59</v>
      </c>
      <c r="BI626" s="1" t="s">
        <v>8007</v>
      </c>
    </row>
    <row r="627" spans="58:61">
      <c r="BF627" s="1" t="s">
        <v>11</v>
      </c>
      <c r="BG627" s="1050" t="s">
        <v>690</v>
      </c>
      <c r="BH627" s="1" t="s">
        <v>7170</v>
      </c>
      <c r="BI627" s="1" t="s">
        <v>8008</v>
      </c>
    </row>
    <row r="628" spans="58:61">
      <c r="BF628" s="1" t="s">
        <v>11</v>
      </c>
      <c r="BG628" s="1050" t="s">
        <v>690</v>
      </c>
      <c r="BH628" s="1" t="s">
        <v>7270</v>
      </c>
      <c r="BI628" s="1" t="s">
        <v>8009</v>
      </c>
    </row>
    <row r="629" spans="58:61">
      <c r="BF629" s="1" t="s">
        <v>11</v>
      </c>
      <c r="BG629" s="1050" t="s">
        <v>690</v>
      </c>
      <c r="BH629" s="1" t="s">
        <v>7271</v>
      </c>
      <c r="BI629" s="1" t="s">
        <v>8010</v>
      </c>
    </row>
    <row r="630" spans="58:61">
      <c r="BF630" s="1" t="s">
        <v>11</v>
      </c>
      <c r="BG630" s="1050" t="s">
        <v>690</v>
      </c>
      <c r="BH630" s="1" t="s">
        <v>111</v>
      </c>
      <c r="BI630" s="1" t="s">
        <v>8011</v>
      </c>
    </row>
    <row r="631" spans="58:61">
      <c r="BF631" s="1" t="s">
        <v>11</v>
      </c>
      <c r="BG631" s="1050" t="s">
        <v>690</v>
      </c>
      <c r="BH631" s="1" t="s">
        <v>7272</v>
      </c>
      <c r="BI631" s="1" t="s">
        <v>8012</v>
      </c>
    </row>
    <row r="632" spans="58:61">
      <c r="BF632" s="1" t="s">
        <v>11</v>
      </c>
      <c r="BG632" s="1050" t="s">
        <v>690</v>
      </c>
      <c r="BH632" s="1" t="s">
        <v>7171</v>
      </c>
      <c r="BI632" s="1" t="s">
        <v>8013</v>
      </c>
    </row>
    <row r="633" spans="58:61">
      <c r="BF633" s="1" t="s">
        <v>11</v>
      </c>
      <c r="BG633" s="1050" t="s">
        <v>690</v>
      </c>
      <c r="BH633" s="1" t="s">
        <v>7273</v>
      </c>
      <c r="BI633" s="1" t="s">
        <v>8014</v>
      </c>
    </row>
    <row r="634" spans="58:61">
      <c r="BF634" s="1" t="s">
        <v>11</v>
      </c>
      <c r="BG634" s="1050" t="s">
        <v>690</v>
      </c>
      <c r="BH634" s="1" t="s">
        <v>7274</v>
      </c>
      <c r="BI634" s="1" t="s">
        <v>8015</v>
      </c>
    </row>
    <row r="635" spans="58:61">
      <c r="BF635" s="1" t="s">
        <v>11</v>
      </c>
      <c r="BG635" s="1050" t="s">
        <v>690</v>
      </c>
      <c r="BH635" s="1" t="s">
        <v>7275</v>
      </c>
      <c r="BI635" s="1" t="s">
        <v>8016</v>
      </c>
    </row>
    <row r="636" spans="58:61">
      <c r="BF636" s="1" t="s">
        <v>11</v>
      </c>
      <c r="BG636" s="1050" t="s">
        <v>690</v>
      </c>
      <c r="BH636" s="1" t="s">
        <v>7276</v>
      </c>
      <c r="BI636" s="1" t="s">
        <v>8017</v>
      </c>
    </row>
    <row r="637" spans="58:61">
      <c r="BF637" s="1" t="s">
        <v>11</v>
      </c>
      <c r="BG637" s="1050" t="s">
        <v>690</v>
      </c>
      <c r="BH637" s="1" t="s">
        <v>7277</v>
      </c>
      <c r="BI637" s="1" t="s">
        <v>8018</v>
      </c>
    </row>
    <row r="638" spans="58:61">
      <c r="BF638" s="1" t="s">
        <v>11</v>
      </c>
      <c r="BG638" s="1050" t="s">
        <v>690</v>
      </c>
      <c r="BH638" s="1" t="s">
        <v>7278</v>
      </c>
      <c r="BI638" s="1" t="s">
        <v>8019</v>
      </c>
    </row>
    <row r="639" spans="58:61">
      <c r="BF639" s="1" t="s">
        <v>11</v>
      </c>
      <c r="BG639" s="1050" t="s">
        <v>690</v>
      </c>
      <c r="BH639" s="1" t="s">
        <v>7279</v>
      </c>
      <c r="BI639" s="1" t="s">
        <v>8020</v>
      </c>
    </row>
    <row r="640" spans="58:61">
      <c r="BF640" s="1" t="s">
        <v>11</v>
      </c>
      <c r="BG640" s="1050" t="s">
        <v>690</v>
      </c>
      <c r="BH640" s="1" t="s">
        <v>7280</v>
      </c>
      <c r="BI640" s="1" t="s">
        <v>8021</v>
      </c>
    </row>
    <row r="641" spans="58:61">
      <c r="BF641" s="1" t="s">
        <v>11</v>
      </c>
      <c r="BG641" s="1050" t="s">
        <v>690</v>
      </c>
      <c r="BH641" s="1" t="s">
        <v>4599</v>
      </c>
      <c r="BI641" s="1" t="s">
        <v>8022</v>
      </c>
    </row>
    <row r="642" spans="58:61">
      <c r="BF642" s="1" t="s">
        <v>11</v>
      </c>
      <c r="BG642" s="1050" t="s">
        <v>690</v>
      </c>
      <c r="BH642" s="1" t="s">
        <v>7281</v>
      </c>
      <c r="BI642" s="1" t="s">
        <v>8023</v>
      </c>
    </row>
    <row r="643" spans="58:61">
      <c r="BF643" s="1" t="s">
        <v>11</v>
      </c>
      <c r="BG643" s="1050" t="s">
        <v>690</v>
      </c>
      <c r="BH643" s="1" t="s">
        <v>4602</v>
      </c>
      <c r="BI643" s="1" t="s">
        <v>8024</v>
      </c>
    </row>
    <row r="644" spans="58:61">
      <c r="BF644" s="1" t="s">
        <v>11</v>
      </c>
      <c r="BG644" s="1050" t="s">
        <v>690</v>
      </c>
      <c r="BH644" s="1" t="s">
        <v>7282</v>
      </c>
      <c r="BI644" s="1" t="s">
        <v>8025</v>
      </c>
    </row>
    <row r="645" spans="58:61">
      <c r="BF645" s="1" t="s">
        <v>11</v>
      </c>
      <c r="BG645" s="1050" t="s">
        <v>690</v>
      </c>
      <c r="BH645" s="1" t="s">
        <v>147</v>
      </c>
      <c r="BI645" s="1" t="s">
        <v>8026</v>
      </c>
    </row>
    <row r="646" spans="58:61">
      <c r="BF646" s="1" t="s">
        <v>11</v>
      </c>
      <c r="BG646" s="1050" t="s">
        <v>690</v>
      </c>
      <c r="BH646" s="1" t="s">
        <v>7283</v>
      </c>
      <c r="BI646" s="1" t="s">
        <v>8027</v>
      </c>
    </row>
    <row r="647" spans="58:61">
      <c r="BF647" s="1" t="s">
        <v>11</v>
      </c>
      <c r="BG647" s="1050" t="s">
        <v>690</v>
      </c>
      <c r="BH647" s="1" t="s">
        <v>208</v>
      </c>
      <c r="BI647" s="1" t="s">
        <v>8028</v>
      </c>
    </row>
    <row r="648" spans="58:61">
      <c r="BF648" s="1" t="s">
        <v>11</v>
      </c>
      <c r="BG648" s="1050" t="s">
        <v>690</v>
      </c>
      <c r="BH648" s="1" t="s">
        <v>181</v>
      </c>
      <c r="BI648" s="1" t="s">
        <v>8029</v>
      </c>
    </row>
    <row r="649" spans="58:61">
      <c r="BF649" s="1" t="s">
        <v>11</v>
      </c>
      <c r="BG649" s="1050" t="s">
        <v>690</v>
      </c>
      <c r="BH649" s="1" t="s">
        <v>4607</v>
      </c>
      <c r="BI649" s="1" t="s">
        <v>8030</v>
      </c>
    </row>
    <row r="650" spans="58:61">
      <c r="BF650" s="1" t="s">
        <v>11</v>
      </c>
      <c r="BG650" s="1050" t="s">
        <v>690</v>
      </c>
      <c r="BH650" s="1" t="s">
        <v>7284</v>
      </c>
      <c r="BI650" s="1" t="s">
        <v>8031</v>
      </c>
    </row>
    <row r="651" spans="58:61">
      <c r="BF651" s="1" t="s">
        <v>11</v>
      </c>
      <c r="BG651" s="1050" t="s">
        <v>690</v>
      </c>
      <c r="BH651" s="1" t="s">
        <v>124</v>
      </c>
      <c r="BI651" s="1" t="s">
        <v>8032</v>
      </c>
    </row>
    <row r="652" spans="58:61">
      <c r="BF652" s="1" t="s">
        <v>11</v>
      </c>
      <c r="BG652" s="1050" t="s">
        <v>690</v>
      </c>
      <c r="BH652" s="1" t="s">
        <v>7285</v>
      </c>
      <c r="BI652" s="1" t="s">
        <v>8033</v>
      </c>
    </row>
    <row r="653" spans="58:61">
      <c r="BF653" s="1" t="s">
        <v>11</v>
      </c>
      <c r="BG653" s="1050" t="s">
        <v>690</v>
      </c>
      <c r="BH653" s="1" t="s">
        <v>140</v>
      </c>
      <c r="BI653" s="1" t="s">
        <v>8034</v>
      </c>
    </row>
    <row r="654" spans="58:61">
      <c r="BF654" s="1" t="s">
        <v>11</v>
      </c>
      <c r="BG654" s="1050" t="s">
        <v>690</v>
      </c>
      <c r="BH654" s="1" t="s">
        <v>7286</v>
      </c>
      <c r="BI654" s="1" t="s">
        <v>8035</v>
      </c>
    </row>
    <row r="655" spans="58:61">
      <c r="BF655" s="1" t="s">
        <v>11</v>
      </c>
      <c r="BG655" s="1050" t="s">
        <v>690</v>
      </c>
      <c r="BH655" s="1" t="s">
        <v>7084</v>
      </c>
      <c r="BI655" s="1" t="s">
        <v>8036</v>
      </c>
    </row>
    <row r="656" spans="58:61">
      <c r="BF656" s="1" t="s">
        <v>11</v>
      </c>
      <c r="BG656" s="1050" t="s">
        <v>690</v>
      </c>
      <c r="BH656" s="1" t="s">
        <v>4611</v>
      </c>
      <c r="BI656" s="1" t="s">
        <v>8037</v>
      </c>
    </row>
    <row r="657" spans="58:61">
      <c r="BF657" s="1" t="s">
        <v>11</v>
      </c>
      <c r="BG657" s="1050" t="s">
        <v>690</v>
      </c>
      <c r="BH657" s="1" t="s">
        <v>137</v>
      </c>
      <c r="BI657" s="1" t="s">
        <v>8038</v>
      </c>
    </row>
    <row r="658" spans="58:61">
      <c r="BF658" s="1" t="s">
        <v>11</v>
      </c>
      <c r="BG658" s="1050" t="s">
        <v>690</v>
      </c>
      <c r="BH658" s="1" t="s">
        <v>175</v>
      </c>
      <c r="BI658" s="1" t="s">
        <v>8039</v>
      </c>
    </row>
    <row r="659" spans="58:61">
      <c r="BF659" s="1" t="s">
        <v>11</v>
      </c>
      <c r="BG659" s="1050" t="s">
        <v>690</v>
      </c>
      <c r="BH659" s="1" t="s">
        <v>7180</v>
      </c>
      <c r="BI659" s="1" t="s">
        <v>8040</v>
      </c>
    </row>
    <row r="660" spans="58:61">
      <c r="BF660" s="1" t="s">
        <v>11</v>
      </c>
      <c r="BG660" s="1050" t="s">
        <v>690</v>
      </c>
      <c r="BH660" s="1" t="s">
        <v>7287</v>
      </c>
      <c r="BI660" s="1" t="s">
        <v>8041</v>
      </c>
    </row>
    <row r="661" spans="58:61">
      <c r="BF661" s="1" t="s">
        <v>11</v>
      </c>
      <c r="BG661" s="1050" t="s">
        <v>690</v>
      </c>
      <c r="BH661" s="1" t="s">
        <v>7288</v>
      </c>
      <c r="BI661" s="1" t="s">
        <v>8042</v>
      </c>
    </row>
    <row r="662" spans="58:61">
      <c r="BF662" s="1" t="s">
        <v>11</v>
      </c>
      <c r="BG662" s="1050" t="s">
        <v>690</v>
      </c>
      <c r="BH662" s="1" t="s">
        <v>7289</v>
      </c>
      <c r="BI662" s="1" t="s">
        <v>8043</v>
      </c>
    </row>
    <row r="663" spans="58:61">
      <c r="BF663" s="1" t="s">
        <v>11</v>
      </c>
      <c r="BG663" s="1050" t="s">
        <v>690</v>
      </c>
      <c r="BH663" s="1" t="s">
        <v>7290</v>
      </c>
      <c r="BI663" s="1" t="s">
        <v>8044</v>
      </c>
    </row>
    <row r="664" spans="58:61">
      <c r="BF664" s="1" t="s">
        <v>11</v>
      </c>
      <c r="BG664" s="1050" t="s">
        <v>690</v>
      </c>
      <c r="BH664" s="1" t="s">
        <v>7291</v>
      </c>
      <c r="BI664" s="1" t="s">
        <v>8045</v>
      </c>
    </row>
    <row r="665" spans="58:61">
      <c r="BF665" s="1" t="s">
        <v>11</v>
      </c>
      <c r="BG665" s="1050" t="s">
        <v>690</v>
      </c>
      <c r="BH665" s="1" t="s">
        <v>7292</v>
      </c>
      <c r="BI665" s="1" t="s">
        <v>8046</v>
      </c>
    </row>
    <row r="666" spans="58:61">
      <c r="BF666" s="1" t="s">
        <v>11</v>
      </c>
      <c r="BG666" s="1050" t="s">
        <v>690</v>
      </c>
      <c r="BH666" s="1" t="s">
        <v>7191</v>
      </c>
      <c r="BI666" s="1" t="s">
        <v>8047</v>
      </c>
    </row>
    <row r="667" spans="58:61">
      <c r="BF667" s="1" t="s">
        <v>11</v>
      </c>
      <c r="BG667" s="1050" t="s">
        <v>690</v>
      </c>
      <c r="BH667" s="1" t="s">
        <v>7293</v>
      </c>
      <c r="BI667" s="1" t="s">
        <v>8048</v>
      </c>
    </row>
    <row r="668" spans="58:61">
      <c r="BF668" s="1" t="s">
        <v>11</v>
      </c>
      <c r="BG668" s="1050" t="s">
        <v>690</v>
      </c>
      <c r="BH668" s="1" t="s">
        <v>7294</v>
      </c>
      <c r="BI668" s="1" t="s">
        <v>8049</v>
      </c>
    </row>
    <row r="669" spans="58:61">
      <c r="BF669" s="1" t="s">
        <v>15</v>
      </c>
      <c r="BG669" s="1050" t="s">
        <v>690</v>
      </c>
      <c r="BH669" s="1" t="s">
        <v>7295</v>
      </c>
      <c r="BI669" s="1" t="s">
        <v>8050</v>
      </c>
    </row>
    <row r="670" spans="58:61">
      <c r="BF670" s="1" t="s">
        <v>15</v>
      </c>
      <c r="BG670" s="1050" t="s">
        <v>690</v>
      </c>
      <c r="BH670" s="1" t="s">
        <v>7296</v>
      </c>
      <c r="BI670" s="1" t="s">
        <v>8051</v>
      </c>
    </row>
    <row r="671" spans="58:61">
      <c r="BF671" s="1" t="s">
        <v>15</v>
      </c>
      <c r="BG671" s="1050" t="s">
        <v>690</v>
      </c>
      <c r="BH671" s="1" t="s">
        <v>7297</v>
      </c>
      <c r="BI671" s="1" t="s">
        <v>8052</v>
      </c>
    </row>
    <row r="672" spans="58:61">
      <c r="BF672" s="1" t="s">
        <v>15</v>
      </c>
      <c r="BG672" s="1050" t="s">
        <v>690</v>
      </c>
      <c r="BH672" s="1" t="s">
        <v>7298</v>
      </c>
      <c r="BI672" s="1" t="s">
        <v>8053</v>
      </c>
    </row>
    <row r="673" spans="58:61">
      <c r="BF673" s="1" t="s">
        <v>15</v>
      </c>
      <c r="BG673" s="1050" t="s">
        <v>690</v>
      </c>
      <c r="BH673" s="1" t="s">
        <v>7299</v>
      </c>
      <c r="BI673" s="1" t="s">
        <v>8054</v>
      </c>
    </row>
    <row r="674" spans="58:61">
      <c r="BF674" s="1" t="s">
        <v>15</v>
      </c>
      <c r="BG674" s="1050" t="s">
        <v>690</v>
      </c>
      <c r="BH674" s="1" t="s">
        <v>7300</v>
      </c>
      <c r="BI674" s="1" t="s">
        <v>8055</v>
      </c>
    </row>
    <row r="675" spans="58:61">
      <c r="BF675" s="1" t="s">
        <v>15</v>
      </c>
      <c r="BG675" s="1050" t="s">
        <v>690</v>
      </c>
      <c r="BH675" s="1" t="s">
        <v>7301</v>
      </c>
      <c r="BI675" s="1" t="s">
        <v>8056</v>
      </c>
    </row>
    <row r="676" spans="58:61">
      <c r="BF676" s="1" t="s">
        <v>15</v>
      </c>
      <c r="BG676" s="1050" t="s">
        <v>690</v>
      </c>
      <c r="BH676" s="1" t="s">
        <v>7302</v>
      </c>
      <c r="BI676" s="1" t="s">
        <v>8057</v>
      </c>
    </row>
    <row r="677" spans="58:61">
      <c r="BF677" s="1" t="s">
        <v>15</v>
      </c>
      <c r="BG677" s="1050" t="s">
        <v>690</v>
      </c>
      <c r="BH677" s="1" t="s">
        <v>7303</v>
      </c>
      <c r="BI677" s="1" t="s">
        <v>8058</v>
      </c>
    </row>
    <row r="678" spans="58:61">
      <c r="BF678" s="1" t="s">
        <v>15</v>
      </c>
      <c r="BG678" s="1050" t="s">
        <v>690</v>
      </c>
      <c r="BH678" s="1" t="s">
        <v>7304</v>
      </c>
      <c r="BI678" s="1" t="s">
        <v>8059</v>
      </c>
    </row>
    <row r="679" spans="58:61">
      <c r="BF679" s="1" t="s">
        <v>15</v>
      </c>
      <c r="BG679" s="1050" t="s">
        <v>690</v>
      </c>
      <c r="BH679" s="1" t="s">
        <v>860</v>
      </c>
      <c r="BI679" s="1" t="s">
        <v>8060</v>
      </c>
    </row>
    <row r="680" spans="58:61">
      <c r="BF680" s="1" t="s">
        <v>15</v>
      </c>
      <c r="BG680" s="1050" t="s">
        <v>690</v>
      </c>
      <c r="BH680" s="1" t="s">
        <v>861</v>
      </c>
      <c r="BI680" s="1" t="s">
        <v>8061</v>
      </c>
    </row>
    <row r="681" spans="58:61">
      <c r="BF681" s="1" t="s">
        <v>15</v>
      </c>
      <c r="BG681" s="1050" t="s">
        <v>690</v>
      </c>
      <c r="BH681" s="1" t="s">
        <v>7305</v>
      </c>
      <c r="BI681" s="1" t="s">
        <v>8062</v>
      </c>
    </row>
    <row r="682" spans="58:61">
      <c r="BF682" s="1" t="s">
        <v>15</v>
      </c>
      <c r="BG682" s="1050" t="s">
        <v>690</v>
      </c>
      <c r="BH682" s="1" t="s">
        <v>7306</v>
      </c>
      <c r="BI682" s="1" t="s">
        <v>8063</v>
      </c>
    </row>
    <row r="683" spans="58:61">
      <c r="BF683" s="1" t="s">
        <v>15</v>
      </c>
      <c r="BG683" s="1050" t="s">
        <v>690</v>
      </c>
      <c r="BH683" s="1" t="s">
        <v>7307</v>
      </c>
      <c r="BI683" s="1" t="s">
        <v>8064</v>
      </c>
    </row>
    <row r="684" spans="58:61">
      <c r="BF684" s="1" t="s">
        <v>15</v>
      </c>
      <c r="BG684" s="1050" t="s">
        <v>690</v>
      </c>
      <c r="BH684" s="1" t="s">
        <v>7308</v>
      </c>
      <c r="BI684" s="1" t="s">
        <v>8065</v>
      </c>
    </row>
    <row r="685" spans="58:61">
      <c r="BF685" s="1" t="s">
        <v>15</v>
      </c>
      <c r="BG685" s="1050" t="s">
        <v>690</v>
      </c>
      <c r="BH685" s="1" t="s">
        <v>7309</v>
      </c>
      <c r="BI685" s="1" t="s">
        <v>8066</v>
      </c>
    </row>
    <row r="686" spans="58:61">
      <c r="BF686" s="1" t="s">
        <v>15</v>
      </c>
      <c r="BG686" s="1050" t="s">
        <v>690</v>
      </c>
      <c r="BH686" s="1" t="s">
        <v>864</v>
      </c>
      <c r="BI686" s="1" t="s">
        <v>8067</v>
      </c>
    </row>
    <row r="687" spans="58:61">
      <c r="BF687" s="1" t="s">
        <v>15</v>
      </c>
      <c r="BG687" s="1050" t="s">
        <v>690</v>
      </c>
      <c r="BH687" s="1" t="s">
        <v>7310</v>
      </c>
      <c r="BI687" s="1" t="s">
        <v>8068</v>
      </c>
    </row>
    <row r="688" spans="58:61">
      <c r="BF688" s="1" t="s">
        <v>15</v>
      </c>
      <c r="BG688" s="1050" t="s">
        <v>690</v>
      </c>
      <c r="BH688" s="1" t="s">
        <v>7311</v>
      </c>
      <c r="BI688" s="1" t="s">
        <v>8069</v>
      </c>
    </row>
    <row r="689" spans="58:61">
      <c r="BF689" s="1" t="s">
        <v>15</v>
      </c>
      <c r="BG689" s="1050" t="s">
        <v>690</v>
      </c>
      <c r="BH689" s="1" t="s">
        <v>7312</v>
      </c>
      <c r="BI689" s="1" t="s">
        <v>8070</v>
      </c>
    </row>
    <row r="690" spans="58:61">
      <c r="BF690" s="1" t="s">
        <v>15</v>
      </c>
      <c r="BG690" s="1050" t="s">
        <v>690</v>
      </c>
      <c r="BH690" s="1" t="s">
        <v>869</v>
      </c>
      <c r="BI690" s="1" t="s">
        <v>8071</v>
      </c>
    </row>
    <row r="691" spans="58:61">
      <c r="BF691" s="1" t="s">
        <v>15</v>
      </c>
      <c r="BG691" s="1050" t="s">
        <v>690</v>
      </c>
      <c r="BH691" s="1" t="s">
        <v>7313</v>
      </c>
      <c r="BI691" s="1" t="s">
        <v>8072</v>
      </c>
    </row>
    <row r="692" spans="58:61">
      <c r="BF692" s="1" t="s">
        <v>15</v>
      </c>
      <c r="BG692" s="1050" t="s">
        <v>690</v>
      </c>
      <c r="BH692" s="1" t="s">
        <v>7314</v>
      </c>
      <c r="BI692" s="1" t="s">
        <v>8073</v>
      </c>
    </row>
    <row r="693" spans="58:61">
      <c r="BF693" s="1" t="s">
        <v>15</v>
      </c>
      <c r="BG693" s="1050" t="s">
        <v>690</v>
      </c>
      <c r="BH693" s="1" t="s">
        <v>7315</v>
      </c>
      <c r="BI693" s="1" t="s">
        <v>8074</v>
      </c>
    </row>
    <row r="694" spans="58:61">
      <c r="BF694" s="1" t="s">
        <v>15</v>
      </c>
      <c r="BG694" s="1050" t="s">
        <v>690</v>
      </c>
      <c r="BH694" s="1" t="s">
        <v>7316</v>
      </c>
      <c r="BI694" s="1" t="s">
        <v>8075</v>
      </c>
    </row>
    <row r="695" spans="58:61">
      <c r="BF695" s="1" t="s">
        <v>15</v>
      </c>
      <c r="BG695" s="1050" t="s">
        <v>690</v>
      </c>
      <c r="BH695" s="1" t="s">
        <v>693</v>
      </c>
      <c r="BI695" s="1" t="s">
        <v>8076</v>
      </c>
    </row>
    <row r="696" spans="58:61">
      <c r="BF696" s="1" t="s">
        <v>15</v>
      </c>
      <c r="BG696" s="1050" t="s">
        <v>690</v>
      </c>
      <c r="BH696" s="1" t="s">
        <v>7317</v>
      </c>
      <c r="BI696" s="1" t="s">
        <v>8077</v>
      </c>
    </row>
    <row r="697" spans="58:61">
      <c r="BF697" s="1" t="s">
        <v>15</v>
      </c>
      <c r="BG697" s="1050" t="s">
        <v>690</v>
      </c>
      <c r="BH697" s="1" t="s">
        <v>7318</v>
      </c>
      <c r="BI697" s="1" t="s">
        <v>8078</v>
      </c>
    </row>
    <row r="698" spans="58:61">
      <c r="BF698" s="1" t="s">
        <v>15</v>
      </c>
      <c r="BG698" s="1050" t="s">
        <v>690</v>
      </c>
      <c r="BH698" s="1" t="s">
        <v>694</v>
      </c>
      <c r="BI698" s="1" t="s">
        <v>8079</v>
      </c>
    </row>
    <row r="699" spans="58:61">
      <c r="BF699" s="1" t="s">
        <v>15</v>
      </c>
      <c r="BG699" s="1050" t="s">
        <v>690</v>
      </c>
      <c r="BH699" s="1" t="s">
        <v>7319</v>
      </c>
      <c r="BI699" s="1" t="s">
        <v>8080</v>
      </c>
    </row>
    <row r="700" spans="58:61">
      <c r="BF700" s="1" t="s">
        <v>8</v>
      </c>
      <c r="BG700" s="1050" t="s">
        <v>690</v>
      </c>
      <c r="BH700" s="1" t="s">
        <v>7320</v>
      </c>
      <c r="BI700" s="1" t="s">
        <v>8081</v>
      </c>
    </row>
    <row r="701" spans="58:61">
      <c r="BF701" s="1" t="s">
        <v>8</v>
      </c>
      <c r="BG701" s="1050" t="s">
        <v>690</v>
      </c>
      <c r="BH701" s="1" t="s">
        <v>3781</v>
      </c>
      <c r="BI701" s="1" t="s">
        <v>8082</v>
      </c>
    </row>
    <row r="702" spans="58:61">
      <c r="BF702" s="1" t="s">
        <v>8</v>
      </c>
      <c r="BG702" s="1050" t="s">
        <v>690</v>
      </c>
      <c r="BH702" s="1" t="s">
        <v>3789</v>
      </c>
      <c r="BI702" s="1" t="s">
        <v>8083</v>
      </c>
    </row>
    <row r="703" spans="58:61">
      <c r="BF703" s="1" t="s">
        <v>8</v>
      </c>
      <c r="BG703" s="1050" t="s">
        <v>690</v>
      </c>
      <c r="BH703" s="1" t="s">
        <v>7321</v>
      </c>
      <c r="BI703" s="1" t="s">
        <v>8084</v>
      </c>
    </row>
    <row r="704" spans="58:61">
      <c r="BF704" s="1" t="s">
        <v>8</v>
      </c>
      <c r="BG704" s="1050" t="s">
        <v>690</v>
      </c>
      <c r="BH704" s="1" t="s">
        <v>7322</v>
      </c>
      <c r="BI704" s="1" t="s">
        <v>8085</v>
      </c>
    </row>
    <row r="705" spans="58:61">
      <c r="BF705" s="1" t="s">
        <v>8</v>
      </c>
      <c r="BG705" s="1050" t="s">
        <v>690</v>
      </c>
      <c r="BH705" s="1" t="s">
        <v>7323</v>
      </c>
      <c r="BI705" s="1" t="s">
        <v>8086</v>
      </c>
    </row>
    <row r="706" spans="58:61">
      <c r="BF706" s="1" t="s">
        <v>8</v>
      </c>
      <c r="BG706" s="1050" t="s">
        <v>690</v>
      </c>
      <c r="BH706" s="1" t="s">
        <v>7324</v>
      </c>
      <c r="BI706" s="1" t="s">
        <v>8087</v>
      </c>
    </row>
    <row r="707" spans="58:61">
      <c r="BF707" s="1" t="s">
        <v>8</v>
      </c>
      <c r="BG707" s="1050" t="s">
        <v>690</v>
      </c>
      <c r="BH707" s="1" t="s">
        <v>7325</v>
      </c>
      <c r="BI707" s="1" t="s">
        <v>8088</v>
      </c>
    </row>
    <row r="708" spans="58:61">
      <c r="BF708" s="1" t="s">
        <v>8</v>
      </c>
      <c r="BG708" s="1050" t="s">
        <v>690</v>
      </c>
      <c r="BH708" s="1" t="s">
        <v>7326</v>
      </c>
      <c r="BI708" s="1" t="s">
        <v>8089</v>
      </c>
    </row>
    <row r="709" spans="58:61">
      <c r="BF709" s="1" t="s">
        <v>8</v>
      </c>
      <c r="BG709" s="1050" t="s">
        <v>690</v>
      </c>
      <c r="BH709" s="1" t="s">
        <v>7327</v>
      </c>
      <c r="BI709" s="1" t="s">
        <v>8090</v>
      </c>
    </row>
    <row r="710" spans="58:61">
      <c r="BF710" s="1" t="s">
        <v>8</v>
      </c>
      <c r="BG710" s="1050" t="s">
        <v>690</v>
      </c>
      <c r="BH710" s="1" t="s">
        <v>7328</v>
      </c>
      <c r="BI710" s="1" t="s">
        <v>8091</v>
      </c>
    </row>
    <row r="711" spans="58:61">
      <c r="BF711" s="1" t="s">
        <v>8</v>
      </c>
      <c r="BG711" s="1050" t="s">
        <v>690</v>
      </c>
      <c r="BH711" s="1" t="s">
        <v>7329</v>
      </c>
      <c r="BI711" s="1" t="s">
        <v>8092</v>
      </c>
    </row>
    <row r="712" spans="58:61">
      <c r="BF712" s="1" t="s">
        <v>8</v>
      </c>
      <c r="BG712" s="1050" t="s">
        <v>690</v>
      </c>
      <c r="BH712" s="1" t="s">
        <v>7330</v>
      </c>
      <c r="BI712" s="1" t="s">
        <v>8093</v>
      </c>
    </row>
    <row r="713" spans="58:61">
      <c r="BF713" s="1" t="s">
        <v>8</v>
      </c>
      <c r="BG713" s="1050" t="s">
        <v>690</v>
      </c>
      <c r="BH713" s="1" t="s">
        <v>7331</v>
      </c>
      <c r="BI713" s="1" t="s">
        <v>8094</v>
      </c>
    </row>
    <row r="714" spans="58:61">
      <c r="BF714" s="1" t="s">
        <v>8</v>
      </c>
      <c r="BG714" s="1050" t="s">
        <v>690</v>
      </c>
      <c r="BH714" s="1" t="s">
        <v>7332</v>
      </c>
      <c r="BI714" s="1" t="s">
        <v>8095</v>
      </c>
    </row>
    <row r="715" spans="58:61">
      <c r="BF715" s="1" t="s">
        <v>7029</v>
      </c>
      <c r="BG715" s="1051" t="s">
        <v>7033</v>
      </c>
      <c r="BH715" s="1" t="s">
        <v>7333</v>
      </c>
      <c r="BI715" s="1" t="s">
        <v>8096</v>
      </c>
    </row>
    <row r="716" spans="58:61">
      <c r="BF716" s="1" t="s">
        <v>7029</v>
      </c>
      <c r="BG716" s="1051" t="s">
        <v>7033</v>
      </c>
      <c r="BH716" s="1" t="s">
        <v>7334</v>
      </c>
      <c r="BI716" s="1" t="s">
        <v>8097</v>
      </c>
    </row>
    <row r="717" spans="58:61">
      <c r="BF717" s="1" t="s">
        <v>7029</v>
      </c>
      <c r="BG717" s="1051" t="s">
        <v>7033</v>
      </c>
      <c r="BH717" s="1" t="s">
        <v>7335</v>
      </c>
      <c r="BI717" s="1" t="s">
        <v>8098</v>
      </c>
    </row>
    <row r="718" spans="58:61">
      <c r="BF718" s="1" t="s">
        <v>7029</v>
      </c>
      <c r="BG718" s="1051" t="s">
        <v>7033</v>
      </c>
      <c r="BH718" s="1" t="s">
        <v>7336</v>
      </c>
      <c r="BI718" s="1" t="s">
        <v>8099</v>
      </c>
    </row>
    <row r="719" spans="58:61">
      <c r="BF719" s="1" t="s">
        <v>7029</v>
      </c>
      <c r="BG719" s="1051" t="s">
        <v>7033</v>
      </c>
      <c r="BH719" s="1" t="s">
        <v>7337</v>
      </c>
      <c r="BI719" s="1" t="s">
        <v>8100</v>
      </c>
    </row>
    <row r="720" spans="58:61">
      <c r="BF720" s="1" t="s">
        <v>7029</v>
      </c>
      <c r="BG720" s="1051" t="s">
        <v>7033</v>
      </c>
      <c r="BH720" s="1" t="s">
        <v>7338</v>
      </c>
      <c r="BI720" s="1" t="s">
        <v>8101</v>
      </c>
    </row>
    <row r="721" spans="58:61">
      <c r="BF721" s="1" t="s">
        <v>7029</v>
      </c>
      <c r="BG721" s="1051" t="s">
        <v>7033</v>
      </c>
      <c r="BH721" s="1" t="s">
        <v>7339</v>
      </c>
      <c r="BI721" s="1" t="s">
        <v>8102</v>
      </c>
    </row>
    <row r="722" spans="58:61">
      <c r="BF722" s="1" t="s">
        <v>7029</v>
      </c>
      <c r="BG722" s="1051" t="s">
        <v>7033</v>
      </c>
      <c r="BH722" s="1" t="s">
        <v>7340</v>
      </c>
      <c r="BI722" s="1" t="s">
        <v>8103</v>
      </c>
    </row>
    <row r="723" spans="58:61">
      <c r="BF723" s="1" t="s">
        <v>7029</v>
      </c>
      <c r="BG723" s="1051" t="s">
        <v>7033</v>
      </c>
      <c r="BH723" s="1" t="s">
        <v>7341</v>
      </c>
      <c r="BI723" s="1" t="s">
        <v>8104</v>
      </c>
    </row>
    <row r="724" spans="58:61">
      <c r="BF724" s="1" t="s">
        <v>7</v>
      </c>
      <c r="BG724" s="1051" t="s">
        <v>7033</v>
      </c>
      <c r="BH724" s="1" t="s">
        <v>7342</v>
      </c>
      <c r="BI724" s="1" t="s">
        <v>8105</v>
      </c>
    </row>
    <row r="725" spans="58:61">
      <c r="BF725" s="1" t="s">
        <v>7</v>
      </c>
      <c r="BG725" s="1051" t="s">
        <v>7033</v>
      </c>
      <c r="BH725" s="1" t="s">
        <v>7343</v>
      </c>
      <c r="BI725" s="1" t="s">
        <v>8106</v>
      </c>
    </row>
    <row r="726" spans="58:61">
      <c r="BF726" s="1" t="s">
        <v>7</v>
      </c>
      <c r="BG726" s="1051" t="s">
        <v>7033</v>
      </c>
      <c r="BH726" s="1" t="s">
        <v>30</v>
      </c>
      <c r="BI726" s="1" t="s">
        <v>8107</v>
      </c>
    </row>
    <row r="727" spans="58:61">
      <c r="BF727" s="1" t="s">
        <v>7</v>
      </c>
      <c r="BG727" s="1051" t="s">
        <v>7033</v>
      </c>
      <c r="BH727" s="1" t="s">
        <v>42</v>
      </c>
      <c r="BI727" s="1" t="s">
        <v>8108</v>
      </c>
    </row>
    <row r="728" spans="58:61">
      <c r="BF728" s="1" t="s">
        <v>7</v>
      </c>
      <c r="BG728" s="1051" t="s">
        <v>7033</v>
      </c>
      <c r="BH728" s="1" t="s">
        <v>5791</v>
      </c>
      <c r="BI728" s="1" t="s">
        <v>8109</v>
      </c>
    </row>
    <row r="729" spans="58:61">
      <c r="BF729" s="1" t="s">
        <v>7</v>
      </c>
      <c r="BG729" s="1051" t="s">
        <v>7033</v>
      </c>
      <c r="BH729" s="1" t="s">
        <v>713</v>
      </c>
      <c r="BI729" s="1" t="s">
        <v>8110</v>
      </c>
    </row>
    <row r="730" spans="58:61">
      <c r="BF730" s="1" t="s">
        <v>7</v>
      </c>
      <c r="BG730" s="1051" t="s">
        <v>7033</v>
      </c>
      <c r="BH730" s="1" t="s">
        <v>17</v>
      </c>
      <c r="BI730" s="1" t="s">
        <v>8111</v>
      </c>
    </row>
    <row r="731" spans="58:61">
      <c r="BF731" s="1" t="s">
        <v>7</v>
      </c>
      <c r="BG731" s="1051" t="s">
        <v>7033</v>
      </c>
      <c r="BH731" s="1" t="s">
        <v>5793</v>
      </c>
      <c r="BI731" s="1" t="s">
        <v>8112</v>
      </c>
    </row>
    <row r="732" spans="58:61">
      <c r="BF732" s="1" t="s">
        <v>11</v>
      </c>
      <c r="BG732" s="1051" t="s">
        <v>7033</v>
      </c>
      <c r="BH732" s="1" t="s">
        <v>7344</v>
      </c>
      <c r="BI732" s="1" t="s">
        <v>8113</v>
      </c>
    </row>
    <row r="733" spans="58:61">
      <c r="BF733" s="1" t="s">
        <v>11</v>
      </c>
      <c r="BG733" s="1051" t="s">
        <v>7033</v>
      </c>
      <c r="BH733" s="1" t="s">
        <v>7345</v>
      </c>
      <c r="BI733" s="1" t="s">
        <v>8114</v>
      </c>
    </row>
    <row r="734" spans="58:61">
      <c r="BF734" s="1" t="s">
        <v>11</v>
      </c>
      <c r="BG734" s="1051" t="s">
        <v>7033</v>
      </c>
      <c r="BH734" s="1" t="s">
        <v>7346</v>
      </c>
      <c r="BI734" s="1" t="s">
        <v>8115</v>
      </c>
    </row>
    <row r="735" spans="58:61">
      <c r="BF735" s="1" t="s">
        <v>11</v>
      </c>
      <c r="BG735" s="1051" t="s">
        <v>7033</v>
      </c>
      <c r="BH735" s="1" t="s">
        <v>7347</v>
      </c>
      <c r="BI735" s="1" t="s">
        <v>8116</v>
      </c>
    </row>
    <row r="736" spans="58:61">
      <c r="BF736" s="1" t="s">
        <v>11</v>
      </c>
      <c r="BG736" s="1051" t="s">
        <v>7033</v>
      </c>
      <c r="BH736" s="1" t="s">
        <v>7348</v>
      </c>
      <c r="BI736" s="1" t="s">
        <v>8117</v>
      </c>
    </row>
    <row r="737" spans="58:61">
      <c r="BF737" s="1" t="s">
        <v>11</v>
      </c>
      <c r="BG737" s="1051" t="s">
        <v>7033</v>
      </c>
      <c r="BH737" s="1" t="s">
        <v>7349</v>
      </c>
      <c r="BI737" s="1" t="s">
        <v>8118</v>
      </c>
    </row>
    <row r="738" spans="58:61">
      <c r="BF738" s="1" t="s">
        <v>11</v>
      </c>
      <c r="BG738" s="1051" t="s">
        <v>7033</v>
      </c>
      <c r="BH738" s="1" t="s">
        <v>7350</v>
      </c>
      <c r="BI738" s="1" t="s">
        <v>8119</v>
      </c>
    </row>
    <row r="739" spans="58:61">
      <c r="BF739" s="1" t="s">
        <v>11</v>
      </c>
      <c r="BG739" s="1051" t="s">
        <v>7033</v>
      </c>
      <c r="BH739" s="1" t="s">
        <v>7351</v>
      </c>
      <c r="BI739" s="1" t="s">
        <v>8120</v>
      </c>
    </row>
    <row r="740" spans="58:61">
      <c r="BF740" s="1" t="s">
        <v>11</v>
      </c>
      <c r="BG740" s="1051" t="s">
        <v>7033</v>
      </c>
      <c r="BH740" s="1" t="s">
        <v>7352</v>
      </c>
      <c r="BI740" s="1" t="s">
        <v>8121</v>
      </c>
    </row>
    <row r="741" spans="58:61">
      <c r="BF741" s="1" t="s">
        <v>11</v>
      </c>
      <c r="BG741" s="1051" t="s">
        <v>7033</v>
      </c>
      <c r="BH741" s="1" t="s">
        <v>7353</v>
      </c>
      <c r="BI741" s="1" t="s">
        <v>8122</v>
      </c>
    </row>
    <row r="742" spans="58:61">
      <c r="BF742" s="1" t="s">
        <v>11</v>
      </c>
      <c r="BG742" s="1051" t="s">
        <v>7033</v>
      </c>
      <c r="BH742" s="1" t="s">
        <v>7354</v>
      </c>
      <c r="BI742" s="1" t="s">
        <v>8123</v>
      </c>
    </row>
    <row r="743" spans="58:61">
      <c r="BF743" s="1" t="s">
        <v>8</v>
      </c>
      <c r="BG743" s="1051" t="s">
        <v>7033</v>
      </c>
      <c r="BH743" s="1" t="s">
        <v>7355</v>
      </c>
      <c r="BI743" s="1" t="s">
        <v>8124</v>
      </c>
    </row>
    <row r="744" spans="58:61">
      <c r="BF744" s="1" t="s">
        <v>8</v>
      </c>
      <c r="BG744" s="1051" t="s">
        <v>7033</v>
      </c>
      <c r="BH744" s="1" t="s">
        <v>7356</v>
      </c>
      <c r="BI744" s="1" t="s">
        <v>8125</v>
      </c>
    </row>
    <row r="745" spans="58:61">
      <c r="BF745" s="1" t="s">
        <v>8</v>
      </c>
      <c r="BG745" s="1051" t="s">
        <v>7033</v>
      </c>
      <c r="BH745" s="1" t="s">
        <v>7357</v>
      </c>
      <c r="BI745" s="1" t="s">
        <v>8126</v>
      </c>
    </row>
    <row r="746" spans="58:61">
      <c r="BF746" s="1" t="s">
        <v>8</v>
      </c>
      <c r="BG746" s="1051" t="s">
        <v>7033</v>
      </c>
      <c r="BH746" s="1" t="s">
        <v>7358</v>
      </c>
      <c r="BI746" s="1" t="s">
        <v>8127</v>
      </c>
    </row>
    <row r="747" spans="58:61">
      <c r="BF747" s="1" t="s">
        <v>8</v>
      </c>
      <c r="BG747" s="1051" t="s">
        <v>7033</v>
      </c>
      <c r="BH747" s="1" t="s">
        <v>7359</v>
      </c>
      <c r="BI747" s="1" t="s">
        <v>8128</v>
      </c>
    </row>
    <row r="748" spans="58:61">
      <c r="BF748" s="1" t="s">
        <v>8</v>
      </c>
      <c r="BG748" s="1051" t="s">
        <v>7033</v>
      </c>
      <c r="BH748" s="1" t="s">
        <v>7360</v>
      </c>
      <c r="BI748" s="1" t="s">
        <v>8129</v>
      </c>
    </row>
    <row r="749" spans="58:61">
      <c r="BF749" s="1" t="s">
        <v>8</v>
      </c>
      <c r="BG749" s="1051" t="s">
        <v>7033</v>
      </c>
      <c r="BH749" s="1" t="s">
        <v>7361</v>
      </c>
      <c r="BI749" s="1" t="s">
        <v>8130</v>
      </c>
    </row>
    <row r="750" spans="58:61">
      <c r="BF750" s="1" t="s">
        <v>8</v>
      </c>
      <c r="BG750" s="1051" t="s">
        <v>7033</v>
      </c>
      <c r="BH750" s="1" t="s">
        <v>7362</v>
      </c>
      <c r="BI750" s="1" t="s">
        <v>8131</v>
      </c>
    </row>
    <row r="751" spans="58:61">
      <c r="BF751" s="1" t="s">
        <v>8</v>
      </c>
      <c r="BG751" s="1051" t="s">
        <v>7033</v>
      </c>
      <c r="BH751" s="1" t="s">
        <v>7363</v>
      </c>
      <c r="BI751" s="1" t="s">
        <v>8132</v>
      </c>
    </row>
    <row r="752" spans="58:61">
      <c r="BF752" s="1" t="s">
        <v>8</v>
      </c>
      <c r="BG752" s="1051" t="s">
        <v>7033</v>
      </c>
      <c r="BH752" s="1" t="s">
        <v>7364</v>
      </c>
      <c r="BI752" s="1" t="s">
        <v>8133</v>
      </c>
    </row>
    <row r="753" spans="58:61">
      <c r="BF753" s="1" t="s">
        <v>8</v>
      </c>
      <c r="BG753" s="1051" t="s">
        <v>7033</v>
      </c>
      <c r="BH753" s="1" t="s">
        <v>7365</v>
      </c>
      <c r="BI753" s="1" t="s">
        <v>8134</v>
      </c>
    </row>
    <row r="754" spans="58:61">
      <c r="BF754" s="1" t="s">
        <v>8</v>
      </c>
      <c r="BG754" s="1051" t="s">
        <v>7033</v>
      </c>
      <c r="BH754" s="1" t="s">
        <v>7366</v>
      </c>
      <c r="BI754" s="1" t="s">
        <v>8135</v>
      </c>
    </row>
    <row r="755" spans="58:61">
      <c r="BF755" s="1" t="s">
        <v>8</v>
      </c>
      <c r="BG755" s="1051" t="s">
        <v>7033</v>
      </c>
      <c r="BH755" s="1" t="s">
        <v>7367</v>
      </c>
      <c r="BI755" s="1" t="s">
        <v>8136</v>
      </c>
    </row>
    <row r="756" spans="58:61">
      <c r="BF756" s="1" t="s">
        <v>10</v>
      </c>
      <c r="BG756" s="1051" t="s">
        <v>7033</v>
      </c>
      <c r="BH756" s="1" t="s">
        <v>7368</v>
      </c>
      <c r="BI756" s="1" t="s">
        <v>8137</v>
      </c>
    </row>
    <row r="757" spans="58:61">
      <c r="BF757" s="1" t="s">
        <v>10</v>
      </c>
      <c r="BG757" s="1051" t="s">
        <v>7033</v>
      </c>
      <c r="BH757" s="1" t="s">
        <v>7369</v>
      </c>
      <c r="BI757" s="1" t="s">
        <v>8138</v>
      </c>
    </row>
    <row r="758" spans="58:61">
      <c r="BF758" s="1" t="s">
        <v>10</v>
      </c>
      <c r="BG758" s="1051" t="s">
        <v>7033</v>
      </c>
      <c r="BH758" s="1" t="s">
        <v>32</v>
      </c>
      <c r="BI758" s="1" t="s">
        <v>8139</v>
      </c>
    </row>
    <row r="759" spans="58:61">
      <c r="BF759" s="1" t="s">
        <v>10</v>
      </c>
      <c r="BG759" s="1051" t="s">
        <v>7033</v>
      </c>
      <c r="BH759" s="1" t="s">
        <v>7370</v>
      </c>
      <c r="BI759" s="1" t="s">
        <v>8140</v>
      </c>
    </row>
    <row r="760" spans="58:61">
      <c r="BF760" s="1" t="s">
        <v>10</v>
      </c>
      <c r="BG760" s="1051" t="s">
        <v>7033</v>
      </c>
      <c r="BH760" s="1" t="s">
        <v>7371</v>
      </c>
      <c r="BI760" s="1" t="s">
        <v>8141</v>
      </c>
    </row>
    <row r="761" spans="58:61">
      <c r="BF761" s="1" t="s">
        <v>10</v>
      </c>
      <c r="BG761" s="1051" t="s">
        <v>7033</v>
      </c>
      <c r="BH761" s="1" t="s">
        <v>7372</v>
      </c>
      <c r="BI761" s="1" t="s">
        <v>8142</v>
      </c>
    </row>
    <row r="762" spans="58:61">
      <c r="BF762" s="1" t="s">
        <v>10</v>
      </c>
      <c r="BG762" s="1051" t="s">
        <v>7033</v>
      </c>
      <c r="BH762" s="1" t="s">
        <v>22</v>
      </c>
      <c r="BI762" s="1" t="s">
        <v>8143</v>
      </c>
    </row>
    <row r="763" spans="58:61">
      <c r="BF763" s="1" t="s">
        <v>10</v>
      </c>
      <c r="BG763" s="1051" t="s">
        <v>7033</v>
      </c>
      <c r="BH763" s="1" t="s">
        <v>7373</v>
      </c>
      <c r="BI763" s="1" t="s">
        <v>8144</v>
      </c>
    </row>
    <row r="764" spans="58:61">
      <c r="BF764" s="1" t="s">
        <v>10</v>
      </c>
      <c r="BG764" s="1051" t="s">
        <v>7033</v>
      </c>
      <c r="BH764" s="1" t="s">
        <v>7374</v>
      </c>
      <c r="BI764" s="1" t="s">
        <v>8145</v>
      </c>
    </row>
    <row r="765" spans="58:61">
      <c r="BF765" s="1" t="s">
        <v>10</v>
      </c>
      <c r="BG765" s="1051" t="s">
        <v>7033</v>
      </c>
      <c r="BH765" s="1" t="s">
        <v>7375</v>
      </c>
      <c r="BI765" s="1" t="s">
        <v>8146</v>
      </c>
    </row>
    <row r="766" spans="58:61">
      <c r="BF766" s="1" t="s">
        <v>10</v>
      </c>
      <c r="BG766" s="1051" t="s">
        <v>7033</v>
      </c>
      <c r="BH766" s="1" t="s">
        <v>7376</v>
      </c>
      <c r="BI766" s="1" t="s">
        <v>8147</v>
      </c>
    </row>
    <row r="767" spans="58:61">
      <c r="BF767" s="1" t="s">
        <v>10</v>
      </c>
      <c r="BG767" s="1051" t="s">
        <v>7033</v>
      </c>
      <c r="BH767" s="1" t="s">
        <v>7377</v>
      </c>
      <c r="BI767" s="1" t="s">
        <v>8148</v>
      </c>
    </row>
    <row r="768" spans="58:61">
      <c r="BF768" s="1" t="s">
        <v>10</v>
      </c>
      <c r="BG768" s="1051" t="s">
        <v>7033</v>
      </c>
      <c r="BH768" s="1" t="s">
        <v>7378</v>
      </c>
      <c r="BI768" s="1" t="s">
        <v>8149</v>
      </c>
    </row>
    <row r="769" spans="58:61">
      <c r="BF769" s="1" t="s">
        <v>10</v>
      </c>
      <c r="BG769" s="1051" t="s">
        <v>7033</v>
      </c>
      <c r="BH769" s="1" t="s">
        <v>7379</v>
      </c>
      <c r="BI769" s="1" t="s">
        <v>8150</v>
      </c>
    </row>
    <row r="770" spans="58:61">
      <c r="BF770" s="1" t="s">
        <v>13</v>
      </c>
      <c r="BG770" s="1051" t="s">
        <v>7033</v>
      </c>
      <c r="BH770" s="1" t="s">
        <v>5150</v>
      </c>
      <c r="BI770" s="1" t="s">
        <v>8151</v>
      </c>
    </row>
    <row r="771" spans="58:61">
      <c r="BF771" s="1" t="s">
        <v>13</v>
      </c>
      <c r="BG771" s="1051" t="s">
        <v>7033</v>
      </c>
      <c r="BH771" s="1" t="s">
        <v>5178</v>
      </c>
      <c r="BI771" s="1" t="s">
        <v>8152</v>
      </c>
    </row>
    <row r="772" spans="58:61">
      <c r="BF772" s="1" t="s">
        <v>13</v>
      </c>
      <c r="BG772" s="1051" t="s">
        <v>7033</v>
      </c>
      <c r="BH772" s="1" t="s">
        <v>5185</v>
      </c>
      <c r="BI772" s="1" t="s">
        <v>8153</v>
      </c>
    </row>
    <row r="773" spans="58:61">
      <c r="BF773" s="1" t="s">
        <v>13</v>
      </c>
      <c r="BG773" s="1051" t="s">
        <v>7033</v>
      </c>
      <c r="BH773" s="1" t="s">
        <v>1065</v>
      </c>
      <c r="BI773" s="1" t="s">
        <v>8154</v>
      </c>
    </row>
    <row r="774" spans="58:61">
      <c r="BF774" s="1" t="s">
        <v>13</v>
      </c>
      <c r="BG774" s="1051" t="s">
        <v>7033</v>
      </c>
      <c r="BH774" s="1" t="s">
        <v>7380</v>
      </c>
      <c r="BI774" s="1" t="s">
        <v>8155</v>
      </c>
    </row>
    <row r="775" spans="58:61">
      <c r="BF775" s="1" t="s">
        <v>13</v>
      </c>
      <c r="BG775" s="1051" t="s">
        <v>7033</v>
      </c>
      <c r="BH775" s="1" t="s">
        <v>1066</v>
      </c>
      <c r="BI775" s="1" t="s">
        <v>8156</v>
      </c>
    </row>
    <row r="776" spans="58:61">
      <c r="BF776" s="1" t="s">
        <v>13</v>
      </c>
      <c r="BG776" s="1051" t="s">
        <v>7033</v>
      </c>
      <c r="BH776" s="1" t="s">
        <v>5215</v>
      </c>
      <c r="BI776" s="1" t="s">
        <v>8157</v>
      </c>
    </row>
    <row r="777" spans="58:61">
      <c r="BF777" s="1" t="s">
        <v>13</v>
      </c>
      <c r="BG777" s="1051" t="s">
        <v>7033</v>
      </c>
      <c r="BH777" s="1" t="s">
        <v>5217</v>
      </c>
      <c r="BI777" s="1" t="s">
        <v>8158</v>
      </c>
    </row>
    <row r="778" spans="58:61">
      <c r="BF778" s="1" t="s">
        <v>13</v>
      </c>
      <c r="BG778" s="1051" t="s">
        <v>7033</v>
      </c>
      <c r="BH778" s="1" t="s">
        <v>5219</v>
      </c>
      <c r="BI778" s="1" t="s">
        <v>8159</v>
      </c>
    </row>
    <row r="779" spans="58:61">
      <c r="BF779" s="1" t="s">
        <v>7</v>
      </c>
      <c r="BG779" s="1053" t="s">
        <v>7034</v>
      </c>
      <c r="BH779" s="1" t="s">
        <v>702</v>
      </c>
      <c r="BI779" s="1" t="s">
        <v>8160</v>
      </c>
    </row>
    <row r="780" spans="58:61">
      <c r="BF780" s="1" t="s">
        <v>7</v>
      </c>
      <c r="BG780" s="1053" t="s">
        <v>7034</v>
      </c>
      <c r="BH780" s="1" t="s">
        <v>309</v>
      </c>
      <c r="BI780" s="1" t="s">
        <v>8161</v>
      </c>
    </row>
    <row r="781" spans="58:61">
      <c r="BF781" s="1" t="s">
        <v>7</v>
      </c>
      <c r="BG781" s="1053" t="s">
        <v>7034</v>
      </c>
      <c r="BH781" s="1" t="s">
        <v>703</v>
      </c>
      <c r="BI781" s="1" t="s">
        <v>8162</v>
      </c>
    </row>
    <row r="782" spans="58:61">
      <c r="BF782" s="1" t="s">
        <v>7</v>
      </c>
      <c r="BG782" s="1053" t="s">
        <v>7034</v>
      </c>
      <c r="BH782" s="1" t="s">
        <v>198</v>
      </c>
      <c r="BI782" s="1" t="s">
        <v>8163</v>
      </c>
    </row>
    <row r="783" spans="58:61">
      <c r="BF783" s="1" t="s">
        <v>7</v>
      </c>
      <c r="BG783" s="1053" t="s">
        <v>7034</v>
      </c>
      <c r="BH783" s="1" t="s">
        <v>320</v>
      </c>
      <c r="BI783" s="1" t="s">
        <v>8164</v>
      </c>
    </row>
    <row r="784" spans="58:61">
      <c r="BF784" s="1" t="s">
        <v>7</v>
      </c>
      <c r="BG784" s="1053" t="s">
        <v>7034</v>
      </c>
      <c r="BH784" s="1" t="s">
        <v>313</v>
      </c>
      <c r="BI784" s="1" t="s">
        <v>8165</v>
      </c>
    </row>
    <row r="785" spans="58:61">
      <c r="BF785" s="1" t="s">
        <v>7</v>
      </c>
      <c r="BG785" s="1053" t="s">
        <v>7034</v>
      </c>
      <c r="BH785" s="1" t="s">
        <v>7381</v>
      </c>
      <c r="BI785" s="1" t="s">
        <v>8166</v>
      </c>
    </row>
    <row r="786" spans="58:61">
      <c r="BF786" s="1" t="s">
        <v>7</v>
      </c>
      <c r="BG786" s="1053" t="s">
        <v>7034</v>
      </c>
      <c r="BH786" s="1" t="s">
        <v>314</v>
      </c>
      <c r="BI786" s="1" t="s">
        <v>8167</v>
      </c>
    </row>
    <row r="787" spans="58:61">
      <c r="BF787" s="1" t="s">
        <v>7</v>
      </c>
      <c r="BG787" s="1053" t="s">
        <v>7034</v>
      </c>
      <c r="BH787" s="1" t="s">
        <v>202</v>
      </c>
      <c r="BI787" s="1" t="s">
        <v>8168</v>
      </c>
    </row>
    <row r="788" spans="58:61">
      <c r="BF788" s="1" t="s">
        <v>7</v>
      </c>
      <c r="BG788" s="1053" t="s">
        <v>7034</v>
      </c>
      <c r="BH788" s="1" t="s">
        <v>7111</v>
      </c>
      <c r="BI788" s="1" t="s">
        <v>8169</v>
      </c>
    </row>
    <row r="789" spans="58:61">
      <c r="BF789" s="1" t="s">
        <v>7</v>
      </c>
      <c r="BG789" s="1053" t="s">
        <v>7034</v>
      </c>
      <c r="BH789" s="1" t="s">
        <v>178</v>
      </c>
      <c r="BI789" s="1" t="s">
        <v>8170</v>
      </c>
    </row>
    <row r="790" spans="58:61">
      <c r="BF790" s="1" t="s">
        <v>7</v>
      </c>
      <c r="BG790" s="1053" t="s">
        <v>7034</v>
      </c>
      <c r="BH790" s="1" t="s">
        <v>7117</v>
      </c>
      <c r="BI790" s="1" t="s">
        <v>8171</v>
      </c>
    </row>
    <row r="791" spans="58:61">
      <c r="BF791" s="1" t="s">
        <v>11</v>
      </c>
      <c r="BG791" s="1053" t="s">
        <v>7034</v>
      </c>
      <c r="BH791" s="1" t="s">
        <v>167</v>
      </c>
      <c r="BI791" s="1" t="s">
        <v>8172</v>
      </c>
    </row>
    <row r="792" spans="58:61">
      <c r="BF792" s="1" t="s">
        <v>11</v>
      </c>
      <c r="BG792" s="1053" t="s">
        <v>7034</v>
      </c>
      <c r="BH792" s="1" t="s">
        <v>161</v>
      </c>
      <c r="BI792" s="1" t="s">
        <v>8173</v>
      </c>
    </row>
    <row r="793" spans="58:61">
      <c r="BF793" s="1" t="s">
        <v>11</v>
      </c>
      <c r="BG793" s="1053" t="s">
        <v>7034</v>
      </c>
      <c r="BH793" s="1" t="s">
        <v>7382</v>
      </c>
      <c r="BI793" s="1" t="s">
        <v>8174</v>
      </c>
    </row>
  </sheetData>
  <mergeCells count="2">
    <mergeCell ref="A1:J1"/>
    <mergeCell ref="A9:J9"/>
  </mergeCells>
  <conditionalFormatting sqref="E16:E200">
    <cfRule type="expression" dxfId="22" priority="1">
      <formula>ISNUMBER(SEARCH("⚠",E16))</formula>
    </cfRule>
  </conditionalFormatting>
  <conditionalFormatting sqref="G16:G200">
    <cfRule type="expression" dxfId="21" priority="2">
      <formula>ISNUMBER(SEARCH("suspicion",G16))</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6E204-7334-48C3-BACF-049A594BAF21}">
  <dimension ref="A1:I113"/>
  <sheetViews>
    <sheetView workbookViewId="0">
      <selection activeCell="L27" sqref="L27"/>
    </sheetView>
  </sheetViews>
  <sheetFormatPr baseColWidth="10" defaultRowHeight="15"/>
  <cols>
    <col min="1" max="1" width="8" customWidth="1"/>
    <col min="2" max="2" width="50.5703125" customWidth="1"/>
    <col min="3" max="3" width="23.140625" customWidth="1"/>
  </cols>
  <sheetData>
    <row r="1" spans="1:9">
      <c r="A1" s="17"/>
      <c r="B1" s="17"/>
      <c r="C1" s="17"/>
      <c r="D1" s="17"/>
      <c r="E1" s="17"/>
      <c r="F1" s="17"/>
      <c r="G1" s="17"/>
      <c r="H1" s="17"/>
      <c r="I1" s="17"/>
    </row>
    <row r="2" spans="1:9">
      <c r="A2" s="17"/>
      <c r="B2" s="17"/>
      <c r="C2" s="17"/>
      <c r="D2" s="17"/>
      <c r="E2" s="17"/>
      <c r="F2" s="17"/>
      <c r="G2" s="17"/>
      <c r="H2" s="17"/>
      <c r="I2" s="17"/>
    </row>
    <row r="3" spans="1:9" ht="18.75">
      <c r="A3" s="17"/>
      <c r="B3" s="1160" t="s">
        <v>8783</v>
      </c>
      <c r="C3" s="17"/>
      <c r="D3" s="17"/>
      <c r="E3" s="17"/>
      <c r="F3" s="17"/>
      <c r="G3" s="17"/>
      <c r="H3" s="17"/>
      <c r="I3" s="17"/>
    </row>
    <row r="4" spans="1:9">
      <c r="A4" s="17"/>
      <c r="B4" s="17"/>
      <c r="C4" s="17"/>
      <c r="D4" s="17"/>
      <c r="E4" s="17"/>
      <c r="F4" s="17"/>
      <c r="G4" s="17"/>
      <c r="H4" s="17"/>
      <c r="I4" s="17"/>
    </row>
    <row r="5" spans="1:9">
      <c r="A5" s="17"/>
      <c r="B5" s="17" t="s">
        <v>8784</v>
      </c>
      <c r="C5" s="17"/>
      <c r="D5" s="17"/>
      <c r="E5" s="17"/>
      <c r="F5" s="17"/>
      <c r="G5" s="17"/>
      <c r="H5" s="17"/>
      <c r="I5" s="17"/>
    </row>
    <row r="6" spans="1:9">
      <c r="A6" s="17"/>
      <c r="B6" s="17"/>
      <c r="C6" s="17"/>
      <c r="D6" s="17"/>
      <c r="E6" s="17"/>
      <c r="F6" s="17"/>
      <c r="G6" s="17"/>
      <c r="H6" s="17"/>
      <c r="I6" s="17"/>
    </row>
    <row r="7" spans="1:9" ht="23.25">
      <c r="A7" s="17"/>
      <c r="B7" s="467" t="s">
        <v>8785</v>
      </c>
      <c r="C7" s="17"/>
      <c r="D7" s="17"/>
      <c r="E7" s="17"/>
      <c r="F7" s="17"/>
      <c r="G7" s="17"/>
      <c r="H7" s="17"/>
      <c r="I7" s="17"/>
    </row>
    <row r="8" spans="1:9">
      <c r="A8" s="17"/>
      <c r="B8" s="17"/>
      <c r="C8" s="17"/>
      <c r="D8" s="17"/>
      <c r="E8" s="17"/>
      <c r="F8" s="17"/>
      <c r="G8" s="17"/>
      <c r="H8" s="17"/>
      <c r="I8" s="17"/>
    </row>
    <row r="9" spans="1:9" ht="18">
      <c r="A9" s="17"/>
      <c r="B9" s="469" t="s">
        <v>8786</v>
      </c>
      <c r="C9" s="17"/>
      <c r="D9" s="17"/>
      <c r="E9" s="17"/>
      <c r="F9" s="17"/>
      <c r="G9" s="17"/>
      <c r="H9" s="17"/>
      <c r="I9" s="17"/>
    </row>
    <row r="10" spans="1:9">
      <c r="A10" s="17"/>
      <c r="B10" s="1161" t="s">
        <v>8787</v>
      </c>
      <c r="C10" s="17"/>
      <c r="D10" s="17"/>
      <c r="E10" s="17"/>
      <c r="F10" s="17"/>
      <c r="G10" s="17"/>
      <c r="H10" s="17"/>
      <c r="I10" s="17"/>
    </row>
    <row r="11" spans="1:9">
      <c r="A11" s="17"/>
      <c r="B11" s="1161" t="s">
        <v>8788</v>
      </c>
      <c r="C11" s="17"/>
      <c r="D11" s="17"/>
      <c r="E11" s="17"/>
      <c r="F11" s="17"/>
      <c r="G11" s="17"/>
      <c r="H11" s="17"/>
      <c r="I11" s="17"/>
    </row>
    <row r="12" spans="1:9">
      <c r="A12" s="17"/>
      <c r="B12" s="1161" t="s">
        <v>8789</v>
      </c>
      <c r="C12" s="17"/>
      <c r="D12" s="17"/>
      <c r="E12" s="17"/>
      <c r="F12" s="17"/>
      <c r="G12" s="17"/>
      <c r="H12" s="17"/>
      <c r="I12" s="17"/>
    </row>
    <row r="13" spans="1:9">
      <c r="A13" s="17"/>
      <c r="B13" s="1161" t="s">
        <v>8790</v>
      </c>
      <c r="C13" s="17"/>
      <c r="D13" s="17"/>
      <c r="E13" s="17"/>
      <c r="F13" s="17"/>
      <c r="G13" s="17"/>
      <c r="H13" s="17"/>
      <c r="I13" s="17"/>
    </row>
    <row r="14" spans="1:9">
      <c r="A14" s="17"/>
      <c r="B14" s="1161" t="s">
        <v>8791</v>
      </c>
      <c r="C14" s="17"/>
      <c r="D14" s="17"/>
      <c r="E14" s="17"/>
      <c r="F14" s="17"/>
      <c r="G14" s="17"/>
      <c r="H14" s="17"/>
      <c r="I14" s="17"/>
    </row>
    <row r="15" spans="1:9">
      <c r="A15" s="17"/>
      <c r="B15" s="17"/>
      <c r="C15" s="17"/>
      <c r="D15" s="17"/>
      <c r="E15" s="17"/>
      <c r="F15" s="17"/>
      <c r="G15" s="17"/>
      <c r="H15" s="17"/>
      <c r="I15" s="17"/>
    </row>
    <row r="16" spans="1:9" ht="18">
      <c r="A16" s="17"/>
      <c r="B16" s="469" t="s">
        <v>8792</v>
      </c>
      <c r="C16" s="17"/>
      <c r="D16" s="17"/>
      <c r="E16" s="17"/>
      <c r="F16" s="17"/>
      <c r="G16" s="17"/>
      <c r="H16" s="17"/>
      <c r="I16" s="17"/>
    </row>
    <row r="17" spans="1:9">
      <c r="A17" s="17"/>
      <c r="B17" s="1161" t="s">
        <v>8793</v>
      </c>
      <c r="C17" s="17"/>
      <c r="D17" s="17"/>
      <c r="E17" s="17"/>
      <c r="F17" s="17"/>
      <c r="G17" s="17"/>
      <c r="H17" s="17"/>
      <c r="I17" s="17"/>
    </row>
    <row r="18" spans="1:9">
      <c r="A18" s="17"/>
      <c r="B18" s="1162" t="s">
        <v>8794</v>
      </c>
      <c r="C18" s="17"/>
      <c r="D18" s="17"/>
      <c r="E18" s="17"/>
      <c r="F18" s="17"/>
      <c r="G18" s="17"/>
      <c r="H18" s="17"/>
      <c r="I18" s="17"/>
    </row>
    <row r="19" spans="1:9">
      <c r="A19" s="17"/>
      <c r="B19" s="1161" t="s">
        <v>8795</v>
      </c>
      <c r="C19" s="17"/>
      <c r="D19" s="17"/>
      <c r="E19" s="17"/>
      <c r="F19" s="17"/>
      <c r="G19" s="17"/>
      <c r="H19" s="17"/>
      <c r="I19" s="17"/>
    </row>
    <row r="20" spans="1:9">
      <c r="A20" s="17"/>
      <c r="B20" s="1162" t="s">
        <v>8796</v>
      </c>
      <c r="C20" s="17"/>
      <c r="D20" s="17"/>
      <c r="E20" s="17"/>
      <c r="F20" s="17"/>
      <c r="G20" s="17"/>
      <c r="H20" s="17"/>
      <c r="I20" s="17"/>
    </row>
    <row r="21" spans="1:9">
      <c r="A21" s="17"/>
      <c r="B21" s="1162" t="s">
        <v>8797</v>
      </c>
      <c r="C21" s="17"/>
      <c r="D21" s="17"/>
      <c r="E21" s="17"/>
      <c r="F21" s="17"/>
      <c r="G21" s="17"/>
      <c r="H21" s="17"/>
      <c r="I21" s="17"/>
    </row>
    <row r="22" spans="1:9">
      <c r="A22" s="17"/>
      <c r="B22" s="17"/>
      <c r="C22" s="17"/>
      <c r="D22" s="17"/>
      <c r="E22" s="17"/>
      <c r="F22" s="17"/>
      <c r="G22" s="17"/>
      <c r="H22" s="17"/>
      <c r="I22" s="17"/>
    </row>
    <row r="23" spans="1:9" ht="23.25">
      <c r="A23" s="17"/>
      <c r="B23" s="467" t="s">
        <v>8798</v>
      </c>
      <c r="C23" s="17"/>
      <c r="D23" s="17"/>
      <c r="E23" s="17"/>
      <c r="F23" s="17"/>
      <c r="G23" s="17"/>
      <c r="H23" s="17"/>
      <c r="I23" s="17"/>
    </row>
    <row r="24" spans="1:9">
      <c r="A24" s="17"/>
      <c r="B24" s="17"/>
      <c r="C24" s="17"/>
      <c r="D24" s="17"/>
      <c r="E24" s="17"/>
      <c r="F24" s="17"/>
      <c r="G24" s="17"/>
      <c r="H24" s="17"/>
      <c r="I24" s="17"/>
    </row>
    <row r="25" spans="1:9" ht="18">
      <c r="A25" s="17"/>
      <c r="B25" s="469" t="s">
        <v>8786</v>
      </c>
      <c r="C25" s="17"/>
      <c r="D25" s="17"/>
      <c r="E25" s="17"/>
      <c r="F25" s="17"/>
      <c r="G25" s="17"/>
      <c r="H25" s="17"/>
      <c r="I25" s="17"/>
    </row>
    <row r="26" spans="1:9">
      <c r="A26" s="17"/>
      <c r="B26" s="1161" t="s">
        <v>8799</v>
      </c>
      <c r="C26" s="17"/>
      <c r="D26" s="17"/>
      <c r="E26" s="17"/>
      <c r="F26" s="17"/>
      <c r="G26" s="17"/>
      <c r="H26" s="17"/>
      <c r="I26" s="17"/>
    </row>
    <row r="27" spans="1:9">
      <c r="A27" s="17"/>
      <c r="B27" s="1162" t="s">
        <v>8800</v>
      </c>
      <c r="C27" s="17"/>
      <c r="D27" s="17"/>
      <c r="E27" s="17"/>
      <c r="F27" s="17"/>
      <c r="G27" s="17"/>
      <c r="H27" s="17"/>
      <c r="I27" s="17"/>
    </row>
    <row r="28" spans="1:9">
      <c r="A28" s="17"/>
      <c r="B28" s="1162" t="s">
        <v>8801</v>
      </c>
      <c r="C28" s="17"/>
      <c r="D28" s="17"/>
      <c r="E28" s="17"/>
      <c r="F28" s="17"/>
      <c r="G28" s="17"/>
      <c r="H28" s="17"/>
      <c r="I28" s="17"/>
    </row>
    <row r="29" spans="1:9">
      <c r="A29" s="17"/>
      <c r="B29" s="1162" t="s">
        <v>8802</v>
      </c>
      <c r="C29" s="17"/>
      <c r="D29" s="17"/>
      <c r="E29" s="17"/>
      <c r="F29" s="17"/>
      <c r="G29" s="17"/>
      <c r="H29" s="17"/>
      <c r="I29" s="17"/>
    </row>
    <row r="30" spans="1:9">
      <c r="A30" s="17"/>
      <c r="B30" s="1163" t="s">
        <v>8803</v>
      </c>
      <c r="C30" s="17"/>
      <c r="D30" s="17"/>
      <c r="E30" s="17"/>
      <c r="F30" s="17"/>
      <c r="G30" s="17"/>
      <c r="H30" s="17"/>
      <c r="I30" s="17"/>
    </row>
    <row r="31" spans="1:9">
      <c r="A31" s="17"/>
      <c r="B31" s="1162" t="s">
        <v>8804</v>
      </c>
      <c r="C31" s="17"/>
      <c r="D31" s="17"/>
      <c r="E31" s="17"/>
      <c r="F31" s="17"/>
      <c r="G31" s="17"/>
      <c r="H31" s="17"/>
      <c r="I31" s="17"/>
    </row>
    <row r="32" spans="1:9">
      <c r="A32" s="17"/>
      <c r="B32" s="17"/>
      <c r="C32" s="17"/>
      <c r="D32" s="17"/>
      <c r="E32" s="17"/>
      <c r="F32" s="17"/>
      <c r="G32" s="17"/>
      <c r="H32" s="17"/>
      <c r="I32" s="17"/>
    </row>
    <row r="33" spans="1:9" ht="18">
      <c r="A33" s="17"/>
      <c r="B33" s="469" t="s">
        <v>8792</v>
      </c>
      <c r="C33" s="17"/>
      <c r="D33" s="17"/>
      <c r="E33" s="17"/>
      <c r="F33" s="17"/>
      <c r="G33" s="17"/>
      <c r="H33" s="17"/>
      <c r="I33" s="17"/>
    </row>
    <row r="34" spans="1:9">
      <c r="A34" s="17"/>
      <c r="B34" s="1162" t="s">
        <v>8805</v>
      </c>
      <c r="C34" s="17"/>
      <c r="D34" s="17"/>
      <c r="E34" s="17"/>
      <c r="F34" s="17"/>
      <c r="G34" s="17"/>
      <c r="H34" s="17"/>
      <c r="I34" s="17"/>
    </row>
    <row r="35" spans="1:9">
      <c r="A35" s="17"/>
      <c r="B35" s="1162" t="s">
        <v>8806</v>
      </c>
      <c r="C35" s="17"/>
      <c r="D35" s="17"/>
      <c r="E35" s="17"/>
      <c r="F35" s="17"/>
      <c r="G35" s="17"/>
      <c r="H35" s="17"/>
      <c r="I35" s="17"/>
    </row>
    <row r="36" spans="1:9">
      <c r="A36" s="17"/>
      <c r="B36" s="1161" t="s">
        <v>8807</v>
      </c>
      <c r="C36" s="17"/>
      <c r="D36" s="17"/>
      <c r="E36" s="17"/>
      <c r="F36" s="17"/>
      <c r="G36" s="17"/>
      <c r="H36" s="17"/>
      <c r="I36" s="17"/>
    </row>
    <row r="37" spans="1:9">
      <c r="A37" s="17"/>
      <c r="B37" s="1162" t="s">
        <v>8808</v>
      </c>
      <c r="C37" s="17"/>
      <c r="D37" s="17"/>
      <c r="E37" s="17"/>
      <c r="F37" s="17"/>
      <c r="G37" s="17"/>
      <c r="H37" s="17"/>
      <c r="I37" s="17"/>
    </row>
    <row r="38" spans="1:9">
      <c r="A38" s="17"/>
      <c r="B38" s="1162" t="s">
        <v>8809</v>
      </c>
      <c r="C38" s="17"/>
      <c r="D38" s="17"/>
      <c r="E38" s="17"/>
      <c r="F38" s="17"/>
      <c r="G38" s="17"/>
      <c r="H38" s="17"/>
      <c r="I38" s="17"/>
    </row>
    <row r="39" spans="1:9">
      <c r="A39" s="17"/>
      <c r="B39" s="17"/>
      <c r="C39" s="17"/>
      <c r="D39" s="17"/>
      <c r="E39" s="17"/>
      <c r="F39" s="17"/>
      <c r="G39" s="17"/>
      <c r="H39" s="17"/>
      <c r="I39" s="17"/>
    </row>
    <row r="40" spans="1:9" ht="23.25">
      <c r="A40" s="17"/>
      <c r="B40" s="467" t="s">
        <v>8810</v>
      </c>
      <c r="C40" s="17"/>
      <c r="D40" s="17"/>
      <c r="E40" s="17"/>
      <c r="F40" s="17"/>
      <c r="G40" s="17"/>
      <c r="H40" s="17"/>
      <c r="I40" s="17"/>
    </row>
    <row r="41" spans="1:9">
      <c r="A41" s="17"/>
      <c r="B41" s="17" t="s">
        <v>8811</v>
      </c>
      <c r="C41" s="17"/>
      <c r="D41" s="17"/>
      <c r="E41" s="17"/>
      <c r="F41" s="17"/>
      <c r="G41" s="17"/>
      <c r="H41" s="17"/>
      <c r="I41" s="17"/>
    </row>
    <row r="42" spans="1:9">
      <c r="A42" s="17"/>
      <c r="B42" s="17" t="s">
        <v>8812</v>
      </c>
      <c r="C42" s="17"/>
      <c r="D42" s="17"/>
      <c r="E42" s="17"/>
      <c r="F42" s="17"/>
      <c r="G42" s="17"/>
      <c r="H42" s="17"/>
      <c r="I42" s="17"/>
    </row>
    <row r="43" spans="1:9">
      <c r="A43" s="17"/>
      <c r="B43" s="1162"/>
      <c r="C43" s="17"/>
      <c r="D43" s="17"/>
      <c r="E43" s="17"/>
      <c r="F43" s="17"/>
      <c r="G43" s="17"/>
      <c r="H43" s="17"/>
      <c r="I43" s="17"/>
    </row>
    <row r="44" spans="1:9">
      <c r="A44" s="17"/>
      <c r="B44" s="1161" t="s">
        <v>8813</v>
      </c>
      <c r="C44" s="17"/>
      <c r="D44" s="17"/>
      <c r="E44" s="17"/>
      <c r="F44" s="17"/>
      <c r="G44" s="17"/>
      <c r="H44" s="17"/>
      <c r="I44" s="17"/>
    </row>
    <row r="45" spans="1:9">
      <c r="A45" s="17"/>
      <c r="B45" s="1162" t="s">
        <v>8814</v>
      </c>
      <c r="C45" s="17"/>
      <c r="D45" s="17"/>
      <c r="E45" s="17"/>
      <c r="F45" s="17"/>
      <c r="G45" s="17"/>
      <c r="H45" s="17"/>
      <c r="I45" s="17"/>
    </row>
    <row r="46" spans="1:9">
      <c r="A46" s="17"/>
      <c r="B46" s="17"/>
      <c r="C46" s="17"/>
      <c r="D46" s="17"/>
      <c r="E46" s="17"/>
      <c r="F46" s="17"/>
      <c r="G46" s="17"/>
      <c r="H46" s="17"/>
      <c r="I46" s="17"/>
    </row>
    <row r="47" spans="1:9">
      <c r="A47" s="17"/>
      <c r="B47" s="17" t="s">
        <v>8815</v>
      </c>
      <c r="C47" s="17"/>
      <c r="D47" s="17"/>
      <c r="E47" s="17"/>
      <c r="F47" s="17"/>
      <c r="G47" s="17"/>
      <c r="H47" s="17"/>
      <c r="I47" s="17"/>
    </row>
    <row r="48" spans="1:9">
      <c r="A48" s="17"/>
      <c r="B48" s="1162" t="s">
        <v>8816</v>
      </c>
      <c r="C48" s="17"/>
      <c r="D48" s="17"/>
      <c r="E48" s="17"/>
      <c r="F48" s="17"/>
      <c r="G48" s="17"/>
      <c r="H48" s="17"/>
      <c r="I48" s="17"/>
    </row>
    <row r="49" spans="1:9">
      <c r="A49" s="17"/>
      <c r="B49" s="1162" t="s">
        <v>8817</v>
      </c>
      <c r="C49" s="17"/>
      <c r="D49" s="17"/>
      <c r="E49" s="17"/>
      <c r="F49" s="17"/>
      <c r="G49" s="17"/>
      <c r="H49" s="17"/>
      <c r="I49" s="17"/>
    </row>
    <row r="50" spans="1:9">
      <c r="A50" s="17"/>
      <c r="B50" s="1162" t="s">
        <v>8818</v>
      </c>
      <c r="C50" s="17"/>
      <c r="D50" s="17"/>
      <c r="E50" s="17"/>
      <c r="F50" s="17"/>
      <c r="G50" s="17"/>
      <c r="H50" s="17"/>
      <c r="I50" s="17"/>
    </row>
    <row r="51" spans="1:9">
      <c r="A51" s="17"/>
      <c r="B51" s="1162" t="s">
        <v>8819</v>
      </c>
      <c r="C51" s="17"/>
      <c r="D51" s="17"/>
      <c r="E51" s="17"/>
      <c r="F51" s="17"/>
      <c r="G51" s="17"/>
      <c r="H51" s="17"/>
      <c r="I51" s="17"/>
    </row>
    <row r="52" spans="1:9">
      <c r="A52" s="17"/>
      <c r="B52" s="1162" t="s">
        <v>8820</v>
      </c>
      <c r="C52" s="17"/>
      <c r="D52" s="17"/>
      <c r="E52" s="17"/>
      <c r="F52" s="17"/>
      <c r="G52" s="17"/>
      <c r="H52" s="17"/>
      <c r="I52" s="17"/>
    </row>
    <row r="53" spans="1:9">
      <c r="A53" s="17"/>
      <c r="B53" s="17" t="s">
        <v>8821</v>
      </c>
      <c r="C53" s="17"/>
      <c r="D53" s="17"/>
      <c r="E53" s="17"/>
      <c r="F53" s="17"/>
      <c r="G53" s="17"/>
      <c r="H53" s="17"/>
      <c r="I53" s="17"/>
    </row>
    <row r="54" spans="1:9">
      <c r="A54" s="17"/>
      <c r="B54" s="17"/>
      <c r="C54" s="17"/>
      <c r="D54" s="17"/>
      <c r="E54" s="17"/>
      <c r="F54" s="17"/>
      <c r="G54" s="17"/>
      <c r="H54" s="17"/>
      <c r="I54" s="17"/>
    </row>
    <row r="55" spans="1:9" ht="23.25">
      <c r="A55" s="17"/>
      <c r="B55" s="467" t="s">
        <v>8822</v>
      </c>
      <c r="C55" s="17"/>
      <c r="D55" s="17"/>
      <c r="E55" s="17"/>
      <c r="F55" s="17"/>
      <c r="G55" s="17"/>
      <c r="H55" s="17"/>
      <c r="I55" s="17"/>
    </row>
    <row r="56" spans="1:9">
      <c r="A56" s="17"/>
      <c r="B56" s="17"/>
      <c r="C56" s="17"/>
      <c r="D56" s="17"/>
      <c r="E56" s="17"/>
      <c r="F56" s="17"/>
      <c r="G56" s="17"/>
      <c r="H56" s="17"/>
      <c r="I56" s="17"/>
    </row>
    <row r="57" spans="1:9" ht="18">
      <c r="A57" s="17"/>
      <c r="B57" s="469" t="s">
        <v>8823</v>
      </c>
      <c r="C57" s="17"/>
      <c r="D57" s="17"/>
      <c r="E57" s="17"/>
      <c r="F57" s="17"/>
      <c r="G57" s="17"/>
      <c r="H57" s="17"/>
      <c r="I57" s="17"/>
    </row>
    <row r="58" spans="1:9">
      <c r="A58" s="17"/>
      <c r="B58" s="1161" t="s">
        <v>8824</v>
      </c>
      <c r="C58" s="17"/>
      <c r="D58" s="17"/>
      <c r="E58" s="17"/>
      <c r="F58" s="17"/>
      <c r="G58" s="17"/>
      <c r="H58" s="17"/>
      <c r="I58" s="17"/>
    </row>
    <row r="59" spans="1:9">
      <c r="A59" s="17"/>
      <c r="B59" s="1161" t="s">
        <v>8825</v>
      </c>
      <c r="C59" s="17"/>
      <c r="D59" s="17"/>
      <c r="E59" s="17"/>
      <c r="F59" s="17"/>
      <c r="G59" s="17"/>
      <c r="H59" s="17"/>
      <c r="I59" s="17"/>
    </row>
    <row r="60" spans="1:9">
      <c r="A60" s="17"/>
      <c r="B60" s="1161" t="s">
        <v>8826</v>
      </c>
      <c r="C60" s="17"/>
      <c r="D60" s="17"/>
      <c r="E60" s="17"/>
      <c r="F60" s="17"/>
      <c r="G60" s="17"/>
      <c r="H60" s="17"/>
      <c r="I60" s="17"/>
    </row>
    <row r="61" spans="1:9">
      <c r="A61" s="17"/>
      <c r="B61" s="1161" t="s">
        <v>8827</v>
      </c>
      <c r="C61" s="17"/>
      <c r="D61" s="17"/>
      <c r="E61" s="17"/>
      <c r="F61" s="17"/>
      <c r="G61" s="17"/>
      <c r="H61" s="17"/>
      <c r="I61" s="17"/>
    </row>
    <row r="62" spans="1:9">
      <c r="A62" s="17"/>
      <c r="B62" s="17" t="s">
        <v>8828</v>
      </c>
      <c r="C62" s="17"/>
      <c r="D62" s="17"/>
      <c r="E62" s="17"/>
      <c r="F62" s="17"/>
      <c r="G62" s="17"/>
      <c r="H62" s="17"/>
      <c r="I62" s="17"/>
    </row>
    <row r="63" spans="1:9">
      <c r="A63" s="17"/>
      <c r="B63" s="17"/>
      <c r="C63" s="17"/>
      <c r="D63" s="17"/>
      <c r="E63" s="17"/>
      <c r="F63" s="17"/>
      <c r="G63" s="17"/>
      <c r="H63" s="17"/>
      <c r="I63" s="17"/>
    </row>
    <row r="64" spans="1:9" ht="18">
      <c r="A64" s="17"/>
      <c r="B64" s="469" t="s">
        <v>8823</v>
      </c>
      <c r="C64" s="17"/>
      <c r="D64" s="17"/>
      <c r="E64" s="17"/>
      <c r="F64" s="17"/>
      <c r="G64" s="17"/>
      <c r="H64" s="17"/>
      <c r="I64" s="17"/>
    </row>
    <row r="65" spans="1:9">
      <c r="A65" s="17"/>
      <c r="B65" s="1161" t="s">
        <v>8829</v>
      </c>
      <c r="C65" s="17"/>
      <c r="D65" s="17"/>
      <c r="E65" s="17"/>
      <c r="F65" s="17"/>
      <c r="G65" s="17"/>
      <c r="H65" s="17"/>
      <c r="I65" s="17"/>
    </row>
    <row r="66" spans="1:9">
      <c r="A66" s="17"/>
      <c r="B66" s="1161" t="s">
        <v>8830</v>
      </c>
      <c r="C66" s="17"/>
      <c r="D66" s="17"/>
      <c r="E66" s="17"/>
      <c r="F66" s="17"/>
      <c r="G66" s="17"/>
      <c r="H66" s="17"/>
      <c r="I66" s="17"/>
    </row>
    <row r="67" spans="1:9">
      <c r="A67" s="17"/>
      <c r="B67" s="1161" t="s">
        <v>8831</v>
      </c>
      <c r="C67" s="17"/>
      <c r="D67" s="17"/>
      <c r="E67" s="17"/>
      <c r="F67" s="17"/>
      <c r="G67" s="17"/>
      <c r="H67" s="17"/>
      <c r="I67" s="17"/>
    </row>
    <row r="68" spans="1:9">
      <c r="A68" s="17"/>
      <c r="B68" s="1161" t="s">
        <v>8832</v>
      </c>
      <c r="C68" s="17"/>
      <c r="D68" s="17"/>
      <c r="E68" s="17"/>
      <c r="F68" s="17"/>
      <c r="G68" s="17"/>
      <c r="H68" s="17"/>
      <c r="I68" s="17"/>
    </row>
    <row r="69" spans="1:9">
      <c r="A69" s="17"/>
      <c r="B69" s="17" t="s">
        <v>8833</v>
      </c>
      <c r="C69" s="17"/>
      <c r="D69" s="17"/>
      <c r="E69" s="17"/>
      <c r="F69" s="17"/>
      <c r="G69" s="17"/>
      <c r="H69" s="17"/>
      <c r="I69" s="17"/>
    </row>
    <row r="70" spans="1:9">
      <c r="A70" s="17"/>
      <c r="B70" s="17"/>
      <c r="C70" s="17"/>
      <c r="D70" s="17"/>
      <c r="E70" s="17"/>
      <c r="F70" s="17"/>
      <c r="G70" s="17"/>
      <c r="H70" s="17"/>
      <c r="I70" s="17"/>
    </row>
    <row r="71" spans="1:9" ht="23.25">
      <c r="A71" s="17"/>
      <c r="B71" s="467" t="s">
        <v>8834</v>
      </c>
      <c r="C71" s="17"/>
      <c r="D71" s="17"/>
      <c r="E71" s="17"/>
      <c r="F71" s="17"/>
      <c r="G71" s="17"/>
      <c r="H71" s="17"/>
      <c r="I71" s="17"/>
    </row>
    <row r="72" spans="1:9">
      <c r="A72" s="17"/>
      <c r="B72" s="17" t="s">
        <v>8835</v>
      </c>
      <c r="C72" s="17"/>
      <c r="D72" s="17"/>
      <c r="E72" s="17"/>
      <c r="F72" s="17"/>
      <c r="G72" s="17"/>
      <c r="H72" s="17"/>
      <c r="I72" s="17"/>
    </row>
    <row r="73" spans="1:9">
      <c r="A73" s="17"/>
      <c r="B73" s="1161" t="s">
        <v>8836</v>
      </c>
      <c r="C73" s="17"/>
      <c r="D73" s="17"/>
      <c r="E73" s="17"/>
      <c r="F73" s="17"/>
      <c r="G73" s="17"/>
      <c r="H73" s="17"/>
      <c r="I73" s="17"/>
    </row>
    <row r="74" spans="1:9">
      <c r="A74" s="17"/>
      <c r="B74" s="1161" t="s">
        <v>8837</v>
      </c>
      <c r="C74" s="17"/>
      <c r="D74" s="17"/>
      <c r="E74" s="17"/>
      <c r="F74" s="17"/>
      <c r="G74" s="17"/>
      <c r="H74" s="17"/>
      <c r="I74" s="17"/>
    </row>
    <row r="75" spans="1:9">
      <c r="A75" s="17"/>
      <c r="B75" s="1161" t="s">
        <v>8838</v>
      </c>
      <c r="C75" s="17"/>
      <c r="D75" s="17"/>
      <c r="E75" s="17"/>
      <c r="F75" s="17"/>
      <c r="G75" s="17"/>
      <c r="H75" s="17"/>
      <c r="I75" s="17"/>
    </row>
    <row r="76" spans="1:9">
      <c r="A76" s="17"/>
      <c r="B76" s="17"/>
      <c r="C76" s="17"/>
      <c r="D76" s="17"/>
      <c r="E76" s="17"/>
      <c r="F76" s="17"/>
      <c r="G76" s="17"/>
      <c r="H76" s="17"/>
      <c r="I76" s="17"/>
    </row>
    <row r="77" spans="1:9">
      <c r="A77" s="17"/>
      <c r="B77" s="17" t="s">
        <v>8839</v>
      </c>
      <c r="C77" s="17"/>
      <c r="D77" s="17"/>
      <c r="E77" s="17"/>
      <c r="F77" s="17"/>
      <c r="G77" s="17"/>
      <c r="H77" s="17"/>
      <c r="I77" s="17"/>
    </row>
    <row r="78" spans="1:9">
      <c r="A78" s="17"/>
      <c r="B78" s="1162" t="s">
        <v>8840</v>
      </c>
      <c r="C78" s="17"/>
      <c r="D78" s="17"/>
      <c r="E78" s="17"/>
      <c r="F78" s="17"/>
      <c r="G78" s="17"/>
      <c r="H78" s="17"/>
      <c r="I78" s="17"/>
    </row>
    <row r="79" spans="1:9">
      <c r="A79" s="17"/>
      <c r="B79" s="1162" t="s">
        <v>8841</v>
      </c>
      <c r="C79" s="17"/>
      <c r="D79" s="17"/>
      <c r="E79" s="17"/>
      <c r="F79" s="17"/>
      <c r="G79" s="17"/>
      <c r="H79" s="17"/>
      <c r="I79" s="17"/>
    </row>
    <row r="80" spans="1:9">
      <c r="A80" s="17"/>
      <c r="B80" s="1162" t="s">
        <v>8842</v>
      </c>
      <c r="C80" s="17"/>
      <c r="D80" s="17"/>
      <c r="E80" s="17"/>
      <c r="F80" s="17"/>
      <c r="G80" s="17"/>
      <c r="H80" s="17"/>
      <c r="I80" s="17"/>
    </row>
    <row r="81" spans="1:9">
      <c r="A81" s="17"/>
      <c r="B81" s="1162" t="s">
        <v>8843</v>
      </c>
      <c r="C81" s="17"/>
      <c r="D81" s="17"/>
      <c r="E81" s="17"/>
      <c r="F81" s="17"/>
      <c r="G81" s="17"/>
      <c r="H81" s="17"/>
      <c r="I81" s="17"/>
    </row>
    <row r="82" spans="1:9">
      <c r="A82" s="17"/>
      <c r="B82" s="17"/>
      <c r="C82" s="17"/>
      <c r="D82" s="17"/>
      <c r="E82" s="17"/>
      <c r="F82" s="17"/>
      <c r="G82" s="17"/>
      <c r="H82" s="17"/>
      <c r="I82" s="17"/>
    </row>
    <row r="83" spans="1:9">
      <c r="A83" s="17"/>
      <c r="B83" s="17"/>
      <c r="C83" s="17"/>
      <c r="D83" s="17"/>
      <c r="E83" s="17"/>
      <c r="F83" s="17"/>
      <c r="G83" s="17"/>
      <c r="H83" s="17"/>
      <c r="I83" s="17"/>
    </row>
    <row r="84" spans="1:9">
      <c r="A84" s="17"/>
      <c r="B84" s="1164" t="s">
        <v>6174</v>
      </c>
      <c r="C84" s="1164" t="s">
        <v>8844</v>
      </c>
      <c r="D84" s="1164" t="s">
        <v>8845</v>
      </c>
      <c r="E84" s="1164" t="s">
        <v>8846</v>
      </c>
      <c r="F84" s="17"/>
      <c r="G84" s="17"/>
      <c r="H84" s="17"/>
      <c r="I84" s="17"/>
    </row>
    <row r="85" spans="1:9">
      <c r="A85" s="17"/>
      <c r="B85" s="1165" t="s">
        <v>8847</v>
      </c>
      <c r="C85" s="1166" t="s">
        <v>8848</v>
      </c>
      <c r="D85" s="1165" t="s">
        <v>8849</v>
      </c>
      <c r="E85" s="1165" t="s">
        <v>8850</v>
      </c>
      <c r="F85" s="17"/>
      <c r="G85" s="17"/>
      <c r="H85" s="17"/>
      <c r="I85" s="17"/>
    </row>
    <row r="86" spans="1:9">
      <c r="A86" s="17"/>
      <c r="B86" s="1165" t="s">
        <v>8851</v>
      </c>
      <c r="C86" s="1165" t="s">
        <v>8849</v>
      </c>
      <c r="D86" s="1166" t="s">
        <v>8848</v>
      </c>
      <c r="E86" s="1165" t="s">
        <v>8850</v>
      </c>
      <c r="F86" s="17"/>
      <c r="G86" s="17"/>
      <c r="H86" s="17"/>
      <c r="I86" s="17"/>
    </row>
    <row r="87" spans="1:9">
      <c r="A87" s="17"/>
      <c r="B87" s="1165" t="s">
        <v>8852</v>
      </c>
      <c r="C87" s="1165" t="s">
        <v>8853</v>
      </c>
      <c r="D87" s="1166" t="s">
        <v>8848</v>
      </c>
      <c r="E87" s="1165" t="s">
        <v>8850</v>
      </c>
      <c r="F87" s="17"/>
      <c r="G87" s="17"/>
      <c r="H87" s="17"/>
      <c r="I87" s="17"/>
    </row>
    <row r="88" spans="1:9" ht="30">
      <c r="A88" s="17"/>
      <c r="B88" s="1165" t="s">
        <v>8854</v>
      </c>
      <c r="C88" s="1166" t="s">
        <v>8855</v>
      </c>
      <c r="D88" s="1165" t="s">
        <v>8856</v>
      </c>
      <c r="E88" s="1165" t="s">
        <v>8856</v>
      </c>
      <c r="F88" s="17"/>
      <c r="G88" s="17"/>
      <c r="H88" s="17"/>
      <c r="I88" s="17"/>
    </row>
    <row r="89" spans="1:9">
      <c r="A89" s="17"/>
      <c r="B89" s="1165" t="s">
        <v>8857</v>
      </c>
      <c r="C89" s="1165" t="s">
        <v>8858</v>
      </c>
      <c r="D89" s="1166" t="s">
        <v>8859</v>
      </c>
      <c r="E89" s="1166" t="s">
        <v>8859</v>
      </c>
      <c r="F89" s="17"/>
      <c r="G89" s="17"/>
      <c r="H89" s="17"/>
      <c r="I89" s="17"/>
    </row>
    <row r="90" spans="1:9">
      <c r="A90" s="17"/>
      <c r="B90" s="1165" t="s">
        <v>8860</v>
      </c>
      <c r="C90" s="1166" t="s">
        <v>8848</v>
      </c>
      <c r="D90" s="1165" t="s">
        <v>8849</v>
      </c>
      <c r="E90" s="1165" t="s">
        <v>8849</v>
      </c>
      <c r="F90" s="17"/>
      <c r="G90" s="17"/>
      <c r="H90" s="17"/>
      <c r="I90" s="17"/>
    </row>
    <row r="91" spans="1:9">
      <c r="A91" s="17"/>
      <c r="B91" s="1165" t="s">
        <v>8861</v>
      </c>
      <c r="C91" s="1166" t="s">
        <v>8848</v>
      </c>
      <c r="D91" s="1165" t="s">
        <v>8850</v>
      </c>
      <c r="E91" s="1165" t="s">
        <v>8850</v>
      </c>
      <c r="F91" s="17"/>
      <c r="G91" s="17"/>
      <c r="H91" s="17"/>
      <c r="I91" s="17"/>
    </row>
    <row r="92" spans="1:9" ht="30">
      <c r="A92" s="17"/>
      <c r="B92" s="1165" t="s">
        <v>8862</v>
      </c>
      <c r="C92" s="1166" t="s">
        <v>8296</v>
      </c>
      <c r="D92" s="1165" t="s">
        <v>8863</v>
      </c>
      <c r="E92" s="1165" t="s">
        <v>8864</v>
      </c>
      <c r="F92" s="17"/>
      <c r="G92" s="17"/>
      <c r="H92" s="17"/>
      <c r="I92" s="17"/>
    </row>
    <row r="93" spans="1:9">
      <c r="A93" s="17"/>
      <c r="B93" s="1165" t="s">
        <v>8865</v>
      </c>
      <c r="C93" s="1165" t="s">
        <v>8849</v>
      </c>
      <c r="D93" s="1166" t="s">
        <v>8850</v>
      </c>
      <c r="E93" s="1166" t="s">
        <v>8848</v>
      </c>
      <c r="F93" s="17"/>
      <c r="G93" s="17"/>
      <c r="H93" s="17"/>
      <c r="I93" s="17"/>
    </row>
    <row r="94" spans="1:9">
      <c r="A94" s="17"/>
      <c r="B94" s="1165" t="s">
        <v>8866</v>
      </c>
      <c r="C94" s="1166" t="s">
        <v>8296</v>
      </c>
      <c r="D94" s="1165" t="s">
        <v>8867</v>
      </c>
      <c r="E94" s="1166" t="s">
        <v>8296</v>
      </c>
      <c r="F94" s="17"/>
      <c r="G94" s="17"/>
      <c r="H94" s="17"/>
      <c r="I94" s="17"/>
    </row>
    <row r="95" spans="1:9">
      <c r="A95" s="17"/>
      <c r="B95" s="17"/>
      <c r="C95" s="17"/>
      <c r="D95" s="17"/>
      <c r="E95" s="17"/>
      <c r="F95" s="17"/>
      <c r="G95" s="17"/>
      <c r="H95" s="17"/>
      <c r="I95" s="17"/>
    </row>
    <row r="96" spans="1:9">
      <c r="A96" s="17"/>
      <c r="B96" s="17"/>
      <c r="C96" s="17"/>
      <c r="D96" s="17"/>
      <c r="E96" s="17"/>
      <c r="F96" s="17"/>
      <c r="G96" s="17"/>
      <c r="H96" s="17"/>
      <c r="I96" s="17"/>
    </row>
    <row r="97" spans="1:9" ht="15.75">
      <c r="A97" s="17"/>
      <c r="B97" s="1167" t="s">
        <v>8868</v>
      </c>
      <c r="C97" s="17"/>
      <c r="D97" s="17"/>
      <c r="E97" s="17"/>
      <c r="F97" s="17"/>
      <c r="G97" s="17"/>
      <c r="H97" s="17"/>
      <c r="I97" s="17"/>
    </row>
    <row r="98" spans="1:9">
      <c r="A98" s="17"/>
      <c r="B98" s="1168" t="s">
        <v>8869</v>
      </c>
      <c r="C98" s="1168" t="s">
        <v>8870</v>
      </c>
      <c r="D98" s="17"/>
      <c r="E98" s="17"/>
      <c r="F98" s="17"/>
      <c r="G98" s="17"/>
      <c r="H98" s="17"/>
      <c r="I98" s="17"/>
    </row>
    <row r="99" spans="1:9">
      <c r="A99" s="17"/>
      <c r="B99" s="48" t="s">
        <v>8844</v>
      </c>
      <c r="C99" s="3" t="s">
        <v>8871</v>
      </c>
      <c r="D99" s="17"/>
      <c r="E99" s="17"/>
      <c r="F99" s="17"/>
      <c r="G99" s="17"/>
      <c r="H99" s="17"/>
      <c r="I99" s="17"/>
    </row>
    <row r="100" spans="1:9">
      <c r="A100" s="17"/>
      <c r="B100" s="48" t="s">
        <v>8845</v>
      </c>
      <c r="C100" s="3" t="s">
        <v>8872</v>
      </c>
      <c r="D100" s="17"/>
      <c r="E100" s="17"/>
      <c r="F100" s="17"/>
      <c r="G100" s="17"/>
      <c r="H100" s="17"/>
      <c r="I100" s="17"/>
    </row>
    <row r="101" spans="1:9">
      <c r="A101" s="17"/>
      <c r="B101" s="48" t="s">
        <v>8846</v>
      </c>
      <c r="C101" s="3" t="s">
        <v>8873</v>
      </c>
      <c r="D101" s="17"/>
      <c r="E101" s="17"/>
      <c r="F101" s="17"/>
      <c r="G101" s="17"/>
      <c r="H101" s="17"/>
      <c r="I101" s="17"/>
    </row>
    <row r="102" spans="1:9">
      <c r="A102" s="17"/>
      <c r="B102" s="17"/>
      <c r="C102" s="17"/>
      <c r="D102" s="17"/>
      <c r="E102" s="17"/>
      <c r="F102" s="17"/>
      <c r="G102" s="17"/>
      <c r="H102" s="17"/>
      <c r="I102" s="17"/>
    </row>
    <row r="103" spans="1:9" ht="15.75">
      <c r="A103" s="17"/>
      <c r="B103" s="1167" t="s">
        <v>8874</v>
      </c>
      <c r="C103" s="17"/>
      <c r="D103" s="17"/>
      <c r="E103" s="17"/>
      <c r="F103" s="17"/>
      <c r="G103" s="17"/>
      <c r="H103" s="17"/>
      <c r="I103" s="17"/>
    </row>
    <row r="104" spans="1:9">
      <c r="A104" s="17"/>
      <c r="B104" s="17"/>
      <c r="C104" s="17"/>
      <c r="D104" s="17"/>
      <c r="E104" s="17"/>
      <c r="F104" s="17"/>
      <c r="G104" s="17"/>
      <c r="H104" s="17"/>
      <c r="I104" s="17"/>
    </row>
    <row r="105" spans="1:9">
      <c r="A105" s="17"/>
      <c r="B105" s="1168" t="s">
        <v>8875</v>
      </c>
      <c r="C105" s="1168" t="s">
        <v>8876</v>
      </c>
      <c r="D105" s="17"/>
      <c r="E105" s="17"/>
      <c r="F105" s="17"/>
      <c r="G105" s="17"/>
      <c r="H105" s="17"/>
      <c r="I105" s="17"/>
    </row>
    <row r="106" spans="1:9">
      <c r="A106" s="17"/>
      <c r="B106" s="3" t="s">
        <v>8877</v>
      </c>
      <c r="C106" s="48" t="s">
        <v>8844</v>
      </c>
      <c r="D106" s="17"/>
      <c r="E106" s="17"/>
      <c r="F106" s="17"/>
      <c r="G106" s="17"/>
      <c r="H106" s="17"/>
      <c r="I106" s="17"/>
    </row>
    <row r="107" spans="1:9">
      <c r="A107" s="17"/>
      <c r="B107" s="3" t="s">
        <v>8878</v>
      </c>
      <c r="C107" s="48" t="s">
        <v>8846</v>
      </c>
      <c r="D107" s="17"/>
      <c r="E107" s="17"/>
      <c r="F107" s="17"/>
      <c r="G107" s="17"/>
      <c r="H107" s="17"/>
      <c r="I107" s="17"/>
    </row>
    <row r="108" spans="1:9">
      <c r="A108" s="17"/>
      <c r="B108" s="3" t="s">
        <v>8879</v>
      </c>
      <c r="C108" s="48" t="s">
        <v>8845</v>
      </c>
      <c r="D108" s="17"/>
      <c r="E108" s="17"/>
      <c r="F108" s="17"/>
      <c r="G108" s="17"/>
      <c r="H108" s="17"/>
      <c r="I108" s="17"/>
    </row>
    <row r="109" spans="1:9">
      <c r="A109" s="17"/>
      <c r="B109" s="17"/>
      <c r="C109" s="17"/>
      <c r="D109" s="17"/>
      <c r="E109" s="17"/>
      <c r="F109" s="17"/>
      <c r="G109" s="17"/>
      <c r="H109" s="17"/>
      <c r="I109" s="17"/>
    </row>
    <row r="110" spans="1:9">
      <c r="A110" s="17"/>
      <c r="B110" s="1169" t="s">
        <v>8880</v>
      </c>
      <c r="C110" s="17"/>
      <c r="D110" s="17"/>
      <c r="E110" s="17"/>
      <c r="F110" s="17"/>
      <c r="G110" s="17"/>
      <c r="H110" s="17"/>
      <c r="I110" s="17"/>
    </row>
    <row r="111" spans="1:9">
      <c r="A111" s="17"/>
      <c r="B111" s="1169" t="s">
        <v>8881</v>
      </c>
      <c r="C111" s="17"/>
      <c r="D111" s="17"/>
      <c r="E111" s="17"/>
      <c r="F111" s="17"/>
      <c r="G111" s="17"/>
      <c r="H111" s="17"/>
      <c r="I111" s="17"/>
    </row>
    <row r="112" spans="1:9">
      <c r="A112" s="17"/>
      <c r="B112" s="17"/>
      <c r="C112" s="17"/>
      <c r="D112" s="17"/>
      <c r="E112" s="17"/>
      <c r="F112" s="17"/>
      <c r="G112" s="17"/>
      <c r="H112" s="17"/>
      <c r="I112" s="17"/>
    </row>
    <row r="113" spans="1:9">
      <c r="A113" s="17"/>
      <c r="B113" s="17"/>
      <c r="C113" s="17"/>
      <c r="D113" s="17"/>
      <c r="E113" s="17"/>
      <c r="F113" s="17"/>
      <c r="G113" s="17"/>
      <c r="H113" s="17"/>
      <c r="I113" s="17"/>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1DCA3-BD24-456A-BF47-8BFBF89BFF75}">
  <dimension ref="B1:H42"/>
  <sheetViews>
    <sheetView workbookViewId="0">
      <selection activeCell="I15" sqref="I15"/>
    </sheetView>
  </sheetViews>
  <sheetFormatPr baseColWidth="10" defaultRowHeight="15.75"/>
  <cols>
    <col min="1" max="1" width="3.140625" style="1091" customWidth="1"/>
    <col min="2" max="2" width="35.42578125" style="1091" customWidth="1"/>
    <col min="3" max="3" width="36.28515625" style="1091" customWidth="1"/>
    <col min="4" max="4" width="30" style="1091" customWidth="1"/>
    <col min="5" max="5" width="47.5703125" style="1091" customWidth="1"/>
    <col min="6" max="6" width="33.42578125" style="1091" customWidth="1"/>
    <col min="7" max="7" width="51.42578125" style="1091" customWidth="1"/>
    <col min="8" max="16384" width="11.42578125" style="1091"/>
  </cols>
  <sheetData>
    <row r="1" spans="2:8" ht="42.75" customHeight="1">
      <c r="B1" s="1416" t="s">
        <v>8285</v>
      </c>
      <c r="C1" s="1416"/>
      <c r="D1" s="1416"/>
      <c r="E1" s="1416"/>
      <c r="F1" s="1416"/>
      <c r="G1" s="1416"/>
    </row>
    <row r="2" spans="2:8" ht="21.75" customHeight="1">
      <c r="B2" s="1417" t="s">
        <v>8286</v>
      </c>
      <c r="C2" s="1417"/>
      <c r="D2" s="1417"/>
      <c r="E2" s="1417"/>
      <c r="F2" s="1417"/>
      <c r="G2" s="1417"/>
      <c r="H2" s="1035" t="s">
        <v>841</v>
      </c>
    </row>
    <row r="3" spans="2:8" ht="17.100000000000001" customHeight="1">
      <c r="B3" s="1041" t="s">
        <v>8287</v>
      </c>
      <c r="C3" s="1092"/>
      <c r="D3" s="1092"/>
      <c r="E3" s="1092"/>
      <c r="F3" s="1092"/>
      <c r="G3" s="1092"/>
    </row>
    <row r="4" spans="2:8" ht="34.15" customHeight="1">
      <c r="B4" s="1418" t="s">
        <v>8288</v>
      </c>
      <c r="C4" s="1418"/>
      <c r="D4" s="1418"/>
      <c r="E4" s="1418"/>
      <c r="F4" s="1418"/>
      <c r="G4" s="1418"/>
    </row>
    <row r="5" spans="2:8" ht="34.15" customHeight="1">
      <c r="B5" s="1093" t="s">
        <v>6178</v>
      </c>
      <c r="C5" s="1093" t="s">
        <v>8289</v>
      </c>
      <c r="D5" s="1093" t="s">
        <v>8290</v>
      </c>
      <c r="E5" s="1093" t="s">
        <v>8291</v>
      </c>
      <c r="F5" s="1093" t="s">
        <v>8292</v>
      </c>
      <c r="G5" s="1093" t="s">
        <v>8293</v>
      </c>
    </row>
    <row r="6" spans="2:8" ht="30" customHeight="1">
      <c r="B6" s="1094" t="s">
        <v>8294</v>
      </c>
      <c r="C6" s="1095" t="s">
        <v>8295</v>
      </c>
      <c r="D6" s="1096" t="s">
        <v>8296</v>
      </c>
      <c r="E6" s="1095" t="s">
        <v>8297</v>
      </c>
      <c r="F6" s="1096" t="s">
        <v>8296</v>
      </c>
      <c r="G6" s="1094" t="s">
        <v>8298</v>
      </c>
    </row>
    <row r="7" spans="2:8" ht="30" customHeight="1">
      <c r="B7" s="1094" t="s">
        <v>8299</v>
      </c>
      <c r="C7" s="1095" t="s">
        <v>8300</v>
      </c>
      <c r="D7" s="1096" t="s">
        <v>8296</v>
      </c>
      <c r="E7" s="1095" t="s">
        <v>8301</v>
      </c>
      <c r="F7" s="1096" t="s">
        <v>8296</v>
      </c>
      <c r="G7" s="1094" t="s">
        <v>8302</v>
      </c>
    </row>
    <row r="8" spans="2:8" ht="30" customHeight="1">
      <c r="B8" s="1094" t="s">
        <v>8303</v>
      </c>
      <c r="C8" s="1095" t="s">
        <v>8304</v>
      </c>
      <c r="D8" s="1096" t="s">
        <v>8305</v>
      </c>
      <c r="E8" s="1095" t="s">
        <v>8306</v>
      </c>
      <c r="F8" s="1096" t="s">
        <v>8296</v>
      </c>
      <c r="G8" s="1094" t="s">
        <v>8307</v>
      </c>
    </row>
    <row r="9" spans="2:8" ht="30" customHeight="1">
      <c r="B9" s="1094" t="s">
        <v>8308</v>
      </c>
      <c r="C9" s="1095" t="s">
        <v>8309</v>
      </c>
      <c r="D9" s="1097" t="s">
        <v>8310</v>
      </c>
      <c r="E9" s="1095" t="s">
        <v>8311</v>
      </c>
      <c r="F9" s="1098" t="s">
        <v>8312</v>
      </c>
      <c r="G9" s="1094" t="s">
        <v>8313</v>
      </c>
    </row>
    <row r="10" spans="2:8" ht="30" customHeight="1">
      <c r="B10" s="1094" t="s">
        <v>8314</v>
      </c>
      <c r="C10" s="1095" t="s">
        <v>8315</v>
      </c>
      <c r="D10" s="1096" t="s">
        <v>8316</v>
      </c>
      <c r="E10" s="1095" t="s">
        <v>8317</v>
      </c>
      <c r="F10" s="1096" t="s">
        <v>8296</v>
      </c>
      <c r="G10" s="1094" t="s">
        <v>8318</v>
      </c>
    </row>
    <row r="11" spans="2:8" ht="10.5" customHeight="1">
      <c r="B11" s="1099"/>
      <c r="C11" s="1100"/>
      <c r="D11" s="1101"/>
      <c r="E11" s="1100"/>
      <c r="F11" s="1101"/>
      <c r="G11" s="1099"/>
    </row>
    <row r="12" spans="2:8" ht="30" customHeight="1">
      <c r="B12" s="1094" t="s">
        <v>8319</v>
      </c>
      <c r="C12" s="1095" t="s">
        <v>8320</v>
      </c>
      <c r="D12" s="1098" t="s">
        <v>8321</v>
      </c>
      <c r="E12" s="1095" t="s">
        <v>8322</v>
      </c>
      <c r="F12" s="1098" t="s">
        <v>8321</v>
      </c>
      <c r="G12" s="1094" t="s">
        <v>8323</v>
      </c>
    </row>
    <row r="13" spans="2:8" ht="30" customHeight="1">
      <c r="B13" s="1094" t="s">
        <v>8324</v>
      </c>
      <c r="C13" s="1095" t="s">
        <v>8325</v>
      </c>
      <c r="D13" s="1098" t="s">
        <v>8321</v>
      </c>
      <c r="E13" s="1095" t="s">
        <v>8326</v>
      </c>
      <c r="F13" s="1098" t="s">
        <v>8321</v>
      </c>
      <c r="G13" s="1094" t="s">
        <v>8327</v>
      </c>
    </row>
    <row r="14" spans="2:8" ht="10.5" customHeight="1">
      <c r="B14" s="1099"/>
      <c r="C14" s="1100"/>
      <c r="D14" s="1101"/>
      <c r="E14" s="1100"/>
      <c r="F14" s="1101"/>
      <c r="G14" s="1099"/>
    </row>
    <row r="15" spans="2:8" ht="30" customHeight="1">
      <c r="B15" s="1094" t="s">
        <v>8328</v>
      </c>
      <c r="C15" s="1095" t="s">
        <v>8329</v>
      </c>
      <c r="D15" s="1096" t="s">
        <v>8296</v>
      </c>
      <c r="E15" s="1095" t="s">
        <v>8330</v>
      </c>
      <c r="F15" s="1096" t="s">
        <v>8296</v>
      </c>
      <c r="G15" s="1094" t="s">
        <v>8331</v>
      </c>
    </row>
    <row r="16" spans="2:8" ht="30" customHeight="1">
      <c r="B16" s="1094" t="s">
        <v>8332</v>
      </c>
      <c r="C16" s="1095" t="s">
        <v>8333</v>
      </c>
      <c r="D16" s="1096" t="s">
        <v>8296</v>
      </c>
      <c r="E16" s="1095" t="s">
        <v>8334</v>
      </c>
      <c r="F16" s="1096" t="s">
        <v>8296</v>
      </c>
      <c r="G16" s="1094" t="s">
        <v>8331</v>
      </c>
    </row>
    <row r="17" spans="2:7" ht="30" customHeight="1">
      <c r="B17" s="1094" t="s">
        <v>8335</v>
      </c>
      <c r="C17" s="1095" t="s">
        <v>8336</v>
      </c>
      <c r="D17" s="1096" t="s">
        <v>8296</v>
      </c>
      <c r="E17" s="1095" t="s">
        <v>8337</v>
      </c>
      <c r="F17" s="1096" t="s">
        <v>8338</v>
      </c>
      <c r="G17" s="1094" t="s">
        <v>8339</v>
      </c>
    </row>
    <row r="18" spans="2:7" ht="44.25" customHeight="1">
      <c r="B18" s="1418" t="s">
        <v>8340</v>
      </c>
      <c r="C18" s="1418"/>
      <c r="D18" s="1418"/>
      <c r="E18" s="1418"/>
      <c r="F18" s="1418"/>
      <c r="G18" s="1418"/>
    </row>
    <row r="19" spans="2:7" ht="17.100000000000001" customHeight="1">
      <c r="B19" s="1093" t="s">
        <v>6456</v>
      </c>
      <c r="C19" s="1093" t="s">
        <v>8341</v>
      </c>
      <c r="D19" s="1093" t="s">
        <v>8342</v>
      </c>
      <c r="E19" s="1093" t="s">
        <v>8343</v>
      </c>
      <c r="F19" s="1093" t="s">
        <v>8344</v>
      </c>
      <c r="G19" s="1093" t="s">
        <v>8345</v>
      </c>
    </row>
    <row r="20" spans="2:7" ht="30" customHeight="1">
      <c r="B20" s="1095" t="s">
        <v>8346</v>
      </c>
      <c r="C20" s="1095" t="s">
        <v>7026</v>
      </c>
      <c r="D20" s="1095" t="s">
        <v>11</v>
      </c>
      <c r="E20" s="1095" t="s">
        <v>7</v>
      </c>
      <c r="F20" s="1096" t="s">
        <v>8296</v>
      </c>
      <c r="G20" s="1094" t="s">
        <v>8347</v>
      </c>
    </row>
    <row r="21" spans="2:7" ht="30" customHeight="1">
      <c r="B21" s="1095" t="s">
        <v>8348</v>
      </c>
      <c r="C21" s="1095" t="s">
        <v>1075</v>
      </c>
      <c r="D21" s="1095" t="s">
        <v>7034</v>
      </c>
      <c r="E21" s="1095" t="s">
        <v>689</v>
      </c>
      <c r="F21" s="1096" t="s">
        <v>8296</v>
      </c>
      <c r="G21" s="1094" t="s">
        <v>8349</v>
      </c>
    </row>
    <row r="22" spans="2:7" ht="30" customHeight="1">
      <c r="B22" s="1095" t="s">
        <v>8350</v>
      </c>
      <c r="C22" s="1095" t="s">
        <v>8351</v>
      </c>
      <c r="D22" s="1095" t="s">
        <v>7382</v>
      </c>
      <c r="E22" s="1095" t="s">
        <v>178</v>
      </c>
      <c r="F22" s="1096" t="s">
        <v>8296</v>
      </c>
      <c r="G22" s="1094" t="s">
        <v>8352</v>
      </c>
    </row>
    <row r="23" spans="2:7" ht="30" customHeight="1">
      <c r="B23" s="1095" t="s">
        <v>8353</v>
      </c>
      <c r="C23" s="1095" t="s">
        <v>8262</v>
      </c>
      <c r="D23" s="1095" t="s">
        <v>8354</v>
      </c>
      <c r="E23" s="1095" t="s">
        <v>8355</v>
      </c>
      <c r="F23" s="1096" t="s">
        <v>8296</v>
      </c>
      <c r="G23" s="1094" t="s">
        <v>8356</v>
      </c>
    </row>
    <row r="24" spans="2:7" ht="30" customHeight="1">
      <c r="B24" s="1095" t="s">
        <v>8357</v>
      </c>
      <c r="C24" s="1095" t="s">
        <v>6310</v>
      </c>
      <c r="D24" s="1095" t="s">
        <v>8246</v>
      </c>
      <c r="E24" s="1095" t="s">
        <v>8246</v>
      </c>
      <c r="F24" s="1096" t="s">
        <v>8296</v>
      </c>
      <c r="G24" s="1094" t="s">
        <v>8358</v>
      </c>
    </row>
    <row r="25" spans="2:7" ht="69.75" customHeight="1">
      <c r="B25" s="1097" t="s">
        <v>8359</v>
      </c>
      <c r="C25" s="1097" t="s">
        <v>8359</v>
      </c>
      <c r="D25" s="1097" t="s">
        <v>8359</v>
      </c>
      <c r="E25" s="1097" t="s">
        <v>8359</v>
      </c>
      <c r="F25" s="1097" t="s">
        <v>8359</v>
      </c>
      <c r="G25" s="1097" t="s">
        <v>8359</v>
      </c>
    </row>
    <row r="26" spans="2:7" ht="33" customHeight="1">
      <c r="B26" s="1418" t="s">
        <v>8360</v>
      </c>
      <c r="C26" s="1418"/>
      <c r="D26" s="1418"/>
      <c r="E26" s="1418"/>
      <c r="F26" s="1418"/>
      <c r="G26" s="1418"/>
    </row>
    <row r="27" spans="2:7" ht="30" customHeight="1">
      <c r="B27" s="1102" t="s">
        <v>6272</v>
      </c>
      <c r="C27" s="1414" t="s">
        <v>8361</v>
      </c>
      <c r="D27" s="1414"/>
      <c r="E27" s="1414"/>
      <c r="F27" s="1414"/>
      <c r="G27" s="1414"/>
    </row>
    <row r="28" spans="2:7" ht="30" customHeight="1">
      <c r="B28" s="1102" t="s">
        <v>6276</v>
      </c>
      <c r="C28" s="1414" t="s">
        <v>8362</v>
      </c>
      <c r="D28" s="1414"/>
      <c r="E28" s="1414"/>
      <c r="F28" s="1414"/>
      <c r="G28" s="1414"/>
    </row>
    <row r="29" spans="2:7" ht="30" customHeight="1">
      <c r="B29" s="1102" t="s">
        <v>6280</v>
      </c>
      <c r="C29" s="1414" t="s">
        <v>8363</v>
      </c>
      <c r="D29" s="1414"/>
      <c r="E29" s="1414"/>
      <c r="F29" s="1414"/>
      <c r="G29" s="1414"/>
    </row>
    <row r="30" spans="2:7" ht="30" customHeight="1">
      <c r="B30" s="1102" t="s">
        <v>6284</v>
      </c>
      <c r="C30" s="1414" t="s">
        <v>8364</v>
      </c>
      <c r="D30" s="1414"/>
      <c r="E30" s="1414"/>
      <c r="F30" s="1414"/>
      <c r="G30" s="1414"/>
    </row>
    <row r="31" spans="2:7" ht="30" customHeight="1">
      <c r="B31" s="1102" t="s">
        <v>6288</v>
      </c>
      <c r="C31" s="1414" t="s">
        <v>8365</v>
      </c>
      <c r="D31" s="1414"/>
      <c r="E31" s="1414"/>
      <c r="F31" s="1414"/>
      <c r="G31" s="1414"/>
    </row>
    <row r="32" spans="2:7" ht="17.100000000000001" customHeight="1">
      <c r="B32" s="1092"/>
      <c r="C32" s="1092"/>
      <c r="D32" s="1092"/>
      <c r="E32" s="1092"/>
      <c r="F32" s="1092"/>
      <c r="G32" s="1092"/>
    </row>
    <row r="33" spans="2:7" ht="51.2" customHeight="1">
      <c r="B33" s="1415" t="s">
        <v>8366</v>
      </c>
      <c r="C33" s="1415"/>
      <c r="D33" s="1415"/>
      <c r="E33" s="1415"/>
      <c r="F33" s="1415"/>
      <c r="G33" s="1415"/>
    </row>
    <row r="34" spans="2:7" ht="34.15" customHeight="1">
      <c r="B34" s="1103" t="s">
        <v>8367</v>
      </c>
      <c r="C34" s="1103" t="s">
        <v>8368</v>
      </c>
      <c r="D34" s="1103" t="s">
        <v>8369</v>
      </c>
      <c r="E34" s="1103" t="s">
        <v>8370</v>
      </c>
      <c r="F34" s="1103" t="s">
        <v>8371</v>
      </c>
      <c r="G34" s="1103" t="s">
        <v>7010</v>
      </c>
    </row>
    <row r="35" spans="2:7" ht="51.2" customHeight="1">
      <c r="B35" s="1104" t="s">
        <v>8309</v>
      </c>
      <c r="C35" s="1104" t="s">
        <v>8372</v>
      </c>
      <c r="D35" s="1104" t="s">
        <v>8373</v>
      </c>
      <c r="E35" s="1104" t="s">
        <v>8374</v>
      </c>
      <c r="F35" s="1104" t="s">
        <v>8375</v>
      </c>
      <c r="G35" s="1104" t="s">
        <v>8376</v>
      </c>
    </row>
    <row r="36" spans="2:7" ht="17.100000000000001" customHeight="1">
      <c r="B36" s="1105"/>
      <c r="C36" s="1105"/>
      <c r="D36" s="1105"/>
      <c r="E36" s="1105"/>
      <c r="F36" s="1105"/>
      <c r="G36" s="1105"/>
    </row>
    <row r="37" spans="2:7" ht="17.100000000000001" customHeight="1">
      <c r="B37" s="1092"/>
      <c r="C37" s="1092"/>
      <c r="D37" s="1092"/>
      <c r="E37" s="1092"/>
      <c r="F37" s="1092"/>
      <c r="G37" s="1092"/>
    </row>
    <row r="38" spans="2:7" ht="17.100000000000001" customHeight="1">
      <c r="B38" s="1092"/>
      <c r="C38" s="1092"/>
      <c r="D38" s="1092"/>
      <c r="E38" s="1092"/>
      <c r="F38" s="1092"/>
      <c r="G38" s="1092"/>
    </row>
    <row r="39" spans="2:7" ht="17.100000000000001" customHeight="1">
      <c r="B39" s="1092"/>
      <c r="C39" s="1092"/>
      <c r="D39" s="1092"/>
      <c r="E39" s="1092"/>
      <c r="F39" s="1092"/>
      <c r="G39" s="1092"/>
    </row>
    <row r="40" spans="2:7" ht="17.100000000000001" customHeight="1">
      <c r="B40" s="1092"/>
      <c r="C40" s="1092"/>
      <c r="D40" s="1092"/>
      <c r="E40" s="1092"/>
      <c r="F40" s="1092"/>
      <c r="G40" s="1092"/>
    </row>
    <row r="41" spans="2:7" ht="17.100000000000001" customHeight="1">
      <c r="B41" s="1092"/>
      <c r="C41" s="1092"/>
      <c r="D41" s="1092"/>
      <c r="E41" s="1092"/>
      <c r="F41" s="1092"/>
      <c r="G41" s="1092"/>
    </row>
    <row r="42" spans="2:7" ht="17.100000000000001" customHeight="1">
      <c r="B42" s="1092"/>
      <c r="C42" s="1092"/>
      <c r="D42" s="1092"/>
      <c r="E42" s="1092"/>
      <c r="F42" s="1092"/>
      <c r="G42" s="1092"/>
    </row>
  </sheetData>
  <mergeCells count="11">
    <mergeCell ref="C27:G27"/>
    <mergeCell ref="B1:G1"/>
    <mergeCell ref="B2:G2"/>
    <mergeCell ref="B4:G4"/>
    <mergeCell ref="B18:G18"/>
    <mergeCell ref="B26:G26"/>
    <mergeCell ref="C28:G28"/>
    <mergeCell ref="C29:G29"/>
    <mergeCell ref="C30:G30"/>
    <mergeCell ref="C31:G31"/>
    <mergeCell ref="B33:G3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6E83-663B-475B-A05D-49BCADF7247C}">
  <dimension ref="B2:E41"/>
  <sheetViews>
    <sheetView workbookViewId="0">
      <selection activeCell="I13" sqref="I13"/>
    </sheetView>
  </sheetViews>
  <sheetFormatPr baseColWidth="10" defaultColWidth="9.140625" defaultRowHeight="15"/>
  <cols>
    <col min="1" max="1" width="4" style="1106" customWidth="1"/>
    <col min="2" max="2" width="18" style="1106" customWidth="1"/>
    <col min="3" max="3" width="35.7109375" style="1106" customWidth="1"/>
    <col min="4" max="4" width="54" style="1106" customWidth="1"/>
    <col min="5" max="5" width="34" style="1106" customWidth="1"/>
    <col min="6" max="16384" width="9.140625" style="1106"/>
  </cols>
  <sheetData>
    <row r="2" spans="2:5" ht="21">
      <c r="B2" s="1035" t="s">
        <v>841</v>
      </c>
      <c r="C2" s="1122"/>
      <c r="D2" s="1122"/>
    </row>
    <row r="3" spans="2:5" ht="15.75">
      <c r="B3" s="1123" t="s">
        <v>8431</v>
      </c>
      <c r="C3" s="1122"/>
      <c r="D3" s="1122"/>
    </row>
    <row r="4" spans="2:5" ht="15.75" thickBot="1"/>
    <row r="5" spans="2:5" ht="17.100000000000001" customHeight="1">
      <c r="B5" s="1428" t="s">
        <v>8430</v>
      </c>
      <c r="C5" s="1429"/>
      <c r="D5" s="1429"/>
      <c r="E5" s="1430"/>
    </row>
    <row r="6" spans="2:5" ht="15.75">
      <c r="B6" s="1121" t="s">
        <v>8429</v>
      </c>
      <c r="E6" s="1107"/>
    </row>
    <row r="7" spans="2:5" ht="30" customHeight="1">
      <c r="B7" s="1431" t="s">
        <v>8428</v>
      </c>
      <c r="C7" s="1432"/>
      <c r="D7" s="1432"/>
      <c r="E7" s="1433"/>
    </row>
    <row r="8" spans="2:5">
      <c r="B8" s="1108"/>
      <c r="E8" s="1107"/>
    </row>
    <row r="9" spans="2:5" ht="17.100000000000001" customHeight="1">
      <c r="B9" s="1120" t="s">
        <v>6208</v>
      </c>
      <c r="C9" s="1119" t="s">
        <v>6178</v>
      </c>
      <c r="D9" s="1119" t="s">
        <v>8427</v>
      </c>
      <c r="E9" s="1118" t="s">
        <v>8426</v>
      </c>
    </row>
    <row r="10" spans="2:5" ht="50.1" customHeight="1">
      <c r="B10" s="1111" t="s">
        <v>6272</v>
      </c>
      <c r="C10" s="1110" t="s">
        <v>8425</v>
      </c>
      <c r="D10" s="1110" t="s">
        <v>8424</v>
      </c>
      <c r="E10" s="1109" t="s">
        <v>8423</v>
      </c>
    </row>
    <row r="11" spans="2:5" ht="50.1" customHeight="1">
      <c r="B11" s="1111" t="s">
        <v>6276</v>
      </c>
      <c r="C11" s="1110" t="s">
        <v>8422</v>
      </c>
      <c r="D11" s="1110" t="s">
        <v>8421</v>
      </c>
      <c r="E11" s="1109" t="s">
        <v>8420</v>
      </c>
    </row>
    <row r="12" spans="2:5" ht="50.1" customHeight="1">
      <c r="B12" s="1111" t="s">
        <v>6280</v>
      </c>
      <c r="C12" s="1110" t="s">
        <v>8419</v>
      </c>
      <c r="D12" s="1110" t="s">
        <v>8418</v>
      </c>
      <c r="E12" s="1109" t="s">
        <v>8417</v>
      </c>
    </row>
    <row r="13" spans="2:5" ht="50.1" customHeight="1">
      <c r="B13" s="1111" t="s">
        <v>6284</v>
      </c>
      <c r="C13" s="1110" t="s">
        <v>8416</v>
      </c>
      <c r="D13" s="1110" t="s">
        <v>8415</v>
      </c>
      <c r="E13" s="1109" t="s">
        <v>8414</v>
      </c>
    </row>
    <row r="14" spans="2:5" ht="50.1" customHeight="1">
      <c r="B14" s="1111" t="s">
        <v>6288</v>
      </c>
      <c r="C14" s="1110" t="s">
        <v>8413</v>
      </c>
      <c r="D14" s="1110" t="s">
        <v>8412</v>
      </c>
      <c r="E14" s="1109" t="s">
        <v>8411</v>
      </c>
    </row>
    <row r="15" spans="2:5" ht="50.1" customHeight="1">
      <c r="B15" s="1111" t="s">
        <v>6292</v>
      </c>
      <c r="C15" s="1110" t="s">
        <v>8410</v>
      </c>
      <c r="D15" s="1110" t="s">
        <v>8409</v>
      </c>
      <c r="E15" s="1109" t="s">
        <v>8408</v>
      </c>
    </row>
    <row r="16" spans="2:5">
      <c r="B16" s="1108"/>
      <c r="E16" s="1107"/>
    </row>
    <row r="17" spans="2:5" ht="17.100000000000001" customHeight="1">
      <c r="B17" s="1436" t="s">
        <v>8407</v>
      </c>
      <c r="C17" s="1423"/>
      <c r="D17" s="1423"/>
      <c r="E17" s="1424"/>
    </row>
    <row r="18" spans="2:5" ht="17.100000000000001" customHeight="1">
      <c r="B18" s="1117" t="s">
        <v>8406</v>
      </c>
      <c r="C18" s="1116" t="s">
        <v>8405</v>
      </c>
      <c r="D18" s="1116" t="s">
        <v>6108</v>
      </c>
      <c r="E18" s="1115"/>
    </row>
    <row r="19" spans="2:5" ht="34.15" customHeight="1">
      <c r="B19" s="1111" t="s">
        <v>8404</v>
      </c>
      <c r="C19" s="1110" t="s">
        <v>8403</v>
      </c>
      <c r="D19" s="1110" t="s">
        <v>8402</v>
      </c>
      <c r="E19" s="1109"/>
    </row>
    <row r="20" spans="2:5" ht="50.1" customHeight="1">
      <c r="B20" s="1111" t="s">
        <v>6138</v>
      </c>
      <c r="C20" s="1110" t="s">
        <v>8401</v>
      </c>
      <c r="D20" s="1110" t="s">
        <v>8400</v>
      </c>
      <c r="E20" s="1109" t="s">
        <v>8399</v>
      </c>
    </row>
    <row r="21" spans="2:5" ht="50.1" customHeight="1">
      <c r="B21" s="1111" t="s">
        <v>6145</v>
      </c>
      <c r="C21" s="1110" t="s">
        <v>8398</v>
      </c>
      <c r="D21" s="1110" t="s">
        <v>8397</v>
      </c>
      <c r="E21" s="1109" t="s">
        <v>8396</v>
      </c>
    </row>
    <row r="22" spans="2:5">
      <c r="B22" s="1108"/>
      <c r="E22" s="1107"/>
    </row>
    <row r="23" spans="2:5">
      <c r="B23" s="1108"/>
      <c r="E23" s="1107"/>
    </row>
    <row r="24" spans="2:5" ht="17.100000000000001" customHeight="1">
      <c r="B24" s="1434" t="s">
        <v>8395</v>
      </c>
      <c r="C24" s="1423"/>
      <c r="D24" s="1423"/>
      <c r="E24" s="1107"/>
    </row>
    <row r="25" spans="2:5" ht="30" customHeight="1">
      <c r="B25" s="1422" t="s">
        <v>8394</v>
      </c>
      <c r="C25" s="1423"/>
      <c r="D25" s="1423"/>
      <c r="E25" s="1424"/>
    </row>
    <row r="26" spans="2:5" ht="30" customHeight="1">
      <c r="B26" s="1422" t="s">
        <v>8393</v>
      </c>
      <c r="C26" s="1423"/>
      <c r="D26" s="1423"/>
      <c r="E26" s="1424"/>
    </row>
    <row r="27" spans="2:5" ht="30" customHeight="1">
      <c r="B27" s="1422" t="s">
        <v>8392</v>
      </c>
      <c r="C27" s="1423"/>
      <c r="D27" s="1423"/>
      <c r="E27" s="1424"/>
    </row>
    <row r="28" spans="2:5" ht="30" customHeight="1">
      <c r="B28" s="1422" t="s">
        <v>8391</v>
      </c>
      <c r="C28" s="1423"/>
      <c r="D28" s="1423"/>
      <c r="E28" s="1424"/>
    </row>
    <row r="29" spans="2:5" ht="30" customHeight="1">
      <c r="B29" s="1422" t="s">
        <v>8390</v>
      </c>
      <c r="C29" s="1423"/>
      <c r="D29" s="1423"/>
      <c r="E29" s="1424"/>
    </row>
    <row r="30" spans="2:5">
      <c r="B30" s="1108"/>
      <c r="E30" s="1107"/>
    </row>
    <row r="31" spans="2:5" ht="17.100000000000001" customHeight="1">
      <c r="B31" s="1435" t="s">
        <v>8389</v>
      </c>
      <c r="C31" s="1423"/>
      <c r="D31" s="1423"/>
      <c r="E31" s="1424"/>
    </row>
    <row r="32" spans="2:5" ht="30" customHeight="1">
      <c r="B32" s="1426" t="s">
        <v>8388</v>
      </c>
      <c r="C32" s="1423"/>
      <c r="D32" s="1423"/>
      <c r="E32" s="1424"/>
    </row>
    <row r="33" spans="2:5" ht="17.100000000000001" customHeight="1">
      <c r="B33" s="1427"/>
      <c r="C33" s="1423"/>
      <c r="D33" s="1423"/>
      <c r="E33" s="1424"/>
    </row>
    <row r="34" spans="2:5">
      <c r="B34" s="1108"/>
      <c r="E34" s="1107"/>
    </row>
    <row r="35" spans="2:5" ht="17.100000000000001" customHeight="1">
      <c r="B35" s="1425" t="s">
        <v>8387</v>
      </c>
      <c r="C35" s="1423"/>
      <c r="D35" s="1423"/>
      <c r="E35" s="1424"/>
    </row>
    <row r="36" spans="2:5" ht="17.100000000000001" customHeight="1">
      <c r="B36" s="1114" t="s">
        <v>6208</v>
      </c>
      <c r="C36" s="1113" t="s">
        <v>6153</v>
      </c>
      <c r="D36" s="1113" t="s">
        <v>8386</v>
      </c>
      <c r="E36" s="1112" t="s">
        <v>6178</v>
      </c>
    </row>
    <row r="37" spans="2:5" ht="39.950000000000003" customHeight="1">
      <c r="B37" s="1111" t="s">
        <v>8385</v>
      </c>
      <c r="C37" s="1110" t="s">
        <v>8384</v>
      </c>
      <c r="D37" s="1110"/>
      <c r="E37" s="1109"/>
    </row>
    <row r="38" spans="2:5" ht="39.950000000000003" customHeight="1">
      <c r="B38" s="1111" t="s">
        <v>8383</v>
      </c>
      <c r="C38" s="1110" t="s">
        <v>8382</v>
      </c>
      <c r="D38" s="1110"/>
      <c r="E38" s="1109" t="s">
        <v>8381</v>
      </c>
    </row>
    <row r="39" spans="2:5" ht="39.950000000000003" customHeight="1">
      <c r="B39" s="1111" t="s">
        <v>8380</v>
      </c>
      <c r="C39" s="1110" t="s">
        <v>8379</v>
      </c>
      <c r="D39" s="1110"/>
      <c r="E39" s="1109" t="s">
        <v>8378</v>
      </c>
    </row>
    <row r="40" spans="2:5">
      <c r="B40" s="1108"/>
      <c r="E40" s="1107"/>
    </row>
    <row r="41" spans="2:5" ht="27.95" customHeight="1" thickBot="1">
      <c r="B41" s="1419" t="s">
        <v>8377</v>
      </c>
      <c r="C41" s="1420"/>
      <c r="D41" s="1420"/>
      <c r="E41" s="1421"/>
    </row>
  </sheetData>
  <mergeCells count="13">
    <mergeCell ref="B5:E5"/>
    <mergeCell ref="B7:E7"/>
    <mergeCell ref="B24:D24"/>
    <mergeCell ref="B31:E31"/>
    <mergeCell ref="B17:E17"/>
    <mergeCell ref="B27:E27"/>
    <mergeCell ref="B26:E26"/>
    <mergeCell ref="B28:E28"/>
    <mergeCell ref="B41:E41"/>
    <mergeCell ref="B25:E25"/>
    <mergeCell ref="B29:E29"/>
    <mergeCell ref="B35:E35"/>
    <mergeCell ref="B32:E3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6E755-6AC6-4149-8651-BE34EF610024}">
  <dimension ref="B1:P273"/>
  <sheetViews>
    <sheetView workbookViewId="0">
      <selection activeCell="H17" sqref="H17"/>
    </sheetView>
  </sheetViews>
  <sheetFormatPr baseColWidth="10" defaultColWidth="9.140625" defaultRowHeight="15"/>
  <cols>
    <col min="1" max="1" width="5.42578125" style="578" customWidth="1"/>
    <col min="2" max="2" width="28" style="578" customWidth="1"/>
    <col min="3" max="3" width="5.7109375" style="578" customWidth="1"/>
    <col min="4" max="4" width="31.140625" style="578" customWidth="1"/>
    <col min="5" max="5" width="6.5703125" style="578" customWidth="1"/>
    <col min="6" max="6" width="40.5703125" style="578" customWidth="1"/>
    <col min="7" max="7" width="5.42578125" style="578" customWidth="1"/>
    <col min="8" max="8" width="28" style="578" customWidth="1"/>
    <col min="9" max="9" width="9.140625" style="578"/>
    <col min="10" max="10" width="19.140625" style="578" customWidth="1"/>
    <col min="11" max="11" width="36" style="578" customWidth="1"/>
    <col min="12" max="12" width="44.28515625" style="578" customWidth="1"/>
    <col min="13" max="13" width="45.7109375" style="578" customWidth="1"/>
    <col min="14" max="14" width="41.7109375" style="578" customWidth="1"/>
    <col min="15" max="15" width="24" style="578" customWidth="1"/>
    <col min="16" max="16384" width="9.140625" style="578"/>
  </cols>
  <sheetData>
    <row r="1" spans="2:16" ht="27.95" customHeight="1">
      <c r="B1" s="1438" t="s">
        <v>8481</v>
      </c>
      <c r="C1" s="1438"/>
      <c r="D1" s="1438"/>
      <c r="E1" s="1438"/>
      <c r="F1" s="1438"/>
      <c r="G1" s="1438"/>
      <c r="H1" s="1438"/>
      <c r="I1" s="1438"/>
      <c r="J1" s="1438"/>
      <c r="K1" s="1438"/>
      <c r="L1" s="1438"/>
      <c r="M1" s="1438"/>
      <c r="N1" s="1438"/>
      <c r="O1" s="1438"/>
    </row>
    <row r="2" spans="2:16" ht="27.95" customHeight="1">
      <c r="B2" s="1438"/>
      <c r="C2" s="1438"/>
      <c r="D2" s="1438"/>
      <c r="E2" s="1438"/>
      <c r="F2" s="1438"/>
      <c r="G2" s="1438"/>
      <c r="H2" s="1438"/>
      <c r="I2" s="1438"/>
      <c r="J2" s="1438"/>
      <c r="K2" s="1438"/>
      <c r="L2" s="1438"/>
      <c r="M2" s="1438"/>
      <c r="N2" s="1438"/>
      <c r="O2" s="1438"/>
      <c r="P2" s="1035" t="s">
        <v>841</v>
      </c>
    </row>
    <row r="3" spans="2:16" ht="26.1" customHeight="1">
      <c r="B3" s="1439" t="s">
        <v>8480</v>
      </c>
      <c r="C3" s="1439"/>
      <c r="D3" s="1439"/>
      <c r="E3" s="1439"/>
      <c r="F3" s="1439"/>
      <c r="G3" s="1439"/>
      <c r="H3" s="1439"/>
      <c r="I3" s="1439"/>
      <c r="J3" s="1439"/>
      <c r="K3" s="1439"/>
      <c r="L3" s="1439"/>
      <c r="M3" s="1439"/>
      <c r="N3" s="1439"/>
      <c r="O3" s="1439"/>
    </row>
    <row r="4" spans="2:16" ht="15.75">
      <c r="B4" s="1041" t="s">
        <v>8287</v>
      </c>
      <c r="G4" s="1133"/>
    </row>
    <row r="5" spans="2:16" ht="21.95" customHeight="1">
      <c r="B5" s="1135" t="s">
        <v>8479</v>
      </c>
      <c r="C5" s="1133"/>
      <c r="D5" s="1134" t="s">
        <v>8478</v>
      </c>
      <c r="E5" s="1133"/>
      <c r="F5" s="1132" t="s">
        <v>8477</v>
      </c>
      <c r="G5" s="1130"/>
      <c r="H5" s="1131" t="s">
        <v>8476</v>
      </c>
      <c r="J5" s="1440" t="s">
        <v>8475</v>
      </c>
      <c r="K5" s="1440"/>
      <c r="L5" s="1440"/>
      <c r="M5" s="1440"/>
      <c r="N5" s="1440"/>
      <c r="O5" s="1440"/>
    </row>
    <row r="6" spans="2:16" ht="30" customHeight="1">
      <c r="B6" s="1125" t="s">
        <v>20</v>
      </c>
      <c r="C6" s="1130"/>
      <c r="D6" s="1125" t="s">
        <v>141</v>
      </c>
      <c r="E6" s="1130"/>
      <c r="F6" s="1125" t="s">
        <v>7335</v>
      </c>
      <c r="G6" s="1124"/>
      <c r="H6" s="1126" t="s">
        <v>702</v>
      </c>
      <c r="J6" s="1129" t="s">
        <v>1075</v>
      </c>
      <c r="K6" s="1129" t="s">
        <v>8474</v>
      </c>
      <c r="L6" s="1129" t="s">
        <v>8473</v>
      </c>
      <c r="M6" s="1129" t="s">
        <v>8472</v>
      </c>
      <c r="N6" s="1129" t="s">
        <v>8471</v>
      </c>
    </row>
    <row r="7" spans="2:16" ht="30" customHeight="1">
      <c r="B7" s="1125" t="s">
        <v>1</v>
      </c>
      <c r="C7" s="1124"/>
      <c r="D7" s="1125" t="s">
        <v>7249</v>
      </c>
      <c r="E7" s="1124"/>
      <c r="F7" s="1125" t="s">
        <v>98</v>
      </c>
      <c r="G7" s="1124"/>
      <c r="H7" s="1126" t="s">
        <v>309</v>
      </c>
      <c r="J7" s="1125" t="s">
        <v>689</v>
      </c>
      <c r="K7" s="1125" t="s">
        <v>8470</v>
      </c>
      <c r="L7" s="1125" t="s">
        <v>8469</v>
      </c>
      <c r="M7" s="1125" t="s">
        <v>8468</v>
      </c>
      <c r="N7" s="1125" t="s">
        <v>8467</v>
      </c>
    </row>
    <row r="8" spans="2:16" ht="30" customHeight="1">
      <c r="B8" s="1125" t="s">
        <v>46</v>
      </c>
      <c r="C8" s="1124"/>
      <c r="D8" s="1125" t="s">
        <v>46</v>
      </c>
      <c r="E8" s="1124"/>
      <c r="F8" s="1125" t="s">
        <v>79</v>
      </c>
      <c r="G8" s="1124"/>
      <c r="H8" s="1126" t="s">
        <v>703</v>
      </c>
      <c r="J8" s="1125" t="s">
        <v>690</v>
      </c>
      <c r="K8" s="1125" t="s">
        <v>8466</v>
      </c>
      <c r="L8" s="1125" t="s">
        <v>8465</v>
      </c>
      <c r="M8" s="1125" t="s">
        <v>8464</v>
      </c>
      <c r="N8" s="1125" t="s">
        <v>8463</v>
      </c>
    </row>
    <row r="9" spans="2:16" ht="30" customHeight="1">
      <c r="B9" s="1125" t="s">
        <v>40</v>
      </c>
      <c r="C9" s="1124"/>
      <c r="D9" s="1125" t="s">
        <v>40</v>
      </c>
      <c r="E9" s="1124"/>
      <c r="F9" s="1125" t="s">
        <v>7337</v>
      </c>
      <c r="G9" s="1124"/>
      <c r="H9" s="1126" t="s">
        <v>198</v>
      </c>
      <c r="J9" s="1125" t="s">
        <v>7033</v>
      </c>
      <c r="K9" s="1125" t="s">
        <v>8462</v>
      </c>
      <c r="L9" s="1125" t="s">
        <v>8461</v>
      </c>
      <c r="M9" s="1125" t="s">
        <v>8460</v>
      </c>
      <c r="N9" s="1125" t="s">
        <v>8459</v>
      </c>
    </row>
    <row r="10" spans="2:16" ht="30" customHeight="1">
      <c r="B10" s="1125" t="s">
        <v>7035</v>
      </c>
      <c r="C10" s="1124"/>
      <c r="D10" s="1125" t="s">
        <v>7035</v>
      </c>
      <c r="E10" s="1124"/>
      <c r="F10" s="1125" t="s">
        <v>7339</v>
      </c>
      <c r="G10" s="1124"/>
      <c r="H10" s="1126" t="s">
        <v>320</v>
      </c>
      <c r="J10" s="1125" t="s">
        <v>7034</v>
      </c>
      <c r="K10" s="1125" t="s">
        <v>8458</v>
      </c>
      <c r="L10" s="1125" t="s">
        <v>8457</v>
      </c>
      <c r="M10" s="1125" t="s">
        <v>8456</v>
      </c>
      <c r="N10" s="1125" t="s">
        <v>8455</v>
      </c>
    </row>
    <row r="11" spans="2:16" ht="30" customHeight="1">
      <c r="B11" s="1125" t="s">
        <v>7036</v>
      </c>
      <c r="C11" s="1124"/>
      <c r="D11" s="1125" t="s">
        <v>150</v>
      </c>
      <c r="E11" s="1124"/>
      <c r="F11" s="1125" t="s">
        <v>72</v>
      </c>
      <c r="G11" s="1124"/>
      <c r="H11" s="1126" t="s">
        <v>313</v>
      </c>
    </row>
    <row r="12" spans="2:16" ht="30" customHeight="1">
      <c r="B12" s="1125" t="s">
        <v>7037</v>
      </c>
      <c r="C12" s="1124"/>
      <c r="D12" s="1125" t="s">
        <v>158</v>
      </c>
      <c r="E12" s="1124"/>
      <c r="F12" s="1125" t="s">
        <v>113</v>
      </c>
      <c r="G12" s="1124"/>
      <c r="H12" s="1126" t="s">
        <v>7381</v>
      </c>
      <c r="J12" s="1440" t="s">
        <v>8454</v>
      </c>
      <c r="K12" s="1440"/>
      <c r="L12" s="1440"/>
      <c r="M12" s="1440"/>
      <c r="N12" s="1440"/>
      <c r="O12" s="1440"/>
    </row>
    <row r="13" spans="2:16" ht="30" customHeight="1">
      <c r="B13" s="1125" t="s">
        <v>108</v>
      </c>
      <c r="C13" s="1124"/>
      <c r="D13" s="1125" t="s">
        <v>169</v>
      </c>
      <c r="E13" s="1124"/>
      <c r="F13" s="1125" t="s">
        <v>126</v>
      </c>
      <c r="G13" s="1124"/>
      <c r="H13" s="1126" t="s">
        <v>314</v>
      </c>
      <c r="J13" s="1129" t="s">
        <v>8175</v>
      </c>
      <c r="K13" s="1129" t="s">
        <v>8453</v>
      </c>
      <c r="L13" s="1129" t="s">
        <v>8452</v>
      </c>
      <c r="M13" s="1129" t="s">
        <v>8451</v>
      </c>
    </row>
    <row r="14" spans="2:16" ht="30" customHeight="1">
      <c r="B14" s="1125" t="s">
        <v>122</v>
      </c>
      <c r="C14" s="1124"/>
      <c r="D14" s="1125" t="s">
        <v>7251</v>
      </c>
      <c r="E14" s="1124"/>
      <c r="F14" s="1125" t="s">
        <v>163</v>
      </c>
      <c r="G14" s="1124"/>
      <c r="H14" s="1126" t="s">
        <v>202</v>
      </c>
      <c r="J14" s="1125" t="s">
        <v>40</v>
      </c>
      <c r="K14" s="1128" t="s">
        <v>689</v>
      </c>
      <c r="L14" s="1125" t="s">
        <v>8450</v>
      </c>
      <c r="M14" s="1125" t="s">
        <v>8449</v>
      </c>
    </row>
    <row r="15" spans="2:16" ht="30" customHeight="1">
      <c r="B15" s="1125" t="s">
        <v>135</v>
      </c>
      <c r="C15" s="1124"/>
      <c r="D15" s="1125" t="s">
        <v>91</v>
      </c>
      <c r="E15" s="1124"/>
      <c r="F15" s="1125" t="s">
        <v>60</v>
      </c>
      <c r="G15" s="1124"/>
      <c r="H15" s="1126" t="s">
        <v>7111</v>
      </c>
      <c r="J15" s="1125" t="s">
        <v>150</v>
      </c>
      <c r="K15" s="1128" t="s">
        <v>690</v>
      </c>
      <c r="L15" s="1125" t="s">
        <v>8448</v>
      </c>
      <c r="M15" s="1125" t="s">
        <v>8447</v>
      </c>
    </row>
    <row r="16" spans="2:16" ht="30" customHeight="1">
      <c r="B16" s="1125" t="s">
        <v>7041</v>
      </c>
      <c r="C16" s="1124"/>
      <c r="D16" s="1125" t="s">
        <v>7252</v>
      </c>
      <c r="E16" s="1124"/>
      <c r="F16" s="1125" t="s">
        <v>53</v>
      </c>
      <c r="G16" s="1124"/>
      <c r="H16" s="1126" t="s">
        <v>178</v>
      </c>
      <c r="J16" s="1125" t="s">
        <v>713</v>
      </c>
      <c r="K16" s="1128" t="s">
        <v>7033</v>
      </c>
      <c r="L16" s="1125" t="s">
        <v>8446</v>
      </c>
      <c r="M16" s="1125" t="s">
        <v>8445</v>
      </c>
    </row>
    <row r="17" spans="2:15" ht="30" customHeight="1">
      <c r="B17" s="1125" t="s">
        <v>7042</v>
      </c>
      <c r="C17" s="1124"/>
      <c r="D17" s="1125" t="s">
        <v>7253</v>
      </c>
      <c r="E17" s="1124"/>
      <c r="F17" s="1125" t="s">
        <v>7208</v>
      </c>
      <c r="G17" s="1124"/>
      <c r="H17" s="1126" t="s">
        <v>7117</v>
      </c>
      <c r="J17" s="1125" t="s">
        <v>7382</v>
      </c>
      <c r="K17" s="1128" t="s">
        <v>7034</v>
      </c>
      <c r="L17" s="1125" t="s">
        <v>8444</v>
      </c>
      <c r="M17" s="1125" t="s">
        <v>8443</v>
      </c>
    </row>
    <row r="18" spans="2:15" ht="30" customHeight="1">
      <c r="B18" s="1125" t="s">
        <v>7043</v>
      </c>
      <c r="C18" s="1124"/>
      <c r="D18" s="1125" t="s">
        <v>7254</v>
      </c>
      <c r="E18" s="1124"/>
      <c r="F18" s="1125" t="s">
        <v>104</v>
      </c>
      <c r="G18" s="1124"/>
      <c r="H18" s="1126" t="s">
        <v>167</v>
      </c>
    </row>
    <row r="19" spans="2:15" ht="30" customHeight="1">
      <c r="B19" s="1125" t="s">
        <v>166</v>
      </c>
      <c r="C19" s="1124"/>
      <c r="D19" s="1125" t="s">
        <v>7255</v>
      </c>
      <c r="E19" s="1124"/>
      <c r="F19" s="1125" t="s">
        <v>7209</v>
      </c>
      <c r="G19" s="1124"/>
      <c r="H19" s="1126" t="s">
        <v>161</v>
      </c>
      <c r="J19" s="1440" t="s">
        <v>8442</v>
      </c>
      <c r="K19" s="1440"/>
      <c r="L19" s="1440"/>
      <c r="M19" s="1440"/>
      <c r="N19" s="1440"/>
      <c r="O19" s="1440"/>
    </row>
    <row r="20" spans="2:15" ht="30" customHeight="1">
      <c r="B20" s="1125" t="s">
        <v>7044</v>
      </c>
      <c r="C20" s="1124"/>
      <c r="D20" s="1125" t="s">
        <v>7256</v>
      </c>
      <c r="E20" s="1124"/>
      <c r="F20" s="1125" t="s">
        <v>7342</v>
      </c>
      <c r="G20" s="1124"/>
      <c r="H20" s="1126" t="s">
        <v>7382</v>
      </c>
      <c r="J20" s="1127" t="s">
        <v>6272</v>
      </c>
      <c r="K20" s="1437" t="s">
        <v>8441</v>
      </c>
      <c r="L20" s="1437"/>
      <c r="M20" s="1437"/>
      <c r="N20" s="1437"/>
      <c r="O20" s="1437"/>
    </row>
    <row r="21" spans="2:15" ht="30" customHeight="1">
      <c r="B21" s="1125" t="s">
        <v>7045</v>
      </c>
      <c r="C21" s="1124"/>
      <c r="D21" s="1125" t="s">
        <v>98</v>
      </c>
      <c r="E21" s="1124"/>
      <c r="F21" s="1125" t="s">
        <v>7343</v>
      </c>
      <c r="G21" s="1124"/>
      <c r="H21" s="1126"/>
      <c r="J21" s="1127" t="s">
        <v>6276</v>
      </c>
      <c r="K21" s="1437" t="s">
        <v>8440</v>
      </c>
      <c r="L21" s="1437"/>
      <c r="M21" s="1437"/>
      <c r="N21" s="1437"/>
      <c r="O21" s="1437"/>
    </row>
    <row r="22" spans="2:15" ht="30" customHeight="1">
      <c r="B22" s="1125" t="s">
        <v>7051</v>
      </c>
      <c r="C22" s="1124"/>
      <c r="D22" s="1125" t="s">
        <v>139</v>
      </c>
      <c r="E22" s="1124"/>
      <c r="F22" s="1125" t="s">
        <v>30</v>
      </c>
      <c r="G22" s="1124"/>
      <c r="H22" s="1126"/>
      <c r="J22" s="1127" t="s">
        <v>6280</v>
      </c>
      <c r="K22" s="1437" t="s">
        <v>8439</v>
      </c>
      <c r="L22" s="1437"/>
      <c r="M22" s="1437"/>
      <c r="N22" s="1437"/>
      <c r="O22" s="1437"/>
    </row>
    <row r="23" spans="2:15" ht="30" customHeight="1">
      <c r="B23" s="1125" t="s">
        <v>7052</v>
      </c>
      <c r="C23" s="1124"/>
      <c r="D23" s="1125" t="s">
        <v>79</v>
      </c>
      <c r="E23" s="1124"/>
      <c r="F23" s="1125" t="s">
        <v>42</v>
      </c>
      <c r="G23" s="1124"/>
      <c r="H23" s="1126"/>
      <c r="J23" s="1127" t="s">
        <v>6284</v>
      </c>
      <c r="K23" s="1437" t="s">
        <v>8438</v>
      </c>
      <c r="L23" s="1437"/>
      <c r="M23" s="1437"/>
      <c r="N23" s="1437"/>
      <c r="O23" s="1437"/>
    </row>
    <row r="24" spans="2:15" ht="30" customHeight="1">
      <c r="B24" s="1125" t="s">
        <v>7053</v>
      </c>
      <c r="C24" s="1124"/>
      <c r="D24" s="1125" t="s">
        <v>72</v>
      </c>
      <c r="E24" s="1124"/>
      <c r="F24" s="1125" t="s">
        <v>713</v>
      </c>
      <c r="G24" s="1124"/>
      <c r="H24" s="1126"/>
    </row>
    <row r="25" spans="2:15" ht="30" customHeight="1">
      <c r="B25" s="1125" t="s">
        <v>7054</v>
      </c>
      <c r="C25" s="1124"/>
      <c r="D25" s="1125" t="s">
        <v>113</v>
      </c>
      <c r="E25" s="1124"/>
      <c r="F25" s="1125" t="s">
        <v>17</v>
      </c>
      <c r="G25" s="1124"/>
      <c r="H25" s="1126"/>
    </row>
    <row r="26" spans="2:15" ht="30" customHeight="1">
      <c r="B26" s="1125" t="s">
        <v>7057</v>
      </c>
      <c r="C26" s="1124"/>
      <c r="D26" s="1125" t="s">
        <v>126</v>
      </c>
      <c r="E26" s="1124"/>
      <c r="F26" s="1125" t="s">
        <v>7349</v>
      </c>
      <c r="G26" s="1124"/>
      <c r="H26" s="1126"/>
    </row>
    <row r="27" spans="2:15" ht="30" customHeight="1">
      <c r="B27" s="1125" t="s">
        <v>7058</v>
      </c>
      <c r="C27" s="1124"/>
      <c r="D27" s="1125" t="s">
        <v>163</v>
      </c>
      <c r="E27" s="1124"/>
      <c r="F27" s="1125" t="s">
        <v>7352</v>
      </c>
      <c r="G27" s="1124"/>
      <c r="H27" s="1126"/>
    </row>
    <row r="28" spans="2:15" ht="30" customHeight="1">
      <c r="B28" s="1125" t="s">
        <v>2</v>
      </c>
      <c r="C28" s="1124"/>
      <c r="D28" s="1125" t="s">
        <v>60</v>
      </c>
      <c r="E28" s="1124"/>
      <c r="F28" s="1125" t="s">
        <v>7353</v>
      </c>
      <c r="G28" s="1124"/>
      <c r="H28" s="1126"/>
    </row>
    <row r="29" spans="2:15" ht="30" customHeight="1">
      <c r="B29" s="1125" t="s">
        <v>35</v>
      </c>
      <c r="C29" s="1124"/>
      <c r="D29" s="1125" t="s">
        <v>53</v>
      </c>
      <c r="E29" s="1124"/>
      <c r="F29" s="1125" t="s">
        <v>7354</v>
      </c>
      <c r="G29" s="1124"/>
      <c r="H29" s="1126"/>
    </row>
    <row r="30" spans="2:15" ht="30" customHeight="1">
      <c r="B30" s="1125" t="s">
        <v>73</v>
      </c>
      <c r="C30" s="1124"/>
      <c r="D30" s="1125" t="s">
        <v>28</v>
      </c>
      <c r="E30" s="1124"/>
      <c r="F30" s="1125" t="s">
        <v>8437</v>
      </c>
      <c r="G30" s="1124"/>
      <c r="H30" s="1126"/>
    </row>
    <row r="31" spans="2:15" ht="30" customHeight="1">
      <c r="B31" s="1125" t="s">
        <v>86</v>
      </c>
      <c r="C31" s="1124"/>
      <c r="D31" s="1125" t="s">
        <v>39</v>
      </c>
      <c r="E31" s="1124"/>
      <c r="F31" s="1125" t="s">
        <v>7361</v>
      </c>
      <c r="G31" s="1124"/>
      <c r="H31" s="1126"/>
    </row>
    <row r="32" spans="2:15" ht="30" customHeight="1">
      <c r="B32" s="1125" t="s">
        <v>99</v>
      </c>
      <c r="C32" s="1124"/>
      <c r="D32" s="1125" t="s">
        <v>7208</v>
      </c>
      <c r="E32" s="1124"/>
      <c r="F32" s="1125" t="s">
        <v>7363</v>
      </c>
      <c r="G32" s="1124"/>
      <c r="H32" s="1126"/>
    </row>
    <row r="33" spans="2:8" ht="30" customHeight="1">
      <c r="B33" s="1125" t="s">
        <v>114</v>
      </c>
      <c r="C33" s="1124"/>
      <c r="D33" s="1125" t="s">
        <v>104</v>
      </c>
      <c r="E33" s="1124"/>
      <c r="F33" s="1125" t="s">
        <v>7364</v>
      </c>
      <c r="G33" s="1124"/>
      <c r="H33" s="1126"/>
    </row>
    <row r="34" spans="2:8" ht="30" customHeight="1">
      <c r="B34" s="1125" t="s">
        <v>7062</v>
      </c>
      <c r="C34" s="1124"/>
      <c r="D34" s="1125" t="s">
        <v>7209</v>
      </c>
      <c r="E34" s="1124"/>
      <c r="F34" s="1125" t="s">
        <v>7365</v>
      </c>
      <c r="G34" s="1124"/>
      <c r="H34" s="1126"/>
    </row>
    <row r="35" spans="2:8" ht="30" customHeight="1">
      <c r="B35" s="1125" t="s">
        <v>127</v>
      </c>
      <c r="C35" s="1124"/>
      <c r="D35" s="1125" t="s">
        <v>706</v>
      </c>
      <c r="E35" s="1124"/>
      <c r="F35" s="1125" t="s">
        <v>8436</v>
      </c>
      <c r="G35" s="1124"/>
      <c r="H35" s="1126"/>
    </row>
    <row r="36" spans="2:8" ht="30" customHeight="1">
      <c r="B36" s="1125" t="s">
        <v>132</v>
      </c>
      <c r="C36" s="1124"/>
      <c r="D36" s="1125" t="s">
        <v>7218</v>
      </c>
      <c r="E36" s="1124"/>
      <c r="F36" s="1125" t="s">
        <v>7368</v>
      </c>
      <c r="G36" s="1124"/>
      <c r="H36" s="1126"/>
    </row>
    <row r="37" spans="2:8" ht="30" customHeight="1">
      <c r="B37" s="1125" t="s">
        <v>119</v>
      </c>
      <c r="C37" s="1124"/>
      <c r="D37" s="1125" t="s">
        <v>709</v>
      </c>
      <c r="E37" s="1124"/>
      <c r="F37" s="1125" t="s">
        <v>8435</v>
      </c>
      <c r="G37" s="1124"/>
      <c r="H37" s="1126"/>
    </row>
    <row r="38" spans="2:8" ht="30" customHeight="1">
      <c r="B38" s="1125" t="s">
        <v>43</v>
      </c>
      <c r="C38" s="1124"/>
      <c r="D38" s="1125" t="s">
        <v>707</v>
      </c>
      <c r="E38" s="1124"/>
      <c r="F38" s="1125" t="s">
        <v>8434</v>
      </c>
      <c r="G38" s="1124"/>
      <c r="H38" s="1126"/>
    </row>
    <row r="39" spans="2:8" ht="30" customHeight="1">
      <c r="B39" s="1125" t="s">
        <v>55</v>
      </c>
      <c r="C39" s="1124"/>
      <c r="D39" s="1125" t="s">
        <v>38</v>
      </c>
      <c r="E39" s="1124"/>
      <c r="F39" s="1125" t="s">
        <v>7369</v>
      </c>
      <c r="G39" s="1124"/>
      <c r="H39" s="1126"/>
    </row>
    <row r="40" spans="2:8" ht="30" customHeight="1">
      <c r="B40" s="1125" t="s">
        <v>7065</v>
      </c>
      <c r="C40" s="1124"/>
      <c r="D40" s="1125" t="s">
        <v>711</v>
      </c>
      <c r="E40" s="1124"/>
      <c r="F40" s="1125" t="s">
        <v>32</v>
      </c>
      <c r="G40" s="1124"/>
      <c r="H40" s="1126"/>
    </row>
    <row r="41" spans="2:8" ht="30" customHeight="1">
      <c r="B41" s="1125" t="s">
        <v>7066</v>
      </c>
      <c r="C41" s="1124"/>
      <c r="D41" s="1125" t="s">
        <v>61</v>
      </c>
      <c r="E41" s="1124"/>
      <c r="F41" s="1125" t="s">
        <v>22</v>
      </c>
      <c r="G41" s="1124"/>
      <c r="H41" s="1126"/>
    </row>
    <row r="42" spans="2:8" ht="30" customHeight="1">
      <c r="B42" s="1125" t="s">
        <v>143</v>
      </c>
      <c r="C42" s="1124"/>
      <c r="D42" s="1125" t="s">
        <v>705</v>
      </c>
      <c r="E42" s="1124"/>
      <c r="F42" s="1125" t="s">
        <v>8433</v>
      </c>
      <c r="G42" s="1124"/>
      <c r="H42" s="1126"/>
    </row>
    <row r="43" spans="2:8" ht="30" customHeight="1">
      <c r="B43" s="1125" t="s">
        <v>152</v>
      </c>
      <c r="C43" s="1124"/>
      <c r="D43" s="1125" t="s">
        <v>7226</v>
      </c>
      <c r="E43" s="1124"/>
      <c r="F43" s="1125" t="s">
        <v>8432</v>
      </c>
      <c r="G43" s="1124"/>
      <c r="H43" s="1126"/>
    </row>
    <row r="44" spans="2:8" ht="30" customHeight="1">
      <c r="B44" s="1125" t="s">
        <v>67</v>
      </c>
      <c r="C44" s="1124"/>
      <c r="D44" s="1125" t="s">
        <v>708</v>
      </c>
      <c r="E44" s="1124"/>
      <c r="F44" s="1125"/>
      <c r="G44" s="1124"/>
      <c r="H44" s="1126"/>
    </row>
    <row r="45" spans="2:8" ht="30" customHeight="1">
      <c r="B45" s="1125" t="s">
        <v>81</v>
      </c>
      <c r="C45" s="1124"/>
      <c r="D45" s="1125" t="s">
        <v>712</v>
      </c>
      <c r="E45" s="1124"/>
      <c r="F45" s="1125"/>
      <c r="G45" s="1124"/>
      <c r="H45" s="1126"/>
    </row>
    <row r="46" spans="2:8" ht="30" customHeight="1">
      <c r="B46" s="1125" t="s">
        <v>7067</v>
      </c>
      <c r="C46" s="1124"/>
      <c r="D46" s="1125" t="s">
        <v>710</v>
      </c>
      <c r="E46" s="1124"/>
      <c r="F46" s="1125"/>
      <c r="G46" s="1124"/>
      <c r="H46" s="1126"/>
    </row>
    <row r="47" spans="2:8" ht="30" customHeight="1">
      <c r="B47" s="1125" t="s">
        <v>93</v>
      </c>
      <c r="C47" s="1124"/>
      <c r="D47" s="1125" t="s">
        <v>109</v>
      </c>
      <c r="E47" s="1124"/>
      <c r="F47" s="1125"/>
      <c r="G47" s="1124"/>
      <c r="H47" s="1126"/>
    </row>
    <row r="48" spans="2:8" ht="30" customHeight="1">
      <c r="B48" s="1125" t="s">
        <v>105</v>
      </c>
      <c r="C48" s="1124"/>
      <c r="D48" s="1125" t="s">
        <v>7129</v>
      </c>
      <c r="E48" s="1124"/>
      <c r="F48" s="1125"/>
      <c r="G48" s="1124"/>
      <c r="H48" s="1126"/>
    </row>
    <row r="49" spans="2:8" ht="30" customHeight="1">
      <c r="B49" s="1125" t="s">
        <v>24</v>
      </c>
      <c r="C49" s="1124"/>
      <c r="D49" s="1125" t="s">
        <v>7173</v>
      </c>
      <c r="E49" s="1124"/>
      <c r="F49" s="1125"/>
      <c r="G49" s="1124"/>
      <c r="H49" s="1126"/>
    </row>
    <row r="50" spans="2:8" ht="30" customHeight="1">
      <c r="B50" s="1125" t="s">
        <v>34</v>
      </c>
      <c r="C50" s="1124"/>
      <c r="D50" s="1125" t="s">
        <v>116</v>
      </c>
      <c r="E50" s="1124"/>
      <c r="F50" s="1125"/>
      <c r="G50" s="1124"/>
      <c r="H50" s="1126"/>
    </row>
    <row r="51" spans="2:8" ht="30" customHeight="1">
      <c r="B51" s="1125" t="s">
        <v>7068</v>
      </c>
      <c r="C51" s="1124"/>
      <c r="D51" s="1125" t="s">
        <v>7240</v>
      </c>
      <c r="E51" s="1124"/>
      <c r="F51" s="1125"/>
      <c r="G51" s="1124"/>
      <c r="H51" s="1126"/>
    </row>
    <row r="52" spans="2:8" ht="30" customHeight="1">
      <c r="B52" s="1125" t="s">
        <v>7069</v>
      </c>
      <c r="C52" s="1124"/>
      <c r="D52" s="1125" t="s">
        <v>7242</v>
      </c>
      <c r="E52" s="1124"/>
      <c r="F52" s="1125"/>
      <c r="G52" s="1124"/>
      <c r="H52" s="1126"/>
    </row>
    <row r="53" spans="2:8" ht="30" customHeight="1">
      <c r="B53" s="1125" t="s">
        <v>7071</v>
      </c>
      <c r="C53" s="1124"/>
      <c r="D53" s="1125" t="s">
        <v>7245</v>
      </c>
      <c r="E53" s="1124"/>
      <c r="F53" s="1125"/>
      <c r="G53" s="1124"/>
      <c r="H53" s="1126"/>
    </row>
    <row r="54" spans="2:8" ht="30" customHeight="1">
      <c r="B54" s="1125" t="s">
        <v>7072</v>
      </c>
      <c r="C54" s="1124"/>
      <c r="D54" s="1125" t="s">
        <v>111</v>
      </c>
      <c r="E54" s="1124"/>
      <c r="F54" s="1125"/>
      <c r="G54" s="1124"/>
      <c r="H54" s="1126"/>
    </row>
    <row r="55" spans="2:8" ht="30" customHeight="1">
      <c r="B55" s="1125" t="s">
        <v>97</v>
      </c>
      <c r="C55" s="1124"/>
      <c r="D55" s="1125" t="s">
        <v>141</v>
      </c>
      <c r="E55" s="1124"/>
      <c r="F55" s="1125"/>
      <c r="G55" s="1124"/>
      <c r="H55" s="1126"/>
    </row>
    <row r="56" spans="2:8" ht="30" customHeight="1">
      <c r="B56" s="1125" t="s">
        <v>112</v>
      </c>
      <c r="C56" s="1124"/>
      <c r="D56" s="1125" t="s">
        <v>7249</v>
      </c>
      <c r="E56" s="1124"/>
      <c r="F56" s="1125"/>
      <c r="G56" s="1124"/>
      <c r="H56" s="1126"/>
    </row>
    <row r="57" spans="2:8" ht="30" customHeight="1">
      <c r="B57" s="1125" t="s">
        <v>125</v>
      </c>
      <c r="C57" s="1124"/>
      <c r="D57" s="1125" t="s">
        <v>46</v>
      </c>
      <c r="E57" s="1124"/>
      <c r="F57" s="1125"/>
      <c r="G57" s="1124"/>
      <c r="H57" s="1126"/>
    </row>
    <row r="58" spans="2:8" ht="30" customHeight="1">
      <c r="B58" s="1125" t="s">
        <v>7073</v>
      </c>
      <c r="C58" s="1124"/>
      <c r="D58" s="1125" t="s">
        <v>7250</v>
      </c>
      <c r="E58" s="1124"/>
      <c r="F58" s="1125"/>
      <c r="G58" s="1124"/>
      <c r="H58" s="1125"/>
    </row>
    <row r="59" spans="2:8" ht="30" customHeight="1">
      <c r="B59" s="1125" t="s">
        <v>148</v>
      </c>
      <c r="C59" s="1124"/>
      <c r="D59" s="1125" t="s">
        <v>40</v>
      </c>
      <c r="E59" s="1124"/>
      <c r="F59" s="1125"/>
      <c r="G59" s="1124"/>
      <c r="H59" s="1125"/>
    </row>
    <row r="60" spans="2:8" ht="30" customHeight="1">
      <c r="B60" s="1125" t="s">
        <v>7074</v>
      </c>
      <c r="C60" s="1124"/>
      <c r="D60" s="1125" t="s">
        <v>150</v>
      </c>
      <c r="E60" s="1124"/>
      <c r="F60" s="1125"/>
      <c r="G60" s="1124"/>
      <c r="H60" s="1125"/>
    </row>
    <row r="61" spans="2:8" ht="30" customHeight="1">
      <c r="B61" s="1125" t="s">
        <v>7075</v>
      </c>
      <c r="C61" s="1124"/>
      <c r="D61" s="1125" t="s">
        <v>158</v>
      </c>
      <c r="E61" s="1124"/>
      <c r="F61" s="1125"/>
      <c r="G61" s="1124"/>
      <c r="H61" s="1125"/>
    </row>
    <row r="62" spans="2:8" ht="30" customHeight="1">
      <c r="B62" s="1125" t="s">
        <v>7080</v>
      </c>
      <c r="C62" s="1124"/>
      <c r="D62" s="1125" t="s">
        <v>169</v>
      </c>
      <c r="E62" s="1124"/>
      <c r="F62" s="1125"/>
      <c r="G62" s="1124"/>
      <c r="H62" s="1125"/>
    </row>
    <row r="63" spans="2:8" ht="30" customHeight="1">
      <c r="B63" s="1125" t="s">
        <v>7081</v>
      </c>
      <c r="C63" s="1124"/>
      <c r="D63" s="1125" t="s">
        <v>7251</v>
      </c>
      <c r="E63" s="1124"/>
      <c r="F63" s="1125"/>
      <c r="G63" s="1124"/>
      <c r="H63" s="1125"/>
    </row>
    <row r="64" spans="2:8" ht="30" customHeight="1">
      <c r="B64" s="1125" t="s">
        <v>147</v>
      </c>
      <c r="C64" s="1124"/>
      <c r="D64" s="1125" t="s">
        <v>91</v>
      </c>
      <c r="E64" s="1124"/>
      <c r="F64" s="1125"/>
      <c r="G64" s="1124"/>
      <c r="H64" s="1125"/>
    </row>
    <row r="65" spans="2:8" ht="30" customHeight="1">
      <c r="B65" s="1125" t="s">
        <v>181</v>
      </c>
      <c r="C65" s="1124"/>
      <c r="D65" s="1125" t="s">
        <v>7252</v>
      </c>
      <c r="E65" s="1124"/>
      <c r="F65" s="1125"/>
      <c r="G65" s="1124"/>
      <c r="H65" s="1125"/>
    </row>
    <row r="66" spans="2:8" ht="30" customHeight="1">
      <c r="B66" s="1125" t="s">
        <v>140</v>
      </c>
      <c r="C66" s="1124"/>
      <c r="D66" s="1125" t="s">
        <v>7253</v>
      </c>
      <c r="E66" s="1124"/>
      <c r="F66" s="1125"/>
      <c r="G66" s="1124"/>
      <c r="H66" s="1125"/>
    </row>
    <row r="67" spans="2:8" ht="30" customHeight="1">
      <c r="B67" s="1125" t="s">
        <v>7084</v>
      </c>
      <c r="C67" s="1124"/>
      <c r="D67" s="1125" t="s">
        <v>7254</v>
      </c>
      <c r="E67" s="1124"/>
      <c r="F67" s="1125"/>
      <c r="G67" s="1124"/>
      <c r="H67" s="1125"/>
    </row>
    <row r="68" spans="2:8" ht="30" customHeight="1">
      <c r="B68" s="1125" t="s">
        <v>190</v>
      </c>
      <c r="C68" s="1124"/>
      <c r="D68" s="1125" t="s">
        <v>7256</v>
      </c>
      <c r="E68" s="1124"/>
      <c r="F68" s="1125"/>
      <c r="G68" s="1124"/>
      <c r="H68" s="1125"/>
    </row>
    <row r="69" spans="2:8" ht="30" customHeight="1">
      <c r="B69" s="1125" t="s">
        <v>7085</v>
      </c>
      <c r="C69" s="1124"/>
      <c r="D69" s="1125" t="s">
        <v>125</v>
      </c>
      <c r="E69" s="1124"/>
      <c r="F69" s="1125"/>
      <c r="G69" s="1124"/>
      <c r="H69" s="1125"/>
    </row>
    <row r="70" spans="2:8" ht="30" customHeight="1">
      <c r="B70" s="1125" t="s">
        <v>196</v>
      </c>
      <c r="C70" s="1124"/>
      <c r="D70" s="1125" t="s">
        <v>7073</v>
      </c>
      <c r="E70" s="1124"/>
      <c r="F70" s="1125"/>
      <c r="G70" s="1124"/>
      <c r="H70" s="1125"/>
    </row>
    <row r="71" spans="2:8" ht="30" customHeight="1">
      <c r="B71" s="1125" t="s">
        <v>200</v>
      </c>
      <c r="C71" s="1124"/>
      <c r="D71" s="1125" t="s">
        <v>71</v>
      </c>
      <c r="E71" s="1124"/>
      <c r="F71" s="1125"/>
      <c r="G71" s="1124"/>
      <c r="H71" s="1125"/>
    </row>
    <row r="72" spans="2:8" ht="30" customHeight="1">
      <c r="B72" s="1125" t="s">
        <v>203</v>
      </c>
      <c r="C72" s="1124"/>
      <c r="D72" s="1125" t="s">
        <v>148</v>
      </c>
      <c r="E72" s="1124"/>
      <c r="F72" s="1125"/>
      <c r="G72" s="1124"/>
      <c r="H72" s="1125"/>
    </row>
    <row r="73" spans="2:8" ht="30" customHeight="1">
      <c r="B73" s="1125" t="s">
        <v>206</v>
      </c>
      <c r="C73" s="1124"/>
      <c r="D73" s="1125" t="s">
        <v>79</v>
      </c>
      <c r="E73" s="1124"/>
      <c r="F73" s="1125"/>
      <c r="G73" s="1124"/>
      <c r="H73" s="1125"/>
    </row>
    <row r="74" spans="2:8" ht="30" customHeight="1">
      <c r="B74" s="1125" t="s">
        <v>209</v>
      </c>
      <c r="C74" s="1124"/>
      <c r="D74" s="1125" t="s">
        <v>7074</v>
      </c>
      <c r="E74" s="1124"/>
      <c r="F74" s="1125"/>
      <c r="G74" s="1124"/>
      <c r="H74" s="1125"/>
    </row>
    <row r="75" spans="2:8" ht="30" customHeight="1">
      <c r="B75" s="1125" t="s">
        <v>212</v>
      </c>
      <c r="C75" s="1124"/>
      <c r="D75" s="1125" t="s">
        <v>7075</v>
      </c>
      <c r="E75" s="1124"/>
      <c r="F75" s="1125"/>
      <c r="G75" s="1124"/>
      <c r="H75" s="1125"/>
    </row>
    <row r="76" spans="2:8" ht="30" customHeight="1">
      <c r="B76" s="1125" t="s">
        <v>213</v>
      </c>
      <c r="C76" s="1124"/>
      <c r="D76" s="1125" t="s">
        <v>85</v>
      </c>
      <c r="E76" s="1124"/>
      <c r="F76" s="1125"/>
      <c r="G76" s="1124"/>
      <c r="H76" s="1125"/>
    </row>
    <row r="77" spans="2:8" ht="30" customHeight="1">
      <c r="B77" s="1125" t="s">
        <v>215</v>
      </c>
      <c r="C77" s="1124"/>
      <c r="D77" s="1125" t="s">
        <v>59</v>
      </c>
      <c r="E77" s="1124"/>
      <c r="F77" s="1125"/>
      <c r="G77" s="1124"/>
      <c r="H77" s="1125"/>
    </row>
    <row r="78" spans="2:8" ht="30" customHeight="1">
      <c r="B78" s="1125" t="s">
        <v>217</v>
      </c>
      <c r="C78" s="1124"/>
      <c r="D78" s="1125" t="s">
        <v>7170</v>
      </c>
      <c r="E78" s="1124"/>
      <c r="F78" s="1125"/>
      <c r="G78" s="1124"/>
      <c r="H78" s="1125"/>
    </row>
    <row r="79" spans="2:8" ht="30" customHeight="1">
      <c r="B79" s="1125" t="s">
        <v>219</v>
      </c>
      <c r="C79" s="1124"/>
      <c r="D79" s="1125" t="s">
        <v>147</v>
      </c>
      <c r="E79" s="1124"/>
      <c r="F79" s="1125"/>
      <c r="G79" s="1124"/>
      <c r="H79" s="1125"/>
    </row>
    <row r="80" spans="2:8" ht="30" customHeight="1">
      <c r="B80" s="1125" t="s">
        <v>221</v>
      </c>
      <c r="C80" s="1124"/>
      <c r="D80" s="1125" t="s">
        <v>7283</v>
      </c>
      <c r="E80" s="1124"/>
      <c r="F80" s="1125"/>
      <c r="G80" s="1124"/>
      <c r="H80" s="1125"/>
    </row>
    <row r="81" spans="2:8" ht="30" customHeight="1">
      <c r="B81" s="1125" t="s">
        <v>222</v>
      </c>
      <c r="C81" s="1124"/>
      <c r="D81" s="1125" t="s">
        <v>208</v>
      </c>
      <c r="E81" s="1124"/>
      <c r="F81" s="1125"/>
      <c r="G81" s="1124"/>
      <c r="H81" s="1125"/>
    </row>
    <row r="82" spans="2:8" ht="30" customHeight="1">
      <c r="B82" s="1125" t="s">
        <v>223</v>
      </c>
      <c r="C82" s="1124"/>
      <c r="D82" s="1125" t="s">
        <v>124</v>
      </c>
      <c r="E82" s="1124"/>
      <c r="F82" s="1125"/>
      <c r="G82" s="1124"/>
      <c r="H82" s="1125"/>
    </row>
    <row r="83" spans="2:8" ht="30" customHeight="1">
      <c r="B83" s="1125" t="s">
        <v>224</v>
      </c>
      <c r="C83" s="1124"/>
      <c r="D83" s="1125" t="s">
        <v>140</v>
      </c>
      <c r="E83" s="1124"/>
      <c r="F83" s="1125"/>
      <c r="G83" s="1124"/>
      <c r="H83" s="1125"/>
    </row>
    <row r="84" spans="2:8" ht="30" customHeight="1">
      <c r="B84" s="1125" t="s">
        <v>7090</v>
      </c>
      <c r="C84" s="1124"/>
      <c r="D84" s="1125" t="s">
        <v>7286</v>
      </c>
      <c r="E84" s="1124"/>
      <c r="F84" s="1125"/>
      <c r="G84" s="1124"/>
      <c r="H84" s="1125"/>
    </row>
    <row r="85" spans="2:8" ht="30" customHeight="1">
      <c r="B85" s="1125" t="s">
        <v>225</v>
      </c>
      <c r="C85" s="1124"/>
      <c r="D85" s="1125" t="s">
        <v>137</v>
      </c>
      <c r="E85" s="1124"/>
      <c r="F85" s="1125"/>
      <c r="G85" s="1124"/>
      <c r="H85" s="1125"/>
    </row>
    <row r="86" spans="2:8" ht="30" customHeight="1">
      <c r="B86" s="1125" t="s">
        <v>142</v>
      </c>
      <c r="C86" s="1124"/>
      <c r="D86" s="1125" t="s">
        <v>175</v>
      </c>
      <c r="E86" s="1124"/>
      <c r="F86" s="1125"/>
      <c r="G86" s="1124"/>
      <c r="H86" s="1125"/>
    </row>
    <row r="87" spans="2:8" ht="30" customHeight="1">
      <c r="B87" s="1125" t="s">
        <v>29</v>
      </c>
      <c r="C87" s="1124"/>
      <c r="D87" s="1125" t="s">
        <v>21</v>
      </c>
      <c r="E87" s="1124"/>
      <c r="F87" s="1125"/>
      <c r="G87" s="1124"/>
      <c r="H87" s="1125"/>
    </row>
    <row r="88" spans="2:8" ht="30" customHeight="1">
      <c r="B88" s="1125" t="s">
        <v>7098</v>
      </c>
      <c r="C88" s="1124"/>
      <c r="D88" s="1125" t="s">
        <v>7257</v>
      </c>
      <c r="E88" s="1124"/>
      <c r="F88" s="1125"/>
      <c r="G88" s="1124"/>
      <c r="H88" s="1125"/>
    </row>
    <row r="89" spans="2:8" ht="30" customHeight="1">
      <c r="B89" s="1125" t="s">
        <v>7099</v>
      </c>
      <c r="C89" s="1124"/>
      <c r="D89" s="1125" t="s">
        <v>7068</v>
      </c>
      <c r="E89" s="1124"/>
      <c r="F89" s="1125"/>
      <c r="G89" s="1124"/>
      <c r="H89" s="1125"/>
    </row>
    <row r="90" spans="2:8" ht="30" customHeight="1">
      <c r="B90" s="1125" t="s">
        <v>7100</v>
      </c>
      <c r="C90" s="1124"/>
      <c r="D90" s="1125" t="s">
        <v>7101</v>
      </c>
      <c r="E90" s="1124"/>
      <c r="F90" s="1125"/>
      <c r="G90" s="1124"/>
      <c r="H90" s="1125"/>
    </row>
    <row r="91" spans="2:8" ht="30" customHeight="1">
      <c r="B91" s="1125" t="s">
        <v>7101</v>
      </c>
      <c r="C91" s="1124"/>
      <c r="D91" s="1125" t="s">
        <v>7069</v>
      </c>
      <c r="E91" s="1124"/>
      <c r="F91" s="1125"/>
      <c r="G91" s="1124"/>
      <c r="H91" s="1125"/>
    </row>
    <row r="92" spans="2:8" ht="30" customHeight="1">
      <c r="B92" s="1125" t="s">
        <v>183</v>
      </c>
      <c r="C92" s="1124"/>
      <c r="D92" s="1125" t="s">
        <v>7259</v>
      </c>
      <c r="E92" s="1124"/>
      <c r="F92" s="1125"/>
      <c r="G92" s="1124"/>
      <c r="H92" s="1125"/>
    </row>
    <row r="93" spans="2:8" ht="30" customHeight="1">
      <c r="B93" s="1125" t="s">
        <v>198</v>
      </c>
      <c r="C93" s="1124"/>
      <c r="D93" s="1125" t="s">
        <v>7071</v>
      </c>
      <c r="E93" s="1124"/>
      <c r="F93" s="1125"/>
      <c r="G93" s="1124"/>
      <c r="H93" s="1125"/>
    </row>
    <row r="94" spans="2:8" ht="30" customHeight="1">
      <c r="B94" s="1125" t="s">
        <v>187</v>
      </c>
      <c r="C94" s="1124"/>
      <c r="D94" s="1125" t="s">
        <v>7072</v>
      </c>
      <c r="E94" s="1124"/>
      <c r="F94" s="1125"/>
      <c r="G94" s="1124"/>
      <c r="H94" s="1125"/>
    </row>
    <row r="95" spans="2:8" ht="30" customHeight="1">
      <c r="B95" s="1125" t="s">
        <v>66</v>
      </c>
      <c r="C95" s="1124"/>
      <c r="D95" s="1125" t="s">
        <v>7262</v>
      </c>
      <c r="E95" s="1124"/>
      <c r="F95" s="1125"/>
      <c r="G95" s="1124"/>
      <c r="H95" s="1125"/>
    </row>
    <row r="96" spans="2:8" ht="30" customHeight="1">
      <c r="B96" s="1125" t="s">
        <v>170</v>
      </c>
      <c r="C96" s="1124"/>
      <c r="D96" s="1125" t="s">
        <v>7167</v>
      </c>
      <c r="E96" s="1124"/>
      <c r="F96" s="1125"/>
      <c r="G96" s="1124"/>
      <c r="H96" s="1125"/>
    </row>
    <row r="97" spans="2:8" ht="30" customHeight="1">
      <c r="B97" s="1125" t="s">
        <v>313</v>
      </c>
      <c r="C97" s="1124"/>
      <c r="D97" s="1125" t="s">
        <v>7168</v>
      </c>
      <c r="E97" s="1124"/>
      <c r="F97" s="1125"/>
      <c r="G97" s="1124"/>
      <c r="H97" s="1125"/>
    </row>
    <row r="98" spans="2:8" ht="30" customHeight="1">
      <c r="B98" s="1125" t="s">
        <v>41</v>
      </c>
      <c r="C98" s="1124"/>
      <c r="D98" s="1125" t="s">
        <v>130</v>
      </c>
      <c r="E98" s="1124"/>
      <c r="F98" s="1125"/>
      <c r="G98" s="1124"/>
      <c r="H98" s="1125"/>
    </row>
    <row r="99" spans="2:8" ht="30" customHeight="1">
      <c r="B99" s="1125" t="s">
        <v>7104</v>
      </c>
      <c r="C99" s="1124"/>
      <c r="D99" s="1125" t="s">
        <v>7264</v>
      </c>
      <c r="E99" s="1124"/>
      <c r="F99" s="1125"/>
      <c r="G99" s="1124"/>
      <c r="H99" s="1125"/>
    </row>
    <row r="100" spans="2:8" ht="30" customHeight="1">
      <c r="B100" s="1125" t="s">
        <v>7105</v>
      </c>
      <c r="C100" s="1124"/>
      <c r="D100" s="1125" t="s">
        <v>125</v>
      </c>
      <c r="E100" s="1124"/>
      <c r="F100" s="1125"/>
      <c r="G100" s="1124"/>
      <c r="H100" s="1125"/>
    </row>
    <row r="101" spans="2:8" ht="30" customHeight="1">
      <c r="B101" s="1125" t="s">
        <v>54</v>
      </c>
      <c r="C101" s="1124"/>
      <c r="D101" s="1125" t="s">
        <v>7073</v>
      </c>
      <c r="E101" s="1124"/>
      <c r="F101" s="1125"/>
      <c r="G101" s="1124"/>
      <c r="H101" s="1125"/>
    </row>
    <row r="102" spans="2:8" ht="30" customHeight="1">
      <c r="B102" s="1125" t="s">
        <v>192</v>
      </c>
      <c r="C102" s="1124"/>
      <c r="D102" s="1125" t="s">
        <v>71</v>
      </c>
      <c r="E102" s="1124"/>
      <c r="F102" s="1125"/>
      <c r="G102" s="1124"/>
      <c r="H102" s="1125"/>
    </row>
    <row r="103" spans="2:8" ht="30" customHeight="1">
      <c r="B103" s="1125" t="s">
        <v>16</v>
      </c>
      <c r="C103" s="1124"/>
      <c r="D103" s="1125" t="s">
        <v>148</v>
      </c>
      <c r="E103" s="1124"/>
      <c r="F103" s="1125"/>
      <c r="G103" s="1124"/>
      <c r="H103" s="1125"/>
    </row>
    <row r="104" spans="2:8" ht="30" customHeight="1">
      <c r="B104" s="1125" t="s">
        <v>92</v>
      </c>
      <c r="C104" s="1124"/>
      <c r="D104" s="1125" t="s">
        <v>79</v>
      </c>
      <c r="E104" s="1124"/>
      <c r="F104" s="1125"/>
      <c r="G104" s="1124"/>
      <c r="H104" s="1125"/>
    </row>
    <row r="105" spans="2:8" ht="30" customHeight="1">
      <c r="B105" s="1125" t="s">
        <v>208</v>
      </c>
      <c r="C105" s="1124"/>
      <c r="D105" s="1125" t="s">
        <v>7074</v>
      </c>
      <c r="E105" s="1124"/>
      <c r="F105" s="1125"/>
      <c r="G105" s="1124"/>
      <c r="H105" s="1125"/>
    </row>
    <row r="106" spans="2:8" ht="30" customHeight="1">
      <c r="B106" s="1125" t="s">
        <v>159</v>
      </c>
      <c r="C106" s="1124"/>
      <c r="D106" s="1125" t="s">
        <v>7075</v>
      </c>
      <c r="E106" s="1124"/>
      <c r="F106" s="1125"/>
      <c r="G106" s="1124"/>
      <c r="H106" s="1125"/>
    </row>
    <row r="107" spans="2:8" ht="30" customHeight="1">
      <c r="B107" s="1125" t="s">
        <v>164</v>
      </c>
      <c r="C107" s="1124"/>
      <c r="D107" s="1125" t="s">
        <v>7268</v>
      </c>
      <c r="E107" s="1124"/>
      <c r="F107" s="1125"/>
      <c r="G107" s="1124"/>
      <c r="H107" s="1125"/>
    </row>
    <row r="108" spans="2:8" ht="30" customHeight="1">
      <c r="B108" s="1125" t="s">
        <v>131</v>
      </c>
      <c r="C108" s="1124"/>
      <c r="D108" s="1125" t="s">
        <v>85</v>
      </c>
      <c r="E108" s="1124"/>
      <c r="F108" s="1125"/>
      <c r="G108" s="1124"/>
      <c r="H108" s="1125"/>
    </row>
    <row r="109" spans="2:8" ht="30" customHeight="1">
      <c r="B109" s="1125" t="s">
        <v>202</v>
      </c>
      <c r="C109" s="1124"/>
      <c r="D109" s="1125" t="s">
        <v>59</v>
      </c>
      <c r="E109" s="1124"/>
      <c r="F109" s="1125"/>
      <c r="G109" s="1124"/>
      <c r="H109" s="1125"/>
    </row>
    <row r="110" spans="2:8" ht="30" customHeight="1">
      <c r="B110" s="1125" t="s">
        <v>80</v>
      </c>
      <c r="C110" s="1124"/>
      <c r="D110" s="1125" t="s">
        <v>7170</v>
      </c>
      <c r="E110" s="1124"/>
      <c r="F110" s="1125"/>
      <c r="G110" s="1124"/>
      <c r="H110" s="1125"/>
    </row>
    <row r="111" spans="2:8" ht="30" customHeight="1">
      <c r="B111" s="1125" t="s">
        <v>118</v>
      </c>
      <c r="C111" s="1124"/>
      <c r="D111" s="1125" t="s">
        <v>7270</v>
      </c>
      <c r="E111" s="1124"/>
      <c r="F111" s="1125"/>
      <c r="G111" s="1124"/>
      <c r="H111" s="1125"/>
    </row>
    <row r="112" spans="2:8" ht="30" customHeight="1">
      <c r="B112" s="1125" t="s">
        <v>194</v>
      </c>
      <c r="C112" s="1124"/>
      <c r="D112" s="1125" t="s">
        <v>111</v>
      </c>
      <c r="E112" s="1124"/>
      <c r="F112" s="1125"/>
      <c r="G112" s="1124"/>
      <c r="H112" s="1125"/>
    </row>
    <row r="113" spans="2:8" ht="30" customHeight="1">
      <c r="B113" s="1125" t="s">
        <v>178</v>
      </c>
      <c r="C113" s="1124"/>
      <c r="D113" s="1125" t="s">
        <v>7282</v>
      </c>
      <c r="E113" s="1124"/>
      <c r="F113" s="1125"/>
      <c r="G113" s="1124"/>
      <c r="H113" s="1125"/>
    </row>
    <row r="114" spans="2:8" ht="30" customHeight="1">
      <c r="B114" s="1125" t="s">
        <v>704</v>
      </c>
      <c r="C114" s="1124"/>
      <c r="D114" s="1125" t="s">
        <v>147</v>
      </c>
      <c r="E114" s="1124"/>
      <c r="F114" s="1125"/>
      <c r="G114" s="1124"/>
      <c r="H114" s="1125"/>
    </row>
    <row r="115" spans="2:8" ht="30" customHeight="1">
      <c r="B115" s="1125" t="s">
        <v>189</v>
      </c>
      <c r="C115" s="1124"/>
      <c r="D115" s="1125" t="s">
        <v>7283</v>
      </c>
      <c r="E115" s="1124"/>
      <c r="F115" s="1125"/>
      <c r="G115" s="1124"/>
      <c r="H115" s="1125"/>
    </row>
    <row r="116" spans="2:8" ht="30" customHeight="1">
      <c r="B116" s="1125" t="s">
        <v>151</v>
      </c>
      <c r="C116" s="1124"/>
      <c r="D116" s="1125" t="s">
        <v>208</v>
      </c>
      <c r="E116" s="1124"/>
      <c r="F116" s="1125"/>
      <c r="G116" s="1124"/>
      <c r="H116" s="1125"/>
    </row>
    <row r="117" spans="2:8" ht="30" customHeight="1">
      <c r="B117" s="1125" t="s">
        <v>322</v>
      </c>
      <c r="C117" s="1124"/>
      <c r="D117" s="1125" t="s">
        <v>181</v>
      </c>
      <c r="E117" s="1124"/>
      <c r="F117" s="1125"/>
      <c r="G117" s="1124"/>
      <c r="H117" s="1125"/>
    </row>
    <row r="118" spans="2:8" ht="30" customHeight="1">
      <c r="B118" s="1125" t="s">
        <v>167</v>
      </c>
      <c r="C118" s="1124"/>
      <c r="D118" s="1125" t="s">
        <v>124</v>
      </c>
      <c r="E118" s="1124"/>
      <c r="F118" s="1125"/>
      <c r="G118" s="1124"/>
      <c r="H118" s="1125"/>
    </row>
    <row r="119" spans="2:8" ht="30" customHeight="1">
      <c r="B119" s="1125" t="s">
        <v>696</v>
      </c>
      <c r="C119" s="1124"/>
      <c r="D119" s="1125" t="s">
        <v>140</v>
      </c>
      <c r="E119" s="1124"/>
      <c r="F119" s="1125"/>
      <c r="G119" s="1124"/>
      <c r="H119" s="1125"/>
    </row>
    <row r="120" spans="2:8" ht="30" customHeight="1">
      <c r="B120" s="1125" t="s">
        <v>697</v>
      </c>
      <c r="C120" s="1124"/>
      <c r="D120" s="1125" t="s">
        <v>7084</v>
      </c>
      <c r="E120" s="1124"/>
      <c r="F120" s="1125"/>
      <c r="G120" s="1124"/>
      <c r="H120" s="1125"/>
    </row>
    <row r="121" spans="2:8" ht="30" customHeight="1">
      <c r="B121" s="1125" t="s">
        <v>695</v>
      </c>
      <c r="C121" s="1124"/>
      <c r="D121" s="1125" t="s">
        <v>137</v>
      </c>
      <c r="E121" s="1124"/>
      <c r="F121" s="1125"/>
      <c r="G121" s="1124"/>
      <c r="H121" s="1125"/>
    </row>
    <row r="122" spans="2:8" ht="30" customHeight="1">
      <c r="B122" s="1125" t="s">
        <v>325</v>
      </c>
      <c r="C122" s="1124"/>
      <c r="D122" s="1125" t="s">
        <v>175</v>
      </c>
      <c r="E122" s="1124"/>
      <c r="F122" s="1125"/>
      <c r="G122" s="1124"/>
      <c r="H122" s="1125"/>
    </row>
    <row r="123" spans="2:8" ht="30" customHeight="1">
      <c r="B123" s="1125" t="s">
        <v>110</v>
      </c>
      <c r="C123" s="1124"/>
      <c r="D123" s="1125" t="s">
        <v>7180</v>
      </c>
      <c r="E123" s="1124"/>
      <c r="F123" s="1125"/>
      <c r="G123" s="1124"/>
      <c r="H123" s="1125"/>
    </row>
    <row r="124" spans="2:8" ht="30" customHeight="1">
      <c r="B124" s="1125" t="s">
        <v>96</v>
      </c>
      <c r="C124" s="1124"/>
      <c r="D124" s="1125" t="s">
        <v>7304</v>
      </c>
      <c r="E124" s="1124"/>
      <c r="F124" s="1125"/>
      <c r="G124" s="1124"/>
      <c r="H124" s="1125"/>
    </row>
    <row r="125" spans="2:8" ht="30" customHeight="1">
      <c r="B125" s="1125" t="s">
        <v>161</v>
      </c>
      <c r="C125" s="1124"/>
      <c r="D125" s="1125" t="s">
        <v>7314</v>
      </c>
      <c r="E125" s="1124"/>
      <c r="F125" s="1125"/>
      <c r="G125" s="1124"/>
      <c r="H125" s="1125"/>
    </row>
    <row r="126" spans="2:8" ht="30" customHeight="1">
      <c r="B126" s="1125" t="s">
        <v>698</v>
      </c>
      <c r="C126" s="1124"/>
      <c r="D126" s="1125" t="s">
        <v>7316</v>
      </c>
      <c r="E126" s="1124"/>
      <c r="F126" s="1125"/>
      <c r="G126" s="1124"/>
      <c r="H126" s="1125"/>
    </row>
    <row r="127" spans="2:8" ht="30" customHeight="1">
      <c r="B127" s="1125" t="s">
        <v>180</v>
      </c>
      <c r="C127" s="1124"/>
      <c r="D127" s="1125" t="s">
        <v>693</v>
      </c>
      <c r="E127" s="1124"/>
      <c r="F127" s="1125"/>
      <c r="G127" s="1124"/>
      <c r="H127" s="1125"/>
    </row>
    <row r="128" spans="2:8" ht="30" customHeight="1">
      <c r="B128" s="1125" t="s">
        <v>328</v>
      </c>
      <c r="C128" s="1124"/>
      <c r="D128" s="1125" t="s">
        <v>694</v>
      </c>
      <c r="E128" s="1124"/>
      <c r="F128" s="1125"/>
      <c r="G128" s="1124"/>
      <c r="H128" s="1125"/>
    </row>
    <row r="129" spans="2:8" ht="30" customHeight="1">
      <c r="B129" s="1125" t="s">
        <v>176</v>
      </c>
      <c r="C129" s="1124"/>
      <c r="D129" s="1125" t="s">
        <v>7295</v>
      </c>
      <c r="E129" s="1124"/>
      <c r="F129" s="1125"/>
      <c r="G129" s="1124"/>
      <c r="H129" s="1125"/>
    </row>
    <row r="130" spans="2:8" ht="30" customHeight="1">
      <c r="B130" s="1125" t="s">
        <v>699</v>
      </c>
      <c r="C130" s="1124"/>
      <c r="D130" s="1125" t="s">
        <v>7298</v>
      </c>
      <c r="E130" s="1124"/>
      <c r="F130" s="1125"/>
      <c r="G130" s="1124"/>
      <c r="H130" s="1125"/>
    </row>
    <row r="131" spans="2:8" ht="30" customHeight="1">
      <c r="B131" s="1125" t="s">
        <v>84</v>
      </c>
      <c r="C131" s="1124"/>
      <c r="D131" s="1125" t="s">
        <v>7299</v>
      </c>
      <c r="E131" s="1124"/>
      <c r="F131" s="1125"/>
      <c r="G131" s="1124"/>
      <c r="H131" s="1125"/>
    </row>
    <row r="132" spans="2:8" ht="30" customHeight="1">
      <c r="B132" s="1125" t="s">
        <v>70</v>
      </c>
      <c r="C132" s="1124"/>
      <c r="D132" s="1125" t="s">
        <v>7300</v>
      </c>
      <c r="E132" s="1124"/>
      <c r="F132" s="1125"/>
      <c r="G132" s="1124"/>
      <c r="H132" s="1125"/>
    </row>
    <row r="133" spans="2:8" ht="30" customHeight="1">
      <c r="B133" s="1125" t="s">
        <v>23</v>
      </c>
      <c r="C133" s="1124"/>
      <c r="D133" s="1125" t="s">
        <v>7301</v>
      </c>
      <c r="E133" s="1124"/>
      <c r="F133" s="1125"/>
      <c r="G133" s="1124"/>
      <c r="H133" s="1125"/>
    </row>
    <row r="134" spans="2:8" ht="30" customHeight="1">
      <c r="B134" s="1125" t="s">
        <v>58</v>
      </c>
      <c r="C134" s="1124"/>
      <c r="D134" s="1125" t="s">
        <v>7303</v>
      </c>
      <c r="E134" s="1124"/>
      <c r="F134" s="1125"/>
      <c r="G134" s="1124"/>
      <c r="H134" s="1125"/>
    </row>
    <row r="135" spans="2:8" ht="30" customHeight="1">
      <c r="B135" s="1125" t="s">
        <v>47</v>
      </c>
      <c r="C135" s="1124"/>
      <c r="D135" s="1125" t="s">
        <v>7319</v>
      </c>
      <c r="E135" s="1124"/>
      <c r="F135" s="1125"/>
      <c r="G135" s="1124"/>
      <c r="H135" s="1125"/>
    </row>
    <row r="136" spans="2:8" ht="30" customHeight="1">
      <c r="B136" s="1125" t="s">
        <v>156</v>
      </c>
      <c r="C136" s="1124"/>
      <c r="D136" s="1125"/>
      <c r="E136" s="1124"/>
      <c r="F136" s="1125"/>
      <c r="G136" s="1124"/>
      <c r="H136" s="1125"/>
    </row>
    <row r="137" spans="2:8" ht="30" customHeight="1">
      <c r="B137" s="1125" t="s">
        <v>33</v>
      </c>
      <c r="C137" s="1124"/>
      <c r="D137" s="1125"/>
      <c r="E137" s="1124"/>
      <c r="F137" s="1125"/>
      <c r="G137" s="1124"/>
      <c r="H137" s="1125"/>
    </row>
    <row r="138" spans="2:8" ht="30" customHeight="1">
      <c r="B138" s="1125" t="s">
        <v>185</v>
      </c>
      <c r="C138" s="1124"/>
      <c r="D138" s="1125"/>
      <c r="E138" s="1124"/>
      <c r="F138" s="1125"/>
      <c r="G138" s="1124"/>
      <c r="H138" s="1125"/>
    </row>
    <row r="139" spans="2:8" ht="30" customHeight="1">
      <c r="B139" s="1125" t="s">
        <v>331</v>
      </c>
      <c r="C139" s="1124"/>
      <c r="D139" s="1125"/>
      <c r="E139" s="1124"/>
      <c r="F139" s="1125"/>
      <c r="G139" s="1124"/>
      <c r="H139" s="1125"/>
    </row>
    <row r="140" spans="2:8" ht="30" customHeight="1">
      <c r="B140" s="1125" t="s">
        <v>146</v>
      </c>
      <c r="C140" s="1124"/>
      <c r="D140" s="1125"/>
      <c r="E140" s="1124"/>
      <c r="F140" s="1125"/>
      <c r="G140" s="1124"/>
      <c r="H140" s="1125"/>
    </row>
    <row r="141" spans="2:8" ht="30" customHeight="1">
      <c r="B141" s="1125" t="s">
        <v>123</v>
      </c>
      <c r="C141" s="1124"/>
      <c r="D141" s="1125"/>
      <c r="E141" s="1124"/>
      <c r="F141" s="1125"/>
      <c r="G141" s="1124"/>
      <c r="H141" s="1125"/>
    </row>
    <row r="142" spans="2:8" ht="30" customHeight="1">
      <c r="B142" s="1125" t="s">
        <v>136</v>
      </c>
      <c r="C142" s="1124"/>
      <c r="D142" s="1125"/>
      <c r="E142" s="1124"/>
      <c r="F142" s="1125"/>
      <c r="G142" s="1124"/>
      <c r="H142" s="1125"/>
    </row>
    <row r="143" spans="2:8" ht="30" customHeight="1">
      <c r="B143" s="1125" t="s">
        <v>172</v>
      </c>
      <c r="C143" s="1124"/>
      <c r="D143" s="1125"/>
      <c r="E143" s="1124"/>
      <c r="F143" s="1125"/>
      <c r="G143" s="1124"/>
      <c r="H143" s="1125"/>
    </row>
    <row r="144" spans="2:8" ht="30" customHeight="1">
      <c r="B144" s="1125" t="s">
        <v>38</v>
      </c>
      <c r="C144" s="1124"/>
      <c r="D144" s="1125"/>
      <c r="E144" s="1124"/>
      <c r="F144" s="1125"/>
      <c r="G144" s="1124"/>
      <c r="H144" s="1125"/>
    </row>
    <row r="145" spans="2:8" ht="30" customHeight="1">
      <c r="B145" s="1125" t="s">
        <v>7129</v>
      </c>
      <c r="C145" s="1124"/>
      <c r="D145" s="1125"/>
      <c r="E145" s="1124"/>
      <c r="F145" s="1125"/>
      <c r="G145" s="1124"/>
      <c r="H145" s="1125"/>
    </row>
    <row r="146" spans="2:8" ht="30" customHeight="1">
      <c r="B146" s="1125" t="s">
        <v>64</v>
      </c>
      <c r="C146" s="1124"/>
      <c r="D146" s="1125"/>
      <c r="E146" s="1124"/>
      <c r="F146" s="1125"/>
      <c r="G146" s="1124"/>
      <c r="H146" s="1125"/>
    </row>
    <row r="147" spans="2:8" ht="30" customHeight="1">
      <c r="B147" s="1125" t="s">
        <v>51</v>
      </c>
      <c r="C147" s="1124"/>
      <c r="D147" s="1125"/>
      <c r="E147" s="1124"/>
      <c r="F147" s="1125"/>
      <c r="G147" s="1124"/>
      <c r="H147" s="1125"/>
    </row>
    <row r="148" spans="2:8" ht="30" customHeight="1">
      <c r="B148" s="1125" t="s">
        <v>5</v>
      </c>
      <c r="C148" s="1124"/>
      <c r="D148" s="1125"/>
      <c r="E148" s="1124"/>
      <c r="F148" s="1125"/>
      <c r="G148" s="1124"/>
      <c r="H148" s="1125"/>
    </row>
    <row r="149" spans="2:8" ht="30" customHeight="1">
      <c r="B149" s="1125" t="s">
        <v>77</v>
      </c>
      <c r="C149" s="1124"/>
      <c r="D149" s="1125"/>
      <c r="E149" s="1124"/>
      <c r="F149" s="1125"/>
      <c r="G149" s="1124"/>
      <c r="H149" s="1125"/>
    </row>
    <row r="150" spans="2:8" ht="30" customHeight="1">
      <c r="B150" s="1125" t="s">
        <v>89</v>
      </c>
      <c r="C150" s="1124"/>
      <c r="D150" s="1125"/>
      <c r="E150" s="1124"/>
      <c r="F150" s="1125"/>
      <c r="G150" s="1124"/>
      <c r="H150" s="1125"/>
    </row>
    <row r="151" spans="2:8" ht="30" customHeight="1">
      <c r="B151" s="1125" t="s">
        <v>116</v>
      </c>
      <c r="C151" s="1124"/>
      <c r="D151" s="1125"/>
      <c r="E151" s="1124"/>
      <c r="F151" s="1125"/>
      <c r="G151" s="1124"/>
      <c r="H151" s="1125"/>
    </row>
    <row r="152" spans="2:8" ht="30" customHeight="1">
      <c r="B152" s="1125" t="s">
        <v>102</v>
      </c>
      <c r="C152" s="1124"/>
      <c r="D152" s="1125"/>
      <c r="E152" s="1124"/>
      <c r="F152" s="1125"/>
      <c r="G152" s="1124"/>
      <c r="H152" s="1125"/>
    </row>
    <row r="153" spans="2:8" ht="30" customHeight="1">
      <c r="B153" s="1125" t="s">
        <v>691</v>
      </c>
      <c r="C153" s="1124"/>
      <c r="D153" s="1125"/>
      <c r="E153" s="1124"/>
      <c r="F153" s="1125"/>
      <c r="G153" s="1124"/>
      <c r="H153" s="1125"/>
    </row>
    <row r="154" spans="2:8" ht="30" customHeight="1">
      <c r="B154" s="1125" t="s">
        <v>173</v>
      </c>
      <c r="C154" s="1124"/>
      <c r="D154" s="1125"/>
      <c r="E154" s="1124"/>
      <c r="F154" s="1125"/>
      <c r="G154" s="1124"/>
      <c r="H154" s="1125"/>
    </row>
    <row r="155" spans="2:8" ht="30" customHeight="1">
      <c r="B155" s="1125" t="s">
        <v>177</v>
      </c>
      <c r="C155" s="1124"/>
      <c r="D155" s="1125"/>
      <c r="E155" s="1124"/>
      <c r="F155" s="1125"/>
      <c r="G155" s="1124"/>
      <c r="H155" s="1125"/>
    </row>
    <row r="156" spans="2:8" ht="30" customHeight="1">
      <c r="B156" s="1125" t="s">
        <v>692</v>
      </c>
      <c r="C156" s="1124"/>
      <c r="D156" s="1125"/>
      <c r="E156" s="1124"/>
      <c r="F156" s="1125"/>
      <c r="G156" s="1124"/>
      <c r="H156" s="1125"/>
    </row>
    <row r="157" spans="2:8" ht="30" customHeight="1">
      <c r="B157" s="1125" t="s">
        <v>129</v>
      </c>
      <c r="C157" s="1124"/>
      <c r="D157" s="1125"/>
      <c r="E157" s="1124"/>
      <c r="F157" s="1125"/>
      <c r="G157" s="1124"/>
      <c r="H157" s="1125"/>
    </row>
    <row r="158" spans="2:8" ht="30" customHeight="1">
      <c r="B158" s="1125" t="s">
        <v>138</v>
      </c>
      <c r="C158" s="1124"/>
      <c r="D158" s="1125"/>
      <c r="E158" s="1124"/>
      <c r="F158" s="1125"/>
      <c r="G158" s="1124"/>
      <c r="H158" s="1125"/>
    </row>
    <row r="159" spans="2:8" ht="30" customHeight="1">
      <c r="B159" s="1125" t="s">
        <v>204</v>
      </c>
      <c r="C159" s="1124"/>
      <c r="D159" s="1125"/>
      <c r="E159" s="1124"/>
      <c r="F159" s="1125"/>
      <c r="G159" s="1124"/>
      <c r="H159" s="1125"/>
    </row>
    <row r="160" spans="2:8" ht="30" customHeight="1">
      <c r="B160" s="1125" t="s">
        <v>207</v>
      </c>
      <c r="C160" s="1124"/>
      <c r="D160" s="1125"/>
      <c r="E160" s="1124"/>
      <c r="F160" s="1125"/>
      <c r="G160" s="1124"/>
      <c r="H160" s="1125"/>
    </row>
    <row r="161" spans="2:8" ht="30" customHeight="1">
      <c r="B161" s="1125" t="s">
        <v>182</v>
      </c>
      <c r="C161" s="1124"/>
      <c r="D161" s="1125"/>
      <c r="E161" s="1124"/>
      <c r="F161" s="1125"/>
      <c r="G161" s="1124"/>
      <c r="H161" s="1125"/>
    </row>
    <row r="162" spans="2:8" ht="30" customHeight="1">
      <c r="B162" s="1125" t="s">
        <v>186</v>
      </c>
      <c r="C162" s="1124"/>
      <c r="D162" s="1125"/>
      <c r="E162" s="1124"/>
      <c r="F162" s="1125"/>
      <c r="G162" s="1124"/>
      <c r="H162" s="1125"/>
    </row>
    <row r="163" spans="2:8" ht="30" customHeight="1">
      <c r="B163" s="1125" t="s">
        <v>162</v>
      </c>
      <c r="C163" s="1124"/>
      <c r="D163" s="1125"/>
      <c r="E163" s="1124"/>
      <c r="F163" s="1125"/>
      <c r="G163" s="1124"/>
      <c r="H163" s="1125"/>
    </row>
    <row r="164" spans="2:8" ht="30" customHeight="1">
      <c r="B164" s="1125" t="s">
        <v>168</v>
      </c>
      <c r="C164" s="1124"/>
      <c r="D164" s="1125"/>
      <c r="E164" s="1124"/>
      <c r="F164" s="1125"/>
      <c r="G164" s="1124"/>
      <c r="H164" s="1125"/>
    </row>
    <row r="165" spans="2:8" ht="30" customHeight="1">
      <c r="B165" s="1125" t="s">
        <v>7131</v>
      </c>
      <c r="C165" s="1124"/>
      <c r="D165" s="1125"/>
      <c r="E165" s="1124"/>
      <c r="F165" s="1125"/>
      <c r="G165" s="1124"/>
      <c r="H165" s="1125"/>
    </row>
    <row r="166" spans="2:8" ht="30" customHeight="1">
      <c r="B166" s="1125" t="s">
        <v>78</v>
      </c>
      <c r="C166" s="1124"/>
      <c r="D166" s="1125"/>
      <c r="E166" s="1124"/>
      <c r="F166" s="1125"/>
      <c r="G166" s="1124"/>
      <c r="H166" s="1125"/>
    </row>
    <row r="167" spans="2:8" ht="30" customHeight="1">
      <c r="B167" s="1125" t="s">
        <v>90</v>
      </c>
      <c r="C167" s="1124"/>
      <c r="D167" s="1125"/>
      <c r="E167" s="1124"/>
      <c r="F167" s="1125"/>
      <c r="G167" s="1124"/>
      <c r="H167" s="1125"/>
    </row>
    <row r="168" spans="2:8" ht="30" customHeight="1">
      <c r="B168" s="1125" t="s">
        <v>27</v>
      </c>
      <c r="C168" s="1124"/>
      <c r="D168" s="1125"/>
      <c r="E168" s="1124"/>
      <c r="F168" s="1125"/>
      <c r="G168" s="1124"/>
      <c r="H168" s="1125"/>
    </row>
    <row r="169" spans="2:8" ht="30" customHeight="1">
      <c r="B169" s="1125" t="s">
        <v>6</v>
      </c>
      <c r="C169" s="1124"/>
      <c r="D169" s="1125"/>
      <c r="E169" s="1124"/>
      <c r="F169" s="1125"/>
      <c r="G169" s="1124"/>
      <c r="H169" s="1125"/>
    </row>
    <row r="170" spans="2:8" ht="30" customHeight="1">
      <c r="B170" s="1125" t="s">
        <v>7132</v>
      </c>
      <c r="C170" s="1124"/>
      <c r="D170" s="1125"/>
      <c r="E170" s="1124"/>
      <c r="F170" s="1125"/>
      <c r="G170" s="1124"/>
      <c r="H170" s="1125"/>
    </row>
    <row r="171" spans="2:8" ht="30" customHeight="1">
      <c r="B171" s="1125" t="s">
        <v>52</v>
      </c>
      <c r="C171" s="1124"/>
      <c r="D171" s="1125"/>
      <c r="E171" s="1124"/>
      <c r="F171" s="1125"/>
      <c r="G171" s="1124"/>
      <c r="H171" s="1125"/>
    </row>
    <row r="172" spans="2:8" ht="30" customHeight="1">
      <c r="B172" s="1125" t="s">
        <v>65</v>
      </c>
      <c r="C172" s="1124"/>
      <c r="D172" s="1125"/>
      <c r="E172" s="1124"/>
      <c r="F172" s="1125"/>
      <c r="G172" s="1124"/>
      <c r="H172" s="1125"/>
    </row>
    <row r="173" spans="2:8" ht="30" customHeight="1">
      <c r="B173" s="1125" t="s">
        <v>28</v>
      </c>
      <c r="C173" s="1124"/>
      <c r="D173" s="1125"/>
      <c r="E173" s="1124"/>
      <c r="F173" s="1125"/>
      <c r="G173" s="1124"/>
      <c r="H173" s="1125"/>
    </row>
    <row r="174" spans="2:8" ht="30" customHeight="1">
      <c r="B174" s="1125" t="s">
        <v>39</v>
      </c>
      <c r="C174" s="1124"/>
      <c r="D174" s="1125"/>
      <c r="E174" s="1124"/>
      <c r="F174" s="1125"/>
      <c r="G174" s="1124"/>
      <c r="H174" s="1125"/>
    </row>
    <row r="175" spans="2:8" ht="30" customHeight="1">
      <c r="B175" s="1125" t="s">
        <v>201</v>
      </c>
      <c r="C175" s="1124"/>
      <c r="D175" s="1125"/>
      <c r="E175" s="1124"/>
      <c r="F175" s="1125"/>
      <c r="G175" s="1124"/>
      <c r="H175" s="1125"/>
    </row>
    <row r="176" spans="2:8" ht="30" customHeight="1">
      <c r="B176" s="1125" t="s">
        <v>103</v>
      </c>
      <c r="C176" s="1124"/>
      <c r="D176" s="1125"/>
      <c r="E176" s="1124"/>
      <c r="F176" s="1125"/>
      <c r="G176" s="1124"/>
      <c r="H176" s="1125"/>
    </row>
    <row r="177" spans="2:8" ht="30" customHeight="1">
      <c r="B177" s="1125" t="s">
        <v>117</v>
      </c>
      <c r="C177" s="1124"/>
      <c r="D177" s="1125"/>
      <c r="E177" s="1124"/>
      <c r="F177" s="1125"/>
      <c r="G177" s="1124"/>
      <c r="H177" s="1125"/>
    </row>
    <row r="178" spans="2:8" ht="30" customHeight="1">
      <c r="B178" s="1125" t="s">
        <v>361</v>
      </c>
      <c r="C178" s="1124"/>
      <c r="D178" s="1125"/>
      <c r="E178" s="1124"/>
      <c r="F178" s="1125"/>
      <c r="G178" s="1124"/>
      <c r="H178" s="1125"/>
    </row>
    <row r="179" spans="2:8" ht="30" customHeight="1">
      <c r="B179" s="1125" t="s">
        <v>193</v>
      </c>
      <c r="C179" s="1124"/>
      <c r="D179" s="1125"/>
      <c r="E179" s="1124"/>
      <c r="F179" s="1125"/>
      <c r="G179" s="1124"/>
      <c r="H179" s="1125"/>
    </row>
    <row r="180" spans="2:8" ht="30" customHeight="1">
      <c r="B180" s="1125" t="s">
        <v>197</v>
      </c>
      <c r="C180" s="1124"/>
      <c r="D180" s="1125"/>
      <c r="E180" s="1124"/>
      <c r="F180" s="1125"/>
      <c r="G180" s="1124"/>
      <c r="H180" s="1125"/>
    </row>
    <row r="181" spans="2:8" ht="30" customHeight="1">
      <c r="B181" s="1125" t="s">
        <v>149</v>
      </c>
      <c r="C181" s="1124"/>
      <c r="D181" s="1125"/>
      <c r="E181" s="1124"/>
      <c r="F181" s="1125"/>
      <c r="G181" s="1124"/>
      <c r="H181" s="1125"/>
    </row>
    <row r="182" spans="2:8" ht="30" customHeight="1">
      <c r="B182" s="1125" t="s">
        <v>157</v>
      </c>
      <c r="C182" s="1124"/>
      <c r="D182" s="1125"/>
      <c r="E182" s="1124"/>
      <c r="F182" s="1125"/>
      <c r="G182" s="1124"/>
      <c r="H182" s="1125"/>
    </row>
    <row r="183" spans="2:8" ht="30" customHeight="1">
      <c r="B183" s="1125" t="s">
        <v>210</v>
      </c>
      <c r="C183" s="1124"/>
      <c r="D183" s="1125"/>
      <c r="E183" s="1124"/>
      <c r="F183" s="1125"/>
      <c r="G183" s="1124"/>
      <c r="H183" s="1125"/>
    </row>
    <row r="184" spans="2:8" ht="30" customHeight="1">
      <c r="B184" s="1125" t="s">
        <v>188</v>
      </c>
      <c r="C184" s="1124"/>
      <c r="D184" s="1125"/>
      <c r="E184" s="1124"/>
      <c r="F184" s="1125"/>
      <c r="G184" s="1124"/>
      <c r="H184" s="1125"/>
    </row>
    <row r="185" spans="2:8" ht="30" customHeight="1">
      <c r="B185" s="1125" t="s">
        <v>191</v>
      </c>
      <c r="C185" s="1124"/>
      <c r="D185" s="1125"/>
      <c r="E185" s="1124"/>
      <c r="F185" s="1125"/>
      <c r="G185" s="1124"/>
      <c r="H185" s="1125"/>
    </row>
    <row r="186" spans="2:8" ht="30" customHeight="1">
      <c r="B186" s="1125" t="s">
        <v>61</v>
      </c>
      <c r="C186" s="1124"/>
      <c r="D186" s="1125"/>
      <c r="E186" s="1124"/>
      <c r="F186" s="1125"/>
      <c r="G186" s="1124"/>
      <c r="H186" s="1125"/>
    </row>
    <row r="187" spans="2:8" ht="30" customHeight="1">
      <c r="B187" s="1125" t="s">
        <v>36</v>
      </c>
      <c r="C187" s="1124"/>
      <c r="D187" s="1125"/>
      <c r="E187" s="1124"/>
      <c r="F187" s="1125"/>
      <c r="G187" s="1124"/>
      <c r="H187" s="1125"/>
    </row>
    <row r="188" spans="2:8" ht="30" customHeight="1">
      <c r="B188" s="1125" t="s">
        <v>48</v>
      </c>
      <c r="C188" s="1124"/>
      <c r="D188" s="1125"/>
      <c r="E188" s="1124"/>
      <c r="F188" s="1125"/>
      <c r="G188" s="1124"/>
      <c r="H188" s="1125"/>
    </row>
    <row r="189" spans="2:8" ht="30" customHeight="1">
      <c r="B189" s="1125" t="s">
        <v>87</v>
      </c>
      <c r="C189" s="1124"/>
      <c r="D189" s="1125"/>
      <c r="E189" s="1124"/>
      <c r="F189" s="1125"/>
      <c r="G189" s="1124"/>
      <c r="H189" s="1125"/>
    </row>
    <row r="190" spans="2:8" ht="30" customHeight="1">
      <c r="B190" s="1125" t="s">
        <v>25</v>
      </c>
      <c r="C190" s="1124"/>
      <c r="D190" s="1125"/>
      <c r="E190" s="1124"/>
      <c r="F190" s="1125"/>
      <c r="G190" s="1124"/>
      <c r="H190" s="1125"/>
    </row>
    <row r="191" spans="2:8" ht="30" customHeight="1">
      <c r="B191" s="1125" t="s">
        <v>74</v>
      </c>
      <c r="C191" s="1124"/>
      <c r="D191" s="1125"/>
      <c r="E191" s="1124"/>
      <c r="F191" s="1125"/>
      <c r="G191" s="1124"/>
      <c r="H191" s="1125"/>
    </row>
    <row r="192" spans="2:8" ht="30" customHeight="1">
      <c r="B192" s="1125" t="s">
        <v>120</v>
      </c>
      <c r="C192" s="1124"/>
      <c r="D192" s="1125"/>
      <c r="E192" s="1124"/>
      <c r="F192" s="1125"/>
      <c r="G192" s="1124"/>
      <c r="H192" s="1125"/>
    </row>
    <row r="193" spans="2:8" ht="30" customHeight="1">
      <c r="B193" s="1125" t="s">
        <v>44</v>
      </c>
      <c r="C193" s="1124"/>
      <c r="D193" s="1125"/>
      <c r="E193" s="1124"/>
      <c r="F193" s="1125"/>
      <c r="G193" s="1124"/>
      <c r="H193" s="1125"/>
    </row>
    <row r="194" spans="2:8" ht="30" customHeight="1">
      <c r="B194" s="1125" t="s">
        <v>56</v>
      </c>
      <c r="C194" s="1124"/>
      <c r="D194" s="1125"/>
      <c r="E194" s="1124"/>
      <c r="F194" s="1125"/>
      <c r="G194" s="1124"/>
      <c r="H194" s="1125"/>
    </row>
    <row r="195" spans="2:8" ht="30" customHeight="1">
      <c r="B195" s="1125" t="s">
        <v>68</v>
      </c>
      <c r="C195" s="1124"/>
      <c r="D195" s="1125"/>
      <c r="E195" s="1124"/>
      <c r="F195" s="1125"/>
      <c r="G195" s="1124"/>
      <c r="H195" s="1125"/>
    </row>
    <row r="196" spans="2:8" ht="30" customHeight="1">
      <c r="B196" s="1125" t="s">
        <v>82</v>
      </c>
      <c r="C196" s="1124"/>
      <c r="D196" s="1125"/>
      <c r="E196" s="1124"/>
      <c r="F196" s="1125"/>
      <c r="G196" s="1124"/>
      <c r="H196" s="1125"/>
    </row>
    <row r="197" spans="2:8" ht="30" customHeight="1">
      <c r="B197" s="1125" t="s">
        <v>18</v>
      </c>
      <c r="C197" s="1124"/>
      <c r="D197" s="1125"/>
      <c r="E197" s="1124"/>
      <c r="F197" s="1125"/>
      <c r="G197" s="1124"/>
      <c r="H197" s="1125"/>
    </row>
    <row r="198" spans="2:8" ht="30" customHeight="1">
      <c r="B198" s="1125" t="s">
        <v>7151</v>
      </c>
      <c r="C198" s="1124"/>
      <c r="D198" s="1125"/>
      <c r="E198" s="1124"/>
      <c r="F198" s="1125"/>
      <c r="G198" s="1124"/>
      <c r="H198" s="1125"/>
    </row>
    <row r="199" spans="2:8" ht="30" customHeight="1">
      <c r="B199" s="1125" t="s">
        <v>0</v>
      </c>
      <c r="C199" s="1124"/>
      <c r="D199" s="1125"/>
      <c r="E199" s="1124"/>
      <c r="F199" s="1125"/>
      <c r="G199" s="1124"/>
      <c r="H199" s="1125"/>
    </row>
    <row r="200" spans="2:8" ht="30" customHeight="1">
      <c r="B200" s="1125" t="s">
        <v>133</v>
      </c>
      <c r="C200" s="1124"/>
      <c r="D200" s="1125"/>
      <c r="E200" s="1124"/>
      <c r="F200" s="1125"/>
      <c r="G200" s="1124"/>
      <c r="H200" s="1125"/>
    </row>
    <row r="201" spans="2:8" ht="30" customHeight="1">
      <c r="B201" s="1125" t="s">
        <v>144</v>
      </c>
      <c r="C201" s="1124"/>
      <c r="D201" s="1125"/>
      <c r="E201" s="1124"/>
      <c r="F201" s="1125"/>
      <c r="G201" s="1124"/>
      <c r="H201" s="1125"/>
    </row>
    <row r="202" spans="2:8" ht="30" customHeight="1">
      <c r="B202" s="1125" t="s">
        <v>153</v>
      </c>
      <c r="C202" s="1124"/>
      <c r="D202" s="1125"/>
      <c r="E202" s="1124"/>
      <c r="F202" s="1125"/>
      <c r="G202" s="1124"/>
      <c r="H202" s="1125"/>
    </row>
    <row r="203" spans="2:8" ht="30" customHeight="1">
      <c r="B203" s="1125" t="s">
        <v>106</v>
      </c>
      <c r="C203" s="1124"/>
      <c r="D203" s="1125"/>
      <c r="E203" s="1124"/>
      <c r="F203" s="1125"/>
      <c r="G203" s="1124"/>
      <c r="H203" s="1125"/>
    </row>
    <row r="204" spans="2:8" ht="30" customHeight="1">
      <c r="B204" s="1125" t="s">
        <v>134</v>
      </c>
      <c r="C204" s="1124"/>
      <c r="D204" s="1125"/>
      <c r="E204" s="1124"/>
      <c r="F204" s="1125"/>
      <c r="G204" s="1124"/>
      <c r="H204" s="1125"/>
    </row>
    <row r="205" spans="2:8" ht="30" customHeight="1">
      <c r="B205" s="1125" t="s">
        <v>165</v>
      </c>
      <c r="C205" s="1124"/>
      <c r="D205" s="1125"/>
      <c r="E205" s="1124"/>
      <c r="F205" s="1125"/>
      <c r="G205" s="1124"/>
      <c r="H205" s="1125"/>
    </row>
    <row r="206" spans="2:8" ht="30" customHeight="1">
      <c r="B206" s="1125" t="s">
        <v>69</v>
      </c>
      <c r="C206" s="1124"/>
      <c r="D206" s="1125"/>
      <c r="E206" s="1124"/>
      <c r="F206" s="1125"/>
      <c r="G206" s="1124"/>
      <c r="H206" s="1125"/>
    </row>
    <row r="207" spans="2:8" ht="30" customHeight="1">
      <c r="B207" s="1125" t="s">
        <v>83</v>
      </c>
      <c r="C207" s="1124"/>
      <c r="D207" s="1125"/>
      <c r="E207" s="1124"/>
      <c r="F207" s="1125"/>
      <c r="G207" s="1124"/>
      <c r="H207" s="1125"/>
    </row>
    <row r="208" spans="2:8" ht="30" customHeight="1">
      <c r="B208" s="1125" t="s">
        <v>171</v>
      </c>
      <c r="C208" s="1124"/>
      <c r="D208" s="1125"/>
      <c r="E208" s="1124"/>
      <c r="F208" s="1125"/>
      <c r="G208" s="1124"/>
      <c r="H208" s="1125"/>
    </row>
    <row r="209" spans="2:8" ht="30" customHeight="1">
      <c r="B209" s="1125" t="s">
        <v>700</v>
      </c>
      <c r="C209" s="1124"/>
      <c r="D209" s="1125"/>
      <c r="E209" s="1124"/>
      <c r="F209" s="1125"/>
      <c r="G209" s="1124"/>
      <c r="H209" s="1125"/>
    </row>
    <row r="210" spans="2:8" ht="30" customHeight="1">
      <c r="B210" s="1125" t="s">
        <v>358</v>
      </c>
      <c r="C210" s="1124"/>
      <c r="D210" s="1125"/>
      <c r="E210" s="1124"/>
      <c r="F210" s="1125"/>
      <c r="G210" s="1124"/>
      <c r="H210" s="1125"/>
    </row>
    <row r="211" spans="2:8" ht="30" customHeight="1">
      <c r="B211" s="1125" t="s">
        <v>174</v>
      </c>
      <c r="C211" s="1124"/>
      <c r="D211" s="1125"/>
      <c r="E211" s="1124"/>
      <c r="F211" s="1125"/>
      <c r="G211" s="1124"/>
      <c r="H211" s="1125"/>
    </row>
    <row r="212" spans="2:8" ht="30" customHeight="1">
      <c r="B212" s="1125" t="s">
        <v>701</v>
      </c>
      <c r="C212" s="1124"/>
      <c r="D212" s="1125"/>
      <c r="E212" s="1124"/>
      <c r="F212" s="1125"/>
      <c r="G212" s="1124"/>
      <c r="H212" s="1125"/>
    </row>
    <row r="213" spans="2:8" ht="30" customHeight="1">
      <c r="B213" s="1125" t="s">
        <v>154</v>
      </c>
      <c r="C213" s="1124"/>
      <c r="D213" s="1125"/>
      <c r="E213" s="1124"/>
      <c r="F213" s="1125"/>
      <c r="G213" s="1124"/>
      <c r="H213" s="1125"/>
    </row>
    <row r="214" spans="2:8" ht="30" customHeight="1">
      <c r="B214" s="1125" t="s">
        <v>94</v>
      </c>
      <c r="C214" s="1124"/>
      <c r="D214" s="1125"/>
      <c r="E214" s="1124"/>
      <c r="F214" s="1125"/>
      <c r="G214" s="1124"/>
      <c r="H214" s="1125"/>
    </row>
    <row r="215" spans="2:8" ht="30" customHeight="1">
      <c r="B215" s="1125" t="s">
        <v>19</v>
      </c>
      <c r="C215" s="1124"/>
      <c r="D215" s="1125"/>
      <c r="E215" s="1124"/>
      <c r="F215" s="1125"/>
      <c r="G215" s="1124"/>
      <c r="H215" s="1125"/>
    </row>
    <row r="216" spans="2:8" ht="30" customHeight="1">
      <c r="B216" s="1125" t="s">
        <v>31</v>
      </c>
      <c r="C216" s="1124"/>
      <c r="D216" s="1125"/>
      <c r="E216" s="1124"/>
      <c r="F216" s="1125"/>
      <c r="G216" s="1124"/>
      <c r="H216" s="1125"/>
    </row>
    <row r="217" spans="2:8" ht="30" customHeight="1">
      <c r="B217" s="1125" t="s">
        <v>107</v>
      </c>
      <c r="C217" s="1124"/>
      <c r="D217" s="1125"/>
      <c r="E217" s="1124"/>
      <c r="F217" s="1125"/>
      <c r="G217" s="1124"/>
      <c r="H217" s="1125"/>
    </row>
    <row r="218" spans="2:8" ht="30" customHeight="1">
      <c r="B218" s="1125" t="s">
        <v>121</v>
      </c>
      <c r="C218" s="1124"/>
      <c r="D218" s="1125"/>
      <c r="E218" s="1124"/>
      <c r="F218" s="1125"/>
      <c r="G218" s="1124"/>
      <c r="H218" s="1125"/>
    </row>
    <row r="219" spans="2:8" ht="30" customHeight="1">
      <c r="B219" s="1125" t="s">
        <v>57</v>
      </c>
      <c r="C219" s="1124"/>
      <c r="D219" s="1125"/>
      <c r="E219" s="1124"/>
      <c r="F219" s="1125"/>
      <c r="G219" s="1124"/>
      <c r="H219" s="1125"/>
    </row>
    <row r="220" spans="2:8" ht="30" customHeight="1">
      <c r="B220" s="1125" t="s">
        <v>160</v>
      </c>
      <c r="C220" s="1124"/>
      <c r="D220" s="1125"/>
      <c r="E220" s="1124"/>
      <c r="F220" s="1125"/>
      <c r="G220" s="1124"/>
      <c r="H220" s="1125"/>
    </row>
    <row r="221" spans="2:8" ht="30" customHeight="1">
      <c r="B221" s="1125" t="s">
        <v>179</v>
      </c>
      <c r="C221" s="1124"/>
      <c r="D221" s="1125"/>
      <c r="E221" s="1124"/>
      <c r="F221" s="1125"/>
      <c r="G221" s="1124"/>
      <c r="H221" s="1125"/>
    </row>
    <row r="222" spans="2:8" ht="30" customHeight="1">
      <c r="B222" s="1125" t="s">
        <v>45</v>
      </c>
      <c r="C222" s="1124"/>
      <c r="D222" s="1125"/>
      <c r="E222" s="1124"/>
      <c r="F222" s="1125"/>
      <c r="G222" s="1124"/>
      <c r="H222" s="1125"/>
    </row>
    <row r="223" spans="2:8" ht="30" customHeight="1">
      <c r="B223" s="1125" t="s">
        <v>145</v>
      </c>
      <c r="C223" s="1124"/>
      <c r="D223" s="1125"/>
      <c r="E223" s="1124"/>
      <c r="F223" s="1125"/>
      <c r="G223" s="1124"/>
      <c r="H223" s="1125"/>
    </row>
    <row r="224" spans="2:8" ht="30" customHeight="1">
      <c r="B224" s="1125" t="s">
        <v>128</v>
      </c>
      <c r="C224" s="1124"/>
      <c r="D224" s="1125"/>
      <c r="E224" s="1124"/>
      <c r="F224" s="1125"/>
      <c r="G224" s="1124"/>
      <c r="H224" s="1125"/>
    </row>
    <row r="225" spans="2:8" ht="30" customHeight="1">
      <c r="B225" s="1125" t="s">
        <v>49</v>
      </c>
      <c r="C225" s="1124"/>
      <c r="D225" s="1125"/>
      <c r="E225" s="1124"/>
      <c r="F225" s="1125"/>
      <c r="G225" s="1124"/>
      <c r="H225" s="1125"/>
    </row>
    <row r="226" spans="2:8" ht="30" customHeight="1">
      <c r="B226" s="1125" t="s">
        <v>37</v>
      </c>
      <c r="C226" s="1124"/>
      <c r="D226" s="1125"/>
      <c r="E226" s="1124"/>
      <c r="F226" s="1125"/>
      <c r="G226" s="1124"/>
      <c r="H226" s="1125"/>
    </row>
    <row r="227" spans="2:8" ht="30" customHeight="1">
      <c r="B227" s="1125" t="s">
        <v>62</v>
      </c>
      <c r="C227" s="1124"/>
      <c r="D227" s="1125"/>
      <c r="E227" s="1124"/>
      <c r="F227" s="1125"/>
      <c r="G227" s="1124"/>
      <c r="H227" s="1125"/>
    </row>
    <row r="228" spans="2:8" ht="30" customHeight="1">
      <c r="B228" s="1125" t="s">
        <v>115</v>
      </c>
      <c r="C228" s="1124"/>
      <c r="D228" s="1125"/>
      <c r="E228" s="1124"/>
      <c r="F228" s="1125"/>
      <c r="G228" s="1124"/>
      <c r="H228" s="1125"/>
    </row>
    <row r="229" spans="2:8" ht="30" customHeight="1">
      <c r="B229" s="1125" t="s">
        <v>100</v>
      </c>
      <c r="C229" s="1124"/>
      <c r="D229" s="1125"/>
      <c r="E229" s="1124"/>
      <c r="F229" s="1125"/>
      <c r="G229" s="1124"/>
      <c r="H229" s="1125"/>
    </row>
    <row r="230" spans="2:8" ht="30" customHeight="1">
      <c r="B230" s="1125" t="s">
        <v>3</v>
      </c>
      <c r="C230" s="1124"/>
      <c r="D230" s="1125"/>
      <c r="E230" s="1124"/>
      <c r="F230" s="1125"/>
      <c r="G230" s="1124"/>
      <c r="H230" s="1125"/>
    </row>
    <row r="231" spans="2:8" ht="30" customHeight="1">
      <c r="B231" s="1125" t="s">
        <v>88</v>
      </c>
      <c r="C231" s="1124"/>
      <c r="D231" s="1125"/>
      <c r="E231" s="1124"/>
      <c r="F231" s="1125"/>
      <c r="G231" s="1124"/>
      <c r="H231" s="1125"/>
    </row>
    <row r="232" spans="2:8" ht="30" customHeight="1">
      <c r="B232" s="1125" t="s">
        <v>75</v>
      </c>
      <c r="C232" s="1124"/>
      <c r="D232" s="1125"/>
      <c r="E232" s="1124"/>
      <c r="F232" s="1125"/>
      <c r="G232" s="1124"/>
      <c r="H232" s="1125"/>
    </row>
    <row r="233" spans="2:8" ht="30" customHeight="1">
      <c r="B233" s="1125" t="s">
        <v>21</v>
      </c>
      <c r="C233" s="1124"/>
      <c r="D233" s="1125"/>
      <c r="E233" s="1124"/>
      <c r="F233" s="1125"/>
      <c r="G233" s="1124"/>
      <c r="H233" s="1125"/>
    </row>
    <row r="234" spans="2:8" ht="30" customHeight="1">
      <c r="B234" s="1125" t="s">
        <v>7166</v>
      </c>
      <c r="C234" s="1124"/>
      <c r="D234" s="1125"/>
      <c r="E234" s="1124"/>
      <c r="F234" s="1125"/>
      <c r="G234" s="1124"/>
      <c r="H234" s="1125"/>
    </row>
    <row r="235" spans="2:8" ht="30" customHeight="1">
      <c r="B235" s="1125" t="s">
        <v>7167</v>
      </c>
      <c r="C235" s="1124"/>
      <c r="D235" s="1125"/>
      <c r="E235" s="1124"/>
      <c r="F235" s="1125"/>
      <c r="G235" s="1124"/>
      <c r="H235" s="1125"/>
    </row>
    <row r="236" spans="2:8" ht="30" customHeight="1">
      <c r="B236" s="1125" t="s">
        <v>7168</v>
      </c>
      <c r="C236" s="1124"/>
      <c r="D236" s="1125"/>
      <c r="E236" s="1124"/>
      <c r="F236" s="1125"/>
      <c r="G236" s="1124"/>
      <c r="H236" s="1125"/>
    </row>
    <row r="237" spans="2:8" ht="30" customHeight="1">
      <c r="B237" s="1125" t="s">
        <v>59</v>
      </c>
      <c r="C237" s="1124"/>
      <c r="D237" s="1125"/>
      <c r="E237" s="1124"/>
      <c r="F237" s="1125"/>
      <c r="G237" s="1124"/>
      <c r="H237" s="1125"/>
    </row>
    <row r="238" spans="2:8" ht="30" customHeight="1">
      <c r="B238" s="1125" t="s">
        <v>7170</v>
      </c>
      <c r="C238" s="1124"/>
      <c r="D238" s="1125"/>
      <c r="E238" s="1124"/>
      <c r="F238" s="1125"/>
      <c r="G238" s="1124"/>
      <c r="H238" s="1125"/>
    </row>
    <row r="239" spans="2:8" ht="30" customHeight="1">
      <c r="B239" s="1125" t="s">
        <v>95</v>
      </c>
      <c r="C239" s="1124"/>
      <c r="D239" s="1125"/>
      <c r="E239" s="1124"/>
      <c r="F239" s="1125"/>
      <c r="G239" s="1124"/>
      <c r="H239" s="1125"/>
    </row>
    <row r="240" spans="2:8" ht="30" customHeight="1">
      <c r="B240" s="1125" t="s">
        <v>109</v>
      </c>
      <c r="C240" s="1124"/>
      <c r="D240" s="1125"/>
      <c r="E240" s="1124"/>
      <c r="F240" s="1125"/>
      <c r="G240" s="1124"/>
      <c r="H240" s="1125"/>
    </row>
    <row r="241" spans="2:8" ht="30" customHeight="1">
      <c r="B241" s="1125" t="s">
        <v>7172</v>
      </c>
      <c r="C241" s="1124"/>
      <c r="D241" s="1125"/>
      <c r="E241" s="1124"/>
      <c r="F241" s="1125"/>
      <c r="G241" s="1124"/>
      <c r="H241" s="1125"/>
    </row>
    <row r="242" spans="2:8" ht="30" customHeight="1">
      <c r="B242" s="1125" t="s">
        <v>7173</v>
      </c>
      <c r="C242" s="1124"/>
      <c r="D242" s="1125"/>
      <c r="E242" s="1124"/>
      <c r="F242" s="1125"/>
      <c r="G242" s="1124"/>
      <c r="H242" s="1125"/>
    </row>
    <row r="243" spans="2:8" ht="30" customHeight="1">
      <c r="B243" s="1125" t="s">
        <v>7174</v>
      </c>
      <c r="C243" s="1124"/>
      <c r="D243" s="1125"/>
      <c r="E243" s="1124"/>
      <c r="F243" s="1125"/>
      <c r="G243" s="1124"/>
      <c r="H243" s="1125"/>
    </row>
    <row r="244" spans="2:8" ht="30" customHeight="1">
      <c r="B244" s="1125" t="s">
        <v>155</v>
      </c>
      <c r="C244" s="1124"/>
      <c r="D244" s="1125"/>
      <c r="E244" s="1124"/>
      <c r="F244" s="1125"/>
      <c r="G244" s="1124"/>
      <c r="H244" s="1125"/>
    </row>
    <row r="245" spans="2:8" ht="30" customHeight="1">
      <c r="B245" s="1125" t="s">
        <v>7176</v>
      </c>
      <c r="C245" s="1124"/>
      <c r="D245" s="1125"/>
      <c r="E245" s="1124"/>
      <c r="F245" s="1125"/>
      <c r="G245" s="1124"/>
      <c r="H245" s="1125"/>
    </row>
    <row r="246" spans="2:8" ht="30" customHeight="1">
      <c r="B246" s="1125" t="s">
        <v>7177</v>
      </c>
      <c r="C246" s="1124"/>
      <c r="D246" s="1125"/>
      <c r="E246" s="1124"/>
      <c r="F246" s="1125"/>
      <c r="G246" s="1124"/>
      <c r="H246" s="1125"/>
    </row>
    <row r="247" spans="2:8" ht="30" customHeight="1">
      <c r="B247" s="1125" t="s">
        <v>7178</v>
      </c>
      <c r="C247" s="1124"/>
      <c r="D247" s="1125"/>
      <c r="E247" s="1124"/>
      <c r="F247" s="1125"/>
      <c r="G247" s="1124"/>
      <c r="H247" s="1125"/>
    </row>
    <row r="248" spans="2:8" ht="30" customHeight="1">
      <c r="B248" s="1125" t="s">
        <v>175</v>
      </c>
      <c r="C248" s="1124"/>
      <c r="D248" s="1125"/>
      <c r="E248" s="1124"/>
      <c r="F248" s="1125"/>
      <c r="G248" s="1124"/>
      <c r="H248" s="1125"/>
    </row>
    <row r="249" spans="2:8" ht="30" customHeight="1">
      <c r="B249" s="1125" t="s">
        <v>7180</v>
      </c>
      <c r="C249" s="1124"/>
      <c r="D249" s="1125"/>
      <c r="E249" s="1124"/>
      <c r="F249" s="1125"/>
      <c r="G249" s="1124"/>
      <c r="H249" s="1125"/>
    </row>
    <row r="250" spans="2:8" ht="30" customHeight="1">
      <c r="B250" s="1125" t="s">
        <v>184</v>
      </c>
      <c r="C250" s="1124"/>
      <c r="D250" s="1125"/>
      <c r="E250" s="1124"/>
      <c r="F250" s="1125"/>
      <c r="G250" s="1124"/>
      <c r="H250" s="1125"/>
    </row>
    <row r="251" spans="2:8" ht="30" customHeight="1">
      <c r="B251" s="1125" t="s">
        <v>7181</v>
      </c>
      <c r="C251" s="1124"/>
      <c r="D251" s="1125"/>
      <c r="E251" s="1124"/>
      <c r="F251" s="1125"/>
      <c r="G251" s="1124"/>
      <c r="H251" s="1125"/>
    </row>
    <row r="252" spans="2:8" ht="30" customHeight="1">
      <c r="B252" s="1125" t="s">
        <v>7182</v>
      </c>
      <c r="C252" s="1124"/>
      <c r="D252" s="1125"/>
      <c r="E252" s="1124"/>
      <c r="F252" s="1125"/>
      <c r="G252" s="1124"/>
      <c r="H252" s="1125"/>
    </row>
    <row r="253" spans="2:8" ht="30" customHeight="1">
      <c r="B253" s="1125" t="s">
        <v>7183</v>
      </c>
      <c r="C253" s="1124"/>
      <c r="D253" s="1125"/>
      <c r="E253" s="1124"/>
      <c r="F253" s="1125"/>
      <c r="G253" s="1124"/>
      <c r="H253" s="1125"/>
    </row>
    <row r="254" spans="2:8" ht="30" customHeight="1">
      <c r="B254" s="1125" t="s">
        <v>195</v>
      </c>
      <c r="C254" s="1124"/>
      <c r="D254" s="1125"/>
      <c r="E254" s="1124"/>
      <c r="F254" s="1125"/>
      <c r="G254" s="1124"/>
      <c r="H254" s="1125"/>
    </row>
    <row r="255" spans="2:8" ht="30" customHeight="1">
      <c r="B255" s="1125" t="s">
        <v>199</v>
      </c>
      <c r="C255" s="1124"/>
      <c r="D255" s="1125"/>
      <c r="E255" s="1124"/>
      <c r="F255" s="1125"/>
      <c r="G255" s="1124"/>
      <c r="H255" s="1125"/>
    </row>
    <row r="256" spans="2:8" ht="30" customHeight="1">
      <c r="B256" s="1125" t="s">
        <v>7184</v>
      </c>
      <c r="C256" s="1124"/>
      <c r="D256" s="1125"/>
      <c r="E256" s="1124"/>
      <c r="F256" s="1125"/>
      <c r="G256" s="1124"/>
      <c r="H256" s="1125"/>
    </row>
    <row r="257" spans="2:8" ht="30" customHeight="1">
      <c r="B257" s="1125" t="s">
        <v>205</v>
      </c>
      <c r="C257" s="1124"/>
      <c r="D257" s="1125"/>
      <c r="E257" s="1124"/>
      <c r="F257" s="1125"/>
      <c r="G257" s="1124"/>
      <c r="H257" s="1125"/>
    </row>
    <row r="258" spans="2:8" ht="30" customHeight="1">
      <c r="B258" s="1125" t="s">
        <v>7186</v>
      </c>
      <c r="C258" s="1124"/>
      <c r="D258" s="1125"/>
      <c r="E258" s="1124"/>
      <c r="F258" s="1125"/>
      <c r="G258" s="1124"/>
      <c r="H258" s="1125"/>
    </row>
    <row r="259" spans="2:8" ht="30" customHeight="1">
      <c r="B259" s="1125" t="s">
        <v>211</v>
      </c>
      <c r="C259" s="1124"/>
      <c r="D259" s="1125"/>
      <c r="E259" s="1124"/>
      <c r="F259" s="1125"/>
      <c r="G259" s="1124"/>
      <c r="H259" s="1125"/>
    </row>
    <row r="260" spans="2:8" ht="30" customHeight="1">
      <c r="B260" s="1125" t="s">
        <v>7188</v>
      </c>
      <c r="C260" s="1124"/>
      <c r="D260" s="1125"/>
      <c r="E260" s="1124"/>
      <c r="F260" s="1125"/>
      <c r="G260" s="1124"/>
      <c r="H260" s="1125"/>
    </row>
    <row r="261" spans="2:8" ht="30" customHeight="1">
      <c r="B261" s="1125" t="s">
        <v>214</v>
      </c>
      <c r="C261" s="1124"/>
      <c r="D261" s="1125"/>
      <c r="E261" s="1124"/>
      <c r="F261" s="1125"/>
      <c r="G261" s="1124"/>
      <c r="H261" s="1125"/>
    </row>
    <row r="262" spans="2:8" ht="30" customHeight="1">
      <c r="B262" s="1125" t="s">
        <v>216</v>
      </c>
      <c r="C262" s="1124"/>
      <c r="D262" s="1125"/>
      <c r="E262" s="1124"/>
      <c r="F262" s="1125"/>
      <c r="G262" s="1124"/>
      <c r="H262" s="1125"/>
    </row>
    <row r="263" spans="2:8" ht="30" customHeight="1">
      <c r="B263" s="1125" t="s">
        <v>218</v>
      </c>
      <c r="C263" s="1124"/>
      <c r="D263" s="1125"/>
      <c r="E263" s="1124"/>
      <c r="F263" s="1125"/>
      <c r="G263" s="1124"/>
      <c r="H263" s="1125"/>
    </row>
    <row r="264" spans="2:8" ht="30" customHeight="1">
      <c r="B264" s="1125" t="s">
        <v>220</v>
      </c>
      <c r="C264" s="1124"/>
      <c r="D264" s="1125"/>
      <c r="E264" s="1124"/>
      <c r="F264" s="1125"/>
      <c r="G264" s="1124"/>
      <c r="H264" s="1125"/>
    </row>
    <row r="265" spans="2:8" ht="30" customHeight="1">
      <c r="B265" s="1125" t="s">
        <v>50</v>
      </c>
      <c r="C265" s="1124"/>
      <c r="D265" s="1125"/>
      <c r="E265" s="1124"/>
      <c r="F265" s="1125"/>
      <c r="G265" s="1124"/>
      <c r="H265" s="1125"/>
    </row>
    <row r="266" spans="2:8" ht="30" customHeight="1">
      <c r="B266" s="1125" t="s">
        <v>76</v>
      </c>
      <c r="C266" s="1124"/>
      <c r="D266" s="1125"/>
      <c r="E266" s="1124"/>
      <c r="F266" s="1125"/>
      <c r="G266" s="1124"/>
      <c r="H266" s="1125"/>
    </row>
    <row r="267" spans="2:8" ht="30" customHeight="1">
      <c r="B267" s="1125" t="s">
        <v>7192</v>
      </c>
      <c r="C267" s="1124"/>
      <c r="D267" s="1125"/>
      <c r="E267" s="1124"/>
      <c r="F267" s="1125"/>
      <c r="G267" s="1124"/>
      <c r="H267" s="1125"/>
    </row>
    <row r="268" spans="2:8" ht="30" customHeight="1">
      <c r="B268" s="1125" t="s">
        <v>63</v>
      </c>
      <c r="C268" s="1124"/>
      <c r="D268" s="1125"/>
      <c r="E268" s="1124"/>
      <c r="F268" s="1125"/>
      <c r="G268" s="1124"/>
      <c r="H268" s="1125"/>
    </row>
    <row r="269" spans="2:8" ht="30" customHeight="1">
      <c r="B269" s="1125" t="s">
        <v>101</v>
      </c>
      <c r="C269" s="1124"/>
      <c r="D269" s="1125"/>
      <c r="E269" s="1124"/>
      <c r="F269" s="1125"/>
      <c r="G269" s="1124"/>
      <c r="H269" s="1125"/>
    </row>
    <row r="270" spans="2:8" ht="30" customHeight="1">
      <c r="B270" s="1125" t="s">
        <v>7195</v>
      </c>
      <c r="C270" s="1124"/>
      <c r="D270" s="1125"/>
      <c r="E270" s="1124"/>
      <c r="F270" s="1125"/>
      <c r="G270" s="1124"/>
      <c r="H270" s="1125"/>
    </row>
    <row r="271" spans="2:8" ht="30" customHeight="1">
      <c r="B271" s="1125" t="s">
        <v>26</v>
      </c>
      <c r="C271" s="1124"/>
      <c r="D271" s="1125"/>
      <c r="E271" s="1124"/>
      <c r="F271" s="1125"/>
      <c r="G271" s="1124"/>
      <c r="H271" s="1125"/>
    </row>
    <row r="272" spans="2:8" ht="30" customHeight="1">
      <c r="B272" s="1125" t="s">
        <v>4</v>
      </c>
      <c r="C272" s="1124"/>
      <c r="D272" s="1125"/>
      <c r="E272" s="1124"/>
      <c r="F272" s="1125"/>
      <c r="G272" s="1124"/>
      <c r="H272" s="1125"/>
    </row>
    <row r="273" spans="3:5">
      <c r="C273" s="1124"/>
      <c r="E273" s="1124"/>
    </row>
  </sheetData>
  <mergeCells count="9">
    <mergeCell ref="K21:O21"/>
    <mergeCell ref="K22:O22"/>
    <mergeCell ref="K23:O23"/>
    <mergeCell ref="B1:O2"/>
    <mergeCell ref="B3:O3"/>
    <mergeCell ref="J5:O5"/>
    <mergeCell ref="J12:O12"/>
    <mergeCell ref="J19:O19"/>
    <mergeCell ref="K20:O2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32382-42E1-4AB4-BDC0-4D89761CC95F}">
  <dimension ref="B1:AB60"/>
  <sheetViews>
    <sheetView zoomScaleNormal="100" workbookViewId="0"/>
  </sheetViews>
  <sheetFormatPr baseColWidth="10" defaultColWidth="9.140625" defaultRowHeight="15"/>
  <cols>
    <col min="1" max="1" width="6.85546875" style="1106" customWidth="1"/>
    <col min="2" max="2" width="33.140625" style="1106" customWidth="1"/>
    <col min="3" max="3" width="35.42578125" style="1106" customWidth="1"/>
    <col min="4" max="8" width="18" style="1106" customWidth="1"/>
    <col min="9" max="9" width="25.42578125" style="1106" customWidth="1"/>
    <col min="10" max="10" width="9.140625" style="1106"/>
    <col min="11" max="16" width="25.7109375" style="1106" customWidth="1"/>
    <col min="17" max="17" width="9.140625" style="1106"/>
    <col min="18" max="21" width="20.7109375" style="1106" customWidth="1"/>
    <col min="22" max="22" width="19.28515625" style="1106" customWidth="1"/>
    <col min="23" max="26" width="20.7109375" style="1106" customWidth="1"/>
    <col min="27" max="16384" width="9.140625" style="1106"/>
  </cols>
  <sheetData>
    <row r="1" spans="2:28" ht="26.1" customHeight="1">
      <c r="B1" s="1478" t="s">
        <v>8560</v>
      </c>
      <c r="C1" s="1478"/>
      <c r="D1" s="1478"/>
      <c r="E1" s="1478"/>
      <c r="F1" s="1478"/>
      <c r="G1" s="1478"/>
      <c r="H1" s="1478"/>
      <c r="I1" s="1478"/>
      <c r="K1" s="1479" t="s">
        <v>8561</v>
      </c>
      <c r="L1" s="1479"/>
      <c r="M1" s="1479"/>
      <c r="N1" s="1479"/>
      <c r="O1" s="1479"/>
      <c r="P1" s="1479"/>
      <c r="R1" s="1480" t="s">
        <v>8562</v>
      </c>
      <c r="S1" s="1480"/>
      <c r="T1" s="1480"/>
      <c r="U1" s="1480"/>
      <c r="V1" s="1480"/>
      <c r="W1" s="1480"/>
      <c r="X1" s="1480"/>
      <c r="Y1" s="1480"/>
      <c r="Z1" s="1480"/>
      <c r="AA1" s="1035" t="s">
        <v>841</v>
      </c>
    </row>
    <row r="2" spans="2:28" ht="26.1" customHeight="1">
      <c r="B2" s="1478"/>
      <c r="C2" s="1478"/>
      <c r="D2" s="1478"/>
      <c r="E2" s="1478"/>
      <c r="F2" s="1478"/>
      <c r="G2" s="1478"/>
      <c r="H2" s="1478"/>
      <c r="I2" s="1478"/>
      <c r="K2" s="1479"/>
      <c r="L2" s="1479"/>
      <c r="M2" s="1479"/>
      <c r="N2" s="1479"/>
      <c r="O2" s="1479"/>
      <c r="P2" s="1479"/>
      <c r="R2" s="1480"/>
      <c r="S2" s="1480"/>
      <c r="T2" s="1480"/>
      <c r="U2" s="1480"/>
      <c r="V2" s="1480"/>
      <c r="W2" s="1480"/>
      <c r="X2" s="1480"/>
      <c r="Y2" s="1480"/>
      <c r="Z2" s="1480"/>
      <c r="AB2" s="1140" t="s">
        <v>8563</v>
      </c>
    </row>
    <row r="3" spans="2:28" ht="27.95" customHeight="1">
      <c r="B3" s="1481" t="s">
        <v>8564</v>
      </c>
      <c r="C3" s="1481"/>
      <c r="D3" s="1481"/>
      <c r="E3" s="1481"/>
      <c r="F3" s="1481"/>
      <c r="G3" s="1481"/>
      <c r="H3" s="1481"/>
      <c r="I3" s="1481"/>
      <c r="K3" s="1482" t="s">
        <v>8565</v>
      </c>
      <c r="L3" s="1482"/>
      <c r="M3" s="1482"/>
      <c r="N3" s="1482"/>
      <c r="O3" s="1482"/>
      <c r="P3" s="1482"/>
      <c r="R3" s="1483" t="s">
        <v>8566</v>
      </c>
      <c r="S3" s="1483"/>
      <c r="T3" s="1483"/>
      <c r="U3" s="1483"/>
      <c r="V3" s="1483"/>
      <c r="W3" s="1483"/>
      <c r="X3" s="1483"/>
      <c r="Y3" s="1483"/>
      <c r="Z3" s="1483"/>
    </row>
    <row r="4" spans="2:28" ht="27.95" customHeight="1">
      <c r="B4" s="1481"/>
      <c r="C4" s="1481"/>
      <c r="D4" s="1481"/>
      <c r="E4" s="1481"/>
      <c r="F4" s="1481"/>
      <c r="G4" s="1481"/>
      <c r="H4" s="1481"/>
      <c r="I4" s="1481"/>
      <c r="K4" s="1110"/>
      <c r="L4" s="1110"/>
      <c r="M4" s="1110"/>
      <c r="N4" s="1110"/>
      <c r="O4" s="1110"/>
      <c r="P4" s="1110"/>
      <c r="R4" s="1110"/>
      <c r="S4" s="1110"/>
      <c r="T4" s="1110"/>
      <c r="U4" s="1110"/>
      <c r="V4" s="1110"/>
      <c r="W4" s="1110"/>
      <c r="X4" s="1110"/>
      <c r="Y4" s="1110"/>
      <c r="Z4" s="1110"/>
    </row>
    <row r="5" spans="2:28" ht="24" customHeight="1">
      <c r="B5" s="1141" t="s">
        <v>8567</v>
      </c>
      <c r="C5" s="1476" t="s">
        <v>8568</v>
      </c>
      <c r="D5" s="1476"/>
      <c r="E5" s="1476" t="s">
        <v>8569</v>
      </c>
      <c r="F5" s="1476"/>
      <c r="G5" s="1476" t="s">
        <v>8570</v>
      </c>
      <c r="H5" s="1476"/>
      <c r="I5" s="1476"/>
      <c r="K5" s="1142" t="s">
        <v>8571</v>
      </c>
      <c r="L5" s="1142" t="s">
        <v>8572</v>
      </c>
      <c r="M5" s="1142" t="s">
        <v>8573</v>
      </c>
      <c r="N5" s="1142" t="s">
        <v>8574</v>
      </c>
      <c r="O5" s="1142" t="s">
        <v>8575</v>
      </c>
      <c r="P5" s="1142" t="s">
        <v>8576</v>
      </c>
      <c r="R5" s="1475" t="s">
        <v>8577</v>
      </c>
      <c r="S5" s="1475"/>
      <c r="T5" s="1475"/>
      <c r="U5" s="1475"/>
      <c r="V5" s="1475"/>
      <c r="W5" s="1475"/>
      <c r="X5" s="1475"/>
      <c r="Y5" s="1475"/>
      <c r="Z5" s="1475"/>
    </row>
    <row r="6" spans="2:28" ht="24" customHeight="1">
      <c r="B6" s="1141" t="s">
        <v>8578</v>
      </c>
      <c r="C6" s="1476" t="s">
        <v>8579</v>
      </c>
      <c r="D6" s="1476"/>
      <c r="E6" s="1476" t="s">
        <v>8579</v>
      </c>
      <c r="F6" s="1476"/>
      <c r="G6" s="1477" t="s">
        <v>8580</v>
      </c>
      <c r="H6" s="1477"/>
      <c r="I6" s="1477"/>
      <c r="K6" s="1142" t="s">
        <v>8581</v>
      </c>
      <c r="L6" s="1142" t="s">
        <v>8582</v>
      </c>
      <c r="M6" s="1142" t="s">
        <v>8583</v>
      </c>
      <c r="N6" s="1142" t="s">
        <v>8584</v>
      </c>
      <c r="O6" s="1142" t="s">
        <v>6045</v>
      </c>
      <c r="P6" s="1142" t="s">
        <v>8585</v>
      </c>
      <c r="R6" s="1110"/>
      <c r="S6" s="1110"/>
      <c r="T6" s="1110"/>
      <c r="U6" s="1110"/>
      <c r="V6" s="1110"/>
      <c r="W6" s="1110"/>
      <c r="X6" s="1110"/>
      <c r="Y6" s="1110"/>
      <c r="Z6" s="1110"/>
    </row>
    <row r="7" spans="2:28" ht="15" customHeight="1">
      <c r="B7" s="1041" t="s">
        <v>8287</v>
      </c>
      <c r="C7" s="1110"/>
      <c r="D7" s="1110"/>
      <c r="E7" s="1110"/>
      <c r="F7" s="1110"/>
      <c r="G7" s="1110"/>
      <c r="H7" s="1110"/>
      <c r="I7" s="1110"/>
      <c r="K7" s="1110"/>
      <c r="L7" s="1110"/>
      <c r="M7" s="1110"/>
      <c r="N7" s="1110"/>
      <c r="O7" s="1110"/>
      <c r="P7" s="1110"/>
      <c r="R7" s="1462" t="s">
        <v>8586</v>
      </c>
      <c r="S7" s="1462"/>
      <c r="T7" s="1462"/>
      <c r="U7" s="1462" t="s">
        <v>8587</v>
      </c>
      <c r="V7" s="1462"/>
      <c r="W7" s="1462"/>
      <c r="X7" s="1462" t="s">
        <v>8588</v>
      </c>
      <c r="Y7" s="1462"/>
      <c r="Z7" s="1462"/>
    </row>
    <row r="8" spans="2:28" ht="24" customHeight="1">
      <c r="B8" s="1472" t="s">
        <v>8589</v>
      </c>
      <c r="C8" s="1472"/>
      <c r="D8" s="1472"/>
      <c r="E8" s="1472"/>
      <c r="F8" s="1472"/>
      <c r="G8" s="1472"/>
      <c r="H8" s="1472"/>
      <c r="I8" s="1472"/>
      <c r="K8" s="1473" t="s">
        <v>8590</v>
      </c>
      <c r="L8" s="1473"/>
      <c r="M8" s="1473"/>
      <c r="N8" s="1473"/>
      <c r="O8" s="1473"/>
      <c r="P8" s="1473"/>
      <c r="R8" s="1462"/>
      <c r="S8" s="1462"/>
      <c r="T8" s="1462"/>
      <c r="U8" s="1462"/>
      <c r="V8" s="1462"/>
      <c r="W8" s="1462"/>
      <c r="X8" s="1462"/>
      <c r="Y8" s="1462"/>
      <c r="Z8" s="1462"/>
    </row>
    <row r="9" spans="2:28" ht="36" customHeight="1">
      <c r="B9" s="1143" t="s">
        <v>8581</v>
      </c>
      <c r="C9" s="1441" t="s">
        <v>8591</v>
      </c>
      <c r="D9" s="1441"/>
      <c r="E9" s="1441"/>
      <c r="F9" s="1441"/>
      <c r="G9" s="1441"/>
      <c r="H9" s="1441"/>
      <c r="I9" s="1441"/>
      <c r="K9" s="1474" t="s">
        <v>8592</v>
      </c>
      <c r="L9" s="1474"/>
      <c r="M9" s="1474"/>
      <c r="N9" s="1464" t="s">
        <v>8593</v>
      </c>
      <c r="O9" s="1464"/>
      <c r="P9" s="1464"/>
      <c r="R9" s="1462"/>
      <c r="S9" s="1462"/>
      <c r="T9" s="1462"/>
      <c r="U9" s="1462"/>
      <c r="V9" s="1462"/>
      <c r="W9" s="1462"/>
      <c r="X9" s="1462"/>
      <c r="Y9" s="1462"/>
      <c r="Z9" s="1462"/>
    </row>
    <row r="10" spans="2:28" ht="36" customHeight="1">
      <c r="B10" s="1143" t="s">
        <v>8594</v>
      </c>
      <c r="C10" s="1441" t="s">
        <v>8595</v>
      </c>
      <c r="D10" s="1441"/>
      <c r="E10" s="1441"/>
      <c r="F10" s="1441"/>
      <c r="G10" s="1441"/>
      <c r="H10" s="1441"/>
      <c r="I10" s="1441"/>
      <c r="K10" s="1471" t="s">
        <v>8596</v>
      </c>
      <c r="L10" s="1471"/>
      <c r="M10" s="1471"/>
      <c r="N10" s="1466" t="s">
        <v>8597</v>
      </c>
      <c r="O10" s="1466"/>
      <c r="P10" s="1466"/>
      <c r="R10" s="1462"/>
      <c r="S10" s="1462"/>
      <c r="T10" s="1462"/>
      <c r="U10" s="1462"/>
      <c r="V10" s="1462"/>
      <c r="W10" s="1462"/>
      <c r="X10" s="1462"/>
      <c r="Y10" s="1462"/>
      <c r="Z10" s="1462"/>
    </row>
    <row r="11" spans="2:28" ht="39.950000000000003" customHeight="1">
      <c r="B11" s="1143" t="s">
        <v>8598</v>
      </c>
      <c r="C11" s="1441" t="s">
        <v>8599</v>
      </c>
      <c r="D11" s="1441"/>
      <c r="E11" s="1441"/>
      <c r="F11" s="1441"/>
      <c r="G11" s="1441"/>
      <c r="H11" s="1441"/>
      <c r="I11" s="1441"/>
      <c r="K11" s="1471"/>
      <c r="L11" s="1471"/>
      <c r="M11" s="1471"/>
      <c r="N11" s="1466"/>
      <c r="O11" s="1466"/>
      <c r="P11" s="1466"/>
      <c r="R11" s="1110"/>
      <c r="S11" s="1110"/>
      <c r="T11" s="1110"/>
      <c r="U11" s="1110"/>
      <c r="V11" s="1110"/>
      <c r="W11" s="1110"/>
      <c r="X11" s="1110"/>
      <c r="Y11" s="1110"/>
      <c r="Z11" s="1110"/>
    </row>
    <row r="12" spans="2:28" ht="42" customHeight="1">
      <c r="B12" s="1143" t="s">
        <v>8600</v>
      </c>
      <c r="C12" s="1441" t="s">
        <v>8601</v>
      </c>
      <c r="D12" s="1441"/>
      <c r="E12" s="1441"/>
      <c r="F12" s="1441"/>
      <c r="G12" s="1441"/>
      <c r="H12" s="1441"/>
      <c r="I12" s="1441"/>
      <c r="K12" s="1471"/>
      <c r="L12" s="1471"/>
      <c r="M12" s="1471"/>
      <c r="N12" s="1466"/>
      <c r="O12" s="1466"/>
      <c r="P12" s="1466"/>
      <c r="R12" s="1467" t="s">
        <v>8602</v>
      </c>
      <c r="S12" s="1467"/>
      <c r="T12" s="1467"/>
      <c r="U12" s="1467"/>
      <c r="V12" s="1110"/>
      <c r="W12" s="1468" t="s">
        <v>8603</v>
      </c>
      <c r="X12" s="1468"/>
      <c r="Y12" s="1468"/>
      <c r="Z12" s="1468"/>
    </row>
    <row r="13" spans="2:28" ht="33.950000000000003" customHeight="1">
      <c r="B13" s="1143" t="s">
        <v>8604</v>
      </c>
      <c r="C13" s="1441" t="s">
        <v>8605</v>
      </c>
      <c r="D13" s="1441"/>
      <c r="E13" s="1441"/>
      <c r="F13" s="1441"/>
      <c r="G13" s="1441"/>
      <c r="H13" s="1441"/>
      <c r="I13" s="1441"/>
      <c r="K13" s="1471"/>
      <c r="L13" s="1471"/>
      <c r="M13" s="1471"/>
      <c r="N13" s="1466"/>
      <c r="O13" s="1466"/>
      <c r="P13" s="1466"/>
      <c r="R13" s="1467"/>
      <c r="S13" s="1467"/>
      <c r="T13" s="1467"/>
      <c r="U13" s="1467"/>
      <c r="V13" s="1110"/>
      <c r="W13" s="1468"/>
      <c r="X13" s="1468"/>
      <c r="Y13" s="1468"/>
      <c r="Z13" s="1468"/>
    </row>
    <row r="14" spans="2:28" ht="36" customHeight="1">
      <c r="B14" s="1143" t="s">
        <v>8606</v>
      </c>
      <c r="C14" s="1441" t="s">
        <v>8607</v>
      </c>
      <c r="D14" s="1441"/>
      <c r="E14" s="1441"/>
      <c r="F14" s="1441"/>
      <c r="G14" s="1441"/>
      <c r="H14" s="1441"/>
      <c r="I14" s="1441"/>
      <c r="K14" s="1471"/>
      <c r="L14" s="1471"/>
      <c r="M14" s="1471"/>
      <c r="N14" s="1466"/>
      <c r="O14" s="1466"/>
      <c r="P14" s="1466"/>
      <c r="R14" s="1467"/>
      <c r="S14" s="1467"/>
      <c r="T14" s="1467"/>
      <c r="U14" s="1467"/>
      <c r="V14" s="1110"/>
      <c r="W14" s="1468"/>
      <c r="X14" s="1468"/>
      <c r="Y14" s="1468"/>
      <c r="Z14" s="1468"/>
    </row>
    <row r="15" spans="2:28" ht="33.950000000000003" customHeight="1">
      <c r="B15" s="1143" t="s">
        <v>8608</v>
      </c>
      <c r="C15" s="1441" t="s">
        <v>8609</v>
      </c>
      <c r="D15" s="1441"/>
      <c r="E15" s="1441"/>
      <c r="F15" s="1441"/>
      <c r="G15" s="1441"/>
      <c r="H15" s="1441"/>
      <c r="I15" s="1441"/>
      <c r="K15" s="1471"/>
      <c r="L15" s="1471"/>
      <c r="M15" s="1471"/>
      <c r="N15" s="1466"/>
      <c r="O15" s="1466"/>
      <c r="P15" s="1466"/>
      <c r="R15" s="1467"/>
      <c r="S15" s="1467"/>
      <c r="T15" s="1467"/>
      <c r="U15" s="1467"/>
      <c r="V15" s="1110"/>
      <c r="W15" s="1468"/>
      <c r="X15" s="1468"/>
      <c r="Y15" s="1468"/>
      <c r="Z15" s="1468"/>
    </row>
    <row r="16" spans="2:28" ht="27.95" customHeight="1">
      <c r="B16" s="1143" t="s">
        <v>8610</v>
      </c>
      <c r="C16" s="1441" t="s">
        <v>8611</v>
      </c>
      <c r="D16" s="1441"/>
      <c r="E16" s="1441"/>
      <c r="F16" s="1441"/>
      <c r="G16" s="1441"/>
      <c r="H16" s="1441"/>
      <c r="I16" s="1441"/>
      <c r="K16" s="1110"/>
      <c r="L16" s="1110"/>
      <c r="M16" s="1110"/>
      <c r="N16" s="1110"/>
      <c r="O16" s="1110"/>
      <c r="P16" s="1110"/>
      <c r="R16" s="1467"/>
      <c r="S16" s="1467"/>
      <c r="T16" s="1467"/>
      <c r="U16" s="1467"/>
      <c r="V16" s="1110"/>
      <c r="W16" s="1468"/>
      <c r="X16" s="1468"/>
      <c r="Y16" s="1468"/>
      <c r="Z16" s="1468"/>
    </row>
    <row r="17" spans="2:26" ht="15" customHeight="1">
      <c r="B17" s="1110"/>
      <c r="C17" s="1110"/>
      <c r="D17" s="1110"/>
      <c r="E17" s="1110"/>
      <c r="F17" s="1110"/>
      <c r="G17" s="1110"/>
      <c r="H17" s="1110"/>
      <c r="I17" s="1110"/>
      <c r="K17" s="1469" t="s">
        <v>8612</v>
      </c>
      <c r="L17" s="1469"/>
      <c r="M17" s="1469"/>
      <c r="N17" s="1469"/>
      <c r="O17" s="1469"/>
      <c r="P17" s="1469"/>
      <c r="R17" s="1110"/>
      <c r="S17" s="1110"/>
      <c r="T17" s="1110"/>
      <c r="U17" s="1110"/>
      <c r="V17" s="1110"/>
      <c r="W17" s="1110"/>
      <c r="X17" s="1110"/>
      <c r="Y17" s="1110"/>
      <c r="Z17" s="1110"/>
    </row>
    <row r="18" spans="2:26" ht="21.95" customHeight="1">
      <c r="B18" s="1470" t="s">
        <v>8613</v>
      </c>
      <c r="C18" s="1470"/>
      <c r="D18" s="1470"/>
      <c r="E18" s="1470"/>
      <c r="F18" s="1470"/>
      <c r="G18" s="1470"/>
      <c r="H18" s="1470"/>
      <c r="I18" s="1470"/>
      <c r="K18" s="1469"/>
      <c r="L18" s="1469"/>
      <c r="M18" s="1469"/>
      <c r="N18" s="1469"/>
      <c r="O18" s="1469"/>
      <c r="P18" s="1469"/>
      <c r="R18" s="1460" t="s">
        <v>8614</v>
      </c>
      <c r="S18" s="1460"/>
      <c r="T18" s="1460"/>
      <c r="U18" s="1460"/>
      <c r="V18" s="1460"/>
      <c r="W18" s="1460"/>
      <c r="X18" s="1460"/>
      <c r="Y18" s="1460"/>
      <c r="Z18" s="1460"/>
    </row>
    <row r="19" spans="2:26" ht="30" customHeight="1">
      <c r="B19" s="1144" t="s">
        <v>6272</v>
      </c>
      <c r="C19" s="1145" t="s">
        <v>8615</v>
      </c>
      <c r="D19" s="1441" t="s">
        <v>8616</v>
      </c>
      <c r="E19" s="1441"/>
      <c r="F19" s="1441"/>
      <c r="G19" s="1441"/>
      <c r="H19" s="1441"/>
      <c r="I19" s="1441"/>
      <c r="K19" s="1110"/>
      <c r="L19" s="1110"/>
      <c r="M19" s="1110"/>
      <c r="N19" s="1110"/>
      <c r="O19" s="1110"/>
      <c r="P19" s="1110"/>
      <c r="R19" s="1110"/>
      <c r="S19" s="1110"/>
      <c r="T19" s="1110"/>
      <c r="U19" s="1110"/>
      <c r="V19" s="1110"/>
      <c r="W19" s="1110"/>
      <c r="X19" s="1110"/>
      <c r="Y19" s="1110"/>
      <c r="Z19" s="1110"/>
    </row>
    <row r="20" spans="2:26" ht="30" customHeight="1">
      <c r="B20" s="1144" t="s">
        <v>6276</v>
      </c>
      <c r="C20" s="1145" t="s">
        <v>8617</v>
      </c>
      <c r="D20" s="1441" t="s">
        <v>8618</v>
      </c>
      <c r="E20" s="1441"/>
      <c r="F20" s="1441"/>
      <c r="G20" s="1441"/>
      <c r="H20" s="1441"/>
      <c r="I20" s="1441"/>
      <c r="K20" s="1461" t="s">
        <v>8619</v>
      </c>
      <c r="L20" s="1461"/>
      <c r="M20" s="1461"/>
      <c r="N20" s="1461"/>
      <c r="O20" s="1461"/>
      <c r="P20" s="1461"/>
      <c r="R20" s="1462" t="s">
        <v>8620</v>
      </c>
      <c r="S20" s="1462"/>
      <c r="T20" s="1462"/>
      <c r="U20" s="1462" t="s">
        <v>8621</v>
      </c>
      <c r="V20" s="1462"/>
      <c r="W20" s="1462"/>
      <c r="X20" s="1462" t="s">
        <v>8622</v>
      </c>
      <c r="Y20" s="1462"/>
      <c r="Z20" s="1462"/>
    </row>
    <row r="21" spans="2:26" ht="30" customHeight="1">
      <c r="B21" s="1144" t="s">
        <v>6280</v>
      </c>
      <c r="C21" s="1145" t="s">
        <v>8623</v>
      </c>
      <c r="D21" s="1441" t="s">
        <v>8624</v>
      </c>
      <c r="E21" s="1441"/>
      <c r="F21" s="1441"/>
      <c r="G21" s="1441"/>
      <c r="H21" s="1441"/>
      <c r="I21" s="1441"/>
      <c r="K21" s="1463" t="s">
        <v>8625</v>
      </c>
      <c r="L21" s="1463"/>
      <c r="M21" s="1463"/>
      <c r="N21" s="1464" t="s">
        <v>8626</v>
      </c>
      <c r="O21" s="1464"/>
      <c r="P21" s="1464"/>
      <c r="R21" s="1462"/>
      <c r="S21" s="1462"/>
      <c r="T21" s="1462"/>
      <c r="U21" s="1462"/>
      <c r="V21" s="1462"/>
      <c r="W21" s="1462"/>
      <c r="X21" s="1462"/>
      <c r="Y21" s="1462"/>
      <c r="Z21" s="1462"/>
    </row>
    <row r="22" spans="2:26" ht="33.950000000000003" customHeight="1">
      <c r="B22" s="1144" t="s">
        <v>6284</v>
      </c>
      <c r="C22" s="1145" t="s">
        <v>8627</v>
      </c>
      <c r="D22" s="1441" t="s">
        <v>8628</v>
      </c>
      <c r="E22" s="1441"/>
      <c r="F22" s="1441"/>
      <c r="G22" s="1441"/>
      <c r="H22" s="1441"/>
      <c r="I22" s="1441"/>
      <c r="K22" s="1465" t="s">
        <v>8629</v>
      </c>
      <c r="L22" s="1465"/>
      <c r="M22" s="1465"/>
      <c r="N22" s="1466" t="s">
        <v>8630</v>
      </c>
      <c r="O22" s="1466"/>
      <c r="P22" s="1466"/>
      <c r="R22" s="1462"/>
      <c r="S22" s="1462"/>
      <c r="T22" s="1462"/>
      <c r="U22" s="1462"/>
      <c r="V22" s="1462"/>
      <c r="W22" s="1462"/>
      <c r="X22" s="1462"/>
      <c r="Y22" s="1462"/>
      <c r="Z22" s="1462"/>
    </row>
    <row r="23" spans="2:26" ht="30" customHeight="1">
      <c r="B23" s="1144" t="s">
        <v>6288</v>
      </c>
      <c r="C23" s="1145" t="s">
        <v>8631</v>
      </c>
      <c r="D23" s="1441" t="s">
        <v>8632</v>
      </c>
      <c r="E23" s="1441"/>
      <c r="F23" s="1441"/>
      <c r="G23" s="1441"/>
      <c r="H23" s="1441"/>
      <c r="I23" s="1441"/>
      <c r="K23" s="1465"/>
      <c r="L23" s="1465"/>
      <c r="M23" s="1465"/>
      <c r="N23" s="1466"/>
      <c r="O23" s="1466"/>
      <c r="P23" s="1466"/>
      <c r="R23" s="1462"/>
      <c r="S23" s="1462"/>
      <c r="T23" s="1462"/>
      <c r="U23" s="1462"/>
      <c r="V23" s="1462"/>
      <c r="W23" s="1462"/>
      <c r="X23" s="1462"/>
      <c r="Y23" s="1462"/>
      <c r="Z23" s="1462"/>
    </row>
    <row r="24" spans="2:26" ht="15" customHeight="1">
      <c r="B24" s="1110"/>
      <c r="C24" s="1110"/>
      <c r="D24" s="1110"/>
      <c r="E24" s="1110"/>
      <c r="F24" s="1110"/>
      <c r="G24" s="1110"/>
      <c r="H24" s="1110"/>
      <c r="I24" s="1110"/>
      <c r="K24" s="1465"/>
      <c r="L24" s="1465"/>
      <c r="M24" s="1465"/>
      <c r="N24" s="1466"/>
      <c r="O24" s="1466"/>
      <c r="P24" s="1466"/>
      <c r="R24" s="1110"/>
      <c r="S24" s="1110"/>
      <c r="T24" s="1110"/>
      <c r="U24" s="1110"/>
      <c r="V24" s="1110"/>
      <c r="W24" s="1110"/>
      <c r="X24" s="1110"/>
      <c r="Y24" s="1110"/>
      <c r="Z24" s="1110"/>
    </row>
    <row r="25" spans="2:26" ht="15" customHeight="1">
      <c r="B25" s="1110"/>
      <c r="C25" s="1110"/>
      <c r="D25" s="1110"/>
      <c r="E25" s="1110"/>
      <c r="F25" s="1110"/>
      <c r="G25" s="1110"/>
      <c r="H25" s="1110"/>
      <c r="I25" s="1110"/>
      <c r="K25" s="1465"/>
      <c r="L25" s="1465"/>
      <c r="M25" s="1465"/>
      <c r="N25" s="1466"/>
      <c r="O25" s="1466"/>
      <c r="P25" s="1466"/>
      <c r="R25" s="1467" t="s">
        <v>8633</v>
      </c>
      <c r="S25" s="1467"/>
      <c r="T25" s="1467"/>
      <c r="U25" s="1467"/>
      <c r="V25" s="1110"/>
      <c r="W25" s="1468" t="s">
        <v>8634</v>
      </c>
      <c r="X25" s="1468"/>
      <c r="Y25" s="1468"/>
      <c r="Z25" s="1468"/>
    </row>
    <row r="26" spans="2:26" ht="24" customHeight="1">
      <c r="B26" s="1458" t="s">
        <v>8635</v>
      </c>
      <c r="C26" s="1458"/>
      <c r="D26" s="1458"/>
      <c r="E26" s="1458"/>
      <c r="F26" s="1458"/>
      <c r="G26" s="1458"/>
      <c r="H26" s="1458"/>
      <c r="I26" s="1458"/>
      <c r="K26" s="1465"/>
      <c r="L26" s="1465"/>
      <c r="M26" s="1465"/>
      <c r="N26" s="1466"/>
      <c r="O26" s="1466"/>
      <c r="P26" s="1466"/>
      <c r="R26" s="1467"/>
      <c r="S26" s="1467"/>
      <c r="T26" s="1467"/>
      <c r="U26" s="1467"/>
      <c r="V26" s="1110"/>
      <c r="W26" s="1468"/>
      <c r="X26" s="1468"/>
      <c r="Y26" s="1468"/>
      <c r="Z26" s="1468"/>
    </row>
    <row r="27" spans="2:26" ht="39.950000000000003" customHeight="1">
      <c r="B27" s="1146" t="s">
        <v>8581</v>
      </c>
      <c r="C27" s="1441" t="s">
        <v>8636</v>
      </c>
      <c r="D27" s="1441"/>
      <c r="E27" s="1441"/>
      <c r="F27" s="1441"/>
      <c r="G27" s="1441"/>
      <c r="H27" s="1441"/>
      <c r="I27" s="1441"/>
      <c r="K27" s="1465"/>
      <c r="L27" s="1465"/>
      <c r="M27" s="1465"/>
      <c r="N27" s="1466"/>
      <c r="O27" s="1466"/>
      <c r="P27" s="1466"/>
      <c r="R27" s="1467"/>
      <c r="S27" s="1467"/>
      <c r="T27" s="1467"/>
      <c r="U27" s="1467"/>
      <c r="V27" s="1110"/>
      <c r="W27" s="1468"/>
      <c r="X27" s="1468"/>
      <c r="Y27" s="1468"/>
      <c r="Z27" s="1468"/>
    </row>
    <row r="28" spans="2:26" ht="33.950000000000003" customHeight="1">
      <c r="B28" s="1146" t="s">
        <v>8637</v>
      </c>
      <c r="C28" s="1441" t="s">
        <v>8638</v>
      </c>
      <c r="D28" s="1441"/>
      <c r="E28" s="1441"/>
      <c r="F28" s="1441"/>
      <c r="G28" s="1441"/>
      <c r="H28" s="1441"/>
      <c r="I28" s="1441"/>
      <c r="K28" s="1465"/>
      <c r="L28" s="1465"/>
      <c r="M28" s="1465"/>
      <c r="N28" s="1466"/>
      <c r="O28" s="1466"/>
      <c r="P28" s="1466"/>
      <c r="R28" s="1467"/>
      <c r="S28" s="1467"/>
      <c r="T28" s="1467"/>
      <c r="U28" s="1467"/>
      <c r="V28" s="1110"/>
      <c r="W28" s="1468"/>
      <c r="X28" s="1468"/>
      <c r="Y28" s="1468"/>
      <c r="Z28" s="1468"/>
    </row>
    <row r="29" spans="2:26" ht="33.950000000000003" customHeight="1">
      <c r="B29" s="1146" t="s">
        <v>8639</v>
      </c>
      <c r="C29" s="1441" t="s">
        <v>8640</v>
      </c>
      <c r="D29" s="1441"/>
      <c r="E29" s="1441"/>
      <c r="F29" s="1441"/>
      <c r="G29" s="1441"/>
      <c r="H29" s="1441"/>
      <c r="I29" s="1441"/>
      <c r="K29" s="1459" t="s">
        <v>8641</v>
      </c>
      <c r="L29" s="1459"/>
      <c r="M29" s="1459"/>
      <c r="N29" s="1459"/>
      <c r="O29" s="1459"/>
      <c r="P29" s="1459"/>
      <c r="R29" s="1467"/>
      <c r="S29" s="1467"/>
      <c r="T29" s="1467"/>
      <c r="U29" s="1467"/>
      <c r="V29" s="1110"/>
      <c r="W29" s="1468"/>
      <c r="X29" s="1468"/>
      <c r="Y29" s="1468"/>
      <c r="Z29" s="1468"/>
    </row>
    <row r="30" spans="2:26" ht="38.1" customHeight="1">
      <c r="B30" s="1146" t="s">
        <v>8642</v>
      </c>
      <c r="C30" s="1441" t="s">
        <v>8643</v>
      </c>
      <c r="D30" s="1441"/>
      <c r="E30" s="1441"/>
      <c r="F30" s="1441"/>
      <c r="G30" s="1441"/>
      <c r="H30" s="1441"/>
      <c r="I30" s="1441"/>
      <c r="K30" s="1459"/>
      <c r="L30" s="1459"/>
      <c r="M30" s="1459"/>
      <c r="N30" s="1459"/>
      <c r="O30" s="1459"/>
      <c r="P30" s="1459"/>
      <c r="R30" s="1110"/>
      <c r="S30" s="1110"/>
      <c r="T30" s="1110"/>
      <c r="U30" s="1110"/>
      <c r="V30" s="1110"/>
      <c r="W30" s="1110"/>
      <c r="X30" s="1110"/>
      <c r="Y30" s="1110"/>
      <c r="Z30" s="1110"/>
    </row>
    <row r="31" spans="2:26" ht="39.950000000000003" customHeight="1">
      <c r="B31" s="1146" t="s">
        <v>8644</v>
      </c>
      <c r="C31" s="1441" t="s">
        <v>8645</v>
      </c>
      <c r="D31" s="1441"/>
      <c r="E31" s="1441"/>
      <c r="F31" s="1441"/>
      <c r="G31" s="1441"/>
      <c r="H31" s="1441"/>
      <c r="I31" s="1441"/>
      <c r="K31" s="1110"/>
      <c r="L31" s="1110"/>
      <c r="M31" s="1110"/>
      <c r="N31" s="1110"/>
      <c r="O31" s="1110"/>
      <c r="P31" s="1110"/>
      <c r="R31" s="1454" t="s">
        <v>8646</v>
      </c>
      <c r="S31" s="1454"/>
      <c r="T31" s="1454"/>
      <c r="U31" s="1454"/>
      <c r="V31" s="1454"/>
      <c r="W31" s="1454"/>
      <c r="X31" s="1454"/>
      <c r="Y31" s="1454"/>
      <c r="Z31" s="1454"/>
    </row>
    <row r="32" spans="2:26" ht="38.1" customHeight="1">
      <c r="B32" s="1146" t="s">
        <v>8647</v>
      </c>
      <c r="C32" s="1441" t="s">
        <v>8648</v>
      </c>
      <c r="D32" s="1441"/>
      <c r="E32" s="1441"/>
      <c r="F32" s="1441"/>
      <c r="G32" s="1441"/>
      <c r="H32" s="1441"/>
      <c r="I32" s="1441"/>
      <c r="K32" s="1455" t="s">
        <v>8649</v>
      </c>
      <c r="L32" s="1455"/>
      <c r="M32" s="1455"/>
      <c r="N32" s="1455"/>
      <c r="O32" s="1455"/>
      <c r="P32" s="1455"/>
      <c r="R32" s="1454"/>
      <c r="S32" s="1454"/>
      <c r="T32" s="1454"/>
      <c r="U32" s="1454"/>
      <c r="V32" s="1454"/>
      <c r="W32" s="1454"/>
      <c r="X32" s="1454"/>
      <c r="Y32" s="1454"/>
      <c r="Z32" s="1454"/>
    </row>
    <row r="33" spans="2:26" ht="33.950000000000003" customHeight="1">
      <c r="B33" s="1146" t="s">
        <v>8650</v>
      </c>
      <c r="C33" s="1441" t="s">
        <v>8651</v>
      </c>
      <c r="D33" s="1441"/>
      <c r="E33" s="1441"/>
      <c r="F33" s="1441"/>
      <c r="G33" s="1441"/>
      <c r="H33" s="1441"/>
      <c r="I33" s="1441"/>
      <c r="K33" s="1147" t="s">
        <v>6208</v>
      </c>
      <c r="L33" s="1147" t="s">
        <v>6256</v>
      </c>
      <c r="M33" s="1456" t="s">
        <v>8652</v>
      </c>
      <c r="N33" s="1456"/>
      <c r="O33" s="1456"/>
      <c r="P33" s="1456"/>
      <c r="R33" s="1454"/>
      <c r="S33" s="1454"/>
      <c r="T33" s="1454"/>
      <c r="U33" s="1454"/>
      <c r="V33" s="1454"/>
      <c r="W33" s="1454"/>
      <c r="X33" s="1454"/>
      <c r="Y33" s="1454"/>
      <c r="Z33" s="1454"/>
    </row>
    <row r="34" spans="2:26" ht="38.1" customHeight="1">
      <c r="B34" s="1146" t="s">
        <v>8653</v>
      </c>
      <c r="C34" s="1441" t="s">
        <v>8654</v>
      </c>
      <c r="D34" s="1441"/>
      <c r="E34" s="1441"/>
      <c r="F34" s="1441"/>
      <c r="G34" s="1441"/>
      <c r="H34" s="1441"/>
      <c r="I34" s="1441"/>
      <c r="K34" s="1148" t="s">
        <v>6272</v>
      </c>
      <c r="L34" s="1149" t="s">
        <v>8655</v>
      </c>
      <c r="M34" s="1446" t="s">
        <v>8656</v>
      </c>
      <c r="N34" s="1446"/>
      <c r="O34" s="1446"/>
      <c r="P34" s="1446"/>
      <c r="R34" s="1110"/>
      <c r="S34" s="1110"/>
      <c r="T34" s="1110"/>
      <c r="U34" s="1110"/>
      <c r="V34" s="1110"/>
      <c r="W34" s="1110"/>
      <c r="X34" s="1110"/>
      <c r="Y34" s="1110"/>
      <c r="Z34" s="1110"/>
    </row>
    <row r="35" spans="2:26" ht="33.950000000000003" customHeight="1">
      <c r="B35" s="1146" t="s">
        <v>8608</v>
      </c>
      <c r="C35" s="1441" t="s">
        <v>8657</v>
      </c>
      <c r="D35" s="1441"/>
      <c r="E35" s="1441"/>
      <c r="F35" s="1441"/>
      <c r="G35" s="1441"/>
      <c r="H35" s="1441"/>
      <c r="I35" s="1441"/>
      <c r="K35" s="1148" t="s">
        <v>6276</v>
      </c>
      <c r="L35" s="1149" t="s">
        <v>8658</v>
      </c>
      <c r="M35" s="1446" t="s">
        <v>8659</v>
      </c>
      <c r="N35" s="1446"/>
      <c r="O35" s="1446"/>
      <c r="P35" s="1446"/>
      <c r="R35" s="1457" t="s">
        <v>8660</v>
      </c>
      <c r="S35" s="1457"/>
      <c r="T35" s="1457"/>
      <c r="U35" s="1457"/>
      <c r="V35" s="1457"/>
      <c r="W35" s="1457"/>
      <c r="X35" s="1457"/>
      <c r="Y35" s="1457"/>
      <c r="Z35" s="1457"/>
    </row>
    <row r="36" spans="2:26" ht="32.1" customHeight="1">
      <c r="B36" s="1146" t="s">
        <v>8610</v>
      </c>
      <c r="C36" s="1441" t="s">
        <v>8661</v>
      </c>
      <c r="D36" s="1441"/>
      <c r="E36" s="1441"/>
      <c r="F36" s="1441"/>
      <c r="G36" s="1441"/>
      <c r="H36" s="1441"/>
      <c r="I36" s="1441"/>
      <c r="K36" s="1148" t="s">
        <v>6280</v>
      </c>
      <c r="L36" s="1149" t="s">
        <v>8662</v>
      </c>
      <c r="M36" s="1446" t="s">
        <v>8663</v>
      </c>
      <c r="N36" s="1446"/>
      <c r="O36" s="1446"/>
      <c r="P36" s="1446"/>
      <c r="R36" s="1453" t="s">
        <v>8664</v>
      </c>
      <c r="S36" s="1453"/>
      <c r="T36" s="1453"/>
      <c r="U36" s="1453"/>
      <c r="V36" s="1453"/>
      <c r="W36" s="1453"/>
      <c r="X36" s="1453"/>
      <c r="Y36" s="1453"/>
      <c r="Z36" s="1453"/>
    </row>
    <row r="37" spans="2:26" ht="15" customHeight="1">
      <c r="B37" s="1110"/>
      <c r="C37" s="1110"/>
      <c r="D37" s="1110"/>
      <c r="E37" s="1110"/>
      <c r="F37" s="1110"/>
      <c r="G37" s="1110"/>
      <c r="H37" s="1110"/>
      <c r="I37" s="1110"/>
      <c r="K37" s="1148" t="s">
        <v>6284</v>
      </c>
      <c r="L37" s="1149" t="s">
        <v>8665</v>
      </c>
      <c r="M37" s="1446" t="s">
        <v>8666</v>
      </c>
      <c r="N37" s="1446"/>
      <c r="O37" s="1446"/>
      <c r="P37" s="1446"/>
      <c r="R37" s="1110"/>
      <c r="S37" s="1110"/>
      <c r="T37" s="1110"/>
      <c r="U37" s="1110"/>
      <c r="V37" s="1110"/>
      <c r="W37" s="1110"/>
      <c r="X37" s="1110"/>
      <c r="Y37" s="1110"/>
      <c r="Z37" s="1110"/>
    </row>
    <row r="38" spans="2:26" ht="21.95" customHeight="1">
      <c r="B38" s="1447" t="s">
        <v>8667</v>
      </c>
      <c r="C38" s="1447"/>
      <c r="D38" s="1447"/>
      <c r="E38" s="1447"/>
      <c r="F38" s="1447"/>
      <c r="G38" s="1447"/>
      <c r="H38" s="1447"/>
      <c r="I38" s="1447"/>
      <c r="K38" s="1110"/>
      <c r="L38" s="1110"/>
      <c r="M38" s="1110"/>
      <c r="N38" s="1110"/>
      <c r="O38" s="1110"/>
      <c r="P38" s="1110"/>
      <c r="R38" s="1110"/>
      <c r="S38" s="1110"/>
      <c r="T38" s="1110"/>
      <c r="U38" s="1110"/>
      <c r="V38" s="1110"/>
      <c r="W38" s="1110"/>
      <c r="X38" s="1110"/>
      <c r="Y38" s="1110"/>
      <c r="Z38" s="1110"/>
    </row>
    <row r="39" spans="2:26" ht="24" customHeight="1">
      <c r="B39" s="1448" t="s">
        <v>8668</v>
      </c>
      <c r="C39" s="1448"/>
      <c r="D39" s="1448"/>
      <c r="E39" s="1448"/>
      <c r="F39" s="1448"/>
      <c r="G39" s="1448"/>
      <c r="H39" s="1448"/>
      <c r="I39" s="1448"/>
      <c r="K39" s="1449" t="s">
        <v>8669</v>
      </c>
      <c r="L39" s="1449"/>
      <c r="M39" s="1449"/>
      <c r="N39" s="1450" t="s">
        <v>8670</v>
      </c>
      <c r="O39" s="1450"/>
      <c r="P39" s="1450"/>
    </row>
    <row r="40" spans="2:26" ht="24" customHeight="1">
      <c r="B40" s="1448"/>
      <c r="C40" s="1448"/>
      <c r="D40" s="1448"/>
      <c r="E40" s="1448"/>
      <c r="F40" s="1448"/>
      <c r="G40" s="1448"/>
      <c r="H40" s="1448"/>
      <c r="I40" s="1448"/>
      <c r="K40" s="1451" t="s">
        <v>8671</v>
      </c>
      <c r="L40" s="1451"/>
      <c r="M40" s="1451"/>
      <c r="N40" s="1452" t="s">
        <v>8672</v>
      </c>
      <c r="O40" s="1452"/>
      <c r="P40" s="1452"/>
    </row>
    <row r="41" spans="2:26" ht="24" customHeight="1">
      <c r="B41" s="1448"/>
      <c r="C41" s="1448"/>
      <c r="D41" s="1448"/>
      <c r="E41" s="1448"/>
      <c r="F41" s="1448"/>
      <c r="G41" s="1448"/>
      <c r="H41" s="1448"/>
      <c r="I41" s="1448"/>
      <c r="K41" s="1451"/>
      <c r="L41" s="1451"/>
      <c r="M41" s="1451"/>
      <c r="N41" s="1452"/>
      <c r="O41" s="1452"/>
      <c r="P41" s="1452"/>
    </row>
    <row r="42" spans="2:26">
      <c r="B42" s="1110"/>
      <c r="C42" s="1110"/>
      <c r="D42" s="1110"/>
      <c r="E42" s="1110"/>
      <c r="F42" s="1110"/>
      <c r="G42" s="1110"/>
      <c r="H42" s="1110"/>
      <c r="I42" s="1110"/>
      <c r="K42" s="1451"/>
      <c r="L42" s="1451"/>
      <c r="M42" s="1451"/>
      <c r="N42" s="1452"/>
      <c r="O42" s="1452"/>
      <c r="P42" s="1452"/>
    </row>
    <row r="43" spans="2:26">
      <c r="B43" s="1110"/>
      <c r="C43" s="1110"/>
      <c r="D43" s="1110"/>
      <c r="E43" s="1110"/>
      <c r="F43" s="1110"/>
      <c r="G43" s="1110"/>
      <c r="H43" s="1110"/>
      <c r="I43" s="1110"/>
      <c r="K43" s="1451"/>
      <c r="L43" s="1451"/>
      <c r="M43" s="1451"/>
      <c r="N43" s="1452"/>
      <c r="O43" s="1452"/>
      <c r="P43" s="1452"/>
    </row>
    <row r="44" spans="2:26" ht="24" customHeight="1">
      <c r="B44" s="1443" t="s">
        <v>8673</v>
      </c>
      <c r="C44" s="1443"/>
      <c r="D44" s="1443"/>
      <c r="E44" s="1443"/>
      <c r="F44" s="1443"/>
      <c r="G44" s="1443"/>
      <c r="H44" s="1443"/>
      <c r="I44" s="1443"/>
      <c r="K44" s="1110"/>
      <c r="L44" s="1110"/>
      <c r="M44" s="1110"/>
      <c r="N44" s="1110"/>
      <c r="O44" s="1110"/>
      <c r="P44" s="1110"/>
    </row>
    <row r="45" spans="2:26" ht="21.95" customHeight="1">
      <c r="B45" s="1150" t="s">
        <v>6208</v>
      </c>
      <c r="C45" s="1150" t="s">
        <v>6256</v>
      </c>
      <c r="D45" s="1444" t="s">
        <v>8674</v>
      </c>
      <c r="E45" s="1444"/>
      <c r="F45" s="1444"/>
      <c r="G45" s="1444"/>
      <c r="H45" s="1444"/>
      <c r="I45" s="1444"/>
      <c r="K45" s="1445" t="s">
        <v>8675</v>
      </c>
      <c r="L45" s="1445"/>
      <c r="M45" s="1445"/>
      <c r="N45" s="1445"/>
      <c r="O45" s="1445"/>
      <c r="P45" s="1445"/>
    </row>
    <row r="46" spans="2:26" ht="33.950000000000003" customHeight="1">
      <c r="B46" s="1151" t="s">
        <v>6272</v>
      </c>
      <c r="C46" s="1152" t="s">
        <v>8655</v>
      </c>
      <c r="D46" s="1441" t="s">
        <v>8676</v>
      </c>
      <c r="E46" s="1441"/>
      <c r="F46" s="1441"/>
      <c r="G46" s="1441"/>
      <c r="H46" s="1441"/>
      <c r="I46" s="1441"/>
    </row>
    <row r="47" spans="2:26" ht="33.950000000000003" customHeight="1">
      <c r="B47" s="1151" t="s">
        <v>6276</v>
      </c>
      <c r="C47" s="1152" t="s">
        <v>8658</v>
      </c>
      <c r="D47" s="1441" t="s">
        <v>8677</v>
      </c>
      <c r="E47" s="1441"/>
      <c r="F47" s="1441"/>
      <c r="G47" s="1441"/>
      <c r="H47" s="1441"/>
      <c r="I47" s="1441"/>
    </row>
    <row r="48" spans="2:26" ht="38.1" customHeight="1">
      <c r="B48" s="1151" t="s">
        <v>6280</v>
      </c>
      <c r="C48" s="1152" t="s">
        <v>8662</v>
      </c>
      <c r="D48" s="1441" t="s">
        <v>8678</v>
      </c>
      <c r="E48" s="1441"/>
      <c r="F48" s="1441"/>
      <c r="G48" s="1441"/>
      <c r="H48" s="1441"/>
      <c r="I48" s="1441"/>
    </row>
    <row r="49" spans="2:9" ht="33.950000000000003" customHeight="1">
      <c r="B49" s="1151" t="s">
        <v>6284</v>
      </c>
      <c r="C49" s="1152" t="s">
        <v>8665</v>
      </c>
      <c r="D49" s="1441" t="s">
        <v>8679</v>
      </c>
      <c r="E49" s="1441"/>
      <c r="F49" s="1441"/>
      <c r="G49" s="1441"/>
      <c r="H49" s="1441"/>
      <c r="I49" s="1441"/>
    </row>
    <row r="50" spans="2:9">
      <c r="B50" s="1153"/>
      <c r="C50" s="1110"/>
      <c r="D50" s="1110"/>
      <c r="E50" s="1110"/>
      <c r="F50" s="1110"/>
      <c r="G50" s="1110"/>
      <c r="H50" s="1110"/>
      <c r="I50" s="1110"/>
    </row>
    <row r="51" spans="2:9" ht="21.95" customHeight="1">
      <c r="B51" s="1442" t="s">
        <v>8680</v>
      </c>
      <c r="C51" s="1442"/>
      <c r="D51" s="1442"/>
      <c r="E51" s="1442"/>
      <c r="F51" s="1442"/>
      <c r="G51" s="1442"/>
      <c r="H51" s="1442"/>
      <c r="I51" s="1442"/>
    </row>
    <row r="52" spans="2:9" ht="21.95" customHeight="1">
      <c r="B52" s="1442"/>
      <c r="C52" s="1442"/>
      <c r="D52" s="1442"/>
      <c r="E52" s="1442"/>
      <c r="F52" s="1442"/>
      <c r="G52" s="1442"/>
      <c r="H52" s="1442"/>
      <c r="I52" s="1442"/>
    </row>
    <row r="53" spans="2:9">
      <c r="B53" s="1110"/>
      <c r="C53" s="1110"/>
      <c r="D53" s="1110"/>
      <c r="E53" s="1110"/>
      <c r="F53" s="1110"/>
      <c r="G53" s="1110"/>
      <c r="H53" s="1110"/>
      <c r="I53" s="1110"/>
    </row>
    <row r="54" spans="2:9">
      <c r="B54" s="1110"/>
      <c r="C54" s="1110"/>
      <c r="D54" s="1110"/>
      <c r="E54" s="1110"/>
      <c r="F54" s="1110"/>
      <c r="G54" s="1110"/>
      <c r="H54" s="1110"/>
      <c r="I54" s="1110"/>
    </row>
    <row r="55" spans="2:9">
      <c r="B55" s="1110"/>
      <c r="C55" s="1110"/>
      <c r="D55" s="1110"/>
      <c r="E55" s="1110"/>
      <c r="F55" s="1110"/>
      <c r="G55" s="1110"/>
      <c r="H55" s="1110"/>
      <c r="I55" s="1110"/>
    </row>
    <row r="56" spans="2:9">
      <c r="B56" s="1110"/>
      <c r="C56" s="1110"/>
      <c r="D56" s="1110"/>
      <c r="E56" s="1110"/>
      <c r="F56" s="1110"/>
      <c r="G56" s="1110"/>
      <c r="H56" s="1110"/>
      <c r="I56" s="1110"/>
    </row>
    <row r="57" spans="2:9">
      <c r="B57" s="1110"/>
      <c r="C57" s="1110"/>
      <c r="D57" s="1110"/>
      <c r="E57" s="1110"/>
      <c r="F57" s="1110"/>
      <c r="G57" s="1110"/>
      <c r="H57" s="1110"/>
      <c r="I57" s="1110"/>
    </row>
    <row r="58" spans="2:9">
      <c r="B58" s="1110"/>
      <c r="C58" s="1110"/>
      <c r="D58" s="1110"/>
      <c r="E58" s="1110"/>
      <c r="F58" s="1110"/>
      <c r="G58" s="1110"/>
      <c r="H58" s="1110"/>
      <c r="I58" s="1110"/>
    </row>
    <row r="59" spans="2:9">
      <c r="B59" s="1110"/>
      <c r="C59" s="1110"/>
      <c r="D59" s="1110"/>
      <c r="E59" s="1110"/>
      <c r="F59" s="1110"/>
      <c r="G59" s="1110"/>
      <c r="H59" s="1110"/>
      <c r="I59" s="1110"/>
    </row>
    <row r="60" spans="2:9">
      <c r="B60" s="1110"/>
      <c r="C60" s="1110"/>
      <c r="D60" s="1110"/>
      <c r="E60" s="1110"/>
      <c r="F60" s="1110"/>
      <c r="G60" s="1110"/>
      <c r="H60" s="1110"/>
      <c r="I60" s="1110"/>
    </row>
  </sheetData>
  <mergeCells count="85">
    <mergeCell ref="R5:Z5"/>
    <mergeCell ref="C6:D6"/>
    <mergeCell ref="E6:F6"/>
    <mergeCell ref="G6:I6"/>
    <mergeCell ref="B1:I2"/>
    <mergeCell ref="K1:P2"/>
    <mergeCell ref="R1:Z2"/>
    <mergeCell ref="B3:I4"/>
    <mergeCell ref="K3:P3"/>
    <mergeCell ref="R3:Z3"/>
    <mergeCell ref="C5:D5"/>
    <mergeCell ref="E5:F5"/>
    <mergeCell ref="G5:I5"/>
    <mergeCell ref="R12:U16"/>
    <mergeCell ref="W12:Z16"/>
    <mergeCell ref="C13:I13"/>
    <mergeCell ref="C14:I14"/>
    <mergeCell ref="C15:I15"/>
    <mergeCell ref="C16:I16"/>
    <mergeCell ref="K10:M15"/>
    <mergeCell ref="R7:T10"/>
    <mergeCell ref="U7:W10"/>
    <mergeCell ref="X7:Z10"/>
    <mergeCell ref="B8:I8"/>
    <mergeCell ref="K8:P8"/>
    <mergeCell ref="C9:I9"/>
    <mergeCell ref="K9:M9"/>
    <mergeCell ref="N9:P9"/>
    <mergeCell ref="C10:I10"/>
    <mergeCell ref="K17:P18"/>
    <mergeCell ref="B18:I18"/>
    <mergeCell ref="N10:P15"/>
    <mergeCell ref="C11:I11"/>
    <mergeCell ref="C12:I12"/>
    <mergeCell ref="R18:Z18"/>
    <mergeCell ref="D19:I19"/>
    <mergeCell ref="D20:I20"/>
    <mergeCell ref="K20:P20"/>
    <mergeCell ref="R20:T23"/>
    <mergeCell ref="U20:W23"/>
    <mergeCell ref="X20:Z23"/>
    <mergeCell ref="D21:I21"/>
    <mergeCell ref="K21:M21"/>
    <mergeCell ref="N21:P21"/>
    <mergeCell ref="D22:I22"/>
    <mergeCell ref="K22:M28"/>
    <mergeCell ref="N22:P28"/>
    <mergeCell ref="D23:I23"/>
    <mergeCell ref="R25:U29"/>
    <mergeCell ref="W25:Z29"/>
    <mergeCell ref="B26:I26"/>
    <mergeCell ref="C27:I27"/>
    <mergeCell ref="C28:I28"/>
    <mergeCell ref="C29:I29"/>
    <mergeCell ref="K29:P30"/>
    <mergeCell ref="C30:I30"/>
    <mergeCell ref="C36:I36"/>
    <mergeCell ref="M36:P36"/>
    <mergeCell ref="R36:Z36"/>
    <mergeCell ref="C31:I31"/>
    <mergeCell ref="R31:Z33"/>
    <mergeCell ref="C32:I32"/>
    <mergeCell ref="K32:P32"/>
    <mergeCell ref="C33:I33"/>
    <mergeCell ref="M33:P33"/>
    <mergeCell ref="C34:I34"/>
    <mergeCell ref="M34:P34"/>
    <mergeCell ref="C35:I35"/>
    <mergeCell ref="M35:P35"/>
    <mergeCell ref="R35:Z35"/>
    <mergeCell ref="M37:P37"/>
    <mergeCell ref="B38:I38"/>
    <mergeCell ref="B39:I41"/>
    <mergeCell ref="K39:M39"/>
    <mergeCell ref="N39:P39"/>
    <mergeCell ref="K40:M43"/>
    <mergeCell ref="N40:P43"/>
    <mergeCell ref="D49:I49"/>
    <mergeCell ref="B51:I52"/>
    <mergeCell ref="B44:I44"/>
    <mergeCell ref="D45:I45"/>
    <mergeCell ref="K45:P45"/>
    <mergeCell ref="D46:I46"/>
    <mergeCell ref="D47:I47"/>
    <mergeCell ref="D48:I48"/>
  </mergeCells>
  <hyperlinks>
    <hyperlink ref="AB2" r:id="rId1" xr:uid="{CC617D96-2EE8-44B9-8DDB-2883D84D804F}"/>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7225E-CA7D-42CB-A466-ED02E2B064FD}">
  <dimension ref="B1:M40"/>
  <sheetViews>
    <sheetView workbookViewId="0">
      <selection activeCell="A12" sqref="A12"/>
    </sheetView>
  </sheetViews>
  <sheetFormatPr baseColWidth="10" defaultRowHeight="15"/>
  <cols>
    <col min="1" max="1" width="4" style="555" customWidth="1"/>
    <col min="2" max="3" width="20.7109375" style="555" customWidth="1"/>
    <col min="4" max="4" width="28.140625" style="555" customWidth="1"/>
    <col min="5" max="5" width="20.7109375" style="555" customWidth="1"/>
    <col min="6" max="6" width="29.5703125" style="555" customWidth="1"/>
    <col min="7" max="7" width="9.5703125" style="555" customWidth="1"/>
    <col min="8" max="8" width="21" style="555" customWidth="1"/>
    <col min="9" max="9" width="36.42578125" style="555" customWidth="1"/>
    <col min="10" max="11" width="20.7109375" style="555" customWidth="1"/>
    <col min="12" max="12" width="32.7109375" style="555" customWidth="1"/>
    <col min="13" max="16384" width="11.42578125" style="555"/>
  </cols>
  <sheetData>
    <row r="1" spans="2:13" ht="51.2" customHeight="1">
      <c r="B1" s="1489" t="s">
        <v>8482</v>
      </c>
      <c r="C1" s="1489"/>
      <c r="D1" s="1489"/>
      <c r="E1" s="1489"/>
      <c r="F1" s="1489"/>
      <c r="G1" s="1489"/>
      <c r="H1" s="1489"/>
      <c r="I1" s="1489"/>
      <c r="J1" s="1489"/>
      <c r="K1" s="1489"/>
      <c r="L1" s="1489"/>
    </row>
    <row r="2" spans="2:13" ht="20.100000000000001" customHeight="1">
      <c r="B2" s="1417" t="s">
        <v>8483</v>
      </c>
      <c r="C2" s="1417"/>
      <c r="D2" s="1417"/>
      <c r="E2" s="1417"/>
      <c r="F2" s="1417"/>
      <c r="G2" s="1417"/>
      <c r="H2" s="1417"/>
      <c r="I2" s="1417"/>
      <c r="J2" s="1417"/>
      <c r="K2" s="1417"/>
      <c r="L2" s="1417"/>
      <c r="M2" s="1035" t="s">
        <v>841</v>
      </c>
    </row>
    <row r="3" spans="2:13" ht="17.100000000000001" customHeight="1">
      <c r="B3" s="1041" t="s">
        <v>8287</v>
      </c>
      <c r="C3" s="1136"/>
      <c r="D3" s="1136"/>
      <c r="E3" s="1136"/>
      <c r="F3" s="1136"/>
      <c r="G3" s="1136"/>
      <c r="H3" s="1136"/>
      <c r="I3" s="1136"/>
      <c r="J3" s="1136"/>
      <c r="K3" s="1136"/>
      <c r="L3" s="1136"/>
    </row>
    <row r="4" spans="2:13" ht="30" customHeight="1">
      <c r="B4" s="1490" t="s">
        <v>8484</v>
      </c>
      <c r="C4" s="1490"/>
      <c r="D4" s="1490"/>
      <c r="E4" s="1136"/>
      <c r="F4" s="1491" t="s">
        <v>8485</v>
      </c>
      <c r="G4" s="1491"/>
      <c r="H4" s="1491"/>
      <c r="I4" s="1137"/>
      <c r="J4" s="1492" t="s">
        <v>8486</v>
      </c>
      <c r="K4" s="1492"/>
      <c r="L4" s="1492"/>
    </row>
    <row r="5" spans="2:13" ht="17.100000000000001" customHeight="1">
      <c r="B5" s="1490"/>
      <c r="C5" s="1490"/>
      <c r="D5" s="1490"/>
      <c r="E5" s="1136"/>
      <c r="F5" s="1491"/>
      <c r="G5" s="1491"/>
      <c r="H5" s="1491"/>
      <c r="I5" s="1137"/>
      <c r="J5" s="1492"/>
      <c r="K5" s="1492"/>
      <c r="L5" s="1492"/>
    </row>
    <row r="6" spans="2:13" ht="17.100000000000001" customHeight="1">
      <c r="B6" s="1490"/>
      <c r="C6" s="1490"/>
      <c r="D6" s="1490"/>
      <c r="E6" s="1136"/>
      <c r="F6" s="1491"/>
      <c r="G6" s="1491"/>
      <c r="H6" s="1491"/>
      <c r="I6" s="1137"/>
      <c r="J6" s="1492"/>
      <c r="K6" s="1492"/>
      <c r="L6" s="1492"/>
    </row>
    <row r="7" spans="2:13" ht="17.100000000000001" customHeight="1">
      <c r="B7" s="1490"/>
      <c r="C7" s="1490"/>
      <c r="D7" s="1490"/>
      <c r="E7" s="1136"/>
      <c r="F7" s="1491"/>
      <c r="G7" s="1491"/>
      <c r="H7" s="1491"/>
      <c r="I7" s="1137"/>
      <c r="J7" s="1492"/>
      <c r="K7" s="1492"/>
      <c r="L7" s="1492"/>
    </row>
    <row r="8" spans="2:13" ht="17.100000000000001" customHeight="1">
      <c r="B8" s="1490"/>
      <c r="C8" s="1490"/>
      <c r="D8" s="1490"/>
      <c r="E8" s="1136"/>
      <c r="F8" s="1491"/>
      <c r="G8" s="1491"/>
      <c r="H8" s="1491"/>
      <c r="I8" s="1137"/>
      <c r="J8" s="1492"/>
      <c r="K8" s="1492"/>
      <c r="L8" s="1492"/>
    </row>
    <row r="9" spans="2:13" ht="17.100000000000001" customHeight="1">
      <c r="B9" s="1137"/>
      <c r="C9" s="1137"/>
      <c r="D9" s="1137"/>
      <c r="E9" s="1136"/>
      <c r="F9" s="1137"/>
      <c r="G9" s="1136"/>
      <c r="H9" s="1137"/>
      <c r="I9" s="1137"/>
      <c r="J9" s="1137"/>
      <c r="K9" s="1137"/>
      <c r="L9" s="1137"/>
    </row>
    <row r="10" spans="2:13" ht="30" customHeight="1">
      <c r="B10" s="1418" t="s">
        <v>8487</v>
      </c>
      <c r="C10" s="1418"/>
      <c r="D10" s="1418"/>
      <c r="E10" s="1418"/>
      <c r="F10" s="1418"/>
      <c r="G10" s="1138"/>
      <c r="H10" s="1418" t="s">
        <v>8488</v>
      </c>
      <c r="I10" s="1418"/>
      <c r="J10" s="1418"/>
      <c r="K10" s="1418"/>
      <c r="L10" s="1418"/>
    </row>
    <row r="11" spans="2:13" ht="34.15" customHeight="1">
      <c r="B11" s="1093" t="s">
        <v>6456</v>
      </c>
      <c r="C11" s="1093" t="s">
        <v>8489</v>
      </c>
      <c r="D11" s="1093" t="s">
        <v>8490</v>
      </c>
      <c r="E11" s="1093" t="s">
        <v>8491</v>
      </c>
      <c r="F11" s="1093" t="s">
        <v>8492</v>
      </c>
      <c r="G11" s="1138"/>
      <c r="H11" s="1093" t="s">
        <v>6456</v>
      </c>
      <c r="I11" s="1093" t="s">
        <v>8493</v>
      </c>
      <c r="J11" s="1093" t="s">
        <v>8494</v>
      </c>
      <c r="K11" s="1093" t="s">
        <v>8495</v>
      </c>
      <c r="L11" s="1093" t="s">
        <v>8496</v>
      </c>
    </row>
    <row r="12" spans="2:13" ht="39.950000000000003" customHeight="1">
      <c r="B12" s="1095" t="s">
        <v>8497</v>
      </c>
      <c r="C12" s="1094" t="s">
        <v>40</v>
      </c>
      <c r="D12" s="1094" t="s">
        <v>8498</v>
      </c>
      <c r="E12" s="1094" t="s">
        <v>8499</v>
      </c>
      <c r="F12" s="1094" t="s">
        <v>8500</v>
      </c>
      <c r="G12" s="1138"/>
      <c r="H12" s="1095" t="s">
        <v>8346</v>
      </c>
      <c r="I12" s="1094" t="s">
        <v>9</v>
      </c>
      <c r="J12" s="1094" t="s">
        <v>9</v>
      </c>
      <c r="K12" s="1094" t="s">
        <v>9</v>
      </c>
      <c r="L12" s="1094" t="s">
        <v>1074</v>
      </c>
    </row>
    <row r="13" spans="2:13" ht="39.950000000000003" customHeight="1">
      <c r="B13" s="1095" t="s">
        <v>8501</v>
      </c>
      <c r="C13" s="1094" t="s">
        <v>7251</v>
      </c>
      <c r="D13" s="1094" t="s">
        <v>8502</v>
      </c>
      <c r="E13" s="1094" t="s">
        <v>8503</v>
      </c>
      <c r="F13" s="1094" t="s">
        <v>8504</v>
      </c>
      <c r="G13" s="1138"/>
      <c r="H13" s="1095" t="s">
        <v>8348</v>
      </c>
      <c r="I13" s="1094" t="s">
        <v>689</v>
      </c>
      <c r="J13" s="1094" t="s">
        <v>689</v>
      </c>
      <c r="K13" s="1094" t="s">
        <v>689</v>
      </c>
      <c r="L13" s="1094" t="s">
        <v>8505</v>
      </c>
    </row>
    <row r="14" spans="2:13" ht="39.950000000000003" customHeight="1">
      <c r="B14" s="1095" t="s">
        <v>8506</v>
      </c>
      <c r="C14" s="1094" t="s">
        <v>8507</v>
      </c>
      <c r="D14" s="1094" t="s">
        <v>8508</v>
      </c>
      <c r="E14" s="1094" t="s">
        <v>8509</v>
      </c>
      <c r="F14" s="1094" t="s">
        <v>8510</v>
      </c>
      <c r="G14" s="1138"/>
      <c r="H14" s="1095" t="s">
        <v>8350</v>
      </c>
      <c r="I14" s="1094" t="s">
        <v>20</v>
      </c>
      <c r="J14" s="1094" t="s">
        <v>1</v>
      </c>
      <c r="K14" s="1094" t="s">
        <v>46</v>
      </c>
      <c r="L14" s="1094" t="s">
        <v>8511</v>
      </c>
    </row>
    <row r="15" spans="2:13" ht="39.950000000000003" customHeight="1">
      <c r="B15" s="1138"/>
      <c r="C15" s="1138"/>
      <c r="D15" s="1138"/>
      <c r="E15" s="1138"/>
      <c r="F15" s="1138"/>
      <c r="G15" s="1138"/>
      <c r="H15" s="1095" t="s">
        <v>8353</v>
      </c>
      <c r="I15" s="1094" t="s">
        <v>7383</v>
      </c>
      <c r="J15" s="1094" t="s">
        <v>7384</v>
      </c>
      <c r="K15" s="1094" t="s">
        <v>7385</v>
      </c>
      <c r="L15" s="1094" t="s">
        <v>8512</v>
      </c>
    </row>
    <row r="16" spans="2:13" ht="39.950000000000003" customHeight="1">
      <c r="B16" s="1138"/>
      <c r="C16" s="1138"/>
      <c r="D16" s="1138"/>
      <c r="E16" s="1138"/>
      <c r="F16" s="1138"/>
      <c r="G16" s="1138"/>
      <c r="H16" s="1095" t="s">
        <v>8357</v>
      </c>
      <c r="I16" s="1094" t="s">
        <v>8246</v>
      </c>
      <c r="J16" s="1094" t="s">
        <v>8246</v>
      </c>
      <c r="K16" s="1094" t="s">
        <v>8246</v>
      </c>
      <c r="L16" s="1094" t="s">
        <v>8513</v>
      </c>
    </row>
    <row r="17" spans="2:12" ht="39.950000000000003" customHeight="1">
      <c r="B17" s="1138"/>
      <c r="C17" s="1138"/>
      <c r="D17" s="1138"/>
      <c r="E17" s="1138"/>
      <c r="F17" s="1138"/>
      <c r="G17" s="1138"/>
      <c r="H17" s="1092"/>
      <c r="I17" s="1092"/>
      <c r="J17" s="1092"/>
      <c r="K17" s="1092"/>
      <c r="L17" s="1092"/>
    </row>
    <row r="18" spans="2:12" ht="51.2" customHeight="1">
      <c r="B18" s="1418" t="s">
        <v>8514</v>
      </c>
      <c r="C18" s="1418"/>
      <c r="D18" s="1418"/>
      <c r="E18" s="1418"/>
      <c r="F18" s="1418"/>
      <c r="G18" s="1418"/>
      <c r="H18" s="1418"/>
      <c r="I18" s="1418"/>
      <c r="J18" s="1418"/>
      <c r="K18" s="1418"/>
      <c r="L18" s="1418"/>
    </row>
    <row r="19" spans="2:12" ht="34.15" customHeight="1">
      <c r="B19" s="1493" t="s">
        <v>8515</v>
      </c>
      <c r="C19" s="1493" t="s">
        <v>8452</v>
      </c>
      <c r="D19" s="1493" t="s">
        <v>8452</v>
      </c>
      <c r="E19" s="1493" t="s">
        <v>8371</v>
      </c>
      <c r="F19" s="1493"/>
      <c r="G19" s="1493" t="s">
        <v>8516</v>
      </c>
      <c r="H19" s="1493"/>
      <c r="I19" s="1493"/>
      <c r="J19" s="1493" t="s">
        <v>8371</v>
      </c>
      <c r="K19" s="1493"/>
      <c r="L19" s="1493"/>
    </row>
    <row r="20" spans="2:12" ht="30" customHeight="1">
      <c r="B20" s="1488" t="s">
        <v>8517</v>
      </c>
      <c r="C20" s="1488" t="s">
        <v>8518</v>
      </c>
      <c r="D20" s="1488" t="s">
        <v>8518</v>
      </c>
      <c r="E20" s="1488" t="s">
        <v>8519</v>
      </c>
      <c r="F20" s="1488"/>
      <c r="G20" s="1488" t="s">
        <v>8520</v>
      </c>
      <c r="H20" s="1488"/>
      <c r="I20" s="1488"/>
      <c r="J20" s="1488" t="s">
        <v>8519</v>
      </c>
      <c r="K20" s="1488"/>
      <c r="L20" s="1488"/>
    </row>
    <row r="21" spans="2:12" ht="30" customHeight="1">
      <c r="B21" s="1488" t="s">
        <v>8521</v>
      </c>
      <c r="C21" s="1488" t="s">
        <v>8522</v>
      </c>
      <c r="D21" s="1488" t="s">
        <v>8522</v>
      </c>
      <c r="E21" s="1488" t="s">
        <v>8523</v>
      </c>
      <c r="F21" s="1488"/>
      <c r="G21" s="1488" t="s">
        <v>8524</v>
      </c>
      <c r="H21" s="1488"/>
      <c r="I21" s="1488"/>
      <c r="J21" s="1488" t="s">
        <v>8523</v>
      </c>
      <c r="K21" s="1488"/>
      <c r="L21" s="1488"/>
    </row>
    <row r="22" spans="2:12" ht="30" customHeight="1">
      <c r="B22" s="1488" t="s">
        <v>8525</v>
      </c>
      <c r="C22" s="1488" t="s">
        <v>8526</v>
      </c>
      <c r="D22" s="1488" t="s">
        <v>8526</v>
      </c>
      <c r="E22" s="1488" t="s">
        <v>8527</v>
      </c>
      <c r="F22" s="1488"/>
      <c r="G22" s="1488" t="s">
        <v>8528</v>
      </c>
      <c r="H22" s="1488"/>
      <c r="I22" s="1488"/>
      <c r="J22" s="1488" t="s">
        <v>8527</v>
      </c>
      <c r="K22" s="1488"/>
      <c r="L22" s="1488"/>
    </row>
    <row r="23" spans="2:12" ht="30" customHeight="1">
      <c r="B23" s="1488" t="s">
        <v>8529</v>
      </c>
      <c r="C23" s="1488" t="s">
        <v>8530</v>
      </c>
      <c r="D23" s="1488" t="s">
        <v>8530</v>
      </c>
      <c r="E23" s="1488" t="s">
        <v>8531</v>
      </c>
      <c r="F23" s="1488"/>
      <c r="G23" s="1488" t="s">
        <v>8532</v>
      </c>
      <c r="H23" s="1488"/>
      <c r="I23" s="1488"/>
      <c r="J23" s="1488" t="s">
        <v>8531</v>
      </c>
      <c r="K23" s="1488"/>
      <c r="L23" s="1488"/>
    </row>
    <row r="24" spans="2:12" ht="30" customHeight="1">
      <c r="B24" s="1488" t="s">
        <v>8533</v>
      </c>
      <c r="C24" s="1488" t="s">
        <v>8534</v>
      </c>
      <c r="D24" s="1488" t="s">
        <v>8534</v>
      </c>
      <c r="E24" s="1488" t="s">
        <v>8535</v>
      </c>
      <c r="F24" s="1488"/>
      <c r="G24" s="1488" t="s">
        <v>8536</v>
      </c>
      <c r="H24" s="1488"/>
      <c r="I24" s="1488"/>
      <c r="J24" s="1488" t="s">
        <v>8535</v>
      </c>
      <c r="K24" s="1488"/>
      <c r="L24" s="1488"/>
    </row>
    <row r="25" spans="2:12" ht="17.100000000000001" customHeight="1">
      <c r="B25" s="1092"/>
      <c r="C25" s="1092"/>
      <c r="D25" s="1092"/>
      <c r="E25" s="1092"/>
      <c r="F25" s="1092"/>
      <c r="G25" s="1092"/>
      <c r="H25" s="1092"/>
      <c r="I25" s="1092"/>
      <c r="J25" s="1092"/>
      <c r="K25" s="1092"/>
      <c r="L25" s="1092"/>
    </row>
    <row r="26" spans="2:12" ht="34.15" customHeight="1">
      <c r="B26" s="1418" t="s">
        <v>8537</v>
      </c>
      <c r="C26" s="1418"/>
      <c r="D26" s="1418"/>
      <c r="E26" s="1418"/>
      <c r="F26" s="1418"/>
      <c r="G26" s="1418"/>
      <c r="H26" s="1418"/>
      <c r="I26" s="1418"/>
      <c r="J26" s="1418"/>
      <c r="K26" s="1418"/>
      <c r="L26" s="1418"/>
    </row>
    <row r="27" spans="2:12" ht="34.15" customHeight="1">
      <c r="B27" s="1487" t="s">
        <v>6152</v>
      </c>
      <c r="C27" s="1487" t="s">
        <v>8538</v>
      </c>
      <c r="D27" s="1487" t="s">
        <v>8539</v>
      </c>
      <c r="E27" s="1487" t="s">
        <v>8538</v>
      </c>
      <c r="F27" s="1487"/>
      <c r="G27" s="1487"/>
      <c r="H27" s="1487"/>
      <c r="I27" s="1487"/>
      <c r="J27" s="1487" t="s">
        <v>8539</v>
      </c>
      <c r="K27" s="1487"/>
      <c r="L27" s="1487"/>
    </row>
    <row r="28" spans="2:12" ht="39.950000000000003" customHeight="1">
      <c r="B28" s="1486" t="s">
        <v>8540</v>
      </c>
      <c r="C28" s="1486" t="s">
        <v>8541</v>
      </c>
      <c r="D28" s="1486" t="s">
        <v>8542</v>
      </c>
      <c r="E28" s="1486" t="s">
        <v>8541</v>
      </c>
      <c r="F28" s="1486"/>
      <c r="G28" s="1486"/>
      <c r="H28" s="1486"/>
      <c r="I28" s="1486"/>
      <c r="J28" s="1486" t="s">
        <v>8542</v>
      </c>
      <c r="K28" s="1486"/>
      <c r="L28" s="1486"/>
    </row>
    <row r="29" spans="2:12" ht="39.950000000000003" customHeight="1">
      <c r="B29" s="1486" t="s">
        <v>8543</v>
      </c>
      <c r="C29" s="1486" t="s">
        <v>8544</v>
      </c>
      <c r="D29" s="1486" t="s">
        <v>8545</v>
      </c>
      <c r="E29" s="1486" t="s">
        <v>8544</v>
      </c>
      <c r="F29" s="1486"/>
      <c r="G29" s="1486"/>
      <c r="H29" s="1486"/>
      <c r="I29" s="1486"/>
      <c r="J29" s="1486" t="s">
        <v>8545</v>
      </c>
      <c r="K29" s="1486"/>
      <c r="L29" s="1486"/>
    </row>
    <row r="30" spans="2:12" ht="39.950000000000003" customHeight="1">
      <c r="B30" s="1486" t="s">
        <v>8546</v>
      </c>
      <c r="C30" s="1486" t="s">
        <v>8547</v>
      </c>
      <c r="D30" s="1486" t="s">
        <v>8548</v>
      </c>
      <c r="E30" s="1486" t="s">
        <v>8547</v>
      </c>
      <c r="F30" s="1486"/>
      <c r="G30" s="1486"/>
      <c r="H30" s="1486"/>
      <c r="I30" s="1486"/>
      <c r="J30" s="1486" t="s">
        <v>8548</v>
      </c>
      <c r="K30" s="1486"/>
      <c r="L30" s="1486"/>
    </row>
    <row r="31" spans="2:12" ht="39.950000000000003" customHeight="1">
      <c r="B31" s="1486" t="s">
        <v>8549</v>
      </c>
      <c r="C31" s="1486" t="s">
        <v>8550</v>
      </c>
      <c r="D31" s="1486" t="s">
        <v>8551</v>
      </c>
      <c r="E31" s="1486" t="s">
        <v>8550</v>
      </c>
      <c r="F31" s="1486"/>
      <c r="G31" s="1486"/>
      <c r="H31" s="1486"/>
      <c r="I31" s="1486"/>
      <c r="J31" s="1486" t="s">
        <v>8551</v>
      </c>
      <c r="K31" s="1486"/>
      <c r="L31" s="1486"/>
    </row>
    <row r="32" spans="2:12" ht="39.950000000000003" customHeight="1">
      <c r="B32" s="1486" t="s">
        <v>8552</v>
      </c>
      <c r="C32" s="1486" t="s">
        <v>8553</v>
      </c>
      <c r="D32" s="1486" t="s">
        <v>8554</v>
      </c>
      <c r="E32" s="1486" t="s">
        <v>8553</v>
      </c>
      <c r="F32" s="1486"/>
      <c r="G32" s="1486"/>
      <c r="H32" s="1486"/>
      <c r="I32" s="1486"/>
      <c r="J32" s="1486" t="s">
        <v>8554</v>
      </c>
      <c r="K32" s="1486"/>
      <c r="L32" s="1486"/>
    </row>
    <row r="33" spans="2:12" ht="17.100000000000001" customHeight="1">
      <c r="B33" s="1092"/>
      <c r="C33" s="1092"/>
      <c r="D33" s="1092"/>
      <c r="E33" s="1092"/>
      <c r="F33" s="1092"/>
      <c r="G33" s="1092"/>
      <c r="H33" s="1092"/>
      <c r="I33" s="1092"/>
      <c r="J33" s="1092"/>
      <c r="K33" s="1092"/>
      <c r="L33" s="1092"/>
    </row>
    <row r="34" spans="2:12" ht="51.2" customHeight="1">
      <c r="B34" s="1415" t="s">
        <v>8555</v>
      </c>
      <c r="C34" s="1415"/>
      <c r="D34" s="1415"/>
      <c r="E34" s="1415"/>
      <c r="F34" s="1415"/>
      <c r="G34" s="1415"/>
      <c r="H34" s="1415"/>
      <c r="I34" s="1415"/>
      <c r="J34" s="1415"/>
      <c r="K34" s="1415"/>
      <c r="L34" s="1415"/>
    </row>
    <row r="35" spans="2:12" ht="31.5" customHeight="1">
      <c r="B35" s="1485" t="s">
        <v>8556</v>
      </c>
      <c r="C35" s="1485" t="s">
        <v>8368</v>
      </c>
      <c r="D35" s="1485" t="s">
        <v>8369</v>
      </c>
      <c r="E35" s="1485" t="s">
        <v>8368</v>
      </c>
      <c r="F35" s="1485"/>
      <c r="G35" s="1485" t="s">
        <v>8369</v>
      </c>
      <c r="H35" s="1485"/>
      <c r="I35" s="1485" t="s">
        <v>8370</v>
      </c>
      <c r="J35" s="1485"/>
      <c r="K35" s="1485"/>
      <c r="L35" s="1485"/>
    </row>
    <row r="36" spans="2:12" ht="39.950000000000003" customHeight="1">
      <c r="B36" s="1484" t="s">
        <v>8309</v>
      </c>
      <c r="C36" s="1484" t="s">
        <v>8372</v>
      </c>
      <c r="D36" s="1484" t="s">
        <v>8373</v>
      </c>
      <c r="E36" s="1484" t="s">
        <v>8372</v>
      </c>
      <c r="F36" s="1484"/>
      <c r="G36" s="1484" t="s">
        <v>8373</v>
      </c>
      <c r="H36" s="1484"/>
      <c r="I36" s="1484" t="s">
        <v>8557</v>
      </c>
      <c r="J36" s="1484"/>
      <c r="K36" s="1484"/>
      <c r="L36" s="1484"/>
    </row>
    <row r="37" spans="2:12" ht="39.950000000000003" customHeight="1">
      <c r="B37" s="1484" t="s">
        <v>8558</v>
      </c>
      <c r="C37" s="1484" t="s">
        <v>8559</v>
      </c>
      <c r="D37" s="1484"/>
      <c r="E37" s="1484" t="s">
        <v>8559</v>
      </c>
      <c r="F37" s="1484"/>
      <c r="G37" s="1484"/>
      <c r="H37" s="1484"/>
      <c r="I37" s="1484"/>
      <c r="J37" s="1484"/>
      <c r="K37" s="1484"/>
      <c r="L37" s="1484"/>
    </row>
    <row r="38" spans="2:12" ht="17.100000000000001" customHeight="1">
      <c r="B38" s="1139"/>
      <c r="C38" s="1139"/>
      <c r="D38" s="1139"/>
      <c r="E38" s="1139"/>
      <c r="F38" s="1139"/>
      <c r="G38" s="1139"/>
      <c r="H38" s="1139"/>
      <c r="I38" s="1139"/>
      <c r="J38" s="1139"/>
      <c r="K38" s="1139"/>
      <c r="L38" s="1139"/>
    </row>
    <row r="39" spans="2:12" ht="17.100000000000001" customHeight="1">
      <c r="B39" s="1137"/>
      <c r="C39" s="1137"/>
      <c r="D39" s="1137"/>
      <c r="E39" s="1137"/>
      <c r="F39" s="1137"/>
      <c r="G39" s="1137"/>
      <c r="H39" s="1137"/>
      <c r="I39" s="1137"/>
      <c r="J39" s="1137"/>
      <c r="K39" s="1137"/>
      <c r="L39" s="1137"/>
    </row>
    <row r="40" spans="2:12" ht="17.100000000000001" customHeight="1">
      <c r="B40" s="1137"/>
      <c r="C40" s="1137"/>
      <c r="D40" s="1137"/>
      <c r="E40" s="1137"/>
      <c r="F40" s="1137"/>
      <c r="G40" s="1137"/>
      <c r="H40" s="1137"/>
      <c r="I40" s="1137"/>
      <c r="J40" s="1137"/>
      <c r="K40" s="1137"/>
      <c r="L40" s="1137"/>
    </row>
  </sheetData>
  <mergeCells count="62">
    <mergeCell ref="B20:C20"/>
    <mergeCell ref="D20:F20"/>
    <mergeCell ref="G20:I20"/>
    <mergeCell ref="J20:L20"/>
    <mergeCell ref="B1:L1"/>
    <mergeCell ref="B2:L2"/>
    <mergeCell ref="B4:D8"/>
    <mergeCell ref="F4:H8"/>
    <mergeCell ref="J4:L8"/>
    <mergeCell ref="B10:F10"/>
    <mergeCell ref="H10:L10"/>
    <mergeCell ref="B18:L18"/>
    <mergeCell ref="B19:C19"/>
    <mergeCell ref="D19:F19"/>
    <mergeCell ref="G19:I19"/>
    <mergeCell ref="J19:L19"/>
    <mergeCell ref="B21:C21"/>
    <mergeCell ref="D21:F21"/>
    <mergeCell ref="G21:I21"/>
    <mergeCell ref="J21:L21"/>
    <mergeCell ref="B22:C22"/>
    <mergeCell ref="D22:F22"/>
    <mergeCell ref="G22:I22"/>
    <mergeCell ref="J22:L22"/>
    <mergeCell ref="B23:C23"/>
    <mergeCell ref="D23:F23"/>
    <mergeCell ref="G23:I23"/>
    <mergeCell ref="J23:L23"/>
    <mergeCell ref="B24:C24"/>
    <mergeCell ref="D24:F24"/>
    <mergeCell ref="G24:I24"/>
    <mergeCell ref="J24:L24"/>
    <mergeCell ref="B26:L26"/>
    <mergeCell ref="B27:D27"/>
    <mergeCell ref="E27:I27"/>
    <mergeCell ref="J27:L27"/>
    <mergeCell ref="B28:D28"/>
    <mergeCell ref="E28:I28"/>
    <mergeCell ref="J28:L28"/>
    <mergeCell ref="B29:D29"/>
    <mergeCell ref="E29:I29"/>
    <mergeCell ref="J29:L29"/>
    <mergeCell ref="B30:D30"/>
    <mergeCell ref="E30:I30"/>
    <mergeCell ref="J30:L30"/>
    <mergeCell ref="B31:D31"/>
    <mergeCell ref="E31:I31"/>
    <mergeCell ref="J31:L31"/>
    <mergeCell ref="B32:D32"/>
    <mergeCell ref="E32:I32"/>
    <mergeCell ref="J32:L32"/>
    <mergeCell ref="B37:D37"/>
    <mergeCell ref="E37:L37"/>
    <mergeCell ref="B34:L34"/>
    <mergeCell ref="B35:D35"/>
    <mergeCell ref="E35:F35"/>
    <mergeCell ref="G35:H35"/>
    <mergeCell ref="I35:L35"/>
    <mergeCell ref="B36:D36"/>
    <mergeCell ref="E36:F36"/>
    <mergeCell ref="G36:H36"/>
    <mergeCell ref="I36:L3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73891-C3BD-48AC-9F74-D5C1F2081F47}">
  <dimension ref="B1:AG40"/>
  <sheetViews>
    <sheetView zoomScaleNormal="100" workbookViewId="0">
      <selection activeCell="L20" sqref="L20"/>
    </sheetView>
  </sheetViews>
  <sheetFormatPr baseColWidth="10" defaultColWidth="9.140625" defaultRowHeight="15"/>
  <cols>
    <col min="1" max="1" width="9.140625" style="1106"/>
    <col min="2" max="2" width="16" style="1106" customWidth="1"/>
    <col min="3" max="7" width="18" style="1106" customWidth="1"/>
    <col min="8" max="8" width="16" style="1106" customWidth="1"/>
    <col min="9" max="11" width="18" style="1106" customWidth="1"/>
    <col min="12" max="12" width="9.140625" style="1106"/>
    <col min="13" max="21" width="15" style="1106" customWidth="1"/>
    <col min="22" max="22" width="9.140625" style="1106"/>
    <col min="23" max="32" width="16" style="1106" customWidth="1"/>
    <col min="33" max="16384" width="9.140625" style="1106"/>
  </cols>
  <sheetData>
    <row r="1" spans="2:33" ht="27.95" customHeight="1">
      <c r="B1" s="1520" t="s">
        <v>8681</v>
      </c>
      <c r="C1" s="1520"/>
      <c r="D1" s="1520"/>
      <c r="E1" s="1520"/>
      <c r="F1" s="1520"/>
      <c r="G1" s="1520"/>
      <c r="H1" s="1520"/>
      <c r="I1" s="1520"/>
      <c r="J1" s="1520"/>
      <c r="K1" s="1520"/>
      <c r="M1" s="1478" t="s">
        <v>8682</v>
      </c>
      <c r="N1" s="1478"/>
      <c r="O1" s="1478"/>
      <c r="P1" s="1478"/>
      <c r="Q1" s="1478"/>
      <c r="R1" s="1478"/>
      <c r="S1" s="1478"/>
      <c r="T1" s="1478"/>
      <c r="U1" s="1478"/>
      <c r="W1" s="1520" t="s">
        <v>8683</v>
      </c>
      <c r="X1" s="1520"/>
      <c r="Y1" s="1520"/>
      <c r="Z1" s="1520"/>
      <c r="AA1" s="1520"/>
      <c r="AB1" s="1520"/>
      <c r="AC1" s="1520"/>
      <c r="AD1" s="1520"/>
      <c r="AE1" s="1520"/>
      <c r="AF1" s="1520"/>
    </row>
    <row r="2" spans="2:33" ht="24" customHeight="1">
      <c r="B2" s="1521" t="s">
        <v>8684</v>
      </c>
      <c r="C2" s="1521"/>
      <c r="D2" s="1521"/>
      <c r="E2" s="1521"/>
      <c r="F2" s="1521"/>
      <c r="G2" s="1521"/>
      <c r="H2" s="1521"/>
      <c r="I2" s="1521"/>
      <c r="J2" s="1521"/>
      <c r="K2" s="1521"/>
      <c r="M2" s="1522" t="s">
        <v>8685</v>
      </c>
      <c r="N2" s="1522"/>
      <c r="O2" s="1522"/>
      <c r="P2" s="1522"/>
      <c r="Q2" s="1522"/>
      <c r="R2" s="1522"/>
      <c r="S2" s="1522"/>
      <c r="T2" s="1522"/>
      <c r="U2" s="1522"/>
      <c r="W2" s="1521" t="s">
        <v>8686</v>
      </c>
      <c r="X2" s="1521"/>
      <c r="Y2" s="1521"/>
      <c r="Z2" s="1521"/>
      <c r="AA2" s="1521"/>
      <c r="AB2" s="1521"/>
      <c r="AC2" s="1521"/>
      <c r="AD2" s="1521"/>
      <c r="AE2" s="1521"/>
      <c r="AF2" s="1521"/>
      <c r="AG2" s="1035" t="s">
        <v>841</v>
      </c>
    </row>
    <row r="3" spans="2:33" ht="15.75">
      <c r="B3" s="1041" t="s">
        <v>8287</v>
      </c>
      <c r="C3" s="1110"/>
      <c r="D3" s="1110"/>
      <c r="E3" s="1110"/>
      <c r="F3" s="1110"/>
      <c r="G3" s="1110"/>
      <c r="H3" s="1110"/>
      <c r="I3" s="1110"/>
      <c r="J3" s="1110"/>
      <c r="K3" s="1110"/>
      <c r="M3" s="1041" t="s">
        <v>8287</v>
      </c>
      <c r="W3" s="1041" t="s">
        <v>8287</v>
      </c>
      <c r="X3" s="1110"/>
      <c r="Y3" s="1110"/>
      <c r="Z3" s="1110"/>
      <c r="AA3" s="1110"/>
      <c r="AB3" s="1110"/>
      <c r="AC3" s="1110"/>
      <c r="AD3" s="1110"/>
      <c r="AE3" s="1110"/>
      <c r="AF3" s="1110"/>
    </row>
    <row r="4" spans="2:33" ht="21.95" customHeight="1">
      <c r="B4" s="1494" t="s">
        <v>8687</v>
      </c>
      <c r="C4" s="1494"/>
      <c r="D4" s="1494"/>
      <c r="E4" s="1494"/>
      <c r="F4" s="1494"/>
      <c r="G4" s="1494"/>
      <c r="H4" s="1494"/>
      <c r="I4" s="1494"/>
      <c r="J4" s="1494"/>
      <c r="K4" s="1494"/>
      <c r="M4" s="1523" t="s">
        <v>8688</v>
      </c>
      <c r="N4" s="1523"/>
      <c r="O4" s="1523"/>
      <c r="P4" s="1523"/>
      <c r="Q4" s="1523"/>
      <c r="R4" s="1523"/>
      <c r="S4" s="1523"/>
      <c r="T4" s="1523"/>
      <c r="U4" s="1523"/>
      <c r="W4" s="1494" t="s">
        <v>8689</v>
      </c>
      <c r="X4" s="1494"/>
      <c r="Y4" s="1494"/>
      <c r="Z4" s="1494"/>
      <c r="AA4" s="1494"/>
      <c r="AB4" s="1494"/>
      <c r="AC4" s="1494"/>
      <c r="AD4" s="1494"/>
      <c r="AE4" s="1494"/>
      <c r="AF4" s="1494"/>
    </row>
    <row r="5" spans="2:33" ht="21.95" customHeight="1">
      <c r="B5" s="1524" t="s">
        <v>8690</v>
      </c>
      <c r="C5" s="1524"/>
      <c r="D5" s="1524"/>
      <c r="E5" s="1524"/>
      <c r="F5" s="1524"/>
      <c r="G5" s="1525" t="s">
        <v>8691</v>
      </c>
      <c r="H5" s="1525"/>
      <c r="I5" s="1525"/>
      <c r="J5" s="1525"/>
      <c r="K5" s="1525"/>
      <c r="W5" s="1526" t="s">
        <v>8692</v>
      </c>
      <c r="X5" s="1526"/>
      <c r="Y5" s="1518" t="s">
        <v>8693</v>
      </c>
      <c r="Z5" s="1518"/>
      <c r="AA5" s="1527" t="s">
        <v>8694</v>
      </c>
      <c r="AB5" s="1527"/>
      <c r="AC5" s="1526" t="s">
        <v>8695</v>
      </c>
      <c r="AD5" s="1526"/>
      <c r="AE5" s="1518" t="s">
        <v>8696</v>
      </c>
      <c r="AF5" s="1518"/>
    </row>
    <row r="6" spans="2:33" ht="72" customHeight="1">
      <c r="B6" s="1495" t="s">
        <v>8697</v>
      </c>
      <c r="C6" s="1495"/>
      <c r="D6" s="1495"/>
      <c r="E6" s="1495"/>
      <c r="F6" s="1495"/>
      <c r="G6" s="1495" t="s">
        <v>8698</v>
      </c>
      <c r="H6" s="1495"/>
      <c r="I6" s="1495"/>
      <c r="J6" s="1495"/>
      <c r="K6" s="1495"/>
      <c r="M6" s="1517" t="s">
        <v>8699</v>
      </c>
      <c r="N6" s="1517"/>
      <c r="O6" s="1517" t="s">
        <v>8700</v>
      </c>
      <c r="P6" s="1517"/>
      <c r="Q6" s="1517" t="s">
        <v>8701</v>
      </c>
      <c r="R6" s="1517"/>
      <c r="S6" s="1517" t="s">
        <v>8702</v>
      </c>
      <c r="T6" s="1517"/>
      <c r="U6" s="1517" t="s">
        <v>8703</v>
      </c>
      <c r="W6" s="1526"/>
      <c r="X6" s="1526"/>
      <c r="Y6" s="1518"/>
      <c r="Z6" s="1518"/>
      <c r="AA6" s="1527"/>
      <c r="AB6" s="1527"/>
      <c r="AC6" s="1526"/>
      <c r="AD6" s="1526"/>
      <c r="AE6" s="1518"/>
      <c r="AF6" s="1518"/>
    </row>
    <row r="7" spans="2:33" ht="15" customHeight="1">
      <c r="B7" s="1495"/>
      <c r="C7" s="1495"/>
      <c r="D7" s="1495"/>
      <c r="E7" s="1495"/>
      <c r="F7" s="1495"/>
      <c r="G7" s="1495"/>
      <c r="H7" s="1495"/>
      <c r="I7" s="1495"/>
      <c r="J7" s="1495"/>
      <c r="K7" s="1495"/>
      <c r="M7" s="1517"/>
      <c r="N7" s="1517"/>
      <c r="O7" s="1517"/>
      <c r="P7" s="1517"/>
      <c r="Q7" s="1517"/>
      <c r="R7" s="1517"/>
      <c r="S7" s="1517"/>
      <c r="T7" s="1517"/>
      <c r="U7" s="1517"/>
      <c r="W7" s="1526"/>
      <c r="X7" s="1526"/>
      <c r="Y7" s="1518"/>
      <c r="Z7" s="1518"/>
      <c r="AA7" s="1527"/>
      <c r="AB7" s="1527"/>
      <c r="AC7" s="1526"/>
      <c r="AD7" s="1526"/>
      <c r="AE7" s="1518"/>
      <c r="AF7" s="1518"/>
    </row>
    <row r="8" spans="2:33">
      <c r="B8" s="1495"/>
      <c r="C8" s="1495"/>
      <c r="D8" s="1495"/>
      <c r="E8" s="1495"/>
      <c r="F8" s="1495"/>
      <c r="G8" s="1495"/>
      <c r="H8" s="1495"/>
      <c r="I8" s="1495"/>
      <c r="J8" s="1495"/>
      <c r="K8" s="1495"/>
      <c r="M8" s="1517"/>
      <c r="N8" s="1517"/>
      <c r="O8" s="1517"/>
      <c r="P8" s="1517"/>
      <c r="Q8" s="1517"/>
      <c r="R8" s="1517"/>
      <c r="S8" s="1517"/>
      <c r="T8" s="1517"/>
      <c r="U8" s="1517"/>
      <c r="W8" s="1110"/>
      <c r="X8" s="1110"/>
      <c r="Y8" s="1110"/>
      <c r="Z8" s="1110"/>
      <c r="AA8" s="1110"/>
      <c r="AB8" s="1110"/>
      <c r="AC8" s="1110"/>
      <c r="AD8" s="1110"/>
      <c r="AE8" s="1110"/>
      <c r="AF8" s="1110"/>
    </row>
    <row r="9" spans="2:33" ht="17.25" customHeight="1">
      <c r="B9" s="1495"/>
      <c r="C9" s="1495"/>
      <c r="D9" s="1495"/>
      <c r="E9" s="1495"/>
      <c r="F9" s="1495"/>
      <c r="G9" s="1495"/>
      <c r="H9" s="1495"/>
      <c r="I9" s="1495"/>
      <c r="J9" s="1495"/>
      <c r="K9" s="1495"/>
      <c r="M9" s="1517"/>
      <c r="N9" s="1517"/>
      <c r="O9" s="1517"/>
      <c r="P9" s="1517"/>
      <c r="Q9" s="1517"/>
      <c r="R9" s="1517"/>
      <c r="S9" s="1517"/>
      <c r="T9" s="1517"/>
      <c r="U9" s="1517"/>
      <c r="W9" s="1519" t="s">
        <v>8704</v>
      </c>
      <c r="X9" s="1519"/>
      <c r="Y9" s="1519"/>
      <c r="Z9" s="1519"/>
      <c r="AA9" s="1519"/>
      <c r="AB9" s="1519" t="s">
        <v>8705</v>
      </c>
      <c r="AC9" s="1519"/>
      <c r="AD9" s="1519"/>
      <c r="AE9" s="1519"/>
      <c r="AF9" s="1519"/>
    </row>
    <row r="10" spans="2:33" ht="15" customHeight="1">
      <c r="B10" s="1495"/>
      <c r="C10" s="1495"/>
      <c r="D10" s="1495"/>
      <c r="E10" s="1495"/>
      <c r="F10" s="1495"/>
      <c r="G10" s="1495"/>
      <c r="H10" s="1495"/>
      <c r="I10" s="1495"/>
      <c r="J10" s="1495"/>
      <c r="K10" s="1495"/>
      <c r="W10" s="1513" t="s">
        <v>8706</v>
      </c>
      <c r="X10" s="1513"/>
      <c r="Y10" s="1513"/>
      <c r="Z10" s="1513"/>
      <c r="AA10" s="1513"/>
      <c r="AB10" s="1514" t="s">
        <v>8707</v>
      </c>
      <c r="AC10" s="1514"/>
      <c r="AD10" s="1514"/>
      <c r="AE10" s="1514"/>
      <c r="AF10" s="1514"/>
    </row>
    <row r="11" spans="2:33" ht="15.75">
      <c r="B11" s="1110"/>
      <c r="C11" s="1110"/>
      <c r="D11" s="1110"/>
      <c r="E11" s="1110"/>
      <c r="F11" s="1110"/>
      <c r="G11" s="1110"/>
      <c r="H11" s="1110"/>
      <c r="I11" s="1110"/>
      <c r="J11" s="1110"/>
      <c r="K11" s="1110"/>
      <c r="M11" s="1515" t="s">
        <v>8708</v>
      </c>
      <c r="N11" s="1515"/>
      <c r="O11" s="1515"/>
      <c r="P11" s="1515"/>
      <c r="Q11" s="1156"/>
      <c r="R11" s="1516" t="s">
        <v>8709</v>
      </c>
      <c r="S11" s="1516"/>
      <c r="T11" s="1516"/>
      <c r="U11" s="1516"/>
      <c r="W11" s="1513"/>
      <c r="X11" s="1513"/>
      <c r="Y11" s="1513"/>
      <c r="Z11" s="1513"/>
      <c r="AA11" s="1513"/>
      <c r="AB11" s="1514"/>
      <c r="AC11" s="1514"/>
      <c r="AD11" s="1514"/>
      <c r="AE11" s="1514"/>
      <c r="AF11" s="1514"/>
    </row>
    <row r="12" spans="2:33" ht="21.95" customHeight="1">
      <c r="B12" s="1494" t="s">
        <v>8710</v>
      </c>
      <c r="C12" s="1494"/>
      <c r="D12" s="1494"/>
      <c r="E12" s="1494"/>
      <c r="F12" s="1494"/>
      <c r="G12" s="1494"/>
      <c r="H12" s="1494"/>
      <c r="I12" s="1494"/>
      <c r="J12" s="1494"/>
      <c r="K12" s="1494"/>
      <c r="M12" s="1511" t="s">
        <v>8711</v>
      </c>
      <c r="N12" s="1511"/>
      <c r="O12" s="1511"/>
      <c r="P12" s="1511"/>
      <c r="Q12" s="1156"/>
      <c r="R12" s="1512" t="s">
        <v>8712</v>
      </c>
      <c r="S12" s="1512"/>
      <c r="T12" s="1512"/>
      <c r="U12" s="1512"/>
      <c r="W12" s="1513"/>
      <c r="X12" s="1513"/>
      <c r="Y12" s="1513"/>
      <c r="Z12" s="1513"/>
      <c r="AA12" s="1513"/>
      <c r="AB12" s="1514"/>
      <c r="AC12" s="1514"/>
      <c r="AD12" s="1514"/>
      <c r="AE12" s="1514"/>
      <c r="AF12" s="1514"/>
    </row>
    <row r="13" spans="2:33" ht="21.95" customHeight="1">
      <c r="B13" s="1154" t="s">
        <v>8713</v>
      </c>
      <c r="C13" s="1154" t="s">
        <v>8714</v>
      </c>
      <c r="D13" s="1154"/>
      <c r="E13" s="1154"/>
      <c r="F13" s="1154"/>
      <c r="G13" s="1154"/>
      <c r="H13" s="1155" t="s">
        <v>8715</v>
      </c>
      <c r="I13" s="1155"/>
      <c r="J13" s="1155"/>
      <c r="K13" s="1155"/>
      <c r="M13" s="1511"/>
      <c r="N13" s="1511"/>
      <c r="O13" s="1511"/>
      <c r="P13" s="1511"/>
      <c r="Q13" s="1156"/>
      <c r="R13" s="1512"/>
      <c r="S13" s="1512"/>
      <c r="T13" s="1512"/>
      <c r="U13" s="1512"/>
      <c r="W13" s="1513"/>
      <c r="X13" s="1513"/>
      <c r="Y13" s="1513"/>
      <c r="Z13" s="1513"/>
      <c r="AA13" s="1513"/>
      <c r="AB13" s="1514"/>
      <c r="AC13" s="1514"/>
      <c r="AD13" s="1514"/>
      <c r="AE13" s="1514"/>
      <c r="AF13" s="1514"/>
    </row>
    <row r="14" spans="2:33" ht="33.950000000000003" customHeight="1">
      <c r="B14" s="1157" t="s">
        <v>8716</v>
      </c>
      <c r="C14" s="1495" t="s">
        <v>8717</v>
      </c>
      <c r="D14" s="1495"/>
      <c r="E14" s="1495"/>
      <c r="F14" s="1495"/>
      <c r="G14" s="1495"/>
      <c r="H14" s="1495" t="s">
        <v>8718</v>
      </c>
      <c r="I14" s="1495"/>
      <c r="J14" s="1495"/>
      <c r="K14" s="1495"/>
      <c r="M14" s="1511"/>
      <c r="N14" s="1511"/>
      <c r="O14" s="1511"/>
      <c r="P14" s="1511"/>
      <c r="Q14" s="1156"/>
      <c r="R14" s="1512"/>
      <c r="S14" s="1512"/>
      <c r="T14" s="1512"/>
      <c r="U14" s="1512"/>
      <c r="W14" s="1513"/>
      <c r="X14" s="1513"/>
      <c r="Y14" s="1513"/>
      <c r="Z14" s="1513"/>
      <c r="AA14" s="1513"/>
      <c r="AB14" s="1514"/>
      <c r="AC14" s="1514"/>
      <c r="AD14" s="1514"/>
      <c r="AE14" s="1514"/>
      <c r="AF14" s="1514"/>
    </row>
    <row r="15" spans="2:33" ht="33.950000000000003" customHeight="1">
      <c r="B15" s="1157" t="s">
        <v>8719</v>
      </c>
      <c r="C15" s="1495" t="s">
        <v>8720</v>
      </c>
      <c r="D15" s="1495"/>
      <c r="E15" s="1495"/>
      <c r="F15" s="1495"/>
      <c r="G15" s="1495"/>
      <c r="H15" s="1495" t="s">
        <v>8721</v>
      </c>
      <c r="I15" s="1495"/>
      <c r="J15" s="1495"/>
      <c r="K15" s="1495"/>
      <c r="M15" s="1511"/>
      <c r="N15" s="1511"/>
      <c r="O15" s="1511"/>
      <c r="P15" s="1511"/>
      <c r="Q15" s="1156"/>
      <c r="R15" s="1512"/>
      <c r="S15" s="1512"/>
      <c r="T15" s="1512"/>
      <c r="U15" s="1512"/>
      <c r="W15" s="1110"/>
      <c r="X15" s="1110"/>
      <c r="Y15" s="1110"/>
      <c r="Z15" s="1110"/>
      <c r="AA15" s="1110"/>
      <c r="AB15" s="1110"/>
      <c r="AC15" s="1110"/>
      <c r="AD15" s="1110"/>
      <c r="AE15" s="1110"/>
      <c r="AF15" s="1110"/>
    </row>
    <row r="16" spans="2:33" ht="32.1" customHeight="1">
      <c r="B16" s="1157" t="s">
        <v>8722</v>
      </c>
      <c r="C16" s="1495" t="s">
        <v>8723</v>
      </c>
      <c r="D16" s="1495"/>
      <c r="E16" s="1495"/>
      <c r="F16" s="1495"/>
      <c r="G16" s="1495"/>
      <c r="H16" s="1495" t="s">
        <v>8724</v>
      </c>
      <c r="I16" s="1495"/>
      <c r="J16" s="1495"/>
      <c r="K16" s="1495"/>
      <c r="M16" s="1511"/>
      <c r="N16" s="1511"/>
      <c r="O16" s="1511"/>
      <c r="P16" s="1511"/>
      <c r="Q16" s="1156"/>
      <c r="R16" s="1512"/>
      <c r="S16" s="1512"/>
      <c r="T16" s="1512"/>
      <c r="U16" s="1512"/>
      <c r="W16" s="1494" t="s">
        <v>8725</v>
      </c>
      <c r="X16" s="1494"/>
      <c r="Y16" s="1494"/>
      <c r="Z16" s="1494"/>
      <c r="AA16" s="1494"/>
      <c r="AB16" s="1494"/>
      <c r="AC16" s="1494"/>
      <c r="AD16" s="1494"/>
      <c r="AE16" s="1494"/>
      <c r="AF16" s="1494"/>
    </row>
    <row r="17" spans="2:32" ht="33.950000000000003" customHeight="1">
      <c r="B17" s="1157" t="s">
        <v>8726</v>
      </c>
      <c r="C17" s="1495" t="s">
        <v>8727</v>
      </c>
      <c r="D17" s="1495"/>
      <c r="E17" s="1495"/>
      <c r="F17" s="1495"/>
      <c r="G17" s="1495"/>
      <c r="H17" s="1495" t="s">
        <v>8728</v>
      </c>
      <c r="I17" s="1495"/>
      <c r="J17" s="1495"/>
      <c r="K17" s="1495"/>
      <c r="W17" s="1507" t="s">
        <v>7</v>
      </c>
      <c r="X17" s="1507"/>
      <c r="Y17" s="1509" t="s">
        <v>239</v>
      </c>
      <c r="Z17" s="1509"/>
      <c r="AA17" s="1506" t="s">
        <v>345</v>
      </c>
      <c r="AB17" s="1506"/>
      <c r="AC17" s="1507" t="s">
        <v>8</v>
      </c>
      <c r="AD17" s="1507"/>
      <c r="AE17" s="1509" t="s">
        <v>9</v>
      </c>
      <c r="AF17" s="1509"/>
    </row>
    <row r="18" spans="2:32" ht="39.950000000000003" customHeight="1">
      <c r="B18" s="1157" t="s">
        <v>8729</v>
      </c>
      <c r="C18" s="1495" t="s">
        <v>8730</v>
      </c>
      <c r="D18" s="1495"/>
      <c r="E18" s="1495"/>
      <c r="F18" s="1495"/>
      <c r="G18" s="1495"/>
      <c r="H18" s="1495" t="s">
        <v>8731</v>
      </c>
      <c r="I18" s="1495"/>
      <c r="J18" s="1495"/>
      <c r="K18" s="1495"/>
      <c r="M18" s="1510" t="s">
        <v>8732</v>
      </c>
      <c r="N18" s="1510"/>
      <c r="O18" s="1510"/>
      <c r="P18" s="1510"/>
      <c r="Q18" s="1510"/>
      <c r="R18" s="1510"/>
      <c r="S18" s="1510"/>
      <c r="T18" s="1510"/>
      <c r="U18" s="1510"/>
      <c r="W18" s="1506" t="s">
        <v>10</v>
      </c>
      <c r="X18" s="1506"/>
      <c r="Y18" s="1507" t="s">
        <v>11</v>
      </c>
      <c r="Z18" s="1507"/>
      <c r="AA18" s="1509" t="s">
        <v>241</v>
      </c>
      <c r="AB18" s="1509"/>
      <c r="AC18" s="1506" t="s">
        <v>236</v>
      </c>
      <c r="AD18" s="1506"/>
      <c r="AE18" s="1507" t="s">
        <v>12</v>
      </c>
      <c r="AF18" s="1507"/>
    </row>
    <row r="19" spans="2:32" ht="33.950000000000003" customHeight="1">
      <c r="B19" s="1157" t="s">
        <v>8733</v>
      </c>
      <c r="C19" s="1495" t="s">
        <v>8734</v>
      </c>
      <c r="D19" s="1495"/>
      <c r="E19" s="1495"/>
      <c r="F19" s="1495"/>
      <c r="G19" s="1495"/>
      <c r="H19" s="1495" t="s">
        <v>8735</v>
      </c>
      <c r="I19" s="1495"/>
      <c r="J19" s="1495"/>
      <c r="K19" s="1495"/>
      <c r="M19" s="1504" t="s">
        <v>7</v>
      </c>
      <c r="N19" s="1504"/>
      <c r="O19" s="1504" t="s">
        <v>239</v>
      </c>
      <c r="P19" s="1504"/>
      <c r="Q19" s="1504" t="s">
        <v>345</v>
      </c>
      <c r="R19" s="1504"/>
      <c r="S19" s="1504" t="s">
        <v>8</v>
      </c>
      <c r="T19" s="1504"/>
      <c r="U19" s="1508" t="s">
        <v>8736</v>
      </c>
      <c r="W19" s="1509" t="s">
        <v>243</v>
      </c>
      <c r="X19" s="1509"/>
      <c r="Y19" s="1506" t="s">
        <v>13</v>
      </c>
      <c r="Z19" s="1506"/>
      <c r="AA19" s="1507" t="s">
        <v>14</v>
      </c>
      <c r="AB19" s="1507"/>
      <c r="AC19" s="1509" t="s">
        <v>15</v>
      </c>
      <c r="AD19" s="1509"/>
      <c r="AE19" s="1110"/>
      <c r="AF19" s="1110"/>
    </row>
    <row r="20" spans="2:32" ht="32.1" customHeight="1">
      <c r="B20" s="1157" t="s">
        <v>8737</v>
      </c>
      <c r="C20" s="1495" t="s">
        <v>8738</v>
      </c>
      <c r="D20" s="1495"/>
      <c r="E20" s="1495"/>
      <c r="F20" s="1495"/>
      <c r="G20" s="1495"/>
      <c r="H20" s="1495" t="s">
        <v>8739</v>
      </c>
      <c r="I20" s="1495"/>
      <c r="J20" s="1495"/>
      <c r="K20" s="1495"/>
      <c r="M20" s="1504"/>
      <c r="N20" s="1504"/>
      <c r="O20" s="1504"/>
      <c r="P20" s="1504"/>
      <c r="Q20" s="1504"/>
      <c r="R20" s="1504"/>
      <c r="S20" s="1504"/>
      <c r="T20" s="1504"/>
      <c r="U20" s="1508"/>
      <c r="W20" s="1110"/>
      <c r="X20" s="1110"/>
      <c r="Y20" s="1110"/>
      <c r="Z20" s="1110"/>
      <c r="AA20" s="1110"/>
      <c r="AB20" s="1110"/>
      <c r="AC20" s="1110"/>
      <c r="AD20" s="1110"/>
      <c r="AE20" s="1110"/>
      <c r="AF20" s="1110"/>
    </row>
    <row r="21" spans="2:32" ht="15.75">
      <c r="B21" s="1110"/>
      <c r="C21" s="1110"/>
      <c r="D21" s="1110"/>
      <c r="E21" s="1110"/>
      <c r="F21" s="1110"/>
      <c r="G21" s="1110"/>
      <c r="H21" s="1110"/>
      <c r="I21" s="1110"/>
      <c r="J21" s="1110"/>
      <c r="K21" s="1110"/>
      <c r="M21" s="1504" t="s">
        <v>9</v>
      </c>
      <c r="N21" s="1504"/>
      <c r="O21" s="1504" t="s">
        <v>10</v>
      </c>
      <c r="P21" s="1504"/>
      <c r="Q21" s="1504" t="s">
        <v>11</v>
      </c>
      <c r="R21" s="1504"/>
      <c r="S21" s="1504" t="s">
        <v>241</v>
      </c>
      <c r="T21" s="1504"/>
      <c r="U21" s="1508"/>
      <c r="W21" s="1494" t="s">
        <v>6651</v>
      </c>
      <c r="X21" s="1494"/>
      <c r="Y21" s="1494"/>
      <c r="Z21" s="1494"/>
      <c r="AA21" s="1494"/>
      <c r="AB21" s="1494"/>
      <c r="AC21" s="1494"/>
      <c r="AD21" s="1494"/>
      <c r="AE21" s="1494"/>
      <c r="AF21" s="1494"/>
    </row>
    <row r="22" spans="2:32" ht="21.95" customHeight="1">
      <c r="B22" s="1494" t="s">
        <v>8740</v>
      </c>
      <c r="C22" s="1494"/>
      <c r="D22" s="1494"/>
      <c r="E22" s="1494"/>
      <c r="F22" s="1494"/>
      <c r="G22" s="1494"/>
      <c r="H22" s="1494"/>
      <c r="I22" s="1494"/>
      <c r="J22" s="1494"/>
      <c r="K22" s="1494"/>
      <c r="M22" s="1504"/>
      <c r="N22" s="1504"/>
      <c r="O22" s="1504"/>
      <c r="P22" s="1504"/>
      <c r="Q22" s="1504"/>
      <c r="R22" s="1504"/>
      <c r="S22" s="1504"/>
      <c r="T22" s="1504"/>
      <c r="U22" s="1508"/>
      <c r="W22" s="1505" t="s">
        <v>8741</v>
      </c>
      <c r="X22" s="1505"/>
      <c r="Y22" s="1505"/>
      <c r="Z22" s="1505" t="s">
        <v>8742</v>
      </c>
      <c r="AA22" s="1505"/>
      <c r="AB22" s="1505"/>
      <c r="AC22" s="1505" t="s">
        <v>8743</v>
      </c>
      <c r="AD22" s="1505"/>
      <c r="AE22" s="1505"/>
      <c r="AF22" s="1505"/>
    </row>
    <row r="23" spans="2:32" ht="24" customHeight="1">
      <c r="B23" s="1502" t="s">
        <v>5923</v>
      </c>
      <c r="C23" s="1502"/>
      <c r="D23" s="1503" t="s">
        <v>5925</v>
      </c>
      <c r="E23" s="1503"/>
      <c r="F23" s="1502" t="s">
        <v>5927</v>
      </c>
      <c r="G23" s="1502"/>
      <c r="H23" s="1503" t="s">
        <v>5929</v>
      </c>
      <c r="I23" s="1503"/>
      <c r="J23" s="1502" t="s">
        <v>8744</v>
      </c>
      <c r="K23" s="1502"/>
      <c r="M23" s="1504" t="s">
        <v>236</v>
      </c>
      <c r="N23" s="1504"/>
      <c r="O23" s="1504" t="s">
        <v>12</v>
      </c>
      <c r="P23" s="1504"/>
      <c r="Q23" s="1504" t="s">
        <v>243</v>
      </c>
      <c r="R23" s="1504"/>
      <c r="S23" s="1504" t="s">
        <v>13</v>
      </c>
      <c r="T23" s="1504"/>
      <c r="U23" s="1508"/>
      <c r="W23" s="1505"/>
      <c r="X23" s="1505"/>
      <c r="Y23" s="1505"/>
      <c r="Z23" s="1505"/>
      <c r="AA23" s="1505"/>
      <c r="AB23" s="1505"/>
      <c r="AC23" s="1505"/>
      <c r="AD23" s="1505"/>
      <c r="AE23" s="1505"/>
      <c r="AF23" s="1505"/>
    </row>
    <row r="24" spans="2:32" ht="24" customHeight="1">
      <c r="B24" s="1503" t="s">
        <v>5933</v>
      </c>
      <c r="C24" s="1503"/>
      <c r="D24" s="1502" t="s">
        <v>5935</v>
      </c>
      <c r="E24" s="1502"/>
      <c r="F24" s="1503" t="s">
        <v>5937</v>
      </c>
      <c r="G24" s="1503"/>
      <c r="H24" s="1502" t="s">
        <v>5939</v>
      </c>
      <c r="I24" s="1502"/>
      <c r="J24" s="1503" t="s">
        <v>5941</v>
      </c>
      <c r="K24" s="1503"/>
      <c r="M24" s="1504"/>
      <c r="N24" s="1504"/>
      <c r="O24" s="1504"/>
      <c r="P24" s="1504"/>
      <c r="Q24" s="1504"/>
      <c r="R24" s="1504"/>
      <c r="S24" s="1504"/>
      <c r="T24" s="1504"/>
      <c r="U24" s="1508"/>
      <c r="W24" s="1110"/>
      <c r="X24" s="1110"/>
      <c r="Y24" s="1110"/>
      <c r="Z24" s="1110"/>
      <c r="AA24" s="1110"/>
      <c r="AB24" s="1110"/>
      <c r="AC24" s="1110"/>
      <c r="AD24" s="1110"/>
      <c r="AE24" s="1110"/>
      <c r="AF24" s="1110"/>
    </row>
    <row r="25" spans="2:32" ht="24" customHeight="1">
      <c r="B25" s="1502" t="s">
        <v>8745</v>
      </c>
      <c r="C25" s="1502"/>
      <c r="D25" s="1503" t="s">
        <v>8746</v>
      </c>
      <c r="E25" s="1503"/>
      <c r="F25" s="1502" t="s">
        <v>5947</v>
      </c>
      <c r="G25" s="1502"/>
      <c r="H25" s="1503" t="s">
        <v>5949</v>
      </c>
      <c r="I25" s="1503"/>
      <c r="J25" s="1110"/>
      <c r="K25" s="1110"/>
      <c r="N25" s="1504" t="s">
        <v>14</v>
      </c>
      <c r="O25" s="1504"/>
      <c r="Q25" s="1504" t="s">
        <v>15</v>
      </c>
      <c r="R25" s="1504"/>
      <c r="U25" s="1508"/>
      <c r="W25" s="1494" t="s">
        <v>8747</v>
      </c>
      <c r="X25" s="1494"/>
      <c r="Y25" s="1494"/>
      <c r="Z25" s="1494"/>
      <c r="AA25" s="1494"/>
      <c r="AB25" s="1494"/>
      <c r="AC25" s="1494"/>
      <c r="AD25" s="1494"/>
      <c r="AE25" s="1494"/>
      <c r="AF25" s="1494"/>
    </row>
    <row r="26" spans="2:32">
      <c r="B26" s="1110"/>
      <c r="C26" s="1110"/>
      <c r="D26" s="1110"/>
      <c r="E26" s="1110"/>
      <c r="F26" s="1110"/>
      <c r="G26" s="1110"/>
      <c r="H26" s="1110"/>
      <c r="I26" s="1110"/>
      <c r="J26" s="1110"/>
      <c r="K26" s="1110"/>
      <c r="N26" s="1504"/>
      <c r="O26" s="1504"/>
      <c r="Q26" s="1504"/>
      <c r="R26" s="1504"/>
      <c r="U26" s="1508"/>
      <c r="W26" s="1499" t="s">
        <v>8748</v>
      </c>
      <c r="X26" s="1499"/>
      <c r="Y26" s="1499"/>
      <c r="Z26" s="1499"/>
      <c r="AA26" s="1499"/>
      <c r="AB26" s="1499"/>
      <c r="AC26" s="1499"/>
      <c r="AD26" s="1499"/>
      <c r="AE26" s="1499"/>
      <c r="AF26" s="1499"/>
    </row>
    <row r="27" spans="2:32" ht="21.95" customHeight="1">
      <c r="B27" s="1494" t="s">
        <v>8749</v>
      </c>
      <c r="C27" s="1494"/>
      <c r="D27" s="1494"/>
      <c r="E27" s="1494"/>
      <c r="F27" s="1494"/>
      <c r="G27" s="1494"/>
      <c r="H27" s="1494"/>
      <c r="I27" s="1494"/>
      <c r="J27" s="1494"/>
      <c r="K27" s="1494"/>
      <c r="W27" s="1496" t="s">
        <v>8750</v>
      </c>
      <c r="X27" s="1496"/>
      <c r="Y27" s="1496"/>
      <c r="Z27" s="1496"/>
      <c r="AA27" s="1496"/>
      <c r="AB27" s="1496"/>
      <c r="AC27" s="1496"/>
      <c r="AD27" s="1496"/>
      <c r="AE27" s="1496"/>
      <c r="AF27" s="1496"/>
    </row>
    <row r="28" spans="2:32" ht="21.95" customHeight="1">
      <c r="B28" s="1158" t="s">
        <v>8751</v>
      </c>
      <c r="C28" s="1500"/>
      <c r="D28" s="1500" t="s">
        <v>6208</v>
      </c>
      <c r="E28" s="1500"/>
      <c r="F28" s="1500" t="s">
        <v>6256</v>
      </c>
      <c r="G28" s="1500"/>
      <c r="H28" s="1500" t="s">
        <v>8752</v>
      </c>
      <c r="I28" s="1500"/>
      <c r="J28" s="1500" t="s">
        <v>8753</v>
      </c>
      <c r="K28" s="1500"/>
      <c r="M28" s="1501" t="s">
        <v>8754</v>
      </c>
      <c r="N28" s="1501"/>
      <c r="O28" s="1501"/>
      <c r="P28" s="1501"/>
      <c r="Q28" s="1501"/>
      <c r="R28" s="1501"/>
      <c r="S28" s="1501"/>
      <c r="T28" s="1501"/>
      <c r="U28" s="1501"/>
    </row>
    <row r="29" spans="2:32" ht="27.95" customHeight="1">
      <c r="B29" s="1159" t="s">
        <v>8755</v>
      </c>
      <c r="C29" s="1498"/>
      <c r="D29" s="1495" t="s">
        <v>8756</v>
      </c>
      <c r="E29" s="1495"/>
      <c r="F29" s="1495" t="s">
        <v>8757</v>
      </c>
      <c r="G29" s="1495"/>
      <c r="H29" s="1495" t="s">
        <v>8758</v>
      </c>
      <c r="I29" s="1495"/>
      <c r="J29" s="1495" t="s">
        <v>8759</v>
      </c>
      <c r="K29" s="1495"/>
      <c r="M29" s="1501"/>
      <c r="N29" s="1501"/>
      <c r="O29" s="1501"/>
      <c r="P29" s="1501"/>
      <c r="Q29" s="1501"/>
      <c r="R29" s="1501"/>
      <c r="S29" s="1501"/>
      <c r="T29" s="1501"/>
      <c r="U29" s="1501"/>
    </row>
    <row r="30" spans="2:32" ht="27.95" customHeight="1">
      <c r="B30" s="1159" t="s">
        <v>8760</v>
      </c>
      <c r="C30" s="1498"/>
      <c r="D30" s="1495" t="s">
        <v>8761</v>
      </c>
      <c r="E30" s="1495"/>
      <c r="F30" s="1495" t="s">
        <v>8762</v>
      </c>
      <c r="G30" s="1495"/>
      <c r="H30" s="1495" t="s">
        <v>8763</v>
      </c>
      <c r="I30" s="1495"/>
      <c r="J30" s="1495" t="s">
        <v>8764</v>
      </c>
      <c r="K30" s="1495"/>
      <c r="M30" s="1501"/>
      <c r="N30" s="1501"/>
      <c r="O30" s="1501"/>
      <c r="P30" s="1501"/>
      <c r="Q30" s="1501"/>
      <c r="R30" s="1501"/>
      <c r="S30" s="1501"/>
      <c r="T30" s="1501"/>
      <c r="U30" s="1501"/>
    </row>
    <row r="31" spans="2:32" ht="27.95" customHeight="1">
      <c r="B31" s="1159" t="s">
        <v>8765</v>
      </c>
      <c r="C31" s="1498"/>
      <c r="D31" s="1495" t="s">
        <v>8766</v>
      </c>
      <c r="E31" s="1495"/>
      <c r="F31" s="1495" t="s">
        <v>8767</v>
      </c>
      <c r="G31" s="1495"/>
      <c r="H31" s="1495" t="s">
        <v>8768</v>
      </c>
      <c r="I31" s="1495"/>
      <c r="J31" s="1495" t="s">
        <v>8769</v>
      </c>
      <c r="K31" s="1495"/>
    </row>
    <row r="32" spans="2:32" ht="27.95" customHeight="1">
      <c r="B32" s="1159" t="s">
        <v>8760</v>
      </c>
      <c r="C32" s="1498"/>
      <c r="D32" s="1495" t="s">
        <v>8770</v>
      </c>
      <c r="E32" s="1495"/>
      <c r="F32" s="1495" t="s">
        <v>8771</v>
      </c>
      <c r="G32" s="1495"/>
      <c r="H32" s="1495" t="s">
        <v>8772</v>
      </c>
      <c r="I32" s="1495"/>
      <c r="J32" s="1495" t="s">
        <v>8773</v>
      </c>
      <c r="K32" s="1495"/>
      <c r="M32" s="1497" t="s">
        <v>8774</v>
      </c>
      <c r="N32" s="1497"/>
      <c r="O32" s="1497"/>
      <c r="P32" s="1497"/>
      <c r="Q32" s="1497"/>
      <c r="R32" s="1497"/>
      <c r="S32" s="1497"/>
      <c r="T32" s="1497"/>
      <c r="U32" s="1497"/>
    </row>
    <row r="33" spans="2:21" ht="27.95" customHeight="1">
      <c r="B33" s="1159" t="s">
        <v>8775</v>
      </c>
      <c r="C33" s="1498"/>
      <c r="D33" s="1495" t="s">
        <v>8776</v>
      </c>
      <c r="E33" s="1495"/>
      <c r="F33" s="1495" t="s">
        <v>8777</v>
      </c>
      <c r="G33" s="1495"/>
      <c r="H33" s="1495" t="s">
        <v>8778</v>
      </c>
      <c r="I33" s="1495"/>
      <c r="J33" s="1495" t="s">
        <v>8779</v>
      </c>
      <c r="K33" s="1495"/>
      <c r="M33" s="1497" t="s">
        <v>8750</v>
      </c>
      <c r="N33" s="1497"/>
      <c r="O33" s="1497"/>
      <c r="P33" s="1497"/>
      <c r="Q33" s="1497"/>
      <c r="R33" s="1497"/>
      <c r="S33" s="1497"/>
      <c r="T33" s="1497"/>
      <c r="U33" s="1497"/>
    </row>
    <row r="34" spans="2:21">
      <c r="B34" s="1110"/>
      <c r="C34" s="1110"/>
      <c r="D34" s="1110"/>
      <c r="E34" s="1110"/>
      <c r="F34" s="1110"/>
      <c r="G34" s="1110"/>
      <c r="H34" s="1110"/>
      <c r="I34" s="1110"/>
      <c r="J34" s="1110"/>
      <c r="K34" s="1110"/>
    </row>
    <row r="35" spans="2:21" ht="21.95" customHeight="1">
      <c r="B35" s="1494" t="s">
        <v>8780</v>
      </c>
      <c r="C35" s="1494"/>
      <c r="D35" s="1494"/>
      <c r="E35" s="1494"/>
      <c r="F35" s="1494"/>
      <c r="G35" s="1494"/>
      <c r="H35" s="1494"/>
      <c r="I35" s="1494"/>
      <c r="J35" s="1494"/>
      <c r="K35" s="1494"/>
    </row>
    <row r="36" spans="2:21" ht="24" customHeight="1">
      <c r="B36" s="1495" t="s">
        <v>8781</v>
      </c>
      <c r="C36" s="1495"/>
      <c r="D36" s="1495"/>
      <c r="E36" s="1495"/>
      <c r="F36" s="1495"/>
      <c r="G36" s="1495"/>
      <c r="H36" s="1495"/>
      <c r="I36" s="1495"/>
      <c r="J36" s="1495"/>
      <c r="K36" s="1495"/>
    </row>
    <row r="37" spans="2:21" ht="24" customHeight="1">
      <c r="B37" s="1496" t="s">
        <v>8750</v>
      </c>
      <c r="C37" s="1496"/>
      <c r="D37" s="1496"/>
      <c r="E37" s="1496"/>
      <c r="F37" s="1496"/>
      <c r="G37" s="1496"/>
      <c r="H37" s="1496"/>
      <c r="I37" s="1496"/>
      <c r="J37" s="1496"/>
      <c r="K37" s="1496"/>
    </row>
    <row r="38" spans="2:21">
      <c r="B38" s="1110"/>
      <c r="C38" s="1110"/>
      <c r="D38" s="1110"/>
      <c r="E38" s="1110"/>
      <c r="F38" s="1110"/>
      <c r="G38" s="1110"/>
      <c r="H38" s="1110"/>
      <c r="I38" s="1110"/>
      <c r="J38" s="1110"/>
      <c r="K38" s="1110"/>
    </row>
    <row r="39" spans="2:21" ht="26.1" customHeight="1">
      <c r="B39" s="1496" t="s">
        <v>8782</v>
      </c>
      <c r="C39" s="1496"/>
      <c r="D39" s="1496"/>
      <c r="E39" s="1496"/>
      <c r="F39" s="1496"/>
      <c r="G39" s="1496"/>
      <c r="H39" s="1496"/>
      <c r="I39" s="1496"/>
      <c r="J39" s="1496"/>
      <c r="K39" s="1496"/>
    </row>
    <row r="40" spans="2:21">
      <c r="B40" s="1110"/>
      <c r="C40" s="1110"/>
      <c r="D40" s="1110"/>
      <c r="E40" s="1110"/>
      <c r="F40" s="1110"/>
      <c r="G40" s="1110"/>
      <c r="H40" s="1110"/>
      <c r="I40" s="1110"/>
      <c r="J40" s="1110"/>
      <c r="K40" s="1110"/>
    </row>
  </sheetData>
  <mergeCells count="131">
    <mergeCell ref="AE5:AF7"/>
    <mergeCell ref="U6:U9"/>
    <mergeCell ref="W9:AA9"/>
    <mergeCell ref="AB9:AF9"/>
    <mergeCell ref="B1:K1"/>
    <mergeCell ref="M1:U1"/>
    <mergeCell ref="W1:AF1"/>
    <mergeCell ref="B2:K2"/>
    <mergeCell ref="M2:U2"/>
    <mergeCell ref="W2:AF2"/>
    <mergeCell ref="B4:K4"/>
    <mergeCell ref="M4:U4"/>
    <mergeCell ref="W4:AF4"/>
    <mergeCell ref="O6:P9"/>
    <mergeCell ref="Q6:R9"/>
    <mergeCell ref="S6:T9"/>
    <mergeCell ref="B5:F5"/>
    <mergeCell ref="G5:K5"/>
    <mergeCell ref="W5:X7"/>
    <mergeCell ref="Y5:Z7"/>
    <mergeCell ref="AA5:AB7"/>
    <mergeCell ref="AC5:AD7"/>
    <mergeCell ref="W16:AF16"/>
    <mergeCell ref="C17:G17"/>
    <mergeCell ref="H17:K17"/>
    <mergeCell ref="W17:X17"/>
    <mergeCell ref="Y17:Z17"/>
    <mergeCell ref="AA17:AB17"/>
    <mergeCell ref="AC17:AD17"/>
    <mergeCell ref="AE17:AF17"/>
    <mergeCell ref="B12:K12"/>
    <mergeCell ref="M12:P16"/>
    <mergeCell ref="R12:U16"/>
    <mergeCell ref="C14:G14"/>
    <mergeCell ref="H14:K14"/>
    <mergeCell ref="C15:G15"/>
    <mergeCell ref="H15:K15"/>
    <mergeCell ref="C16:G16"/>
    <mergeCell ref="H16:K16"/>
    <mergeCell ref="W10:AA14"/>
    <mergeCell ref="AB10:AF14"/>
    <mergeCell ref="M11:P11"/>
    <mergeCell ref="R11:U11"/>
    <mergeCell ref="B6:F10"/>
    <mergeCell ref="G6:K10"/>
    <mergeCell ref="M6:N9"/>
    <mergeCell ref="AC18:AD18"/>
    <mergeCell ref="AE18:AF18"/>
    <mergeCell ref="C19:G19"/>
    <mergeCell ref="H19:K19"/>
    <mergeCell ref="M19:N20"/>
    <mergeCell ref="O19:P20"/>
    <mergeCell ref="Q19:R20"/>
    <mergeCell ref="S19:T20"/>
    <mergeCell ref="U19:U26"/>
    <mergeCell ref="W19:X19"/>
    <mergeCell ref="C18:G18"/>
    <mergeCell ref="H18:K18"/>
    <mergeCell ref="M18:U18"/>
    <mergeCell ref="W18:X18"/>
    <mergeCell ref="Y18:Z18"/>
    <mergeCell ref="AA18:AB18"/>
    <mergeCell ref="Y19:Z19"/>
    <mergeCell ref="AA19:AB19"/>
    <mergeCell ref="AC19:AD19"/>
    <mergeCell ref="C20:G20"/>
    <mergeCell ref="H20:K20"/>
    <mergeCell ref="M21:N22"/>
    <mergeCell ref="O21:P22"/>
    <mergeCell ref="Q21:R22"/>
    <mergeCell ref="S21:T22"/>
    <mergeCell ref="W21:AF21"/>
    <mergeCell ref="W22:Y23"/>
    <mergeCell ref="Z22:AB23"/>
    <mergeCell ref="AC22:AF23"/>
    <mergeCell ref="B23:C23"/>
    <mergeCell ref="D23:E23"/>
    <mergeCell ref="F23:G23"/>
    <mergeCell ref="H23:I23"/>
    <mergeCell ref="J23:K23"/>
    <mergeCell ref="M23:N24"/>
    <mergeCell ref="O23:P24"/>
    <mergeCell ref="Q23:R24"/>
    <mergeCell ref="S23:T24"/>
    <mergeCell ref="B24:C24"/>
    <mergeCell ref="D24:E24"/>
    <mergeCell ref="F24:G24"/>
    <mergeCell ref="H24:I24"/>
    <mergeCell ref="J24:K24"/>
    <mergeCell ref="B22:K22"/>
    <mergeCell ref="W25:AF25"/>
    <mergeCell ref="W26:AF26"/>
    <mergeCell ref="B27:K27"/>
    <mergeCell ref="W27:AF27"/>
    <mergeCell ref="C28:D28"/>
    <mergeCell ref="E28:G28"/>
    <mergeCell ref="H28:I28"/>
    <mergeCell ref="J28:K28"/>
    <mergeCell ref="M28:U30"/>
    <mergeCell ref="C29:D29"/>
    <mergeCell ref="B25:C25"/>
    <mergeCell ref="D25:E25"/>
    <mergeCell ref="F25:G25"/>
    <mergeCell ref="H25:I25"/>
    <mergeCell ref="N25:O26"/>
    <mergeCell ref="Q25:R26"/>
    <mergeCell ref="C31:D31"/>
    <mergeCell ref="E31:G31"/>
    <mergeCell ref="H31:I31"/>
    <mergeCell ref="J31:K31"/>
    <mergeCell ref="C32:D32"/>
    <mergeCell ref="E32:G32"/>
    <mergeCell ref="H32:I32"/>
    <mergeCell ref="J32:K32"/>
    <mergeCell ref="E29:G29"/>
    <mergeCell ref="H29:I29"/>
    <mergeCell ref="J29:K29"/>
    <mergeCell ref="C30:D30"/>
    <mergeCell ref="E30:G30"/>
    <mergeCell ref="H30:I30"/>
    <mergeCell ref="J30:K30"/>
    <mergeCell ref="B35:K35"/>
    <mergeCell ref="B36:K36"/>
    <mergeCell ref="B37:K37"/>
    <mergeCell ref="B39:K39"/>
    <mergeCell ref="M32:U32"/>
    <mergeCell ref="C33:D33"/>
    <mergeCell ref="E33:G33"/>
    <mergeCell ref="H33:I33"/>
    <mergeCell ref="J33:K33"/>
    <mergeCell ref="M33:U3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ABA46-A3CA-4C0A-8F31-5447813FD6BE}">
  <dimension ref="A1:BM63"/>
  <sheetViews>
    <sheetView zoomScaleNormal="100" zoomScaleSheetLayoutView="75" zoomScalePageLayoutView="75" workbookViewId="0">
      <selection activeCell="H34" sqref="H34"/>
    </sheetView>
  </sheetViews>
  <sheetFormatPr baseColWidth="10" defaultColWidth="17.85546875" defaultRowHeight="11.25" outlineLevelCol="1"/>
  <cols>
    <col min="1" max="1" width="28.140625" style="1206" customWidth="1"/>
    <col min="2" max="2" width="22.5703125" style="1206" customWidth="1"/>
    <col min="3" max="3" width="14.7109375" style="1210" customWidth="1" outlineLevel="1"/>
    <col min="4" max="4" width="22.5703125" style="1206" customWidth="1"/>
    <col min="5" max="5" width="14.7109375" style="1210" customWidth="1" outlineLevel="1"/>
    <col min="6" max="6" width="22.5703125" style="1206" customWidth="1"/>
    <col min="7" max="7" width="14.7109375" style="1210" customWidth="1" outlineLevel="1"/>
    <col min="8" max="8" width="22.5703125" style="1206" customWidth="1"/>
    <col min="9" max="9" width="14.7109375" style="1210" customWidth="1" outlineLevel="1"/>
    <col min="10" max="10" width="22.5703125" style="1206" customWidth="1"/>
    <col min="11" max="11" width="14.7109375" style="1210" customWidth="1" outlineLevel="1"/>
    <col min="12" max="12" width="22.5703125" style="1206" customWidth="1"/>
    <col min="13" max="13" width="14.7109375" style="1210" customWidth="1" outlineLevel="1"/>
    <col min="14" max="14" width="22.5703125" style="1206" customWidth="1"/>
    <col min="15" max="15" width="14.7109375" style="1210" customWidth="1" outlineLevel="1"/>
    <col min="16" max="16" width="22.5703125" style="1206" customWidth="1"/>
    <col min="17" max="17" width="14.7109375" style="1210" customWidth="1" outlineLevel="1"/>
    <col min="18" max="18" width="22.5703125" style="1206" customWidth="1"/>
    <col min="19" max="19" width="14.7109375" style="1210" customWidth="1" outlineLevel="1"/>
    <col min="20" max="20" width="22.5703125" style="1206" customWidth="1"/>
    <col min="21" max="21" width="14.7109375" style="1210" customWidth="1" outlineLevel="1"/>
    <col min="22" max="22" width="22.5703125" style="1206" customWidth="1"/>
    <col min="23" max="23" width="14.7109375" style="1210" customWidth="1" outlineLevel="1"/>
    <col min="24" max="24" width="22.5703125" style="1206" customWidth="1"/>
    <col min="25" max="25" width="14.7109375" style="1210" customWidth="1" outlineLevel="1"/>
    <col min="26" max="26" width="22.5703125" style="1206" customWidth="1"/>
    <col min="27" max="27" width="14.7109375" style="1210" customWidth="1" outlineLevel="1"/>
    <col min="28" max="28" width="22.7109375" style="1206" customWidth="1" outlineLevel="1"/>
    <col min="29" max="29" width="14.7109375" style="1210" customWidth="1" outlineLevel="1"/>
    <col min="30" max="30" width="22.5703125" style="1206" customWidth="1"/>
    <col min="31" max="31" width="14.7109375" style="1210" customWidth="1" outlineLevel="1"/>
    <col min="32" max="32" width="22.5703125" style="1206" customWidth="1"/>
    <col min="33" max="33" width="14.7109375" style="1210" customWidth="1" outlineLevel="1"/>
    <col min="34" max="34" width="22.5703125" style="1206" customWidth="1"/>
    <col min="35" max="35" width="14.7109375" style="1210" customWidth="1" outlineLevel="1"/>
    <col min="36" max="36" width="22.5703125" style="1206" customWidth="1"/>
    <col min="37" max="37" width="14.7109375" style="1210" customWidth="1" outlineLevel="1"/>
    <col min="38" max="38" width="22.5703125" style="1206" customWidth="1"/>
    <col min="39" max="39" width="14.7109375" style="1210" customWidth="1" outlineLevel="1"/>
    <col min="40" max="40" width="22.5703125" style="1206" customWidth="1"/>
    <col min="41" max="41" width="14.7109375" style="1210" customWidth="1" outlineLevel="1"/>
    <col min="42" max="42" width="22.5703125" style="1206" customWidth="1"/>
    <col min="43" max="43" width="10.7109375" style="1210" customWidth="1" outlineLevel="1"/>
    <col min="44" max="44" width="22.5703125" style="1206" customWidth="1"/>
    <col min="45" max="45" width="10.7109375" style="1210" customWidth="1" outlineLevel="1"/>
    <col min="46" max="46" width="22.5703125" style="1206" customWidth="1"/>
    <col min="47" max="47" width="10.7109375" style="1210" customWidth="1" outlineLevel="1"/>
    <col min="48" max="48" width="22.5703125" style="1206" customWidth="1"/>
    <col min="49" max="49" width="10.7109375" style="1210" customWidth="1" outlineLevel="1"/>
    <col min="50" max="50" width="22.5703125" style="1206" customWidth="1"/>
    <col min="51" max="51" width="10.7109375" style="1210" customWidth="1" outlineLevel="1"/>
    <col min="52" max="52" width="22.5703125" style="1206" customWidth="1"/>
    <col min="53" max="53" width="10.7109375" style="1210" customWidth="1" outlineLevel="1"/>
    <col min="54" max="54" width="22.5703125" style="1206" customWidth="1"/>
    <col min="55" max="55" width="11.28515625" style="1210" customWidth="1" outlineLevel="1"/>
    <col min="56" max="56" width="22.5703125" style="1206" customWidth="1"/>
    <col min="57" max="57" width="11.28515625" style="1210" customWidth="1" outlineLevel="1"/>
    <col min="58" max="58" width="22.5703125" style="1206" customWidth="1"/>
    <col min="59" max="59" width="11.28515625" style="1210" customWidth="1" outlineLevel="1"/>
    <col min="60" max="60" width="22.5703125" style="1206" customWidth="1"/>
    <col min="61" max="61" width="11.28515625" style="1210" customWidth="1" outlineLevel="1"/>
    <col min="62" max="62" width="22.5703125" style="1206" customWidth="1"/>
    <col min="63" max="63" width="11.28515625" style="1210" customWidth="1" outlineLevel="1"/>
    <col min="64" max="64" width="22.5703125" style="1206" customWidth="1"/>
    <col min="65" max="65" width="11.28515625" style="1210" customWidth="1" outlineLevel="1"/>
    <col min="66" max="67" width="22.5703125" style="1206" customWidth="1"/>
    <col min="68" max="16384" width="17.85546875" style="1206"/>
  </cols>
  <sheetData>
    <row r="1" spans="1:65" s="1171" customFormat="1" ht="15" customHeight="1">
      <c r="A1" s="1170" t="s">
        <v>8882</v>
      </c>
      <c r="B1" s="1533" t="s">
        <v>8883</v>
      </c>
      <c r="C1" s="1533"/>
      <c r="D1" s="1533"/>
      <c r="E1" s="1533"/>
      <c r="F1" s="1533"/>
      <c r="G1" s="1533"/>
      <c r="H1" s="1533"/>
      <c r="I1" s="1533"/>
      <c r="J1" s="1533"/>
      <c r="K1" s="1533"/>
      <c r="L1" s="1535" t="s">
        <v>8884</v>
      </c>
      <c r="M1" s="1536"/>
      <c r="N1" s="1536"/>
      <c r="O1" s="1536"/>
      <c r="P1" s="1536"/>
      <c r="Q1" s="1536"/>
      <c r="R1" s="1536"/>
      <c r="S1" s="1536"/>
      <c r="T1" s="1536"/>
      <c r="U1" s="1536"/>
      <c r="V1" s="1536" t="s">
        <v>8885</v>
      </c>
      <c r="W1" s="1536"/>
      <c r="X1" s="1536"/>
      <c r="Y1" s="1536"/>
      <c r="Z1" s="1536"/>
      <c r="AA1" s="1536"/>
      <c r="AB1" s="1536"/>
      <c r="AC1" s="1536"/>
      <c r="AD1" s="1536"/>
      <c r="AE1" s="1536"/>
      <c r="AF1" s="1536" t="s">
        <v>8885</v>
      </c>
      <c r="AG1" s="1536"/>
      <c r="AH1" s="1536"/>
      <c r="AI1" s="1536"/>
      <c r="AJ1" s="1536"/>
      <c r="AK1" s="1536"/>
      <c r="AL1" s="1536"/>
      <c r="AM1" s="1536"/>
      <c r="AN1" s="1536"/>
      <c r="AO1" s="1537"/>
      <c r="AP1" s="1532" t="s">
        <v>8886</v>
      </c>
      <c r="AQ1" s="1530"/>
      <c r="AR1" s="1530"/>
      <c r="AS1" s="1530"/>
      <c r="AT1" s="1530"/>
      <c r="AU1" s="1531"/>
      <c r="AV1" s="1532" t="s">
        <v>8887</v>
      </c>
      <c r="AW1" s="1530"/>
      <c r="AX1" s="1530"/>
      <c r="AY1" s="1530"/>
      <c r="AZ1" s="1530"/>
      <c r="BA1" s="1530"/>
      <c r="BB1" s="1530" t="s">
        <v>8888</v>
      </c>
      <c r="BC1" s="1531"/>
      <c r="BD1" s="1532" t="s">
        <v>8889</v>
      </c>
      <c r="BE1" s="1531"/>
      <c r="BF1" s="1533" t="s">
        <v>8890</v>
      </c>
      <c r="BG1" s="1533"/>
      <c r="BH1" s="1533"/>
      <c r="BI1" s="1533"/>
      <c r="BJ1" s="1533"/>
      <c r="BK1" s="1533"/>
      <c r="BL1" s="1533"/>
      <c r="BM1" s="1533"/>
    </row>
    <row r="2" spans="1:65" s="1171" customFormat="1" ht="63">
      <c r="A2" s="1170" t="s">
        <v>8891</v>
      </c>
      <c r="B2" s="1172" t="s">
        <v>8892</v>
      </c>
      <c r="C2" s="1173" t="s">
        <v>8893</v>
      </c>
      <c r="D2" s="1174" t="s">
        <v>8894</v>
      </c>
      <c r="E2" s="1175" t="s">
        <v>8893</v>
      </c>
      <c r="F2" s="1176" t="s">
        <v>8895</v>
      </c>
      <c r="G2" s="1177" t="s">
        <v>8893</v>
      </c>
      <c r="H2" s="1178" t="s">
        <v>8896</v>
      </c>
      <c r="I2" s="1179" t="s">
        <v>8893</v>
      </c>
      <c r="J2" s="1180" t="s">
        <v>8897</v>
      </c>
      <c r="K2" s="1181" t="s">
        <v>8893</v>
      </c>
      <c r="L2" s="1182" t="s">
        <v>8898</v>
      </c>
      <c r="M2" s="1183" t="s">
        <v>8893</v>
      </c>
      <c r="N2" s="1182" t="s">
        <v>8899</v>
      </c>
      <c r="O2" s="1183" t="s">
        <v>8893</v>
      </c>
      <c r="P2" s="1182" t="s">
        <v>8900</v>
      </c>
      <c r="Q2" s="1183" t="s">
        <v>8893</v>
      </c>
      <c r="R2" s="1182" t="s">
        <v>8901</v>
      </c>
      <c r="S2" s="1183" t="s">
        <v>8893</v>
      </c>
      <c r="T2" s="1184" t="s">
        <v>8902</v>
      </c>
      <c r="U2" s="1185" t="s">
        <v>8893</v>
      </c>
      <c r="V2" s="1182" t="s">
        <v>8903</v>
      </c>
      <c r="W2" s="1183" t="s">
        <v>8893</v>
      </c>
      <c r="X2" s="1178" t="s">
        <v>8904</v>
      </c>
      <c r="Y2" s="1186" t="s">
        <v>8893</v>
      </c>
      <c r="Z2" s="1178" t="s">
        <v>8905</v>
      </c>
      <c r="AA2" s="1179" t="s">
        <v>8893</v>
      </c>
      <c r="AB2" s="1187" t="s">
        <v>8906</v>
      </c>
      <c r="AC2" s="1188" t="s">
        <v>8893</v>
      </c>
      <c r="AD2" s="1184" t="s">
        <v>8907</v>
      </c>
      <c r="AE2" s="1189" t="s">
        <v>8893</v>
      </c>
      <c r="AF2" s="1184" t="s">
        <v>8908</v>
      </c>
      <c r="AG2" s="1189" t="s">
        <v>8893</v>
      </c>
      <c r="AH2" s="1184" t="s">
        <v>8909</v>
      </c>
      <c r="AI2" s="1189" t="s">
        <v>8893</v>
      </c>
      <c r="AJ2" s="1184" t="s">
        <v>5814</v>
      </c>
      <c r="AK2" s="1189" t="s">
        <v>8893</v>
      </c>
      <c r="AL2" s="1184" t="s">
        <v>8910</v>
      </c>
      <c r="AM2" s="1189" t="s">
        <v>8893</v>
      </c>
      <c r="AN2" s="1184" t="s">
        <v>8911</v>
      </c>
      <c r="AO2" s="1189" t="s">
        <v>8893</v>
      </c>
      <c r="AP2" s="1174" t="s">
        <v>8912</v>
      </c>
      <c r="AQ2" s="1175" t="s">
        <v>8893</v>
      </c>
      <c r="AR2" s="1180" t="s">
        <v>478</v>
      </c>
      <c r="AS2" s="1181" t="s">
        <v>8893</v>
      </c>
      <c r="AT2" s="1178" t="s">
        <v>8913</v>
      </c>
      <c r="AU2" s="1179" t="s">
        <v>8893</v>
      </c>
      <c r="AV2" s="1190" t="s">
        <v>8914</v>
      </c>
      <c r="AW2" s="1191" t="s">
        <v>8893</v>
      </c>
      <c r="AX2" s="1190" t="s">
        <v>8915</v>
      </c>
      <c r="AY2" s="1191" t="s">
        <v>8893</v>
      </c>
      <c r="AZ2" s="1190" t="s">
        <v>8916</v>
      </c>
      <c r="BA2" s="1191" t="s">
        <v>8893</v>
      </c>
      <c r="BB2" s="1192" t="s">
        <v>8917</v>
      </c>
      <c r="BC2" s="1193" t="s">
        <v>8893</v>
      </c>
      <c r="BD2" s="1172" t="s">
        <v>8918</v>
      </c>
      <c r="BE2" s="1173" t="s">
        <v>8893</v>
      </c>
      <c r="BF2" s="1178" t="s">
        <v>8919</v>
      </c>
      <c r="BG2" s="1179" t="s">
        <v>8893</v>
      </c>
      <c r="BH2" s="1194" t="s">
        <v>8920</v>
      </c>
      <c r="BI2" s="1195" t="s">
        <v>8893</v>
      </c>
      <c r="BJ2" s="1194" t="s">
        <v>8921</v>
      </c>
      <c r="BK2" s="1195" t="s">
        <v>8893</v>
      </c>
      <c r="BL2" s="1174" t="s">
        <v>8922</v>
      </c>
      <c r="BM2" s="1196" t="s">
        <v>8893</v>
      </c>
    </row>
    <row r="3" spans="1:65" s="1171" customFormat="1">
      <c r="A3" s="1197" t="s">
        <v>8923</v>
      </c>
      <c r="B3" s="1528"/>
      <c r="C3" s="1529"/>
      <c r="D3" s="1528"/>
      <c r="E3" s="1529"/>
      <c r="F3" s="1528" t="s">
        <v>8924</v>
      </c>
      <c r="G3" s="1529"/>
      <c r="H3" s="1528"/>
      <c r="I3" s="1529"/>
      <c r="J3" s="1528" t="s">
        <v>8924</v>
      </c>
      <c r="K3" s="1529"/>
      <c r="L3" s="1528"/>
      <c r="M3" s="1534"/>
      <c r="N3" s="1534"/>
      <c r="O3" s="1534"/>
      <c r="P3" s="1534"/>
      <c r="Q3" s="1534"/>
      <c r="R3" s="1534"/>
      <c r="S3" s="1529"/>
      <c r="T3" s="1528" t="s">
        <v>8924</v>
      </c>
      <c r="U3" s="1529"/>
      <c r="V3" s="1528"/>
      <c r="W3" s="1529"/>
      <c r="X3" s="1199"/>
      <c r="Y3" s="1200"/>
      <c r="Z3" s="1528"/>
      <c r="AA3" s="1529"/>
      <c r="AB3" s="1198"/>
      <c r="AC3" s="1198"/>
      <c r="AD3" s="1528" t="s">
        <v>8924</v>
      </c>
      <c r="AE3" s="1529"/>
      <c r="AF3" s="1528" t="s">
        <v>8924</v>
      </c>
      <c r="AG3" s="1529"/>
      <c r="AH3" s="1528" t="s">
        <v>8924</v>
      </c>
      <c r="AI3" s="1529"/>
      <c r="AJ3" s="1528" t="s">
        <v>8924</v>
      </c>
      <c r="AK3" s="1529"/>
      <c r="AL3" s="1528" t="s">
        <v>8925</v>
      </c>
      <c r="AM3" s="1529"/>
      <c r="AN3" s="1528" t="s">
        <v>8925</v>
      </c>
      <c r="AO3" s="1529"/>
      <c r="AP3" s="1528"/>
      <c r="AQ3" s="1529"/>
      <c r="AR3" s="1528"/>
      <c r="AS3" s="1529"/>
      <c r="AT3" s="1528"/>
      <c r="AU3" s="1529"/>
      <c r="AV3" s="1528"/>
      <c r="AW3" s="1529"/>
      <c r="AX3" s="1528"/>
      <c r="AY3" s="1529"/>
      <c r="AZ3" s="1528"/>
      <c r="BA3" s="1529"/>
      <c r="BB3" s="1528"/>
      <c r="BC3" s="1529"/>
      <c r="BD3" s="1528"/>
      <c r="BE3" s="1529"/>
      <c r="BF3" s="1528"/>
      <c r="BG3" s="1529"/>
      <c r="BH3" s="1528"/>
      <c r="BI3" s="1529"/>
      <c r="BJ3" s="1528" t="s">
        <v>8924</v>
      </c>
      <c r="BK3" s="1529"/>
      <c r="BL3" s="1528" t="s">
        <v>8924</v>
      </c>
      <c r="BM3" s="1529"/>
    </row>
    <row r="4" spans="1:65">
      <c r="A4" s="1201"/>
      <c r="B4" s="1202"/>
      <c r="C4" s="1203"/>
      <c r="D4" s="1202"/>
      <c r="E4" s="1203"/>
      <c r="F4" s="1202"/>
      <c r="G4" s="1203"/>
      <c r="H4" s="1202"/>
      <c r="I4" s="1203"/>
      <c r="J4" s="1202"/>
      <c r="K4" s="1203"/>
      <c r="L4" s="1202"/>
      <c r="M4" s="1203"/>
      <c r="N4" s="1202"/>
      <c r="O4" s="1203"/>
      <c r="P4" s="1202"/>
      <c r="Q4" s="1203"/>
      <c r="R4" s="1202"/>
      <c r="S4" s="1203"/>
      <c r="T4" s="1202"/>
      <c r="U4" s="1203"/>
      <c r="V4" s="1202"/>
      <c r="W4" s="1203"/>
      <c r="X4" s="1202"/>
      <c r="Y4" s="1203"/>
      <c r="Z4" s="1202"/>
      <c r="AA4" s="1203"/>
      <c r="AB4" s="1204"/>
      <c r="AC4" s="1205"/>
      <c r="AD4" s="1202"/>
      <c r="AE4" s="1203"/>
      <c r="AF4" s="1202"/>
      <c r="AG4" s="1203"/>
      <c r="AH4" s="1202"/>
      <c r="AI4" s="1203"/>
      <c r="AJ4" s="1202"/>
      <c r="AK4" s="1203"/>
      <c r="AL4" s="1202"/>
      <c r="AM4" s="1203"/>
      <c r="AN4" s="1202"/>
      <c r="AO4" s="1203"/>
      <c r="AP4" s="1202"/>
      <c r="AQ4" s="1203"/>
      <c r="AR4" s="1202"/>
      <c r="AS4" s="1203"/>
      <c r="AT4" s="1202"/>
      <c r="AU4" s="1203"/>
      <c r="AV4" s="1202"/>
      <c r="AW4" s="1203"/>
      <c r="AX4" s="1202"/>
      <c r="AY4" s="1203"/>
      <c r="AZ4" s="1202"/>
      <c r="BA4" s="1203"/>
      <c r="BB4" s="1202"/>
      <c r="BC4" s="1203"/>
      <c r="BD4" s="1202"/>
      <c r="BE4" s="1203"/>
      <c r="BF4" s="1202"/>
      <c r="BG4" s="1203"/>
      <c r="BH4" s="1202"/>
      <c r="BI4" s="1203"/>
      <c r="BJ4" s="1202"/>
      <c r="BK4" s="1203"/>
      <c r="BL4" s="1202"/>
      <c r="BM4" s="1205"/>
    </row>
    <row r="5" spans="1:65">
      <c r="A5" s="1207" t="s">
        <v>8926</v>
      </c>
      <c r="B5" s="1208"/>
      <c r="C5" s="1209"/>
      <c r="D5" s="1208"/>
      <c r="E5" s="1209"/>
      <c r="F5" s="1208"/>
      <c r="G5" s="1209"/>
      <c r="H5" s="1208"/>
      <c r="I5" s="1209"/>
      <c r="J5" s="1208"/>
      <c r="K5" s="1209"/>
      <c r="L5" s="1208"/>
      <c r="M5" s="1209"/>
      <c r="N5" s="1208"/>
      <c r="O5" s="1209"/>
      <c r="P5" s="1208"/>
      <c r="Q5" s="1209"/>
      <c r="R5" s="1208"/>
      <c r="S5" s="1209"/>
      <c r="T5" s="1208"/>
      <c r="U5" s="1209"/>
      <c r="V5" s="1208"/>
      <c r="W5" s="1209"/>
      <c r="X5" s="1208"/>
      <c r="Y5" s="1209"/>
      <c r="Z5" s="1208"/>
      <c r="AA5" s="1209"/>
      <c r="AD5" s="1208"/>
      <c r="AE5" s="1209"/>
      <c r="AF5" s="1208"/>
      <c r="AG5" s="1209"/>
      <c r="AH5" s="1208"/>
      <c r="AI5" s="1209"/>
      <c r="AJ5" s="1208"/>
      <c r="AK5" s="1209"/>
      <c r="AL5" s="1208"/>
      <c r="AM5" s="1209"/>
      <c r="AN5" s="1208"/>
      <c r="AO5" s="1209"/>
      <c r="AP5" s="1208"/>
      <c r="AQ5" s="1209"/>
      <c r="AR5" s="1208"/>
      <c r="AS5" s="1209"/>
      <c r="AT5" s="1208"/>
      <c r="AU5" s="1209"/>
      <c r="AV5" s="1208"/>
      <c r="AW5" s="1209"/>
      <c r="AX5" s="1208"/>
      <c r="AY5" s="1209"/>
      <c r="AZ5" s="1208"/>
      <c r="BA5" s="1209"/>
      <c r="BB5" s="1208"/>
      <c r="BC5" s="1209"/>
      <c r="BD5" s="1208"/>
      <c r="BE5" s="1209"/>
      <c r="BF5" s="1208"/>
      <c r="BG5" s="1209"/>
      <c r="BH5" s="1208"/>
      <c r="BI5" s="1209"/>
      <c r="BJ5" s="1208"/>
      <c r="BK5" s="1209"/>
      <c r="BL5" s="1208"/>
    </row>
    <row r="6" spans="1:65">
      <c r="A6" s="1211"/>
      <c r="B6" s="1208"/>
      <c r="C6" s="1209"/>
      <c r="D6" s="1208"/>
      <c r="E6" s="1209"/>
      <c r="F6" s="1208"/>
      <c r="G6" s="1209"/>
      <c r="H6" s="1208"/>
      <c r="I6" s="1209"/>
      <c r="J6" s="1208"/>
      <c r="K6" s="1209"/>
      <c r="L6" s="1208"/>
      <c r="M6" s="1209"/>
      <c r="N6" s="1208"/>
      <c r="O6" s="1209"/>
      <c r="P6" s="1208"/>
      <c r="Q6" s="1209"/>
      <c r="R6" s="1208"/>
      <c r="S6" s="1209"/>
      <c r="T6" s="1208"/>
      <c r="U6" s="1209"/>
      <c r="V6" s="1208"/>
      <c r="W6" s="1209"/>
      <c r="X6" s="1208"/>
      <c r="Y6" s="1209"/>
      <c r="Z6" s="1208"/>
      <c r="AA6" s="1209"/>
      <c r="AD6" s="1208"/>
      <c r="AE6" s="1209"/>
      <c r="AF6" s="1208"/>
      <c r="AG6" s="1209"/>
      <c r="AH6" s="1208"/>
      <c r="AI6" s="1209"/>
      <c r="AJ6" s="1208"/>
      <c r="AK6" s="1209"/>
      <c r="AL6" s="1208"/>
      <c r="AM6" s="1209"/>
      <c r="AN6" s="1208"/>
      <c r="AO6" s="1209"/>
      <c r="AP6" s="1208"/>
      <c r="AQ6" s="1209"/>
      <c r="AR6" s="1208"/>
      <c r="AS6" s="1209"/>
      <c r="AT6" s="1208"/>
      <c r="AU6" s="1209"/>
      <c r="AV6" s="1208"/>
      <c r="AW6" s="1209"/>
      <c r="AX6" s="1208"/>
      <c r="AY6" s="1209"/>
      <c r="AZ6" s="1208"/>
      <c r="BA6" s="1209"/>
      <c r="BB6" s="1208"/>
      <c r="BC6" s="1209"/>
      <c r="BD6" s="1208"/>
      <c r="BE6" s="1209"/>
      <c r="BF6" s="1208"/>
      <c r="BG6" s="1209"/>
      <c r="BH6" s="1208"/>
      <c r="BI6" s="1209"/>
      <c r="BJ6" s="1208"/>
      <c r="BK6" s="1209"/>
      <c r="BL6" s="1208"/>
    </row>
    <row r="7" spans="1:65">
      <c r="A7" s="1211"/>
      <c r="B7" s="1208"/>
      <c r="C7" s="1209"/>
      <c r="D7" s="1208"/>
      <c r="E7" s="1209"/>
      <c r="F7" s="1208"/>
      <c r="G7" s="1209"/>
      <c r="H7" s="1208"/>
      <c r="I7" s="1209"/>
      <c r="J7" s="1208"/>
      <c r="K7" s="1209"/>
      <c r="L7" s="1208"/>
      <c r="M7" s="1209"/>
      <c r="N7" s="1208"/>
      <c r="O7" s="1209"/>
      <c r="P7" s="1208"/>
      <c r="Q7" s="1209"/>
      <c r="R7" s="1208"/>
      <c r="S7" s="1209"/>
      <c r="T7" s="1208"/>
      <c r="U7" s="1209"/>
      <c r="V7" s="1208"/>
      <c r="W7" s="1209"/>
      <c r="X7" s="1208"/>
      <c r="Y7" s="1209"/>
      <c r="Z7" s="1208"/>
      <c r="AA7" s="1209"/>
      <c r="AD7" s="1208"/>
      <c r="AE7" s="1209"/>
      <c r="AF7" s="1208"/>
      <c r="AG7" s="1209"/>
      <c r="AH7" s="1208"/>
      <c r="AI7" s="1209"/>
      <c r="AJ7" s="1208"/>
      <c r="AK7" s="1209"/>
      <c r="AL7" s="1208"/>
      <c r="AM7" s="1209"/>
      <c r="AN7" s="1208"/>
      <c r="AO7" s="1209"/>
      <c r="AP7" s="1208"/>
      <c r="AQ7" s="1209"/>
      <c r="AR7" s="1208"/>
      <c r="AS7" s="1209"/>
      <c r="AT7" s="1208"/>
      <c r="AU7" s="1209"/>
      <c r="AV7" s="1208"/>
      <c r="AW7" s="1209"/>
      <c r="AX7" s="1208"/>
      <c r="AY7" s="1209"/>
      <c r="AZ7" s="1208"/>
      <c r="BA7" s="1209"/>
      <c r="BB7" s="1208"/>
      <c r="BC7" s="1209"/>
      <c r="BD7" s="1208"/>
      <c r="BE7" s="1209"/>
      <c r="BF7" s="1208"/>
      <c r="BG7" s="1209"/>
      <c r="BH7" s="1208"/>
      <c r="BI7" s="1209"/>
      <c r="BJ7" s="1208"/>
      <c r="BK7" s="1209"/>
      <c r="BL7" s="1208"/>
    </row>
    <row r="8" spans="1:65">
      <c r="A8" s="1211"/>
      <c r="B8" s="1208"/>
      <c r="C8" s="1209"/>
      <c r="D8" s="1208"/>
      <c r="E8" s="1209"/>
      <c r="F8" s="1208"/>
      <c r="G8" s="1209"/>
      <c r="H8" s="1208"/>
      <c r="I8" s="1209"/>
      <c r="J8" s="1208"/>
      <c r="K8" s="1209"/>
      <c r="L8" s="1208"/>
      <c r="M8" s="1209"/>
      <c r="N8" s="1208"/>
      <c r="O8" s="1209"/>
      <c r="P8" s="1208"/>
      <c r="Q8" s="1209"/>
      <c r="R8" s="1208"/>
      <c r="S8" s="1209"/>
      <c r="T8" s="1208"/>
      <c r="U8" s="1209"/>
      <c r="V8" s="1208"/>
      <c r="W8" s="1209"/>
      <c r="X8" s="1208"/>
      <c r="Y8" s="1209"/>
      <c r="Z8" s="1208"/>
      <c r="AA8" s="1209"/>
      <c r="AD8" s="1208"/>
      <c r="AE8" s="1209"/>
      <c r="AF8" s="1208"/>
      <c r="AG8" s="1209"/>
      <c r="AH8" s="1208"/>
      <c r="AI8" s="1209"/>
      <c r="AJ8" s="1208"/>
      <c r="AK8" s="1209"/>
      <c r="AL8" s="1208"/>
      <c r="AM8" s="1209"/>
      <c r="AN8" s="1208"/>
      <c r="AO8" s="1209"/>
      <c r="AP8" s="1208"/>
      <c r="AQ8" s="1209"/>
      <c r="AR8" s="1208"/>
      <c r="AS8" s="1209"/>
      <c r="AT8" s="1208"/>
      <c r="AU8" s="1209"/>
      <c r="AV8" s="1208"/>
      <c r="AW8" s="1209"/>
      <c r="AX8" s="1208"/>
      <c r="AY8" s="1209"/>
      <c r="AZ8" s="1208"/>
      <c r="BA8" s="1209"/>
      <c r="BB8" s="1208"/>
      <c r="BC8" s="1209"/>
      <c r="BD8" s="1208"/>
      <c r="BE8" s="1209"/>
      <c r="BF8" s="1208"/>
      <c r="BG8" s="1209"/>
      <c r="BH8" s="1208"/>
      <c r="BI8" s="1209"/>
      <c r="BJ8" s="1208"/>
      <c r="BK8" s="1209"/>
      <c r="BL8" s="1208"/>
    </row>
    <row r="9" spans="1:65">
      <c r="A9" s="1211" t="s">
        <v>8927</v>
      </c>
      <c r="B9" s="1208" t="s">
        <v>8928</v>
      </c>
      <c r="C9" s="1209" t="s">
        <v>8929</v>
      </c>
      <c r="D9" s="1208"/>
      <c r="E9" s="1209"/>
      <c r="F9" s="1208"/>
      <c r="G9" s="1209"/>
      <c r="H9" s="1208"/>
      <c r="I9" s="1209"/>
      <c r="J9" s="1208"/>
      <c r="K9" s="1209"/>
      <c r="L9" s="1208"/>
      <c r="M9" s="1209"/>
      <c r="N9" s="1208"/>
      <c r="O9" s="1209"/>
      <c r="P9" s="1208"/>
      <c r="Q9" s="1209"/>
      <c r="R9" s="1208"/>
      <c r="S9" s="1209"/>
      <c r="T9" s="1208"/>
      <c r="U9" s="1209"/>
      <c r="V9" s="1208"/>
      <c r="W9" s="1209"/>
      <c r="X9" s="1208"/>
      <c r="Y9" s="1209"/>
      <c r="Z9" s="1208"/>
      <c r="AA9" s="1209"/>
      <c r="AD9" s="1208"/>
      <c r="AE9" s="1209"/>
      <c r="AF9" s="1208"/>
      <c r="AG9" s="1209"/>
      <c r="AH9" s="1208"/>
      <c r="AI9" s="1209"/>
      <c r="AJ9" s="1208"/>
      <c r="AK9" s="1209"/>
      <c r="AL9" s="1208"/>
      <c r="AM9" s="1209"/>
      <c r="AN9" s="1208"/>
      <c r="AO9" s="1209"/>
      <c r="AP9" s="1208"/>
      <c r="AQ9" s="1209"/>
      <c r="AR9" s="1208"/>
      <c r="AS9" s="1209"/>
      <c r="AT9" s="1208"/>
      <c r="AU9" s="1209"/>
      <c r="AV9" s="1208"/>
      <c r="AW9" s="1209"/>
      <c r="AX9" s="1208"/>
      <c r="AY9" s="1209"/>
      <c r="AZ9" s="1208"/>
      <c r="BA9" s="1209"/>
      <c r="BB9" s="1208"/>
      <c r="BC9" s="1209"/>
      <c r="BD9" s="1208"/>
      <c r="BE9" s="1209"/>
      <c r="BF9" s="1208"/>
      <c r="BG9" s="1209"/>
      <c r="BH9" s="1208"/>
      <c r="BI9" s="1209"/>
      <c r="BJ9" s="1208"/>
      <c r="BK9" s="1209"/>
      <c r="BL9" s="1208"/>
    </row>
    <row r="10" spans="1:65">
      <c r="A10" s="1211"/>
      <c r="B10" s="1208"/>
      <c r="C10" s="1209"/>
      <c r="D10" s="1208"/>
      <c r="E10" s="1209"/>
      <c r="F10" s="1208"/>
      <c r="G10" s="1209"/>
      <c r="H10" s="1208"/>
      <c r="I10" s="1209"/>
      <c r="J10" s="1208"/>
      <c r="K10" s="1209"/>
      <c r="L10" s="1208"/>
      <c r="M10" s="1209"/>
      <c r="N10" s="1208"/>
      <c r="O10" s="1209"/>
      <c r="P10" s="1208"/>
      <c r="Q10" s="1209"/>
      <c r="R10" s="1208"/>
      <c r="S10" s="1209"/>
      <c r="T10" s="1208"/>
      <c r="U10" s="1209"/>
      <c r="V10" s="1208"/>
      <c r="W10" s="1209"/>
      <c r="X10" s="1208"/>
      <c r="Y10" s="1209"/>
      <c r="Z10" s="1208"/>
      <c r="AA10" s="1209"/>
      <c r="AD10" s="1208"/>
      <c r="AE10" s="1209"/>
      <c r="AF10" s="1208"/>
      <c r="AG10" s="1209"/>
      <c r="AH10" s="1208"/>
      <c r="AI10" s="1209"/>
      <c r="AJ10" s="1208"/>
      <c r="AK10" s="1209"/>
      <c r="AL10" s="1208"/>
      <c r="AM10" s="1209"/>
      <c r="AN10" s="1208"/>
      <c r="AO10" s="1209"/>
      <c r="AP10" s="1208"/>
      <c r="AQ10" s="1209"/>
      <c r="AR10" s="1208"/>
      <c r="AS10" s="1209"/>
      <c r="AT10" s="1208"/>
      <c r="AU10" s="1209"/>
      <c r="AV10" s="1208"/>
      <c r="AW10" s="1209"/>
      <c r="AX10" s="1208"/>
      <c r="AY10" s="1209"/>
      <c r="AZ10" s="1208"/>
      <c r="BA10" s="1209"/>
      <c r="BB10" s="1208"/>
      <c r="BC10" s="1209"/>
      <c r="BD10" s="1208"/>
      <c r="BE10" s="1209"/>
      <c r="BF10" s="1208"/>
      <c r="BG10" s="1209"/>
      <c r="BH10" s="1208"/>
      <c r="BI10" s="1209"/>
      <c r="BJ10" s="1208"/>
      <c r="BK10" s="1209"/>
      <c r="BL10" s="1208"/>
    </row>
    <row r="11" spans="1:65">
      <c r="A11" s="1211"/>
      <c r="B11" s="1208"/>
      <c r="C11" s="1209"/>
      <c r="D11" s="1208"/>
      <c r="E11" s="1209"/>
      <c r="F11" s="1208"/>
      <c r="G11" s="1209"/>
      <c r="H11" s="1208"/>
      <c r="I11" s="1209"/>
      <c r="J11" s="1208"/>
      <c r="K11" s="1209"/>
      <c r="L11" s="1208"/>
      <c r="M11" s="1209"/>
      <c r="N11" s="1208"/>
      <c r="O11" s="1209"/>
      <c r="P11" s="1208"/>
      <c r="Q11" s="1209"/>
      <c r="R11" s="1208"/>
      <c r="S11" s="1209"/>
      <c r="T11" s="1208"/>
      <c r="U11" s="1209"/>
      <c r="V11" s="1208"/>
      <c r="W11" s="1209"/>
      <c r="X11" s="1208"/>
      <c r="Y11" s="1209"/>
      <c r="Z11" s="1208"/>
      <c r="AA11" s="1209"/>
      <c r="AD11" s="1208"/>
      <c r="AE11" s="1209"/>
      <c r="AF11" s="1208"/>
      <c r="AG11" s="1209"/>
      <c r="AH11" s="1208"/>
      <c r="AI11" s="1209"/>
      <c r="AJ11" s="1208"/>
      <c r="AK11" s="1209"/>
      <c r="AL11" s="1208"/>
      <c r="AM11" s="1209"/>
      <c r="AN11" s="1208"/>
      <c r="AO11" s="1209"/>
      <c r="AP11" s="1208"/>
      <c r="AQ11" s="1209"/>
      <c r="AR11" s="1208"/>
      <c r="AS11" s="1209"/>
      <c r="AT11" s="1208"/>
      <c r="AU11" s="1209"/>
      <c r="AV11" s="1208"/>
      <c r="AW11" s="1209"/>
      <c r="AX11" s="1208"/>
      <c r="AY11" s="1209"/>
      <c r="AZ11" s="1208"/>
      <c r="BA11" s="1209"/>
      <c r="BB11" s="1208"/>
      <c r="BC11" s="1209"/>
      <c r="BD11" s="1208"/>
      <c r="BE11" s="1209"/>
      <c r="BF11" s="1208"/>
      <c r="BG11" s="1209"/>
      <c r="BH11" s="1208"/>
      <c r="BI11" s="1209"/>
      <c r="BJ11" s="1208"/>
      <c r="BK11" s="1209"/>
      <c r="BL11" s="1208"/>
    </row>
    <row r="12" spans="1:65">
      <c r="A12" s="1211"/>
      <c r="B12" s="1208"/>
      <c r="C12" s="1209"/>
      <c r="D12" s="1208"/>
      <c r="E12" s="1209"/>
      <c r="F12" s="1208"/>
      <c r="G12" s="1209"/>
      <c r="H12" s="1208"/>
      <c r="I12" s="1209"/>
      <c r="J12" s="1208"/>
      <c r="K12" s="1209"/>
      <c r="L12" s="1208"/>
      <c r="M12" s="1209"/>
      <c r="N12" s="1208"/>
      <c r="O12" s="1209"/>
      <c r="P12" s="1208"/>
      <c r="Q12" s="1209"/>
      <c r="R12" s="1208"/>
      <c r="S12" s="1209"/>
      <c r="T12" s="1208"/>
      <c r="U12" s="1209"/>
      <c r="V12" s="1208"/>
      <c r="W12" s="1209"/>
      <c r="X12" s="1208"/>
      <c r="Y12" s="1209"/>
      <c r="Z12" s="1208"/>
      <c r="AA12" s="1209"/>
      <c r="AD12" s="1208"/>
      <c r="AE12" s="1209"/>
      <c r="AF12" s="1208"/>
      <c r="AG12" s="1209"/>
      <c r="AH12" s="1208"/>
      <c r="AI12" s="1209"/>
      <c r="AJ12" s="1208"/>
      <c r="AK12" s="1209"/>
      <c r="AL12" s="1208"/>
      <c r="AM12" s="1209"/>
      <c r="AN12" s="1208"/>
      <c r="AO12" s="1209"/>
      <c r="AP12" s="1208"/>
      <c r="AQ12" s="1209"/>
      <c r="AR12" s="1208"/>
      <c r="AS12" s="1209"/>
      <c r="AT12" s="1208"/>
      <c r="AU12" s="1209"/>
      <c r="AV12" s="1208"/>
      <c r="AW12" s="1209"/>
      <c r="AX12" s="1208"/>
      <c r="AY12" s="1209"/>
      <c r="AZ12" s="1208"/>
      <c r="BA12" s="1209"/>
      <c r="BB12" s="1208"/>
      <c r="BC12" s="1209"/>
      <c r="BD12" s="1208"/>
      <c r="BE12" s="1209"/>
      <c r="BF12" s="1208"/>
      <c r="BG12" s="1209"/>
      <c r="BH12" s="1208"/>
      <c r="BI12" s="1209"/>
      <c r="BJ12" s="1208"/>
      <c r="BK12" s="1209"/>
      <c r="BL12" s="1208"/>
    </row>
    <row r="13" spans="1:65">
      <c r="A13" s="1211"/>
      <c r="B13" s="1208"/>
      <c r="C13" s="1209"/>
      <c r="D13" s="1208"/>
      <c r="E13" s="1209"/>
      <c r="F13" s="1208"/>
      <c r="G13" s="1209"/>
      <c r="H13" s="1208"/>
      <c r="I13" s="1209"/>
      <c r="J13" s="1208"/>
      <c r="K13" s="1209"/>
      <c r="L13" s="1208"/>
      <c r="M13" s="1209"/>
      <c r="N13" s="1208"/>
      <c r="O13" s="1209"/>
      <c r="P13" s="1208"/>
      <c r="Q13" s="1209"/>
      <c r="R13" s="1208"/>
      <c r="S13" s="1209"/>
      <c r="T13" s="1208"/>
      <c r="U13" s="1209"/>
      <c r="V13" s="1208"/>
      <c r="W13" s="1209"/>
      <c r="X13" s="1208"/>
      <c r="Y13" s="1209"/>
      <c r="Z13" s="1208"/>
      <c r="AA13" s="1209"/>
      <c r="AD13" s="1208"/>
      <c r="AE13" s="1209"/>
      <c r="AF13" s="1208"/>
      <c r="AG13" s="1209"/>
      <c r="AH13" s="1208"/>
      <c r="AI13" s="1209"/>
      <c r="AJ13" s="1208"/>
      <c r="AK13" s="1209"/>
      <c r="AL13" s="1208"/>
      <c r="AM13" s="1209"/>
      <c r="AN13" s="1208"/>
      <c r="AO13" s="1209"/>
      <c r="AP13" s="1208"/>
      <c r="AQ13" s="1209"/>
      <c r="AR13" s="1208"/>
      <c r="AS13" s="1209"/>
      <c r="AT13" s="1208"/>
      <c r="AU13" s="1209"/>
      <c r="AV13" s="1208"/>
      <c r="AW13" s="1209"/>
      <c r="AX13" s="1208"/>
      <c r="AY13" s="1209"/>
      <c r="AZ13" s="1208"/>
      <c r="BA13" s="1209"/>
      <c r="BB13" s="1208"/>
      <c r="BC13" s="1209"/>
      <c r="BD13" s="1208"/>
      <c r="BE13" s="1209"/>
      <c r="BF13" s="1208"/>
      <c r="BG13" s="1209"/>
      <c r="BH13" s="1208"/>
      <c r="BI13" s="1209"/>
      <c r="BJ13" s="1208"/>
      <c r="BK13" s="1209"/>
      <c r="BL13" s="1208"/>
    </row>
    <row r="14" spans="1:65">
      <c r="A14" s="1211"/>
      <c r="B14" s="1208"/>
      <c r="C14" s="1209"/>
      <c r="D14" s="1208"/>
      <c r="E14" s="1209"/>
      <c r="F14" s="1208"/>
      <c r="G14" s="1209"/>
      <c r="H14" s="1208"/>
      <c r="I14" s="1209"/>
      <c r="J14" s="1208"/>
      <c r="K14" s="1209"/>
      <c r="L14" s="1208"/>
      <c r="M14" s="1209"/>
      <c r="N14" s="1208"/>
      <c r="O14" s="1209"/>
      <c r="P14" s="1208"/>
      <c r="Q14" s="1209"/>
      <c r="R14" s="1208"/>
      <c r="S14" s="1209"/>
      <c r="T14" s="1208"/>
      <c r="U14" s="1209"/>
      <c r="V14" s="1208"/>
      <c r="W14" s="1209"/>
      <c r="X14" s="1208"/>
      <c r="Y14" s="1209"/>
      <c r="Z14" s="1208"/>
      <c r="AA14" s="1209"/>
      <c r="AD14" s="1208"/>
      <c r="AE14" s="1209"/>
      <c r="AF14" s="1208"/>
      <c r="AG14" s="1209"/>
      <c r="AH14" s="1208"/>
      <c r="AI14" s="1209"/>
      <c r="AJ14" s="1208"/>
      <c r="AK14" s="1209"/>
      <c r="AL14" s="1208"/>
      <c r="AM14" s="1209"/>
      <c r="AN14" s="1208"/>
      <c r="AO14" s="1209"/>
      <c r="AP14" s="1208"/>
      <c r="AQ14" s="1209"/>
      <c r="AR14" s="1208"/>
      <c r="AS14" s="1209"/>
      <c r="AT14" s="1208"/>
      <c r="AU14" s="1209"/>
      <c r="AV14" s="1208"/>
      <c r="AW14" s="1209"/>
      <c r="AX14" s="1208"/>
      <c r="AY14" s="1209"/>
      <c r="AZ14" s="1208"/>
      <c r="BA14" s="1209"/>
      <c r="BB14" s="1208"/>
      <c r="BC14" s="1209"/>
      <c r="BD14" s="1208"/>
      <c r="BE14" s="1209"/>
      <c r="BF14" s="1208"/>
      <c r="BG14" s="1209"/>
      <c r="BH14" s="1208"/>
      <c r="BI14" s="1209"/>
      <c r="BJ14" s="1208"/>
      <c r="BK14" s="1209"/>
      <c r="BL14" s="1208"/>
    </row>
    <row r="15" spans="1:65">
      <c r="A15" s="1211"/>
      <c r="B15" s="1208"/>
      <c r="C15" s="1209"/>
      <c r="D15" s="1208"/>
      <c r="E15" s="1209"/>
      <c r="F15" s="1208"/>
      <c r="G15" s="1209"/>
      <c r="H15" s="1208"/>
      <c r="I15" s="1209"/>
      <c r="J15" s="1208"/>
      <c r="K15" s="1209"/>
      <c r="L15" s="1208"/>
      <c r="M15" s="1209"/>
      <c r="N15" s="1208"/>
      <c r="O15" s="1209"/>
      <c r="P15" s="1208"/>
      <c r="Q15" s="1209"/>
      <c r="R15" s="1208"/>
      <c r="S15" s="1209"/>
      <c r="T15" s="1208"/>
      <c r="U15" s="1209"/>
      <c r="V15" s="1208"/>
      <c r="W15" s="1209"/>
      <c r="X15" s="1208"/>
      <c r="Y15" s="1209"/>
      <c r="Z15" s="1208"/>
      <c r="AA15" s="1209"/>
      <c r="AD15" s="1208"/>
      <c r="AE15" s="1209"/>
      <c r="AF15" s="1208"/>
      <c r="AG15" s="1209"/>
      <c r="AH15" s="1208"/>
      <c r="AI15" s="1209"/>
      <c r="AJ15" s="1208"/>
      <c r="AK15" s="1209"/>
      <c r="AL15" s="1208"/>
      <c r="AM15" s="1209"/>
      <c r="AN15" s="1208"/>
      <c r="AO15" s="1209"/>
      <c r="AP15" s="1208"/>
      <c r="AQ15" s="1209"/>
      <c r="AR15" s="1208"/>
      <c r="AS15" s="1209"/>
      <c r="AT15" s="1208"/>
      <c r="AU15" s="1209"/>
      <c r="AV15" s="1208"/>
      <c r="AW15" s="1209"/>
      <c r="AX15" s="1208"/>
      <c r="AY15" s="1209"/>
      <c r="AZ15" s="1208"/>
      <c r="BA15" s="1209"/>
      <c r="BB15" s="1208"/>
      <c r="BC15" s="1209"/>
      <c r="BD15" s="1208"/>
      <c r="BE15" s="1209"/>
      <c r="BF15" s="1208"/>
      <c r="BG15" s="1209"/>
      <c r="BH15" s="1208"/>
      <c r="BI15" s="1209"/>
      <c r="BJ15" s="1208"/>
      <c r="BK15" s="1209"/>
      <c r="BL15" s="1208"/>
    </row>
    <row r="16" spans="1:65">
      <c r="A16" s="1211"/>
      <c r="B16" s="1208"/>
      <c r="C16" s="1209"/>
      <c r="D16" s="1208"/>
      <c r="E16" s="1209"/>
      <c r="F16" s="1208"/>
      <c r="G16" s="1209"/>
      <c r="H16" s="1208"/>
      <c r="I16" s="1209"/>
      <c r="J16" s="1208"/>
      <c r="K16" s="1209"/>
      <c r="L16" s="1208"/>
      <c r="M16" s="1209"/>
      <c r="N16" s="1208"/>
      <c r="O16" s="1209"/>
      <c r="P16" s="1208"/>
      <c r="Q16" s="1209"/>
      <c r="R16" s="1208"/>
      <c r="S16" s="1209"/>
      <c r="T16" s="1208"/>
      <c r="U16" s="1209"/>
      <c r="V16" s="1208"/>
      <c r="W16" s="1209"/>
      <c r="X16" s="1208"/>
      <c r="Y16" s="1209"/>
      <c r="Z16" s="1208"/>
      <c r="AA16" s="1209"/>
      <c r="AD16" s="1208"/>
      <c r="AE16" s="1209"/>
      <c r="AF16" s="1208"/>
      <c r="AG16" s="1209"/>
      <c r="AH16" s="1208"/>
      <c r="AI16" s="1209"/>
      <c r="AJ16" s="1208"/>
      <c r="AK16" s="1209"/>
      <c r="AL16" s="1208"/>
      <c r="AM16" s="1209"/>
      <c r="AN16" s="1208"/>
      <c r="AO16" s="1209"/>
      <c r="AP16" s="1208"/>
      <c r="AQ16" s="1209"/>
      <c r="AR16" s="1208"/>
      <c r="AS16" s="1209"/>
      <c r="AT16" s="1208"/>
      <c r="AU16" s="1209"/>
      <c r="AV16" s="1208"/>
      <c r="AW16" s="1209"/>
      <c r="AX16" s="1208"/>
      <c r="AY16" s="1209"/>
      <c r="AZ16" s="1208"/>
      <c r="BA16" s="1209"/>
      <c r="BB16" s="1208"/>
      <c r="BC16" s="1209"/>
      <c r="BD16" s="1208"/>
      <c r="BE16" s="1209"/>
      <c r="BF16" s="1208"/>
      <c r="BG16" s="1209"/>
      <c r="BH16" s="1208"/>
      <c r="BI16" s="1209"/>
      <c r="BJ16" s="1208"/>
      <c r="BK16" s="1209"/>
      <c r="BL16" s="1208"/>
    </row>
    <row r="17" spans="1:64">
      <c r="A17" s="1211"/>
      <c r="B17" s="1208"/>
      <c r="C17" s="1209"/>
      <c r="D17" s="1208"/>
      <c r="E17" s="1209"/>
      <c r="F17" s="1208"/>
      <c r="G17" s="1209"/>
      <c r="H17" s="1208"/>
      <c r="I17" s="1209"/>
      <c r="J17" s="1208"/>
      <c r="K17" s="1209"/>
      <c r="L17" s="1208"/>
      <c r="M17" s="1209"/>
      <c r="N17" s="1208"/>
      <c r="O17" s="1209"/>
      <c r="P17" s="1208"/>
      <c r="Q17" s="1209"/>
      <c r="R17" s="1208"/>
      <c r="S17" s="1209"/>
      <c r="T17" s="1208"/>
      <c r="U17" s="1209"/>
      <c r="V17" s="1208"/>
      <c r="W17" s="1209"/>
      <c r="X17" s="1208"/>
      <c r="Y17" s="1209"/>
      <c r="Z17" s="1208"/>
      <c r="AA17" s="1209"/>
      <c r="AD17" s="1208"/>
      <c r="AE17" s="1209"/>
      <c r="AF17" s="1208"/>
      <c r="AG17" s="1209"/>
      <c r="AH17" s="1208"/>
      <c r="AI17" s="1209"/>
      <c r="AJ17" s="1208"/>
      <c r="AK17" s="1209"/>
      <c r="AL17" s="1208"/>
      <c r="AM17" s="1209"/>
      <c r="AN17" s="1208"/>
      <c r="AO17" s="1209"/>
      <c r="AP17" s="1208"/>
      <c r="AQ17" s="1209"/>
      <c r="AR17" s="1208"/>
      <c r="AS17" s="1209"/>
      <c r="AT17" s="1208"/>
      <c r="AU17" s="1209"/>
      <c r="AV17" s="1208"/>
      <c r="AW17" s="1209"/>
      <c r="AX17" s="1208"/>
      <c r="AY17" s="1209"/>
      <c r="AZ17" s="1208"/>
      <c r="BA17" s="1209"/>
      <c r="BB17" s="1208"/>
      <c r="BC17" s="1209"/>
      <c r="BD17" s="1208"/>
      <c r="BE17" s="1209"/>
      <c r="BF17" s="1208"/>
      <c r="BG17" s="1209"/>
      <c r="BH17" s="1208"/>
      <c r="BI17" s="1209"/>
      <c r="BJ17" s="1208"/>
      <c r="BK17" s="1209"/>
      <c r="BL17" s="1208"/>
    </row>
    <row r="18" spans="1:64">
      <c r="A18" s="1211"/>
      <c r="B18" s="1208"/>
      <c r="C18" s="1209"/>
      <c r="D18" s="1208"/>
      <c r="E18" s="1209"/>
      <c r="F18" s="1208"/>
      <c r="G18" s="1209"/>
      <c r="H18" s="1208"/>
      <c r="I18" s="1209"/>
      <c r="J18" s="1208"/>
      <c r="K18" s="1209"/>
      <c r="L18" s="1208"/>
      <c r="M18" s="1209"/>
      <c r="N18" s="1208"/>
      <c r="O18" s="1209"/>
      <c r="P18" s="1208"/>
      <c r="Q18" s="1209"/>
      <c r="R18" s="1208"/>
      <c r="S18" s="1209"/>
      <c r="T18" s="1208"/>
      <c r="U18" s="1209"/>
      <c r="V18" s="1208"/>
      <c r="W18" s="1209"/>
      <c r="X18" s="1208"/>
      <c r="Y18" s="1209"/>
      <c r="Z18" s="1208"/>
      <c r="AA18" s="1209"/>
      <c r="AD18" s="1208"/>
      <c r="AE18" s="1209"/>
      <c r="AF18" s="1208"/>
      <c r="AG18" s="1209"/>
      <c r="AH18" s="1208"/>
      <c r="AI18" s="1209"/>
      <c r="AJ18" s="1208"/>
      <c r="AK18" s="1209"/>
      <c r="AL18" s="1208"/>
      <c r="AM18" s="1209"/>
      <c r="AN18" s="1208"/>
      <c r="AO18" s="1209"/>
      <c r="AP18" s="1208"/>
      <c r="AQ18" s="1209"/>
      <c r="AR18" s="1208"/>
      <c r="AS18" s="1209"/>
      <c r="AT18" s="1208"/>
      <c r="AU18" s="1209"/>
      <c r="AV18" s="1208"/>
      <c r="AW18" s="1209"/>
      <c r="AX18" s="1208"/>
      <c r="AY18" s="1209"/>
      <c r="AZ18" s="1208"/>
      <c r="BA18" s="1209"/>
      <c r="BB18" s="1208"/>
      <c r="BC18" s="1209"/>
      <c r="BD18" s="1208"/>
      <c r="BE18" s="1209"/>
      <c r="BF18" s="1208"/>
      <c r="BG18" s="1209"/>
      <c r="BH18" s="1208"/>
      <c r="BI18" s="1209"/>
      <c r="BJ18" s="1208"/>
      <c r="BK18" s="1209"/>
      <c r="BL18" s="1208"/>
    </row>
    <row r="19" spans="1:64">
      <c r="A19" s="1211"/>
      <c r="B19" s="1208"/>
      <c r="C19" s="1209"/>
      <c r="D19" s="1208"/>
      <c r="E19" s="1209"/>
      <c r="F19" s="1208"/>
      <c r="G19" s="1209"/>
      <c r="H19" s="1208"/>
      <c r="I19" s="1209"/>
      <c r="J19" s="1208"/>
      <c r="K19" s="1209"/>
      <c r="L19" s="1208"/>
      <c r="M19" s="1209"/>
      <c r="N19" s="1208"/>
      <c r="O19" s="1209"/>
      <c r="P19" s="1208"/>
      <c r="Q19" s="1209"/>
      <c r="R19" s="1208"/>
      <c r="S19" s="1209"/>
      <c r="T19" s="1208"/>
      <c r="U19" s="1209"/>
      <c r="V19" s="1208"/>
      <c r="W19" s="1209"/>
      <c r="X19" s="1208"/>
      <c r="Y19" s="1209"/>
      <c r="Z19" s="1208"/>
      <c r="AA19" s="1209"/>
      <c r="AD19" s="1208"/>
      <c r="AE19" s="1209"/>
      <c r="AF19" s="1208"/>
      <c r="AG19" s="1209"/>
      <c r="AH19" s="1208"/>
      <c r="AI19" s="1209"/>
      <c r="AJ19" s="1208"/>
      <c r="AK19" s="1209"/>
      <c r="AL19" s="1208"/>
      <c r="AM19" s="1209"/>
      <c r="AN19" s="1208"/>
      <c r="AO19" s="1209"/>
      <c r="AP19" s="1208"/>
      <c r="AQ19" s="1209"/>
      <c r="AR19" s="1208"/>
      <c r="AS19" s="1209"/>
      <c r="AT19" s="1208"/>
      <c r="AU19" s="1209"/>
      <c r="AV19" s="1208"/>
      <c r="AW19" s="1209"/>
      <c r="AX19" s="1208"/>
      <c r="AY19" s="1209"/>
      <c r="AZ19" s="1208"/>
      <c r="BA19" s="1209"/>
      <c r="BB19" s="1208"/>
      <c r="BC19" s="1209"/>
      <c r="BD19" s="1208"/>
      <c r="BE19" s="1209"/>
      <c r="BF19" s="1208"/>
      <c r="BG19" s="1209"/>
      <c r="BH19" s="1208"/>
      <c r="BI19" s="1209"/>
      <c r="BJ19" s="1208"/>
      <c r="BK19" s="1209"/>
      <c r="BL19" s="1208"/>
    </row>
    <row r="20" spans="1:64">
      <c r="A20" s="1211"/>
      <c r="B20" s="1208"/>
      <c r="C20" s="1209"/>
      <c r="D20" s="1208"/>
      <c r="E20" s="1209"/>
      <c r="F20" s="1208"/>
      <c r="G20" s="1209"/>
      <c r="H20" s="1208"/>
      <c r="I20" s="1209"/>
      <c r="J20" s="1208"/>
      <c r="K20" s="1209"/>
      <c r="L20" s="1208"/>
      <c r="M20" s="1209"/>
      <c r="N20" s="1208"/>
      <c r="O20" s="1209"/>
      <c r="P20" s="1208"/>
      <c r="Q20" s="1209"/>
      <c r="R20" s="1208"/>
      <c r="S20" s="1209"/>
      <c r="T20" s="1208"/>
      <c r="U20" s="1209"/>
      <c r="V20" s="1208"/>
      <c r="W20" s="1209"/>
      <c r="X20" s="1208"/>
      <c r="Y20" s="1209"/>
      <c r="Z20" s="1208"/>
      <c r="AA20" s="1209"/>
      <c r="AD20" s="1208"/>
      <c r="AE20" s="1209"/>
      <c r="AF20" s="1208"/>
      <c r="AG20" s="1209"/>
      <c r="AH20" s="1208"/>
      <c r="AI20" s="1209"/>
      <c r="AJ20" s="1208"/>
      <c r="AK20" s="1209"/>
      <c r="AL20" s="1208"/>
      <c r="AM20" s="1209"/>
      <c r="AN20" s="1208"/>
      <c r="AO20" s="1209"/>
      <c r="AP20" s="1208"/>
      <c r="AQ20" s="1209"/>
      <c r="AR20" s="1208"/>
      <c r="AS20" s="1209"/>
      <c r="AT20" s="1208"/>
      <c r="AU20" s="1209"/>
      <c r="AV20" s="1208"/>
      <c r="AW20" s="1209"/>
      <c r="AX20" s="1208"/>
      <c r="AY20" s="1209"/>
      <c r="AZ20" s="1208"/>
      <c r="BA20" s="1209"/>
      <c r="BB20" s="1208"/>
      <c r="BC20" s="1209"/>
      <c r="BD20" s="1208"/>
      <c r="BE20" s="1209"/>
      <c r="BF20" s="1208"/>
      <c r="BG20" s="1209"/>
      <c r="BH20" s="1208"/>
      <c r="BI20" s="1209"/>
      <c r="BJ20" s="1208"/>
      <c r="BK20" s="1209"/>
      <c r="BL20" s="1208"/>
    </row>
    <row r="21" spans="1:64">
      <c r="A21" s="1211"/>
      <c r="B21" s="1208"/>
      <c r="C21" s="1209"/>
      <c r="D21" s="1208"/>
      <c r="E21" s="1209"/>
      <c r="F21" s="1208"/>
      <c r="G21" s="1209"/>
      <c r="H21" s="1208"/>
      <c r="I21" s="1209"/>
      <c r="J21" s="1208"/>
      <c r="K21" s="1209"/>
      <c r="L21" s="1208"/>
      <c r="M21" s="1209"/>
      <c r="N21" s="1208"/>
      <c r="O21" s="1209"/>
      <c r="P21" s="1208"/>
      <c r="Q21" s="1209"/>
      <c r="R21" s="1208"/>
      <c r="S21" s="1209"/>
      <c r="T21" s="1208"/>
      <c r="U21" s="1209"/>
      <c r="V21" s="1208"/>
      <c r="W21" s="1209"/>
      <c r="X21" s="1208"/>
      <c r="Y21" s="1209"/>
      <c r="Z21" s="1208"/>
      <c r="AA21" s="1209"/>
      <c r="AD21" s="1208"/>
      <c r="AE21" s="1209"/>
      <c r="AF21" s="1208"/>
      <c r="AG21" s="1209"/>
      <c r="AH21" s="1208"/>
      <c r="AI21" s="1209"/>
      <c r="AJ21" s="1208"/>
      <c r="AK21" s="1209"/>
      <c r="AL21" s="1208"/>
      <c r="AM21" s="1209"/>
      <c r="AN21" s="1208"/>
      <c r="AO21" s="1209"/>
      <c r="AP21" s="1208"/>
      <c r="AQ21" s="1209"/>
      <c r="AR21" s="1208"/>
      <c r="AS21" s="1209"/>
      <c r="AT21" s="1208"/>
      <c r="AU21" s="1209"/>
      <c r="AV21" s="1208"/>
      <c r="AW21" s="1209"/>
      <c r="AX21" s="1208"/>
      <c r="AY21" s="1209"/>
      <c r="AZ21" s="1208"/>
      <c r="BA21" s="1209"/>
      <c r="BB21" s="1208"/>
      <c r="BC21" s="1209"/>
      <c r="BD21" s="1208"/>
      <c r="BE21" s="1209"/>
      <c r="BF21" s="1208"/>
      <c r="BG21" s="1209"/>
      <c r="BH21" s="1208"/>
      <c r="BI21" s="1209"/>
      <c r="BJ21" s="1208"/>
      <c r="BK21" s="1209"/>
      <c r="BL21" s="1208"/>
    </row>
    <row r="22" spans="1:64">
      <c r="A22" s="1211"/>
      <c r="B22" s="1208"/>
      <c r="C22" s="1209"/>
      <c r="D22" s="1208"/>
      <c r="E22" s="1209"/>
      <c r="F22" s="1208"/>
      <c r="G22" s="1209"/>
      <c r="H22" s="1208"/>
      <c r="I22" s="1209"/>
      <c r="J22" s="1208"/>
      <c r="K22" s="1209"/>
      <c r="L22" s="1208"/>
      <c r="M22" s="1209"/>
      <c r="N22" s="1208"/>
      <c r="O22" s="1209"/>
      <c r="P22" s="1208"/>
      <c r="Q22" s="1209"/>
      <c r="R22" s="1208"/>
      <c r="S22" s="1209"/>
      <c r="T22" s="1208"/>
      <c r="U22" s="1209"/>
      <c r="V22" s="1208"/>
      <c r="W22" s="1209"/>
      <c r="X22" s="1208"/>
      <c r="Y22" s="1209"/>
      <c r="Z22" s="1208"/>
      <c r="AA22" s="1209"/>
      <c r="AD22" s="1208"/>
      <c r="AE22" s="1209"/>
      <c r="AF22" s="1208"/>
      <c r="AG22" s="1209"/>
      <c r="AH22" s="1208"/>
      <c r="AI22" s="1209"/>
      <c r="AJ22" s="1208"/>
      <c r="AK22" s="1209"/>
      <c r="AL22" s="1208"/>
      <c r="AM22" s="1209"/>
      <c r="AN22" s="1208"/>
      <c r="AO22" s="1209"/>
      <c r="AP22" s="1208"/>
      <c r="AQ22" s="1209"/>
      <c r="AR22" s="1208"/>
      <c r="AS22" s="1209"/>
      <c r="AT22" s="1208"/>
      <c r="AU22" s="1209"/>
      <c r="AV22" s="1208"/>
      <c r="AW22" s="1209"/>
      <c r="AX22" s="1208"/>
      <c r="AY22" s="1209"/>
      <c r="AZ22" s="1208"/>
      <c r="BA22" s="1209"/>
      <c r="BB22" s="1208"/>
      <c r="BC22" s="1209"/>
      <c r="BD22" s="1208"/>
      <c r="BE22" s="1209"/>
      <c r="BF22" s="1208"/>
      <c r="BG22" s="1209"/>
      <c r="BH22" s="1208"/>
      <c r="BI22" s="1209"/>
      <c r="BJ22" s="1208"/>
      <c r="BK22" s="1209"/>
      <c r="BL22" s="1208"/>
    </row>
    <row r="23" spans="1:64">
      <c r="A23" s="1211"/>
      <c r="B23" s="1208"/>
      <c r="C23" s="1209"/>
      <c r="D23" s="1208"/>
      <c r="E23" s="1209"/>
      <c r="F23" s="1208"/>
      <c r="G23" s="1209"/>
      <c r="H23" s="1208"/>
      <c r="I23" s="1209"/>
      <c r="J23" s="1208"/>
      <c r="K23" s="1209"/>
      <c r="L23" s="1208"/>
      <c r="M23" s="1209"/>
      <c r="N23" s="1208"/>
      <c r="O23" s="1209"/>
      <c r="P23" s="1208"/>
      <c r="Q23" s="1209"/>
      <c r="R23" s="1208"/>
      <c r="S23" s="1209"/>
      <c r="T23" s="1208"/>
      <c r="U23" s="1209"/>
      <c r="V23" s="1208"/>
      <c r="W23" s="1209"/>
      <c r="X23" s="1208"/>
      <c r="Y23" s="1209"/>
      <c r="Z23" s="1208"/>
      <c r="AA23" s="1209"/>
      <c r="AD23" s="1208"/>
      <c r="AE23" s="1209"/>
      <c r="AF23" s="1208"/>
      <c r="AG23" s="1209"/>
      <c r="AH23" s="1208"/>
      <c r="AI23" s="1209"/>
      <c r="AJ23" s="1208"/>
      <c r="AK23" s="1209"/>
      <c r="AL23" s="1208"/>
      <c r="AM23" s="1209"/>
      <c r="AN23" s="1208"/>
      <c r="AO23" s="1209"/>
      <c r="AP23" s="1208"/>
      <c r="AQ23" s="1209"/>
      <c r="AR23" s="1208"/>
      <c r="AS23" s="1209"/>
      <c r="AT23" s="1208"/>
      <c r="AU23" s="1209"/>
      <c r="AV23" s="1208"/>
      <c r="AW23" s="1209"/>
      <c r="AX23" s="1208"/>
      <c r="AY23" s="1209"/>
      <c r="AZ23" s="1208"/>
      <c r="BA23" s="1209"/>
      <c r="BB23" s="1208"/>
      <c r="BC23" s="1209"/>
      <c r="BD23" s="1208"/>
      <c r="BE23" s="1209"/>
      <c r="BF23" s="1208"/>
      <c r="BG23" s="1209"/>
      <c r="BH23" s="1208"/>
      <c r="BI23" s="1209"/>
      <c r="BJ23" s="1208"/>
      <c r="BK23" s="1209"/>
      <c r="BL23" s="1208"/>
    </row>
    <row r="24" spans="1:64">
      <c r="A24" s="1211"/>
      <c r="B24" s="1208"/>
      <c r="C24" s="1209"/>
      <c r="D24" s="1208"/>
      <c r="E24" s="1209"/>
      <c r="F24" s="1208"/>
      <c r="G24" s="1209"/>
      <c r="H24" s="1208"/>
      <c r="I24" s="1209"/>
      <c r="J24" s="1208"/>
      <c r="K24" s="1209"/>
      <c r="L24" s="1208"/>
      <c r="M24" s="1209"/>
      <c r="N24" s="1208"/>
      <c r="O24" s="1209"/>
      <c r="P24" s="1208"/>
      <c r="Q24" s="1209"/>
      <c r="R24" s="1208"/>
      <c r="S24" s="1209"/>
      <c r="T24" s="1208"/>
      <c r="U24" s="1209"/>
      <c r="V24" s="1208"/>
      <c r="W24" s="1209"/>
      <c r="X24" s="1208"/>
      <c r="Y24" s="1209"/>
      <c r="Z24" s="1208"/>
      <c r="AA24" s="1209"/>
      <c r="AD24" s="1208"/>
      <c r="AE24" s="1209"/>
      <c r="AF24" s="1208"/>
      <c r="AG24" s="1209"/>
      <c r="AH24" s="1208"/>
      <c r="AI24" s="1209"/>
      <c r="AJ24" s="1208"/>
      <c r="AK24" s="1209"/>
      <c r="AL24" s="1208"/>
      <c r="AM24" s="1209"/>
      <c r="AN24" s="1208"/>
      <c r="AO24" s="1209"/>
      <c r="AP24" s="1208"/>
      <c r="AQ24" s="1209"/>
      <c r="AR24" s="1208"/>
      <c r="AS24" s="1209"/>
      <c r="AT24" s="1208"/>
      <c r="AU24" s="1209"/>
      <c r="AV24" s="1208"/>
      <c r="AW24" s="1209"/>
      <c r="AX24" s="1208"/>
      <c r="AY24" s="1209"/>
      <c r="AZ24" s="1208"/>
      <c r="BA24" s="1209"/>
      <c r="BB24" s="1208"/>
      <c r="BC24" s="1209"/>
      <c r="BD24" s="1208"/>
      <c r="BE24" s="1209"/>
      <c r="BF24" s="1208"/>
      <c r="BG24" s="1209"/>
      <c r="BH24" s="1208"/>
      <c r="BI24" s="1209"/>
      <c r="BJ24" s="1208"/>
      <c r="BK24" s="1209"/>
      <c r="BL24" s="1208"/>
    </row>
    <row r="25" spans="1:64">
      <c r="A25" s="1211"/>
      <c r="B25" s="1208"/>
      <c r="C25" s="1209"/>
      <c r="D25" s="1208"/>
      <c r="E25" s="1209"/>
      <c r="F25" s="1208"/>
      <c r="G25" s="1209"/>
      <c r="H25" s="1208"/>
      <c r="I25" s="1209"/>
      <c r="J25" s="1208"/>
      <c r="K25" s="1209"/>
      <c r="L25" s="1208"/>
      <c r="M25" s="1209"/>
      <c r="N25" s="1208"/>
      <c r="O25" s="1209"/>
      <c r="P25" s="1208"/>
      <c r="Q25" s="1209"/>
      <c r="R25" s="1208"/>
      <c r="S25" s="1209"/>
      <c r="T25" s="1208"/>
      <c r="U25" s="1209"/>
      <c r="V25" s="1208"/>
      <c r="W25" s="1209"/>
      <c r="X25" s="1208"/>
      <c r="Y25" s="1209"/>
      <c r="Z25" s="1208"/>
      <c r="AA25" s="1209"/>
      <c r="AD25" s="1208"/>
      <c r="AE25" s="1209"/>
      <c r="AF25" s="1208"/>
      <c r="AG25" s="1209"/>
      <c r="AH25" s="1208"/>
      <c r="AI25" s="1209"/>
      <c r="AJ25" s="1208"/>
      <c r="AK25" s="1209"/>
      <c r="AL25" s="1208"/>
      <c r="AM25" s="1209"/>
      <c r="AN25" s="1208"/>
      <c r="AO25" s="1209"/>
      <c r="AP25" s="1208"/>
      <c r="AQ25" s="1209"/>
      <c r="AR25" s="1208"/>
      <c r="AS25" s="1209"/>
      <c r="AT25" s="1208"/>
      <c r="AU25" s="1209"/>
      <c r="AV25" s="1208"/>
      <c r="AW25" s="1209"/>
      <c r="AX25" s="1208"/>
      <c r="AY25" s="1209"/>
      <c r="AZ25" s="1208"/>
      <c r="BA25" s="1209"/>
      <c r="BB25" s="1208"/>
      <c r="BC25" s="1209"/>
      <c r="BD25" s="1208"/>
      <c r="BE25" s="1209"/>
      <c r="BF25" s="1208"/>
      <c r="BG25" s="1209"/>
      <c r="BH25" s="1208"/>
      <c r="BI25" s="1209"/>
      <c r="BJ25" s="1208"/>
      <c r="BK25" s="1209"/>
      <c r="BL25" s="1208"/>
    </row>
    <row r="26" spans="1:64">
      <c r="A26" s="1211"/>
      <c r="B26" s="1208"/>
      <c r="C26" s="1209"/>
      <c r="D26" s="1208"/>
      <c r="E26" s="1209"/>
      <c r="F26" s="1208"/>
      <c r="G26" s="1209"/>
      <c r="H26" s="1208"/>
      <c r="I26" s="1209"/>
      <c r="J26" s="1208"/>
      <c r="K26" s="1209"/>
      <c r="L26" s="1208"/>
      <c r="M26" s="1209"/>
      <c r="N26" s="1208"/>
      <c r="O26" s="1209"/>
      <c r="P26" s="1208"/>
      <c r="Q26" s="1209"/>
      <c r="R26" s="1208"/>
      <c r="S26" s="1209"/>
      <c r="T26" s="1208"/>
      <c r="U26" s="1209"/>
      <c r="V26" s="1208"/>
      <c r="W26" s="1209"/>
      <c r="X26" s="1208"/>
      <c r="Y26" s="1209"/>
      <c r="Z26" s="1208"/>
      <c r="AA26" s="1209"/>
      <c r="AD26" s="1208"/>
      <c r="AE26" s="1209"/>
      <c r="AF26" s="1208"/>
      <c r="AG26" s="1209"/>
      <c r="AH26" s="1208"/>
      <c r="AI26" s="1209"/>
      <c r="AJ26" s="1208"/>
      <c r="AK26" s="1209"/>
      <c r="AL26" s="1208"/>
      <c r="AM26" s="1209"/>
      <c r="AN26" s="1208"/>
      <c r="AO26" s="1209"/>
      <c r="AP26" s="1208"/>
      <c r="AQ26" s="1209"/>
      <c r="AR26" s="1208"/>
      <c r="AS26" s="1209"/>
      <c r="AT26" s="1208"/>
      <c r="AU26" s="1209"/>
      <c r="AV26" s="1208"/>
      <c r="AW26" s="1209"/>
      <c r="AX26" s="1208"/>
      <c r="AY26" s="1209"/>
      <c r="AZ26" s="1208"/>
      <c r="BA26" s="1209"/>
      <c r="BB26" s="1208"/>
      <c r="BC26" s="1209"/>
      <c r="BD26" s="1208"/>
      <c r="BE26" s="1209"/>
      <c r="BF26" s="1208"/>
      <c r="BG26" s="1209"/>
      <c r="BH26" s="1208"/>
      <c r="BI26" s="1209"/>
      <c r="BJ26" s="1208"/>
      <c r="BK26" s="1209"/>
      <c r="BL26" s="1208"/>
    </row>
    <row r="27" spans="1:64">
      <c r="A27" s="1211"/>
      <c r="B27" s="1208"/>
      <c r="C27" s="1209"/>
      <c r="D27" s="1208"/>
      <c r="E27" s="1209"/>
      <c r="F27" s="1208"/>
      <c r="G27" s="1209"/>
      <c r="H27" s="1208"/>
      <c r="I27" s="1209"/>
      <c r="J27" s="1208"/>
      <c r="K27" s="1209"/>
      <c r="L27" s="1208"/>
      <c r="M27" s="1209"/>
      <c r="N27" s="1208"/>
      <c r="O27" s="1209"/>
      <c r="P27" s="1208"/>
      <c r="Q27" s="1209"/>
      <c r="R27" s="1208"/>
      <c r="S27" s="1209"/>
      <c r="T27" s="1208"/>
      <c r="U27" s="1209"/>
      <c r="V27" s="1208"/>
      <c r="W27" s="1209"/>
      <c r="X27" s="1208"/>
      <c r="Y27" s="1209"/>
      <c r="Z27" s="1208"/>
      <c r="AA27" s="1209"/>
      <c r="AD27" s="1208"/>
      <c r="AE27" s="1209"/>
      <c r="AF27" s="1208"/>
      <c r="AG27" s="1209"/>
      <c r="AH27" s="1208"/>
      <c r="AI27" s="1209"/>
      <c r="AJ27" s="1208"/>
      <c r="AK27" s="1209"/>
      <c r="AL27" s="1208"/>
      <c r="AM27" s="1209"/>
      <c r="AN27" s="1208"/>
      <c r="AO27" s="1209"/>
      <c r="AP27" s="1208"/>
      <c r="AQ27" s="1209"/>
      <c r="AR27" s="1208"/>
      <c r="AS27" s="1209"/>
      <c r="AT27" s="1208"/>
      <c r="AU27" s="1209"/>
      <c r="AV27" s="1208"/>
      <c r="AW27" s="1209"/>
      <c r="AX27" s="1208"/>
      <c r="AY27" s="1209"/>
      <c r="AZ27" s="1208"/>
      <c r="BA27" s="1209"/>
      <c r="BB27" s="1208"/>
      <c r="BC27" s="1209"/>
      <c r="BD27" s="1208"/>
      <c r="BE27" s="1209"/>
      <c r="BF27" s="1208"/>
      <c r="BG27" s="1209"/>
      <c r="BH27" s="1208"/>
      <c r="BI27" s="1209"/>
      <c r="BJ27" s="1208"/>
      <c r="BK27" s="1209"/>
      <c r="BL27" s="1208"/>
    </row>
    <row r="28" spans="1:64">
      <c r="A28" s="1211"/>
      <c r="B28" s="1208"/>
      <c r="C28" s="1209"/>
      <c r="D28" s="1208"/>
      <c r="E28" s="1209"/>
      <c r="F28" s="1208"/>
      <c r="G28" s="1209"/>
      <c r="H28" s="1208"/>
      <c r="I28" s="1209"/>
      <c r="J28" s="1208"/>
      <c r="K28" s="1209"/>
      <c r="L28" s="1208"/>
      <c r="M28" s="1209"/>
      <c r="N28" s="1208"/>
      <c r="O28" s="1209"/>
      <c r="P28" s="1208"/>
      <c r="Q28" s="1209"/>
      <c r="R28" s="1208"/>
      <c r="S28" s="1209"/>
      <c r="T28" s="1208"/>
      <c r="U28" s="1209"/>
      <c r="V28" s="1208"/>
      <c r="W28" s="1209"/>
      <c r="X28" s="1208"/>
      <c r="Y28" s="1209"/>
      <c r="Z28" s="1208"/>
      <c r="AA28" s="1209"/>
      <c r="AD28" s="1208"/>
      <c r="AE28" s="1209"/>
      <c r="AF28" s="1208"/>
      <c r="AG28" s="1209"/>
      <c r="AH28" s="1208"/>
      <c r="AI28" s="1209"/>
      <c r="AJ28" s="1208"/>
      <c r="AK28" s="1209"/>
      <c r="AL28" s="1208"/>
      <c r="AM28" s="1209"/>
      <c r="AN28" s="1208"/>
      <c r="AO28" s="1209"/>
      <c r="AP28" s="1208"/>
      <c r="AQ28" s="1209"/>
      <c r="AR28" s="1208"/>
      <c r="AS28" s="1209"/>
      <c r="AT28" s="1208"/>
      <c r="AU28" s="1209"/>
      <c r="AV28" s="1208"/>
      <c r="AW28" s="1209"/>
      <c r="AX28" s="1208"/>
      <c r="AY28" s="1209"/>
      <c r="AZ28" s="1208"/>
      <c r="BA28" s="1209"/>
      <c r="BB28" s="1208"/>
      <c r="BC28" s="1209"/>
      <c r="BD28" s="1208"/>
      <c r="BE28" s="1209"/>
      <c r="BF28" s="1208"/>
      <c r="BG28" s="1209"/>
      <c r="BH28" s="1208"/>
      <c r="BI28" s="1209"/>
      <c r="BJ28" s="1208"/>
      <c r="BK28" s="1209"/>
      <c r="BL28" s="1208"/>
    </row>
    <row r="29" spans="1:64">
      <c r="A29" s="1211"/>
      <c r="B29" s="1208"/>
      <c r="C29" s="1209"/>
      <c r="D29" s="1208"/>
      <c r="E29" s="1209"/>
      <c r="F29" s="1208"/>
      <c r="G29" s="1209"/>
      <c r="H29" s="1208"/>
      <c r="I29" s="1209"/>
      <c r="J29" s="1208"/>
      <c r="K29" s="1209"/>
      <c r="L29" s="1208"/>
      <c r="M29" s="1209"/>
      <c r="N29" s="1208"/>
      <c r="O29" s="1209"/>
      <c r="P29" s="1208"/>
      <c r="Q29" s="1209"/>
      <c r="R29" s="1208"/>
      <c r="S29" s="1209"/>
      <c r="T29" s="1208"/>
      <c r="U29" s="1209"/>
      <c r="V29" s="1208"/>
      <c r="W29" s="1209"/>
      <c r="X29" s="1208"/>
      <c r="Y29" s="1209"/>
      <c r="Z29" s="1208"/>
      <c r="AA29" s="1209"/>
      <c r="AD29" s="1208"/>
      <c r="AE29" s="1209"/>
      <c r="AF29" s="1208"/>
      <c r="AG29" s="1209"/>
      <c r="AH29" s="1208"/>
      <c r="AI29" s="1209"/>
      <c r="AJ29" s="1208"/>
      <c r="AK29" s="1209"/>
      <c r="AL29" s="1208"/>
      <c r="AM29" s="1209"/>
      <c r="AN29" s="1208"/>
      <c r="AO29" s="1209"/>
      <c r="AP29" s="1208"/>
      <c r="AQ29" s="1209"/>
      <c r="AR29" s="1208"/>
      <c r="AS29" s="1209"/>
      <c r="AT29" s="1208"/>
      <c r="AU29" s="1209"/>
      <c r="AV29" s="1208"/>
      <c r="AW29" s="1209"/>
      <c r="AX29" s="1208"/>
      <c r="AY29" s="1209"/>
      <c r="AZ29" s="1208"/>
      <c r="BA29" s="1209"/>
      <c r="BB29" s="1208"/>
      <c r="BC29" s="1209"/>
      <c r="BD29" s="1208"/>
      <c r="BE29" s="1209"/>
      <c r="BF29" s="1208"/>
      <c r="BG29" s="1209"/>
      <c r="BH29" s="1208"/>
      <c r="BI29" s="1209"/>
      <c r="BJ29" s="1208"/>
      <c r="BK29" s="1209"/>
      <c r="BL29" s="1208"/>
    </row>
    <row r="30" spans="1:64">
      <c r="A30" s="1211"/>
      <c r="B30" s="1208"/>
      <c r="C30" s="1209"/>
      <c r="D30" s="1208"/>
      <c r="E30" s="1209"/>
      <c r="F30" s="1208"/>
      <c r="G30" s="1209"/>
      <c r="H30" s="1208"/>
      <c r="I30" s="1209"/>
      <c r="J30" s="1208"/>
      <c r="K30" s="1209"/>
      <c r="L30" s="1208"/>
      <c r="M30" s="1209"/>
      <c r="N30" s="1208"/>
      <c r="O30" s="1209"/>
      <c r="P30" s="1208"/>
      <c r="Q30" s="1209"/>
      <c r="R30" s="1208"/>
      <c r="S30" s="1209"/>
      <c r="T30" s="1208"/>
      <c r="U30" s="1209"/>
      <c r="V30" s="1208"/>
      <c r="W30" s="1209"/>
      <c r="X30" s="1208"/>
      <c r="Y30" s="1209"/>
      <c r="Z30" s="1208"/>
      <c r="AA30" s="1209"/>
      <c r="AD30" s="1208"/>
      <c r="AE30" s="1209"/>
      <c r="AF30" s="1208"/>
      <c r="AG30" s="1209"/>
      <c r="AH30" s="1208"/>
      <c r="AI30" s="1209"/>
      <c r="AJ30" s="1208"/>
      <c r="AK30" s="1209"/>
      <c r="AL30" s="1208"/>
      <c r="AM30" s="1209"/>
      <c r="AN30" s="1208"/>
      <c r="AO30" s="1209"/>
      <c r="AP30" s="1208"/>
      <c r="AQ30" s="1209"/>
      <c r="AR30" s="1208"/>
      <c r="AS30" s="1209"/>
      <c r="AT30" s="1208"/>
      <c r="AU30" s="1209"/>
      <c r="AV30" s="1208"/>
      <c r="AW30" s="1209"/>
      <c r="AX30" s="1208"/>
      <c r="AY30" s="1209"/>
      <c r="AZ30" s="1208"/>
      <c r="BA30" s="1209"/>
      <c r="BB30" s="1208"/>
      <c r="BC30" s="1209"/>
      <c r="BD30" s="1208"/>
      <c r="BE30" s="1209"/>
      <c r="BF30" s="1208"/>
      <c r="BG30" s="1209"/>
      <c r="BH30" s="1208"/>
      <c r="BI30" s="1209"/>
      <c r="BJ30" s="1208"/>
      <c r="BK30" s="1209"/>
      <c r="BL30" s="1208"/>
    </row>
    <row r="31" spans="1:64">
      <c r="A31" s="1211"/>
      <c r="B31" s="1208"/>
      <c r="C31" s="1209"/>
      <c r="D31" s="1208"/>
      <c r="E31" s="1209"/>
      <c r="F31" s="1208"/>
      <c r="G31" s="1209"/>
      <c r="H31" s="1208"/>
      <c r="I31" s="1209"/>
      <c r="J31" s="1208"/>
      <c r="K31" s="1209"/>
      <c r="L31" s="1208"/>
      <c r="M31" s="1209"/>
      <c r="N31" s="1208"/>
      <c r="O31" s="1209"/>
      <c r="P31" s="1208"/>
      <c r="Q31" s="1209"/>
      <c r="R31" s="1208"/>
      <c r="S31" s="1209"/>
      <c r="T31" s="1208"/>
      <c r="U31" s="1209"/>
      <c r="V31" s="1208"/>
      <c r="W31" s="1209"/>
      <c r="X31" s="1208"/>
      <c r="Y31" s="1209"/>
      <c r="Z31" s="1208"/>
      <c r="AA31" s="1209"/>
      <c r="AD31" s="1208"/>
      <c r="AE31" s="1209"/>
      <c r="AF31" s="1208"/>
      <c r="AG31" s="1209"/>
      <c r="AH31" s="1208"/>
      <c r="AI31" s="1209"/>
      <c r="AJ31" s="1208"/>
      <c r="AK31" s="1209"/>
      <c r="AL31" s="1208"/>
      <c r="AM31" s="1209"/>
      <c r="AN31" s="1208"/>
      <c r="AO31" s="1209"/>
      <c r="AP31" s="1208"/>
      <c r="AQ31" s="1209"/>
      <c r="AR31" s="1208"/>
      <c r="AS31" s="1209"/>
      <c r="AT31" s="1208"/>
      <c r="AU31" s="1209"/>
      <c r="AV31" s="1208"/>
      <c r="AW31" s="1209"/>
      <c r="AX31" s="1208"/>
      <c r="AY31" s="1209"/>
      <c r="AZ31" s="1208"/>
      <c r="BA31" s="1209"/>
      <c r="BB31" s="1208"/>
      <c r="BC31" s="1209"/>
      <c r="BD31" s="1208"/>
      <c r="BE31" s="1209"/>
      <c r="BF31" s="1208"/>
      <c r="BG31" s="1209"/>
      <c r="BH31" s="1208"/>
      <c r="BI31" s="1209"/>
      <c r="BJ31" s="1208"/>
      <c r="BK31" s="1209"/>
      <c r="BL31" s="1208"/>
    </row>
    <row r="32" spans="1:64">
      <c r="A32" s="1211"/>
      <c r="B32" s="1208"/>
      <c r="C32" s="1209"/>
      <c r="D32" s="1208"/>
      <c r="E32" s="1209"/>
      <c r="F32" s="1208"/>
      <c r="G32" s="1209"/>
      <c r="H32" s="1208"/>
      <c r="I32" s="1209"/>
      <c r="J32" s="1208"/>
      <c r="K32" s="1209"/>
      <c r="L32" s="1208"/>
      <c r="M32" s="1209"/>
      <c r="N32" s="1208"/>
      <c r="O32" s="1209"/>
      <c r="P32" s="1208"/>
      <c r="Q32" s="1209"/>
      <c r="R32" s="1208"/>
      <c r="S32" s="1209"/>
      <c r="T32" s="1208"/>
      <c r="U32" s="1209"/>
      <c r="V32" s="1208"/>
      <c r="W32" s="1209"/>
      <c r="X32" s="1208"/>
      <c r="Y32" s="1209"/>
      <c r="Z32" s="1208"/>
      <c r="AA32" s="1209"/>
      <c r="AD32" s="1208"/>
      <c r="AE32" s="1209"/>
      <c r="AF32" s="1208"/>
      <c r="AG32" s="1209"/>
      <c r="AH32" s="1208"/>
      <c r="AI32" s="1209"/>
      <c r="AJ32" s="1208"/>
      <c r="AK32" s="1209"/>
      <c r="AL32" s="1208"/>
      <c r="AM32" s="1209"/>
      <c r="AN32" s="1208"/>
      <c r="AO32" s="1209"/>
      <c r="AP32" s="1208"/>
      <c r="AQ32" s="1209"/>
      <c r="AR32" s="1208"/>
      <c r="AS32" s="1209"/>
      <c r="AT32" s="1208"/>
      <c r="AU32" s="1209"/>
      <c r="AV32" s="1208"/>
      <c r="AW32" s="1209"/>
      <c r="AX32" s="1208"/>
      <c r="AY32" s="1209"/>
      <c r="AZ32" s="1208"/>
      <c r="BA32" s="1209"/>
      <c r="BB32" s="1208"/>
      <c r="BC32" s="1209"/>
      <c r="BD32" s="1208"/>
      <c r="BE32" s="1209"/>
      <c r="BF32" s="1208"/>
      <c r="BG32" s="1209"/>
      <c r="BH32" s="1208"/>
      <c r="BI32" s="1209"/>
      <c r="BJ32" s="1208"/>
      <c r="BK32" s="1209"/>
      <c r="BL32" s="1208"/>
    </row>
    <row r="33" spans="1:64">
      <c r="A33" s="1211"/>
      <c r="B33" s="1208"/>
      <c r="C33" s="1209"/>
      <c r="D33" s="1208"/>
      <c r="E33" s="1209"/>
      <c r="F33" s="1208"/>
      <c r="G33" s="1209"/>
      <c r="H33" s="1208"/>
      <c r="I33" s="1209"/>
      <c r="J33" s="1208"/>
      <c r="K33" s="1209"/>
      <c r="L33" s="1208"/>
      <c r="M33" s="1209"/>
      <c r="N33" s="1208"/>
      <c r="O33" s="1209"/>
      <c r="P33" s="1208"/>
      <c r="Q33" s="1209"/>
      <c r="R33" s="1208"/>
      <c r="S33" s="1209"/>
      <c r="T33" s="1208"/>
      <c r="U33" s="1209"/>
      <c r="V33" s="1208"/>
      <c r="W33" s="1209"/>
      <c r="X33" s="1208"/>
      <c r="Y33" s="1209"/>
      <c r="Z33" s="1208"/>
      <c r="AA33" s="1209"/>
      <c r="AD33" s="1208"/>
      <c r="AE33" s="1209"/>
      <c r="AF33" s="1208"/>
      <c r="AG33" s="1209"/>
      <c r="AH33" s="1208"/>
      <c r="AI33" s="1209"/>
      <c r="AJ33" s="1208"/>
      <c r="AK33" s="1209"/>
      <c r="AL33" s="1208"/>
      <c r="AM33" s="1209"/>
      <c r="AN33" s="1208"/>
      <c r="AO33" s="1209"/>
      <c r="AP33" s="1208"/>
      <c r="AQ33" s="1209"/>
      <c r="AR33" s="1208"/>
      <c r="AS33" s="1209"/>
      <c r="AT33" s="1208"/>
      <c r="AU33" s="1209"/>
      <c r="AV33" s="1208"/>
      <c r="AW33" s="1209"/>
      <c r="AX33" s="1208"/>
      <c r="AY33" s="1209"/>
      <c r="AZ33" s="1208"/>
      <c r="BA33" s="1209"/>
      <c r="BB33" s="1208"/>
      <c r="BC33" s="1209"/>
      <c r="BD33" s="1208"/>
      <c r="BE33" s="1209"/>
      <c r="BF33" s="1208"/>
      <c r="BG33" s="1209"/>
      <c r="BH33" s="1208"/>
      <c r="BI33" s="1209"/>
      <c r="BJ33" s="1208"/>
      <c r="BK33" s="1209"/>
      <c r="BL33" s="1208"/>
    </row>
    <row r="34" spans="1:64">
      <c r="A34" s="1211"/>
      <c r="B34" s="1208"/>
      <c r="C34" s="1209"/>
      <c r="D34" s="1208"/>
      <c r="E34" s="1209"/>
      <c r="F34" s="1208"/>
      <c r="G34" s="1209"/>
      <c r="H34" s="1208"/>
      <c r="I34" s="1209"/>
      <c r="J34" s="1208"/>
      <c r="K34" s="1209"/>
      <c r="L34" s="1208"/>
      <c r="M34" s="1209"/>
      <c r="N34" s="1208"/>
      <c r="O34" s="1209"/>
      <c r="P34" s="1208"/>
      <c r="Q34" s="1209"/>
      <c r="R34" s="1208"/>
      <c r="S34" s="1209"/>
      <c r="T34" s="1208"/>
      <c r="U34" s="1209"/>
      <c r="V34" s="1208"/>
      <c r="W34" s="1209"/>
      <c r="X34" s="1208"/>
      <c r="Y34" s="1209"/>
      <c r="Z34" s="1208"/>
      <c r="AA34" s="1209"/>
      <c r="AD34" s="1208"/>
      <c r="AE34" s="1209"/>
      <c r="AF34" s="1208"/>
      <c r="AG34" s="1209"/>
      <c r="AH34" s="1208"/>
      <c r="AI34" s="1209"/>
      <c r="AJ34" s="1208"/>
      <c r="AK34" s="1209"/>
      <c r="AL34" s="1208"/>
      <c r="AM34" s="1209"/>
      <c r="AN34" s="1208"/>
      <c r="AO34" s="1209"/>
      <c r="AP34" s="1208"/>
      <c r="AQ34" s="1209"/>
      <c r="AR34" s="1208"/>
      <c r="AS34" s="1209"/>
      <c r="AT34" s="1208"/>
      <c r="AU34" s="1209"/>
      <c r="AV34" s="1208"/>
      <c r="AW34" s="1209"/>
      <c r="AX34" s="1208"/>
      <c r="AY34" s="1209"/>
      <c r="AZ34" s="1208"/>
      <c r="BA34" s="1209"/>
      <c r="BB34" s="1208"/>
      <c r="BC34" s="1209"/>
      <c r="BD34" s="1208"/>
      <c r="BE34" s="1209"/>
      <c r="BF34" s="1208"/>
      <c r="BG34" s="1209"/>
      <c r="BH34" s="1208"/>
      <c r="BI34" s="1209"/>
      <c r="BJ34" s="1208"/>
      <c r="BK34" s="1209"/>
      <c r="BL34" s="1208"/>
    </row>
    <row r="35" spans="1:64">
      <c r="A35" s="1211"/>
      <c r="B35" s="1208"/>
      <c r="C35" s="1209"/>
      <c r="D35" s="1208"/>
      <c r="E35" s="1209"/>
      <c r="F35" s="1208"/>
      <c r="G35" s="1209"/>
      <c r="H35" s="1208"/>
      <c r="I35" s="1209"/>
      <c r="J35" s="1208"/>
      <c r="K35" s="1209"/>
      <c r="L35" s="1208"/>
      <c r="M35" s="1209"/>
      <c r="N35" s="1208"/>
      <c r="O35" s="1209"/>
      <c r="P35" s="1208"/>
      <c r="Q35" s="1209"/>
      <c r="R35" s="1208"/>
      <c r="S35" s="1209"/>
      <c r="T35" s="1208"/>
      <c r="U35" s="1209"/>
      <c r="V35" s="1208"/>
      <c r="W35" s="1209"/>
      <c r="X35" s="1208"/>
      <c r="Y35" s="1209"/>
      <c r="Z35" s="1208"/>
      <c r="AA35" s="1209"/>
      <c r="AD35" s="1208"/>
      <c r="AE35" s="1209"/>
      <c r="AF35" s="1208"/>
      <c r="AG35" s="1209"/>
      <c r="AH35" s="1208"/>
      <c r="AI35" s="1209"/>
      <c r="AJ35" s="1208"/>
      <c r="AK35" s="1209"/>
      <c r="AL35" s="1208"/>
      <c r="AM35" s="1209"/>
      <c r="AN35" s="1208"/>
      <c r="AO35" s="1209"/>
      <c r="AP35" s="1208"/>
      <c r="AQ35" s="1209"/>
      <c r="AR35" s="1208"/>
      <c r="AS35" s="1209"/>
      <c r="AT35" s="1208"/>
      <c r="AU35" s="1209"/>
      <c r="AV35" s="1208"/>
      <c r="AW35" s="1209"/>
      <c r="AX35" s="1208"/>
      <c r="AY35" s="1209"/>
      <c r="AZ35" s="1208"/>
      <c r="BA35" s="1209"/>
      <c r="BB35" s="1208"/>
      <c r="BC35" s="1209"/>
      <c r="BD35" s="1208"/>
      <c r="BE35" s="1209"/>
      <c r="BF35" s="1208"/>
      <c r="BG35" s="1209"/>
      <c r="BH35" s="1208"/>
      <c r="BI35" s="1209"/>
      <c r="BJ35" s="1208"/>
      <c r="BK35" s="1209"/>
      <c r="BL35" s="1208"/>
    </row>
    <row r="36" spans="1:64">
      <c r="A36" s="1211"/>
      <c r="B36" s="1208"/>
      <c r="C36" s="1209"/>
      <c r="D36" s="1208"/>
      <c r="E36" s="1209"/>
      <c r="F36" s="1208"/>
      <c r="G36" s="1209"/>
      <c r="H36" s="1208"/>
      <c r="I36" s="1209"/>
      <c r="J36" s="1208"/>
      <c r="K36" s="1209"/>
      <c r="L36" s="1208"/>
      <c r="M36" s="1209"/>
      <c r="N36" s="1208"/>
      <c r="O36" s="1209"/>
      <c r="P36" s="1208"/>
      <c r="Q36" s="1209"/>
      <c r="R36" s="1208"/>
      <c r="S36" s="1209"/>
      <c r="T36" s="1208"/>
      <c r="U36" s="1209"/>
      <c r="V36" s="1208"/>
      <c r="W36" s="1209"/>
      <c r="X36" s="1208"/>
      <c r="Y36" s="1209"/>
      <c r="Z36" s="1208"/>
      <c r="AA36" s="1209"/>
      <c r="AD36" s="1208"/>
      <c r="AE36" s="1209"/>
      <c r="AF36" s="1208"/>
      <c r="AG36" s="1209"/>
      <c r="AH36" s="1208"/>
      <c r="AI36" s="1209"/>
      <c r="AJ36" s="1208"/>
      <c r="AK36" s="1209"/>
      <c r="AL36" s="1208"/>
      <c r="AM36" s="1209"/>
      <c r="AN36" s="1208"/>
      <c r="AO36" s="1209"/>
      <c r="AP36" s="1208"/>
      <c r="AQ36" s="1209"/>
      <c r="AR36" s="1208"/>
      <c r="AS36" s="1209"/>
      <c r="AT36" s="1208"/>
      <c r="AU36" s="1209"/>
      <c r="AV36" s="1208"/>
      <c r="AW36" s="1209"/>
      <c r="AX36" s="1208"/>
      <c r="AY36" s="1209"/>
      <c r="AZ36" s="1208"/>
      <c r="BA36" s="1209"/>
      <c r="BB36" s="1208"/>
      <c r="BC36" s="1209"/>
      <c r="BD36" s="1208"/>
      <c r="BE36" s="1209"/>
      <c r="BF36" s="1208"/>
      <c r="BG36" s="1209"/>
      <c r="BH36" s="1208"/>
      <c r="BI36" s="1209"/>
      <c r="BJ36" s="1208"/>
      <c r="BK36" s="1209"/>
      <c r="BL36" s="1208"/>
    </row>
    <row r="37" spans="1:64">
      <c r="A37" s="1211"/>
      <c r="B37" s="1208"/>
      <c r="C37" s="1209"/>
      <c r="D37" s="1208"/>
      <c r="E37" s="1209"/>
      <c r="F37" s="1208"/>
      <c r="G37" s="1209"/>
      <c r="H37" s="1208"/>
      <c r="I37" s="1209"/>
      <c r="J37" s="1208"/>
      <c r="K37" s="1209"/>
      <c r="L37" s="1208"/>
      <c r="M37" s="1209"/>
      <c r="N37" s="1208"/>
      <c r="O37" s="1209"/>
      <c r="P37" s="1208"/>
      <c r="Q37" s="1209"/>
      <c r="R37" s="1208"/>
      <c r="S37" s="1209"/>
      <c r="T37" s="1208"/>
      <c r="U37" s="1209"/>
      <c r="V37" s="1208"/>
      <c r="W37" s="1209"/>
      <c r="X37" s="1208"/>
      <c r="Y37" s="1209"/>
      <c r="Z37" s="1208"/>
      <c r="AA37" s="1209"/>
      <c r="AD37" s="1208"/>
      <c r="AE37" s="1209"/>
      <c r="AF37" s="1208"/>
      <c r="AG37" s="1209"/>
      <c r="AH37" s="1208"/>
      <c r="AI37" s="1209"/>
      <c r="AJ37" s="1208"/>
      <c r="AK37" s="1209"/>
      <c r="AL37" s="1208"/>
      <c r="AM37" s="1209"/>
      <c r="AN37" s="1208"/>
      <c r="AO37" s="1209"/>
      <c r="AP37" s="1208"/>
      <c r="AQ37" s="1209"/>
      <c r="AR37" s="1208"/>
      <c r="AS37" s="1209"/>
      <c r="AT37" s="1208"/>
      <c r="AU37" s="1209"/>
      <c r="AV37" s="1208"/>
      <c r="AW37" s="1209"/>
      <c r="AX37" s="1208"/>
      <c r="AY37" s="1209"/>
      <c r="AZ37" s="1208"/>
      <c r="BA37" s="1209"/>
      <c r="BB37" s="1208"/>
      <c r="BC37" s="1209"/>
      <c r="BD37" s="1208"/>
      <c r="BE37" s="1209"/>
      <c r="BF37" s="1208"/>
      <c r="BG37" s="1209"/>
      <c r="BH37" s="1208"/>
      <c r="BI37" s="1209"/>
      <c r="BJ37" s="1208"/>
      <c r="BK37" s="1209"/>
      <c r="BL37" s="1208"/>
    </row>
    <row r="38" spans="1:64">
      <c r="A38" s="1211"/>
      <c r="B38" s="1208"/>
      <c r="C38" s="1209"/>
      <c r="D38" s="1208"/>
      <c r="E38" s="1209"/>
      <c r="F38" s="1208"/>
      <c r="G38" s="1209"/>
      <c r="H38" s="1208"/>
      <c r="I38" s="1209"/>
      <c r="J38" s="1208"/>
      <c r="K38" s="1209"/>
      <c r="L38" s="1208"/>
      <c r="M38" s="1209"/>
      <c r="N38" s="1208"/>
      <c r="O38" s="1209"/>
      <c r="P38" s="1208"/>
      <c r="Q38" s="1209"/>
      <c r="R38" s="1208"/>
      <c r="S38" s="1209"/>
      <c r="T38" s="1208"/>
      <c r="U38" s="1209"/>
      <c r="V38" s="1208"/>
      <c r="W38" s="1209"/>
      <c r="X38" s="1208"/>
      <c r="Y38" s="1209"/>
      <c r="Z38" s="1208"/>
      <c r="AA38" s="1209"/>
      <c r="AD38" s="1208"/>
      <c r="AE38" s="1209"/>
      <c r="AF38" s="1208"/>
      <c r="AG38" s="1209"/>
      <c r="AH38" s="1208"/>
      <c r="AI38" s="1209"/>
      <c r="AJ38" s="1208"/>
      <c r="AK38" s="1209"/>
      <c r="AL38" s="1208"/>
      <c r="AM38" s="1209"/>
      <c r="AN38" s="1208"/>
      <c r="AO38" s="1209"/>
      <c r="AP38" s="1208"/>
      <c r="AQ38" s="1209"/>
      <c r="AR38" s="1208"/>
      <c r="AS38" s="1209"/>
      <c r="AT38" s="1208"/>
      <c r="AU38" s="1209"/>
      <c r="AV38" s="1208"/>
      <c r="AW38" s="1209"/>
      <c r="AX38" s="1208"/>
      <c r="AY38" s="1209"/>
      <c r="AZ38" s="1208"/>
      <c r="BA38" s="1209"/>
      <c r="BB38" s="1208"/>
      <c r="BC38" s="1209"/>
      <c r="BD38" s="1208"/>
      <c r="BE38" s="1209"/>
      <c r="BF38" s="1208"/>
      <c r="BG38" s="1209"/>
      <c r="BH38" s="1208"/>
      <c r="BI38" s="1209"/>
      <c r="BJ38" s="1208"/>
      <c r="BK38" s="1209"/>
      <c r="BL38" s="1208"/>
    </row>
    <row r="39" spans="1:64">
      <c r="A39" s="1211"/>
      <c r="B39" s="1208"/>
      <c r="C39" s="1209"/>
      <c r="D39" s="1208"/>
      <c r="E39" s="1209"/>
      <c r="F39" s="1208"/>
      <c r="G39" s="1209"/>
      <c r="H39" s="1208"/>
      <c r="I39" s="1209"/>
      <c r="J39" s="1208"/>
      <c r="K39" s="1209"/>
      <c r="L39" s="1208"/>
      <c r="M39" s="1209"/>
      <c r="N39" s="1208"/>
      <c r="O39" s="1209"/>
      <c r="P39" s="1208"/>
      <c r="Q39" s="1209"/>
      <c r="R39" s="1208"/>
      <c r="S39" s="1209"/>
      <c r="T39" s="1208"/>
      <c r="U39" s="1209"/>
      <c r="V39" s="1208"/>
      <c r="W39" s="1209"/>
      <c r="X39" s="1208"/>
      <c r="Y39" s="1209"/>
      <c r="Z39" s="1208"/>
      <c r="AA39" s="1209"/>
      <c r="AD39" s="1208"/>
      <c r="AE39" s="1209"/>
      <c r="AF39" s="1208"/>
      <c r="AG39" s="1209"/>
      <c r="AH39" s="1208"/>
      <c r="AI39" s="1209"/>
      <c r="AJ39" s="1208"/>
      <c r="AK39" s="1209"/>
      <c r="AL39" s="1208"/>
      <c r="AM39" s="1209"/>
      <c r="AN39" s="1208"/>
      <c r="AO39" s="1209"/>
      <c r="AP39" s="1208"/>
      <c r="AQ39" s="1209"/>
      <c r="AR39" s="1208"/>
      <c r="AS39" s="1209"/>
      <c r="AT39" s="1208"/>
      <c r="AU39" s="1209"/>
      <c r="AV39" s="1208"/>
      <c r="AW39" s="1209"/>
      <c r="AX39" s="1208"/>
      <c r="AY39" s="1209"/>
      <c r="AZ39" s="1208"/>
      <c r="BA39" s="1209"/>
      <c r="BB39" s="1208"/>
      <c r="BC39" s="1209"/>
      <c r="BD39" s="1208"/>
      <c r="BE39" s="1209"/>
      <c r="BF39" s="1208"/>
      <c r="BG39" s="1209"/>
      <c r="BH39" s="1208"/>
      <c r="BI39" s="1209"/>
      <c r="BJ39" s="1208"/>
      <c r="BK39" s="1209"/>
      <c r="BL39" s="1208"/>
    </row>
    <row r="40" spans="1:64">
      <c r="A40" s="1211"/>
      <c r="B40" s="1208"/>
      <c r="C40" s="1209"/>
      <c r="D40" s="1208"/>
      <c r="E40" s="1209"/>
      <c r="F40" s="1208"/>
      <c r="G40" s="1209"/>
      <c r="H40" s="1208"/>
      <c r="I40" s="1209"/>
      <c r="J40" s="1208"/>
      <c r="K40" s="1209"/>
      <c r="L40" s="1208"/>
      <c r="M40" s="1209"/>
      <c r="N40" s="1208"/>
      <c r="O40" s="1209"/>
      <c r="P40" s="1208"/>
      <c r="Q40" s="1209"/>
      <c r="R40" s="1208"/>
      <c r="S40" s="1209"/>
      <c r="T40" s="1208"/>
      <c r="U40" s="1209"/>
      <c r="V40" s="1208"/>
      <c r="W40" s="1209"/>
      <c r="X40" s="1208"/>
      <c r="Y40" s="1209"/>
      <c r="Z40" s="1208"/>
      <c r="AA40" s="1209"/>
      <c r="AD40" s="1208"/>
      <c r="AE40" s="1209"/>
      <c r="AF40" s="1208"/>
      <c r="AG40" s="1209"/>
      <c r="AH40" s="1208"/>
      <c r="AI40" s="1209"/>
      <c r="AJ40" s="1208"/>
      <c r="AK40" s="1209"/>
      <c r="AL40" s="1208"/>
      <c r="AM40" s="1209"/>
      <c r="AN40" s="1208"/>
      <c r="AO40" s="1209"/>
      <c r="AP40" s="1208"/>
      <c r="AQ40" s="1209"/>
      <c r="AR40" s="1208"/>
      <c r="AS40" s="1209"/>
      <c r="AT40" s="1208"/>
      <c r="AU40" s="1209"/>
      <c r="AV40" s="1208"/>
      <c r="AW40" s="1209"/>
      <c r="AX40" s="1208"/>
      <c r="AY40" s="1209"/>
      <c r="AZ40" s="1208"/>
      <c r="BA40" s="1209"/>
      <c r="BB40" s="1208"/>
      <c r="BC40" s="1209"/>
      <c r="BD40" s="1208"/>
      <c r="BE40" s="1209"/>
      <c r="BF40" s="1208"/>
      <c r="BG40" s="1209"/>
      <c r="BH40" s="1208"/>
      <c r="BI40" s="1209"/>
      <c r="BJ40" s="1208"/>
      <c r="BK40" s="1209"/>
      <c r="BL40" s="1208"/>
    </row>
    <row r="41" spans="1:64">
      <c r="A41" s="1211"/>
      <c r="B41" s="1208"/>
      <c r="C41" s="1209"/>
      <c r="D41" s="1208"/>
      <c r="E41" s="1209"/>
      <c r="F41" s="1208"/>
      <c r="G41" s="1209"/>
      <c r="H41" s="1208"/>
      <c r="I41" s="1209"/>
      <c r="J41" s="1208"/>
      <c r="K41" s="1209"/>
      <c r="L41" s="1208"/>
      <c r="M41" s="1209"/>
      <c r="N41" s="1208"/>
      <c r="O41" s="1209"/>
      <c r="P41" s="1208"/>
      <c r="Q41" s="1209"/>
      <c r="R41" s="1208"/>
      <c r="S41" s="1209"/>
      <c r="T41" s="1208"/>
      <c r="U41" s="1209"/>
      <c r="V41" s="1208"/>
      <c r="W41" s="1209"/>
      <c r="X41" s="1208"/>
      <c r="Y41" s="1209"/>
      <c r="Z41" s="1208"/>
      <c r="AA41" s="1209"/>
      <c r="AD41" s="1208"/>
      <c r="AE41" s="1209"/>
      <c r="AF41" s="1208"/>
      <c r="AG41" s="1209"/>
      <c r="AH41" s="1208"/>
      <c r="AI41" s="1209"/>
      <c r="AJ41" s="1208"/>
      <c r="AK41" s="1209"/>
      <c r="AL41" s="1208"/>
      <c r="AM41" s="1209"/>
      <c r="AN41" s="1208"/>
      <c r="AO41" s="1209"/>
      <c r="AP41" s="1208"/>
      <c r="AQ41" s="1209"/>
      <c r="AR41" s="1208"/>
      <c r="AS41" s="1209"/>
      <c r="AT41" s="1208"/>
      <c r="AU41" s="1209"/>
      <c r="AV41" s="1208"/>
      <c r="AW41" s="1209"/>
      <c r="AX41" s="1208"/>
      <c r="AY41" s="1209"/>
      <c r="AZ41" s="1208"/>
      <c r="BA41" s="1209"/>
      <c r="BB41" s="1208"/>
      <c r="BC41" s="1209"/>
      <c r="BD41" s="1208"/>
      <c r="BE41" s="1209"/>
      <c r="BF41" s="1208"/>
      <c r="BG41" s="1209"/>
      <c r="BH41" s="1208"/>
      <c r="BI41" s="1209"/>
      <c r="BJ41" s="1208"/>
      <c r="BK41" s="1209"/>
      <c r="BL41" s="1208"/>
    </row>
    <row r="42" spans="1:64">
      <c r="A42" s="1211"/>
      <c r="B42" s="1208"/>
      <c r="C42" s="1209"/>
      <c r="D42" s="1208"/>
      <c r="E42" s="1209"/>
      <c r="F42" s="1208"/>
      <c r="G42" s="1209"/>
      <c r="H42" s="1208"/>
      <c r="I42" s="1209"/>
      <c r="J42" s="1208"/>
      <c r="K42" s="1209"/>
      <c r="L42" s="1208"/>
      <c r="M42" s="1209"/>
      <c r="N42" s="1208"/>
      <c r="O42" s="1209"/>
      <c r="P42" s="1208"/>
      <c r="Q42" s="1209"/>
      <c r="R42" s="1208"/>
      <c r="S42" s="1209"/>
      <c r="T42" s="1208"/>
      <c r="U42" s="1209"/>
      <c r="V42" s="1208"/>
      <c r="W42" s="1209"/>
      <c r="X42" s="1208"/>
      <c r="Y42" s="1209"/>
      <c r="Z42" s="1208"/>
      <c r="AA42" s="1209"/>
      <c r="AD42" s="1208"/>
      <c r="AE42" s="1209"/>
      <c r="AF42" s="1208"/>
      <c r="AG42" s="1209"/>
      <c r="AH42" s="1208"/>
      <c r="AI42" s="1209"/>
      <c r="AJ42" s="1208"/>
      <c r="AK42" s="1209"/>
      <c r="AL42" s="1208"/>
      <c r="AM42" s="1209"/>
      <c r="AN42" s="1208"/>
      <c r="AO42" s="1209"/>
      <c r="AP42" s="1208"/>
      <c r="AQ42" s="1209"/>
      <c r="AR42" s="1208"/>
      <c r="AS42" s="1209"/>
      <c r="AT42" s="1208"/>
      <c r="AU42" s="1209"/>
      <c r="AV42" s="1208"/>
      <c r="AW42" s="1209"/>
      <c r="AX42" s="1208"/>
      <c r="AY42" s="1209"/>
      <c r="AZ42" s="1208"/>
      <c r="BA42" s="1209"/>
      <c r="BB42" s="1208"/>
      <c r="BC42" s="1209"/>
      <c r="BD42" s="1208"/>
      <c r="BE42" s="1209"/>
      <c r="BF42" s="1208"/>
      <c r="BG42" s="1209"/>
      <c r="BH42" s="1208"/>
      <c r="BI42" s="1209"/>
      <c r="BJ42" s="1208"/>
      <c r="BK42" s="1209"/>
      <c r="BL42" s="1208"/>
    </row>
    <row r="43" spans="1:64">
      <c r="A43" s="1211"/>
      <c r="B43" s="1208"/>
      <c r="C43" s="1209"/>
      <c r="D43" s="1208"/>
      <c r="E43" s="1209"/>
      <c r="F43" s="1208"/>
      <c r="G43" s="1209"/>
      <c r="H43" s="1208"/>
      <c r="I43" s="1209"/>
      <c r="J43" s="1208"/>
      <c r="K43" s="1209"/>
      <c r="L43" s="1208"/>
      <c r="M43" s="1209"/>
      <c r="N43" s="1208"/>
      <c r="O43" s="1209"/>
      <c r="P43" s="1208"/>
      <c r="Q43" s="1209"/>
      <c r="R43" s="1208"/>
      <c r="S43" s="1209"/>
      <c r="T43" s="1208"/>
      <c r="U43" s="1209"/>
      <c r="V43" s="1208"/>
      <c r="W43" s="1209"/>
      <c r="X43" s="1208"/>
      <c r="Y43" s="1209"/>
      <c r="Z43" s="1208"/>
      <c r="AA43" s="1209"/>
      <c r="AD43" s="1208"/>
      <c r="AE43" s="1209"/>
      <c r="AF43" s="1208"/>
      <c r="AG43" s="1209"/>
      <c r="AH43" s="1208"/>
      <c r="AI43" s="1209"/>
      <c r="AJ43" s="1208"/>
      <c r="AK43" s="1209"/>
      <c r="AL43" s="1208"/>
      <c r="AM43" s="1209"/>
      <c r="AN43" s="1208"/>
      <c r="AO43" s="1209"/>
      <c r="AP43" s="1208"/>
      <c r="AQ43" s="1209"/>
      <c r="AR43" s="1208"/>
      <c r="AS43" s="1209"/>
      <c r="AT43" s="1208"/>
      <c r="AU43" s="1209"/>
      <c r="AV43" s="1208"/>
      <c r="AW43" s="1209"/>
      <c r="AX43" s="1208"/>
      <c r="AY43" s="1209"/>
      <c r="AZ43" s="1208"/>
      <c r="BA43" s="1209"/>
      <c r="BB43" s="1208"/>
      <c r="BC43" s="1209"/>
      <c r="BD43" s="1208"/>
      <c r="BE43" s="1209"/>
      <c r="BF43" s="1208"/>
      <c r="BG43" s="1209"/>
      <c r="BH43" s="1208"/>
      <c r="BI43" s="1209"/>
      <c r="BJ43" s="1208"/>
      <c r="BK43" s="1209"/>
      <c r="BL43" s="1208"/>
    </row>
    <row r="44" spans="1:64">
      <c r="A44" s="1211"/>
      <c r="B44" s="1208"/>
      <c r="C44" s="1209"/>
      <c r="D44" s="1208"/>
      <c r="E44" s="1209"/>
      <c r="F44" s="1208"/>
      <c r="G44" s="1209"/>
      <c r="H44" s="1208"/>
      <c r="I44" s="1209"/>
      <c r="J44" s="1208"/>
      <c r="K44" s="1209"/>
      <c r="L44" s="1208"/>
      <c r="M44" s="1209"/>
      <c r="N44" s="1208"/>
      <c r="O44" s="1209"/>
      <c r="P44" s="1208"/>
      <c r="Q44" s="1209"/>
      <c r="R44" s="1208"/>
      <c r="S44" s="1209"/>
      <c r="T44" s="1208"/>
      <c r="U44" s="1209"/>
      <c r="V44" s="1208"/>
      <c r="W44" s="1209"/>
      <c r="X44" s="1208"/>
      <c r="Y44" s="1209"/>
      <c r="Z44" s="1208"/>
      <c r="AA44" s="1209"/>
      <c r="AD44" s="1208"/>
      <c r="AE44" s="1209"/>
      <c r="AF44" s="1208"/>
      <c r="AG44" s="1209"/>
      <c r="AH44" s="1208"/>
      <c r="AI44" s="1209"/>
      <c r="AJ44" s="1208"/>
      <c r="AK44" s="1209"/>
      <c r="AL44" s="1208"/>
      <c r="AM44" s="1209"/>
      <c r="AN44" s="1208"/>
      <c r="AO44" s="1209"/>
      <c r="AP44" s="1208"/>
      <c r="AQ44" s="1209"/>
      <c r="AR44" s="1208"/>
      <c r="AS44" s="1209"/>
      <c r="AT44" s="1208"/>
      <c r="AU44" s="1209"/>
      <c r="AV44" s="1208"/>
      <c r="AW44" s="1209"/>
      <c r="AX44" s="1208"/>
      <c r="AY44" s="1209"/>
      <c r="AZ44" s="1208"/>
      <c r="BA44" s="1209"/>
      <c r="BB44" s="1208"/>
      <c r="BC44" s="1209"/>
      <c r="BD44" s="1208"/>
      <c r="BE44" s="1209"/>
      <c r="BF44" s="1208"/>
      <c r="BG44" s="1209"/>
      <c r="BH44" s="1208"/>
      <c r="BI44" s="1209"/>
      <c r="BJ44" s="1208"/>
      <c r="BK44" s="1209"/>
      <c r="BL44" s="1208"/>
    </row>
    <row r="45" spans="1:64">
      <c r="A45" s="1211"/>
      <c r="B45" s="1208"/>
      <c r="C45" s="1209"/>
      <c r="D45" s="1208"/>
      <c r="E45" s="1209"/>
      <c r="F45" s="1208"/>
      <c r="G45" s="1209"/>
      <c r="H45" s="1208"/>
      <c r="I45" s="1209"/>
      <c r="J45" s="1208"/>
      <c r="K45" s="1209"/>
      <c r="L45" s="1208"/>
      <c r="M45" s="1209"/>
      <c r="N45" s="1208"/>
      <c r="O45" s="1209"/>
      <c r="P45" s="1208"/>
      <c r="Q45" s="1209"/>
      <c r="R45" s="1208"/>
      <c r="S45" s="1209"/>
      <c r="T45" s="1208"/>
      <c r="U45" s="1209"/>
      <c r="V45" s="1208"/>
      <c r="W45" s="1209"/>
      <c r="X45" s="1208"/>
      <c r="Y45" s="1209"/>
      <c r="Z45" s="1208"/>
      <c r="AA45" s="1209"/>
      <c r="AD45" s="1208"/>
      <c r="AE45" s="1209"/>
      <c r="AF45" s="1208"/>
      <c r="AG45" s="1209"/>
      <c r="AH45" s="1208"/>
      <c r="AI45" s="1209"/>
      <c r="AJ45" s="1208"/>
      <c r="AK45" s="1209"/>
      <c r="AL45" s="1208"/>
      <c r="AM45" s="1209"/>
      <c r="AN45" s="1208"/>
      <c r="AO45" s="1209"/>
      <c r="AP45" s="1208"/>
      <c r="AQ45" s="1209"/>
      <c r="AR45" s="1208"/>
      <c r="AS45" s="1209"/>
      <c r="AT45" s="1208"/>
      <c r="AU45" s="1209"/>
      <c r="AV45" s="1208"/>
      <c r="AW45" s="1209"/>
      <c r="AX45" s="1208"/>
      <c r="AY45" s="1209"/>
      <c r="AZ45" s="1208"/>
      <c r="BA45" s="1209"/>
      <c r="BB45" s="1208"/>
      <c r="BC45" s="1209"/>
      <c r="BD45" s="1208"/>
      <c r="BE45" s="1209"/>
      <c r="BF45" s="1208"/>
      <c r="BG45" s="1209"/>
      <c r="BH45" s="1208"/>
      <c r="BI45" s="1209"/>
      <c r="BJ45" s="1208"/>
      <c r="BK45" s="1209"/>
      <c r="BL45" s="1208"/>
    </row>
    <row r="46" spans="1:64">
      <c r="A46" s="1211"/>
      <c r="B46" s="1208"/>
      <c r="C46" s="1209"/>
      <c r="D46" s="1208"/>
      <c r="E46" s="1209"/>
      <c r="F46" s="1208"/>
      <c r="G46" s="1209"/>
      <c r="H46" s="1208"/>
      <c r="I46" s="1209"/>
      <c r="J46" s="1208"/>
      <c r="K46" s="1209"/>
      <c r="L46" s="1208"/>
      <c r="M46" s="1209"/>
      <c r="N46" s="1208"/>
      <c r="O46" s="1209"/>
      <c r="P46" s="1208"/>
      <c r="Q46" s="1209"/>
      <c r="R46" s="1208"/>
      <c r="S46" s="1209"/>
      <c r="T46" s="1208"/>
      <c r="U46" s="1209"/>
      <c r="V46" s="1208"/>
      <c r="W46" s="1209"/>
      <c r="X46" s="1208"/>
      <c r="Y46" s="1209"/>
      <c r="Z46" s="1208"/>
      <c r="AA46" s="1209"/>
      <c r="AD46" s="1208"/>
      <c r="AE46" s="1209"/>
      <c r="AF46" s="1208"/>
      <c r="AG46" s="1209"/>
      <c r="AH46" s="1208"/>
      <c r="AI46" s="1209"/>
      <c r="AJ46" s="1208"/>
      <c r="AK46" s="1209"/>
      <c r="AL46" s="1208"/>
      <c r="AM46" s="1209"/>
      <c r="AN46" s="1208"/>
      <c r="AO46" s="1209"/>
      <c r="AP46" s="1208"/>
      <c r="AQ46" s="1209"/>
      <c r="AR46" s="1208"/>
      <c r="AS46" s="1209"/>
      <c r="AT46" s="1208"/>
      <c r="AU46" s="1209"/>
      <c r="AV46" s="1208"/>
      <c r="AW46" s="1209"/>
      <c r="AX46" s="1208"/>
      <c r="AY46" s="1209"/>
      <c r="AZ46" s="1208"/>
      <c r="BA46" s="1209"/>
      <c r="BB46" s="1208"/>
      <c r="BC46" s="1209"/>
      <c r="BD46" s="1208"/>
      <c r="BE46" s="1209"/>
      <c r="BF46" s="1208"/>
      <c r="BG46" s="1209"/>
      <c r="BH46" s="1208"/>
      <c r="BI46" s="1209"/>
      <c r="BJ46" s="1208"/>
      <c r="BK46" s="1209"/>
      <c r="BL46" s="1208"/>
    </row>
    <row r="47" spans="1:64">
      <c r="A47" s="1211"/>
      <c r="B47" s="1208"/>
      <c r="C47" s="1209"/>
      <c r="D47" s="1208"/>
      <c r="E47" s="1209"/>
      <c r="F47" s="1208"/>
      <c r="G47" s="1209"/>
      <c r="H47" s="1208"/>
      <c r="I47" s="1209"/>
      <c r="J47" s="1208"/>
      <c r="K47" s="1209"/>
      <c r="L47" s="1208"/>
      <c r="M47" s="1209"/>
      <c r="N47" s="1208"/>
      <c r="O47" s="1209"/>
      <c r="P47" s="1208"/>
      <c r="Q47" s="1209"/>
      <c r="R47" s="1208"/>
      <c r="S47" s="1209"/>
      <c r="T47" s="1208"/>
      <c r="U47" s="1209"/>
      <c r="V47" s="1208"/>
      <c r="W47" s="1209"/>
      <c r="X47" s="1208"/>
      <c r="Y47" s="1209"/>
      <c r="Z47" s="1208"/>
      <c r="AA47" s="1209"/>
      <c r="AD47" s="1208"/>
      <c r="AE47" s="1209"/>
      <c r="AF47" s="1208"/>
      <c r="AG47" s="1209"/>
      <c r="AH47" s="1208"/>
      <c r="AI47" s="1209"/>
      <c r="AJ47" s="1208"/>
      <c r="AK47" s="1209"/>
      <c r="AL47" s="1208"/>
      <c r="AM47" s="1209"/>
      <c r="AN47" s="1208"/>
      <c r="AO47" s="1209"/>
      <c r="AP47" s="1208"/>
      <c r="AQ47" s="1209"/>
      <c r="AR47" s="1208"/>
      <c r="AS47" s="1209"/>
      <c r="AT47" s="1208"/>
      <c r="AU47" s="1209"/>
      <c r="AV47" s="1208"/>
      <c r="AW47" s="1209"/>
      <c r="AX47" s="1208"/>
      <c r="AY47" s="1209"/>
      <c r="AZ47" s="1208"/>
      <c r="BA47" s="1209"/>
      <c r="BB47" s="1208"/>
      <c r="BC47" s="1209"/>
      <c r="BD47" s="1208"/>
      <c r="BE47" s="1209"/>
      <c r="BF47" s="1208"/>
      <c r="BG47" s="1209"/>
      <c r="BH47" s="1208"/>
      <c r="BI47" s="1209"/>
      <c r="BJ47" s="1208"/>
      <c r="BK47" s="1209"/>
      <c r="BL47" s="1208"/>
    </row>
    <row r="48" spans="1:64">
      <c r="A48" s="1211"/>
      <c r="B48" s="1208"/>
      <c r="C48" s="1209"/>
      <c r="D48" s="1208"/>
      <c r="E48" s="1209"/>
      <c r="F48" s="1208"/>
      <c r="G48" s="1209"/>
      <c r="H48" s="1208"/>
      <c r="I48" s="1209"/>
      <c r="J48" s="1208"/>
      <c r="K48" s="1209"/>
      <c r="L48" s="1208"/>
      <c r="M48" s="1209"/>
      <c r="N48" s="1208"/>
      <c r="O48" s="1209"/>
      <c r="P48" s="1208"/>
      <c r="Q48" s="1209"/>
      <c r="R48" s="1208"/>
      <c r="S48" s="1209"/>
      <c r="T48" s="1208"/>
      <c r="U48" s="1209"/>
      <c r="V48" s="1208"/>
      <c r="W48" s="1209"/>
      <c r="X48" s="1208"/>
      <c r="Y48" s="1209"/>
      <c r="Z48" s="1208"/>
      <c r="AA48" s="1209"/>
      <c r="AD48" s="1208"/>
      <c r="AE48" s="1209"/>
      <c r="AF48" s="1208"/>
      <c r="AG48" s="1209"/>
      <c r="AH48" s="1208"/>
      <c r="AI48" s="1209"/>
      <c r="AJ48" s="1208"/>
      <c r="AK48" s="1209"/>
      <c r="AL48" s="1208"/>
      <c r="AM48" s="1209"/>
      <c r="AN48" s="1208"/>
      <c r="AO48" s="1209"/>
      <c r="AP48" s="1208"/>
      <c r="AQ48" s="1209"/>
      <c r="AR48" s="1208"/>
      <c r="AS48" s="1209"/>
      <c r="AT48" s="1208"/>
      <c r="AU48" s="1209"/>
      <c r="AV48" s="1208"/>
      <c r="AW48" s="1209"/>
      <c r="AX48" s="1208"/>
      <c r="AY48" s="1209"/>
      <c r="AZ48" s="1208"/>
      <c r="BA48" s="1209"/>
      <c r="BB48" s="1208"/>
      <c r="BC48" s="1209"/>
      <c r="BD48" s="1208"/>
      <c r="BE48" s="1209"/>
      <c r="BF48" s="1208"/>
      <c r="BG48" s="1209"/>
      <c r="BH48" s="1208"/>
      <c r="BI48" s="1209"/>
      <c r="BJ48" s="1208"/>
      <c r="BK48" s="1209"/>
      <c r="BL48" s="1208"/>
    </row>
    <row r="49" spans="1:65">
      <c r="A49" s="1211"/>
      <c r="B49" s="1208"/>
      <c r="C49" s="1209"/>
      <c r="D49" s="1208"/>
      <c r="E49" s="1209"/>
      <c r="F49" s="1208"/>
      <c r="G49" s="1209"/>
      <c r="H49" s="1208"/>
      <c r="I49" s="1209"/>
      <c r="J49" s="1208"/>
      <c r="K49" s="1209"/>
      <c r="L49" s="1208"/>
      <c r="M49" s="1209"/>
      <c r="N49" s="1208"/>
      <c r="O49" s="1209"/>
      <c r="P49" s="1208"/>
      <c r="Q49" s="1209"/>
      <c r="R49" s="1208"/>
      <c r="S49" s="1209"/>
      <c r="T49" s="1208"/>
      <c r="U49" s="1209"/>
      <c r="V49" s="1208"/>
      <c r="W49" s="1209"/>
      <c r="X49" s="1208"/>
      <c r="Y49" s="1209"/>
      <c r="Z49" s="1208"/>
      <c r="AA49" s="1209"/>
      <c r="AD49" s="1208"/>
      <c r="AE49" s="1209"/>
      <c r="AF49" s="1208"/>
      <c r="AG49" s="1209"/>
      <c r="AH49" s="1208"/>
      <c r="AI49" s="1209"/>
      <c r="AJ49" s="1208"/>
      <c r="AK49" s="1209"/>
      <c r="AL49" s="1208"/>
      <c r="AM49" s="1209"/>
      <c r="AN49" s="1208"/>
      <c r="AO49" s="1209"/>
      <c r="AP49" s="1208"/>
      <c r="AQ49" s="1209"/>
      <c r="AR49" s="1208"/>
      <c r="AS49" s="1209"/>
      <c r="AT49" s="1208"/>
      <c r="AU49" s="1209"/>
      <c r="AV49" s="1208"/>
      <c r="AW49" s="1209"/>
      <c r="AX49" s="1208"/>
      <c r="AY49" s="1209"/>
      <c r="AZ49" s="1208"/>
      <c r="BA49" s="1209"/>
      <c r="BB49" s="1208"/>
      <c r="BC49" s="1209"/>
      <c r="BD49" s="1208"/>
      <c r="BE49" s="1209"/>
      <c r="BF49" s="1208"/>
      <c r="BG49" s="1209"/>
      <c r="BH49" s="1208"/>
      <c r="BI49" s="1209"/>
      <c r="BJ49" s="1208"/>
      <c r="BK49" s="1209"/>
      <c r="BL49" s="1208"/>
    </row>
    <row r="50" spans="1:65">
      <c r="A50" s="1211"/>
      <c r="B50" s="1208"/>
      <c r="C50" s="1209"/>
      <c r="D50" s="1208"/>
      <c r="E50" s="1209"/>
      <c r="F50" s="1208"/>
      <c r="G50" s="1209"/>
      <c r="H50" s="1208"/>
      <c r="I50" s="1209"/>
      <c r="J50" s="1208"/>
      <c r="K50" s="1209"/>
      <c r="L50" s="1208"/>
      <c r="M50" s="1209"/>
      <c r="N50" s="1208"/>
      <c r="O50" s="1209"/>
      <c r="P50" s="1208"/>
      <c r="Q50" s="1209"/>
      <c r="R50" s="1208"/>
      <c r="S50" s="1209"/>
      <c r="T50" s="1208"/>
      <c r="U50" s="1209"/>
      <c r="V50" s="1208"/>
      <c r="W50" s="1209"/>
      <c r="X50" s="1208"/>
      <c r="Y50" s="1209"/>
      <c r="Z50" s="1208"/>
      <c r="AA50" s="1209"/>
      <c r="AD50" s="1208"/>
      <c r="AE50" s="1209"/>
      <c r="AF50" s="1208"/>
      <c r="AG50" s="1209"/>
      <c r="AH50" s="1208"/>
      <c r="AI50" s="1209"/>
      <c r="AJ50" s="1208"/>
      <c r="AK50" s="1209"/>
      <c r="AL50" s="1208"/>
      <c r="AM50" s="1209"/>
      <c r="AN50" s="1208"/>
      <c r="AO50" s="1209"/>
      <c r="AP50" s="1208"/>
      <c r="AQ50" s="1209"/>
      <c r="AR50" s="1208"/>
      <c r="AS50" s="1209"/>
      <c r="AT50" s="1208"/>
      <c r="AU50" s="1209"/>
      <c r="AV50" s="1208"/>
      <c r="AW50" s="1209"/>
      <c r="AX50" s="1208"/>
      <c r="AY50" s="1209"/>
      <c r="AZ50" s="1208"/>
      <c r="BA50" s="1209"/>
      <c r="BB50" s="1208"/>
      <c r="BC50" s="1209"/>
      <c r="BD50" s="1208"/>
      <c r="BE50" s="1209"/>
      <c r="BF50" s="1208"/>
      <c r="BG50" s="1209"/>
      <c r="BH50" s="1208"/>
      <c r="BI50" s="1209"/>
      <c r="BJ50" s="1208"/>
      <c r="BK50" s="1209"/>
      <c r="BL50" s="1208"/>
    </row>
    <row r="51" spans="1:65">
      <c r="A51" s="1211"/>
      <c r="B51" s="1208"/>
      <c r="C51" s="1209"/>
      <c r="D51" s="1208"/>
      <c r="E51" s="1209"/>
      <c r="F51" s="1208"/>
      <c r="G51" s="1209"/>
      <c r="H51" s="1208"/>
      <c r="I51" s="1209"/>
      <c r="J51" s="1208"/>
      <c r="K51" s="1209"/>
      <c r="L51" s="1208"/>
      <c r="M51" s="1209"/>
      <c r="N51" s="1208"/>
      <c r="O51" s="1209"/>
      <c r="P51" s="1208"/>
      <c r="Q51" s="1209"/>
      <c r="R51" s="1208"/>
      <c r="S51" s="1209"/>
      <c r="T51" s="1208"/>
      <c r="U51" s="1209"/>
      <c r="V51" s="1208"/>
      <c r="W51" s="1209"/>
      <c r="X51" s="1208"/>
      <c r="Y51" s="1209"/>
      <c r="Z51" s="1208"/>
      <c r="AA51" s="1209"/>
      <c r="AD51" s="1208"/>
      <c r="AE51" s="1209"/>
      <c r="AF51" s="1208"/>
      <c r="AG51" s="1209"/>
      <c r="AH51" s="1208"/>
      <c r="AI51" s="1209"/>
      <c r="AJ51" s="1208"/>
      <c r="AK51" s="1209"/>
      <c r="AL51" s="1208"/>
      <c r="AM51" s="1209"/>
      <c r="AN51" s="1208"/>
      <c r="AO51" s="1209"/>
      <c r="AP51" s="1208"/>
      <c r="AQ51" s="1209"/>
      <c r="AR51" s="1208"/>
      <c r="AS51" s="1209"/>
      <c r="AT51" s="1208"/>
      <c r="AU51" s="1209"/>
      <c r="AV51" s="1208"/>
      <c r="AW51" s="1209"/>
      <c r="AX51" s="1208"/>
      <c r="AY51" s="1209"/>
      <c r="AZ51" s="1208"/>
      <c r="BA51" s="1209"/>
      <c r="BB51" s="1208"/>
      <c r="BC51" s="1209"/>
      <c r="BD51" s="1208"/>
      <c r="BE51" s="1209"/>
      <c r="BF51" s="1208"/>
      <c r="BG51" s="1209"/>
      <c r="BH51" s="1208"/>
      <c r="BI51" s="1209"/>
      <c r="BJ51" s="1208"/>
      <c r="BK51" s="1209"/>
      <c r="BL51" s="1208"/>
    </row>
    <row r="52" spans="1:65">
      <c r="A52" s="1211"/>
      <c r="B52" s="1208"/>
      <c r="C52" s="1209"/>
      <c r="D52" s="1208"/>
      <c r="E52" s="1209"/>
      <c r="F52" s="1208"/>
      <c r="G52" s="1209"/>
      <c r="H52" s="1208"/>
      <c r="I52" s="1209"/>
      <c r="J52" s="1208"/>
      <c r="K52" s="1209"/>
      <c r="L52" s="1208"/>
      <c r="M52" s="1209"/>
      <c r="N52" s="1208"/>
      <c r="O52" s="1209"/>
      <c r="P52" s="1208"/>
      <c r="Q52" s="1209"/>
      <c r="R52" s="1208"/>
      <c r="S52" s="1209"/>
      <c r="T52" s="1208"/>
      <c r="U52" s="1209"/>
      <c r="V52" s="1208"/>
      <c r="W52" s="1209"/>
      <c r="X52" s="1208"/>
      <c r="Y52" s="1209"/>
      <c r="Z52" s="1208"/>
      <c r="AA52" s="1209"/>
      <c r="AD52" s="1208"/>
      <c r="AE52" s="1209"/>
      <c r="AF52" s="1208"/>
      <c r="AG52" s="1209"/>
      <c r="AH52" s="1208"/>
      <c r="AI52" s="1209"/>
      <c r="AJ52" s="1208"/>
      <c r="AK52" s="1209"/>
      <c r="AL52" s="1208"/>
      <c r="AM52" s="1209"/>
      <c r="AN52" s="1208"/>
      <c r="AO52" s="1209"/>
      <c r="AP52" s="1208"/>
      <c r="AQ52" s="1209"/>
      <c r="AR52" s="1208"/>
      <c r="AS52" s="1209"/>
      <c r="AT52" s="1208"/>
      <c r="AU52" s="1209"/>
      <c r="AV52" s="1208"/>
      <c r="AW52" s="1209"/>
      <c r="AX52" s="1208"/>
      <c r="AY52" s="1209"/>
      <c r="AZ52" s="1208"/>
      <c r="BA52" s="1209"/>
      <c r="BB52" s="1208"/>
      <c r="BC52" s="1209"/>
      <c r="BD52" s="1208"/>
      <c r="BE52" s="1209"/>
      <c r="BF52" s="1208"/>
      <c r="BG52" s="1209"/>
      <c r="BH52" s="1208"/>
      <c r="BI52" s="1209"/>
      <c r="BJ52" s="1208"/>
      <c r="BK52" s="1209"/>
      <c r="BL52" s="1208"/>
    </row>
    <row r="53" spans="1:65">
      <c r="A53" s="1211"/>
      <c r="B53" s="1208"/>
      <c r="C53" s="1209"/>
      <c r="D53" s="1208"/>
      <c r="E53" s="1209"/>
      <c r="F53" s="1208"/>
      <c r="G53" s="1209"/>
      <c r="H53" s="1208"/>
      <c r="I53" s="1209"/>
      <c r="J53" s="1208"/>
      <c r="K53" s="1209"/>
      <c r="L53" s="1208"/>
      <c r="M53" s="1209"/>
      <c r="N53" s="1208"/>
      <c r="O53" s="1209"/>
      <c r="P53" s="1208"/>
      <c r="Q53" s="1209"/>
      <c r="R53" s="1208"/>
      <c r="S53" s="1209"/>
      <c r="T53" s="1208"/>
      <c r="U53" s="1209"/>
      <c r="V53" s="1208"/>
      <c r="W53" s="1209"/>
      <c r="X53" s="1208"/>
      <c r="Y53" s="1209"/>
      <c r="Z53" s="1208"/>
      <c r="AA53" s="1209"/>
      <c r="AD53" s="1208"/>
      <c r="AE53" s="1209"/>
      <c r="AF53" s="1208"/>
      <c r="AG53" s="1209"/>
      <c r="AH53" s="1208"/>
      <c r="AI53" s="1209"/>
      <c r="AJ53" s="1208"/>
      <c r="AK53" s="1209"/>
      <c r="AL53" s="1208"/>
      <c r="AM53" s="1209"/>
      <c r="AN53" s="1208"/>
      <c r="AO53" s="1209"/>
      <c r="AP53" s="1208"/>
      <c r="AQ53" s="1209"/>
      <c r="AR53" s="1208"/>
      <c r="AS53" s="1209"/>
      <c r="AT53" s="1208"/>
      <c r="AU53" s="1209"/>
      <c r="AV53" s="1208"/>
      <c r="AW53" s="1209"/>
      <c r="AX53" s="1208"/>
      <c r="AY53" s="1209"/>
      <c r="AZ53" s="1208"/>
      <c r="BA53" s="1209"/>
      <c r="BB53" s="1208"/>
      <c r="BC53" s="1209"/>
      <c r="BD53" s="1208"/>
      <c r="BE53" s="1209"/>
      <c r="BF53" s="1208"/>
      <c r="BG53" s="1209"/>
      <c r="BH53" s="1208"/>
      <c r="BI53" s="1209"/>
      <c r="BJ53" s="1208"/>
      <c r="BK53" s="1209"/>
      <c r="BL53" s="1208"/>
    </row>
    <row r="54" spans="1:65">
      <c r="A54" s="1211"/>
      <c r="B54" s="1208"/>
      <c r="C54" s="1209"/>
      <c r="D54" s="1208"/>
      <c r="E54" s="1209"/>
      <c r="F54" s="1208"/>
      <c r="G54" s="1209"/>
      <c r="H54" s="1208"/>
      <c r="I54" s="1209"/>
      <c r="J54" s="1208"/>
      <c r="K54" s="1209"/>
      <c r="L54" s="1208"/>
      <c r="M54" s="1209"/>
      <c r="N54" s="1208"/>
      <c r="O54" s="1209"/>
      <c r="P54" s="1208"/>
      <c r="Q54" s="1209"/>
      <c r="R54" s="1208"/>
      <c r="S54" s="1209"/>
      <c r="T54" s="1208"/>
      <c r="U54" s="1209"/>
      <c r="V54" s="1208"/>
      <c r="W54" s="1209"/>
      <c r="X54" s="1208"/>
      <c r="Y54" s="1209"/>
      <c r="Z54" s="1208"/>
      <c r="AA54" s="1209"/>
      <c r="AD54" s="1208"/>
      <c r="AE54" s="1209"/>
      <c r="AF54" s="1208"/>
      <c r="AG54" s="1209"/>
      <c r="AH54" s="1208"/>
      <c r="AI54" s="1209"/>
      <c r="AJ54" s="1208"/>
      <c r="AK54" s="1209"/>
      <c r="AL54" s="1208"/>
      <c r="AM54" s="1209"/>
      <c r="AN54" s="1208"/>
      <c r="AO54" s="1209"/>
      <c r="AP54" s="1208"/>
      <c r="AQ54" s="1209"/>
      <c r="AR54" s="1208"/>
      <c r="AS54" s="1209"/>
      <c r="AT54" s="1208"/>
      <c r="AU54" s="1209"/>
      <c r="AV54" s="1208"/>
      <c r="AW54" s="1209"/>
      <c r="AX54" s="1208"/>
      <c r="AY54" s="1209"/>
      <c r="AZ54" s="1208"/>
      <c r="BA54" s="1209"/>
      <c r="BB54" s="1208"/>
      <c r="BC54" s="1209"/>
      <c r="BD54" s="1208"/>
      <c r="BE54" s="1209"/>
      <c r="BF54" s="1208"/>
      <c r="BG54" s="1209"/>
      <c r="BH54" s="1208"/>
      <c r="BI54" s="1209"/>
      <c r="BJ54" s="1208"/>
      <c r="BK54" s="1209"/>
      <c r="BL54" s="1208"/>
    </row>
    <row r="55" spans="1:65">
      <c r="A55" s="1211"/>
      <c r="B55" s="1208"/>
      <c r="C55" s="1209"/>
      <c r="D55" s="1208"/>
      <c r="E55" s="1209"/>
      <c r="F55" s="1208"/>
      <c r="G55" s="1209"/>
      <c r="H55" s="1208"/>
      <c r="I55" s="1209"/>
      <c r="J55" s="1208"/>
      <c r="K55" s="1209"/>
      <c r="L55" s="1208"/>
      <c r="M55" s="1209"/>
      <c r="N55" s="1208"/>
      <c r="O55" s="1209"/>
      <c r="P55" s="1208"/>
      <c r="Q55" s="1209"/>
      <c r="R55" s="1208"/>
      <c r="S55" s="1209"/>
      <c r="T55" s="1208"/>
      <c r="U55" s="1209"/>
      <c r="V55" s="1208"/>
      <c r="W55" s="1209"/>
      <c r="X55" s="1208"/>
      <c r="Y55" s="1209"/>
      <c r="Z55" s="1208"/>
      <c r="AA55" s="1209"/>
      <c r="AD55" s="1208"/>
      <c r="AE55" s="1209"/>
      <c r="AF55" s="1208"/>
      <c r="AG55" s="1209"/>
      <c r="AH55" s="1208"/>
      <c r="AI55" s="1209"/>
      <c r="AJ55" s="1208"/>
      <c r="AK55" s="1209"/>
      <c r="AL55" s="1208"/>
      <c r="AM55" s="1209"/>
      <c r="AN55" s="1208"/>
      <c r="AO55" s="1209"/>
      <c r="AP55" s="1208"/>
      <c r="AQ55" s="1209"/>
      <c r="AR55" s="1208"/>
      <c r="AS55" s="1209"/>
      <c r="AT55" s="1208"/>
      <c r="AU55" s="1209"/>
      <c r="AV55" s="1208"/>
      <c r="AW55" s="1209"/>
      <c r="AX55" s="1208"/>
      <c r="AY55" s="1209"/>
      <c r="AZ55" s="1208"/>
      <c r="BA55" s="1209"/>
      <c r="BB55" s="1208"/>
      <c r="BC55" s="1209"/>
      <c r="BD55" s="1208"/>
      <c r="BE55" s="1209"/>
      <c r="BF55" s="1208"/>
      <c r="BG55" s="1209"/>
      <c r="BH55" s="1208"/>
      <c r="BI55" s="1209"/>
      <c r="BJ55" s="1208"/>
      <c r="BK55" s="1209"/>
      <c r="BL55" s="1208"/>
    </row>
    <row r="56" spans="1:65">
      <c r="A56" s="1211"/>
      <c r="B56" s="1208"/>
      <c r="C56" s="1209"/>
      <c r="D56" s="1208"/>
      <c r="E56" s="1209"/>
      <c r="F56" s="1208"/>
      <c r="G56" s="1209"/>
      <c r="H56" s="1208"/>
      <c r="I56" s="1209"/>
      <c r="J56" s="1208"/>
      <c r="K56" s="1209"/>
      <c r="L56" s="1208"/>
      <c r="M56" s="1209"/>
      <c r="N56" s="1208"/>
      <c r="O56" s="1209"/>
      <c r="P56" s="1208"/>
      <c r="Q56" s="1209"/>
      <c r="R56" s="1208"/>
      <c r="S56" s="1209"/>
      <c r="T56" s="1208"/>
      <c r="U56" s="1209"/>
      <c r="V56" s="1208"/>
      <c r="W56" s="1209"/>
      <c r="X56" s="1208"/>
      <c r="Y56" s="1209"/>
      <c r="Z56" s="1208"/>
      <c r="AA56" s="1209"/>
      <c r="AD56" s="1208"/>
      <c r="AE56" s="1209"/>
      <c r="AF56" s="1208"/>
      <c r="AG56" s="1209"/>
      <c r="AH56" s="1208"/>
      <c r="AI56" s="1209"/>
      <c r="AJ56" s="1208"/>
      <c r="AK56" s="1209"/>
      <c r="AL56" s="1208"/>
      <c r="AM56" s="1209"/>
      <c r="AN56" s="1208"/>
      <c r="AO56" s="1209"/>
      <c r="AP56" s="1208"/>
      <c r="AQ56" s="1209"/>
      <c r="AR56" s="1208"/>
      <c r="AS56" s="1209"/>
      <c r="AT56" s="1208"/>
      <c r="AU56" s="1209"/>
      <c r="AV56" s="1208"/>
      <c r="AW56" s="1209"/>
      <c r="AX56" s="1208"/>
      <c r="AY56" s="1209"/>
      <c r="AZ56" s="1208"/>
      <c r="BA56" s="1209"/>
      <c r="BB56" s="1208"/>
      <c r="BC56" s="1209"/>
      <c r="BD56" s="1208"/>
      <c r="BE56" s="1209"/>
      <c r="BF56" s="1208"/>
      <c r="BG56" s="1209"/>
      <c r="BH56" s="1208"/>
      <c r="BI56" s="1209"/>
      <c r="BJ56" s="1208"/>
      <c r="BK56" s="1209"/>
      <c r="BL56" s="1208"/>
    </row>
    <row r="57" spans="1:65">
      <c r="A57" s="1211"/>
      <c r="B57" s="1208"/>
      <c r="C57" s="1209"/>
      <c r="D57" s="1208"/>
      <c r="E57" s="1209"/>
      <c r="F57" s="1208"/>
      <c r="G57" s="1209"/>
      <c r="H57" s="1208"/>
      <c r="I57" s="1209"/>
      <c r="J57" s="1208"/>
      <c r="K57" s="1209"/>
      <c r="L57" s="1208"/>
      <c r="M57" s="1209"/>
      <c r="N57" s="1208"/>
      <c r="O57" s="1209"/>
      <c r="P57" s="1208"/>
      <c r="Q57" s="1209"/>
      <c r="R57" s="1208"/>
      <c r="S57" s="1209"/>
      <c r="T57" s="1208"/>
      <c r="U57" s="1209"/>
      <c r="V57" s="1208"/>
      <c r="W57" s="1209"/>
      <c r="X57" s="1208"/>
      <c r="Y57" s="1209"/>
      <c r="Z57" s="1208"/>
      <c r="AA57" s="1209"/>
      <c r="AD57" s="1208"/>
      <c r="AE57" s="1209"/>
      <c r="AF57" s="1208"/>
      <c r="AG57" s="1209"/>
      <c r="AH57" s="1208"/>
      <c r="AI57" s="1209"/>
      <c r="AJ57" s="1208"/>
      <c r="AK57" s="1209"/>
      <c r="AL57" s="1208"/>
      <c r="AM57" s="1209"/>
      <c r="AN57" s="1208"/>
      <c r="AO57" s="1209"/>
      <c r="AP57" s="1208"/>
      <c r="AQ57" s="1209"/>
      <c r="AR57" s="1208"/>
      <c r="AS57" s="1209"/>
      <c r="AT57" s="1208"/>
      <c r="AU57" s="1209"/>
      <c r="AV57" s="1208"/>
      <c r="AW57" s="1209"/>
      <c r="AX57" s="1208"/>
      <c r="AY57" s="1209"/>
      <c r="AZ57" s="1208"/>
      <c r="BA57" s="1209"/>
      <c r="BB57" s="1208"/>
      <c r="BC57" s="1209"/>
      <c r="BD57" s="1208"/>
      <c r="BE57" s="1209"/>
      <c r="BF57" s="1208"/>
      <c r="BG57" s="1209"/>
      <c r="BH57" s="1208"/>
      <c r="BI57" s="1209"/>
      <c r="BJ57" s="1208"/>
      <c r="BK57" s="1209"/>
      <c r="BL57" s="1208"/>
    </row>
    <row r="58" spans="1:65">
      <c r="A58" s="1211"/>
      <c r="B58" s="1208"/>
      <c r="C58" s="1209"/>
      <c r="D58" s="1208"/>
      <c r="E58" s="1209"/>
      <c r="F58" s="1208"/>
      <c r="G58" s="1209"/>
      <c r="H58" s="1208"/>
      <c r="I58" s="1209"/>
      <c r="J58" s="1208"/>
      <c r="K58" s="1209"/>
      <c r="L58" s="1208"/>
      <c r="M58" s="1209"/>
      <c r="N58" s="1208"/>
      <c r="O58" s="1209"/>
      <c r="P58" s="1208"/>
      <c r="Q58" s="1209"/>
      <c r="R58" s="1208"/>
      <c r="S58" s="1209"/>
      <c r="T58" s="1208"/>
      <c r="U58" s="1209"/>
      <c r="V58" s="1208"/>
      <c r="W58" s="1209"/>
      <c r="X58" s="1208"/>
      <c r="Y58" s="1209"/>
      <c r="Z58" s="1208"/>
      <c r="AA58" s="1209"/>
      <c r="AD58" s="1208"/>
      <c r="AE58" s="1209"/>
      <c r="AF58" s="1208"/>
      <c r="AG58" s="1209"/>
      <c r="AH58" s="1208"/>
      <c r="AI58" s="1209"/>
      <c r="AJ58" s="1208"/>
      <c r="AK58" s="1209"/>
      <c r="AL58" s="1208"/>
      <c r="AM58" s="1209"/>
      <c r="AN58" s="1208"/>
      <c r="AO58" s="1209"/>
      <c r="AP58" s="1208"/>
      <c r="AQ58" s="1209"/>
      <c r="AR58" s="1208"/>
      <c r="AS58" s="1209"/>
      <c r="AT58" s="1208"/>
      <c r="AU58" s="1209"/>
      <c r="AV58" s="1208"/>
      <c r="AW58" s="1209"/>
      <c r="AX58" s="1208"/>
      <c r="AY58" s="1209"/>
      <c r="AZ58" s="1208"/>
      <c r="BA58" s="1209"/>
      <c r="BB58" s="1208"/>
      <c r="BC58" s="1209"/>
      <c r="BD58" s="1208"/>
      <c r="BE58" s="1209"/>
      <c r="BF58" s="1208"/>
      <c r="BG58" s="1209"/>
      <c r="BH58" s="1208"/>
      <c r="BI58" s="1209"/>
      <c r="BJ58" s="1208"/>
      <c r="BK58" s="1209"/>
      <c r="BL58" s="1208"/>
    </row>
    <row r="59" spans="1:65">
      <c r="A59" s="1211"/>
      <c r="B59" s="1208"/>
      <c r="C59" s="1209"/>
      <c r="D59" s="1208"/>
      <c r="E59" s="1209"/>
      <c r="F59" s="1208"/>
      <c r="G59" s="1209"/>
      <c r="H59" s="1208"/>
      <c r="I59" s="1209"/>
      <c r="J59" s="1208"/>
      <c r="K59" s="1209"/>
      <c r="L59" s="1208"/>
      <c r="M59" s="1209"/>
      <c r="N59" s="1208"/>
      <c r="O59" s="1209"/>
      <c r="P59" s="1208"/>
      <c r="Q59" s="1209"/>
      <c r="R59" s="1208"/>
      <c r="S59" s="1209"/>
      <c r="T59" s="1208"/>
      <c r="U59" s="1209"/>
      <c r="V59" s="1208"/>
      <c r="W59" s="1209"/>
      <c r="X59" s="1208"/>
      <c r="Y59" s="1209"/>
      <c r="Z59" s="1208"/>
      <c r="AA59" s="1209"/>
      <c r="AD59" s="1208"/>
      <c r="AE59" s="1209"/>
      <c r="AF59" s="1208"/>
      <c r="AG59" s="1209"/>
      <c r="AH59" s="1208"/>
      <c r="AI59" s="1209"/>
      <c r="AJ59" s="1208"/>
      <c r="AK59" s="1209"/>
      <c r="AL59" s="1208"/>
      <c r="AM59" s="1209"/>
      <c r="AN59" s="1208"/>
      <c r="AO59" s="1209"/>
      <c r="AP59" s="1208"/>
      <c r="AQ59" s="1209"/>
      <c r="AR59" s="1208"/>
      <c r="AS59" s="1209"/>
      <c r="AT59" s="1208"/>
      <c r="AU59" s="1209"/>
      <c r="AV59" s="1208"/>
      <c r="AW59" s="1209"/>
      <c r="AX59" s="1208"/>
      <c r="AY59" s="1209"/>
      <c r="AZ59" s="1208"/>
      <c r="BA59" s="1209"/>
      <c r="BB59" s="1208"/>
      <c r="BC59" s="1209"/>
      <c r="BD59" s="1208"/>
      <c r="BE59" s="1209"/>
      <c r="BF59" s="1208"/>
      <c r="BG59" s="1209"/>
      <c r="BH59" s="1208"/>
      <c r="BI59" s="1209"/>
      <c r="BJ59" s="1208"/>
      <c r="BK59" s="1209"/>
      <c r="BL59" s="1208"/>
    </row>
    <row r="60" spans="1:65">
      <c r="A60" s="1211"/>
      <c r="B60" s="1208"/>
      <c r="C60" s="1209"/>
      <c r="D60" s="1208"/>
      <c r="E60" s="1209"/>
      <c r="F60" s="1208"/>
      <c r="G60" s="1209"/>
      <c r="H60" s="1208"/>
      <c r="I60" s="1209"/>
      <c r="J60" s="1208"/>
      <c r="K60" s="1209"/>
      <c r="L60" s="1208"/>
      <c r="M60" s="1209"/>
      <c r="N60" s="1208"/>
      <c r="O60" s="1209"/>
      <c r="P60" s="1208"/>
      <c r="Q60" s="1209"/>
      <c r="R60" s="1208"/>
      <c r="S60" s="1209"/>
      <c r="T60" s="1208"/>
      <c r="U60" s="1209"/>
      <c r="V60" s="1208"/>
      <c r="W60" s="1209"/>
      <c r="X60" s="1208"/>
      <c r="Y60" s="1209"/>
      <c r="Z60" s="1208"/>
      <c r="AA60" s="1209"/>
      <c r="AD60" s="1208"/>
      <c r="AE60" s="1209"/>
      <c r="AF60" s="1208"/>
      <c r="AG60" s="1209"/>
      <c r="AH60" s="1208"/>
      <c r="AI60" s="1209"/>
      <c r="AJ60" s="1208"/>
      <c r="AK60" s="1209"/>
      <c r="AL60" s="1208"/>
      <c r="AM60" s="1209"/>
      <c r="AN60" s="1208"/>
      <c r="AO60" s="1209"/>
      <c r="AP60" s="1208"/>
      <c r="AQ60" s="1209"/>
      <c r="AR60" s="1208"/>
      <c r="AS60" s="1209"/>
      <c r="AT60" s="1208"/>
      <c r="AU60" s="1209"/>
      <c r="AV60" s="1208"/>
      <c r="AW60" s="1209"/>
      <c r="AX60" s="1208"/>
      <c r="AY60" s="1209"/>
      <c r="AZ60" s="1208"/>
      <c r="BA60" s="1209"/>
      <c r="BB60" s="1208"/>
      <c r="BC60" s="1209"/>
      <c r="BD60" s="1208"/>
      <c r="BE60" s="1209"/>
      <c r="BF60" s="1208"/>
      <c r="BG60" s="1209"/>
      <c r="BH60" s="1208"/>
      <c r="BI60" s="1209"/>
      <c r="BJ60" s="1208"/>
      <c r="BK60" s="1209"/>
      <c r="BL60" s="1208"/>
    </row>
    <row r="61" spans="1:65">
      <c r="A61" s="1211"/>
      <c r="B61" s="1208"/>
      <c r="C61" s="1209"/>
      <c r="D61" s="1208"/>
      <c r="E61" s="1209"/>
      <c r="F61" s="1208"/>
      <c r="G61" s="1209"/>
      <c r="H61" s="1208"/>
      <c r="I61" s="1209"/>
      <c r="J61" s="1208"/>
      <c r="K61" s="1209"/>
      <c r="L61" s="1208"/>
      <c r="M61" s="1209"/>
      <c r="N61" s="1208"/>
      <c r="O61" s="1209"/>
      <c r="P61" s="1208"/>
      <c r="Q61" s="1209"/>
      <c r="R61" s="1208"/>
      <c r="S61" s="1209"/>
      <c r="T61" s="1208"/>
      <c r="U61" s="1209"/>
      <c r="V61" s="1208"/>
      <c r="W61" s="1209"/>
      <c r="X61" s="1208"/>
      <c r="Y61" s="1209"/>
      <c r="Z61" s="1208"/>
      <c r="AA61" s="1209"/>
      <c r="AD61" s="1208"/>
      <c r="AE61" s="1209"/>
      <c r="AF61" s="1208"/>
      <c r="AG61" s="1209"/>
      <c r="AH61" s="1208"/>
      <c r="AI61" s="1209"/>
      <c r="AJ61" s="1208"/>
      <c r="AK61" s="1209"/>
      <c r="AL61" s="1208"/>
      <c r="AM61" s="1209"/>
      <c r="AN61" s="1208"/>
      <c r="AO61" s="1209"/>
      <c r="AP61" s="1208"/>
      <c r="AQ61" s="1209"/>
      <c r="AR61" s="1208"/>
      <c r="AS61" s="1209"/>
      <c r="AT61" s="1208"/>
      <c r="AU61" s="1209"/>
      <c r="AV61" s="1208"/>
      <c r="AW61" s="1209"/>
      <c r="AX61" s="1208"/>
      <c r="AY61" s="1209"/>
      <c r="AZ61" s="1208"/>
      <c r="BA61" s="1209"/>
      <c r="BB61" s="1208"/>
      <c r="BC61" s="1209"/>
      <c r="BD61" s="1208"/>
      <c r="BE61" s="1209"/>
      <c r="BF61" s="1208"/>
      <c r="BG61" s="1209"/>
      <c r="BH61" s="1208"/>
      <c r="BI61" s="1209"/>
      <c r="BJ61" s="1208"/>
      <c r="BK61" s="1209"/>
      <c r="BL61" s="1208"/>
    </row>
    <row r="62" spans="1:65">
      <c r="A62" s="1211"/>
      <c r="B62" s="1208"/>
      <c r="C62" s="1209"/>
      <c r="D62" s="1208"/>
      <c r="E62" s="1209"/>
      <c r="F62" s="1208"/>
      <c r="G62" s="1209"/>
      <c r="H62" s="1208"/>
      <c r="I62" s="1209"/>
      <c r="J62" s="1208"/>
      <c r="K62" s="1209"/>
      <c r="L62" s="1208"/>
      <c r="M62" s="1209"/>
      <c r="N62" s="1208"/>
      <c r="O62" s="1209"/>
      <c r="P62" s="1208"/>
      <c r="Q62" s="1209"/>
      <c r="R62" s="1208"/>
      <c r="S62" s="1209"/>
      <c r="T62" s="1208"/>
      <c r="U62" s="1209"/>
      <c r="V62" s="1208"/>
      <c r="W62" s="1209"/>
      <c r="X62" s="1208"/>
      <c r="Y62" s="1209"/>
      <c r="Z62" s="1208"/>
      <c r="AA62" s="1209"/>
      <c r="AD62" s="1208"/>
      <c r="AE62" s="1209"/>
      <c r="AF62" s="1208"/>
      <c r="AG62" s="1209"/>
      <c r="AH62" s="1208"/>
      <c r="AI62" s="1209"/>
      <c r="AJ62" s="1208"/>
      <c r="AK62" s="1209"/>
      <c r="AL62" s="1208"/>
      <c r="AM62" s="1209"/>
      <c r="AN62" s="1208"/>
      <c r="AO62" s="1209"/>
      <c r="AP62" s="1208"/>
      <c r="AQ62" s="1209"/>
      <c r="AR62" s="1208"/>
      <c r="AS62" s="1209"/>
      <c r="AT62" s="1208"/>
      <c r="AU62" s="1209"/>
      <c r="AV62" s="1208"/>
      <c r="AW62" s="1209"/>
      <c r="AX62" s="1208"/>
      <c r="AY62" s="1209"/>
      <c r="AZ62" s="1208"/>
      <c r="BA62" s="1209"/>
      <c r="BB62" s="1208"/>
      <c r="BC62" s="1209"/>
      <c r="BD62" s="1208"/>
      <c r="BE62" s="1209"/>
      <c r="BF62" s="1208"/>
      <c r="BG62" s="1209"/>
      <c r="BH62" s="1208"/>
      <c r="BI62" s="1209"/>
      <c r="BJ62" s="1208"/>
      <c r="BK62" s="1209"/>
      <c r="BL62" s="1208"/>
    </row>
    <row r="63" spans="1:65">
      <c r="A63" s="1211"/>
      <c r="B63" s="1208"/>
      <c r="C63" s="1209"/>
      <c r="D63" s="1208"/>
      <c r="E63" s="1209"/>
      <c r="F63" s="1208"/>
      <c r="G63" s="1209"/>
      <c r="H63" s="1208"/>
      <c r="I63" s="1209"/>
      <c r="J63" s="1208"/>
      <c r="K63" s="1209"/>
      <c r="L63" s="1208"/>
      <c r="M63" s="1209"/>
      <c r="N63" s="1208"/>
      <c r="O63" s="1209"/>
      <c r="P63" s="1208"/>
      <c r="Q63" s="1209"/>
      <c r="R63" s="1208"/>
      <c r="S63" s="1209"/>
      <c r="T63" s="1208"/>
      <c r="U63" s="1209"/>
      <c r="V63" s="1208"/>
      <c r="W63" s="1209"/>
      <c r="X63" s="1208"/>
      <c r="Y63" s="1209"/>
      <c r="Z63" s="1208"/>
      <c r="AA63" s="1209"/>
      <c r="AD63" s="1208"/>
      <c r="AE63" s="1209"/>
      <c r="AF63" s="1208"/>
      <c r="AG63" s="1209"/>
      <c r="AH63" s="1208"/>
      <c r="AI63" s="1209"/>
      <c r="AJ63" s="1208"/>
      <c r="AK63" s="1209"/>
      <c r="AL63" s="1208"/>
      <c r="AM63" s="1209"/>
      <c r="AN63" s="1208"/>
      <c r="AO63" s="1209"/>
      <c r="AP63" s="1208"/>
      <c r="AQ63" s="1209"/>
      <c r="AR63" s="1208"/>
      <c r="AS63" s="1209"/>
      <c r="AT63" s="1208"/>
      <c r="AU63" s="1209"/>
      <c r="AV63" s="1208"/>
      <c r="AW63" s="1209"/>
      <c r="AX63" s="1208"/>
      <c r="AY63" s="1209"/>
      <c r="AZ63" s="1208"/>
      <c r="BA63" s="1209"/>
      <c r="BB63" s="1208"/>
      <c r="BC63" s="1209"/>
      <c r="BD63" s="1208"/>
      <c r="BE63" s="1209"/>
      <c r="BF63" s="1208"/>
      <c r="BG63" s="1209"/>
      <c r="BH63" s="1208"/>
      <c r="BI63" s="1209"/>
      <c r="BJ63" s="1208"/>
      <c r="BK63" s="1209"/>
      <c r="BL63" s="1208"/>
      <c r="BM63" s="1212"/>
    </row>
  </sheetData>
  <mergeCells count="36">
    <mergeCell ref="BB1:BC1"/>
    <mergeCell ref="BD1:BE1"/>
    <mergeCell ref="BF1:BM1"/>
    <mergeCell ref="B3:C3"/>
    <mergeCell ref="D3:E3"/>
    <mergeCell ref="F3:G3"/>
    <mergeCell ref="H3:I3"/>
    <mergeCell ref="J3:K3"/>
    <mergeCell ref="L3:S3"/>
    <mergeCell ref="T3:U3"/>
    <mergeCell ref="B1:K1"/>
    <mergeCell ref="L1:U1"/>
    <mergeCell ref="V1:AE1"/>
    <mergeCell ref="AF1:AO1"/>
    <mergeCell ref="AP1:AU1"/>
    <mergeCell ref="AV1:BA1"/>
    <mergeCell ref="AV3:AW3"/>
    <mergeCell ref="V3:W3"/>
    <mergeCell ref="Z3:AA3"/>
    <mergeCell ref="AD3:AE3"/>
    <mergeCell ref="AF3:AG3"/>
    <mergeCell ref="AH3:AI3"/>
    <mergeCell ref="AJ3:AK3"/>
    <mergeCell ref="AL3:AM3"/>
    <mergeCell ref="AN3:AO3"/>
    <mergeCell ref="AP3:AQ3"/>
    <mergeCell ref="AR3:AS3"/>
    <mergeCell ref="AT3:AU3"/>
    <mergeCell ref="BJ3:BK3"/>
    <mergeCell ref="BL3:BM3"/>
    <mergeCell ref="AX3:AY3"/>
    <mergeCell ref="AZ3:BA3"/>
    <mergeCell ref="BB3:BC3"/>
    <mergeCell ref="BD3:BE3"/>
    <mergeCell ref="BF3:BG3"/>
    <mergeCell ref="BH3:BI3"/>
  </mergeCells>
  <printOptions horizontalCentered="1" verticalCentered="1" gridLines="1"/>
  <pageMargins left="0.23622047244094491" right="0.23622047244094491" top="0.74803149606299213" bottom="0.74803149606299213" header="0.31496062992125984" footer="0.31496062992125984"/>
  <pageSetup paperSize="8" fitToWidth="0" orientation="landscape" r:id="rId1"/>
  <headerFooter differentFirst="1">
    <oddFooter>&amp;L&amp;G&amp;R&amp;P/&amp;N</oddFooter>
    <firstHeader>&amp;CNOM DE LA COLLECTIVITE</firstHeader>
    <firstFooter>&amp;L&amp;G&amp;CClassement Fiches Recettes&amp;RMis à jour le ... / ... / ...</first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8D569-574A-47AA-B4B4-05B7F3CFA94E}">
  <dimension ref="A1:BF256"/>
  <sheetViews>
    <sheetView zoomScaleNormal="100" workbookViewId="0">
      <selection activeCell="N94" sqref="N94"/>
    </sheetView>
  </sheetViews>
  <sheetFormatPr baseColWidth="10" defaultRowHeight="15.75"/>
  <cols>
    <col min="1" max="1" width="3" style="52" customWidth="1"/>
    <col min="2" max="2" width="4.140625" style="52" customWidth="1"/>
    <col min="3" max="3" width="13.28515625" style="52" customWidth="1"/>
    <col min="4" max="4" width="21.28515625" style="52" customWidth="1"/>
    <col min="5" max="8" width="13.28515625" style="52" customWidth="1"/>
    <col min="9" max="9" width="17.140625" style="52" customWidth="1"/>
    <col min="10" max="10" width="19" style="52" customWidth="1"/>
    <col min="11" max="12" width="16.7109375" style="52" customWidth="1"/>
    <col min="13" max="13" width="18.28515625" style="52" customWidth="1"/>
    <col min="14" max="16" width="16.7109375" style="52" customWidth="1"/>
    <col min="17" max="21" width="11.42578125" style="52"/>
    <col min="22" max="22" width="13.7109375" style="52" customWidth="1"/>
    <col min="23" max="23" width="21.7109375" style="52" customWidth="1"/>
    <col min="24" max="27" width="13.7109375" style="52" customWidth="1"/>
    <col min="28" max="28" width="16.7109375" style="52" customWidth="1"/>
    <col min="29" max="29" width="18.7109375" style="52" customWidth="1"/>
    <col min="30" max="31" width="16.7109375" style="52" customWidth="1"/>
    <col min="32" max="32" width="18.7109375" style="52" customWidth="1"/>
    <col min="33" max="35" width="16.7109375" style="52" customWidth="1"/>
    <col min="36" max="36" width="11.7109375" style="52" customWidth="1"/>
    <col min="37" max="37" width="14.42578125" style="52" customWidth="1"/>
    <col min="38" max="38" width="13.7109375" style="52" customWidth="1"/>
    <col min="39" max="39" width="21.7109375" style="52" customWidth="1"/>
    <col min="40" max="43" width="13.7109375" style="52" customWidth="1"/>
    <col min="44" max="44" width="16.7109375" style="52" customWidth="1"/>
    <col min="45" max="45" width="18.7109375" style="52" customWidth="1"/>
    <col min="46" max="47" width="16.7109375" style="52" customWidth="1"/>
    <col min="48" max="48" width="18.7109375" style="52" customWidth="1"/>
    <col min="49" max="51" width="16.7109375" style="52" customWidth="1"/>
    <col min="52" max="52" width="11.7109375" style="52" customWidth="1"/>
    <col min="53" max="57" width="11.42578125" style="52"/>
    <col min="58" max="58" width="80.28515625" style="52" customWidth="1"/>
    <col min="59" max="16384" width="11.42578125" style="52"/>
  </cols>
  <sheetData>
    <row r="1" spans="1:58" s="53" customFormat="1" thickTop="1">
      <c r="A1" s="4" t="str">
        <f>ADDRESS(ROW(),COLUMN(),4)</f>
        <v>A1</v>
      </c>
      <c r="B1" s="56"/>
      <c r="C1" s="5" t="str">
        <f t="shared" ref="C1:T1" si="0">SUBSTITUTE(ADDRESS(1,COLUMN(),4),"1","")</f>
        <v>C</v>
      </c>
      <c r="D1" s="5" t="str">
        <f t="shared" si="0"/>
        <v>D</v>
      </c>
      <c r="E1" s="5" t="str">
        <f t="shared" si="0"/>
        <v>E</v>
      </c>
      <c r="F1" s="5" t="str">
        <f t="shared" si="0"/>
        <v>F</v>
      </c>
      <c r="G1" s="5" t="str">
        <f t="shared" si="0"/>
        <v>G</v>
      </c>
      <c r="H1" s="5" t="str">
        <f t="shared" si="0"/>
        <v>H</v>
      </c>
      <c r="I1" s="5" t="str">
        <f t="shared" si="0"/>
        <v>I</v>
      </c>
      <c r="J1" s="5" t="str">
        <f t="shared" si="0"/>
        <v>J</v>
      </c>
      <c r="K1" s="5" t="str">
        <f t="shared" si="0"/>
        <v>K</v>
      </c>
      <c r="L1" s="5" t="str">
        <f t="shared" si="0"/>
        <v>L</v>
      </c>
      <c r="M1" s="5" t="str">
        <f t="shared" si="0"/>
        <v>M</v>
      </c>
      <c r="N1" s="5" t="str">
        <f t="shared" si="0"/>
        <v>N</v>
      </c>
      <c r="O1" s="5" t="str">
        <f t="shared" si="0"/>
        <v>O</v>
      </c>
      <c r="P1" s="5" t="str">
        <f t="shared" si="0"/>
        <v>P</v>
      </c>
      <c r="Q1" s="5" t="str">
        <f t="shared" si="0"/>
        <v>Q</v>
      </c>
      <c r="R1" s="5" t="str">
        <f t="shared" si="0"/>
        <v>R</v>
      </c>
      <c r="S1" s="5" t="str">
        <f t="shared" si="0"/>
        <v>S</v>
      </c>
      <c r="T1" s="5" t="str">
        <f t="shared" si="0"/>
        <v>T</v>
      </c>
      <c r="U1" s="462"/>
      <c r="V1" s="5" t="str">
        <f t="shared" ref="V1:AJ1" si="1">SUBSTITUTE(ADDRESS(1,COLUMN(),4),"1","")</f>
        <v>V</v>
      </c>
      <c r="W1" s="5" t="str">
        <f t="shared" si="1"/>
        <v>W</v>
      </c>
      <c r="X1" s="5" t="str">
        <f t="shared" si="1"/>
        <v>X</v>
      </c>
      <c r="Y1" s="5" t="str">
        <f t="shared" si="1"/>
        <v>Y</v>
      </c>
      <c r="Z1" s="5" t="str">
        <f t="shared" si="1"/>
        <v>Z</v>
      </c>
      <c r="AA1" s="5" t="str">
        <f t="shared" si="1"/>
        <v>AA</v>
      </c>
      <c r="AB1" s="5" t="str">
        <f t="shared" si="1"/>
        <v>AB</v>
      </c>
      <c r="AC1" s="5" t="str">
        <f t="shared" si="1"/>
        <v>AC</v>
      </c>
      <c r="AD1" s="5" t="str">
        <f t="shared" si="1"/>
        <v>AD</v>
      </c>
      <c r="AE1" s="5" t="str">
        <f t="shared" si="1"/>
        <v>AE</v>
      </c>
      <c r="AF1" s="5" t="str">
        <f t="shared" si="1"/>
        <v>AF</v>
      </c>
      <c r="AG1" s="5" t="str">
        <f t="shared" si="1"/>
        <v>AG</v>
      </c>
      <c r="AH1" s="5" t="str">
        <f t="shared" si="1"/>
        <v>AH</v>
      </c>
      <c r="AI1" s="5" t="str">
        <f t="shared" si="1"/>
        <v>AI</v>
      </c>
      <c r="AJ1" s="5" t="str">
        <f t="shared" si="1"/>
        <v>AJ</v>
      </c>
      <c r="AK1" s="104"/>
      <c r="AL1" s="5" t="str">
        <f t="shared" ref="AL1:AZ1" si="2">SUBSTITUTE(ADDRESS(1,COLUMN(),4),"1","")</f>
        <v>AL</v>
      </c>
      <c r="AM1" s="5" t="str">
        <f t="shared" si="2"/>
        <v>AM</v>
      </c>
      <c r="AN1" s="5" t="str">
        <f t="shared" si="2"/>
        <v>AN</v>
      </c>
      <c r="AO1" s="5" t="str">
        <f t="shared" si="2"/>
        <v>AO</v>
      </c>
      <c r="AP1" s="5" t="str">
        <f t="shared" si="2"/>
        <v>AP</v>
      </c>
      <c r="AQ1" s="5" t="str">
        <f t="shared" si="2"/>
        <v>AQ</v>
      </c>
      <c r="AR1" s="5" t="str">
        <f t="shared" si="2"/>
        <v>AR</v>
      </c>
      <c r="AS1" s="5" t="str">
        <f t="shared" si="2"/>
        <v>AS</v>
      </c>
      <c r="AT1" s="5" t="str">
        <f t="shared" si="2"/>
        <v>AT</v>
      </c>
      <c r="AU1" s="5" t="str">
        <f t="shared" si="2"/>
        <v>AU</v>
      </c>
      <c r="AV1" s="5" t="str">
        <f t="shared" si="2"/>
        <v>AV</v>
      </c>
      <c r="AW1" s="5" t="str">
        <f t="shared" si="2"/>
        <v>AW</v>
      </c>
      <c r="AX1" s="5" t="str">
        <f t="shared" si="2"/>
        <v>AX</v>
      </c>
      <c r="AY1" s="5" t="str">
        <f t="shared" si="2"/>
        <v>AY</v>
      </c>
      <c r="AZ1" s="5" t="str">
        <f t="shared" si="2"/>
        <v>AZ</v>
      </c>
      <c r="BA1" s="104"/>
      <c r="BB1" s="104"/>
      <c r="BC1" s="104"/>
      <c r="BD1" s="6">
        <v>1</v>
      </c>
      <c r="BE1" s="7" t="str">
        <f>SUBSTITUTE(ADDRESS(1,COLUMN(),4),"1","")</f>
        <v>BE</v>
      </c>
      <c r="BF1" s="8" t="str">
        <f>SUBSTITUTE(ADDRESS(1,COLUMN(),4),"1","")</f>
        <v>BF</v>
      </c>
    </row>
    <row r="2" spans="1:58" s="53" customFormat="1" ht="15">
      <c r="A2" s="56"/>
      <c r="B2" s="56"/>
      <c r="C2" s="9">
        <f t="shared" ref="C2:AZ2" ca="1" si="3">INDEX(CELL("largeur",C2),1,1)</f>
        <v>13</v>
      </c>
      <c r="D2" s="9">
        <f t="shared" ca="1" si="3"/>
        <v>21</v>
      </c>
      <c r="E2" s="9">
        <f t="shared" ca="1" si="3"/>
        <v>13</v>
      </c>
      <c r="F2" s="9">
        <f t="shared" ca="1" si="3"/>
        <v>13</v>
      </c>
      <c r="G2" s="9">
        <f t="shared" ca="1" si="3"/>
        <v>13</v>
      </c>
      <c r="H2" s="9">
        <f t="shared" ca="1" si="3"/>
        <v>13</v>
      </c>
      <c r="I2" s="9">
        <f t="shared" ca="1" si="3"/>
        <v>16</v>
      </c>
      <c r="J2" s="9">
        <f t="shared" ca="1" si="3"/>
        <v>18</v>
      </c>
      <c r="K2" s="9">
        <f t="shared" ca="1" si="3"/>
        <v>16</v>
      </c>
      <c r="L2" s="9">
        <f t="shared" ca="1" si="3"/>
        <v>16</v>
      </c>
      <c r="M2" s="9">
        <f t="shared" ca="1" si="3"/>
        <v>18</v>
      </c>
      <c r="N2" s="9">
        <f t="shared" ca="1" si="3"/>
        <v>16</v>
      </c>
      <c r="O2" s="9">
        <f t="shared" ca="1" si="3"/>
        <v>16</v>
      </c>
      <c r="P2" s="9">
        <f t="shared" ca="1" si="3"/>
        <v>16</v>
      </c>
      <c r="Q2" s="9">
        <f t="shared" ca="1" si="3"/>
        <v>11</v>
      </c>
      <c r="R2" s="9">
        <f t="shared" ca="1" si="3"/>
        <v>11</v>
      </c>
      <c r="S2" s="9">
        <f t="shared" ca="1" si="3"/>
        <v>11</v>
      </c>
      <c r="T2" s="9">
        <f t="shared" ca="1" si="3"/>
        <v>11</v>
      </c>
      <c r="U2" s="462">
        <f t="shared" ca="1" si="3"/>
        <v>11</v>
      </c>
      <c r="V2" s="9">
        <f t="shared" ca="1" si="3"/>
        <v>13</v>
      </c>
      <c r="W2" s="9">
        <f t="shared" ca="1" si="3"/>
        <v>21</v>
      </c>
      <c r="X2" s="9">
        <f t="shared" ca="1" si="3"/>
        <v>13</v>
      </c>
      <c r="Y2" s="9">
        <f t="shared" ca="1" si="3"/>
        <v>13</v>
      </c>
      <c r="Z2" s="9">
        <f t="shared" ca="1" si="3"/>
        <v>13</v>
      </c>
      <c r="AA2" s="9">
        <f t="shared" ca="1" si="3"/>
        <v>13</v>
      </c>
      <c r="AB2" s="9">
        <f t="shared" ca="1" si="3"/>
        <v>16</v>
      </c>
      <c r="AC2" s="9">
        <f t="shared" ca="1" si="3"/>
        <v>18</v>
      </c>
      <c r="AD2" s="9">
        <f t="shared" ca="1" si="3"/>
        <v>16</v>
      </c>
      <c r="AE2" s="9">
        <f t="shared" ca="1" si="3"/>
        <v>16</v>
      </c>
      <c r="AF2" s="9">
        <f t="shared" ca="1" si="3"/>
        <v>18</v>
      </c>
      <c r="AG2" s="9">
        <f t="shared" ca="1" si="3"/>
        <v>16</v>
      </c>
      <c r="AH2" s="9">
        <f t="shared" ca="1" si="3"/>
        <v>16</v>
      </c>
      <c r="AI2" s="9">
        <f t="shared" ca="1" si="3"/>
        <v>16</v>
      </c>
      <c r="AJ2" s="9">
        <f t="shared" ca="1" si="3"/>
        <v>11</v>
      </c>
      <c r="AK2" s="104">
        <f t="shared" ca="1" si="3"/>
        <v>14</v>
      </c>
      <c r="AL2" s="9">
        <f t="shared" ca="1" si="3"/>
        <v>13</v>
      </c>
      <c r="AM2" s="9">
        <f t="shared" ca="1" si="3"/>
        <v>21</v>
      </c>
      <c r="AN2" s="9">
        <f t="shared" ca="1" si="3"/>
        <v>13</v>
      </c>
      <c r="AO2" s="9">
        <f t="shared" ca="1" si="3"/>
        <v>13</v>
      </c>
      <c r="AP2" s="9">
        <f t="shared" ca="1" si="3"/>
        <v>13</v>
      </c>
      <c r="AQ2" s="9">
        <f t="shared" ca="1" si="3"/>
        <v>13</v>
      </c>
      <c r="AR2" s="9">
        <f t="shared" ca="1" si="3"/>
        <v>16</v>
      </c>
      <c r="AS2" s="9">
        <f t="shared" ca="1" si="3"/>
        <v>18</v>
      </c>
      <c r="AT2" s="9">
        <f t="shared" ca="1" si="3"/>
        <v>16</v>
      </c>
      <c r="AU2" s="9">
        <f t="shared" ca="1" si="3"/>
        <v>16</v>
      </c>
      <c r="AV2" s="9">
        <f t="shared" ca="1" si="3"/>
        <v>18</v>
      </c>
      <c r="AW2" s="9">
        <f t="shared" ca="1" si="3"/>
        <v>16</v>
      </c>
      <c r="AX2" s="9">
        <f t="shared" ca="1" si="3"/>
        <v>16</v>
      </c>
      <c r="AY2" s="9">
        <f t="shared" ca="1" si="3"/>
        <v>16</v>
      </c>
      <c r="AZ2" s="9">
        <f t="shared" ca="1" si="3"/>
        <v>11</v>
      </c>
      <c r="BA2" s="104"/>
      <c r="BB2" s="104"/>
      <c r="BC2" s="104"/>
      <c r="BD2" s="6">
        <v>1</v>
      </c>
      <c r="BE2" s="10" t="s">
        <v>228</v>
      </c>
      <c r="BF2" s="11"/>
    </row>
    <row r="3" spans="1:58" s="53" customFormat="1">
      <c r="A3" s="56"/>
      <c r="B3" s="56"/>
      <c r="C3" s="12">
        <v>13</v>
      </c>
      <c r="D3" s="12">
        <v>21</v>
      </c>
      <c r="E3" s="12">
        <v>13</v>
      </c>
      <c r="F3" s="12">
        <v>13</v>
      </c>
      <c r="G3" s="12">
        <v>13</v>
      </c>
      <c r="H3" s="12">
        <v>13</v>
      </c>
      <c r="I3" s="12">
        <v>16</v>
      </c>
      <c r="J3" s="12">
        <v>18</v>
      </c>
      <c r="K3" s="12">
        <v>16</v>
      </c>
      <c r="L3" s="12">
        <v>16</v>
      </c>
      <c r="M3" s="12">
        <v>18</v>
      </c>
      <c r="N3" s="12">
        <v>16</v>
      </c>
      <c r="O3" s="12">
        <v>16</v>
      </c>
      <c r="P3" s="12">
        <v>16</v>
      </c>
      <c r="Q3" s="12">
        <v>11</v>
      </c>
      <c r="R3" s="12">
        <v>11</v>
      </c>
      <c r="S3" s="12">
        <v>11</v>
      </c>
      <c r="T3" s="12">
        <v>11</v>
      </c>
      <c r="U3" s="462"/>
      <c r="V3" s="12">
        <v>13</v>
      </c>
      <c r="W3" s="12">
        <v>21</v>
      </c>
      <c r="X3" s="12">
        <v>13</v>
      </c>
      <c r="Y3" s="12">
        <v>13</v>
      </c>
      <c r="Z3" s="12">
        <v>13</v>
      </c>
      <c r="AA3" s="12">
        <v>13</v>
      </c>
      <c r="AB3" s="12">
        <v>16</v>
      </c>
      <c r="AC3" s="12">
        <v>18</v>
      </c>
      <c r="AD3" s="12">
        <v>16</v>
      </c>
      <c r="AE3" s="12">
        <v>16</v>
      </c>
      <c r="AF3" s="12">
        <v>18</v>
      </c>
      <c r="AG3" s="12">
        <v>16</v>
      </c>
      <c r="AH3" s="12">
        <v>16</v>
      </c>
      <c r="AI3" s="12">
        <v>16</v>
      </c>
      <c r="AJ3" s="12">
        <v>11</v>
      </c>
      <c r="AK3" s="104"/>
      <c r="AL3" s="12">
        <v>13</v>
      </c>
      <c r="AM3" s="12">
        <v>21</v>
      </c>
      <c r="AN3" s="12">
        <v>13</v>
      </c>
      <c r="AO3" s="12">
        <v>13</v>
      </c>
      <c r="AP3" s="12">
        <v>13</v>
      </c>
      <c r="AQ3" s="12">
        <v>13</v>
      </c>
      <c r="AR3" s="12">
        <v>16</v>
      </c>
      <c r="AS3" s="12">
        <v>18</v>
      </c>
      <c r="AT3" s="12">
        <v>16</v>
      </c>
      <c r="AU3" s="12">
        <v>16</v>
      </c>
      <c r="AV3" s="12">
        <v>18</v>
      </c>
      <c r="AW3" s="12">
        <v>16</v>
      </c>
      <c r="AX3" s="12">
        <v>16</v>
      </c>
      <c r="AY3" s="12">
        <v>16</v>
      </c>
      <c r="AZ3" s="12">
        <v>11</v>
      </c>
      <c r="BA3" s="104"/>
      <c r="BB3" s="104"/>
      <c r="BC3" s="104"/>
      <c r="BD3" s="6">
        <v>1</v>
      </c>
      <c r="BE3" s="13">
        <f ca="1">COUNTA(A1:BD256) + COUNTBLANK(A1:BD256)</f>
        <v>14340</v>
      </c>
      <c r="BF3" s="14" t="str">
        <f>"cellules entre -cells -celdas  "&amp;" " &amp;A1&amp;" et  "&amp;BD256</f>
        <v>cellules entre -cells -celdas   A1 et  BD256</v>
      </c>
    </row>
    <row r="4" spans="1:58" s="53" customFormat="1" ht="21" customHeight="1">
      <c r="A4" s="56"/>
      <c r="B4" s="56"/>
      <c r="C4" s="464" t="s">
        <v>635</v>
      </c>
      <c r="D4" s="56"/>
      <c r="E4" s="56"/>
      <c r="F4" s="56"/>
      <c r="G4" s="56"/>
      <c r="H4" s="56"/>
      <c r="I4" s="56"/>
      <c r="J4" s="56"/>
      <c r="K4" s="56"/>
      <c r="L4" s="56"/>
      <c r="M4" s="56"/>
      <c r="N4" s="56"/>
      <c r="O4" s="56"/>
      <c r="P4" s="56"/>
      <c r="Q4" s="56"/>
      <c r="R4" s="462"/>
      <c r="S4" s="462"/>
      <c r="T4" s="462"/>
      <c r="U4" s="462"/>
      <c r="V4" s="104"/>
      <c r="W4" s="104"/>
      <c r="X4" s="104"/>
      <c r="Y4" s="104"/>
      <c r="Z4" s="104"/>
      <c r="AA4" s="104"/>
      <c r="AB4" s="104"/>
      <c r="AC4" s="104"/>
      <c r="AD4" s="104"/>
      <c r="AE4" s="104"/>
      <c r="AF4" s="104"/>
      <c r="AG4" s="104"/>
      <c r="AH4" s="104"/>
      <c r="AI4" s="104"/>
      <c r="AJ4" s="104"/>
      <c r="AK4" s="104"/>
      <c r="AL4" s="104"/>
      <c r="AM4" s="104"/>
      <c r="AN4" s="104"/>
      <c r="AO4" s="104"/>
      <c r="AP4" s="104"/>
      <c r="AQ4" s="104"/>
      <c r="AR4" s="104"/>
      <c r="AS4" s="104"/>
      <c r="AT4" s="104"/>
      <c r="AU4" s="104"/>
      <c r="AV4" s="104"/>
      <c r="AW4" s="104"/>
      <c r="AX4" s="104"/>
      <c r="AY4" s="104"/>
      <c r="AZ4" s="104"/>
      <c r="BA4" s="104"/>
      <c r="BB4" s="104"/>
      <c r="BC4" s="104"/>
      <c r="BD4" s="6">
        <v>1</v>
      </c>
      <c r="BE4" s="13">
        <f ca="1">COUNTA(A1:BD256)</f>
        <v>1466</v>
      </c>
      <c r="BF4" s="14" t="s">
        <v>229</v>
      </c>
    </row>
    <row r="5" spans="1:58" s="53" customFormat="1" ht="21" customHeight="1">
      <c r="A5" s="56"/>
      <c r="B5" s="56"/>
      <c r="C5" s="15" t="s">
        <v>230</v>
      </c>
      <c r="D5" s="16" t="str">
        <f ca="1">CELL("nomfichier")</f>
        <v>D:\Données\1.UPRT\0-UPRT.fait\1-UPRT.FR-SITE-WEB\ff-fiches-fabrications\ff.fiches.fabrication.2023\ffr-restaurant-2026\[A-detection-controle-allergenes-restauration.xlsx.xlsx]ALLERGENES.9.Aout.2026</v>
      </c>
      <c r="E5" s="56"/>
      <c r="F5" s="56"/>
      <c r="G5" s="56"/>
      <c r="H5" s="56"/>
      <c r="I5" s="56"/>
      <c r="J5" s="56"/>
      <c r="K5" s="56"/>
      <c r="L5" s="56"/>
      <c r="M5" s="56"/>
      <c r="N5" s="56"/>
      <c r="O5" s="56"/>
      <c r="P5" s="56"/>
      <c r="Q5" s="56"/>
      <c r="R5" s="462"/>
      <c r="S5" s="462"/>
      <c r="T5" s="462"/>
      <c r="U5" s="462"/>
      <c r="V5" s="104"/>
      <c r="W5" s="104"/>
      <c r="X5" s="104"/>
      <c r="Y5" s="104"/>
      <c r="Z5" s="104"/>
      <c r="AA5" s="104"/>
      <c r="AB5" s="104"/>
      <c r="AC5" s="104"/>
      <c r="AD5" s="104"/>
      <c r="AE5" s="104"/>
      <c r="AF5" s="104"/>
      <c r="AG5" s="104"/>
      <c r="AH5" s="104"/>
      <c r="AI5" s="104"/>
      <c r="AJ5" s="104"/>
      <c r="AK5" s="104"/>
      <c r="AL5" s="104"/>
      <c r="AM5" s="104"/>
      <c r="AN5" s="104"/>
      <c r="AO5" s="104"/>
      <c r="AP5" s="104"/>
      <c r="AQ5" s="104"/>
      <c r="AR5" s="104"/>
      <c r="AS5" s="104"/>
      <c r="AT5" s="104"/>
      <c r="AU5" s="104"/>
      <c r="AV5" s="104"/>
      <c r="AW5" s="104"/>
      <c r="AX5" s="104"/>
      <c r="AY5" s="104"/>
      <c r="AZ5" s="104"/>
      <c r="BA5" s="104"/>
      <c r="BB5" s="463" t="s">
        <v>634</v>
      </c>
      <c r="BC5" s="4" t="str">
        <f>BD256</f>
        <v>BD256</v>
      </c>
      <c r="BD5" s="6">
        <v>1</v>
      </c>
      <c r="BE5" s="13">
        <f ca="1">COUNTBLANK(A1:BD256)</f>
        <v>12874</v>
      </c>
      <c r="BF5" s="14" t="s">
        <v>231</v>
      </c>
    </row>
    <row r="6" spans="1:58" s="53" customFormat="1" ht="30" customHeight="1">
      <c r="A6" s="56"/>
      <c r="B6" s="56"/>
      <c r="C6" s="455" t="s">
        <v>633</v>
      </c>
      <c r="D6" s="56"/>
      <c r="E6" s="56"/>
      <c r="F6" s="56"/>
      <c r="G6" s="56"/>
      <c r="H6" s="56"/>
      <c r="I6" s="56"/>
      <c r="J6" s="56"/>
      <c r="K6" s="56"/>
      <c r="L6" s="56"/>
      <c r="M6" s="56"/>
      <c r="N6" s="56"/>
      <c r="O6" s="56"/>
      <c r="P6" s="56"/>
      <c r="Q6" s="56"/>
      <c r="R6" s="462"/>
      <c r="S6" s="462"/>
      <c r="T6" s="462"/>
      <c r="U6" s="462"/>
      <c r="V6" s="455" t="s">
        <v>632</v>
      </c>
      <c r="W6" s="104"/>
      <c r="X6" s="104"/>
      <c r="Y6" s="104"/>
      <c r="Z6" s="104"/>
      <c r="AA6" s="104"/>
      <c r="AB6" s="104"/>
      <c r="AC6" s="104"/>
      <c r="AD6" s="104"/>
      <c r="AE6" s="104"/>
      <c r="AF6" s="104"/>
      <c r="AG6" s="104"/>
      <c r="AH6" s="104"/>
      <c r="AI6" s="104"/>
      <c r="AJ6" s="104"/>
      <c r="AK6" s="104"/>
      <c r="AL6" s="455" t="s">
        <v>631</v>
      </c>
      <c r="AM6" s="104"/>
      <c r="AN6" s="104"/>
      <c r="AO6" s="104"/>
      <c r="AP6" s="104"/>
      <c r="AQ6" s="104"/>
      <c r="AR6" s="104"/>
      <c r="AS6" s="104"/>
      <c r="AT6" s="104"/>
      <c r="AU6" s="104"/>
      <c r="AV6" s="104"/>
      <c r="AW6" s="104"/>
      <c r="AX6" s="104"/>
      <c r="AY6" s="104"/>
      <c r="AZ6" s="104"/>
      <c r="BA6" s="104"/>
      <c r="BB6" s="104"/>
      <c r="BC6" s="104"/>
      <c r="BD6" s="6">
        <v>1</v>
      </c>
      <c r="BE6" s="13">
        <f>SUM(BD1:BD242)+2</f>
        <v>238</v>
      </c>
      <c r="BF6" s="14" t="s">
        <v>232</v>
      </c>
    </row>
    <row r="7" spans="1:58" s="53" customFormat="1" ht="30" customHeight="1">
      <c r="A7" s="56"/>
      <c r="B7" s="56"/>
      <c r="C7" s="455" t="s">
        <v>630</v>
      </c>
      <c r="D7" s="462"/>
      <c r="E7" s="462"/>
      <c r="F7" s="462"/>
      <c r="G7" s="462"/>
      <c r="H7" s="462"/>
      <c r="I7" s="462"/>
      <c r="J7" s="462"/>
      <c r="K7" s="462"/>
      <c r="L7" s="462"/>
      <c r="M7" s="462"/>
      <c r="N7" s="462"/>
      <c r="O7" s="462"/>
      <c r="P7" s="462"/>
      <c r="Q7" s="56"/>
      <c r="R7" s="462"/>
      <c r="S7" s="462"/>
      <c r="T7" s="462"/>
      <c r="U7" s="462"/>
      <c r="V7" s="455" t="s">
        <v>629</v>
      </c>
      <c r="W7" s="462"/>
      <c r="X7" s="462"/>
      <c r="Y7" s="462"/>
      <c r="Z7" s="462"/>
      <c r="AA7" s="462"/>
      <c r="AB7" s="462"/>
      <c r="AC7" s="462"/>
      <c r="AD7" s="462"/>
      <c r="AE7" s="462"/>
      <c r="AF7" s="104"/>
      <c r="AG7" s="462"/>
      <c r="AH7" s="462"/>
      <c r="AI7" s="462"/>
      <c r="AJ7" s="462"/>
      <c r="AK7" s="462"/>
      <c r="AL7" s="455" t="s">
        <v>628</v>
      </c>
      <c r="AM7" s="462"/>
      <c r="AN7" s="462"/>
      <c r="AO7" s="462"/>
      <c r="AP7" s="462"/>
      <c r="AQ7" s="462"/>
      <c r="AR7" s="462"/>
      <c r="AS7" s="104"/>
      <c r="AT7" s="104"/>
      <c r="AU7" s="104"/>
      <c r="AV7" s="104"/>
      <c r="AW7" s="104"/>
      <c r="AX7" s="104"/>
      <c r="AY7" s="104"/>
      <c r="AZ7" s="104"/>
      <c r="BA7" s="104"/>
      <c r="BB7" s="104"/>
      <c r="BC7" s="104"/>
      <c r="BD7" s="6">
        <v>1</v>
      </c>
      <c r="BE7" s="13">
        <f>SUM(A256:BC256)+1</f>
        <v>56</v>
      </c>
      <c r="BF7" s="14" t="s">
        <v>235</v>
      </c>
    </row>
    <row r="8" spans="1:58" s="53" customFormat="1" ht="30" customHeight="1">
      <c r="A8" s="56"/>
      <c r="B8" s="56"/>
      <c r="C8" s="455" t="s">
        <v>627</v>
      </c>
      <c r="D8" s="357"/>
      <c r="E8" s="357"/>
      <c r="F8" s="357"/>
      <c r="G8" s="357"/>
      <c r="H8" s="357"/>
      <c r="I8" s="357"/>
      <c r="J8" s="357"/>
      <c r="K8" s="357"/>
      <c r="L8" s="462"/>
      <c r="M8" s="462"/>
      <c r="N8" s="462"/>
      <c r="O8" s="462"/>
      <c r="P8" s="462"/>
      <c r="Q8" s="56"/>
      <c r="R8" s="462"/>
      <c r="S8" s="462"/>
      <c r="T8" s="462"/>
      <c r="U8" s="462"/>
      <c r="V8" s="455" t="s">
        <v>626</v>
      </c>
      <c r="W8" s="357"/>
      <c r="X8" s="357"/>
      <c r="Y8" s="357"/>
      <c r="Z8" s="357"/>
      <c r="AA8" s="357"/>
      <c r="AB8" s="357"/>
      <c r="AC8" s="357"/>
      <c r="AD8" s="357"/>
      <c r="AE8" s="462"/>
      <c r="AF8" s="104"/>
      <c r="AG8" s="462"/>
      <c r="AH8" s="462"/>
      <c r="AI8" s="462"/>
      <c r="AJ8" s="462"/>
      <c r="AK8" s="462"/>
      <c r="AL8" s="455" t="s">
        <v>625</v>
      </c>
      <c r="AM8" s="357"/>
      <c r="AN8" s="357"/>
      <c r="AO8" s="357"/>
      <c r="AP8" s="357"/>
      <c r="AQ8" s="357"/>
      <c r="AR8" s="357"/>
      <c r="AS8" s="104"/>
      <c r="AT8" s="104"/>
      <c r="AU8" s="104"/>
      <c r="AV8" s="104"/>
      <c r="AW8" s="104"/>
      <c r="AX8" s="104"/>
      <c r="AY8" s="104"/>
      <c r="AZ8" s="104"/>
      <c r="BA8" s="104"/>
      <c r="BB8" s="104"/>
      <c r="BC8" s="104"/>
      <c r="BD8" s="6">
        <v>1</v>
      </c>
    </row>
    <row r="9" spans="1:58" s="53" customFormat="1" ht="30" customHeight="1">
      <c r="A9" s="56"/>
      <c r="B9" s="56"/>
      <c r="C9" s="455" t="s">
        <v>624</v>
      </c>
      <c r="D9" s="357"/>
      <c r="E9" s="357"/>
      <c r="F9" s="357"/>
      <c r="G9" s="357"/>
      <c r="H9" s="357"/>
      <c r="I9" s="357"/>
      <c r="J9" s="357"/>
      <c r="K9" s="357"/>
      <c r="L9" s="462"/>
      <c r="M9" s="462"/>
      <c r="N9" s="462"/>
      <c r="O9" s="462"/>
      <c r="P9" s="462"/>
      <c r="Q9" s="462"/>
      <c r="R9" s="462"/>
      <c r="S9" s="462"/>
      <c r="T9" s="462"/>
      <c r="U9" s="462"/>
      <c r="V9" s="455" t="s">
        <v>623</v>
      </c>
      <c r="W9" s="357"/>
      <c r="X9" s="357"/>
      <c r="Y9" s="357"/>
      <c r="Z9" s="357"/>
      <c r="AA9" s="357"/>
      <c r="AB9" s="357"/>
      <c r="AC9" s="357"/>
      <c r="AD9" s="357"/>
      <c r="AE9" s="462"/>
      <c r="AF9" s="104"/>
      <c r="AG9" s="462"/>
      <c r="AH9" s="462"/>
      <c r="AI9" s="462"/>
      <c r="AJ9" s="462"/>
      <c r="AK9" s="462"/>
      <c r="AL9" s="455" t="s">
        <v>622</v>
      </c>
      <c r="AM9" s="357"/>
      <c r="AN9" s="357"/>
      <c r="AO9" s="357"/>
      <c r="AP9" s="357"/>
      <c r="AQ9" s="357"/>
      <c r="AR9" s="357"/>
      <c r="AS9" s="104"/>
      <c r="AT9" s="104"/>
      <c r="AU9" s="104"/>
      <c r="AV9" s="104"/>
      <c r="AW9" s="104"/>
      <c r="AX9" s="104"/>
      <c r="AY9" s="104"/>
      <c r="AZ9" s="104"/>
      <c r="BA9" s="104"/>
      <c r="BB9" s="104"/>
      <c r="BC9" s="104"/>
      <c r="BD9" s="6">
        <v>1</v>
      </c>
    </row>
    <row r="10" spans="1:58" s="53" customFormat="1" ht="30" customHeight="1">
      <c r="A10" s="56"/>
      <c r="B10" s="56"/>
      <c r="C10" s="455"/>
      <c r="D10" s="454"/>
      <c r="E10" s="454"/>
      <c r="F10" s="454"/>
      <c r="G10" s="454"/>
      <c r="H10" s="454"/>
      <c r="I10" s="454"/>
      <c r="J10" s="454"/>
      <c r="K10" s="454"/>
      <c r="L10" s="454"/>
      <c r="M10" s="454"/>
      <c r="N10" s="454"/>
      <c r="O10" s="454"/>
      <c r="P10" s="454"/>
      <c r="Q10" s="454"/>
      <c r="R10" s="454"/>
      <c r="S10" s="454"/>
      <c r="T10" s="454"/>
      <c r="U10" s="454"/>
      <c r="V10" s="455"/>
      <c r="W10" s="454"/>
      <c r="X10" s="454"/>
      <c r="Y10" s="454"/>
      <c r="Z10" s="454"/>
      <c r="AA10" s="454"/>
      <c r="AB10" s="454"/>
      <c r="AC10" s="454"/>
      <c r="AD10" s="454"/>
      <c r="AE10" s="454"/>
      <c r="AF10" s="104"/>
      <c r="AG10" s="454"/>
      <c r="AH10" s="454"/>
      <c r="AI10" s="454"/>
      <c r="AJ10" s="454"/>
      <c r="AK10" s="454"/>
      <c r="AL10" s="455"/>
      <c r="AM10" s="454"/>
      <c r="AN10" s="454"/>
      <c r="AO10" s="454"/>
      <c r="AP10" s="454"/>
      <c r="AQ10" s="454"/>
      <c r="AR10" s="454"/>
      <c r="AS10" s="104"/>
      <c r="AT10" s="104"/>
      <c r="AU10" s="104"/>
      <c r="AV10" s="104"/>
      <c r="AW10" s="104"/>
      <c r="AX10" s="104"/>
      <c r="AY10" s="104"/>
      <c r="AZ10" s="104"/>
      <c r="BA10" s="104"/>
      <c r="BB10" s="104"/>
      <c r="BC10" s="104"/>
      <c r="BD10" s="6">
        <v>1</v>
      </c>
    </row>
    <row r="11" spans="1:58" s="53" customFormat="1" ht="30" customHeight="1">
      <c r="A11" s="56"/>
      <c r="B11" s="56"/>
      <c r="C11" s="455" t="s">
        <v>621</v>
      </c>
      <c r="D11" s="454"/>
      <c r="E11" s="454"/>
      <c r="F11" s="454"/>
      <c r="G11" s="454"/>
      <c r="H11" s="454"/>
      <c r="I11" s="454"/>
      <c r="J11" s="454"/>
      <c r="K11" s="454"/>
      <c r="L11" s="454"/>
      <c r="M11" s="454"/>
      <c r="N11" s="454"/>
      <c r="O11" s="454"/>
      <c r="P11" s="454"/>
      <c r="Q11" s="454"/>
      <c r="R11" s="454"/>
      <c r="S11" s="454"/>
      <c r="T11" s="454"/>
      <c r="U11" s="454"/>
      <c r="V11" s="455" t="s">
        <v>620</v>
      </c>
      <c r="W11" s="454"/>
      <c r="X11" s="454"/>
      <c r="Y11" s="454"/>
      <c r="Z11" s="454"/>
      <c r="AA11" s="454"/>
      <c r="AB11" s="454"/>
      <c r="AC11" s="454"/>
      <c r="AD11" s="454"/>
      <c r="AE11" s="454"/>
      <c r="AF11" s="104"/>
      <c r="AG11" s="454"/>
      <c r="AH11" s="454"/>
      <c r="AI11" s="454"/>
      <c r="AJ11" s="454"/>
      <c r="AK11" s="454"/>
      <c r="AL11" s="455" t="s">
        <v>619</v>
      </c>
      <c r="AM11" s="454"/>
      <c r="AN11" s="454"/>
      <c r="AO11" s="454"/>
      <c r="AP11" s="454"/>
      <c r="AQ11" s="454"/>
      <c r="AR11" s="454"/>
      <c r="AS11" s="104"/>
      <c r="AT11" s="104"/>
      <c r="AU11" s="104"/>
      <c r="AV11" s="104"/>
      <c r="AW11" s="104"/>
      <c r="AX11" s="104"/>
      <c r="AY11" s="104"/>
      <c r="AZ11" s="104"/>
      <c r="BA11" s="104"/>
      <c r="BB11" s="104"/>
      <c r="BC11" s="104"/>
      <c r="BD11" s="6">
        <v>1</v>
      </c>
    </row>
    <row r="12" spans="1:58" s="53" customFormat="1" ht="30" customHeight="1">
      <c r="A12" s="56"/>
      <c r="B12" s="56"/>
      <c r="C12" s="455" t="s">
        <v>618</v>
      </c>
      <c r="D12" s="454"/>
      <c r="E12" s="454"/>
      <c r="F12" s="454"/>
      <c r="G12" s="454"/>
      <c r="H12" s="454"/>
      <c r="I12" s="454"/>
      <c r="J12" s="454"/>
      <c r="K12" s="454"/>
      <c r="L12" s="454"/>
      <c r="M12" s="454"/>
      <c r="N12" s="454"/>
      <c r="O12" s="454"/>
      <c r="P12" s="454"/>
      <c r="Q12" s="454"/>
      <c r="R12" s="454"/>
      <c r="S12" s="454"/>
      <c r="T12" s="454"/>
      <c r="U12" s="454"/>
      <c r="V12" s="455" t="s">
        <v>617</v>
      </c>
      <c r="W12" s="454"/>
      <c r="X12" s="454"/>
      <c r="Y12" s="454"/>
      <c r="Z12" s="454"/>
      <c r="AA12" s="454"/>
      <c r="AB12" s="454"/>
      <c r="AC12" s="454"/>
      <c r="AD12" s="454"/>
      <c r="AE12" s="454"/>
      <c r="AF12" s="104"/>
      <c r="AG12" s="454"/>
      <c r="AH12" s="454"/>
      <c r="AI12" s="454"/>
      <c r="AJ12" s="454"/>
      <c r="AK12" s="454"/>
      <c r="AL12" s="455" t="s">
        <v>616</v>
      </c>
      <c r="AM12" s="454"/>
      <c r="AN12" s="454"/>
      <c r="AO12" s="454"/>
      <c r="AP12" s="454"/>
      <c r="AQ12" s="454"/>
      <c r="AR12" s="454"/>
      <c r="AS12" s="104"/>
      <c r="AT12" s="104"/>
      <c r="AU12" s="104"/>
      <c r="AV12" s="104"/>
      <c r="AW12" s="104"/>
      <c r="AX12" s="104"/>
      <c r="AY12" s="104"/>
      <c r="AZ12" s="104"/>
      <c r="BA12" s="104"/>
      <c r="BB12" s="104"/>
      <c r="BC12" s="104"/>
      <c r="BD12" s="6">
        <v>1</v>
      </c>
    </row>
    <row r="13" spans="1:58" s="53" customFormat="1" ht="30" customHeight="1">
      <c r="A13" s="56"/>
      <c r="B13" s="56"/>
      <c r="C13" s="455"/>
      <c r="D13" s="454"/>
      <c r="E13" s="454"/>
      <c r="F13" s="454"/>
      <c r="G13" s="454"/>
      <c r="H13" s="454"/>
      <c r="I13" s="454"/>
      <c r="J13" s="454"/>
      <c r="K13" s="454"/>
      <c r="L13" s="454"/>
      <c r="M13" s="454"/>
      <c r="N13" s="454"/>
      <c r="O13" s="454"/>
      <c r="P13" s="454"/>
      <c r="Q13" s="454"/>
      <c r="R13" s="454"/>
      <c r="S13" s="454"/>
      <c r="T13" s="454"/>
      <c r="U13" s="454"/>
      <c r="V13" s="455"/>
      <c r="W13" s="454"/>
      <c r="X13" s="454"/>
      <c r="Y13" s="454"/>
      <c r="Z13" s="454"/>
      <c r="AA13" s="454"/>
      <c r="AB13" s="454"/>
      <c r="AC13" s="454"/>
      <c r="AD13" s="454"/>
      <c r="AE13" s="454"/>
      <c r="AF13" s="104"/>
      <c r="AG13" s="454"/>
      <c r="AH13" s="454"/>
      <c r="AI13" s="454"/>
      <c r="AJ13" s="454"/>
      <c r="AK13" s="454"/>
      <c r="AL13" s="455"/>
      <c r="AM13" s="454"/>
      <c r="AN13" s="454"/>
      <c r="AO13" s="454"/>
      <c r="AP13" s="454"/>
      <c r="AQ13" s="454"/>
      <c r="AR13" s="454"/>
      <c r="AS13" s="104"/>
      <c r="AT13" s="104"/>
      <c r="AU13" s="104"/>
      <c r="AV13" s="104"/>
      <c r="AW13" s="104"/>
      <c r="AX13" s="104"/>
      <c r="AY13" s="104"/>
      <c r="AZ13" s="104"/>
      <c r="BA13" s="104"/>
      <c r="BB13" s="104"/>
      <c r="BC13" s="104"/>
      <c r="BD13" s="6">
        <v>1</v>
      </c>
    </row>
    <row r="14" spans="1:58" s="53" customFormat="1" ht="30" customHeight="1">
      <c r="A14" s="56"/>
      <c r="B14" s="56"/>
      <c r="C14" s="455" t="s">
        <v>615</v>
      </c>
      <c r="D14" s="454"/>
      <c r="E14" s="454"/>
      <c r="F14" s="454"/>
      <c r="G14" s="454"/>
      <c r="H14" s="454"/>
      <c r="I14" s="454"/>
      <c r="J14" s="454"/>
      <c r="K14" s="454"/>
      <c r="L14" s="454"/>
      <c r="M14" s="454"/>
      <c r="N14" s="454"/>
      <c r="O14" s="454"/>
      <c r="P14" s="454"/>
      <c r="Q14" s="454"/>
      <c r="R14" s="454"/>
      <c r="S14" s="454"/>
      <c r="T14" s="454"/>
      <c r="U14" s="454"/>
      <c r="V14" s="455" t="s">
        <v>614</v>
      </c>
      <c r="W14" s="454"/>
      <c r="X14" s="454"/>
      <c r="Y14" s="454"/>
      <c r="Z14" s="454"/>
      <c r="AA14" s="454"/>
      <c r="AB14" s="454"/>
      <c r="AC14" s="454"/>
      <c r="AD14" s="454"/>
      <c r="AE14" s="454"/>
      <c r="AF14" s="104"/>
      <c r="AG14" s="454"/>
      <c r="AH14" s="454"/>
      <c r="AI14" s="454"/>
      <c r="AJ14" s="454"/>
      <c r="AK14" s="454"/>
      <c r="AL14" s="455" t="s">
        <v>613</v>
      </c>
      <c r="AM14" s="454"/>
      <c r="AN14" s="454"/>
      <c r="AO14" s="454"/>
      <c r="AP14" s="454"/>
      <c r="AQ14" s="454"/>
      <c r="AR14" s="454"/>
      <c r="AS14" s="104"/>
      <c r="AT14" s="104"/>
      <c r="AU14" s="104"/>
      <c r="AV14" s="104"/>
      <c r="AW14" s="104"/>
      <c r="AX14" s="104"/>
      <c r="AY14" s="104"/>
      <c r="AZ14" s="104"/>
      <c r="BA14" s="104"/>
      <c r="BB14" s="104"/>
      <c r="BC14" s="104"/>
      <c r="BD14" s="6">
        <v>1</v>
      </c>
    </row>
    <row r="15" spans="1:58" s="53" customFormat="1" ht="30" customHeight="1">
      <c r="A15" s="56"/>
      <c r="B15" s="56"/>
      <c r="C15" s="455" t="s">
        <v>612</v>
      </c>
      <c r="D15" s="454"/>
      <c r="E15" s="454"/>
      <c r="F15" s="454"/>
      <c r="G15" s="454"/>
      <c r="H15" s="454"/>
      <c r="I15" s="454"/>
      <c r="J15" s="454"/>
      <c r="K15" s="454"/>
      <c r="L15" s="454"/>
      <c r="M15" s="454"/>
      <c r="N15" s="454"/>
      <c r="O15" s="454"/>
      <c r="P15" s="454"/>
      <c r="Q15" s="454"/>
      <c r="R15" s="454"/>
      <c r="S15" s="454"/>
      <c r="T15" s="454"/>
      <c r="U15" s="454"/>
      <c r="V15" s="455" t="s">
        <v>611</v>
      </c>
      <c r="W15" s="454"/>
      <c r="X15" s="454"/>
      <c r="Y15" s="454"/>
      <c r="Z15" s="454"/>
      <c r="AA15" s="454"/>
      <c r="AB15" s="454"/>
      <c r="AC15" s="454"/>
      <c r="AD15" s="454"/>
      <c r="AE15" s="454"/>
      <c r="AF15" s="104"/>
      <c r="AG15" s="454"/>
      <c r="AH15" s="454"/>
      <c r="AI15" s="454"/>
      <c r="AJ15" s="454"/>
      <c r="AK15" s="454"/>
      <c r="AL15" s="455" t="s">
        <v>610</v>
      </c>
      <c r="AM15" s="454"/>
      <c r="AN15" s="454"/>
      <c r="AO15" s="454"/>
      <c r="AP15" s="454"/>
      <c r="AQ15" s="454"/>
      <c r="AR15" s="454"/>
      <c r="AS15" s="104"/>
      <c r="AT15" s="104"/>
      <c r="AU15" s="104"/>
      <c r="AV15" s="104"/>
      <c r="AW15" s="104"/>
      <c r="AX15" s="104"/>
      <c r="AY15" s="104"/>
      <c r="AZ15" s="104"/>
      <c r="BA15" s="104"/>
      <c r="BB15" s="104"/>
      <c r="BC15" s="104"/>
      <c r="BD15" s="6">
        <v>1</v>
      </c>
    </row>
    <row r="16" spans="1:58" s="53" customFormat="1" ht="30" customHeight="1">
      <c r="A16" s="56"/>
      <c r="B16" s="56"/>
      <c r="C16" s="455"/>
      <c r="D16" s="454"/>
      <c r="E16" s="454"/>
      <c r="F16" s="454"/>
      <c r="G16" s="454"/>
      <c r="H16" s="454"/>
      <c r="I16" s="454"/>
      <c r="J16" s="454"/>
      <c r="K16" s="454"/>
      <c r="L16" s="454"/>
      <c r="M16" s="454"/>
      <c r="N16" s="454"/>
      <c r="O16" s="454"/>
      <c r="P16" s="454"/>
      <c r="Q16" s="454"/>
      <c r="R16" s="454"/>
      <c r="S16" s="454"/>
      <c r="T16" s="454"/>
      <c r="U16" s="454"/>
      <c r="V16" s="455"/>
      <c r="W16" s="454"/>
      <c r="X16" s="454"/>
      <c r="Y16" s="454"/>
      <c r="Z16" s="454"/>
      <c r="AA16" s="454"/>
      <c r="AB16" s="454"/>
      <c r="AC16" s="454"/>
      <c r="AD16" s="454"/>
      <c r="AE16" s="454"/>
      <c r="AF16" s="104"/>
      <c r="AG16" s="454"/>
      <c r="AH16" s="454"/>
      <c r="AI16" s="454"/>
      <c r="AJ16" s="454"/>
      <c r="AK16" s="454"/>
      <c r="AL16" s="455"/>
      <c r="AM16" s="454"/>
      <c r="AN16" s="454"/>
      <c r="AO16" s="454"/>
      <c r="AP16" s="454"/>
      <c r="AQ16" s="454"/>
      <c r="AR16" s="454"/>
      <c r="AS16" s="104"/>
      <c r="AT16" s="104"/>
      <c r="AU16" s="104"/>
      <c r="AV16" s="104"/>
      <c r="AW16" s="104"/>
      <c r="AX16" s="104"/>
      <c r="AY16" s="104"/>
      <c r="AZ16" s="104"/>
      <c r="BA16" s="104"/>
      <c r="BB16" s="104"/>
      <c r="BC16" s="104"/>
      <c r="BD16" s="6">
        <v>1</v>
      </c>
    </row>
    <row r="17" spans="1:56" s="53" customFormat="1" ht="30" customHeight="1">
      <c r="A17" s="56"/>
      <c r="B17" s="56"/>
      <c r="C17" s="455" t="s">
        <v>609</v>
      </c>
      <c r="D17" s="454"/>
      <c r="E17" s="454"/>
      <c r="F17" s="454"/>
      <c r="G17" s="454"/>
      <c r="H17" s="454"/>
      <c r="I17" s="454"/>
      <c r="J17" s="454"/>
      <c r="K17" s="454"/>
      <c r="L17" s="454"/>
      <c r="M17" s="454"/>
      <c r="N17" s="454"/>
      <c r="O17" s="454"/>
      <c r="P17" s="454"/>
      <c r="Q17" s="454"/>
      <c r="R17" s="454"/>
      <c r="S17" s="454"/>
      <c r="T17" s="454"/>
      <c r="U17" s="454"/>
      <c r="V17" s="455" t="s">
        <v>608</v>
      </c>
      <c r="W17" s="454"/>
      <c r="X17" s="454"/>
      <c r="Y17" s="454"/>
      <c r="Z17" s="454"/>
      <c r="AA17" s="454"/>
      <c r="AB17" s="454"/>
      <c r="AC17" s="454"/>
      <c r="AD17" s="454"/>
      <c r="AE17" s="454"/>
      <c r="AF17" s="104"/>
      <c r="AG17" s="454"/>
      <c r="AH17" s="454"/>
      <c r="AI17" s="454"/>
      <c r="AJ17" s="454"/>
      <c r="AK17" s="454"/>
      <c r="AL17" s="455" t="s">
        <v>607</v>
      </c>
      <c r="AM17" s="454"/>
      <c r="AN17" s="454"/>
      <c r="AO17" s="454"/>
      <c r="AP17" s="454"/>
      <c r="AQ17" s="454"/>
      <c r="AR17" s="454"/>
      <c r="AS17" s="104"/>
      <c r="AT17" s="104"/>
      <c r="AU17" s="104"/>
      <c r="AV17" s="104"/>
      <c r="AW17" s="104"/>
      <c r="AX17" s="104"/>
      <c r="AY17" s="104"/>
      <c r="AZ17" s="104"/>
      <c r="BA17" s="104"/>
      <c r="BB17" s="104"/>
      <c r="BC17" s="104"/>
      <c r="BD17" s="6">
        <v>1</v>
      </c>
    </row>
    <row r="18" spans="1:56" s="53" customFormat="1" ht="30" customHeight="1">
      <c r="A18" s="56"/>
      <c r="B18" s="56"/>
      <c r="C18" s="455" t="s">
        <v>606</v>
      </c>
      <c r="D18" s="454"/>
      <c r="E18" s="454"/>
      <c r="F18" s="454"/>
      <c r="G18" s="454"/>
      <c r="H18" s="454"/>
      <c r="I18" s="454"/>
      <c r="J18" s="454"/>
      <c r="K18" s="454"/>
      <c r="L18" s="454"/>
      <c r="M18" s="454"/>
      <c r="N18" s="454"/>
      <c r="O18" s="454"/>
      <c r="P18" s="454"/>
      <c r="Q18" s="454"/>
      <c r="R18" s="454"/>
      <c r="S18" s="454"/>
      <c r="T18" s="454"/>
      <c r="U18" s="454"/>
      <c r="V18" s="455" t="s">
        <v>605</v>
      </c>
      <c r="W18" s="454"/>
      <c r="X18" s="454"/>
      <c r="Y18" s="454"/>
      <c r="Z18" s="454"/>
      <c r="AA18" s="454"/>
      <c r="AB18" s="454"/>
      <c r="AC18" s="454"/>
      <c r="AD18" s="454"/>
      <c r="AE18" s="454"/>
      <c r="AF18" s="104"/>
      <c r="AG18" s="454"/>
      <c r="AH18" s="454"/>
      <c r="AI18" s="454"/>
      <c r="AJ18" s="454"/>
      <c r="AK18" s="454"/>
      <c r="AL18" s="455" t="s">
        <v>604</v>
      </c>
      <c r="AM18" s="454"/>
      <c r="AN18" s="454"/>
      <c r="AO18" s="454"/>
      <c r="AP18" s="454"/>
      <c r="AQ18" s="454"/>
      <c r="AR18" s="454"/>
      <c r="AS18" s="104"/>
      <c r="AT18" s="104"/>
      <c r="AU18" s="104"/>
      <c r="AV18" s="104"/>
      <c r="AW18" s="104"/>
      <c r="AX18" s="104"/>
      <c r="AY18" s="104"/>
      <c r="AZ18" s="104"/>
      <c r="BA18" s="104"/>
      <c r="BB18" s="104"/>
      <c r="BC18" s="104"/>
      <c r="BD18" s="6">
        <v>1</v>
      </c>
    </row>
    <row r="19" spans="1:56" s="53" customFormat="1" ht="30" customHeight="1">
      <c r="A19" s="56"/>
      <c r="B19" s="56"/>
      <c r="C19" s="455"/>
      <c r="D19" s="454"/>
      <c r="E19" s="454"/>
      <c r="F19" s="454"/>
      <c r="G19" s="454"/>
      <c r="H19" s="454"/>
      <c r="I19" s="454"/>
      <c r="J19" s="454"/>
      <c r="K19" s="454"/>
      <c r="L19" s="454"/>
      <c r="M19" s="454"/>
      <c r="N19" s="454"/>
      <c r="O19" s="454"/>
      <c r="P19" s="454"/>
      <c r="Q19" s="454"/>
      <c r="R19" s="454"/>
      <c r="S19" s="454"/>
      <c r="T19" s="454"/>
      <c r="U19" s="454"/>
      <c r="V19" s="455"/>
      <c r="W19" s="454"/>
      <c r="X19" s="454"/>
      <c r="Y19" s="454"/>
      <c r="Z19" s="454"/>
      <c r="AA19" s="454"/>
      <c r="AB19" s="454"/>
      <c r="AC19" s="454"/>
      <c r="AD19" s="454"/>
      <c r="AE19" s="454"/>
      <c r="AF19" s="104"/>
      <c r="AG19" s="454"/>
      <c r="AH19" s="454"/>
      <c r="AI19" s="454"/>
      <c r="AJ19" s="454"/>
      <c r="AK19" s="454"/>
      <c r="AL19" s="455"/>
      <c r="AM19" s="454"/>
      <c r="AN19" s="454"/>
      <c r="AO19" s="454"/>
      <c r="AP19" s="454"/>
      <c r="AQ19" s="454"/>
      <c r="AR19" s="454"/>
      <c r="AS19" s="104"/>
      <c r="AT19" s="104"/>
      <c r="AU19" s="104"/>
      <c r="AV19" s="104"/>
      <c r="AW19" s="104"/>
      <c r="AX19" s="104"/>
      <c r="AY19" s="104"/>
      <c r="AZ19" s="104"/>
      <c r="BA19" s="104"/>
      <c r="BB19" s="104"/>
      <c r="BC19" s="104"/>
      <c r="BD19" s="6">
        <v>1</v>
      </c>
    </row>
    <row r="20" spans="1:56" s="53" customFormat="1" ht="30" customHeight="1">
      <c r="A20" s="56"/>
      <c r="B20" s="56"/>
      <c r="C20" s="460" t="s">
        <v>603</v>
      </c>
      <c r="D20" s="454"/>
      <c r="E20" s="454"/>
      <c r="F20" s="454"/>
      <c r="G20" s="454"/>
      <c r="H20" s="454"/>
      <c r="I20" s="454"/>
      <c r="J20" s="454"/>
      <c r="K20" s="454"/>
      <c r="L20" s="454"/>
      <c r="M20" s="454"/>
      <c r="N20" s="454"/>
      <c r="O20" s="454"/>
      <c r="P20" s="454"/>
      <c r="Q20" s="454"/>
      <c r="R20" s="454"/>
      <c r="S20" s="454"/>
      <c r="T20" s="454"/>
      <c r="U20" s="454"/>
      <c r="V20" s="460" t="s">
        <v>602</v>
      </c>
      <c r="W20" s="454"/>
      <c r="X20" s="454"/>
      <c r="Y20" s="454"/>
      <c r="Z20" s="454"/>
      <c r="AA20" s="454"/>
      <c r="AB20" s="454"/>
      <c r="AC20" s="454"/>
      <c r="AD20" s="454"/>
      <c r="AE20" s="454"/>
      <c r="AF20" s="104"/>
      <c r="AG20" s="454"/>
      <c r="AH20" s="454"/>
      <c r="AI20" s="454"/>
      <c r="AJ20" s="454"/>
      <c r="AK20" s="454"/>
      <c r="AL20" s="460" t="s">
        <v>601</v>
      </c>
      <c r="AM20" s="454"/>
      <c r="AN20" s="454"/>
      <c r="AO20" s="454"/>
      <c r="AP20" s="454"/>
      <c r="AQ20" s="454"/>
      <c r="AR20" s="454"/>
      <c r="AS20" s="104"/>
      <c r="AT20" s="104"/>
      <c r="AU20" s="104"/>
      <c r="AV20" s="104"/>
      <c r="AW20" s="104"/>
      <c r="AX20" s="104"/>
      <c r="AY20" s="104"/>
      <c r="AZ20" s="104"/>
      <c r="BA20" s="104"/>
      <c r="BB20" s="104"/>
      <c r="BC20" s="104"/>
      <c r="BD20" s="6">
        <v>1</v>
      </c>
    </row>
    <row r="21" spans="1:56" s="53" customFormat="1" ht="30" customHeight="1">
      <c r="A21" s="56"/>
      <c r="B21" s="56"/>
      <c r="C21" s="460" t="s">
        <v>600</v>
      </c>
      <c r="D21" s="454"/>
      <c r="E21" s="454"/>
      <c r="F21" s="454"/>
      <c r="G21" s="454"/>
      <c r="H21" s="454"/>
      <c r="I21" s="454"/>
      <c r="J21" s="454"/>
      <c r="K21" s="454"/>
      <c r="L21" s="454"/>
      <c r="M21" s="454"/>
      <c r="N21" s="454"/>
      <c r="O21" s="454"/>
      <c r="P21" s="454"/>
      <c r="Q21" s="454"/>
      <c r="R21" s="454"/>
      <c r="S21" s="454"/>
      <c r="T21" s="454"/>
      <c r="U21" s="454"/>
      <c r="V21" s="460" t="s">
        <v>599</v>
      </c>
      <c r="W21" s="454"/>
      <c r="X21" s="454"/>
      <c r="Y21" s="454"/>
      <c r="Z21" s="454"/>
      <c r="AA21" s="454"/>
      <c r="AB21" s="454"/>
      <c r="AC21" s="454"/>
      <c r="AD21" s="454"/>
      <c r="AE21" s="454"/>
      <c r="AF21" s="104"/>
      <c r="AG21" s="454"/>
      <c r="AH21" s="454"/>
      <c r="AI21" s="454"/>
      <c r="AJ21" s="454"/>
      <c r="AK21" s="454"/>
      <c r="AL21" s="460" t="s">
        <v>598</v>
      </c>
      <c r="AM21" s="454"/>
      <c r="AN21" s="454"/>
      <c r="AO21" s="454"/>
      <c r="AP21" s="454"/>
      <c r="AQ21" s="454"/>
      <c r="AR21" s="454"/>
      <c r="AS21" s="104"/>
      <c r="AT21" s="104"/>
      <c r="AU21" s="104"/>
      <c r="AV21" s="104"/>
      <c r="AW21" s="104"/>
      <c r="AX21" s="104"/>
      <c r="AY21" s="104"/>
      <c r="AZ21" s="104"/>
      <c r="BA21" s="104"/>
      <c r="BB21" s="104"/>
      <c r="BC21" s="104"/>
      <c r="BD21" s="6"/>
    </row>
    <row r="22" spans="1:56" s="53" customFormat="1" ht="30" customHeight="1">
      <c r="A22" s="56"/>
      <c r="B22" s="56"/>
      <c r="C22" s="460" t="s">
        <v>245</v>
      </c>
      <c r="D22" s="454"/>
      <c r="E22" s="454"/>
      <c r="F22" s="454"/>
      <c r="G22" s="454"/>
      <c r="H22" s="454"/>
      <c r="I22" s="454"/>
      <c r="J22" s="454"/>
      <c r="K22" s="454"/>
      <c r="L22" s="454"/>
      <c r="M22" s="454"/>
      <c r="N22" s="454"/>
      <c r="O22" s="454"/>
      <c r="P22" s="454"/>
      <c r="Q22" s="454"/>
      <c r="R22" s="454"/>
      <c r="S22" s="454"/>
      <c r="T22" s="454"/>
      <c r="U22" s="454"/>
      <c r="V22" s="460" t="s">
        <v>597</v>
      </c>
      <c r="W22" s="454"/>
      <c r="X22" s="454"/>
      <c r="Y22" s="454"/>
      <c r="Z22" s="454"/>
      <c r="AA22" s="454"/>
      <c r="AB22" s="454"/>
      <c r="AC22" s="454"/>
      <c r="AD22" s="454"/>
      <c r="AE22" s="454"/>
      <c r="AF22" s="104"/>
      <c r="AG22" s="454"/>
      <c r="AH22" s="454"/>
      <c r="AI22" s="454"/>
      <c r="AJ22" s="454"/>
      <c r="AK22" s="454"/>
      <c r="AL22" s="460" t="s">
        <v>253</v>
      </c>
      <c r="AM22" s="454"/>
      <c r="AN22" s="454"/>
      <c r="AO22" s="454"/>
      <c r="AP22" s="454"/>
      <c r="AQ22" s="454"/>
      <c r="AR22" s="454"/>
      <c r="AS22" s="104"/>
      <c r="AT22" s="104"/>
      <c r="AU22" s="104"/>
      <c r="AV22" s="104"/>
      <c r="AW22" s="104"/>
      <c r="AX22" s="104"/>
      <c r="AY22" s="104"/>
      <c r="AZ22" s="104"/>
      <c r="BA22" s="104"/>
      <c r="BB22" s="104"/>
      <c r="BC22" s="104"/>
      <c r="BD22" s="6"/>
    </row>
    <row r="23" spans="1:56" s="53" customFormat="1" ht="30" customHeight="1">
      <c r="A23" s="56"/>
      <c r="B23" s="56"/>
      <c r="C23" s="460"/>
      <c r="D23" s="454"/>
      <c r="E23" s="454"/>
      <c r="F23" s="454"/>
      <c r="G23" s="454"/>
      <c r="H23" s="454"/>
      <c r="I23" s="454"/>
      <c r="J23" s="454"/>
      <c r="K23" s="454"/>
      <c r="L23" s="454"/>
      <c r="M23" s="454"/>
      <c r="N23" s="454"/>
      <c r="O23" s="454"/>
      <c r="P23" s="454"/>
      <c r="Q23" s="454"/>
      <c r="R23" s="454"/>
      <c r="S23" s="454"/>
      <c r="T23" s="454"/>
      <c r="U23" s="454"/>
      <c r="V23" s="460"/>
      <c r="W23" s="454"/>
      <c r="X23" s="454"/>
      <c r="Y23" s="454"/>
      <c r="Z23" s="454"/>
      <c r="AA23" s="454"/>
      <c r="AB23" s="454"/>
      <c r="AC23" s="454"/>
      <c r="AD23" s="454"/>
      <c r="AE23" s="454"/>
      <c r="AF23" s="104"/>
      <c r="AG23" s="454"/>
      <c r="AH23" s="454"/>
      <c r="AI23" s="454"/>
      <c r="AJ23" s="454"/>
      <c r="AK23" s="454"/>
      <c r="AL23" s="460"/>
      <c r="AM23" s="454"/>
      <c r="AN23" s="454"/>
      <c r="AO23" s="454"/>
      <c r="AP23" s="454"/>
      <c r="AQ23" s="454"/>
      <c r="AR23" s="454"/>
      <c r="AS23" s="104"/>
      <c r="AT23" s="104"/>
      <c r="AU23" s="104"/>
      <c r="AV23" s="104"/>
      <c r="AW23" s="104"/>
      <c r="AX23" s="104"/>
      <c r="AY23" s="104"/>
      <c r="AZ23" s="104"/>
      <c r="BA23" s="104"/>
      <c r="BB23" s="104"/>
      <c r="BC23" s="104"/>
      <c r="BD23" s="6"/>
    </row>
    <row r="24" spans="1:56" s="53" customFormat="1" ht="30" customHeight="1">
      <c r="A24" s="56"/>
      <c r="B24" s="56"/>
      <c r="C24" s="460" t="s">
        <v>251</v>
      </c>
      <c r="D24" s="454"/>
      <c r="E24" s="454"/>
      <c r="F24" s="454"/>
      <c r="G24" s="454"/>
      <c r="H24" s="454"/>
      <c r="I24" s="454"/>
      <c r="J24" s="454"/>
      <c r="K24" s="454"/>
      <c r="L24" s="454"/>
      <c r="M24" s="454"/>
      <c r="N24" s="454"/>
      <c r="O24" s="454"/>
      <c r="P24" s="454"/>
      <c r="Q24" s="454"/>
      <c r="R24" s="454"/>
      <c r="S24" s="454"/>
      <c r="T24" s="454"/>
      <c r="U24" s="454"/>
      <c r="V24" s="460" t="s">
        <v>596</v>
      </c>
      <c r="W24" s="454"/>
      <c r="X24" s="454"/>
      <c r="Y24" s="454"/>
      <c r="Z24" s="454"/>
      <c r="AA24" s="454"/>
      <c r="AB24" s="454"/>
      <c r="AC24" s="454"/>
      <c r="AD24" s="454"/>
      <c r="AE24" s="454"/>
      <c r="AF24" s="104"/>
      <c r="AG24" s="454"/>
      <c r="AH24" s="454"/>
      <c r="AI24" s="454"/>
      <c r="AJ24" s="454"/>
      <c r="AK24" s="454"/>
      <c r="AL24" s="460" t="s">
        <v>255</v>
      </c>
      <c r="AM24" s="454"/>
      <c r="AN24" s="454"/>
      <c r="AO24" s="454"/>
      <c r="AP24" s="454"/>
      <c r="AQ24" s="454"/>
      <c r="AR24" s="454"/>
      <c r="AS24" s="104"/>
      <c r="AT24" s="104"/>
      <c r="AU24" s="104"/>
      <c r="AV24" s="104"/>
      <c r="AW24" s="104"/>
      <c r="AX24" s="104"/>
      <c r="AY24" s="104"/>
      <c r="AZ24" s="104"/>
      <c r="BA24" s="104"/>
      <c r="BB24" s="104"/>
      <c r="BC24" s="104"/>
      <c r="BD24" s="6"/>
    </row>
    <row r="25" spans="1:56" s="53" customFormat="1" ht="30" customHeight="1">
      <c r="A25" s="56"/>
      <c r="B25" s="56"/>
      <c r="C25" s="460" t="s">
        <v>595</v>
      </c>
      <c r="D25" s="454"/>
      <c r="E25" s="454"/>
      <c r="F25" s="454"/>
      <c r="G25" s="454"/>
      <c r="H25" s="454"/>
      <c r="I25" s="454"/>
      <c r="J25" s="454"/>
      <c r="K25" s="454"/>
      <c r="L25" s="454"/>
      <c r="M25" s="454"/>
      <c r="N25" s="454"/>
      <c r="O25" s="454"/>
      <c r="P25" s="454"/>
      <c r="Q25" s="454"/>
      <c r="R25" s="454"/>
      <c r="S25" s="454"/>
      <c r="T25" s="454"/>
      <c r="U25" s="454"/>
      <c r="V25" s="460" t="s">
        <v>594</v>
      </c>
      <c r="W25" s="454"/>
      <c r="X25" s="454"/>
      <c r="Y25" s="454"/>
      <c r="Z25" s="454"/>
      <c r="AA25" s="454"/>
      <c r="AB25" s="454"/>
      <c r="AC25" s="454"/>
      <c r="AD25" s="454"/>
      <c r="AE25" s="454"/>
      <c r="AF25" s="104"/>
      <c r="AG25" s="454"/>
      <c r="AH25" s="454"/>
      <c r="AI25" s="454"/>
      <c r="AJ25" s="454"/>
      <c r="AK25" s="454"/>
      <c r="AL25" s="460" t="s">
        <v>256</v>
      </c>
      <c r="AM25" s="454"/>
      <c r="AN25" s="454"/>
      <c r="AO25" s="454"/>
      <c r="AP25" s="454"/>
      <c r="AQ25" s="454"/>
      <c r="AR25" s="454"/>
      <c r="AS25" s="104"/>
      <c r="AT25" s="104"/>
      <c r="AU25" s="104"/>
      <c r="AV25" s="104"/>
      <c r="AW25" s="104"/>
      <c r="AX25" s="104"/>
      <c r="AY25" s="104"/>
      <c r="AZ25" s="104"/>
      <c r="BA25" s="104"/>
      <c r="BB25" s="104"/>
      <c r="BC25" s="104"/>
      <c r="BD25" s="6"/>
    </row>
    <row r="26" spans="1:56" s="53" customFormat="1" ht="30" customHeight="1">
      <c r="A26" s="56"/>
      <c r="B26" s="56"/>
      <c r="C26" s="460"/>
      <c r="D26" s="454"/>
      <c r="E26" s="454"/>
      <c r="F26" s="454"/>
      <c r="G26" s="454"/>
      <c r="H26" s="454"/>
      <c r="I26" s="454"/>
      <c r="J26" s="454"/>
      <c r="K26" s="454"/>
      <c r="L26" s="454"/>
      <c r="M26" s="454"/>
      <c r="N26" s="454"/>
      <c r="O26" s="454"/>
      <c r="P26" s="454"/>
      <c r="Q26" s="454"/>
      <c r="R26" s="454"/>
      <c r="S26" s="454"/>
      <c r="T26" s="454"/>
      <c r="U26" s="454"/>
      <c r="V26" s="455"/>
      <c r="W26" s="454"/>
      <c r="X26" s="454"/>
      <c r="Y26" s="454"/>
      <c r="Z26" s="454"/>
      <c r="AA26" s="454"/>
      <c r="AB26" s="454"/>
      <c r="AC26" s="454"/>
      <c r="AD26" s="454"/>
      <c r="AE26" s="454"/>
      <c r="AF26" s="104"/>
      <c r="AG26" s="454"/>
      <c r="AH26" s="454"/>
      <c r="AI26" s="454"/>
      <c r="AJ26" s="454"/>
      <c r="AK26" s="454"/>
      <c r="AL26" s="455"/>
      <c r="AM26" s="454"/>
      <c r="AN26" s="454"/>
      <c r="AO26" s="454"/>
      <c r="AP26" s="454"/>
      <c r="AQ26" s="454"/>
      <c r="AR26" s="454"/>
      <c r="AS26" s="104"/>
      <c r="AT26" s="104"/>
      <c r="AU26" s="104"/>
      <c r="AV26" s="104"/>
      <c r="AW26" s="104"/>
      <c r="AX26" s="104"/>
      <c r="AY26" s="104"/>
      <c r="AZ26" s="104"/>
      <c r="BA26" s="104"/>
      <c r="BB26" s="104"/>
      <c r="BC26" s="104"/>
      <c r="BD26" s="6"/>
    </row>
    <row r="27" spans="1:56" s="53" customFormat="1" ht="30" customHeight="1">
      <c r="A27" s="56"/>
      <c r="B27" s="56"/>
      <c r="C27" s="455" t="s">
        <v>593</v>
      </c>
      <c r="D27" s="454"/>
      <c r="E27" s="454"/>
      <c r="F27" s="454"/>
      <c r="G27" s="454"/>
      <c r="H27" s="454"/>
      <c r="I27" s="454"/>
      <c r="J27" s="454"/>
      <c r="K27" s="454"/>
      <c r="L27" s="454"/>
      <c r="M27" s="454"/>
      <c r="N27" s="454"/>
      <c r="O27" s="454"/>
      <c r="P27" s="454"/>
      <c r="Q27" s="454"/>
      <c r="R27" s="454"/>
      <c r="S27" s="454"/>
      <c r="T27" s="454"/>
      <c r="U27" s="454"/>
      <c r="V27" s="455" t="s">
        <v>592</v>
      </c>
      <c r="W27" s="454"/>
      <c r="X27" s="454"/>
      <c r="Y27" s="454"/>
      <c r="Z27" s="454"/>
      <c r="AA27" s="454"/>
      <c r="AB27" s="454"/>
      <c r="AC27" s="454"/>
      <c r="AD27" s="454"/>
      <c r="AE27" s="454"/>
      <c r="AF27" s="104"/>
      <c r="AG27" s="454"/>
      <c r="AH27" s="454"/>
      <c r="AI27" s="454"/>
      <c r="AJ27" s="454"/>
      <c r="AK27" s="454"/>
      <c r="AL27" s="455" t="s">
        <v>591</v>
      </c>
      <c r="AM27" s="454"/>
      <c r="AN27" s="454"/>
      <c r="AO27" s="454"/>
      <c r="AP27" s="454"/>
      <c r="AQ27" s="454"/>
      <c r="AR27" s="454"/>
      <c r="AS27" s="104"/>
      <c r="AT27" s="104"/>
      <c r="AU27" s="104"/>
      <c r="AV27" s="104"/>
      <c r="AW27" s="104"/>
      <c r="AX27" s="104"/>
      <c r="AY27" s="104"/>
      <c r="AZ27" s="104"/>
      <c r="BA27" s="104"/>
      <c r="BB27" s="104"/>
      <c r="BC27" s="104"/>
      <c r="BD27" s="6">
        <v>1</v>
      </c>
    </row>
    <row r="28" spans="1:56" s="53" customFormat="1" ht="30" customHeight="1">
      <c r="A28" s="56"/>
      <c r="B28" s="56"/>
      <c r="C28" s="455"/>
      <c r="D28" s="454"/>
      <c r="E28" s="454"/>
      <c r="F28" s="454"/>
      <c r="G28" s="454"/>
      <c r="H28" s="454"/>
      <c r="I28" s="454"/>
      <c r="J28" s="454"/>
      <c r="K28" s="454"/>
      <c r="L28" s="454"/>
      <c r="M28" s="454"/>
      <c r="N28" s="454"/>
      <c r="O28" s="454"/>
      <c r="P28" s="454"/>
      <c r="Q28" s="454"/>
      <c r="R28" s="454"/>
      <c r="S28" s="454"/>
      <c r="T28" s="454"/>
      <c r="U28" s="454"/>
      <c r="V28" s="455"/>
      <c r="W28" s="454"/>
      <c r="X28" s="454"/>
      <c r="Y28" s="454"/>
      <c r="Z28" s="454"/>
      <c r="AA28" s="454"/>
      <c r="AB28" s="454"/>
      <c r="AC28" s="454"/>
      <c r="AD28" s="454"/>
      <c r="AE28" s="454"/>
      <c r="AF28" s="104"/>
      <c r="AG28" s="454"/>
      <c r="AH28" s="454"/>
      <c r="AI28" s="454"/>
      <c r="AJ28" s="454"/>
      <c r="AK28" s="454"/>
      <c r="AL28" s="455"/>
      <c r="AM28" s="454"/>
      <c r="AN28" s="454"/>
      <c r="AO28" s="454"/>
      <c r="AP28" s="454"/>
      <c r="AQ28" s="454"/>
      <c r="AR28" s="454"/>
      <c r="AS28" s="104"/>
      <c r="AT28" s="104"/>
      <c r="AU28" s="104"/>
      <c r="AV28" s="104"/>
      <c r="AW28" s="104"/>
      <c r="AX28" s="104"/>
      <c r="AY28" s="104"/>
      <c r="AZ28" s="104"/>
      <c r="BA28" s="104"/>
      <c r="BB28" s="104"/>
      <c r="BC28" s="104"/>
      <c r="BD28" s="6">
        <v>1</v>
      </c>
    </row>
    <row r="29" spans="1:56" s="53" customFormat="1" ht="21" customHeight="1">
      <c r="A29" s="56"/>
      <c r="B29" s="56"/>
      <c r="C29" s="461" t="s">
        <v>230</v>
      </c>
      <c r="D29" s="456" t="str">
        <f ca="1">CELL("nomfichier")</f>
        <v>D:\Données\1.UPRT\0-UPRT.fait\1-UPRT.FR-SITE-WEB\ff-fiches-fabrications\ff.fiches.fabrication.2023\ffr-restaurant-2026\[A-detection-controle-allergenes-restauration.xlsx.xlsx]ALLERGENES.9.Aout.2026</v>
      </c>
      <c r="E29" s="454"/>
      <c r="F29" s="454"/>
      <c r="G29" s="454"/>
      <c r="H29" s="454"/>
      <c r="I29" s="454"/>
      <c r="J29" s="454"/>
      <c r="K29" s="454"/>
      <c r="L29" s="454"/>
      <c r="M29" s="454"/>
      <c r="N29" s="454"/>
      <c r="O29" s="454"/>
      <c r="P29" s="454"/>
      <c r="Q29" s="454"/>
      <c r="R29" s="454"/>
      <c r="S29" s="454"/>
      <c r="T29" s="454"/>
      <c r="U29" s="454"/>
      <c r="V29" s="455"/>
      <c r="W29" s="454"/>
      <c r="X29" s="454"/>
      <c r="Y29" s="454"/>
      <c r="Z29" s="454"/>
      <c r="AA29" s="454"/>
      <c r="AB29" s="454"/>
      <c r="AC29" s="454"/>
      <c r="AD29" s="454"/>
      <c r="AE29" s="454"/>
      <c r="AF29" s="104"/>
      <c r="AG29" s="454"/>
      <c r="AH29" s="454"/>
      <c r="AI29" s="454"/>
      <c r="AJ29" s="454"/>
      <c r="AK29" s="454"/>
      <c r="AL29" s="455"/>
      <c r="AM29" s="454"/>
      <c r="AN29" s="454"/>
      <c r="AO29" s="454"/>
      <c r="AP29" s="454"/>
      <c r="AQ29" s="454"/>
      <c r="AR29" s="454"/>
      <c r="AS29" s="104"/>
      <c r="AT29" s="104"/>
      <c r="AU29" s="104"/>
      <c r="AV29" s="104"/>
      <c r="AW29" s="104"/>
      <c r="AX29" s="104"/>
      <c r="AY29" s="104"/>
      <c r="AZ29" s="104"/>
      <c r="BA29" s="104"/>
      <c r="BB29" s="104"/>
      <c r="BC29" s="104"/>
      <c r="BD29" s="6">
        <v>1</v>
      </c>
    </row>
    <row r="30" spans="1:56" s="53" customFormat="1" ht="21" customHeight="1">
      <c r="A30" s="56"/>
      <c r="B30" s="56"/>
      <c r="C30" s="456"/>
      <c r="D30" s="456"/>
      <c r="E30" s="454"/>
      <c r="F30" s="454"/>
      <c r="G30" s="454"/>
      <c r="H30" s="454"/>
      <c r="I30" s="454"/>
      <c r="J30" s="454"/>
      <c r="K30" s="454"/>
      <c r="L30" s="454"/>
      <c r="M30" s="454"/>
      <c r="N30" s="454"/>
      <c r="O30" s="454"/>
      <c r="P30" s="454"/>
      <c r="Q30" s="454"/>
      <c r="R30" s="454"/>
      <c r="S30" s="454"/>
      <c r="T30" s="454"/>
      <c r="U30" s="454"/>
      <c r="V30" s="460"/>
      <c r="W30" s="454"/>
      <c r="X30" s="454"/>
      <c r="Y30" s="454"/>
      <c r="Z30" s="454"/>
      <c r="AA30" s="454"/>
      <c r="AB30" s="454"/>
      <c r="AC30" s="454"/>
      <c r="AD30" s="454"/>
      <c r="AE30" s="454"/>
      <c r="AF30" s="104"/>
      <c r="AG30" s="454"/>
      <c r="AH30" s="454"/>
      <c r="AI30" s="454"/>
      <c r="AJ30" s="454"/>
      <c r="AK30" s="454"/>
      <c r="AL30" s="460"/>
      <c r="AM30" s="454"/>
      <c r="AN30" s="454"/>
      <c r="AO30" s="454"/>
      <c r="AP30" s="454"/>
      <c r="AQ30" s="454"/>
      <c r="AR30" s="454"/>
      <c r="AS30" s="104"/>
      <c r="AT30" s="104"/>
      <c r="AU30" s="104"/>
      <c r="AV30" s="104"/>
      <c r="AW30" s="104"/>
      <c r="AX30" s="104"/>
      <c r="AY30" s="104"/>
      <c r="AZ30" s="104"/>
      <c r="BA30" s="104"/>
      <c r="BB30" s="104"/>
      <c r="BC30" s="104"/>
      <c r="BD30" s="6">
        <v>1</v>
      </c>
    </row>
    <row r="31" spans="1:56" s="53" customFormat="1" ht="21" customHeight="1">
      <c r="A31" s="56"/>
      <c r="B31" s="56"/>
      <c r="C31" s="459"/>
      <c r="D31" s="456"/>
      <c r="E31" s="454"/>
      <c r="F31" s="454"/>
      <c r="G31" s="454"/>
      <c r="H31" s="454"/>
      <c r="I31" s="458" t="s">
        <v>590</v>
      </c>
      <c r="J31" s="457" t="s">
        <v>589</v>
      </c>
      <c r="K31" s="454"/>
      <c r="L31" s="454"/>
      <c r="M31" s="454"/>
      <c r="N31" s="454"/>
      <c r="O31" s="454"/>
      <c r="P31" s="454"/>
      <c r="Q31" s="454"/>
      <c r="R31" s="454"/>
      <c r="S31" s="454"/>
      <c r="T31" s="454"/>
      <c r="U31" s="454"/>
      <c r="V31" s="455"/>
      <c r="W31" s="454"/>
      <c r="X31" s="454"/>
      <c r="Y31" s="454"/>
      <c r="Z31" s="454"/>
      <c r="AA31" s="454"/>
      <c r="AB31" s="454"/>
      <c r="AC31" s="454"/>
      <c r="AD31" s="454"/>
      <c r="AE31" s="454"/>
      <c r="AF31" s="104"/>
      <c r="AG31" s="454"/>
      <c r="AH31" s="454"/>
      <c r="AI31" s="454"/>
      <c r="AJ31" s="454"/>
      <c r="AK31" s="454"/>
      <c r="AL31" s="455"/>
      <c r="AM31" s="454"/>
      <c r="AN31" s="454"/>
      <c r="AO31" s="454"/>
      <c r="AP31" s="454"/>
      <c r="AQ31" s="454"/>
      <c r="AR31" s="454"/>
      <c r="AS31" s="104"/>
      <c r="AT31" s="104"/>
      <c r="AU31" s="104"/>
      <c r="AV31" s="104"/>
      <c r="AW31" s="104"/>
      <c r="AX31" s="104"/>
      <c r="AY31" s="104"/>
      <c r="AZ31" s="104"/>
      <c r="BA31" s="104"/>
      <c r="BB31" s="104"/>
      <c r="BC31" s="104"/>
      <c r="BD31" s="6">
        <v>1</v>
      </c>
    </row>
    <row r="32" spans="1:56" s="53" customFormat="1" ht="21" customHeight="1">
      <c r="A32" s="56"/>
      <c r="B32" s="56"/>
      <c r="C32" s="456"/>
      <c r="D32" s="456"/>
      <c r="E32" s="454"/>
      <c r="F32" s="454"/>
      <c r="G32" s="454"/>
      <c r="H32" s="454"/>
      <c r="I32" s="454"/>
      <c r="J32" s="454"/>
      <c r="K32" s="454"/>
      <c r="L32" s="454"/>
      <c r="M32" s="454"/>
      <c r="N32" s="454"/>
      <c r="O32" s="454"/>
      <c r="P32" s="454"/>
      <c r="Q32" s="454"/>
      <c r="R32" s="454"/>
      <c r="S32" s="454"/>
      <c r="T32" s="454"/>
      <c r="U32" s="454"/>
      <c r="V32" s="455"/>
      <c r="W32" s="454"/>
      <c r="X32" s="454"/>
      <c r="Y32" s="454"/>
      <c r="Z32" s="454"/>
      <c r="AA32" s="454"/>
      <c r="AB32" s="454"/>
      <c r="AC32" s="454"/>
      <c r="AD32" s="454"/>
      <c r="AE32" s="454"/>
      <c r="AF32" s="104"/>
      <c r="AG32" s="454"/>
      <c r="AH32" s="454"/>
      <c r="AI32" s="454"/>
      <c r="AJ32" s="454"/>
      <c r="AK32" s="454"/>
      <c r="AL32" s="455"/>
      <c r="AM32" s="454"/>
      <c r="AN32" s="454"/>
      <c r="AO32" s="454"/>
      <c r="AP32" s="454"/>
      <c r="AQ32" s="454"/>
      <c r="AR32" s="454"/>
      <c r="AS32" s="104"/>
      <c r="AT32" s="104"/>
      <c r="AU32" s="104"/>
      <c r="AV32" s="104"/>
      <c r="AW32" s="104"/>
      <c r="AX32" s="104"/>
      <c r="AY32" s="104"/>
      <c r="AZ32" s="104"/>
      <c r="BA32" s="104"/>
      <c r="BB32" s="104"/>
      <c r="BC32" s="104"/>
      <c r="BD32" s="6">
        <v>1</v>
      </c>
    </row>
    <row r="33" spans="1:58" s="53" customFormat="1" ht="21" customHeight="1">
      <c r="A33" s="56">
        <v>1</v>
      </c>
      <c r="B33" s="56"/>
      <c r="C33" s="455" t="s">
        <v>588</v>
      </c>
      <c r="D33" s="454"/>
      <c r="E33" s="454"/>
      <c r="F33" s="454"/>
      <c r="G33" s="454"/>
      <c r="H33" s="454"/>
      <c r="I33" s="454"/>
      <c r="J33" s="454"/>
      <c r="K33" s="454"/>
      <c r="L33" s="454"/>
      <c r="M33" s="454"/>
      <c r="N33" s="454"/>
      <c r="O33" s="454"/>
      <c r="P33" s="454"/>
      <c r="Q33" s="454"/>
      <c r="R33" s="454"/>
      <c r="S33" s="454"/>
      <c r="T33" s="454"/>
      <c r="U33" s="454"/>
      <c r="V33" s="455"/>
      <c r="W33" s="454"/>
      <c r="X33" s="454"/>
      <c r="Y33" s="454"/>
      <c r="Z33" s="454"/>
      <c r="AA33" s="454"/>
      <c r="AB33" s="454"/>
      <c r="AC33" s="454"/>
      <c r="AD33" s="454"/>
      <c r="AE33" s="454"/>
      <c r="AF33" s="104"/>
      <c r="AG33" s="454"/>
      <c r="AH33" s="454"/>
      <c r="AI33" s="454"/>
      <c r="AJ33" s="454"/>
      <c r="AK33" s="454"/>
      <c r="AL33" s="455"/>
      <c r="AM33" s="454"/>
      <c r="AN33" s="454"/>
      <c r="AO33" s="454"/>
      <c r="AP33" s="454"/>
      <c r="AQ33" s="454"/>
      <c r="AR33" s="454"/>
      <c r="AS33" s="104"/>
      <c r="AT33" s="104"/>
      <c r="AU33" s="104"/>
      <c r="AV33" s="104"/>
      <c r="AW33" s="104"/>
      <c r="AX33" s="104"/>
      <c r="AY33" s="104"/>
      <c r="AZ33" s="104"/>
      <c r="BA33" s="104"/>
      <c r="BB33" s="104"/>
      <c r="BC33" s="104"/>
      <c r="BD33" s="6">
        <v>1</v>
      </c>
    </row>
    <row r="34" spans="1:58" s="53" customFormat="1" ht="21" customHeight="1">
      <c r="A34" s="56"/>
      <c r="B34" s="56"/>
      <c r="C34" s="455"/>
      <c r="D34" s="455" t="s">
        <v>587</v>
      </c>
      <c r="E34" s="454"/>
      <c r="F34" s="454"/>
      <c r="G34" s="454"/>
      <c r="H34" s="454"/>
      <c r="I34" s="454"/>
      <c r="J34" s="454"/>
      <c r="K34" s="454"/>
      <c r="L34" s="454"/>
      <c r="M34" s="454"/>
      <c r="N34" s="454"/>
      <c r="O34" s="454"/>
      <c r="P34" s="454"/>
      <c r="Q34" s="454"/>
      <c r="R34" s="454"/>
      <c r="S34" s="454"/>
      <c r="T34" s="454"/>
      <c r="U34" s="454"/>
      <c r="V34" s="455"/>
      <c r="W34" s="454"/>
      <c r="X34" s="454"/>
      <c r="Y34" s="454"/>
      <c r="Z34" s="454"/>
      <c r="AA34" s="454"/>
      <c r="AB34" s="454"/>
      <c r="AC34" s="454"/>
      <c r="AD34" s="454"/>
      <c r="AE34" s="454"/>
      <c r="AF34" s="104"/>
      <c r="AG34" s="454"/>
      <c r="AH34" s="454"/>
      <c r="AI34" s="454"/>
      <c r="AJ34" s="454"/>
      <c r="AK34" s="454"/>
      <c r="AL34" s="455"/>
      <c r="AM34" s="454"/>
      <c r="AN34" s="454"/>
      <c r="AO34" s="454"/>
      <c r="AP34" s="454"/>
      <c r="AQ34" s="454"/>
      <c r="AR34" s="454"/>
      <c r="AS34" s="104"/>
      <c r="AT34" s="104"/>
      <c r="AU34" s="104"/>
      <c r="AV34" s="104"/>
      <c r="AW34" s="104"/>
      <c r="AX34" s="104"/>
      <c r="AY34" s="104"/>
      <c r="AZ34" s="104"/>
      <c r="BA34" s="104"/>
      <c r="BB34" s="104"/>
      <c r="BC34" s="104"/>
      <c r="BD34" s="6">
        <v>1</v>
      </c>
    </row>
    <row r="35" spans="1:58" ht="21" customHeight="1">
      <c r="A35" s="56">
        <v>1</v>
      </c>
      <c r="B35" s="56">
        <v>1</v>
      </c>
      <c r="C35" s="453" t="s">
        <v>586</v>
      </c>
      <c r="D35" s="56"/>
      <c r="E35" s="56"/>
      <c r="F35" s="56"/>
      <c r="G35" s="56"/>
      <c r="H35" s="56"/>
      <c r="I35" s="56"/>
      <c r="J35" s="56"/>
      <c r="K35" s="56"/>
      <c r="L35" s="56"/>
      <c r="M35" s="56"/>
      <c r="N35" s="56"/>
      <c r="O35" s="56"/>
      <c r="P35" s="56"/>
      <c r="Q35" s="56"/>
      <c r="R35" s="56">
        <v>1</v>
      </c>
      <c r="S35" s="56">
        <v>1</v>
      </c>
      <c r="T35" s="56"/>
      <c r="U35" s="56"/>
      <c r="V35" s="1538"/>
      <c r="W35" s="1538"/>
      <c r="X35" s="1538"/>
      <c r="Y35" s="1538"/>
      <c r="Z35" s="454"/>
      <c r="AA35" s="454"/>
      <c r="AB35" s="454"/>
      <c r="AC35" s="454"/>
      <c r="AD35" s="454"/>
      <c r="AE35" s="454"/>
      <c r="AF35" s="104"/>
      <c r="AG35" s="454"/>
      <c r="AH35" s="454"/>
      <c r="AI35" s="454"/>
      <c r="AJ35" s="454"/>
      <c r="AK35" s="454"/>
      <c r="AL35" s="1538"/>
      <c r="AM35" s="1538"/>
      <c r="AN35" s="1538"/>
      <c r="AO35" s="1538"/>
      <c r="AP35" s="454"/>
      <c r="AQ35" s="454"/>
      <c r="AR35" s="454"/>
      <c r="AS35" s="200"/>
      <c r="AT35" s="200"/>
      <c r="AU35" s="200"/>
      <c r="AV35" s="200"/>
      <c r="AW35" s="200"/>
      <c r="AX35" s="200"/>
      <c r="AY35" s="200"/>
      <c r="AZ35" s="200"/>
      <c r="BA35" s="200"/>
      <c r="BB35" s="200"/>
      <c r="BC35" s="200"/>
      <c r="BD35" s="6">
        <v>1</v>
      </c>
      <c r="BE35" s="53"/>
      <c r="BF35" s="53"/>
    </row>
    <row r="36" spans="1:58" ht="21" customHeight="1">
      <c r="A36" s="56"/>
      <c r="B36" s="56"/>
      <c r="C36" s="453" t="s">
        <v>585</v>
      </c>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6">
        <v>1</v>
      </c>
      <c r="BE36" s="53"/>
      <c r="BF36" s="53"/>
    </row>
    <row r="37" spans="1:58" ht="21" customHeight="1">
      <c r="A37" s="56"/>
      <c r="B37" s="56"/>
      <c r="C37" s="453" t="s">
        <v>584</v>
      </c>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6">
        <v>1</v>
      </c>
      <c r="BE37" s="53"/>
      <c r="BF37" s="53"/>
    </row>
    <row r="38" spans="1:58" ht="21" customHeight="1">
      <c r="A38" s="56"/>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6">
        <v>1</v>
      </c>
      <c r="BE38" s="53"/>
      <c r="BF38" s="53"/>
    </row>
    <row r="39" spans="1:58" ht="21" customHeight="1">
      <c r="B39" s="452" t="s">
        <v>401</v>
      </c>
      <c r="C39" s="328" t="s">
        <v>583</v>
      </c>
      <c r="F39" s="328"/>
      <c r="G39" s="328"/>
      <c r="H39" s="328"/>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6">
        <v>1</v>
      </c>
      <c r="BE39" s="53"/>
      <c r="BF39" s="53"/>
    </row>
    <row r="40" spans="1:58" ht="21" customHeight="1" thickBot="1">
      <c r="B40" s="56">
        <v>1</v>
      </c>
      <c r="C40" s="56">
        <v>1</v>
      </c>
      <c r="D40" s="56">
        <v>1</v>
      </c>
      <c r="E40" s="56">
        <v>1</v>
      </c>
      <c r="F40" s="56">
        <v>1</v>
      </c>
      <c r="G40" s="56">
        <v>1</v>
      </c>
      <c r="H40" s="56">
        <v>1</v>
      </c>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6">
        <v>1</v>
      </c>
      <c r="BE40" s="53"/>
      <c r="BF40" s="53"/>
    </row>
    <row r="41" spans="1:58" ht="21" customHeight="1">
      <c r="B41" s="1539" t="s">
        <v>401</v>
      </c>
      <c r="C41" s="1541" t="s">
        <v>582</v>
      </c>
      <c r="D41" s="1541"/>
      <c r="E41" s="1541"/>
      <c r="F41" s="1541"/>
      <c r="G41" s="1541"/>
      <c r="H41" s="1542"/>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6">
        <v>1</v>
      </c>
      <c r="BE41" s="53"/>
      <c r="BF41" s="53"/>
    </row>
    <row r="42" spans="1:58" ht="21" customHeight="1">
      <c r="B42" s="1540"/>
      <c r="D42" s="200"/>
      <c r="E42" s="200"/>
      <c r="F42" s="200"/>
      <c r="G42" s="200"/>
      <c r="H42" s="364"/>
      <c r="I42" s="56"/>
      <c r="J42" s="56"/>
      <c r="K42" s="56"/>
      <c r="L42" s="56"/>
      <c r="M42" s="56"/>
      <c r="N42" s="180" t="s">
        <v>581</v>
      </c>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6">
        <v>1</v>
      </c>
      <c r="BE42" s="53"/>
      <c r="BF42" s="53"/>
    </row>
    <row r="43" spans="1:58" ht="21" customHeight="1">
      <c r="B43" s="1543" t="str">
        <f>C41</f>
        <v>Quelques liens hypertexte internes exemple de formules</v>
      </c>
      <c r="C43" s="451" t="str">
        <f>ADDRESS(ROW(),COLUMN(),4)</f>
        <v>C43</v>
      </c>
      <c r="D43" s="450" t="str">
        <f>_xlfn.UNICHAR(128269)</f>
        <v>🔍</v>
      </c>
      <c r="E43" s="200" t="str">
        <f ca="1">_xlfn.FORMULATEXT(D43)</f>
        <v>=UNICAR(128269)</v>
      </c>
      <c r="F43" s="200"/>
      <c r="G43" s="200"/>
      <c r="H43" s="364"/>
      <c r="I43" s="56"/>
      <c r="J43" s="56">
        <v>1</v>
      </c>
      <c r="K43" s="56"/>
      <c r="L43" s="56"/>
      <c r="M43" s="56"/>
      <c r="N43" s="180" t="s">
        <v>580</v>
      </c>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6">
        <v>1</v>
      </c>
      <c r="BE43" s="53"/>
      <c r="BF43" s="53"/>
    </row>
    <row r="44" spans="1:58" ht="21" customHeight="1">
      <c r="B44" s="1543"/>
      <c r="C44" s="200" t="s">
        <v>579</v>
      </c>
      <c r="D44" s="450"/>
      <c r="E44" s="200"/>
      <c r="F44" s="200"/>
      <c r="G44" s="200"/>
      <c r="H44" s="364"/>
      <c r="I44" s="56"/>
      <c r="J44" s="56">
        <v>1</v>
      </c>
      <c r="K44" s="56"/>
      <c r="L44" s="56"/>
      <c r="M44" s="56"/>
      <c r="N44" s="180" t="s">
        <v>578</v>
      </c>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6">
        <v>1</v>
      </c>
      <c r="BE44" s="53"/>
      <c r="BF44" s="53"/>
    </row>
    <row r="45" spans="1:58" ht="21" customHeight="1">
      <c r="B45" s="1543"/>
      <c r="C45" s="200" t="s">
        <v>577</v>
      </c>
      <c r="D45" s="450"/>
      <c r="E45" s="200"/>
      <c r="F45" s="200"/>
      <c r="G45" s="200"/>
      <c r="H45" s="364"/>
      <c r="I45" s="56"/>
      <c r="J45" s="56">
        <v>1</v>
      </c>
      <c r="K45" s="56"/>
      <c r="L45" s="56"/>
      <c r="M45" s="56"/>
      <c r="N45" s="284" t="s">
        <v>576</v>
      </c>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6">
        <v>1</v>
      </c>
      <c r="BE45" s="53"/>
      <c r="BF45" s="53"/>
    </row>
    <row r="46" spans="1:58" ht="21" customHeight="1">
      <c r="B46" s="1543"/>
      <c r="C46" s="192" t="s">
        <v>575</v>
      </c>
      <c r="D46" s="450"/>
      <c r="E46" s="200"/>
      <c r="F46" s="200"/>
      <c r="G46" s="200"/>
      <c r="H46" s="364"/>
      <c r="I46" s="56"/>
      <c r="J46" s="56">
        <v>1</v>
      </c>
      <c r="K46" s="56"/>
      <c r="L46" s="56"/>
      <c r="M46" s="56"/>
      <c r="N46" s="180" t="s">
        <v>574</v>
      </c>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6">
        <v>1</v>
      </c>
      <c r="BE46" s="53"/>
      <c r="BF46" s="53"/>
    </row>
    <row r="47" spans="1:58" ht="21" customHeight="1">
      <c r="B47" s="1543"/>
      <c r="C47" s="192"/>
      <c r="D47" s="450"/>
      <c r="E47" s="200"/>
      <c r="F47" s="200"/>
      <c r="G47" s="200"/>
      <c r="H47" s="364"/>
      <c r="I47" s="56"/>
      <c r="J47" s="56">
        <v>1</v>
      </c>
      <c r="K47" s="56"/>
      <c r="L47" s="56"/>
      <c r="M47" s="56"/>
      <c r="N47" s="180" t="s">
        <v>573</v>
      </c>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6">
        <v>1</v>
      </c>
      <c r="BE47" s="53"/>
      <c r="BF47" s="53"/>
    </row>
    <row r="48" spans="1:58" ht="21" customHeight="1">
      <c r="B48" s="1543"/>
      <c r="C48" s="1545" t="s">
        <v>572</v>
      </c>
      <c r="D48" s="1545"/>
      <c r="E48" s="1545"/>
      <c r="F48" s="1545"/>
      <c r="G48" s="1545"/>
      <c r="H48" s="1546"/>
      <c r="I48" s="56"/>
      <c r="J48" s="56">
        <v>1</v>
      </c>
      <c r="K48" s="56">
        <v>1</v>
      </c>
      <c r="L48" s="56">
        <v>1</v>
      </c>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6">
        <v>1</v>
      </c>
      <c r="BE48" s="53"/>
      <c r="BF48" s="53"/>
    </row>
    <row r="49" spans="2:58" ht="21" customHeight="1">
      <c r="B49" s="1543"/>
      <c r="C49" s="1545"/>
      <c r="D49" s="1545"/>
      <c r="E49" s="1545"/>
      <c r="F49" s="1545"/>
      <c r="G49" s="1545"/>
      <c r="H49" s="1546"/>
      <c r="I49" s="56"/>
      <c r="J49" s="56">
        <v>1</v>
      </c>
      <c r="K49" s="56">
        <v>1</v>
      </c>
      <c r="L49" s="56">
        <v>1</v>
      </c>
      <c r="M49" s="56"/>
      <c r="N49" s="442" t="s">
        <v>571</v>
      </c>
      <c r="O49" s="434"/>
      <c r="P49" s="449" t="s">
        <v>570</v>
      </c>
      <c r="Q49" s="434"/>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6">
        <v>1</v>
      </c>
      <c r="BE49" s="53"/>
      <c r="BF49" s="53"/>
    </row>
    <row r="50" spans="2:58" ht="21" customHeight="1">
      <c r="B50" s="1543"/>
      <c r="C50" s="448" t="s">
        <v>569</v>
      </c>
      <c r="D50" s="200"/>
      <c r="E50" s="200" t="s">
        <v>568</v>
      </c>
      <c r="F50" s="200"/>
      <c r="G50" s="200"/>
      <c r="H50" s="364"/>
      <c r="I50" s="56"/>
      <c r="J50" s="56">
        <v>1</v>
      </c>
      <c r="K50" s="56">
        <v>1</v>
      </c>
      <c r="L50" s="56">
        <v>1</v>
      </c>
      <c r="M50" s="56"/>
      <c r="N50" s="443" t="s">
        <v>567</v>
      </c>
      <c r="O50" s="443" t="s">
        <v>299</v>
      </c>
      <c r="P50" s="443" t="s">
        <v>566</v>
      </c>
      <c r="Q50" s="434" t="s">
        <v>480</v>
      </c>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6">
        <v>1</v>
      </c>
    </row>
    <row r="51" spans="2:58" ht="21" customHeight="1">
      <c r="B51" s="1543"/>
      <c r="C51" s="447" t="str">
        <f>HYPERLINK("#"&amp;ADDRESS(ROW(C43),COLUMN(C43),4))</f>
        <v>#C43</v>
      </c>
      <c r="D51" s="446" t="str">
        <f ca="1">_xlfn.FORMULATEXT(C51)</f>
        <v>=LIEN_HYPERTEXTE("#"&amp;ADRESSE(LIGNE(C43);COLONNE(C43);4))</v>
      </c>
      <c r="E51" s="446"/>
      <c r="F51" s="446"/>
      <c r="G51" s="446"/>
      <c r="H51" s="445"/>
      <c r="I51" s="56"/>
      <c r="J51" s="56">
        <v>1</v>
      </c>
      <c r="K51" s="56">
        <v>1</v>
      </c>
      <c r="L51" s="56">
        <v>1</v>
      </c>
      <c r="M51" s="56"/>
      <c r="N51" s="434" t="s">
        <v>565</v>
      </c>
      <c r="O51" s="434" t="s">
        <v>564</v>
      </c>
      <c r="P51" s="444" t="str">
        <f>N51 &amp; " " &amp; O51</f>
        <v>Robert Spière</v>
      </c>
      <c r="Q51" s="436" t="str">
        <f ca="1">_xlfn.FORMULATEXT(P51)</f>
        <v>=N51 &amp; " " &amp; O51</v>
      </c>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6">
        <v>1</v>
      </c>
    </row>
    <row r="52" spans="2:58" ht="21" customHeight="1">
      <c r="B52" s="1543"/>
      <c r="C52" s="414"/>
      <c r="D52" s="446"/>
      <c r="E52" s="446"/>
      <c r="F52" s="446"/>
      <c r="G52" s="446"/>
      <c r="H52" s="445"/>
      <c r="I52" s="56"/>
      <c r="J52" s="56">
        <v>1</v>
      </c>
      <c r="K52" s="56">
        <v>1</v>
      </c>
      <c r="L52" s="56">
        <v>1</v>
      </c>
      <c r="M52" s="56"/>
      <c r="N52" s="434" t="s">
        <v>563</v>
      </c>
      <c r="O52" s="434" t="s">
        <v>562</v>
      </c>
      <c r="P52" s="444" t="str">
        <f>_xlfn.CONCAT(N52," ",O52)</f>
        <v>Guillaume Tell</v>
      </c>
      <c r="Q52" s="436" t="str">
        <f ca="1">_xlfn.FORMULATEXT(P52)</f>
        <v>=CONCAT(N52;" ";O52)</v>
      </c>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6">
        <v>1</v>
      </c>
    </row>
    <row r="53" spans="2:58" ht="21" customHeight="1">
      <c r="B53" s="1543"/>
      <c r="C53" s="414"/>
      <c r="D53" s="200"/>
      <c r="E53" s="200"/>
      <c r="F53" s="200"/>
      <c r="G53" s="200"/>
      <c r="H53" s="364"/>
      <c r="I53" s="56"/>
      <c r="J53" s="56">
        <v>1</v>
      </c>
      <c r="K53" s="56">
        <v>1</v>
      </c>
      <c r="L53" s="56">
        <v>1</v>
      </c>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6">
        <v>1</v>
      </c>
    </row>
    <row r="54" spans="2:58" ht="21" customHeight="1">
      <c r="B54" s="1543"/>
      <c r="C54" s="439" t="str">
        <f>HYPERLINK("#"&amp;ADDRESS(ROW(C43),COLUMN(C43),4)," 🔗 Lien")</f>
        <v xml:space="preserve"> 🔗 Lien</v>
      </c>
      <c r="D54" s="1547" t="str">
        <f ca="1">_xlfn.FORMULATEXT(C54)</f>
        <v>=LIEN_HYPERTEXTE("#"&amp;ADRESSE(LIGNE(C43);COLONNE(C43);4);" 🔗 Lien")</v>
      </c>
      <c r="E54" s="1547"/>
      <c r="F54" s="1547"/>
      <c r="G54" s="1547"/>
      <c r="H54" s="1548"/>
      <c r="I54" s="56"/>
      <c r="J54" s="56">
        <v>1</v>
      </c>
      <c r="K54" s="56">
        <v>1</v>
      </c>
      <c r="L54" s="56">
        <v>1</v>
      </c>
      <c r="M54" s="56"/>
      <c r="N54" s="443" t="s">
        <v>561</v>
      </c>
      <c r="O54" s="442" t="s">
        <v>560</v>
      </c>
      <c r="P54" s="441"/>
      <c r="Q54" s="434" t="s">
        <v>480</v>
      </c>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6">
        <v>1</v>
      </c>
    </row>
    <row r="55" spans="2:58" ht="21" customHeight="1">
      <c r="B55" s="1543"/>
      <c r="C55" s="414"/>
      <c r="D55" s="1547"/>
      <c r="E55" s="1547"/>
      <c r="F55" s="1547"/>
      <c r="G55" s="1547"/>
      <c r="H55" s="1548"/>
      <c r="I55" s="56"/>
      <c r="J55" s="56">
        <v>1</v>
      </c>
      <c r="K55" s="56">
        <v>1</v>
      </c>
      <c r="L55" s="56">
        <v>1</v>
      </c>
      <c r="M55" s="56"/>
      <c r="N55" s="434" t="s">
        <v>558</v>
      </c>
      <c r="O55" s="440" t="str">
        <f>LEFT(N55,SEARCH(" ",N55)-1)</f>
        <v>Guillaume</v>
      </c>
      <c r="P55" s="436" t="s">
        <v>559</v>
      </c>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6">
        <v>1</v>
      </c>
    </row>
    <row r="56" spans="2:58" ht="21" customHeight="1">
      <c r="B56" s="1543"/>
      <c r="C56" s="414"/>
      <c r="D56" s="428"/>
      <c r="E56" s="428"/>
      <c r="F56" s="428"/>
      <c r="G56" s="428"/>
      <c r="H56" s="427"/>
      <c r="I56" s="56"/>
      <c r="J56" s="56">
        <v>1</v>
      </c>
      <c r="K56" s="56">
        <v>1</v>
      </c>
      <c r="L56" s="56">
        <v>1</v>
      </c>
      <c r="M56" s="56"/>
      <c r="N56" s="434" t="s">
        <v>558</v>
      </c>
      <c r="O56" s="440" t="str">
        <f>RIGHT(N56,LEN(N56)-SEARCH(" ",N56))</f>
        <v>Tell</v>
      </c>
      <c r="P56" s="436" t="str">
        <f ca="1">_xlfn.FORMULATEXT(O56)</f>
        <v>=DROITE(N56;NBCAR(N56)-CHERCHE(" ";N56))</v>
      </c>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6">
        <v>1</v>
      </c>
    </row>
    <row r="57" spans="2:58" ht="21" customHeight="1">
      <c r="B57" s="1543"/>
      <c r="C57" s="439" t="str">
        <f>HYPERLINK("#"&amp;ADDRESS(ROW(C43),COLUMN(C43),4)," 🔗 ICI")</f>
        <v xml:space="preserve"> 🔗 ICI</v>
      </c>
      <c r="D57" s="1549" t="str">
        <f ca="1">_xlfn.FORMULATEXT(C57)</f>
        <v>=LIEN_HYPERTEXTE("#"&amp;ADRESSE(LIGNE(C43);COLONNE(C43);4);" 🔗 ICI")</v>
      </c>
      <c r="E57" s="1549"/>
      <c r="F57" s="1549"/>
      <c r="G57" s="1549"/>
      <c r="H57" s="1550"/>
      <c r="I57" s="56"/>
      <c r="J57" s="56">
        <v>1</v>
      </c>
      <c r="K57" s="56">
        <v>1</v>
      </c>
      <c r="L57" s="56">
        <v>1</v>
      </c>
      <c r="M57" s="56"/>
      <c r="N57" s="438" t="s">
        <v>557</v>
      </c>
      <c r="O57" s="437" t="str">
        <f>LEFT(N57,SEARCH(",",N57)-1)</f>
        <v>Guillaume</v>
      </c>
      <c r="P57" s="436" t="str">
        <f ca="1">_xlfn.FORMULATEXT(O57)</f>
        <v>=GAUCHE(N57;CHERCHE(",";N57)-1)</v>
      </c>
      <c r="Q57" s="436"/>
      <c r="R57" s="434"/>
      <c r="S57" s="434"/>
      <c r="T57" s="434"/>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6">
        <v>1</v>
      </c>
    </row>
    <row r="58" spans="2:58" ht="21" customHeight="1">
      <c r="B58" s="1543"/>
      <c r="C58" s="414"/>
      <c r="D58" s="1549"/>
      <c r="E58" s="1549"/>
      <c r="F58" s="1549"/>
      <c r="G58" s="1549"/>
      <c r="H58" s="1550"/>
      <c r="I58" s="56"/>
      <c r="J58" s="56">
        <v>1</v>
      </c>
      <c r="K58" s="56">
        <v>1</v>
      </c>
      <c r="L58" s="56">
        <v>1</v>
      </c>
      <c r="M58" s="56"/>
      <c r="N58" s="56">
        <v>1</v>
      </c>
      <c r="O58" s="437" t="str">
        <f>RIGHT(N57,LEN(N57)-SEARCH(",",N57))</f>
        <v>Tell</v>
      </c>
      <c r="P58" s="436" t="str">
        <f ca="1">_xlfn.FORMULATEXT(O58)</f>
        <v>=DROITE(N57;NBCAR(N57)-CHERCHE(",";N57))</v>
      </c>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6">
        <v>1</v>
      </c>
    </row>
    <row r="59" spans="2:58" ht="21" customHeight="1">
      <c r="B59" s="1543"/>
      <c r="C59" s="414"/>
      <c r="D59" s="436"/>
      <c r="E59" s="436"/>
      <c r="F59" s="436"/>
      <c r="G59" s="436"/>
      <c r="H59" s="435"/>
      <c r="I59" s="56"/>
      <c r="J59" s="56"/>
      <c r="K59" s="56"/>
      <c r="L59" s="56"/>
      <c r="M59" s="56"/>
      <c r="N59" s="56">
        <v>1</v>
      </c>
      <c r="O59" s="434" t="s">
        <v>556</v>
      </c>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6">
        <v>1</v>
      </c>
    </row>
    <row r="60" spans="2:58" ht="21" customHeight="1">
      <c r="B60" s="1543"/>
      <c r="C60" s="426" t="str">
        <f>HYPERLINK("#"&amp;ADDRESS(ROW(C43),COLUMN(C43),4)," 🔗 "&amp;ADDRESS(ROW(C43),COLUMN(C43),4))</f>
        <v xml:space="preserve"> 🔗 C43</v>
      </c>
      <c r="D60" s="1549" t="str">
        <f ca="1">_xlfn.FORMULATEXT(C60)</f>
        <v>=LIEN_HYPERTEXTE("#"&amp;ADRESSE(LIGNE(C43);COLONNE(C43);4);" 🔗 "&amp;ADRESSE(LIGNE(C43);COLONNE(C43);4))</v>
      </c>
      <c r="E60" s="1549"/>
      <c r="F60" s="1549"/>
      <c r="G60" s="1549"/>
      <c r="H60" s="1550"/>
      <c r="I60" s="56"/>
      <c r="J60" s="56"/>
      <c r="K60" s="56"/>
      <c r="L60" s="56"/>
      <c r="M60" s="56"/>
      <c r="O60" s="56"/>
      <c r="P60" s="432"/>
      <c r="Q60" s="433" t="s">
        <v>555</v>
      </c>
      <c r="R60" s="411" t="s">
        <v>554</v>
      </c>
      <c r="S60" s="432"/>
      <c r="T60" s="432"/>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6">
        <v>1</v>
      </c>
    </row>
    <row r="61" spans="2:58" ht="21" customHeight="1">
      <c r="B61" s="1543"/>
      <c r="C61" s="414"/>
      <c r="D61" s="1549"/>
      <c r="E61" s="1549"/>
      <c r="F61" s="1549"/>
      <c r="G61" s="1549"/>
      <c r="H61" s="1550"/>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6">
        <v>1</v>
      </c>
    </row>
    <row r="62" spans="2:58" ht="21" customHeight="1" thickBot="1">
      <c r="B62" s="1543"/>
      <c r="C62" s="414"/>
      <c r="D62" s="200"/>
      <c r="E62" s="200"/>
      <c r="F62" s="200"/>
      <c r="G62" s="200"/>
      <c r="H62" s="364"/>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6">
        <v>1</v>
      </c>
    </row>
    <row r="63" spans="2:58" ht="21" customHeight="1">
      <c r="B63" s="1543"/>
      <c r="C63" s="426" t="str">
        <f>HYPERLINK("#"&amp;ADDRESS(ROW(C43),COLUMN(C43),4),"◀"&amp;ADDRESS(ROW(C43),COLUMN(C43),4))</f>
        <v>◀C43</v>
      </c>
      <c r="D63" s="1551" t="str">
        <f ca="1">_xlfn.FORMULATEXT(C63)</f>
        <v>=LIEN_HYPERTEXTE("#"&amp;ADRESSE(LIGNE(C43);COLONNE(C43);4);"◀"&amp;ADRESSE(LIGNE(C43);COLONNE(C43);4))</v>
      </c>
      <c r="E63" s="1551"/>
      <c r="F63" s="1551"/>
      <c r="G63" s="1551"/>
      <c r="H63" s="1552"/>
      <c r="I63" s="56"/>
      <c r="J63" s="431" t="s">
        <v>553</v>
      </c>
      <c r="K63" s="430"/>
      <c r="L63" s="430"/>
      <c r="M63" s="430"/>
      <c r="N63" s="430"/>
      <c r="O63" s="430"/>
      <c r="P63" s="429"/>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6">
        <v>1</v>
      </c>
    </row>
    <row r="64" spans="2:58" ht="21" customHeight="1">
      <c r="B64" s="1543"/>
      <c r="C64" s="414"/>
      <c r="D64" s="1551"/>
      <c r="E64" s="1551"/>
      <c r="F64" s="1551"/>
      <c r="G64" s="1551"/>
      <c r="H64" s="1552"/>
      <c r="I64" s="56"/>
      <c r="J64" s="425" t="s">
        <v>552</v>
      </c>
      <c r="K64" s="424"/>
      <c r="L64" s="424"/>
      <c r="M64" s="424"/>
      <c r="N64" s="424"/>
      <c r="O64" s="424"/>
      <c r="P64" s="423"/>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6">
        <v>1</v>
      </c>
    </row>
    <row r="65" spans="2:56" ht="21" customHeight="1">
      <c r="B65" s="1543"/>
      <c r="C65" s="414"/>
      <c r="D65" s="428"/>
      <c r="E65" s="428"/>
      <c r="F65" s="428"/>
      <c r="G65" s="428"/>
      <c r="H65" s="427"/>
      <c r="I65" s="56"/>
      <c r="J65" s="425" t="s">
        <v>551</v>
      </c>
      <c r="K65" s="424"/>
      <c r="L65" s="424"/>
      <c r="M65" s="424"/>
      <c r="N65" s="424"/>
      <c r="O65" s="424"/>
      <c r="P65" s="423"/>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6">
        <v>1</v>
      </c>
    </row>
    <row r="66" spans="2:56" ht="21" customHeight="1">
      <c r="B66" s="1543"/>
      <c r="C66" s="426" t="str">
        <f>HYPERLINK("#"&amp;ADDRESS(ROW(C43),COLUMN(C43),4),_xlfn.UNICHAR(128269)&amp;ADDRESS(ROW(C43),COLUMN(C43),4))</f>
        <v>🔍C43</v>
      </c>
      <c r="D66" s="1554" t="str">
        <f ca="1">_xlfn.FORMULATEXT(C66)</f>
        <v>=LIEN_HYPERTEXTE("#"&amp;ADRESSE(LIGNE(C43);COLONNE(C43);4);UNICAR(128269)&amp;ADRESSE(LIGNE(C43);COLONNE(C43);4))</v>
      </c>
      <c r="E66" s="1554"/>
      <c r="F66" s="1554"/>
      <c r="G66" s="1554"/>
      <c r="H66" s="1555"/>
      <c r="I66" s="56"/>
      <c r="J66" s="425" t="s">
        <v>550</v>
      </c>
      <c r="K66" s="424"/>
      <c r="L66" s="424"/>
      <c r="M66" s="424"/>
      <c r="N66" s="424"/>
      <c r="O66" s="424"/>
      <c r="P66" s="423"/>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6">
        <v>1</v>
      </c>
    </row>
    <row r="67" spans="2:56" ht="21" customHeight="1">
      <c r="B67" s="1543"/>
      <c r="C67" s="414"/>
      <c r="D67" s="1554"/>
      <c r="E67" s="1554"/>
      <c r="F67" s="1554"/>
      <c r="G67" s="1554"/>
      <c r="H67" s="1555"/>
      <c r="I67" s="56"/>
      <c r="J67" s="422" t="s">
        <v>549</v>
      </c>
      <c r="K67" s="193"/>
      <c r="L67" s="193"/>
      <c r="M67" s="193"/>
      <c r="N67" s="193"/>
      <c r="O67" s="193"/>
      <c r="P67" s="421"/>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6">
        <v>1</v>
      </c>
    </row>
    <row r="68" spans="2:56" ht="21" customHeight="1">
      <c r="B68" s="1543"/>
      <c r="C68" s="414"/>
      <c r="D68" s="417"/>
      <c r="E68" s="417"/>
      <c r="F68" s="417"/>
      <c r="G68" s="417"/>
      <c r="H68" s="416"/>
      <c r="I68" s="56"/>
      <c r="J68" s="420">
        <v>14</v>
      </c>
      <c r="K68" s="60">
        <v>14</v>
      </c>
      <c r="L68" s="60">
        <v>14</v>
      </c>
      <c r="M68" s="60">
        <v>14</v>
      </c>
      <c r="N68" s="60">
        <v>14</v>
      </c>
      <c r="O68" s="60">
        <v>14</v>
      </c>
      <c r="P68" s="62">
        <v>14</v>
      </c>
      <c r="Q68" s="145" t="s">
        <v>425</v>
      </c>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6">
        <v>1</v>
      </c>
    </row>
    <row r="69" spans="2:56" ht="21" customHeight="1" thickBot="1">
      <c r="B69" s="1543"/>
      <c r="C69" s="419"/>
      <c r="D69" s="366" t="s">
        <v>548</v>
      </c>
      <c r="E69" s="417" t="str">
        <f>C43</f>
        <v>C43</v>
      </c>
      <c r="F69" s="418" t="s">
        <v>547</v>
      </c>
      <c r="G69" s="417"/>
      <c r="H69" s="416"/>
      <c r="I69" s="56"/>
      <c r="J69" s="415">
        <f t="shared" ref="J69:P69" ca="1" si="4">CELL("largeur",J69)</f>
        <v>18</v>
      </c>
      <c r="K69" s="58">
        <f t="shared" ca="1" si="4"/>
        <v>16</v>
      </c>
      <c r="L69" s="58">
        <f t="shared" ca="1" si="4"/>
        <v>16</v>
      </c>
      <c r="M69" s="58">
        <f t="shared" ca="1" si="4"/>
        <v>18</v>
      </c>
      <c r="N69" s="58">
        <f t="shared" ca="1" si="4"/>
        <v>16</v>
      </c>
      <c r="O69" s="58">
        <f t="shared" ca="1" si="4"/>
        <v>16</v>
      </c>
      <c r="P69" s="61">
        <f t="shared" ca="1" si="4"/>
        <v>16</v>
      </c>
      <c r="Q69" s="145" t="s">
        <v>424</v>
      </c>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6">
        <v>1</v>
      </c>
    </row>
    <row r="70" spans="2:56" ht="21" customHeight="1">
      <c r="B70" s="1543"/>
      <c r="C70" s="1556" t="s">
        <v>546</v>
      </c>
      <c r="D70" s="1556"/>
      <c r="E70" s="1556"/>
      <c r="F70" s="1556"/>
      <c r="G70" s="1556"/>
      <c r="H70" s="1557"/>
      <c r="I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6">
        <v>1</v>
      </c>
    </row>
    <row r="71" spans="2:56" ht="21" customHeight="1">
      <c r="B71" s="1543"/>
      <c r="C71" s="1556"/>
      <c r="D71" s="1556"/>
      <c r="E71" s="1556"/>
      <c r="F71" s="1556"/>
      <c r="G71" s="1556"/>
      <c r="H71" s="1557"/>
      <c r="I71" s="56"/>
      <c r="J71" s="217" t="s">
        <v>545</v>
      </c>
      <c r="K71" s="56"/>
      <c r="L71" s="56"/>
      <c r="M71" s="56"/>
      <c r="N71" s="56"/>
      <c r="O71" s="56"/>
      <c r="P71" s="56"/>
      <c r="Q71" s="56"/>
      <c r="R71" s="56"/>
      <c r="S71" s="56"/>
      <c r="T71" s="56"/>
      <c r="U71" s="56"/>
      <c r="V71" s="56"/>
      <c r="W71" s="56"/>
      <c r="X71" s="56"/>
      <c r="Y71" s="56"/>
      <c r="Z71" s="56"/>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6">
        <v>1</v>
      </c>
    </row>
    <row r="72" spans="2:56" ht="21" customHeight="1">
      <c r="B72" s="1543"/>
      <c r="C72" s="414"/>
      <c r="D72" s="398"/>
      <c r="E72" s="398"/>
      <c r="F72" s="398"/>
      <c r="G72" s="398"/>
      <c r="H72" s="397"/>
      <c r="I72" s="56"/>
      <c r="J72" s="413" t="s">
        <v>544</v>
      </c>
      <c r="K72" s="56"/>
      <c r="L72" s="56"/>
      <c r="M72" s="56"/>
      <c r="O72" s="410"/>
      <c r="P72" s="412" t="s">
        <v>543</v>
      </c>
      <c r="Q72" s="411" t="s">
        <v>542</v>
      </c>
      <c r="R72" s="410"/>
      <c r="S72" s="410"/>
      <c r="T72" s="410"/>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6">
        <v>1</v>
      </c>
    </row>
    <row r="73" spans="2:56" ht="21" customHeight="1" thickBot="1">
      <c r="B73" s="1543"/>
      <c r="C73" s="409" t="s">
        <v>541</v>
      </c>
      <c r="D73" s="398"/>
      <c r="E73" s="398"/>
      <c r="F73" s="398"/>
      <c r="G73" s="398"/>
      <c r="H73" s="397"/>
      <c r="I73" s="56"/>
      <c r="J73" s="408" t="s">
        <v>540</v>
      </c>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6">
        <v>1</v>
      </c>
    </row>
    <row r="74" spans="2:56" ht="21" customHeight="1">
      <c r="B74" s="1543"/>
      <c r="C74" s="399" t="s">
        <v>539</v>
      </c>
      <c r="D74" s="398"/>
      <c r="E74" s="398"/>
      <c r="F74" s="398"/>
      <c r="G74" s="398"/>
      <c r="H74" s="397"/>
      <c r="I74" s="56"/>
      <c r="J74" s="407" t="s">
        <v>538</v>
      </c>
      <c r="K74" s="56"/>
      <c r="L74" s="56"/>
      <c r="M74" s="56"/>
      <c r="N74" s="406" t="s">
        <v>401</v>
      </c>
      <c r="O74" s="1558" t="s">
        <v>537</v>
      </c>
      <c r="P74" s="1558"/>
      <c r="Q74" s="1558"/>
      <c r="R74" s="1558"/>
      <c r="S74" s="1559"/>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6">
        <v>1</v>
      </c>
    </row>
    <row r="75" spans="2:56" ht="21" customHeight="1">
      <c r="B75" s="1543"/>
      <c r="C75" s="1560" t="s">
        <v>536</v>
      </c>
      <c r="D75" s="1560"/>
      <c r="E75" s="1560"/>
      <c r="F75" s="1560"/>
      <c r="G75" s="1560"/>
      <c r="H75" s="1561"/>
      <c r="I75" s="56"/>
      <c r="J75" s="405" t="s">
        <v>535</v>
      </c>
      <c r="K75" s="56"/>
      <c r="L75" s="56"/>
      <c r="M75" s="56"/>
      <c r="N75" s="1562">
        <v>3</v>
      </c>
      <c r="O75"/>
      <c r="P75" s="404" t="s">
        <v>534</v>
      </c>
      <c r="Q75" s="403" t="s">
        <v>533</v>
      </c>
      <c r="R75" s="402"/>
      <c r="S75" s="401"/>
      <c r="T75" s="56"/>
      <c r="U75" s="56"/>
      <c r="V75" s="56"/>
      <c r="W75" s="56"/>
      <c r="X75" s="56"/>
      <c r="Y75" s="56"/>
      <c r="Z75" s="56"/>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6">
        <v>1</v>
      </c>
    </row>
    <row r="76" spans="2:56" ht="21" customHeight="1">
      <c r="B76" s="1543"/>
      <c r="C76" s="1560"/>
      <c r="D76" s="1560"/>
      <c r="E76" s="1560"/>
      <c r="F76" s="1560"/>
      <c r="G76" s="1560"/>
      <c r="H76" s="1561"/>
      <c r="I76" s="56"/>
      <c r="J76" s="400" t="s">
        <v>532</v>
      </c>
      <c r="K76" s="56"/>
      <c r="L76" s="56"/>
      <c r="M76" s="56"/>
      <c r="N76" s="1562"/>
      <c r="O76" s="3"/>
      <c r="P76" s="3"/>
      <c r="Q76" s="3"/>
      <c r="R76" s="3"/>
      <c r="S76" s="44"/>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6">
        <v>1</v>
      </c>
    </row>
    <row r="77" spans="2:56" ht="21" customHeight="1">
      <c r="B77" s="1543"/>
      <c r="C77" s="399"/>
      <c r="D77" s="398"/>
      <c r="E77" s="398"/>
      <c r="F77" s="398"/>
      <c r="G77" s="398"/>
      <c r="H77" s="397"/>
      <c r="I77" s="56"/>
      <c r="J77" s="396" t="s">
        <v>531</v>
      </c>
      <c r="K77" s="56"/>
      <c r="L77" s="56"/>
      <c r="M77" s="56"/>
      <c r="N77" s="1562"/>
      <c r="O77" s="17"/>
      <c r="P77" s="17"/>
      <c r="Q77" s="394" t="s">
        <v>530</v>
      </c>
      <c r="R77" s="393">
        <v>6</v>
      </c>
      <c r="S77" s="234"/>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6">
        <v>1</v>
      </c>
    </row>
    <row r="78" spans="2:56" ht="21" customHeight="1">
      <c r="B78" s="1543"/>
      <c r="C78" s="391" t="str">
        <f>HYPERLINK("# c131",_xlfn.UNICHAR(128269)&amp;" 🔗 Lien")</f>
        <v>🔍 🔗 Lien</v>
      </c>
      <c r="D78" s="285" t="str">
        <f ca="1">_xlfn.FORMULATEXT(C78)</f>
        <v>=LIEN_HYPERTEXTE("# c131";UNICAR(128269)&amp;" 🔗 Lien")</v>
      </c>
      <c r="E78" s="200"/>
      <c r="F78" s="200"/>
      <c r="G78" s="200"/>
      <c r="H78" s="364"/>
      <c r="I78" s="56"/>
      <c r="J78" s="395" t="s">
        <v>529</v>
      </c>
      <c r="K78" s="56"/>
      <c r="L78" s="56"/>
      <c r="M78" s="56"/>
      <c r="N78" s="1562"/>
      <c r="O78" s="17"/>
      <c r="P78" s="17"/>
      <c r="Q78" s="394" t="s">
        <v>528</v>
      </c>
      <c r="R78" s="393">
        <v>4</v>
      </c>
      <c r="S78" s="234"/>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6">
        <v>1</v>
      </c>
    </row>
    <row r="79" spans="2:56" ht="21" customHeight="1">
      <c r="B79" s="1543"/>
      <c r="C79" s="389"/>
      <c r="D79" s="285"/>
      <c r="E79" s="200"/>
      <c r="F79" s="200"/>
      <c r="G79" s="200"/>
      <c r="H79" s="364"/>
      <c r="I79" s="56"/>
      <c r="J79" s="392" t="s">
        <v>527</v>
      </c>
      <c r="K79" s="56"/>
      <c r="L79" s="56"/>
      <c r="M79" s="56"/>
      <c r="N79" s="1562"/>
      <c r="O79" s="17"/>
      <c r="P79" s="17"/>
      <c r="Q79" s="17" t="s">
        <v>526</v>
      </c>
      <c r="R79" s="2" t="str">
        <f>MID(Q75,R77,R78)</f>
        <v>4522</v>
      </c>
      <c r="S79" s="234"/>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6">
        <v>1</v>
      </c>
    </row>
    <row r="80" spans="2:56" ht="21" customHeight="1">
      <c r="B80" s="1543"/>
      <c r="C80" s="391" t="str">
        <f>HYPERLINK("#c131",_xlfn.UNICHAR(128269)&amp;"La bas")</f>
        <v>🔍La bas</v>
      </c>
      <c r="D80" s="285" t="str">
        <f ca="1">_xlfn.FORMULATEXT(C80)</f>
        <v>=LIEN_HYPERTEXTE("#c131";UNICAR(128269)&amp;"La bas")</v>
      </c>
      <c r="E80" s="200"/>
      <c r="F80" s="200"/>
      <c r="G80" s="200"/>
      <c r="H80" s="364"/>
      <c r="I80" s="56"/>
      <c r="J80" s="390" t="s">
        <v>525</v>
      </c>
      <c r="K80" s="56"/>
      <c r="L80" s="56"/>
      <c r="M80" s="56"/>
      <c r="N80" s="1562"/>
      <c r="O80" s="17"/>
      <c r="P80" s="17"/>
      <c r="Q80" s="17"/>
      <c r="R80" s="17"/>
      <c r="S80" s="234"/>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6">
        <v>1</v>
      </c>
    </row>
    <row r="81" spans="2:56" ht="21" customHeight="1">
      <c r="B81" s="1543"/>
      <c r="C81" s="389"/>
      <c r="D81" s="285"/>
      <c r="E81" s="200"/>
      <c r="F81" s="200"/>
      <c r="G81" s="200"/>
      <c r="H81" s="364"/>
      <c r="I81" s="56"/>
      <c r="J81" s="388" t="s">
        <v>524</v>
      </c>
      <c r="K81" s="56"/>
      <c r="L81" s="56"/>
      <c r="M81" s="56"/>
      <c r="N81" s="1562"/>
      <c r="O81" s="1564" t="s">
        <v>523</v>
      </c>
      <c r="P81" s="1564"/>
      <c r="Q81" s="1564"/>
      <c r="R81" s="1564"/>
      <c r="S81" s="1565"/>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6">
        <v>1</v>
      </c>
    </row>
    <row r="82" spans="2:56" ht="21" customHeight="1">
      <c r="B82" s="1543"/>
      <c r="C82" s="387" t="str">
        <f>HYPERLINK("# c131"," 🔗 Cliquez")</f>
        <v xml:space="preserve"> 🔗 Cliquez</v>
      </c>
      <c r="D82" s="285" t="str">
        <f ca="1">_xlfn.FORMULATEXT(C82)</f>
        <v>=LIEN_HYPERTEXTE("# c131";" 🔗 Cliquez")</v>
      </c>
      <c r="E82" s="200"/>
      <c r="F82" s="200"/>
      <c r="G82" s="200"/>
      <c r="H82" s="364"/>
      <c r="I82" s="56"/>
      <c r="J82" s="386" t="s">
        <v>522</v>
      </c>
      <c r="K82" s="56"/>
      <c r="L82" s="56"/>
      <c r="M82" s="56"/>
      <c r="N82" s="1562"/>
      <c r="O82" s="1564"/>
      <c r="P82" s="1564"/>
      <c r="Q82" s="1564"/>
      <c r="R82" s="1564"/>
      <c r="S82" s="1565"/>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6">
        <v>1</v>
      </c>
    </row>
    <row r="83" spans="2:56" ht="21" customHeight="1">
      <c r="B83" s="1543"/>
      <c r="C83" s="200"/>
      <c r="D83" s="200"/>
      <c r="E83" s="200"/>
      <c r="F83" s="200"/>
      <c r="G83" s="200"/>
      <c r="H83" s="364"/>
      <c r="I83" s="56"/>
      <c r="J83" s="385" t="s">
        <v>521</v>
      </c>
      <c r="K83" s="56"/>
      <c r="L83" s="56"/>
      <c r="M83" s="56"/>
      <c r="N83" s="1562"/>
      <c r="O83" s="384">
        <v>11</v>
      </c>
      <c r="P83" s="384">
        <v>11</v>
      </c>
      <c r="Q83" s="384">
        <v>11</v>
      </c>
      <c r="R83" s="384">
        <v>11</v>
      </c>
      <c r="S83" s="383">
        <v>11</v>
      </c>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6">
        <v>1</v>
      </c>
    </row>
    <row r="84" spans="2:56" ht="21" customHeight="1" thickBot="1">
      <c r="B84" s="1543"/>
      <c r="C84" s="192" t="s">
        <v>520</v>
      </c>
      <c r="D84" s="200"/>
      <c r="E84" s="200"/>
      <c r="F84" s="200"/>
      <c r="G84" s="200"/>
      <c r="H84" s="364"/>
      <c r="I84" s="56"/>
      <c r="J84" s="382" t="s">
        <v>519</v>
      </c>
      <c r="K84" s="56"/>
      <c r="L84" s="56"/>
      <c r="M84" s="56"/>
      <c r="N84" s="1563"/>
      <c r="O84" s="58">
        <f ca="1">CELL("largeur",O84)</f>
        <v>16</v>
      </c>
      <c r="P84" s="58">
        <f ca="1">CELL("largeur",P84)</f>
        <v>16</v>
      </c>
      <c r="Q84" s="58">
        <f ca="1">CELL("largeur",Q84)</f>
        <v>11</v>
      </c>
      <c r="R84" s="58">
        <f ca="1">CELL("largeur",R84)</f>
        <v>11</v>
      </c>
      <c r="S84" s="61">
        <f ca="1">CELL("largeur",S84)</f>
        <v>11</v>
      </c>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6">
        <v>1</v>
      </c>
    </row>
    <row r="85" spans="2:56" ht="21" customHeight="1">
      <c r="B85" s="1543"/>
      <c r="C85" s="381" t="s">
        <v>518</v>
      </c>
      <c r="D85" s="200"/>
      <c r="E85" s="200"/>
      <c r="F85" s="200"/>
      <c r="G85" s="200"/>
      <c r="H85" s="364"/>
      <c r="I85" s="56"/>
      <c r="J85" s="380" t="s">
        <v>517</v>
      </c>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6">
        <v>1</v>
      </c>
    </row>
    <row r="86" spans="2:56" ht="21" customHeight="1">
      <c r="B86" s="1543"/>
      <c r="C86" s="379"/>
      <c r="D86" s="200"/>
      <c r="E86" s="200"/>
      <c r="F86" s="200"/>
      <c r="G86" s="200"/>
      <c r="H86" s="364"/>
      <c r="I86" s="56"/>
      <c r="J86" s="378" t="s">
        <v>516</v>
      </c>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6">
        <v>1</v>
      </c>
    </row>
    <row r="87" spans="2:56" ht="21" customHeight="1">
      <c r="B87" s="1543"/>
      <c r="C87" s="377" t="s">
        <v>515</v>
      </c>
      <c r="D87" s="200"/>
      <c r="E87" s="200"/>
      <c r="F87" s="200"/>
      <c r="G87" s="200"/>
      <c r="H87" s="364"/>
      <c r="I87" s="56"/>
      <c r="J87" s="376" t="s">
        <v>514</v>
      </c>
      <c r="K87" s="56"/>
      <c r="L87" s="56"/>
      <c r="M87" s="56"/>
      <c r="N87" s="374" t="s">
        <v>511</v>
      </c>
      <c r="O87" s="1553" t="s">
        <v>513</v>
      </c>
      <c r="P87" s="1553"/>
      <c r="Q87" s="1553"/>
      <c r="R87" s="1553"/>
      <c r="S87" s="1553"/>
      <c r="T87" s="1553"/>
      <c r="U87" s="1553"/>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6">
        <v>1</v>
      </c>
    </row>
    <row r="88" spans="2:56" ht="21" customHeight="1">
      <c r="B88" s="1543"/>
      <c r="C88" s="200"/>
      <c r="D88" s="200"/>
      <c r="E88" s="200"/>
      <c r="F88" s="200"/>
      <c r="G88" s="200"/>
      <c r="H88" s="364"/>
      <c r="I88" s="56"/>
      <c r="J88" s="375" t="s">
        <v>512</v>
      </c>
      <c r="K88" s="56"/>
      <c r="L88" s="56"/>
      <c r="M88" s="56"/>
      <c r="N88" s="374" t="s">
        <v>511</v>
      </c>
      <c r="O88" s="1553" t="s">
        <v>510</v>
      </c>
      <c r="P88" s="1553"/>
      <c r="Q88" s="1553"/>
      <c r="R88" s="1553"/>
      <c r="S88" s="1553"/>
      <c r="T88" s="1553"/>
      <c r="U88" s="1553"/>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6">
        <v>1</v>
      </c>
    </row>
    <row r="89" spans="2:56" ht="21" customHeight="1">
      <c r="B89" s="1543"/>
      <c r="C89" s="200" t="s">
        <v>509</v>
      </c>
      <c r="D89" s="200" t="s">
        <v>508</v>
      </c>
      <c r="E89" s="200"/>
      <c r="F89" s="200"/>
      <c r="G89" s="200"/>
      <c r="H89" s="364"/>
      <c r="I89" s="56"/>
      <c r="J89" s="373" t="s">
        <v>507</v>
      </c>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6">
        <v>1</v>
      </c>
    </row>
    <row r="90" spans="2:56" ht="21" customHeight="1">
      <c r="B90" s="1543"/>
      <c r="C90" s="200"/>
      <c r="D90" s="200"/>
      <c r="E90" s="200"/>
      <c r="F90" s="200"/>
      <c r="G90" s="200"/>
      <c r="H90" s="364"/>
      <c r="I90" s="56"/>
      <c r="J90" s="372" t="s">
        <v>506</v>
      </c>
      <c r="K90" s="56"/>
      <c r="L90" s="56"/>
      <c r="M90" s="56"/>
      <c r="N90" s="40" t="s">
        <v>257</v>
      </c>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6">
        <v>1</v>
      </c>
    </row>
    <row r="91" spans="2:56" ht="21" customHeight="1">
      <c r="B91" s="1543"/>
      <c r="C91" s="200" t="s">
        <v>505</v>
      </c>
      <c r="D91" s="200"/>
      <c r="E91" s="200"/>
      <c r="F91" s="200"/>
      <c r="G91" s="200"/>
      <c r="H91" s="364"/>
      <c r="I91" s="56"/>
      <c r="J91" s="371" t="s">
        <v>504</v>
      </c>
      <c r="K91" s="56"/>
      <c r="L91" s="56"/>
      <c r="M91" s="56"/>
      <c r="N91" s="41" t="s">
        <v>384</v>
      </c>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6">
        <v>1</v>
      </c>
    </row>
    <row r="92" spans="2:56" ht="21" customHeight="1">
      <c r="B92" s="1543"/>
      <c r="C92" s="200"/>
      <c r="D92" s="365" t="s">
        <v>503</v>
      </c>
      <c r="E92" s="200"/>
      <c r="F92" s="365" t="s">
        <v>502</v>
      </c>
      <c r="G92" s="200"/>
      <c r="H92" s="364" t="s">
        <v>254</v>
      </c>
      <c r="I92" s="56"/>
      <c r="J92" s="370" t="s">
        <v>501</v>
      </c>
      <c r="K92" s="56"/>
      <c r="L92" s="56"/>
      <c r="M92" s="56"/>
      <c r="N92" s="41" t="s">
        <v>259</v>
      </c>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6">
        <v>1</v>
      </c>
    </row>
    <row r="93" spans="2:56" ht="21" customHeight="1">
      <c r="B93" s="1543"/>
      <c r="C93" s="200" t="s">
        <v>500</v>
      </c>
      <c r="D93" s="200"/>
      <c r="E93" s="200"/>
      <c r="F93" s="200"/>
      <c r="G93" s="200"/>
      <c r="H93" s="364"/>
      <c r="I93" s="56"/>
      <c r="J93" s="369" t="s">
        <v>499</v>
      </c>
      <c r="K93" s="56"/>
      <c r="L93" s="56"/>
      <c r="M93" s="56"/>
      <c r="N93" s="50" t="s">
        <v>383</v>
      </c>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6">
        <v>1</v>
      </c>
    </row>
    <row r="94" spans="2:56" ht="21" customHeight="1">
      <c r="B94" s="1543"/>
      <c r="C94" s="200"/>
      <c r="D94" s="365" t="s">
        <v>498</v>
      </c>
      <c r="E94" s="200"/>
      <c r="F94" s="365" t="s">
        <v>497</v>
      </c>
      <c r="G94" s="200"/>
      <c r="H94" s="364"/>
      <c r="I94" s="56"/>
      <c r="J94" s="368" t="s">
        <v>496</v>
      </c>
      <c r="K94" s="56"/>
      <c r="L94" s="56"/>
      <c r="M94" s="56"/>
      <c r="N94" s="49" t="s">
        <v>382</v>
      </c>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56"/>
      <c r="BD94" s="6">
        <v>1</v>
      </c>
    </row>
    <row r="95" spans="2:56" ht="21" customHeight="1">
      <c r="B95" s="1543"/>
      <c r="C95" s="200"/>
      <c r="D95" s="365"/>
      <c r="E95" s="200"/>
      <c r="F95" s="365"/>
      <c r="G95" s="200"/>
      <c r="H95" s="364"/>
      <c r="I95" s="56"/>
      <c r="J95" s="367" t="s">
        <v>495</v>
      </c>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56"/>
      <c r="BC95" s="56"/>
      <c r="BD95" s="6">
        <v>1</v>
      </c>
    </row>
    <row r="96" spans="2:56" ht="21" customHeight="1">
      <c r="B96" s="1543"/>
      <c r="C96" s="200"/>
      <c r="D96" s="365"/>
      <c r="E96" s="366" t="s">
        <v>494</v>
      </c>
      <c r="F96" s="365" t="s">
        <v>493</v>
      </c>
      <c r="G96" s="200"/>
      <c r="H96" s="364"/>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6">
        <v>1</v>
      </c>
    </row>
    <row r="97" spans="1:56" ht="21" customHeight="1">
      <c r="B97" s="1543"/>
      <c r="C97" s="200"/>
      <c r="D97" s="365"/>
      <c r="E97" s="200"/>
      <c r="F97" s="365"/>
      <c r="G97" s="200"/>
      <c r="H97" s="364"/>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6">
        <v>1</v>
      </c>
    </row>
    <row r="98" spans="1:56" ht="21" customHeight="1">
      <c r="B98" s="1543"/>
      <c r="C98" s="200" t="s">
        <v>492</v>
      </c>
      <c r="D98" s="365"/>
      <c r="E98" s="200"/>
      <c r="F98" s="365"/>
      <c r="G98" s="200"/>
      <c r="H98" s="364"/>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6">
        <v>1</v>
      </c>
    </row>
    <row r="99" spans="1:56" ht="21" customHeight="1">
      <c r="B99" s="1543"/>
      <c r="C99" s="200"/>
      <c r="D99" s="365" t="s">
        <v>491</v>
      </c>
      <c r="E99" s="200"/>
      <c r="F99" s="365"/>
      <c r="G99" s="200"/>
      <c r="H99" s="364" t="s">
        <v>254</v>
      </c>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6">
        <v>1</v>
      </c>
    </row>
    <row r="100" spans="1:56" ht="21" customHeight="1" thickBot="1">
      <c r="B100" s="1544"/>
      <c r="C100" s="363"/>
      <c r="D100" s="363"/>
      <c r="E100" s="363"/>
      <c r="F100" s="363"/>
      <c r="G100" s="363"/>
      <c r="H100" s="362"/>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6">
        <v>1</v>
      </c>
    </row>
    <row r="101" spans="1:56" ht="21" customHeight="1">
      <c r="A101" s="56">
        <v>1</v>
      </c>
      <c r="B101" s="56"/>
      <c r="C101" s="357"/>
      <c r="D101" s="357"/>
      <c r="E101" s="357"/>
      <c r="F101" s="357"/>
      <c r="G101" s="357"/>
      <c r="H101" s="361"/>
      <c r="I101" s="361"/>
      <c r="J101" s="358" t="s">
        <v>431</v>
      </c>
      <c r="K101" s="56"/>
      <c r="L101" s="56"/>
      <c r="M101" s="56"/>
      <c r="N101" s="56"/>
      <c r="O101" s="360" t="s">
        <v>490</v>
      </c>
      <c r="P101" s="217"/>
      <c r="Q101" s="217"/>
      <c r="R101" s="56"/>
      <c r="S101" s="56">
        <v>1</v>
      </c>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6">
        <v>1</v>
      </c>
    </row>
    <row r="102" spans="1:56" ht="21" customHeight="1">
      <c r="A102" s="56">
        <v>1</v>
      </c>
      <c r="B102" s="56"/>
      <c r="C102" s="359" t="s">
        <v>489</v>
      </c>
      <c r="D102" s="357"/>
      <c r="E102" s="357"/>
      <c r="F102" s="357"/>
      <c r="G102" s="357"/>
      <c r="H102" s="357"/>
      <c r="I102" s="357"/>
      <c r="J102" s="358" t="s">
        <v>430</v>
      </c>
      <c r="K102" s="56"/>
      <c r="L102" s="56"/>
      <c r="M102" s="56"/>
      <c r="N102" s="56"/>
      <c r="O102" s="1567" t="s">
        <v>488</v>
      </c>
      <c r="P102" s="1568" t="s">
        <v>487</v>
      </c>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6">
        <v>1</v>
      </c>
    </row>
    <row r="103" spans="1:56" ht="21" customHeight="1">
      <c r="A103" s="56">
        <v>1</v>
      </c>
      <c r="B103" s="56"/>
      <c r="C103" s="357" t="s">
        <v>486</v>
      </c>
      <c r="D103" s="357"/>
      <c r="E103" s="357"/>
      <c r="F103" s="357"/>
      <c r="G103" s="357"/>
      <c r="H103" s="203" t="s">
        <v>472</v>
      </c>
      <c r="I103" s="239">
        <f>IF(H104=D130,E113/(100-F114)*100)</f>
        <v>2.5</v>
      </c>
      <c r="J103" s="285" t="str">
        <f ca="1">_xlfn.FORMULATEXT(I103)</f>
        <v>=SI(H104=D130;E113/(100-F114)*100)</v>
      </c>
      <c r="K103" s="192"/>
      <c r="L103" s="56">
        <v>1</v>
      </c>
      <c r="M103" s="56">
        <v>1</v>
      </c>
      <c r="N103" s="56"/>
      <c r="O103" s="1567"/>
      <c r="P103" s="1568"/>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6">
        <v>1</v>
      </c>
    </row>
    <row r="104" spans="1:56" ht="21" customHeight="1">
      <c r="A104" s="56">
        <v>1</v>
      </c>
      <c r="B104" s="56"/>
      <c r="C104" s="357" t="s">
        <v>485</v>
      </c>
      <c r="D104" s="357"/>
      <c r="E104" s="357"/>
      <c r="F104" s="357"/>
      <c r="G104" s="357"/>
      <c r="H104" s="197" t="s">
        <v>471</v>
      </c>
      <c r="I104" s="239">
        <f>IF(H113=D130,E113-(E113*F114%))</f>
        <v>0.625</v>
      </c>
      <c r="J104" s="285" t="str">
        <f ca="1">_xlfn.FORMULATEXT(I104)</f>
        <v>=SI(H113=D130;E113-(E113*F114%))</v>
      </c>
      <c r="K104" s="192"/>
      <c r="L104" s="56">
        <v>1</v>
      </c>
      <c r="M104" s="56">
        <v>1</v>
      </c>
      <c r="N104" s="56"/>
      <c r="O104" s="56">
        <v>1</v>
      </c>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6">
        <v>1</v>
      </c>
    </row>
    <row r="105" spans="1:56" ht="21" customHeight="1" thickBot="1">
      <c r="A105" s="56">
        <v>1</v>
      </c>
      <c r="B105" s="56"/>
      <c r="C105" s="56">
        <v>1</v>
      </c>
      <c r="D105" s="56">
        <v>1</v>
      </c>
      <c r="E105" s="56">
        <v>1</v>
      </c>
      <c r="F105" s="56">
        <v>1</v>
      </c>
      <c r="G105" s="56">
        <v>1</v>
      </c>
      <c r="H105" s="56">
        <v>1</v>
      </c>
      <c r="I105" s="56">
        <v>1</v>
      </c>
      <c r="J105" s="356"/>
      <c r="K105" s="56"/>
      <c r="L105" s="56">
        <v>1</v>
      </c>
      <c r="M105" s="56">
        <v>1</v>
      </c>
      <c r="N105" s="56"/>
      <c r="O105" s="1569" t="s">
        <v>484</v>
      </c>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6">
        <v>1</v>
      </c>
    </row>
    <row r="106" spans="1:56" ht="21" customHeight="1">
      <c r="A106" s="56">
        <v>1</v>
      </c>
      <c r="B106" s="1539" t="s">
        <v>401</v>
      </c>
      <c r="C106" s="1566" t="s">
        <v>466</v>
      </c>
      <c r="D106" s="1566"/>
      <c r="E106" s="1566"/>
      <c r="F106" s="1566"/>
      <c r="G106" s="355"/>
      <c r="H106" s="354" t="str">
        <f>E114</f>
        <v>❻ %  de PERTE &gt;</v>
      </c>
      <c r="I106" s="353" t="str">
        <f>_xlfn.UNICHAR(128269)&amp;"Cliquez sur les loupes"</f>
        <v>🔍Cliquez sur les loupes</v>
      </c>
      <c r="J106" s="217"/>
      <c r="K106" s="322" t="s">
        <v>480</v>
      </c>
      <c r="L106" s="192"/>
      <c r="M106" s="192"/>
      <c r="N106" s="192"/>
      <c r="O106" s="1569"/>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6">
        <v>1</v>
      </c>
    </row>
    <row r="107" spans="1:56" ht="21" customHeight="1">
      <c r="A107" s="56">
        <v>1</v>
      </c>
      <c r="B107" s="1540"/>
      <c r="C107" s="352"/>
      <c r="D107" s="352"/>
      <c r="E107" s="351"/>
      <c r="F107" s="350" t="s">
        <v>465</v>
      </c>
      <c r="G107" s="349" t="str">
        <f>IF(F113=D129,"CRU- Brut ou à cuire","CUIT - Net à servir")</f>
        <v>CRU- Brut ou à cuire</v>
      </c>
      <c r="H107" s="348"/>
      <c r="I107" s="330" t="str">
        <f>HYPERLINK("#"&amp;ADDRESS(ROW(G107),COLUMN(G107),4),_xlfn.UNICHAR(128269)&amp;"cellule "&amp;ADDRESS(ROW(G107),COLUMN(G107),4))</f>
        <v>🔍cellule G107</v>
      </c>
      <c r="J107" s="347" t="str">
        <f>G107</f>
        <v>CRU- Brut ou à cuire</v>
      </c>
      <c r="K107" s="285" t="str">
        <f ca="1">_xlfn.FORMULATEXT(G107)</f>
        <v>=SI(F113=D129;"CRU- Brut ou à cuire";"CUIT - Net à servir")</v>
      </c>
      <c r="L107" s="192"/>
      <c r="M107" s="192"/>
      <c r="N107" s="192"/>
      <c r="O107" s="56"/>
      <c r="P107" s="56"/>
      <c r="Q107" s="56"/>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6">
        <v>1</v>
      </c>
    </row>
    <row r="108" spans="1:56" ht="21" customHeight="1">
      <c r="A108" s="56">
        <v>1</v>
      </c>
      <c r="B108" s="1571">
        <v>3</v>
      </c>
      <c r="C108" s="1573" t="str">
        <f>D110</f>
        <v>Sautés en morceaux service au poids</v>
      </c>
      <c r="D108" s="1573"/>
      <c r="E108" s="1573"/>
      <c r="F108" s="1573"/>
      <c r="G108" s="1573"/>
      <c r="H108" s="1574"/>
      <c r="I108" s="330" t="str">
        <f>HYPERLINK("#"&amp;ADDRESS(ROW(E109),COLUMN(E109),4),_xlfn.UNICHAR(128269)&amp;"cellule "&amp;ADDRESS(ROW(E109),COLUMN(E109),4))</f>
        <v>🔍cellule E109</v>
      </c>
      <c r="J108" s="346">
        <f>E109</f>
        <v>46</v>
      </c>
      <c r="K108" s="285" t="str">
        <f ca="1">_xlfn.FORMULATEXT(E109)</f>
        <v>=ENT(E119/E113)</v>
      </c>
      <c r="L108" s="192"/>
      <c r="M108" s="192"/>
      <c r="N108" s="192"/>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6">
        <v>1</v>
      </c>
    </row>
    <row r="109" spans="1:56" ht="21" customHeight="1">
      <c r="A109" s="56">
        <v>1</v>
      </c>
      <c r="B109" s="1571"/>
      <c r="C109" s="345"/>
      <c r="D109" s="344" t="s">
        <v>464</v>
      </c>
      <c r="E109" s="343">
        <f>INT(E119/E113)</f>
        <v>46</v>
      </c>
      <c r="F109" s="342">
        <f>IF(E109=0,0,IF(E120=0,0,E113))</f>
        <v>1.25</v>
      </c>
      <c r="G109" s="341" t="str">
        <f>IF(F109*E109=0,"1 de",IF(E119=0,0,IF(E113=0,0,IF(F109*E109=E119,"",IF(H109&gt;0,"Plus 1 de")))))</f>
        <v>Plus 1 de</v>
      </c>
      <c r="H109" s="340">
        <f>IF(E113=0,0,IF(F109*E109=E119,"",MOD(E119,E113)))</f>
        <v>0.10000000000000142</v>
      </c>
      <c r="I109" s="330" t="str">
        <f>HYPERLINK("#"&amp;ADDRESS(ROW(F109),COLUMN(F109),4),_xlfn.UNICHAR(128269)&amp;"cellule "&amp;ADDRESS(ROW(F109),COLUMN(F109),4))</f>
        <v>🔍cellule F109</v>
      </c>
      <c r="J109" s="339">
        <f>F109</f>
        <v>1.25</v>
      </c>
      <c r="K109" s="285" t="str">
        <f ca="1">_xlfn.FORMULATEXT(F109)</f>
        <v>=SI(E109=0;0;SI(E120=0;0;E113))</v>
      </c>
      <c r="L109" s="192"/>
      <c r="M109" s="192"/>
      <c r="N109" s="192"/>
      <c r="O109" s="192"/>
      <c r="P109" s="192"/>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56"/>
      <c r="BD109" s="6">
        <v>1</v>
      </c>
    </row>
    <row r="110" spans="1:56" ht="21" customHeight="1">
      <c r="A110" s="56">
        <v>1</v>
      </c>
      <c r="B110" s="1571"/>
      <c r="C110" s="258" t="s">
        <v>463</v>
      </c>
      <c r="D110" s="257" t="s">
        <v>462</v>
      </c>
      <c r="E110" s="256"/>
      <c r="F110" s="192"/>
      <c r="G110" s="192"/>
      <c r="H110" s="191"/>
      <c r="I110" s="330" t="str">
        <f>HYPERLINK("#"&amp;ADDRESS(ROW(G109),COLUMN(G109),4),_xlfn.UNICHAR(128269)&amp;"cellule "&amp;ADDRESS(ROW(G109),COLUMN(G109),4))</f>
        <v>🔍cellule G109</v>
      </c>
      <c r="J110" s="338" t="str">
        <f>HYPERLINK("# G31",G109)</f>
        <v>Plus 1 de</v>
      </c>
      <c r="K110" s="285" t="str">
        <f ca="1">_xlfn.FORMULATEXT(G109)</f>
        <v>=SI(F109*E109=0;"1 de";SI(E119=0;0;SI(E113=0;0;SI(F109*E109=E119;"";SI(H109&gt;0;"Plus 1 de")))))</v>
      </c>
      <c r="L110" s="192"/>
      <c r="M110" s="192"/>
      <c r="N110" s="192"/>
      <c r="O110" s="192"/>
      <c r="P110" s="192"/>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6">
        <v>1</v>
      </c>
    </row>
    <row r="111" spans="1:56" ht="21" customHeight="1">
      <c r="A111" s="56">
        <v>1</v>
      </c>
      <c r="B111" s="1571"/>
      <c r="C111" s="192"/>
      <c r="D111" s="192"/>
      <c r="E111" s="255" t="s">
        <v>444</v>
      </c>
      <c r="F111" s="1575" t="s">
        <v>476</v>
      </c>
      <c r="G111" s="1575"/>
      <c r="H111" s="1576"/>
      <c r="I111" s="330" t="str">
        <f>HYPERLINK("#"&amp;ADDRESS(ROW(H109),COLUMN(H109),4),_xlfn.UNICHAR(128269)&amp;"cellule "&amp;ADDRESS(ROW(H109),COLUMN(H109),4))</f>
        <v>🔍cellule H109</v>
      </c>
      <c r="J111" s="337">
        <f>H109</f>
        <v>0.10000000000000142</v>
      </c>
      <c r="K111" s="285" t="str">
        <f ca="1">_xlfn.FORMULATEXT(H109)</f>
        <v>=SI(E113=0;0;SI(F109*E109=E119;"";MOD(E119;E113)))</v>
      </c>
      <c r="L111" s="192"/>
      <c r="M111" s="192"/>
      <c r="N111" s="192"/>
      <c r="O111" s="192"/>
      <c r="P111" s="192"/>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6">
        <v>1</v>
      </c>
    </row>
    <row r="112" spans="1:56" ht="21" customHeight="1">
      <c r="A112" s="56">
        <v>1</v>
      </c>
      <c r="B112" s="1571"/>
      <c r="C112" s="192"/>
      <c r="D112" s="248"/>
      <c r="E112" s="247"/>
      <c r="F112" s="246" t="s">
        <v>457</v>
      </c>
      <c r="G112" s="248"/>
      <c r="H112" s="191"/>
      <c r="I112" s="200"/>
      <c r="J112" s="331"/>
      <c r="K112" s="192"/>
      <c r="L112" s="192"/>
      <c r="M112" s="192"/>
      <c r="N112" s="192"/>
      <c r="O112" s="192"/>
      <c r="P112" s="192"/>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6">
        <v>1</v>
      </c>
    </row>
    <row r="113" spans="1:56" ht="21" customHeight="1">
      <c r="A113" s="56">
        <v>1</v>
      </c>
      <c r="B113" s="1571"/>
      <c r="C113" s="242"/>
      <c r="D113" s="245" t="s">
        <v>456</v>
      </c>
      <c r="E113" s="336">
        <v>1.25</v>
      </c>
      <c r="F113" s="202" t="s">
        <v>472</v>
      </c>
      <c r="G113" s="236">
        <f>IF(F113=D129,E113-(E113*F114%),IF(F113=D130,E113/(100-F114)*100))</f>
        <v>0.625</v>
      </c>
      <c r="H113" s="235" t="str">
        <f>H116</f>
        <v>❺ Kg cuit</v>
      </c>
      <c r="I113" s="330" t="str">
        <f>HYPERLINK("#"&amp;ADDRESS(ROW(G113),COLUMN(G113),4),_xlfn.UNICHAR(128269)&amp;"cellule "&amp;ADDRESS(ROW(G113),COLUMN(G113),4))</f>
        <v>🔍cellule G113</v>
      </c>
      <c r="J113" s="239">
        <f>G113</f>
        <v>0.625</v>
      </c>
      <c r="K113" s="285" t="str">
        <f ca="1">_xlfn.FORMULATEXT(G113)</f>
        <v>=SI(F113=D129;E113-(E113*F114%);SI(F113=D130;E113/(100-F114)*100))</v>
      </c>
      <c r="L113" s="192"/>
      <c r="M113" s="192"/>
      <c r="N113" s="192"/>
      <c r="O113" s="192"/>
      <c r="P113" s="192"/>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6">
        <v>1</v>
      </c>
    </row>
    <row r="114" spans="1:56" ht="21" customHeight="1">
      <c r="A114" s="56">
        <v>1</v>
      </c>
      <c r="B114" s="1571"/>
      <c r="C114" s="192"/>
      <c r="D114" s="217"/>
      <c r="E114" s="335" t="str">
        <f>IF(F116=D130,"❻ % de BONI &gt;",IF(F116=D129,"❻ %  de PERTE &gt;",IF(ISBLANK(F114),0)))</f>
        <v>❻ %  de PERTE &gt;</v>
      </c>
      <c r="F114" s="237">
        <v>50</v>
      </c>
      <c r="G114" s="192"/>
      <c r="H114" s="191"/>
      <c r="I114" s="330" t="str">
        <f>HYPERLINK("#"&amp;ADDRESS(ROW(E114),COLUMN(E114),4),_xlfn.UNICHAR(128269)&amp;"cellule "&amp;ADDRESS(ROW(E114),COLUMN(E114),4))</f>
        <v>🔍cellule E114</v>
      </c>
      <c r="J114" s="334" t="str">
        <f>E114</f>
        <v>❻ %  de PERTE &gt;</v>
      </c>
      <c r="K114" s="285" t="str">
        <f ca="1">_xlfn.FORMULATEXT(E114)</f>
        <v>=SI(F116=D130;"❻ % de BONI &gt;";SI(F116=D129;"❻ %  de PERTE &gt;";SI(ESTVIDE(F114);0)))</v>
      </c>
      <c r="L114" s="192"/>
      <c r="M114" s="192"/>
      <c r="N114" s="192"/>
      <c r="O114" s="192"/>
      <c r="P114" s="192"/>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6">
        <v>1</v>
      </c>
    </row>
    <row r="115" spans="1:56" ht="21" customHeight="1">
      <c r="A115" s="56">
        <v>1</v>
      </c>
      <c r="B115" s="1571"/>
      <c r="C115" s="192"/>
      <c r="D115" s="192"/>
      <c r="E115" s="192"/>
      <c r="F115" s="192"/>
      <c r="G115" s="192"/>
      <c r="H115" s="191"/>
      <c r="I115" s="200"/>
      <c r="J115" s="331"/>
      <c r="K115" s="192"/>
      <c r="L115" s="192"/>
      <c r="M115" s="192"/>
      <c r="N115" s="192"/>
      <c r="O115" s="192"/>
      <c r="P115" s="192"/>
      <c r="Q115" s="56"/>
      <c r="R115" s="56"/>
      <c r="S115" s="56"/>
      <c r="T115" s="56"/>
      <c r="U115" s="56"/>
      <c r="V115" s="56"/>
      <c r="W115" s="56"/>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c r="AT115" s="56"/>
      <c r="AU115" s="56"/>
      <c r="AV115" s="56"/>
      <c r="AW115" s="56"/>
      <c r="AX115" s="56"/>
      <c r="AY115" s="56"/>
      <c r="AZ115" s="56"/>
      <c r="BA115" s="56"/>
      <c r="BB115" s="56"/>
      <c r="BC115" s="56"/>
      <c r="BD115" s="6">
        <v>1</v>
      </c>
    </row>
    <row r="116" spans="1:56" ht="21" customHeight="1">
      <c r="A116" s="56">
        <v>1</v>
      </c>
      <c r="B116" s="1571"/>
      <c r="C116" s="192"/>
      <c r="D116" s="228" t="s">
        <v>475</v>
      </c>
      <c r="E116" s="240">
        <v>4.8000000000000001E-2</v>
      </c>
      <c r="F116" s="296" t="str">
        <f>F113</f>
        <v>❹ Kg cru</v>
      </c>
      <c r="G116" s="236">
        <f>IF(F116=D129,E116-(E116*F114%),IF(F116=D130,E116/(100-F114)*100))</f>
        <v>2.4E-2</v>
      </c>
      <c r="H116" s="225" t="str">
        <f>IF(F116=D129,D130,D129)</f>
        <v>❺ Kg cuit</v>
      </c>
      <c r="I116" s="330" t="str">
        <f>HYPERLINK("#"&amp;ADDRESS(ROW(G116),COLUMN(G116),4),_xlfn.UNICHAR(128269)&amp;"cellule "&amp;ADDRESS(ROW(G116),COLUMN(G116),4))</f>
        <v>🔍cellule G116</v>
      </c>
      <c r="J116" s="239">
        <f>G116</f>
        <v>2.4E-2</v>
      </c>
      <c r="K116" s="285" t="str">
        <f ca="1">_xlfn.FORMULATEXT(G116)</f>
        <v>=SI(F116=D129;E116-(E116*F114%);SI(F116=D130;E116/(100-F114)*100))</v>
      </c>
      <c r="L116" s="192"/>
      <c r="M116" s="192"/>
      <c r="N116" s="192"/>
      <c r="O116" s="192"/>
      <c r="P116" s="192"/>
      <c r="Q116" s="56"/>
      <c r="R116" s="56"/>
      <c r="S116" s="56"/>
      <c r="T116" s="56"/>
      <c r="U116" s="56"/>
      <c r="V116" s="56"/>
      <c r="W116" s="56"/>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6">
        <v>1</v>
      </c>
    </row>
    <row r="117" spans="1:56" ht="21" customHeight="1">
      <c r="A117" s="56">
        <v>1</v>
      </c>
      <c r="B117" s="1571"/>
      <c r="C117" s="192"/>
      <c r="D117" s="294" t="s">
        <v>454</v>
      </c>
      <c r="E117" s="333">
        <v>1200</v>
      </c>
      <c r="F117" s="332" t="s">
        <v>258</v>
      </c>
      <c r="G117" s="192"/>
      <c r="H117" s="230"/>
      <c r="I117" s="200"/>
      <c r="J117" s="331"/>
      <c r="K117" s="192"/>
      <c r="L117" s="192"/>
      <c r="M117" s="192"/>
      <c r="N117" s="192"/>
      <c r="O117" s="192"/>
      <c r="P117" s="192"/>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6">
        <v>1</v>
      </c>
    </row>
    <row r="118" spans="1:56" ht="21" customHeight="1">
      <c r="A118" s="56">
        <v>1</v>
      </c>
      <c r="B118" s="1571"/>
      <c r="C118" s="192"/>
      <c r="D118" s="192"/>
      <c r="E118" s="192"/>
      <c r="F118" s="192"/>
      <c r="G118" s="192"/>
      <c r="H118" s="191"/>
      <c r="I118" s="200"/>
      <c r="J118" s="331"/>
      <c r="K118" s="192"/>
      <c r="L118" s="192"/>
      <c r="M118" s="192"/>
      <c r="N118" s="192"/>
      <c r="O118" s="192"/>
      <c r="P118" s="192"/>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6">
        <v>1</v>
      </c>
    </row>
    <row r="119" spans="1:56" ht="21" customHeight="1">
      <c r="A119" s="56">
        <v>1</v>
      </c>
      <c r="B119" s="1571"/>
      <c r="C119" s="192"/>
      <c r="D119" s="222" t="s">
        <v>452</v>
      </c>
      <c r="E119" s="288">
        <f>IF(E113=0,0,E116*E117)</f>
        <v>57.6</v>
      </c>
      <c r="F119" s="289" t="str">
        <f>F113</f>
        <v>❹ Kg cru</v>
      </c>
      <c r="G119" s="219">
        <f>IF(E113=0,0,G116*E117)</f>
        <v>28.8</v>
      </c>
      <c r="H119" s="218" t="str">
        <f>H116</f>
        <v>❺ Kg cuit</v>
      </c>
      <c r="I119" s="330" t="str">
        <f>HYPERLINK("#"&amp;ADDRESS(ROW(E119),COLUMN(E119),4),_xlfn.UNICHAR(128269)&amp;"cellule "&amp;ADDRESS(ROW(E119),COLUMN(E119),4))</f>
        <v>🔍cellule E119</v>
      </c>
      <c r="J119" s="288">
        <f>E119</f>
        <v>57.6</v>
      </c>
      <c r="K119" s="285" t="str">
        <f ca="1">_xlfn.FORMULATEXT(E119)</f>
        <v>=SI(E113=0;0;E116*E117)</v>
      </c>
      <c r="L119" s="192"/>
      <c r="M119" s="192"/>
      <c r="N119" s="192"/>
      <c r="O119" s="192"/>
      <c r="P119" s="192"/>
      <c r="Q119" s="56"/>
      <c r="R119" s="56"/>
      <c r="S119" s="56"/>
      <c r="T119" s="56"/>
      <c r="U119" s="56"/>
      <c r="V119" s="56"/>
      <c r="W119" s="56"/>
      <c r="X119" s="56"/>
      <c r="Y119" s="56"/>
      <c r="Z119" s="56"/>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6">
        <v>1</v>
      </c>
    </row>
    <row r="120" spans="1:56" ht="21" customHeight="1">
      <c r="A120" s="56">
        <v>1</v>
      </c>
      <c r="B120" s="1571"/>
      <c r="C120" s="217"/>
      <c r="D120" s="215" t="s">
        <v>451</v>
      </c>
      <c r="E120" s="214">
        <f>IF(E113=0,0,IF(MOD(E119,E113)&gt;MOD(E119,E113)/2,INT(E119/E113)+1,INT(E119/E113)))</f>
        <v>47</v>
      </c>
      <c r="F120" s="216" t="s">
        <v>450</v>
      </c>
      <c r="G120" s="212">
        <f>IF(ISBLANK(E116),0,E113/E116)</f>
        <v>26.041666666666668</v>
      </c>
      <c r="H120" s="191"/>
      <c r="I120" s="330" t="str">
        <f>HYPERLINK("#"&amp;ADDRESS(ROW(E120),COLUMN(E120),4),_xlfn.UNICHAR(128269)&amp;"cellule "&amp;ADDRESS(ROW(E120),COLUMN(E120),4))</f>
        <v>🔍cellule E120</v>
      </c>
      <c r="J120" s="214">
        <f>E120</f>
        <v>47</v>
      </c>
      <c r="K120" s="285" t="str">
        <f ca="1">_xlfn.FORMULATEXT(E120)</f>
        <v>=SI(E113=0;0;SI(MOD(E119;E113)&gt;MOD(E119;E113)/2;ENT(E119/E113)+1;ENT(E119/E113)))</v>
      </c>
      <c r="L120" s="192"/>
      <c r="M120" s="192"/>
      <c r="N120" s="192"/>
      <c r="O120" s="192"/>
      <c r="P120" s="192"/>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6">
        <v>1</v>
      </c>
    </row>
    <row r="121" spans="1:56" ht="21" customHeight="1">
      <c r="A121" s="56">
        <v>1</v>
      </c>
      <c r="B121" s="1571"/>
      <c r="C121" s="192"/>
      <c r="D121" s="215"/>
      <c r="E121" s="214"/>
      <c r="F121" s="213"/>
      <c r="G121" s="212"/>
      <c r="H121" s="191"/>
      <c r="I121" s="330" t="str">
        <f>HYPERLINK("#"&amp;ADDRESS(ROW(G120),COLUMN(G120),4),_xlfn.UNICHAR(128269)&amp;"cellule "&amp;ADDRESS(ROW(G120),COLUMN(G120),4))</f>
        <v>🔍cellule G120</v>
      </c>
      <c r="J121" s="212">
        <f>G120</f>
        <v>26.041666666666668</v>
      </c>
      <c r="K121" s="285" t="str">
        <f ca="1">_xlfn.FORMULATEXT(G120)</f>
        <v>=SI(ESTVIDE(E116);0;E113/E116)</v>
      </c>
      <c r="L121" s="192"/>
      <c r="M121" s="192"/>
      <c r="N121" s="192"/>
      <c r="O121" s="192"/>
      <c r="P121" s="192"/>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6">
        <v>1</v>
      </c>
    </row>
    <row r="122" spans="1:56" ht="21" customHeight="1">
      <c r="A122" s="56">
        <v>1</v>
      </c>
      <c r="B122" s="1571"/>
      <c r="C122" s="1577" t="s">
        <v>449</v>
      </c>
      <c r="D122" s="1577"/>
      <c r="E122" s="1577"/>
      <c r="F122" s="1577"/>
      <c r="G122" s="1577"/>
      <c r="H122" s="1578"/>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6">
        <v>1</v>
      </c>
    </row>
    <row r="123" spans="1:56" ht="21" customHeight="1">
      <c r="A123" s="56">
        <v>1</v>
      </c>
      <c r="B123" s="1571"/>
      <c r="C123" s="1577"/>
      <c r="D123" s="1577"/>
      <c r="E123" s="1577"/>
      <c r="F123" s="1577"/>
      <c r="G123" s="1577"/>
      <c r="H123" s="1578"/>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6">
        <v>1</v>
      </c>
    </row>
    <row r="124" spans="1:56" ht="21" customHeight="1">
      <c r="A124" s="56">
        <v>1</v>
      </c>
      <c r="B124" s="1571"/>
      <c r="C124" s="211" t="s">
        <v>474</v>
      </c>
      <c r="D124" s="210"/>
      <c r="E124" s="210"/>
      <c r="F124" s="210"/>
      <c r="G124" s="210"/>
      <c r="H124" s="209"/>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6">
        <v>1</v>
      </c>
    </row>
    <row r="125" spans="1:56" ht="21" customHeight="1">
      <c r="A125" s="56">
        <v>1</v>
      </c>
      <c r="B125" s="1571"/>
      <c r="C125" s="1579" t="s">
        <v>447</v>
      </c>
      <c r="D125" s="1579"/>
      <c r="E125" s="1579"/>
      <c r="F125" s="1579"/>
      <c r="G125" s="1579"/>
      <c r="H125" s="1580"/>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6">
        <v>1</v>
      </c>
    </row>
    <row r="126" spans="1:56" ht="21" customHeight="1">
      <c r="A126" s="56">
        <v>1</v>
      </c>
      <c r="B126" s="1571"/>
      <c r="C126" s="208" t="s">
        <v>446</v>
      </c>
      <c r="D126" s="192"/>
      <c r="E126" s="192"/>
      <c r="F126" s="203" t="s">
        <v>445</v>
      </c>
      <c r="G126" s="192"/>
      <c r="H126" s="191"/>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c r="AT126" s="56"/>
      <c r="AU126" s="56"/>
      <c r="AV126" s="56"/>
      <c r="AW126" s="56"/>
      <c r="AX126" s="56"/>
      <c r="AY126" s="56"/>
      <c r="AZ126" s="56"/>
      <c r="BA126" s="56"/>
      <c r="BB126" s="56"/>
      <c r="BC126" s="56"/>
      <c r="BD126" s="6">
        <v>1</v>
      </c>
    </row>
    <row r="127" spans="1:56" ht="21" customHeight="1">
      <c r="A127" s="56">
        <v>1</v>
      </c>
      <c r="B127" s="1571"/>
      <c r="C127" s="207" t="s">
        <v>444</v>
      </c>
      <c r="D127" s="192"/>
      <c r="E127" s="192"/>
      <c r="F127" s="206" t="s">
        <v>443</v>
      </c>
      <c r="G127" s="192"/>
      <c r="H127" s="191"/>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6"/>
      <c r="AT127" s="56"/>
      <c r="AU127" s="56"/>
      <c r="AV127" s="56"/>
      <c r="AW127" s="56"/>
      <c r="AX127" s="56"/>
      <c r="AY127" s="56"/>
      <c r="AZ127" s="56"/>
      <c r="BA127" s="56"/>
      <c r="BB127" s="56"/>
      <c r="BC127" s="56"/>
      <c r="BD127" s="6">
        <v>1</v>
      </c>
    </row>
    <row r="128" spans="1:56" ht="21" customHeight="1">
      <c r="A128" s="56">
        <v>1</v>
      </c>
      <c r="B128" s="1571"/>
      <c r="C128" s="205" t="s">
        <v>442</v>
      </c>
      <c r="D128" s="192"/>
      <c r="E128" s="192"/>
      <c r="F128" s="204" t="s">
        <v>441</v>
      </c>
      <c r="G128" s="192"/>
      <c r="H128" s="191"/>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c r="AK128" s="56"/>
      <c r="AL128" s="56"/>
      <c r="AM128" s="56"/>
      <c r="AN128" s="56"/>
      <c r="AO128" s="56"/>
      <c r="AP128" s="56"/>
      <c r="AQ128" s="56"/>
      <c r="AR128" s="56"/>
      <c r="AS128" s="56"/>
      <c r="AT128" s="56"/>
      <c r="AU128" s="56"/>
      <c r="AV128" s="56"/>
      <c r="AW128" s="56"/>
      <c r="AX128" s="56"/>
      <c r="AY128" s="56"/>
      <c r="AZ128" s="56"/>
      <c r="BA128" s="56"/>
      <c r="BB128" s="56"/>
      <c r="BC128" s="56"/>
      <c r="BD128" s="6">
        <v>1</v>
      </c>
    </row>
    <row r="129" spans="1:56" ht="21" customHeight="1">
      <c r="A129" s="56">
        <v>1</v>
      </c>
      <c r="B129" s="1571"/>
      <c r="C129" s="203"/>
      <c r="D129" s="202" t="s">
        <v>472</v>
      </c>
      <c r="E129" s="192"/>
      <c r="F129" s="201" t="s">
        <v>473</v>
      </c>
      <c r="G129" s="192"/>
      <c r="H129" s="191"/>
      <c r="I129" s="56"/>
      <c r="J129" s="56"/>
      <c r="K129" s="56"/>
      <c r="L129" s="56"/>
      <c r="M129" s="56"/>
      <c r="N129" s="56"/>
      <c r="O129" s="56"/>
      <c r="P129" s="56"/>
      <c r="Q129" s="56"/>
      <c r="R129" s="56"/>
      <c r="S129" s="56"/>
      <c r="T129" s="329"/>
      <c r="U129" s="56"/>
      <c r="V129" s="56"/>
      <c r="W129" s="56"/>
      <c r="X129" s="56"/>
      <c r="Y129" s="56"/>
      <c r="Z129" s="56"/>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6">
        <v>1</v>
      </c>
    </row>
    <row r="130" spans="1:56" ht="21" customHeight="1">
      <c r="A130" s="56">
        <v>1</v>
      </c>
      <c r="B130" s="1571"/>
      <c r="C130" s="197"/>
      <c r="D130" s="199" t="s">
        <v>471</v>
      </c>
      <c r="E130" s="192"/>
      <c r="F130" s="283" t="s">
        <v>437</v>
      </c>
      <c r="G130" s="192"/>
      <c r="H130" s="191"/>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6">
        <v>1</v>
      </c>
    </row>
    <row r="131" spans="1:56" ht="21" customHeight="1">
      <c r="A131" s="56">
        <v>1</v>
      </c>
      <c r="B131" s="1571"/>
      <c r="C131" s="282"/>
      <c r="D131" s="192"/>
      <c r="E131" s="194" t="s">
        <v>470</v>
      </c>
      <c r="F131" s="283"/>
      <c r="G131" s="282" t="s">
        <v>469</v>
      </c>
      <c r="H131" s="281" t="str">
        <f>ADDRESS(ROW(F113),COLUMN(F113),4)</f>
        <v>F113</v>
      </c>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6">
        <v>1</v>
      </c>
    </row>
    <row r="132" spans="1:56" ht="21" customHeight="1">
      <c r="A132" s="56">
        <v>1</v>
      </c>
      <c r="B132" s="1571"/>
      <c r="C132" s="193" t="s">
        <v>435</v>
      </c>
      <c r="D132" s="42"/>
      <c r="E132" s="194"/>
      <c r="F132" s="193" t="s">
        <v>434</v>
      </c>
      <c r="G132" s="192"/>
      <c r="H132" s="191"/>
      <c r="I132" s="56"/>
      <c r="J132" s="56"/>
      <c r="K132" s="56"/>
      <c r="L132" s="56"/>
      <c r="M132" s="56"/>
      <c r="N132" s="56"/>
      <c r="O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6">
        <v>1</v>
      </c>
    </row>
    <row r="133" spans="1:56" ht="21" customHeight="1">
      <c r="A133" s="56">
        <v>1</v>
      </c>
      <c r="B133" s="1571"/>
      <c r="C133" s="60">
        <v>11</v>
      </c>
      <c r="D133" s="60">
        <v>11</v>
      </c>
      <c r="E133" s="60">
        <v>11</v>
      </c>
      <c r="F133" s="60">
        <v>11</v>
      </c>
      <c r="G133" s="60">
        <v>11</v>
      </c>
      <c r="H133" s="62">
        <v>11</v>
      </c>
      <c r="I133" s="145" t="s">
        <v>425</v>
      </c>
      <c r="J133" s="217"/>
      <c r="K133" s="217"/>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6">
        <v>1</v>
      </c>
    </row>
    <row r="134" spans="1:56" ht="21" customHeight="1" thickBot="1">
      <c r="A134" s="56">
        <v>1</v>
      </c>
      <c r="B134" s="1572"/>
      <c r="C134" s="58">
        <f t="shared" ref="C134:H134" ca="1" si="5">CELL("largeur",C134)</f>
        <v>13</v>
      </c>
      <c r="D134" s="58">
        <f t="shared" ca="1" si="5"/>
        <v>21</v>
      </c>
      <c r="E134" s="58">
        <f t="shared" ca="1" si="5"/>
        <v>13</v>
      </c>
      <c r="F134" s="58">
        <f t="shared" ca="1" si="5"/>
        <v>13</v>
      </c>
      <c r="G134" s="58">
        <f t="shared" ca="1" si="5"/>
        <v>13</v>
      </c>
      <c r="H134" s="61">
        <f t="shared" ca="1" si="5"/>
        <v>13</v>
      </c>
      <c r="I134" s="145" t="s">
        <v>424</v>
      </c>
      <c r="J134" s="217"/>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6">
        <v>1</v>
      </c>
    </row>
    <row r="135" spans="1:56" ht="21" customHeight="1">
      <c r="A135" s="56"/>
      <c r="B135" s="56"/>
      <c r="C135" s="56"/>
      <c r="D135" s="56"/>
      <c r="E135" s="56"/>
      <c r="F135" s="56"/>
      <c r="G135" s="56"/>
      <c r="H135" s="56"/>
      <c r="I135" s="56"/>
      <c r="J135" s="56">
        <v>1</v>
      </c>
      <c r="K135" s="326" t="s">
        <v>431</v>
      </c>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6">
        <v>1</v>
      </c>
    </row>
    <row r="136" spans="1:56" ht="21" customHeight="1" thickBot="1">
      <c r="A136" s="56"/>
      <c r="B136" s="328" t="s">
        <v>483</v>
      </c>
      <c r="C136" s="328"/>
      <c r="D136" s="56"/>
      <c r="E136" s="56"/>
      <c r="F136" s="56"/>
      <c r="G136" s="56"/>
      <c r="H136" s="56"/>
      <c r="I136" s="327" t="s">
        <v>482</v>
      </c>
      <c r="J136" s="56"/>
      <c r="K136" s="326" t="s">
        <v>430</v>
      </c>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6">
        <v>1</v>
      </c>
    </row>
    <row r="137" spans="1:56" ht="21" customHeight="1">
      <c r="A137" s="56">
        <v>1</v>
      </c>
      <c r="B137" s="1539" t="s">
        <v>401</v>
      </c>
      <c r="C137" s="1581" t="s">
        <v>466</v>
      </c>
      <c r="D137" s="1581"/>
      <c r="E137" s="1581"/>
      <c r="F137" s="1581"/>
      <c r="G137" s="325"/>
      <c r="H137" s="324" t="str">
        <f>E145</f>
        <v>❻ Foisonnement</v>
      </c>
      <c r="I137" s="323" t="s">
        <v>481</v>
      </c>
      <c r="J137" s="217"/>
      <c r="K137" s="217"/>
      <c r="L137" s="322" t="s">
        <v>480</v>
      </c>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6">
        <v>1</v>
      </c>
    </row>
    <row r="138" spans="1:56" ht="21" customHeight="1">
      <c r="A138" s="56"/>
      <c r="B138" s="1540"/>
      <c r="C138" s="321"/>
      <c r="D138" s="321"/>
      <c r="E138" s="320"/>
      <c r="F138" s="319" t="s">
        <v>479</v>
      </c>
      <c r="G138" s="318" t="str">
        <f>IF(F144=D160,"CRU- Brut ou à cuire","CUIT - Net à servir")</f>
        <v>CUIT - Net à servir</v>
      </c>
      <c r="H138" s="317"/>
      <c r="I138" s="286" t="str">
        <f>HYPERLINK("#"&amp;ADDRESS(ROW(G138),COLUMN(G138),4),"◀"&amp;ADDRESS(ROW(G138),COLUMN(G138),4))</f>
        <v>◀G138</v>
      </c>
      <c r="J138" s="316" t="str">
        <f>G138</f>
        <v>CUIT - Net à servir</v>
      </c>
      <c r="K138" s="285" t="str">
        <f ca="1">_xlfn.FORMULATEXT(G138)</f>
        <v>=SI(F144=D160;"CRU- Brut ou à cuire";"CUIT - Net à servir")</v>
      </c>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6">
        <v>1</v>
      </c>
    </row>
    <row r="139" spans="1:56" ht="21" customHeight="1">
      <c r="A139" s="56"/>
      <c r="B139" s="1582">
        <v>3</v>
      </c>
      <c r="C139" s="1584" t="str">
        <f>D141</f>
        <v>Semoule (poids cru)</v>
      </c>
      <c r="D139" s="1584"/>
      <c r="E139" s="1584"/>
      <c r="F139" s="1584"/>
      <c r="G139" s="1584"/>
      <c r="H139" s="1585"/>
      <c r="I139" s="286" t="str">
        <f>HYPERLINK("#"&amp;ADDRESS(ROW(E140),COLUMN(E140),4),"◀"&amp;ADDRESS(ROW(E140),COLUMN(E140),4))</f>
        <v>◀E140</v>
      </c>
      <c r="J139" s="315">
        <f>E140</f>
        <v>5</v>
      </c>
      <c r="K139" s="285" t="str">
        <f ca="1">_xlfn.FORMULATEXT(E140)</f>
        <v>=ENT(E150/E144)</v>
      </c>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6"/>
      <c r="BC139" s="56"/>
      <c r="BD139" s="6">
        <v>1</v>
      </c>
    </row>
    <row r="140" spans="1:56" ht="21" customHeight="1">
      <c r="A140" s="56"/>
      <c r="B140" s="1582"/>
      <c r="C140" s="314"/>
      <c r="D140" s="313" t="s">
        <v>464</v>
      </c>
      <c r="E140" s="312">
        <f>INT(E150/E144)</f>
        <v>5</v>
      </c>
      <c r="F140" s="311">
        <f>IF(E140=0,0,IF(E151=0,0,E144))</f>
        <v>1</v>
      </c>
      <c r="G140" s="310" t="str">
        <f>IF(F140*E140=0,"1 de",IF(E150=0,0,IF(E144=0,0,IF(F140*E140=E150,"",IF(H140&gt;0,"Plus 1 de")))))</f>
        <v/>
      </c>
      <c r="H140" s="309" t="str">
        <f>IF(E144=0,0,IF(F140*E140=E150,"",MOD(E150,E144)))</f>
        <v/>
      </c>
      <c r="I140" s="286" t="str">
        <f>HYPERLINK("#"&amp;ADDRESS(ROW(F140),COLUMN(F140),4),"◀"&amp;ADDRESS(ROW(F140),COLUMN(F140),4))</f>
        <v>◀F140</v>
      </c>
      <c r="J140" s="308">
        <f>F140</f>
        <v>1</v>
      </c>
      <c r="K140" s="285" t="str">
        <f ca="1">_xlfn.FORMULATEXT(F140)</f>
        <v>=SI(E140=0;0;SI(E151=0;0;E144))</v>
      </c>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c r="AK140" s="56"/>
      <c r="AL140" s="56"/>
      <c r="AM140" s="56"/>
      <c r="AN140" s="56"/>
      <c r="AO140" s="56"/>
      <c r="AP140" s="56"/>
      <c r="AQ140" s="56"/>
      <c r="AR140" s="56"/>
      <c r="AS140" s="56"/>
      <c r="AT140" s="56"/>
      <c r="AU140" s="56"/>
      <c r="AV140" s="56"/>
      <c r="AW140" s="56"/>
      <c r="AX140" s="56"/>
      <c r="AY140" s="56"/>
      <c r="AZ140" s="56"/>
      <c r="BA140" s="56"/>
      <c r="BB140" s="56"/>
      <c r="BC140" s="56"/>
      <c r="BD140" s="6">
        <v>1</v>
      </c>
    </row>
    <row r="141" spans="1:56" ht="21" customHeight="1">
      <c r="A141" s="56"/>
      <c r="B141" s="1582"/>
      <c r="C141" s="307" t="s">
        <v>478</v>
      </c>
      <c r="D141" s="306" t="s">
        <v>477</v>
      </c>
      <c r="E141" s="256"/>
      <c r="F141" s="192"/>
      <c r="G141" s="192"/>
      <c r="H141" s="191"/>
      <c r="I141" s="286" t="str">
        <f>HYPERLINK("#"&amp;ADDRESS(ROW(G140),COLUMN(G140),4),"◀"&amp;ADDRESS(ROW(G140),COLUMN(G140),4))</f>
        <v>◀G140</v>
      </c>
      <c r="J141" s="305" t="str">
        <f>G140</f>
        <v/>
      </c>
      <c r="K141" s="285" t="str">
        <f ca="1">_xlfn.FORMULATEXT(G140)</f>
        <v>=SI(F140*E140=0;"1 de";SI(E150=0;0;SI(E144=0;0;SI(F140*E140=E150;"";SI(H140&gt;0;"Plus 1 de")))))</v>
      </c>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6">
        <v>1</v>
      </c>
    </row>
    <row r="142" spans="1:56" ht="21" customHeight="1">
      <c r="A142" s="56"/>
      <c r="B142" s="1582"/>
      <c r="C142" s="192"/>
      <c r="D142" s="192"/>
      <c r="E142" s="255" t="s">
        <v>444</v>
      </c>
      <c r="F142" s="1575" t="s">
        <v>476</v>
      </c>
      <c r="G142" s="1575"/>
      <c r="H142" s="1576"/>
      <c r="I142" s="286" t="str">
        <f>HYPERLINK("#"&amp;ADDRESS(ROW(H140),COLUMN(H140),4),"◀"&amp;ADDRESS(ROW(H140),COLUMN(H140),4))</f>
        <v>◀H140</v>
      </c>
      <c r="J142" s="304" t="str">
        <f>H140</f>
        <v/>
      </c>
      <c r="K142" s="285" t="str">
        <f ca="1">_xlfn.FORMULATEXT(H140)</f>
        <v>=SI(E144=0;0;SI(F140*E140=E150;"";MOD(E150;E144)))</v>
      </c>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c r="AK142" s="56"/>
      <c r="AL142" s="56"/>
      <c r="AM142" s="56"/>
      <c r="AN142" s="56"/>
      <c r="AO142" s="56"/>
      <c r="AP142" s="56"/>
      <c r="AQ142" s="56"/>
      <c r="AR142" s="56"/>
      <c r="AS142" s="56"/>
      <c r="AT142" s="56"/>
      <c r="AU142" s="56"/>
      <c r="AV142" s="56"/>
      <c r="AW142" s="56"/>
      <c r="AX142" s="56"/>
      <c r="AY142" s="56"/>
      <c r="AZ142" s="56"/>
      <c r="BA142" s="56"/>
      <c r="BB142" s="56"/>
      <c r="BC142" s="56"/>
      <c r="BD142" s="6">
        <v>1</v>
      </c>
    </row>
    <row r="143" spans="1:56" ht="21" customHeight="1">
      <c r="A143" s="56"/>
      <c r="B143" s="1582"/>
      <c r="C143" s="192"/>
      <c r="D143" s="248"/>
      <c r="E143" s="247"/>
      <c r="F143" s="246" t="s">
        <v>457</v>
      </c>
      <c r="G143" s="248"/>
      <c r="H143" s="191"/>
      <c r="I143" s="286"/>
      <c r="J143" s="290"/>
      <c r="K143" s="192"/>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6">
        <v>1</v>
      </c>
    </row>
    <row r="144" spans="1:56" ht="21" customHeight="1">
      <c r="A144" s="56"/>
      <c r="B144" s="1582"/>
      <c r="C144" s="242"/>
      <c r="D144" s="245" t="s">
        <v>456</v>
      </c>
      <c r="E144" s="303">
        <v>1</v>
      </c>
      <c r="F144" s="199" t="s">
        <v>471</v>
      </c>
      <c r="G144" s="236">
        <f>IF(F144=D160,E144*F145,IF(F144=D161,E144/F145))</f>
        <v>0.5</v>
      </c>
      <c r="H144" s="235" t="str">
        <f>H147</f>
        <v>❹ Kg cru</v>
      </c>
      <c r="I144" s="147" t="str">
        <f>HYPERLINK("#"&amp;ADDRESS(ROW(G146),COLUMN(G146),4),"◀"&amp;ADDRESS(ROW(G146),COLUMN(G146),4))</f>
        <v>◀G146</v>
      </c>
      <c r="J144" s="239">
        <f>G144</f>
        <v>0.5</v>
      </c>
      <c r="K144" s="285" t="str">
        <f ca="1">_xlfn.FORMULATEXT(G144)</f>
        <v>=SI(F144=D160;E144*F145;SI(F144=D161;E144/F145))</v>
      </c>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6">
        <v>1</v>
      </c>
    </row>
    <row r="145" spans="1:56" ht="21" customHeight="1">
      <c r="A145" s="56"/>
      <c r="B145" s="1582"/>
      <c r="C145" s="192"/>
      <c r="D145" s="217"/>
      <c r="E145" s="302" t="s">
        <v>441</v>
      </c>
      <c r="F145" s="301">
        <v>2</v>
      </c>
      <c r="G145" s="300" t="str">
        <f>IF(F144=D160,"cru X par","cuit / par")</f>
        <v>cuit / par</v>
      </c>
      <c r="H145" s="299">
        <f>F145</f>
        <v>2</v>
      </c>
      <c r="I145" s="286" t="str">
        <f>HYPERLINK("#"&amp;ADDRESS(ROW(G145),COLUMN(G145),4),"◀"&amp;ADDRESS(ROW(G145),COLUMN(G145),4))</f>
        <v>◀G145</v>
      </c>
      <c r="J145" s="298" t="str">
        <f>G145</f>
        <v>cuit / par</v>
      </c>
      <c r="K145" s="285" t="str">
        <f ca="1">_xlfn.FORMULATEXT(G145)</f>
        <v>=SI(F144=D160;"cru X par";"cuit / par")</v>
      </c>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6">
        <v>1</v>
      </c>
    </row>
    <row r="146" spans="1:56" ht="21" customHeight="1">
      <c r="A146" s="56"/>
      <c r="B146" s="1582"/>
      <c r="C146" s="192"/>
      <c r="D146" s="192"/>
      <c r="E146" s="192"/>
      <c r="F146" s="192"/>
      <c r="G146" s="192"/>
      <c r="H146" s="191"/>
      <c r="I146" s="286"/>
      <c r="J146" s="290"/>
      <c r="K146" s="192"/>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6">
        <v>1</v>
      </c>
    </row>
    <row r="147" spans="1:56" ht="21" customHeight="1">
      <c r="A147" s="56"/>
      <c r="B147" s="1582"/>
      <c r="C147" s="192"/>
      <c r="D147" s="228" t="s">
        <v>475</v>
      </c>
      <c r="E147" s="297">
        <v>0.05</v>
      </c>
      <c r="F147" s="296" t="str">
        <f>F144</f>
        <v>❺ Kg cuit</v>
      </c>
      <c r="G147" s="236">
        <f>IF(F144=D160,E147*F145,IF(F144=D161,E147/F145))</f>
        <v>2.5000000000000001E-2</v>
      </c>
      <c r="H147" s="225" t="str">
        <f>IF(F147=D160,D161,D160)</f>
        <v>❹ Kg cru</v>
      </c>
      <c r="I147" s="286" t="str">
        <f>HYPERLINK("#"&amp;ADDRESS(ROW(G147),COLUMN(G147),4),"◀"&amp;ADDRESS(ROW(G147),COLUMN(G147),4))</f>
        <v>◀G147</v>
      </c>
      <c r="J147" s="239">
        <f>G147</f>
        <v>2.5000000000000001E-2</v>
      </c>
      <c r="K147" s="295" t="str">
        <f ca="1">_xlfn.FORMULATEXT(G147)</f>
        <v>=SI(F144=D160;E147*F145;SI(F144=D161;E147/F145))</v>
      </c>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6">
        <v>1</v>
      </c>
    </row>
    <row r="148" spans="1:56" ht="21" customHeight="1">
      <c r="A148" s="56"/>
      <c r="B148" s="1582"/>
      <c r="C148" s="192"/>
      <c r="D148" s="294" t="s">
        <v>454</v>
      </c>
      <c r="E148" s="293">
        <v>100</v>
      </c>
      <c r="F148" s="292" t="s">
        <v>258</v>
      </c>
      <c r="G148" s="192"/>
      <c r="H148" s="230"/>
      <c r="I148" s="286" t="str">
        <f>HYPERLINK("#"&amp;ADDRESS(ROW(H147),COLUMN(H147),4),"◀"&amp;ADDRESS(ROW(H147),COLUMN(H147),4))</f>
        <v>◀H147</v>
      </c>
      <c r="J148" s="291" t="str">
        <f>H147</f>
        <v>❹ Kg cru</v>
      </c>
      <c r="K148" s="285" t="str">
        <f ca="1">_xlfn.FORMULATEXT(H147)</f>
        <v>=SI(F147=D160;D161;D160)</v>
      </c>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c r="AP148" s="56"/>
      <c r="AQ148" s="56"/>
      <c r="AR148" s="56"/>
      <c r="AS148" s="56"/>
      <c r="AT148" s="56"/>
      <c r="AU148" s="56"/>
      <c r="AV148" s="56"/>
      <c r="AW148" s="56"/>
      <c r="AX148" s="56"/>
      <c r="AY148" s="56"/>
      <c r="AZ148" s="56"/>
      <c r="BA148" s="56"/>
      <c r="BB148" s="56"/>
      <c r="BC148" s="56"/>
      <c r="BD148" s="6">
        <v>1</v>
      </c>
    </row>
    <row r="149" spans="1:56" ht="21" customHeight="1">
      <c r="A149" s="56"/>
      <c r="B149" s="1582"/>
      <c r="C149" s="192"/>
      <c r="D149" s="192"/>
      <c r="E149" s="192"/>
      <c r="F149" s="192"/>
      <c r="G149" s="192"/>
      <c r="H149" s="191"/>
      <c r="I149" s="286"/>
      <c r="J149" s="290"/>
      <c r="K149" s="192"/>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c r="BD149" s="6">
        <v>1</v>
      </c>
    </row>
    <row r="150" spans="1:56" ht="21" customHeight="1">
      <c r="A150" s="56"/>
      <c r="B150" s="1582"/>
      <c r="C150" s="192"/>
      <c r="D150" s="222" t="s">
        <v>452</v>
      </c>
      <c r="E150" s="288">
        <f>IF(E144=0,0,E147*E148)</f>
        <v>5</v>
      </c>
      <c r="F150" s="289" t="str">
        <f>F144</f>
        <v>❺ Kg cuit</v>
      </c>
      <c r="G150" s="219">
        <f>IF(E144=0,0,G147*E148)</f>
        <v>2.5</v>
      </c>
      <c r="H150" s="218" t="str">
        <f>H147</f>
        <v>❹ Kg cru</v>
      </c>
      <c r="I150" s="286" t="str">
        <f>HYPERLINK("#"&amp;ADDRESS(ROW(E150),COLUMN(E150),4),"◀"&amp;ADDRESS(ROW(E150),COLUMN(E150),4))</f>
        <v>◀E150</v>
      </c>
      <c r="J150" s="288">
        <f>E150</f>
        <v>5</v>
      </c>
      <c r="K150" s="285" t="str">
        <f ca="1">_xlfn.FORMULATEXT(E150)</f>
        <v>=SI(E144=0;0;E147*E148)</v>
      </c>
      <c r="L150" s="56"/>
      <c r="M150" s="287" t="str">
        <f>ADDRESS(ROW(G150),COLUMN(G150),4)</f>
        <v>G150</v>
      </c>
      <c r="N150" s="285" t="str">
        <f ca="1">_xlfn.FORMULATEXT(G150)</f>
        <v>=SI(E144=0;0;G147*E148)</v>
      </c>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56"/>
      <c r="AW150" s="56"/>
      <c r="AX150" s="56"/>
      <c r="AY150" s="56"/>
      <c r="AZ150" s="56"/>
      <c r="BA150" s="56"/>
      <c r="BB150" s="56"/>
      <c r="BC150" s="56"/>
      <c r="BD150" s="6">
        <v>1</v>
      </c>
    </row>
    <row r="151" spans="1:56" ht="21" customHeight="1">
      <c r="A151" s="56"/>
      <c r="B151" s="1582"/>
      <c r="C151" s="192"/>
      <c r="D151" s="215" t="s">
        <v>451</v>
      </c>
      <c r="E151" s="214">
        <f>IF(E144=0,0,IF(MOD(E150,E144)&gt;MOD(E150,E144)/2,INT(E150/E144)+1,INT(E150/E144)))</f>
        <v>5</v>
      </c>
      <c r="F151" s="213" t="s">
        <v>450</v>
      </c>
      <c r="G151" s="212">
        <f>IF(ISBLANK(E147),0,E144/E147)</f>
        <v>20</v>
      </c>
      <c r="H151" s="191"/>
      <c r="I151" s="286" t="str">
        <f>HYPERLINK("#"&amp;ADDRESS(ROW(E151),COLUMN(E151),4),"◀"&amp;ADDRESS(ROW(E151),COLUMN(E151),4))</f>
        <v>◀E151</v>
      </c>
      <c r="J151" s="214">
        <f>E151</f>
        <v>5</v>
      </c>
      <c r="K151" s="285" t="str">
        <f ca="1">_xlfn.FORMULATEXT(E151)</f>
        <v>=SI(E144=0;0;SI(MOD(E150;E144)&gt;MOD(E150;E144)/2;ENT(E150/E144)+1;ENT(E150/E144)))</v>
      </c>
      <c r="L151" s="56"/>
      <c r="M151" s="56"/>
      <c r="N151" s="56"/>
      <c r="O151" s="56"/>
      <c r="P151" s="56"/>
      <c r="Q151" s="284"/>
      <c r="R151" s="284"/>
      <c r="S151" s="284"/>
      <c r="T151" s="284"/>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6">
        <v>1</v>
      </c>
    </row>
    <row r="152" spans="1:56" ht="21" customHeight="1">
      <c r="A152" s="56"/>
      <c r="B152" s="1582"/>
      <c r="C152" s="192"/>
      <c r="D152" s="215"/>
      <c r="E152" s="214"/>
      <c r="F152" s="213"/>
      <c r="G152" s="212"/>
      <c r="H152" s="191"/>
      <c r="I152" s="286" t="str">
        <f>HYPERLINK("#"&amp;ADDRESS(ROW(G151),COLUMN(G151),4),"◀"&amp;ADDRESS(ROW(G151),COLUMN(G151),4))</f>
        <v>◀G151</v>
      </c>
      <c r="J152" s="212">
        <f>G151</f>
        <v>20</v>
      </c>
      <c r="K152" s="285" t="str">
        <f ca="1">_xlfn.FORMULATEXT(G151)</f>
        <v>=SI(ESTVIDE(E147);0;E144/E147)</v>
      </c>
      <c r="L152" s="56"/>
      <c r="M152" s="56"/>
      <c r="N152" s="56"/>
      <c r="O152" s="56"/>
      <c r="P152" s="56"/>
      <c r="Q152" s="284"/>
      <c r="R152" s="284"/>
      <c r="S152" s="284"/>
      <c r="T152" s="284"/>
      <c r="U152" s="56"/>
      <c r="V152" s="56"/>
      <c r="W152" s="56"/>
      <c r="X152" s="56"/>
      <c r="Y152" s="56"/>
      <c r="Z152" s="56"/>
      <c r="AA152" s="56"/>
      <c r="AB152" s="56"/>
      <c r="AC152" s="56"/>
      <c r="AD152" s="56"/>
      <c r="AE152" s="56"/>
      <c r="AF152" s="56"/>
      <c r="AG152" s="56"/>
      <c r="AH152" s="56"/>
      <c r="AI152" s="56"/>
      <c r="AJ152" s="56"/>
      <c r="AK152" s="56"/>
      <c r="AL152" s="56"/>
      <c r="AM152" s="56"/>
      <c r="AN152" s="56"/>
      <c r="AO152" s="56"/>
      <c r="AP152" s="56"/>
      <c r="AQ152" s="56"/>
      <c r="AR152" s="56"/>
      <c r="AS152" s="56"/>
      <c r="AT152" s="56"/>
      <c r="AU152" s="56"/>
      <c r="AV152" s="56"/>
      <c r="AW152" s="56"/>
      <c r="AX152" s="56"/>
      <c r="AY152" s="56"/>
      <c r="AZ152" s="56"/>
      <c r="BA152" s="56"/>
      <c r="BB152" s="56"/>
      <c r="BC152" s="56"/>
      <c r="BD152" s="6">
        <v>1</v>
      </c>
    </row>
    <row r="153" spans="1:56" ht="21" customHeight="1">
      <c r="A153" s="56"/>
      <c r="B153" s="1582"/>
      <c r="C153" s="1577" t="s">
        <v>449</v>
      </c>
      <c r="D153" s="1577"/>
      <c r="E153" s="1577"/>
      <c r="F153" s="1577"/>
      <c r="G153" s="1577"/>
      <c r="H153" s="1578"/>
      <c r="I153" s="56"/>
      <c r="J153" s="56"/>
      <c r="K153" s="56"/>
      <c r="L153" s="56"/>
      <c r="M153" s="56"/>
      <c r="N153" s="56"/>
      <c r="O153" s="56"/>
      <c r="P153" s="56"/>
      <c r="Q153" s="284"/>
      <c r="R153" s="284"/>
      <c r="S153" s="284"/>
      <c r="T153" s="284"/>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6">
        <v>1</v>
      </c>
    </row>
    <row r="154" spans="1:56" ht="21" customHeight="1">
      <c r="A154" s="56"/>
      <c r="B154" s="1582"/>
      <c r="C154" s="1577"/>
      <c r="D154" s="1577"/>
      <c r="E154" s="1577"/>
      <c r="F154" s="1577"/>
      <c r="G154" s="1577"/>
      <c r="H154" s="1578"/>
      <c r="I154" s="56"/>
      <c r="J154" s="56"/>
      <c r="K154" s="56"/>
      <c r="L154" s="56"/>
      <c r="M154" s="56"/>
      <c r="N154" s="56"/>
      <c r="O154" s="56"/>
      <c r="P154" s="56"/>
      <c r="Q154" s="284"/>
      <c r="R154" s="284"/>
      <c r="S154" s="284"/>
      <c r="T154" s="284"/>
      <c r="U154" s="56"/>
      <c r="V154" s="56"/>
      <c r="W154" s="56"/>
      <c r="X154" s="56"/>
      <c r="Y154" s="56"/>
      <c r="Z154" s="56"/>
      <c r="AA154" s="56"/>
      <c r="AB154" s="56"/>
      <c r="AC154" s="56"/>
      <c r="AD154" s="56"/>
      <c r="AE154" s="56"/>
      <c r="AF154" s="56"/>
      <c r="AG154" s="56"/>
      <c r="AH154" s="56"/>
      <c r="AI154" s="56"/>
      <c r="AJ154" s="56"/>
      <c r="AK154" s="56"/>
      <c r="AL154" s="56"/>
      <c r="AM154" s="56"/>
      <c r="AN154" s="56"/>
      <c r="AO154" s="56"/>
      <c r="AP154" s="56"/>
      <c r="AQ154" s="56"/>
      <c r="AR154" s="56"/>
      <c r="AS154" s="56"/>
      <c r="AT154" s="56"/>
      <c r="AU154" s="56"/>
      <c r="AV154" s="56"/>
      <c r="AW154" s="56"/>
      <c r="AX154" s="56"/>
      <c r="AY154" s="56"/>
      <c r="AZ154" s="56"/>
      <c r="BA154" s="56"/>
      <c r="BB154" s="56"/>
      <c r="BC154" s="56"/>
      <c r="BD154" s="6">
        <v>1</v>
      </c>
    </row>
    <row r="155" spans="1:56" ht="21" customHeight="1">
      <c r="A155" s="56"/>
      <c r="B155" s="1582"/>
      <c r="C155" s="211" t="s">
        <v>474</v>
      </c>
      <c r="D155" s="210"/>
      <c r="E155" s="210"/>
      <c r="F155" s="210"/>
      <c r="G155" s="210"/>
      <c r="H155" s="209"/>
      <c r="I155" s="56"/>
      <c r="J155" s="56"/>
      <c r="K155" s="56"/>
      <c r="L155" s="56"/>
      <c r="M155" s="56"/>
      <c r="N155" s="56"/>
      <c r="O155" s="56"/>
      <c r="P155" s="56"/>
      <c r="Q155" s="284"/>
      <c r="R155" s="284"/>
      <c r="S155" s="284"/>
      <c r="T155" s="284"/>
      <c r="U155" s="56"/>
      <c r="V155" s="56"/>
      <c r="W155" s="56"/>
      <c r="X155" s="56"/>
      <c r="Y155" s="56"/>
      <c r="Z155" s="56"/>
      <c r="AA155" s="56"/>
      <c r="AB155" s="56"/>
      <c r="AC155" s="56"/>
      <c r="AD155" s="56"/>
      <c r="AE155" s="56"/>
      <c r="AF155" s="56"/>
      <c r="AG155" s="56"/>
      <c r="AH155" s="56"/>
      <c r="AI155" s="56"/>
      <c r="AJ155" s="56"/>
      <c r="AK155" s="56"/>
      <c r="AL155" s="56"/>
      <c r="AM155" s="56"/>
      <c r="AN155" s="56"/>
      <c r="AO155" s="56"/>
      <c r="AP155" s="56"/>
      <c r="AQ155" s="56"/>
      <c r="AR155" s="56"/>
      <c r="AS155" s="56"/>
      <c r="AT155" s="56"/>
      <c r="AU155" s="56"/>
      <c r="AV155" s="56"/>
      <c r="AW155" s="56"/>
      <c r="AX155" s="56"/>
      <c r="AY155" s="56"/>
      <c r="AZ155" s="56"/>
      <c r="BA155" s="56"/>
      <c r="BB155" s="56"/>
      <c r="BC155" s="56"/>
      <c r="BD155" s="6">
        <v>1</v>
      </c>
    </row>
    <row r="156" spans="1:56" ht="21" customHeight="1">
      <c r="A156" s="56"/>
      <c r="B156" s="1582"/>
      <c r="C156" s="1586" t="s">
        <v>447</v>
      </c>
      <c r="D156" s="1586"/>
      <c r="E156" s="1586"/>
      <c r="F156" s="1586"/>
      <c r="G156" s="1586"/>
      <c r="H156" s="1587"/>
      <c r="I156" s="56"/>
      <c r="J156" s="56"/>
      <c r="K156" s="56"/>
      <c r="L156" s="56"/>
      <c r="M156" s="56"/>
      <c r="N156" s="56"/>
      <c r="O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6">
        <v>1</v>
      </c>
    </row>
    <row r="157" spans="1:56" ht="21" customHeight="1">
      <c r="A157" s="56"/>
      <c r="B157" s="1582"/>
      <c r="C157" s="208" t="s">
        <v>446</v>
      </c>
      <c r="D157" s="192"/>
      <c r="E157" s="192"/>
      <c r="F157" s="204" t="s">
        <v>441</v>
      </c>
      <c r="G157" s="192"/>
      <c r="H157" s="191"/>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6">
        <v>1</v>
      </c>
    </row>
    <row r="158" spans="1:56" ht="21" customHeight="1">
      <c r="A158" s="56"/>
      <c r="B158" s="1582"/>
      <c r="C158" s="207" t="s">
        <v>444</v>
      </c>
      <c r="D158" s="192"/>
      <c r="E158" s="192"/>
      <c r="F158" s="201" t="s">
        <v>473</v>
      </c>
      <c r="G158" s="192"/>
      <c r="H158" s="191"/>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6">
        <v>1</v>
      </c>
    </row>
    <row r="159" spans="1:56" ht="21" customHeight="1">
      <c r="A159" s="56"/>
      <c r="B159" s="1582"/>
      <c r="C159" s="205" t="s">
        <v>442</v>
      </c>
      <c r="D159" s="192"/>
      <c r="E159" s="192"/>
      <c r="F159" s="283" t="s">
        <v>437</v>
      </c>
      <c r="G159" s="192"/>
      <c r="H159" s="191"/>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56"/>
      <c r="AJ159" s="56"/>
      <c r="AK159" s="56"/>
      <c r="AL159" s="56"/>
      <c r="AM159" s="56"/>
      <c r="AN159" s="56"/>
      <c r="AO159" s="56"/>
      <c r="AP159" s="56"/>
      <c r="AQ159" s="56"/>
      <c r="AR159" s="56"/>
      <c r="AS159" s="56"/>
      <c r="AT159" s="56"/>
      <c r="AU159" s="56"/>
      <c r="AV159" s="56"/>
      <c r="AW159" s="56"/>
      <c r="AX159" s="56"/>
      <c r="AY159" s="56"/>
      <c r="AZ159" s="56"/>
      <c r="BA159" s="56"/>
      <c r="BB159" s="56"/>
      <c r="BC159" s="56"/>
      <c r="BD159" s="6">
        <v>1</v>
      </c>
    </row>
    <row r="160" spans="1:56" ht="21" customHeight="1">
      <c r="A160" s="56"/>
      <c r="B160" s="1582"/>
      <c r="C160" s="203"/>
      <c r="D160" s="202" t="s">
        <v>472</v>
      </c>
      <c r="E160" s="192"/>
      <c r="F160" s="201"/>
      <c r="G160" s="192"/>
      <c r="H160" s="191"/>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6">
        <v>1</v>
      </c>
    </row>
    <row r="161" spans="1:56" ht="21" customHeight="1">
      <c r="A161" s="56"/>
      <c r="B161" s="1582"/>
      <c r="C161" s="197"/>
      <c r="D161" s="199" t="s">
        <v>471</v>
      </c>
      <c r="E161" s="192"/>
      <c r="F161" s="283"/>
      <c r="G161" s="192"/>
      <c r="H161" s="191"/>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6">
        <v>1</v>
      </c>
    </row>
    <row r="162" spans="1:56" ht="21" customHeight="1">
      <c r="A162" s="56"/>
      <c r="B162" s="1582"/>
      <c r="C162" s="282"/>
      <c r="D162" s="192"/>
      <c r="E162" s="194" t="s">
        <v>470</v>
      </c>
      <c r="F162" s="283"/>
      <c r="G162" s="282" t="s">
        <v>469</v>
      </c>
      <c r="H162" s="281" t="str">
        <f>ADDRESS(ROW(F144),COLUMN(F144),4)</f>
        <v>F144</v>
      </c>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6">
        <v>1</v>
      </c>
    </row>
    <row r="163" spans="1:56" ht="21" customHeight="1">
      <c r="A163" s="56"/>
      <c r="B163" s="1582"/>
      <c r="C163" s="193" t="s">
        <v>468</v>
      </c>
      <c r="D163" s="42"/>
      <c r="E163" s="194"/>
      <c r="F163" s="193" t="s">
        <v>467</v>
      </c>
      <c r="G163" s="192"/>
      <c r="H163" s="191"/>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6">
        <v>1</v>
      </c>
    </row>
    <row r="164" spans="1:56" ht="21" customHeight="1">
      <c r="A164" s="56"/>
      <c r="B164" s="1582"/>
      <c r="C164" s="60">
        <v>12</v>
      </c>
      <c r="D164" s="60">
        <v>11</v>
      </c>
      <c r="E164" s="60">
        <v>11</v>
      </c>
      <c r="F164" s="60">
        <v>11</v>
      </c>
      <c r="G164" s="60">
        <v>11</v>
      </c>
      <c r="H164" s="62">
        <v>11</v>
      </c>
      <c r="I164" s="145" t="s">
        <v>425</v>
      </c>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6">
        <v>1</v>
      </c>
    </row>
    <row r="165" spans="1:56" ht="21" customHeight="1" thickBot="1">
      <c r="A165" s="56"/>
      <c r="B165" s="1583"/>
      <c r="C165" s="58">
        <f t="shared" ref="C165:H165" ca="1" si="6">CELL("largeur",C165)</f>
        <v>13</v>
      </c>
      <c r="D165" s="58">
        <f t="shared" ca="1" si="6"/>
        <v>21</v>
      </c>
      <c r="E165" s="58">
        <f t="shared" ca="1" si="6"/>
        <v>13</v>
      </c>
      <c r="F165" s="58">
        <f t="shared" ca="1" si="6"/>
        <v>13</v>
      </c>
      <c r="G165" s="58">
        <f t="shared" ca="1" si="6"/>
        <v>13</v>
      </c>
      <c r="H165" s="61">
        <f t="shared" ca="1" si="6"/>
        <v>13</v>
      </c>
      <c r="I165" s="145" t="s">
        <v>424</v>
      </c>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56"/>
      <c r="AO165" s="56"/>
      <c r="AP165" s="56"/>
      <c r="AQ165" s="56"/>
      <c r="AR165" s="56"/>
      <c r="AS165" s="56"/>
      <c r="AT165" s="56"/>
      <c r="AU165" s="56"/>
      <c r="AV165" s="56"/>
      <c r="AW165" s="56"/>
      <c r="AX165" s="56"/>
      <c r="AY165" s="56"/>
      <c r="AZ165" s="56"/>
      <c r="BA165" s="56"/>
      <c r="BB165" s="56"/>
      <c r="BC165" s="56"/>
      <c r="BD165" s="6">
        <v>1</v>
      </c>
    </row>
    <row r="166" spans="1:56" ht="21" customHeight="1" thickBot="1">
      <c r="A166" s="56"/>
      <c r="B166" s="56"/>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56"/>
      <c r="BC166" s="56"/>
      <c r="BD166" s="6">
        <v>1</v>
      </c>
    </row>
    <row r="167" spans="1:56" ht="21" customHeight="1">
      <c r="A167" s="56"/>
      <c r="B167" s="1539" t="s">
        <v>401</v>
      </c>
      <c r="C167" s="1570" t="s">
        <v>466</v>
      </c>
      <c r="D167" s="1570"/>
      <c r="E167" s="1570"/>
      <c r="F167" s="1570"/>
      <c r="G167" s="280"/>
      <c r="H167" s="279" t="str">
        <f>F175</f>
        <v>Morceaux</v>
      </c>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6">
        <v>1</v>
      </c>
    </row>
    <row r="168" spans="1:56" ht="21" customHeight="1">
      <c r="A168" s="56"/>
      <c r="B168" s="1540"/>
      <c r="C168" s="278"/>
      <c r="D168" s="278"/>
      <c r="E168" s="277"/>
      <c r="F168" s="276" t="s">
        <v>465</v>
      </c>
      <c r="G168" s="275" t="str">
        <f>G177</f>
        <v>❹ Cru</v>
      </c>
      <c r="H168" s="274"/>
      <c r="I168" s="56"/>
      <c r="J168" s="56"/>
      <c r="K168" s="56"/>
      <c r="L168" s="56"/>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6">
        <v>1</v>
      </c>
    </row>
    <row r="169" spans="1:56" ht="21" customHeight="1">
      <c r="A169" s="56"/>
      <c r="B169" s="1592">
        <v>3</v>
      </c>
      <c r="C169" s="1573" t="str">
        <f>D173</f>
        <v>Sautés en morceaux service au poids</v>
      </c>
      <c r="D169" s="1573"/>
      <c r="E169" s="1573"/>
      <c r="F169" s="1573"/>
      <c r="G169" s="1573"/>
      <c r="H169" s="1574"/>
      <c r="I169" s="56"/>
      <c r="J169" s="56"/>
      <c r="K169" s="56"/>
      <c r="L169" s="56"/>
      <c r="M169" s="56"/>
      <c r="N169" s="56"/>
      <c r="O169" s="56"/>
      <c r="P169" s="56"/>
      <c r="Q169" s="56"/>
      <c r="R169" s="56"/>
      <c r="S169" s="56"/>
      <c r="T169" s="56"/>
      <c r="U169" s="56"/>
      <c r="V169" s="56"/>
      <c r="W169" s="56"/>
      <c r="X169" s="56"/>
      <c r="Y169" s="56"/>
      <c r="Z169" s="56"/>
      <c r="AA169" s="56"/>
      <c r="AB169" s="56"/>
      <c r="AC169" s="56"/>
      <c r="AD169" s="56"/>
      <c r="AE169" s="56"/>
      <c r="AF169" s="56"/>
      <c r="AG169" s="56"/>
      <c r="AH169" s="56"/>
      <c r="AI169" s="56"/>
      <c r="AJ169" s="56"/>
      <c r="AK169" s="56"/>
      <c r="AL169" s="56"/>
      <c r="AM169" s="56"/>
      <c r="AN169" s="56"/>
      <c r="AO169" s="56"/>
      <c r="AP169" s="56"/>
      <c r="AQ169" s="56"/>
      <c r="AR169" s="56"/>
      <c r="AS169" s="56"/>
      <c r="AT169" s="56"/>
      <c r="AU169" s="56"/>
      <c r="AV169" s="56"/>
      <c r="AW169" s="56"/>
      <c r="AX169" s="56"/>
      <c r="AY169" s="56"/>
      <c r="AZ169" s="56"/>
      <c r="BA169" s="56"/>
      <c r="BB169" s="56"/>
      <c r="BC169" s="56"/>
      <c r="BD169" s="6">
        <v>1</v>
      </c>
    </row>
    <row r="170" spans="1:56" ht="21" customHeight="1">
      <c r="A170" s="56"/>
      <c r="B170" s="1592"/>
      <c r="C170" s="273"/>
      <c r="D170" s="272" t="s">
        <v>464</v>
      </c>
      <c r="E170" s="265">
        <f>IF(E177=0,0,IF(MOD(E184,E177)&gt;MOD(E184,E177)/2,INT(E184/E177)+1,INT(E184/E177)))</f>
        <v>86</v>
      </c>
      <c r="F170" s="271" t="str">
        <f>F174</f>
        <v xml:space="preserve"> GN 1/ 1 = 35 morceaux</v>
      </c>
      <c r="G170" s="270"/>
      <c r="H170" s="269"/>
      <c r="I170" s="56"/>
      <c r="J170" s="56"/>
      <c r="K170" s="56"/>
      <c r="L170" s="56"/>
      <c r="M170" s="56"/>
      <c r="N170" s="56"/>
      <c r="O170" s="56"/>
      <c r="P170" s="56"/>
      <c r="Q170" s="56"/>
      <c r="R170" s="56"/>
      <c r="S170" s="56"/>
      <c r="T170" s="56"/>
      <c r="U170" s="56"/>
      <c r="V170" s="56"/>
      <c r="W170" s="56"/>
      <c r="X170" s="56"/>
      <c r="Y170" s="56"/>
      <c r="Z170" s="56"/>
      <c r="AA170" s="56"/>
      <c r="AB170" s="56"/>
      <c r="AC170" s="56"/>
      <c r="AD170" s="56"/>
      <c r="AE170" s="56"/>
      <c r="AF170" s="56"/>
      <c r="AG170" s="56"/>
      <c r="AH170" s="56"/>
      <c r="AI170" s="56"/>
      <c r="AJ170" s="56"/>
      <c r="AK170" s="56"/>
      <c r="AL170" s="56"/>
      <c r="AM170" s="56"/>
      <c r="AN170" s="56"/>
      <c r="AO170" s="56"/>
      <c r="AP170" s="56"/>
      <c r="AQ170" s="56"/>
      <c r="AR170" s="56"/>
      <c r="AS170" s="56"/>
      <c r="AT170" s="56"/>
      <c r="AU170" s="56"/>
      <c r="AV170" s="56"/>
      <c r="AW170" s="56"/>
      <c r="AX170" s="56"/>
      <c r="AY170" s="56"/>
      <c r="AZ170" s="56"/>
      <c r="BA170" s="56"/>
      <c r="BB170" s="56"/>
      <c r="BC170" s="56"/>
      <c r="BD170" s="6">
        <v>1</v>
      </c>
    </row>
    <row r="171" spans="1:56" ht="21" customHeight="1">
      <c r="A171" s="56"/>
      <c r="B171" s="1592"/>
      <c r="C171" s="266">
        <f>INT(E184/E177)</f>
        <v>85</v>
      </c>
      <c r="D171" s="268">
        <f>IF(C171=0,0,IF(E170=0,0,E177))</f>
        <v>21</v>
      </c>
      <c r="E171" s="267" t="str">
        <f>F177</f>
        <v>Morceaux</v>
      </c>
      <c r="F171" s="266" t="str">
        <f>IF(D171*C171=0,"1 de",IF(E184=0,0,IF(E177=0,0,IF(D171*C171=E184,"",IF(G171&gt;0,"Plus 1 de")))))</f>
        <v>Plus 1 de</v>
      </c>
      <c r="G171" s="265">
        <f>IF(E177=0,0,IF(D171*C171=E184,"",MOD(E184,E177)))</f>
        <v>15</v>
      </c>
      <c r="H171" s="264" t="str">
        <f>E171</f>
        <v>Morceaux</v>
      </c>
      <c r="I171" s="56"/>
      <c r="J171" s="56"/>
      <c r="K171" s="56"/>
      <c r="L171" s="56"/>
      <c r="M171" s="56"/>
      <c r="N171" s="56"/>
      <c r="O171" s="56"/>
      <c r="P171" s="56"/>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c r="AP171" s="56"/>
      <c r="AQ171" s="56"/>
      <c r="AR171" s="56"/>
      <c r="AS171" s="56"/>
      <c r="AT171" s="56"/>
      <c r="AU171" s="56"/>
      <c r="AV171" s="56"/>
      <c r="AW171" s="56"/>
      <c r="AX171" s="56"/>
      <c r="AY171" s="56"/>
      <c r="AZ171" s="56"/>
      <c r="BA171" s="56"/>
      <c r="BB171" s="56"/>
      <c r="BC171" s="56"/>
      <c r="BD171" s="6">
        <v>1</v>
      </c>
    </row>
    <row r="172" spans="1:56" ht="21" customHeight="1">
      <c r="A172" s="56"/>
      <c r="B172" s="1592"/>
      <c r="C172" s="263" t="str">
        <f>F184</f>
        <v>Morceaux</v>
      </c>
      <c r="D172" s="262">
        <f>E184</f>
        <v>1800</v>
      </c>
      <c r="E172" s="260" t="str">
        <f>H182</f>
        <v>❹ Cru</v>
      </c>
      <c r="F172" s="261">
        <f>E185</f>
        <v>86.4</v>
      </c>
      <c r="G172" s="260" t="str">
        <f>H183</f>
        <v>❺ Cuit</v>
      </c>
      <c r="H172" s="259">
        <f>E186</f>
        <v>43.2</v>
      </c>
      <c r="I172" s="56"/>
      <c r="J172" s="56"/>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c r="AH172" s="56"/>
      <c r="AI172" s="56"/>
      <c r="AJ172" s="56"/>
      <c r="AK172" s="56"/>
      <c r="AL172" s="56"/>
      <c r="AM172" s="56"/>
      <c r="AN172" s="56"/>
      <c r="AO172" s="56"/>
      <c r="AP172" s="56"/>
      <c r="AQ172" s="56"/>
      <c r="AR172" s="56"/>
      <c r="AS172" s="56"/>
      <c r="AT172" s="56"/>
      <c r="AU172" s="56"/>
      <c r="AV172" s="56"/>
      <c r="AW172" s="56"/>
      <c r="AX172" s="56"/>
      <c r="AY172" s="56"/>
      <c r="AZ172" s="56"/>
      <c r="BA172" s="56"/>
      <c r="BB172" s="56"/>
      <c r="BC172" s="56"/>
      <c r="BD172" s="6">
        <v>1</v>
      </c>
    </row>
    <row r="173" spans="1:56" ht="21" customHeight="1">
      <c r="A173" s="56"/>
      <c r="B173" s="1592"/>
      <c r="C173" s="258" t="s">
        <v>463</v>
      </c>
      <c r="D173" s="257" t="s">
        <v>462</v>
      </c>
      <c r="E173" s="256"/>
      <c r="F173" s="192"/>
      <c r="G173" s="192"/>
      <c r="H173" s="191"/>
      <c r="I173" s="56"/>
      <c r="J173" s="56"/>
      <c r="K173" s="56"/>
      <c r="L173" s="56"/>
      <c r="M173" s="56"/>
      <c r="N173" s="56"/>
      <c r="O173" s="56"/>
      <c r="P173" s="56"/>
      <c r="Q173" s="56"/>
      <c r="R173" s="56"/>
      <c r="S173" s="56"/>
      <c r="T173" s="56"/>
      <c r="U173" s="56"/>
      <c r="V173" s="56"/>
      <c r="W173" s="56"/>
      <c r="X173" s="56"/>
      <c r="Y173" s="56"/>
      <c r="Z173" s="56"/>
      <c r="AA173" s="56"/>
      <c r="AB173" s="56"/>
      <c r="AC173" s="56"/>
      <c r="AD173" s="56"/>
      <c r="AE173" s="56"/>
      <c r="AF173" s="56"/>
      <c r="AG173" s="56"/>
      <c r="AH173" s="56"/>
      <c r="AI173" s="56"/>
      <c r="AJ173" s="56"/>
      <c r="AK173" s="56"/>
      <c r="AL173" s="56"/>
      <c r="AM173" s="56"/>
      <c r="AN173" s="56"/>
      <c r="AO173" s="56"/>
      <c r="AP173" s="56"/>
      <c r="AQ173" s="56"/>
      <c r="AR173" s="56"/>
      <c r="AS173" s="56"/>
      <c r="AT173" s="56"/>
      <c r="AU173" s="56"/>
      <c r="AV173" s="56"/>
      <c r="AW173" s="56"/>
      <c r="AX173" s="56"/>
      <c r="AY173" s="56"/>
      <c r="AZ173" s="56"/>
      <c r="BA173" s="56"/>
      <c r="BB173" s="56"/>
      <c r="BC173" s="56"/>
      <c r="BD173" s="6">
        <v>1</v>
      </c>
    </row>
    <row r="174" spans="1:56" ht="21" customHeight="1">
      <c r="A174" s="56"/>
      <c r="B174" s="1592"/>
      <c r="C174" s="192"/>
      <c r="D174" s="192"/>
      <c r="E174" s="255" t="s">
        <v>444</v>
      </c>
      <c r="F174" s="254" t="s">
        <v>461</v>
      </c>
      <c r="G174" s="254"/>
      <c r="H174" s="253"/>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6"/>
      <c r="AI174" s="56"/>
      <c r="AJ174" s="56"/>
      <c r="AK174" s="56"/>
      <c r="AL174" s="56"/>
      <c r="AM174" s="56"/>
      <c r="AN174" s="56"/>
      <c r="AO174" s="56"/>
      <c r="AP174" s="56"/>
      <c r="AQ174" s="56"/>
      <c r="AR174" s="56"/>
      <c r="AS174" s="56"/>
      <c r="AT174" s="56"/>
      <c r="AU174" s="56"/>
      <c r="AV174" s="56"/>
      <c r="AW174" s="56"/>
      <c r="AX174" s="56"/>
      <c r="AY174" s="56"/>
      <c r="AZ174" s="56"/>
      <c r="BA174" s="56"/>
      <c r="BB174" s="56"/>
      <c r="BC174" s="56"/>
      <c r="BD174" s="6">
        <v>1</v>
      </c>
    </row>
    <row r="175" spans="1:56" ht="21" customHeight="1">
      <c r="A175" s="56"/>
      <c r="B175" s="1592"/>
      <c r="C175" s="192"/>
      <c r="D175" s="192"/>
      <c r="E175" s="252" t="s">
        <v>460</v>
      </c>
      <c r="F175" s="251" t="s">
        <v>459</v>
      </c>
      <c r="G175" s="250" t="s">
        <v>458</v>
      </c>
      <c r="H175" s="249"/>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56"/>
      <c r="AJ175" s="56"/>
      <c r="AK175" s="56"/>
      <c r="AL175" s="56"/>
      <c r="AM175" s="56"/>
      <c r="AN175" s="56"/>
      <c r="AO175" s="56"/>
      <c r="AP175" s="56"/>
      <c r="AQ175" s="56"/>
      <c r="AR175" s="56"/>
      <c r="AS175" s="56"/>
      <c r="AT175" s="56"/>
      <c r="AU175" s="56"/>
      <c r="AV175" s="56"/>
      <c r="AW175" s="56"/>
      <c r="AX175" s="56"/>
      <c r="AY175" s="56"/>
      <c r="AZ175" s="56"/>
      <c r="BA175" s="56"/>
      <c r="BB175" s="56"/>
      <c r="BC175" s="56"/>
      <c r="BD175" s="6">
        <v>1</v>
      </c>
    </row>
    <row r="176" spans="1:56" ht="21" customHeight="1">
      <c r="A176" s="56"/>
      <c r="B176" s="1592"/>
      <c r="C176" s="192"/>
      <c r="D176" s="248"/>
      <c r="E176" s="247"/>
      <c r="F176" s="246"/>
      <c r="G176" s="246" t="s">
        <v>457</v>
      </c>
      <c r="H176" s="191"/>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56"/>
      <c r="BD176" s="6">
        <v>1</v>
      </c>
    </row>
    <row r="177" spans="1:56" ht="21" customHeight="1">
      <c r="A177" s="56"/>
      <c r="B177" s="1592"/>
      <c r="C177" s="242"/>
      <c r="D177" s="245" t="s">
        <v>456</v>
      </c>
      <c r="E177" s="244">
        <v>21</v>
      </c>
      <c r="F177" s="3" t="str">
        <f>F175</f>
        <v>Morceaux</v>
      </c>
      <c r="G177" s="202" t="s">
        <v>440</v>
      </c>
      <c r="H177" s="243"/>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56"/>
      <c r="BB177" s="56"/>
      <c r="BC177" s="56"/>
      <c r="BD177" s="6">
        <v>1</v>
      </c>
    </row>
    <row r="178" spans="1:56" ht="21" customHeight="1">
      <c r="A178" s="56"/>
      <c r="B178" s="1592"/>
      <c r="C178" s="242"/>
      <c r="D178" s="241" t="s">
        <v>455</v>
      </c>
      <c r="E178" s="240">
        <v>4.8000000000000001E-2</v>
      </c>
      <c r="F178" s="220" t="str">
        <f>G177</f>
        <v>❹ Cru</v>
      </c>
      <c r="G178" s="239">
        <f>IF(F178=E196,E178-(E178*E179%),IF(F178=E197,E178/(100-E179)*100))</f>
        <v>2.4E-2</v>
      </c>
      <c r="H178" s="225" t="str">
        <f>IF(F178=E196,E197,E196)</f>
        <v>❺ Cuit</v>
      </c>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6"/>
      <c r="AJ178" s="56"/>
      <c r="AK178" s="56"/>
      <c r="AL178" s="56"/>
      <c r="AM178" s="56"/>
      <c r="AN178" s="56"/>
      <c r="AO178" s="56"/>
      <c r="AP178" s="56"/>
      <c r="AQ178" s="56"/>
      <c r="AR178" s="56"/>
      <c r="AS178" s="56"/>
      <c r="AT178" s="56"/>
      <c r="AU178" s="56"/>
      <c r="AV178" s="56"/>
      <c r="AW178" s="56"/>
      <c r="AX178" s="56"/>
      <c r="AY178" s="56"/>
      <c r="AZ178" s="56"/>
      <c r="BA178" s="56"/>
      <c r="BB178" s="56"/>
      <c r="BC178" s="56"/>
      <c r="BD178" s="6">
        <v>1</v>
      </c>
    </row>
    <row r="179" spans="1:56" ht="21" customHeight="1">
      <c r="A179" s="56"/>
      <c r="B179" s="1592"/>
      <c r="C179" s="192"/>
      <c r="D179" s="238" t="str">
        <f>IF(G177=E197,"❻ % de BONI &gt;",IF(G177=E196,"❻ %  de PERTE &gt;",IF(ISBLANK(E179),0)))</f>
        <v>❻ %  de PERTE &gt;</v>
      </c>
      <c r="E179" s="237">
        <v>50</v>
      </c>
      <c r="F179"/>
      <c r="G179" s="236"/>
      <c r="H179" s="235"/>
      <c r="I179" s="56"/>
      <c r="J179" s="56"/>
      <c r="K179" s="56"/>
      <c r="L179" s="56"/>
      <c r="M179" s="56"/>
      <c r="N179" s="56"/>
      <c r="O179" s="56"/>
      <c r="P179" s="56"/>
      <c r="Q179" s="56"/>
      <c r="R179" s="56"/>
      <c r="S179" s="56"/>
      <c r="T179" s="56"/>
      <c r="U179" s="56"/>
      <c r="V179" s="56"/>
      <c r="W179" s="56"/>
      <c r="X179" s="56"/>
      <c r="Y179" s="56"/>
      <c r="Z179" s="56"/>
      <c r="AA179" s="56"/>
      <c r="AB179" s="56"/>
      <c r="AC179" s="56"/>
      <c r="AD179" s="56"/>
      <c r="AE179" s="56"/>
      <c r="AF179" s="56"/>
      <c r="AG179" s="56"/>
      <c r="AH179" s="56"/>
      <c r="AI179" s="56"/>
      <c r="AJ179" s="56"/>
      <c r="AK179" s="56"/>
      <c r="AL179" s="56"/>
      <c r="AM179" s="56"/>
      <c r="AN179" s="56"/>
      <c r="AO179" s="56"/>
      <c r="AP179" s="56"/>
      <c r="AQ179" s="56"/>
      <c r="AR179" s="56"/>
      <c r="AS179" s="56"/>
      <c r="AT179" s="56"/>
      <c r="AU179" s="56"/>
      <c r="AV179" s="56"/>
      <c r="AW179" s="56"/>
      <c r="AX179" s="56"/>
      <c r="AY179" s="56"/>
      <c r="AZ179" s="56"/>
      <c r="BA179" s="56"/>
      <c r="BB179" s="56"/>
      <c r="BC179" s="56"/>
      <c r="BD179" s="6">
        <v>1</v>
      </c>
    </row>
    <row r="180" spans="1:56" ht="21" customHeight="1">
      <c r="A180" s="56"/>
      <c r="B180" s="1592"/>
      <c r="C180" s="192"/>
      <c r="D180" s="17"/>
      <c r="E180" s="17"/>
      <c r="F180" s="17"/>
      <c r="G180" s="17"/>
      <c r="H180" s="234"/>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c r="AH180" s="56"/>
      <c r="AI180" s="56"/>
      <c r="AJ180" s="56"/>
      <c r="AK180" s="56"/>
      <c r="AL180" s="56"/>
      <c r="AM180" s="56"/>
      <c r="AN180" s="56"/>
      <c r="AO180" s="56"/>
      <c r="AP180" s="56"/>
      <c r="AQ180" s="56"/>
      <c r="AR180" s="56"/>
      <c r="AS180" s="56"/>
      <c r="AT180" s="56"/>
      <c r="AU180" s="56"/>
      <c r="AV180" s="56"/>
      <c r="AW180" s="56"/>
      <c r="AX180" s="56"/>
      <c r="AY180" s="56"/>
      <c r="AZ180" s="56"/>
      <c r="BA180" s="56"/>
      <c r="BB180" s="56"/>
      <c r="BC180" s="56"/>
      <c r="BD180" s="6">
        <v>1</v>
      </c>
    </row>
    <row r="181" spans="1:56" ht="21" customHeight="1">
      <c r="A181" s="56"/>
      <c r="B181" s="1592"/>
      <c r="C181" s="192"/>
      <c r="D181" s="233" t="s">
        <v>454</v>
      </c>
      <c r="E181" s="232">
        <v>1200</v>
      </c>
      <c r="F181" s="231" t="s">
        <v>258</v>
      </c>
      <c r="G181" s="192"/>
      <c r="H181" s="230"/>
      <c r="I181" s="56"/>
      <c r="J181" s="56"/>
      <c r="K181" s="56"/>
      <c r="L181" s="56"/>
      <c r="M181" s="56"/>
      <c r="N181" s="56"/>
      <c r="O181" s="56"/>
      <c r="P181" s="56"/>
      <c r="Q181" s="56"/>
      <c r="R181" s="56"/>
      <c r="S181" s="56"/>
      <c r="T181" s="56"/>
      <c r="U181" s="56"/>
      <c r="V181" s="56"/>
      <c r="W181" s="56"/>
      <c r="X181" s="56"/>
      <c r="Y181" s="56"/>
      <c r="Z181" s="56"/>
      <c r="AA181" s="56"/>
      <c r="AB181" s="56"/>
      <c r="AC181" s="56"/>
      <c r="AD181" s="56"/>
      <c r="AE181" s="56"/>
      <c r="AF181" s="56"/>
      <c r="AG181" s="56"/>
      <c r="AH181" s="56"/>
      <c r="AI181" s="56"/>
      <c r="AJ181" s="56"/>
      <c r="AK181" s="56"/>
      <c r="AL181" s="56"/>
      <c r="AM181" s="56"/>
      <c r="AN181" s="56"/>
      <c r="AO181" s="56"/>
      <c r="AP181" s="56"/>
      <c r="AQ181" s="56"/>
      <c r="AR181" s="56"/>
      <c r="AS181" s="56"/>
      <c r="AT181" s="56"/>
      <c r="AU181" s="56"/>
      <c r="AV181" s="56"/>
      <c r="AW181" s="56"/>
      <c r="AX181" s="56"/>
      <c r="AY181" s="56"/>
      <c r="AZ181" s="56"/>
      <c r="BA181" s="56"/>
      <c r="BB181" s="56"/>
      <c r="BC181" s="56"/>
      <c r="BD181" s="6">
        <v>1</v>
      </c>
    </row>
    <row r="182" spans="1:56" ht="21" customHeight="1">
      <c r="A182" s="56"/>
      <c r="B182" s="1592"/>
      <c r="C182" s="192"/>
      <c r="D182" s="228" t="s">
        <v>453</v>
      </c>
      <c r="E182" s="229">
        <v>1.5</v>
      </c>
      <c r="F182" t="str">
        <f>F175</f>
        <v>Morceaux</v>
      </c>
      <c r="G182" s="226">
        <f>E178*E182</f>
        <v>7.2000000000000008E-2</v>
      </c>
      <c r="H182" s="225" t="str">
        <f>F178</f>
        <v>❹ Cru</v>
      </c>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56"/>
      <c r="AJ182" s="56"/>
      <c r="AK182" s="56"/>
      <c r="AL182" s="56"/>
      <c r="AM182" s="56"/>
      <c r="AN182" s="56"/>
      <c r="AO182" s="56"/>
      <c r="AP182" s="56"/>
      <c r="AQ182" s="56"/>
      <c r="AR182" s="56"/>
      <c r="AS182" s="56"/>
      <c r="AT182" s="56"/>
      <c r="AU182" s="56"/>
      <c r="AV182" s="56"/>
      <c r="AW182" s="56"/>
      <c r="AX182" s="56"/>
      <c r="AY182" s="56"/>
      <c r="AZ182" s="56"/>
      <c r="BA182" s="56"/>
      <c r="BB182" s="56"/>
      <c r="BC182" s="56"/>
      <c r="BD182" s="6">
        <v>1</v>
      </c>
    </row>
    <row r="183" spans="1:56" ht="21" customHeight="1">
      <c r="A183" s="56"/>
      <c r="B183" s="1592"/>
      <c r="C183" s="192"/>
      <c r="D183" s="228"/>
      <c r="E183" s="227"/>
      <c r="F183" s="17"/>
      <c r="G183" s="226">
        <f>G178*E182</f>
        <v>3.6000000000000004E-2</v>
      </c>
      <c r="H183" s="225" t="str">
        <f>H178</f>
        <v>❺ Cuit</v>
      </c>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56"/>
      <c r="AJ183" s="56"/>
      <c r="AK183" s="56"/>
      <c r="AL183" s="56"/>
      <c r="AM183" s="56"/>
      <c r="AN183" s="56"/>
      <c r="AO183" s="56"/>
      <c r="AP183" s="56"/>
      <c r="AQ183" s="56"/>
      <c r="AR183" s="56"/>
      <c r="AS183" s="56"/>
      <c r="AT183" s="56"/>
      <c r="AU183" s="56"/>
      <c r="AV183" s="56"/>
      <c r="AW183" s="56"/>
      <c r="AX183" s="56"/>
      <c r="AY183" s="56"/>
      <c r="AZ183" s="56"/>
      <c r="BA183" s="56"/>
      <c r="BB183" s="56"/>
      <c r="BC183" s="56"/>
      <c r="BD183" s="6">
        <v>1</v>
      </c>
    </row>
    <row r="184" spans="1:56" ht="21" customHeight="1">
      <c r="A184" s="56"/>
      <c r="B184" s="1592"/>
      <c r="C184" s="192"/>
      <c r="D184" s="222" t="s">
        <v>452</v>
      </c>
      <c r="E184" s="2">
        <f>E182*E181</f>
        <v>1800</v>
      </c>
      <c r="F184" s="224" t="str">
        <f>F175</f>
        <v>Morceaux</v>
      </c>
      <c r="G184" s="219"/>
      <c r="H184" s="218"/>
      <c r="I184" s="56"/>
      <c r="J184" s="56"/>
      <c r="K184" s="56"/>
      <c r="L184" s="56"/>
      <c r="M184" s="56"/>
      <c r="N184" s="56"/>
      <c r="O184" s="56"/>
      <c r="P184" s="56"/>
      <c r="Q184" s="56"/>
      <c r="R184" s="56"/>
      <c r="S184" s="56"/>
      <c r="T184" s="56"/>
      <c r="U184" s="56"/>
      <c r="V184" s="56"/>
      <c r="W184" s="56"/>
      <c r="X184" s="56"/>
      <c r="Y184" s="56"/>
      <c r="Z184" s="56"/>
      <c r="AA184" s="56"/>
      <c r="AB184" s="56"/>
      <c r="AC184" s="56"/>
      <c r="AD184" s="56"/>
      <c r="AE184" s="56"/>
      <c r="AF184" s="56"/>
      <c r="AG184" s="56"/>
      <c r="AH184" s="56"/>
      <c r="AI184" s="56"/>
      <c r="AJ184" s="56"/>
      <c r="AK184" s="56"/>
      <c r="AL184" s="56"/>
      <c r="AM184" s="56"/>
      <c r="AN184" s="56"/>
      <c r="AO184" s="56"/>
      <c r="AP184" s="56"/>
      <c r="AQ184" s="56"/>
      <c r="AR184" s="56"/>
      <c r="AS184" s="56"/>
      <c r="AT184" s="56"/>
      <c r="AU184" s="56"/>
      <c r="AV184" s="56"/>
      <c r="AW184" s="56"/>
      <c r="AX184" s="56"/>
      <c r="AY184" s="56"/>
      <c r="AZ184" s="56"/>
      <c r="BA184" s="56"/>
      <c r="BB184" s="56"/>
      <c r="BC184" s="56"/>
      <c r="BD184" s="6">
        <v>1</v>
      </c>
    </row>
    <row r="185" spans="1:56" ht="21" customHeight="1">
      <c r="A185" s="56"/>
      <c r="B185" s="1592"/>
      <c r="C185" s="192"/>
      <c r="D185" s="222"/>
      <c r="E185" s="221">
        <f>G182*E181</f>
        <v>86.4</v>
      </c>
      <c r="F185" s="223" t="str">
        <f>F178</f>
        <v>❹ Cru</v>
      </c>
      <c r="G185" s="219"/>
      <c r="H185" s="218"/>
      <c r="I185" s="56"/>
      <c r="J185" s="56"/>
      <c r="K185" s="56"/>
      <c r="L185" s="56"/>
      <c r="M185" s="56"/>
      <c r="N185" s="56"/>
      <c r="O185" s="56"/>
      <c r="P185" s="56"/>
      <c r="Q185" s="56"/>
      <c r="R185" s="56"/>
      <c r="S185" s="56"/>
      <c r="T185" s="56"/>
      <c r="U185" s="56"/>
      <c r="V185" s="56"/>
      <c r="W185" s="56"/>
      <c r="X185" s="56"/>
      <c r="Y185" s="56"/>
      <c r="Z185" s="56"/>
      <c r="AA185" s="56"/>
      <c r="AB185" s="56"/>
      <c r="AC185" s="56"/>
      <c r="AD185" s="56"/>
      <c r="AE185" s="56"/>
      <c r="AF185" s="56"/>
      <c r="AG185" s="56"/>
      <c r="AH185" s="56"/>
      <c r="AI185" s="56"/>
      <c r="AJ185" s="56"/>
      <c r="AK185" s="56"/>
      <c r="AL185" s="56"/>
      <c r="AM185" s="56"/>
      <c r="AN185" s="56"/>
      <c r="AO185" s="56"/>
      <c r="AP185" s="56"/>
      <c r="AQ185" s="56"/>
      <c r="AR185" s="56"/>
      <c r="AS185" s="56"/>
      <c r="AT185" s="56"/>
      <c r="AU185" s="56"/>
      <c r="AV185" s="56"/>
      <c r="AW185" s="56"/>
      <c r="AX185" s="56"/>
      <c r="AY185" s="56"/>
      <c r="AZ185" s="56"/>
      <c r="BA185" s="56"/>
      <c r="BB185" s="56"/>
      <c r="BC185" s="56"/>
      <c r="BD185" s="6">
        <v>1</v>
      </c>
    </row>
    <row r="186" spans="1:56" ht="21" customHeight="1">
      <c r="A186" s="56"/>
      <c r="B186" s="1592"/>
      <c r="C186" s="192"/>
      <c r="D186" s="222"/>
      <c r="E186" s="221">
        <f>G183*E181</f>
        <v>43.2</v>
      </c>
      <c r="F186" s="220" t="str">
        <f>H178</f>
        <v>❺ Cuit</v>
      </c>
      <c r="G186" s="219"/>
      <c r="H186" s="218"/>
      <c r="I186" s="56"/>
      <c r="J186" s="56"/>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c r="AH186" s="56"/>
      <c r="AI186" s="56"/>
      <c r="AJ186" s="56"/>
      <c r="AK186" s="56"/>
      <c r="AL186" s="56"/>
      <c r="AM186" s="56"/>
      <c r="AN186" s="56"/>
      <c r="AO186" s="56"/>
      <c r="AP186" s="56"/>
      <c r="AQ186" s="56"/>
      <c r="AR186" s="56"/>
      <c r="AS186" s="56"/>
      <c r="AT186" s="56"/>
      <c r="AU186" s="56"/>
      <c r="AV186" s="56"/>
      <c r="AW186" s="56"/>
      <c r="AX186" s="56"/>
      <c r="AY186" s="56"/>
      <c r="AZ186" s="56"/>
      <c r="BA186" s="56"/>
      <c r="BB186" s="56"/>
      <c r="BC186" s="56"/>
      <c r="BD186" s="6">
        <v>1</v>
      </c>
    </row>
    <row r="187" spans="1:56" ht="21" customHeight="1">
      <c r="A187" s="56"/>
      <c r="B187" s="1592"/>
      <c r="C187" s="217"/>
      <c r="D187" s="215" t="s">
        <v>451</v>
      </c>
      <c r="E187" s="214">
        <f>E170</f>
        <v>86</v>
      </c>
      <c r="F187" s="216" t="s">
        <v>450</v>
      </c>
      <c r="G187" s="212">
        <f>IF(ISBLANK(E182),0,E177/E182)</f>
        <v>14</v>
      </c>
      <c r="H187" s="191"/>
      <c r="I187" s="56"/>
      <c r="J187" s="56"/>
      <c r="K187" s="56"/>
      <c r="L187" s="56"/>
      <c r="M187" s="56"/>
      <c r="N187" s="56"/>
      <c r="O187" s="56"/>
      <c r="P187" s="56"/>
      <c r="Q187" s="56"/>
      <c r="R187" s="56"/>
      <c r="S187" s="56"/>
      <c r="T187" s="56"/>
      <c r="U187" s="56"/>
      <c r="V187" s="56"/>
      <c r="W187" s="56"/>
      <c r="X187" s="56"/>
      <c r="Y187" s="56"/>
      <c r="Z187" s="56"/>
      <c r="AA187" s="56"/>
      <c r="AB187" s="56"/>
      <c r="AC187" s="56"/>
      <c r="AD187" s="56"/>
      <c r="AE187" s="56"/>
      <c r="AF187" s="56"/>
      <c r="AG187" s="56"/>
      <c r="AH187" s="56"/>
      <c r="AI187" s="56"/>
      <c r="AJ187" s="56"/>
      <c r="AK187" s="56"/>
      <c r="AL187" s="56"/>
      <c r="AM187" s="56"/>
      <c r="AN187" s="56"/>
      <c r="AO187" s="56"/>
      <c r="AP187" s="56"/>
      <c r="AQ187" s="56"/>
      <c r="AR187" s="56"/>
      <c r="AS187" s="56"/>
      <c r="AT187" s="56"/>
      <c r="AU187" s="56"/>
      <c r="AV187" s="56"/>
      <c r="AW187" s="56"/>
      <c r="AX187" s="56"/>
      <c r="AY187" s="56"/>
      <c r="AZ187" s="56"/>
      <c r="BA187" s="56"/>
      <c r="BB187" s="56"/>
      <c r="BC187" s="56"/>
      <c r="BD187" s="6">
        <v>1</v>
      </c>
    </row>
    <row r="188" spans="1:56" ht="21" customHeight="1">
      <c r="A188" s="56"/>
      <c r="B188" s="1592"/>
      <c r="C188" s="192"/>
      <c r="D188" s="215"/>
      <c r="E188" s="214"/>
      <c r="F188" s="213"/>
      <c r="G188" s="212"/>
      <c r="H188" s="191"/>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c r="AH188" s="56"/>
      <c r="AI188" s="56"/>
      <c r="AJ188" s="56"/>
      <c r="AK188" s="56"/>
      <c r="AL188" s="56"/>
      <c r="AM188" s="56"/>
      <c r="AN188" s="56"/>
      <c r="AO188" s="56"/>
      <c r="AP188" s="56"/>
      <c r="AQ188" s="56"/>
      <c r="AR188" s="56"/>
      <c r="AS188" s="56"/>
      <c r="AT188" s="56"/>
      <c r="AU188" s="56"/>
      <c r="AV188" s="56"/>
      <c r="AW188" s="56"/>
      <c r="AX188" s="56"/>
      <c r="AY188" s="56"/>
      <c r="AZ188" s="56"/>
      <c r="BA188" s="56"/>
      <c r="BB188" s="56"/>
      <c r="BC188" s="56"/>
      <c r="BD188" s="6">
        <v>1</v>
      </c>
    </row>
    <row r="189" spans="1:56" ht="21" customHeight="1">
      <c r="A189" s="56"/>
      <c r="B189" s="1592"/>
      <c r="C189" s="1577" t="s">
        <v>449</v>
      </c>
      <c r="D189" s="1577"/>
      <c r="E189" s="1577"/>
      <c r="F189" s="1577"/>
      <c r="G189" s="1577"/>
      <c r="H189" s="1578"/>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56"/>
      <c r="BD189" s="6">
        <v>1</v>
      </c>
    </row>
    <row r="190" spans="1:56" ht="21" customHeight="1">
      <c r="A190" s="56"/>
      <c r="B190" s="1592"/>
      <c r="C190" s="1577"/>
      <c r="D190" s="1577"/>
      <c r="E190" s="1577"/>
      <c r="F190" s="1577"/>
      <c r="G190" s="1577"/>
      <c r="H190" s="1578"/>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c r="BC190" s="56"/>
      <c r="BD190" s="6">
        <v>1</v>
      </c>
    </row>
    <row r="191" spans="1:56" ht="21" customHeight="1">
      <c r="A191" s="56"/>
      <c r="B191" s="1592"/>
      <c r="C191" s="211" t="s">
        <v>448</v>
      </c>
      <c r="D191" s="210"/>
      <c r="E191" s="210"/>
      <c r="F191" s="210"/>
      <c r="G191" s="210"/>
      <c r="H191" s="209"/>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6"/>
      <c r="AJ191" s="56"/>
      <c r="AK191" s="56"/>
      <c r="AL191" s="56"/>
      <c r="AM191" s="56"/>
      <c r="AN191" s="56"/>
      <c r="AO191" s="56"/>
      <c r="AP191" s="56"/>
      <c r="AQ191" s="56"/>
      <c r="AR191" s="56"/>
      <c r="AS191" s="56"/>
      <c r="AT191" s="56"/>
      <c r="AU191" s="56"/>
      <c r="AV191" s="56"/>
      <c r="AW191" s="56"/>
      <c r="AX191" s="56"/>
      <c r="AY191" s="56"/>
      <c r="AZ191" s="56"/>
      <c r="BA191" s="56"/>
      <c r="BB191" s="56"/>
      <c r="BC191" s="56"/>
      <c r="BD191" s="6">
        <v>1</v>
      </c>
    </row>
    <row r="192" spans="1:56" ht="21" customHeight="1">
      <c r="A192" s="56"/>
      <c r="B192" s="1592"/>
      <c r="C192" s="1594" t="s">
        <v>447</v>
      </c>
      <c r="D192" s="1594"/>
      <c r="E192" s="1594"/>
      <c r="F192" s="1594"/>
      <c r="G192" s="1594"/>
      <c r="H192" s="1595"/>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56"/>
      <c r="AJ192" s="56"/>
      <c r="AK192" s="56"/>
      <c r="AL192" s="56"/>
      <c r="AM192" s="56"/>
      <c r="AN192" s="56"/>
      <c r="AO192" s="56"/>
      <c r="AP192" s="56"/>
      <c r="AQ192" s="56"/>
      <c r="AR192" s="56"/>
      <c r="AS192" s="56"/>
      <c r="AT192" s="56"/>
      <c r="AU192" s="56"/>
      <c r="AV192" s="56"/>
      <c r="AW192" s="56"/>
      <c r="AX192" s="56"/>
      <c r="AY192" s="56"/>
      <c r="AZ192" s="56"/>
      <c r="BA192" s="56"/>
      <c r="BB192" s="56"/>
      <c r="BC192" s="56"/>
      <c r="BD192" s="6">
        <v>1</v>
      </c>
    </row>
    <row r="193" spans="1:58" ht="21" customHeight="1">
      <c r="A193" s="56"/>
      <c r="B193" s="1592"/>
      <c r="C193" s="208" t="s">
        <v>446</v>
      </c>
      <c r="D193" s="192"/>
      <c r="E193" s="192"/>
      <c r="F193" s="203" t="s">
        <v>445</v>
      </c>
      <c r="G193" s="192"/>
      <c r="H193" s="191"/>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c r="BC193" s="56"/>
      <c r="BD193" s="6">
        <v>1</v>
      </c>
    </row>
    <row r="194" spans="1:58" ht="21" customHeight="1">
      <c r="A194" s="56"/>
      <c r="B194" s="1592"/>
      <c r="C194" s="207" t="s">
        <v>444</v>
      </c>
      <c r="D194" s="192"/>
      <c r="E194" s="192"/>
      <c r="F194" s="206" t="s">
        <v>443</v>
      </c>
      <c r="G194" s="192"/>
      <c r="H194" s="191"/>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56"/>
      <c r="AJ194" s="56"/>
      <c r="AK194" s="56"/>
      <c r="AL194" s="56"/>
      <c r="AM194" s="56"/>
      <c r="AN194" s="56"/>
      <c r="AO194" s="56"/>
      <c r="AP194" s="56"/>
      <c r="AQ194" s="56"/>
      <c r="AR194" s="56"/>
      <c r="AS194" s="56"/>
      <c r="AT194" s="56"/>
      <c r="AU194" s="56"/>
      <c r="AV194" s="56"/>
      <c r="AW194" s="56"/>
      <c r="AX194" s="56"/>
      <c r="AY194" s="56"/>
      <c r="AZ194" s="56"/>
      <c r="BA194" s="56"/>
      <c r="BB194" s="56"/>
      <c r="BC194" s="56"/>
      <c r="BD194" s="6">
        <v>1</v>
      </c>
    </row>
    <row r="195" spans="1:58" ht="21" customHeight="1">
      <c r="A195" s="56"/>
      <c r="B195" s="1592"/>
      <c r="C195" s="205" t="s">
        <v>442</v>
      </c>
      <c r="D195" s="192"/>
      <c r="E195" s="192"/>
      <c r="F195" s="204" t="s">
        <v>441</v>
      </c>
      <c r="G195" s="192"/>
      <c r="H195" s="191"/>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6"/>
      <c r="AK195" s="56"/>
      <c r="AL195" s="56"/>
      <c r="AM195" s="56"/>
      <c r="AN195" s="56"/>
      <c r="AO195" s="56"/>
      <c r="AP195" s="56"/>
      <c r="AQ195" s="56"/>
      <c r="AR195" s="56"/>
      <c r="AS195" s="56"/>
      <c r="AT195" s="56"/>
      <c r="AU195" s="56"/>
      <c r="AV195" s="56"/>
      <c r="AW195" s="56"/>
      <c r="AX195" s="56"/>
      <c r="AY195" s="56"/>
      <c r="AZ195" s="56"/>
      <c r="BA195" s="56"/>
      <c r="BB195" s="56"/>
      <c r="BC195" s="56"/>
      <c r="BD195" s="6">
        <v>1</v>
      </c>
    </row>
    <row r="196" spans="1:58" ht="21" customHeight="1">
      <c r="A196" s="56"/>
      <c r="B196" s="1592"/>
      <c r="C196" s="203"/>
      <c r="D196" s="200"/>
      <c r="E196" s="202" t="s">
        <v>440</v>
      </c>
      <c r="F196" s="201" t="s">
        <v>439</v>
      </c>
      <c r="G196" s="192"/>
      <c r="H196" s="191"/>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c r="AI196" s="56"/>
      <c r="AJ196" s="56"/>
      <c r="AK196" s="56"/>
      <c r="AL196" s="56"/>
      <c r="AM196" s="56"/>
      <c r="AN196" s="56"/>
      <c r="AO196" s="56"/>
      <c r="AP196" s="56"/>
      <c r="AQ196" s="56"/>
      <c r="AR196" s="56"/>
      <c r="AS196" s="56"/>
      <c r="AT196" s="56"/>
      <c r="AU196" s="56"/>
      <c r="AV196" s="56"/>
      <c r="AW196" s="56"/>
      <c r="AX196" s="56"/>
      <c r="AY196" s="56"/>
      <c r="AZ196" s="56"/>
      <c r="BA196" s="56"/>
      <c r="BB196" s="56"/>
      <c r="BC196" s="56"/>
      <c r="BD196" s="6">
        <v>1</v>
      </c>
    </row>
    <row r="197" spans="1:58" ht="21" customHeight="1">
      <c r="A197" s="56"/>
      <c r="B197" s="1592"/>
      <c r="C197" s="197"/>
      <c r="D197" s="200"/>
      <c r="E197" s="199" t="s">
        <v>438</v>
      </c>
      <c r="F197" s="198" t="s">
        <v>437</v>
      </c>
      <c r="G197" s="192"/>
      <c r="H197" s="191"/>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6"/>
      <c r="AJ197" s="56"/>
      <c r="AK197" s="56"/>
      <c r="AL197" s="56"/>
      <c r="AM197" s="56"/>
      <c r="AN197" s="56"/>
      <c r="AO197" s="56"/>
      <c r="AP197" s="56"/>
      <c r="AQ197" s="56"/>
      <c r="AR197" s="56"/>
      <c r="AS197" s="56"/>
      <c r="AT197" s="56"/>
      <c r="AU197" s="56"/>
      <c r="AV197" s="56"/>
      <c r="AW197" s="56"/>
      <c r="AX197" s="56"/>
      <c r="AY197" s="56"/>
      <c r="AZ197" s="56"/>
      <c r="BA197" s="56"/>
      <c r="BB197" s="56"/>
      <c r="BC197" s="56"/>
      <c r="BD197" s="6">
        <v>1</v>
      </c>
    </row>
    <row r="198" spans="1:58" ht="21" customHeight="1">
      <c r="A198" s="56"/>
      <c r="B198" s="1592"/>
      <c r="C198" s="197"/>
      <c r="D198" s="196" t="s">
        <v>436</v>
      </c>
      <c r="E198" s="195" t="str">
        <f>ADDRESS(ROW(G177),COLUMN(G177),4)</f>
        <v>G177</v>
      </c>
      <c r="G198" s="192"/>
      <c r="H198" s="191"/>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6"/>
      <c r="AJ198" s="56"/>
      <c r="AK198" s="56"/>
      <c r="AL198" s="56"/>
      <c r="AM198" s="56"/>
      <c r="AN198" s="56"/>
      <c r="AO198" s="56"/>
      <c r="AP198" s="56"/>
      <c r="AQ198" s="56"/>
      <c r="AR198" s="56"/>
      <c r="AS198" s="56"/>
      <c r="AT198" s="56"/>
      <c r="AU198" s="56"/>
      <c r="AV198" s="56"/>
      <c r="AW198" s="56"/>
      <c r="AX198" s="56"/>
      <c r="AY198" s="56"/>
      <c r="AZ198" s="56"/>
      <c r="BA198" s="56"/>
      <c r="BB198" s="56"/>
      <c r="BC198" s="56"/>
      <c r="BD198" s="6">
        <v>1</v>
      </c>
    </row>
    <row r="199" spans="1:58" ht="21" customHeight="1">
      <c r="A199" s="56"/>
      <c r="B199" s="1592"/>
      <c r="C199" s="193" t="s">
        <v>435</v>
      </c>
      <c r="D199" s="42"/>
      <c r="E199" s="194"/>
      <c r="F199" s="193" t="s">
        <v>434</v>
      </c>
      <c r="G199" s="192"/>
      <c r="H199" s="191"/>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c r="AI199" s="56"/>
      <c r="AJ199" s="56"/>
      <c r="AK199" s="56"/>
      <c r="AL199" s="56"/>
      <c r="AM199" s="56"/>
      <c r="AN199" s="56"/>
      <c r="AO199" s="56"/>
      <c r="AP199" s="56"/>
      <c r="AQ199" s="56"/>
      <c r="AR199" s="56"/>
      <c r="AS199" s="56"/>
      <c r="AT199" s="56"/>
      <c r="AU199" s="56"/>
      <c r="AV199" s="56"/>
      <c r="AW199" s="56"/>
      <c r="AX199" s="56"/>
      <c r="AY199" s="56"/>
      <c r="AZ199" s="56"/>
      <c r="BA199" s="56"/>
      <c r="BB199" s="56"/>
      <c r="BC199" s="56"/>
      <c r="BD199" s="6">
        <v>1</v>
      </c>
    </row>
    <row r="200" spans="1:58" ht="21" customHeight="1">
      <c r="A200" s="56"/>
      <c r="B200" s="1592"/>
      <c r="C200" s="60">
        <v>12</v>
      </c>
      <c r="D200" s="60">
        <v>11</v>
      </c>
      <c r="E200" s="60">
        <v>11</v>
      </c>
      <c r="F200" s="60">
        <v>11</v>
      </c>
      <c r="G200" s="60">
        <v>11</v>
      </c>
      <c r="H200" s="62">
        <v>11</v>
      </c>
      <c r="I200" s="145" t="s">
        <v>425</v>
      </c>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56"/>
      <c r="AL200" s="56"/>
      <c r="AM200" s="56"/>
      <c r="AN200" s="56"/>
      <c r="AO200" s="56"/>
      <c r="AP200" s="56"/>
      <c r="AQ200" s="56"/>
      <c r="AR200" s="56"/>
      <c r="AS200" s="56"/>
      <c r="AT200" s="56"/>
      <c r="AU200" s="56"/>
      <c r="AV200" s="56"/>
      <c r="AW200" s="56"/>
      <c r="AX200" s="56"/>
      <c r="AY200" s="56"/>
      <c r="AZ200" s="56"/>
      <c r="BA200" s="56"/>
      <c r="BB200" s="56"/>
      <c r="BC200" s="56"/>
      <c r="BD200" s="6">
        <v>1</v>
      </c>
    </row>
    <row r="201" spans="1:58" ht="21" customHeight="1" thickBot="1">
      <c r="A201" s="56"/>
      <c r="B201" s="1593"/>
      <c r="C201" s="58">
        <f t="shared" ref="C201:H201" ca="1" si="7">CELL("largeur",C201)</f>
        <v>13</v>
      </c>
      <c r="D201" s="58">
        <f t="shared" ca="1" si="7"/>
        <v>21</v>
      </c>
      <c r="E201" s="58">
        <f t="shared" ca="1" si="7"/>
        <v>13</v>
      </c>
      <c r="F201" s="58">
        <f t="shared" ca="1" si="7"/>
        <v>13</v>
      </c>
      <c r="G201" s="58">
        <f t="shared" ca="1" si="7"/>
        <v>13</v>
      </c>
      <c r="H201" s="61">
        <f t="shared" ca="1" si="7"/>
        <v>13</v>
      </c>
      <c r="I201" s="145" t="s">
        <v>424</v>
      </c>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6"/>
      <c r="AJ201" s="56"/>
      <c r="AK201" s="56"/>
      <c r="AL201" s="56"/>
      <c r="AM201" s="56"/>
      <c r="AN201" s="56"/>
      <c r="AO201" s="56"/>
      <c r="AP201" s="56"/>
      <c r="AQ201" s="56"/>
      <c r="AR201" s="56"/>
      <c r="AS201" s="56"/>
      <c r="AT201" s="56"/>
      <c r="AU201" s="56"/>
      <c r="AV201" s="56"/>
      <c r="AW201" s="56"/>
      <c r="AX201" s="56"/>
      <c r="AY201" s="56"/>
      <c r="AZ201" s="56"/>
      <c r="BA201" s="56"/>
      <c r="BB201" s="56"/>
      <c r="BC201" s="56"/>
      <c r="BD201" s="6">
        <v>1</v>
      </c>
    </row>
    <row r="202" spans="1:58" ht="21" customHeight="1" thickBot="1">
      <c r="A202" s="56"/>
      <c r="B202" s="56"/>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6"/>
      <c r="AK202" s="56"/>
      <c r="AL202" s="56"/>
      <c r="AM202" s="56"/>
      <c r="AN202" s="56"/>
      <c r="AO202" s="56"/>
      <c r="AP202" s="56"/>
      <c r="AQ202" s="56"/>
      <c r="AR202" s="56"/>
      <c r="AS202" s="56"/>
      <c r="AT202" s="56"/>
      <c r="AU202" s="56"/>
      <c r="AV202" s="56"/>
      <c r="AW202" s="56"/>
      <c r="AX202" s="56"/>
      <c r="AY202" s="56"/>
      <c r="AZ202" s="56"/>
      <c r="BA202" s="56"/>
      <c r="BB202" s="56"/>
      <c r="BC202" s="56"/>
      <c r="BD202" s="6">
        <v>1</v>
      </c>
    </row>
    <row r="203" spans="1:58" s="53" customFormat="1" ht="21" customHeight="1">
      <c r="A203" s="56">
        <v>1</v>
      </c>
      <c r="B203" s="90" t="s">
        <v>401</v>
      </c>
      <c r="C203" s="190"/>
      <c r="D203" s="188"/>
      <c r="E203" s="188"/>
      <c r="F203" s="188"/>
      <c r="G203" s="188"/>
      <c r="H203" s="189"/>
      <c r="I203" s="188"/>
      <c r="J203" s="188"/>
      <c r="K203" s="187" t="s">
        <v>433</v>
      </c>
      <c r="L203" s="186" t="s">
        <v>432</v>
      </c>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56"/>
      <c r="AJ203" s="56"/>
      <c r="AK203" s="56"/>
      <c r="AL203" s="56"/>
      <c r="AM203" s="56"/>
      <c r="AN203" s="56"/>
      <c r="AO203" s="56"/>
      <c r="AP203" s="56"/>
      <c r="AQ203" s="56"/>
      <c r="AR203" s="56"/>
      <c r="AS203" s="56"/>
      <c r="AT203" s="56"/>
      <c r="AU203" s="56"/>
      <c r="AV203" s="56"/>
      <c r="AW203" s="56"/>
      <c r="AX203" s="56"/>
      <c r="AY203" s="56"/>
      <c r="AZ203" s="56"/>
      <c r="BA203" s="56"/>
      <c r="BB203" s="56"/>
      <c r="BC203" s="56"/>
      <c r="BD203" s="6">
        <v>1</v>
      </c>
      <c r="BE203" s="52"/>
      <c r="BF203" s="52"/>
    </row>
    <row r="204" spans="1:58" s="53" customFormat="1" ht="21" customHeight="1">
      <c r="A204" s="56">
        <v>1</v>
      </c>
      <c r="B204" s="1596">
        <v>3</v>
      </c>
      <c r="C204" s="185" t="str">
        <f>ADDRESS(ROW(),COLUMN(),4)</f>
        <v>C204</v>
      </c>
      <c r="D204" s="88" t="s">
        <v>399</v>
      </c>
      <c r="E204" s="137"/>
      <c r="F204" s="137"/>
      <c r="G204" s="137"/>
      <c r="H204" s="137"/>
      <c r="I204" s="137"/>
      <c r="J204" s="137"/>
      <c r="K204" s="136"/>
      <c r="L204" s="56">
        <v>1</v>
      </c>
      <c r="M204" s="56">
        <v>1</v>
      </c>
      <c r="N204" s="56"/>
      <c r="O204" s="56"/>
      <c r="P204" s="56"/>
      <c r="Q204" s="56"/>
      <c r="R204" s="56"/>
      <c r="S204" s="56"/>
      <c r="T204" s="56"/>
      <c r="U204" s="56"/>
      <c r="V204" s="56"/>
      <c r="W204" s="56"/>
      <c r="X204" s="56"/>
      <c r="Y204" s="56"/>
      <c r="Z204" s="56"/>
      <c r="AA204" s="56"/>
      <c r="AB204" s="56"/>
      <c r="AC204" s="56"/>
      <c r="AD204" s="56"/>
      <c r="AE204" s="56"/>
      <c r="AF204" s="56"/>
      <c r="AG204" s="56"/>
      <c r="AH204" s="56"/>
      <c r="AI204" s="56"/>
      <c r="AJ204" s="56"/>
      <c r="AK204" s="56"/>
      <c r="AL204" s="56"/>
      <c r="AM204" s="56"/>
      <c r="AN204" s="56"/>
      <c r="AO204" s="56"/>
      <c r="AP204" s="56"/>
      <c r="AQ204" s="56"/>
      <c r="AR204" s="56"/>
      <c r="AS204" s="56"/>
      <c r="AT204" s="56"/>
      <c r="AU204" s="56"/>
      <c r="AV204" s="56"/>
      <c r="AW204" s="56"/>
      <c r="AX204" s="56"/>
      <c r="AY204" s="56"/>
      <c r="AZ204" s="56"/>
      <c r="BA204" s="56"/>
      <c r="BB204" s="56"/>
      <c r="BC204" s="56"/>
      <c r="BD204" s="6">
        <v>1</v>
      </c>
      <c r="BE204" s="52"/>
      <c r="BF204" s="52"/>
    </row>
    <row r="205" spans="1:58" s="53" customFormat="1" ht="21" customHeight="1">
      <c r="A205" s="56">
        <v>1</v>
      </c>
      <c r="B205" s="1596"/>
      <c r="C205" s="168"/>
      <c r="D205" s="184" t="s">
        <v>427</v>
      </c>
      <c r="E205" s="166">
        <v>0.44</v>
      </c>
      <c r="F205" s="150"/>
      <c r="G205" s="167" t="s">
        <v>427</v>
      </c>
      <c r="H205" s="166">
        <v>100</v>
      </c>
      <c r="I205" s="150"/>
      <c r="J205" s="164" t="s">
        <v>429</v>
      </c>
      <c r="K205" s="160">
        <v>115</v>
      </c>
      <c r="L205" s="180" t="s">
        <v>431</v>
      </c>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56"/>
      <c r="AJ205" s="56"/>
      <c r="AK205" s="56"/>
      <c r="AL205" s="56"/>
      <c r="AM205" s="56"/>
      <c r="AN205" s="56"/>
      <c r="AO205" s="56"/>
      <c r="AP205" s="56"/>
      <c r="AQ205" s="56"/>
      <c r="AR205" s="56"/>
      <c r="AS205" s="56"/>
      <c r="AT205" s="56"/>
      <c r="AU205" s="56"/>
      <c r="AV205" s="56"/>
      <c r="AW205" s="56"/>
      <c r="AX205" s="56"/>
      <c r="AY205" s="56"/>
      <c r="AZ205" s="56"/>
      <c r="BA205" s="56"/>
      <c r="BB205" s="56"/>
      <c r="BC205" s="56"/>
      <c r="BD205" s="6">
        <v>1</v>
      </c>
      <c r="BE205" s="52"/>
      <c r="BF205" s="52"/>
    </row>
    <row r="206" spans="1:58" s="53" customFormat="1" ht="21" customHeight="1">
      <c r="A206" s="56">
        <v>1</v>
      </c>
      <c r="B206" s="1596"/>
      <c r="C206" s="183"/>
      <c r="D206" s="161" t="s">
        <v>426</v>
      </c>
      <c r="E206" s="182">
        <v>60</v>
      </c>
      <c r="F206" s="150"/>
      <c r="G206" s="161" t="s">
        <v>428</v>
      </c>
      <c r="H206" s="163">
        <v>10</v>
      </c>
      <c r="I206" s="150"/>
      <c r="J206" s="167" t="s">
        <v>427</v>
      </c>
      <c r="K206" s="181">
        <v>133</v>
      </c>
      <c r="L206" s="180" t="s">
        <v>430</v>
      </c>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6"/>
      <c r="AJ206" s="56"/>
      <c r="AK206" s="56"/>
      <c r="AL206" s="56"/>
      <c r="AM206" s="56"/>
      <c r="AN206" s="56"/>
      <c r="AO206" s="56"/>
      <c r="AP206" s="56"/>
      <c r="AQ206" s="56"/>
      <c r="AR206" s="56"/>
      <c r="AS206" s="56"/>
      <c r="AT206" s="56"/>
      <c r="AU206" s="56"/>
      <c r="AV206" s="56"/>
      <c r="AW206" s="56"/>
      <c r="AX206" s="56"/>
      <c r="AY206" s="56"/>
      <c r="AZ206" s="56"/>
      <c r="BA206" s="56"/>
      <c r="BB206" s="56"/>
      <c r="BC206" s="56"/>
      <c r="BD206" s="6">
        <v>1</v>
      </c>
      <c r="BE206" s="52"/>
      <c r="BF206" s="52"/>
    </row>
    <row r="207" spans="1:58" s="53" customFormat="1" ht="21" customHeight="1">
      <c r="A207" s="56">
        <v>1</v>
      </c>
      <c r="B207" s="1596"/>
      <c r="C207" s="159"/>
      <c r="D207" s="158" t="s">
        <v>428</v>
      </c>
      <c r="E207" s="157">
        <f>E205*E206%</f>
        <v>0.26400000000000001</v>
      </c>
      <c r="F207" s="150"/>
      <c r="G207" s="156" t="s">
        <v>429</v>
      </c>
      <c r="H207" s="157">
        <f>IF(H205=0,0,H205+H206)</f>
        <v>110</v>
      </c>
      <c r="I207" s="150"/>
      <c r="J207" s="158" t="s">
        <v>428</v>
      </c>
      <c r="K207" s="155">
        <f>IF(K205=0,0,IF(K206=0,0,K205-K206))</f>
        <v>-18</v>
      </c>
      <c r="L207" s="147" t="str">
        <f>HYPERLINK("#"&amp;ADDRESS(ROW(K207),COLUMN(K207),4),"◀"&amp;ADDRESS(ROW(K207),COLUMN(K207),4))</f>
        <v>◀K207</v>
      </c>
      <c r="M207" s="146" t="str">
        <f ca="1">_xlfn.FORMULATEXT(K207)</f>
        <v>=SI(K205=0;0;SI(K206=0;0;K205-K206))</v>
      </c>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6"/>
      <c r="AK207" s="56"/>
      <c r="AL207" s="56"/>
      <c r="AM207" s="56"/>
      <c r="AN207" s="56"/>
      <c r="AO207" s="56"/>
      <c r="AP207" s="56"/>
      <c r="AQ207" s="56"/>
      <c r="AR207" s="56"/>
      <c r="AS207" s="56"/>
      <c r="AT207" s="56"/>
      <c r="AU207" s="56"/>
      <c r="AV207" s="56"/>
      <c r="AW207" s="56"/>
      <c r="AX207" s="56"/>
      <c r="AY207" s="56"/>
      <c r="AZ207" s="56"/>
      <c r="BA207" s="56"/>
      <c r="BB207" s="56"/>
      <c r="BC207" s="56"/>
      <c r="BD207" s="6">
        <v>1</v>
      </c>
      <c r="BE207" s="52"/>
      <c r="BF207" s="52"/>
    </row>
    <row r="208" spans="1:58" s="53" customFormat="1" ht="21" customHeight="1">
      <c r="A208" s="56">
        <v>1</v>
      </c>
      <c r="B208" s="1596"/>
      <c r="C208" s="179"/>
      <c r="D208" s="156" t="s">
        <v>429</v>
      </c>
      <c r="E208" s="157">
        <f>((E205*E206)/100)+E205</f>
        <v>0.70399999999999996</v>
      </c>
      <c r="F208" s="150"/>
      <c r="G208" s="177" t="s">
        <v>426</v>
      </c>
      <c r="H208" s="178">
        <f>IF(H205=0,0,IF(ISBLANK(H205),0,(H206/H205)*100))</f>
        <v>10</v>
      </c>
      <c r="I208" s="150"/>
      <c r="J208" s="177" t="s">
        <v>426</v>
      </c>
      <c r="K208" s="176">
        <f>IF(K206=0,0,IF(ISBLANK(K206),0,(K207/K206)*100))</f>
        <v>-13.533834586466165</v>
      </c>
      <c r="L208" s="147" t="str">
        <f>HYPERLINK("#"&amp;ADDRESS(ROW(K208),COLUMN(K208),4),"◀"&amp;ADDRESS(ROW(K208),COLUMN(K208),4))</f>
        <v>◀K208</v>
      </c>
      <c r="M208" s="146" t="str">
        <f ca="1">_xlfn.FORMULATEXT(K208)</f>
        <v>=SI(K206=0;0;SI(ESTVIDE(K206);0;(K207/K206)*100))</v>
      </c>
      <c r="N208" s="56"/>
      <c r="O208" s="56"/>
      <c r="P208" s="56"/>
      <c r="Q208" s="56"/>
      <c r="R208" s="56"/>
      <c r="S208" s="56"/>
      <c r="T208" s="56"/>
      <c r="U208" s="56"/>
      <c r="V208" s="56"/>
      <c r="W208" s="56"/>
      <c r="X208" s="56"/>
      <c r="Y208" s="56"/>
      <c r="Z208" s="56"/>
      <c r="AA208" s="56"/>
      <c r="AB208" s="56"/>
      <c r="AC208" s="56"/>
      <c r="AD208" s="56"/>
      <c r="AE208" s="56"/>
      <c r="AF208" s="56"/>
      <c r="AG208" s="56"/>
      <c r="AH208" s="56"/>
      <c r="AI208" s="56"/>
      <c r="AJ208" s="56"/>
      <c r="AK208" s="56"/>
      <c r="AL208" s="56"/>
      <c r="AM208" s="56"/>
      <c r="AN208" s="56"/>
      <c r="AO208" s="56"/>
      <c r="AP208" s="56"/>
      <c r="AQ208" s="56"/>
      <c r="AR208" s="56"/>
      <c r="AS208" s="56"/>
      <c r="AT208" s="56"/>
      <c r="AU208" s="56"/>
      <c r="AV208" s="56"/>
      <c r="AW208" s="56"/>
      <c r="AX208" s="56"/>
      <c r="AY208" s="56"/>
      <c r="AZ208" s="56"/>
      <c r="BA208" s="56"/>
      <c r="BB208" s="56"/>
      <c r="BC208" s="56"/>
      <c r="BD208" s="6">
        <v>1</v>
      </c>
      <c r="BE208" s="52"/>
      <c r="BF208" s="52"/>
    </row>
    <row r="209" spans="1:58" s="53" customFormat="1" ht="21" customHeight="1">
      <c r="A209" s="56">
        <v>1</v>
      </c>
      <c r="B209" s="1596"/>
      <c r="C209" s="175"/>
      <c r="D209" s="174"/>
      <c r="E209" s="173"/>
      <c r="F209" s="171"/>
      <c r="G209" s="170"/>
      <c r="H209" s="172"/>
      <c r="I209" s="171"/>
      <c r="J209" s="170"/>
      <c r="K209" s="169"/>
      <c r="L209" s="56">
        <v>1</v>
      </c>
      <c r="M209" s="56">
        <v>1</v>
      </c>
      <c r="N209" s="56"/>
      <c r="O209" s="56"/>
      <c r="P209" s="56"/>
      <c r="Q209" s="56"/>
      <c r="R209" s="56"/>
      <c r="S209" s="56"/>
      <c r="T209" s="56"/>
      <c r="U209" s="56"/>
      <c r="V209" s="56"/>
      <c r="W209" s="56"/>
      <c r="X209" s="56"/>
      <c r="Y209" s="56"/>
      <c r="Z209" s="56"/>
      <c r="AA209" s="56"/>
      <c r="AB209" s="56"/>
      <c r="AC209" s="56"/>
      <c r="AD209" s="56"/>
      <c r="AE209" s="56"/>
      <c r="AF209" s="56"/>
      <c r="AG209" s="56"/>
      <c r="AH209" s="56"/>
      <c r="AI209" s="56"/>
      <c r="AJ209" s="56"/>
      <c r="AK209" s="56"/>
      <c r="AL209" s="56"/>
      <c r="AM209" s="56"/>
      <c r="AN209" s="56"/>
      <c r="AO209" s="56"/>
      <c r="AP209" s="56"/>
      <c r="AQ209" s="56"/>
      <c r="AR209" s="56"/>
      <c r="AS209" s="56"/>
      <c r="AT209" s="56"/>
      <c r="AU209" s="56"/>
      <c r="AV209" s="56"/>
      <c r="AW209" s="56"/>
      <c r="AX209" s="56"/>
      <c r="AY209" s="56"/>
      <c r="AZ209" s="56"/>
      <c r="BA209" s="56"/>
      <c r="BB209" s="56"/>
      <c r="BC209" s="56"/>
      <c r="BD209" s="6">
        <v>1</v>
      </c>
      <c r="BE209" s="52"/>
      <c r="BF209" s="52"/>
    </row>
    <row r="210" spans="1:58" s="53" customFormat="1" ht="21" customHeight="1">
      <c r="A210" s="56">
        <v>1</v>
      </c>
      <c r="B210" s="1596"/>
      <c r="C210" s="168"/>
      <c r="D210" s="167" t="s">
        <v>427</v>
      </c>
      <c r="E210" s="166">
        <v>5.8970000000000002</v>
      </c>
      <c r="F210" s="150"/>
      <c r="G210" s="164" t="s">
        <v>429</v>
      </c>
      <c r="H210" s="163">
        <v>9.64</v>
      </c>
      <c r="I210" s="150"/>
      <c r="J210" s="164" t="s">
        <v>429</v>
      </c>
      <c r="K210" s="160">
        <v>100</v>
      </c>
      <c r="L210" s="56">
        <v>1</v>
      </c>
      <c r="M210" s="56">
        <v>1</v>
      </c>
      <c r="N210" s="56"/>
      <c r="O210" s="56"/>
      <c r="P210" s="56"/>
      <c r="Q210" s="56"/>
      <c r="R210" s="56"/>
      <c r="S210" s="56"/>
      <c r="T210" s="56"/>
      <c r="U210" s="56"/>
      <c r="V210" s="56"/>
      <c r="W210" s="56"/>
      <c r="X210" s="56"/>
      <c r="Y210" s="56"/>
      <c r="Z210" s="56"/>
      <c r="AA210" s="56"/>
      <c r="AB210" s="56"/>
      <c r="AC210" s="56"/>
      <c r="AD210" s="56"/>
      <c r="AE210" s="56"/>
      <c r="AF210" s="56"/>
      <c r="AG210" s="56"/>
      <c r="AH210" s="56"/>
      <c r="AI210" s="56"/>
      <c r="AJ210" s="56"/>
      <c r="AK210" s="56"/>
      <c r="AL210" s="56"/>
      <c r="AM210" s="56"/>
      <c r="AN210" s="56"/>
      <c r="AO210" s="56"/>
      <c r="AP210" s="56"/>
      <c r="AQ210" s="56"/>
      <c r="AR210" s="56"/>
      <c r="AS210" s="56"/>
      <c r="AT210" s="56"/>
      <c r="AU210" s="56"/>
      <c r="AV210" s="56"/>
      <c r="AW210" s="56"/>
      <c r="AX210" s="56"/>
      <c r="AY210" s="56"/>
      <c r="AZ210" s="56"/>
      <c r="BA210" s="56"/>
      <c r="BB210" s="56"/>
      <c r="BC210" s="56"/>
      <c r="BD210" s="6">
        <v>1</v>
      </c>
      <c r="BE210" s="52"/>
      <c r="BF210" s="52"/>
    </row>
    <row r="211" spans="1:58" s="53" customFormat="1" ht="21" customHeight="1">
      <c r="A211" s="56">
        <v>1</v>
      </c>
      <c r="B211" s="1596"/>
      <c r="C211" s="165"/>
      <c r="D211" s="164" t="s">
        <v>429</v>
      </c>
      <c r="E211" s="163">
        <v>9.64</v>
      </c>
      <c r="F211" s="150"/>
      <c r="G211" s="161" t="s">
        <v>426</v>
      </c>
      <c r="H211" s="162">
        <v>63.5</v>
      </c>
      <c r="I211" s="150"/>
      <c r="J211" s="161" t="s">
        <v>428</v>
      </c>
      <c r="K211" s="160">
        <v>50</v>
      </c>
      <c r="L211" s="56">
        <v>1</v>
      </c>
      <c r="M211" s="56">
        <v>1</v>
      </c>
      <c r="N211" s="56"/>
      <c r="O211" s="56"/>
      <c r="P211" s="56"/>
      <c r="Q211" s="56"/>
      <c r="R211" s="56"/>
      <c r="S211" s="56"/>
      <c r="T211" s="56"/>
      <c r="U211" s="56"/>
      <c r="V211" s="56"/>
      <c r="W211" s="56"/>
      <c r="X211" s="56"/>
      <c r="Y211" s="56"/>
      <c r="Z211" s="56"/>
      <c r="AA211" s="56"/>
      <c r="AB211" s="56"/>
      <c r="AC211" s="56"/>
      <c r="AD211" s="56"/>
      <c r="AE211" s="56"/>
      <c r="AF211" s="56"/>
      <c r="AG211" s="56"/>
      <c r="AH211" s="56"/>
      <c r="AI211" s="56"/>
      <c r="AJ211" s="56"/>
      <c r="AK211" s="56"/>
      <c r="AL211" s="56"/>
      <c r="AM211" s="56"/>
      <c r="AN211" s="56"/>
      <c r="AO211" s="56"/>
      <c r="AP211" s="56"/>
      <c r="AQ211" s="56"/>
      <c r="AR211" s="56"/>
      <c r="AS211" s="56"/>
      <c r="AT211" s="56"/>
      <c r="AU211" s="56"/>
      <c r="AV211" s="56"/>
      <c r="AW211" s="56"/>
      <c r="AX211" s="56"/>
      <c r="AY211" s="56"/>
      <c r="AZ211" s="56"/>
      <c r="BA211" s="56"/>
      <c r="BB211" s="56"/>
      <c r="BC211" s="56"/>
      <c r="BD211" s="6">
        <v>1</v>
      </c>
      <c r="BE211" s="52"/>
      <c r="BF211" s="52"/>
    </row>
    <row r="212" spans="1:58" s="53" customFormat="1" ht="21" customHeight="1">
      <c r="A212" s="56">
        <v>1</v>
      </c>
      <c r="B212" s="1596"/>
      <c r="C212" s="159"/>
      <c r="D212" s="158" t="s">
        <v>428</v>
      </c>
      <c r="E212" s="157">
        <f>IF(E210=0,0,IF(E211=0,0,E211-E210))</f>
        <v>3.7430000000000003</v>
      </c>
      <c r="F212" s="150"/>
      <c r="G212" s="158" t="s">
        <v>428</v>
      </c>
      <c r="H212" s="157">
        <f>H210-H213</f>
        <v>3.7439755351681958</v>
      </c>
      <c r="I212" s="150"/>
      <c r="J212" s="156" t="s">
        <v>427</v>
      </c>
      <c r="K212" s="155">
        <f>IF(K210=0,0,IF(ISBLANK(K210),0,K210-K211))</f>
        <v>50</v>
      </c>
      <c r="L212" s="147" t="str">
        <f>HYPERLINK("#"&amp;ADDRESS(ROW(E212),COLUMN(E212),4),"◀"&amp;ADDRESS(ROW(E212),COLUMN(E212),4))</f>
        <v>◀E212</v>
      </c>
      <c r="M212" s="146" t="str">
        <f ca="1">_xlfn.FORMULATEXT(E212)</f>
        <v>=SI(E210=0;0;SI(E211=0;0;E211-E210))</v>
      </c>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c r="BC212" s="56"/>
      <c r="BD212" s="6">
        <v>1</v>
      </c>
      <c r="BE212" s="52"/>
      <c r="BF212" s="52"/>
    </row>
    <row r="213" spans="1:58" s="53" customFormat="1" ht="21" customHeight="1">
      <c r="A213" s="56">
        <v>1</v>
      </c>
      <c r="B213" s="1596"/>
      <c r="C213" s="154"/>
      <c r="D213" s="149" t="s">
        <v>426</v>
      </c>
      <c r="E213" s="153">
        <f>IF(E210=0,0,IF(ISBLANK(E210),0,(E212/E210)*100))</f>
        <v>63.472952348651859</v>
      </c>
      <c r="F213" s="150"/>
      <c r="G213" s="152" t="s">
        <v>427</v>
      </c>
      <c r="H213" s="151">
        <f>(H210/(100+H211)*100)</f>
        <v>5.8960244648318048</v>
      </c>
      <c r="I213" s="150"/>
      <c r="J213" s="149" t="s">
        <v>426</v>
      </c>
      <c r="K213" s="148">
        <f>IF(K212=0,0,IF(ISBLANK(K211),0,(K211/K212)*100))</f>
        <v>100</v>
      </c>
      <c r="L213" s="147" t="str">
        <f>HYPERLINK("#"&amp;ADDRESS(ROW(E213),COLUMN(E213),4),"◀"&amp;ADDRESS(ROW(E213),COLUMN(E213),4))</f>
        <v>◀E213</v>
      </c>
      <c r="M213" s="146" t="str">
        <f ca="1">_xlfn.FORMULATEXT(E213)</f>
        <v>=SI(E210=0;0;SI(ESTVIDE(E210);0;(E212/E210)*100))</v>
      </c>
      <c r="N213" s="56"/>
      <c r="O213" s="56"/>
      <c r="P213" s="56"/>
      <c r="Q213" s="56"/>
      <c r="R213" s="56"/>
      <c r="S213" s="56"/>
      <c r="T213" s="56"/>
      <c r="U213" s="56"/>
      <c r="V213" s="56"/>
      <c r="W213" s="56"/>
      <c r="X213" s="56"/>
      <c r="Y213" s="56"/>
      <c r="Z213" s="56"/>
      <c r="AA213" s="56"/>
      <c r="AB213" s="56"/>
      <c r="AC213" s="56"/>
      <c r="AD213" s="56"/>
      <c r="AE213" s="56"/>
      <c r="AF213" s="56"/>
      <c r="AG213" s="56"/>
      <c r="AH213" s="56"/>
      <c r="AI213" s="56"/>
      <c r="AJ213" s="56"/>
      <c r="AK213" s="56"/>
      <c r="AL213" s="56"/>
      <c r="AM213" s="56"/>
      <c r="AN213" s="56"/>
      <c r="AO213" s="56"/>
      <c r="AP213" s="56"/>
      <c r="AQ213" s="56"/>
      <c r="AR213" s="56"/>
      <c r="AS213" s="56"/>
      <c r="AT213" s="56"/>
      <c r="AU213" s="56"/>
      <c r="AV213" s="56"/>
      <c r="AW213" s="56"/>
      <c r="AX213" s="56"/>
      <c r="AY213" s="56"/>
      <c r="AZ213" s="56"/>
      <c r="BA213" s="56"/>
      <c r="BB213" s="56"/>
      <c r="BC213" s="56"/>
      <c r="BD213" s="6">
        <v>1</v>
      </c>
    </row>
    <row r="214" spans="1:58" s="53" customFormat="1" ht="21" customHeight="1">
      <c r="A214" s="56">
        <v>1</v>
      </c>
      <c r="B214" s="1596"/>
      <c r="C214" s="1598" t="s">
        <v>405</v>
      </c>
      <c r="D214" s="1598"/>
      <c r="E214" s="1598"/>
      <c r="F214" s="1598"/>
      <c r="G214" s="1598"/>
      <c r="H214" s="1598"/>
      <c r="I214" s="1598"/>
      <c r="J214" s="1598"/>
      <c r="K214" s="1599"/>
      <c r="L214" s="56">
        <v>1</v>
      </c>
      <c r="M214" s="56">
        <v>1</v>
      </c>
      <c r="N214" s="56"/>
      <c r="O214" s="56"/>
      <c r="P214" s="56"/>
      <c r="Q214" s="56"/>
      <c r="R214" s="56"/>
      <c r="S214" s="56"/>
      <c r="T214" s="56"/>
      <c r="U214" s="56"/>
      <c r="V214" s="56"/>
      <c r="W214" s="56"/>
      <c r="X214" s="56"/>
      <c r="Y214" s="56"/>
      <c r="Z214" s="56"/>
      <c r="AA214" s="56"/>
      <c r="AB214" s="56"/>
      <c r="AC214" s="56"/>
      <c r="AD214" s="56"/>
      <c r="AE214" s="56"/>
      <c r="AF214" s="56"/>
      <c r="AG214" s="56"/>
      <c r="AH214" s="56"/>
      <c r="AI214" s="56"/>
      <c r="AJ214" s="56"/>
      <c r="AK214" s="56"/>
      <c r="AL214" s="56"/>
      <c r="AM214" s="56"/>
      <c r="AN214" s="56"/>
      <c r="AO214" s="56"/>
      <c r="AP214" s="56"/>
      <c r="AQ214" s="56"/>
      <c r="AR214" s="56"/>
      <c r="AS214" s="56"/>
      <c r="AT214" s="56"/>
      <c r="AU214" s="56"/>
      <c r="AV214" s="56"/>
      <c r="AW214" s="56"/>
      <c r="AX214" s="56"/>
      <c r="AY214" s="56"/>
      <c r="AZ214" s="56"/>
      <c r="BA214" s="56"/>
      <c r="BB214" s="56"/>
      <c r="BC214" s="56"/>
      <c r="BD214" s="6">
        <v>1</v>
      </c>
    </row>
    <row r="215" spans="1:58" s="53" customFormat="1" ht="21" customHeight="1">
      <c r="A215" s="56"/>
      <c r="B215" s="1596"/>
      <c r="C215" s="60">
        <v>12</v>
      </c>
      <c r="D215" s="60">
        <v>11</v>
      </c>
      <c r="E215" s="60">
        <v>11</v>
      </c>
      <c r="F215" s="60">
        <v>11</v>
      </c>
      <c r="G215" s="60">
        <v>11</v>
      </c>
      <c r="H215" s="60">
        <v>11</v>
      </c>
      <c r="I215" s="60">
        <v>11</v>
      </c>
      <c r="J215" s="60">
        <v>11</v>
      </c>
      <c r="K215" s="62">
        <v>11</v>
      </c>
      <c r="L215" s="145" t="s">
        <v>425</v>
      </c>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56"/>
      <c r="AJ215" s="56"/>
      <c r="AK215" s="56"/>
      <c r="AL215" s="56"/>
      <c r="AM215" s="56"/>
      <c r="AN215" s="56"/>
      <c r="AO215" s="56"/>
      <c r="AP215" s="56"/>
      <c r="AQ215" s="56"/>
      <c r="AR215" s="56"/>
      <c r="AS215" s="56"/>
      <c r="AT215" s="56"/>
      <c r="AU215" s="56"/>
      <c r="AV215" s="56"/>
      <c r="AW215" s="56"/>
      <c r="AX215" s="56"/>
      <c r="AY215" s="56"/>
      <c r="AZ215" s="56"/>
      <c r="BA215" s="56"/>
      <c r="BB215" s="56"/>
      <c r="BC215" s="56"/>
      <c r="BD215" s="6">
        <v>1</v>
      </c>
    </row>
    <row r="216" spans="1:58" s="53" customFormat="1" ht="21" customHeight="1" thickBot="1">
      <c r="A216" s="56"/>
      <c r="B216" s="1597"/>
      <c r="C216" s="58">
        <f t="shared" ref="C216:K216" ca="1" si="8">CELL("largeur",C216)</f>
        <v>13</v>
      </c>
      <c r="D216" s="58">
        <f t="shared" ca="1" si="8"/>
        <v>21</v>
      </c>
      <c r="E216" s="58">
        <f t="shared" ca="1" si="8"/>
        <v>13</v>
      </c>
      <c r="F216" s="58">
        <f t="shared" ca="1" si="8"/>
        <v>13</v>
      </c>
      <c r="G216" s="58">
        <f t="shared" ca="1" si="8"/>
        <v>13</v>
      </c>
      <c r="H216" s="58">
        <f t="shared" ca="1" si="8"/>
        <v>13</v>
      </c>
      <c r="I216" s="58">
        <f t="shared" ca="1" si="8"/>
        <v>16</v>
      </c>
      <c r="J216" s="58">
        <f t="shared" ca="1" si="8"/>
        <v>18</v>
      </c>
      <c r="K216" s="61">
        <f t="shared" ca="1" si="8"/>
        <v>16</v>
      </c>
      <c r="L216" s="145" t="s">
        <v>424</v>
      </c>
      <c r="M216" s="56"/>
      <c r="N216" s="56"/>
      <c r="O216" s="56"/>
      <c r="P216" s="56"/>
      <c r="Q216" s="56"/>
      <c r="R216" s="56"/>
      <c r="S216" s="56"/>
      <c r="T216" s="56"/>
      <c r="U216" s="56"/>
      <c r="V216" s="56"/>
      <c r="W216" s="56"/>
      <c r="X216" s="56"/>
      <c r="Y216" s="56"/>
      <c r="Z216" s="56"/>
      <c r="AA216" s="56"/>
      <c r="AB216" s="56"/>
      <c r="AC216" s="56"/>
      <c r="AD216" s="56"/>
      <c r="AE216" s="56"/>
      <c r="AF216" s="56"/>
      <c r="AG216" s="56"/>
      <c r="AH216" s="56"/>
      <c r="AI216" s="56"/>
      <c r="AJ216" s="56"/>
      <c r="AK216" s="56"/>
      <c r="AL216" s="56"/>
      <c r="AM216" s="56"/>
      <c r="AN216" s="56"/>
      <c r="AO216" s="56"/>
      <c r="AP216" s="56"/>
      <c r="AQ216" s="56"/>
      <c r="AR216" s="56"/>
      <c r="AS216" s="56"/>
      <c r="AT216" s="56"/>
      <c r="AU216" s="56"/>
      <c r="AV216" s="56"/>
      <c r="AW216" s="56"/>
      <c r="AX216" s="56"/>
      <c r="AY216" s="56"/>
      <c r="AZ216" s="56"/>
      <c r="BA216" s="56"/>
      <c r="BB216" s="56"/>
      <c r="BC216" s="56"/>
      <c r="BD216" s="6">
        <v>1</v>
      </c>
    </row>
    <row r="217" spans="1:58" s="53" customFormat="1" ht="21" customHeight="1" thickBot="1">
      <c r="A217" s="145"/>
      <c r="B217" s="145"/>
      <c r="C217" s="145"/>
      <c r="D217" s="145"/>
      <c r="E217" s="145"/>
      <c r="F217" s="145"/>
      <c r="G217" s="145"/>
      <c r="H217" s="145"/>
      <c r="I217" s="145"/>
      <c r="J217" s="145"/>
      <c r="K217" s="145"/>
      <c r="L217" s="56"/>
      <c r="M217" s="56">
        <v>1</v>
      </c>
      <c r="N217" s="56"/>
      <c r="O217" s="56"/>
      <c r="P217" s="56"/>
      <c r="Q217" s="56"/>
      <c r="R217" s="56"/>
      <c r="S217" s="56"/>
      <c r="T217" s="56"/>
      <c r="U217" s="56"/>
      <c r="V217" s="56"/>
      <c r="W217" s="56"/>
      <c r="X217" s="56"/>
      <c r="Y217" s="56"/>
      <c r="Z217" s="56"/>
      <c r="AA217" s="56"/>
      <c r="AB217" s="56"/>
      <c r="AC217" s="56"/>
      <c r="AD217" s="56"/>
      <c r="AE217" s="56"/>
      <c r="AF217" s="56"/>
      <c r="AG217" s="56"/>
      <c r="AH217" s="56"/>
      <c r="AI217" s="56"/>
      <c r="AJ217" s="56"/>
      <c r="AK217" s="56"/>
      <c r="AL217" s="56"/>
      <c r="AM217" s="56"/>
      <c r="AN217" s="56"/>
      <c r="AO217" s="56"/>
      <c r="AP217" s="56"/>
      <c r="AQ217" s="56"/>
      <c r="AR217" s="56"/>
      <c r="AS217" s="56"/>
      <c r="AT217" s="56"/>
      <c r="AU217" s="56"/>
      <c r="AV217" s="56"/>
      <c r="AW217" s="56"/>
      <c r="AX217" s="56"/>
      <c r="AY217" s="56"/>
      <c r="AZ217" s="56"/>
      <c r="BA217" s="56"/>
      <c r="BB217" s="56"/>
      <c r="BC217" s="56"/>
      <c r="BD217" s="6">
        <v>1</v>
      </c>
    </row>
    <row r="218" spans="1:58" s="53" customFormat="1" ht="21" customHeight="1">
      <c r="A218" s="56"/>
      <c r="B218" s="90" t="s">
        <v>401</v>
      </c>
      <c r="C218" s="144" t="s">
        <v>423</v>
      </c>
      <c r="D218" s="143"/>
      <c r="E218" s="143"/>
      <c r="F218" s="143"/>
      <c r="G218" s="143"/>
      <c r="H218" s="143"/>
      <c r="I218" s="143"/>
      <c r="J218" s="143"/>
      <c r="K218" s="142" t="s">
        <v>422</v>
      </c>
      <c r="L218" s="56"/>
      <c r="M218" s="90" t="s">
        <v>401</v>
      </c>
      <c r="N218" s="1600" t="s">
        <v>421</v>
      </c>
      <c r="O218" s="1600"/>
      <c r="P218" s="1600"/>
      <c r="Q218" s="1600"/>
      <c r="R218" s="1600"/>
      <c r="S218" s="1600"/>
      <c r="T218" s="1601"/>
      <c r="U218" s="56"/>
      <c r="V218" s="56"/>
      <c r="W218" s="56"/>
      <c r="X218" s="56"/>
      <c r="Y218" s="56"/>
      <c r="Z218" s="56"/>
      <c r="AA218" s="56"/>
      <c r="AB218" s="56"/>
      <c r="AC218" s="56"/>
      <c r="AD218" s="56"/>
      <c r="AE218" s="56"/>
      <c r="AF218" s="56"/>
      <c r="AG218" s="56"/>
      <c r="AH218" s="56"/>
      <c r="AI218" s="56"/>
      <c r="AJ218" s="56"/>
      <c r="AK218" s="56"/>
      <c r="AL218" s="56"/>
      <c r="AM218" s="56"/>
      <c r="AN218" s="56"/>
      <c r="AO218" s="56"/>
      <c r="AP218" s="56"/>
      <c r="AQ218" s="56"/>
      <c r="AR218" s="56"/>
      <c r="AS218" s="56"/>
      <c r="AT218" s="56"/>
      <c r="AU218" s="56"/>
      <c r="AV218" s="56"/>
      <c r="AW218" s="56"/>
      <c r="AX218" s="56"/>
      <c r="AY218" s="56"/>
      <c r="AZ218" s="56"/>
      <c r="BA218" s="56"/>
      <c r="BB218" s="56"/>
      <c r="BC218" s="56"/>
      <c r="BD218" s="6">
        <v>1</v>
      </c>
    </row>
    <row r="219" spans="1:58" s="53" customFormat="1" ht="21" customHeight="1">
      <c r="A219" s="56"/>
      <c r="B219" s="1596">
        <v>3</v>
      </c>
      <c r="C219" s="141" t="str">
        <f>ADDRESS(ROW(),COLUMN(),4)</f>
        <v>C219</v>
      </c>
      <c r="D219" s="140"/>
      <c r="E219" s="140"/>
      <c r="F219" s="126"/>
      <c r="G219" s="140"/>
      <c r="H219" s="140"/>
      <c r="I219" s="139"/>
      <c r="J219" s="139"/>
      <c r="K219" s="138"/>
      <c r="L219" s="56"/>
      <c r="M219" s="1596">
        <v>3</v>
      </c>
      <c r="N219" s="89" t="str">
        <f>ADDRESS(ROW(),COLUMN(),4)</f>
        <v>N219</v>
      </c>
      <c r="O219" s="88" t="s">
        <v>399</v>
      </c>
      <c r="P219" s="137"/>
      <c r="Q219" s="137"/>
      <c r="R219" s="137"/>
      <c r="S219" s="137"/>
      <c r="T219" s="136"/>
      <c r="U219" s="56"/>
      <c r="V219" s="56"/>
      <c r="W219" s="56"/>
      <c r="X219" s="56"/>
      <c r="Y219" s="56"/>
      <c r="Z219" s="56"/>
      <c r="AA219" s="56"/>
      <c r="AB219" s="56"/>
      <c r="AC219" s="56"/>
      <c r="AD219" s="56"/>
      <c r="AE219" s="56"/>
      <c r="AF219" s="56"/>
      <c r="AG219" s="56"/>
      <c r="AH219" s="56"/>
      <c r="AI219" s="56"/>
      <c r="AJ219" s="56"/>
      <c r="AK219" s="56"/>
      <c r="AL219" s="56"/>
      <c r="AM219" s="56"/>
      <c r="AN219" s="56"/>
      <c r="AO219" s="56"/>
      <c r="AP219" s="56"/>
      <c r="AQ219" s="56"/>
      <c r="AR219" s="56"/>
      <c r="AS219" s="56"/>
      <c r="AT219" s="56"/>
      <c r="AU219" s="56"/>
      <c r="AV219" s="56"/>
      <c r="AW219" s="56"/>
      <c r="AX219" s="56"/>
      <c r="AY219" s="56"/>
      <c r="AZ219" s="56"/>
      <c r="BA219" s="56"/>
      <c r="BB219" s="56"/>
      <c r="BC219" s="56"/>
      <c r="BD219" s="6">
        <v>1</v>
      </c>
    </row>
    <row r="220" spans="1:58" s="53" customFormat="1" ht="21" customHeight="1">
      <c r="A220" s="56"/>
      <c r="B220" s="1596"/>
      <c r="C220" s="126"/>
      <c r="D220" s="133" t="s">
        <v>414</v>
      </c>
      <c r="E220" s="134">
        <v>1</v>
      </c>
      <c r="F220" s="125"/>
      <c r="G220" s="135" t="s">
        <v>414</v>
      </c>
      <c r="H220" s="134">
        <v>1</v>
      </c>
      <c r="I220" s="122"/>
      <c r="J220" s="133" t="s">
        <v>414</v>
      </c>
      <c r="K220" s="132">
        <v>1</v>
      </c>
      <c r="L220" s="56"/>
      <c r="M220" s="1596"/>
      <c r="N220" s="1602" t="s">
        <v>420</v>
      </c>
      <c r="O220" s="1602"/>
      <c r="P220" s="1604" t="s">
        <v>419</v>
      </c>
      <c r="Q220" s="1604"/>
      <c r="R220" s="1604"/>
      <c r="S220" s="1604"/>
      <c r="T220" s="1605"/>
      <c r="U220" s="56"/>
      <c r="V220" s="56"/>
      <c r="W220" s="56"/>
      <c r="X220" s="56"/>
      <c r="Y220" s="56"/>
      <c r="Z220" s="56"/>
      <c r="AA220" s="56"/>
      <c r="AB220" s="56"/>
      <c r="AC220" s="56"/>
      <c r="AD220" s="56"/>
      <c r="AE220" s="56"/>
      <c r="AF220" s="56"/>
      <c r="AG220" s="56"/>
      <c r="AH220" s="56"/>
      <c r="AI220" s="56"/>
      <c r="AJ220" s="56"/>
      <c r="AK220" s="56"/>
      <c r="AL220" s="56"/>
      <c r="AM220" s="56"/>
      <c r="AN220" s="56"/>
      <c r="AO220" s="56"/>
      <c r="AP220" s="56"/>
      <c r="AQ220" s="56"/>
      <c r="AR220" s="56"/>
      <c r="AS220" s="56"/>
      <c r="AT220" s="56"/>
      <c r="AU220" s="56"/>
      <c r="AV220" s="56"/>
      <c r="AW220" s="56"/>
      <c r="AX220" s="56"/>
      <c r="AY220" s="56"/>
      <c r="AZ220" s="56"/>
      <c r="BA220" s="56"/>
      <c r="BB220" s="56"/>
      <c r="BC220" s="56"/>
      <c r="BD220" s="6">
        <v>1</v>
      </c>
    </row>
    <row r="221" spans="1:58" s="53" customFormat="1" ht="21" customHeight="1">
      <c r="A221" s="56"/>
      <c r="B221" s="1596"/>
      <c r="C221" s="104"/>
      <c r="D221" s="129" t="s">
        <v>416</v>
      </c>
      <c r="E221" s="130">
        <v>2</v>
      </c>
      <c r="F221" s="103"/>
      <c r="G221" s="131" t="s">
        <v>413</v>
      </c>
      <c r="H221" s="130">
        <v>2</v>
      </c>
      <c r="I221" s="101"/>
      <c r="J221" s="129" t="s">
        <v>412</v>
      </c>
      <c r="K221" s="128">
        <v>50</v>
      </c>
      <c r="L221" s="56"/>
      <c r="M221" s="1596"/>
      <c r="N221" s="1603"/>
      <c r="O221" s="1603"/>
      <c r="P221" s="1606"/>
      <c r="Q221" s="1606"/>
      <c r="R221" s="1606"/>
      <c r="S221" s="1606"/>
      <c r="T221" s="1607"/>
      <c r="U221" s="56"/>
      <c r="V221" s="56"/>
      <c r="W221" s="56"/>
      <c r="X221" s="56"/>
      <c r="Y221" s="56"/>
      <c r="Z221" s="56"/>
      <c r="AA221" s="56"/>
      <c r="AB221" s="56"/>
      <c r="AC221" s="56"/>
      <c r="AD221" s="56"/>
      <c r="AE221" s="56"/>
      <c r="AF221" s="56"/>
      <c r="AG221" s="56"/>
      <c r="AH221" s="56"/>
      <c r="AI221" s="56"/>
      <c r="AJ221" s="56"/>
      <c r="AK221" s="56"/>
      <c r="AL221" s="56"/>
      <c r="AM221" s="56"/>
      <c r="AN221" s="56"/>
      <c r="AO221" s="56"/>
      <c r="AP221" s="56"/>
      <c r="AQ221" s="56"/>
      <c r="AR221" s="56"/>
      <c r="AS221" s="56"/>
      <c r="AT221" s="56"/>
      <c r="AU221" s="56"/>
      <c r="AV221" s="56"/>
      <c r="AW221" s="56"/>
      <c r="AX221" s="56"/>
      <c r="AY221" s="56"/>
      <c r="AZ221" s="56"/>
      <c r="BA221" s="56"/>
      <c r="BB221" s="56"/>
      <c r="BC221" s="56"/>
      <c r="BD221" s="6">
        <v>1</v>
      </c>
    </row>
    <row r="222" spans="1:58" s="53" customFormat="1" ht="21" customHeight="1">
      <c r="A222" s="56"/>
      <c r="B222" s="1596"/>
      <c r="C222" s="104"/>
      <c r="D222" s="100" t="s">
        <v>410</v>
      </c>
      <c r="E222" s="102">
        <f>IF(E220=0,0,IF(E221=0,0,E221-E220))</f>
        <v>1</v>
      </c>
      <c r="F222" s="103"/>
      <c r="G222" s="100" t="s">
        <v>417</v>
      </c>
      <c r="H222" s="102">
        <f>IF(H220=0,0,H220+H221)</f>
        <v>3</v>
      </c>
      <c r="I222" s="101"/>
      <c r="J222" s="100" t="s">
        <v>410</v>
      </c>
      <c r="K222" s="99">
        <f>K223*K221%</f>
        <v>1</v>
      </c>
      <c r="L222" s="56"/>
      <c r="M222" s="1596"/>
      <c r="N222" s="1608" t="s">
        <v>418</v>
      </c>
      <c r="O222" s="1610">
        <f>SUM(N226:N235)</f>
        <v>0.97000000000000008</v>
      </c>
      <c r="P222" s="1612" t="str">
        <f>IF(N225&lt;S225,"Recette incomplète, il manque",IF(N225&gt;S225,"Trop de produits dans la recette",IF(N225=S225,"OK")))</f>
        <v>Recette incomplète, il manque</v>
      </c>
      <c r="Q222" s="1612"/>
      <c r="R222" s="1612"/>
      <c r="S222" s="1612"/>
      <c r="T222" s="1621">
        <f>IF(N225=S225,"",IF(N225&lt;S225,S225-N225,IF(N225&gt;S225,N225-S225)))</f>
        <v>2.9999999999999916E-2</v>
      </c>
      <c r="U222" s="56"/>
      <c r="V222" s="56"/>
      <c r="W222" s="56"/>
      <c r="X222" s="56"/>
      <c r="Y222" s="56"/>
      <c r="Z222" s="56"/>
      <c r="AA222" s="56"/>
      <c r="AB222" s="56"/>
      <c r="AC222" s="56"/>
      <c r="AD222" s="56"/>
      <c r="AE222" s="56"/>
      <c r="AF222" s="56"/>
      <c r="AG222" s="56"/>
      <c r="AH222" s="56"/>
      <c r="AI222" s="56"/>
      <c r="AJ222" s="56"/>
      <c r="AK222" s="56"/>
      <c r="AL222" s="56"/>
      <c r="AM222" s="56"/>
      <c r="AN222" s="56"/>
      <c r="AO222" s="56"/>
      <c r="AP222" s="56"/>
      <c r="AQ222" s="56"/>
      <c r="AR222" s="56"/>
      <c r="AS222" s="56"/>
      <c r="AT222" s="56"/>
      <c r="AU222" s="56"/>
      <c r="AV222" s="56"/>
      <c r="AW222" s="56"/>
      <c r="AX222" s="56"/>
      <c r="AY222" s="56"/>
      <c r="AZ222" s="56"/>
      <c r="BA222" s="56"/>
      <c r="BB222" s="56"/>
      <c r="BC222" s="56"/>
      <c r="BD222" s="6">
        <v>1</v>
      </c>
    </row>
    <row r="223" spans="1:58" s="53" customFormat="1" ht="21" customHeight="1">
      <c r="A223" s="56"/>
      <c r="B223" s="1596"/>
      <c r="C223" s="96"/>
      <c r="D223" s="92" t="s">
        <v>408</v>
      </c>
      <c r="E223" s="94">
        <f>IF(E220=0,0,IF(E221=0,0,E222/E221))</f>
        <v>0.5</v>
      </c>
      <c r="F223" s="95"/>
      <c r="G223" s="92" t="s">
        <v>408</v>
      </c>
      <c r="H223" s="94">
        <f>IF(H220=0,0,H221/H222)</f>
        <v>0.66666666666666663</v>
      </c>
      <c r="I223" s="93"/>
      <c r="J223" s="92" t="s">
        <v>417</v>
      </c>
      <c r="K223" s="127">
        <f>K220/(100-K221)*100</f>
        <v>2</v>
      </c>
      <c r="L223" s="56"/>
      <c r="M223" s="1596"/>
      <c r="N223" s="1609"/>
      <c r="O223" s="1611"/>
      <c r="P223" s="1613"/>
      <c r="Q223" s="1613"/>
      <c r="R223" s="1613"/>
      <c r="S223" s="1613"/>
      <c r="T223" s="1622"/>
      <c r="U223" s="56"/>
      <c r="V223" s="56"/>
      <c r="W223" s="56"/>
      <c r="X223" s="56"/>
      <c r="Y223" s="56"/>
      <c r="Z223" s="56"/>
      <c r="AA223" s="56"/>
      <c r="AB223" s="56"/>
      <c r="AC223" s="56"/>
      <c r="AD223" s="56"/>
      <c r="AE223" s="56"/>
      <c r="AF223" s="56"/>
      <c r="AG223" s="56"/>
      <c r="AH223" s="56"/>
      <c r="AI223" s="56"/>
      <c r="AJ223" s="56"/>
      <c r="AK223" s="56"/>
      <c r="AL223" s="56"/>
      <c r="AM223" s="56"/>
      <c r="AN223" s="56"/>
      <c r="AO223" s="56"/>
      <c r="AP223" s="56"/>
      <c r="AQ223" s="56"/>
      <c r="AR223" s="56"/>
      <c r="AS223" s="56"/>
      <c r="AT223" s="56"/>
      <c r="AU223" s="56"/>
      <c r="AV223" s="56"/>
      <c r="AW223" s="56"/>
      <c r="AX223" s="56"/>
      <c r="AY223" s="56"/>
      <c r="AZ223" s="56"/>
      <c r="BA223" s="56"/>
      <c r="BB223" s="56"/>
      <c r="BC223" s="56"/>
      <c r="BD223" s="6">
        <v>1</v>
      </c>
    </row>
    <row r="224" spans="1:58" s="53" customFormat="1" ht="21" customHeight="1">
      <c r="A224" s="56"/>
      <c r="B224" s="1596"/>
      <c r="C224" s="126"/>
      <c r="D224" s="124" t="s">
        <v>416</v>
      </c>
      <c r="E224" s="123">
        <v>2</v>
      </c>
      <c r="F224" s="125"/>
      <c r="G224" s="124" t="s">
        <v>416</v>
      </c>
      <c r="H224" s="123">
        <v>2</v>
      </c>
      <c r="I224" s="122"/>
      <c r="J224" s="121" t="s">
        <v>416</v>
      </c>
      <c r="K224" s="120">
        <v>1</v>
      </c>
      <c r="L224" s="56"/>
      <c r="M224" s="1596"/>
      <c r="N224" s="119" t="s">
        <v>415</v>
      </c>
      <c r="O224" s="118"/>
      <c r="P224" s="118"/>
      <c r="Q224" s="118"/>
      <c r="R224" s="117" t="s">
        <v>264</v>
      </c>
      <c r="S224" s="116" t="s">
        <v>387</v>
      </c>
      <c r="T224" s="115" t="s">
        <v>263</v>
      </c>
      <c r="U224" s="56"/>
      <c r="V224" s="56"/>
      <c r="W224" s="56"/>
      <c r="X224" s="56"/>
      <c r="Y224" s="56"/>
      <c r="Z224" s="56"/>
      <c r="AA224" s="56"/>
      <c r="AB224" s="56"/>
      <c r="AC224" s="56"/>
      <c r="AD224" s="56"/>
      <c r="AE224" s="56"/>
      <c r="AF224" s="56"/>
      <c r="AG224" s="56"/>
      <c r="AH224" s="56"/>
      <c r="AI224" s="56"/>
      <c r="AJ224" s="56"/>
      <c r="AK224" s="56"/>
      <c r="AL224" s="56"/>
      <c r="AM224" s="56"/>
      <c r="AN224" s="56"/>
      <c r="AO224" s="56"/>
      <c r="AP224" s="56"/>
      <c r="AQ224" s="56"/>
      <c r="AR224" s="56"/>
      <c r="AS224" s="56"/>
      <c r="AT224" s="56"/>
      <c r="AU224" s="56"/>
      <c r="AV224" s="56"/>
      <c r="AW224" s="56"/>
      <c r="AX224" s="56"/>
      <c r="AY224" s="56"/>
      <c r="AZ224" s="56"/>
      <c r="BA224" s="56"/>
      <c r="BB224" s="56"/>
      <c r="BC224" s="56"/>
      <c r="BD224" s="6">
        <v>1</v>
      </c>
    </row>
    <row r="225" spans="1:58" s="53" customFormat="1" ht="21" customHeight="1">
      <c r="A225" s="56"/>
      <c r="B225" s="1596"/>
      <c r="C225" s="104"/>
      <c r="D225" s="113" t="s">
        <v>414</v>
      </c>
      <c r="E225" s="114">
        <v>1</v>
      </c>
      <c r="F225" s="103"/>
      <c r="G225" s="113" t="s">
        <v>413</v>
      </c>
      <c r="H225" s="114">
        <v>1</v>
      </c>
      <c r="I225" s="101"/>
      <c r="J225" s="113" t="s">
        <v>412</v>
      </c>
      <c r="K225" s="112">
        <v>50</v>
      </c>
      <c r="L225" s="56"/>
      <c r="M225" s="1596"/>
      <c r="N225" s="111">
        <f>SUM(N226:N235)</f>
        <v>0.97000000000000008</v>
      </c>
      <c r="O225" s="110"/>
      <c r="P225" s="109"/>
      <c r="Q225" s="108" t="s">
        <v>411</v>
      </c>
      <c r="R225" s="107">
        <v>7</v>
      </c>
      <c r="S225" s="106">
        <v>1</v>
      </c>
      <c r="T225" s="105">
        <f>SUM(T226:T235)</f>
        <v>6.9300000000000006</v>
      </c>
      <c r="U225" s="56"/>
      <c r="V225" s="56"/>
      <c r="W225" s="56"/>
      <c r="X225" s="56"/>
      <c r="Y225" s="56"/>
      <c r="Z225" s="56"/>
      <c r="AA225" s="56"/>
      <c r="AB225" s="56"/>
      <c r="AC225" s="56"/>
      <c r="AD225" s="56"/>
      <c r="AE225" s="56"/>
      <c r="AF225" s="56"/>
      <c r="AG225" s="56"/>
      <c r="AH225" s="56"/>
      <c r="AI225" s="56"/>
      <c r="AJ225" s="56"/>
      <c r="AK225" s="56"/>
      <c r="AL225" s="56"/>
      <c r="AM225" s="56"/>
      <c r="AN225" s="56"/>
      <c r="AO225" s="56"/>
      <c r="AP225" s="56"/>
      <c r="AQ225" s="56"/>
      <c r="AR225" s="56"/>
      <c r="AS225" s="56"/>
      <c r="AT225" s="56"/>
      <c r="AU225" s="56"/>
      <c r="AV225" s="56"/>
      <c r="AW225" s="56"/>
      <c r="AX225" s="56"/>
      <c r="AY225" s="56"/>
      <c r="AZ225" s="56"/>
      <c r="BA225" s="56"/>
      <c r="BB225" s="56"/>
      <c r="BC225" s="56"/>
      <c r="BD225" s="6">
        <v>1</v>
      </c>
    </row>
    <row r="226" spans="1:58" s="53" customFormat="1" ht="21" customHeight="1">
      <c r="A226" s="56"/>
      <c r="B226" s="1596"/>
      <c r="C226" s="104"/>
      <c r="D226" s="100" t="s">
        <v>410</v>
      </c>
      <c r="E226" s="102">
        <f>IF(E224=0,0,IF(E225=0,0,E224-E225))</f>
        <v>1</v>
      </c>
      <c r="F226" s="103"/>
      <c r="G226" s="100" t="s">
        <v>407</v>
      </c>
      <c r="H226" s="102">
        <f>IF(H224=0,0,IF(H225=0,0,H224-H225))</f>
        <v>1</v>
      </c>
      <c r="I226" s="101"/>
      <c r="J226" s="100" t="s">
        <v>410</v>
      </c>
      <c r="K226" s="99">
        <f>K224*K225%</f>
        <v>0.5</v>
      </c>
      <c r="L226" s="56"/>
      <c r="M226" s="1596"/>
      <c r="N226" s="81">
        <v>0.12</v>
      </c>
      <c r="O226" s="80" t="s">
        <v>409</v>
      </c>
      <c r="P226" s="80"/>
      <c r="Q226" s="80"/>
      <c r="R226" s="98">
        <f>R225*N226</f>
        <v>0.84</v>
      </c>
      <c r="S226" s="97">
        <v>0</v>
      </c>
      <c r="T226" s="77">
        <f t="shared" ref="T226:T235" si="9">IF(S226=0,R226,IF(R226="","",R226/(100-S226)*100))</f>
        <v>0.84</v>
      </c>
      <c r="U226" s="56"/>
      <c r="V226" s="56"/>
      <c r="W226" s="56"/>
      <c r="X226" s="56"/>
      <c r="Y226" s="56"/>
      <c r="Z226" s="56"/>
      <c r="AA226" s="56"/>
      <c r="AB226" s="56"/>
      <c r="AC226" s="56"/>
      <c r="AD226" s="56"/>
      <c r="AE226" s="56"/>
      <c r="AF226" s="56"/>
      <c r="AG226" s="56"/>
      <c r="AH226" s="56"/>
      <c r="AI226" s="56"/>
      <c r="AJ226" s="56"/>
      <c r="AK226" s="56"/>
      <c r="AL226" s="56"/>
      <c r="AM226" s="56"/>
      <c r="AN226" s="56"/>
      <c r="AO226" s="56"/>
      <c r="AP226" s="56"/>
      <c r="AQ226" s="56"/>
      <c r="AR226" s="56"/>
      <c r="AS226" s="56"/>
      <c r="AT226" s="56"/>
      <c r="AU226" s="56"/>
      <c r="AV226" s="56"/>
      <c r="AW226" s="56"/>
      <c r="AX226" s="56"/>
      <c r="AY226" s="56"/>
      <c r="AZ226" s="56"/>
      <c r="BA226" s="56"/>
      <c r="BB226" s="56"/>
      <c r="BC226" s="56"/>
      <c r="BD226" s="6">
        <v>1</v>
      </c>
    </row>
    <row r="227" spans="1:58" s="53" customFormat="1" ht="21" customHeight="1">
      <c r="A227" s="56"/>
      <c r="B227" s="1596"/>
      <c r="C227" s="96"/>
      <c r="D227" s="92" t="s">
        <v>408</v>
      </c>
      <c r="E227" s="94">
        <f>IF(E224=0,0,E226/E224)</f>
        <v>0.5</v>
      </c>
      <c r="F227" s="95"/>
      <c r="G227" s="92" t="s">
        <v>408</v>
      </c>
      <c r="H227" s="94">
        <f>IF(H224=0,0,IF(H225=0,0,H225/H224))</f>
        <v>0.5</v>
      </c>
      <c r="I227" s="93"/>
      <c r="J227" s="92" t="s">
        <v>407</v>
      </c>
      <c r="K227" s="91">
        <f>K224-K226</f>
        <v>0.5</v>
      </c>
      <c r="L227" s="56"/>
      <c r="M227" s="1596"/>
      <c r="N227" s="81">
        <v>0.08</v>
      </c>
      <c r="O227" s="80" t="s">
        <v>406</v>
      </c>
      <c r="P227" s="80"/>
      <c r="Q227" s="80"/>
      <c r="R227" s="79">
        <f>R225*N227</f>
        <v>0.56000000000000005</v>
      </c>
      <c r="S227" s="78">
        <v>0</v>
      </c>
      <c r="T227" s="77">
        <f t="shared" si="9"/>
        <v>0.56000000000000005</v>
      </c>
      <c r="U227" s="56"/>
      <c r="V227" s="56"/>
      <c r="W227" s="56"/>
      <c r="X227" s="56"/>
      <c r="Y227" s="56"/>
      <c r="Z227" s="56"/>
      <c r="AA227" s="56"/>
      <c r="AB227" s="56"/>
      <c r="AC227" s="56"/>
      <c r="AD227" s="56"/>
      <c r="AE227" s="56"/>
      <c r="AF227" s="56"/>
      <c r="AG227" s="56"/>
      <c r="AH227" s="56"/>
      <c r="AI227" s="56"/>
      <c r="AJ227" s="56"/>
      <c r="AK227" s="56"/>
      <c r="AL227" s="56"/>
      <c r="AM227" s="56"/>
      <c r="AN227" s="56"/>
      <c r="AO227" s="56"/>
      <c r="AP227" s="56"/>
      <c r="AQ227" s="56"/>
      <c r="AR227" s="56"/>
      <c r="AS227" s="56"/>
      <c r="AT227" s="56"/>
      <c r="AU227" s="56"/>
      <c r="AV227" s="56"/>
      <c r="AW227" s="56"/>
      <c r="AX227" s="56"/>
      <c r="AY227" s="56"/>
      <c r="AZ227" s="56"/>
      <c r="BA227" s="56"/>
      <c r="BB227" s="56"/>
      <c r="BC227" s="56"/>
      <c r="BD227" s="6">
        <v>1</v>
      </c>
    </row>
    <row r="228" spans="1:58" s="53" customFormat="1" ht="21" customHeight="1">
      <c r="A228" s="56"/>
      <c r="B228" s="1596"/>
      <c r="C228" s="1623" t="s">
        <v>405</v>
      </c>
      <c r="D228" s="1623"/>
      <c r="E228" s="1623"/>
      <c r="F228" s="1623"/>
      <c r="G228" s="1623"/>
      <c r="H228" s="1623"/>
      <c r="I228" s="1623"/>
      <c r="J228" s="1623"/>
      <c r="K228" s="1624"/>
      <c r="L228" s="56"/>
      <c r="M228" s="1596"/>
      <c r="N228" s="81">
        <v>0.2</v>
      </c>
      <c r="O228" s="80" t="s">
        <v>404</v>
      </c>
      <c r="P228" s="80"/>
      <c r="Q228" s="80"/>
      <c r="R228" s="79">
        <f>R225*N228</f>
        <v>1.4000000000000001</v>
      </c>
      <c r="S228" s="78">
        <v>0</v>
      </c>
      <c r="T228" s="77">
        <f t="shared" si="9"/>
        <v>1.4000000000000001</v>
      </c>
      <c r="U228" s="56"/>
      <c r="V228" s="56"/>
      <c r="W228" s="56"/>
      <c r="X228" s="56"/>
      <c r="Y228" s="56"/>
      <c r="Z228" s="56"/>
      <c r="AA228" s="56"/>
      <c r="AB228" s="56"/>
      <c r="AC228" s="56"/>
      <c r="AD228" s="56"/>
      <c r="AE228" s="56"/>
      <c r="AF228" s="56"/>
      <c r="AG228" s="56"/>
      <c r="AH228" s="56"/>
      <c r="AI228" s="56"/>
      <c r="AJ228" s="56"/>
      <c r="AK228" s="56"/>
      <c r="AL228" s="56"/>
      <c r="AM228" s="56"/>
      <c r="AN228" s="56"/>
      <c r="AO228" s="56"/>
      <c r="AP228" s="56"/>
      <c r="AQ228" s="56"/>
      <c r="AR228" s="56"/>
      <c r="AS228" s="56"/>
      <c r="AT228" s="56"/>
      <c r="AU228" s="56"/>
      <c r="AV228" s="56"/>
      <c r="AW228" s="56"/>
      <c r="AX228" s="56"/>
      <c r="AY228" s="56"/>
      <c r="AZ228" s="56"/>
      <c r="BA228" s="56"/>
      <c r="BB228" s="56"/>
      <c r="BC228" s="56"/>
      <c r="BD228" s="6">
        <v>1</v>
      </c>
    </row>
    <row r="229" spans="1:58" s="53" customFormat="1" ht="21" customHeight="1">
      <c r="A229" s="56"/>
      <c r="B229" s="1596"/>
      <c r="C229" s="60">
        <v>8</v>
      </c>
      <c r="D229" s="60">
        <v>8</v>
      </c>
      <c r="E229" s="60">
        <v>11</v>
      </c>
      <c r="F229" s="60">
        <v>8</v>
      </c>
      <c r="G229" s="60">
        <v>8</v>
      </c>
      <c r="H229" s="60">
        <v>11</v>
      </c>
      <c r="I229" s="60">
        <v>8</v>
      </c>
      <c r="J229" s="60">
        <v>8</v>
      </c>
      <c r="K229" s="62">
        <v>11</v>
      </c>
      <c r="L229" s="56"/>
      <c r="M229" s="1596"/>
      <c r="N229" s="81">
        <v>0.55000000000000004</v>
      </c>
      <c r="O229" s="80" t="s">
        <v>403</v>
      </c>
      <c r="P229" s="80"/>
      <c r="Q229" s="80"/>
      <c r="R229" s="79">
        <f>R225*N229</f>
        <v>3.8500000000000005</v>
      </c>
      <c r="S229" s="78">
        <v>0</v>
      </c>
      <c r="T229" s="77">
        <f t="shared" si="9"/>
        <v>3.8500000000000005</v>
      </c>
      <c r="U229" s="56"/>
      <c r="V229" s="56"/>
      <c r="W229" s="56"/>
      <c r="X229" s="56"/>
      <c r="Y229" s="56"/>
      <c r="Z229" s="56"/>
      <c r="AA229" s="56"/>
      <c r="AB229" s="56"/>
      <c r="AC229" s="56"/>
      <c r="AD229" s="56"/>
      <c r="AE229" s="56"/>
      <c r="AF229" s="56"/>
      <c r="AG229" s="56"/>
      <c r="AH229" s="56"/>
      <c r="AI229" s="56"/>
      <c r="AJ229" s="56"/>
      <c r="AK229" s="56"/>
      <c r="AL229" s="56"/>
      <c r="AM229" s="56"/>
      <c r="AN229" s="56"/>
      <c r="AO229" s="56"/>
      <c r="AP229" s="56"/>
      <c r="AQ229" s="56"/>
      <c r="AR229" s="56"/>
      <c r="AS229" s="56"/>
      <c r="AT229" s="56"/>
      <c r="AU229" s="56"/>
      <c r="AV229" s="56"/>
      <c r="AW229" s="56"/>
      <c r="AX229" s="56"/>
      <c r="AY229" s="56"/>
      <c r="AZ229" s="56"/>
      <c r="BA229" s="56"/>
      <c r="BB229" s="56"/>
      <c r="BC229" s="56"/>
      <c r="BD229" s="6">
        <v>1</v>
      </c>
    </row>
    <row r="230" spans="1:58" s="53" customFormat="1" ht="21" customHeight="1" thickBot="1">
      <c r="A230" s="56"/>
      <c r="B230" s="1597"/>
      <c r="C230" s="58">
        <f t="shared" ref="C230:K230" ca="1" si="10">CELL("largeur",C230)</f>
        <v>13</v>
      </c>
      <c r="D230" s="58">
        <f t="shared" ca="1" si="10"/>
        <v>21</v>
      </c>
      <c r="E230" s="58">
        <f t="shared" ca="1" si="10"/>
        <v>13</v>
      </c>
      <c r="F230" s="58">
        <f t="shared" ca="1" si="10"/>
        <v>13</v>
      </c>
      <c r="G230" s="58">
        <f t="shared" ca="1" si="10"/>
        <v>13</v>
      </c>
      <c r="H230" s="58">
        <f t="shared" ca="1" si="10"/>
        <v>13</v>
      </c>
      <c r="I230" s="58">
        <f t="shared" ca="1" si="10"/>
        <v>16</v>
      </c>
      <c r="J230" s="58">
        <f t="shared" ca="1" si="10"/>
        <v>18</v>
      </c>
      <c r="K230" s="61">
        <f t="shared" ca="1" si="10"/>
        <v>16</v>
      </c>
      <c r="L230" s="56"/>
      <c r="M230" s="1596"/>
      <c r="N230" s="81">
        <v>0.02</v>
      </c>
      <c r="O230" s="80" t="s">
        <v>402</v>
      </c>
      <c r="P230" s="80"/>
      <c r="Q230" s="80"/>
      <c r="R230" s="79">
        <f>R225*N230</f>
        <v>0.14000000000000001</v>
      </c>
      <c r="S230" s="78">
        <v>50</v>
      </c>
      <c r="T230" s="77">
        <f t="shared" si="9"/>
        <v>0.28000000000000003</v>
      </c>
      <c r="U230" s="56"/>
      <c r="V230" s="56"/>
      <c r="W230" s="56"/>
      <c r="X230" s="56"/>
      <c r="Y230" s="56"/>
      <c r="Z230" s="56"/>
      <c r="AA230" s="56"/>
      <c r="AB230" s="56"/>
      <c r="AC230" s="56"/>
      <c r="AD230" s="56"/>
      <c r="AE230" s="56"/>
      <c r="AF230" s="56"/>
      <c r="AG230" s="56"/>
      <c r="AH230" s="56"/>
      <c r="AI230" s="56"/>
      <c r="AJ230" s="56"/>
      <c r="AK230" s="56"/>
      <c r="AL230" s="56"/>
      <c r="AM230" s="56"/>
      <c r="AN230" s="56"/>
      <c r="AO230" s="56"/>
      <c r="AP230" s="56"/>
      <c r="AQ230" s="56"/>
      <c r="AR230" s="56"/>
      <c r="AS230" s="56"/>
      <c r="AT230" s="56"/>
      <c r="AU230" s="56"/>
      <c r="AV230" s="56"/>
      <c r="AW230" s="56"/>
      <c r="AX230" s="56"/>
      <c r="AY230" s="56"/>
      <c r="AZ230" s="56"/>
      <c r="BA230" s="56"/>
      <c r="BB230" s="56"/>
      <c r="BC230" s="56"/>
      <c r="BD230" s="6">
        <v>1</v>
      </c>
    </row>
    <row r="231" spans="1:58" s="53" customFormat="1" ht="21" customHeight="1" thickBot="1">
      <c r="A231" s="56">
        <v>1</v>
      </c>
      <c r="B231" s="56">
        <v>1</v>
      </c>
      <c r="C231" s="56">
        <v>1</v>
      </c>
      <c r="D231" s="56">
        <v>1</v>
      </c>
      <c r="E231" s="56">
        <v>1</v>
      </c>
      <c r="F231" s="56">
        <v>1</v>
      </c>
      <c r="G231" s="56">
        <v>1</v>
      </c>
      <c r="H231" s="56">
        <v>1</v>
      </c>
      <c r="I231" s="56"/>
      <c r="J231" s="56"/>
      <c r="K231" s="56"/>
      <c r="L231" s="56"/>
      <c r="M231" s="1596"/>
      <c r="N231" s="81"/>
      <c r="O231" s="80"/>
      <c r="P231" s="80"/>
      <c r="Q231" s="80"/>
      <c r="R231" s="79">
        <f>R225*N231</f>
        <v>0</v>
      </c>
      <c r="S231" s="78"/>
      <c r="T231" s="77">
        <f t="shared" si="9"/>
        <v>0</v>
      </c>
      <c r="U231" s="56"/>
      <c r="V231" s="56"/>
      <c r="W231" s="56"/>
      <c r="X231" s="56"/>
      <c r="Y231" s="56"/>
      <c r="Z231" s="56"/>
      <c r="AA231" s="56"/>
      <c r="AB231" s="56"/>
      <c r="AC231" s="56"/>
      <c r="AD231" s="56"/>
      <c r="AE231" s="56"/>
      <c r="AF231" s="56"/>
      <c r="AG231" s="56"/>
      <c r="AH231" s="56"/>
      <c r="AI231" s="56"/>
      <c r="AJ231" s="56"/>
      <c r="AK231" s="56"/>
      <c r="AL231" s="56"/>
      <c r="AM231" s="56"/>
      <c r="AN231" s="56"/>
      <c r="AO231" s="56"/>
      <c r="AP231" s="56"/>
      <c r="AQ231" s="56"/>
      <c r="AR231" s="56"/>
      <c r="AS231" s="56"/>
      <c r="AT231" s="56"/>
      <c r="AU231" s="56"/>
      <c r="AV231" s="56"/>
      <c r="AW231" s="56"/>
      <c r="AX231" s="56"/>
      <c r="AY231" s="56"/>
      <c r="AZ231" s="56"/>
      <c r="BA231" s="56"/>
      <c r="BB231" s="56"/>
      <c r="BC231" s="56"/>
      <c r="BD231" s="6">
        <v>1</v>
      </c>
    </row>
    <row r="232" spans="1:58" s="53" customFormat="1" ht="21" customHeight="1">
      <c r="A232" s="56">
        <v>1</v>
      </c>
      <c r="B232" s="90" t="s">
        <v>401</v>
      </c>
      <c r="C232" s="1590" t="s">
        <v>400</v>
      </c>
      <c r="D232" s="1590"/>
      <c r="E232" s="1590"/>
      <c r="F232" s="1590"/>
      <c r="G232" s="1590"/>
      <c r="H232" s="1591"/>
      <c r="I232" s="56"/>
      <c r="J232" s="56"/>
      <c r="K232" s="56"/>
      <c r="L232" s="56"/>
      <c r="M232" s="1596"/>
      <c r="N232" s="81"/>
      <c r="O232" s="80"/>
      <c r="P232" s="80"/>
      <c r="Q232" s="80"/>
      <c r="R232" s="79">
        <f>R225*N232</f>
        <v>0</v>
      </c>
      <c r="S232" s="78"/>
      <c r="T232" s="77">
        <f t="shared" si="9"/>
        <v>0</v>
      </c>
      <c r="U232" s="56"/>
      <c r="V232" s="56"/>
      <c r="W232" s="56"/>
      <c r="X232" s="56"/>
      <c r="Y232" s="56"/>
      <c r="Z232" s="56"/>
      <c r="AA232" s="56"/>
      <c r="AB232" s="56"/>
      <c r="AC232" s="56"/>
      <c r="AD232" s="56"/>
      <c r="AE232" s="56"/>
      <c r="AF232" s="56"/>
      <c r="AG232" s="56"/>
      <c r="AH232" s="56"/>
      <c r="AI232" s="56"/>
      <c r="AJ232" s="56"/>
      <c r="AK232" s="56"/>
      <c r="AL232" s="56"/>
      <c r="AM232" s="56"/>
      <c r="AN232" s="56"/>
      <c r="AO232" s="56"/>
      <c r="AP232" s="56"/>
      <c r="AQ232" s="56"/>
      <c r="AR232" s="56"/>
      <c r="AS232" s="56"/>
      <c r="AT232" s="56"/>
      <c r="AU232" s="56"/>
      <c r="AV232" s="56"/>
      <c r="AW232" s="56"/>
      <c r="AX232" s="56"/>
      <c r="AY232" s="56"/>
      <c r="AZ232" s="56"/>
      <c r="BA232" s="56"/>
      <c r="BB232" s="56"/>
      <c r="BC232" s="56"/>
      <c r="BD232" s="6">
        <v>1</v>
      </c>
    </row>
    <row r="233" spans="1:58" s="53" customFormat="1" ht="21" customHeight="1">
      <c r="A233" s="56">
        <v>1</v>
      </c>
      <c r="B233" s="1614">
        <v>3</v>
      </c>
      <c r="C233" s="89" t="str">
        <f>ADDRESS(ROW(),COLUMN(),4)</f>
        <v>C233</v>
      </c>
      <c r="D233" s="88" t="s">
        <v>399</v>
      </c>
      <c r="E233" s="87"/>
      <c r="F233" s="86"/>
      <c r="G233" s="85"/>
      <c r="H233" s="84"/>
      <c r="I233" s="56"/>
      <c r="J233" s="56"/>
      <c r="K233" s="56"/>
      <c r="L233" s="56"/>
      <c r="M233" s="1596"/>
      <c r="N233" s="81"/>
      <c r="O233" s="80"/>
      <c r="P233" s="80"/>
      <c r="Q233" s="80"/>
      <c r="R233" s="79">
        <f>R225*N233</f>
        <v>0</v>
      </c>
      <c r="S233" s="78"/>
      <c r="T233" s="77">
        <f t="shared" si="9"/>
        <v>0</v>
      </c>
      <c r="U233" s="56"/>
      <c r="V233" s="56"/>
      <c r="W233" s="56"/>
      <c r="X233" s="56"/>
      <c r="Y233" s="56"/>
      <c r="Z233" s="56"/>
      <c r="AA233" s="56"/>
      <c r="AB233" s="56"/>
      <c r="AC233" s="56"/>
      <c r="AD233" s="56"/>
      <c r="AE233" s="56"/>
      <c r="AF233" s="56"/>
      <c r="AG233" s="56"/>
      <c r="AH233" s="56"/>
      <c r="AI233" s="56"/>
      <c r="AJ233" s="56"/>
      <c r="AK233" s="56"/>
      <c r="AL233" s="56"/>
      <c r="AM233" s="56"/>
      <c r="AN233" s="56"/>
      <c r="AO233" s="56"/>
      <c r="AP233" s="56"/>
      <c r="AQ233" s="56"/>
      <c r="AR233" s="56"/>
      <c r="AS233" s="56"/>
      <c r="AT233" s="56"/>
      <c r="AU233" s="56"/>
      <c r="AV233" s="56"/>
      <c r="AW233" s="56"/>
      <c r="AX233" s="56"/>
      <c r="AY233" s="56"/>
      <c r="AZ233" s="56"/>
      <c r="BA233" s="56"/>
      <c r="BB233" s="56"/>
      <c r="BC233" s="56"/>
      <c r="BD233" s="6">
        <v>1</v>
      </c>
    </row>
    <row r="234" spans="1:58" s="53" customFormat="1" ht="21" customHeight="1">
      <c r="A234" s="56">
        <v>1</v>
      </c>
      <c r="B234" s="1614"/>
      <c r="C234" s="1616" t="s">
        <v>398</v>
      </c>
      <c r="D234" s="1616"/>
      <c r="E234" s="83" t="s">
        <v>397</v>
      </c>
      <c r="F234" s="82" t="s">
        <v>396</v>
      </c>
      <c r="G234" s="1617" t="s">
        <v>262</v>
      </c>
      <c r="H234" s="1618"/>
      <c r="I234" s="56"/>
      <c r="J234" s="56"/>
      <c r="K234" s="56"/>
      <c r="L234" s="56"/>
      <c r="M234" s="1596"/>
      <c r="N234" s="81"/>
      <c r="O234" s="80"/>
      <c r="P234" s="80"/>
      <c r="Q234" s="80"/>
      <c r="R234" s="79">
        <f>R225*N234</f>
        <v>0</v>
      </c>
      <c r="S234" s="78"/>
      <c r="T234" s="77">
        <f t="shared" si="9"/>
        <v>0</v>
      </c>
      <c r="U234" s="56"/>
      <c r="V234" s="56"/>
      <c r="W234" s="56"/>
      <c r="X234" s="56"/>
      <c r="Y234" s="56"/>
      <c r="Z234" s="56"/>
      <c r="AA234" s="56"/>
      <c r="AB234" s="56"/>
      <c r="AC234" s="56"/>
      <c r="AD234" s="56"/>
      <c r="AE234" s="56"/>
      <c r="AF234" s="56"/>
      <c r="AG234" s="56"/>
      <c r="AH234" s="56"/>
      <c r="AI234" s="56"/>
      <c r="AJ234" s="56"/>
      <c r="AK234" s="56"/>
      <c r="AL234" s="56"/>
      <c r="AM234" s="56"/>
      <c r="AN234" s="56"/>
      <c r="AO234" s="56"/>
      <c r="AP234" s="56"/>
      <c r="AQ234" s="56"/>
      <c r="AR234" s="56"/>
      <c r="AS234" s="56"/>
      <c r="AT234" s="56"/>
      <c r="AU234" s="56"/>
      <c r="AV234" s="56"/>
      <c r="AW234" s="56"/>
      <c r="AX234" s="56"/>
      <c r="AY234" s="56"/>
      <c r="AZ234" s="56"/>
      <c r="BA234" s="56"/>
      <c r="BB234" s="56"/>
      <c r="BC234" s="56"/>
      <c r="BD234" s="6">
        <v>1</v>
      </c>
    </row>
    <row r="235" spans="1:58" s="53" customFormat="1" ht="21" customHeight="1">
      <c r="A235" s="56">
        <v>1</v>
      </c>
      <c r="B235" s="1614"/>
      <c r="C235" s="1619">
        <v>20</v>
      </c>
      <c r="D235" s="1620">
        <f>C235/100</f>
        <v>0.2</v>
      </c>
      <c r="E235" s="66" t="s">
        <v>395</v>
      </c>
      <c r="F235" s="65">
        <v>1</v>
      </c>
      <c r="G235" s="64">
        <f>(C235*F235)*10</f>
        <v>200</v>
      </c>
      <c r="H235" s="63">
        <f>G235/1000</f>
        <v>0.2</v>
      </c>
      <c r="I235" s="56"/>
      <c r="J235" s="56"/>
      <c r="K235" s="56"/>
      <c r="L235" s="56"/>
      <c r="M235" s="1596"/>
      <c r="N235" s="76"/>
      <c r="O235" s="75"/>
      <c r="P235" s="75"/>
      <c r="Q235" s="75"/>
      <c r="R235" s="74">
        <f>R225*N235</f>
        <v>0</v>
      </c>
      <c r="S235" s="73"/>
      <c r="T235" s="72">
        <f t="shared" si="9"/>
        <v>0</v>
      </c>
      <c r="U235" s="56"/>
      <c r="V235" s="56"/>
      <c r="W235" s="56"/>
      <c r="X235" s="56"/>
      <c r="Y235" s="56"/>
      <c r="Z235" s="56"/>
      <c r="AA235" s="56"/>
      <c r="AB235" s="56"/>
      <c r="AC235" s="56"/>
      <c r="AD235" s="56"/>
      <c r="AE235" s="56"/>
      <c r="AF235" s="56"/>
      <c r="AG235" s="56"/>
      <c r="AH235" s="56"/>
      <c r="AI235" s="56"/>
      <c r="AJ235" s="56"/>
      <c r="AK235" s="56"/>
      <c r="AL235" s="56"/>
      <c r="AM235" s="56"/>
      <c r="AN235" s="56"/>
      <c r="AO235" s="56"/>
      <c r="AP235" s="56"/>
      <c r="AQ235" s="56"/>
      <c r="AR235" s="56"/>
      <c r="AS235" s="56"/>
      <c r="AT235" s="56"/>
      <c r="AU235" s="56"/>
      <c r="AV235" s="56"/>
      <c r="AW235" s="56"/>
      <c r="AX235" s="56"/>
      <c r="AY235" s="56"/>
      <c r="AZ235" s="56"/>
      <c r="BA235" s="56"/>
      <c r="BB235" s="56"/>
      <c r="BC235" s="56"/>
      <c r="BD235" s="6">
        <v>1</v>
      </c>
    </row>
    <row r="236" spans="1:58" s="53" customFormat="1" ht="21" customHeight="1">
      <c r="A236" s="56">
        <v>1</v>
      </c>
      <c r="B236" s="1614"/>
      <c r="C236" s="1619"/>
      <c r="D236" s="1620"/>
      <c r="E236" s="66" t="s">
        <v>33</v>
      </c>
      <c r="F236" s="65">
        <v>1.03</v>
      </c>
      <c r="G236" s="64">
        <f>(C235*F236)*10</f>
        <v>206</v>
      </c>
      <c r="H236" s="63">
        <f>G236/1000</f>
        <v>0.20599999999999999</v>
      </c>
      <c r="I236" s="56"/>
      <c r="J236" s="56"/>
      <c r="K236" s="56"/>
      <c r="L236" s="56"/>
      <c r="M236" s="1596"/>
      <c r="N236" s="1625" t="s">
        <v>394</v>
      </c>
      <c r="O236" s="1625"/>
      <c r="P236" s="1625"/>
      <c r="Q236" s="1625"/>
      <c r="R236" s="1625"/>
      <c r="S236" s="1625"/>
      <c r="T236" s="1626"/>
      <c r="U236" s="56"/>
      <c r="V236" s="56"/>
      <c r="W236" s="56"/>
      <c r="X236" s="56"/>
      <c r="Y236" s="56"/>
      <c r="Z236" s="56"/>
      <c r="AA236" s="56"/>
      <c r="AB236" s="56"/>
      <c r="AC236" s="56"/>
      <c r="AD236" s="56"/>
      <c r="AE236" s="56"/>
      <c r="AF236" s="56"/>
      <c r="AG236" s="56"/>
      <c r="AH236" s="56"/>
      <c r="AI236" s="56"/>
      <c r="AJ236" s="56"/>
      <c r="AK236" s="56"/>
      <c r="AL236" s="56"/>
      <c r="AM236" s="56"/>
      <c r="AN236" s="56"/>
      <c r="AO236" s="56"/>
      <c r="AP236" s="56"/>
      <c r="AQ236" s="56"/>
      <c r="AR236" s="56"/>
      <c r="AS236" s="56"/>
      <c r="AT236" s="56"/>
      <c r="AU236" s="56"/>
      <c r="AV236" s="56"/>
      <c r="AW236" s="56"/>
      <c r="AX236" s="56"/>
      <c r="AY236" s="56"/>
      <c r="AZ236" s="56"/>
      <c r="BA236" s="56"/>
      <c r="BB236" s="56"/>
      <c r="BC236" s="56"/>
      <c r="BD236" s="6">
        <v>1</v>
      </c>
    </row>
    <row r="237" spans="1:58" s="53" customFormat="1" ht="21" customHeight="1">
      <c r="A237" s="56">
        <v>1</v>
      </c>
      <c r="B237" s="1614"/>
      <c r="C237" s="1619"/>
      <c r="D237" s="1620"/>
      <c r="E237" s="66" t="s">
        <v>393</v>
      </c>
      <c r="F237" s="65">
        <v>1.0149999999999999</v>
      </c>
      <c r="G237" s="64">
        <f>(F237*C235)*10</f>
        <v>202.99999999999997</v>
      </c>
      <c r="H237" s="63">
        <f>G237/1000</f>
        <v>0.20299999999999996</v>
      </c>
      <c r="I237" s="56"/>
      <c r="J237" s="56"/>
      <c r="K237" s="56"/>
      <c r="L237" s="56"/>
      <c r="M237" s="1596"/>
      <c r="N237" s="71"/>
      <c r="O237" s="71" t="s">
        <v>392</v>
      </c>
      <c r="P237" s="68"/>
      <c r="Q237" s="70" t="s">
        <v>391</v>
      </c>
      <c r="R237" s="69"/>
      <c r="S237" s="69"/>
      <c r="T237" s="67"/>
      <c r="U237" s="56"/>
      <c r="V237" s="56"/>
      <c r="W237" s="56"/>
      <c r="X237" s="56"/>
      <c r="Y237" s="56"/>
      <c r="Z237" s="56"/>
      <c r="AA237" s="56"/>
      <c r="AB237" s="56"/>
      <c r="AC237" s="56"/>
      <c r="AD237" s="56"/>
      <c r="AE237" s="56"/>
      <c r="AF237" s="56"/>
      <c r="AG237" s="56"/>
      <c r="AH237" s="56"/>
      <c r="AI237" s="56"/>
      <c r="AJ237" s="56"/>
      <c r="AK237" s="56"/>
      <c r="AL237" s="56"/>
      <c r="AM237" s="56"/>
      <c r="AN237" s="56"/>
      <c r="AO237" s="56"/>
      <c r="AP237" s="56"/>
      <c r="AQ237" s="56"/>
      <c r="AR237" s="56"/>
      <c r="AS237" s="56"/>
      <c r="AT237" s="56"/>
      <c r="AU237" s="56"/>
      <c r="AV237" s="56"/>
      <c r="AW237" s="56"/>
      <c r="AX237" s="56"/>
      <c r="AY237" s="56"/>
      <c r="AZ237" s="56"/>
      <c r="BA237" s="56"/>
      <c r="BB237" s="56"/>
      <c r="BC237" s="56"/>
      <c r="BD237" s="6">
        <v>1</v>
      </c>
    </row>
    <row r="238" spans="1:58" s="53" customFormat="1" ht="21" customHeight="1">
      <c r="A238" s="56">
        <v>1</v>
      </c>
      <c r="B238" s="1614"/>
      <c r="C238" s="1619"/>
      <c r="D238" s="1620"/>
      <c r="E238" s="66" t="s">
        <v>390</v>
      </c>
      <c r="F238" s="65">
        <v>0.92</v>
      </c>
      <c r="G238" s="64">
        <f>(F238*C235)*10</f>
        <v>184.00000000000003</v>
      </c>
      <c r="H238" s="63">
        <f>G238/1000</f>
        <v>0.18400000000000002</v>
      </c>
      <c r="I238" s="56"/>
      <c r="J238" s="56"/>
      <c r="K238" s="56"/>
      <c r="L238" s="56"/>
      <c r="M238" s="1596"/>
      <c r="N238" s="68"/>
      <c r="O238" s="68" t="s">
        <v>389</v>
      </c>
      <c r="P238" s="68"/>
      <c r="Q238" s="68" t="s">
        <v>388</v>
      </c>
      <c r="R238" s="69"/>
      <c r="S238" s="68" t="s">
        <v>387</v>
      </c>
      <c r="T238" s="67"/>
      <c r="U238" s="56"/>
      <c r="V238" s="56"/>
      <c r="W238" s="56"/>
      <c r="X238" s="56"/>
      <c r="Y238" s="56"/>
      <c r="Z238" s="56"/>
      <c r="AA238" s="56"/>
      <c r="AB238" s="56"/>
      <c r="AC238" s="56"/>
      <c r="AD238" s="56"/>
      <c r="AE238" s="56"/>
      <c r="AF238" s="56"/>
      <c r="AG238" s="56"/>
      <c r="AH238" s="56"/>
      <c r="AI238" s="56"/>
      <c r="AJ238" s="56"/>
      <c r="AK238" s="56"/>
      <c r="AL238" s="56"/>
      <c r="AM238" s="56"/>
      <c r="AN238" s="56"/>
      <c r="AO238" s="56"/>
      <c r="AP238" s="56"/>
      <c r="AQ238" s="56"/>
      <c r="AR238" s="56"/>
      <c r="AS238" s="56"/>
      <c r="AT238" s="56"/>
      <c r="AU238" s="56"/>
      <c r="AV238" s="56"/>
      <c r="AW238" s="56"/>
      <c r="AX238" s="56"/>
      <c r="AY238" s="56"/>
      <c r="AZ238" s="56"/>
      <c r="BA238" s="56"/>
      <c r="BB238" s="56"/>
      <c r="BC238" s="56"/>
      <c r="BD238" s="6">
        <v>1</v>
      </c>
    </row>
    <row r="239" spans="1:58" ht="21" customHeight="1">
      <c r="A239" s="56">
        <v>1</v>
      </c>
      <c r="B239" s="1614"/>
      <c r="C239" s="1619"/>
      <c r="D239" s="1620"/>
      <c r="E239" s="66" t="s">
        <v>386</v>
      </c>
      <c r="F239" s="65">
        <v>0.8</v>
      </c>
      <c r="G239" s="64">
        <f>(F239*C235)*10</f>
        <v>160</v>
      </c>
      <c r="H239" s="63">
        <f>G239/1000</f>
        <v>0.16</v>
      </c>
      <c r="I239" s="56"/>
      <c r="J239" s="56"/>
      <c r="K239" s="56"/>
      <c r="L239" s="56"/>
      <c r="M239" s="1596"/>
      <c r="N239" s="60">
        <v>10</v>
      </c>
      <c r="O239" s="60">
        <v>10</v>
      </c>
      <c r="P239" s="60">
        <v>10</v>
      </c>
      <c r="Q239" s="60">
        <v>10</v>
      </c>
      <c r="R239" s="60">
        <v>13</v>
      </c>
      <c r="S239" s="60">
        <v>8</v>
      </c>
      <c r="T239" s="62">
        <v>13</v>
      </c>
      <c r="U239" s="56"/>
      <c r="V239" s="56"/>
      <c r="W239" s="56"/>
      <c r="X239" s="56"/>
      <c r="Y239" s="56"/>
      <c r="Z239" s="56"/>
      <c r="AA239" s="56"/>
      <c r="AB239" s="56"/>
      <c r="AC239" s="56"/>
      <c r="AD239" s="56"/>
      <c r="AE239" s="56"/>
      <c r="AF239" s="56"/>
      <c r="AG239" s="56"/>
      <c r="AH239" s="56"/>
      <c r="AI239" s="56"/>
      <c r="AJ239" s="56"/>
      <c r="AK239" s="56"/>
      <c r="AL239" s="56"/>
      <c r="AM239" s="56"/>
      <c r="AN239" s="56"/>
      <c r="AO239" s="56"/>
      <c r="AP239" s="56"/>
      <c r="AQ239" s="56"/>
      <c r="AR239" s="56"/>
      <c r="AS239" s="56"/>
      <c r="AT239" s="56"/>
      <c r="AU239" s="56"/>
      <c r="AV239" s="56"/>
      <c r="AW239" s="56"/>
      <c r="AX239" s="56"/>
      <c r="AY239" s="56"/>
      <c r="AZ239" s="56"/>
      <c r="BA239" s="56"/>
      <c r="BB239" s="56"/>
      <c r="BC239" s="56"/>
      <c r="BD239" s="6">
        <v>1</v>
      </c>
      <c r="BE239" s="53"/>
      <c r="BF239" s="53"/>
    </row>
    <row r="240" spans="1:58" ht="21" customHeight="1" thickBot="1">
      <c r="A240" s="56">
        <v>1</v>
      </c>
      <c r="B240" s="1614"/>
      <c r="C240" s="1588" t="s">
        <v>385</v>
      </c>
      <c r="D240" s="1588"/>
      <c r="E240" s="1588"/>
      <c r="F240" s="1588"/>
      <c r="G240" s="1588"/>
      <c r="H240" s="1589"/>
      <c r="I240" s="56"/>
      <c r="J240" s="56"/>
      <c r="K240" s="56"/>
      <c r="L240" s="56"/>
      <c r="M240" s="1597"/>
      <c r="N240" s="58">
        <f t="shared" ref="N240:T240" ca="1" si="11">CELL("largeur",N240)</f>
        <v>16</v>
      </c>
      <c r="O240" s="58">
        <f t="shared" ca="1" si="11"/>
        <v>16</v>
      </c>
      <c r="P240" s="58">
        <f t="shared" ca="1" si="11"/>
        <v>16</v>
      </c>
      <c r="Q240" s="58">
        <f t="shared" ca="1" si="11"/>
        <v>11</v>
      </c>
      <c r="R240" s="58">
        <f t="shared" ca="1" si="11"/>
        <v>11</v>
      </c>
      <c r="S240" s="58">
        <f t="shared" ca="1" si="11"/>
        <v>11</v>
      </c>
      <c r="T240" s="61">
        <f t="shared" ca="1" si="11"/>
        <v>11</v>
      </c>
      <c r="U240" s="56"/>
      <c r="V240" s="56"/>
      <c r="W240" s="56"/>
      <c r="X240" s="56"/>
      <c r="Y240" s="56"/>
      <c r="Z240" s="56"/>
      <c r="AA240" s="56"/>
      <c r="AB240" s="56"/>
      <c r="AC240" s="56"/>
      <c r="AD240" s="56"/>
      <c r="AE240" s="56"/>
      <c r="AF240" s="56"/>
      <c r="AG240" s="56"/>
      <c r="AH240" s="56"/>
      <c r="AI240" s="56"/>
      <c r="AJ240" s="56"/>
      <c r="AK240" s="56"/>
      <c r="AL240" s="56"/>
      <c r="AM240" s="56"/>
      <c r="AN240" s="56"/>
      <c r="AO240" s="56"/>
      <c r="AP240" s="56"/>
      <c r="AQ240" s="56"/>
      <c r="AR240" s="56"/>
      <c r="AS240" s="56"/>
      <c r="AT240" s="56"/>
      <c r="AU240" s="56"/>
      <c r="AV240" s="56"/>
      <c r="AW240" s="56"/>
      <c r="AX240" s="56"/>
      <c r="AY240" s="56"/>
      <c r="AZ240" s="56"/>
      <c r="BA240" s="56"/>
      <c r="BB240" s="56"/>
      <c r="BC240" s="56"/>
      <c r="BD240" s="6">
        <v>1</v>
      </c>
      <c r="BE240" s="53"/>
      <c r="BF240" s="53"/>
    </row>
    <row r="241" spans="1:58" ht="21" customHeight="1">
      <c r="A241" s="56">
        <v>1</v>
      </c>
      <c r="B241" s="1614"/>
      <c r="C241" s="60">
        <v>8</v>
      </c>
      <c r="D241" s="60">
        <v>9</v>
      </c>
      <c r="E241" s="60">
        <v>11</v>
      </c>
      <c r="F241" s="60">
        <v>11</v>
      </c>
      <c r="G241" s="60">
        <v>11</v>
      </c>
      <c r="H241" s="59">
        <v>11</v>
      </c>
      <c r="I241" s="56"/>
      <c r="J241" s="56"/>
      <c r="K241" s="56"/>
      <c r="L241" s="56"/>
      <c r="M241" s="56"/>
      <c r="N241" s="56"/>
      <c r="O241" s="56"/>
      <c r="P241" s="56"/>
      <c r="Q241" s="56"/>
      <c r="R241" s="56"/>
      <c r="S241" s="56"/>
      <c r="T241" s="56"/>
      <c r="U241" s="56"/>
      <c r="V241" s="56"/>
      <c r="W241" s="56"/>
      <c r="X241" s="56"/>
      <c r="Y241" s="56"/>
      <c r="Z241" s="56"/>
      <c r="AA241" s="56"/>
      <c r="AB241" s="56"/>
      <c r="AC241" s="56"/>
      <c r="AD241" s="56"/>
      <c r="AE241" s="56"/>
      <c r="AF241" s="56"/>
      <c r="AG241" s="56"/>
      <c r="AH241" s="56"/>
      <c r="AI241" s="56"/>
      <c r="AJ241" s="56"/>
      <c r="AK241" s="56"/>
      <c r="AL241" s="56"/>
      <c r="AM241" s="56"/>
      <c r="AN241" s="56"/>
      <c r="AO241" s="56"/>
      <c r="AP241" s="56"/>
      <c r="AQ241" s="56"/>
      <c r="AR241" s="56"/>
      <c r="AS241" s="56"/>
      <c r="AT241" s="56"/>
      <c r="AU241" s="56"/>
      <c r="AV241" s="56"/>
      <c r="AW241" s="56"/>
      <c r="AX241" s="56"/>
      <c r="AY241" s="56"/>
      <c r="AZ241" s="56"/>
      <c r="BA241" s="56"/>
      <c r="BB241" s="56"/>
      <c r="BC241" s="56"/>
      <c r="BD241" s="6">
        <v>1</v>
      </c>
      <c r="BE241" s="53"/>
      <c r="BF241" s="53"/>
    </row>
    <row r="242" spans="1:58" ht="21" customHeight="1" thickBot="1">
      <c r="A242" s="56">
        <v>1</v>
      </c>
      <c r="B242" s="1615"/>
      <c r="C242" s="58">
        <f t="shared" ref="C242:H242" ca="1" si="12">CELL("largeur",C242)</f>
        <v>13</v>
      </c>
      <c r="D242" s="58">
        <f t="shared" ca="1" si="12"/>
        <v>21</v>
      </c>
      <c r="E242" s="58">
        <f t="shared" ca="1" si="12"/>
        <v>13</v>
      </c>
      <c r="F242" s="58">
        <f t="shared" ca="1" si="12"/>
        <v>13</v>
      </c>
      <c r="G242" s="58">
        <f t="shared" ca="1" si="12"/>
        <v>13</v>
      </c>
      <c r="H242" s="57">
        <f t="shared" ca="1" si="12"/>
        <v>13</v>
      </c>
      <c r="I242" s="56"/>
      <c r="J242" s="56"/>
      <c r="K242" s="56"/>
      <c r="L242" s="56"/>
      <c r="M242" s="56"/>
      <c r="N242" s="56"/>
      <c r="O242" s="56"/>
      <c r="P242" s="56"/>
      <c r="Q242" s="56"/>
      <c r="R242" s="56"/>
      <c r="S242" s="56"/>
      <c r="T242" s="56"/>
      <c r="U242" s="56"/>
      <c r="BC242" s="56"/>
      <c r="BD242" s="6">
        <v>1</v>
      </c>
      <c r="BE242" s="53"/>
      <c r="BF242" s="53"/>
    </row>
    <row r="243" spans="1:58" ht="21" customHeight="1">
      <c r="A243" s="56">
        <v>1</v>
      </c>
      <c r="B243" s="56">
        <v>1</v>
      </c>
      <c r="C243" s="56">
        <v>1</v>
      </c>
      <c r="D243" s="56">
        <v>1</v>
      </c>
      <c r="E243" s="56">
        <v>1</v>
      </c>
      <c r="F243" s="56">
        <v>1</v>
      </c>
      <c r="G243" s="56">
        <v>1</v>
      </c>
      <c r="H243" s="56">
        <v>1</v>
      </c>
      <c r="I243" s="56"/>
      <c r="J243" s="56"/>
      <c r="K243" s="56"/>
      <c r="L243" s="56"/>
      <c r="M243" s="56"/>
      <c r="N243" s="56"/>
      <c r="O243" s="56"/>
      <c r="P243" s="56"/>
      <c r="Q243" s="56"/>
      <c r="R243" s="56"/>
      <c r="S243" s="56"/>
      <c r="T243" s="56"/>
      <c r="U243" s="56"/>
      <c r="BC243" s="56"/>
      <c r="BD243" s="6">
        <v>1</v>
      </c>
      <c r="BE243" s="53"/>
      <c r="BF243" s="53"/>
    </row>
    <row r="244" spans="1:58">
      <c r="BD244" s="6">
        <v>1</v>
      </c>
    </row>
    <row r="245" spans="1:58" ht="18.75">
      <c r="C245" s="485" t="s">
        <v>714</v>
      </c>
      <c r="D245" s="485"/>
      <c r="E245" s="485"/>
      <c r="F245" s="485"/>
      <c r="G245" s="485"/>
      <c r="H245" s="485"/>
      <c r="I245" s="485"/>
      <c r="J245" s="485"/>
      <c r="K245" s="487"/>
      <c r="L245" s="487"/>
      <c r="M245" s="487"/>
      <c r="N245" s="487"/>
      <c r="O245" s="487"/>
      <c r="P245" s="487"/>
      <c r="Q245" s="487"/>
      <c r="R245" s="487"/>
      <c r="BD245" s="6">
        <v>1</v>
      </c>
    </row>
    <row r="246" spans="1:58" ht="23.25">
      <c r="C246" s="488" t="s">
        <v>715</v>
      </c>
      <c r="D246" s="488"/>
      <c r="E246" s="488"/>
      <c r="F246" s="488"/>
      <c r="G246" s="488"/>
      <c r="H246" s="488"/>
      <c r="I246" s="488"/>
      <c r="J246" s="488"/>
      <c r="K246" s="476" t="s">
        <v>843</v>
      </c>
      <c r="L246" s="477"/>
      <c r="M246" s="477"/>
      <c r="N246" s="477"/>
      <c r="O246" s="477"/>
      <c r="P246" s="477"/>
      <c r="Q246" s="477"/>
      <c r="R246" s="477"/>
      <c r="BD246" s="6">
        <v>1</v>
      </c>
    </row>
    <row r="247" spans="1:58" ht="23.25">
      <c r="C247" s="489" t="s">
        <v>716</v>
      </c>
      <c r="D247" s="489"/>
      <c r="E247" s="489"/>
      <c r="F247" s="489"/>
      <c r="G247" s="489"/>
      <c r="H247" s="489"/>
      <c r="I247" s="489"/>
      <c r="J247" s="489"/>
      <c r="K247" s="478" t="s">
        <v>845</v>
      </c>
      <c r="L247" s="479"/>
      <c r="M247" s="479"/>
      <c r="N247" s="479"/>
      <c r="O247" s="479"/>
      <c r="P247" s="479"/>
      <c r="Q247" s="479"/>
      <c r="R247" s="477" t="s">
        <v>254</v>
      </c>
      <c r="BD247" s="6">
        <v>1</v>
      </c>
    </row>
    <row r="248" spans="1:58" ht="23.25">
      <c r="C248" s="484" t="s">
        <v>842</v>
      </c>
      <c r="D248" s="490"/>
      <c r="E248" s="490"/>
      <c r="F248" s="490"/>
      <c r="G248" s="490"/>
      <c r="H248" s="490"/>
      <c r="I248" s="490"/>
      <c r="J248" s="490"/>
      <c r="K248" s="474"/>
      <c r="L248" s="474"/>
      <c r="M248" s="474"/>
      <c r="N248" s="474"/>
      <c r="O248" s="474"/>
      <c r="P248" s="474"/>
      <c r="Q248" s="474"/>
      <c r="R248" s="477" t="s">
        <v>254</v>
      </c>
      <c r="BD248" s="6">
        <v>1</v>
      </c>
    </row>
    <row r="249" spans="1:58" ht="23.25">
      <c r="C249" s="484" t="s">
        <v>844</v>
      </c>
      <c r="D249" s="490"/>
      <c r="E249" s="490"/>
      <c r="F249" s="490"/>
      <c r="G249" s="490"/>
      <c r="H249" s="490"/>
      <c r="I249" s="490"/>
      <c r="J249" s="490"/>
      <c r="K249" s="480" t="s">
        <v>848</v>
      </c>
      <c r="L249" s="481"/>
      <c r="M249" s="481"/>
      <c r="N249" s="481"/>
      <c r="O249" s="482"/>
      <c r="P249" s="482"/>
      <c r="Q249" s="482"/>
      <c r="R249" s="477" t="s">
        <v>254</v>
      </c>
      <c r="BD249" s="6">
        <v>1</v>
      </c>
    </row>
    <row r="250" spans="1:58" ht="23.25">
      <c r="C250" s="483" t="s">
        <v>846</v>
      </c>
      <c r="D250" s="490"/>
      <c r="E250" s="490"/>
      <c r="F250" s="490"/>
      <c r="G250" s="490"/>
      <c r="H250" s="490"/>
      <c r="I250" s="490"/>
      <c r="J250" s="490"/>
      <c r="K250" s="475"/>
      <c r="L250" s="475"/>
      <c r="M250" s="475"/>
      <c r="N250" s="475"/>
      <c r="O250" s="475"/>
      <c r="P250" s="474"/>
      <c r="Q250" s="474"/>
      <c r="R250" s="474"/>
      <c r="BD250" s="6">
        <v>1</v>
      </c>
    </row>
    <row r="251" spans="1:58" ht="23.25">
      <c r="C251" s="483" t="s">
        <v>847</v>
      </c>
      <c r="D251" s="490"/>
      <c r="E251" s="491"/>
      <c r="F251" s="490"/>
      <c r="G251" s="490"/>
      <c r="H251" s="490"/>
      <c r="I251" s="490"/>
      <c r="J251" s="490"/>
      <c r="K251" s="475"/>
      <c r="L251" s="475"/>
      <c r="M251" s="475"/>
      <c r="N251" s="475"/>
      <c r="O251" s="475"/>
      <c r="P251" s="474"/>
      <c r="Q251" s="474"/>
      <c r="R251" s="474"/>
      <c r="BD251" s="6">
        <v>1</v>
      </c>
    </row>
    <row r="252" spans="1:58" ht="18.75">
      <c r="C252" s="490" t="s">
        <v>850</v>
      </c>
      <c r="D252" s="490"/>
      <c r="E252" s="490"/>
      <c r="F252" s="492"/>
      <c r="G252" s="492"/>
      <c r="H252" s="492"/>
      <c r="I252" s="486"/>
      <c r="J252" s="492"/>
      <c r="K252" s="490"/>
      <c r="L252" s="490"/>
      <c r="M252" s="490"/>
      <c r="N252" s="490"/>
      <c r="O252" s="490"/>
      <c r="P252" s="487"/>
      <c r="Q252" s="487"/>
      <c r="R252" s="487"/>
      <c r="BD252" s="6">
        <v>1</v>
      </c>
    </row>
    <row r="253" spans="1:58" ht="18.75">
      <c r="C253" s="490" t="s">
        <v>717</v>
      </c>
      <c r="D253" s="490"/>
      <c r="E253" s="490"/>
      <c r="F253" s="492"/>
      <c r="G253" s="492"/>
      <c r="H253" s="492"/>
      <c r="I253" s="486"/>
      <c r="J253" s="492"/>
      <c r="K253" s="490"/>
      <c r="L253" s="490"/>
      <c r="M253" s="490"/>
      <c r="N253" s="490"/>
      <c r="O253" s="490"/>
      <c r="P253" s="487"/>
      <c r="Q253" s="487"/>
      <c r="R253" s="487"/>
      <c r="BD253" s="6">
        <v>1</v>
      </c>
    </row>
    <row r="254" spans="1:58" ht="18.75">
      <c r="C254" s="490" t="s">
        <v>718</v>
      </c>
      <c r="D254" s="490" t="s">
        <v>719</v>
      </c>
      <c r="E254" s="491" t="s">
        <v>849</v>
      </c>
      <c r="F254" s="492"/>
      <c r="G254" s="492"/>
      <c r="H254" s="492"/>
      <c r="I254" s="486"/>
      <c r="J254" s="492"/>
      <c r="K254" s="487"/>
      <c r="L254" s="487"/>
      <c r="M254" s="487"/>
      <c r="N254" s="487"/>
      <c r="O254" s="487"/>
      <c r="P254" s="487"/>
      <c r="Q254" s="487"/>
      <c r="R254" s="487"/>
      <c r="BD254" s="6">
        <v>1</v>
      </c>
    </row>
    <row r="255" spans="1:58">
      <c r="BD255" s="55" t="s">
        <v>380</v>
      </c>
    </row>
    <row r="256" spans="1:58">
      <c r="A256" s="6">
        <v>1</v>
      </c>
      <c r="B256" s="6">
        <v>1</v>
      </c>
      <c r="C256" s="6">
        <v>1</v>
      </c>
      <c r="D256" s="6">
        <v>1</v>
      </c>
      <c r="E256" s="6">
        <v>1</v>
      </c>
      <c r="F256" s="6">
        <v>1</v>
      </c>
      <c r="G256" s="6">
        <v>1</v>
      </c>
      <c r="H256" s="6">
        <v>1</v>
      </c>
      <c r="I256" s="6">
        <v>1</v>
      </c>
      <c r="J256" s="6">
        <v>1</v>
      </c>
      <c r="K256" s="6">
        <v>1</v>
      </c>
      <c r="L256" s="6">
        <v>1</v>
      </c>
      <c r="M256" s="6">
        <v>1</v>
      </c>
      <c r="N256" s="6">
        <v>1</v>
      </c>
      <c r="O256" s="6">
        <v>1</v>
      </c>
      <c r="P256" s="6">
        <v>1</v>
      </c>
      <c r="Q256" s="6">
        <v>1</v>
      </c>
      <c r="R256" s="6">
        <v>1</v>
      </c>
      <c r="S256" s="6">
        <v>1</v>
      </c>
      <c r="T256" s="6">
        <v>1</v>
      </c>
      <c r="U256" s="6">
        <v>1</v>
      </c>
      <c r="V256" s="6">
        <v>1</v>
      </c>
      <c r="W256" s="6">
        <v>1</v>
      </c>
      <c r="X256" s="6">
        <v>1</v>
      </c>
      <c r="Y256" s="6">
        <v>1</v>
      </c>
      <c r="Z256" s="6">
        <v>1</v>
      </c>
      <c r="AA256" s="6">
        <v>1</v>
      </c>
      <c r="AB256" s="6">
        <v>1</v>
      </c>
      <c r="AC256" s="6">
        <v>1</v>
      </c>
      <c r="AD256" s="6">
        <v>1</v>
      </c>
      <c r="AE256" s="6">
        <v>1</v>
      </c>
      <c r="AF256" s="6">
        <v>1</v>
      </c>
      <c r="AG256" s="6">
        <v>1</v>
      </c>
      <c r="AH256" s="6">
        <v>1</v>
      </c>
      <c r="AI256" s="6">
        <v>1</v>
      </c>
      <c r="AJ256" s="6">
        <v>1</v>
      </c>
      <c r="AK256" s="6">
        <v>1</v>
      </c>
      <c r="AL256" s="6">
        <v>1</v>
      </c>
      <c r="AM256" s="6">
        <v>1</v>
      </c>
      <c r="AN256" s="6">
        <v>1</v>
      </c>
      <c r="AO256" s="6">
        <v>1</v>
      </c>
      <c r="AP256" s="6">
        <v>1</v>
      </c>
      <c r="AQ256" s="6">
        <v>1</v>
      </c>
      <c r="AR256" s="6">
        <v>1</v>
      </c>
      <c r="AS256" s="6">
        <v>1</v>
      </c>
      <c r="AT256" s="6">
        <v>1</v>
      </c>
      <c r="AU256" s="6">
        <v>1</v>
      </c>
      <c r="AV256" s="6">
        <v>1</v>
      </c>
      <c r="AW256" s="6">
        <v>1</v>
      </c>
      <c r="AX256" s="6">
        <v>1</v>
      </c>
      <c r="AY256" s="6">
        <v>1</v>
      </c>
      <c r="AZ256" s="6">
        <v>1</v>
      </c>
      <c r="BA256" s="6">
        <v>1</v>
      </c>
      <c r="BB256" s="6">
        <v>1</v>
      </c>
      <c r="BC256" s="6">
        <v>1</v>
      </c>
      <c r="BD256" s="54" t="str">
        <f>ADDRESS(ROW(),COLUMN(),4)</f>
        <v>BD256</v>
      </c>
      <c r="BE256" s="53"/>
      <c r="BF256" s="53"/>
    </row>
  </sheetData>
  <mergeCells count="61">
    <mergeCell ref="N218:T218"/>
    <mergeCell ref="B219:B230"/>
    <mergeCell ref="M219:M240"/>
    <mergeCell ref="N220:O221"/>
    <mergeCell ref="P220:T221"/>
    <mergeCell ref="N222:N223"/>
    <mergeCell ref="O222:O223"/>
    <mergeCell ref="P222:S223"/>
    <mergeCell ref="B233:B242"/>
    <mergeCell ref="C234:D234"/>
    <mergeCell ref="G234:H234"/>
    <mergeCell ref="C235:C239"/>
    <mergeCell ref="D235:D239"/>
    <mergeCell ref="T222:T223"/>
    <mergeCell ref="C228:K228"/>
    <mergeCell ref="N236:T236"/>
    <mergeCell ref="C240:H240"/>
    <mergeCell ref="C232:H232"/>
    <mergeCell ref="B169:B201"/>
    <mergeCell ref="C169:H169"/>
    <mergeCell ref="C189:H190"/>
    <mergeCell ref="C192:H192"/>
    <mergeCell ref="B204:B216"/>
    <mergeCell ref="C214:K214"/>
    <mergeCell ref="B167:B168"/>
    <mergeCell ref="C167:F167"/>
    <mergeCell ref="B108:B134"/>
    <mergeCell ref="C108:H108"/>
    <mergeCell ref="F111:H111"/>
    <mergeCell ref="C122:H123"/>
    <mergeCell ref="C125:H125"/>
    <mergeCell ref="B137:B138"/>
    <mergeCell ref="C137:F137"/>
    <mergeCell ref="B139:B165"/>
    <mergeCell ref="C139:H139"/>
    <mergeCell ref="F142:H142"/>
    <mergeCell ref="C153:H154"/>
    <mergeCell ref="C156:H156"/>
    <mergeCell ref="N75:N84"/>
    <mergeCell ref="O81:S82"/>
    <mergeCell ref="B106:B107"/>
    <mergeCell ref="C106:F106"/>
    <mergeCell ref="O102:O103"/>
    <mergeCell ref="P102:P103"/>
    <mergeCell ref="O105:O106"/>
    <mergeCell ref="AL35:AO35"/>
    <mergeCell ref="B41:B42"/>
    <mergeCell ref="C41:H41"/>
    <mergeCell ref="B43:B100"/>
    <mergeCell ref="C48:H49"/>
    <mergeCell ref="D54:H55"/>
    <mergeCell ref="D57:H58"/>
    <mergeCell ref="D60:H61"/>
    <mergeCell ref="D63:H64"/>
    <mergeCell ref="O87:U87"/>
    <mergeCell ref="O88:U88"/>
    <mergeCell ref="V35:Y35"/>
    <mergeCell ref="D66:H67"/>
    <mergeCell ref="C70:H71"/>
    <mergeCell ref="O74:S74"/>
    <mergeCell ref="C75:H76"/>
  </mergeCells>
  <conditionalFormatting sqref="B232">
    <cfRule type="expression" dxfId="20" priority="1" stopIfTrue="1">
      <formula>OR(ROW()=CELL("ligne"),COLUMN()=CELL("colonne"))</formula>
    </cfRule>
  </conditionalFormatting>
  <conditionalFormatting sqref="E113 E119">
    <cfRule type="cellIs" dxfId="19" priority="20" operator="equal">
      <formula>#REF!</formula>
    </cfRule>
    <cfRule type="cellIs" dxfId="18" priority="21" operator="equal">
      <formula>#REF!</formula>
    </cfRule>
  </conditionalFormatting>
  <conditionalFormatting sqref="E113">
    <cfRule type="cellIs" dxfId="17" priority="18" operator="equal">
      <formula>#REF!</formula>
    </cfRule>
    <cfRule type="cellIs" dxfId="16" priority="19" operator="equal">
      <formula>#REF!</formula>
    </cfRule>
  </conditionalFormatting>
  <conditionalFormatting sqref="E144 E150">
    <cfRule type="cellIs" dxfId="15" priority="12" operator="equal">
      <formula>#REF!</formula>
    </cfRule>
    <cfRule type="cellIs" dxfId="14" priority="13" operator="equal">
      <formula>#REF!</formula>
    </cfRule>
  </conditionalFormatting>
  <conditionalFormatting sqref="E144">
    <cfRule type="cellIs" dxfId="13" priority="10" operator="equal">
      <formula>#REF!</formula>
    </cfRule>
    <cfRule type="cellIs" dxfId="12" priority="11" operator="equal">
      <formula>#REF!</formula>
    </cfRule>
  </conditionalFormatting>
  <conditionalFormatting sqref="G113">
    <cfRule type="cellIs" dxfId="11" priority="16" operator="equal">
      <formula>#REF!</formula>
    </cfRule>
    <cfRule type="cellIs" dxfId="10" priority="17" operator="equal">
      <formula>#REF!</formula>
    </cfRule>
  </conditionalFormatting>
  <conditionalFormatting sqref="G179">
    <cfRule type="cellIs" dxfId="9" priority="2" operator="equal">
      <formula>#REF!</formula>
    </cfRule>
    <cfRule type="cellIs" dxfId="8" priority="3" operator="equal">
      <formula>#REF!</formula>
    </cfRule>
  </conditionalFormatting>
  <conditionalFormatting sqref="I103:I104">
    <cfRule type="cellIs" dxfId="7" priority="14" operator="equal">
      <formula>#REF!</formula>
    </cfRule>
    <cfRule type="cellIs" dxfId="6" priority="15" operator="equal">
      <formula>#REF!</formula>
    </cfRule>
  </conditionalFormatting>
  <conditionalFormatting sqref="J113">
    <cfRule type="cellIs" dxfId="5" priority="8" operator="equal">
      <formula>#REF!</formula>
    </cfRule>
    <cfRule type="cellIs" dxfId="4" priority="9" operator="equal">
      <formula>#REF!</formula>
    </cfRule>
  </conditionalFormatting>
  <conditionalFormatting sqref="J119">
    <cfRule type="cellIs" dxfId="3" priority="6" operator="equal">
      <formula>#REF!</formula>
    </cfRule>
    <cfRule type="cellIs" dxfId="2" priority="7" operator="equal">
      <formula>#REF!</formula>
    </cfRule>
  </conditionalFormatting>
  <conditionalFormatting sqref="J150">
    <cfRule type="cellIs" dxfId="1" priority="4" operator="equal">
      <formula>#REF!</formula>
    </cfRule>
    <cfRule type="cellIs" dxfId="0" priority="5" operator="equal">
      <formula>#REF!</formula>
    </cfRule>
  </conditionalFormatting>
  <hyperlinks>
    <hyperlink ref="D92" r:id="rId1" xr:uid="{923B88C6-BED5-4CD9-B918-0BBFDDB7968B}"/>
    <hyperlink ref="D94" r:id="rId2" xr:uid="{2DF2C9A2-5BE0-4787-81E4-628CFE22FF46}"/>
    <hyperlink ref="F94" r:id="rId3" xr:uid="{FAC53EAE-E03E-4CE2-8958-DCD9FDD1722A}"/>
    <hyperlink ref="F92" r:id="rId4" xr:uid="{0F1FC8E7-2216-43E0-9F34-9615AFD69CB0}"/>
    <hyperlink ref="D99" r:id="rId5" xr:uid="{77AAC454-19F3-482D-A805-D87B219E7770}"/>
    <hyperlink ref="Q72" r:id="rId6" xr:uid="{727B6969-C0B0-4AED-9539-B86EC0FFF360}"/>
    <hyperlink ref="J31" r:id="rId7" xr:uid="{6C6EDCF6-25A1-4DAE-BC74-61A8B8C89377}"/>
    <hyperlink ref="O87" r:id="rId8" xr:uid="{754A79D3-EF30-4801-B82E-29DFA1CE79C1}"/>
    <hyperlink ref="O88" r:id="rId9" xr:uid="{650BFAF1-2F4E-466F-A312-BD395AD91A9A}"/>
    <hyperlink ref="R60" r:id="rId10" xr:uid="{C216671C-F61A-4201-A0C1-8289FE9DC3B1}"/>
    <hyperlink ref="K249" r:id="rId11" xr:uid="{CB31F070-13A5-4976-90AD-562D500A92D0}"/>
    <hyperlink ref="K247" r:id="rId12" xr:uid="{11BDF6EE-F452-4F5F-8BA5-489FEAFCC303}"/>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BF8D4-B173-4644-B82F-E9793D87A05D}">
  <dimension ref="A1:AB85"/>
  <sheetViews>
    <sheetView showGridLines="0" zoomScaleNormal="100" workbookViewId="0">
      <selection activeCell="B17" sqref="B17"/>
    </sheetView>
  </sheetViews>
  <sheetFormatPr baseColWidth="10" defaultColWidth="10.28515625" defaultRowHeight="15"/>
  <cols>
    <col min="1" max="1" width="33.140625" style="581" customWidth="1"/>
    <col min="2" max="3" width="36.28515625" style="581" customWidth="1"/>
    <col min="4" max="5" width="32" style="581" customWidth="1"/>
    <col min="6" max="6" width="48.85546875" style="581" customWidth="1"/>
    <col min="7" max="7" width="43.42578125" style="581" customWidth="1"/>
    <col min="8" max="8" width="37.42578125" style="581" customWidth="1"/>
    <col min="9" max="9" width="35.7109375" style="581" customWidth="1"/>
    <col min="10" max="10" width="42" style="581" customWidth="1"/>
    <col min="11" max="11" width="13.7109375" style="581" customWidth="1"/>
    <col min="12" max="12" width="14.28515625" style="581" customWidth="1"/>
    <col min="13" max="14" width="34.28515625" style="581" customWidth="1"/>
    <col min="15" max="15" width="35.42578125" style="581" customWidth="1"/>
    <col min="16" max="16" width="67.42578125" style="581" customWidth="1"/>
    <col min="17" max="17" width="20.5703125" style="581" customWidth="1"/>
    <col min="18" max="18" width="56" style="581" customWidth="1"/>
    <col min="19" max="19" width="32.85546875" style="581" customWidth="1"/>
    <col min="20" max="20" width="10.28515625" style="581"/>
    <col min="21" max="21" width="26.85546875" style="581" customWidth="1"/>
    <col min="22" max="22" width="27.42578125" style="581" customWidth="1"/>
    <col min="23" max="24" width="22.85546875" style="581" customWidth="1"/>
    <col min="25" max="25" width="45.42578125" style="581" customWidth="1"/>
    <col min="26" max="26" width="39.7109375" style="581" customWidth="1"/>
    <col min="27" max="28" width="22.85546875" style="581" customWidth="1"/>
    <col min="29" max="16384" width="10.28515625" style="581"/>
  </cols>
  <sheetData>
    <row r="1" spans="1:28" ht="27.95" customHeight="1">
      <c r="A1" s="1302" t="s">
        <v>6509</v>
      </c>
      <c r="B1" s="1302"/>
      <c r="C1" s="1302"/>
      <c r="D1" s="1302"/>
      <c r="E1" s="1302"/>
      <c r="F1" s="1302"/>
      <c r="G1" s="1302" t="s">
        <v>6509</v>
      </c>
      <c r="H1" s="1302"/>
      <c r="I1" s="1302"/>
      <c r="J1" s="1302"/>
      <c r="K1" s="1302"/>
      <c r="L1" s="1302"/>
      <c r="M1" s="1302"/>
      <c r="N1" s="969"/>
      <c r="O1" s="1302" t="s">
        <v>6509</v>
      </c>
      <c r="P1" s="1302"/>
      <c r="Q1" s="1302"/>
      <c r="R1" s="1302"/>
      <c r="S1" s="1302"/>
      <c r="U1" s="1303" t="s">
        <v>6510</v>
      </c>
      <c r="V1" s="1303"/>
      <c r="W1" s="1303"/>
      <c r="X1" s="1303"/>
      <c r="Y1" s="1303"/>
      <c r="Z1" s="1303"/>
      <c r="AA1" s="1303"/>
      <c r="AB1" s="1303"/>
    </row>
    <row r="2" spans="1:28" ht="27.95" customHeight="1">
      <c r="A2" s="1302"/>
      <c r="B2" s="1302"/>
      <c r="C2" s="1302"/>
      <c r="D2" s="1302"/>
      <c r="E2" s="1302"/>
      <c r="F2" s="1302"/>
      <c r="G2" s="1302"/>
      <c r="H2" s="1302"/>
      <c r="I2" s="1302"/>
      <c r="J2" s="1302"/>
      <c r="K2" s="1302"/>
      <c r="L2" s="1302"/>
      <c r="M2" s="1302"/>
      <c r="N2" s="969"/>
      <c r="O2" s="1302"/>
      <c r="P2" s="1302"/>
      <c r="Q2" s="1302"/>
      <c r="R2" s="1302"/>
      <c r="S2" s="1302"/>
      <c r="U2" s="1303"/>
      <c r="V2" s="1303"/>
      <c r="W2" s="1303"/>
      <c r="X2" s="1303"/>
      <c r="Y2" s="1303"/>
      <c r="Z2" s="1303"/>
      <c r="AA2" s="1303"/>
      <c r="AB2" s="1303"/>
    </row>
    <row r="3" spans="1:28" ht="26.1" customHeight="1">
      <c r="A3" s="970" t="s">
        <v>6511</v>
      </c>
      <c r="B3" s="970"/>
      <c r="C3" s="970"/>
      <c r="D3" s="970"/>
      <c r="E3" s="970"/>
      <c r="F3" s="970"/>
      <c r="G3" s="970" t="s">
        <v>6511</v>
      </c>
      <c r="H3" s="970"/>
      <c r="I3" s="970"/>
      <c r="J3" s="970"/>
      <c r="K3" s="970"/>
      <c r="L3" s="970"/>
      <c r="M3" s="970"/>
      <c r="N3" s="970" t="s">
        <v>6511</v>
      </c>
      <c r="O3" s="970"/>
      <c r="P3" s="970"/>
      <c r="Q3" s="970"/>
      <c r="R3" s="970"/>
      <c r="S3" s="970"/>
      <c r="U3" s="1304" t="s">
        <v>6512</v>
      </c>
      <c r="V3" s="1304"/>
      <c r="W3" s="1304"/>
      <c r="X3" s="1304"/>
      <c r="Y3" s="1304"/>
      <c r="Z3" s="1304"/>
      <c r="AA3" s="1304"/>
      <c r="AB3" s="1304"/>
    </row>
    <row r="4" spans="1:28" ht="15.75" customHeight="1">
      <c r="A4" s="971" t="s">
        <v>6401</v>
      </c>
      <c r="B4" s="1297">
        <v>46243</v>
      </c>
      <c r="C4" s="1298"/>
      <c r="D4" s="1299"/>
      <c r="E4" s="617"/>
      <c r="F4" s="617"/>
      <c r="G4" s="971" t="s">
        <v>6513</v>
      </c>
      <c r="H4" s="972"/>
      <c r="U4" s="1304"/>
      <c r="V4" s="1304"/>
      <c r="W4" s="1304"/>
      <c r="X4" s="1304"/>
      <c r="Y4" s="1304"/>
      <c r="Z4" s="1304"/>
      <c r="AA4" s="1304"/>
      <c r="AB4" s="1304"/>
    </row>
    <row r="5" spans="1:28" ht="21">
      <c r="A5" s="971" t="s">
        <v>6514</v>
      </c>
      <c r="B5" s="1297"/>
      <c r="C5" s="1298"/>
      <c r="D5" s="1299"/>
      <c r="E5" s="617"/>
      <c r="F5" s="617"/>
      <c r="G5" s="971" t="s">
        <v>6515</v>
      </c>
      <c r="H5" s="972"/>
      <c r="R5" s="473" t="s">
        <v>841</v>
      </c>
      <c r="U5" s="617"/>
      <c r="V5" s="617"/>
      <c r="W5" s="617"/>
      <c r="X5" s="617"/>
      <c r="Y5" s="617"/>
      <c r="Z5" s="617"/>
      <c r="AA5" s="617"/>
      <c r="AB5" s="617"/>
    </row>
    <row r="6" spans="1:28" ht="26.1" customHeight="1">
      <c r="A6" s="971" t="s">
        <v>6516</v>
      </c>
      <c r="B6" s="1297"/>
      <c r="C6" s="1298"/>
      <c r="D6" s="1299"/>
      <c r="E6" s="617"/>
      <c r="F6" s="617"/>
      <c r="G6" s="971" t="s">
        <v>6517</v>
      </c>
      <c r="H6" s="972"/>
      <c r="U6" s="1300" t="s">
        <v>6518</v>
      </c>
      <c r="V6" s="1300"/>
      <c r="W6" s="1300"/>
      <c r="X6" s="1300"/>
      <c r="Y6" s="1300"/>
      <c r="Z6" s="1300"/>
      <c r="AA6" s="1300"/>
      <c r="AB6" s="1300"/>
    </row>
    <row r="7" spans="1:28" ht="15.75" customHeight="1">
      <c r="A7" s="971" t="s">
        <v>6519</v>
      </c>
      <c r="B7" s="1297"/>
      <c r="C7" s="1298"/>
      <c r="D7" s="1299"/>
      <c r="E7" s="617"/>
      <c r="F7" s="617"/>
      <c r="G7" s="971" t="s">
        <v>6520</v>
      </c>
      <c r="H7" s="972"/>
      <c r="U7" s="1301" t="s">
        <v>6272</v>
      </c>
      <c r="V7" s="1292" t="s">
        <v>6521</v>
      </c>
      <c r="W7" s="1292"/>
      <c r="X7" s="1291" t="s">
        <v>6522</v>
      </c>
      <c r="Y7" s="1291"/>
      <c r="Z7" s="1291"/>
      <c r="AA7" s="1291"/>
      <c r="AB7" s="1291"/>
    </row>
    <row r="8" spans="1:28" ht="15" customHeight="1">
      <c r="A8" s="499" t="s">
        <v>6104</v>
      </c>
      <c r="B8" s="617"/>
      <c r="C8" s="617"/>
      <c r="D8" s="617"/>
      <c r="E8" s="617"/>
      <c r="F8" s="617"/>
      <c r="G8" s="617"/>
      <c r="H8" s="617"/>
      <c r="I8" s="617"/>
      <c r="J8" s="617"/>
      <c r="K8" s="617"/>
      <c r="L8" s="617"/>
      <c r="M8" s="617"/>
      <c r="N8" s="617"/>
      <c r="O8" s="617"/>
      <c r="P8" s="617"/>
      <c r="Q8" s="617"/>
      <c r="R8" s="617"/>
      <c r="S8" s="617"/>
      <c r="U8" s="1301"/>
      <c r="V8" s="1292"/>
      <c r="W8" s="1292"/>
      <c r="X8" s="1291"/>
      <c r="Y8" s="1291"/>
      <c r="Z8" s="1291"/>
      <c r="AA8" s="1291"/>
      <c r="AB8" s="1291"/>
    </row>
    <row r="9" spans="1:28" ht="57.95" customHeight="1">
      <c r="A9" s="974" t="s">
        <v>1094</v>
      </c>
      <c r="B9" s="974" t="s">
        <v>6208</v>
      </c>
      <c r="C9" s="1293" t="s">
        <v>6523</v>
      </c>
      <c r="D9" s="1294"/>
      <c r="E9" s="1293" t="s">
        <v>6524</v>
      </c>
      <c r="F9" s="1294"/>
      <c r="G9" s="974" t="s">
        <v>6419</v>
      </c>
      <c r="H9" s="974" t="s">
        <v>6525</v>
      </c>
      <c r="I9" s="974" t="s">
        <v>6131</v>
      </c>
      <c r="J9" s="974" t="s">
        <v>6526</v>
      </c>
      <c r="K9" s="1295" t="s">
        <v>6527</v>
      </c>
      <c r="L9" s="1296"/>
      <c r="M9" s="1295" t="s">
        <v>6528</v>
      </c>
      <c r="N9" s="1296"/>
      <c r="O9" s="1295" t="s">
        <v>6529</v>
      </c>
      <c r="P9" s="1296"/>
      <c r="Q9" s="974" t="s">
        <v>6530</v>
      </c>
      <c r="R9" s="974" t="s">
        <v>6402</v>
      </c>
      <c r="S9" s="974" t="s">
        <v>6531</v>
      </c>
      <c r="U9" s="973" t="s">
        <v>6276</v>
      </c>
      <c r="V9" s="1292" t="s">
        <v>6532</v>
      </c>
      <c r="W9" s="1292"/>
      <c r="X9" s="1291" t="s">
        <v>6533</v>
      </c>
      <c r="Y9" s="1291"/>
      <c r="Z9" s="1291"/>
      <c r="AA9" s="1291"/>
      <c r="AB9" s="1291"/>
    </row>
    <row r="10" spans="1:28" ht="39.950000000000003" customHeight="1">
      <c r="A10" s="975">
        <v>1</v>
      </c>
      <c r="B10" s="623" t="s">
        <v>6534</v>
      </c>
      <c r="C10" s="1278" t="s">
        <v>6535</v>
      </c>
      <c r="D10" s="1279"/>
      <c r="E10" s="1278" t="s">
        <v>6536</v>
      </c>
      <c r="F10" s="1280"/>
      <c r="G10" s="624" t="s">
        <v>6537</v>
      </c>
      <c r="H10" s="624" t="s">
        <v>6538</v>
      </c>
      <c r="I10" s="976"/>
      <c r="J10" s="976"/>
      <c r="K10" s="1281"/>
      <c r="L10" s="1282"/>
      <c r="M10" s="1283"/>
      <c r="N10" s="1284"/>
      <c r="O10" s="1283"/>
      <c r="P10" s="1284"/>
      <c r="Q10" s="977"/>
      <c r="R10" s="977"/>
      <c r="S10" s="977"/>
      <c r="U10" s="973" t="s">
        <v>6280</v>
      </c>
      <c r="V10" s="1292" t="s">
        <v>6539</v>
      </c>
      <c r="W10" s="1292"/>
      <c r="X10" s="1291" t="s">
        <v>6540</v>
      </c>
      <c r="Y10" s="1291"/>
      <c r="Z10" s="1291"/>
      <c r="AA10" s="1291"/>
      <c r="AB10" s="1291"/>
    </row>
    <row r="11" spans="1:28" ht="39.950000000000003" customHeight="1">
      <c r="A11" s="975">
        <v>2</v>
      </c>
      <c r="B11" s="623" t="s">
        <v>6541</v>
      </c>
      <c r="C11" s="1278" t="s">
        <v>6542</v>
      </c>
      <c r="D11" s="1279"/>
      <c r="E11" s="1278" t="s">
        <v>6543</v>
      </c>
      <c r="F11" s="1280"/>
      <c r="G11" s="624" t="s">
        <v>6544</v>
      </c>
      <c r="H11" s="624" t="s">
        <v>6541</v>
      </c>
      <c r="I11" s="976"/>
      <c r="J11" s="976"/>
      <c r="K11" s="1281"/>
      <c r="L11" s="1282"/>
      <c r="M11" s="1283"/>
      <c r="N11" s="1284"/>
      <c r="O11" s="1283"/>
      <c r="P11" s="1284"/>
      <c r="Q11" s="977"/>
      <c r="R11" s="977"/>
      <c r="S11" s="977"/>
      <c r="U11" s="973" t="s">
        <v>6284</v>
      </c>
      <c r="V11" s="1292" t="s">
        <v>6545</v>
      </c>
      <c r="W11" s="1292"/>
      <c r="X11" s="1291" t="s">
        <v>6546</v>
      </c>
      <c r="Y11" s="1291"/>
      <c r="Z11" s="1291"/>
      <c r="AA11" s="1291"/>
      <c r="AB11" s="1291"/>
    </row>
    <row r="12" spans="1:28" ht="39.950000000000003" customHeight="1">
      <c r="A12" s="975">
        <v>3</v>
      </c>
      <c r="B12" s="623" t="s">
        <v>6541</v>
      </c>
      <c r="C12" s="1278" t="s">
        <v>6547</v>
      </c>
      <c r="D12" s="1279"/>
      <c r="E12" s="1278" t="s">
        <v>6548</v>
      </c>
      <c r="F12" s="1280"/>
      <c r="G12" s="624" t="s">
        <v>6549</v>
      </c>
      <c r="H12" s="624" t="s">
        <v>6541</v>
      </c>
      <c r="I12" s="976"/>
      <c r="J12" s="976"/>
      <c r="K12" s="1281"/>
      <c r="L12" s="1282"/>
      <c r="M12" s="1283"/>
      <c r="N12" s="1284"/>
      <c r="O12" s="1283"/>
      <c r="P12" s="1284"/>
      <c r="Q12" s="977"/>
      <c r="R12" s="977"/>
      <c r="S12" s="977"/>
      <c r="U12" s="973" t="s">
        <v>6288</v>
      </c>
      <c r="V12" s="1292" t="s">
        <v>6550</v>
      </c>
      <c r="W12" s="1292"/>
      <c r="X12" s="1291" t="s">
        <v>6551</v>
      </c>
      <c r="Y12" s="1291"/>
      <c r="Z12" s="1291"/>
      <c r="AA12" s="1291"/>
      <c r="AB12" s="1291"/>
    </row>
    <row r="13" spans="1:28" ht="39.950000000000003" customHeight="1">
      <c r="A13" s="975">
        <v>4</v>
      </c>
      <c r="B13" s="623" t="s">
        <v>6552</v>
      </c>
      <c r="C13" s="1278" t="s">
        <v>6553</v>
      </c>
      <c r="D13" s="1279"/>
      <c r="E13" s="1278" t="s">
        <v>6554</v>
      </c>
      <c r="F13" s="1280"/>
      <c r="G13" s="624" t="s">
        <v>6555</v>
      </c>
      <c r="H13" s="624" t="s">
        <v>6556</v>
      </c>
      <c r="I13" s="976"/>
      <c r="J13" s="976"/>
      <c r="K13" s="1281"/>
      <c r="L13" s="1282"/>
      <c r="M13" s="1283"/>
      <c r="N13" s="1284"/>
      <c r="O13" s="1283"/>
      <c r="P13" s="1284"/>
      <c r="Q13" s="977"/>
      <c r="R13" s="977"/>
      <c r="S13" s="977"/>
      <c r="U13" s="973" t="s">
        <v>6292</v>
      </c>
      <c r="V13" s="1292" t="s">
        <v>6557</v>
      </c>
      <c r="W13" s="1292"/>
      <c r="X13" s="1291" t="s">
        <v>6558</v>
      </c>
      <c r="Y13" s="1291"/>
      <c r="Z13" s="1291"/>
      <c r="AA13" s="1291"/>
      <c r="AB13" s="1291"/>
    </row>
    <row r="14" spans="1:28" ht="39.950000000000003" customHeight="1">
      <c r="A14" s="975">
        <v>5</v>
      </c>
      <c r="B14" s="623" t="s">
        <v>6559</v>
      </c>
      <c r="C14" s="1278" t="s">
        <v>6560</v>
      </c>
      <c r="D14" s="1279"/>
      <c r="E14" s="1278" t="s">
        <v>6561</v>
      </c>
      <c r="F14" s="1280"/>
      <c r="G14" s="624" t="s">
        <v>6562</v>
      </c>
      <c r="H14" s="624" t="s">
        <v>6556</v>
      </c>
      <c r="I14" s="976"/>
      <c r="J14" s="976"/>
      <c r="K14" s="1281"/>
      <c r="L14" s="1282"/>
      <c r="M14" s="1283"/>
      <c r="N14" s="1284"/>
      <c r="O14" s="1283"/>
      <c r="P14" s="1284"/>
      <c r="Q14" s="977"/>
      <c r="R14" s="977"/>
      <c r="S14" s="977"/>
      <c r="U14" s="973" t="s">
        <v>6296</v>
      </c>
      <c r="V14" s="1292" t="s">
        <v>6563</v>
      </c>
      <c r="W14" s="1292"/>
      <c r="X14" s="1291" t="s">
        <v>6564</v>
      </c>
      <c r="Y14" s="1291"/>
      <c r="Z14" s="1291"/>
      <c r="AA14" s="1291"/>
      <c r="AB14" s="1291"/>
    </row>
    <row r="15" spans="1:28" ht="39.950000000000003" customHeight="1">
      <c r="A15" s="975">
        <v>6</v>
      </c>
      <c r="B15" s="623" t="s">
        <v>6559</v>
      </c>
      <c r="C15" s="1278" t="s">
        <v>6565</v>
      </c>
      <c r="D15" s="1279"/>
      <c r="E15" s="1278" t="s">
        <v>6566</v>
      </c>
      <c r="F15" s="1280"/>
      <c r="G15" s="624" t="s">
        <v>6567</v>
      </c>
      <c r="H15" s="624" t="s">
        <v>6556</v>
      </c>
      <c r="I15" s="976"/>
      <c r="J15" s="976"/>
      <c r="K15" s="1281"/>
      <c r="L15" s="1282"/>
      <c r="M15" s="1283"/>
      <c r="N15" s="1284"/>
      <c r="O15" s="1283"/>
      <c r="P15" s="1284"/>
      <c r="Q15" s="977"/>
      <c r="R15" s="977"/>
      <c r="S15" s="977"/>
      <c r="U15" s="973" t="s">
        <v>6300</v>
      </c>
      <c r="V15" s="1292" t="s">
        <v>6568</v>
      </c>
      <c r="W15" s="1292"/>
      <c r="X15" s="1291" t="s">
        <v>6569</v>
      </c>
      <c r="Y15" s="1291"/>
      <c r="Z15" s="1291"/>
      <c r="AA15" s="1291"/>
      <c r="AB15" s="1291"/>
    </row>
    <row r="16" spans="1:28" ht="39.950000000000003" customHeight="1">
      <c r="A16" s="975">
        <v>7</v>
      </c>
      <c r="B16" s="623" t="s">
        <v>6570</v>
      </c>
      <c r="C16" s="1278" t="s">
        <v>6571</v>
      </c>
      <c r="D16" s="1279"/>
      <c r="E16" s="1278" t="s">
        <v>6572</v>
      </c>
      <c r="F16" s="1280"/>
      <c r="G16" s="624" t="s">
        <v>6573</v>
      </c>
      <c r="H16" s="624" t="s">
        <v>6574</v>
      </c>
      <c r="I16" s="976"/>
      <c r="J16" s="976"/>
      <c r="K16" s="1281"/>
      <c r="L16" s="1282"/>
      <c r="M16" s="1283"/>
      <c r="N16" s="1284"/>
      <c r="O16" s="1283"/>
      <c r="P16" s="1284"/>
      <c r="Q16" s="977"/>
      <c r="R16" s="977"/>
      <c r="S16" s="977"/>
      <c r="U16" s="617"/>
      <c r="V16" s="617"/>
      <c r="W16" s="617"/>
      <c r="X16" s="617"/>
      <c r="Y16" s="617"/>
      <c r="Z16" s="617"/>
      <c r="AA16" s="617"/>
      <c r="AB16" s="617"/>
    </row>
    <row r="17" spans="1:28" ht="39.950000000000003" customHeight="1">
      <c r="A17" s="975">
        <v>8</v>
      </c>
      <c r="B17" s="623" t="s">
        <v>6196</v>
      </c>
      <c r="C17" s="1278" t="s">
        <v>6575</v>
      </c>
      <c r="D17" s="1279"/>
      <c r="E17" s="1278" t="s">
        <v>6576</v>
      </c>
      <c r="F17" s="1280"/>
      <c r="G17" s="624" t="s">
        <v>6577</v>
      </c>
      <c r="H17" s="624" t="s">
        <v>6578</v>
      </c>
      <c r="I17" s="976"/>
      <c r="J17" s="976"/>
      <c r="K17" s="1281"/>
      <c r="L17" s="1282"/>
      <c r="M17" s="1283"/>
      <c r="N17" s="1284"/>
      <c r="O17" s="1283"/>
      <c r="P17" s="1284"/>
      <c r="Q17" s="977"/>
      <c r="R17" s="977"/>
      <c r="S17" s="977"/>
      <c r="U17" s="1276" t="s">
        <v>6579</v>
      </c>
      <c r="V17" s="1276"/>
      <c r="W17" s="1276"/>
      <c r="X17" s="1276"/>
      <c r="Y17" s="1276"/>
      <c r="Z17" s="1276"/>
      <c r="AA17" s="1276"/>
      <c r="AB17" s="1276"/>
    </row>
    <row r="18" spans="1:28" ht="39.950000000000003" customHeight="1">
      <c r="A18" s="975">
        <v>9</v>
      </c>
      <c r="B18" s="623" t="s">
        <v>6580</v>
      </c>
      <c r="C18" s="1278" t="s">
        <v>6581</v>
      </c>
      <c r="D18" s="1279"/>
      <c r="E18" s="1278" t="s">
        <v>6582</v>
      </c>
      <c r="F18" s="1280"/>
      <c r="G18" s="624" t="s">
        <v>6577</v>
      </c>
      <c r="H18" s="624" t="s">
        <v>6583</v>
      </c>
      <c r="I18" s="976"/>
      <c r="J18" s="976"/>
      <c r="K18" s="1281"/>
      <c r="L18" s="1282"/>
      <c r="M18" s="1283"/>
      <c r="N18" s="1284"/>
      <c r="O18" s="1283"/>
      <c r="P18" s="1284"/>
      <c r="Q18" s="977"/>
      <c r="R18" s="977"/>
      <c r="S18" s="977"/>
      <c r="U18" s="620" t="s">
        <v>6131</v>
      </c>
      <c r="V18" s="1290" t="s">
        <v>6584</v>
      </c>
      <c r="W18" s="1290"/>
      <c r="X18" s="1287" t="s">
        <v>6585</v>
      </c>
      <c r="Y18" s="1287"/>
      <c r="Z18" s="1287"/>
      <c r="AA18" s="1287"/>
      <c r="AB18" s="1287"/>
    </row>
    <row r="19" spans="1:28" ht="39.950000000000003" customHeight="1">
      <c r="A19" s="975">
        <v>10</v>
      </c>
      <c r="B19" s="623" t="s">
        <v>6586</v>
      </c>
      <c r="C19" s="1278" t="s">
        <v>6587</v>
      </c>
      <c r="D19" s="1279"/>
      <c r="E19" s="1278" t="s">
        <v>6588</v>
      </c>
      <c r="F19" s="1280"/>
      <c r="G19" s="624" t="s">
        <v>6573</v>
      </c>
      <c r="H19" s="624" t="s">
        <v>6589</v>
      </c>
      <c r="I19" s="976"/>
      <c r="J19" s="976"/>
      <c r="K19" s="1281"/>
      <c r="L19" s="1282"/>
      <c r="M19" s="1283"/>
      <c r="N19" s="1284"/>
      <c r="O19" s="1283"/>
      <c r="P19" s="1284"/>
      <c r="Q19" s="977"/>
      <c r="R19" s="977"/>
      <c r="S19" s="977"/>
      <c r="U19" s="978" t="s">
        <v>6526</v>
      </c>
      <c r="V19" s="1288" t="s">
        <v>6590</v>
      </c>
      <c r="W19" s="1288"/>
      <c r="X19" s="1289" t="s">
        <v>6591</v>
      </c>
      <c r="Y19" s="1289"/>
      <c r="Z19" s="1289"/>
      <c r="AA19" s="1289"/>
      <c r="AB19" s="1289"/>
    </row>
    <row r="20" spans="1:28" ht="39.950000000000003" customHeight="1">
      <c r="A20" s="975">
        <v>11</v>
      </c>
      <c r="B20" s="623" t="s">
        <v>6592</v>
      </c>
      <c r="C20" s="1278" t="s">
        <v>6593</v>
      </c>
      <c r="D20" s="1279"/>
      <c r="E20" s="1278" t="s">
        <v>6594</v>
      </c>
      <c r="F20" s="1280"/>
      <c r="G20" s="624" t="s">
        <v>6577</v>
      </c>
      <c r="H20" s="624" t="s">
        <v>6592</v>
      </c>
      <c r="I20" s="976"/>
      <c r="J20" s="976"/>
      <c r="K20" s="1281"/>
      <c r="L20" s="1282"/>
      <c r="M20" s="1283"/>
      <c r="N20" s="1284"/>
      <c r="O20" s="1283"/>
      <c r="P20" s="1284"/>
      <c r="Q20" s="977"/>
      <c r="R20" s="977"/>
      <c r="S20" s="977"/>
      <c r="U20" s="979" t="s">
        <v>6527</v>
      </c>
      <c r="V20" s="980" t="s">
        <v>6595</v>
      </c>
      <c r="W20" s="980"/>
      <c r="X20" s="981" t="s">
        <v>6596</v>
      </c>
      <c r="Y20" s="981"/>
      <c r="Z20" s="981"/>
      <c r="AA20" s="981"/>
      <c r="AB20" s="981"/>
    </row>
    <row r="21" spans="1:28" ht="39.950000000000003" customHeight="1">
      <c r="A21" s="975">
        <v>12</v>
      </c>
      <c r="B21" s="623" t="s">
        <v>6589</v>
      </c>
      <c r="C21" s="1278" t="s">
        <v>6597</v>
      </c>
      <c r="D21" s="1279"/>
      <c r="E21" s="1278" t="s">
        <v>6598</v>
      </c>
      <c r="F21" s="1280"/>
      <c r="G21" s="624" t="s">
        <v>6599</v>
      </c>
      <c r="H21" s="624" t="s">
        <v>6589</v>
      </c>
      <c r="I21" s="976"/>
      <c r="J21" s="976"/>
      <c r="K21" s="1281"/>
      <c r="L21" s="1282"/>
      <c r="M21" s="1283"/>
      <c r="N21" s="1284"/>
      <c r="O21" s="1283"/>
      <c r="P21" s="1284"/>
      <c r="Q21" s="977"/>
      <c r="R21" s="977"/>
      <c r="S21" s="977"/>
      <c r="U21" s="617"/>
      <c r="V21" s="617"/>
      <c r="W21" s="617"/>
      <c r="X21" s="617"/>
      <c r="Y21" s="617"/>
      <c r="Z21" s="617"/>
      <c r="AA21" s="617"/>
      <c r="AB21" s="617"/>
    </row>
    <row r="22" spans="1:28" ht="39.950000000000003" customHeight="1">
      <c r="A22" s="975">
        <v>13</v>
      </c>
      <c r="B22" s="623" t="s">
        <v>6600</v>
      </c>
      <c r="C22" s="1278" t="s">
        <v>6601</v>
      </c>
      <c r="D22" s="1279"/>
      <c r="E22" s="1278" t="s">
        <v>6602</v>
      </c>
      <c r="F22" s="1280"/>
      <c r="G22" s="624" t="s">
        <v>6573</v>
      </c>
      <c r="H22" s="624" t="s">
        <v>6589</v>
      </c>
      <c r="I22" s="976"/>
      <c r="J22" s="976"/>
      <c r="K22" s="1281"/>
      <c r="L22" s="1282"/>
      <c r="M22" s="1283"/>
      <c r="N22" s="1284"/>
      <c r="O22" s="1283"/>
      <c r="P22" s="1284"/>
      <c r="Q22" s="977"/>
      <c r="R22" s="977"/>
      <c r="S22" s="977"/>
      <c r="U22" s="1276" t="s">
        <v>6603</v>
      </c>
      <c r="V22" s="1276"/>
      <c r="W22" s="1276"/>
      <c r="X22" s="1276"/>
      <c r="Y22" s="1276"/>
      <c r="Z22" s="1276"/>
      <c r="AA22" s="1276"/>
      <c r="AB22" s="1276"/>
    </row>
    <row r="23" spans="1:28" ht="39.950000000000003" customHeight="1">
      <c r="A23" s="975">
        <v>14</v>
      </c>
      <c r="B23" s="623" t="s">
        <v>6604</v>
      </c>
      <c r="C23" s="1278" t="s">
        <v>6605</v>
      </c>
      <c r="D23" s="1279"/>
      <c r="E23" s="1278" t="s">
        <v>6606</v>
      </c>
      <c r="F23" s="1280"/>
      <c r="G23" s="624" t="s">
        <v>6607</v>
      </c>
      <c r="H23" s="624" t="s">
        <v>6589</v>
      </c>
      <c r="I23" s="976"/>
      <c r="J23" s="976"/>
      <c r="K23" s="1281"/>
      <c r="L23" s="1282"/>
      <c r="M23" s="1283"/>
      <c r="N23" s="1284"/>
      <c r="O23" s="1283"/>
      <c r="P23" s="1284"/>
      <c r="Q23" s="977"/>
      <c r="R23" s="977"/>
      <c r="S23" s="977"/>
      <c r="U23" s="1286" t="s">
        <v>6608</v>
      </c>
      <c r="V23" s="1286"/>
      <c r="W23" s="1286"/>
      <c r="X23" s="1286"/>
      <c r="Y23" s="1286"/>
      <c r="Z23" s="1286"/>
      <c r="AA23" s="1286"/>
      <c r="AB23" s="1286"/>
    </row>
    <row r="24" spans="1:28" ht="39.950000000000003" customHeight="1">
      <c r="A24" s="975">
        <v>15</v>
      </c>
      <c r="B24" s="623" t="s">
        <v>6609</v>
      </c>
      <c r="C24" s="1278" t="s">
        <v>6610</v>
      </c>
      <c r="D24" s="1279"/>
      <c r="E24" s="1278" t="s">
        <v>6611</v>
      </c>
      <c r="F24" s="1280"/>
      <c r="G24" s="624" t="s">
        <v>6609</v>
      </c>
      <c r="H24" s="624" t="s">
        <v>6609</v>
      </c>
      <c r="I24" s="976"/>
      <c r="J24" s="976"/>
      <c r="K24" s="1281"/>
      <c r="L24" s="1282"/>
      <c r="M24" s="1283"/>
      <c r="N24" s="1284"/>
      <c r="O24" s="1283"/>
      <c r="P24" s="1284"/>
      <c r="Q24" s="977"/>
      <c r="R24" s="977"/>
      <c r="S24" s="977"/>
      <c r="U24" s="628" t="s">
        <v>6612</v>
      </c>
      <c r="V24" s="628" t="s">
        <v>6131</v>
      </c>
      <c r="W24" s="628" t="s">
        <v>6526</v>
      </c>
      <c r="X24" s="628" t="s">
        <v>6527</v>
      </c>
      <c r="Y24" s="628" t="s">
        <v>6613</v>
      </c>
      <c r="Z24" s="628" t="s">
        <v>6614</v>
      </c>
      <c r="AA24" s="628" t="s">
        <v>6530</v>
      </c>
      <c r="AB24" s="628" t="s">
        <v>526</v>
      </c>
    </row>
    <row r="25" spans="1:28" ht="39.950000000000003" customHeight="1">
      <c r="A25" s="975">
        <v>16</v>
      </c>
      <c r="B25" s="623" t="s">
        <v>6615</v>
      </c>
      <c r="C25" s="1278" t="s">
        <v>6616</v>
      </c>
      <c r="D25" s="1279"/>
      <c r="E25" s="1278" t="s">
        <v>6617</v>
      </c>
      <c r="F25" s="1280"/>
      <c r="G25" s="624" t="s">
        <v>6618</v>
      </c>
      <c r="H25" s="624" t="s">
        <v>6619</v>
      </c>
      <c r="I25" s="976"/>
      <c r="J25" s="976"/>
      <c r="K25" s="1281"/>
      <c r="L25" s="1282"/>
      <c r="M25" s="1283"/>
      <c r="N25" s="1284"/>
      <c r="O25" s="1283"/>
      <c r="P25" s="1284"/>
      <c r="Q25" s="977"/>
      <c r="R25" s="977"/>
      <c r="S25" s="977"/>
      <c r="U25" s="982" t="s">
        <v>6620</v>
      </c>
      <c r="V25" s="631"/>
      <c r="W25" s="631" t="s">
        <v>6176</v>
      </c>
      <c r="X25" s="631"/>
      <c r="Y25" s="983" t="s">
        <v>6621</v>
      </c>
      <c r="Z25" s="982" t="s">
        <v>6622</v>
      </c>
      <c r="AA25" s="982" t="s">
        <v>6623</v>
      </c>
      <c r="AB25" s="984" t="s">
        <v>6624</v>
      </c>
    </row>
    <row r="26" spans="1:28" ht="39.950000000000003" customHeight="1">
      <c r="A26" s="975">
        <v>17</v>
      </c>
      <c r="B26" s="623" t="s">
        <v>6625</v>
      </c>
      <c r="C26" s="1278" t="s">
        <v>6626</v>
      </c>
      <c r="D26" s="1279"/>
      <c r="E26" s="1278" t="s">
        <v>6627</v>
      </c>
      <c r="F26" s="1280"/>
      <c r="G26" s="624" t="s">
        <v>6628</v>
      </c>
      <c r="H26" s="624" t="s">
        <v>6625</v>
      </c>
      <c r="I26" s="976"/>
      <c r="J26" s="976"/>
      <c r="K26" s="1281"/>
      <c r="L26" s="1282"/>
      <c r="M26" s="1283"/>
      <c r="N26" s="1284"/>
      <c r="O26" s="1283"/>
      <c r="P26" s="1284"/>
      <c r="Q26" s="977"/>
      <c r="R26" s="977"/>
      <c r="S26" s="977"/>
      <c r="U26" s="982" t="s">
        <v>6629</v>
      </c>
      <c r="V26" s="631"/>
      <c r="W26" s="631" t="s">
        <v>6176</v>
      </c>
      <c r="X26" s="631"/>
      <c r="Y26" s="983" t="s">
        <v>6630</v>
      </c>
      <c r="Z26" s="982" t="s">
        <v>6631</v>
      </c>
      <c r="AA26" s="982" t="s">
        <v>6537</v>
      </c>
      <c r="AB26" s="984" t="s">
        <v>6632</v>
      </c>
    </row>
    <row r="27" spans="1:28" ht="39.950000000000003" customHeight="1">
      <c r="A27" s="975">
        <v>18</v>
      </c>
      <c r="B27" s="623" t="s">
        <v>6633</v>
      </c>
      <c r="C27" s="1278" t="s">
        <v>6634</v>
      </c>
      <c r="D27" s="1279"/>
      <c r="E27" s="1278" t="s">
        <v>6635</v>
      </c>
      <c r="F27" s="1280"/>
      <c r="G27" s="624" t="s">
        <v>6636</v>
      </c>
      <c r="H27" s="624" t="s">
        <v>6633</v>
      </c>
      <c r="I27" s="976"/>
      <c r="J27" s="976"/>
      <c r="K27" s="1281"/>
      <c r="L27" s="1282"/>
      <c r="M27" s="1283"/>
      <c r="N27" s="1284"/>
      <c r="O27" s="1283"/>
      <c r="P27" s="1284"/>
      <c r="Q27" s="977"/>
      <c r="R27" s="977"/>
      <c r="S27" s="977"/>
      <c r="U27" s="982" t="s">
        <v>6637</v>
      </c>
      <c r="V27" s="631" t="s">
        <v>6176</v>
      </c>
      <c r="W27" s="631"/>
      <c r="X27" s="631"/>
      <c r="Y27" s="983" t="s">
        <v>6638</v>
      </c>
      <c r="Z27" s="982" t="s">
        <v>6639</v>
      </c>
      <c r="AA27" s="982" t="s">
        <v>6640</v>
      </c>
      <c r="AB27" s="985" t="s">
        <v>6641</v>
      </c>
    </row>
    <row r="28" spans="1:28" ht="39.950000000000003" customHeight="1">
      <c r="A28" s="975">
        <v>19</v>
      </c>
      <c r="B28" s="623" t="s">
        <v>6642</v>
      </c>
      <c r="C28" s="1278" t="s">
        <v>6643</v>
      </c>
      <c r="D28" s="1279"/>
      <c r="E28" s="1278" t="s">
        <v>6644</v>
      </c>
      <c r="F28" s="1280"/>
      <c r="G28" s="624" t="s">
        <v>6645</v>
      </c>
      <c r="H28" s="624" t="s">
        <v>6646</v>
      </c>
      <c r="I28" s="976"/>
      <c r="J28" s="976"/>
      <c r="K28" s="1281"/>
      <c r="L28" s="1282"/>
      <c r="M28" s="1283"/>
      <c r="N28" s="1284"/>
      <c r="O28" s="1283"/>
      <c r="P28" s="1284"/>
      <c r="Q28" s="977"/>
      <c r="R28" s="977"/>
      <c r="S28" s="977"/>
      <c r="U28" s="617"/>
      <c r="V28" s="617"/>
      <c r="W28" s="617"/>
      <c r="X28" s="617"/>
      <c r="Y28" s="617"/>
      <c r="Z28" s="617"/>
      <c r="AA28" s="617"/>
      <c r="AB28" s="617"/>
    </row>
    <row r="29" spans="1:28" ht="39.950000000000003" customHeight="1">
      <c r="A29" s="975">
        <v>20</v>
      </c>
      <c r="B29" s="623" t="s">
        <v>6647</v>
      </c>
      <c r="C29" s="1278" t="s">
        <v>6648</v>
      </c>
      <c r="D29" s="1279"/>
      <c r="E29" s="1278" t="s">
        <v>6649</v>
      </c>
      <c r="F29" s="1280"/>
      <c r="G29" s="624" t="s">
        <v>6650</v>
      </c>
      <c r="H29" s="624" t="s">
        <v>6541</v>
      </c>
      <c r="I29" s="976"/>
      <c r="J29" s="976"/>
      <c r="K29" s="1281"/>
      <c r="L29" s="1282"/>
      <c r="M29" s="1283"/>
      <c r="N29" s="1284"/>
      <c r="O29" s="1283"/>
      <c r="P29" s="1284"/>
      <c r="Q29" s="977"/>
      <c r="R29" s="977"/>
      <c r="S29" s="977"/>
      <c r="U29" s="1285" t="s">
        <v>6651</v>
      </c>
      <c r="V29" s="1285"/>
      <c r="W29" s="1285"/>
      <c r="X29" s="1285"/>
      <c r="Y29" s="1285"/>
      <c r="Z29" s="1285"/>
      <c r="AA29" s="1285"/>
      <c r="AB29" s="1285"/>
    </row>
    <row r="30" spans="1:28" ht="39.950000000000003" customHeight="1">
      <c r="A30" s="975">
        <v>21</v>
      </c>
      <c r="B30" s="623" t="s">
        <v>6652</v>
      </c>
      <c r="C30" s="1278" t="s">
        <v>6653</v>
      </c>
      <c r="D30" s="1279"/>
      <c r="E30" s="1278" t="s">
        <v>6654</v>
      </c>
      <c r="F30" s="1280"/>
      <c r="G30" s="624" t="s">
        <v>6650</v>
      </c>
      <c r="H30" s="624" t="s">
        <v>6655</v>
      </c>
      <c r="I30" s="976"/>
      <c r="J30" s="976"/>
      <c r="K30" s="1281"/>
      <c r="L30" s="1282"/>
      <c r="M30" s="1283"/>
      <c r="N30" s="1284"/>
      <c r="O30" s="1283"/>
      <c r="P30" s="1284"/>
      <c r="Q30" s="977"/>
      <c r="R30" s="977"/>
      <c r="S30" s="977"/>
      <c r="U30" s="986" t="s">
        <v>6272</v>
      </c>
      <c r="V30" s="1274" t="s">
        <v>6656</v>
      </c>
      <c r="W30" s="1274"/>
      <c r="X30" s="1274"/>
      <c r="Y30" s="1274"/>
      <c r="Z30" s="1274"/>
      <c r="AA30" s="1274"/>
      <c r="AB30" s="1274"/>
    </row>
    <row r="31" spans="1:28" ht="39.950000000000003" customHeight="1">
      <c r="A31" s="975">
        <v>22</v>
      </c>
      <c r="B31" s="623" t="s">
        <v>6657</v>
      </c>
      <c r="C31" s="1278" t="s">
        <v>6658</v>
      </c>
      <c r="D31" s="1279"/>
      <c r="E31" s="1278" t="s">
        <v>6659</v>
      </c>
      <c r="F31" s="1280"/>
      <c r="G31" s="624" t="s">
        <v>6660</v>
      </c>
      <c r="H31" s="624" t="s">
        <v>6655</v>
      </c>
      <c r="I31" s="976"/>
      <c r="J31" s="976"/>
      <c r="K31" s="1281"/>
      <c r="L31" s="1282"/>
      <c r="M31" s="1283"/>
      <c r="N31" s="1284"/>
      <c r="O31" s="1283"/>
      <c r="P31" s="1284"/>
      <c r="Q31" s="977"/>
      <c r="R31" s="977"/>
      <c r="S31" s="977"/>
      <c r="U31" s="986" t="s">
        <v>6276</v>
      </c>
      <c r="V31" s="1274" t="s">
        <v>6661</v>
      </c>
      <c r="W31" s="1274"/>
      <c r="X31" s="1274"/>
      <c r="Y31" s="1274"/>
      <c r="Z31" s="1274"/>
      <c r="AA31" s="1274"/>
      <c r="AB31" s="1274"/>
    </row>
    <row r="32" spans="1:28" ht="39.950000000000003" customHeight="1">
      <c r="A32" s="975">
        <v>23</v>
      </c>
      <c r="B32" s="623" t="s">
        <v>6662</v>
      </c>
      <c r="C32" s="1278" t="s">
        <v>6663</v>
      </c>
      <c r="D32" s="1279"/>
      <c r="E32" s="1278" t="s">
        <v>6664</v>
      </c>
      <c r="F32" s="1280"/>
      <c r="G32" s="624" t="s">
        <v>6665</v>
      </c>
      <c r="H32" s="624" t="s">
        <v>6662</v>
      </c>
      <c r="I32" s="976"/>
      <c r="J32" s="976"/>
      <c r="K32" s="1281"/>
      <c r="L32" s="1282"/>
      <c r="M32" s="1283"/>
      <c r="N32" s="1284"/>
      <c r="O32" s="1283"/>
      <c r="P32" s="1284"/>
      <c r="Q32" s="977"/>
      <c r="R32" s="977"/>
      <c r="S32" s="977"/>
      <c r="U32" s="986" t="s">
        <v>6280</v>
      </c>
      <c r="V32" s="1274" t="s">
        <v>6666</v>
      </c>
      <c r="W32" s="1274"/>
      <c r="X32" s="1274"/>
      <c r="Y32" s="1274"/>
      <c r="Z32" s="1274"/>
      <c r="AA32" s="1274"/>
      <c r="AB32" s="1274"/>
    </row>
    <row r="33" spans="1:28" ht="39.950000000000003" customHeight="1">
      <c r="A33" s="975">
        <v>24</v>
      </c>
      <c r="B33" s="623" t="s">
        <v>6667</v>
      </c>
      <c r="C33" s="1278" t="s">
        <v>6668</v>
      </c>
      <c r="D33" s="1279"/>
      <c r="E33" s="1278" t="s">
        <v>6669</v>
      </c>
      <c r="F33" s="1280"/>
      <c r="G33" s="624" t="s">
        <v>6670</v>
      </c>
      <c r="H33" s="624" t="s">
        <v>6655</v>
      </c>
      <c r="I33" s="976"/>
      <c r="J33" s="976"/>
      <c r="K33" s="1281"/>
      <c r="L33" s="1282"/>
      <c r="M33" s="1283"/>
      <c r="N33" s="1284"/>
      <c r="O33" s="1283"/>
      <c r="P33" s="1284"/>
      <c r="Q33" s="977"/>
      <c r="R33" s="977"/>
      <c r="S33" s="977"/>
      <c r="U33" s="986" t="s">
        <v>6284</v>
      </c>
      <c r="V33" s="1274" t="s">
        <v>6671</v>
      </c>
      <c r="W33" s="1274"/>
      <c r="X33" s="1274"/>
      <c r="Y33" s="1274"/>
      <c r="Z33" s="1274"/>
      <c r="AA33" s="1274"/>
      <c r="AB33" s="1274"/>
    </row>
    <row r="34" spans="1:28" ht="39.950000000000003" customHeight="1">
      <c r="A34" s="975">
        <v>25</v>
      </c>
      <c r="B34" s="623" t="s">
        <v>6672</v>
      </c>
      <c r="C34" s="1278" t="s">
        <v>6673</v>
      </c>
      <c r="D34" s="1279"/>
      <c r="E34" s="1278" t="s">
        <v>6674</v>
      </c>
      <c r="F34" s="1280"/>
      <c r="G34" s="624" t="s">
        <v>6675</v>
      </c>
      <c r="H34" s="624" t="s">
        <v>6676</v>
      </c>
      <c r="I34" s="976"/>
      <c r="J34" s="976"/>
      <c r="K34" s="1281"/>
      <c r="L34" s="1282"/>
      <c r="M34" s="1283"/>
      <c r="N34" s="1284"/>
      <c r="O34" s="1283"/>
      <c r="P34" s="1284"/>
      <c r="Q34" s="977"/>
      <c r="R34" s="977"/>
      <c r="S34" s="977"/>
      <c r="U34" s="986" t="s">
        <v>6288</v>
      </c>
      <c r="V34" s="1274" t="s">
        <v>6677</v>
      </c>
      <c r="W34" s="1274"/>
      <c r="X34" s="1274"/>
      <c r="Y34" s="1274"/>
      <c r="Z34" s="1274"/>
      <c r="AA34" s="1274"/>
      <c r="AB34" s="1274"/>
    </row>
    <row r="35" spans="1:28" ht="39.950000000000003" customHeight="1">
      <c r="A35" s="975">
        <v>26</v>
      </c>
      <c r="B35" s="623" t="s">
        <v>6678</v>
      </c>
      <c r="C35" s="1278" t="s">
        <v>6679</v>
      </c>
      <c r="D35" s="1279"/>
      <c r="E35" s="1278" t="s">
        <v>6680</v>
      </c>
      <c r="F35" s="1280"/>
      <c r="G35" s="624" t="s">
        <v>6681</v>
      </c>
      <c r="H35" s="624" t="s">
        <v>6682</v>
      </c>
      <c r="I35" s="976"/>
      <c r="J35" s="976"/>
      <c r="K35" s="1281"/>
      <c r="L35" s="1282"/>
      <c r="M35" s="1283"/>
      <c r="N35" s="1284"/>
      <c r="O35" s="1283"/>
      <c r="P35" s="1284"/>
      <c r="Q35" s="977"/>
      <c r="R35" s="977"/>
      <c r="S35" s="977"/>
      <c r="U35" s="986" t="s">
        <v>6292</v>
      </c>
      <c r="V35" s="1274" t="s">
        <v>6683</v>
      </c>
      <c r="W35" s="1274"/>
      <c r="X35" s="1274"/>
      <c r="Y35" s="1274"/>
      <c r="Z35" s="1274"/>
      <c r="AA35" s="1274"/>
      <c r="AB35" s="1274"/>
    </row>
    <row r="36" spans="1:28" ht="30" customHeight="1">
      <c r="A36" s="617"/>
      <c r="B36" s="617"/>
      <c r="C36" s="617"/>
      <c r="D36" s="617"/>
      <c r="E36" s="617"/>
      <c r="F36" s="617"/>
      <c r="G36" s="617"/>
      <c r="H36" s="617"/>
      <c r="I36" s="617"/>
      <c r="J36" s="617"/>
      <c r="K36" s="617"/>
      <c r="L36" s="617"/>
      <c r="M36" s="617"/>
      <c r="N36" s="617"/>
      <c r="O36" s="617"/>
      <c r="P36" s="617"/>
      <c r="Q36" s="617"/>
      <c r="R36" s="617"/>
      <c r="S36" s="617"/>
      <c r="U36" s="986" t="s">
        <v>6296</v>
      </c>
      <c r="V36" s="1274" t="s">
        <v>6684</v>
      </c>
      <c r="W36" s="1274"/>
      <c r="X36" s="1274"/>
      <c r="Y36" s="1274"/>
      <c r="Z36" s="1274"/>
      <c r="AA36" s="1274"/>
      <c r="AB36" s="1274"/>
    </row>
    <row r="37" spans="1:28" ht="30" customHeight="1">
      <c r="A37" s="1275" t="s">
        <v>6685</v>
      </c>
      <c r="B37" s="1275"/>
      <c r="C37" s="1275"/>
      <c r="D37" s="1275"/>
      <c r="E37" s="1275"/>
      <c r="F37" s="1275"/>
      <c r="G37" s="1275"/>
      <c r="H37" s="1275"/>
      <c r="I37" s="1275"/>
      <c r="J37" s="1275"/>
      <c r="K37" s="1275"/>
      <c r="L37" s="1275"/>
      <c r="M37" s="1275"/>
      <c r="N37" s="1275"/>
      <c r="O37" s="1275"/>
      <c r="P37" s="1275"/>
      <c r="Q37" s="1275"/>
      <c r="R37" s="1275"/>
      <c r="S37" s="1275"/>
      <c r="U37" s="617"/>
      <c r="V37" s="617"/>
      <c r="W37" s="617"/>
      <c r="X37" s="617"/>
      <c r="Y37" s="617"/>
      <c r="Z37" s="617"/>
      <c r="AA37" s="617"/>
      <c r="AB37" s="617"/>
    </row>
    <row r="38" spans="1:28" ht="30" customHeight="1">
      <c r="B38" s="634" t="s">
        <v>6686</v>
      </c>
      <c r="C38" s="987"/>
      <c r="D38" s="634" t="s">
        <v>6687</v>
      </c>
      <c r="E38" s="987"/>
      <c r="F38" s="987"/>
      <c r="G38" s="980" t="s">
        <v>6688</v>
      </c>
      <c r="H38" s="980" t="s">
        <v>6688</v>
      </c>
      <c r="I38" s="980" t="s">
        <v>6689</v>
      </c>
      <c r="J38" s="987"/>
      <c r="K38" s="617"/>
      <c r="L38" s="617"/>
      <c r="M38" s="617"/>
      <c r="N38" s="617"/>
      <c r="O38" s="617"/>
      <c r="P38" s="617"/>
      <c r="Q38" s="617"/>
      <c r="R38" s="617"/>
      <c r="S38" s="617"/>
      <c r="U38" s="617"/>
      <c r="V38" s="617"/>
      <c r="W38" s="617"/>
      <c r="X38" s="617"/>
      <c r="Y38" s="617"/>
      <c r="Z38" s="617"/>
      <c r="AA38" s="617"/>
      <c r="AB38" s="617"/>
    </row>
    <row r="39" spans="1:28" ht="30" customHeight="1">
      <c r="A39" s="987"/>
      <c r="B39" s="620">
        <f>COUNTIF(I10:I35,"X")</f>
        <v>0</v>
      </c>
      <c r="C39" s="987"/>
      <c r="D39" s="988">
        <f>COUNTIF(J10:J35,"X")</f>
        <v>0</v>
      </c>
      <c r="E39" s="987"/>
      <c r="G39" s="987"/>
      <c r="H39" s="988">
        <f>COUNTIF(K10:K35,"X")</f>
        <v>0</v>
      </c>
      <c r="I39" s="987" t="s">
        <v>6690</v>
      </c>
      <c r="J39" s="625" t="str">
        <f>IF(D39&gt;0,"BLOCAGE / ACTION REQUISE",IF(B39+H39=COUNTA(A10:A35),"LIBÉRATION POSSIBLE","CONTRÔLE INCOMPLET"))</f>
        <v>CONTRÔLE INCOMPLET</v>
      </c>
      <c r="K39" s="617"/>
      <c r="L39" s="617"/>
      <c r="M39" s="617"/>
      <c r="N39" s="617"/>
      <c r="O39" s="617"/>
      <c r="P39" s="617"/>
      <c r="Q39" s="617"/>
      <c r="R39" s="617"/>
      <c r="S39" s="617"/>
      <c r="U39" s="1276" t="s">
        <v>6691</v>
      </c>
      <c r="V39" s="1276"/>
      <c r="W39" s="1276"/>
      <c r="X39" s="1276"/>
      <c r="Y39" s="1276"/>
      <c r="Z39" s="1276"/>
      <c r="AA39" s="1276"/>
      <c r="AB39" s="1276"/>
    </row>
    <row r="40" spans="1:28" ht="30" customHeight="1">
      <c r="B40" s="634" t="s">
        <v>6692</v>
      </c>
      <c r="C40" s="987"/>
      <c r="D40" s="1252" t="s">
        <v>6693</v>
      </c>
      <c r="E40" s="1253"/>
      <c r="F40" s="987"/>
      <c r="G40" s="987"/>
      <c r="H40" s="987"/>
      <c r="I40" s="980" t="s">
        <v>6413</v>
      </c>
      <c r="J40" s="987"/>
      <c r="K40" s="617"/>
      <c r="L40" s="617"/>
      <c r="M40" s="617"/>
      <c r="N40" s="617"/>
      <c r="O40" s="617"/>
      <c r="P40" s="617"/>
      <c r="Q40" s="617"/>
      <c r="R40" s="617"/>
      <c r="S40" s="617"/>
      <c r="U40" s="628" t="s">
        <v>6694</v>
      </c>
      <c r="V40" s="628" t="s">
        <v>6556</v>
      </c>
      <c r="W40" s="628" t="s">
        <v>6589</v>
      </c>
      <c r="X40" s="628" t="s">
        <v>6609</v>
      </c>
      <c r="Y40" s="628" t="s">
        <v>6646</v>
      </c>
      <c r="Z40" s="628" t="s">
        <v>6695</v>
      </c>
      <c r="AA40" s="628" t="s">
        <v>6458</v>
      </c>
      <c r="AB40" s="628" t="s">
        <v>6696</v>
      </c>
    </row>
    <row r="41" spans="1:28" ht="30" customHeight="1">
      <c r="A41" s="980" t="s">
        <v>6697</v>
      </c>
      <c r="B41" s="1277"/>
      <c r="C41" s="1277"/>
      <c r="D41" s="1277"/>
      <c r="E41" s="1277"/>
      <c r="F41" s="1277"/>
      <c r="G41" s="1277"/>
      <c r="H41" s="1277"/>
      <c r="I41" s="1277"/>
      <c r="J41" s="1277"/>
      <c r="K41" s="617"/>
      <c r="L41" s="617"/>
      <c r="M41" s="617"/>
      <c r="N41" s="617"/>
      <c r="O41" s="617"/>
      <c r="P41" s="617"/>
      <c r="Q41" s="617"/>
      <c r="R41" s="617"/>
      <c r="S41" s="617"/>
      <c r="U41" s="987" t="s">
        <v>6698</v>
      </c>
      <c r="V41" s="989" t="s">
        <v>6699</v>
      </c>
      <c r="W41" s="989" t="s">
        <v>6700</v>
      </c>
      <c r="X41" s="989" t="s">
        <v>6701</v>
      </c>
      <c r="Y41" s="989" t="s">
        <v>6702</v>
      </c>
      <c r="Z41" s="989" t="s">
        <v>6703</v>
      </c>
      <c r="AA41" s="989" t="s">
        <v>6704</v>
      </c>
      <c r="AB41" s="989" t="s">
        <v>6705</v>
      </c>
    </row>
    <row r="42" spans="1:28" ht="30" customHeight="1">
      <c r="A42" s="617"/>
      <c r="B42" s="617"/>
      <c r="C42" s="617"/>
      <c r="D42" s="617"/>
      <c r="E42" s="617"/>
      <c r="F42" s="617"/>
      <c r="G42" s="617"/>
      <c r="H42" s="617"/>
      <c r="I42" s="617"/>
      <c r="J42" s="617"/>
      <c r="K42" s="617"/>
      <c r="L42" s="617"/>
      <c r="M42" s="617"/>
      <c r="N42" s="617"/>
      <c r="O42" s="617"/>
      <c r="P42" s="617"/>
      <c r="Q42" s="617"/>
      <c r="R42" s="617"/>
      <c r="S42" s="617"/>
      <c r="U42" s="987" t="s">
        <v>6706</v>
      </c>
      <c r="V42" s="989" t="s">
        <v>6707</v>
      </c>
      <c r="W42" s="989" t="s">
        <v>6708</v>
      </c>
      <c r="X42" s="989" t="s">
        <v>6709</v>
      </c>
      <c r="Y42" s="989" t="s">
        <v>6710</v>
      </c>
      <c r="Z42" s="989" t="s">
        <v>6709</v>
      </c>
      <c r="AA42" s="989" t="s">
        <v>6711</v>
      </c>
      <c r="AB42" s="989" t="s">
        <v>6712</v>
      </c>
    </row>
    <row r="43" spans="1:28" ht="30" customHeight="1">
      <c r="A43" s="1275" t="s">
        <v>6713</v>
      </c>
      <c r="B43" s="1275"/>
      <c r="C43" s="1275"/>
      <c r="D43" s="1275"/>
      <c r="E43" s="1275"/>
      <c r="F43" s="1275"/>
      <c r="G43" s="1275"/>
      <c r="H43" s="1275"/>
      <c r="I43" s="1275"/>
      <c r="J43" s="1275"/>
      <c r="K43" s="1275"/>
      <c r="L43" s="1275"/>
      <c r="M43" s="1275"/>
      <c r="N43" s="1275"/>
      <c r="O43" s="1275"/>
      <c r="P43" s="1275"/>
      <c r="Q43" s="1275"/>
      <c r="R43" s="1275"/>
      <c r="S43" s="1275"/>
      <c r="U43" s="987" t="s">
        <v>6714</v>
      </c>
      <c r="V43" s="989" t="s">
        <v>6715</v>
      </c>
      <c r="W43" s="989" t="s">
        <v>6716</v>
      </c>
      <c r="X43" s="989" t="s">
        <v>6717</v>
      </c>
      <c r="Y43" s="989" t="s">
        <v>6709</v>
      </c>
      <c r="Z43" s="989" t="s">
        <v>6709</v>
      </c>
      <c r="AA43" s="989" t="s">
        <v>6718</v>
      </c>
      <c r="AB43" s="989" t="s">
        <v>6719</v>
      </c>
    </row>
    <row r="44" spans="1:28" ht="30" customHeight="1">
      <c r="A44" s="628" t="s">
        <v>6720</v>
      </c>
      <c r="B44" s="1261" t="s">
        <v>6721</v>
      </c>
      <c r="C44" s="1262"/>
      <c r="D44" s="628" t="s">
        <v>6722</v>
      </c>
      <c r="E44" s="1270" t="s">
        <v>6723</v>
      </c>
      <c r="F44" s="1271"/>
      <c r="G44" s="628" t="s">
        <v>6724</v>
      </c>
      <c r="H44" s="628" t="s">
        <v>6725</v>
      </c>
      <c r="I44" s="628" t="s">
        <v>6726</v>
      </c>
      <c r="J44" s="628" t="s">
        <v>6727</v>
      </c>
      <c r="K44" s="1261" t="s">
        <v>6662</v>
      </c>
      <c r="L44" s="1262"/>
      <c r="M44" s="1261" t="s">
        <v>6458</v>
      </c>
      <c r="N44" s="1262"/>
      <c r="O44" s="628" t="s">
        <v>6045</v>
      </c>
      <c r="P44" s="1272" t="s">
        <v>6728</v>
      </c>
      <c r="Q44" s="1273"/>
      <c r="R44" s="628" t="s">
        <v>6729</v>
      </c>
      <c r="S44" s="628" t="s">
        <v>6730</v>
      </c>
      <c r="U44" s="987" t="s">
        <v>6731</v>
      </c>
      <c r="V44" s="989" t="s">
        <v>6709</v>
      </c>
      <c r="W44" s="989" t="s">
        <v>6709</v>
      </c>
      <c r="X44" s="989" t="s">
        <v>6732</v>
      </c>
      <c r="Y44" s="989" t="s">
        <v>6733</v>
      </c>
      <c r="Z44" s="989" t="s">
        <v>6734</v>
      </c>
      <c r="AA44" s="989" t="s">
        <v>6735</v>
      </c>
      <c r="AB44" s="989" t="s">
        <v>6736</v>
      </c>
    </row>
    <row r="45" spans="1:28" ht="30" customHeight="1">
      <c r="A45" s="992" t="s">
        <v>6737</v>
      </c>
      <c r="B45" s="1252" t="s">
        <v>6738</v>
      </c>
      <c r="C45" s="1253"/>
      <c r="D45" s="625" t="s">
        <v>6739</v>
      </c>
      <c r="E45" s="1256" t="s">
        <v>6740</v>
      </c>
      <c r="F45" s="1257"/>
      <c r="G45" s="993" t="s">
        <v>6741</v>
      </c>
      <c r="H45" s="989" t="s">
        <v>6742</v>
      </c>
      <c r="I45" s="987" t="s">
        <v>6743</v>
      </c>
      <c r="J45" s="987" t="s">
        <v>6744</v>
      </c>
      <c r="K45" s="1252" t="s">
        <v>6745</v>
      </c>
      <c r="L45" s="1253"/>
      <c r="M45" s="1252" t="s">
        <v>6746</v>
      </c>
      <c r="N45" s="1253"/>
      <c r="O45" s="987" t="s">
        <v>6747</v>
      </c>
      <c r="P45" s="1267" t="s">
        <v>6748</v>
      </c>
      <c r="Q45" s="1268"/>
      <c r="R45" s="987" t="s">
        <v>6749</v>
      </c>
      <c r="S45" s="987" t="s">
        <v>6750</v>
      </c>
      <c r="U45" s="987" t="s">
        <v>6751</v>
      </c>
      <c r="V45" s="989" t="s">
        <v>6752</v>
      </c>
      <c r="W45" s="989" t="s">
        <v>6709</v>
      </c>
      <c r="X45" s="989" t="s">
        <v>6709</v>
      </c>
      <c r="Y45" s="989" t="s">
        <v>6753</v>
      </c>
      <c r="Z45" s="989" t="s">
        <v>6754</v>
      </c>
      <c r="AA45" s="989" t="s">
        <v>6755</v>
      </c>
      <c r="AB45" s="989" t="s">
        <v>6756</v>
      </c>
    </row>
    <row r="46" spans="1:28" ht="30" customHeight="1">
      <c r="A46" s="992" t="s">
        <v>6757</v>
      </c>
      <c r="B46" s="1252" t="s">
        <v>6758</v>
      </c>
      <c r="C46" s="1253"/>
      <c r="D46" s="625" t="s">
        <v>6759</v>
      </c>
      <c r="E46" s="1256" t="s">
        <v>6760</v>
      </c>
      <c r="F46" s="1257"/>
      <c r="G46" s="993" t="s">
        <v>6761</v>
      </c>
      <c r="H46" s="989" t="s">
        <v>6762</v>
      </c>
      <c r="I46" s="987" t="s">
        <v>6763</v>
      </c>
      <c r="J46" s="987" t="s">
        <v>6764</v>
      </c>
      <c r="K46" s="1252" t="s">
        <v>6765</v>
      </c>
      <c r="L46" s="1253"/>
      <c r="M46" s="1252" t="s">
        <v>6766</v>
      </c>
      <c r="N46" s="1253"/>
      <c r="O46" s="987" t="s">
        <v>6767</v>
      </c>
      <c r="P46" s="1267" t="s">
        <v>6768</v>
      </c>
      <c r="Q46" s="1268"/>
      <c r="R46" s="987" t="s">
        <v>6769</v>
      </c>
      <c r="S46" s="987" t="s">
        <v>6750</v>
      </c>
      <c r="U46" s="617"/>
      <c r="V46" s="617"/>
      <c r="W46" s="617"/>
      <c r="X46" s="617"/>
      <c r="Y46" s="617"/>
      <c r="Z46" s="617"/>
      <c r="AA46" s="617"/>
      <c r="AB46" s="617"/>
    </row>
    <row r="47" spans="1:28" ht="30" customHeight="1">
      <c r="A47" s="992" t="s">
        <v>6770</v>
      </c>
      <c r="B47" s="1252" t="s">
        <v>6771</v>
      </c>
      <c r="C47" s="1253"/>
      <c r="D47" s="625" t="s">
        <v>6759</v>
      </c>
      <c r="E47" s="1256" t="s">
        <v>6772</v>
      </c>
      <c r="F47" s="1257"/>
      <c r="G47" s="993" t="s">
        <v>6773</v>
      </c>
      <c r="H47" s="989" t="s">
        <v>6762</v>
      </c>
      <c r="I47" s="987" t="s">
        <v>6774</v>
      </c>
      <c r="J47" s="987" t="s">
        <v>6775</v>
      </c>
      <c r="K47" s="1252" t="s">
        <v>6776</v>
      </c>
      <c r="L47" s="1253"/>
      <c r="M47" s="1252" t="s">
        <v>6777</v>
      </c>
      <c r="N47" s="1253"/>
      <c r="O47" s="987" t="s">
        <v>6778</v>
      </c>
      <c r="P47" s="1267" t="s">
        <v>6779</v>
      </c>
      <c r="Q47" s="1268"/>
      <c r="R47" s="987" t="s">
        <v>6780</v>
      </c>
      <c r="S47" s="987" t="s">
        <v>6750</v>
      </c>
      <c r="U47" s="1269" t="s">
        <v>6781</v>
      </c>
      <c r="V47" s="1269"/>
      <c r="W47" s="1269"/>
      <c r="X47" s="1269"/>
      <c r="Y47" s="1269"/>
      <c r="Z47" s="1269"/>
      <c r="AA47" s="1269"/>
      <c r="AB47" s="1269"/>
    </row>
    <row r="48" spans="1:28" ht="30" customHeight="1">
      <c r="A48" s="992" t="s">
        <v>6782</v>
      </c>
      <c r="B48" s="1252" t="s">
        <v>6783</v>
      </c>
      <c r="C48" s="1253"/>
      <c r="D48" s="625" t="s">
        <v>6784</v>
      </c>
      <c r="E48" s="1256" t="s">
        <v>6785</v>
      </c>
      <c r="F48" s="1257"/>
      <c r="G48" s="993" t="s">
        <v>6786</v>
      </c>
      <c r="H48" s="989" t="s">
        <v>6787</v>
      </c>
      <c r="I48" s="987" t="s">
        <v>6788</v>
      </c>
      <c r="J48" s="987" t="s">
        <v>6789</v>
      </c>
      <c r="K48" s="1252" t="s">
        <v>6790</v>
      </c>
      <c r="L48" s="1253"/>
      <c r="M48" s="1252" t="s">
        <v>6791</v>
      </c>
      <c r="N48" s="1253"/>
      <c r="O48" s="987" t="s">
        <v>6792</v>
      </c>
      <c r="P48" s="1267" t="s">
        <v>6793</v>
      </c>
      <c r="Q48" s="1268"/>
      <c r="R48" s="987" t="s">
        <v>6794</v>
      </c>
      <c r="S48" s="987" t="s">
        <v>6795</v>
      </c>
      <c r="U48" s="1269"/>
      <c r="V48" s="1269"/>
      <c r="W48" s="1269"/>
      <c r="X48" s="1269"/>
      <c r="Y48" s="1269"/>
      <c r="Z48" s="1269"/>
      <c r="AA48" s="1269"/>
      <c r="AB48" s="1269"/>
    </row>
    <row r="49" spans="1:28" ht="30" customHeight="1">
      <c r="A49" s="992" t="s">
        <v>6796</v>
      </c>
      <c r="B49" s="1252" t="s">
        <v>6797</v>
      </c>
      <c r="C49" s="1253"/>
      <c r="D49" s="625" t="s">
        <v>6739</v>
      </c>
      <c r="E49" s="1256" t="s">
        <v>6798</v>
      </c>
      <c r="F49" s="1257"/>
      <c r="G49" s="993" t="s">
        <v>6799</v>
      </c>
      <c r="H49" s="989" t="s">
        <v>6800</v>
      </c>
      <c r="I49" s="987" t="s">
        <v>6801</v>
      </c>
      <c r="J49" s="987" t="s">
        <v>6802</v>
      </c>
      <c r="K49" s="1252" t="s">
        <v>6803</v>
      </c>
      <c r="L49" s="1253"/>
      <c r="M49" s="1252" t="s">
        <v>6804</v>
      </c>
      <c r="N49" s="1253"/>
      <c r="O49" s="987" t="s">
        <v>6805</v>
      </c>
      <c r="P49" s="1267" t="s">
        <v>6806</v>
      </c>
      <c r="Q49" s="1268"/>
      <c r="R49" s="987" t="s">
        <v>6807</v>
      </c>
      <c r="S49" s="987" t="s">
        <v>6808</v>
      </c>
      <c r="U49" s="1269"/>
      <c r="V49" s="1269"/>
      <c r="W49" s="1269"/>
      <c r="X49" s="1269"/>
      <c r="Y49" s="1269"/>
      <c r="Z49" s="1269"/>
      <c r="AA49" s="1269"/>
      <c r="AB49" s="1269"/>
    </row>
    <row r="50" spans="1:28" ht="30" customHeight="1">
      <c r="A50" s="992" t="s">
        <v>6809</v>
      </c>
      <c r="B50" s="1252" t="s">
        <v>6810</v>
      </c>
      <c r="C50" s="1253"/>
      <c r="D50" s="625" t="s">
        <v>6739</v>
      </c>
      <c r="E50" s="1256" t="s">
        <v>6811</v>
      </c>
      <c r="F50" s="1257"/>
      <c r="G50" s="993" t="s">
        <v>6812</v>
      </c>
      <c r="H50" s="989" t="s">
        <v>6762</v>
      </c>
      <c r="I50" s="987" t="s">
        <v>6813</v>
      </c>
      <c r="J50" s="987" t="s">
        <v>6814</v>
      </c>
      <c r="K50" s="1252" t="s">
        <v>6815</v>
      </c>
      <c r="L50" s="1253"/>
      <c r="M50" s="1252" t="s">
        <v>6816</v>
      </c>
      <c r="N50" s="1253"/>
      <c r="O50" s="987" t="s">
        <v>6817</v>
      </c>
      <c r="P50" s="1267" t="s">
        <v>6818</v>
      </c>
      <c r="Q50" s="1268"/>
      <c r="R50" s="987" t="s">
        <v>6819</v>
      </c>
      <c r="S50" s="987" t="s">
        <v>6820</v>
      </c>
      <c r="U50" s="617"/>
      <c r="V50" s="617"/>
      <c r="W50" s="617"/>
      <c r="X50" s="617"/>
      <c r="Y50" s="617"/>
      <c r="Z50" s="617"/>
      <c r="AA50" s="617"/>
      <c r="AB50" s="617"/>
    </row>
    <row r="51" spans="1:28" ht="30" customHeight="1">
      <c r="A51" s="617"/>
      <c r="B51" s="617"/>
      <c r="C51" s="617"/>
      <c r="D51" s="617"/>
      <c r="E51" s="617"/>
      <c r="F51" s="617"/>
      <c r="G51" s="617"/>
      <c r="H51" s="617"/>
      <c r="I51" s="617"/>
      <c r="J51" s="617"/>
      <c r="K51" s="617"/>
      <c r="L51" s="617"/>
      <c r="M51" s="617"/>
      <c r="N51" s="617"/>
      <c r="O51" s="617"/>
      <c r="P51" s="617"/>
      <c r="Q51" s="617"/>
      <c r="R51" s="617"/>
      <c r="S51" s="617"/>
      <c r="U51" s="617"/>
      <c r="V51" s="617"/>
      <c r="W51" s="617"/>
      <c r="X51" s="617"/>
      <c r="Y51" s="617"/>
      <c r="Z51" s="617"/>
      <c r="AA51" s="617"/>
      <c r="AB51" s="617"/>
    </row>
    <row r="52" spans="1:28" ht="30" customHeight="1">
      <c r="A52" s="1260" t="s">
        <v>6821</v>
      </c>
      <c r="B52" s="1260"/>
      <c r="C52" s="1260"/>
      <c r="D52" s="1260"/>
      <c r="E52" s="1260"/>
      <c r="F52" s="1260"/>
      <c r="G52" s="1260"/>
      <c r="H52" s="1260"/>
      <c r="I52" s="1260"/>
      <c r="J52" s="1260"/>
      <c r="K52" s="1260"/>
      <c r="L52" s="1260"/>
      <c r="M52" s="1260"/>
      <c r="N52" s="1260"/>
      <c r="O52" s="1260"/>
      <c r="P52" s="1260"/>
      <c r="Q52" s="1260"/>
      <c r="R52" s="1260"/>
      <c r="S52" s="1260"/>
      <c r="U52" s="617"/>
      <c r="V52" s="617"/>
      <c r="W52" s="617"/>
      <c r="X52" s="617"/>
      <c r="Y52" s="617"/>
      <c r="Z52" s="617"/>
      <c r="AA52" s="617"/>
      <c r="AB52" s="617"/>
    </row>
    <row r="53" spans="1:28" ht="30" customHeight="1">
      <c r="A53" s="626" t="s">
        <v>6272</v>
      </c>
      <c r="B53" s="994" t="s">
        <v>6822</v>
      </c>
      <c r="C53" s="995" t="s">
        <v>6823</v>
      </c>
      <c r="D53" s="995"/>
      <c r="E53" s="996"/>
      <c r="F53" s="996"/>
      <c r="G53" s="996"/>
      <c r="H53" s="996"/>
      <c r="I53" s="996"/>
      <c r="J53" s="996"/>
      <c r="K53" s="996"/>
      <c r="L53" s="996"/>
      <c r="M53" s="996"/>
      <c r="N53" s="996"/>
      <c r="O53" s="996"/>
      <c r="P53" s="996"/>
      <c r="Q53" s="996"/>
      <c r="R53" s="996"/>
      <c r="S53" s="996"/>
      <c r="U53" s="617"/>
      <c r="V53" s="617"/>
      <c r="W53" s="617"/>
      <c r="X53" s="617"/>
      <c r="Y53" s="617"/>
      <c r="Z53" s="617"/>
      <c r="AA53" s="617"/>
      <c r="AB53" s="617"/>
    </row>
    <row r="54" spans="1:28" ht="30" customHeight="1">
      <c r="A54" s="626" t="s">
        <v>6276</v>
      </c>
      <c r="B54" s="994" t="s">
        <v>6824</v>
      </c>
      <c r="C54" s="995" t="s">
        <v>6825</v>
      </c>
      <c r="D54" s="995"/>
      <c r="E54" s="996"/>
      <c r="F54" s="996"/>
      <c r="G54" s="996"/>
      <c r="H54" s="996"/>
      <c r="I54" s="996"/>
      <c r="J54" s="996"/>
      <c r="K54" s="996"/>
      <c r="L54" s="996"/>
      <c r="M54" s="996"/>
      <c r="N54" s="996"/>
      <c r="O54" s="996"/>
      <c r="P54" s="996"/>
      <c r="Q54" s="996"/>
      <c r="R54" s="996"/>
      <c r="S54" s="996"/>
      <c r="U54" s="617"/>
      <c r="V54" s="617"/>
      <c r="W54" s="617"/>
      <c r="X54" s="617"/>
      <c r="Y54" s="617"/>
      <c r="Z54" s="617"/>
      <c r="AA54" s="617"/>
      <c r="AB54" s="617"/>
    </row>
    <row r="55" spans="1:28" ht="30" customHeight="1">
      <c r="A55" s="626" t="s">
        <v>6280</v>
      </c>
      <c r="B55" s="994" t="s">
        <v>6826</v>
      </c>
      <c r="C55" s="995" t="s">
        <v>6827</v>
      </c>
      <c r="D55" s="995"/>
      <c r="E55" s="996"/>
      <c r="F55" s="996"/>
      <c r="G55" s="996"/>
      <c r="H55" s="996"/>
      <c r="I55" s="996"/>
      <c r="J55" s="996"/>
      <c r="K55" s="996"/>
      <c r="L55" s="996"/>
      <c r="M55" s="996"/>
      <c r="N55" s="996"/>
      <c r="O55" s="996"/>
      <c r="P55" s="996"/>
      <c r="Q55" s="996"/>
      <c r="R55" s="996"/>
      <c r="S55" s="996"/>
      <c r="U55" s="617"/>
      <c r="V55" s="617"/>
      <c r="W55" s="617"/>
      <c r="X55" s="617"/>
      <c r="Y55" s="617"/>
      <c r="Z55" s="617"/>
      <c r="AA55" s="617"/>
      <c r="AB55" s="617"/>
    </row>
    <row r="56" spans="1:28" ht="30" customHeight="1">
      <c r="A56" s="626" t="s">
        <v>6284</v>
      </c>
      <c r="B56" s="994" t="s">
        <v>6828</v>
      </c>
      <c r="C56" s="995" t="s">
        <v>6829</v>
      </c>
      <c r="D56" s="995"/>
      <c r="E56" s="996"/>
      <c r="F56" s="996"/>
      <c r="G56" s="996"/>
      <c r="H56" s="996"/>
      <c r="I56" s="996"/>
      <c r="J56" s="996"/>
      <c r="K56" s="996"/>
      <c r="L56" s="996"/>
      <c r="M56" s="996"/>
      <c r="N56" s="996"/>
      <c r="O56" s="996"/>
      <c r="P56" s="996"/>
      <c r="Q56" s="996"/>
      <c r="R56" s="996"/>
      <c r="S56" s="996"/>
      <c r="U56" s="617"/>
      <c r="V56" s="617"/>
      <c r="W56" s="617"/>
      <c r="X56" s="617"/>
      <c r="Y56" s="617"/>
      <c r="Z56" s="617"/>
      <c r="AA56" s="617"/>
      <c r="AB56" s="617"/>
    </row>
    <row r="57" spans="1:28" ht="30" customHeight="1">
      <c r="A57" s="626" t="s">
        <v>6288</v>
      </c>
      <c r="B57" s="994" t="s">
        <v>6830</v>
      </c>
      <c r="C57" s="995" t="s">
        <v>6831</v>
      </c>
      <c r="D57" s="995"/>
      <c r="E57" s="996"/>
      <c r="F57" s="996"/>
      <c r="G57" s="996"/>
      <c r="H57" s="996"/>
      <c r="I57" s="996"/>
      <c r="J57" s="996"/>
      <c r="K57" s="996"/>
      <c r="L57" s="996"/>
      <c r="M57" s="996"/>
      <c r="N57" s="996"/>
      <c r="O57" s="996"/>
      <c r="P57" s="996"/>
      <c r="Q57" s="996"/>
      <c r="R57" s="996"/>
      <c r="S57" s="996"/>
      <c r="U57" s="617"/>
      <c r="V57" s="617"/>
      <c r="W57" s="617"/>
      <c r="X57" s="617"/>
      <c r="Y57" s="617"/>
      <c r="Z57" s="617"/>
      <c r="AA57" s="617"/>
      <c r="AB57" s="617"/>
    </row>
    <row r="58" spans="1:28" ht="30" customHeight="1">
      <c r="A58" s="626" t="s">
        <v>6292</v>
      </c>
      <c r="B58" s="994" t="s">
        <v>6832</v>
      </c>
      <c r="C58" s="995" t="s">
        <v>6833</v>
      </c>
      <c r="D58" s="995"/>
      <c r="E58" s="996"/>
      <c r="F58" s="996"/>
      <c r="G58" s="996"/>
      <c r="H58" s="996"/>
      <c r="I58" s="996"/>
      <c r="J58" s="996"/>
      <c r="K58" s="996"/>
      <c r="L58" s="996"/>
      <c r="M58" s="996"/>
      <c r="N58" s="996"/>
      <c r="O58" s="996"/>
      <c r="P58" s="996"/>
      <c r="Q58" s="996"/>
      <c r="R58" s="996"/>
      <c r="S58" s="996"/>
      <c r="U58" s="617"/>
      <c r="V58" s="617"/>
      <c r="W58" s="617"/>
      <c r="X58" s="617"/>
      <c r="Y58" s="617"/>
      <c r="Z58" s="617"/>
      <c r="AA58" s="617"/>
      <c r="AB58" s="617"/>
    </row>
    <row r="59" spans="1:28" ht="30" customHeight="1">
      <c r="A59" s="626" t="s">
        <v>6296</v>
      </c>
      <c r="B59" s="994" t="s">
        <v>6834</v>
      </c>
      <c r="C59" s="995" t="s">
        <v>6835</v>
      </c>
      <c r="D59" s="995"/>
      <c r="E59" s="996"/>
      <c r="F59" s="996"/>
      <c r="G59" s="996"/>
      <c r="H59" s="996"/>
      <c r="I59" s="996"/>
      <c r="J59" s="996"/>
      <c r="K59" s="996"/>
      <c r="L59" s="996"/>
      <c r="M59" s="996"/>
      <c r="N59" s="996"/>
      <c r="O59" s="996"/>
      <c r="P59" s="996"/>
      <c r="Q59" s="996"/>
      <c r="R59" s="996"/>
      <c r="S59" s="996"/>
      <c r="U59" s="617"/>
      <c r="V59" s="617"/>
      <c r="W59" s="617"/>
      <c r="X59" s="617"/>
      <c r="Y59" s="617"/>
      <c r="Z59" s="617"/>
      <c r="AA59" s="617"/>
      <c r="AB59" s="617"/>
    </row>
    <row r="60" spans="1:28" ht="30" customHeight="1">
      <c r="A60" s="626" t="s">
        <v>6300</v>
      </c>
      <c r="B60" s="994" t="s">
        <v>6836</v>
      </c>
      <c r="C60" s="995" t="s">
        <v>6837</v>
      </c>
      <c r="D60" s="995"/>
      <c r="E60" s="996"/>
      <c r="F60" s="996"/>
      <c r="G60" s="996"/>
      <c r="H60" s="996"/>
      <c r="I60" s="996"/>
      <c r="J60" s="996"/>
      <c r="K60" s="996"/>
      <c r="L60" s="996"/>
      <c r="M60" s="996"/>
      <c r="N60" s="996"/>
      <c r="O60" s="996"/>
      <c r="P60" s="996"/>
      <c r="Q60" s="996"/>
      <c r="R60" s="996"/>
      <c r="S60" s="996"/>
      <c r="U60" s="617"/>
      <c r="V60" s="617"/>
      <c r="W60" s="617"/>
      <c r="X60" s="617"/>
      <c r="Y60" s="617"/>
      <c r="Z60" s="617"/>
      <c r="AA60" s="617"/>
      <c r="AB60" s="617"/>
    </row>
    <row r="61" spans="1:28" ht="30" customHeight="1">
      <c r="A61" s="996"/>
      <c r="B61" s="996"/>
      <c r="C61" s="996"/>
      <c r="D61" s="996"/>
      <c r="E61" s="996"/>
      <c r="F61" s="996"/>
      <c r="G61" s="996"/>
      <c r="H61" s="996"/>
      <c r="I61" s="996"/>
      <c r="J61" s="996"/>
      <c r="K61" s="996"/>
      <c r="L61" s="996"/>
      <c r="M61" s="996"/>
      <c r="N61" s="996"/>
      <c r="O61" s="996"/>
      <c r="P61" s="996"/>
      <c r="Q61" s="996"/>
      <c r="R61" s="996"/>
      <c r="S61" s="996"/>
      <c r="U61" s="617"/>
      <c r="V61" s="617"/>
      <c r="W61" s="617"/>
      <c r="X61" s="617"/>
      <c r="Y61" s="617"/>
      <c r="Z61" s="617"/>
      <c r="AA61" s="617"/>
      <c r="AB61" s="617"/>
    </row>
    <row r="62" spans="1:28" ht="30" customHeight="1">
      <c r="A62" s="997" t="s">
        <v>6838</v>
      </c>
      <c r="B62" s="997"/>
      <c r="C62" s="997"/>
      <c r="D62" s="997"/>
      <c r="E62" s="997"/>
      <c r="F62" s="997" t="s">
        <v>6838</v>
      </c>
      <c r="G62" s="997"/>
      <c r="H62" s="997"/>
      <c r="I62" s="997"/>
      <c r="J62" s="997"/>
      <c r="K62" s="997"/>
      <c r="L62" s="997"/>
      <c r="M62" s="997" t="s">
        <v>6838</v>
      </c>
      <c r="N62" s="997"/>
      <c r="O62" s="997"/>
      <c r="P62" s="997"/>
      <c r="Q62" s="997"/>
      <c r="R62" s="997"/>
      <c r="S62" s="997"/>
      <c r="U62" s="617"/>
      <c r="V62" s="617"/>
      <c r="W62" s="617"/>
      <c r="X62" s="617"/>
      <c r="Y62" s="617"/>
      <c r="Z62" s="617"/>
      <c r="AA62" s="617"/>
      <c r="AB62" s="617"/>
    </row>
    <row r="63" spans="1:28" ht="30" customHeight="1">
      <c r="A63" s="628" t="s">
        <v>1083</v>
      </c>
      <c r="B63" s="628" t="s">
        <v>239</v>
      </c>
      <c r="C63" s="628" t="s">
        <v>345</v>
      </c>
      <c r="D63" s="628" t="s">
        <v>8</v>
      </c>
      <c r="E63" s="628" t="s">
        <v>9</v>
      </c>
      <c r="F63" s="628" t="s">
        <v>10</v>
      </c>
      <c r="G63" s="628" t="s">
        <v>11</v>
      </c>
      <c r="H63" s="628" t="s">
        <v>241</v>
      </c>
      <c r="I63" s="628" t="s">
        <v>236</v>
      </c>
      <c r="J63" s="628" t="s">
        <v>12</v>
      </c>
      <c r="K63" s="1261" t="s">
        <v>5844</v>
      </c>
      <c r="L63" s="1262"/>
      <c r="M63" s="628" t="s">
        <v>6839</v>
      </c>
      <c r="N63" s="628" t="s">
        <v>14</v>
      </c>
      <c r="O63" s="628" t="s">
        <v>15</v>
      </c>
      <c r="P63" s="990"/>
      <c r="Q63" s="998"/>
      <c r="R63" s="998"/>
      <c r="S63" s="991"/>
      <c r="U63" s="617"/>
      <c r="V63" s="617"/>
      <c r="W63" s="617"/>
      <c r="X63" s="617"/>
      <c r="Y63" s="617"/>
      <c r="Z63" s="617"/>
      <c r="AA63" s="617"/>
      <c r="AB63" s="617"/>
    </row>
    <row r="64" spans="1:28" ht="30" customHeight="1">
      <c r="A64" s="999"/>
      <c r="B64" s="999"/>
      <c r="C64" s="999"/>
      <c r="D64" s="999"/>
      <c r="E64" s="999"/>
      <c r="F64" s="999"/>
      <c r="G64" s="999"/>
      <c r="H64" s="999"/>
      <c r="I64" s="999"/>
      <c r="J64" s="999"/>
      <c r="K64" s="999"/>
      <c r="L64" s="999"/>
      <c r="M64" s="999"/>
      <c r="N64" s="999"/>
      <c r="O64" s="999"/>
      <c r="P64" s="999"/>
      <c r="Q64" s="999"/>
      <c r="R64" s="999"/>
      <c r="S64" s="999"/>
      <c r="U64" s="617"/>
      <c r="V64" s="617"/>
      <c r="W64" s="617"/>
      <c r="X64" s="617"/>
      <c r="Y64" s="617"/>
      <c r="Z64" s="617"/>
      <c r="AA64" s="617"/>
      <c r="AB64" s="617"/>
    </row>
    <row r="65" spans="1:28" ht="30" customHeight="1">
      <c r="A65" s="997" t="s">
        <v>6840</v>
      </c>
      <c r="B65" s="997"/>
      <c r="C65" s="997"/>
      <c r="D65" s="997"/>
      <c r="E65" s="997"/>
      <c r="F65" s="997" t="s">
        <v>6840</v>
      </c>
      <c r="G65" s="997"/>
      <c r="H65" s="997"/>
      <c r="I65" s="997"/>
      <c r="J65" s="997"/>
      <c r="K65" s="997"/>
      <c r="L65" s="997"/>
      <c r="M65" s="997" t="s">
        <v>6840</v>
      </c>
      <c r="N65" s="997"/>
      <c r="O65" s="997"/>
      <c r="P65" s="997"/>
      <c r="Q65" s="997"/>
      <c r="R65" s="997"/>
      <c r="S65" s="997"/>
      <c r="U65" s="617"/>
      <c r="V65" s="617"/>
      <c r="W65" s="617"/>
      <c r="X65" s="617"/>
      <c r="Y65" s="617"/>
      <c r="Z65" s="617"/>
      <c r="AA65" s="617"/>
      <c r="AB65" s="617"/>
    </row>
    <row r="66" spans="1:28" ht="30" customHeight="1">
      <c r="A66" s="1000" t="s">
        <v>6841</v>
      </c>
      <c r="B66" s="1263" t="s">
        <v>6192</v>
      </c>
      <c r="C66" s="1264"/>
      <c r="D66" s="1263" t="s">
        <v>6842</v>
      </c>
      <c r="E66" s="1264"/>
      <c r="F66" s="1000" t="s">
        <v>6843</v>
      </c>
      <c r="G66" s="1000" t="s">
        <v>6844</v>
      </c>
      <c r="H66" s="1000" t="s">
        <v>6845</v>
      </c>
      <c r="I66" s="1000" t="s">
        <v>6419</v>
      </c>
      <c r="J66" s="1000" t="s">
        <v>6846</v>
      </c>
      <c r="K66" s="1263" t="s">
        <v>6045</v>
      </c>
      <c r="L66" s="1264"/>
      <c r="M66" s="1000" t="s">
        <v>6847</v>
      </c>
      <c r="N66" s="1265" t="s">
        <v>6848</v>
      </c>
      <c r="O66" s="1266"/>
      <c r="P66" s="1000" t="s">
        <v>6849</v>
      </c>
      <c r="Q66" s="1265" t="s">
        <v>6850</v>
      </c>
      <c r="R66" s="1266"/>
      <c r="S66" s="1000" t="s">
        <v>6851</v>
      </c>
      <c r="U66" s="617"/>
      <c r="V66" s="617"/>
      <c r="W66" s="617"/>
      <c r="X66" s="617"/>
      <c r="Y66" s="617"/>
      <c r="Z66" s="617"/>
      <c r="AA66" s="617"/>
      <c r="AB66" s="617"/>
    </row>
    <row r="67" spans="1:28" ht="30" customHeight="1">
      <c r="A67" s="1001">
        <v>1</v>
      </c>
      <c r="B67" s="1252" t="s">
        <v>6852</v>
      </c>
      <c r="C67" s="1253"/>
      <c r="D67" s="1254" t="s">
        <v>6853</v>
      </c>
      <c r="E67" s="1255"/>
      <c r="F67" s="987" t="s">
        <v>6854</v>
      </c>
      <c r="G67" s="987" t="s">
        <v>6855</v>
      </c>
      <c r="H67" s="987" t="s">
        <v>6856</v>
      </c>
      <c r="I67" s="987" t="s">
        <v>6857</v>
      </c>
      <c r="J67" s="987" t="s">
        <v>6858</v>
      </c>
      <c r="K67" s="1254" t="s">
        <v>6859</v>
      </c>
      <c r="L67" s="1255"/>
      <c r="M67" s="987" t="s">
        <v>6860</v>
      </c>
      <c r="N67" s="1256" t="s">
        <v>6861</v>
      </c>
      <c r="O67" s="1257"/>
      <c r="P67" s="618"/>
      <c r="Q67" s="1258" t="s">
        <v>6862</v>
      </c>
      <c r="R67" s="1259"/>
      <c r="S67" s="987" t="s">
        <v>6863</v>
      </c>
      <c r="U67" s="617"/>
      <c r="V67" s="617"/>
      <c r="W67" s="617"/>
      <c r="X67" s="617"/>
      <c r="Y67" s="617"/>
      <c r="Z67" s="617"/>
      <c r="AA67" s="617"/>
      <c r="AB67" s="617"/>
    </row>
    <row r="68" spans="1:28" ht="30" customHeight="1">
      <c r="A68" s="1001">
        <v>2</v>
      </c>
      <c r="B68" s="1252" t="s">
        <v>6864</v>
      </c>
      <c r="C68" s="1253"/>
      <c r="D68" s="1254" t="s">
        <v>6865</v>
      </c>
      <c r="E68" s="1255"/>
      <c r="F68" s="987" t="s">
        <v>6866</v>
      </c>
      <c r="G68" s="987" t="s">
        <v>6867</v>
      </c>
      <c r="H68" s="987" t="s">
        <v>6868</v>
      </c>
      <c r="I68" s="987" t="s">
        <v>6869</v>
      </c>
      <c r="J68" s="987" t="s">
        <v>6870</v>
      </c>
      <c r="K68" s="1254" t="s">
        <v>6871</v>
      </c>
      <c r="L68" s="1255"/>
      <c r="M68" s="987" t="s">
        <v>6872</v>
      </c>
      <c r="N68" s="1256" t="s">
        <v>6873</v>
      </c>
      <c r="O68" s="1257"/>
      <c r="P68" s="618"/>
      <c r="Q68" s="1258" t="s">
        <v>6874</v>
      </c>
      <c r="R68" s="1259"/>
      <c r="S68" s="987" t="s">
        <v>6875</v>
      </c>
      <c r="U68" s="617"/>
      <c r="V68" s="617"/>
      <c r="W68" s="617"/>
      <c r="X68" s="617"/>
      <c r="Y68" s="617"/>
      <c r="Z68" s="617"/>
      <c r="AA68" s="617"/>
      <c r="AB68" s="617"/>
    </row>
    <row r="69" spans="1:28" ht="30" customHeight="1">
      <c r="A69" s="1001">
        <v>3</v>
      </c>
      <c r="B69" s="1252" t="s">
        <v>6876</v>
      </c>
      <c r="C69" s="1253"/>
      <c r="D69" s="1254" t="s">
        <v>6877</v>
      </c>
      <c r="E69" s="1255"/>
      <c r="F69" s="987" t="s">
        <v>6878</v>
      </c>
      <c r="G69" s="987" t="s">
        <v>6879</v>
      </c>
      <c r="H69" s="987" t="s">
        <v>6880</v>
      </c>
      <c r="I69" s="987" t="s">
        <v>6881</v>
      </c>
      <c r="J69" s="987" t="s">
        <v>6882</v>
      </c>
      <c r="K69" s="1254" t="s">
        <v>6883</v>
      </c>
      <c r="L69" s="1255"/>
      <c r="M69" s="987" t="s">
        <v>6884</v>
      </c>
      <c r="N69" s="1256" t="s">
        <v>6885</v>
      </c>
      <c r="O69" s="1257"/>
      <c r="P69" s="618"/>
      <c r="Q69" s="1258" t="s">
        <v>6886</v>
      </c>
      <c r="R69" s="1259"/>
      <c r="S69" s="987" t="s">
        <v>6887</v>
      </c>
      <c r="U69" s="617"/>
      <c r="V69" s="617"/>
      <c r="W69" s="617"/>
      <c r="X69" s="617"/>
      <c r="Y69" s="617"/>
      <c r="Z69" s="617"/>
      <c r="AA69" s="617"/>
      <c r="AB69" s="617"/>
    </row>
    <row r="70" spans="1:28" ht="30" customHeight="1">
      <c r="A70" s="1001">
        <v>4</v>
      </c>
      <c r="B70" s="1252" t="s">
        <v>6888</v>
      </c>
      <c r="C70" s="1253"/>
      <c r="D70" s="1254" t="s">
        <v>6889</v>
      </c>
      <c r="E70" s="1255"/>
      <c r="F70" s="987" t="s">
        <v>6890</v>
      </c>
      <c r="G70" s="987" t="s">
        <v>6891</v>
      </c>
      <c r="H70" s="987" t="s">
        <v>6892</v>
      </c>
      <c r="I70" s="987" t="s">
        <v>6893</v>
      </c>
      <c r="J70" s="987" t="s">
        <v>6894</v>
      </c>
      <c r="K70" s="1254" t="s">
        <v>6895</v>
      </c>
      <c r="L70" s="1255"/>
      <c r="M70" s="987" t="s">
        <v>6896</v>
      </c>
      <c r="N70" s="1256" t="s">
        <v>6897</v>
      </c>
      <c r="O70" s="1257"/>
      <c r="P70" s="618"/>
      <c r="Q70" s="1258" t="s">
        <v>6898</v>
      </c>
      <c r="R70" s="1259"/>
      <c r="S70" s="987" t="s">
        <v>6899</v>
      </c>
      <c r="U70" s="617"/>
      <c r="V70" s="617"/>
      <c r="W70" s="617"/>
      <c r="X70" s="617"/>
      <c r="Y70" s="617"/>
      <c r="Z70" s="617"/>
      <c r="AA70" s="617"/>
      <c r="AB70" s="617"/>
    </row>
    <row r="71" spans="1:28" ht="30" customHeight="1">
      <c r="A71" s="1001">
        <v>5</v>
      </c>
      <c r="B71" s="1252" t="s">
        <v>6900</v>
      </c>
      <c r="C71" s="1253"/>
      <c r="D71" s="1254" t="s">
        <v>6901</v>
      </c>
      <c r="E71" s="1255"/>
      <c r="F71" s="987" t="s">
        <v>6902</v>
      </c>
      <c r="G71" s="987" t="s">
        <v>6903</v>
      </c>
      <c r="H71" s="987" t="s">
        <v>6904</v>
      </c>
      <c r="I71" s="987" t="s">
        <v>6905</v>
      </c>
      <c r="J71" s="987" t="s">
        <v>6906</v>
      </c>
      <c r="K71" s="1254" t="s">
        <v>6907</v>
      </c>
      <c r="L71" s="1255"/>
      <c r="M71" s="987" t="s">
        <v>6908</v>
      </c>
      <c r="N71" s="1256" t="s">
        <v>6909</v>
      </c>
      <c r="O71" s="1257"/>
      <c r="P71" s="618"/>
      <c r="Q71" s="1258" t="s">
        <v>6910</v>
      </c>
      <c r="R71" s="1259"/>
      <c r="S71" s="987" t="s">
        <v>6911</v>
      </c>
      <c r="U71" s="617"/>
      <c r="V71" s="617"/>
      <c r="W71" s="617"/>
      <c r="X71" s="617"/>
      <c r="Y71" s="617"/>
      <c r="Z71" s="617"/>
      <c r="AA71" s="617"/>
      <c r="AB71" s="617"/>
    </row>
    <row r="72" spans="1:28" ht="30" customHeight="1">
      <c r="A72" s="1001">
        <v>6</v>
      </c>
      <c r="B72" s="1252" t="s">
        <v>6912</v>
      </c>
      <c r="C72" s="1253"/>
      <c r="D72" s="1254" t="s">
        <v>6913</v>
      </c>
      <c r="E72" s="1255"/>
      <c r="F72" s="987" t="s">
        <v>6914</v>
      </c>
      <c r="G72" s="987" t="s">
        <v>6915</v>
      </c>
      <c r="H72" s="987" t="s">
        <v>6916</v>
      </c>
      <c r="I72" s="987" t="s">
        <v>6917</v>
      </c>
      <c r="J72" s="987" t="s">
        <v>6918</v>
      </c>
      <c r="K72" s="1254" t="s">
        <v>6919</v>
      </c>
      <c r="L72" s="1255"/>
      <c r="M72" s="987" t="s">
        <v>6920</v>
      </c>
      <c r="N72" s="1256" t="s">
        <v>6921</v>
      </c>
      <c r="O72" s="1257"/>
      <c r="P72" s="618"/>
      <c r="Q72" s="1258" t="s">
        <v>6922</v>
      </c>
      <c r="R72" s="1259"/>
      <c r="S72" s="987" t="s">
        <v>6923</v>
      </c>
    </row>
    <row r="73" spans="1:28" ht="30" customHeight="1">
      <c r="A73" s="617"/>
      <c r="B73" s="617"/>
      <c r="C73" s="617"/>
      <c r="D73" s="617"/>
      <c r="E73" s="617"/>
      <c r="F73" s="617"/>
      <c r="G73" s="617"/>
      <c r="H73" s="617"/>
      <c r="I73" s="617"/>
      <c r="J73" s="617"/>
      <c r="K73" s="617"/>
      <c r="L73" s="617"/>
      <c r="M73" s="617"/>
      <c r="N73" s="617"/>
      <c r="O73" s="617"/>
      <c r="P73" s="617"/>
      <c r="Q73" s="617"/>
      <c r="R73" s="617"/>
      <c r="S73" s="617"/>
    </row>
    <row r="74" spans="1:28" ht="30" customHeight="1">
      <c r="A74" s="997" t="s">
        <v>6924</v>
      </c>
      <c r="B74" s="997"/>
      <c r="C74" s="997"/>
      <c r="D74" s="997"/>
      <c r="E74" s="997"/>
      <c r="F74" s="997"/>
      <c r="G74" s="997"/>
      <c r="H74" s="997"/>
      <c r="I74" s="997"/>
      <c r="J74" s="997"/>
      <c r="K74" s="997"/>
      <c r="L74" s="997"/>
      <c r="M74" s="997"/>
      <c r="N74" s="997"/>
      <c r="O74" s="997"/>
      <c r="P74" s="997"/>
      <c r="Q74" s="997"/>
      <c r="R74" s="997"/>
      <c r="S74" s="997"/>
    </row>
    <row r="75" spans="1:28" ht="30" customHeight="1">
      <c r="A75" s="1248" t="s">
        <v>6925</v>
      </c>
      <c r="B75" s="1249"/>
      <c r="C75" s="1002" t="s">
        <v>6926</v>
      </c>
      <c r="D75" s="1002"/>
      <c r="E75" s="1002"/>
      <c r="F75" s="1002"/>
      <c r="G75" s="1002"/>
      <c r="H75" s="1002"/>
      <c r="I75" s="1002"/>
      <c r="J75" s="1002"/>
      <c r="K75" s="1002"/>
      <c r="L75" s="1002"/>
      <c r="M75" s="1002"/>
      <c r="N75" s="1002"/>
      <c r="O75" s="1002"/>
      <c r="P75" s="1002"/>
      <c r="Q75" s="1002"/>
      <c r="R75" s="1002"/>
      <c r="S75" s="1003"/>
    </row>
    <row r="76" spans="1:28" ht="30" customHeight="1">
      <c r="A76" s="1248" t="s">
        <v>6927</v>
      </c>
      <c r="B76" s="1249"/>
      <c r="C76" s="996" t="s">
        <v>6928</v>
      </c>
      <c r="D76" s="996"/>
      <c r="E76" s="996"/>
      <c r="F76" s="996"/>
      <c r="G76" s="996"/>
      <c r="H76" s="996"/>
      <c r="I76" s="996"/>
      <c r="J76" s="996"/>
      <c r="K76" s="996"/>
      <c r="L76" s="996"/>
      <c r="M76" s="996"/>
      <c r="N76" s="996"/>
      <c r="O76" s="996"/>
      <c r="P76" s="996"/>
      <c r="Q76" s="996"/>
      <c r="R76" s="996"/>
      <c r="S76" s="1004"/>
    </row>
    <row r="77" spans="1:28" ht="30" customHeight="1">
      <c r="A77" s="1248" t="s">
        <v>6929</v>
      </c>
      <c r="B77" s="1249"/>
      <c r="C77" s="996" t="s">
        <v>6930</v>
      </c>
      <c r="D77" s="996"/>
      <c r="E77" s="996"/>
      <c r="F77" s="996"/>
      <c r="G77" s="996"/>
      <c r="H77" s="996"/>
      <c r="I77" s="996"/>
      <c r="J77" s="996"/>
      <c r="K77" s="996"/>
      <c r="L77" s="996"/>
      <c r="M77" s="996"/>
      <c r="N77" s="996"/>
      <c r="O77" s="996"/>
      <c r="P77" s="996"/>
      <c r="Q77" s="996"/>
      <c r="R77" s="996"/>
      <c r="S77" s="1004"/>
    </row>
    <row r="78" spans="1:28" ht="30" customHeight="1">
      <c r="A78" s="1248" t="s">
        <v>6931</v>
      </c>
      <c r="B78" s="1249"/>
      <c r="C78" s="996" t="s">
        <v>6932</v>
      </c>
      <c r="D78" s="996"/>
      <c r="E78" s="996"/>
      <c r="F78" s="996"/>
      <c r="G78" s="996"/>
      <c r="H78" s="996"/>
      <c r="I78" s="996"/>
      <c r="J78" s="996"/>
      <c r="K78" s="996"/>
      <c r="L78" s="996"/>
      <c r="M78" s="996"/>
      <c r="N78" s="996"/>
      <c r="O78" s="996"/>
      <c r="P78" s="996"/>
      <c r="Q78" s="996"/>
      <c r="R78" s="996"/>
      <c r="S78" s="1004"/>
    </row>
    <row r="79" spans="1:28" ht="30" customHeight="1">
      <c r="A79" s="1248" t="s">
        <v>6933</v>
      </c>
      <c r="B79" s="1249"/>
      <c r="C79" s="996" t="s">
        <v>6427</v>
      </c>
      <c r="D79" s="996"/>
      <c r="E79" s="996"/>
      <c r="F79" s="996"/>
      <c r="G79" s="996"/>
      <c r="H79" s="996"/>
      <c r="I79" s="996"/>
      <c r="J79" s="996"/>
      <c r="K79" s="996"/>
      <c r="L79" s="996"/>
      <c r="M79" s="996"/>
      <c r="N79" s="996"/>
      <c r="O79" s="996"/>
      <c r="P79" s="996"/>
      <c r="Q79" s="996"/>
      <c r="R79" s="996"/>
      <c r="S79" s="1004"/>
    </row>
    <row r="80" spans="1:28" ht="30" customHeight="1">
      <c r="A80" s="1250" t="s">
        <v>6934</v>
      </c>
      <c r="B80" s="1251"/>
      <c r="C80" s="1005" t="s">
        <v>6429</v>
      </c>
      <c r="D80" s="1005"/>
      <c r="E80" s="1005"/>
      <c r="F80" s="1005"/>
      <c r="G80" s="1005"/>
      <c r="H80" s="1005"/>
      <c r="I80" s="1005"/>
      <c r="J80" s="1005"/>
      <c r="K80" s="1005"/>
      <c r="L80" s="1005"/>
      <c r="M80" s="1005"/>
      <c r="N80" s="1005"/>
      <c r="O80" s="1005"/>
      <c r="P80" s="1005"/>
      <c r="Q80" s="1005"/>
      <c r="R80" s="1005"/>
      <c r="S80" s="1006"/>
    </row>
    <row r="81" spans="1:19" ht="30" customHeight="1">
      <c r="A81" s="1007"/>
      <c r="B81" s="1008" t="s">
        <v>6935</v>
      </c>
      <c r="C81" s="1008"/>
      <c r="D81" s="1008"/>
      <c r="E81" s="1008"/>
      <c r="F81" s="1008"/>
      <c r="G81" s="1008"/>
      <c r="H81" s="1008"/>
      <c r="I81" s="1008"/>
      <c r="J81" s="1008"/>
      <c r="K81" s="1008"/>
      <c r="L81" s="1008"/>
      <c r="M81" s="1008"/>
      <c r="N81" s="1008"/>
      <c r="O81" s="1008"/>
      <c r="P81" s="1008"/>
      <c r="Q81" s="1008"/>
      <c r="R81" s="1008"/>
      <c r="S81" s="1009"/>
    </row>
    <row r="82" spans="1:19" ht="30" customHeight="1">
      <c r="A82" s="1007"/>
      <c r="B82" s="1008" t="s">
        <v>6936</v>
      </c>
      <c r="C82" s="1008"/>
      <c r="D82" s="1008"/>
      <c r="E82" s="1008"/>
      <c r="F82" s="1008"/>
      <c r="G82" s="1008"/>
      <c r="H82" s="1008"/>
      <c r="I82" s="1008"/>
      <c r="J82" s="1008"/>
      <c r="K82" s="1008"/>
      <c r="L82" s="1008"/>
      <c r="M82" s="1008"/>
      <c r="N82" s="1008"/>
      <c r="O82" s="1008"/>
      <c r="P82" s="1008"/>
      <c r="Q82" s="1008"/>
      <c r="R82" s="1008"/>
      <c r="S82" s="1009"/>
    </row>
    <row r="83" spans="1:19" ht="30" customHeight="1"/>
    <row r="84" spans="1:19" ht="30" customHeight="1"/>
    <row r="85" spans="1:19" ht="30" customHeight="1"/>
  </sheetData>
  <mergeCells count="261">
    <mergeCell ref="B5:D5"/>
    <mergeCell ref="B6:D6"/>
    <mergeCell ref="U6:AB6"/>
    <mergeCell ref="B7:D7"/>
    <mergeCell ref="U7:U8"/>
    <mergeCell ref="V7:W8"/>
    <mergeCell ref="X7:AB8"/>
    <mergeCell ref="A1:F2"/>
    <mergeCell ref="G1:M2"/>
    <mergeCell ref="O1:S2"/>
    <mergeCell ref="U1:AB2"/>
    <mergeCell ref="U3:AB4"/>
    <mergeCell ref="B4:D4"/>
    <mergeCell ref="X9:AB9"/>
    <mergeCell ref="C10:D10"/>
    <mergeCell ref="E10:F10"/>
    <mergeCell ref="K10:L10"/>
    <mergeCell ref="M10:N10"/>
    <mergeCell ref="O10:P10"/>
    <mergeCell ref="V10:W10"/>
    <mergeCell ref="X10:AB10"/>
    <mergeCell ref="C9:D9"/>
    <mergeCell ref="E9:F9"/>
    <mergeCell ref="K9:L9"/>
    <mergeCell ref="M9:N9"/>
    <mergeCell ref="O9:P9"/>
    <mergeCell ref="V9:W9"/>
    <mergeCell ref="X11:AB11"/>
    <mergeCell ref="C12:D12"/>
    <mergeCell ref="E12:F12"/>
    <mergeCell ref="K12:L12"/>
    <mergeCell ref="M12:N12"/>
    <mergeCell ref="O12:P12"/>
    <mergeCell ref="V12:W12"/>
    <mergeCell ref="X12:AB12"/>
    <mergeCell ref="C11:D11"/>
    <mergeCell ref="E11:F11"/>
    <mergeCell ref="K11:L11"/>
    <mergeCell ref="M11:N11"/>
    <mergeCell ref="O11:P11"/>
    <mergeCell ref="V11:W11"/>
    <mergeCell ref="X13:AB13"/>
    <mergeCell ref="C14:D14"/>
    <mergeCell ref="E14:F14"/>
    <mergeCell ref="K14:L14"/>
    <mergeCell ref="M14:N14"/>
    <mergeCell ref="O14:P14"/>
    <mergeCell ref="V14:W14"/>
    <mergeCell ref="X14:AB14"/>
    <mergeCell ref="C13:D13"/>
    <mergeCell ref="E13:F13"/>
    <mergeCell ref="K13:L13"/>
    <mergeCell ref="M13:N13"/>
    <mergeCell ref="O13:P13"/>
    <mergeCell ref="V13:W13"/>
    <mergeCell ref="C17:D17"/>
    <mergeCell ref="E17:F17"/>
    <mergeCell ref="K17:L17"/>
    <mergeCell ref="M17:N17"/>
    <mergeCell ref="O17:P17"/>
    <mergeCell ref="U17:AB17"/>
    <mergeCell ref="X15:AB15"/>
    <mergeCell ref="C16:D16"/>
    <mergeCell ref="E16:F16"/>
    <mergeCell ref="K16:L16"/>
    <mergeCell ref="M16:N16"/>
    <mergeCell ref="O16:P16"/>
    <mergeCell ref="C15:D15"/>
    <mergeCell ref="E15:F15"/>
    <mergeCell ref="K15:L15"/>
    <mergeCell ref="M15:N15"/>
    <mergeCell ref="O15:P15"/>
    <mergeCell ref="V15:W15"/>
    <mergeCell ref="X18:AB18"/>
    <mergeCell ref="C19:D19"/>
    <mergeCell ref="E19:F19"/>
    <mergeCell ref="K19:L19"/>
    <mergeCell ref="M19:N19"/>
    <mergeCell ref="O19:P19"/>
    <mergeCell ref="V19:W19"/>
    <mergeCell ref="X19:AB19"/>
    <mergeCell ref="C18:D18"/>
    <mergeCell ref="E18:F18"/>
    <mergeCell ref="K18:L18"/>
    <mergeCell ref="M18:N18"/>
    <mergeCell ref="O18:P18"/>
    <mergeCell ref="V18:W18"/>
    <mergeCell ref="C20:D20"/>
    <mergeCell ref="E20:F20"/>
    <mergeCell ref="K20:L20"/>
    <mergeCell ref="M20:N20"/>
    <mergeCell ref="O20:P20"/>
    <mergeCell ref="C21:D21"/>
    <mergeCell ref="E21:F21"/>
    <mergeCell ref="K21:L21"/>
    <mergeCell ref="M21:N21"/>
    <mergeCell ref="O21:P21"/>
    <mergeCell ref="C23:D23"/>
    <mergeCell ref="E23:F23"/>
    <mergeCell ref="K23:L23"/>
    <mergeCell ref="M23:N23"/>
    <mergeCell ref="O23:P23"/>
    <mergeCell ref="U23:AB23"/>
    <mergeCell ref="C22:D22"/>
    <mergeCell ref="E22:F22"/>
    <mergeCell ref="K22:L22"/>
    <mergeCell ref="M22:N22"/>
    <mergeCell ref="O22:P22"/>
    <mergeCell ref="U22:AB22"/>
    <mergeCell ref="C24:D24"/>
    <mergeCell ref="E24:F24"/>
    <mergeCell ref="K24:L24"/>
    <mergeCell ref="M24:N24"/>
    <mergeCell ref="O24:P24"/>
    <mergeCell ref="C25:D25"/>
    <mergeCell ref="E25:F25"/>
    <mergeCell ref="K25:L25"/>
    <mergeCell ref="M25:N25"/>
    <mergeCell ref="O25:P25"/>
    <mergeCell ref="C26:D26"/>
    <mergeCell ref="E26:F26"/>
    <mergeCell ref="K26:L26"/>
    <mergeCell ref="M26:N26"/>
    <mergeCell ref="O26:P26"/>
    <mergeCell ref="C27:D27"/>
    <mergeCell ref="E27:F27"/>
    <mergeCell ref="K27:L27"/>
    <mergeCell ref="M27:N27"/>
    <mergeCell ref="O27:P27"/>
    <mergeCell ref="U29:AB29"/>
    <mergeCell ref="C30:D30"/>
    <mergeCell ref="E30:F30"/>
    <mergeCell ref="K30:L30"/>
    <mergeCell ref="M30:N30"/>
    <mergeCell ref="O30:P30"/>
    <mergeCell ref="V30:AB30"/>
    <mergeCell ref="C28:D28"/>
    <mergeCell ref="E28:F28"/>
    <mergeCell ref="K28:L28"/>
    <mergeCell ref="M28:N28"/>
    <mergeCell ref="O28:P28"/>
    <mergeCell ref="C29:D29"/>
    <mergeCell ref="E29:F29"/>
    <mergeCell ref="K29:L29"/>
    <mergeCell ref="M29:N29"/>
    <mergeCell ref="O29:P29"/>
    <mergeCell ref="C32:D32"/>
    <mergeCell ref="E32:F32"/>
    <mergeCell ref="K32:L32"/>
    <mergeCell ref="M32:N32"/>
    <mergeCell ref="O32:P32"/>
    <mergeCell ref="V32:AB32"/>
    <mergeCell ref="C31:D31"/>
    <mergeCell ref="E31:F31"/>
    <mergeCell ref="K31:L31"/>
    <mergeCell ref="M31:N31"/>
    <mergeCell ref="O31:P31"/>
    <mergeCell ref="V31:AB31"/>
    <mergeCell ref="C34:D34"/>
    <mergeCell ref="E34:F34"/>
    <mergeCell ref="K34:L34"/>
    <mergeCell ref="M34:N34"/>
    <mergeCell ref="O34:P34"/>
    <mergeCell ref="V34:AB34"/>
    <mergeCell ref="C33:D33"/>
    <mergeCell ref="E33:F33"/>
    <mergeCell ref="K33:L33"/>
    <mergeCell ref="M33:N33"/>
    <mergeCell ref="O33:P33"/>
    <mergeCell ref="V33:AB33"/>
    <mergeCell ref="V36:AB36"/>
    <mergeCell ref="A37:S37"/>
    <mergeCell ref="U39:AB39"/>
    <mergeCell ref="D40:E40"/>
    <mergeCell ref="B41:J41"/>
    <mergeCell ref="A43:S43"/>
    <mergeCell ref="C35:D35"/>
    <mergeCell ref="E35:F35"/>
    <mergeCell ref="K35:L35"/>
    <mergeCell ref="M35:N35"/>
    <mergeCell ref="O35:P35"/>
    <mergeCell ref="V35:AB35"/>
    <mergeCell ref="B44:C44"/>
    <mergeCell ref="E44:F44"/>
    <mergeCell ref="K44:L44"/>
    <mergeCell ref="M44:N44"/>
    <mergeCell ref="P44:Q44"/>
    <mergeCell ref="B45:C45"/>
    <mergeCell ref="E45:F45"/>
    <mergeCell ref="K45:L45"/>
    <mergeCell ref="M45:N45"/>
    <mergeCell ref="P45:Q45"/>
    <mergeCell ref="B46:C46"/>
    <mergeCell ref="E46:F46"/>
    <mergeCell ref="K46:L46"/>
    <mergeCell ref="M46:N46"/>
    <mergeCell ref="P46:Q46"/>
    <mergeCell ref="B47:C47"/>
    <mergeCell ref="E47:F47"/>
    <mergeCell ref="K47:L47"/>
    <mergeCell ref="M47:N47"/>
    <mergeCell ref="P47:Q47"/>
    <mergeCell ref="U47:AB49"/>
    <mergeCell ref="B48:C48"/>
    <mergeCell ref="E48:F48"/>
    <mergeCell ref="K48:L48"/>
    <mergeCell ref="M48:N48"/>
    <mergeCell ref="P48:Q48"/>
    <mergeCell ref="B49:C49"/>
    <mergeCell ref="E49:F49"/>
    <mergeCell ref="K49:L49"/>
    <mergeCell ref="M49:N49"/>
    <mergeCell ref="A52:S52"/>
    <mergeCell ref="K63:L63"/>
    <mergeCell ref="B66:C66"/>
    <mergeCell ref="D66:E66"/>
    <mergeCell ref="K66:L66"/>
    <mergeCell ref="N66:O66"/>
    <mergeCell ref="Q66:R66"/>
    <mergeCell ref="P49:Q49"/>
    <mergeCell ref="B50:C50"/>
    <mergeCell ref="E50:F50"/>
    <mergeCell ref="K50:L50"/>
    <mergeCell ref="M50:N50"/>
    <mergeCell ref="P50:Q50"/>
    <mergeCell ref="B67:C67"/>
    <mergeCell ref="D67:E67"/>
    <mergeCell ref="K67:L67"/>
    <mergeCell ref="N67:O67"/>
    <mergeCell ref="Q67:R67"/>
    <mergeCell ref="B68:C68"/>
    <mergeCell ref="D68:E68"/>
    <mergeCell ref="K68:L68"/>
    <mergeCell ref="N68:O68"/>
    <mergeCell ref="Q68:R68"/>
    <mergeCell ref="N71:O71"/>
    <mergeCell ref="Q71:R71"/>
    <mergeCell ref="B72:C72"/>
    <mergeCell ref="D72:E72"/>
    <mergeCell ref="K72:L72"/>
    <mergeCell ref="N72:O72"/>
    <mergeCell ref="Q72:R72"/>
    <mergeCell ref="B69:C69"/>
    <mergeCell ref="D69:E69"/>
    <mergeCell ref="K69:L69"/>
    <mergeCell ref="N69:O69"/>
    <mergeCell ref="Q69:R69"/>
    <mergeCell ref="B70:C70"/>
    <mergeCell ref="D70:E70"/>
    <mergeCell ref="K70:L70"/>
    <mergeCell ref="N70:O70"/>
    <mergeCell ref="Q70:R70"/>
    <mergeCell ref="A75:B75"/>
    <mergeCell ref="A76:B76"/>
    <mergeCell ref="A77:B77"/>
    <mergeCell ref="A78:B78"/>
    <mergeCell ref="A79:B79"/>
    <mergeCell ref="A80:B80"/>
    <mergeCell ref="B71:C71"/>
    <mergeCell ref="D71:E71"/>
    <mergeCell ref="K71:L7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73C8D-00E2-422A-A093-C92C24CD15E8}">
  <dimension ref="A1:O115"/>
  <sheetViews>
    <sheetView workbookViewId="0">
      <selection activeCell="O23" sqref="O23"/>
    </sheetView>
  </sheetViews>
  <sheetFormatPr baseColWidth="10" defaultRowHeight="15"/>
  <cols>
    <col min="1" max="12" width="11.42578125" style="1"/>
    <col min="15" max="15" width="86" customWidth="1"/>
    <col min="16" max="16384" width="11.42578125" style="1"/>
  </cols>
  <sheetData>
    <row r="1" spans="1:15">
      <c r="A1" s="4" t="str">
        <f>ADDRESS(ROW(),COLUMN(),4)</f>
        <v>A1</v>
      </c>
      <c r="B1" s="3"/>
      <c r="C1" s="3"/>
      <c r="D1" s="3"/>
      <c r="E1" s="3"/>
      <c r="F1" s="3"/>
      <c r="G1" s="3"/>
      <c r="H1" s="3"/>
      <c r="I1" s="3"/>
      <c r="J1" s="3"/>
      <c r="K1" s="3"/>
      <c r="L1" s="3"/>
      <c r="M1" s="6">
        <v>1</v>
      </c>
      <c r="N1" s="7" t="str">
        <f>SUBSTITUTE(ADDRESS(1,COLUMN(),4),"1","")</f>
        <v>N</v>
      </c>
      <c r="O1" s="8" t="str">
        <f>SUBSTITUTE(ADDRESS(1,COLUMN(),4),"1","")</f>
        <v>O</v>
      </c>
    </row>
    <row r="2" spans="1:15">
      <c r="A2" s="3"/>
      <c r="B2" s="3"/>
      <c r="C2" s="3"/>
      <c r="D2" s="3"/>
      <c r="E2" s="3"/>
      <c r="F2" s="3"/>
      <c r="G2" s="3"/>
      <c r="H2" s="3"/>
      <c r="I2" s="3"/>
      <c r="J2" s="3"/>
      <c r="K2" s="3"/>
      <c r="L2" s="3"/>
      <c r="M2" s="6">
        <v>1</v>
      </c>
      <c r="N2" s="10" t="s">
        <v>228</v>
      </c>
      <c r="O2" s="11"/>
    </row>
    <row r="3" spans="1:15" ht="15.75">
      <c r="A3" s="3"/>
      <c r="B3" s="3"/>
      <c r="C3" s="3"/>
      <c r="D3" s="3"/>
      <c r="E3" s="3"/>
      <c r="F3" s="3"/>
      <c r="G3" s="3"/>
      <c r="H3" s="3"/>
      <c r="I3" s="3"/>
      <c r="J3" s="3"/>
      <c r="K3" s="3"/>
      <c r="L3" s="3"/>
      <c r="M3" s="6">
        <v>1</v>
      </c>
      <c r="N3" s="13">
        <f>COUNTA(A1:M115) + COUNTBLANK(A1:M115)</f>
        <v>1495</v>
      </c>
      <c r="O3" s="14" t="str">
        <f>"cellules entre -cells -celdas  "&amp;" " &amp;A1&amp;" et  "&amp;M115</f>
        <v>cellules entre -cells -celdas   A1 et  M115</v>
      </c>
    </row>
    <row r="4" spans="1:15" ht="15.75">
      <c r="A4" s="3"/>
      <c r="B4" s="3"/>
      <c r="C4" s="3"/>
      <c r="D4" s="3"/>
      <c r="E4" s="3"/>
      <c r="F4" s="3"/>
      <c r="G4" s="3"/>
      <c r="H4" s="3"/>
      <c r="I4" s="3"/>
      <c r="J4" s="3"/>
      <c r="K4" s="3"/>
      <c r="L4" s="3"/>
      <c r="M4" s="6">
        <v>1</v>
      </c>
      <c r="N4" s="13">
        <f>COUNTA(A1:M115)</f>
        <v>185</v>
      </c>
      <c r="O4" s="14" t="s">
        <v>229</v>
      </c>
    </row>
    <row r="5" spans="1:15" ht="15.75">
      <c r="A5" s="3"/>
      <c r="B5" s="3"/>
      <c r="C5" s="3"/>
      <c r="D5" s="3"/>
      <c r="E5" s="3"/>
      <c r="F5" s="3"/>
      <c r="G5" s="3"/>
      <c r="H5" s="3"/>
      <c r="I5" s="3"/>
      <c r="J5" s="3"/>
      <c r="K5" s="3"/>
      <c r="L5" s="3"/>
      <c r="M5" s="6">
        <v>1</v>
      </c>
      <c r="N5" s="13">
        <f>COUNTBLANK(A1:M115)</f>
        <v>1310</v>
      </c>
      <c r="O5" s="14" t="s">
        <v>231</v>
      </c>
    </row>
    <row r="6" spans="1:15" ht="15.75">
      <c r="A6" s="3"/>
      <c r="B6" s="3"/>
      <c r="C6" s="3"/>
      <c r="D6" s="3"/>
      <c r="E6" s="3"/>
      <c r="F6" s="3"/>
      <c r="G6" s="3"/>
      <c r="H6" s="3"/>
      <c r="I6" s="3"/>
      <c r="J6" s="3"/>
      <c r="K6" s="3"/>
      <c r="L6" s="3"/>
      <c r="M6" s="6">
        <v>1</v>
      </c>
      <c r="N6" s="13">
        <f>SUM(M1:M113)+2</f>
        <v>115</v>
      </c>
      <c r="O6" s="14" t="s">
        <v>232</v>
      </c>
    </row>
    <row r="7" spans="1:15" ht="15.75">
      <c r="A7" s="3"/>
      <c r="B7" s="3"/>
      <c r="C7" s="3"/>
      <c r="D7" s="3"/>
      <c r="E7" s="3"/>
      <c r="F7" s="3"/>
      <c r="G7" s="3"/>
      <c r="H7" s="3"/>
      <c r="I7" s="3"/>
      <c r="J7" s="3"/>
      <c r="K7" s="3"/>
      <c r="L7" s="3"/>
      <c r="M7" s="6">
        <v>1</v>
      </c>
      <c r="N7" s="13" cm="1">
        <f t="array" ref="N7">SUM(A115:L115+1)</f>
        <v>24</v>
      </c>
      <c r="O7" s="14" t="s">
        <v>235</v>
      </c>
    </row>
    <row r="8" spans="1:15" ht="18.75">
      <c r="A8" s="472"/>
      <c r="B8" s="471" t="s">
        <v>686</v>
      </c>
      <c r="C8" s="3"/>
      <c r="D8" s="3"/>
      <c r="E8" s="3"/>
      <c r="F8" s="3"/>
      <c r="G8" s="3"/>
      <c r="H8" s="3"/>
      <c r="I8" s="3"/>
      <c r="J8" s="3"/>
      <c r="K8" s="3"/>
      <c r="L8" s="3"/>
      <c r="M8" s="6">
        <v>1</v>
      </c>
      <c r="N8" s="13"/>
      <c r="O8" s="14"/>
    </row>
    <row r="9" spans="1:15" ht="31.5">
      <c r="A9" s="3"/>
      <c r="B9" s="470" t="s">
        <v>685</v>
      </c>
      <c r="C9" s="3"/>
      <c r="D9" s="3"/>
      <c r="E9" s="3"/>
      <c r="F9" s="3"/>
      <c r="G9" s="3"/>
      <c r="H9" s="3"/>
      <c r="I9" s="3"/>
      <c r="J9" s="3"/>
      <c r="K9" s="3"/>
      <c r="L9" s="3"/>
      <c r="M9" s="6">
        <v>1</v>
      </c>
    </row>
    <row r="10" spans="1:15">
      <c r="A10" s="3"/>
      <c r="B10" s="3"/>
      <c r="C10" s="3"/>
      <c r="D10" s="3"/>
      <c r="E10" s="3"/>
      <c r="F10" s="3"/>
      <c r="G10" s="3"/>
      <c r="H10" s="3"/>
      <c r="I10" s="3"/>
      <c r="J10" s="3"/>
      <c r="K10" s="3"/>
      <c r="L10" s="3"/>
      <c r="M10" s="6">
        <v>1</v>
      </c>
    </row>
    <row r="11" spans="1:15" ht="23.25">
      <c r="A11" s="3"/>
      <c r="B11" s="467" t="s">
        <v>680</v>
      </c>
      <c r="C11" s="3"/>
      <c r="D11" s="3"/>
      <c r="E11" s="3"/>
      <c r="F11" s="3"/>
      <c r="G11" s="3"/>
      <c r="H11" s="3"/>
      <c r="I11" s="3"/>
      <c r="J11" s="3"/>
      <c r="K11" s="3"/>
      <c r="L11" s="3"/>
      <c r="M11" s="6">
        <v>1</v>
      </c>
    </row>
    <row r="12" spans="1:15">
      <c r="A12" s="3"/>
      <c r="B12" s="3"/>
      <c r="C12" s="3"/>
      <c r="D12" s="3"/>
      <c r="E12" s="3"/>
      <c r="F12" s="3"/>
      <c r="G12" s="3"/>
      <c r="H12" s="3"/>
      <c r="I12" s="3"/>
      <c r="J12" s="3"/>
      <c r="K12" s="3"/>
      <c r="L12" s="3"/>
      <c r="M12" s="6">
        <v>1</v>
      </c>
    </row>
    <row r="13" spans="1:15">
      <c r="A13" s="3"/>
      <c r="B13" s="3" t="s">
        <v>684</v>
      </c>
      <c r="C13" s="3"/>
      <c r="D13" s="3"/>
      <c r="E13" s="3"/>
      <c r="F13" s="3"/>
      <c r="G13" s="3"/>
      <c r="H13" s="3"/>
      <c r="I13" s="3"/>
      <c r="J13" s="3"/>
      <c r="K13" s="3"/>
      <c r="L13" s="3"/>
      <c r="M13" s="6">
        <v>1</v>
      </c>
    </row>
    <row r="14" spans="1:15">
      <c r="A14" s="3"/>
      <c r="B14" s="3"/>
      <c r="C14" s="3"/>
      <c r="D14" s="3"/>
      <c r="E14" s="3"/>
      <c r="F14" s="3"/>
      <c r="G14" s="3"/>
      <c r="H14" s="3"/>
      <c r="I14" s="3"/>
      <c r="J14" s="3"/>
      <c r="K14" s="3"/>
      <c r="L14" s="3"/>
      <c r="M14" s="6">
        <v>1</v>
      </c>
    </row>
    <row r="15" spans="1:15">
      <c r="A15" s="3"/>
      <c r="B15" s="466" t="s">
        <v>683</v>
      </c>
      <c r="C15" s="3"/>
      <c r="D15" s="3"/>
      <c r="E15" s="3"/>
      <c r="F15" s="3"/>
      <c r="G15" s="3"/>
      <c r="H15" s="3"/>
      <c r="I15" s="3"/>
      <c r="J15" s="3"/>
      <c r="K15" s="3"/>
      <c r="L15" s="3"/>
      <c r="M15" s="6">
        <v>1</v>
      </c>
    </row>
    <row r="16" spans="1:15">
      <c r="A16" s="3"/>
      <c r="B16" s="3"/>
      <c r="C16" s="3"/>
      <c r="D16" s="3"/>
      <c r="E16" s="3"/>
      <c r="F16" s="3"/>
      <c r="G16" s="3"/>
      <c r="H16" s="3"/>
      <c r="I16" s="3"/>
      <c r="J16" s="3"/>
      <c r="K16" s="3"/>
      <c r="L16" s="3"/>
      <c r="M16" s="6">
        <v>1</v>
      </c>
    </row>
    <row r="17" spans="1:13">
      <c r="A17" s="3"/>
      <c r="B17" s="1628" t="s">
        <v>682</v>
      </c>
      <c r="C17" s="1628"/>
      <c r="D17" s="1628"/>
      <c r="E17" s="1628"/>
      <c r="F17" s="1628"/>
      <c r="G17" s="1628"/>
      <c r="H17" s="1628"/>
      <c r="I17" s="1628"/>
      <c r="J17" s="1628"/>
      <c r="K17" s="1628"/>
      <c r="L17" s="3"/>
      <c r="M17" s="6">
        <v>1</v>
      </c>
    </row>
    <row r="18" spans="1:13">
      <c r="A18" s="3"/>
      <c r="B18" s="1628"/>
      <c r="C18" s="1628"/>
      <c r="D18" s="1628"/>
      <c r="E18" s="1628"/>
      <c r="F18" s="1628"/>
      <c r="G18" s="1628"/>
      <c r="H18" s="1628"/>
      <c r="I18" s="1628"/>
      <c r="J18" s="1628"/>
      <c r="K18" s="1628"/>
      <c r="L18" s="3"/>
      <c r="M18" s="6">
        <v>1</v>
      </c>
    </row>
    <row r="19" spans="1:13">
      <c r="A19" s="3"/>
      <c r="B19" s="1628"/>
      <c r="C19" s="1628"/>
      <c r="D19" s="1628"/>
      <c r="E19" s="1628"/>
      <c r="F19" s="1628"/>
      <c r="G19" s="1628"/>
      <c r="H19" s="1628"/>
      <c r="I19" s="1628"/>
      <c r="J19" s="1628"/>
      <c r="K19" s="1628"/>
      <c r="L19" s="3"/>
      <c r="M19" s="6">
        <v>1</v>
      </c>
    </row>
    <row r="20" spans="1:13">
      <c r="A20" s="3"/>
      <c r="B20" s="3"/>
      <c r="C20" s="3"/>
      <c r="D20" s="3"/>
      <c r="E20" s="3"/>
      <c r="F20" s="3"/>
      <c r="G20" s="3"/>
      <c r="H20" s="3"/>
      <c r="I20" s="3"/>
      <c r="J20" s="3"/>
      <c r="K20" s="3"/>
      <c r="L20" s="3"/>
      <c r="M20" s="6">
        <v>1</v>
      </c>
    </row>
    <row r="21" spans="1:13">
      <c r="A21" s="3"/>
      <c r="B21" s="1627" t="s">
        <v>681</v>
      </c>
      <c r="C21" s="1627"/>
      <c r="D21" s="1627"/>
      <c r="E21" s="1627"/>
      <c r="F21" s="1627"/>
      <c r="G21" s="1627"/>
      <c r="H21" s="1627"/>
      <c r="I21" s="1627"/>
      <c r="J21" s="1627"/>
      <c r="K21" s="1627"/>
      <c r="L21" s="3"/>
      <c r="M21" s="6">
        <v>1</v>
      </c>
    </row>
    <row r="22" spans="1:13">
      <c r="A22" s="3"/>
      <c r="B22" s="1627"/>
      <c r="C22" s="1627"/>
      <c r="D22" s="1627"/>
      <c r="E22" s="1627"/>
      <c r="F22" s="1627"/>
      <c r="G22" s="1627"/>
      <c r="H22" s="1627"/>
      <c r="I22" s="1627"/>
      <c r="J22" s="1627"/>
      <c r="K22" s="1627"/>
      <c r="L22" s="3"/>
      <c r="M22" s="6">
        <v>1</v>
      </c>
    </row>
    <row r="23" spans="1:13">
      <c r="A23" s="3"/>
      <c r="B23" s="1627"/>
      <c r="C23" s="1627"/>
      <c r="D23" s="1627"/>
      <c r="E23" s="1627"/>
      <c r="F23" s="1627"/>
      <c r="G23" s="1627"/>
      <c r="H23" s="1627"/>
      <c r="I23" s="1627"/>
      <c r="J23" s="1627"/>
      <c r="K23" s="1627"/>
      <c r="L23" s="3"/>
      <c r="M23" s="6">
        <v>1</v>
      </c>
    </row>
    <row r="24" spans="1:13">
      <c r="A24" s="3"/>
      <c r="B24" s="1627"/>
      <c r="C24" s="1627"/>
      <c r="D24" s="1627"/>
      <c r="E24" s="1627"/>
      <c r="F24" s="1627"/>
      <c r="G24" s="1627"/>
      <c r="H24" s="1627"/>
      <c r="I24" s="1627"/>
      <c r="J24" s="1627"/>
      <c r="K24" s="1627"/>
      <c r="L24" s="3"/>
      <c r="M24" s="6">
        <v>1</v>
      </c>
    </row>
    <row r="25" spans="1:13">
      <c r="A25" s="3"/>
      <c r="B25" s="1627"/>
      <c r="C25" s="1627"/>
      <c r="D25" s="1627"/>
      <c r="E25" s="1627"/>
      <c r="F25" s="1627"/>
      <c r="G25" s="1627"/>
      <c r="H25" s="1627"/>
      <c r="I25" s="1627"/>
      <c r="J25" s="1627"/>
      <c r="K25" s="1627"/>
      <c r="L25" s="3"/>
      <c r="M25" s="6">
        <v>1</v>
      </c>
    </row>
    <row r="26" spans="1:13">
      <c r="A26" s="3"/>
      <c r="B26" s="3"/>
      <c r="C26" s="3"/>
      <c r="D26" s="3"/>
      <c r="E26" s="3"/>
      <c r="F26" s="3"/>
      <c r="G26" s="3"/>
      <c r="H26" s="3"/>
      <c r="I26" s="3"/>
      <c r="J26" s="3"/>
      <c r="K26" s="3"/>
      <c r="L26" s="3"/>
      <c r="M26" s="6">
        <v>1</v>
      </c>
    </row>
    <row r="27" spans="1:13" ht="18">
      <c r="A27" s="3"/>
      <c r="B27" s="469" t="s">
        <v>680</v>
      </c>
      <c r="C27" s="3"/>
      <c r="D27" s="3"/>
      <c r="E27" s="3"/>
      <c r="F27" s="3"/>
      <c r="G27" s="3"/>
      <c r="H27" s="3"/>
      <c r="I27" s="3"/>
      <c r="J27" s="3"/>
      <c r="K27" s="3"/>
      <c r="L27" s="3"/>
      <c r="M27" s="6">
        <v>1</v>
      </c>
    </row>
    <row r="28" spans="1:13">
      <c r="A28" s="3"/>
      <c r="B28" s="3"/>
      <c r="C28" s="3"/>
      <c r="D28" s="3"/>
      <c r="E28" s="3"/>
      <c r="F28" s="3"/>
      <c r="G28" s="3"/>
      <c r="H28" s="3"/>
      <c r="I28" s="3"/>
      <c r="J28" s="3"/>
      <c r="K28" s="3"/>
      <c r="L28" s="3"/>
      <c r="M28" s="6">
        <v>1</v>
      </c>
    </row>
    <row r="29" spans="1:13">
      <c r="A29" s="3"/>
      <c r="B29" s="3" t="s">
        <v>679</v>
      </c>
      <c r="C29" s="3"/>
      <c r="D29" s="3"/>
      <c r="E29" s="3"/>
      <c r="F29" s="3"/>
      <c r="G29" s="3"/>
      <c r="H29" s="3"/>
      <c r="I29" s="3"/>
      <c r="J29" s="3"/>
      <c r="K29" s="3"/>
      <c r="L29" s="3"/>
      <c r="M29" s="6">
        <v>1</v>
      </c>
    </row>
    <row r="30" spans="1:13">
      <c r="A30" s="3"/>
      <c r="B30" s="43"/>
      <c r="C30" s="3"/>
      <c r="D30" s="3"/>
      <c r="E30" s="3"/>
      <c r="F30" s="3"/>
      <c r="G30" s="3"/>
      <c r="H30" s="3"/>
      <c r="I30" s="3"/>
      <c r="J30" s="3"/>
      <c r="K30" s="3"/>
      <c r="L30" s="3"/>
      <c r="M30" s="6">
        <v>1</v>
      </c>
    </row>
    <row r="31" spans="1:13">
      <c r="A31" s="3"/>
      <c r="B31" s="43" t="s">
        <v>678</v>
      </c>
      <c r="C31" s="3"/>
      <c r="D31" s="3"/>
      <c r="E31" s="3"/>
      <c r="F31" s="3"/>
      <c r="G31" s="3"/>
      <c r="H31" s="3"/>
      <c r="I31" s="3"/>
      <c r="J31" s="3"/>
      <c r="K31" s="3"/>
      <c r="L31" s="3"/>
      <c r="M31" s="6">
        <v>1</v>
      </c>
    </row>
    <row r="32" spans="1:13">
      <c r="A32" s="3"/>
      <c r="B32" s="43" t="s">
        <v>677</v>
      </c>
      <c r="C32" s="3"/>
      <c r="D32" s="3"/>
      <c r="E32" s="3"/>
      <c r="F32" s="3"/>
      <c r="G32" s="3"/>
      <c r="H32" s="3"/>
      <c r="I32" s="3"/>
      <c r="J32" s="3"/>
      <c r="K32" s="3"/>
      <c r="L32" s="3"/>
      <c r="M32" s="6">
        <v>1</v>
      </c>
    </row>
    <row r="33" spans="1:13">
      <c r="A33" s="3"/>
      <c r="B33" s="43" t="s">
        <v>676</v>
      </c>
      <c r="C33" s="3"/>
      <c r="D33" s="3"/>
      <c r="E33" s="3"/>
      <c r="F33" s="3"/>
      <c r="G33" s="3"/>
      <c r="H33" s="3"/>
      <c r="I33" s="3"/>
      <c r="J33" s="3"/>
      <c r="K33" s="3"/>
      <c r="L33" s="3"/>
      <c r="M33" s="6">
        <v>1</v>
      </c>
    </row>
    <row r="34" spans="1:13">
      <c r="A34" s="3"/>
      <c r="B34" s="43" t="s">
        <v>675</v>
      </c>
      <c r="C34" s="3"/>
      <c r="D34" s="3"/>
      <c r="E34" s="3"/>
      <c r="F34" s="3"/>
      <c r="G34" s="3"/>
      <c r="H34" s="3"/>
      <c r="I34" s="3"/>
      <c r="J34" s="3"/>
      <c r="K34" s="3"/>
      <c r="L34" s="3"/>
      <c r="M34" s="6">
        <v>1</v>
      </c>
    </row>
    <row r="35" spans="1:13">
      <c r="A35" s="3"/>
      <c r="B35" s="43" t="s">
        <v>674</v>
      </c>
      <c r="C35" s="3"/>
      <c r="D35" s="3"/>
      <c r="E35" s="3"/>
      <c r="F35" s="3"/>
      <c r="G35" s="3"/>
      <c r="H35" s="3"/>
      <c r="I35" s="3"/>
      <c r="J35" s="3"/>
      <c r="K35" s="3"/>
      <c r="L35" s="3"/>
      <c r="M35" s="6">
        <v>1</v>
      </c>
    </row>
    <row r="36" spans="1:13">
      <c r="A36" s="3"/>
      <c r="B36" s="43" t="s">
        <v>673</v>
      </c>
      <c r="C36" s="3"/>
      <c r="D36" s="3"/>
      <c r="E36" s="3"/>
      <c r="F36" s="3"/>
      <c r="G36" s="3"/>
      <c r="H36" s="3"/>
      <c r="I36" s="3"/>
      <c r="J36" s="3"/>
      <c r="K36" s="3"/>
      <c r="L36" s="3"/>
      <c r="M36" s="6">
        <v>1</v>
      </c>
    </row>
    <row r="37" spans="1:13">
      <c r="A37" s="3"/>
      <c r="B37" s="3"/>
      <c r="C37" s="3"/>
      <c r="D37" s="3"/>
      <c r="E37" s="3"/>
      <c r="F37" s="3"/>
      <c r="G37" s="3"/>
      <c r="H37" s="3"/>
      <c r="I37" s="3"/>
      <c r="J37" s="3"/>
      <c r="K37" s="3"/>
      <c r="L37" s="3"/>
      <c r="M37" s="6">
        <v>1</v>
      </c>
    </row>
    <row r="38" spans="1:13">
      <c r="A38" s="3"/>
      <c r="B38" s="1627" t="s">
        <v>672</v>
      </c>
      <c r="C38" s="1627"/>
      <c r="D38" s="1627"/>
      <c r="E38" s="1627"/>
      <c r="F38" s="1627"/>
      <c r="G38" s="1627"/>
      <c r="H38" s="1627"/>
      <c r="I38" s="1627"/>
      <c r="J38" s="1627"/>
      <c r="K38" s="1627"/>
      <c r="L38" s="3"/>
      <c r="M38" s="6">
        <v>1</v>
      </c>
    </row>
    <row r="39" spans="1:13">
      <c r="A39" s="3"/>
      <c r="B39" s="1627"/>
      <c r="C39" s="1627"/>
      <c r="D39" s="1627"/>
      <c r="E39" s="1627"/>
      <c r="F39" s="1627"/>
      <c r="G39" s="1627"/>
      <c r="H39" s="1627"/>
      <c r="I39" s="1627"/>
      <c r="J39" s="1627"/>
      <c r="K39" s="1627"/>
      <c r="L39" s="3"/>
      <c r="M39" s="6">
        <v>1</v>
      </c>
    </row>
    <row r="40" spans="1:13">
      <c r="A40" s="3"/>
      <c r="B40" s="43"/>
      <c r="C40" s="3"/>
      <c r="D40" s="3"/>
      <c r="E40" s="3"/>
      <c r="F40" s="3"/>
      <c r="G40" s="3"/>
      <c r="H40" s="3"/>
      <c r="I40" s="3"/>
      <c r="J40" s="3"/>
      <c r="K40" s="3"/>
      <c r="L40" s="3"/>
      <c r="M40" s="6">
        <v>1</v>
      </c>
    </row>
    <row r="41" spans="1:13">
      <c r="A41" s="3"/>
      <c r="B41" s="47" t="s">
        <v>671</v>
      </c>
      <c r="C41" s="3"/>
      <c r="D41" s="3"/>
      <c r="E41" s="3"/>
      <c r="F41" s="3"/>
      <c r="G41" s="3"/>
      <c r="H41" s="3"/>
      <c r="I41" s="3"/>
      <c r="J41" s="3"/>
      <c r="K41" s="3"/>
      <c r="L41" s="3"/>
      <c r="M41" s="6">
        <v>1</v>
      </c>
    </row>
    <row r="42" spans="1:13">
      <c r="A42" s="3"/>
      <c r="B42" s="47" t="s">
        <v>670</v>
      </c>
      <c r="C42" s="3"/>
      <c r="D42" s="3"/>
      <c r="E42" s="3"/>
      <c r="F42" s="3"/>
      <c r="G42" s="3"/>
      <c r="H42" s="3"/>
      <c r="I42" s="3"/>
      <c r="J42" s="3"/>
      <c r="K42" s="3"/>
      <c r="L42" s="3"/>
      <c r="M42" s="6">
        <v>1</v>
      </c>
    </row>
    <row r="43" spans="1:13">
      <c r="A43" s="3"/>
      <c r="B43" s="47" t="s">
        <v>669</v>
      </c>
      <c r="C43" s="3"/>
      <c r="D43" s="3"/>
      <c r="E43" s="3"/>
      <c r="F43" s="3"/>
      <c r="G43" s="3"/>
      <c r="H43" s="3"/>
      <c r="I43" s="3"/>
      <c r="J43" s="3"/>
      <c r="K43" s="3"/>
      <c r="L43" s="3"/>
      <c r="M43" s="6">
        <v>1</v>
      </c>
    </row>
    <row r="44" spans="1:13">
      <c r="A44" s="3"/>
      <c r="B44" s="47" t="s">
        <v>668</v>
      </c>
      <c r="C44" s="3"/>
      <c r="D44" s="3"/>
      <c r="E44" s="3"/>
      <c r="F44" s="3"/>
      <c r="G44" s="3"/>
      <c r="H44" s="3"/>
      <c r="I44" s="3"/>
      <c r="J44" s="3"/>
      <c r="K44" s="3"/>
      <c r="L44" s="3"/>
      <c r="M44" s="6">
        <v>1</v>
      </c>
    </row>
    <row r="45" spans="1:13">
      <c r="A45" s="3"/>
      <c r="B45" s="47" t="s">
        <v>667</v>
      </c>
      <c r="C45" s="3"/>
      <c r="D45" s="3"/>
      <c r="E45" s="3"/>
      <c r="F45" s="3"/>
      <c r="G45" s="3"/>
      <c r="H45" s="3"/>
      <c r="I45" s="3"/>
      <c r="J45" s="3"/>
      <c r="K45" s="3"/>
      <c r="L45" s="3"/>
      <c r="M45" s="6">
        <v>1</v>
      </c>
    </row>
    <row r="46" spans="1:13">
      <c r="A46" s="3"/>
      <c r="B46" s="47" t="s">
        <v>666</v>
      </c>
      <c r="C46" s="3"/>
      <c r="D46" s="3"/>
      <c r="E46" s="3"/>
      <c r="F46" s="3"/>
      <c r="G46" s="3"/>
      <c r="H46" s="3"/>
      <c r="I46" s="3"/>
      <c r="J46" s="3"/>
      <c r="K46" s="3"/>
      <c r="L46" s="3"/>
      <c r="M46" s="6">
        <v>1</v>
      </c>
    </row>
    <row r="47" spans="1:13">
      <c r="A47" s="3"/>
      <c r="B47" s="47" t="s">
        <v>665</v>
      </c>
      <c r="C47" s="3"/>
      <c r="D47" s="3"/>
      <c r="E47" s="3"/>
      <c r="F47" s="3"/>
      <c r="G47" s="3"/>
      <c r="H47" s="3"/>
      <c r="I47" s="3"/>
      <c r="J47" s="3"/>
      <c r="K47" s="3"/>
      <c r="L47" s="3"/>
      <c r="M47" s="6">
        <v>1</v>
      </c>
    </row>
    <row r="48" spans="1:13">
      <c r="A48" s="3"/>
      <c r="B48" s="3"/>
      <c r="C48" s="3"/>
      <c r="D48" s="3"/>
      <c r="E48" s="3"/>
      <c r="F48" s="3"/>
      <c r="G48" s="3"/>
      <c r="H48" s="3"/>
      <c r="I48" s="3"/>
      <c r="J48" s="3"/>
      <c r="K48" s="3"/>
      <c r="L48" s="3"/>
      <c r="M48" s="6">
        <v>1</v>
      </c>
    </row>
    <row r="49" spans="1:13">
      <c r="A49" s="3"/>
      <c r="B49" s="3" t="s">
        <v>664</v>
      </c>
      <c r="C49" s="3"/>
      <c r="D49" s="3"/>
      <c r="E49" s="3"/>
      <c r="F49" s="3"/>
      <c r="G49" s="3"/>
      <c r="H49" s="3"/>
      <c r="I49" s="3"/>
      <c r="J49" s="3"/>
      <c r="K49" s="3"/>
      <c r="L49" s="3"/>
      <c r="M49" s="6">
        <v>1</v>
      </c>
    </row>
    <row r="50" spans="1:13">
      <c r="A50" s="3"/>
      <c r="B50" s="3" t="s">
        <v>663</v>
      </c>
      <c r="C50" s="3"/>
      <c r="D50" s="3"/>
      <c r="E50" s="3"/>
      <c r="F50" s="3"/>
      <c r="G50" s="3"/>
      <c r="H50" s="3"/>
      <c r="I50" s="3"/>
      <c r="J50" s="3"/>
      <c r="K50" s="3"/>
      <c r="L50" s="3"/>
      <c r="M50" s="6">
        <v>1</v>
      </c>
    </row>
    <row r="51" spans="1:13">
      <c r="A51" s="3"/>
      <c r="B51" s="3"/>
      <c r="C51" s="3"/>
      <c r="D51" s="3"/>
      <c r="E51" s="3"/>
      <c r="F51" s="3"/>
      <c r="G51" s="3"/>
      <c r="H51" s="3"/>
      <c r="I51" s="3"/>
      <c r="J51" s="3"/>
      <c r="K51" s="3"/>
      <c r="L51" s="3"/>
      <c r="M51" s="6">
        <v>1</v>
      </c>
    </row>
    <row r="52" spans="1:13" ht="18">
      <c r="A52" s="3"/>
      <c r="B52" s="469" t="s">
        <v>662</v>
      </c>
      <c r="C52" s="3"/>
      <c r="D52" s="3"/>
      <c r="E52" s="3"/>
      <c r="F52" s="3"/>
      <c r="G52" s="3"/>
      <c r="H52" s="3"/>
      <c r="I52" s="3"/>
      <c r="J52" s="3"/>
      <c r="K52" s="3"/>
      <c r="L52" s="3"/>
      <c r="M52" s="6">
        <v>1</v>
      </c>
    </row>
    <row r="53" spans="1:13">
      <c r="A53" s="3"/>
      <c r="B53" s="3"/>
      <c r="C53" s="3"/>
      <c r="D53" s="3"/>
      <c r="E53" s="3"/>
      <c r="F53" s="3"/>
      <c r="G53" s="3"/>
      <c r="H53" s="3"/>
      <c r="I53" s="3"/>
      <c r="J53" s="3"/>
      <c r="K53" s="3"/>
      <c r="L53" s="3"/>
      <c r="M53" s="6">
        <v>1</v>
      </c>
    </row>
    <row r="54" spans="1:13">
      <c r="A54" s="3"/>
      <c r="B54" s="3" t="s">
        <v>661</v>
      </c>
      <c r="C54" s="3"/>
      <c r="D54" s="3"/>
      <c r="E54" s="3"/>
      <c r="F54" s="3"/>
      <c r="G54" s="3"/>
      <c r="H54" s="3"/>
      <c r="I54" s="3"/>
      <c r="J54" s="3"/>
      <c r="K54" s="3"/>
      <c r="L54" s="3"/>
      <c r="M54" s="6">
        <v>1</v>
      </c>
    </row>
    <row r="55" spans="1:13">
      <c r="A55" s="3"/>
      <c r="B55" s="43" t="s">
        <v>660</v>
      </c>
      <c r="C55" s="3"/>
      <c r="D55" s="3"/>
      <c r="E55" s="3"/>
      <c r="F55" s="3"/>
      <c r="G55" s="3"/>
      <c r="H55" s="3"/>
      <c r="I55" s="3"/>
      <c r="J55" s="3"/>
      <c r="K55" s="3"/>
      <c r="L55" s="3"/>
      <c r="M55" s="6">
        <v>1</v>
      </c>
    </row>
    <row r="56" spans="1:13">
      <c r="A56" s="3"/>
      <c r="B56" s="43"/>
      <c r="C56" s="3"/>
      <c r="D56" s="3"/>
      <c r="E56" s="3"/>
      <c r="F56" s="3"/>
      <c r="G56" s="3"/>
      <c r="H56" s="3"/>
      <c r="I56" s="3"/>
      <c r="J56" s="3"/>
      <c r="K56" s="3"/>
      <c r="L56" s="3"/>
      <c r="M56" s="6">
        <v>1</v>
      </c>
    </row>
    <row r="57" spans="1:13">
      <c r="A57" s="3"/>
      <c r="B57" s="43" t="s">
        <v>659</v>
      </c>
      <c r="C57" s="3"/>
      <c r="D57" s="3"/>
      <c r="E57" s="3"/>
      <c r="F57" s="3"/>
      <c r="G57" s="3"/>
      <c r="H57" s="3"/>
      <c r="I57" s="3"/>
      <c r="J57" s="3"/>
      <c r="K57" s="3"/>
      <c r="L57" s="3"/>
      <c r="M57" s="6">
        <v>1</v>
      </c>
    </row>
    <row r="58" spans="1:13">
      <c r="A58" s="3"/>
      <c r="B58" s="43" t="s">
        <v>658</v>
      </c>
      <c r="C58" s="3"/>
      <c r="D58" s="3"/>
      <c r="E58" s="3"/>
      <c r="F58" s="3"/>
      <c r="G58" s="3"/>
      <c r="H58" s="3"/>
      <c r="I58" s="3"/>
      <c r="J58" s="3"/>
      <c r="K58" s="3"/>
      <c r="L58" s="3"/>
      <c r="M58" s="6">
        <v>1</v>
      </c>
    </row>
    <row r="59" spans="1:13">
      <c r="A59" s="3"/>
      <c r="B59" s="43" t="s">
        <v>657</v>
      </c>
      <c r="C59" s="3"/>
      <c r="D59" s="3"/>
      <c r="E59" s="3"/>
      <c r="F59" s="3"/>
      <c r="G59" s="3"/>
      <c r="H59" s="3"/>
      <c r="I59" s="3"/>
      <c r="J59" s="3"/>
      <c r="K59" s="3"/>
      <c r="L59" s="3"/>
      <c r="M59" s="6">
        <v>1</v>
      </c>
    </row>
    <row r="60" spans="1:13">
      <c r="A60" s="3"/>
      <c r="B60" s="3"/>
      <c r="C60" s="3"/>
      <c r="D60" s="3"/>
      <c r="E60" s="3"/>
      <c r="F60" s="3"/>
      <c r="G60" s="3"/>
      <c r="H60" s="3"/>
      <c r="I60" s="3"/>
      <c r="J60" s="3"/>
      <c r="K60" s="3"/>
      <c r="L60" s="3"/>
      <c r="M60" s="6">
        <v>1</v>
      </c>
    </row>
    <row r="61" spans="1:13">
      <c r="A61" s="3"/>
      <c r="B61" s="48" t="s">
        <v>656</v>
      </c>
      <c r="C61" s="3"/>
      <c r="D61" s="3"/>
      <c r="E61" s="3"/>
      <c r="F61" s="3"/>
      <c r="G61" s="3"/>
      <c r="H61" s="3"/>
      <c r="I61" s="3"/>
      <c r="J61" s="3"/>
      <c r="K61" s="3"/>
      <c r="L61" s="3"/>
      <c r="M61" s="6">
        <v>1</v>
      </c>
    </row>
    <row r="62" spans="1:13">
      <c r="A62" s="3"/>
      <c r="B62" s="3" t="s">
        <v>655</v>
      </c>
      <c r="C62" s="3"/>
      <c r="D62" s="3"/>
      <c r="E62" s="3"/>
      <c r="F62" s="3"/>
      <c r="G62" s="3"/>
      <c r="H62" s="3"/>
      <c r="I62" s="3"/>
      <c r="J62" s="3"/>
      <c r="K62" s="3"/>
      <c r="L62" s="3"/>
      <c r="M62" s="6">
        <v>1</v>
      </c>
    </row>
    <row r="63" spans="1:13">
      <c r="A63" s="3"/>
      <c r="B63" s="3"/>
      <c r="C63" s="3"/>
      <c r="D63" s="3"/>
      <c r="E63" s="3"/>
      <c r="F63" s="3"/>
      <c r="G63" s="3"/>
      <c r="H63" s="3"/>
      <c r="I63" s="3"/>
      <c r="J63" s="3"/>
      <c r="K63" s="3"/>
      <c r="L63" s="3"/>
      <c r="M63" s="6">
        <v>1</v>
      </c>
    </row>
    <row r="64" spans="1:13">
      <c r="A64" s="3"/>
      <c r="B64" s="3" t="s">
        <v>654</v>
      </c>
      <c r="C64" s="3"/>
      <c r="D64" s="3"/>
      <c r="E64" s="3"/>
      <c r="F64" s="3"/>
      <c r="G64" s="3"/>
      <c r="H64" s="3"/>
      <c r="I64" s="3"/>
      <c r="J64" s="3"/>
      <c r="K64" s="3"/>
      <c r="L64" s="3"/>
      <c r="M64" s="6">
        <v>1</v>
      </c>
    </row>
    <row r="65" spans="1:13">
      <c r="A65" s="3"/>
      <c r="B65" s="3"/>
      <c r="C65" s="3"/>
      <c r="D65" s="3"/>
      <c r="E65" s="3"/>
      <c r="F65" s="3"/>
      <c r="G65" s="3"/>
      <c r="H65" s="3"/>
      <c r="I65" s="3"/>
      <c r="J65" s="3"/>
      <c r="K65" s="3"/>
      <c r="L65" s="3"/>
      <c r="M65" s="6">
        <v>1</v>
      </c>
    </row>
    <row r="66" spans="1:13" ht="18">
      <c r="A66" s="3"/>
      <c r="B66" s="469" t="s">
        <v>653</v>
      </c>
      <c r="C66" s="3"/>
      <c r="D66" s="3"/>
      <c r="E66" s="3"/>
      <c r="F66" s="3"/>
      <c r="G66" s="3"/>
      <c r="H66" s="3"/>
      <c r="I66" s="3"/>
      <c r="J66" s="3"/>
      <c r="K66" s="3"/>
      <c r="L66" s="3"/>
      <c r="M66" s="6">
        <v>1</v>
      </c>
    </row>
    <row r="67" spans="1:13">
      <c r="A67" s="3"/>
      <c r="B67" s="3"/>
      <c r="C67" s="3"/>
      <c r="D67" s="3"/>
      <c r="E67" s="3"/>
      <c r="F67" s="3"/>
      <c r="G67" s="3"/>
      <c r="H67" s="3"/>
      <c r="I67" s="3"/>
      <c r="J67" s="3"/>
      <c r="K67" s="3"/>
      <c r="L67" s="3"/>
      <c r="M67" s="6">
        <v>1</v>
      </c>
    </row>
    <row r="68" spans="1:13">
      <c r="A68" s="3"/>
      <c r="B68" s="3"/>
      <c r="C68" s="3"/>
      <c r="D68" s="3"/>
      <c r="E68" s="3"/>
      <c r="F68" s="3"/>
      <c r="G68" s="3"/>
      <c r="H68" s="3"/>
      <c r="I68" s="3"/>
      <c r="J68" s="3"/>
      <c r="K68" s="3"/>
      <c r="L68" s="3"/>
      <c r="M68" s="6">
        <v>1</v>
      </c>
    </row>
    <row r="69" spans="1:13">
      <c r="A69" s="3"/>
      <c r="B69" s="3"/>
      <c r="C69" s="3"/>
      <c r="D69" s="3"/>
      <c r="E69" s="3"/>
      <c r="F69" s="3"/>
      <c r="G69" s="3"/>
      <c r="H69" s="3"/>
      <c r="I69" s="3"/>
      <c r="J69" s="3"/>
      <c r="K69" s="3"/>
      <c r="L69" s="3"/>
      <c r="M69" s="6">
        <v>1</v>
      </c>
    </row>
    <row r="70" spans="1:13">
      <c r="A70" s="3"/>
      <c r="B70" s="3"/>
      <c r="C70" s="3"/>
      <c r="D70" s="3"/>
      <c r="E70" s="3"/>
      <c r="F70" s="3"/>
      <c r="G70" s="3"/>
      <c r="H70" s="3"/>
      <c r="I70" s="3"/>
      <c r="J70" s="3"/>
      <c r="K70" s="3"/>
      <c r="L70" s="3"/>
      <c r="M70" s="6">
        <v>1</v>
      </c>
    </row>
    <row r="71" spans="1:13">
      <c r="A71" s="3"/>
      <c r="B71" s="3"/>
      <c r="C71" s="3"/>
      <c r="D71" s="3"/>
      <c r="E71" s="3"/>
      <c r="F71" s="3"/>
      <c r="G71" s="3"/>
      <c r="H71" s="3"/>
      <c r="I71" s="3"/>
      <c r="J71" s="3"/>
      <c r="K71" s="3"/>
      <c r="L71" s="3"/>
      <c r="M71" s="6">
        <v>1</v>
      </c>
    </row>
    <row r="72" spans="1:13">
      <c r="A72" s="3"/>
      <c r="B72" s="3"/>
      <c r="C72" s="3"/>
      <c r="D72" s="3"/>
      <c r="E72" s="3"/>
      <c r="F72" s="3"/>
      <c r="G72" s="3"/>
      <c r="H72" s="3"/>
      <c r="I72" s="3"/>
      <c r="J72" s="3"/>
      <c r="K72" s="3"/>
      <c r="L72" s="3"/>
      <c r="M72" s="6">
        <v>1</v>
      </c>
    </row>
    <row r="73" spans="1:13">
      <c r="A73" s="3"/>
      <c r="B73" s="3"/>
      <c r="C73" s="3"/>
      <c r="D73" s="3"/>
      <c r="E73" s="3"/>
      <c r="F73" s="3"/>
      <c r="G73" s="3"/>
      <c r="H73" s="3"/>
      <c r="I73" s="3"/>
      <c r="J73" s="3"/>
      <c r="K73" s="3"/>
      <c r="L73" s="3"/>
      <c r="M73" s="6">
        <v>1</v>
      </c>
    </row>
    <row r="74" spans="1:13">
      <c r="A74" s="3"/>
      <c r="B74" s="1628" t="s">
        <v>652</v>
      </c>
      <c r="C74" s="1628"/>
      <c r="D74" s="1628"/>
      <c r="E74" s="1628"/>
      <c r="F74" s="1628"/>
      <c r="G74" s="1628"/>
      <c r="H74" s="1628"/>
      <c r="I74" s="1628"/>
      <c r="J74" s="1628"/>
      <c r="K74" s="1628"/>
      <c r="L74" s="3"/>
      <c r="M74" s="6">
        <v>1</v>
      </c>
    </row>
    <row r="75" spans="1:13">
      <c r="A75" s="3"/>
      <c r="B75" s="1628"/>
      <c r="C75" s="1628"/>
      <c r="D75" s="1628"/>
      <c r="E75" s="1628"/>
      <c r="F75" s="1628"/>
      <c r="G75" s="1628"/>
      <c r="H75" s="1628"/>
      <c r="I75" s="1628"/>
      <c r="J75" s="1628"/>
      <c r="K75" s="1628"/>
      <c r="L75" s="3"/>
      <c r="M75" s="6">
        <v>1</v>
      </c>
    </row>
    <row r="76" spans="1:13">
      <c r="A76" s="3"/>
      <c r="B76" s="1628"/>
      <c r="C76" s="1628"/>
      <c r="D76" s="1628"/>
      <c r="E76" s="1628"/>
      <c r="F76" s="1628"/>
      <c r="G76" s="1628"/>
      <c r="H76" s="1628"/>
      <c r="I76" s="1628"/>
      <c r="J76" s="1628"/>
      <c r="K76" s="1628"/>
      <c r="L76" s="3"/>
      <c r="M76" s="6">
        <v>1</v>
      </c>
    </row>
    <row r="77" spans="1:13">
      <c r="A77" s="3"/>
      <c r="B77" s="1628"/>
      <c r="C77" s="1628"/>
      <c r="D77" s="1628"/>
      <c r="E77" s="1628"/>
      <c r="F77" s="1628"/>
      <c r="G77" s="1628"/>
      <c r="H77" s="1628"/>
      <c r="I77" s="1628"/>
      <c r="J77" s="1628"/>
      <c r="K77" s="1628"/>
      <c r="L77" s="3"/>
      <c r="M77" s="6">
        <v>1</v>
      </c>
    </row>
    <row r="78" spans="1:13">
      <c r="A78" s="3"/>
      <c r="B78" s="43"/>
      <c r="C78" s="3"/>
      <c r="D78" s="3"/>
      <c r="E78" s="3"/>
      <c r="F78" s="3"/>
      <c r="G78" s="3"/>
      <c r="H78" s="3"/>
      <c r="I78" s="3"/>
      <c r="J78" s="3"/>
      <c r="K78" s="3"/>
      <c r="L78" s="3"/>
      <c r="M78" s="6">
        <v>1</v>
      </c>
    </row>
    <row r="79" spans="1:13">
      <c r="A79" s="3"/>
      <c r="B79" s="43" t="s">
        <v>651</v>
      </c>
      <c r="C79" s="3"/>
      <c r="D79" s="3"/>
      <c r="E79" s="3"/>
      <c r="F79" s="3"/>
      <c r="G79" s="3"/>
      <c r="H79" s="3"/>
      <c r="I79" s="3"/>
      <c r="J79" s="3"/>
      <c r="K79" s="3"/>
      <c r="L79" s="3"/>
      <c r="M79" s="6">
        <v>1</v>
      </c>
    </row>
    <row r="80" spans="1:13">
      <c r="A80" s="3"/>
      <c r="B80" s="43" t="s">
        <v>650</v>
      </c>
      <c r="C80" s="3"/>
      <c r="D80" s="3"/>
      <c r="E80" s="3"/>
      <c r="F80" s="3"/>
      <c r="G80" s="3"/>
      <c r="H80" s="3"/>
      <c r="I80" s="3"/>
      <c r="J80" s="3"/>
      <c r="K80" s="3"/>
      <c r="L80" s="3"/>
      <c r="M80" s="6">
        <v>1</v>
      </c>
    </row>
    <row r="81" spans="1:13">
      <c r="A81" s="3"/>
      <c r="B81" s="43" t="s">
        <v>649</v>
      </c>
      <c r="C81" s="3"/>
      <c r="D81" s="3"/>
      <c r="E81" s="3"/>
      <c r="F81" s="3"/>
      <c r="G81" s="3"/>
      <c r="H81" s="3"/>
      <c r="I81" s="3"/>
      <c r="J81" s="3"/>
      <c r="K81" s="3"/>
      <c r="L81" s="3"/>
      <c r="M81" s="6">
        <v>1</v>
      </c>
    </row>
    <row r="82" spans="1:13">
      <c r="A82" s="3"/>
      <c r="B82" s="43" t="s">
        <v>648</v>
      </c>
      <c r="C82" s="3"/>
      <c r="D82" s="3"/>
      <c r="E82" s="3"/>
      <c r="F82" s="3"/>
      <c r="G82" s="3"/>
      <c r="H82" s="3"/>
      <c r="I82" s="3"/>
      <c r="J82" s="3"/>
      <c r="K82" s="3"/>
      <c r="L82" s="3"/>
      <c r="M82" s="6">
        <v>1</v>
      </c>
    </row>
    <row r="83" spans="1:13">
      <c r="A83" s="3"/>
      <c r="B83" s="3"/>
      <c r="C83" s="3"/>
      <c r="D83" s="3"/>
      <c r="E83" s="3"/>
      <c r="F83" s="3"/>
      <c r="G83" s="3"/>
      <c r="H83" s="3"/>
      <c r="I83" s="3"/>
      <c r="J83" s="3"/>
      <c r="K83" s="3"/>
      <c r="L83" s="3"/>
      <c r="M83" s="6">
        <v>1</v>
      </c>
    </row>
    <row r="84" spans="1:13">
      <c r="A84" s="3"/>
      <c r="B84" s="3" t="s">
        <v>647</v>
      </c>
      <c r="C84" s="3"/>
      <c r="D84" s="3"/>
      <c r="E84" s="3"/>
      <c r="F84" s="3"/>
      <c r="G84" s="3"/>
      <c r="H84" s="3"/>
      <c r="I84" s="3"/>
      <c r="J84" s="3"/>
      <c r="K84" s="3"/>
      <c r="L84" s="3"/>
      <c r="M84" s="6">
        <v>1</v>
      </c>
    </row>
    <row r="85" spans="1:13">
      <c r="A85" s="3"/>
      <c r="B85" s="1627" t="s">
        <v>646</v>
      </c>
      <c r="C85" s="1627"/>
      <c r="D85" s="1627"/>
      <c r="E85" s="1627"/>
      <c r="F85" s="1627"/>
      <c r="G85" s="1627"/>
      <c r="H85" s="1627"/>
      <c r="I85" s="1627"/>
      <c r="J85" s="1627"/>
      <c r="K85" s="1627"/>
      <c r="L85" s="3"/>
      <c r="M85" s="6">
        <v>1</v>
      </c>
    </row>
    <row r="86" spans="1:13">
      <c r="A86" s="3"/>
      <c r="B86" s="1627"/>
      <c r="C86" s="1627"/>
      <c r="D86" s="1627"/>
      <c r="E86" s="1627"/>
      <c r="F86" s="1627"/>
      <c r="G86" s="1627"/>
      <c r="H86" s="1627"/>
      <c r="I86" s="1627"/>
      <c r="J86" s="1627"/>
      <c r="K86" s="1627"/>
      <c r="L86" s="3"/>
      <c r="M86" s="6">
        <v>1</v>
      </c>
    </row>
    <row r="87" spans="1:13">
      <c r="A87" s="3"/>
      <c r="B87" s="1627"/>
      <c r="C87" s="1627"/>
      <c r="D87" s="1627"/>
      <c r="E87" s="1627"/>
      <c r="F87" s="1627"/>
      <c r="G87" s="1627"/>
      <c r="H87" s="1627"/>
      <c r="I87" s="1627"/>
      <c r="J87" s="1627"/>
      <c r="K87" s="1627"/>
      <c r="L87" s="3"/>
      <c r="M87" s="6">
        <v>1</v>
      </c>
    </row>
    <row r="88" spans="1:13" ht="18">
      <c r="A88" s="3"/>
      <c r="B88" s="469" t="s">
        <v>645</v>
      </c>
      <c r="C88" s="3"/>
      <c r="D88" s="3"/>
      <c r="E88" s="3"/>
      <c r="F88" s="3"/>
      <c r="G88" s="3"/>
      <c r="H88" s="3"/>
      <c r="I88" s="3"/>
      <c r="J88" s="3"/>
      <c r="K88" s="3"/>
      <c r="L88" s="3"/>
      <c r="M88" s="6">
        <v>1</v>
      </c>
    </row>
    <row r="89" spans="1:13">
      <c r="A89" s="3"/>
      <c r="B89" s="3"/>
      <c r="C89" s="3"/>
      <c r="D89" s="3"/>
      <c r="E89" s="3"/>
      <c r="F89" s="3"/>
      <c r="G89" s="3"/>
      <c r="H89" s="3"/>
      <c r="I89" s="3"/>
      <c r="J89" s="3"/>
      <c r="K89" s="3"/>
      <c r="L89" s="3"/>
      <c r="M89" s="6">
        <v>1</v>
      </c>
    </row>
    <row r="90" spans="1:13">
      <c r="A90" s="3"/>
      <c r="B90" s="1627" t="s">
        <v>644</v>
      </c>
      <c r="C90" s="1627"/>
      <c r="D90" s="1627"/>
      <c r="E90" s="1627"/>
      <c r="F90" s="1627"/>
      <c r="G90" s="1627"/>
      <c r="H90" s="1627"/>
      <c r="I90" s="1627"/>
      <c r="J90" s="1627"/>
      <c r="K90" s="1627"/>
      <c r="L90" s="3"/>
      <c r="M90" s="6">
        <v>1</v>
      </c>
    </row>
    <row r="91" spans="1:13">
      <c r="A91" s="3"/>
      <c r="B91" s="1627"/>
      <c r="C91" s="1627"/>
      <c r="D91" s="1627"/>
      <c r="E91" s="1627"/>
      <c r="F91" s="1627"/>
      <c r="G91" s="1627"/>
      <c r="H91" s="1627"/>
      <c r="I91" s="1627"/>
      <c r="J91" s="1627"/>
      <c r="K91" s="1627"/>
      <c r="L91" s="3"/>
      <c r="M91" s="6">
        <v>1</v>
      </c>
    </row>
    <row r="92" spans="1:13">
      <c r="A92" s="3"/>
      <c r="B92" s="1627"/>
      <c r="C92" s="1627"/>
      <c r="D92" s="1627"/>
      <c r="E92" s="1627"/>
      <c r="F92" s="1627"/>
      <c r="G92" s="1627"/>
      <c r="H92" s="1627"/>
      <c r="I92" s="1627"/>
      <c r="J92" s="1627"/>
      <c r="K92" s="1627"/>
      <c r="L92" s="3"/>
      <c r="M92" s="6">
        <v>1</v>
      </c>
    </row>
    <row r="93" spans="1:13">
      <c r="A93" s="3"/>
      <c r="B93" s="43"/>
      <c r="C93" s="3"/>
      <c r="D93" s="3"/>
      <c r="E93" s="3"/>
      <c r="F93" s="3"/>
      <c r="G93" s="3"/>
      <c r="H93" s="3"/>
      <c r="I93" s="3"/>
      <c r="J93" s="3"/>
      <c r="K93" s="3"/>
      <c r="L93" s="3"/>
      <c r="M93" s="6">
        <v>1</v>
      </c>
    </row>
    <row r="94" spans="1:13">
      <c r="A94" s="3"/>
      <c r="B94" s="43" t="s">
        <v>643</v>
      </c>
      <c r="C94" s="3"/>
      <c r="D94" s="3"/>
      <c r="E94" s="3"/>
      <c r="F94" s="3"/>
      <c r="G94" s="3"/>
      <c r="H94" s="3"/>
      <c r="I94" s="3"/>
      <c r="J94" s="3"/>
      <c r="K94" s="3"/>
      <c r="L94" s="3"/>
      <c r="M94" s="6">
        <v>1</v>
      </c>
    </row>
    <row r="95" spans="1:13">
      <c r="A95" s="3"/>
      <c r="B95" s="43" t="s">
        <v>642</v>
      </c>
      <c r="C95" s="3"/>
      <c r="D95" s="3"/>
      <c r="E95" s="3"/>
      <c r="F95" s="3"/>
      <c r="G95" s="3"/>
      <c r="H95" s="3"/>
      <c r="I95" s="3"/>
      <c r="J95" s="3"/>
      <c r="K95" s="3"/>
      <c r="L95" s="3"/>
      <c r="M95" s="6">
        <v>1</v>
      </c>
    </row>
    <row r="96" spans="1:13">
      <c r="A96" s="3"/>
      <c r="B96" s="43" t="s">
        <v>641</v>
      </c>
      <c r="C96" s="3"/>
      <c r="D96" s="3"/>
      <c r="E96" s="3"/>
      <c r="F96" s="3"/>
      <c r="G96" s="3"/>
      <c r="H96" s="3"/>
      <c r="I96" s="3"/>
      <c r="J96" s="3"/>
      <c r="K96" s="3"/>
      <c r="L96" s="3"/>
      <c r="M96" s="6">
        <v>1</v>
      </c>
    </row>
    <row r="97" spans="1:13">
      <c r="A97" s="3"/>
      <c r="B97" s="3"/>
      <c r="C97" s="3"/>
      <c r="D97" s="3"/>
      <c r="E97" s="3"/>
      <c r="F97" s="3"/>
      <c r="G97" s="3"/>
      <c r="H97" s="3"/>
      <c r="I97" s="3"/>
      <c r="J97" s="3"/>
      <c r="K97" s="3"/>
      <c r="L97" s="3"/>
      <c r="M97" s="6">
        <v>1</v>
      </c>
    </row>
    <row r="98" spans="1:13">
      <c r="A98" s="3"/>
      <c r="B98" s="1627" t="s">
        <v>640</v>
      </c>
      <c r="C98" s="1627"/>
      <c r="D98" s="1627"/>
      <c r="E98" s="1627"/>
      <c r="F98" s="1627"/>
      <c r="G98" s="1627"/>
      <c r="H98" s="1627"/>
      <c r="I98" s="1627"/>
      <c r="J98" s="1627"/>
      <c r="K98" s="1627"/>
      <c r="L98" s="1627"/>
      <c r="M98" s="6">
        <v>1</v>
      </c>
    </row>
    <row r="99" spans="1:13">
      <c r="A99" s="3"/>
      <c r="B99" s="1627"/>
      <c r="C99" s="1627"/>
      <c r="D99" s="1627"/>
      <c r="E99" s="1627"/>
      <c r="F99" s="1627"/>
      <c r="G99" s="1627"/>
      <c r="H99" s="1627"/>
      <c r="I99" s="1627"/>
      <c r="J99" s="1627"/>
      <c r="K99" s="1627"/>
      <c r="L99" s="1627"/>
      <c r="M99" s="6">
        <v>1</v>
      </c>
    </row>
    <row r="100" spans="1:13">
      <c r="A100" s="3"/>
      <c r="B100" s="468"/>
      <c r="C100" s="468"/>
      <c r="D100" s="468"/>
      <c r="E100" s="468"/>
      <c r="F100" s="468"/>
      <c r="G100" s="468"/>
      <c r="H100" s="468"/>
      <c r="I100" s="468"/>
      <c r="J100" s="468"/>
      <c r="K100" s="468"/>
      <c r="L100" s="468"/>
      <c r="M100" s="6">
        <v>1</v>
      </c>
    </row>
    <row r="101" spans="1:13">
      <c r="A101" s="3"/>
      <c r="B101" s="43" t="s">
        <v>603</v>
      </c>
      <c r="C101" s="468"/>
      <c r="D101" s="468"/>
      <c r="E101" s="468"/>
      <c r="F101" s="468"/>
      <c r="G101" s="468"/>
      <c r="H101" s="468"/>
      <c r="I101" s="468"/>
      <c r="J101" s="468"/>
      <c r="K101" s="468"/>
      <c r="L101" s="468"/>
      <c r="M101" s="6">
        <v>1</v>
      </c>
    </row>
    <row r="102" spans="1:13">
      <c r="A102" s="3"/>
      <c r="B102" s="43" t="s">
        <v>600</v>
      </c>
      <c r="C102" s="468"/>
      <c r="D102" s="468"/>
      <c r="E102" s="468"/>
      <c r="F102" s="468"/>
      <c r="G102" s="468"/>
      <c r="H102" s="468"/>
      <c r="I102" s="468"/>
      <c r="J102" s="468"/>
      <c r="K102" s="468"/>
      <c r="L102" s="468"/>
      <c r="M102" s="6">
        <v>1</v>
      </c>
    </row>
    <row r="103" spans="1:13">
      <c r="A103" s="3"/>
      <c r="B103" s="43" t="s">
        <v>245</v>
      </c>
      <c r="C103" s="468"/>
      <c r="D103" s="468"/>
      <c r="E103" s="468"/>
      <c r="F103" s="468"/>
      <c r="G103" s="468"/>
      <c r="H103" s="468"/>
      <c r="I103" s="468"/>
      <c r="J103" s="468"/>
      <c r="K103" s="468"/>
      <c r="L103" s="468"/>
      <c r="M103" s="6">
        <v>1</v>
      </c>
    </row>
    <row r="104" spans="1:13">
      <c r="A104" s="3"/>
      <c r="B104" s="43"/>
      <c r="C104" s="468"/>
      <c r="D104" s="468"/>
      <c r="E104" s="468"/>
      <c r="F104" s="468"/>
      <c r="G104" s="468"/>
      <c r="H104" s="468"/>
      <c r="I104" s="468"/>
      <c r="J104" s="468"/>
      <c r="K104" s="468"/>
      <c r="L104" s="468"/>
      <c r="M104" s="6">
        <v>1</v>
      </c>
    </row>
    <row r="105" spans="1:13">
      <c r="A105" s="3"/>
      <c r="B105" s="43" t="s">
        <v>251</v>
      </c>
      <c r="C105" s="468"/>
      <c r="D105" s="468"/>
      <c r="E105" s="468"/>
      <c r="F105" s="468"/>
      <c r="G105" s="468"/>
      <c r="H105" s="468"/>
      <c r="I105" s="468"/>
      <c r="J105" s="468"/>
      <c r="K105" s="468"/>
      <c r="L105" s="468"/>
      <c r="M105" s="6">
        <v>1</v>
      </c>
    </row>
    <row r="106" spans="1:13">
      <c r="A106" s="3"/>
      <c r="B106" s="43" t="s">
        <v>595</v>
      </c>
      <c r="C106" s="468"/>
      <c r="D106" s="468"/>
      <c r="E106" s="468"/>
      <c r="F106" s="468"/>
      <c r="G106" s="468"/>
      <c r="H106" s="468"/>
      <c r="I106" s="468"/>
      <c r="J106" s="468"/>
      <c r="K106" s="468"/>
      <c r="L106" s="468"/>
      <c r="M106" s="6">
        <v>1</v>
      </c>
    </row>
    <row r="107" spans="1:13">
      <c r="A107" s="3"/>
      <c r="B107" s="468"/>
      <c r="C107" s="468"/>
      <c r="D107" s="468"/>
      <c r="E107" s="468"/>
      <c r="F107" s="468"/>
      <c r="G107" s="468"/>
      <c r="H107" s="468"/>
      <c r="I107" s="468"/>
      <c r="J107" s="468"/>
      <c r="K107" s="468"/>
      <c r="L107" s="468"/>
      <c r="M107" s="6">
        <v>1</v>
      </c>
    </row>
    <row r="108" spans="1:13" ht="23.25">
      <c r="A108" s="3"/>
      <c r="B108" s="467" t="s">
        <v>639</v>
      </c>
      <c r="C108" s="3"/>
      <c r="D108" s="3"/>
      <c r="E108" s="3"/>
      <c r="F108" s="3"/>
      <c r="G108" s="3"/>
      <c r="H108" s="3"/>
      <c r="I108" s="3"/>
      <c r="J108" s="3"/>
      <c r="K108" s="3"/>
      <c r="L108" s="3"/>
      <c r="M108" s="6">
        <v>1</v>
      </c>
    </row>
    <row r="109" spans="1:13">
      <c r="A109" s="3"/>
      <c r="B109" s="3"/>
      <c r="C109" s="3"/>
      <c r="D109" s="3"/>
      <c r="E109" s="3"/>
      <c r="F109" s="3"/>
      <c r="G109" s="3"/>
      <c r="H109" s="3"/>
      <c r="I109" s="3"/>
      <c r="J109" s="3"/>
      <c r="K109" s="3"/>
      <c r="L109" s="3"/>
      <c r="M109" s="6">
        <v>1</v>
      </c>
    </row>
    <row r="110" spans="1:13">
      <c r="A110" s="3"/>
      <c r="B110" s="466" t="s">
        <v>638</v>
      </c>
      <c r="C110" s="3"/>
      <c r="D110" s="3"/>
      <c r="E110" s="3"/>
      <c r="F110" s="3"/>
      <c r="G110" s="3"/>
      <c r="H110" s="3"/>
      <c r="I110" s="3"/>
      <c r="J110" s="3"/>
      <c r="K110" s="3"/>
      <c r="L110" s="3"/>
      <c r="M110" s="6">
        <v>1</v>
      </c>
    </row>
    <row r="111" spans="1:13">
      <c r="A111" s="3"/>
      <c r="B111" s="466" t="s">
        <v>637</v>
      </c>
      <c r="C111" s="3"/>
      <c r="D111" s="3"/>
      <c r="E111" s="3"/>
      <c r="F111" s="3"/>
      <c r="G111" s="3"/>
      <c r="H111" s="3"/>
      <c r="I111" s="3"/>
      <c r="J111" s="3"/>
      <c r="K111" s="3"/>
      <c r="L111" s="3"/>
      <c r="M111" s="6">
        <v>1</v>
      </c>
    </row>
    <row r="112" spans="1:13">
      <c r="A112" s="3"/>
      <c r="B112" s="466" t="s">
        <v>636</v>
      </c>
      <c r="C112" s="3"/>
      <c r="D112" s="3"/>
      <c r="E112" s="3"/>
      <c r="F112" s="3"/>
      <c r="G112" s="3"/>
      <c r="H112" s="3"/>
      <c r="I112" s="3"/>
      <c r="J112" s="3"/>
      <c r="K112" s="3"/>
      <c r="L112" s="3"/>
      <c r="M112" s="6">
        <v>1</v>
      </c>
    </row>
    <row r="113" spans="1:15">
      <c r="A113" s="3"/>
      <c r="B113" s="3"/>
      <c r="C113" s="3"/>
      <c r="D113" s="3"/>
      <c r="E113" s="3"/>
      <c r="F113" s="3"/>
      <c r="G113" s="3"/>
      <c r="H113" s="3"/>
      <c r="I113" s="3"/>
      <c r="J113" s="3"/>
      <c r="K113" s="3"/>
      <c r="L113" s="3"/>
      <c r="M113" s="6">
        <v>1</v>
      </c>
    </row>
    <row r="114" spans="1:15">
      <c r="A114" s="3"/>
      <c r="B114" s="3"/>
      <c r="C114" s="3"/>
      <c r="D114" s="3"/>
      <c r="E114" s="3"/>
      <c r="F114" s="3"/>
      <c r="G114" s="3"/>
      <c r="H114" s="3"/>
      <c r="I114" s="3"/>
      <c r="J114" s="3"/>
      <c r="K114" s="3"/>
      <c r="L114" s="3"/>
      <c r="M114" s="465" t="s">
        <v>380</v>
      </c>
    </row>
    <row r="115" spans="1:15">
      <c r="A115" s="6">
        <v>1</v>
      </c>
      <c r="B115" s="6">
        <v>1</v>
      </c>
      <c r="C115" s="6">
        <v>1</v>
      </c>
      <c r="D115" s="6">
        <v>1</v>
      </c>
      <c r="E115" s="6">
        <v>1</v>
      </c>
      <c r="F115" s="6">
        <v>1</v>
      </c>
      <c r="G115" s="6">
        <v>1</v>
      </c>
      <c r="H115" s="6">
        <v>1</v>
      </c>
      <c r="I115" s="6">
        <v>1</v>
      </c>
      <c r="J115" s="6">
        <v>1</v>
      </c>
      <c r="K115" s="6">
        <v>1</v>
      </c>
      <c r="L115" s="6">
        <v>1</v>
      </c>
      <c r="M115" s="4" t="str">
        <f>ADDRESS(ROW(),COLUMN(),4)</f>
        <v>M115</v>
      </c>
      <c r="N115" s="45"/>
      <c r="O115" s="46" t="str">
        <f>ADDRESS(ROW(),COLUMN(),4)</f>
        <v>O115</v>
      </c>
    </row>
  </sheetData>
  <mergeCells count="7">
    <mergeCell ref="B98:L99"/>
    <mergeCell ref="B17:K19"/>
    <mergeCell ref="B21:K25"/>
    <mergeCell ref="B38:K39"/>
    <mergeCell ref="B74:K77"/>
    <mergeCell ref="B85:K87"/>
    <mergeCell ref="B90:K92"/>
  </mergeCells>
  <hyperlinks>
    <hyperlink ref="B15" r:id="rId1" display="https://www.hotellerie-restauration.ac-versailles.fr/spip.php?auteur69" xr:uid="{88109C96-DB21-41C9-973A-492183C50E9B}"/>
    <hyperlink ref="B17" r:id="rId2" display="https://cuisine-centrale17.fr/" xr:uid="{357E5D04-A218-41C9-8385-93539BFC0CF8}"/>
    <hyperlink ref="B74" r:id="rId3" display="https://cuisine-centrale17.fr/" xr:uid="{628BE5D2-33AC-4982-9DD4-58237A3BCC43}"/>
    <hyperlink ref="B110" r:id="rId4" display="mailto: cuisine.centrale17@gmail.com" xr:uid="{BA4A5495-28D2-447E-A842-B0A0401B95DB}"/>
    <hyperlink ref="B111" r:id="rId5" display="https://cuisine-centrale17.fr/" xr:uid="{E5709DD5-9EA7-47CE-A8CA-0B726CEB36AD}"/>
    <hyperlink ref="B112" r:id="rId6" display="https://www.facebook.com/UPRT.fr" xr:uid="{747E98E2-9BF0-4D9E-B2F7-2C009C505BE1}"/>
    <hyperlink ref="B8" r:id="rId7" xr:uid="{7152F53E-80AF-40CE-9C7F-AE773DA17C10}"/>
  </hyperlinks>
  <pageMargins left="0.7" right="0.7" top="0.75" bottom="0.75" header="0.3" footer="0.3"/>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7D840-873E-42FA-BA1F-D5A7357B12CD}">
  <dimension ref="A1:W28"/>
  <sheetViews>
    <sheetView showGridLines="0" workbookViewId="0">
      <selection activeCell="M7" sqref="M7"/>
    </sheetView>
  </sheetViews>
  <sheetFormatPr baseColWidth="10" defaultColWidth="10.28515625" defaultRowHeight="15"/>
  <cols>
    <col min="1" max="1" width="30.5703125" style="615" customWidth="1"/>
    <col min="2" max="2" width="24" style="615" customWidth="1"/>
    <col min="3" max="3" width="56.28515625" style="615" customWidth="1"/>
    <col min="4" max="4" width="48" style="615" customWidth="1"/>
    <col min="5" max="5" width="24" style="615" customWidth="1"/>
    <col min="6" max="6" width="22" style="615" customWidth="1"/>
    <col min="7" max="7" width="20.28515625" style="615" customWidth="1"/>
    <col min="8" max="8" width="23.42578125" style="615" customWidth="1"/>
    <col min="9" max="9" width="22" style="615" customWidth="1"/>
    <col min="10" max="11" width="30.85546875" style="615" customWidth="1"/>
    <col min="12" max="12" width="25.140625" style="615" customWidth="1"/>
    <col min="13" max="13" width="30.5703125" style="615" customWidth="1"/>
    <col min="14" max="14" width="30.85546875" style="615" customWidth="1"/>
    <col min="15" max="15" width="27.7109375" style="615" customWidth="1"/>
    <col min="16" max="16" width="3.42578125" style="615" customWidth="1"/>
    <col min="17" max="18" width="21.7109375" style="615" customWidth="1"/>
    <col min="19" max="23" width="22.85546875" style="615" customWidth="1"/>
    <col min="24" max="16384" width="10.28515625" style="615"/>
  </cols>
  <sheetData>
    <row r="1" spans="1:23" ht="27.95" customHeight="1">
      <c r="A1" s="1321" t="s">
        <v>6937</v>
      </c>
      <c r="B1" s="1322"/>
      <c r="C1" s="1322"/>
      <c r="D1" s="1322"/>
      <c r="E1" s="1322"/>
      <c r="F1" s="1322"/>
      <c r="G1" s="1010"/>
      <c r="H1" s="1010"/>
      <c r="I1" s="1321" t="s">
        <v>6937</v>
      </c>
      <c r="J1" s="1322"/>
      <c r="K1" s="1322"/>
      <c r="L1" s="1322"/>
      <c r="M1" s="1322"/>
      <c r="N1" s="1322"/>
      <c r="O1" s="1011"/>
      <c r="P1" s="617"/>
      <c r="Q1" s="1276" t="s">
        <v>6938</v>
      </c>
      <c r="R1" s="1276"/>
      <c r="S1" s="1276"/>
      <c r="T1" s="1276"/>
      <c r="U1" s="1276"/>
      <c r="V1" s="1276"/>
      <c r="W1" s="1276"/>
    </row>
    <row r="2" spans="1:23" ht="27.95" customHeight="1">
      <c r="A2" s="1323"/>
      <c r="B2" s="1324"/>
      <c r="C2" s="1324"/>
      <c r="D2" s="1324"/>
      <c r="E2" s="1324"/>
      <c r="F2" s="1324"/>
      <c r="G2" s="1012"/>
      <c r="H2" s="1012"/>
      <c r="I2" s="1323"/>
      <c r="J2" s="1324"/>
      <c r="K2" s="1324"/>
      <c r="L2" s="1324"/>
      <c r="M2" s="1324"/>
      <c r="N2" s="1324"/>
      <c r="O2" s="1013"/>
      <c r="P2" s="617"/>
      <c r="Q2" s="1276"/>
      <c r="R2" s="1276"/>
      <c r="S2" s="1276"/>
      <c r="T2" s="1276"/>
      <c r="U2" s="1276"/>
      <c r="V2" s="1276"/>
      <c r="W2" s="1276"/>
    </row>
    <row r="3" spans="1:23" ht="27.95" customHeight="1">
      <c r="A3" s="1301" t="s">
        <v>6939</v>
      </c>
      <c r="B3" s="1301"/>
      <c r="C3" s="1301"/>
      <c r="D3" s="1301"/>
      <c r="E3" s="1301"/>
      <c r="F3" s="1301"/>
      <c r="G3" s="1301"/>
      <c r="H3" s="1301"/>
      <c r="I3" s="1301"/>
      <c r="J3" s="1301"/>
      <c r="K3" s="1301"/>
      <c r="L3" s="1301"/>
      <c r="M3" s="1301"/>
      <c r="N3" s="1301"/>
      <c r="O3" s="1301"/>
      <c r="P3" s="617"/>
      <c r="Q3" s="1325" t="s">
        <v>6940</v>
      </c>
      <c r="R3" s="1325"/>
      <c r="S3" s="1325"/>
      <c r="T3" s="1325"/>
      <c r="U3" s="1325"/>
      <c r="V3" s="1325"/>
      <c r="W3" s="1325"/>
    </row>
    <row r="4" spans="1:23" ht="33.950000000000003" customHeight="1">
      <c r="A4" s="971" t="s">
        <v>6401</v>
      </c>
      <c r="B4" s="1313"/>
      <c r="C4" s="1314"/>
      <c r="D4" s="1014"/>
      <c r="E4" s="1315" t="s">
        <v>6513</v>
      </c>
      <c r="F4" s="1316"/>
      <c r="G4" s="1317"/>
      <c r="H4" s="1318"/>
      <c r="I4" s="1015"/>
      <c r="J4" s="1016"/>
      <c r="K4" s="1016"/>
      <c r="L4" s="1016"/>
      <c r="M4" s="1016"/>
      <c r="N4" s="1016"/>
      <c r="O4" s="1017"/>
      <c r="P4" s="617"/>
      <c r="Q4" s="1312" t="s">
        <v>6941</v>
      </c>
      <c r="R4" s="1312"/>
      <c r="S4" s="1277"/>
      <c r="T4" s="1277"/>
      <c r="U4" s="1277"/>
      <c r="V4" s="1277"/>
      <c r="W4" s="1277"/>
    </row>
    <row r="5" spans="1:23" ht="33.950000000000003" customHeight="1">
      <c r="A5" s="971" t="s">
        <v>6514</v>
      </c>
      <c r="B5" s="1313"/>
      <c r="C5" s="1314"/>
      <c r="D5" s="1018"/>
      <c r="E5" s="1315" t="s">
        <v>6942</v>
      </c>
      <c r="F5" s="1316"/>
      <c r="G5" s="1317"/>
      <c r="H5" s="1318"/>
      <c r="I5" s="1019"/>
      <c r="J5" s="1020"/>
      <c r="K5" s="1020"/>
      <c r="L5" s="1020"/>
      <c r="M5" s="1020"/>
      <c r="N5" s="473" t="s">
        <v>841</v>
      </c>
      <c r="O5" s="1021"/>
      <c r="P5" s="617"/>
      <c r="Q5" s="1312" t="s">
        <v>6943</v>
      </c>
      <c r="R5" s="1312"/>
      <c r="S5" s="1277"/>
      <c r="T5" s="1277"/>
      <c r="U5" s="1277"/>
      <c r="V5" s="1277"/>
      <c r="W5" s="1277"/>
    </row>
    <row r="6" spans="1:23" ht="33.950000000000003" customHeight="1">
      <c r="A6" s="971" t="s">
        <v>6519</v>
      </c>
      <c r="B6" s="1313"/>
      <c r="C6" s="1314"/>
      <c r="D6" s="1018"/>
      <c r="E6" s="1315" t="s">
        <v>6944</v>
      </c>
      <c r="F6" s="1316"/>
      <c r="G6" s="1317"/>
      <c r="H6" s="1318"/>
      <c r="I6" s="1019"/>
      <c r="J6" s="1020"/>
      <c r="K6" s="1020"/>
      <c r="L6" s="1020"/>
      <c r="M6" s="1020"/>
      <c r="N6" s="1020"/>
      <c r="O6" s="1021"/>
      <c r="P6" s="617"/>
      <c r="Q6" s="1312" t="s">
        <v>6945</v>
      </c>
      <c r="R6" s="1312"/>
      <c r="S6" s="1277" t="s">
        <v>6946</v>
      </c>
      <c r="T6" s="1277"/>
      <c r="U6" s="1277"/>
      <c r="V6" s="1277"/>
      <c r="W6" s="1277"/>
    </row>
    <row r="7" spans="1:23" ht="33.950000000000003" customHeight="1">
      <c r="A7" s="971" t="s">
        <v>6516</v>
      </c>
      <c r="B7" s="1313"/>
      <c r="C7" s="1314"/>
      <c r="D7" s="1018"/>
      <c r="E7" s="1315" t="s">
        <v>6947</v>
      </c>
      <c r="F7" s="1316"/>
      <c r="G7" s="1317"/>
      <c r="H7" s="1318"/>
      <c r="I7" s="1019"/>
      <c r="J7" s="1020"/>
      <c r="K7" s="1020"/>
      <c r="L7" s="1020"/>
      <c r="M7" s="1020"/>
      <c r="N7" s="1020"/>
      <c r="O7" s="1021"/>
      <c r="P7" s="617"/>
      <c r="Q7" s="1312" t="s">
        <v>6948</v>
      </c>
      <c r="R7" s="1312"/>
      <c r="S7" s="1277" t="s">
        <v>6946</v>
      </c>
      <c r="T7" s="1277"/>
      <c r="U7" s="1277"/>
      <c r="V7" s="1277"/>
      <c r="W7" s="1277"/>
    </row>
    <row r="8" spans="1:23" ht="33.950000000000003" customHeight="1">
      <c r="A8" s="971" t="s">
        <v>6949</v>
      </c>
      <c r="B8" s="1313"/>
      <c r="C8" s="1314"/>
      <c r="D8" s="1022"/>
      <c r="E8" s="1315" t="s">
        <v>6950</v>
      </c>
      <c r="F8" s="1316"/>
      <c r="G8" s="1319"/>
      <c r="H8" s="1320"/>
      <c r="I8" s="1023"/>
      <c r="J8" s="1024"/>
      <c r="K8" s="1024"/>
      <c r="L8" s="1024"/>
      <c r="M8" s="1024"/>
      <c r="N8" s="1024"/>
      <c r="O8" s="1025"/>
      <c r="P8" s="617"/>
      <c r="Q8" s="1312" t="s">
        <v>6951</v>
      </c>
      <c r="R8" s="1312"/>
      <c r="S8" s="1277" t="s">
        <v>6946</v>
      </c>
      <c r="T8" s="1277"/>
      <c r="U8" s="1277"/>
      <c r="V8" s="1277"/>
      <c r="W8" s="1277"/>
    </row>
    <row r="9" spans="1:23" ht="33.950000000000003" customHeight="1">
      <c r="A9" s="974" t="s">
        <v>1094</v>
      </c>
      <c r="B9" s="974" t="s">
        <v>6723</v>
      </c>
      <c r="C9" s="974" t="s">
        <v>6952</v>
      </c>
      <c r="D9" s="974" t="s">
        <v>6953</v>
      </c>
      <c r="E9" s="974" t="s">
        <v>6954</v>
      </c>
      <c r="F9" s="974" t="s">
        <v>6525</v>
      </c>
      <c r="G9" s="974" t="s">
        <v>6131</v>
      </c>
      <c r="H9" s="974" t="s">
        <v>6526</v>
      </c>
      <c r="I9" s="974" t="s">
        <v>6527</v>
      </c>
      <c r="J9" s="974" t="s">
        <v>6955</v>
      </c>
      <c r="K9" s="974" t="s">
        <v>6846</v>
      </c>
      <c r="L9" s="974" t="s">
        <v>6530</v>
      </c>
      <c r="M9" s="974" t="s">
        <v>6402</v>
      </c>
      <c r="N9" s="974" t="s">
        <v>6956</v>
      </c>
      <c r="O9" s="974" t="s">
        <v>6957</v>
      </c>
      <c r="P9" s="617"/>
      <c r="Q9" s="1312" t="s">
        <v>6731</v>
      </c>
      <c r="R9" s="1312"/>
      <c r="S9" s="1277" t="s">
        <v>6946</v>
      </c>
      <c r="T9" s="1277"/>
      <c r="U9" s="1277"/>
      <c r="V9" s="1277"/>
      <c r="W9" s="1277"/>
    </row>
    <row r="10" spans="1:23" ht="39.950000000000003" customHeight="1">
      <c r="A10" s="1026">
        <v>1</v>
      </c>
      <c r="B10" s="1027" t="s">
        <v>6958</v>
      </c>
      <c r="C10" s="624" t="s">
        <v>6959</v>
      </c>
      <c r="D10" s="624" t="s">
        <v>6960</v>
      </c>
      <c r="E10" s="975" t="str">
        <f>$S$11</f>
        <v>À RENSEIGNER</v>
      </c>
      <c r="F10" s="624" t="s">
        <v>6556</v>
      </c>
      <c r="G10" s="1028"/>
      <c r="H10" s="1029"/>
      <c r="I10" s="1028"/>
      <c r="J10" s="1030"/>
      <c r="K10" s="1031"/>
      <c r="L10" s="1030"/>
      <c r="M10" s="1029"/>
      <c r="N10" s="1028"/>
      <c r="O10" s="1032" t="str">
        <f t="shared" ref="O10:O21" si="0">IF(AND(COUNTIF(G10:I10,"X")=1,COUNTA(G10:I10)=1),"OK","À CONTRÔLER")</f>
        <v>À CONTRÔLER</v>
      </c>
      <c r="P10" s="617"/>
      <c r="Q10" s="1312" t="s">
        <v>6751</v>
      </c>
      <c r="R10" s="1312"/>
      <c r="S10" s="1277" t="s">
        <v>6946</v>
      </c>
      <c r="T10" s="1277"/>
      <c r="U10" s="1277"/>
      <c r="V10" s="1277"/>
      <c r="W10" s="1277"/>
    </row>
    <row r="11" spans="1:23" ht="39.950000000000003" customHeight="1">
      <c r="A11" s="1026">
        <v>2</v>
      </c>
      <c r="B11" s="1027" t="s">
        <v>6961</v>
      </c>
      <c r="C11" s="624" t="s">
        <v>6962</v>
      </c>
      <c r="D11" s="624" t="s">
        <v>6963</v>
      </c>
      <c r="E11" s="975" t="str">
        <f>$S$11</f>
        <v>À RENSEIGNER</v>
      </c>
      <c r="F11" s="624" t="s">
        <v>6556</v>
      </c>
      <c r="G11" s="1028"/>
      <c r="H11" s="1029"/>
      <c r="I11" s="1028"/>
      <c r="J11" s="1030"/>
      <c r="K11" s="1031"/>
      <c r="L11" s="1030"/>
      <c r="M11" s="1029"/>
      <c r="N11" s="1028"/>
      <c r="O11" s="1032" t="str">
        <f t="shared" si="0"/>
        <v>À CONTRÔLER</v>
      </c>
      <c r="P11" s="617"/>
      <c r="Q11" s="1312" t="s">
        <v>6964</v>
      </c>
      <c r="R11" s="1312"/>
      <c r="S11" s="1277" t="s">
        <v>6946</v>
      </c>
      <c r="T11" s="1277"/>
      <c r="U11" s="1277"/>
      <c r="V11" s="1277"/>
      <c r="W11" s="1277"/>
    </row>
    <row r="12" spans="1:23" ht="39.950000000000003" customHeight="1">
      <c r="A12" s="1026">
        <v>3</v>
      </c>
      <c r="B12" s="1027" t="s">
        <v>6965</v>
      </c>
      <c r="C12" s="624" t="s">
        <v>6966</v>
      </c>
      <c r="D12" s="624" t="s">
        <v>6967</v>
      </c>
      <c r="E12" s="975" t="str">
        <f>$S$6</f>
        <v>À RENSEIGNER</v>
      </c>
      <c r="F12" s="624" t="s">
        <v>6541</v>
      </c>
      <c r="G12" s="1028"/>
      <c r="H12" s="1029"/>
      <c r="I12" s="1028"/>
      <c r="J12" s="1030"/>
      <c r="K12" s="1031"/>
      <c r="L12" s="1030"/>
      <c r="M12" s="1029"/>
      <c r="N12" s="1028"/>
      <c r="O12" s="1032" t="str">
        <f t="shared" si="0"/>
        <v>À CONTRÔLER</v>
      </c>
      <c r="P12" s="617"/>
      <c r="Q12" s="1312" t="s">
        <v>6968</v>
      </c>
      <c r="R12" s="1312"/>
      <c r="S12" s="1277" t="s">
        <v>6969</v>
      </c>
      <c r="T12" s="1277"/>
      <c r="U12" s="1277"/>
      <c r="V12" s="1277"/>
      <c r="W12" s="1277"/>
    </row>
    <row r="13" spans="1:23" ht="39.950000000000003" customHeight="1">
      <c r="A13" s="1026">
        <v>4</v>
      </c>
      <c r="B13" s="1027" t="s">
        <v>6970</v>
      </c>
      <c r="C13" s="624" t="s">
        <v>6971</v>
      </c>
      <c r="D13" s="624" t="s">
        <v>6972</v>
      </c>
      <c r="E13" s="975" t="str">
        <f>$S$7</f>
        <v>À RENSEIGNER</v>
      </c>
      <c r="F13" s="624" t="s">
        <v>6583</v>
      </c>
      <c r="G13" s="1028"/>
      <c r="H13" s="1029"/>
      <c r="I13" s="1028"/>
      <c r="J13" s="1030"/>
      <c r="K13" s="1031"/>
      <c r="L13" s="1030"/>
      <c r="M13" s="1029"/>
      <c r="N13" s="1028"/>
      <c r="O13" s="1032" t="str">
        <f t="shared" si="0"/>
        <v>À CONTRÔLER</v>
      </c>
      <c r="P13" s="617"/>
      <c r="Q13" s="1312" t="s">
        <v>6973</v>
      </c>
      <c r="R13" s="1312"/>
      <c r="S13" s="1277" t="s">
        <v>6969</v>
      </c>
      <c r="T13" s="1277"/>
      <c r="U13" s="1277"/>
      <c r="V13" s="1277"/>
      <c r="W13" s="1277"/>
    </row>
    <row r="14" spans="1:23" ht="39.950000000000003" customHeight="1">
      <c r="A14" s="1026">
        <v>5</v>
      </c>
      <c r="B14" s="1027" t="s">
        <v>6589</v>
      </c>
      <c r="C14" s="624" t="s">
        <v>6974</v>
      </c>
      <c r="D14" s="624" t="s">
        <v>6975</v>
      </c>
      <c r="E14" s="975" t="str">
        <f>$S$7</f>
        <v>À RENSEIGNER</v>
      </c>
      <c r="F14" s="624" t="s">
        <v>6589</v>
      </c>
      <c r="G14" s="1028"/>
      <c r="H14" s="1029"/>
      <c r="I14" s="1028"/>
      <c r="J14" s="1030"/>
      <c r="K14" s="1031"/>
      <c r="L14" s="1030"/>
      <c r="M14" s="1029"/>
      <c r="N14" s="1028"/>
      <c r="O14" s="1032" t="str">
        <f t="shared" si="0"/>
        <v>À CONTRÔLER</v>
      </c>
      <c r="P14" s="617"/>
      <c r="Q14" s="1312" t="s">
        <v>6976</v>
      </c>
      <c r="R14" s="1312"/>
      <c r="S14" s="1277" t="s">
        <v>6977</v>
      </c>
      <c r="T14" s="1277"/>
      <c r="U14" s="1277"/>
      <c r="V14" s="1277"/>
      <c r="W14" s="1277"/>
    </row>
    <row r="15" spans="1:23" ht="39.950000000000003" customHeight="1">
      <c r="A15" s="1026">
        <v>6</v>
      </c>
      <c r="B15" s="1027" t="s">
        <v>6978</v>
      </c>
      <c r="C15" s="624" t="s">
        <v>6979</v>
      </c>
      <c r="D15" s="624" t="s">
        <v>6980</v>
      </c>
      <c r="E15" s="975" t="str">
        <f>$S$7</f>
        <v>À RENSEIGNER</v>
      </c>
      <c r="F15" s="624" t="s">
        <v>6589</v>
      </c>
      <c r="G15" s="1028"/>
      <c r="H15" s="1029"/>
      <c r="I15" s="1028"/>
      <c r="J15" s="1030"/>
      <c r="K15" s="1031"/>
      <c r="L15" s="1030"/>
      <c r="M15" s="1029"/>
      <c r="N15" s="1028"/>
      <c r="O15" s="1032" t="str">
        <f t="shared" si="0"/>
        <v>À CONTRÔLER</v>
      </c>
      <c r="P15" s="617"/>
      <c r="Q15" s="1312" t="s">
        <v>6981</v>
      </c>
      <c r="R15" s="1312"/>
      <c r="S15" s="1277" t="s">
        <v>6946</v>
      </c>
      <c r="T15" s="1277"/>
      <c r="U15" s="1277"/>
      <c r="V15" s="1277"/>
      <c r="W15" s="1277"/>
    </row>
    <row r="16" spans="1:23" ht="39.950000000000003" customHeight="1">
      <c r="A16" s="1026">
        <v>7</v>
      </c>
      <c r="B16" s="1027" t="s">
        <v>6727</v>
      </c>
      <c r="C16" s="624" t="s">
        <v>6982</v>
      </c>
      <c r="D16" s="624" t="s">
        <v>6983</v>
      </c>
      <c r="E16" s="975" t="str">
        <f>$S$8</f>
        <v>À RENSEIGNER</v>
      </c>
      <c r="F16" s="624" t="s">
        <v>6609</v>
      </c>
      <c r="G16" s="1028"/>
      <c r="H16" s="1029"/>
      <c r="I16" s="1028"/>
      <c r="J16" s="1030"/>
      <c r="K16" s="1031"/>
      <c r="L16" s="1030"/>
      <c r="M16" s="1029"/>
      <c r="N16" s="1028"/>
      <c r="O16" s="1032" t="str">
        <f t="shared" si="0"/>
        <v>À CONTRÔLER</v>
      </c>
      <c r="P16" s="617"/>
      <c r="Q16" s="617"/>
      <c r="R16" s="617"/>
      <c r="S16" s="617"/>
      <c r="T16" s="617"/>
      <c r="U16" s="617"/>
      <c r="V16" s="617"/>
      <c r="W16" s="617"/>
    </row>
    <row r="17" spans="1:23" ht="39.950000000000003" customHeight="1">
      <c r="A17" s="1026">
        <v>8</v>
      </c>
      <c r="B17" s="1027" t="s">
        <v>6615</v>
      </c>
      <c r="C17" s="624" t="s">
        <v>6984</v>
      </c>
      <c r="D17" s="624" t="s">
        <v>6985</v>
      </c>
      <c r="E17" s="975" t="str">
        <f>$S$8</f>
        <v>À RENSEIGNER</v>
      </c>
      <c r="F17" s="624" t="s">
        <v>6619</v>
      </c>
      <c r="G17" s="1028"/>
      <c r="H17" s="1029"/>
      <c r="I17" s="1028"/>
      <c r="J17" s="1030"/>
      <c r="K17" s="1031"/>
      <c r="L17" s="1030"/>
      <c r="M17" s="1029"/>
      <c r="N17" s="1028"/>
      <c r="O17" s="1032" t="str">
        <f t="shared" si="0"/>
        <v>À CONTRÔLER</v>
      </c>
      <c r="P17" s="617"/>
      <c r="Q17" s="1276" t="s">
        <v>6986</v>
      </c>
      <c r="R17" s="1276"/>
      <c r="S17" s="1276"/>
      <c r="T17" s="1276"/>
      <c r="U17" s="1276"/>
      <c r="V17" s="1276"/>
      <c r="W17" s="1276"/>
    </row>
    <row r="18" spans="1:23" ht="39.950000000000003" customHeight="1">
      <c r="A18" s="1026">
        <v>9</v>
      </c>
      <c r="B18" s="1027" t="s">
        <v>6987</v>
      </c>
      <c r="C18" s="624" t="s">
        <v>6988</v>
      </c>
      <c r="D18" s="624" t="s">
        <v>6989</v>
      </c>
      <c r="E18" s="975" t="str">
        <f>$S$9</f>
        <v>À RENSEIGNER</v>
      </c>
      <c r="F18" s="624" t="s">
        <v>6646</v>
      </c>
      <c r="G18" s="1028"/>
      <c r="H18" s="1029"/>
      <c r="I18" s="1028"/>
      <c r="J18" s="1030"/>
      <c r="K18" s="1031"/>
      <c r="L18" s="1030"/>
      <c r="M18" s="1029"/>
      <c r="N18" s="1028"/>
      <c r="O18" s="1032" t="str">
        <f t="shared" si="0"/>
        <v>À CONTRÔLER</v>
      </c>
      <c r="P18" s="617"/>
      <c r="Q18" s="1311" t="s">
        <v>6990</v>
      </c>
      <c r="R18" s="1311"/>
      <c r="S18" s="1311"/>
      <c r="T18" s="1311"/>
      <c r="U18" s="1311"/>
      <c r="V18" s="1311"/>
      <c r="W18" s="1311"/>
    </row>
    <row r="19" spans="1:23" ht="39.950000000000003" customHeight="1">
      <c r="A19" s="1026">
        <v>10</v>
      </c>
      <c r="B19" s="1027" t="s">
        <v>6647</v>
      </c>
      <c r="C19" s="624" t="s">
        <v>6991</v>
      </c>
      <c r="D19" s="624" t="s">
        <v>6992</v>
      </c>
      <c r="E19" s="975" t="str">
        <f>$S$10</f>
        <v>À RENSEIGNER</v>
      </c>
      <c r="F19" s="624" t="s">
        <v>6993</v>
      </c>
      <c r="G19" s="1028"/>
      <c r="H19" s="1029"/>
      <c r="I19" s="1028"/>
      <c r="J19" s="1030"/>
      <c r="K19" s="1031"/>
      <c r="L19" s="1030"/>
      <c r="M19" s="1029"/>
      <c r="N19" s="1028"/>
      <c r="O19" s="1032" t="str">
        <f t="shared" si="0"/>
        <v>À CONTRÔLER</v>
      </c>
      <c r="P19" s="617"/>
      <c r="Q19" s="1311" t="s">
        <v>6994</v>
      </c>
      <c r="R19" s="1311"/>
      <c r="S19" s="1311"/>
      <c r="T19" s="1311"/>
      <c r="U19" s="1311"/>
      <c r="V19" s="1311"/>
      <c r="W19" s="1311"/>
    </row>
    <row r="20" spans="1:23" ht="39.950000000000003" customHeight="1">
      <c r="A20" s="1026">
        <v>11</v>
      </c>
      <c r="B20" s="1027" t="s">
        <v>6995</v>
      </c>
      <c r="C20" s="624" t="s">
        <v>6996</v>
      </c>
      <c r="D20" s="624" t="s">
        <v>6997</v>
      </c>
      <c r="E20" s="975" t="str">
        <f>$S$10</f>
        <v>À RENSEIGNER</v>
      </c>
      <c r="F20" s="624" t="s">
        <v>6662</v>
      </c>
      <c r="G20" s="1028"/>
      <c r="H20" s="1029"/>
      <c r="I20" s="1028"/>
      <c r="J20" s="1030"/>
      <c r="K20" s="1031"/>
      <c r="L20" s="1030"/>
      <c r="M20" s="1029"/>
      <c r="N20" s="1028"/>
      <c r="O20" s="1032" t="str">
        <f t="shared" si="0"/>
        <v>À CONTRÔLER</v>
      </c>
      <c r="P20" s="617"/>
      <c r="Q20" s="1311" t="s">
        <v>6998</v>
      </c>
      <c r="R20" s="1311"/>
      <c r="S20" s="1311"/>
      <c r="T20" s="1311"/>
      <c r="U20" s="1311"/>
      <c r="V20" s="1311"/>
      <c r="W20" s="1311"/>
    </row>
    <row r="21" spans="1:23" ht="39.950000000000003" customHeight="1">
      <c r="A21" s="1026">
        <v>12</v>
      </c>
      <c r="B21" s="1027" t="s">
        <v>6999</v>
      </c>
      <c r="C21" s="624" t="s">
        <v>7000</v>
      </c>
      <c r="D21" s="624" t="s">
        <v>7001</v>
      </c>
      <c r="E21" s="975" t="str">
        <f>$S$11</f>
        <v>À RENSEIGNER</v>
      </c>
      <c r="F21" s="624" t="s">
        <v>7002</v>
      </c>
      <c r="G21" s="1028"/>
      <c r="H21" s="1029"/>
      <c r="I21" s="1028"/>
      <c r="J21" s="1030"/>
      <c r="K21" s="1031"/>
      <c r="L21" s="1030"/>
      <c r="M21" s="1029"/>
      <c r="N21" s="1028"/>
      <c r="O21" s="1032" t="str">
        <f t="shared" si="0"/>
        <v>À CONTRÔLER</v>
      </c>
      <c r="P21" s="617"/>
      <c r="Q21" s="1311" t="s">
        <v>7003</v>
      </c>
      <c r="R21" s="1311"/>
      <c r="S21" s="1311"/>
      <c r="T21" s="1311"/>
      <c r="U21" s="1311"/>
      <c r="V21" s="1311"/>
      <c r="W21" s="1311"/>
    </row>
    <row r="22" spans="1:23" ht="32.1" customHeight="1">
      <c r="A22" s="499" t="s">
        <v>6104</v>
      </c>
      <c r="B22" s="617"/>
      <c r="C22" s="617"/>
      <c r="D22" s="617"/>
      <c r="E22" s="617"/>
      <c r="F22" s="617"/>
      <c r="G22" s="617"/>
      <c r="H22" s="617"/>
      <c r="I22" s="617"/>
      <c r="J22" s="617"/>
      <c r="K22" s="617"/>
      <c r="L22" s="617"/>
      <c r="M22" s="617"/>
      <c r="N22" s="617"/>
      <c r="O22" s="617"/>
      <c r="P22" s="617"/>
      <c r="Q22" s="1311" t="s">
        <v>7004</v>
      </c>
      <c r="R22" s="1311"/>
      <c r="S22" s="1311"/>
      <c r="T22" s="1311"/>
      <c r="U22" s="1311"/>
      <c r="V22" s="1311"/>
      <c r="W22" s="1311"/>
    </row>
    <row r="23" spans="1:23" ht="32.1" customHeight="1">
      <c r="A23" s="1300" t="s">
        <v>7005</v>
      </c>
      <c r="B23" s="1300"/>
      <c r="C23" s="1300"/>
      <c r="D23" s="1300"/>
      <c r="E23" s="1300"/>
      <c r="F23" s="1300"/>
      <c r="G23" s="1300"/>
      <c r="H23" s="1300"/>
      <c r="I23" s="1300"/>
      <c r="J23" s="1300"/>
      <c r="K23" s="1300"/>
      <c r="L23" s="1300"/>
      <c r="M23" s="1300"/>
      <c r="N23" s="1300"/>
      <c r="O23" s="1300"/>
      <c r="P23" s="617"/>
      <c r="Q23" s="1311" t="s">
        <v>7006</v>
      </c>
      <c r="R23" s="1311"/>
      <c r="S23" s="1311"/>
      <c r="T23" s="1311"/>
      <c r="U23" s="1311"/>
      <c r="V23" s="1311"/>
      <c r="W23" s="1311"/>
    </row>
    <row r="24" spans="1:23" ht="33.950000000000003" customHeight="1">
      <c r="A24" s="1306" t="s">
        <v>7007</v>
      </c>
      <c r="B24" s="1307"/>
      <c r="C24" s="1306" t="s">
        <v>7008</v>
      </c>
      <c r="D24" s="1307"/>
      <c r="E24" s="1306" t="s">
        <v>6688</v>
      </c>
      <c r="F24" s="1307"/>
      <c r="G24" s="1306" t="s">
        <v>7009</v>
      </c>
      <c r="H24" s="1307"/>
      <c r="I24" s="1306" t="s">
        <v>831</v>
      </c>
      <c r="J24" s="1307"/>
      <c r="K24" s="1306" t="s">
        <v>7010</v>
      </c>
      <c r="L24" s="1307"/>
      <c r="M24" s="1307"/>
      <c r="N24" s="1306" t="s">
        <v>7011</v>
      </c>
      <c r="O24" s="1307"/>
      <c r="P24" s="617"/>
      <c r="Q24" s="617"/>
      <c r="R24" s="617"/>
      <c r="S24" s="617"/>
      <c r="T24" s="617"/>
      <c r="U24" s="617"/>
      <c r="V24" s="617"/>
      <c r="W24" s="617"/>
    </row>
    <row r="25" spans="1:23" ht="33.950000000000003" customHeight="1">
      <c r="A25" s="1308">
        <f>COUNTIF(G10:G21,"X")</f>
        <v>0</v>
      </c>
      <c r="B25" s="1307"/>
      <c r="C25" s="1308">
        <f>COUNTIF(H10:H21,"X")</f>
        <v>0</v>
      </c>
      <c r="D25" s="1307"/>
      <c r="E25" s="1308">
        <f>COUNTIF(I10:I21,"X")</f>
        <v>0</v>
      </c>
      <c r="F25" s="1307"/>
      <c r="G25" s="1308">
        <f>COUNTIF(O10:O21,"À CONTRÔLER")</f>
        <v>12</v>
      </c>
      <c r="H25" s="1307"/>
      <c r="I25" s="1308">
        <f>COUNTA(A10:A21)</f>
        <v>12</v>
      </c>
      <c r="J25" s="1307"/>
      <c r="K25" s="1309" t="str">
        <f>IF(C25&gt;0,"BLOCAGE / ACTION REQUISE",IF(G25&gt;0,"CONTRÔLE INCOMPLET","LIBÉRATION POSSIBLE"))</f>
        <v>CONTRÔLE INCOMPLET</v>
      </c>
      <c r="L25" s="1309"/>
      <c r="M25" s="1309"/>
      <c r="N25" s="1310"/>
      <c r="O25" s="1310"/>
      <c r="P25" s="617"/>
      <c r="Q25" s="1286" t="s">
        <v>7012</v>
      </c>
      <c r="R25" s="1286"/>
      <c r="S25" s="1286"/>
      <c r="T25" s="1286"/>
      <c r="U25" s="1286"/>
      <c r="V25" s="1286"/>
      <c r="W25" s="1286"/>
    </row>
    <row r="26" spans="1:23" ht="33.950000000000003" customHeight="1">
      <c r="A26" s="617"/>
      <c r="B26" s="617"/>
      <c r="C26" s="617"/>
      <c r="D26" s="617"/>
      <c r="E26" s="617"/>
      <c r="F26" s="617"/>
      <c r="G26" s="617"/>
      <c r="H26" s="617"/>
      <c r="I26" s="617"/>
      <c r="J26" s="617"/>
      <c r="K26" s="617"/>
      <c r="L26" s="617"/>
      <c r="M26" s="617"/>
      <c r="N26" s="617"/>
      <c r="O26" s="617"/>
      <c r="P26" s="617"/>
      <c r="Q26" s="1286"/>
      <c r="R26" s="1286"/>
      <c r="S26" s="1286"/>
      <c r="T26" s="1286"/>
      <c r="U26" s="1286"/>
      <c r="V26" s="1286"/>
      <c r="W26" s="1286"/>
    </row>
    <row r="27" spans="1:23" ht="38.1" customHeight="1">
      <c r="A27" s="1305" t="s">
        <v>7013</v>
      </c>
      <c r="B27" s="1305"/>
      <c r="C27" s="1305"/>
      <c r="D27" s="1305"/>
      <c r="E27" s="1305"/>
      <c r="F27" s="1305"/>
      <c r="G27" s="1305"/>
      <c r="H27" s="1305"/>
      <c r="I27" s="1305"/>
      <c r="J27" s="1305"/>
      <c r="K27" s="1305"/>
      <c r="L27" s="1305"/>
      <c r="M27" s="1305"/>
      <c r="N27" s="1305"/>
      <c r="O27" s="1305"/>
      <c r="P27" s="617"/>
      <c r="Q27" s="617"/>
      <c r="R27" s="617"/>
      <c r="S27" s="617"/>
      <c r="T27" s="617"/>
      <c r="U27" s="617"/>
      <c r="V27" s="617"/>
      <c r="W27" s="617"/>
    </row>
    <row r="28" spans="1:23" ht="38.1" customHeight="1">
      <c r="A28" s="1305"/>
      <c r="B28" s="1305"/>
      <c r="C28" s="1305"/>
      <c r="D28" s="1305"/>
      <c r="E28" s="1305"/>
      <c r="F28" s="1305"/>
      <c r="G28" s="1305"/>
      <c r="H28" s="1305"/>
      <c r="I28" s="1305"/>
      <c r="J28" s="1305"/>
      <c r="K28" s="1305"/>
      <c r="L28" s="1305"/>
      <c r="M28" s="1305"/>
      <c r="N28" s="1305"/>
      <c r="O28" s="1305"/>
      <c r="P28" s="617"/>
      <c r="Q28" s="617"/>
      <c r="R28" s="617"/>
      <c r="S28" s="617"/>
      <c r="T28" s="617"/>
      <c r="U28" s="617"/>
      <c r="V28" s="617"/>
      <c r="W28" s="617"/>
    </row>
  </sheetData>
  <mergeCells count="68">
    <mergeCell ref="B4:C4"/>
    <mergeCell ref="E4:F4"/>
    <mergeCell ref="G4:H4"/>
    <mergeCell ref="Q4:R4"/>
    <mergeCell ref="S4:W4"/>
    <mergeCell ref="A1:F2"/>
    <mergeCell ref="I1:N2"/>
    <mergeCell ref="Q1:W2"/>
    <mergeCell ref="A3:O3"/>
    <mergeCell ref="Q3:W3"/>
    <mergeCell ref="B6:C6"/>
    <mergeCell ref="E6:F6"/>
    <mergeCell ref="G6:H6"/>
    <mergeCell ref="Q6:R6"/>
    <mergeCell ref="S6:W6"/>
    <mergeCell ref="B5:C5"/>
    <mergeCell ref="E5:F5"/>
    <mergeCell ref="G5:H5"/>
    <mergeCell ref="Q5:R5"/>
    <mergeCell ref="S5:W5"/>
    <mergeCell ref="B8:C8"/>
    <mergeCell ref="E8:F8"/>
    <mergeCell ref="G8:H8"/>
    <mergeCell ref="Q8:R8"/>
    <mergeCell ref="S8:W8"/>
    <mergeCell ref="B7:C7"/>
    <mergeCell ref="E7:F7"/>
    <mergeCell ref="G7:H7"/>
    <mergeCell ref="Q7:R7"/>
    <mergeCell ref="S7:W7"/>
    <mergeCell ref="Q9:R9"/>
    <mergeCell ref="S9:W9"/>
    <mergeCell ref="Q10:R10"/>
    <mergeCell ref="S10:W10"/>
    <mergeCell ref="Q11:R11"/>
    <mergeCell ref="S11:W11"/>
    <mergeCell ref="Q20:W20"/>
    <mergeCell ref="Q12:R12"/>
    <mergeCell ref="S12:W12"/>
    <mergeCell ref="Q13:R13"/>
    <mergeCell ref="S13:W13"/>
    <mergeCell ref="Q14:R14"/>
    <mergeCell ref="S14:W14"/>
    <mergeCell ref="Q15:R15"/>
    <mergeCell ref="S15:W15"/>
    <mergeCell ref="Q17:W17"/>
    <mergeCell ref="Q18:W18"/>
    <mergeCell ref="Q19:W19"/>
    <mergeCell ref="Q21:W21"/>
    <mergeCell ref="Q22:W22"/>
    <mergeCell ref="A23:O23"/>
    <mergeCell ref="Q23:W23"/>
    <mergeCell ref="A24:B24"/>
    <mergeCell ref="C24:D24"/>
    <mergeCell ref="E24:F24"/>
    <mergeCell ref="G24:H24"/>
    <mergeCell ref="I24:J24"/>
    <mergeCell ref="K24:M24"/>
    <mergeCell ref="Q25:W26"/>
    <mergeCell ref="A27:O28"/>
    <mergeCell ref="N24:O24"/>
    <mergeCell ref="A25:B25"/>
    <mergeCell ref="C25:D25"/>
    <mergeCell ref="E25:F25"/>
    <mergeCell ref="G25:H25"/>
    <mergeCell ref="I25:J25"/>
    <mergeCell ref="K25:M25"/>
    <mergeCell ref="N25:O25"/>
  </mergeCells>
  <conditionalFormatting sqref="O10:O21">
    <cfRule type="containsText" dxfId="36" priority="1" operator="containsText" text="À CONTRÔLER"/>
    <cfRule type="containsText" dxfId="35" priority="2" operator="containsText" text="OK"/>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7A684-51D7-4263-9DD3-9071A615FDD9}">
  <dimension ref="A1:O66"/>
  <sheetViews>
    <sheetView showGridLines="0" workbookViewId="0">
      <selection activeCell="R8" sqref="R8"/>
    </sheetView>
  </sheetViews>
  <sheetFormatPr baseColWidth="10" defaultColWidth="10.28515625" defaultRowHeight="15"/>
  <cols>
    <col min="1" max="1" width="19.7109375" style="615" customWidth="1"/>
    <col min="2" max="7" width="20.5703125" style="615" customWidth="1"/>
    <col min="8" max="8" width="14.5703125" style="615" customWidth="1"/>
    <col min="9" max="14" width="20.5703125" style="615" customWidth="1"/>
    <col min="15" max="16384" width="10.28515625" style="615"/>
  </cols>
  <sheetData>
    <row r="1" spans="1:15" ht="27.95" customHeight="1">
      <c r="A1" s="1303" t="s">
        <v>6330</v>
      </c>
      <c r="B1" s="1303"/>
      <c r="C1" s="1303"/>
      <c r="D1" s="1303"/>
      <c r="E1" s="1303"/>
      <c r="F1" s="1303"/>
      <c r="G1" s="1303"/>
      <c r="H1" s="1303"/>
      <c r="I1" s="1303"/>
      <c r="J1" s="1303"/>
      <c r="K1" s="1303"/>
      <c r="L1" s="1303"/>
      <c r="M1" s="1303"/>
      <c r="N1" s="1303"/>
    </row>
    <row r="2" spans="1:15" ht="27.95" customHeight="1">
      <c r="A2" s="1303"/>
      <c r="B2" s="1303"/>
      <c r="C2" s="1303"/>
      <c r="D2" s="1303"/>
      <c r="E2" s="1303"/>
      <c r="F2" s="1303"/>
      <c r="G2" s="1303"/>
      <c r="H2" s="1303"/>
      <c r="I2" s="1303"/>
      <c r="J2" s="1303"/>
      <c r="K2" s="1303"/>
      <c r="L2" s="1303"/>
      <c r="M2" s="1303"/>
      <c r="N2" s="1303"/>
    </row>
    <row r="3" spans="1:15" ht="27.95" customHeight="1">
      <c r="A3" s="1342" t="s">
        <v>6331</v>
      </c>
      <c r="B3" s="1342"/>
      <c r="C3" s="1342"/>
      <c r="D3" s="1342"/>
      <c r="E3" s="1342"/>
      <c r="F3" s="1342"/>
      <c r="G3" s="1342"/>
      <c r="H3" s="1342"/>
      <c r="I3" s="1342"/>
      <c r="J3" s="1342"/>
      <c r="K3" s="1342"/>
      <c r="L3" s="1342"/>
      <c r="M3" s="1342"/>
      <c r="N3" s="1342"/>
      <c r="O3" s="473" t="s">
        <v>841</v>
      </c>
    </row>
    <row r="4" spans="1:15" ht="27.95" customHeight="1">
      <c r="A4" s="1342"/>
      <c r="B4" s="1342"/>
      <c r="C4" s="1342"/>
      <c r="D4" s="1342"/>
      <c r="E4" s="1342"/>
      <c r="F4" s="1342"/>
      <c r="G4" s="1342"/>
      <c r="H4" s="1342"/>
      <c r="I4" s="1342"/>
      <c r="J4" s="1342"/>
      <c r="K4" s="1342"/>
      <c r="L4" s="1342"/>
      <c r="M4" s="1342"/>
      <c r="N4" s="1342"/>
    </row>
    <row r="5" spans="1:15" ht="26.1" customHeight="1">
      <c r="A5" s="1276" t="s">
        <v>6332</v>
      </c>
      <c r="B5" s="1276"/>
      <c r="C5" s="1276"/>
      <c r="D5" s="1276"/>
      <c r="E5" s="1276"/>
      <c r="F5" s="1276"/>
      <c r="G5" s="1276"/>
      <c r="H5" s="1276"/>
      <c r="I5" s="1276"/>
      <c r="J5" s="1276"/>
      <c r="K5" s="1276"/>
      <c r="L5" s="1276"/>
      <c r="M5" s="1276"/>
      <c r="N5" s="1276"/>
    </row>
    <row r="6" spans="1:15" ht="38.1" customHeight="1">
      <c r="A6" s="1312" t="s">
        <v>6333</v>
      </c>
      <c r="B6" s="1312"/>
      <c r="C6" s="1340"/>
      <c r="D6" s="1340"/>
      <c r="E6" s="1340"/>
      <c r="F6" s="1312" t="s">
        <v>6334</v>
      </c>
      <c r="G6" s="1312"/>
      <c r="H6" s="1343"/>
      <c r="I6" s="1340"/>
      <c r="J6" s="1340"/>
      <c r="K6" s="1312" t="s">
        <v>6335</v>
      </c>
      <c r="L6" s="1312"/>
      <c r="M6" s="1340"/>
      <c r="N6" s="1340"/>
    </row>
    <row r="7" spans="1:15" ht="38.1" customHeight="1">
      <c r="A7" s="1312" t="s">
        <v>6336</v>
      </c>
      <c r="B7" s="1312"/>
      <c r="C7" s="1340"/>
      <c r="D7" s="1340"/>
      <c r="E7" s="1340"/>
      <c r="F7" s="1312" t="s">
        <v>6337</v>
      </c>
      <c r="G7" s="1312"/>
      <c r="H7" s="1340"/>
      <c r="I7" s="1340"/>
      <c r="J7" s="1340"/>
      <c r="K7" s="1312" t="s">
        <v>6338</v>
      </c>
      <c r="L7" s="1312"/>
      <c r="M7" s="1340"/>
      <c r="N7" s="1340"/>
    </row>
    <row r="8" spans="1:15" ht="38.1" customHeight="1">
      <c r="A8" s="1312" t="s">
        <v>6339</v>
      </c>
      <c r="B8" s="1312"/>
      <c r="C8" s="1340"/>
      <c r="D8" s="1340"/>
      <c r="E8" s="1340"/>
      <c r="F8" s="1312" t="s">
        <v>6340</v>
      </c>
      <c r="G8" s="1312"/>
      <c r="H8" s="1340"/>
      <c r="I8" s="1340"/>
      <c r="J8" s="1340"/>
      <c r="K8" s="1312" t="s">
        <v>6341</v>
      </c>
      <c r="L8" s="1312"/>
      <c r="M8" s="1340"/>
      <c r="N8" s="1340"/>
    </row>
    <row r="9" spans="1:15" ht="38.1" customHeight="1">
      <c r="A9" s="1312" t="s">
        <v>6342</v>
      </c>
      <c r="B9" s="1312"/>
      <c r="C9" s="1340"/>
      <c r="D9" s="1340"/>
      <c r="E9" s="1340"/>
      <c r="F9" s="1312" t="s">
        <v>6343</v>
      </c>
      <c r="G9" s="1312"/>
      <c r="H9" s="1340"/>
      <c r="I9" s="1340"/>
      <c r="J9" s="1340"/>
      <c r="K9" s="1312" t="s">
        <v>6344</v>
      </c>
      <c r="L9" s="1312"/>
      <c r="M9" s="1340"/>
      <c r="N9" s="1340"/>
    </row>
    <row r="10" spans="1:15" ht="15.75">
      <c r="A10" s="499" t="s">
        <v>6104</v>
      </c>
      <c r="B10" s="617"/>
      <c r="C10" s="617"/>
      <c r="D10" s="617"/>
      <c r="E10" s="617"/>
      <c r="F10" s="617"/>
      <c r="G10" s="617"/>
      <c r="H10" s="617"/>
      <c r="I10" s="617"/>
      <c r="J10" s="617"/>
      <c r="K10" s="617"/>
      <c r="L10" s="617"/>
      <c r="M10" s="617"/>
      <c r="N10" s="617"/>
    </row>
    <row r="11" spans="1:15" ht="27.95" customHeight="1">
      <c r="A11" s="1276" t="s">
        <v>6345</v>
      </c>
      <c r="B11" s="1276"/>
      <c r="C11" s="1276"/>
      <c r="D11" s="1276"/>
      <c r="E11" s="1276"/>
      <c r="F11" s="1276"/>
      <c r="G11" s="1276"/>
      <c r="H11" s="1276"/>
      <c r="I11" s="1276"/>
      <c r="J11" s="1276"/>
      <c r="K11" s="1276"/>
      <c r="L11" s="1276"/>
      <c r="M11" s="1276"/>
      <c r="N11" s="1276"/>
    </row>
    <row r="12" spans="1:15" ht="42" customHeight="1">
      <c r="A12" s="1312" t="s">
        <v>6346</v>
      </c>
      <c r="B12" s="1312"/>
      <c r="C12" s="1312"/>
      <c r="D12" s="1339"/>
      <c r="E12" s="1339"/>
      <c r="F12" s="1339"/>
      <c r="G12" s="1339"/>
      <c r="H12" s="1312" t="s">
        <v>6347</v>
      </c>
      <c r="I12" s="1312"/>
      <c r="J12" s="1312"/>
      <c r="K12" s="1340"/>
      <c r="L12" s="1340"/>
      <c r="M12" s="1340"/>
      <c r="N12" s="1340"/>
    </row>
    <row r="13" spans="1:15" ht="42" customHeight="1">
      <c r="A13" s="1312" t="s">
        <v>6348</v>
      </c>
      <c r="B13" s="1312"/>
      <c r="C13" s="1312"/>
      <c r="D13" s="1339"/>
      <c r="E13" s="1339"/>
      <c r="F13" s="1339"/>
      <c r="G13" s="1339"/>
      <c r="H13" s="1312" t="s">
        <v>6349</v>
      </c>
      <c r="I13" s="1312"/>
      <c r="J13" s="1312"/>
      <c r="K13" s="1340"/>
      <c r="L13" s="1340"/>
      <c r="M13" s="1340"/>
      <c r="N13" s="1340"/>
    </row>
    <row r="14" spans="1:15" ht="42" customHeight="1">
      <c r="A14" s="1312" t="s">
        <v>6350</v>
      </c>
      <c r="B14" s="1312"/>
      <c r="C14" s="1312"/>
      <c r="D14" s="1339"/>
      <c r="E14" s="1339"/>
      <c r="F14" s="1339"/>
      <c r="G14" s="1339"/>
      <c r="H14" s="1312" t="s">
        <v>6351</v>
      </c>
      <c r="I14" s="1312"/>
      <c r="J14" s="1312"/>
      <c r="K14" s="1340"/>
      <c r="L14" s="1340"/>
      <c r="M14" s="1340"/>
      <c r="N14" s="1340"/>
    </row>
    <row r="15" spans="1:15" ht="42" customHeight="1">
      <c r="A15" s="1312" t="s">
        <v>6352</v>
      </c>
      <c r="B15" s="1312"/>
      <c r="C15" s="1312"/>
      <c r="D15" s="1339"/>
      <c r="E15" s="1339"/>
      <c r="F15" s="1339"/>
      <c r="G15" s="1339"/>
      <c r="H15" s="1312" t="s">
        <v>6353</v>
      </c>
      <c r="I15" s="1312"/>
      <c r="J15" s="1312"/>
      <c r="K15" s="1340"/>
      <c r="L15" s="1340"/>
      <c r="M15" s="1340"/>
      <c r="N15" s="1340"/>
    </row>
    <row r="16" spans="1:15" ht="42" customHeight="1">
      <c r="A16" s="1312" t="s">
        <v>6354</v>
      </c>
      <c r="B16" s="1312"/>
      <c r="C16" s="1312"/>
      <c r="D16" s="1339"/>
      <c r="E16" s="1339"/>
      <c r="F16" s="1339"/>
      <c r="G16" s="1339"/>
      <c r="H16" s="1312" t="s">
        <v>6355</v>
      </c>
      <c r="I16" s="1312"/>
      <c r="J16" s="1312"/>
      <c r="K16" s="1340"/>
      <c r="L16" s="1340"/>
      <c r="M16" s="1340"/>
      <c r="N16" s="1340"/>
    </row>
    <row r="17" spans="1:14">
      <c r="A17" s="617"/>
      <c r="B17" s="617"/>
      <c r="C17" s="617"/>
      <c r="D17" s="617"/>
      <c r="E17" s="617"/>
      <c r="F17" s="617"/>
      <c r="G17" s="617"/>
      <c r="H17" s="617"/>
      <c r="I17" s="617"/>
      <c r="J17" s="617"/>
      <c r="K17" s="617"/>
      <c r="L17" s="617"/>
      <c r="M17" s="617"/>
      <c r="N17" s="617"/>
    </row>
    <row r="18" spans="1:14" ht="27.95" customHeight="1">
      <c r="A18" s="1341" t="s">
        <v>6356</v>
      </c>
      <c r="B18" s="1341"/>
      <c r="C18" s="1341"/>
      <c r="D18" s="1341"/>
      <c r="E18" s="1341"/>
      <c r="F18" s="1341"/>
      <c r="G18" s="1341"/>
      <c r="H18" s="1341"/>
      <c r="I18" s="1341"/>
      <c r="J18" s="1341"/>
      <c r="K18" s="1341"/>
      <c r="L18" s="1341"/>
      <c r="M18" s="1341"/>
      <c r="N18" s="1341"/>
    </row>
    <row r="19" spans="1:14" ht="32.1" customHeight="1">
      <c r="A19" s="619" t="s">
        <v>6272</v>
      </c>
      <c r="B19" s="1336" t="s">
        <v>6357</v>
      </c>
      <c r="C19" s="1336"/>
      <c r="D19" s="1336"/>
      <c r="E19" s="1336"/>
      <c r="F19" s="1336"/>
      <c r="G19" s="1336"/>
      <c r="H19" s="1336"/>
      <c r="I19" s="1336"/>
      <c r="J19" s="1336"/>
      <c r="K19" s="1336"/>
      <c r="L19" s="1336"/>
      <c r="M19" s="1336"/>
      <c r="N19" s="1336"/>
    </row>
    <row r="20" spans="1:14" ht="32.1" customHeight="1">
      <c r="A20" s="619" t="s">
        <v>6276</v>
      </c>
      <c r="B20" s="1336" t="s">
        <v>6358</v>
      </c>
      <c r="C20" s="1336"/>
      <c r="D20" s="1336"/>
      <c r="E20" s="1336"/>
      <c r="F20" s="1336"/>
      <c r="G20" s="1336"/>
      <c r="H20" s="1336"/>
      <c r="I20" s="1336"/>
      <c r="J20" s="1336"/>
      <c r="K20" s="1336"/>
      <c r="L20" s="1336"/>
      <c r="M20" s="1336"/>
      <c r="N20" s="1336"/>
    </row>
    <row r="21" spans="1:14" ht="32.1" customHeight="1">
      <c r="A21" s="619" t="s">
        <v>6280</v>
      </c>
      <c r="B21" s="1336" t="s">
        <v>6359</v>
      </c>
      <c r="C21" s="1336"/>
      <c r="D21" s="1336"/>
      <c r="E21" s="1336"/>
      <c r="F21" s="1336"/>
      <c r="G21" s="1336"/>
      <c r="H21" s="1336"/>
      <c r="I21" s="1336"/>
      <c r="J21" s="1336"/>
      <c r="K21" s="1336"/>
      <c r="L21" s="1336"/>
      <c r="M21" s="1336"/>
      <c r="N21" s="1336"/>
    </row>
    <row r="22" spans="1:14" ht="32.1" customHeight="1">
      <c r="A22" s="619" t="s">
        <v>6284</v>
      </c>
      <c r="B22" s="1336" t="s">
        <v>6360</v>
      </c>
      <c r="C22" s="1336"/>
      <c r="D22" s="1336"/>
      <c r="E22" s="1336"/>
      <c r="F22" s="1336"/>
      <c r="G22" s="1336"/>
      <c r="H22" s="1336"/>
      <c r="I22" s="1336"/>
      <c r="J22" s="1336"/>
      <c r="K22" s="1336"/>
      <c r="L22" s="1336"/>
      <c r="M22" s="1336"/>
      <c r="N22" s="1336"/>
    </row>
    <row r="23" spans="1:14" ht="32.1" customHeight="1">
      <c r="A23" s="619" t="s">
        <v>6288</v>
      </c>
      <c r="B23" s="1337" t="s">
        <v>6361</v>
      </c>
      <c r="C23" s="1337"/>
      <c r="D23" s="1337"/>
      <c r="E23" s="1337"/>
      <c r="F23" s="1337"/>
      <c r="G23" s="1337"/>
      <c r="H23" s="1337"/>
      <c r="I23" s="1337"/>
      <c r="J23" s="1337"/>
      <c r="K23" s="1337"/>
      <c r="L23" s="1337"/>
      <c r="M23" s="1337"/>
      <c r="N23" s="1337"/>
    </row>
    <row r="24" spans="1:14">
      <c r="A24" s="617"/>
      <c r="B24" s="617"/>
      <c r="C24" s="617"/>
      <c r="D24" s="617"/>
      <c r="E24" s="617"/>
      <c r="F24" s="617"/>
      <c r="G24" s="617"/>
      <c r="H24" s="617"/>
      <c r="I24" s="617"/>
      <c r="J24" s="617"/>
      <c r="K24" s="617"/>
      <c r="L24" s="617"/>
      <c r="M24" s="617"/>
      <c r="N24" s="617"/>
    </row>
    <row r="25" spans="1:14" ht="30" customHeight="1">
      <c r="A25" s="1338" t="s">
        <v>6362</v>
      </c>
      <c r="B25" s="1338"/>
      <c r="C25" s="1338"/>
      <c r="D25" s="1338"/>
      <c r="E25" s="1338"/>
      <c r="F25" s="1338"/>
      <c r="G25" s="1338"/>
      <c r="H25" s="1285" t="s">
        <v>6363</v>
      </c>
      <c r="I25" s="1285"/>
      <c r="J25" s="1285"/>
      <c r="K25" s="1285"/>
      <c r="L25" s="1285"/>
      <c r="M25" s="1285"/>
      <c r="N25" s="1285"/>
    </row>
    <row r="26" spans="1:14" ht="30" customHeight="1">
      <c r="A26" s="1335" t="s">
        <v>6364</v>
      </c>
      <c r="B26" s="1335"/>
      <c r="C26" s="1335"/>
      <c r="D26" s="1335"/>
      <c r="E26" s="1335"/>
      <c r="F26" s="1335"/>
      <c r="G26" s="1335"/>
      <c r="H26" s="621" t="s">
        <v>6365</v>
      </c>
      <c r="I26" s="1289" t="s">
        <v>6366</v>
      </c>
      <c r="J26" s="1289"/>
      <c r="K26" s="1289"/>
      <c r="L26" s="1289"/>
      <c r="M26" s="1289"/>
      <c r="N26" s="1289"/>
    </row>
    <row r="27" spans="1:14" ht="33.950000000000003" customHeight="1">
      <c r="A27" s="622" t="s">
        <v>6365</v>
      </c>
      <c r="B27" s="1287" t="s">
        <v>6367</v>
      </c>
      <c r="C27" s="1287"/>
      <c r="D27" s="1287"/>
      <c r="E27" s="1287"/>
      <c r="F27" s="1287"/>
      <c r="G27" s="1287"/>
      <c r="H27" s="621" t="s">
        <v>6365</v>
      </c>
      <c r="I27" s="1289" t="s">
        <v>6368</v>
      </c>
      <c r="J27" s="1289"/>
      <c r="K27" s="1289"/>
      <c r="L27" s="1289"/>
      <c r="M27" s="1289"/>
      <c r="N27" s="1289"/>
    </row>
    <row r="28" spans="1:14" ht="33.950000000000003" customHeight="1">
      <c r="A28" s="622" t="s">
        <v>6365</v>
      </c>
      <c r="B28" s="1287" t="s">
        <v>6369</v>
      </c>
      <c r="C28" s="1287"/>
      <c r="D28" s="1287"/>
      <c r="E28" s="1287"/>
      <c r="F28" s="1287"/>
      <c r="G28" s="1287"/>
      <c r="H28" s="621" t="s">
        <v>6365</v>
      </c>
      <c r="I28" s="1289" t="s">
        <v>6370</v>
      </c>
      <c r="J28" s="1289"/>
      <c r="K28" s="1289"/>
      <c r="L28" s="1289"/>
      <c r="M28" s="1289"/>
      <c r="N28" s="1289"/>
    </row>
    <row r="29" spans="1:14" ht="33.950000000000003" customHeight="1">
      <c r="A29" s="622" t="s">
        <v>6365</v>
      </c>
      <c r="B29" s="1287" t="s">
        <v>6371</v>
      </c>
      <c r="C29" s="1287"/>
      <c r="D29" s="1287"/>
      <c r="E29" s="1287"/>
      <c r="F29" s="1287"/>
      <c r="G29" s="1287"/>
      <c r="H29" s="621" t="s">
        <v>6365</v>
      </c>
      <c r="I29" s="1289" t="s">
        <v>6372</v>
      </c>
      <c r="J29" s="1289"/>
      <c r="K29" s="1289"/>
      <c r="L29" s="1289"/>
      <c r="M29" s="1289"/>
      <c r="N29" s="1289"/>
    </row>
    <row r="30" spans="1:14" ht="33.950000000000003" customHeight="1">
      <c r="A30" s="622" t="s">
        <v>6365</v>
      </c>
      <c r="B30" s="1287" t="s">
        <v>6373</v>
      </c>
      <c r="C30" s="1287"/>
      <c r="D30" s="1287"/>
      <c r="E30" s="1287"/>
      <c r="F30" s="1287"/>
      <c r="G30" s="1287"/>
      <c r="H30" s="621" t="s">
        <v>6365</v>
      </c>
      <c r="I30" s="1289" t="s">
        <v>6374</v>
      </c>
      <c r="J30" s="1289"/>
      <c r="K30" s="1289"/>
      <c r="L30" s="1289"/>
      <c r="M30" s="1289"/>
      <c r="N30" s="1289"/>
    </row>
    <row r="31" spans="1:14" ht="33.950000000000003" customHeight="1">
      <c r="A31" s="622" t="s">
        <v>6365</v>
      </c>
      <c r="B31" s="1287" t="s">
        <v>6375</v>
      </c>
      <c r="C31" s="1287"/>
      <c r="D31" s="1287"/>
      <c r="E31" s="1287"/>
      <c r="F31" s="1287"/>
      <c r="G31" s="1287"/>
      <c r="H31" s="621" t="s">
        <v>6365</v>
      </c>
      <c r="I31" s="1289" t="s">
        <v>6376</v>
      </c>
      <c r="J31" s="1289"/>
      <c r="K31" s="1289"/>
      <c r="L31" s="1289"/>
      <c r="M31" s="1289"/>
      <c r="N31" s="1289"/>
    </row>
    <row r="32" spans="1:14" ht="33.950000000000003" customHeight="1">
      <c r="A32" s="617"/>
      <c r="B32" s="617"/>
      <c r="C32" s="617"/>
      <c r="D32" s="617"/>
      <c r="E32" s="617"/>
      <c r="F32" s="617"/>
      <c r="G32" s="617"/>
      <c r="H32" s="621" t="s">
        <v>6365</v>
      </c>
      <c r="I32" s="1288" t="s">
        <v>6377</v>
      </c>
      <c r="J32" s="1288"/>
      <c r="K32" s="1288"/>
      <c r="L32" s="1288"/>
      <c r="M32" s="1288"/>
      <c r="N32" s="1288"/>
    </row>
    <row r="33" spans="1:14" ht="38.1" customHeight="1">
      <c r="A33" s="1334" t="s">
        <v>6378</v>
      </c>
      <c r="B33" s="1334"/>
      <c r="C33" s="1334"/>
      <c r="D33" s="1334"/>
      <c r="E33" s="1334"/>
      <c r="F33" s="1334"/>
      <c r="G33" s="1334"/>
      <c r="H33" s="617"/>
      <c r="I33" s="617"/>
      <c r="J33" s="617"/>
      <c r="K33" s="617"/>
      <c r="L33" s="617"/>
      <c r="M33" s="617"/>
      <c r="N33" s="617"/>
    </row>
    <row r="34" spans="1:14" ht="38.1" customHeight="1">
      <c r="A34" s="623">
        <v>1</v>
      </c>
      <c r="B34" s="1291" t="s">
        <v>6379</v>
      </c>
      <c r="C34" s="1291"/>
      <c r="D34" s="1291"/>
      <c r="E34" s="1291"/>
      <c r="F34" s="1291"/>
      <c r="G34" s="1291"/>
      <c r="H34" s="1285" t="s">
        <v>6380</v>
      </c>
      <c r="I34" s="1285"/>
      <c r="J34" s="1285"/>
      <c r="K34" s="1285"/>
      <c r="L34" s="1285"/>
      <c r="M34" s="1285"/>
      <c r="N34" s="1285"/>
    </row>
    <row r="35" spans="1:14" ht="38.1" customHeight="1">
      <c r="A35" s="623">
        <v>2</v>
      </c>
      <c r="B35" s="1291" t="s">
        <v>6381</v>
      </c>
      <c r="C35" s="1291"/>
      <c r="D35" s="1291"/>
      <c r="E35" s="1291"/>
      <c r="F35" s="1291"/>
      <c r="G35" s="1291"/>
      <c r="H35" s="625">
        <v>1</v>
      </c>
      <c r="I35" s="1274" t="s">
        <v>6382</v>
      </c>
      <c r="J35" s="1274"/>
      <c r="K35" s="1274"/>
      <c r="L35" s="1274"/>
      <c r="M35" s="1274"/>
      <c r="N35" s="1274"/>
    </row>
    <row r="36" spans="1:14" ht="38.1" customHeight="1">
      <c r="A36" s="623">
        <v>3</v>
      </c>
      <c r="B36" s="1291" t="s">
        <v>6383</v>
      </c>
      <c r="C36" s="1291"/>
      <c r="D36" s="1291"/>
      <c r="E36" s="1291"/>
      <c r="F36" s="1291"/>
      <c r="G36" s="1291"/>
      <c r="H36" s="626">
        <v>2</v>
      </c>
      <c r="I36" s="1288" t="s">
        <v>6384</v>
      </c>
      <c r="J36" s="1288"/>
      <c r="K36" s="1288"/>
      <c r="L36" s="1288"/>
      <c r="M36" s="1288"/>
      <c r="N36" s="1288"/>
    </row>
    <row r="37" spans="1:14" ht="38.1" customHeight="1">
      <c r="A37" s="625">
        <v>4</v>
      </c>
      <c r="B37" s="1333" t="s">
        <v>6385</v>
      </c>
      <c r="C37" s="1333"/>
      <c r="D37" s="1333"/>
      <c r="E37" s="1333"/>
      <c r="F37" s="1333"/>
      <c r="G37" s="1333"/>
      <c r="H37" s="626">
        <v>3</v>
      </c>
      <c r="I37" s="1288" t="s">
        <v>6386</v>
      </c>
      <c r="J37" s="1288"/>
      <c r="K37" s="1288"/>
      <c r="L37" s="1288"/>
      <c r="M37" s="1288"/>
      <c r="N37" s="1288"/>
    </row>
    <row r="38" spans="1:14" ht="38.1" customHeight="1">
      <c r="A38" s="617"/>
      <c r="B38" s="617"/>
      <c r="C38" s="617"/>
      <c r="D38" s="617"/>
      <c r="E38" s="617"/>
      <c r="F38" s="617"/>
      <c r="G38" s="617"/>
      <c r="H38" s="625">
        <v>4</v>
      </c>
      <c r="I38" s="1274" t="s">
        <v>6387</v>
      </c>
      <c r="J38" s="1274"/>
      <c r="K38" s="1274"/>
      <c r="L38" s="1274"/>
      <c r="M38" s="1274"/>
      <c r="N38" s="1274"/>
    </row>
    <row r="39" spans="1:14" ht="38.1" customHeight="1">
      <c r="A39" s="617"/>
      <c r="B39" s="617"/>
      <c r="C39" s="617"/>
      <c r="D39" s="617"/>
      <c r="E39" s="617"/>
      <c r="F39" s="617"/>
      <c r="G39" s="617"/>
      <c r="H39" s="625">
        <v>5</v>
      </c>
      <c r="I39" s="1274" t="s">
        <v>6388</v>
      </c>
      <c r="J39" s="1274"/>
      <c r="K39" s="1274"/>
      <c r="L39" s="1274"/>
      <c r="M39" s="1274"/>
      <c r="N39" s="1274"/>
    </row>
    <row r="40" spans="1:14" ht="38.1" customHeight="1">
      <c r="A40" s="617"/>
      <c r="B40" s="617"/>
      <c r="C40" s="617"/>
      <c r="D40" s="617"/>
      <c r="E40" s="617"/>
      <c r="F40" s="617"/>
      <c r="G40" s="617"/>
      <c r="H40" s="625">
        <v>6</v>
      </c>
      <c r="I40" s="1274" t="s">
        <v>6389</v>
      </c>
      <c r="J40" s="1274"/>
      <c r="K40" s="1274"/>
      <c r="L40" s="1274"/>
      <c r="M40" s="1274"/>
      <c r="N40" s="1274"/>
    </row>
    <row r="41" spans="1:14">
      <c r="A41" s="617"/>
      <c r="B41" s="617"/>
      <c r="C41" s="617"/>
      <c r="D41" s="617"/>
      <c r="E41" s="617"/>
      <c r="F41" s="617"/>
      <c r="G41" s="617"/>
      <c r="H41" s="617"/>
      <c r="I41" s="617"/>
      <c r="J41" s="617"/>
      <c r="K41" s="617"/>
      <c r="L41" s="617"/>
      <c r="M41" s="617"/>
      <c r="N41" s="617"/>
    </row>
    <row r="42" spans="1:14" ht="36" customHeight="1">
      <c r="A42" s="1276" t="s">
        <v>6390</v>
      </c>
      <c r="B42" s="1276"/>
      <c r="C42" s="1276"/>
      <c r="D42" s="1276"/>
      <c r="E42" s="1276"/>
      <c r="F42" s="1276"/>
      <c r="G42" s="1276"/>
      <c r="H42" s="1276"/>
      <c r="I42" s="1276"/>
      <c r="J42" s="1276"/>
      <c r="K42" s="1276"/>
      <c r="L42" s="1276"/>
      <c r="M42" s="1276"/>
      <c r="N42" s="1276"/>
    </row>
    <row r="43" spans="1:14" ht="36" customHeight="1">
      <c r="A43" s="1312" t="s">
        <v>6391</v>
      </c>
      <c r="B43" s="1312"/>
      <c r="C43" s="1312"/>
      <c r="D43" s="1332"/>
      <c r="E43" s="1332"/>
      <c r="F43" s="1332"/>
      <c r="G43" s="1332"/>
      <c r="H43" s="1312" t="s">
        <v>6392</v>
      </c>
      <c r="I43" s="1312"/>
      <c r="J43" s="1312"/>
      <c r="K43" s="1332"/>
      <c r="L43" s="1332"/>
      <c r="M43" s="1332"/>
      <c r="N43" s="1332"/>
    </row>
    <row r="44" spans="1:14" ht="36" customHeight="1">
      <c r="A44" s="1312" t="s">
        <v>6393</v>
      </c>
      <c r="B44" s="1312"/>
      <c r="C44" s="1312"/>
      <c r="D44" s="1332"/>
      <c r="E44" s="1332"/>
      <c r="F44" s="1332"/>
      <c r="G44" s="1332"/>
      <c r="H44" s="1312" t="s">
        <v>6394</v>
      </c>
      <c r="I44" s="1312"/>
      <c r="J44" s="1312"/>
      <c r="K44" s="1332"/>
      <c r="L44" s="1332"/>
      <c r="M44" s="1332"/>
      <c r="N44" s="1332"/>
    </row>
    <row r="45" spans="1:14" ht="36" customHeight="1">
      <c r="A45" s="1312" t="s">
        <v>6395</v>
      </c>
      <c r="B45" s="1312"/>
      <c r="C45" s="1312"/>
      <c r="D45" s="1332"/>
      <c r="E45" s="1332"/>
      <c r="F45" s="1332"/>
      <c r="G45" s="1332"/>
      <c r="H45" s="1312" t="s">
        <v>6396</v>
      </c>
      <c r="I45" s="1312"/>
      <c r="J45" s="1312"/>
      <c r="K45" s="1332"/>
      <c r="L45" s="1332"/>
      <c r="M45" s="1332"/>
      <c r="N45" s="1332"/>
    </row>
    <row r="46" spans="1:14" ht="36" customHeight="1">
      <c r="A46" s="1312" t="s">
        <v>6397</v>
      </c>
      <c r="B46" s="1312"/>
      <c r="C46" s="1312"/>
      <c r="D46" s="1332"/>
      <c r="E46" s="1332"/>
      <c r="F46" s="1332"/>
      <c r="G46" s="1332"/>
      <c r="H46" s="1312" t="s">
        <v>6398</v>
      </c>
      <c r="I46" s="1312"/>
      <c r="J46" s="1312"/>
      <c r="K46" s="1332"/>
      <c r="L46" s="1332"/>
      <c r="M46" s="1332"/>
      <c r="N46" s="1332"/>
    </row>
    <row r="47" spans="1:14" ht="36" customHeight="1">
      <c r="A47" s="617"/>
      <c r="B47" s="617"/>
      <c r="C47" s="617"/>
      <c r="D47" s="617"/>
      <c r="E47" s="617"/>
      <c r="F47" s="617"/>
      <c r="G47" s="617"/>
      <c r="H47" s="617"/>
      <c r="I47" s="617"/>
      <c r="J47" s="617"/>
      <c r="K47" s="617"/>
      <c r="L47" s="617"/>
      <c r="M47" s="617"/>
      <c r="N47" s="617"/>
    </row>
    <row r="48" spans="1:14" ht="36" customHeight="1">
      <c r="A48" s="1285" t="s">
        <v>6399</v>
      </c>
      <c r="B48" s="1285"/>
      <c r="C48" s="1285"/>
      <c r="D48" s="1285"/>
      <c r="E48" s="1285"/>
      <c r="F48" s="1285"/>
      <c r="G48" s="1285"/>
      <c r="H48" s="1285"/>
      <c r="I48" s="1285"/>
      <c r="J48" s="1285"/>
      <c r="K48" s="1285"/>
      <c r="L48" s="1285"/>
      <c r="M48" s="1285"/>
      <c r="N48" s="1285"/>
    </row>
    <row r="49" spans="1:14">
      <c r="A49" s="617"/>
      <c r="B49" s="617"/>
      <c r="C49" s="617"/>
      <c r="D49" s="617"/>
      <c r="E49" s="617"/>
      <c r="F49" s="617"/>
      <c r="G49" s="617"/>
      <c r="H49" s="617"/>
      <c r="I49" s="617"/>
      <c r="J49" s="617"/>
      <c r="K49" s="617"/>
      <c r="L49" s="617"/>
      <c r="M49" s="617"/>
      <c r="N49" s="617"/>
    </row>
    <row r="50" spans="1:14" ht="39.950000000000003" customHeight="1">
      <c r="A50" s="1276" t="s">
        <v>6400</v>
      </c>
      <c r="B50" s="1276"/>
      <c r="C50" s="1276"/>
      <c r="D50" s="1276"/>
      <c r="E50" s="1276"/>
      <c r="F50" s="1276"/>
      <c r="G50" s="1276"/>
      <c r="H50" s="1276"/>
      <c r="I50" s="1276"/>
      <c r="J50" s="1276"/>
      <c r="K50" s="1276"/>
      <c r="L50" s="1276"/>
      <c r="M50" s="1276"/>
      <c r="N50" s="1276"/>
    </row>
    <row r="51" spans="1:14" ht="39.950000000000003" customHeight="1">
      <c r="A51" s="627" t="s">
        <v>6401</v>
      </c>
      <c r="B51" s="628" t="s">
        <v>6402</v>
      </c>
      <c r="C51" s="628" t="s">
        <v>6403</v>
      </c>
      <c r="D51" s="628" t="s">
        <v>6404</v>
      </c>
      <c r="E51" s="628" t="s">
        <v>6405</v>
      </c>
      <c r="F51" s="628" t="s">
        <v>6406</v>
      </c>
      <c r="G51" s="628" t="s">
        <v>6407</v>
      </c>
      <c r="H51" s="628" t="s">
        <v>6408</v>
      </c>
      <c r="I51" s="628" t="s">
        <v>6409</v>
      </c>
      <c r="J51" s="628" t="s">
        <v>6410</v>
      </c>
      <c r="K51" s="628" t="s">
        <v>6411</v>
      </c>
      <c r="L51" s="628" t="s">
        <v>6412</v>
      </c>
      <c r="M51" s="628" t="s">
        <v>6413</v>
      </c>
      <c r="N51" s="628" t="s">
        <v>6414</v>
      </c>
    </row>
    <row r="52" spans="1:14" ht="39.950000000000003" customHeight="1">
      <c r="A52" s="629"/>
      <c r="B52" s="629"/>
      <c r="C52" s="616"/>
      <c r="D52" s="616"/>
      <c r="E52" s="616"/>
      <c r="F52" s="616"/>
      <c r="G52" s="630"/>
      <c r="H52" s="631"/>
      <c r="I52" s="631"/>
      <c r="J52" s="630"/>
      <c r="K52" s="616"/>
      <c r="L52" s="630"/>
      <c r="M52" s="630"/>
      <c r="N52" s="616"/>
    </row>
    <row r="53" spans="1:14" ht="39.950000000000003" customHeight="1">
      <c r="A53" s="632"/>
      <c r="B53" s="632"/>
      <c r="C53" s="616"/>
      <c r="D53" s="616"/>
      <c r="E53" s="616"/>
      <c r="F53" s="616"/>
      <c r="G53" s="630"/>
      <c r="H53" s="631"/>
      <c r="I53" s="631"/>
      <c r="J53" s="630"/>
      <c r="K53" s="616"/>
      <c r="L53" s="630"/>
      <c r="M53" s="630"/>
      <c r="N53" s="616"/>
    </row>
    <row r="54" spans="1:14" ht="39.950000000000003" customHeight="1">
      <c r="A54" s="632"/>
      <c r="B54" s="632"/>
      <c r="C54" s="616"/>
      <c r="D54" s="616"/>
      <c r="E54" s="616"/>
      <c r="F54" s="616"/>
      <c r="G54" s="630"/>
      <c r="H54" s="631"/>
      <c r="I54" s="631"/>
      <c r="J54" s="630"/>
      <c r="K54" s="616"/>
      <c r="L54" s="630"/>
      <c r="M54" s="630"/>
      <c r="N54" s="616"/>
    </row>
    <row r="55" spans="1:14" ht="39.950000000000003" customHeight="1">
      <c r="A55" s="632"/>
      <c r="B55" s="632"/>
      <c r="C55" s="616"/>
      <c r="D55" s="616"/>
      <c r="E55" s="616"/>
      <c r="F55" s="616"/>
      <c r="G55" s="630"/>
      <c r="H55" s="631"/>
      <c r="I55" s="631"/>
      <c r="J55" s="630"/>
      <c r="K55" s="616"/>
      <c r="L55" s="630"/>
      <c r="M55" s="630"/>
      <c r="N55" s="616"/>
    </row>
    <row r="56" spans="1:14">
      <c r="A56" s="617"/>
      <c r="B56" s="617"/>
      <c r="C56" s="617"/>
      <c r="D56" s="617"/>
      <c r="E56" s="617"/>
      <c r="F56" s="617"/>
      <c r="G56" s="617"/>
      <c r="H56" s="617"/>
      <c r="I56" s="617"/>
      <c r="J56" s="633"/>
      <c r="K56" s="617"/>
      <c r="L56" s="617"/>
      <c r="M56" s="617"/>
      <c r="N56" s="617"/>
    </row>
    <row r="57" spans="1:14" ht="38.1" customHeight="1">
      <c r="A57" s="1276" t="s">
        <v>6415</v>
      </c>
      <c r="B57" s="1276"/>
      <c r="C57" s="1276"/>
      <c r="D57" s="1276"/>
      <c r="E57" s="1276"/>
      <c r="F57" s="1276"/>
      <c r="G57" s="1276"/>
      <c r="H57" s="1276"/>
      <c r="I57" s="1276"/>
      <c r="J57" s="1276"/>
      <c r="K57" s="1276"/>
      <c r="L57" s="1276"/>
      <c r="M57" s="1276"/>
      <c r="N57" s="1276"/>
    </row>
    <row r="58" spans="1:14" ht="38.1" customHeight="1">
      <c r="A58" s="1292" t="s">
        <v>6416</v>
      </c>
      <c r="B58" s="1292"/>
      <c r="C58" s="1292"/>
      <c r="D58" s="1292" t="s">
        <v>6401</v>
      </c>
      <c r="E58" s="1292"/>
      <c r="F58" s="1292" t="s">
        <v>6417</v>
      </c>
      <c r="G58" s="1292"/>
      <c r="H58" s="1292"/>
      <c r="I58" s="1292"/>
      <c r="J58" s="1292" t="s">
        <v>6418</v>
      </c>
      <c r="K58" s="1292"/>
      <c r="L58" s="1292" t="s">
        <v>6419</v>
      </c>
      <c r="M58" s="1292"/>
      <c r="N58" s="1292"/>
    </row>
    <row r="59" spans="1:14" ht="61.5" customHeight="1">
      <c r="A59" s="1329"/>
      <c r="B59" s="1329"/>
      <c r="C59" s="1329"/>
      <c r="D59" s="1330"/>
      <c r="E59" s="1330"/>
      <c r="F59" s="1330"/>
      <c r="G59" s="1330"/>
      <c r="H59" s="1330"/>
      <c r="I59" s="1330"/>
      <c r="J59" s="1330"/>
      <c r="K59" s="1330"/>
      <c r="L59" s="1330"/>
      <c r="M59" s="1330"/>
      <c r="N59" s="1330"/>
    </row>
    <row r="60" spans="1:14" ht="38.1" customHeight="1">
      <c r="A60" s="1331" t="s">
        <v>6420</v>
      </c>
      <c r="B60" s="1331"/>
      <c r="C60" s="1331"/>
      <c r="D60" s="1331"/>
      <c r="E60" s="1331"/>
      <c r="F60" s="1331"/>
      <c r="G60" s="1331"/>
      <c r="H60" s="1331"/>
      <c r="I60" s="1331"/>
      <c r="J60" s="1331"/>
      <c r="K60" s="1331"/>
      <c r="L60" s="1331"/>
      <c r="M60" s="1331"/>
      <c r="N60" s="1331"/>
    </row>
    <row r="61" spans="1:14">
      <c r="A61" s="617"/>
      <c r="B61" s="617"/>
      <c r="C61" s="617"/>
      <c r="D61" s="617"/>
      <c r="E61" s="617"/>
      <c r="F61" s="617"/>
      <c r="G61" s="617"/>
      <c r="H61" s="617"/>
      <c r="I61" s="617"/>
      <c r="J61" s="617"/>
      <c r="K61" s="617"/>
      <c r="L61" s="617"/>
      <c r="M61" s="617"/>
      <c r="N61" s="617"/>
    </row>
    <row r="62" spans="1:14" ht="30" customHeight="1">
      <c r="A62" s="1328" t="s">
        <v>6421</v>
      </c>
      <c r="B62" s="1328"/>
      <c r="C62" s="1328"/>
      <c r="D62" s="1328"/>
      <c r="E62" s="1328"/>
      <c r="F62" s="1328"/>
      <c r="G62" s="1328"/>
      <c r="H62" s="1328"/>
      <c r="I62" s="1328"/>
      <c r="J62" s="1328"/>
      <c r="K62" s="1328"/>
      <c r="L62" s="1328"/>
      <c r="M62" s="1328"/>
      <c r="N62" s="1328"/>
    </row>
    <row r="63" spans="1:14" ht="30" customHeight="1">
      <c r="A63" s="1326" t="s">
        <v>6422</v>
      </c>
      <c r="B63" s="1326"/>
      <c r="C63" s="1326"/>
      <c r="D63" s="1326"/>
      <c r="E63" s="1326"/>
      <c r="F63" s="1327" t="s">
        <v>6423</v>
      </c>
      <c r="G63" s="1327"/>
      <c r="H63" s="1327"/>
      <c r="I63" s="1327"/>
      <c r="J63" s="1327"/>
      <c r="K63" s="1327"/>
      <c r="L63" s="1327"/>
      <c r="M63" s="1327"/>
      <c r="N63" s="1327"/>
    </row>
    <row r="64" spans="1:14" ht="30" customHeight="1">
      <c r="A64" s="1326" t="s">
        <v>6424</v>
      </c>
      <c r="B64" s="1326"/>
      <c r="C64" s="1326"/>
      <c r="D64" s="1326"/>
      <c r="E64" s="1326"/>
      <c r="F64" s="1327" t="s">
        <v>6425</v>
      </c>
      <c r="G64" s="1327"/>
      <c r="H64" s="1327"/>
      <c r="I64" s="1327"/>
      <c r="J64" s="1327"/>
      <c r="K64" s="1327"/>
      <c r="L64" s="1327"/>
      <c r="M64" s="1327"/>
      <c r="N64" s="1327"/>
    </row>
    <row r="65" spans="1:14" ht="30" customHeight="1">
      <c r="A65" s="1326" t="s">
        <v>6426</v>
      </c>
      <c r="B65" s="1326"/>
      <c r="C65" s="1326"/>
      <c r="D65" s="1326"/>
      <c r="E65" s="1326"/>
      <c r="F65" s="1327" t="s">
        <v>6427</v>
      </c>
      <c r="G65" s="1327"/>
      <c r="H65" s="1327"/>
      <c r="I65" s="1327"/>
      <c r="J65" s="1327"/>
      <c r="K65" s="1327"/>
      <c r="L65" s="1327"/>
      <c r="M65" s="1327"/>
      <c r="N65" s="1327"/>
    </row>
    <row r="66" spans="1:14" ht="30" customHeight="1">
      <c r="A66" s="1326" t="s">
        <v>6428</v>
      </c>
      <c r="B66" s="1326"/>
      <c r="C66" s="1326"/>
      <c r="D66" s="1326"/>
      <c r="E66" s="1326"/>
      <c r="F66" s="1327" t="s">
        <v>6429</v>
      </c>
      <c r="G66" s="1327"/>
      <c r="H66" s="1327"/>
      <c r="I66" s="1327"/>
      <c r="J66" s="1327"/>
      <c r="K66" s="1327"/>
      <c r="L66" s="1327"/>
      <c r="M66" s="1327"/>
      <c r="N66" s="1327"/>
    </row>
  </sheetData>
  <mergeCells count="121">
    <mergeCell ref="A7:B7"/>
    <mergeCell ref="C7:E7"/>
    <mergeCell ref="F7:G7"/>
    <mergeCell ref="H7:J7"/>
    <mergeCell ref="K7:L7"/>
    <mergeCell ref="M7:N7"/>
    <mergeCell ref="A1:N2"/>
    <mergeCell ref="A3:N4"/>
    <mergeCell ref="A5:N5"/>
    <mergeCell ref="A6:B6"/>
    <mergeCell ref="C6:E6"/>
    <mergeCell ref="F6:G6"/>
    <mergeCell ref="H6:J6"/>
    <mergeCell ref="K6:L6"/>
    <mergeCell ref="M6:N6"/>
    <mergeCell ref="A9:B9"/>
    <mergeCell ref="C9:E9"/>
    <mergeCell ref="F9:G9"/>
    <mergeCell ref="H9:J9"/>
    <mergeCell ref="K9:L9"/>
    <mergeCell ref="M9:N9"/>
    <mergeCell ref="A8:B8"/>
    <mergeCell ref="C8:E8"/>
    <mergeCell ref="F8:G8"/>
    <mergeCell ref="H8:J8"/>
    <mergeCell ref="K8:L8"/>
    <mergeCell ref="M8:N8"/>
    <mergeCell ref="A11:N11"/>
    <mergeCell ref="A12:C12"/>
    <mergeCell ref="D12:G12"/>
    <mergeCell ref="H12:J12"/>
    <mergeCell ref="K12:N12"/>
    <mergeCell ref="A13:C13"/>
    <mergeCell ref="D13:G13"/>
    <mergeCell ref="H13:J13"/>
    <mergeCell ref="K13:N13"/>
    <mergeCell ref="A16:C16"/>
    <mergeCell ref="D16:G16"/>
    <mergeCell ref="H16:J16"/>
    <mergeCell ref="K16:N16"/>
    <mergeCell ref="A18:N18"/>
    <mergeCell ref="B19:N19"/>
    <mergeCell ref="A14:C14"/>
    <mergeCell ref="D14:G14"/>
    <mergeCell ref="H14:J14"/>
    <mergeCell ref="K14:N14"/>
    <mergeCell ref="A15:C15"/>
    <mergeCell ref="D15:G15"/>
    <mergeCell ref="H15:J15"/>
    <mergeCell ref="K15:N15"/>
    <mergeCell ref="A26:G26"/>
    <mergeCell ref="I26:N26"/>
    <mergeCell ref="B27:G27"/>
    <mergeCell ref="I27:N27"/>
    <mergeCell ref="B28:G28"/>
    <mergeCell ref="I28:N28"/>
    <mergeCell ref="B20:N20"/>
    <mergeCell ref="B21:N21"/>
    <mergeCell ref="B22:N22"/>
    <mergeCell ref="B23:N23"/>
    <mergeCell ref="A25:G25"/>
    <mergeCell ref="H25:N25"/>
    <mergeCell ref="I32:N32"/>
    <mergeCell ref="A33:G33"/>
    <mergeCell ref="B34:G34"/>
    <mergeCell ref="H34:N34"/>
    <mergeCell ref="B35:G35"/>
    <mergeCell ref="I35:N35"/>
    <mergeCell ref="B29:G29"/>
    <mergeCell ref="I29:N29"/>
    <mergeCell ref="B30:G30"/>
    <mergeCell ref="I30:N30"/>
    <mergeCell ref="B31:G31"/>
    <mergeCell ref="I31:N31"/>
    <mergeCell ref="I40:N40"/>
    <mergeCell ref="A42:N42"/>
    <mergeCell ref="A43:C43"/>
    <mergeCell ref="D43:G43"/>
    <mergeCell ref="H43:J43"/>
    <mergeCell ref="K43:N43"/>
    <mergeCell ref="B36:G36"/>
    <mergeCell ref="I36:N36"/>
    <mergeCell ref="B37:G37"/>
    <mergeCell ref="I37:N37"/>
    <mergeCell ref="I38:N38"/>
    <mergeCell ref="I39:N39"/>
    <mergeCell ref="A46:C46"/>
    <mergeCell ref="D46:G46"/>
    <mergeCell ref="H46:J46"/>
    <mergeCell ref="K46:N46"/>
    <mergeCell ref="A48:N48"/>
    <mergeCell ref="A50:N50"/>
    <mergeCell ref="A44:C44"/>
    <mergeCell ref="D44:G44"/>
    <mergeCell ref="H44:J44"/>
    <mergeCell ref="K44:N44"/>
    <mergeCell ref="A45:C45"/>
    <mergeCell ref="D45:G45"/>
    <mergeCell ref="H45:J45"/>
    <mergeCell ref="K45:N45"/>
    <mergeCell ref="A59:C59"/>
    <mergeCell ref="D59:E59"/>
    <mergeCell ref="F59:I59"/>
    <mergeCell ref="J59:K59"/>
    <mergeCell ref="L59:N59"/>
    <mergeCell ref="A60:N60"/>
    <mergeCell ref="A57:N57"/>
    <mergeCell ref="A58:C58"/>
    <mergeCell ref="D58:E58"/>
    <mergeCell ref="F58:I58"/>
    <mergeCell ref="J58:K58"/>
    <mergeCell ref="L58:N58"/>
    <mergeCell ref="A66:E66"/>
    <mergeCell ref="F66:N66"/>
    <mergeCell ref="A62:N62"/>
    <mergeCell ref="A63:E63"/>
    <mergeCell ref="F63:N63"/>
    <mergeCell ref="A64:E64"/>
    <mergeCell ref="F64:N64"/>
    <mergeCell ref="A65:E65"/>
    <mergeCell ref="F65:N6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3EA2A-75EC-4CA8-9B41-0B1664D02139}">
  <dimension ref="A1:DQ2470"/>
  <sheetViews>
    <sheetView workbookViewId="0">
      <selection activeCell="U4" sqref="U4"/>
    </sheetView>
  </sheetViews>
  <sheetFormatPr baseColWidth="10" defaultColWidth="9.140625" defaultRowHeight="15.75"/>
  <cols>
    <col min="1" max="1" width="11.7109375" style="638" customWidth="1"/>
    <col min="2" max="8" width="5.7109375" style="638" hidden="1" customWidth="1"/>
    <col min="9" max="9" width="12.28515625" style="638" hidden="1" customWidth="1"/>
    <col min="10" max="10" width="14" style="638" customWidth="1"/>
    <col min="11" max="11" width="122.7109375" style="638" customWidth="1"/>
    <col min="12" max="12" width="9" style="638" customWidth="1"/>
    <col min="13" max="13" width="7.85546875" style="638" customWidth="1"/>
    <col min="14" max="14" width="8.5703125" style="638" customWidth="1"/>
    <col min="15" max="15" width="122.7109375" style="638" customWidth="1"/>
    <col min="16" max="17" width="9" style="638" customWidth="1"/>
    <col min="18" max="18" width="3" style="638" customWidth="1"/>
    <col min="19" max="19" width="7.7109375" style="493" customWidth="1"/>
    <col min="20" max="20" width="87.7109375" style="531" customWidth="1"/>
    <col min="21" max="21" width="88.28515625" style="493" customWidth="1"/>
    <col min="22" max="22" width="44.42578125" style="493" customWidth="1"/>
    <col min="23" max="36" width="13.85546875" style="493" customWidth="1"/>
    <col min="37" max="37" width="39.140625" style="493" customWidth="1"/>
    <col min="38" max="38" width="2.5703125" style="493" customWidth="1"/>
    <col min="39" max="45" width="23.5703125" style="493" customWidth="1"/>
    <col min="46" max="108" width="6.5703125" style="493" customWidth="1"/>
    <col min="109" max="109" width="2.28515625" style="532" customWidth="1"/>
    <col min="110" max="110" width="14.42578125" style="493" customWidth="1"/>
    <col min="111" max="111" width="41.85546875" style="493" customWidth="1"/>
    <col min="112" max="112" width="17" style="493" customWidth="1"/>
    <col min="113" max="114" width="41.85546875" style="493" customWidth="1"/>
    <col min="115" max="115" width="46.7109375" style="493" customWidth="1"/>
    <col min="116" max="116" width="79.28515625" style="493" customWidth="1"/>
    <col min="117" max="117" width="112" style="493" customWidth="1"/>
    <col min="118" max="118" width="13" style="493" customWidth="1"/>
    <col min="119" max="119" width="9.140625" style="493"/>
    <col min="120" max="120" width="9.140625" style="580"/>
    <col min="121" max="121" width="9.140625" style="493"/>
    <col min="122" max="16384" width="9.140625" style="638"/>
  </cols>
  <sheetData>
    <row r="1" spans="1:120" ht="24" customHeight="1">
      <c r="A1" s="635" t="str">
        <f>ADDRESS(ROW(),COLUMN(),4)</f>
        <v>A1</v>
      </c>
      <c r="B1" s="636"/>
      <c r="C1" s="637"/>
      <c r="D1" s="637"/>
      <c r="E1" s="637"/>
      <c r="F1" s="637"/>
      <c r="G1" s="637"/>
      <c r="H1" s="637"/>
      <c r="I1" s="637"/>
      <c r="J1" s="1357" t="s">
        <v>6431</v>
      </c>
      <c r="K1" s="1357"/>
      <c r="L1" s="1357"/>
      <c r="M1" s="1357"/>
      <c r="N1" s="1357"/>
      <c r="O1" s="1357"/>
      <c r="P1" s="1357"/>
      <c r="Q1" s="1357"/>
      <c r="DP1" s="543">
        <v>1</v>
      </c>
    </row>
    <row r="2" spans="1:120" ht="24" customHeight="1">
      <c r="A2" s="1358" t="s">
        <v>6432</v>
      </c>
      <c r="B2" s="636"/>
      <c r="C2" s="639"/>
      <c r="D2" s="639"/>
      <c r="E2" s="639"/>
      <c r="F2" s="639"/>
      <c r="G2" s="639"/>
      <c r="H2" s="639"/>
      <c r="I2" s="639"/>
      <c r="J2" s="1357"/>
      <c r="K2" s="1357"/>
      <c r="L2" s="1357"/>
      <c r="M2" s="1357"/>
      <c r="N2" s="1357"/>
      <c r="O2" s="1357"/>
      <c r="P2" s="1357"/>
      <c r="Q2" s="1357"/>
      <c r="T2" s="473" t="s">
        <v>841</v>
      </c>
      <c r="DP2" s="543">
        <v>1</v>
      </c>
    </row>
    <row r="3" spans="1:120" ht="24" customHeight="1">
      <c r="A3" s="1358"/>
      <c r="B3" s="636" t="s">
        <v>6433</v>
      </c>
      <c r="C3" s="639"/>
      <c r="D3" s="639"/>
      <c r="E3" s="639"/>
      <c r="F3" s="639"/>
      <c r="G3" s="639"/>
      <c r="H3" s="639"/>
      <c r="I3" s="639" t="s">
        <v>720</v>
      </c>
      <c r="J3" s="640" t="s">
        <v>720</v>
      </c>
      <c r="K3" s="641" t="s">
        <v>6434</v>
      </c>
      <c r="L3" s="642"/>
      <c r="M3" s="642"/>
      <c r="N3" s="642"/>
      <c r="O3" s="642"/>
      <c r="P3" s="642"/>
      <c r="Q3" s="642"/>
      <c r="DP3" s="543">
        <v>1</v>
      </c>
    </row>
    <row r="4" spans="1:120" ht="30" customHeight="1">
      <c r="B4" s="643"/>
      <c r="C4" s="643"/>
      <c r="D4" s="643"/>
      <c r="E4" s="643"/>
      <c r="F4" s="643"/>
      <c r="G4" s="643"/>
      <c r="H4" s="643"/>
      <c r="I4" s="643"/>
      <c r="J4" s="1359" t="str">
        <f>"Saisir le texte en "&amp;K15&amp;"  Régler la longueur en "&amp;ADDRESS(ROW(N10),COLUMN(N10),4)&amp;"    en option  Mettre un  X en  "&amp;ADDRESS(ROW(N11),COLUMN(N11),4)&amp;"  pour alléger une partie de la ponctuation."</f>
        <v>Saisir le texte en COLONNE K  Régler la longueur en N10    en option  Mettre un  X en  N11  pour alléger une partie de la ponctuation.</v>
      </c>
      <c r="K4" s="1359"/>
      <c r="L4" s="1359"/>
      <c r="M4" s="1359"/>
      <c r="N4" s="1359"/>
      <c r="O4" s="1359"/>
      <c r="P4" s="1359"/>
      <c r="Q4" s="1359"/>
      <c r="DP4" s="543">
        <v>1</v>
      </c>
    </row>
    <row r="5" spans="1:120" ht="21" customHeight="1">
      <c r="B5" s="643"/>
      <c r="C5" s="643"/>
      <c r="D5" s="643"/>
      <c r="E5" s="643"/>
      <c r="F5" s="643"/>
      <c r="G5" s="643"/>
      <c r="H5" s="643"/>
      <c r="I5" s="644" t="s">
        <v>6435</v>
      </c>
      <c r="J5" s="645">
        <f ca="1">INDEX(CELL("largeur",J5),1,1)</f>
        <v>13</v>
      </c>
      <c r="K5" s="645">
        <f ca="1">INDEX(CELL("largeur",K5),1,1)</f>
        <v>122</v>
      </c>
      <c r="L5" s="645">
        <f ca="1">INDEX(CELL("largeur",L5),1,1)</f>
        <v>8</v>
      </c>
      <c r="M5" s="643"/>
      <c r="N5" s="645">
        <f ca="1">INDEX(CELL("largeur",N5),1,1)</f>
        <v>8</v>
      </c>
      <c r="O5" s="645">
        <f ca="1">INDEX(CELL("largeur",O5),1,1)</f>
        <v>122</v>
      </c>
      <c r="P5" s="645">
        <f ca="1">INDEX(CELL("largeur",P5),1,1)</f>
        <v>8</v>
      </c>
      <c r="Q5" s="645">
        <f ca="1">INDEX(CELL("largeur",Q5),1,1)</f>
        <v>8</v>
      </c>
      <c r="DP5" s="543">
        <v>1</v>
      </c>
    </row>
    <row r="6" spans="1:120" ht="21" customHeight="1">
      <c r="B6" s="643"/>
      <c r="C6" s="643"/>
      <c r="D6" s="643"/>
      <c r="E6" s="643"/>
      <c r="F6" s="643"/>
      <c r="G6" s="643"/>
      <c r="H6" s="643"/>
      <c r="I6" s="643"/>
      <c r="J6" s="646"/>
      <c r="K6" s="647" t="str">
        <f ca="1">" Largeur de cette colonne : "&amp;INDEX(CELL("largeur",K6),1,1)</f>
        <v xml:space="preserve"> Largeur de cette colonne : 122</v>
      </c>
      <c r="L6" s="646"/>
      <c r="M6" s="643"/>
      <c r="N6" s="646"/>
      <c r="O6" s="648" t="str">
        <f ca="1">" Largeur de cette colonne : " &amp; O5 &amp; IF(O5 &gt; N9, " - Colonne trop large de " &amp; (O5 - N9), IF(O5 &lt; N9, " - Élargissez la colonne à " &amp; N9, " Largeur correcte"))</f>
        <v xml:space="preserve"> Largeur de cette colonne : 122 Largeur correcte</v>
      </c>
      <c r="P6" s="646"/>
      <c r="Q6" s="646"/>
      <c r="S6" s="498"/>
      <c r="DP6" s="543">
        <v>1</v>
      </c>
    </row>
    <row r="7" spans="1:120" ht="21" customHeight="1">
      <c r="B7" s="643"/>
      <c r="C7" s="643"/>
      <c r="D7" s="643"/>
      <c r="E7" s="643"/>
      <c r="F7" s="643"/>
      <c r="G7" s="643"/>
      <c r="H7" s="643"/>
      <c r="I7" s="643"/>
      <c r="J7" s="649" t="s">
        <v>6436</v>
      </c>
      <c r="K7" s="650"/>
      <c r="L7" s="650"/>
      <c r="M7" s="643"/>
      <c r="N7" s="1360" t="s">
        <v>6437</v>
      </c>
      <c r="O7" s="1360"/>
      <c r="P7" s="1360"/>
      <c r="Q7" s="1360"/>
      <c r="U7" s="651" t="s">
        <v>6164</v>
      </c>
      <c r="V7" s="651" t="s">
        <v>6164</v>
      </c>
      <c r="DP7" s="543">
        <v>1</v>
      </c>
    </row>
    <row r="8" spans="1:120" ht="21" customHeight="1">
      <c r="B8" s="643"/>
      <c r="C8" s="643"/>
      <c r="D8" s="643"/>
      <c r="E8" s="643"/>
      <c r="F8" s="643"/>
      <c r="G8" s="643"/>
      <c r="H8" s="643"/>
      <c r="I8" s="643"/>
      <c r="J8" s="652">
        <f>COUNTIF(K18:K203,"&lt;&gt;")</f>
        <v>29</v>
      </c>
      <c r="K8" s="653" t="s">
        <v>6438</v>
      </c>
      <c r="L8" s="643"/>
      <c r="N8" s="654"/>
      <c r="O8" s="655" t="str">
        <f>"1️⃣ saisissez ou collez votre texte "&amp;K15</f>
        <v>1️⃣ saisissez ou collez votre texte COLONNE K</v>
      </c>
      <c r="P8" s="643"/>
      <c r="Q8" s="643"/>
      <c r="S8" s="1244" t="s">
        <v>1072</v>
      </c>
      <c r="T8" s="1244"/>
      <c r="U8" s="1244"/>
      <c r="V8" s="1244"/>
      <c r="W8" s="1244"/>
      <c r="X8" s="1244"/>
      <c r="Y8" s="1244"/>
      <c r="Z8" s="1244"/>
      <c r="AA8" s="1244"/>
      <c r="AB8" s="1244"/>
      <c r="AC8" s="1244"/>
      <c r="AD8" s="1244"/>
      <c r="AE8" s="1244"/>
      <c r="AF8" s="1244"/>
      <c r="AG8" s="1244"/>
      <c r="AH8" s="1244"/>
      <c r="AI8" s="1244"/>
      <c r="AJ8" s="1244"/>
      <c r="AK8" s="1244"/>
      <c r="DP8" s="543">
        <v>1</v>
      </c>
    </row>
    <row r="9" spans="1:120" ht="21" customHeight="1">
      <c r="B9" s="643"/>
      <c r="C9" s="643"/>
      <c r="D9" s="643"/>
      <c r="E9" s="643"/>
      <c r="F9" s="643"/>
      <c r="G9" s="643"/>
      <c r="H9" s="643"/>
      <c r="I9" s="643"/>
      <c r="J9" s="652">
        <f>SUM(L18:L203)</f>
        <v>1934</v>
      </c>
      <c r="K9" s="653" t="s">
        <v>6439</v>
      </c>
      <c r="L9" s="643"/>
      <c r="M9" s="656" t="str">
        <f>ADDRESS(ROW(N10),COLUMN(N10),4)&amp;" ►"</f>
        <v>N10 ►</v>
      </c>
      <c r="N9" s="657">
        <v>122</v>
      </c>
      <c r="O9" s="658" t="s">
        <v>6440</v>
      </c>
      <c r="P9" s="643"/>
      <c r="Q9" s="643"/>
      <c r="S9" s="1244"/>
      <c r="T9" s="1244"/>
      <c r="U9" s="1244"/>
      <c r="V9" s="1244"/>
      <c r="W9" s="1244"/>
      <c r="X9" s="1244"/>
      <c r="Y9" s="1244"/>
      <c r="Z9" s="1244"/>
      <c r="AA9" s="1244"/>
      <c r="AB9" s="1244"/>
      <c r="AC9" s="1244"/>
      <c r="AD9" s="1244"/>
      <c r="AE9" s="1244"/>
      <c r="AF9" s="1244"/>
      <c r="AG9" s="1244"/>
      <c r="AH9" s="1244"/>
      <c r="AI9" s="1244"/>
      <c r="AJ9" s="1244"/>
      <c r="AK9" s="1244"/>
      <c r="DP9" s="543">
        <v>1</v>
      </c>
    </row>
    <row r="10" spans="1:120" ht="21" customHeight="1">
      <c r="B10" s="643"/>
      <c r="C10" s="643"/>
      <c r="D10" s="643"/>
      <c r="E10" s="643"/>
      <c r="F10" s="643"/>
      <c r="G10" s="643"/>
      <c r="H10" s="643"/>
      <c r="I10" s="643"/>
      <c r="J10" s="652" cm="1">
        <f t="array" ref="J10">SUMPRODUCT((K18:K203&lt;&gt;"")*(LEN(TRIM(K18:K203))-LEN(SUBSTITUTE(TRIM(K18:K203)," ",""))+1))</f>
        <v>350</v>
      </c>
      <c r="K10" s="653" t="s">
        <v>6441</v>
      </c>
      <c r="L10" s="643"/>
      <c r="M10" s="656" t="str">
        <f>ADDRESS(ROW(N11),COLUMN(N11),4)&amp;" ►"</f>
        <v>N11 ►</v>
      </c>
      <c r="N10" s="659">
        <v>80</v>
      </c>
      <c r="O10" s="658" t="s">
        <v>6442</v>
      </c>
      <c r="P10" s="643"/>
      <c r="Q10" s="643"/>
      <c r="S10" s="1356" t="s">
        <v>6443</v>
      </c>
      <c r="T10" s="1356"/>
      <c r="U10" s="1356"/>
      <c r="V10" s="1356"/>
      <c r="W10" s="1356"/>
      <c r="X10" s="1356"/>
      <c r="Y10" s="1356"/>
      <c r="Z10" s="1356"/>
      <c r="AA10" s="1356"/>
      <c r="AB10" s="1356"/>
      <c r="AC10" s="1356"/>
      <c r="AD10" s="1356"/>
      <c r="AE10" s="1356"/>
      <c r="AF10" s="1356"/>
      <c r="AG10" s="1356"/>
      <c r="AH10" s="1356"/>
      <c r="AI10" s="1356"/>
      <c r="AJ10" s="1356"/>
      <c r="AK10" s="1356"/>
      <c r="DP10" s="543">
        <v>1</v>
      </c>
    </row>
    <row r="11" spans="1:120" ht="21" customHeight="1">
      <c r="B11" s="643"/>
      <c r="C11" s="643"/>
      <c r="D11" s="643"/>
      <c r="E11" s="643"/>
      <c r="F11" s="643"/>
      <c r="G11" s="643"/>
      <c r="H11" s="643"/>
      <c r="I11" s="643"/>
      <c r="J11" s="652">
        <f>COUNTIF(O18:O1017,"&lt;&gt;")</f>
        <v>1000</v>
      </c>
      <c r="K11" s="653" t="s">
        <v>6444</v>
      </c>
      <c r="L11" s="643"/>
      <c r="M11" s="656" t="str">
        <f>ADDRESS(ROW(N12),COLUMN(N12),4)&amp;" ►"</f>
        <v>N12 ►</v>
      </c>
      <c r="N11" s="660"/>
      <c r="O11" s="661" t="s">
        <v>6445</v>
      </c>
      <c r="P11" s="643"/>
      <c r="Q11" s="643"/>
      <c r="S11" s="1356"/>
      <c r="T11" s="1356"/>
      <c r="U11" s="1356"/>
      <c r="V11" s="1356"/>
      <c r="W11" s="1356"/>
      <c r="X11" s="1356"/>
      <c r="Y11" s="1356"/>
      <c r="Z11" s="1356"/>
      <c r="AA11" s="1356"/>
      <c r="AB11" s="1356"/>
      <c r="AC11" s="1356"/>
      <c r="AD11" s="1356"/>
      <c r="AE11" s="1356"/>
      <c r="AF11" s="1356"/>
      <c r="AG11" s="1356"/>
      <c r="AH11" s="1356"/>
      <c r="AI11" s="1356"/>
      <c r="AJ11" s="1356"/>
      <c r="AK11" s="1356"/>
      <c r="DP11" s="543">
        <v>1</v>
      </c>
    </row>
    <row r="12" spans="1:120" ht="21" customHeight="1">
      <c r="B12" s="643"/>
      <c r="C12" s="643"/>
      <c r="D12" s="643"/>
      <c r="E12" s="643"/>
      <c r="F12" s="643"/>
      <c r="G12" s="643"/>
      <c r="H12" s="643"/>
      <c r="I12" s="643"/>
      <c r="J12" s="652" t="str">
        <f>IF(H1017&lt;&gt;"","Texte plus long que la zone de sortie","Prêt")</f>
        <v>Prêt</v>
      </c>
      <c r="K12" s="653" t="s">
        <v>1075</v>
      </c>
      <c r="L12" s="643"/>
      <c r="M12" s="643"/>
      <c r="N12" s="1354" t="s">
        <v>6446</v>
      </c>
      <c r="O12" s="1354"/>
      <c r="P12" s="1354"/>
      <c r="Q12" s="1354"/>
      <c r="S12" s="1246" t="s">
        <v>5731</v>
      </c>
      <c r="T12" s="1246"/>
      <c r="U12" s="1246"/>
      <c r="V12" s="1246"/>
      <c r="W12" s="1246"/>
      <c r="X12" s="1246"/>
      <c r="Y12" s="1246"/>
      <c r="Z12" s="1246"/>
      <c r="AA12" s="1246"/>
      <c r="AB12" s="1246"/>
      <c r="AC12" s="1246"/>
      <c r="AD12" s="1246"/>
      <c r="AE12" s="1246"/>
      <c r="AF12" s="1246"/>
      <c r="AG12" s="1246"/>
      <c r="AH12" s="1246"/>
      <c r="AI12" s="1246"/>
      <c r="AJ12" s="1246"/>
      <c r="AK12" s="1246"/>
      <c r="DE12" s="494"/>
      <c r="DF12" s="495" t="s">
        <v>1073</v>
      </c>
      <c r="DG12" s="495" t="s">
        <v>1074</v>
      </c>
      <c r="DH12" s="495" t="s">
        <v>1075</v>
      </c>
      <c r="DI12" s="495" t="s">
        <v>1076</v>
      </c>
      <c r="DJ12" s="495" t="s">
        <v>1077</v>
      </c>
      <c r="DK12" s="495" t="s">
        <v>1078</v>
      </c>
      <c r="DL12" s="495" t="s">
        <v>851</v>
      </c>
      <c r="DM12" s="495" t="s">
        <v>1079</v>
      </c>
      <c r="DN12" s="495" t="s">
        <v>1080</v>
      </c>
      <c r="DO12" s="495"/>
      <c r="DP12" s="543">
        <v>1</v>
      </c>
    </row>
    <row r="13" spans="1:120" ht="21" customHeight="1">
      <c r="B13" s="643"/>
      <c r="C13" s="643"/>
      <c r="D13" s="643"/>
      <c r="E13" s="643"/>
      <c r="F13" s="643"/>
      <c r="G13" s="643"/>
      <c r="H13" s="643"/>
      <c r="I13" s="643"/>
      <c r="J13" s="643"/>
      <c r="K13" s="652"/>
      <c r="L13" s="643"/>
      <c r="M13" s="643"/>
      <c r="N13" s="1354"/>
      <c r="O13" s="1354"/>
      <c r="P13" s="1354"/>
      <c r="Q13" s="1354"/>
      <c r="T13" s="499" t="s">
        <v>6104</v>
      </c>
      <c r="U13" s="500"/>
      <c r="V13" s="500"/>
      <c r="W13" s="501"/>
      <c r="X13" s="502" t="s">
        <v>1083</v>
      </c>
      <c r="Y13" s="501"/>
      <c r="Z13" s="503"/>
      <c r="AA13" s="503"/>
      <c r="AB13" s="503"/>
      <c r="AC13" s="503"/>
      <c r="AD13" s="503"/>
      <c r="AE13" s="503"/>
      <c r="AF13" s="503"/>
      <c r="AG13" s="503"/>
      <c r="AH13" s="503"/>
      <c r="AI13" s="544" t="s">
        <v>634</v>
      </c>
      <c r="AJ13" s="545" t="str">
        <f>$DP$2470</f>
        <v>DP2470</v>
      </c>
      <c r="AK13" s="503"/>
      <c r="DE13" s="494"/>
      <c r="DF13" s="496" t="s">
        <v>1082</v>
      </c>
      <c r="DG13" s="496" t="s">
        <v>1083</v>
      </c>
      <c r="DH13" s="496" t="s">
        <v>689</v>
      </c>
      <c r="DI13" s="496" t="s">
        <v>1084</v>
      </c>
      <c r="DJ13" s="496" t="s">
        <v>1084</v>
      </c>
      <c r="DK13" s="496" t="s">
        <v>1085</v>
      </c>
      <c r="DL13" s="496" t="s">
        <v>1086</v>
      </c>
      <c r="DM13" s="496" t="s">
        <v>1087</v>
      </c>
      <c r="DN13" s="497" t="s">
        <v>1088</v>
      </c>
      <c r="DP13" s="543">
        <v>1</v>
      </c>
    </row>
    <row r="14" spans="1:120" ht="21" customHeight="1">
      <c r="B14" s="1355" t="s">
        <v>6447</v>
      </c>
      <c r="C14" s="1355"/>
      <c r="D14" s="1355"/>
      <c r="E14" s="1355"/>
      <c r="F14" s="1355"/>
      <c r="G14" s="1355"/>
      <c r="H14" s="1355"/>
      <c r="I14" s="1355"/>
      <c r="J14" s="1355" t="s">
        <v>6448</v>
      </c>
      <c r="K14" s="1355"/>
      <c r="L14" s="1355"/>
      <c r="M14" s="662"/>
      <c r="N14" s="1355" t="s">
        <v>6449</v>
      </c>
      <c r="O14" s="1355"/>
      <c r="P14" s="1355"/>
      <c r="Q14" s="1355"/>
      <c r="T14" s="1247" t="s">
        <v>5732</v>
      </c>
      <c r="U14" s="1247"/>
      <c r="V14" s="1247"/>
      <c r="W14" s="504" t="s">
        <v>6450</v>
      </c>
      <c r="X14" s="498"/>
      <c r="Y14" s="498"/>
      <c r="Z14" s="498"/>
      <c r="AB14" s="498"/>
      <c r="AD14" s="533" t="s">
        <v>5845</v>
      </c>
      <c r="AE14" s="498"/>
      <c r="AF14" s="498"/>
      <c r="AG14" s="498"/>
      <c r="AH14" s="498"/>
      <c r="AI14" s="498"/>
      <c r="AJ14" s="498"/>
      <c r="AK14" s="498"/>
      <c r="DE14" s="494"/>
      <c r="DF14" s="496" t="s">
        <v>1089</v>
      </c>
      <c r="DG14" s="496" t="s">
        <v>1083</v>
      </c>
      <c r="DH14" s="496" t="s">
        <v>689</v>
      </c>
      <c r="DI14" s="496" t="s">
        <v>1090</v>
      </c>
      <c r="DJ14" s="496" t="s">
        <v>1091</v>
      </c>
      <c r="DK14" s="496" t="s">
        <v>1085</v>
      </c>
      <c r="DL14" s="496" t="s">
        <v>1086</v>
      </c>
      <c r="DM14" s="496" t="s">
        <v>1087</v>
      </c>
      <c r="DN14" s="497" t="s">
        <v>1088</v>
      </c>
      <c r="DP14" s="543">
        <v>1</v>
      </c>
    </row>
    <row r="15" spans="1:120" ht="21" customHeight="1">
      <c r="B15" s="663"/>
      <c r="C15" s="663"/>
      <c r="D15" s="663"/>
      <c r="E15" s="663"/>
      <c r="F15" s="663"/>
      <c r="G15" s="663"/>
      <c r="H15" s="663"/>
      <c r="I15" s="663"/>
      <c r="J15" s="664"/>
      <c r="K15" s="665" t="str">
        <f>"COLONNE "&amp;SUBSTITUTE(ADDRESS(1,COLUMN(),4),"1","")</f>
        <v>COLONNE K</v>
      </c>
      <c r="L15" s="664"/>
      <c r="M15" s="643"/>
      <c r="N15" s="666"/>
      <c r="O15" s="667" t="str">
        <f>"COLONNE "&amp;SUBSTITUTE(ADDRESS(1,COLUMN(),4),"1","")</f>
        <v>COLONNE O</v>
      </c>
      <c r="P15" s="666"/>
      <c r="Q15" s="666"/>
      <c r="DE15" s="494"/>
      <c r="DF15" s="496" t="s">
        <v>1092</v>
      </c>
      <c r="DG15" s="496" t="s">
        <v>1083</v>
      </c>
      <c r="DH15" s="496" t="s">
        <v>689</v>
      </c>
      <c r="DI15" s="496" t="s">
        <v>142</v>
      </c>
      <c r="DJ15" s="496" t="s">
        <v>142</v>
      </c>
      <c r="DK15" s="496" t="s">
        <v>1085</v>
      </c>
      <c r="DL15" s="496" t="s">
        <v>1086</v>
      </c>
      <c r="DM15" s="496" t="s">
        <v>1087</v>
      </c>
      <c r="DN15" s="497" t="s">
        <v>1088</v>
      </c>
      <c r="DP15" s="543">
        <v>1</v>
      </c>
    </row>
    <row r="16" spans="1:120" ht="21" customHeight="1">
      <c r="B16" s="668" t="s">
        <v>6451</v>
      </c>
      <c r="C16" s="669" t="s">
        <v>6452</v>
      </c>
      <c r="D16" s="669" t="s">
        <v>6453</v>
      </c>
      <c r="E16" s="669" t="s">
        <v>6454</v>
      </c>
      <c r="F16" s="669" t="s">
        <v>6455</v>
      </c>
      <c r="G16" s="669" t="s">
        <v>6456</v>
      </c>
      <c r="H16" s="669" t="s">
        <v>6457</v>
      </c>
      <c r="I16" s="669" t="s">
        <v>6458</v>
      </c>
      <c r="J16" s="670" t="s">
        <v>1094</v>
      </c>
      <c r="K16" s="1348" t="s">
        <v>6459</v>
      </c>
      <c r="L16" s="670" t="s">
        <v>6460</v>
      </c>
      <c r="M16" s="643"/>
      <c r="N16" s="671" t="s">
        <v>1094</v>
      </c>
      <c r="O16" s="1349" t="s">
        <v>6461</v>
      </c>
      <c r="P16" s="671" t="s">
        <v>6462</v>
      </c>
      <c r="Q16" s="671" t="s">
        <v>6460</v>
      </c>
      <c r="S16" s="1350" t="s">
        <v>1094</v>
      </c>
      <c r="T16" s="1352" t="str">
        <f>"Texte de la  "&amp;O15</f>
        <v>Texte de la  COLONNE O</v>
      </c>
      <c r="U16" s="1346" t="s">
        <v>5899</v>
      </c>
      <c r="V16" s="1346" t="s">
        <v>1095</v>
      </c>
      <c r="W16" s="1344" t="str">
        <f>"Céréales contenant du gluten "&amp;(COUNTIF(W18:W77,"X")+COUNTIF(W18:W77,"~?"))</f>
        <v>Céréales contenant du gluten 4</v>
      </c>
      <c r="X16" s="1344" t="str">
        <f>"Crustacés "&amp;" "&amp;(COUNTIF(X18:X77,"X")+COUNTIF(X18:X77,"~?"))</f>
        <v>Crustacés  0</v>
      </c>
      <c r="Y16" s="1344" t="str">
        <f>"Œufs "&amp;(COUNTIF(Y18:Y77,"X")+COUNTIF(Y18:Y77,"~?"))</f>
        <v>Œufs 4</v>
      </c>
      <c r="Z16" s="1344" t="str">
        <f>"Poissons "&amp;(COUNTIF(Z18:Z77,"X")+COUNTIF(Z18:Z77,"~?"))</f>
        <v>Poissons 0</v>
      </c>
      <c r="AA16" s="1344" t="str">
        <f>"Arachides "&amp;" "&amp;(COUNTIF(AA18:AA77,"X")+COUNTIF(AA18:AA77,"~?"))</f>
        <v>Arachides  0</v>
      </c>
      <c r="AB16" s="1344" t="str">
        <f>"Soja "&amp;" "&amp;(COUNTIF(AB18:AB77,"X")+COUNTIF(AB18:AB77,"~?"))</f>
        <v>Soja  0</v>
      </c>
      <c r="AC16" s="1344" t="str">
        <f>"Lait "&amp;" "&amp;(COUNTIF(AC18:AC77,"X")+COUNTIF(AC18:AC77,"~?"))</f>
        <v>Lait  7</v>
      </c>
      <c r="AD16" s="1344" t="str">
        <f>"Fruits à coque "&amp;" "&amp;(COUNTIF(AD18:AD77,"X")+COUNTIF(AD18:AD77,"~?"))</f>
        <v>Fruits à coque  7</v>
      </c>
      <c r="AE16" s="1344" t="str">
        <f>"Céleri "&amp;(COUNTIF(AE18:AE77,"X")+COUNTIF(AE18:AE77,"~?"))</f>
        <v>Céleri 2</v>
      </c>
      <c r="AF16" s="1344" t="str">
        <f>"Moutarde "&amp;(COUNTIF(AF18:AF77,"X")+COUNTIF(AF18:AF77,"~?"))</f>
        <v>Moutarde 2</v>
      </c>
      <c r="AG16" s="1344" t="str">
        <f>"Sésame "&amp;(COUNTIF(AG18:AG77,"X")+COUNTIF(AG18:AG77,"~?"))</f>
        <v>Sésame 0</v>
      </c>
      <c r="AH16" s="1344" t="str">
        <f>"Sulfites "&amp;(COUNTIF(AH18:AH77,"X")+COUNTIF(AH18:AH77,"~?"))</f>
        <v>Sulfites 0</v>
      </c>
      <c r="AI16" s="1344" t="str">
        <f>"Lupin "&amp;(COUNTIF(AI18:AI77,"X")+COUNTIF(AI18:AI77,"~?"))</f>
        <v>Lupin 0</v>
      </c>
      <c r="AJ16" s="1344" t="str">
        <f>"Mollusques "&amp;(COUNTIF(AJ18:AJ77,"X")+COUNTIF(AJ18:AJ77,"~?"))</f>
        <v>Mollusques 1</v>
      </c>
      <c r="AK16" s="1344" t="s">
        <v>5900</v>
      </c>
      <c r="DE16" s="494"/>
      <c r="DF16" s="496" t="s">
        <v>1093</v>
      </c>
      <c r="DG16" s="496" t="s">
        <v>1083</v>
      </c>
      <c r="DH16" s="496" t="s">
        <v>689</v>
      </c>
      <c r="DI16" s="496" t="s">
        <v>880</v>
      </c>
      <c r="DJ16" s="496" t="s">
        <v>880</v>
      </c>
      <c r="DK16" s="496" t="s">
        <v>1085</v>
      </c>
      <c r="DL16" s="496" t="s">
        <v>1086</v>
      </c>
      <c r="DM16" s="496" t="s">
        <v>1087</v>
      </c>
      <c r="DN16" s="497" t="s">
        <v>1088</v>
      </c>
      <c r="DP16" s="543">
        <v>1</v>
      </c>
    </row>
    <row r="17" spans="2:120" ht="20.100000000000001" customHeight="1">
      <c r="B17" s="663"/>
      <c r="C17" s="663"/>
      <c r="D17" s="663"/>
      <c r="E17" s="663"/>
      <c r="F17" s="663"/>
      <c r="G17" s="663"/>
      <c r="H17" s="663"/>
      <c r="I17" s="663"/>
      <c r="J17" s="670"/>
      <c r="K17" s="1348"/>
      <c r="L17" s="670"/>
      <c r="M17" s="643"/>
      <c r="N17" s="672"/>
      <c r="O17" s="1349"/>
      <c r="P17" s="672"/>
      <c r="Q17" s="672"/>
      <c r="S17" s="1351"/>
      <c r="T17" s="1353"/>
      <c r="U17" s="1347"/>
      <c r="V17" s="1347"/>
      <c r="W17" s="1345"/>
      <c r="X17" s="1345"/>
      <c r="Y17" s="1345"/>
      <c r="Z17" s="1345"/>
      <c r="AA17" s="1345"/>
      <c r="AB17" s="1345"/>
      <c r="AC17" s="1345"/>
      <c r="AD17" s="1345"/>
      <c r="AE17" s="1345"/>
      <c r="AF17" s="1345"/>
      <c r="AG17" s="1345"/>
      <c r="AH17" s="1345"/>
      <c r="AI17" s="1345"/>
      <c r="AJ17" s="1345"/>
      <c r="AK17" s="1345"/>
      <c r="AM17" s="508" t="s">
        <v>1096</v>
      </c>
      <c r="AN17" s="508" t="s">
        <v>1097</v>
      </c>
      <c r="AO17" s="508" t="s">
        <v>1098</v>
      </c>
      <c r="AP17" s="508" t="s">
        <v>1099</v>
      </c>
      <c r="AQ17" s="508" t="s">
        <v>1100</v>
      </c>
      <c r="AR17" s="508" t="s">
        <v>1101</v>
      </c>
      <c r="AS17" s="508" t="s">
        <v>1102</v>
      </c>
      <c r="AT17" s="508" t="s">
        <v>1103</v>
      </c>
      <c r="AU17" s="508" t="s">
        <v>1104</v>
      </c>
      <c r="AV17" s="508" t="s">
        <v>1105</v>
      </c>
      <c r="AW17" s="508" t="s">
        <v>1106</v>
      </c>
      <c r="AX17" s="508" t="s">
        <v>1083</v>
      </c>
      <c r="AY17" s="508" t="s">
        <v>1107</v>
      </c>
      <c r="AZ17" s="508" t="s">
        <v>1108</v>
      </c>
      <c r="BA17" s="508" t="s">
        <v>239</v>
      </c>
      <c r="BB17" s="508" t="s">
        <v>1109</v>
      </c>
      <c r="BC17" s="508" t="s">
        <v>1110</v>
      </c>
      <c r="BD17" s="508" t="s">
        <v>5733</v>
      </c>
      <c r="BE17" s="508" t="s">
        <v>345</v>
      </c>
      <c r="BF17" s="508" t="s">
        <v>1111</v>
      </c>
      <c r="BG17" s="508" t="s">
        <v>1112</v>
      </c>
      <c r="BH17" s="508" t="s">
        <v>1113</v>
      </c>
      <c r="BI17" s="508" t="s">
        <v>1114</v>
      </c>
      <c r="BJ17" s="508" t="s">
        <v>1115</v>
      </c>
      <c r="BK17" s="508" t="s">
        <v>1116</v>
      </c>
      <c r="BL17" s="508" t="s">
        <v>1117</v>
      </c>
      <c r="BM17" s="508" t="s">
        <v>1118</v>
      </c>
      <c r="BN17" s="508" t="s">
        <v>1119</v>
      </c>
      <c r="BO17" s="508" t="s">
        <v>1120</v>
      </c>
      <c r="BP17" s="508" t="s">
        <v>1121</v>
      </c>
      <c r="BQ17" s="508" t="s">
        <v>1122</v>
      </c>
      <c r="BR17" s="508" t="s">
        <v>8</v>
      </c>
      <c r="BS17" s="508" t="s">
        <v>1123</v>
      </c>
      <c r="BT17" s="508" t="s">
        <v>9</v>
      </c>
      <c r="BU17" s="508" t="s">
        <v>1124</v>
      </c>
      <c r="BV17" s="508" t="s">
        <v>1125</v>
      </c>
      <c r="BW17" s="508" t="s">
        <v>1126</v>
      </c>
      <c r="BX17" s="508" t="s">
        <v>10</v>
      </c>
      <c r="BY17" s="508" t="s">
        <v>1127</v>
      </c>
      <c r="BZ17" s="508" t="s">
        <v>1128</v>
      </c>
      <c r="CA17" s="508" t="s">
        <v>1129</v>
      </c>
      <c r="CB17" s="508" t="s">
        <v>1130</v>
      </c>
      <c r="CC17" s="508" t="s">
        <v>1131</v>
      </c>
      <c r="CD17" s="508" t="s">
        <v>5734</v>
      </c>
      <c r="CE17" s="508" t="s">
        <v>11</v>
      </c>
      <c r="CF17" s="508" t="s">
        <v>1132</v>
      </c>
      <c r="CG17" s="508" t="s">
        <v>1133</v>
      </c>
      <c r="CH17" s="508" t="s">
        <v>1134</v>
      </c>
      <c r="CI17" s="508" t="s">
        <v>241</v>
      </c>
      <c r="CJ17" s="508" t="s">
        <v>1135</v>
      </c>
      <c r="CK17" s="508" t="s">
        <v>1136</v>
      </c>
      <c r="CL17" s="508" t="s">
        <v>236</v>
      </c>
      <c r="CM17" s="508" t="s">
        <v>1137</v>
      </c>
      <c r="CN17" s="508" t="s">
        <v>1138</v>
      </c>
      <c r="CO17" s="508" t="s">
        <v>12</v>
      </c>
      <c r="CP17" s="508" t="s">
        <v>1139</v>
      </c>
      <c r="CQ17" s="508" t="s">
        <v>1140</v>
      </c>
      <c r="CR17" s="508" t="s">
        <v>243</v>
      </c>
      <c r="CS17" s="508" t="s">
        <v>1141</v>
      </c>
      <c r="CT17" s="508" t="s">
        <v>1142</v>
      </c>
      <c r="CU17" s="508" t="s">
        <v>13</v>
      </c>
      <c r="CV17" s="508" t="s">
        <v>1143</v>
      </c>
      <c r="CW17" s="508" t="s">
        <v>1144</v>
      </c>
      <c r="CX17" s="508" t="s">
        <v>14</v>
      </c>
      <c r="CY17" s="508" t="s">
        <v>1145</v>
      </c>
      <c r="CZ17" s="508" t="s">
        <v>1146</v>
      </c>
      <c r="DA17" s="508" t="s">
        <v>1147</v>
      </c>
      <c r="DB17" s="508" t="s">
        <v>1148</v>
      </c>
      <c r="DC17" s="508" t="s">
        <v>1149</v>
      </c>
      <c r="DD17" s="508" t="s">
        <v>15</v>
      </c>
      <c r="DE17" s="494"/>
      <c r="DF17" s="496" t="s">
        <v>1150</v>
      </c>
      <c r="DG17" s="496" t="s">
        <v>1083</v>
      </c>
      <c r="DH17" s="496" t="s">
        <v>689</v>
      </c>
      <c r="DI17" s="496" t="s">
        <v>308</v>
      </c>
      <c r="DJ17" s="496" t="s">
        <v>308</v>
      </c>
      <c r="DK17" s="496" t="s">
        <v>1151</v>
      </c>
      <c r="DL17" s="496" t="s">
        <v>1152</v>
      </c>
      <c r="DM17" s="496" t="s">
        <v>1087</v>
      </c>
      <c r="DN17" s="497" t="s">
        <v>1153</v>
      </c>
      <c r="DP17" s="543">
        <v>1</v>
      </c>
    </row>
    <row r="18" spans="2:120" ht="30" customHeight="1">
      <c r="B18" s="663" t="str">
        <f t="shared" ref="B18:B81" si="0">IF(TRIM(SUBSTITUTE(K18,CHAR(160),""))="","",TRIM(SUBSTITUTE(SUBSTITUTE(SUBSTITUTE(SUBSTITUTE(CLEAN(K18),CHAR(160)," "),CHAR(9)," "),CHAR(10)," "),CHAR(13)," ")))</f>
        <v>Tarte normande aux pommes et aux amandes 🍎🥧</v>
      </c>
      <c r="C18" s="663" t="str">
        <f t="shared" ref="C18:C81" si="1">IF(B18="","",TRIM(SUBSTITUTE(SUBSTITUTE(SUBSTITUTE(SUBSTITUTE(SUBSTITUTE(SUBSTITUTE(SUBSTITUTE(SUBSTITUTE(SUBSTITUTE(SUBSTITUTE(B18,","," "),";"," "),":"," "),"."," "),"?"," "), "!"," "),"/"," "), "("," "), ")"," "), "-"," ")))</f>
        <v>Tarte normande aux pommes et aux amandes 🍎🥧</v>
      </c>
      <c r="D18" s="663" t="str">
        <f>IF(UPPER(TRIM(N11))="X",C18,B18)</f>
        <v>Tarte normande aux pommes et aux amandes 🍎🥧</v>
      </c>
      <c r="E18" s="663" cm="1">
        <f t="array" ref="E18">IFERROR(MATCH(TRUE(),INDEX(K18:K203&lt;&gt;"",0),0)+17,"")</f>
        <v>18</v>
      </c>
      <c r="F18" s="663" t="str" cm="1">
        <f t="array" ref="F18">IF(E18="","",INDEX(D:D,E18))</f>
        <v>Tarte normande aux pommes et aux amandes 🍎🥧</v>
      </c>
      <c r="G18" s="663" t="str">
        <f t="shared" ref="G18:G81" si="2">IF(OR(F18="",M18=""),"",LEFT(F18,M18))</f>
        <v>Tarte normande aux pommes et aux amandes 🍎🥧</v>
      </c>
      <c r="H18" s="673" t="str">
        <f t="shared" ref="H18:H81" si="3">IF(OR(F18="",M18=""),"",TRIM(MID(F18,M18+1,99999)))</f>
        <v/>
      </c>
      <c r="I18" s="663" t="str">
        <f>IF(AND(F18&lt;&gt;"",N10&gt;0,M18&gt;N10),"Mot &gt; limite","")</f>
        <v/>
      </c>
      <c r="J18" s="674">
        <f>IF(K18="","",COUNTIF(K18:K18,"&lt;&gt;"))</f>
        <v>1</v>
      </c>
      <c r="K18" s="675" t="s">
        <v>6463</v>
      </c>
      <c r="L18" s="674">
        <f t="shared" ref="L18:L81" si="4">IF(TRIM(SUBSTITUTE(K18,CHAR(160),""))="","",LEN(K18))</f>
        <v>45</v>
      </c>
      <c r="M18" s="643">
        <f>IF(OR(F18="",N10="",N10&lt;=0),"",IF(LEN(F18)&lt;=N10,LEN(F18),IFERROR(FIND("♦",SUBSTITUTE(LEFT(F18,N10)," ","♦",LEN(LEFT(F18,N10))-LEN(SUBSTITUTE(LEFT(F18,N10)," ","")))),FIND(" ",F18&amp;" ",N10+1)-1)))</f>
        <v>45</v>
      </c>
      <c r="N18" s="676">
        <f t="shared" ref="N18:N81" si="5">IF(O18="","",ROW()-17)</f>
        <v>1</v>
      </c>
      <c r="O18" s="677" t="str">
        <f t="shared" ref="O18:O81" si="6">G18</f>
        <v>Tarte normande aux pommes et aux amandes 🍎🥧</v>
      </c>
      <c r="P18" s="676">
        <f t="shared" ref="P18:P81" si="7">IF(O18="","",LEN(TRIM(O18))-LEN(SUBSTITUTE(TRIM(O18)," ",""))+1)</f>
        <v>8</v>
      </c>
      <c r="Q18" s="676">
        <f t="shared" ref="Q18:Q81" si="8">IF(O18="","",LEN(O18))</f>
        <v>45</v>
      </c>
      <c r="S18" s="509">
        <v>1</v>
      </c>
      <c r="T18" s="678" t="str">
        <f>O18</f>
        <v>Tarte normande aux pommes et aux amandes 🍎🥧</v>
      </c>
      <c r="U18" s="679" t="str">
        <f t="shared" ref="U18:U49" si="9">IF(7=7,IF(T18="","",TRIM(IF(RIGHT(TRIM(T18),1)="?",LEFT(TRIM(T18),LEN(TRIM(T18))-1),TRIM(T18)))&amp;IF(COUNTIF(W18:AJ18,"X")&gt;0," *",IF(OR(W18="?",X18="?",Y18="?",Z18="?",AA18="?",AB18="?",AC18="?",AD18="?",AE18="?",AF18="?",AG18="?",AH18="?",AI18="?",AJ18="?")," ?",""))),"")</f>
        <v>Tarte normande aux pommes et aux amandes 🍎🥧 *</v>
      </c>
      <c r="V18" s="512" t="str">
        <f>IF(7=7,IF(T18="","",IF(W18="X",""&amp;"Céréales contenant du gluten","")&amp;IF(X18="X",IF(COUNTIF(W18:W18,"X")&gt;0,", ","")&amp;"Crustacés","")&amp;IF(Y18="X",IF(COUNTIF(W18:X18,"X")&gt;0,", ","")&amp;"Œufs","")&amp;IF(Z18="X",IF(COUNTIF(W18:Y18,"X")&gt;0,", ","")&amp;"Poissons","")&amp;IF(AA18="X",IF(COUNTIF(W18:Z18,"X")&gt;0,", ","")&amp;"Arachides","")&amp;IF(AB18="X",IF(COUNTIF(W18:AA18,"X")&gt;0,", ","")&amp;"Soja","")&amp;IF(AC18="X",IF(COUNTIF(W18:AB18,"X")&gt;0,", ","")&amp;"Lait","")&amp;IF(AD18="X",IF(COUNTIF(W18:AC18,"X")&gt;0,", ","")&amp;"Fruits à coque","")&amp;IF(AE18="X",IF(COUNTIF(W18:AD18,"X")&gt;0,", ","")&amp;"Céleri","")&amp;IF(AF18="X",IF(COUNTIF(W18:AE18,"X")&gt;0,", ","")&amp;"Moutarde","")&amp;IF(AG18="X",IF(COUNTIF(W18:AF18,"X")&gt;0,", ","")&amp;"Sésame","")&amp;IF(AH18="X",IF(COUNTIF(W18:AG18,"X")&gt;0,", ","")&amp;"Sulfites","")&amp;IF(AI18="X",IF(COUNTIF(W18:AH18,"X")&gt;0,", ","")&amp;"Lupin","")&amp;IF(AJ18="X",IF(COUNTIF(W18:AI18,"X")&gt;0,", ","")&amp;"Mollusques","")),"")</f>
        <v>Fruits à coque</v>
      </c>
      <c r="W18" s="513" t="str">
        <f>IF(7=7,IF(T18="","",AX18),"")</f>
        <v/>
      </c>
      <c r="X18" s="513" t="str">
        <f>IF(7=7,IF(T18="","",BA18),"")</f>
        <v/>
      </c>
      <c r="Y18" s="513" t="str">
        <f>IF(7=7,IF(T18="","",BE18),"")</f>
        <v/>
      </c>
      <c r="Z18" s="513" t="str">
        <f>IF(7=7,IF(T18="","",IF(ISNUMBER(SEARCH(" colin ",AS18)),"X",BR18)),"")</f>
        <v/>
      </c>
      <c r="AA18" s="513" t="str">
        <f>IF(7=7,IF(T18="","",BT18),"")</f>
        <v/>
      </c>
      <c r="AB18" s="513" t="str">
        <f>IF(7=7,IF(T18="","",BX18),"")</f>
        <v/>
      </c>
      <c r="AC18" s="513" t="str">
        <f>IF(7=7,IF(T18="","",CE18),"")</f>
        <v/>
      </c>
      <c r="AD18" s="513" t="str">
        <f>IF(7=7,IF(T18="","",CI18),"")</f>
        <v>X</v>
      </c>
      <c r="AE18" s="513" t="str">
        <f>IF(7=7,IF(T18="","",CL18),"")</f>
        <v/>
      </c>
      <c r="AF18" s="513" t="str">
        <f>IF(7=7,IF(T18="","",CO18),"")</f>
        <v/>
      </c>
      <c r="AG18" s="513" t="str">
        <f>IF(7=7,IF(T18="","",CR18),"")</f>
        <v/>
      </c>
      <c r="AH18" s="513" t="str">
        <f>IF(7=7,IF(T18="","",CU18),"")</f>
        <v/>
      </c>
      <c r="AI18" s="513" t="str">
        <f>IF(7=7,IF(T18="","",CX18),"")</f>
        <v/>
      </c>
      <c r="AJ18" s="513" t="str">
        <f>IF(7=7,IF(T18="","",DD18),"")</f>
        <v/>
      </c>
      <c r="AK18" s="514" t="str">
        <f>IF(7=7,IF(T18="","",IF(W18="?",""&amp;"Céréales contenant du gluten","")&amp;IF(X18="?",IF(COUNTIF(W18:W18,"~?")&gt;0,", ","")&amp;"Crustacés","")&amp;IF(Y18="?",IF(COUNTIF(W18:X18,"~?")&gt;0,", ","")&amp;"Œufs","")&amp;IF(Z18="?",IF(COUNTIF(W18:Y18,"~?")&gt;0,", ","")&amp;"Poissons","")&amp;IF(AA18="?",IF(COUNTIF(W18:Z18,"~?")&gt;0,", ","")&amp;"Arachides","")&amp;IF(AB18="?",IF(COUNTIF(W18:AA18,"~?")&gt;0,", ","")&amp;"Soja","")&amp;IF(AC18="?",IF(COUNTIF(W18:AB18,"~?")&gt;0,", ","")&amp;"Lait","")&amp;IF(AD18="?",IF(COUNTIF(W18:AC18,"~?")&gt;0,", ","")&amp;"Fruits à coque","")&amp;IF(AE18="?",IF(COUNTIF(W18:AD18,"~?")&gt;0,", ","")&amp;"Céleri","")&amp;IF(AF18="?",IF(COUNTIF(W18:AE18,"~?")&gt;0,", ","")&amp;"Moutarde","")&amp;IF(AG18="?",IF(COUNTIF(W18:AF18,"~?")&gt;0,", ","")&amp;"Sésame","")&amp;IF(AH18="?",IF(COUNTIF(W18:AG18,"~?")&gt;0,", ","")&amp;"Sulfites","")&amp;IF(AI18="?",IF(COUNTIF(W18:AH18,"~?")&gt;0,", ","")&amp;"Lupin","")&amp;IF(AJ18="?",IF(COUNTIF(W18:AI18,"~?")&gt;0,", ","")&amp;"Mollusques","")),"")</f>
        <v/>
      </c>
      <c r="AM18" s="493" t="str">
        <f>IF(7=7,IF(T18="","",T18),"")</f>
        <v>Tarte normande aux pommes et aux amandes 🍎🥧</v>
      </c>
      <c r="AN18" s="493" t="str">
        <f>IF(7=7,LOWER(CLEAN(SUBSTITUTE(SUBSTITUTE(SUBSTITUTE(SUBSTITUTE(AM18,CHAR(160)," ")," "," "),CHAR(10)," "),CHAR(13)," "))),"")</f>
        <v>tarte normande aux pommes et aux amandes 🍎🥧</v>
      </c>
      <c r="AO18" s="493" t="str">
        <f>IF(7=7,SUBSTITUTE(SUBSTITUTE(SUBSTITUTE(SUBSTITUTE(SUBSTITUTE(SUBSTITUTE(SUBSTITUTE(SUBSTITUTE(SUBSTITUTE(SUBSTITUTE(SUBSTITUTE(SUBSTITUTE(AN18,"œ","oe"),"æ","ae"),"à","a"),"á","a"),"â","a"),"ä","a"),"ã","a"),"ç","c"),"è","e"),"é","e"),"ê","e"),"ë","e"),"")</f>
        <v>tarte normande aux pommes et aux amandes 🍎🥧</v>
      </c>
      <c r="AP18" s="493" t="str">
        <f>IF(7=7,SUBSTITUTE(SUBSTITUTE(SUBSTITUTE(SUBSTITUTE(SUBSTITUTE(SUBSTITUTE(SUBSTITUTE(SUBSTITUTE(SUBSTITUTE(SUBSTITUTE(SUBSTITUTE(SUBSTITUTE(SUBSTITUTE(SUBSTITUTE(SUBSTITUTE(SUBSTITUTE(AO18,"ì","i"),"í","i"),"î","i"),"ï","i"),"ñ","n"),"ò","o"),"ó","o"),"ô","o"),"ö","o"),"õ","o"),"ù","u"),"ú","u"),"û","u"),"ü","u"),"ý","y"),"ÿ","y"),"")</f>
        <v>tarte normande aux pommes et aux amandes 🍎🥧</v>
      </c>
      <c r="AQ18" s="493" t="str">
        <f>IF(7=7,SUBSTITUTE(SUBSTITUTE(SUBSTITUTE(SUBSTITUTE(SUBSTITUTE(SUBSTITUTE(SUBSTITUTE(SUBSTITUTE(SUBSTITUTE(SUBSTITUTE(SUBSTITUTE(SUBSTITUTE(SUBSTITUTE(SUBSTITUTE(AP18,"’"," "),"`"," "),"–"," "),"—"," "),"-"," "),"'"," "),"/"," "),"_"," "),","," "),"."," "),"("," "),")"," "),";"," "),":"," "),"")</f>
        <v>tarte normande aux pommes et aux amandes 🍎🥧</v>
      </c>
      <c r="AR18" s="493" t="str">
        <f>IF(7=7,SUBSTITUTE(SUBSTITUTE(SUBSTITUTE(SUBSTITUTE(SUBSTITUTE(SUBSTITUTE(SUBSTITUTE(SUBSTITUTE(SUBSTITUTE(SUBSTITUTE(SUBSTITUTE(SUBSTITUTE(SUBSTITUTE(SUBSTITUTE(SUBSTITUTE(AQ18,"!"," "),"?"," "),"+"," "),"*"," "),"&amp;"," "),"["," "),"]"," "),"{"," "),"}"," "),"%"," "),"="," "),"\"," "),"|"," "),"&lt;"," "),"&gt;"," "),"")</f>
        <v>tarte normande aux pommes et aux amandes 🍎🥧</v>
      </c>
      <c r="AS18" s="493" t="str">
        <f>IF(7=7," "&amp;TRIM(SUBSTITUTE(SUBSTITUTE(SUBSTITUTE(SUBSTITUTE(SUBSTITUTE(SUBSTITUTE(AR18,CHAR(34)," "),"  "," "),"  "," "),"  "," "),"  "," "),"  "," "))&amp;" ","")</f>
        <v xml:space="preserve"> tarte normande aux pommes et aux amandes 🍎🥧 </v>
      </c>
      <c r="AT18" s="493" cm="1">
        <f t="array" ref="AT18">IF(7=7,IF(AM18="","",SUMPRODUCT(--ISNUMBER(SEARCH(" "&amp;DJ13:DJ112&amp;" ",AV18)))),"")</f>
        <v>0</v>
      </c>
      <c r="AU18" s="493" cm="1">
        <f t="array" ref="AU18">IF(7=7,IF(AM18="","",SUMPRODUCT(--ISNUMBER(SEARCH(" "&amp;DJ113:DJ162&amp;" ",AV18)))),"")</f>
        <v>0</v>
      </c>
      <c r="AV18" s="493" t="str">
        <f>IF(AM18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18,"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tarte normande aux pommes et aux amandes 🍎🥧 </v>
      </c>
      <c r="AW18" s="493" cm="1">
        <f t="array" ref="AW18">IF(AM18="","",SUMPRODUCT(--ISNUMBER(SEARCH(" "&amp;DJ195:DJ216&amp;" ",AV18)))+--ISNUMBER(SEARCH(" "&amp;DJ2465&amp;" ",AV18)))</f>
        <v>0</v>
      </c>
      <c r="AX18" s="493" t="str" cm="1">
        <f t="array" ref="AX18">IF(7=7,IF(AM18="","",IF(SUM(AT18:AU18)+SUMPRODUCT(--ISNUMBER(SEARCH(" "&amp;DJ2429:DJ2431&amp;" ",AV18)))&gt;0,"X",IF(AW18&gt;0,"?",""))),"")</f>
        <v/>
      </c>
      <c r="AY18" s="493" cm="1">
        <f t="array" ref="AY18">IF(7=7,IF(AM18="","",SUMPRODUCT(--ISNUMBER(SEARCH(" "&amp;DJ217:DJ316&amp;" ",AS18)))),"")</f>
        <v>0</v>
      </c>
      <c r="AZ18" s="493" cm="1">
        <f t="array" ref="AZ18">IF(7=7,IF(AM18="","",SUMPRODUCT(--ISNUMBER(SEARCH(" "&amp;DJ317:DJ351&amp;" ",AS18)))),"")</f>
        <v>0</v>
      </c>
      <c r="BA18" s="493" t="str">
        <f>IF(7=7,IF(AM18="","",IF((SUM(AY18:AZ18))-(0)&gt;0,"X",IF((0)-(0)&gt;0,"?",""))),"")</f>
        <v/>
      </c>
      <c r="BB18" s="493" cm="1">
        <f t="array" ref="BB18">IF(7=7,IF(AM18="","",SUMPRODUCT(--ISNUMBER(SEARCH(" "&amp;DJ352:DJ409&amp;" ",AS18)))),"")</f>
        <v>0</v>
      </c>
      <c r="BC18" s="493" cm="1">
        <f t="array" ref="BC18">IF(7=7,IF(AM18="","",SUMPRODUCT(--ISNUMBER(SEARCH(" "&amp;DJ410:DJ437&amp;" ",BD18)))+SUMPRODUCT(--ISNUMBER(SEARCH(" "&amp;DJ2451:DJ2464&amp;" ",BD18)))),"")</f>
        <v>0</v>
      </c>
      <c r="BD18" s="493" t="str">
        <f>IF(7=7,IF(AM18="","",SUBSTITUTE(SUBSTITUTE(SUBSTITUTE(SUBSTITUTE(SUBSTITUTE(SUBSTITUTE(SUBSTITUTE(SUBSTITUTE(SUBSTITUTE(SUBSTITUTE(SUBSTITUTE(SUBSTITUTE(SUBSTITUTE(SUBSTITUTE(AS18," "&amp;DJ2466&amp;" "," ")," "&amp;DJ444&amp;" "," ")," "&amp;DJ442&amp;" "," ")," "&amp;DJ2449&amp;" "," ")," "&amp;DJ2450&amp;" "," ")," "&amp;DJ439&amp;" "," ")," "&amp;DJ443&amp;" "," ")," "&amp;DJ445&amp;" "," ")," "&amp;DJ440&amp;" "," ")," "&amp;DJ438&amp;" "," ")," "&amp;DJ1378&amp;" "," ")," "&amp;DJ446&amp;" "," ")," "&amp;DJ1377&amp;" "," ")," "&amp;DJ441&amp;" "," ")),"")</f>
        <v xml:space="preserve"> tarte normande aux pommes et aux amandes 🍎🥧 </v>
      </c>
      <c r="BE18" s="493" t="str">
        <f>IF(7=7,IF(AM18="","",IF(BB18&gt;0,"X",IF(BC18&gt;0,"?",""))),"")</f>
        <v/>
      </c>
      <c r="BF18" s="493" cm="1">
        <f t="array" ref="BF18">IF(7=7,IF(AM18="","",SUMPRODUCT(--ISNUMBER(SEARCH(" "&amp;DJ447:DJ546&amp;" ",BP18)))),"")</f>
        <v>0</v>
      </c>
      <c r="BG18" s="493" cm="1">
        <f t="array" ref="BG18">IF(7=7,IF(AM18="","",SUMPRODUCT(--ISNUMBER(SEARCH(" "&amp;DJ547:DJ646&amp;" ",BP18)))),"")</f>
        <v>0</v>
      </c>
      <c r="BH18" s="493" cm="1">
        <f t="array" ref="BH18">IF(7=7,IF(AM18="","",SUMPRODUCT(--ISNUMBER(SEARCH(" "&amp;DJ647:DJ746&amp;" ",BP18)))),"")</f>
        <v>0</v>
      </c>
      <c r="BI18" s="493" cm="1">
        <f t="array" ref="BI18">IF(7=7,IF(AM18="","",SUMPRODUCT(--ISNUMBER(SEARCH(" "&amp;DJ747:DJ846&amp;" ",BP18)))),"")</f>
        <v>0</v>
      </c>
      <c r="BJ18" s="493" cm="1">
        <f t="array" ref="BJ18">IF(7=7,IF(AM18="","",SUMPRODUCT(--ISNUMBER(SEARCH(" "&amp;DJ847:DJ946&amp;" ",BP18)))),"")</f>
        <v>0</v>
      </c>
      <c r="BK18" s="493" cm="1">
        <f t="array" ref="BK18">IF(7=7,IF(AM18="","",SUMPRODUCT(--ISNUMBER(SEARCH(" "&amp;DJ947:DJ1046&amp;" ",BP18)))),"")</f>
        <v>0</v>
      </c>
      <c r="BL18" s="493" cm="1">
        <f t="array" ref="BL18">IF(7=7,IF(AM18="","",SUMPRODUCT(--ISNUMBER(SEARCH(" "&amp;DJ1047:DJ1146&amp;" ",BP18)))),"")</f>
        <v>0</v>
      </c>
      <c r="BM18" s="493" cm="1">
        <f t="array" ref="BM18">IF(7=7,IF(AM18="","",SUMPRODUCT(--ISNUMBER(SEARCH(" "&amp;DJ1147:DJ1246&amp;" ",BP18)))),"")</f>
        <v>0</v>
      </c>
      <c r="BN18" s="493" cm="1">
        <f t="array" ref="BN18">IF(7=7,IF(AM18="","",SUMPRODUCT(--ISNUMBER(SEARCH(" "&amp;DJ1247:DJ1346&amp;" ",BP18)))),"")</f>
        <v>0</v>
      </c>
      <c r="BO18" s="493" cm="1">
        <f t="array" ref="BO18">IF(7=7,IF(AM18="","",SUMPRODUCT(--ISNUMBER(SEARCH(" "&amp;DJ1347:DJ1374&amp;" ",BP18)))),"")</f>
        <v>0</v>
      </c>
      <c r="BP18" s="493" t="str">
        <f>IF(7=7,IF(AM18="","",SUBSTITUTE(SUBSTITUTE(SUBSTITUTE(SUBSTITUTE(SUBSTITUTE(SUBSTITUTE(SUBSTITUTE(SUBSTITUTE(SUBSTITUTE(AS18," "&amp;DJ1376&amp;" "," ")," "&amp;DJ1375&amp;" "," ")," "&amp;DJ1381&amp;" "," ")," "&amp;DJ1382&amp;" "," ")," "&amp;DJ1378&amp;" "," ")," "&amp;DJ1380&amp;" "," ")," "&amp;DJ1377&amp;" "," ")," "&amp;DJ1379&amp;" "," ")," "&amp;DJ1383&amp;" "," ")),"")</f>
        <v xml:space="preserve"> tarte normande aux pommes et aux amandes 🍎🥧 </v>
      </c>
      <c r="BQ18" s="493" cm="1">
        <f t="array" ref="BQ18">IF(7=7,IF(AM18="","",SUMPRODUCT(--ISNUMBER(SEARCH(" "&amp;DJ1384:DJ1394&amp;" ",BP18)))),"")</f>
        <v>0</v>
      </c>
      <c r="BR18" s="493" t="str" cm="1">
        <f t="array" ref="BR18">IF(7=7,IF(AM18="","",IF(SUM(BF18:BO18)+SUMPRODUCT(--ISNUMBER(SEARCH(" "&amp;DJ2432:DJ2433&amp;" ",BP18)))&gt;0,"X",IF(BQ18&gt;0,"?",""))),"")</f>
        <v/>
      </c>
      <c r="BS18" s="493" cm="1">
        <f t="array" ref="BS18">IF(7=7,IF(AM18="","",SUMPRODUCT(--ISNUMBER(SEARCH(" "&amp;DJ1395:DJ1415&amp;" ",AS18)))),"")</f>
        <v>0</v>
      </c>
      <c r="BT18" s="493" t="str">
        <f>IF(7=7,IF(AM18="","",IF((BS18)-(0)&gt;0,"X",IF((0)-(0)&gt;0,"?",""))),"")</f>
        <v/>
      </c>
      <c r="BU18" s="493" cm="1">
        <f t="array" ref="BU18">IF(7=7,IF(AM18="","",SUMPRODUCT(--ISNUMBER(SEARCH(" "&amp;DJ1416:DJ1453&amp;" ",BV18)))),"")</f>
        <v>0</v>
      </c>
      <c r="BV18" s="493" t="str">
        <f>IF(7=7,IF(AM18="","",SUBSTITUTE(SUBSTITUTE(AS18," "&amp;DJ1454&amp;" "," ")," "&amp;DJ1455&amp;" "," ")),"")</f>
        <v xml:space="preserve"> tarte normande aux pommes et aux amandes 🍎🥧 </v>
      </c>
      <c r="BW18" s="493" cm="1">
        <f t="array" ref="BW18">IF(7=7,IF(AM18="","",SUMPRODUCT(--ISNUMBER(SEARCH(" "&amp;DJ1456:DJ1466&amp;" ",BV18)))),"")</f>
        <v>0</v>
      </c>
      <c r="BX18" s="493" t="str">
        <f>IF(7=7,IF(AM18="","",IF(BU18&gt;0,"X",IF(BW18&gt;0,"?",""))),"")</f>
        <v/>
      </c>
      <c r="BY18" s="493" cm="1">
        <f t="array" ref="BY18">IF(7=7,IF(AM18="","",SUMPRODUCT(--ISNUMBER(SEARCH(" "&amp;DJ1467:DJ1566&amp;" ",CB18)))),"")</f>
        <v>0</v>
      </c>
      <c r="BZ18" s="493" cm="1">
        <f t="array" ref="BZ18">IF(7=7,IF(AM18="","",SUMPRODUCT(--ISNUMBER(SEARCH(" "&amp;DJ1567:DJ1666&amp;" ",CB18)))),"")</f>
        <v>0</v>
      </c>
      <c r="CA18" s="493" cm="1">
        <f t="array" ref="CA18">IF(7=7,IF(AM18="","",SUMPRODUCT(--ISNUMBER(SEARCH(" "&amp;DJ1667:DJ1750&amp;" ",CB18)))),"")</f>
        <v>0</v>
      </c>
      <c r="CB18" s="493" t="str">
        <f>IF(7=7,IF(AM18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18,"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tarte normande aux pommes et aux amandes 🍎🥧 </v>
      </c>
      <c r="CC18" s="493" cm="1">
        <f t="array" ref="CC18">IF(7=7,IF(AM18="","",SUMPRODUCT(--ISNUMBER(SEARCH(" "&amp;DJ1801:DJ1880&amp;" ",CD18)))+SUMPRODUCT(--ISNUMBER(SEARCH(" "&amp;DJ2451:DJ2464&amp;" ",CD18)))),"")</f>
        <v>0</v>
      </c>
      <c r="CD18" s="493" t="str">
        <f>IF(7=7,IF(AM18="","",SUBSTITUTE(SUBSTITUTE(SUBSTITUTE(SUBSTITUTE(SUBSTITUTE(SUBSTITUTE(SUBSTITUTE(SUBSTITUTE(SUBSTITUTE(SUBSTITUTE(SUBSTITUTE(SUBSTITUTE(SUBSTITUTE(CB18," "&amp;DJ1887&amp;" "," ")," "&amp;DJ1885&amp;" "," ")," "&amp;DJ2449&amp;" "," ")," "&amp;DJ2450&amp;" "," ")," "&amp;DJ1882&amp;" "," ")," "&amp;DJ1886&amp;" "," ")," "&amp;DJ1888&amp;" "," ")," "&amp;DJ1883&amp;" "," ")," "&amp;DJ1881&amp;" "," ")," "&amp;DJ1378&amp;" "," ")," "&amp;DJ1889&amp;" "," ")," "&amp;DJ1377&amp;" "," ")," "&amp;DJ1884&amp;" "," ")),"")</f>
        <v xml:space="preserve"> tarte normande aux pommes et aux amandes 🍎🥧 </v>
      </c>
      <c r="CE18" s="493" t="str" cm="1">
        <f t="array" ref="CE18">IF(7=7,IF(AM18="","",IF(SUM(BY18:CA18)+SUMPRODUCT(--ISNUMBER(SEARCH(" "&amp;DJ2434:DJ2435&amp;" ",CB18)))&gt;0,"X",IF(CC18&gt;0,"?",""))),"")</f>
        <v/>
      </c>
      <c r="CF18" s="493" cm="1">
        <f t="array" ref="CF18">IF(7=7,IF(AM18="","",SUMPRODUCT(--ISNUMBER(SEARCH(" "&amp;DJ1890:DJ1947&amp;" ",CG18)))),"")</f>
        <v>1</v>
      </c>
      <c r="CG18" s="493" t="str">
        <f>IF(7=7,IF(AM18="","",SUBSTITUTE(SUBSTITUTE(SUBSTITUTE(SUBSTITUTE(SUBSTITUTE(SUBSTITUTE(SUBSTITUTE(SUBSTITUTE(SUBSTITUTE(SUBSTITUTE(SUBSTITUTE(SUBSTITUTE(SUBSTITUTE(SUBSTITUTE(SUBSTITUTE(SUBSTITUTE(SUBSTITUTE(SUBSTITUTE(SUBSTITUTE(SUBSTITUTE(SUBSTITUTE(SUBSTITUTE(SUBSTITUTE(AS18,"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tarte normande aux pommes et aux amandes 🍎🥧 </v>
      </c>
      <c r="CH18" s="493" cm="1">
        <f t="array" ref="CH18">IF(7=7,IF(AM18="","",SUMPRODUCT(--ISNUMBER(SEARCH(" "&amp;DJ1971:DJ1987&amp;" ",CG18)))),"")</f>
        <v>0</v>
      </c>
      <c r="CI18" s="493" t="str">
        <f>IF(7=7,IF(AM18="","",IF(CF18&gt;0,"X",IF(CH18&gt;0,"?",""))),"")</f>
        <v>X</v>
      </c>
      <c r="CJ18" s="493" cm="1">
        <f t="array" ref="CJ18">IF(7=7,IF(AM18="","",SUMPRODUCT(--ISNUMBER(SEARCH(" "&amp;DJ1988:DJ2001&amp;" ",AS18)))),"")</f>
        <v>0</v>
      </c>
      <c r="CK18" s="493" cm="1">
        <f t="array" ref="CK18">IF(7=7,IF(AM18="","",SUMPRODUCT(--ISNUMBER(SEARCH(" "&amp;DJ2002:DJ2016&amp;" ",AS18)))),"")</f>
        <v>0</v>
      </c>
      <c r="CL18" s="493" t="str">
        <f>IF(7=7,IF(AM18="","",IF((CJ18)-(0)&gt;0,"X",IF((CK18)-(0)&gt;0,"?",""))),"")</f>
        <v/>
      </c>
      <c r="CM18" s="493" cm="1">
        <f t="array" ref="CM18">IF(7=7,IF(AM18="","",SUMPRODUCT(--ISNUMBER(SEARCH(" "&amp;DJ2017:DJ2034&amp;" ",AS18)))),"")</f>
        <v>0</v>
      </c>
      <c r="CN18" s="493" cm="1">
        <f t="array" ref="CN18">IF(7=7,IF(AM18="","",SUMPRODUCT(--ISNUMBER(SEARCH(" "&amp;DJ2035:DJ2049&amp;" ",AS18)))),"")</f>
        <v>0</v>
      </c>
      <c r="CO18" s="493" t="str">
        <f>IF(7=7,IF(AM18="","",IF((CM18)-(0)&gt;0,"X",IF((CN18)-(0)&gt;0,"?",""))),"")</f>
        <v/>
      </c>
      <c r="CP18" s="493" cm="1">
        <f t="array" ref="CP18">IF(7=7,IF(AM18="","",SUMPRODUCT(--ISNUMBER(SEARCH(" "&amp;DJ2050:DJ2068&amp;" ",AS18)))),"")</f>
        <v>0</v>
      </c>
      <c r="CQ18" s="493" cm="1">
        <f t="array" ref="CQ18">IF(7=7,IF(AM18="","",SUMPRODUCT(--ISNUMBER(SEARCH(" "&amp;DJ2069:DJ2083&amp;" ",AS18)))),"")</f>
        <v>0</v>
      </c>
      <c r="CR18" s="493" t="str">
        <f>IF(7=7,IF(AM18="","",IF((CP18)-(0)&gt;0,"X",IF((CQ18)-(0)&gt;0,"?",""))),"")</f>
        <v/>
      </c>
      <c r="CS18" s="493" cm="1">
        <f t="array" ref="CS18">IF(7=7,IF(AM18="","",SUMPRODUCT(--ISNUMBER(SEARCH(" "&amp;DJ2084:DJ2104&amp;" ",AS18)))),"")</f>
        <v>0</v>
      </c>
      <c r="CT18" s="493" cm="1">
        <f t="array" ref="CT18">IF(7=7,IF(AM18="","",SUMPRODUCT(--ISNUMBER(SEARCH(" "&amp;DJ2105:DJ2144&amp;" ",SUBSTITUTE(SUBSTITUTE(AS18," "&amp;DJ1378&amp;" "," ")," "&amp;DJ1377&amp;" "," "))))+--ISNUMBER(SEARCH("poiré",AN18))),"")</f>
        <v>0</v>
      </c>
      <c r="CU18" s="493" t="str">
        <f>IF(7=7,IF(AM18="","",IF(OR(CS18&gt;0,ISNUMBER(SEARCH(" vinaigre de vin ",AS18)),ISNUMBER(SEARCH(" vinaigre au vin ",AS18))),"X",IF(CT18&gt;0,"?",""))),"")</f>
        <v/>
      </c>
      <c r="CV18" s="493" cm="1">
        <f t="array" ref="CV18">IF(7=7,IF(AM18="","",SUMPRODUCT(--ISNUMBER(SEARCH(" "&amp;DJ2145:DJ2157&amp;" ",AS18)))),"")</f>
        <v>0</v>
      </c>
      <c r="CW18" s="493" cm="1">
        <f t="array" ref="CW18">IF(7=7,IF(AM18="","",SUMPRODUCT(--ISNUMBER(SEARCH(" "&amp;DJ2158:DJ2163&amp;" ",AS18)))),"")</f>
        <v>0</v>
      </c>
      <c r="CX18" s="493" t="str">
        <f>IF(7=7,IF(AM18="","",IF((CV18)-(0)&gt;0,"X",IF((CW18)-(0)&gt;0,"?",""))),"")</f>
        <v/>
      </c>
      <c r="CY18" s="493" cm="1">
        <f t="array" ref="CY18">IF(7=7,IF(AM18="","",SUMPRODUCT(--ISNUMBER(SEARCH(" "&amp;DJ2164:DJ2263&amp;" ",DB18)))),"")</f>
        <v>0</v>
      </c>
      <c r="CZ18" s="493" cm="1">
        <f t="array" ref="CZ18">IF(7=7,IF(AM18="","",SUMPRODUCT(--ISNUMBER(SEARCH(" "&amp;DJ2264:DJ2363&amp;" ",DB18)))),"")</f>
        <v>0</v>
      </c>
      <c r="DA18" s="493" cm="1">
        <f t="array" ref="DA18">IF(7=7,IF(AM18="","",SUMPRODUCT(--ISNUMBER(SEARCH(" "&amp;DJ2364:DJ2406&amp;" ",DB18)))),"")</f>
        <v>0</v>
      </c>
      <c r="DB18" s="493" t="str">
        <f>IF(7=7,IF(AM18="","",SUBSTITUTE(SUBSTITUTE(SUBSTITUTE(SUBSTITUTE(SUBSTITUTE(SUBSTITUTE(SUBSTITUTE(SUBSTITUTE(SUBSTITUTE(SUBSTITUTE(SUBSTITUTE(SUBSTITUTE(SUBSTITUTE(SUBSTITUTE(SUBSTITUTE(SUBSTITUTE(AS18," "&amp;DJ2412&amp;" "," ")," "&amp;DJ2411&amp;" "," ")," "&amp;DJ2410&amp;" "," ")," "&amp;DJ2417&amp;" "," ")," "&amp;DJ2409&amp;" "," ")," "&amp;DJ2421&amp;" "," ")," "&amp;DJ2408&amp;" "," ")," "&amp;DJ2413&amp;" "," ")," "&amp;DJ2416&amp;" "," ")," "&amp;DJ2407&amp;" "," ")," "&amp;DJ2415&amp;" "," ")," "&amp;DJ2422&amp;" "," ")," "&amp;DJ2419&amp;" "," ")," "&amp;DJ2414&amp;" "," ")," "&amp;DJ2418&amp;" "," ")," "&amp;DJ2420&amp;" "," ")),"")</f>
        <v xml:space="preserve"> tarte normande aux pommes et aux amandes 🍎🥧 </v>
      </c>
      <c r="DC18" s="493" cm="1">
        <f t="array" ref="DC18">IF(7=7,IF(AM18="","",SUMPRODUCT(--ISNUMBER(SEARCH(" "&amp;DJ2423:DJ2427&amp;" ",DB18)))),"")</f>
        <v>0</v>
      </c>
      <c r="DD18" s="493" t="str">
        <f>IF(7=7,IF(AM18="","",IF(SUM(CY18:DA18)&gt;0,"X",IF(DC18&gt;0,"?",""))),"")</f>
        <v/>
      </c>
      <c r="DE18" s="494"/>
      <c r="DF18" s="496" t="s">
        <v>1155</v>
      </c>
      <c r="DG18" s="496" t="s">
        <v>1083</v>
      </c>
      <c r="DH18" s="496" t="s">
        <v>689</v>
      </c>
      <c r="DI18" s="496" t="s">
        <v>1156</v>
      </c>
      <c r="DJ18" s="496" t="s">
        <v>883</v>
      </c>
      <c r="DK18" s="496" t="s">
        <v>1085</v>
      </c>
      <c r="DL18" s="496" t="s">
        <v>1086</v>
      </c>
      <c r="DM18" s="496" t="s">
        <v>1087</v>
      </c>
      <c r="DN18" s="497" t="s">
        <v>1088</v>
      </c>
      <c r="DP18" s="543">
        <v>1</v>
      </c>
    </row>
    <row r="19" spans="2:120" ht="30" customHeight="1">
      <c r="B19" s="663" t="str">
        <f t="shared" si="0"/>
        <v>Un grand classique de la pâtisserie française ! Cette tarte normande fondante aux pommes et aux amandes est à la fois simple, économique et délicieusement parfumée. À servir tiède avec une cuillerée de crème fraîche pour un pur moment de douceur.</v>
      </c>
      <c r="C19" s="663" t="str">
        <f t="shared" si="1"/>
        <v>Un grand classique de la pâtisserie française Cette tarte normande fondante aux pommes et aux amandes est à la fois simple économique et délicieusement parfumée À servir tiède avec une cuillerée de crème fraîche pour un pur moment de douceur</v>
      </c>
      <c r="D19" s="663" t="str">
        <f>IF(UPPER(TRIM(N11))="X",C19,B19)</f>
        <v>Un grand classique de la pâtisserie française ! Cette tarte normande fondante aux pommes et aux amandes est à la fois simple, économique et délicieusement parfumée. À servir tiède avec une cuillerée de crème fraîche pour un pur moment de douceur.</v>
      </c>
      <c r="E19" s="663" cm="1">
        <f t="array" ref="E19">IF(H18&lt;&gt;"",E18,IF(E18="","",IFERROR(MATCH(TRUE(),INDEX(INDEX(K:K,E18+1):K203&lt;&gt;"",0),0)+E18,"")))</f>
        <v>19</v>
      </c>
      <c r="F19" s="663" t="str" cm="1">
        <f t="array" ref="F19">IF(E19="","",IF(H18&lt;&gt;"",H18,INDEX(D:D,E19)))</f>
        <v>Un grand classique de la pâtisserie française ! Cette tarte normande fondante aux pommes et aux amandes est à la fois simple, économique et délicieusement parfumée. À servir tiède avec une cuillerée de crème fraîche pour un pur moment de douceur.</v>
      </c>
      <c r="G19" s="663" t="str">
        <f t="shared" si="2"/>
        <v xml:space="preserve">Un grand classique de la pâtisserie française ! Cette tarte normande fondante </v>
      </c>
      <c r="H19" s="673" t="str">
        <f t="shared" si="3"/>
        <v>aux pommes et aux amandes est à la fois simple, économique et délicieusement parfumée. À servir tiède avec une cuillerée de crème fraîche pour un pur moment de douceur.</v>
      </c>
      <c r="I19" s="680" t="str">
        <f>IF(AND(F19&lt;&gt;"",N10&gt;0,M19&gt;N10),"Mot &gt; limite","")</f>
        <v/>
      </c>
      <c r="J19" s="674">
        <f>IF(K19="","",COUNTIF(K18:K19,"&lt;&gt;"))</f>
        <v>2</v>
      </c>
      <c r="K19" s="675" t="s">
        <v>6464</v>
      </c>
      <c r="L19" s="674">
        <f t="shared" si="4"/>
        <v>246</v>
      </c>
      <c r="M19" s="643">
        <f>IF(OR(F19="",N10="",N10&lt;=0),"",IF(LEN(F19)&lt;=N10,LEN(F19),IFERROR(FIND("♦",SUBSTITUTE(LEFT(F19,N10)," ","♦",LEN(LEFT(F19,N10))-LEN(SUBSTITUTE(LEFT(F19,N10)," ","")))),FIND(" ",F19&amp;" ",N10+1)-1)))</f>
        <v>78</v>
      </c>
      <c r="N19" s="676">
        <f t="shared" si="5"/>
        <v>2</v>
      </c>
      <c r="O19" s="681" t="str">
        <f t="shared" si="6"/>
        <v xml:space="preserve">Un grand classique de la pâtisserie française ! Cette tarte normande fondante </v>
      </c>
      <c r="P19" s="676">
        <f t="shared" si="7"/>
        <v>12</v>
      </c>
      <c r="Q19" s="676">
        <f t="shared" si="8"/>
        <v>78</v>
      </c>
      <c r="S19" s="509">
        <v>2</v>
      </c>
      <c r="T19" s="678" t="str">
        <f t="shared" ref="T19:T77" si="10">O19</f>
        <v xml:space="preserve">Un grand classique de la pâtisserie française ! Cette tarte normande fondante </v>
      </c>
      <c r="U19" s="679" t="str">
        <f t="shared" si="9"/>
        <v>Un grand classique de la pâtisserie française ! Cette tarte normande fondante</v>
      </c>
      <c r="V19" s="512" t="str">
        <f>IF(8=8,IF(T19="","",IF(W19="X",""&amp;"Céréales contenant du gluten","")&amp;IF(X19="X",IF(COUNTIF(W19:W19,"X")&gt;0,", ","")&amp;"Crustacés","")&amp;IF(Y19="X",IF(COUNTIF(W19:X19,"X")&gt;0,", ","")&amp;"Œufs","")&amp;IF(Z19="X",IF(COUNTIF(W19:Y19,"X")&gt;0,", ","")&amp;"Poissons","")&amp;IF(AA19="X",IF(COUNTIF(W19:Z19,"X")&gt;0,", ","")&amp;"Arachides","")&amp;IF(AB19="X",IF(COUNTIF(W19:AA19,"X")&gt;0,", ","")&amp;"Soja","")&amp;IF(AC19="X",IF(COUNTIF(W19:AB19,"X")&gt;0,", ","")&amp;"Lait","")&amp;IF(AD19="X",IF(COUNTIF(W19:AC19,"X")&gt;0,", ","")&amp;"Fruits à coque","")&amp;IF(AE19="X",IF(COUNTIF(W19:AD19,"X")&gt;0,", ","")&amp;"Céleri","")&amp;IF(AF19="X",IF(COUNTIF(W19:AE19,"X")&gt;0,", ","")&amp;"Moutarde","")&amp;IF(AG19="X",IF(COUNTIF(W19:AF19,"X")&gt;0,", ","")&amp;"Sésame","")&amp;IF(AH19="X",IF(COUNTIF(W19:AG19,"X")&gt;0,", ","")&amp;"Sulfites","")&amp;IF(AI19="X",IF(COUNTIF(W19:AH19,"X")&gt;0,", ","")&amp;"Lupin","")&amp;IF(AJ19="X",IF(COUNTIF(W19:AI19,"X")&gt;0,", ","")&amp;"Mollusques","")),"")</f>
        <v/>
      </c>
      <c r="W19" s="513" t="str">
        <f>IF(8=8,IF(T19="","",AX19),"")</f>
        <v/>
      </c>
      <c r="X19" s="513" t="str">
        <f>IF(8=8,IF(T19="","",BA19),"")</f>
        <v/>
      </c>
      <c r="Y19" s="513" t="str">
        <f>IF(8=8,IF(T19="","",BE19),"")</f>
        <v/>
      </c>
      <c r="Z19" s="513" t="str">
        <f>IF(8=8,IF(T19="","",IF(ISNUMBER(SEARCH(" colin ",AS19)),"X",BR19)),"")</f>
        <v/>
      </c>
      <c r="AA19" s="513" t="str">
        <f>IF(8=8,IF(T19="","",BT19),"")</f>
        <v/>
      </c>
      <c r="AB19" s="513" t="str">
        <f>IF(8=8,IF(T19="","",BX19),"")</f>
        <v/>
      </c>
      <c r="AC19" s="513" t="str">
        <f>IF(8=8,IF(T19="","",CE19),"")</f>
        <v/>
      </c>
      <c r="AD19" s="513" t="str">
        <f>IF(8=8,IF(T19="","",CI19),"")</f>
        <v/>
      </c>
      <c r="AE19" s="513" t="str">
        <f>IF(8=8,IF(T19="","",CL19),"")</f>
        <v/>
      </c>
      <c r="AF19" s="513" t="str">
        <f>IF(8=8,IF(T19="","",CO19),"")</f>
        <v/>
      </c>
      <c r="AG19" s="513" t="str">
        <f>IF(8=8,IF(T19="","",CR19),"")</f>
        <v/>
      </c>
      <c r="AH19" s="513" t="str">
        <f>IF(8=8,IF(T19="","",CU19),"")</f>
        <v/>
      </c>
      <c r="AI19" s="513" t="str">
        <f>IF(8=8,IF(T19="","",CX19),"")</f>
        <v/>
      </c>
      <c r="AJ19" s="513" t="str">
        <f>IF(8=8,IF(T19="","",DD19),"")</f>
        <v/>
      </c>
      <c r="AK19" s="514" t="str">
        <f>IF(8=8,IF(T19="","",IF(W19="?",""&amp;"Céréales contenant du gluten","")&amp;IF(X19="?",IF(COUNTIF(W19:W19,"~?")&gt;0,", ","")&amp;"Crustacés","")&amp;IF(Y19="?",IF(COUNTIF(W19:X19,"~?")&gt;0,", ","")&amp;"Œufs","")&amp;IF(Z19="?",IF(COUNTIF(W19:Y19,"~?")&gt;0,", ","")&amp;"Poissons","")&amp;IF(AA19="?",IF(COUNTIF(W19:Z19,"~?")&gt;0,", ","")&amp;"Arachides","")&amp;IF(AB19="?",IF(COUNTIF(W19:AA19,"~?")&gt;0,", ","")&amp;"Soja","")&amp;IF(AC19="?",IF(COUNTIF(W19:AB19,"~?")&gt;0,", ","")&amp;"Lait","")&amp;IF(AD19="?",IF(COUNTIF(W19:AC19,"~?")&gt;0,", ","")&amp;"Fruits à coque","")&amp;IF(AE19="?",IF(COUNTIF(W19:AD19,"~?")&gt;0,", ","")&amp;"Céleri","")&amp;IF(AF19="?",IF(COUNTIF(W19:AE19,"~?")&gt;0,", ","")&amp;"Moutarde","")&amp;IF(AG19="?",IF(COUNTIF(W19:AF19,"~?")&gt;0,", ","")&amp;"Sésame","")&amp;IF(AH19="?",IF(COUNTIF(W19:AG19,"~?")&gt;0,", ","")&amp;"Sulfites","")&amp;IF(AI19="?",IF(COUNTIF(W19:AH19,"~?")&gt;0,", ","")&amp;"Lupin","")&amp;IF(AJ19="?",IF(COUNTIF(W19:AI19,"~?")&gt;0,", ","")&amp;"Mollusques","")),"")</f>
        <v/>
      </c>
      <c r="AM19" s="493" t="str">
        <f>IF(8=8,IF(T19="","",T19),"")</f>
        <v xml:space="preserve">Un grand classique de la pâtisserie française ! Cette tarte normande fondante </v>
      </c>
      <c r="AN19" s="493" t="str">
        <f>IF(8=8,LOWER(CLEAN(SUBSTITUTE(SUBSTITUTE(SUBSTITUTE(SUBSTITUTE(AM19,CHAR(160)," ")," "," "),CHAR(10)," "),CHAR(13)," "))),"")</f>
        <v xml:space="preserve">un grand classique de la pâtisserie française ! cette tarte normande fondante </v>
      </c>
      <c r="AO19" s="493" t="str">
        <f>IF(8=8,SUBSTITUTE(SUBSTITUTE(SUBSTITUTE(SUBSTITUTE(SUBSTITUTE(SUBSTITUTE(SUBSTITUTE(SUBSTITUTE(SUBSTITUTE(SUBSTITUTE(SUBSTITUTE(SUBSTITUTE(AN19,"œ","oe"),"æ","ae"),"à","a"),"á","a"),"â","a"),"ä","a"),"ã","a"),"ç","c"),"è","e"),"é","e"),"ê","e"),"ë","e"),"")</f>
        <v xml:space="preserve">un grand classique de la patisserie francaise ! cette tarte normande fondante </v>
      </c>
      <c r="AP19" s="493" t="str">
        <f>IF(8=8,SUBSTITUTE(SUBSTITUTE(SUBSTITUTE(SUBSTITUTE(SUBSTITUTE(SUBSTITUTE(SUBSTITUTE(SUBSTITUTE(SUBSTITUTE(SUBSTITUTE(SUBSTITUTE(SUBSTITUTE(SUBSTITUTE(SUBSTITUTE(SUBSTITUTE(SUBSTITUTE(AO19,"ì","i"),"í","i"),"î","i"),"ï","i"),"ñ","n"),"ò","o"),"ó","o"),"ô","o"),"ö","o"),"õ","o"),"ù","u"),"ú","u"),"û","u"),"ü","u"),"ý","y"),"ÿ","y"),"")</f>
        <v xml:space="preserve">un grand classique de la patisserie francaise ! cette tarte normande fondante </v>
      </c>
      <c r="AQ19" s="493" t="str">
        <f>IF(8=8,SUBSTITUTE(SUBSTITUTE(SUBSTITUTE(SUBSTITUTE(SUBSTITUTE(SUBSTITUTE(SUBSTITUTE(SUBSTITUTE(SUBSTITUTE(SUBSTITUTE(SUBSTITUTE(SUBSTITUTE(SUBSTITUTE(SUBSTITUTE(AP19,"’"," "),"`"," "),"–"," "),"—"," "),"-"," "),"'"," "),"/"," "),"_"," "),","," "),"."," "),"("," "),")"," "),";"," "),":"," "),"")</f>
        <v xml:space="preserve">un grand classique de la patisserie francaise ! cette tarte normande fondante </v>
      </c>
      <c r="AR19" s="493" t="str">
        <f>IF(8=8,SUBSTITUTE(SUBSTITUTE(SUBSTITUTE(SUBSTITUTE(SUBSTITUTE(SUBSTITUTE(SUBSTITUTE(SUBSTITUTE(SUBSTITUTE(SUBSTITUTE(SUBSTITUTE(SUBSTITUTE(SUBSTITUTE(SUBSTITUTE(SUBSTITUTE(AQ19,"!"," "),"?"," "),"+"," "),"*"," "),"&amp;"," "),"["," "),"]"," "),"{"," "),"}"," "),"%"," "),"="," "),"\"," "),"|"," "),"&lt;"," "),"&gt;"," "),"")</f>
        <v xml:space="preserve">un grand classique de la patisserie francaise   cette tarte normande fondante </v>
      </c>
      <c r="AS19" s="493" t="str">
        <f>IF(8=8," "&amp;TRIM(SUBSTITUTE(SUBSTITUTE(SUBSTITUTE(SUBSTITUTE(SUBSTITUTE(SUBSTITUTE(AR19,CHAR(34)," "),"  "," "),"  "," "),"  "," "),"  "," "),"  "," "))&amp;" ","")</f>
        <v xml:space="preserve"> un grand classique de la patisserie francaise cette tarte normande fondante </v>
      </c>
      <c r="AT19" s="493" cm="1">
        <f t="array" ref="AT19">IF(8=8,IF(AM19="","",SUMPRODUCT(--ISNUMBER(SEARCH(" "&amp;DJ13:DJ112&amp;" ",AV19)))),"")</f>
        <v>0</v>
      </c>
      <c r="AU19" s="493" cm="1">
        <f t="array" ref="AU19">IF(8=8,IF(AM19="","",SUMPRODUCT(--ISNUMBER(SEARCH(" "&amp;DJ113:DJ162&amp;" ",AV19)))),"")</f>
        <v>0</v>
      </c>
      <c r="AV19" s="493" t="str">
        <f>IF(AM19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19,"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un grand classique de la patisserie francaise cette tarte normande fondante </v>
      </c>
      <c r="AW19" s="493" cm="1">
        <f t="array" ref="AW19">IF(AM19="","",SUMPRODUCT(--ISNUMBER(SEARCH(" "&amp;DJ195:DJ216&amp;" ",AV19)))+--ISNUMBER(SEARCH(" "&amp;DJ2465&amp;" ",AV19)))</f>
        <v>0</v>
      </c>
      <c r="AX19" s="493" t="str" cm="1">
        <f t="array" ref="AX19">IF(8=8,IF(AM19="","",IF(SUM(AT19:AU19)+SUMPRODUCT(--ISNUMBER(SEARCH(" "&amp;DJ2429:DJ2431&amp;" ",AV19)))&gt;0,"X",IF(AW19&gt;0,"?",""))),"")</f>
        <v/>
      </c>
      <c r="AY19" s="493" cm="1">
        <f t="array" ref="AY19">IF(8=8,IF(AM19="","",SUMPRODUCT(--ISNUMBER(SEARCH(" "&amp;DJ217:DJ316&amp;" ",AS19)))),"")</f>
        <v>0</v>
      </c>
      <c r="AZ19" s="493" cm="1">
        <f t="array" ref="AZ19">IF(8=8,IF(AM19="","",SUMPRODUCT(--ISNUMBER(SEARCH(" "&amp;DJ317:DJ351&amp;" ",AS19)))),"")</f>
        <v>0</v>
      </c>
      <c r="BA19" s="493" t="str">
        <f>IF(8=8,IF(AM19="","",IF((SUM(AY19:AZ19))-(0)&gt;0,"X",IF((0)-(0)&gt;0,"?",""))),"")</f>
        <v/>
      </c>
      <c r="BB19" s="493" cm="1">
        <f t="array" ref="BB19">IF(8=8,IF(AM19="","",SUMPRODUCT(--ISNUMBER(SEARCH(" "&amp;DJ352:DJ409&amp;" ",AS19)))),"")</f>
        <v>0</v>
      </c>
      <c r="BC19" s="493" cm="1">
        <f t="array" ref="BC19">IF(8=8,IF(AM19="","",SUMPRODUCT(--ISNUMBER(SEARCH(" "&amp;DJ410:DJ437&amp;" ",BD19)))+SUMPRODUCT(--ISNUMBER(SEARCH(" "&amp;DJ2451:DJ2464&amp;" ",BD19)))),"")</f>
        <v>0</v>
      </c>
      <c r="BD19" s="493" t="str">
        <f>IF(8=8,IF(AM19="","",SUBSTITUTE(SUBSTITUTE(SUBSTITUTE(SUBSTITUTE(SUBSTITUTE(SUBSTITUTE(SUBSTITUTE(SUBSTITUTE(SUBSTITUTE(SUBSTITUTE(SUBSTITUTE(SUBSTITUTE(SUBSTITUTE(SUBSTITUTE(AS19," "&amp;DJ2466&amp;" "," ")," "&amp;DJ444&amp;" "," ")," "&amp;DJ442&amp;" "," ")," "&amp;DJ2449&amp;" "," ")," "&amp;DJ2450&amp;" "," ")," "&amp;DJ439&amp;" "," ")," "&amp;DJ443&amp;" "," ")," "&amp;DJ445&amp;" "," ")," "&amp;DJ440&amp;" "," ")," "&amp;DJ438&amp;" "," ")," "&amp;DJ1378&amp;" "," ")," "&amp;DJ446&amp;" "," ")," "&amp;DJ1377&amp;" "," ")," "&amp;DJ441&amp;" "," ")),"")</f>
        <v xml:space="preserve"> un grand classique de la patisserie francaise cette tarte normande fondante </v>
      </c>
      <c r="BE19" s="493" t="str">
        <f>IF(8=8,IF(AM19="","",IF(BB19&gt;0,"X",IF(BC19&gt;0,"?",""))),"")</f>
        <v/>
      </c>
      <c r="BF19" s="493" cm="1">
        <f t="array" ref="BF19">IF(8=8,IF(AM19="","",SUMPRODUCT(--ISNUMBER(SEARCH(" "&amp;DJ447:DJ546&amp;" ",BP19)))),"")</f>
        <v>0</v>
      </c>
      <c r="BG19" s="493" cm="1">
        <f t="array" ref="BG19">IF(8=8,IF(AM19="","",SUMPRODUCT(--ISNUMBER(SEARCH(" "&amp;DJ547:DJ646&amp;" ",BP19)))),"")</f>
        <v>0</v>
      </c>
      <c r="BH19" s="493" cm="1">
        <f t="array" ref="BH19">IF(8=8,IF(AM19="","",SUMPRODUCT(--ISNUMBER(SEARCH(" "&amp;DJ647:DJ746&amp;" ",BP19)))),"")</f>
        <v>0</v>
      </c>
      <c r="BI19" s="493" cm="1">
        <f t="array" ref="BI19">IF(8=8,IF(AM19="","",SUMPRODUCT(--ISNUMBER(SEARCH(" "&amp;DJ747:DJ846&amp;" ",BP19)))),"")</f>
        <v>0</v>
      </c>
      <c r="BJ19" s="493" cm="1">
        <f t="array" ref="BJ19">IF(8=8,IF(AM19="","",SUMPRODUCT(--ISNUMBER(SEARCH(" "&amp;DJ847:DJ946&amp;" ",BP19)))),"")</f>
        <v>0</v>
      </c>
      <c r="BK19" s="493" cm="1">
        <f t="array" ref="BK19">IF(8=8,IF(AM19="","",SUMPRODUCT(--ISNUMBER(SEARCH(" "&amp;DJ947:DJ1046&amp;" ",BP19)))),"")</f>
        <v>0</v>
      </c>
      <c r="BL19" s="493" cm="1">
        <f t="array" ref="BL19">IF(8=8,IF(AM19="","",SUMPRODUCT(--ISNUMBER(SEARCH(" "&amp;DJ1047:DJ1146&amp;" ",BP19)))),"")</f>
        <v>0</v>
      </c>
      <c r="BM19" s="493" cm="1">
        <f t="array" ref="BM19">IF(8=8,IF(AM19="","",SUMPRODUCT(--ISNUMBER(SEARCH(" "&amp;DJ1147:DJ1246&amp;" ",BP19)))),"")</f>
        <v>0</v>
      </c>
      <c r="BN19" s="493" cm="1">
        <f t="array" ref="BN19">IF(8=8,IF(AM19="","",SUMPRODUCT(--ISNUMBER(SEARCH(" "&amp;DJ1247:DJ1346&amp;" ",BP19)))),"")</f>
        <v>0</v>
      </c>
      <c r="BO19" s="493" cm="1">
        <f t="array" ref="BO19">IF(8=8,IF(AM19="","",SUMPRODUCT(--ISNUMBER(SEARCH(" "&amp;DJ1347:DJ1374&amp;" ",BP19)))),"")</f>
        <v>0</v>
      </c>
      <c r="BP19" s="493" t="str">
        <f>IF(8=8,IF(AM19="","",SUBSTITUTE(SUBSTITUTE(SUBSTITUTE(SUBSTITUTE(SUBSTITUTE(SUBSTITUTE(SUBSTITUTE(SUBSTITUTE(SUBSTITUTE(AS19," "&amp;DJ1376&amp;" "," ")," "&amp;DJ1375&amp;" "," ")," "&amp;DJ1381&amp;" "," ")," "&amp;DJ1382&amp;" "," ")," "&amp;DJ1378&amp;" "," ")," "&amp;DJ1380&amp;" "," ")," "&amp;DJ1377&amp;" "," ")," "&amp;DJ1379&amp;" "," ")," "&amp;DJ1383&amp;" "," ")),"")</f>
        <v xml:space="preserve"> un grand classique de la patisserie francaise cette tarte normande fondante </v>
      </c>
      <c r="BQ19" s="493" cm="1">
        <f t="array" ref="BQ19">IF(8=8,IF(AM19="","",SUMPRODUCT(--ISNUMBER(SEARCH(" "&amp;DJ1384:DJ1394&amp;" ",BP19)))),"")</f>
        <v>0</v>
      </c>
      <c r="BR19" s="493" t="str" cm="1">
        <f t="array" ref="BR19">IF(8=8,IF(AM19="","",IF(SUM(BF19:BO19)+SUMPRODUCT(--ISNUMBER(SEARCH(" "&amp;DJ2432:DJ2433&amp;" ",BP19)))&gt;0,"X",IF(BQ19&gt;0,"?",""))),"")</f>
        <v/>
      </c>
      <c r="BS19" s="493" cm="1">
        <f t="array" ref="BS19">IF(8=8,IF(AM19="","",SUMPRODUCT(--ISNUMBER(SEARCH(" "&amp;DJ1395:DJ1415&amp;" ",AS19)))),"")</f>
        <v>0</v>
      </c>
      <c r="BT19" s="493" t="str">
        <f>IF(8=8,IF(AM19="","",IF((BS19)-(0)&gt;0,"X",IF((0)-(0)&gt;0,"?",""))),"")</f>
        <v/>
      </c>
      <c r="BU19" s="493" cm="1">
        <f t="array" ref="BU19">IF(8=8,IF(AM19="","",SUMPRODUCT(--ISNUMBER(SEARCH(" "&amp;DJ1416:DJ1453&amp;" ",BV19)))),"")</f>
        <v>0</v>
      </c>
      <c r="BV19" s="493" t="str">
        <f>IF(8=8,IF(AM19="","",SUBSTITUTE(SUBSTITUTE(AS19," "&amp;DJ1454&amp;" "," ")," "&amp;DJ1455&amp;" "," ")),"")</f>
        <v xml:space="preserve"> un grand classique de la patisserie francaise cette tarte normande fondante </v>
      </c>
      <c r="BW19" s="493" cm="1">
        <f t="array" ref="BW19">IF(8=8,IF(AM19="","",SUMPRODUCT(--ISNUMBER(SEARCH(" "&amp;DJ1456:DJ1466&amp;" ",BV19)))),"")</f>
        <v>0</v>
      </c>
      <c r="BX19" s="493" t="str">
        <f>IF(8=8,IF(AM19="","",IF(BU19&gt;0,"X",IF(BW19&gt;0,"?",""))),"")</f>
        <v/>
      </c>
      <c r="BY19" s="493" cm="1">
        <f t="array" ref="BY19">IF(8=8,IF(AM19="","",SUMPRODUCT(--ISNUMBER(SEARCH(" "&amp;DJ1467:DJ1566&amp;" ",CB19)))),"")</f>
        <v>0</v>
      </c>
      <c r="BZ19" s="493" cm="1">
        <f t="array" ref="BZ19">IF(8=8,IF(AM19="","",SUMPRODUCT(--ISNUMBER(SEARCH(" "&amp;DJ1567:DJ1666&amp;" ",CB19)))),"")</f>
        <v>0</v>
      </c>
      <c r="CA19" s="493" cm="1">
        <f t="array" ref="CA19">IF(8=8,IF(AM19="","",SUMPRODUCT(--ISNUMBER(SEARCH(" "&amp;DJ1667:DJ1750&amp;" ",CB19)))),"")</f>
        <v>0</v>
      </c>
      <c r="CB19" s="493" t="str">
        <f>IF(8=8,IF(AM19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19,"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un grand classique de la patisserie francaise cette tarte normande fondante </v>
      </c>
      <c r="CC19" s="493" cm="1">
        <f t="array" ref="CC19">IF(8=8,IF(AM19="","",SUMPRODUCT(--ISNUMBER(SEARCH(" "&amp;DJ1801:DJ1880&amp;" ",CD19)))+SUMPRODUCT(--ISNUMBER(SEARCH(" "&amp;DJ2451:DJ2464&amp;" ",CD19)))),"")</f>
        <v>0</v>
      </c>
      <c r="CD19" s="493" t="str">
        <f>IF(8=8,IF(AM19="","",SUBSTITUTE(SUBSTITUTE(SUBSTITUTE(SUBSTITUTE(SUBSTITUTE(SUBSTITUTE(SUBSTITUTE(SUBSTITUTE(SUBSTITUTE(SUBSTITUTE(SUBSTITUTE(SUBSTITUTE(SUBSTITUTE(CB19," "&amp;DJ1887&amp;" "," ")," "&amp;DJ1885&amp;" "," ")," "&amp;DJ2449&amp;" "," ")," "&amp;DJ2450&amp;" "," ")," "&amp;DJ1882&amp;" "," ")," "&amp;DJ1886&amp;" "," ")," "&amp;DJ1888&amp;" "," ")," "&amp;DJ1883&amp;" "," ")," "&amp;DJ1881&amp;" "," ")," "&amp;DJ1378&amp;" "," ")," "&amp;DJ1889&amp;" "," ")," "&amp;DJ1377&amp;" "," ")," "&amp;DJ1884&amp;" "," ")),"")</f>
        <v xml:space="preserve"> un grand classique de la patisserie francaise cette tarte normande fondante </v>
      </c>
      <c r="CE19" s="493" t="str" cm="1">
        <f t="array" ref="CE19">IF(8=8,IF(AM19="","",IF(SUM(BY19:CA19)+SUMPRODUCT(--ISNUMBER(SEARCH(" "&amp;DJ2434:DJ2435&amp;" ",CB19)))&gt;0,"X",IF(CC19&gt;0,"?",""))),"")</f>
        <v/>
      </c>
      <c r="CF19" s="493" cm="1">
        <f t="array" ref="CF19">IF(8=8,IF(AM19="","",SUMPRODUCT(--ISNUMBER(SEARCH(" "&amp;DJ1890:DJ1947&amp;" ",CG19)))),"")</f>
        <v>0</v>
      </c>
      <c r="CG19" s="493" t="str">
        <f>IF(8=8,IF(AM19="","",SUBSTITUTE(SUBSTITUTE(SUBSTITUTE(SUBSTITUTE(SUBSTITUTE(SUBSTITUTE(SUBSTITUTE(SUBSTITUTE(SUBSTITUTE(SUBSTITUTE(SUBSTITUTE(SUBSTITUTE(SUBSTITUTE(SUBSTITUTE(SUBSTITUTE(SUBSTITUTE(SUBSTITUTE(SUBSTITUTE(SUBSTITUTE(SUBSTITUTE(SUBSTITUTE(SUBSTITUTE(SUBSTITUTE(AS19,"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un grand classique de la patisserie francaise cette tarte normande fondante </v>
      </c>
      <c r="CH19" s="493" cm="1">
        <f t="array" ref="CH19">IF(8=8,IF(AM19="","",SUMPRODUCT(--ISNUMBER(SEARCH(" "&amp;DJ1971:DJ1987&amp;" ",CG19)))),"")</f>
        <v>0</v>
      </c>
      <c r="CI19" s="493" t="str">
        <f>IF(8=8,IF(AM19="","",IF(CF19&gt;0,"X",IF(CH19&gt;0,"?",""))),"")</f>
        <v/>
      </c>
      <c r="CJ19" s="493" cm="1">
        <f t="array" ref="CJ19">IF(8=8,IF(AM19="","",SUMPRODUCT(--ISNUMBER(SEARCH(" "&amp;DJ1988:DJ2001&amp;" ",AS19)))),"")</f>
        <v>0</v>
      </c>
      <c r="CK19" s="493" cm="1">
        <f t="array" ref="CK19">IF(8=8,IF(AM19="","",SUMPRODUCT(--ISNUMBER(SEARCH(" "&amp;DJ2002:DJ2016&amp;" ",AS19)))),"")</f>
        <v>0</v>
      </c>
      <c r="CL19" s="493" t="str">
        <f>IF(8=8,IF(AM19="","",IF((CJ19)-(0)&gt;0,"X",IF((CK19)-(0)&gt;0,"?",""))),"")</f>
        <v/>
      </c>
      <c r="CM19" s="493" cm="1">
        <f t="array" ref="CM19">IF(8=8,IF(AM19="","",SUMPRODUCT(--ISNUMBER(SEARCH(" "&amp;DJ2017:DJ2034&amp;" ",AS19)))),"")</f>
        <v>0</v>
      </c>
      <c r="CN19" s="493" cm="1">
        <f t="array" ref="CN19">IF(8=8,IF(AM19="","",SUMPRODUCT(--ISNUMBER(SEARCH(" "&amp;DJ2035:DJ2049&amp;" ",AS19)))),"")</f>
        <v>0</v>
      </c>
      <c r="CO19" s="493" t="str">
        <f>IF(8=8,IF(AM19="","",IF((CM19)-(0)&gt;0,"X",IF((CN19)-(0)&gt;0,"?",""))),"")</f>
        <v/>
      </c>
      <c r="CP19" s="493" cm="1">
        <f t="array" ref="CP19">IF(8=8,IF(AM19="","",SUMPRODUCT(--ISNUMBER(SEARCH(" "&amp;DJ2050:DJ2068&amp;" ",AS19)))),"")</f>
        <v>0</v>
      </c>
      <c r="CQ19" s="493" cm="1">
        <f t="array" ref="CQ19">IF(8=8,IF(AM19="","",SUMPRODUCT(--ISNUMBER(SEARCH(" "&amp;DJ2069:DJ2083&amp;" ",AS19)))),"")</f>
        <v>0</v>
      </c>
      <c r="CR19" s="493" t="str">
        <f>IF(8=8,IF(AM19="","",IF((CP19)-(0)&gt;0,"X",IF((CQ19)-(0)&gt;0,"?",""))),"")</f>
        <v/>
      </c>
      <c r="CS19" s="493" cm="1">
        <f t="array" ref="CS19">IF(8=8,IF(AM19="","",SUMPRODUCT(--ISNUMBER(SEARCH(" "&amp;DJ2084:DJ2104&amp;" ",AS19)))),"")</f>
        <v>0</v>
      </c>
      <c r="CT19" s="493" cm="1">
        <f t="array" ref="CT19">IF(8=8,IF(AM19="","",SUMPRODUCT(--ISNUMBER(SEARCH(" "&amp;DJ2105:DJ2144&amp;" ",SUBSTITUTE(SUBSTITUTE(AS19," "&amp;DJ1378&amp;" "," ")," "&amp;DJ1377&amp;" "," "))))+--ISNUMBER(SEARCH("poiré",AN19))),"")</f>
        <v>0</v>
      </c>
      <c r="CU19" s="493" t="str">
        <f>IF(8=8,IF(AM19="","",IF(OR(CS19&gt;0,ISNUMBER(SEARCH(" vinaigre de vin ",AS19)),ISNUMBER(SEARCH(" vinaigre au vin ",AS19))),"X",IF(CT19&gt;0,"?",""))),"")</f>
        <v/>
      </c>
      <c r="CV19" s="493" cm="1">
        <f t="array" ref="CV19">IF(8=8,IF(AM19="","",SUMPRODUCT(--ISNUMBER(SEARCH(" "&amp;DJ2145:DJ2157&amp;" ",AS19)))),"")</f>
        <v>0</v>
      </c>
      <c r="CW19" s="493" cm="1">
        <f t="array" ref="CW19">IF(8=8,IF(AM19="","",SUMPRODUCT(--ISNUMBER(SEARCH(" "&amp;DJ2158:DJ2163&amp;" ",AS19)))),"")</f>
        <v>0</v>
      </c>
      <c r="CX19" s="493" t="str">
        <f>IF(8=8,IF(AM19="","",IF((CV19)-(0)&gt;0,"X",IF((CW19)-(0)&gt;0,"?",""))),"")</f>
        <v/>
      </c>
      <c r="CY19" s="493" cm="1">
        <f t="array" ref="CY19">IF(8=8,IF(AM19="","",SUMPRODUCT(--ISNUMBER(SEARCH(" "&amp;DJ2164:DJ2263&amp;" ",DB19)))),"")</f>
        <v>0</v>
      </c>
      <c r="CZ19" s="493" cm="1">
        <f t="array" ref="CZ19">IF(8=8,IF(AM19="","",SUMPRODUCT(--ISNUMBER(SEARCH(" "&amp;DJ2264:DJ2363&amp;" ",DB19)))),"")</f>
        <v>0</v>
      </c>
      <c r="DA19" s="493" cm="1">
        <f t="array" ref="DA19">IF(8=8,IF(AM19="","",SUMPRODUCT(--ISNUMBER(SEARCH(" "&amp;DJ2364:DJ2406&amp;" ",DB19)))),"")</f>
        <v>0</v>
      </c>
      <c r="DB19" s="493" t="str">
        <f>IF(8=8,IF(AM19="","",SUBSTITUTE(SUBSTITUTE(SUBSTITUTE(SUBSTITUTE(SUBSTITUTE(SUBSTITUTE(SUBSTITUTE(SUBSTITUTE(SUBSTITUTE(SUBSTITUTE(SUBSTITUTE(SUBSTITUTE(SUBSTITUTE(SUBSTITUTE(SUBSTITUTE(SUBSTITUTE(AS19," "&amp;DJ2412&amp;" "," ")," "&amp;DJ2411&amp;" "," ")," "&amp;DJ2410&amp;" "," ")," "&amp;DJ2417&amp;" "," ")," "&amp;DJ2409&amp;" "," ")," "&amp;DJ2421&amp;" "," ")," "&amp;DJ2408&amp;" "," ")," "&amp;DJ2413&amp;" "," ")," "&amp;DJ2416&amp;" "," ")," "&amp;DJ2407&amp;" "," ")," "&amp;DJ2415&amp;" "," ")," "&amp;DJ2422&amp;" "," ")," "&amp;DJ2419&amp;" "," ")," "&amp;DJ2414&amp;" "," ")," "&amp;DJ2418&amp;" "," ")," "&amp;DJ2420&amp;" "," ")),"")</f>
        <v xml:space="preserve"> un grand classique de la patisserie francaise cette tarte normande fondante </v>
      </c>
      <c r="DC19" s="493" cm="1">
        <f t="array" ref="DC19">IF(8=8,IF(AM19="","",SUMPRODUCT(--ISNUMBER(SEARCH(" "&amp;DJ2423:DJ2427&amp;" ",DB19)))),"")</f>
        <v>0</v>
      </c>
      <c r="DD19" s="493" t="str">
        <f>IF(8=8,IF(AM19="","",IF(SUM(CY19:DA19)&gt;0,"X",IF(DC19&gt;0,"?",""))),"")</f>
        <v/>
      </c>
      <c r="DE19" s="494"/>
      <c r="DF19" s="496" t="s">
        <v>1157</v>
      </c>
      <c r="DG19" s="496" t="s">
        <v>1083</v>
      </c>
      <c r="DH19" s="496" t="s">
        <v>689</v>
      </c>
      <c r="DI19" s="496" t="s">
        <v>1158</v>
      </c>
      <c r="DJ19" s="496" t="s">
        <v>1159</v>
      </c>
      <c r="DK19" s="496" t="s">
        <v>1085</v>
      </c>
      <c r="DL19" s="496" t="s">
        <v>1086</v>
      </c>
      <c r="DM19" s="496" t="s">
        <v>1087</v>
      </c>
      <c r="DN19" s="497" t="s">
        <v>1088</v>
      </c>
      <c r="DP19" s="543">
        <v>1</v>
      </c>
    </row>
    <row r="20" spans="2:120" ht="30" customHeight="1">
      <c r="B20" s="663" t="str">
        <f t="shared" si="0"/>
        <v>Ingrédients :</v>
      </c>
      <c r="C20" s="663" t="str">
        <f t="shared" si="1"/>
        <v>Ingrédients</v>
      </c>
      <c r="D20" s="663" t="str">
        <f>IF(UPPER(TRIM(N11))="X",C20,B20)</f>
        <v>Ingrédients :</v>
      </c>
      <c r="E20" s="663" cm="1">
        <f t="array" ref="E20">IF(H19&lt;&gt;"",E19,IF(E19="","",IFERROR(MATCH(TRUE(),INDEX(INDEX(K:K,E19+1):K203&lt;&gt;"",0),0)+E19,"")))</f>
        <v>19</v>
      </c>
      <c r="F20" s="663" t="str" cm="1">
        <f t="array" ref="F20">IF(E20="","",IF(H19&lt;&gt;"",H19,INDEX(D:D,E20)))</f>
        <v>aux pommes et aux amandes est à la fois simple, économique et délicieusement parfumée. À servir tiède avec une cuillerée de crème fraîche pour un pur moment de douceur.</v>
      </c>
      <c r="G20" s="663" t="str">
        <f t="shared" si="2"/>
        <v xml:space="preserve">aux pommes et aux amandes est à la fois simple, économique et délicieusement </v>
      </c>
      <c r="H20" s="673" t="str">
        <f t="shared" si="3"/>
        <v>parfumée. À servir tiède avec une cuillerée de crème fraîche pour un pur moment de douceur.</v>
      </c>
      <c r="I20" s="680" t="str">
        <f>IF(AND(F20&lt;&gt;"",N10&gt;0,M20&gt;N10),"Mot &gt; limite","")</f>
        <v/>
      </c>
      <c r="J20" s="674">
        <f>IF(K20="","",COUNTIF(K18:K20,"&lt;&gt;"))</f>
        <v>3</v>
      </c>
      <c r="K20" s="675" t="s">
        <v>6465</v>
      </c>
      <c r="L20" s="674">
        <f t="shared" si="4"/>
        <v>13</v>
      </c>
      <c r="M20" s="643">
        <f>IF(OR(F20="",N10="",N10&lt;=0),"",IF(LEN(F20)&lt;=N10,LEN(F20),IFERROR(FIND("♦",SUBSTITUTE(LEFT(F20,N10)," ","♦",LEN(LEFT(F20,N10))-LEN(SUBSTITUTE(LEFT(F20,N10)," ","")))),FIND(" ",F20&amp;" ",N10+1)-1)))</f>
        <v>77</v>
      </c>
      <c r="N20" s="676">
        <f t="shared" si="5"/>
        <v>3</v>
      </c>
      <c r="O20" s="677" t="str">
        <f t="shared" si="6"/>
        <v xml:space="preserve">aux pommes et aux amandes est à la fois simple, économique et délicieusement </v>
      </c>
      <c r="P20" s="676">
        <f t="shared" si="7"/>
        <v>13</v>
      </c>
      <c r="Q20" s="676">
        <f t="shared" si="8"/>
        <v>77</v>
      </c>
      <c r="S20" s="509">
        <v>3</v>
      </c>
      <c r="T20" s="678" t="str">
        <f t="shared" si="10"/>
        <v xml:space="preserve">aux pommes et aux amandes est à la fois simple, économique et délicieusement </v>
      </c>
      <c r="U20" s="679" t="str">
        <f t="shared" si="9"/>
        <v>aux pommes et aux amandes est à la fois simple, économique et délicieusement *</v>
      </c>
      <c r="V20" s="512" t="str">
        <f>IF(9=9,IF(T20="","",IF(W20="X",""&amp;"Céréales contenant du gluten","")&amp;IF(X20="X",IF(COUNTIF(W20:W20,"X")&gt;0,", ","")&amp;"Crustacés","")&amp;IF(Y20="X",IF(COUNTIF(W20:X20,"X")&gt;0,", ","")&amp;"Œufs","")&amp;IF(Z20="X",IF(COUNTIF(W20:Y20,"X")&gt;0,", ","")&amp;"Poissons","")&amp;IF(AA20="X",IF(COUNTIF(W20:Z20,"X")&gt;0,", ","")&amp;"Arachides","")&amp;IF(AB20="X",IF(COUNTIF(W20:AA20,"X")&gt;0,", ","")&amp;"Soja","")&amp;IF(AC20="X",IF(COUNTIF(W20:AB20,"X")&gt;0,", ","")&amp;"Lait","")&amp;IF(AD20="X",IF(COUNTIF(W20:AC20,"X")&gt;0,", ","")&amp;"Fruits à coque","")&amp;IF(AE20="X",IF(COUNTIF(W20:AD20,"X")&gt;0,", ","")&amp;"Céleri","")&amp;IF(AF20="X",IF(COUNTIF(W20:AE20,"X")&gt;0,", ","")&amp;"Moutarde","")&amp;IF(AG20="X",IF(COUNTIF(W20:AF20,"X")&gt;0,", ","")&amp;"Sésame","")&amp;IF(AH20="X",IF(COUNTIF(W20:AG20,"X")&gt;0,", ","")&amp;"Sulfites","")&amp;IF(AI20="X",IF(COUNTIF(W20:AH20,"X")&gt;0,", ","")&amp;"Lupin","")&amp;IF(AJ20="X",IF(COUNTIF(W20:AI20,"X")&gt;0,", ","")&amp;"Mollusques","")),"")</f>
        <v>Fruits à coque</v>
      </c>
      <c r="W20" s="513" t="str">
        <f>IF(9=9,IF(T20="","",AX20),"")</f>
        <v/>
      </c>
      <c r="X20" s="513" t="str">
        <f>IF(9=9,IF(T20="","",BA20),"")</f>
        <v/>
      </c>
      <c r="Y20" s="513" t="str">
        <f>IF(9=9,IF(T20="","",BE20),"")</f>
        <v/>
      </c>
      <c r="Z20" s="513" t="str">
        <f>IF(9=9,IF(T20="","",IF(ISNUMBER(SEARCH(" colin ",AS20)),"X",BR20)),"")</f>
        <v/>
      </c>
      <c r="AA20" s="513" t="str">
        <f>IF(9=9,IF(T20="","",BT20),"")</f>
        <v/>
      </c>
      <c r="AB20" s="513" t="str">
        <f>IF(9=9,IF(T20="","",BX20),"")</f>
        <v/>
      </c>
      <c r="AC20" s="513" t="str">
        <f>IF(9=9,IF(T20="","",CE20),"")</f>
        <v/>
      </c>
      <c r="AD20" s="513" t="str">
        <f>IF(9=9,IF(T20="","",CI20),"")</f>
        <v>X</v>
      </c>
      <c r="AE20" s="513" t="str">
        <f>IF(9=9,IF(T20="","",CL20),"")</f>
        <v/>
      </c>
      <c r="AF20" s="513" t="str">
        <f>IF(9=9,IF(T20="","",CO20),"")</f>
        <v/>
      </c>
      <c r="AG20" s="513" t="str">
        <f>IF(9=9,IF(T20="","",CR20),"")</f>
        <v/>
      </c>
      <c r="AH20" s="513" t="str">
        <f>IF(9=9,IF(T20="","",CU20),"")</f>
        <v/>
      </c>
      <c r="AI20" s="513" t="str">
        <f>IF(9=9,IF(T20="","",CX20),"")</f>
        <v/>
      </c>
      <c r="AJ20" s="513" t="str">
        <f>IF(9=9,IF(T20="","",DD20),"")</f>
        <v/>
      </c>
      <c r="AK20" s="514" t="str">
        <f>IF(9=9,IF(T20="","",IF(W20="?",""&amp;"Céréales contenant du gluten","")&amp;IF(X20="?",IF(COUNTIF(W20:W20,"~?")&gt;0,", ","")&amp;"Crustacés","")&amp;IF(Y20="?",IF(COUNTIF(W20:X20,"~?")&gt;0,", ","")&amp;"Œufs","")&amp;IF(Z20="?",IF(COUNTIF(W20:Y20,"~?")&gt;0,", ","")&amp;"Poissons","")&amp;IF(AA20="?",IF(COUNTIF(W20:Z20,"~?")&gt;0,", ","")&amp;"Arachides","")&amp;IF(AB20="?",IF(COUNTIF(W20:AA20,"~?")&gt;0,", ","")&amp;"Soja","")&amp;IF(AC20="?",IF(COUNTIF(W20:AB20,"~?")&gt;0,", ","")&amp;"Lait","")&amp;IF(AD20="?",IF(COUNTIF(W20:AC20,"~?")&gt;0,", ","")&amp;"Fruits à coque","")&amp;IF(AE20="?",IF(COUNTIF(W20:AD20,"~?")&gt;0,", ","")&amp;"Céleri","")&amp;IF(AF20="?",IF(COUNTIF(W20:AE20,"~?")&gt;0,", ","")&amp;"Moutarde","")&amp;IF(AG20="?",IF(COUNTIF(W20:AF20,"~?")&gt;0,", ","")&amp;"Sésame","")&amp;IF(AH20="?",IF(COUNTIF(W20:AG20,"~?")&gt;0,", ","")&amp;"Sulfites","")&amp;IF(AI20="?",IF(COUNTIF(W20:AH20,"~?")&gt;0,", ","")&amp;"Lupin","")&amp;IF(AJ20="?",IF(COUNTIF(W20:AI20,"~?")&gt;0,", ","")&amp;"Mollusques","")),"")</f>
        <v/>
      </c>
      <c r="AM20" s="493" t="str">
        <f>IF(9=9,IF(T20="","",T20),"")</f>
        <v xml:space="preserve">aux pommes et aux amandes est à la fois simple, économique et délicieusement </v>
      </c>
      <c r="AN20" s="493" t="str">
        <f>IF(9=9,LOWER(CLEAN(SUBSTITUTE(SUBSTITUTE(SUBSTITUTE(SUBSTITUTE(AM20,CHAR(160)," ")," "," "),CHAR(10)," "),CHAR(13)," "))),"")</f>
        <v xml:space="preserve">aux pommes et aux amandes est à la fois simple, économique et délicieusement </v>
      </c>
      <c r="AO20" s="493" t="str">
        <f>IF(9=9,SUBSTITUTE(SUBSTITUTE(SUBSTITUTE(SUBSTITUTE(SUBSTITUTE(SUBSTITUTE(SUBSTITUTE(SUBSTITUTE(SUBSTITUTE(SUBSTITUTE(SUBSTITUTE(SUBSTITUTE(AN20,"œ","oe"),"æ","ae"),"à","a"),"á","a"),"â","a"),"ä","a"),"ã","a"),"ç","c"),"è","e"),"é","e"),"ê","e"),"ë","e"),"")</f>
        <v xml:space="preserve">aux pommes et aux amandes est a la fois simple, economique et delicieusement </v>
      </c>
      <c r="AP20" s="493" t="str">
        <f>IF(9=9,SUBSTITUTE(SUBSTITUTE(SUBSTITUTE(SUBSTITUTE(SUBSTITUTE(SUBSTITUTE(SUBSTITUTE(SUBSTITUTE(SUBSTITUTE(SUBSTITUTE(SUBSTITUTE(SUBSTITUTE(SUBSTITUTE(SUBSTITUTE(SUBSTITUTE(SUBSTITUTE(AO20,"ì","i"),"í","i"),"î","i"),"ï","i"),"ñ","n"),"ò","o"),"ó","o"),"ô","o"),"ö","o"),"õ","o"),"ù","u"),"ú","u"),"û","u"),"ü","u"),"ý","y"),"ÿ","y"),"")</f>
        <v xml:space="preserve">aux pommes et aux amandes est a la fois simple, economique et delicieusement </v>
      </c>
      <c r="AQ20" s="493" t="str">
        <f>IF(9=9,SUBSTITUTE(SUBSTITUTE(SUBSTITUTE(SUBSTITUTE(SUBSTITUTE(SUBSTITUTE(SUBSTITUTE(SUBSTITUTE(SUBSTITUTE(SUBSTITUTE(SUBSTITUTE(SUBSTITUTE(SUBSTITUTE(SUBSTITUTE(AP20,"’"," "),"`"," "),"–"," "),"—"," "),"-"," "),"'"," "),"/"," "),"_"," "),","," "),"."," "),"("," "),")"," "),";"," "),":"," "),"")</f>
        <v xml:space="preserve">aux pommes et aux amandes est a la fois simple  economique et delicieusement </v>
      </c>
      <c r="AR20" s="493" t="str">
        <f>IF(9=9,SUBSTITUTE(SUBSTITUTE(SUBSTITUTE(SUBSTITUTE(SUBSTITUTE(SUBSTITUTE(SUBSTITUTE(SUBSTITUTE(SUBSTITUTE(SUBSTITUTE(SUBSTITUTE(SUBSTITUTE(SUBSTITUTE(SUBSTITUTE(SUBSTITUTE(AQ20,"!"," "),"?"," "),"+"," "),"*"," "),"&amp;"," "),"["," "),"]"," "),"{"," "),"}"," "),"%"," "),"="," "),"\"," "),"|"," "),"&lt;"," "),"&gt;"," "),"")</f>
        <v xml:space="preserve">aux pommes et aux amandes est a la fois simple  economique et delicieusement </v>
      </c>
      <c r="AS20" s="493" t="str">
        <f>IF(9=9," "&amp;TRIM(SUBSTITUTE(SUBSTITUTE(SUBSTITUTE(SUBSTITUTE(SUBSTITUTE(SUBSTITUTE(AR20,CHAR(34)," "),"  "," "),"  "," "),"  "," "),"  "," "),"  "," "))&amp;" ","")</f>
        <v xml:space="preserve"> aux pommes et aux amandes est a la fois simple economique et delicieusement </v>
      </c>
      <c r="AT20" s="493" cm="1">
        <f t="array" ref="AT20">IF(9=9,IF(AM20="","",SUMPRODUCT(--ISNUMBER(SEARCH(" "&amp;DJ13:DJ112&amp;" ",AV20)))),"")</f>
        <v>0</v>
      </c>
      <c r="AU20" s="493" cm="1">
        <f t="array" ref="AU20">IF(9=9,IF(AM20="","",SUMPRODUCT(--ISNUMBER(SEARCH(" "&amp;DJ113:DJ162&amp;" ",AV20)))),"")</f>
        <v>0</v>
      </c>
      <c r="AV20" s="493" t="str">
        <f>IF(AM20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20,"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aux pommes et aux amandes est a la fois simple economique et delicieusement </v>
      </c>
      <c r="AW20" s="493" cm="1">
        <f t="array" ref="AW20">IF(AM20="","",SUMPRODUCT(--ISNUMBER(SEARCH(" "&amp;DJ195:DJ216&amp;" ",AV20)))+--ISNUMBER(SEARCH(" "&amp;DJ2465&amp;" ",AV20)))</f>
        <v>0</v>
      </c>
      <c r="AX20" s="493" t="str" cm="1">
        <f t="array" ref="AX20">IF(9=9,IF(AM20="","",IF(SUM(AT20:AU20)+SUMPRODUCT(--ISNUMBER(SEARCH(" "&amp;DJ2429:DJ2431&amp;" ",AV20)))&gt;0,"X",IF(AW20&gt;0,"?",""))),"")</f>
        <v/>
      </c>
      <c r="AY20" s="493" cm="1">
        <f t="array" ref="AY20">IF(9=9,IF(AM20="","",SUMPRODUCT(--ISNUMBER(SEARCH(" "&amp;DJ217:DJ316&amp;" ",AS20)))),"")</f>
        <v>0</v>
      </c>
      <c r="AZ20" s="493" cm="1">
        <f t="array" ref="AZ20">IF(9=9,IF(AM20="","",SUMPRODUCT(--ISNUMBER(SEARCH(" "&amp;DJ317:DJ351&amp;" ",AS20)))),"")</f>
        <v>0</v>
      </c>
      <c r="BA20" s="493" t="str">
        <f>IF(9=9,IF(AM20="","",IF((SUM(AY20:AZ20))-(0)&gt;0,"X",IF((0)-(0)&gt;0,"?",""))),"")</f>
        <v/>
      </c>
      <c r="BB20" s="493" cm="1">
        <f t="array" ref="BB20">IF(9=9,IF(AM20="","",SUMPRODUCT(--ISNUMBER(SEARCH(" "&amp;DJ352:DJ409&amp;" ",AS20)))),"")</f>
        <v>0</v>
      </c>
      <c r="BC20" s="493" cm="1">
        <f t="array" ref="BC20">IF(9=9,IF(AM20="","",SUMPRODUCT(--ISNUMBER(SEARCH(" "&amp;DJ410:DJ437&amp;" ",BD20)))+SUMPRODUCT(--ISNUMBER(SEARCH(" "&amp;DJ2451:DJ2464&amp;" ",BD20)))),"")</f>
        <v>0</v>
      </c>
      <c r="BD20" s="493" t="str">
        <f>IF(9=9,IF(AM20="","",SUBSTITUTE(SUBSTITUTE(SUBSTITUTE(SUBSTITUTE(SUBSTITUTE(SUBSTITUTE(SUBSTITUTE(SUBSTITUTE(SUBSTITUTE(SUBSTITUTE(SUBSTITUTE(SUBSTITUTE(SUBSTITUTE(SUBSTITUTE(AS20," "&amp;DJ2466&amp;" "," ")," "&amp;DJ444&amp;" "," ")," "&amp;DJ442&amp;" "," ")," "&amp;DJ2449&amp;" "," ")," "&amp;DJ2450&amp;" "," ")," "&amp;DJ439&amp;" "," ")," "&amp;DJ443&amp;" "," ")," "&amp;DJ445&amp;" "," ")," "&amp;DJ440&amp;" "," ")," "&amp;DJ438&amp;" "," ")," "&amp;DJ1378&amp;" "," ")," "&amp;DJ446&amp;" "," ")," "&amp;DJ1377&amp;" "," ")," "&amp;DJ441&amp;" "," ")),"")</f>
        <v xml:space="preserve"> aux pommes et aux amandes est a la fois simple economique et delicieusement </v>
      </c>
      <c r="BE20" s="493" t="str">
        <f>IF(9=9,IF(AM20="","",IF(BB20&gt;0,"X",IF(BC20&gt;0,"?",""))),"")</f>
        <v/>
      </c>
      <c r="BF20" s="493" cm="1">
        <f t="array" ref="BF20">IF(9=9,IF(AM20="","",SUMPRODUCT(--ISNUMBER(SEARCH(" "&amp;DJ447:DJ546&amp;" ",BP20)))),"")</f>
        <v>0</v>
      </c>
      <c r="BG20" s="493" cm="1">
        <f t="array" ref="BG20">IF(9=9,IF(AM20="","",SUMPRODUCT(--ISNUMBER(SEARCH(" "&amp;DJ547:DJ646&amp;" ",BP20)))),"")</f>
        <v>0</v>
      </c>
      <c r="BH20" s="493" cm="1">
        <f t="array" ref="BH20">IF(9=9,IF(AM20="","",SUMPRODUCT(--ISNUMBER(SEARCH(" "&amp;DJ647:DJ746&amp;" ",BP20)))),"")</f>
        <v>0</v>
      </c>
      <c r="BI20" s="493" cm="1">
        <f t="array" ref="BI20">IF(9=9,IF(AM20="","",SUMPRODUCT(--ISNUMBER(SEARCH(" "&amp;DJ747:DJ846&amp;" ",BP20)))),"")</f>
        <v>0</v>
      </c>
      <c r="BJ20" s="493" cm="1">
        <f t="array" ref="BJ20">IF(9=9,IF(AM20="","",SUMPRODUCT(--ISNUMBER(SEARCH(" "&amp;DJ847:DJ946&amp;" ",BP20)))),"")</f>
        <v>0</v>
      </c>
      <c r="BK20" s="493" cm="1">
        <f t="array" ref="BK20">IF(9=9,IF(AM20="","",SUMPRODUCT(--ISNUMBER(SEARCH(" "&amp;DJ947:DJ1046&amp;" ",BP20)))),"")</f>
        <v>0</v>
      </c>
      <c r="BL20" s="493" cm="1">
        <f t="array" ref="BL20">IF(9=9,IF(AM20="","",SUMPRODUCT(--ISNUMBER(SEARCH(" "&amp;DJ1047:DJ1146&amp;" ",BP20)))),"")</f>
        <v>0</v>
      </c>
      <c r="BM20" s="493" cm="1">
        <f t="array" ref="BM20">IF(9=9,IF(AM20="","",SUMPRODUCT(--ISNUMBER(SEARCH(" "&amp;DJ1147:DJ1246&amp;" ",BP20)))),"")</f>
        <v>0</v>
      </c>
      <c r="BN20" s="493" cm="1">
        <f t="array" ref="BN20">IF(9=9,IF(AM20="","",SUMPRODUCT(--ISNUMBER(SEARCH(" "&amp;DJ1247:DJ1346&amp;" ",BP20)))),"")</f>
        <v>0</v>
      </c>
      <c r="BO20" s="493" cm="1">
        <f t="array" ref="BO20">IF(9=9,IF(AM20="","",SUMPRODUCT(--ISNUMBER(SEARCH(" "&amp;DJ1347:DJ1374&amp;" ",BP20)))),"")</f>
        <v>0</v>
      </c>
      <c r="BP20" s="493" t="str">
        <f>IF(9=9,IF(AM20="","",SUBSTITUTE(SUBSTITUTE(SUBSTITUTE(SUBSTITUTE(SUBSTITUTE(SUBSTITUTE(SUBSTITUTE(SUBSTITUTE(SUBSTITUTE(AS20," "&amp;DJ1376&amp;" "," ")," "&amp;DJ1375&amp;" "," ")," "&amp;DJ1381&amp;" "," ")," "&amp;DJ1382&amp;" "," ")," "&amp;DJ1378&amp;" "," ")," "&amp;DJ1380&amp;" "," ")," "&amp;DJ1377&amp;" "," ")," "&amp;DJ1379&amp;" "," ")," "&amp;DJ1383&amp;" "," ")),"")</f>
        <v xml:space="preserve"> aux pommes et aux amandes est a la fois simple economique et delicieusement </v>
      </c>
      <c r="BQ20" s="493" cm="1">
        <f t="array" ref="BQ20">IF(9=9,IF(AM20="","",SUMPRODUCT(--ISNUMBER(SEARCH(" "&amp;DJ1384:DJ1394&amp;" ",BP20)))),"")</f>
        <v>0</v>
      </c>
      <c r="BR20" s="493" t="str" cm="1">
        <f t="array" ref="BR20">IF(9=9,IF(AM20="","",IF(SUM(BF20:BO20)+SUMPRODUCT(--ISNUMBER(SEARCH(" "&amp;DJ2432:DJ2433&amp;" ",BP20)))&gt;0,"X",IF(BQ20&gt;0,"?",""))),"")</f>
        <v/>
      </c>
      <c r="BS20" s="493" cm="1">
        <f t="array" ref="BS20">IF(9=9,IF(AM20="","",SUMPRODUCT(--ISNUMBER(SEARCH(" "&amp;DJ1395:DJ1415&amp;" ",AS20)))),"")</f>
        <v>0</v>
      </c>
      <c r="BT20" s="493" t="str">
        <f>IF(9=9,IF(AM20="","",IF((BS20)-(0)&gt;0,"X",IF((0)-(0)&gt;0,"?",""))),"")</f>
        <v/>
      </c>
      <c r="BU20" s="493" cm="1">
        <f t="array" ref="BU20">IF(9=9,IF(AM20="","",SUMPRODUCT(--ISNUMBER(SEARCH(" "&amp;DJ1416:DJ1453&amp;" ",BV20)))),"")</f>
        <v>0</v>
      </c>
      <c r="BV20" s="493" t="str">
        <f>IF(9=9,IF(AM20="","",SUBSTITUTE(SUBSTITUTE(AS20," "&amp;DJ1454&amp;" "," ")," "&amp;DJ1455&amp;" "," ")),"")</f>
        <v xml:space="preserve"> aux pommes et aux amandes est a la fois simple economique et delicieusement </v>
      </c>
      <c r="BW20" s="493" cm="1">
        <f t="array" ref="BW20">IF(9=9,IF(AM20="","",SUMPRODUCT(--ISNUMBER(SEARCH(" "&amp;DJ1456:DJ1466&amp;" ",BV20)))),"")</f>
        <v>0</v>
      </c>
      <c r="BX20" s="493" t="str">
        <f>IF(9=9,IF(AM20="","",IF(BU20&gt;0,"X",IF(BW20&gt;0,"?",""))),"")</f>
        <v/>
      </c>
      <c r="BY20" s="493" cm="1">
        <f t="array" ref="BY20">IF(9=9,IF(AM20="","",SUMPRODUCT(--ISNUMBER(SEARCH(" "&amp;DJ1467:DJ1566&amp;" ",CB20)))),"")</f>
        <v>0</v>
      </c>
      <c r="BZ20" s="493" cm="1">
        <f t="array" ref="BZ20">IF(9=9,IF(AM20="","",SUMPRODUCT(--ISNUMBER(SEARCH(" "&amp;DJ1567:DJ1666&amp;" ",CB20)))),"")</f>
        <v>0</v>
      </c>
      <c r="CA20" s="493" cm="1">
        <f t="array" ref="CA20">IF(9=9,IF(AM20="","",SUMPRODUCT(--ISNUMBER(SEARCH(" "&amp;DJ1667:DJ1750&amp;" ",CB20)))),"")</f>
        <v>0</v>
      </c>
      <c r="CB20" s="493" t="str">
        <f>IF(9=9,IF(AM20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20,"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aux pommes et aux amandes est a la fois simple economique et delicieusement </v>
      </c>
      <c r="CC20" s="493" cm="1">
        <f t="array" ref="CC20">IF(9=9,IF(AM20="","",SUMPRODUCT(--ISNUMBER(SEARCH(" "&amp;DJ1801:DJ1880&amp;" ",CD20)))+SUMPRODUCT(--ISNUMBER(SEARCH(" "&amp;DJ2451:DJ2464&amp;" ",CD20)))),"")</f>
        <v>0</v>
      </c>
      <c r="CD20" s="493" t="str">
        <f>IF(9=9,IF(AM20="","",SUBSTITUTE(SUBSTITUTE(SUBSTITUTE(SUBSTITUTE(SUBSTITUTE(SUBSTITUTE(SUBSTITUTE(SUBSTITUTE(SUBSTITUTE(SUBSTITUTE(SUBSTITUTE(SUBSTITUTE(SUBSTITUTE(CB20," "&amp;DJ1887&amp;" "," ")," "&amp;DJ1885&amp;" "," ")," "&amp;DJ2449&amp;" "," ")," "&amp;DJ2450&amp;" "," ")," "&amp;DJ1882&amp;" "," ")," "&amp;DJ1886&amp;" "," ")," "&amp;DJ1888&amp;" "," ")," "&amp;DJ1883&amp;" "," ")," "&amp;DJ1881&amp;" "," ")," "&amp;DJ1378&amp;" "," ")," "&amp;DJ1889&amp;" "," ")," "&amp;DJ1377&amp;" "," ")," "&amp;DJ1884&amp;" "," ")),"")</f>
        <v xml:space="preserve"> aux pommes et aux amandes est a la fois simple economique et delicieusement </v>
      </c>
      <c r="CE20" s="493" t="str" cm="1">
        <f t="array" ref="CE20">IF(9=9,IF(AM20="","",IF(SUM(BY20:CA20)+SUMPRODUCT(--ISNUMBER(SEARCH(" "&amp;DJ2434:DJ2435&amp;" ",CB20)))&gt;0,"X",IF(CC20&gt;0,"?",""))),"")</f>
        <v/>
      </c>
      <c r="CF20" s="493" cm="1">
        <f t="array" ref="CF20">IF(9=9,IF(AM20="","",SUMPRODUCT(--ISNUMBER(SEARCH(" "&amp;DJ1890:DJ1947&amp;" ",CG20)))),"")</f>
        <v>1</v>
      </c>
      <c r="CG20" s="493" t="str">
        <f>IF(9=9,IF(AM20="","",SUBSTITUTE(SUBSTITUTE(SUBSTITUTE(SUBSTITUTE(SUBSTITUTE(SUBSTITUTE(SUBSTITUTE(SUBSTITUTE(SUBSTITUTE(SUBSTITUTE(SUBSTITUTE(SUBSTITUTE(SUBSTITUTE(SUBSTITUTE(SUBSTITUTE(SUBSTITUTE(SUBSTITUTE(SUBSTITUTE(SUBSTITUTE(SUBSTITUTE(SUBSTITUTE(SUBSTITUTE(SUBSTITUTE(AS20,"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aux pommes et aux amandes est a la fois simple economique et delicieusement </v>
      </c>
      <c r="CH20" s="493" cm="1">
        <f t="array" ref="CH20">IF(9=9,IF(AM20="","",SUMPRODUCT(--ISNUMBER(SEARCH(" "&amp;DJ1971:DJ1987&amp;" ",CG20)))),"")</f>
        <v>0</v>
      </c>
      <c r="CI20" s="493" t="str">
        <f>IF(9=9,IF(AM20="","",IF(CF20&gt;0,"X",IF(CH20&gt;0,"?",""))),"")</f>
        <v>X</v>
      </c>
      <c r="CJ20" s="493" cm="1">
        <f t="array" ref="CJ20">IF(9=9,IF(AM20="","",SUMPRODUCT(--ISNUMBER(SEARCH(" "&amp;DJ1988:DJ2001&amp;" ",AS20)))),"")</f>
        <v>0</v>
      </c>
      <c r="CK20" s="493" cm="1">
        <f t="array" ref="CK20">IF(9=9,IF(AM20="","",SUMPRODUCT(--ISNUMBER(SEARCH(" "&amp;DJ2002:DJ2016&amp;" ",AS20)))),"")</f>
        <v>0</v>
      </c>
      <c r="CL20" s="493" t="str">
        <f>IF(9=9,IF(AM20="","",IF((CJ20)-(0)&gt;0,"X",IF((CK20)-(0)&gt;0,"?",""))),"")</f>
        <v/>
      </c>
      <c r="CM20" s="493" cm="1">
        <f t="array" ref="CM20">IF(9=9,IF(AM20="","",SUMPRODUCT(--ISNUMBER(SEARCH(" "&amp;DJ2017:DJ2034&amp;" ",AS20)))),"")</f>
        <v>0</v>
      </c>
      <c r="CN20" s="493" cm="1">
        <f t="array" ref="CN20">IF(9=9,IF(AM20="","",SUMPRODUCT(--ISNUMBER(SEARCH(" "&amp;DJ2035:DJ2049&amp;" ",AS20)))),"")</f>
        <v>0</v>
      </c>
      <c r="CO20" s="493" t="str">
        <f>IF(9=9,IF(AM20="","",IF((CM20)-(0)&gt;0,"X",IF((CN20)-(0)&gt;0,"?",""))),"")</f>
        <v/>
      </c>
      <c r="CP20" s="493" cm="1">
        <f t="array" ref="CP20">IF(9=9,IF(AM20="","",SUMPRODUCT(--ISNUMBER(SEARCH(" "&amp;DJ2050:DJ2068&amp;" ",AS20)))),"")</f>
        <v>0</v>
      </c>
      <c r="CQ20" s="493" cm="1">
        <f t="array" ref="CQ20">IF(9=9,IF(AM20="","",SUMPRODUCT(--ISNUMBER(SEARCH(" "&amp;DJ2069:DJ2083&amp;" ",AS20)))),"")</f>
        <v>0</v>
      </c>
      <c r="CR20" s="493" t="str">
        <f>IF(9=9,IF(AM20="","",IF((CP20)-(0)&gt;0,"X",IF((CQ20)-(0)&gt;0,"?",""))),"")</f>
        <v/>
      </c>
      <c r="CS20" s="493" cm="1">
        <f t="array" ref="CS20">IF(9=9,IF(AM20="","",SUMPRODUCT(--ISNUMBER(SEARCH(" "&amp;DJ2084:DJ2104&amp;" ",AS20)))),"")</f>
        <v>0</v>
      </c>
      <c r="CT20" s="493" cm="1">
        <f t="array" ref="CT20">IF(9=9,IF(AM20="","",SUMPRODUCT(--ISNUMBER(SEARCH(" "&amp;DJ2105:DJ2144&amp;" ",SUBSTITUTE(SUBSTITUTE(AS20," "&amp;DJ1378&amp;" "," ")," "&amp;DJ1377&amp;" "," "))))+--ISNUMBER(SEARCH("poiré",AN20))),"")</f>
        <v>0</v>
      </c>
      <c r="CU20" s="493" t="str">
        <f>IF(9=9,IF(AM20="","",IF(OR(CS20&gt;0,ISNUMBER(SEARCH(" vinaigre de vin ",AS20)),ISNUMBER(SEARCH(" vinaigre au vin ",AS20))),"X",IF(CT20&gt;0,"?",""))),"")</f>
        <v/>
      </c>
      <c r="CV20" s="493" cm="1">
        <f t="array" ref="CV20">IF(9=9,IF(AM20="","",SUMPRODUCT(--ISNUMBER(SEARCH(" "&amp;DJ2145:DJ2157&amp;" ",AS20)))),"")</f>
        <v>0</v>
      </c>
      <c r="CW20" s="493" cm="1">
        <f t="array" ref="CW20">IF(9=9,IF(AM20="","",SUMPRODUCT(--ISNUMBER(SEARCH(" "&amp;DJ2158:DJ2163&amp;" ",AS20)))),"")</f>
        <v>0</v>
      </c>
      <c r="CX20" s="493" t="str">
        <f>IF(9=9,IF(AM20="","",IF((CV20)-(0)&gt;0,"X",IF((CW20)-(0)&gt;0,"?",""))),"")</f>
        <v/>
      </c>
      <c r="CY20" s="493" cm="1">
        <f t="array" ref="CY20">IF(9=9,IF(AM20="","",SUMPRODUCT(--ISNUMBER(SEARCH(" "&amp;DJ2164:DJ2263&amp;" ",DB20)))),"")</f>
        <v>0</v>
      </c>
      <c r="CZ20" s="493" cm="1">
        <f t="array" ref="CZ20">IF(9=9,IF(AM20="","",SUMPRODUCT(--ISNUMBER(SEARCH(" "&amp;DJ2264:DJ2363&amp;" ",DB20)))),"")</f>
        <v>0</v>
      </c>
      <c r="DA20" s="493" cm="1">
        <f t="array" ref="DA20">IF(9=9,IF(AM20="","",SUMPRODUCT(--ISNUMBER(SEARCH(" "&amp;DJ2364:DJ2406&amp;" ",DB20)))),"")</f>
        <v>0</v>
      </c>
      <c r="DB20" s="493" t="str">
        <f>IF(9=9,IF(AM20="","",SUBSTITUTE(SUBSTITUTE(SUBSTITUTE(SUBSTITUTE(SUBSTITUTE(SUBSTITUTE(SUBSTITUTE(SUBSTITUTE(SUBSTITUTE(SUBSTITUTE(SUBSTITUTE(SUBSTITUTE(SUBSTITUTE(SUBSTITUTE(SUBSTITUTE(SUBSTITUTE(AS20," "&amp;DJ2412&amp;" "," ")," "&amp;DJ2411&amp;" "," ")," "&amp;DJ2410&amp;" "," ")," "&amp;DJ2417&amp;" "," ")," "&amp;DJ2409&amp;" "," ")," "&amp;DJ2421&amp;" "," ")," "&amp;DJ2408&amp;" "," ")," "&amp;DJ2413&amp;" "," ")," "&amp;DJ2416&amp;" "," ")," "&amp;DJ2407&amp;" "," ")," "&amp;DJ2415&amp;" "," ")," "&amp;DJ2422&amp;" "," ")," "&amp;DJ2419&amp;" "," ")," "&amp;DJ2414&amp;" "," ")," "&amp;DJ2418&amp;" "," ")," "&amp;DJ2420&amp;" "," ")),"")</f>
        <v xml:space="preserve"> aux pommes et aux amandes est a la fois simple economique et delicieusement </v>
      </c>
      <c r="DC20" s="493" cm="1">
        <f t="array" ref="DC20">IF(9=9,IF(AM20="","",SUMPRODUCT(--ISNUMBER(SEARCH(" "&amp;DJ2423:DJ2427&amp;" ",DB20)))),"")</f>
        <v>0</v>
      </c>
      <c r="DD20" s="493" t="str">
        <f>IF(9=9,IF(AM20="","",IF(SUM(CY20:DA20)&gt;0,"X",IF(DC20&gt;0,"?",""))),"")</f>
        <v/>
      </c>
      <c r="DE20" s="494"/>
      <c r="DF20" s="496" t="s">
        <v>1161</v>
      </c>
      <c r="DG20" s="496" t="s">
        <v>1083</v>
      </c>
      <c r="DH20" s="496" t="s">
        <v>689</v>
      </c>
      <c r="DI20" s="496" t="s">
        <v>1162</v>
      </c>
      <c r="DJ20" s="496" t="s">
        <v>1163</v>
      </c>
      <c r="DK20" s="496" t="s">
        <v>1085</v>
      </c>
      <c r="DL20" s="496" t="s">
        <v>1086</v>
      </c>
      <c r="DM20" s="496" t="s">
        <v>1087</v>
      </c>
      <c r="DN20" s="497" t="s">
        <v>1088</v>
      </c>
      <c r="DP20" s="543">
        <v>1</v>
      </c>
    </row>
    <row r="21" spans="2:120" ht="30" customHeight="1">
      <c r="B21" s="663" t="str">
        <f t="shared" si="0"/>
        <v>• 1 pâte sablée</v>
      </c>
      <c r="C21" s="663" t="str">
        <f t="shared" si="1"/>
        <v>• 1 pâte sablée</v>
      </c>
      <c r="D21" s="663" t="str">
        <f>IF(UPPER(TRIM(N11))="X",C21,B21)</f>
        <v>• 1 pâte sablée</v>
      </c>
      <c r="E21" s="663" cm="1">
        <f t="array" ref="E21">IF(H20&lt;&gt;"",E20,IF(E20="","",IFERROR(MATCH(TRUE(),INDEX(INDEX(K:K,E20+1):K203&lt;&gt;"",0),0)+E20,"")))</f>
        <v>19</v>
      </c>
      <c r="F21" s="663" t="str" cm="1">
        <f t="array" ref="F21">IF(E21="","",IF(H20&lt;&gt;"",H20,INDEX(D:D,E21)))</f>
        <v>parfumée. À servir tiède avec une cuillerée de crème fraîche pour un pur moment de douceur.</v>
      </c>
      <c r="G21" s="663" t="str">
        <f t="shared" si="2"/>
        <v xml:space="preserve">parfumée. À servir tiède avec une cuillerée de crème fraîche pour un pur moment </v>
      </c>
      <c r="H21" s="673" t="str">
        <f t="shared" si="3"/>
        <v>de douceur.</v>
      </c>
      <c r="I21" s="680" t="str">
        <f>IF(AND(F21&lt;&gt;"",N10&gt;0,M21&gt;N10),"Mot &gt; limite","")</f>
        <v/>
      </c>
      <c r="J21" s="674">
        <f>IF(K21="","",COUNTIF(K18:K21,"&lt;&gt;"))</f>
        <v>4</v>
      </c>
      <c r="K21" s="675" t="s">
        <v>6466</v>
      </c>
      <c r="L21" s="674">
        <f t="shared" si="4"/>
        <v>15</v>
      </c>
      <c r="M21" s="643">
        <f>IF(OR(F21="",N10="",N10&lt;=0),"",IF(LEN(F21)&lt;=N10,LEN(F21),IFERROR(FIND("♦",SUBSTITUTE(LEFT(F21,N10)," ","♦",LEN(LEFT(F21,N10))-LEN(SUBSTITUTE(LEFT(F21,N10)," ","")))),FIND(" ",F21&amp;" ",N10+1)-1)))</f>
        <v>80</v>
      </c>
      <c r="N21" s="676">
        <f t="shared" si="5"/>
        <v>4</v>
      </c>
      <c r="O21" s="677" t="str">
        <f t="shared" si="6"/>
        <v xml:space="preserve">parfumée. À servir tiède avec une cuillerée de crème fraîche pour un pur moment </v>
      </c>
      <c r="P21" s="676">
        <f t="shared" si="7"/>
        <v>14</v>
      </c>
      <c r="Q21" s="676">
        <f t="shared" si="8"/>
        <v>80</v>
      </c>
      <c r="S21" s="509">
        <v>4</v>
      </c>
      <c r="T21" s="678" t="str">
        <f t="shared" si="10"/>
        <v xml:space="preserve">parfumée. À servir tiède avec une cuillerée de crème fraîche pour un pur moment </v>
      </c>
      <c r="U21" s="679" t="str">
        <f t="shared" si="9"/>
        <v>parfumée. À servir tiède avec une cuillerée de crème fraîche pour un pur moment *</v>
      </c>
      <c r="V21" s="512" t="str">
        <f>IF(10=10,IF(T21="","",IF(W21="X",""&amp;"Céréales contenant du gluten","")&amp;IF(X21="X",IF(COUNTIF(W21:W21,"X")&gt;0,", ","")&amp;"Crustacés","")&amp;IF(Y21="X",IF(COUNTIF(W21:X21,"X")&gt;0,", ","")&amp;"Œufs","")&amp;IF(Z21="X",IF(COUNTIF(W21:Y21,"X")&gt;0,", ","")&amp;"Poissons","")&amp;IF(AA21="X",IF(COUNTIF(W21:Z21,"X")&gt;0,", ","")&amp;"Arachides","")&amp;IF(AB21="X",IF(COUNTIF(W21:AA21,"X")&gt;0,", ","")&amp;"Soja","")&amp;IF(AC21="X",IF(COUNTIF(W21:AB21,"X")&gt;0,", ","")&amp;"Lait","")&amp;IF(AD21="X",IF(COUNTIF(W21:AC21,"X")&gt;0,", ","")&amp;"Fruits à coque","")&amp;IF(AE21="X",IF(COUNTIF(W21:AD21,"X")&gt;0,", ","")&amp;"Céleri","")&amp;IF(AF21="X",IF(COUNTIF(W21:AE21,"X")&gt;0,", ","")&amp;"Moutarde","")&amp;IF(AG21="X",IF(COUNTIF(W21:AF21,"X")&gt;0,", ","")&amp;"Sésame","")&amp;IF(AH21="X",IF(COUNTIF(W21:AG21,"X")&gt;0,", ","")&amp;"Sulfites","")&amp;IF(AI21="X",IF(COUNTIF(W21:AH21,"X")&gt;0,", ","")&amp;"Lupin","")&amp;IF(AJ21="X",IF(COUNTIF(W21:AI21,"X")&gt;0,", ","")&amp;"Mollusques","")),"")</f>
        <v>Lait</v>
      </c>
      <c r="W21" s="513" t="str">
        <f>IF(10=10,IF(T21="","",AX21),"")</f>
        <v/>
      </c>
      <c r="X21" s="513" t="str">
        <f>IF(10=10,IF(T21="","",BA21),"")</f>
        <v/>
      </c>
      <c r="Y21" s="513" t="str">
        <f>IF(10=10,IF(T21="","",BE21),"")</f>
        <v/>
      </c>
      <c r="Z21" s="513" t="str">
        <f>IF(10=10,IF(T21="","",IF(ISNUMBER(SEARCH(" colin ",AS21)),"X",BR21)),"")</f>
        <v/>
      </c>
      <c r="AA21" s="513" t="str">
        <f>IF(10=10,IF(T21="","",BT21),"")</f>
        <v/>
      </c>
      <c r="AB21" s="513" t="str">
        <f>IF(10=10,IF(T21="","",BX21),"")</f>
        <v/>
      </c>
      <c r="AC21" s="513" t="str">
        <f>IF(10=10,IF(T21="","",CE21),"")</f>
        <v>X</v>
      </c>
      <c r="AD21" s="513" t="str">
        <f>IF(10=10,IF(T21="","",CI21),"")</f>
        <v/>
      </c>
      <c r="AE21" s="513" t="str">
        <f>IF(10=10,IF(T21="","",CL21),"")</f>
        <v/>
      </c>
      <c r="AF21" s="513" t="str">
        <f>IF(10=10,IF(T21="","",CO21),"")</f>
        <v/>
      </c>
      <c r="AG21" s="513" t="str">
        <f>IF(10=10,IF(T21="","",CR21),"")</f>
        <v/>
      </c>
      <c r="AH21" s="513" t="str">
        <f>IF(10=10,IF(T21="","",CU21),"")</f>
        <v/>
      </c>
      <c r="AI21" s="513" t="str">
        <f>IF(10=10,IF(T21="","",CX21),"")</f>
        <v/>
      </c>
      <c r="AJ21" s="513" t="str">
        <f>IF(10=10,IF(T21="","",DD21),"")</f>
        <v/>
      </c>
      <c r="AK21" s="514" t="str">
        <f>IF(10=10,IF(T21="","",IF(W21="?",""&amp;"Céréales contenant du gluten","")&amp;IF(X21="?",IF(COUNTIF(W21:W21,"~?")&gt;0,", ","")&amp;"Crustacés","")&amp;IF(Y21="?",IF(COUNTIF(W21:X21,"~?")&gt;0,", ","")&amp;"Œufs","")&amp;IF(Z21="?",IF(COUNTIF(W21:Y21,"~?")&gt;0,", ","")&amp;"Poissons","")&amp;IF(AA21="?",IF(COUNTIF(W21:Z21,"~?")&gt;0,", ","")&amp;"Arachides","")&amp;IF(AB21="?",IF(COUNTIF(W21:AA21,"~?")&gt;0,", ","")&amp;"Soja","")&amp;IF(AC21="?",IF(COUNTIF(W21:AB21,"~?")&gt;0,", ","")&amp;"Lait","")&amp;IF(AD21="?",IF(COUNTIF(W21:AC21,"~?")&gt;0,", ","")&amp;"Fruits à coque","")&amp;IF(AE21="?",IF(COUNTIF(W21:AD21,"~?")&gt;0,", ","")&amp;"Céleri","")&amp;IF(AF21="?",IF(COUNTIF(W21:AE21,"~?")&gt;0,", ","")&amp;"Moutarde","")&amp;IF(AG21="?",IF(COUNTIF(W21:AF21,"~?")&gt;0,", ","")&amp;"Sésame","")&amp;IF(AH21="?",IF(COUNTIF(W21:AG21,"~?")&gt;0,", ","")&amp;"Sulfites","")&amp;IF(AI21="?",IF(COUNTIF(W21:AH21,"~?")&gt;0,", ","")&amp;"Lupin","")&amp;IF(AJ21="?",IF(COUNTIF(W21:AI21,"~?")&gt;0,", ","")&amp;"Mollusques","")),"")</f>
        <v/>
      </c>
      <c r="AM21" s="493" t="str">
        <f>IF(10=10,IF(T21="","",T21),"")</f>
        <v xml:space="preserve">parfumée. À servir tiède avec une cuillerée de crème fraîche pour un pur moment </v>
      </c>
      <c r="AN21" s="493" t="str">
        <f>IF(10=10,LOWER(CLEAN(SUBSTITUTE(SUBSTITUTE(SUBSTITUTE(SUBSTITUTE(AM21,CHAR(160)," ")," "," "),CHAR(10)," "),CHAR(13)," "))),"")</f>
        <v xml:space="preserve">parfumée. à servir tiède avec une cuillerée de crème fraîche pour un pur moment </v>
      </c>
      <c r="AO21" s="493" t="str">
        <f>IF(10=10,SUBSTITUTE(SUBSTITUTE(SUBSTITUTE(SUBSTITUTE(SUBSTITUTE(SUBSTITUTE(SUBSTITUTE(SUBSTITUTE(SUBSTITUTE(SUBSTITUTE(SUBSTITUTE(SUBSTITUTE(AN21,"œ","oe"),"æ","ae"),"à","a"),"á","a"),"â","a"),"ä","a"),"ã","a"),"ç","c"),"è","e"),"é","e"),"ê","e"),"ë","e"),"")</f>
        <v xml:space="preserve">parfumee. a servir tiede avec une cuilleree de creme fraîche pour un pur moment </v>
      </c>
      <c r="AP21" s="493" t="str">
        <f>IF(10=10,SUBSTITUTE(SUBSTITUTE(SUBSTITUTE(SUBSTITUTE(SUBSTITUTE(SUBSTITUTE(SUBSTITUTE(SUBSTITUTE(SUBSTITUTE(SUBSTITUTE(SUBSTITUTE(SUBSTITUTE(SUBSTITUTE(SUBSTITUTE(SUBSTITUTE(SUBSTITUTE(AO21,"ì","i"),"í","i"),"î","i"),"ï","i"),"ñ","n"),"ò","o"),"ó","o"),"ô","o"),"ö","o"),"õ","o"),"ù","u"),"ú","u"),"û","u"),"ü","u"),"ý","y"),"ÿ","y"),"")</f>
        <v xml:space="preserve">parfumee. a servir tiede avec une cuilleree de creme fraiche pour un pur moment </v>
      </c>
      <c r="AQ21" s="493" t="str">
        <f>IF(10=10,SUBSTITUTE(SUBSTITUTE(SUBSTITUTE(SUBSTITUTE(SUBSTITUTE(SUBSTITUTE(SUBSTITUTE(SUBSTITUTE(SUBSTITUTE(SUBSTITUTE(SUBSTITUTE(SUBSTITUTE(SUBSTITUTE(SUBSTITUTE(AP21,"’"," "),"`"," "),"–"," "),"—"," "),"-"," "),"'"," "),"/"," "),"_"," "),","," "),"."," "),"("," "),")"," "),";"," "),":"," "),"")</f>
        <v xml:space="preserve">parfumee  a servir tiede avec une cuilleree de creme fraiche pour un pur moment </v>
      </c>
      <c r="AR21" s="493" t="str">
        <f>IF(10=10,SUBSTITUTE(SUBSTITUTE(SUBSTITUTE(SUBSTITUTE(SUBSTITUTE(SUBSTITUTE(SUBSTITUTE(SUBSTITUTE(SUBSTITUTE(SUBSTITUTE(SUBSTITUTE(SUBSTITUTE(SUBSTITUTE(SUBSTITUTE(SUBSTITUTE(AQ21,"!"," "),"?"," "),"+"," "),"*"," "),"&amp;"," "),"["," "),"]"," "),"{"," "),"}"," "),"%"," "),"="," "),"\"," "),"|"," "),"&lt;"," "),"&gt;"," "),"")</f>
        <v xml:space="preserve">parfumee  a servir tiede avec une cuilleree de creme fraiche pour un pur moment </v>
      </c>
      <c r="AS21" s="493" t="str">
        <f>IF(10=10," "&amp;TRIM(SUBSTITUTE(SUBSTITUTE(SUBSTITUTE(SUBSTITUTE(SUBSTITUTE(SUBSTITUTE(AR21,CHAR(34)," "),"  "," "),"  "," "),"  "," "),"  "," "),"  "," "))&amp;" ","")</f>
        <v xml:space="preserve"> parfumee a servir tiede avec une cuilleree de creme fraiche pour un pur moment </v>
      </c>
      <c r="AT21" s="493" cm="1">
        <f t="array" ref="AT21">IF(10=10,IF(AM21="","",SUMPRODUCT(--ISNUMBER(SEARCH(" "&amp;DJ13:DJ112&amp;" ",AV21)))),"")</f>
        <v>0</v>
      </c>
      <c r="AU21" s="493" cm="1">
        <f t="array" ref="AU21">IF(10=10,IF(AM21="","",SUMPRODUCT(--ISNUMBER(SEARCH(" "&amp;DJ113:DJ162&amp;" ",AV21)))),"")</f>
        <v>0</v>
      </c>
      <c r="AV21" s="493" t="str">
        <f>IF(AM21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21,"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parfumee a servir tiede avec une cuilleree de creme fraiche pour un pur moment </v>
      </c>
      <c r="AW21" s="493" cm="1">
        <f t="array" ref="AW21">IF(AM21="","",SUMPRODUCT(--ISNUMBER(SEARCH(" "&amp;DJ195:DJ216&amp;" ",AV21)))+--ISNUMBER(SEARCH(" "&amp;DJ2465&amp;" ",AV21)))</f>
        <v>0</v>
      </c>
      <c r="AX21" s="493" t="str" cm="1">
        <f t="array" ref="AX21">IF(10=10,IF(AM21="","",IF(SUM(AT21:AU21)+SUMPRODUCT(--ISNUMBER(SEARCH(" "&amp;DJ2429:DJ2431&amp;" ",AV21)))&gt;0,"X",IF(AW21&gt;0,"?",""))),"")</f>
        <v/>
      </c>
      <c r="AY21" s="493" cm="1">
        <f t="array" ref="AY21">IF(10=10,IF(AM21="","",SUMPRODUCT(--ISNUMBER(SEARCH(" "&amp;DJ217:DJ316&amp;" ",AS21)))),"")</f>
        <v>0</v>
      </c>
      <c r="AZ21" s="493" cm="1">
        <f t="array" ref="AZ21">IF(10=10,IF(AM21="","",SUMPRODUCT(--ISNUMBER(SEARCH(" "&amp;DJ317:DJ351&amp;" ",AS21)))),"")</f>
        <v>0</v>
      </c>
      <c r="BA21" s="493" t="str">
        <f>IF(10=10,IF(AM21="","",IF((SUM(AY21:AZ21))-(0)&gt;0,"X",IF((0)-(0)&gt;0,"?",""))),"")</f>
        <v/>
      </c>
      <c r="BB21" s="493" cm="1">
        <f t="array" ref="BB21">IF(10=10,IF(AM21="","",SUMPRODUCT(--ISNUMBER(SEARCH(" "&amp;DJ352:DJ409&amp;" ",AS21)))),"")</f>
        <v>0</v>
      </c>
      <c r="BC21" s="493" cm="1">
        <f t="array" ref="BC21">IF(10=10,IF(AM21="","",SUMPRODUCT(--ISNUMBER(SEARCH(" "&amp;DJ410:DJ437&amp;" ",BD21)))+SUMPRODUCT(--ISNUMBER(SEARCH(" "&amp;DJ2451:DJ2464&amp;" ",BD21)))),"")</f>
        <v>0</v>
      </c>
      <c r="BD21" s="493" t="str">
        <f>IF(10=10,IF(AM21="","",SUBSTITUTE(SUBSTITUTE(SUBSTITUTE(SUBSTITUTE(SUBSTITUTE(SUBSTITUTE(SUBSTITUTE(SUBSTITUTE(SUBSTITUTE(SUBSTITUTE(SUBSTITUTE(SUBSTITUTE(SUBSTITUTE(SUBSTITUTE(AS21," "&amp;DJ2466&amp;" "," ")," "&amp;DJ444&amp;" "," ")," "&amp;DJ442&amp;" "," ")," "&amp;DJ2449&amp;" "," ")," "&amp;DJ2450&amp;" "," ")," "&amp;DJ439&amp;" "," ")," "&amp;DJ443&amp;" "," ")," "&amp;DJ445&amp;" "," ")," "&amp;DJ440&amp;" "," ")," "&amp;DJ438&amp;" "," ")," "&amp;DJ1378&amp;" "," ")," "&amp;DJ446&amp;" "," ")," "&amp;DJ1377&amp;" "," ")," "&amp;DJ441&amp;" "," ")),"")</f>
        <v xml:space="preserve"> parfumee a servir tiede avec une cuilleree de creme fraiche pour un pur moment </v>
      </c>
      <c r="BE21" s="493" t="str">
        <f>IF(10=10,IF(AM21="","",IF(BB21&gt;0,"X",IF(BC21&gt;0,"?",""))),"")</f>
        <v/>
      </c>
      <c r="BF21" s="493" cm="1">
        <f t="array" ref="BF21">IF(10=10,IF(AM21="","",SUMPRODUCT(--ISNUMBER(SEARCH(" "&amp;DJ447:DJ546&amp;" ",BP21)))),"")</f>
        <v>0</v>
      </c>
      <c r="BG21" s="493" cm="1">
        <f t="array" ref="BG21">IF(10=10,IF(AM21="","",SUMPRODUCT(--ISNUMBER(SEARCH(" "&amp;DJ547:DJ646&amp;" ",BP21)))),"")</f>
        <v>0</v>
      </c>
      <c r="BH21" s="493" cm="1">
        <f t="array" ref="BH21">IF(10=10,IF(AM21="","",SUMPRODUCT(--ISNUMBER(SEARCH(" "&amp;DJ647:DJ746&amp;" ",BP21)))),"")</f>
        <v>0</v>
      </c>
      <c r="BI21" s="493" cm="1">
        <f t="array" ref="BI21">IF(10=10,IF(AM21="","",SUMPRODUCT(--ISNUMBER(SEARCH(" "&amp;DJ747:DJ846&amp;" ",BP21)))),"")</f>
        <v>0</v>
      </c>
      <c r="BJ21" s="493" cm="1">
        <f t="array" ref="BJ21">IF(10=10,IF(AM21="","",SUMPRODUCT(--ISNUMBER(SEARCH(" "&amp;DJ847:DJ946&amp;" ",BP21)))),"")</f>
        <v>0</v>
      </c>
      <c r="BK21" s="493" cm="1">
        <f t="array" ref="BK21">IF(10=10,IF(AM21="","",SUMPRODUCT(--ISNUMBER(SEARCH(" "&amp;DJ947:DJ1046&amp;" ",BP21)))),"")</f>
        <v>0</v>
      </c>
      <c r="BL21" s="493" cm="1">
        <f t="array" ref="BL21">IF(10=10,IF(AM21="","",SUMPRODUCT(--ISNUMBER(SEARCH(" "&amp;DJ1047:DJ1146&amp;" ",BP21)))),"")</f>
        <v>0</v>
      </c>
      <c r="BM21" s="493" cm="1">
        <f t="array" ref="BM21">IF(10=10,IF(AM21="","",SUMPRODUCT(--ISNUMBER(SEARCH(" "&amp;DJ1147:DJ1246&amp;" ",BP21)))),"")</f>
        <v>0</v>
      </c>
      <c r="BN21" s="493" cm="1">
        <f t="array" ref="BN21">IF(10=10,IF(AM21="","",SUMPRODUCT(--ISNUMBER(SEARCH(" "&amp;DJ1247:DJ1346&amp;" ",BP21)))),"")</f>
        <v>0</v>
      </c>
      <c r="BO21" s="493" cm="1">
        <f t="array" ref="BO21">IF(10=10,IF(AM21="","",SUMPRODUCT(--ISNUMBER(SEARCH(" "&amp;DJ1347:DJ1374&amp;" ",BP21)))),"")</f>
        <v>0</v>
      </c>
      <c r="BP21" s="493" t="str">
        <f>IF(10=10,IF(AM21="","",SUBSTITUTE(SUBSTITUTE(SUBSTITUTE(SUBSTITUTE(SUBSTITUTE(SUBSTITUTE(SUBSTITUTE(SUBSTITUTE(SUBSTITUTE(AS21," "&amp;DJ1376&amp;" "," ")," "&amp;DJ1375&amp;" "," ")," "&amp;DJ1381&amp;" "," ")," "&amp;DJ1382&amp;" "," ")," "&amp;DJ1378&amp;" "," ")," "&amp;DJ1380&amp;" "," ")," "&amp;DJ1377&amp;" "," ")," "&amp;DJ1379&amp;" "," ")," "&amp;DJ1383&amp;" "," ")),"")</f>
        <v xml:space="preserve"> parfumee a servir tiede avec une cuilleree de creme fraiche pour un pur moment </v>
      </c>
      <c r="BQ21" s="493" cm="1">
        <f t="array" ref="BQ21">IF(10=10,IF(AM21="","",SUMPRODUCT(--ISNUMBER(SEARCH(" "&amp;DJ1384:DJ1394&amp;" ",BP21)))),"")</f>
        <v>0</v>
      </c>
      <c r="BR21" s="493" t="str" cm="1">
        <f t="array" ref="BR21">IF(10=10,IF(AM21="","",IF(SUM(BF21:BO21)+SUMPRODUCT(--ISNUMBER(SEARCH(" "&amp;DJ2432:DJ2433&amp;" ",BP21)))&gt;0,"X",IF(BQ21&gt;0,"?",""))),"")</f>
        <v/>
      </c>
      <c r="BS21" s="493" cm="1">
        <f t="array" ref="BS21">IF(10=10,IF(AM21="","",SUMPRODUCT(--ISNUMBER(SEARCH(" "&amp;DJ1395:DJ1415&amp;" ",AS21)))),"")</f>
        <v>0</v>
      </c>
      <c r="BT21" s="493" t="str">
        <f>IF(10=10,IF(AM21="","",IF((BS21)-(0)&gt;0,"X",IF((0)-(0)&gt;0,"?",""))),"")</f>
        <v/>
      </c>
      <c r="BU21" s="493" cm="1">
        <f t="array" ref="BU21">IF(10=10,IF(AM21="","",SUMPRODUCT(--ISNUMBER(SEARCH(" "&amp;DJ1416:DJ1453&amp;" ",BV21)))),"")</f>
        <v>0</v>
      </c>
      <c r="BV21" s="493" t="str">
        <f>IF(10=10,IF(AM21="","",SUBSTITUTE(SUBSTITUTE(AS21," "&amp;DJ1454&amp;" "," ")," "&amp;DJ1455&amp;" "," ")),"")</f>
        <v xml:space="preserve"> parfumee a servir tiede avec une cuilleree de creme fraiche pour un pur moment </v>
      </c>
      <c r="BW21" s="493" cm="1">
        <f t="array" ref="BW21">IF(10=10,IF(AM21="","",SUMPRODUCT(--ISNUMBER(SEARCH(" "&amp;DJ1456:DJ1466&amp;" ",BV21)))),"")</f>
        <v>0</v>
      </c>
      <c r="BX21" s="493" t="str">
        <f>IF(10=10,IF(AM21="","",IF(BU21&gt;0,"X",IF(BW21&gt;0,"?",""))),"")</f>
        <v/>
      </c>
      <c r="BY21" s="493" cm="1">
        <f t="array" ref="BY21">IF(10=10,IF(AM21="","",SUMPRODUCT(--ISNUMBER(SEARCH(" "&amp;DJ1467:DJ1566&amp;" ",CB21)))),"")</f>
        <v>2</v>
      </c>
      <c r="BZ21" s="493" cm="1">
        <f t="array" ref="BZ21">IF(10=10,IF(AM21="","",SUMPRODUCT(--ISNUMBER(SEARCH(" "&amp;DJ1567:DJ1666&amp;" ",CB21)))),"")</f>
        <v>0</v>
      </c>
      <c r="CA21" s="493" cm="1">
        <f t="array" ref="CA21">IF(10=10,IF(AM21="","",SUMPRODUCT(--ISNUMBER(SEARCH(" "&amp;DJ1667:DJ1750&amp;" ",CB21)))),"")</f>
        <v>0</v>
      </c>
      <c r="CB21" s="493" t="str">
        <f>IF(10=10,IF(AM21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21,"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parfumee a servir tiede avec une cuilleree de creme fraiche pour un pur moment </v>
      </c>
      <c r="CC21" s="493" cm="1">
        <f t="array" ref="CC21">IF(10=10,IF(AM21="","",SUMPRODUCT(--ISNUMBER(SEARCH(" "&amp;DJ1801:DJ1880&amp;" ",CD21)))+SUMPRODUCT(--ISNUMBER(SEARCH(" "&amp;DJ2451:DJ2464&amp;" ",CD21)))),"")</f>
        <v>0</v>
      </c>
      <c r="CD21" s="493" t="str">
        <f>IF(10=10,IF(AM21="","",SUBSTITUTE(SUBSTITUTE(SUBSTITUTE(SUBSTITUTE(SUBSTITUTE(SUBSTITUTE(SUBSTITUTE(SUBSTITUTE(SUBSTITUTE(SUBSTITUTE(SUBSTITUTE(SUBSTITUTE(SUBSTITUTE(CB21," "&amp;DJ1887&amp;" "," ")," "&amp;DJ1885&amp;" "," ")," "&amp;DJ2449&amp;" "," ")," "&amp;DJ2450&amp;" "," ")," "&amp;DJ1882&amp;" "," ")," "&amp;DJ1886&amp;" "," ")," "&amp;DJ1888&amp;" "," ")," "&amp;DJ1883&amp;" "," ")," "&amp;DJ1881&amp;" "," ")," "&amp;DJ1378&amp;" "," ")," "&amp;DJ1889&amp;" "," ")," "&amp;DJ1377&amp;" "," ")," "&amp;DJ1884&amp;" "," ")),"")</f>
        <v xml:space="preserve"> parfumee a servir tiede avec une cuilleree de creme fraiche pour un pur moment </v>
      </c>
      <c r="CE21" s="493" t="str" cm="1">
        <f t="array" ref="CE21">IF(10=10,IF(AM21="","",IF(SUM(BY21:CA21)+SUMPRODUCT(--ISNUMBER(SEARCH(" "&amp;DJ2434:DJ2435&amp;" ",CB21)))&gt;0,"X",IF(CC21&gt;0,"?",""))),"")</f>
        <v>X</v>
      </c>
      <c r="CF21" s="493" cm="1">
        <f t="array" ref="CF21">IF(10=10,IF(AM21="","",SUMPRODUCT(--ISNUMBER(SEARCH(" "&amp;DJ1890:DJ1947&amp;" ",CG21)))),"")</f>
        <v>0</v>
      </c>
      <c r="CG21" s="493" t="str">
        <f>IF(10=10,IF(AM21="","",SUBSTITUTE(SUBSTITUTE(SUBSTITUTE(SUBSTITUTE(SUBSTITUTE(SUBSTITUTE(SUBSTITUTE(SUBSTITUTE(SUBSTITUTE(SUBSTITUTE(SUBSTITUTE(SUBSTITUTE(SUBSTITUTE(SUBSTITUTE(SUBSTITUTE(SUBSTITUTE(SUBSTITUTE(SUBSTITUTE(SUBSTITUTE(SUBSTITUTE(SUBSTITUTE(SUBSTITUTE(SUBSTITUTE(AS21,"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parfumee a servir tiede avec une cuilleree de creme fraiche pour un pur moment </v>
      </c>
      <c r="CH21" s="493" cm="1">
        <f t="array" ref="CH21">IF(10=10,IF(AM21="","",SUMPRODUCT(--ISNUMBER(SEARCH(" "&amp;DJ1971:DJ1987&amp;" ",CG21)))),"")</f>
        <v>0</v>
      </c>
      <c r="CI21" s="493" t="str">
        <f>IF(10=10,IF(AM21="","",IF(CF21&gt;0,"X",IF(CH21&gt;0,"?",""))),"")</f>
        <v/>
      </c>
      <c r="CJ21" s="493" cm="1">
        <f t="array" ref="CJ21">IF(10=10,IF(AM21="","",SUMPRODUCT(--ISNUMBER(SEARCH(" "&amp;DJ1988:DJ2001&amp;" ",AS21)))),"")</f>
        <v>0</v>
      </c>
      <c r="CK21" s="493" cm="1">
        <f t="array" ref="CK21">IF(10=10,IF(AM21="","",SUMPRODUCT(--ISNUMBER(SEARCH(" "&amp;DJ2002:DJ2016&amp;" ",AS21)))),"")</f>
        <v>0</v>
      </c>
      <c r="CL21" s="493" t="str">
        <f>IF(10=10,IF(AM21="","",IF((CJ21)-(0)&gt;0,"X",IF((CK21)-(0)&gt;0,"?",""))),"")</f>
        <v/>
      </c>
      <c r="CM21" s="493" cm="1">
        <f t="array" ref="CM21">IF(10=10,IF(AM21="","",SUMPRODUCT(--ISNUMBER(SEARCH(" "&amp;DJ2017:DJ2034&amp;" ",AS21)))),"")</f>
        <v>0</v>
      </c>
      <c r="CN21" s="493" cm="1">
        <f t="array" ref="CN21">IF(10=10,IF(AM21="","",SUMPRODUCT(--ISNUMBER(SEARCH(" "&amp;DJ2035:DJ2049&amp;" ",AS21)))),"")</f>
        <v>0</v>
      </c>
      <c r="CO21" s="493" t="str">
        <f>IF(10=10,IF(AM21="","",IF((CM21)-(0)&gt;0,"X",IF((CN21)-(0)&gt;0,"?",""))),"")</f>
        <v/>
      </c>
      <c r="CP21" s="493" cm="1">
        <f t="array" ref="CP21">IF(10=10,IF(AM21="","",SUMPRODUCT(--ISNUMBER(SEARCH(" "&amp;DJ2050:DJ2068&amp;" ",AS21)))),"")</f>
        <v>0</v>
      </c>
      <c r="CQ21" s="493" cm="1">
        <f t="array" ref="CQ21">IF(10=10,IF(AM21="","",SUMPRODUCT(--ISNUMBER(SEARCH(" "&amp;DJ2069:DJ2083&amp;" ",AS21)))),"")</f>
        <v>0</v>
      </c>
      <c r="CR21" s="493" t="str">
        <f>IF(10=10,IF(AM21="","",IF((CP21)-(0)&gt;0,"X",IF((CQ21)-(0)&gt;0,"?",""))),"")</f>
        <v/>
      </c>
      <c r="CS21" s="493" cm="1">
        <f t="array" ref="CS21">IF(10=10,IF(AM21="","",SUMPRODUCT(--ISNUMBER(SEARCH(" "&amp;DJ2084:DJ2104&amp;" ",AS21)))),"")</f>
        <v>0</v>
      </c>
      <c r="CT21" s="493" cm="1">
        <f t="array" ref="CT21">IF(10=10,IF(AM21="","",SUMPRODUCT(--ISNUMBER(SEARCH(" "&amp;DJ2105:DJ2144&amp;" ",SUBSTITUTE(SUBSTITUTE(AS21," "&amp;DJ1378&amp;" "," ")," "&amp;DJ1377&amp;" "," "))))+--ISNUMBER(SEARCH("poiré",AN21))),"")</f>
        <v>0</v>
      </c>
      <c r="CU21" s="493" t="str">
        <f>IF(10=10,IF(AM21="","",IF(OR(CS21&gt;0,ISNUMBER(SEARCH(" vinaigre de vin ",AS21)),ISNUMBER(SEARCH(" vinaigre au vin ",AS21))),"X",IF(CT21&gt;0,"?",""))),"")</f>
        <v/>
      </c>
      <c r="CV21" s="493" cm="1">
        <f t="array" ref="CV21">IF(10=10,IF(AM21="","",SUMPRODUCT(--ISNUMBER(SEARCH(" "&amp;DJ2145:DJ2157&amp;" ",AS21)))),"")</f>
        <v>0</v>
      </c>
      <c r="CW21" s="493" cm="1">
        <f t="array" ref="CW21">IF(10=10,IF(AM21="","",SUMPRODUCT(--ISNUMBER(SEARCH(" "&amp;DJ2158:DJ2163&amp;" ",AS21)))),"")</f>
        <v>0</v>
      </c>
      <c r="CX21" s="493" t="str">
        <f>IF(10=10,IF(AM21="","",IF((CV21)-(0)&gt;0,"X",IF((CW21)-(0)&gt;0,"?",""))),"")</f>
        <v/>
      </c>
      <c r="CY21" s="493" cm="1">
        <f t="array" ref="CY21">IF(10=10,IF(AM21="","",SUMPRODUCT(--ISNUMBER(SEARCH(" "&amp;DJ2164:DJ2263&amp;" ",DB21)))),"")</f>
        <v>0</v>
      </c>
      <c r="CZ21" s="493" cm="1">
        <f t="array" ref="CZ21">IF(10=10,IF(AM21="","",SUMPRODUCT(--ISNUMBER(SEARCH(" "&amp;DJ2264:DJ2363&amp;" ",DB21)))),"")</f>
        <v>0</v>
      </c>
      <c r="DA21" s="493" cm="1">
        <f t="array" ref="DA21">IF(10=10,IF(AM21="","",SUMPRODUCT(--ISNUMBER(SEARCH(" "&amp;DJ2364:DJ2406&amp;" ",DB21)))),"")</f>
        <v>0</v>
      </c>
      <c r="DB21" s="493" t="str">
        <f>IF(10=10,IF(AM21="","",SUBSTITUTE(SUBSTITUTE(SUBSTITUTE(SUBSTITUTE(SUBSTITUTE(SUBSTITUTE(SUBSTITUTE(SUBSTITUTE(SUBSTITUTE(SUBSTITUTE(SUBSTITUTE(SUBSTITUTE(SUBSTITUTE(SUBSTITUTE(SUBSTITUTE(SUBSTITUTE(AS21," "&amp;DJ2412&amp;" "," ")," "&amp;DJ2411&amp;" "," ")," "&amp;DJ2410&amp;" "," ")," "&amp;DJ2417&amp;" "," ")," "&amp;DJ2409&amp;" "," ")," "&amp;DJ2421&amp;" "," ")," "&amp;DJ2408&amp;" "," ")," "&amp;DJ2413&amp;" "," ")," "&amp;DJ2416&amp;" "," ")," "&amp;DJ2407&amp;" "," ")," "&amp;DJ2415&amp;" "," ")," "&amp;DJ2422&amp;" "," ")," "&amp;DJ2419&amp;" "," ")," "&amp;DJ2414&amp;" "," ")," "&amp;DJ2418&amp;" "," ")," "&amp;DJ2420&amp;" "," ")),"")</f>
        <v xml:space="preserve"> parfumee a servir tiede avec une cuilleree de creme fraiche pour un pur moment </v>
      </c>
      <c r="DC21" s="493" cm="1">
        <f t="array" ref="DC21">IF(10=10,IF(AM21="","",SUMPRODUCT(--ISNUMBER(SEARCH(" "&amp;DJ2423:DJ2427&amp;" ",DB21)))),"")</f>
        <v>0</v>
      </c>
      <c r="DD21" s="493" t="str">
        <f>IF(10=10,IF(AM21="","",IF(SUM(CY21:DA21)&gt;0,"X",IF(DC21&gt;0,"?",""))),"")</f>
        <v/>
      </c>
      <c r="DE21" s="494"/>
      <c r="DF21" s="496" t="s">
        <v>1165</v>
      </c>
      <c r="DG21" s="496" t="s">
        <v>1083</v>
      </c>
      <c r="DH21" s="496" t="s">
        <v>689</v>
      </c>
      <c r="DI21" s="496" t="s">
        <v>1166</v>
      </c>
      <c r="DJ21" s="496" t="s">
        <v>1167</v>
      </c>
      <c r="DK21" s="496" t="s">
        <v>1085</v>
      </c>
      <c r="DL21" s="496" t="s">
        <v>1086</v>
      </c>
      <c r="DM21" s="496" t="s">
        <v>1087</v>
      </c>
      <c r="DN21" s="497" t="s">
        <v>1088</v>
      </c>
      <c r="DP21" s="543">
        <v>1</v>
      </c>
    </row>
    <row r="22" spans="2:120" ht="30" customHeight="1">
      <c r="B22" s="663" t="str">
        <f t="shared" si="0"/>
        <v>• 6 pommes</v>
      </c>
      <c r="C22" s="663" t="str">
        <f t="shared" si="1"/>
        <v>• 6 pommes</v>
      </c>
      <c r="D22" s="663" t="str">
        <f>IF(UPPER(TRIM(N11))="X",C22,B22)</f>
        <v>• 6 pommes</v>
      </c>
      <c r="E22" s="663" cm="1">
        <f t="array" ref="E22">IF(H21&lt;&gt;"",E21,IF(E21="","",IFERROR(MATCH(TRUE(),INDEX(INDEX(K:K,E21+1):K203&lt;&gt;"",0),0)+E21,"")))</f>
        <v>19</v>
      </c>
      <c r="F22" s="663" t="str" cm="1">
        <f t="array" ref="F22">IF(E22="","",IF(H21&lt;&gt;"",H21,INDEX(D:D,E22)))</f>
        <v>de douceur.</v>
      </c>
      <c r="G22" s="663" t="str">
        <f t="shared" si="2"/>
        <v>de douceur.</v>
      </c>
      <c r="H22" s="673" t="str">
        <f t="shared" si="3"/>
        <v/>
      </c>
      <c r="I22" s="680" t="str">
        <f>IF(AND(F22&lt;&gt;"",N10&gt;0,M22&gt;N10),"Mot &gt; limite","")</f>
        <v/>
      </c>
      <c r="J22" s="674">
        <f>IF(K22="","",COUNTIF(K18:K22,"&lt;&gt;"))</f>
        <v>5</v>
      </c>
      <c r="K22" s="675" t="s">
        <v>6467</v>
      </c>
      <c r="L22" s="674">
        <f t="shared" si="4"/>
        <v>10</v>
      </c>
      <c r="M22" s="643">
        <f>IF(OR(F22="",N10="",N10&lt;=0),"",IF(LEN(F22)&lt;=N10,LEN(F22),IFERROR(FIND("♦",SUBSTITUTE(LEFT(F22,N10)," ","♦",LEN(LEFT(F22,N10))-LEN(SUBSTITUTE(LEFT(F22,N10)," ","")))),FIND(" ",F22&amp;" ",N10+1)-1)))</f>
        <v>11</v>
      </c>
      <c r="N22" s="676">
        <f t="shared" si="5"/>
        <v>5</v>
      </c>
      <c r="O22" s="677" t="str">
        <f t="shared" si="6"/>
        <v>de douceur.</v>
      </c>
      <c r="P22" s="676">
        <f t="shared" si="7"/>
        <v>2</v>
      </c>
      <c r="Q22" s="676">
        <f t="shared" si="8"/>
        <v>11</v>
      </c>
      <c r="S22" s="509">
        <v>5</v>
      </c>
      <c r="T22" s="678" t="str">
        <f t="shared" si="10"/>
        <v>de douceur.</v>
      </c>
      <c r="U22" s="679" t="str">
        <f t="shared" si="9"/>
        <v>de douceur.</v>
      </c>
      <c r="V22" s="512" t="str">
        <f>IF(11=11,IF(T22="","",IF(W22="X",""&amp;"Céréales contenant du gluten","")&amp;IF(X22="X",IF(COUNTIF(W22:W22,"X")&gt;0,", ","")&amp;"Crustacés","")&amp;IF(Y22="X",IF(COUNTIF(W22:X22,"X")&gt;0,", ","")&amp;"Œufs","")&amp;IF(Z22="X",IF(COUNTIF(W22:Y22,"X")&gt;0,", ","")&amp;"Poissons","")&amp;IF(AA22="X",IF(COUNTIF(W22:Z22,"X")&gt;0,", ","")&amp;"Arachides","")&amp;IF(AB22="X",IF(COUNTIF(W22:AA22,"X")&gt;0,", ","")&amp;"Soja","")&amp;IF(AC22="X",IF(COUNTIF(W22:AB22,"X")&gt;0,", ","")&amp;"Lait","")&amp;IF(AD22="X",IF(COUNTIF(W22:AC22,"X")&gt;0,", ","")&amp;"Fruits à coque","")&amp;IF(AE22="X",IF(COUNTIF(W22:AD22,"X")&gt;0,", ","")&amp;"Céleri","")&amp;IF(AF22="X",IF(COUNTIF(W22:AE22,"X")&gt;0,", ","")&amp;"Moutarde","")&amp;IF(AG22="X",IF(COUNTIF(W22:AF22,"X")&gt;0,", ","")&amp;"Sésame","")&amp;IF(AH22="X",IF(COUNTIF(W22:AG22,"X")&gt;0,", ","")&amp;"Sulfites","")&amp;IF(AI22="X",IF(COUNTIF(W22:AH22,"X")&gt;0,", ","")&amp;"Lupin","")&amp;IF(AJ22="X",IF(COUNTIF(W22:AI22,"X")&gt;0,", ","")&amp;"Mollusques","")),"")</f>
        <v/>
      </c>
      <c r="W22" s="513" t="str">
        <f>IF(11=11,IF(T22="","",AX22),"")</f>
        <v/>
      </c>
      <c r="X22" s="513" t="str">
        <f>IF(11=11,IF(T22="","",BA22),"")</f>
        <v/>
      </c>
      <c r="Y22" s="513" t="str">
        <f>IF(11=11,IF(T22="","",BE22),"")</f>
        <v/>
      </c>
      <c r="Z22" s="513" t="str">
        <f>IF(11=11,IF(T22="","",IF(ISNUMBER(SEARCH(" colin ",AS22)),"X",BR22)),"")</f>
        <v/>
      </c>
      <c r="AA22" s="513" t="str">
        <f>IF(11=11,IF(T22="","",BT22),"")</f>
        <v/>
      </c>
      <c r="AB22" s="513" t="str">
        <f>IF(11=11,IF(T22="","",BX22),"")</f>
        <v/>
      </c>
      <c r="AC22" s="513" t="str">
        <f>IF(11=11,IF(T22="","",CE22),"")</f>
        <v/>
      </c>
      <c r="AD22" s="513" t="str">
        <f>IF(11=11,IF(T22="","",CI22),"")</f>
        <v/>
      </c>
      <c r="AE22" s="513" t="str">
        <f>IF(11=11,IF(T22="","",CL22),"")</f>
        <v/>
      </c>
      <c r="AF22" s="513" t="str">
        <f>IF(11=11,IF(T22="","",CO22),"")</f>
        <v/>
      </c>
      <c r="AG22" s="513" t="str">
        <f>IF(11=11,IF(T22="","",CR22),"")</f>
        <v/>
      </c>
      <c r="AH22" s="513" t="str">
        <f>IF(11=11,IF(T22="","",CU22),"")</f>
        <v/>
      </c>
      <c r="AI22" s="513" t="str">
        <f>IF(11=11,IF(T22="","",CX22),"")</f>
        <v/>
      </c>
      <c r="AJ22" s="513" t="str">
        <f>IF(11=11,IF(T22="","",DD22),"")</f>
        <v/>
      </c>
      <c r="AK22" s="514" t="str">
        <f>IF(11=11,IF(T22="","",IF(W22="?",""&amp;"Céréales contenant du gluten","")&amp;IF(X22="?",IF(COUNTIF(W22:W22,"~?")&gt;0,", ","")&amp;"Crustacés","")&amp;IF(Y22="?",IF(COUNTIF(W22:X22,"~?")&gt;0,", ","")&amp;"Œufs","")&amp;IF(Z22="?",IF(COUNTIF(W22:Y22,"~?")&gt;0,", ","")&amp;"Poissons","")&amp;IF(AA22="?",IF(COUNTIF(W22:Z22,"~?")&gt;0,", ","")&amp;"Arachides","")&amp;IF(AB22="?",IF(COUNTIF(W22:AA22,"~?")&gt;0,", ","")&amp;"Soja","")&amp;IF(AC22="?",IF(COUNTIF(W22:AB22,"~?")&gt;0,", ","")&amp;"Lait","")&amp;IF(AD22="?",IF(COUNTIF(W22:AC22,"~?")&gt;0,", ","")&amp;"Fruits à coque","")&amp;IF(AE22="?",IF(COUNTIF(W22:AD22,"~?")&gt;0,", ","")&amp;"Céleri","")&amp;IF(AF22="?",IF(COUNTIF(W22:AE22,"~?")&gt;0,", ","")&amp;"Moutarde","")&amp;IF(AG22="?",IF(COUNTIF(W22:AF22,"~?")&gt;0,", ","")&amp;"Sésame","")&amp;IF(AH22="?",IF(COUNTIF(W22:AG22,"~?")&gt;0,", ","")&amp;"Sulfites","")&amp;IF(AI22="?",IF(COUNTIF(W22:AH22,"~?")&gt;0,", ","")&amp;"Lupin","")&amp;IF(AJ22="?",IF(COUNTIF(W22:AI22,"~?")&gt;0,", ","")&amp;"Mollusques","")),"")</f>
        <v/>
      </c>
      <c r="AM22" s="493" t="str">
        <f>IF(11=11,IF(T22="","",T22),"")</f>
        <v>de douceur.</v>
      </c>
      <c r="AN22" s="493" t="str">
        <f>IF(11=11,LOWER(CLEAN(SUBSTITUTE(SUBSTITUTE(SUBSTITUTE(SUBSTITUTE(AM22,CHAR(160)," ")," "," "),CHAR(10)," "),CHAR(13)," "))),"")</f>
        <v>de douceur.</v>
      </c>
      <c r="AO22" s="493" t="str">
        <f>IF(11=11,SUBSTITUTE(SUBSTITUTE(SUBSTITUTE(SUBSTITUTE(SUBSTITUTE(SUBSTITUTE(SUBSTITUTE(SUBSTITUTE(SUBSTITUTE(SUBSTITUTE(SUBSTITUTE(SUBSTITUTE(AN22,"œ","oe"),"æ","ae"),"à","a"),"á","a"),"â","a"),"ä","a"),"ã","a"),"ç","c"),"è","e"),"é","e"),"ê","e"),"ë","e"),"")</f>
        <v>de douceur.</v>
      </c>
      <c r="AP22" s="493" t="str">
        <f>IF(11=11,SUBSTITUTE(SUBSTITUTE(SUBSTITUTE(SUBSTITUTE(SUBSTITUTE(SUBSTITUTE(SUBSTITUTE(SUBSTITUTE(SUBSTITUTE(SUBSTITUTE(SUBSTITUTE(SUBSTITUTE(SUBSTITUTE(SUBSTITUTE(SUBSTITUTE(SUBSTITUTE(AO22,"ì","i"),"í","i"),"î","i"),"ï","i"),"ñ","n"),"ò","o"),"ó","o"),"ô","o"),"ö","o"),"õ","o"),"ù","u"),"ú","u"),"û","u"),"ü","u"),"ý","y"),"ÿ","y"),"")</f>
        <v>de douceur.</v>
      </c>
      <c r="AQ22" s="493" t="str">
        <f>IF(11=11,SUBSTITUTE(SUBSTITUTE(SUBSTITUTE(SUBSTITUTE(SUBSTITUTE(SUBSTITUTE(SUBSTITUTE(SUBSTITUTE(SUBSTITUTE(SUBSTITUTE(SUBSTITUTE(SUBSTITUTE(SUBSTITUTE(SUBSTITUTE(AP22,"’"," "),"`"," "),"–"," "),"—"," "),"-"," "),"'"," "),"/"," "),"_"," "),","," "),"."," "),"("," "),")"," "),";"," "),":"," "),"")</f>
        <v xml:space="preserve">de douceur </v>
      </c>
      <c r="AR22" s="493" t="str">
        <f>IF(11=11,SUBSTITUTE(SUBSTITUTE(SUBSTITUTE(SUBSTITUTE(SUBSTITUTE(SUBSTITUTE(SUBSTITUTE(SUBSTITUTE(SUBSTITUTE(SUBSTITUTE(SUBSTITUTE(SUBSTITUTE(SUBSTITUTE(SUBSTITUTE(SUBSTITUTE(AQ22,"!"," "),"?"," "),"+"," "),"*"," "),"&amp;"," "),"["," "),"]"," "),"{"," "),"}"," "),"%"," "),"="," "),"\"," "),"|"," "),"&lt;"," "),"&gt;"," "),"")</f>
        <v xml:space="preserve">de douceur </v>
      </c>
      <c r="AS22" s="493" t="str">
        <f>IF(11=11," "&amp;TRIM(SUBSTITUTE(SUBSTITUTE(SUBSTITUTE(SUBSTITUTE(SUBSTITUTE(SUBSTITUTE(AR22,CHAR(34)," "),"  "," "),"  "," "),"  "," "),"  "," "),"  "," "))&amp;" ","")</f>
        <v xml:space="preserve"> de douceur </v>
      </c>
      <c r="AT22" s="493" cm="1">
        <f t="array" ref="AT22">IF(11=11,IF(AM22="","",SUMPRODUCT(--ISNUMBER(SEARCH(" "&amp;DJ13:DJ112&amp;" ",AV22)))),"")</f>
        <v>0</v>
      </c>
      <c r="AU22" s="493" cm="1">
        <f t="array" ref="AU22">IF(11=11,IF(AM22="","",SUMPRODUCT(--ISNUMBER(SEARCH(" "&amp;DJ113:DJ162&amp;" ",AV22)))),"")</f>
        <v>0</v>
      </c>
      <c r="AV22" s="493" t="str">
        <f>IF(AM22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22,"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de douceur </v>
      </c>
      <c r="AW22" s="493" cm="1">
        <f t="array" ref="AW22">IF(AM22="","",SUMPRODUCT(--ISNUMBER(SEARCH(" "&amp;DJ195:DJ216&amp;" ",AV22)))+--ISNUMBER(SEARCH(" "&amp;DJ2465&amp;" ",AV22)))</f>
        <v>0</v>
      </c>
      <c r="AX22" s="493" t="str" cm="1">
        <f t="array" ref="AX22">IF(11=11,IF(AM22="","",IF(SUM(AT22:AU22)+SUMPRODUCT(--ISNUMBER(SEARCH(" "&amp;DJ2429:DJ2431&amp;" ",AV22)))&gt;0,"X",IF(AW22&gt;0,"?",""))),"")</f>
        <v/>
      </c>
      <c r="AY22" s="493" cm="1">
        <f t="array" ref="AY22">IF(11=11,IF(AM22="","",SUMPRODUCT(--ISNUMBER(SEARCH(" "&amp;DJ217:DJ316&amp;" ",AS22)))),"")</f>
        <v>0</v>
      </c>
      <c r="AZ22" s="493" cm="1">
        <f t="array" ref="AZ22">IF(11=11,IF(AM22="","",SUMPRODUCT(--ISNUMBER(SEARCH(" "&amp;DJ317:DJ351&amp;" ",AS22)))),"")</f>
        <v>0</v>
      </c>
      <c r="BA22" s="493" t="str">
        <f>IF(11=11,IF(AM22="","",IF((SUM(AY22:AZ22))-(0)&gt;0,"X",IF((0)-(0)&gt;0,"?",""))),"")</f>
        <v/>
      </c>
      <c r="BB22" s="493" cm="1">
        <f t="array" ref="BB22">IF(11=11,IF(AM22="","",SUMPRODUCT(--ISNUMBER(SEARCH(" "&amp;DJ352:DJ409&amp;" ",AS22)))),"")</f>
        <v>0</v>
      </c>
      <c r="BC22" s="493" cm="1">
        <f t="array" ref="BC22">IF(11=11,IF(AM22="","",SUMPRODUCT(--ISNUMBER(SEARCH(" "&amp;DJ410:DJ437&amp;" ",BD22)))+SUMPRODUCT(--ISNUMBER(SEARCH(" "&amp;DJ2451:DJ2464&amp;" ",BD22)))),"")</f>
        <v>0</v>
      </c>
      <c r="BD22" s="493" t="str">
        <f>IF(11=11,IF(AM22="","",SUBSTITUTE(SUBSTITUTE(SUBSTITUTE(SUBSTITUTE(SUBSTITUTE(SUBSTITUTE(SUBSTITUTE(SUBSTITUTE(SUBSTITUTE(SUBSTITUTE(SUBSTITUTE(SUBSTITUTE(SUBSTITUTE(SUBSTITUTE(AS22," "&amp;DJ2466&amp;" "," ")," "&amp;DJ444&amp;" "," ")," "&amp;DJ442&amp;" "," ")," "&amp;DJ2449&amp;" "," ")," "&amp;DJ2450&amp;" "," ")," "&amp;DJ439&amp;" "," ")," "&amp;DJ443&amp;" "," ")," "&amp;DJ445&amp;" "," ")," "&amp;DJ440&amp;" "," ")," "&amp;DJ438&amp;" "," ")," "&amp;DJ1378&amp;" "," ")," "&amp;DJ446&amp;" "," ")," "&amp;DJ1377&amp;" "," ")," "&amp;DJ441&amp;" "," ")),"")</f>
        <v xml:space="preserve"> de douceur </v>
      </c>
      <c r="BE22" s="493" t="str">
        <f>IF(11=11,IF(AM22="","",IF(BB22&gt;0,"X",IF(BC22&gt;0,"?",""))),"")</f>
        <v/>
      </c>
      <c r="BF22" s="493" cm="1">
        <f t="array" ref="BF22">IF(11=11,IF(AM22="","",SUMPRODUCT(--ISNUMBER(SEARCH(" "&amp;DJ447:DJ546&amp;" ",BP22)))),"")</f>
        <v>0</v>
      </c>
      <c r="BG22" s="493" cm="1">
        <f t="array" ref="BG22">IF(11=11,IF(AM22="","",SUMPRODUCT(--ISNUMBER(SEARCH(" "&amp;DJ547:DJ646&amp;" ",BP22)))),"")</f>
        <v>0</v>
      </c>
      <c r="BH22" s="493" cm="1">
        <f t="array" ref="BH22">IF(11=11,IF(AM22="","",SUMPRODUCT(--ISNUMBER(SEARCH(" "&amp;DJ647:DJ746&amp;" ",BP22)))),"")</f>
        <v>0</v>
      </c>
      <c r="BI22" s="493" cm="1">
        <f t="array" ref="BI22">IF(11=11,IF(AM22="","",SUMPRODUCT(--ISNUMBER(SEARCH(" "&amp;DJ747:DJ846&amp;" ",BP22)))),"")</f>
        <v>0</v>
      </c>
      <c r="BJ22" s="493" cm="1">
        <f t="array" ref="BJ22">IF(11=11,IF(AM22="","",SUMPRODUCT(--ISNUMBER(SEARCH(" "&amp;DJ847:DJ946&amp;" ",BP22)))),"")</f>
        <v>0</v>
      </c>
      <c r="BK22" s="493" cm="1">
        <f t="array" ref="BK22">IF(11=11,IF(AM22="","",SUMPRODUCT(--ISNUMBER(SEARCH(" "&amp;DJ947:DJ1046&amp;" ",BP22)))),"")</f>
        <v>0</v>
      </c>
      <c r="BL22" s="493" cm="1">
        <f t="array" ref="BL22">IF(11=11,IF(AM22="","",SUMPRODUCT(--ISNUMBER(SEARCH(" "&amp;DJ1047:DJ1146&amp;" ",BP22)))),"")</f>
        <v>0</v>
      </c>
      <c r="BM22" s="493" cm="1">
        <f t="array" ref="BM22">IF(11=11,IF(AM22="","",SUMPRODUCT(--ISNUMBER(SEARCH(" "&amp;DJ1147:DJ1246&amp;" ",BP22)))),"")</f>
        <v>0</v>
      </c>
      <c r="BN22" s="493" cm="1">
        <f t="array" ref="BN22">IF(11=11,IF(AM22="","",SUMPRODUCT(--ISNUMBER(SEARCH(" "&amp;DJ1247:DJ1346&amp;" ",BP22)))),"")</f>
        <v>0</v>
      </c>
      <c r="BO22" s="493" cm="1">
        <f t="array" ref="BO22">IF(11=11,IF(AM22="","",SUMPRODUCT(--ISNUMBER(SEARCH(" "&amp;DJ1347:DJ1374&amp;" ",BP22)))),"")</f>
        <v>0</v>
      </c>
      <c r="BP22" s="493" t="str">
        <f>IF(11=11,IF(AM22="","",SUBSTITUTE(SUBSTITUTE(SUBSTITUTE(SUBSTITUTE(SUBSTITUTE(SUBSTITUTE(SUBSTITUTE(SUBSTITUTE(SUBSTITUTE(AS22," "&amp;DJ1376&amp;" "," ")," "&amp;DJ1375&amp;" "," ")," "&amp;DJ1381&amp;" "," ")," "&amp;DJ1382&amp;" "," ")," "&amp;DJ1378&amp;" "," ")," "&amp;DJ1380&amp;" "," ")," "&amp;DJ1377&amp;" "," ")," "&amp;DJ1379&amp;" "," ")," "&amp;DJ1383&amp;" "," ")),"")</f>
        <v xml:space="preserve"> de douceur </v>
      </c>
      <c r="BQ22" s="493" cm="1">
        <f t="array" ref="BQ22">IF(11=11,IF(AM22="","",SUMPRODUCT(--ISNUMBER(SEARCH(" "&amp;DJ1384:DJ1394&amp;" ",BP22)))),"")</f>
        <v>0</v>
      </c>
      <c r="BR22" s="493" t="str" cm="1">
        <f t="array" ref="BR22">IF(11=11,IF(AM22="","",IF(SUM(BF22:BO22)+SUMPRODUCT(--ISNUMBER(SEARCH(" "&amp;DJ2432:DJ2433&amp;" ",BP22)))&gt;0,"X",IF(BQ22&gt;0,"?",""))),"")</f>
        <v/>
      </c>
      <c r="BS22" s="493" cm="1">
        <f t="array" ref="BS22">IF(11=11,IF(AM22="","",SUMPRODUCT(--ISNUMBER(SEARCH(" "&amp;DJ1395:DJ1415&amp;" ",AS22)))),"")</f>
        <v>0</v>
      </c>
      <c r="BT22" s="493" t="str">
        <f>IF(11=11,IF(AM22="","",IF((BS22)-(0)&gt;0,"X",IF((0)-(0)&gt;0,"?",""))),"")</f>
        <v/>
      </c>
      <c r="BU22" s="493" cm="1">
        <f t="array" ref="BU22">IF(11=11,IF(AM22="","",SUMPRODUCT(--ISNUMBER(SEARCH(" "&amp;DJ1416:DJ1453&amp;" ",BV22)))),"")</f>
        <v>0</v>
      </c>
      <c r="BV22" s="493" t="str">
        <f>IF(11=11,IF(AM22="","",SUBSTITUTE(SUBSTITUTE(AS22," "&amp;DJ1454&amp;" "," ")," "&amp;DJ1455&amp;" "," ")),"")</f>
        <v xml:space="preserve"> de douceur </v>
      </c>
      <c r="BW22" s="493" cm="1">
        <f t="array" ref="BW22">IF(11=11,IF(AM22="","",SUMPRODUCT(--ISNUMBER(SEARCH(" "&amp;DJ1456:DJ1466&amp;" ",BV22)))),"")</f>
        <v>0</v>
      </c>
      <c r="BX22" s="493" t="str">
        <f>IF(11=11,IF(AM22="","",IF(BU22&gt;0,"X",IF(BW22&gt;0,"?",""))),"")</f>
        <v/>
      </c>
      <c r="BY22" s="493" cm="1">
        <f t="array" ref="BY22">IF(11=11,IF(AM22="","",SUMPRODUCT(--ISNUMBER(SEARCH(" "&amp;DJ1467:DJ1566&amp;" ",CB22)))),"")</f>
        <v>0</v>
      </c>
      <c r="BZ22" s="493" cm="1">
        <f t="array" ref="BZ22">IF(11=11,IF(AM22="","",SUMPRODUCT(--ISNUMBER(SEARCH(" "&amp;DJ1567:DJ1666&amp;" ",CB22)))),"")</f>
        <v>0</v>
      </c>
      <c r="CA22" s="493" cm="1">
        <f t="array" ref="CA22">IF(11=11,IF(AM22="","",SUMPRODUCT(--ISNUMBER(SEARCH(" "&amp;DJ1667:DJ1750&amp;" ",CB22)))),"")</f>
        <v>0</v>
      </c>
      <c r="CB22" s="493" t="str">
        <f>IF(11=11,IF(AM22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22,"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de douceur </v>
      </c>
      <c r="CC22" s="493" cm="1">
        <f t="array" ref="CC22">IF(11=11,IF(AM22="","",SUMPRODUCT(--ISNUMBER(SEARCH(" "&amp;DJ1801:DJ1880&amp;" ",CD22)))+SUMPRODUCT(--ISNUMBER(SEARCH(" "&amp;DJ2451:DJ2464&amp;" ",CD22)))),"")</f>
        <v>0</v>
      </c>
      <c r="CD22" s="493" t="str">
        <f>IF(11=11,IF(AM22="","",SUBSTITUTE(SUBSTITUTE(SUBSTITUTE(SUBSTITUTE(SUBSTITUTE(SUBSTITUTE(SUBSTITUTE(SUBSTITUTE(SUBSTITUTE(SUBSTITUTE(SUBSTITUTE(SUBSTITUTE(SUBSTITUTE(CB22," "&amp;DJ1887&amp;" "," ")," "&amp;DJ1885&amp;" "," ")," "&amp;DJ2449&amp;" "," ")," "&amp;DJ2450&amp;" "," ")," "&amp;DJ1882&amp;" "," ")," "&amp;DJ1886&amp;" "," ")," "&amp;DJ1888&amp;" "," ")," "&amp;DJ1883&amp;" "," ")," "&amp;DJ1881&amp;" "," ")," "&amp;DJ1378&amp;" "," ")," "&amp;DJ1889&amp;" "," ")," "&amp;DJ1377&amp;" "," ")," "&amp;DJ1884&amp;" "," ")),"")</f>
        <v xml:space="preserve"> de douceur </v>
      </c>
      <c r="CE22" s="493" t="str" cm="1">
        <f t="array" ref="CE22">IF(11=11,IF(AM22="","",IF(SUM(BY22:CA22)+SUMPRODUCT(--ISNUMBER(SEARCH(" "&amp;DJ2434:DJ2435&amp;" ",CB22)))&gt;0,"X",IF(CC22&gt;0,"?",""))),"")</f>
        <v/>
      </c>
      <c r="CF22" s="493" cm="1">
        <f t="array" ref="CF22">IF(11=11,IF(AM22="","",SUMPRODUCT(--ISNUMBER(SEARCH(" "&amp;DJ1890:DJ1947&amp;" ",CG22)))),"")</f>
        <v>0</v>
      </c>
      <c r="CG22" s="493" t="str">
        <f>IF(11=11,IF(AM22="","",SUBSTITUTE(SUBSTITUTE(SUBSTITUTE(SUBSTITUTE(SUBSTITUTE(SUBSTITUTE(SUBSTITUTE(SUBSTITUTE(SUBSTITUTE(SUBSTITUTE(SUBSTITUTE(SUBSTITUTE(SUBSTITUTE(SUBSTITUTE(SUBSTITUTE(SUBSTITUTE(SUBSTITUTE(SUBSTITUTE(SUBSTITUTE(SUBSTITUTE(SUBSTITUTE(SUBSTITUTE(SUBSTITUTE(AS22,"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de douceur </v>
      </c>
      <c r="CH22" s="493" cm="1">
        <f t="array" ref="CH22">IF(11=11,IF(AM22="","",SUMPRODUCT(--ISNUMBER(SEARCH(" "&amp;DJ1971:DJ1987&amp;" ",CG22)))),"")</f>
        <v>0</v>
      </c>
      <c r="CI22" s="493" t="str">
        <f>IF(11=11,IF(AM22="","",IF(CF22&gt;0,"X",IF(CH22&gt;0,"?",""))),"")</f>
        <v/>
      </c>
      <c r="CJ22" s="493" cm="1">
        <f t="array" ref="CJ22">IF(11=11,IF(AM22="","",SUMPRODUCT(--ISNUMBER(SEARCH(" "&amp;DJ1988:DJ2001&amp;" ",AS22)))),"")</f>
        <v>0</v>
      </c>
      <c r="CK22" s="493" cm="1">
        <f t="array" ref="CK22">IF(11=11,IF(AM22="","",SUMPRODUCT(--ISNUMBER(SEARCH(" "&amp;DJ2002:DJ2016&amp;" ",AS22)))),"")</f>
        <v>0</v>
      </c>
      <c r="CL22" s="493" t="str">
        <f>IF(11=11,IF(AM22="","",IF((CJ22)-(0)&gt;0,"X",IF((CK22)-(0)&gt;0,"?",""))),"")</f>
        <v/>
      </c>
      <c r="CM22" s="493" cm="1">
        <f t="array" ref="CM22">IF(11=11,IF(AM22="","",SUMPRODUCT(--ISNUMBER(SEARCH(" "&amp;DJ2017:DJ2034&amp;" ",AS22)))),"")</f>
        <v>0</v>
      </c>
      <c r="CN22" s="493" cm="1">
        <f t="array" ref="CN22">IF(11=11,IF(AM22="","",SUMPRODUCT(--ISNUMBER(SEARCH(" "&amp;DJ2035:DJ2049&amp;" ",AS22)))),"")</f>
        <v>0</v>
      </c>
      <c r="CO22" s="493" t="str">
        <f>IF(11=11,IF(AM22="","",IF((CM22)-(0)&gt;0,"X",IF((CN22)-(0)&gt;0,"?",""))),"")</f>
        <v/>
      </c>
      <c r="CP22" s="493" cm="1">
        <f t="array" ref="CP22">IF(11=11,IF(AM22="","",SUMPRODUCT(--ISNUMBER(SEARCH(" "&amp;DJ2050:DJ2068&amp;" ",AS22)))),"")</f>
        <v>0</v>
      </c>
      <c r="CQ22" s="493" cm="1">
        <f t="array" ref="CQ22">IF(11=11,IF(AM22="","",SUMPRODUCT(--ISNUMBER(SEARCH(" "&amp;DJ2069:DJ2083&amp;" ",AS22)))),"")</f>
        <v>0</v>
      </c>
      <c r="CR22" s="493" t="str">
        <f>IF(11=11,IF(AM22="","",IF((CP22)-(0)&gt;0,"X",IF((CQ22)-(0)&gt;0,"?",""))),"")</f>
        <v/>
      </c>
      <c r="CS22" s="493" cm="1">
        <f t="array" ref="CS22">IF(11=11,IF(AM22="","",SUMPRODUCT(--ISNUMBER(SEARCH(" "&amp;DJ2084:DJ2104&amp;" ",AS22)))),"")</f>
        <v>0</v>
      </c>
      <c r="CT22" s="493" cm="1">
        <f t="array" ref="CT22">IF(11=11,IF(AM22="","",SUMPRODUCT(--ISNUMBER(SEARCH(" "&amp;DJ2105:DJ2144&amp;" ",SUBSTITUTE(SUBSTITUTE(AS22," "&amp;DJ1378&amp;" "," ")," "&amp;DJ1377&amp;" "," "))))+--ISNUMBER(SEARCH("poiré",AN22))),"")</f>
        <v>0</v>
      </c>
      <c r="CU22" s="493" t="str">
        <f>IF(11=11,IF(AM22="","",IF(OR(CS22&gt;0,ISNUMBER(SEARCH(" vinaigre de vin ",AS22)),ISNUMBER(SEARCH(" vinaigre au vin ",AS22))),"X",IF(CT22&gt;0,"?",""))),"")</f>
        <v/>
      </c>
      <c r="CV22" s="493" cm="1">
        <f t="array" ref="CV22">IF(11=11,IF(AM22="","",SUMPRODUCT(--ISNUMBER(SEARCH(" "&amp;DJ2145:DJ2157&amp;" ",AS22)))),"")</f>
        <v>0</v>
      </c>
      <c r="CW22" s="493" cm="1">
        <f t="array" ref="CW22">IF(11=11,IF(AM22="","",SUMPRODUCT(--ISNUMBER(SEARCH(" "&amp;DJ2158:DJ2163&amp;" ",AS22)))),"")</f>
        <v>0</v>
      </c>
      <c r="CX22" s="493" t="str">
        <f>IF(11=11,IF(AM22="","",IF((CV22)-(0)&gt;0,"X",IF((CW22)-(0)&gt;0,"?",""))),"")</f>
        <v/>
      </c>
      <c r="CY22" s="493" cm="1">
        <f t="array" ref="CY22">IF(11=11,IF(AM22="","",SUMPRODUCT(--ISNUMBER(SEARCH(" "&amp;DJ2164:DJ2263&amp;" ",DB22)))),"")</f>
        <v>0</v>
      </c>
      <c r="CZ22" s="493" cm="1">
        <f t="array" ref="CZ22">IF(11=11,IF(AM22="","",SUMPRODUCT(--ISNUMBER(SEARCH(" "&amp;DJ2264:DJ2363&amp;" ",DB22)))),"")</f>
        <v>0</v>
      </c>
      <c r="DA22" s="493" cm="1">
        <f t="array" ref="DA22">IF(11=11,IF(AM22="","",SUMPRODUCT(--ISNUMBER(SEARCH(" "&amp;DJ2364:DJ2406&amp;" ",DB22)))),"")</f>
        <v>0</v>
      </c>
      <c r="DB22" s="493" t="str">
        <f>IF(11=11,IF(AM22="","",SUBSTITUTE(SUBSTITUTE(SUBSTITUTE(SUBSTITUTE(SUBSTITUTE(SUBSTITUTE(SUBSTITUTE(SUBSTITUTE(SUBSTITUTE(SUBSTITUTE(SUBSTITUTE(SUBSTITUTE(SUBSTITUTE(SUBSTITUTE(SUBSTITUTE(SUBSTITUTE(AS22," "&amp;DJ2412&amp;" "," ")," "&amp;DJ2411&amp;" "," ")," "&amp;DJ2410&amp;" "," ")," "&amp;DJ2417&amp;" "," ")," "&amp;DJ2409&amp;" "," ")," "&amp;DJ2421&amp;" "," ")," "&amp;DJ2408&amp;" "," ")," "&amp;DJ2413&amp;" "," ")," "&amp;DJ2416&amp;" "," ")," "&amp;DJ2407&amp;" "," ")," "&amp;DJ2415&amp;" "," ")," "&amp;DJ2422&amp;" "," ")," "&amp;DJ2419&amp;" "," ")," "&amp;DJ2414&amp;" "," ")," "&amp;DJ2418&amp;" "," ")," "&amp;DJ2420&amp;" "," ")),"")</f>
        <v xml:space="preserve"> de douceur </v>
      </c>
      <c r="DC22" s="493" cm="1">
        <f t="array" ref="DC22">IF(11=11,IF(AM22="","",SUMPRODUCT(--ISNUMBER(SEARCH(" "&amp;DJ2423:DJ2427&amp;" ",DB22)))),"")</f>
        <v>0</v>
      </c>
      <c r="DD22" s="493" t="str">
        <f>IF(11=11,IF(AM22="","",IF(SUM(CY22:DA22)&gt;0,"X",IF(DC22&gt;0,"?",""))),"")</f>
        <v/>
      </c>
      <c r="DE22" s="494"/>
      <c r="DF22" s="496" t="s">
        <v>1168</v>
      </c>
      <c r="DG22" s="496" t="s">
        <v>1083</v>
      </c>
      <c r="DH22" s="496" t="s">
        <v>689</v>
      </c>
      <c r="DI22" s="496" t="s">
        <v>702</v>
      </c>
      <c r="DJ22" s="496" t="s">
        <v>702</v>
      </c>
      <c r="DK22" s="496" t="s">
        <v>1085</v>
      </c>
      <c r="DL22" s="496" t="s">
        <v>1086</v>
      </c>
      <c r="DM22" s="496" t="s">
        <v>1087</v>
      </c>
      <c r="DN22" s="497" t="s">
        <v>1088</v>
      </c>
      <c r="DP22" s="543">
        <v>1</v>
      </c>
    </row>
    <row r="23" spans="2:120" ht="30" customHeight="1">
      <c r="B23" s="663" t="str">
        <f t="shared" si="0"/>
        <v>• 3 œufs</v>
      </c>
      <c r="C23" s="663" t="str">
        <f t="shared" si="1"/>
        <v>• 3 œufs</v>
      </c>
      <c r="D23" s="663" t="str">
        <f>IF(UPPER(TRIM(N11))="X",C23,B23)</f>
        <v>• 3 œufs</v>
      </c>
      <c r="E23" s="663" cm="1">
        <f t="array" ref="E23">IF(H22&lt;&gt;"",E22,IF(E22="","",IFERROR(MATCH(TRUE(),INDEX(INDEX(K:K,E22+1):K203&lt;&gt;"",0),0)+E22,"")))</f>
        <v>20</v>
      </c>
      <c r="F23" s="663" t="str" cm="1">
        <f t="array" ref="F23">IF(E23="","",IF(H22&lt;&gt;"",H22,INDEX(D:D,E23)))</f>
        <v>Ingrédients :</v>
      </c>
      <c r="G23" s="663" t="str">
        <f t="shared" si="2"/>
        <v>Ingrédients :</v>
      </c>
      <c r="H23" s="673" t="str">
        <f t="shared" si="3"/>
        <v/>
      </c>
      <c r="I23" s="680" t="str">
        <f>IF(AND(F23&lt;&gt;"",N10&gt;0,M23&gt;N10),"Mot &gt; limite","")</f>
        <v/>
      </c>
      <c r="J23" s="674">
        <f>IF(K23="","",COUNTIF(K18:K23,"&lt;&gt;"))</f>
        <v>6</v>
      </c>
      <c r="K23" s="675" t="s">
        <v>6468</v>
      </c>
      <c r="L23" s="674">
        <f t="shared" si="4"/>
        <v>8</v>
      </c>
      <c r="M23" s="643">
        <f>IF(OR(F23="",N10="",N10&lt;=0),"",IF(LEN(F23)&lt;=N10,LEN(F23),IFERROR(FIND("♦",SUBSTITUTE(LEFT(F23,N10)," ","♦",LEN(LEFT(F23,N10))-LEN(SUBSTITUTE(LEFT(F23,N10)," ","")))),FIND(" ",F23&amp;" ",N10+1)-1)))</f>
        <v>13</v>
      </c>
      <c r="N23" s="676">
        <f t="shared" si="5"/>
        <v>6</v>
      </c>
      <c r="O23" s="677" t="str">
        <f t="shared" si="6"/>
        <v>Ingrédients :</v>
      </c>
      <c r="P23" s="676">
        <f t="shared" si="7"/>
        <v>2</v>
      </c>
      <c r="Q23" s="676">
        <f t="shared" si="8"/>
        <v>13</v>
      </c>
      <c r="S23" s="509">
        <v>6</v>
      </c>
      <c r="T23" s="678" t="str">
        <f t="shared" si="10"/>
        <v>Ingrédients :</v>
      </c>
      <c r="U23" s="679" t="str">
        <f t="shared" si="9"/>
        <v>Ingrédients :</v>
      </c>
      <c r="V23" s="512" t="str">
        <f>IF(12=12,IF(T23="","",IF(W23="X",""&amp;"Céréales contenant du gluten","")&amp;IF(X23="X",IF(COUNTIF(W23:W23,"X")&gt;0,", ","")&amp;"Crustacés","")&amp;IF(Y23="X",IF(COUNTIF(W23:X23,"X")&gt;0,", ","")&amp;"Œufs","")&amp;IF(Z23="X",IF(COUNTIF(W23:Y23,"X")&gt;0,", ","")&amp;"Poissons","")&amp;IF(AA23="X",IF(COUNTIF(W23:Z23,"X")&gt;0,", ","")&amp;"Arachides","")&amp;IF(AB23="X",IF(COUNTIF(W23:AA23,"X")&gt;0,", ","")&amp;"Soja","")&amp;IF(AC23="X",IF(COUNTIF(W23:AB23,"X")&gt;0,", ","")&amp;"Lait","")&amp;IF(AD23="X",IF(COUNTIF(W23:AC23,"X")&gt;0,", ","")&amp;"Fruits à coque","")&amp;IF(AE23="X",IF(COUNTIF(W23:AD23,"X")&gt;0,", ","")&amp;"Céleri","")&amp;IF(AF23="X",IF(COUNTIF(W23:AE23,"X")&gt;0,", ","")&amp;"Moutarde","")&amp;IF(AG23="X",IF(COUNTIF(W23:AF23,"X")&gt;0,", ","")&amp;"Sésame","")&amp;IF(AH23="X",IF(COUNTIF(W23:AG23,"X")&gt;0,", ","")&amp;"Sulfites","")&amp;IF(AI23="X",IF(COUNTIF(W23:AH23,"X")&gt;0,", ","")&amp;"Lupin","")&amp;IF(AJ23="X",IF(COUNTIF(W23:AI23,"X")&gt;0,", ","")&amp;"Mollusques","")),"")</f>
        <v/>
      </c>
      <c r="W23" s="513" t="str">
        <f>IF(12=12,IF(T23="","",AX23),"")</f>
        <v/>
      </c>
      <c r="X23" s="513" t="str">
        <f>IF(12=12,IF(T23="","",BA23),"")</f>
        <v/>
      </c>
      <c r="Y23" s="513" t="str">
        <f>IF(12=12,IF(T23="","",BE23),"")</f>
        <v/>
      </c>
      <c r="Z23" s="513" t="str">
        <f>IF(12=12,IF(T23="","",IF(ISNUMBER(SEARCH(" colin ",AS23)),"X",BR23)),"")</f>
        <v/>
      </c>
      <c r="AA23" s="513" t="str">
        <f>IF(12=12,IF(T23="","",BT23),"")</f>
        <v/>
      </c>
      <c r="AB23" s="513" t="str">
        <f>IF(12=12,IF(T23="","",BX23),"")</f>
        <v/>
      </c>
      <c r="AC23" s="513" t="str">
        <f>IF(12=12,IF(T23="","",CE23),"")</f>
        <v/>
      </c>
      <c r="AD23" s="513" t="str">
        <f>IF(12=12,IF(T23="","",CI23),"")</f>
        <v/>
      </c>
      <c r="AE23" s="513" t="str">
        <f>IF(12=12,IF(T23="","",CL23),"")</f>
        <v/>
      </c>
      <c r="AF23" s="513" t="str">
        <f>IF(12=12,IF(T23="","",CO23),"")</f>
        <v/>
      </c>
      <c r="AG23" s="513" t="str">
        <f>IF(12=12,IF(T23="","",CR23),"")</f>
        <v/>
      </c>
      <c r="AH23" s="513" t="str">
        <f>IF(12=12,IF(T23="","",CU23),"")</f>
        <v/>
      </c>
      <c r="AI23" s="513" t="str">
        <f>IF(12=12,IF(T23="","",CX23),"")</f>
        <v/>
      </c>
      <c r="AJ23" s="513" t="str">
        <f>IF(12=12,IF(T23="","",DD23),"")</f>
        <v/>
      </c>
      <c r="AK23" s="514" t="str">
        <f>IF(12=12,IF(T23="","",IF(W23="?",""&amp;"Céréales contenant du gluten","")&amp;IF(X23="?",IF(COUNTIF(W23:W23,"~?")&gt;0,", ","")&amp;"Crustacés","")&amp;IF(Y23="?",IF(COUNTIF(W23:X23,"~?")&gt;0,", ","")&amp;"Œufs","")&amp;IF(Z23="?",IF(COUNTIF(W23:Y23,"~?")&gt;0,", ","")&amp;"Poissons","")&amp;IF(AA23="?",IF(COUNTIF(W23:Z23,"~?")&gt;0,", ","")&amp;"Arachides","")&amp;IF(AB23="?",IF(COUNTIF(W23:AA23,"~?")&gt;0,", ","")&amp;"Soja","")&amp;IF(AC23="?",IF(COUNTIF(W23:AB23,"~?")&gt;0,", ","")&amp;"Lait","")&amp;IF(AD23="?",IF(COUNTIF(W23:AC23,"~?")&gt;0,", ","")&amp;"Fruits à coque","")&amp;IF(AE23="?",IF(COUNTIF(W23:AD23,"~?")&gt;0,", ","")&amp;"Céleri","")&amp;IF(AF23="?",IF(COUNTIF(W23:AE23,"~?")&gt;0,", ","")&amp;"Moutarde","")&amp;IF(AG23="?",IF(COUNTIF(W23:AF23,"~?")&gt;0,", ","")&amp;"Sésame","")&amp;IF(AH23="?",IF(COUNTIF(W23:AG23,"~?")&gt;0,", ","")&amp;"Sulfites","")&amp;IF(AI23="?",IF(COUNTIF(W23:AH23,"~?")&gt;0,", ","")&amp;"Lupin","")&amp;IF(AJ23="?",IF(COUNTIF(W23:AI23,"~?")&gt;0,", ","")&amp;"Mollusques","")),"")</f>
        <v/>
      </c>
      <c r="AM23" s="493" t="str">
        <f>IF(12=12,IF(T23="","",T23),"")</f>
        <v>Ingrédients :</v>
      </c>
      <c r="AN23" s="493" t="str">
        <f>IF(12=12,LOWER(CLEAN(SUBSTITUTE(SUBSTITUTE(SUBSTITUTE(SUBSTITUTE(AM23,CHAR(160)," ")," "," "),CHAR(10)," "),CHAR(13)," "))),"")</f>
        <v>ingrédients :</v>
      </c>
      <c r="AO23" s="493" t="str">
        <f>IF(12=12,SUBSTITUTE(SUBSTITUTE(SUBSTITUTE(SUBSTITUTE(SUBSTITUTE(SUBSTITUTE(SUBSTITUTE(SUBSTITUTE(SUBSTITUTE(SUBSTITUTE(SUBSTITUTE(SUBSTITUTE(AN23,"œ","oe"),"æ","ae"),"à","a"),"á","a"),"â","a"),"ä","a"),"ã","a"),"ç","c"),"è","e"),"é","e"),"ê","e"),"ë","e"),"")</f>
        <v>ingredients :</v>
      </c>
      <c r="AP23" s="493" t="str">
        <f>IF(12=12,SUBSTITUTE(SUBSTITUTE(SUBSTITUTE(SUBSTITUTE(SUBSTITUTE(SUBSTITUTE(SUBSTITUTE(SUBSTITUTE(SUBSTITUTE(SUBSTITUTE(SUBSTITUTE(SUBSTITUTE(SUBSTITUTE(SUBSTITUTE(SUBSTITUTE(SUBSTITUTE(AO23,"ì","i"),"í","i"),"î","i"),"ï","i"),"ñ","n"),"ò","o"),"ó","o"),"ô","o"),"ö","o"),"õ","o"),"ù","u"),"ú","u"),"û","u"),"ü","u"),"ý","y"),"ÿ","y"),"")</f>
        <v>ingredients :</v>
      </c>
      <c r="AQ23" s="493" t="str">
        <f>IF(12=12,SUBSTITUTE(SUBSTITUTE(SUBSTITUTE(SUBSTITUTE(SUBSTITUTE(SUBSTITUTE(SUBSTITUTE(SUBSTITUTE(SUBSTITUTE(SUBSTITUTE(SUBSTITUTE(SUBSTITUTE(SUBSTITUTE(SUBSTITUTE(AP23,"’"," "),"`"," "),"–"," "),"—"," "),"-"," "),"'"," "),"/"," "),"_"," "),","," "),"."," "),"("," "),")"," "),";"," "),":"," "),"")</f>
        <v xml:space="preserve">ingredients  </v>
      </c>
      <c r="AR23" s="493" t="str">
        <f>IF(12=12,SUBSTITUTE(SUBSTITUTE(SUBSTITUTE(SUBSTITUTE(SUBSTITUTE(SUBSTITUTE(SUBSTITUTE(SUBSTITUTE(SUBSTITUTE(SUBSTITUTE(SUBSTITUTE(SUBSTITUTE(SUBSTITUTE(SUBSTITUTE(SUBSTITUTE(AQ23,"!"," "),"?"," "),"+"," "),"*"," "),"&amp;"," "),"["," "),"]"," "),"{"," "),"}"," "),"%"," "),"="," "),"\"," "),"|"," "),"&lt;"," "),"&gt;"," "),"")</f>
        <v xml:space="preserve">ingredients  </v>
      </c>
      <c r="AS23" s="493" t="str">
        <f>IF(12=12," "&amp;TRIM(SUBSTITUTE(SUBSTITUTE(SUBSTITUTE(SUBSTITUTE(SUBSTITUTE(SUBSTITUTE(AR23,CHAR(34)," "),"  "," "),"  "," "),"  "," "),"  "," "),"  "," "))&amp;" ","")</f>
        <v xml:space="preserve"> ingredients </v>
      </c>
      <c r="AT23" s="493" cm="1">
        <f t="array" ref="AT23">IF(12=12,IF(AM23="","",SUMPRODUCT(--ISNUMBER(SEARCH(" "&amp;DJ13:DJ112&amp;" ",AV23)))),"")</f>
        <v>0</v>
      </c>
      <c r="AU23" s="493" cm="1">
        <f t="array" ref="AU23">IF(12=12,IF(AM23="","",SUMPRODUCT(--ISNUMBER(SEARCH(" "&amp;DJ113:DJ162&amp;" ",AV23)))),"")</f>
        <v>0</v>
      </c>
      <c r="AV23" s="493" t="str">
        <f>IF(AM23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23,"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ingredients </v>
      </c>
      <c r="AW23" s="493" cm="1">
        <f t="array" ref="AW23">IF(AM23="","",SUMPRODUCT(--ISNUMBER(SEARCH(" "&amp;DJ195:DJ216&amp;" ",AV23)))+--ISNUMBER(SEARCH(" "&amp;DJ2465&amp;" ",AV23)))</f>
        <v>0</v>
      </c>
      <c r="AX23" s="493" t="str" cm="1">
        <f t="array" ref="AX23">IF(12=12,IF(AM23="","",IF(SUM(AT23:AU23)+SUMPRODUCT(--ISNUMBER(SEARCH(" "&amp;DJ2429:DJ2431&amp;" ",AV23)))&gt;0,"X",IF(AW23&gt;0,"?",""))),"")</f>
        <v/>
      </c>
      <c r="AY23" s="493" cm="1">
        <f t="array" ref="AY23">IF(12=12,IF(AM23="","",SUMPRODUCT(--ISNUMBER(SEARCH(" "&amp;DJ217:DJ316&amp;" ",AS23)))),"")</f>
        <v>0</v>
      </c>
      <c r="AZ23" s="493" cm="1">
        <f t="array" ref="AZ23">IF(12=12,IF(AM23="","",SUMPRODUCT(--ISNUMBER(SEARCH(" "&amp;DJ317:DJ351&amp;" ",AS23)))),"")</f>
        <v>0</v>
      </c>
      <c r="BA23" s="493" t="str">
        <f>IF(12=12,IF(AM23="","",IF((SUM(AY23:AZ23))-(0)&gt;0,"X",IF((0)-(0)&gt;0,"?",""))),"")</f>
        <v/>
      </c>
      <c r="BB23" s="493" cm="1">
        <f t="array" ref="BB23">IF(12=12,IF(AM23="","",SUMPRODUCT(--ISNUMBER(SEARCH(" "&amp;DJ352:DJ409&amp;" ",AS23)))),"")</f>
        <v>0</v>
      </c>
      <c r="BC23" s="493" cm="1">
        <f t="array" ref="BC23">IF(12=12,IF(AM23="","",SUMPRODUCT(--ISNUMBER(SEARCH(" "&amp;DJ410:DJ437&amp;" ",BD23)))+SUMPRODUCT(--ISNUMBER(SEARCH(" "&amp;DJ2451:DJ2464&amp;" ",BD23)))),"")</f>
        <v>0</v>
      </c>
      <c r="BD23" s="493" t="str">
        <f>IF(12=12,IF(AM23="","",SUBSTITUTE(SUBSTITUTE(SUBSTITUTE(SUBSTITUTE(SUBSTITUTE(SUBSTITUTE(SUBSTITUTE(SUBSTITUTE(SUBSTITUTE(SUBSTITUTE(SUBSTITUTE(SUBSTITUTE(SUBSTITUTE(SUBSTITUTE(AS23," "&amp;DJ2466&amp;" "," ")," "&amp;DJ444&amp;" "," ")," "&amp;DJ442&amp;" "," ")," "&amp;DJ2449&amp;" "," ")," "&amp;DJ2450&amp;" "," ")," "&amp;DJ439&amp;" "," ")," "&amp;DJ443&amp;" "," ")," "&amp;DJ445&amp;" "," ")," "&amp;DJ440&amp;" "," ")," "&amp;DJ438&amp;" "," ")," "&amp;DJ1378&amp;" "," ")," "&amp;DJ446&amp;" "," ")," "&amp;DJ1377&amp;" "," ")," "&amp;DJ441&amp;" "," ")),"")</f>
        <v xml:space="preserve"> ingredients </v>
      </c>
      <c r="BE23" s="493" t="str">
        <f>IF(12=12,IF(AM23="","",IF(BB23&gt;0,"X",IF(BC23&gt;0,"?",""))),"")</f>
        <v/>
      </c>
      <c r="BF23" s="493" cm="1">
        <f t="array" ref="BF23">IF(12=12,IF(AM23="","",SUMPRODUCT(--ISNUMBER(SEARCH(" "&amp;DJ447:DJ546&amp;" ",BP23)))),"")</f>
        <v>0</v>
      </c>
      <c r="BG23" s="493" cm="1">
        <f t="array" ref="BG23">IF(12=12,IF(AM23="","",SUMPRODUCT(--ISNUMBER(SEARCH(" "&amp;DJ547:DJ646&amp;" ",BP23)))),"")</f>
        <v>0</v>
      </c>
      <c r="BH23" s="493" cm="1">
        <f t="array" ref="BH23">IF(12=12,IF(AM23="","",SUMPRODUCT(--ISNUMBER(SEARCH(" "&amp;DJ647:DJ746&amp;" ",BP23)))),"")</f>
        <v>0</v>
      </c>
      <c r="BI23" s="493" cm="1">
        <f t="array" ref="BI23">IF(12=12,IF(AM23="","",SUMPRODUCT(--ISNUMBER(SEARCH(" "&amp;DJ747:DJ846&amp;" ",BP23)))),"")</f>
        <v>0</v>
      </c>
      <c r="BJ23" s="493" cm="1">
        <f t="array" ref="BJ23">IF(12=12,IF(AM23="","",SUMPRODUCT(--ISNUMBER(SEARCH(" "&amp;DJ847:DJ946&amp;" ",BP23)))),"")</f>
        <v>0</v>
      </c>
      <c r="BK23" s="493" cm="1">
        <f t="array" ref="BK23">IF(12=12,IF(AM23="","",SUMPRODUCT(--ISNUMBER(SEARCH(" "&amp;DJ947:DJ1046&amp;" ",BP23)))),"")</f>
        <v>0</v>
      </c>
      <c r="BL23" s="493" cm="1">
        <f t="array" ref="BL23">IF(12=12,IF(AM23="","",SUMPRODUCT(--ISNUMBER(SEARCH(" "&amp;DJ1047:DJ1146&amp;" ",BP23)))),"")</f>
        <v>0</v>
      </c>
      <c r="BM23" s="493" cm="1">
        <f t="array" ref="BM23">IF(12=12,IF(AM23="","",SUMPRODUCT(--ISNUMBER(SEARCH(" "&amp;DJ1147:DJ1246&amp;" ",BP23)))),"")</f>
        <v>0</v>
      </c>
      <c r="BN23" s="493" cm="1">
        <f t="array" ref="BN23">IF(12=12,IF(AM23="","",SUMPRODUCT(--ISNUMBER(SEARCH(" "&amp;DJ1247:DJ1346&amp;" ",BP23)))),"")</f>
        <v>0</v>
      </c>
      <c r="BO23" s="493" cm="1">
        <f t="array" ref="BO23">IF(12=12,IF(AM23="","",SUMPRODUCT(--ISNUMBER(SEARCH(" "&amp;DJ1347:DJ1374&amp;" ",BP23)))),"")</f>
        <v>0</v>
      </c>
      <c r="BP23" s="493" t="str">
        <f>IF(12=12,IF(AM23="","",SUBSTITUTE(SUBSTITUTE(SUBSTITUTE(SUBSTITUTE(SUBSTITUTE(SUBSTITUTE(SUBSTITUTE(SUBSTITUTE(SUBSTITUTE(AS23," "&amp;DJ1376&amp;" "," ")," "&amp;DJ1375&amp;" "," ")," "&amp;DJ1381&amp;" "," ")," "&amp;DJ1382&amp;" "," ")," "&amp;DJ1378&amp;" "," ")," "&amp;DJ1380&amp;" "," ")," "&amp;DJ1377&amp;" "," ")," "&amp;DJ1379&amp;" "," ")," "&amp;DJ1383&amp;" "," ")),"")</f>
        <v xml:space="preserve"> ingredients </v>
      </c>
      <c r="BQ23" s="493" cm="1">
        <f t="array" ref="BQ23">IF(12=12,IF(AM23="","",SUMPRODUCT(--ISNUMBER(SEARCH(" "&amp;DJ1384:DJ1394&amp;" ",BP23)))),"")</f>
        <v>0</v>
      </c>
      <c r="BR23" s="493" t="str" cm="1">
        <f t="array" ref="BR23">IF(12=12,IF(AM23="","",IF(SUM(BF23:BO23)+SUMPRODUCT(--ISNUMBER(SEARCH(" "&amp;DJ2432:DJ2433&amp;" ",BP23)))&gt;0,"X",IF(BQ23&gt;0,"?",""))),"")</f>
        <v/>
      </c>
      <c r="BS23" s="493" cm="1">
        <f t="array" ref="BS23">IF(12=12,IF(AM23="","",SUMPRODUCT(--ISNUMBER(SEARCH(" "&amp;DJ1395:DJ1415&amp;" ",AS23)))),"")</f>
        <v>0</v>
      </c>
      <c r="BT23" s="493" t="str">
        <f>IF(12=12,IF(AM23="","",IF((BS23)-(0)&gt;0,"X",IF((0)-(0)&gt;0,"?",""))),"")</f>
        <v/>
      </c>
      <c r="BU23" s="493" cm="1">
        <f t="array" ref="BU23">IF(12=12,IF(AM23="","",SUMPRODUCT(--ISNUMBER(SEARCH(" "&amp;DJ1416:DJ1453&amp;" ",BV23)))),"")</f>
        <v>0</v>
      </c>
      <c r="BV23" s="493" t="str">
        <f>IF(12=12,IF(AM23="","",SUBSTITUTE(SUBSTITUTE(AS23," "&amp;DJ1454&amp;" "," ")," "&amp;DJ1455&amp;" "," ")),"")</f>
        <v xml:space="preserve"> ingredients </v>
      </c>
      <c r="BW23" s="493" cm="1">
        <f t="array" ref="BW23">IF(12=12,IF(AM23="","",SUMPRODUCT(--ISNUMBER(SEARCH(" "&amp;DJ1456:DJ1466&amp;" ",BV23)))),"")</f>
        <v>0</v>
      </c>
      <c r="BX23" s="493" t="str">
        <f>IF(12=12,IF(AM23="","",IF(BU23&gt;0,"X",IF(BW23&gt;0,"?",""))),"")</f>
        <v/>
      </c>
      <c r="BY23" s="493" cm="1">
        <f t="array" ref="BY23">IF(12=12,IF(AM23="","",SUMPRODUCT(--ISNUMBER(SEARCH(" "&amp;DJ1467:DJ1566&amp;" ",CB23)))),"")</f>
        <v>0</v>
      </c>
      <c r="BZ23" s="493" cm="1">
        <f t="array" ref="BZ23">IF(12=12,IF(AM23="","",SUMPRODUCT(--ISNUMBER(SEARCH(" "&amp;DJ1567:DJ1666&amp;" ",CB23)))),"")</f>
        <v>0</v>
      </c>
      <c r="CA23" s="493" cm="1">
        <f t="array" ref="CA23">IF(12=12,IF(AM23="","",SUMPRODUCT(--ISNUMBER(SEARCH(" "&amp;DJ1667:DJ1750&amp;" ",CB23)))),"")</f>
        <v>0</v>
      </c>
      <c r="CB23" s="493" t="str">
        <f>IF(12=12,IF(AM23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23,"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ingredients </v>
      </c>
      <c r="CC23" s="493" cm="1">
        <f t="array" ref="CC23">IF(12=12,IF(AM23="","",SUMPRODUCT(--ISNUMBER(SEARCH(" "&amp;DJ1801:DJ1880&amp;" ",CD23)))+SUMPRODUCT(--ISNUMBER(SEARCH(" "&amp;DJ2451:DJ2464&amp;" ",CD23)))),"")</f>
        <v>0</v>
      </c>
      <c r="CD23" s="493" t="str">
        <f>IF(12=12,IF(AM23="","",SUBSTITUTE(SUBSTITUTE(SUBSTITUTE(SUBSTITUTE(SUBSTITUTE(SUBSTITUTE(SUBSTITUTE(SUBSTITUTE(SUBSTITUTE(SUBSTITUTE(SUBSTITUTE(SUBSTITUTE(SUBSTITUTE(CB23," "&amp;DJ1887&amp;" "," ")," "&amp;DJ1885&amp;" "," ")," "&amp;DJ2449&amp;" "," ")," "&amp;DJ2450&amp;" "," ")," "&amp;DJ1882&amp;" "," ")," "&amp;DJ1886&amp;" "," ")," "&amp;DJ1888&amp;" "," ")," "&amp;DJ1883&amp;" "," ")," "&amp;DJ1881&amp;" "," ")," "&amp;DJ1378&amp;" "," ")," "&amp;DJ1889&amp;" "," ")," "&amp;DJ1377&amp;" "," ")," "&amp;DJ1884&amp;" "," ")),"")</f>
        <v xml:space="preserve"> ingredients </v>
      </c>
      <c r="CE23" s="493" t="str" cm="1">
        <f t="array" ref="CE23">IF(12=12,IF(AM23="","",IF(SUM(BY23:CA23)+SUMPRODUCT(--ISNUMBER(SEARCH(" "&amp;DJ2434:DJ2435&amp;" ",CB23)))&gt;0,"X",IF(CC23&gt;0,"?",""))),"")</f>
        <v/>
      </c>
      <c r="CF23" s="493" cm="1">
        <f t="array" ref="CF23">IF(12=12,IF(AM23="","",SUMPRODUCT(--ISNUMBER(SEARCH(" "&amp;DJ1890:DJ1947&amp;" ",CG23)))),"")</f>
        <v>0</v>
      </c>
      <c r="CG23" s="493" t="str">
        <f>IF(12=12,IF(AM23="","",SUBSTITUTE(SUBSTITUTE(SUBSTITUTE(SUBSTITUTE(SUBSTITUTE(SUBSTITUTE(SUBSTITUTE(SUBSTITUTE(SUBSTITUTE(SUBSTITUTE(SUBSTITUTE(SUBSTITUTE(SUBSTITUTE(SUBSTITUTE(SUBSTITUTE(SUBSTITUTE(SUBSTITUTE(SUBSTITUTE(SUBSTITUTE(SUBSTITUTE(SUBSTITUTE(SUBSTITUTE(SUBSTITUTE(AS23,"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ingredients </v>
      </c>
      <c r="CH23" s="493" cm="1">
        <f t="array" ref="CH23">IF(12=12,IF(AM23="","",SUMPRODUCT(--ISNUMBER(SEARCH(" "&amp;DJ1971:DJ1987&amp;" ",CG23)))),"")</f>
        <v>0</v>
      </c>
      <c r="CI23" s="493" t="str">
        <f>IF(12=12,IF(AM23="","",IF(CF23&gt;0,"X",IF(CH23&gt;0,"?",""))),"")</f>
        <v/>
      </c>
      <c r="CJ23" s="493" cm="1">
        <f t="array" ref="CJ23">IF(12=12,IF(AM23="","",SUMPRODUCT(--ISNUMBER(SEARCH(" "&amp;DJ1988:DJ2001&amp;" ",AS23)))),"")</f>
        <v>0</v>
      </c>
      <c r="CK23" s="493" cm="1">
        <f t="array" ref="CK23">IF(12=12,IF(AM23="","",SUMPRODUCT(--ISNUMBER(SEARCH(" "&amp;DJ2002:DJ2016&amp;" ",AS23)))),"")</f>
        <v>0</v>
      </c>
      <c r="CL23" s="493" t="str">
        <f>IF(12=12,IF(AM23="","",IF((CJ23)-(0)&gt;0,"X",IF((CK23)-(0)&gt;0,"?",""))),"")</f>
        <v/>
      </c>
      <c r="CM23" s="493" cm="1">
        <f t="array" ref="CM23">IF(12=12,IF(AM23="","",SUMPRODUCT(--ISNUMBER(SEARCH(" "&amp;DJ2017:DJ2034&amp;" ",AS23)))),"")</f>
        <v>0</v>
      </c>
      <c r="CN23" s="493" cm="1">
        <f t="array" ref="CN23">IF(12=12,IF(AM23="","",SUMPRODUCT(--ISNUMBER(SEARCH(" "&amp;DJ2035:DJ2049&amp;" ",AS23)))),"")</f>
        <v>0</v>
      </c>
      <c r="CO23" s="493" t="str">
        <f>IF(12=12,IF(AM23="","",IF((CM23)-(0)&gt;0,"X",IF((CN23)-(0)&gt;0,"?",""))),"")</f>
        <v/>
      </c>
      <c r="CP23" s="493" cm="1">
        <f t="array" ref="CP23">IF(12=12,IF(AM23="","",SUMPRODUCT(--ISNUMBER(SEARCH(" "&amp;DJ2050:DJ2068&amp;" ",AS23)))),"")</f>
        <v>0</v>
      </c>
      <c r="CQ23" s="493" cm="1">
        <f t="array" ref="CQ23">IF(12=12,IF(AM23="","",SUMPRODUCT(--ISNUMBER(SEARCH(" "&amp;DJ2069:DJ2083&amp;" ",AS23)))),"")</f>
        <v>0</v>
      </c>
      <c r="CR23" s="493" t="str">
        <f>IF(12=12,IF(AM23="","",IF((CP23)-(0)&gt;0,"X",IF((CQ23)-(0)&gt;0,"?",""))),"")</f>
        <v/>
      </c>
      <c r="CS23" s="493" cm="1">
        <f t="array" ref="CS23">IF(12=12,IF(AM23="","",SUMPRODUCT(--ISNUMBER(SEARCH(" "&amp;DJ2084:DJ2104&amp;" ",AS23)))),"")</f>
        <v>0</v>
      </c>
      <c r="CT23" s="493" cm="1">
        <f t="array" ref="CT23">IF(12=12,IF(AM23="","",SUMPRODUCT(--ISNUMBER(SEARCH(" "&amp;DJ2105:DJ2144&amp;" ",SUBSTITUTE(SUBSTITUTE(AS23," "&amp;DJ1378&amp;" "," ")," "&amp;DJ1377&amp;" "," "))))+--ISNUMBER(SEARCH("poiré",AN23))),"")</f>
        <v>0</v>
      </c>
      <c r="CU23" s="493" t="str">
        <f>IF(12=12,IF(AM23="","",IF(OR(CS23&gt;0,ISNUMBER(SEARCH(" vinaigre de vin ",AS23)),ISNUMBER(SEARCH(" vinaigre au vin ",AS23))),"X",IF(CT23&gt;0,"?",""))),"")</f>
        <v/>
      </c>
      <c r="CV23" s="493" cm="1">
        <f t="array" ref="CV23">IF(12=12,IF(AM23="","",SUMPRODUCT(--ISNUMBER(SEARCH(" "&amp;DJ2145:DJ2157&amp;" ",AS23)))),"")</f>
        <v>0</v>
      </c>
      <c r="CW23" s="493" cm="1">
        <f t="array" ref="CW23">IF(12=12,IF(AM23="","",SUMPRODUCT(--ISNUMBER(SEARCH(" "&amp;DJ2158:DJ2163&amp;" ",AS23)))),"")</f>
        <v>0</v>
      </c>
      <c r="CX23" s="493" t="str">
        <f>IF(12=12,IF(AM23="","",IF((CV23)-(0)&gt;0,"X",IF((CW23)-(0)&gt;0,"?",""))),"")</f>
        <v/>
      </c>
      <c r="CY23" s="493" cm="1">
        <f t="array" ref="CY23">IF(12=12,IF(AM23="","",SUMPRODUCT(--ISNUMBER(SEARCH(" "&amp;DJ2164:DJ2263&amp;" ",DB23)))),"")</f>
        <v>0</v>
      </c>
      <c r="CZ23" s="493" cm="1">
        <f t="array" ref="CZ23">IF(12=12,IF(AM23="","",SUMPRODUCT(--ISNUMBER(SEARCH(" "&amp;DJ2264:DJ2363&amp;" ",DB23)))),"")</f>
        <v>0</v>
      </c>
      <c r="DA23" s="493" cm="1">
        <f t="array" ref="DA23">IF(12=12,IF(AM23="","",SUMPRODUCT(--ISNUMBER(SEARCH(" "&amp;DJ2364:DJ2406&amp;" ",DB23)))),"")</f>
        <v>0</v>
      </c>
      <c r="DB23" s="493" t="str">
        <f>IF(12=12,IF(AM23="","",SUBSTITUTE(SUBSTITUTE(SUBSTITUTE(SUBSTITUTE(SUBSTITUTE(SUBSTITUTE(SUBSTITUTE(SUBSTITUTE(SUBSTITUTE(SUBSTITUTE(SUBSTITUTE(SUBSTITUTE(SUBSTITUTE(SUBSTITUTE(SUBSTITUTE(SUBSTITUTE(AS23," "&amp;DJ2412&amp;" "," ")," "&amp;DJ2411&amp;" "," ")," "&amp;DJ2410&amp;" "," ")," "&amp;DJ2417&amp;" "," ")," "&amp;DJ2409&amp;" "," ")," "&amp;DJ2421&amp;" "," ")," "&amp;DJ2408&amp;" "," ")," "&amp;DJ2413&amp;" "," ")," "&amp;DJ2416&amp;" "," ")," "&amp;DJ2407&amp;" "," ")," "&amp;DJ2415&amp;" "," ")," "&amp;DJ2422&amp;" "," ")," "&amp;DJ2419&amp;" "," ")," "&amp;DJ2414&amp;" "," ")," "&amp;DJ2418&amp;" "," ")," "&amp;DJ2420&amp;" "," ")),"")</f>
        <v xml:space="preserve"> ingredients </v>
      </c>
      <c r="DC23" s="493" cm="1">
        <f t="array" ref="DC23">IF(12=12,IF(AM23="","",SUMPRODUCT(--ISNUMBER(SEARCH(" "&amp;DJ2423:DJ2427&amp;" ",DB23)))),"")</f>
        <v>0</v>
      </c>
      <c r="DD23" s="493" t="str">
        <f>IF(12=12,IF(AM23="","",IF(SUM(CY23:DA23)&gt;0,"X",IF(DC23&gt;0,"?",""))),"")</f>
        <v/>
      </c>
      <c r="DE23" s="494"/>
      <c r="DF23" s="496" t="s">
        <v>1169</v>
      </c>
      <c r="DG23" s="496" t="s">
        <v>1083</v>
      </c>
      <c r="DH23" s="496" t="s">
        <v>689</v>
      </c>
      <c r="DI23" s="496" t="s">
        <v>884</v>
      </c>
      <c r="DJ23" s="496" t="s">
        <v>884</v>
      </c>
      <c r="DK23" s="496" t="s">
        <v>1085</v>
      </c>
      <c r="DL23" s="496" t="s">
        <v>1086</v>
      </c>
      <c r="DM23" s="496" t="s">
        <v>1087</v>
      </c>
      <c r="DN23" s="497" t="s">
        <v>1088</v>
      </c>
      <c r="DP23" s="543">
        <v>1</v>
      </c>
    </row>
    <row r="24" spans="2:120" ht="30" customHeight="1">
      <c r="B24" s="663" t="str">
        <f t="shared" si="0"/>
        <v>• 50 g de poudre d’amandes</v>
      </c>
      <c r="C24" s="663" t="str">
        <f t="shared" si="1"/>
        <v>• 50 g de poudre d’amandes</v>
      </c>
      <c r="D24" s="663" t="str">
        <f>IF(UPPER(TRIM(N11))="X",C24,B24)</f>
        <v>• 50 g de poudre d’amandes</v>
      </c>
      <c r="E24" s="663" cm="1">
        <f t="array" ref="E24">IF(H23&lt;&gt;"",E23,IF(E23="","",IFERROR(MATCH(TRUE(),INDEX(INDEX(K:K,E23+1):K203&lt;&gt;"",0),0)+E23,"")))</f>
        <v>21</v>
      </c>
      <c r="F24" s="663" t="str" cm="1">
        <f t="array" ref="F24">IF(E24="","",IF(H23&lt;&gt;"",H23,INDEX(D:D,E24)))</f>
        <v>• 1 pâte sablée</v>
      </c>
      <c r="G24" s="663" t="str">
        <f t="shared" si="2"/>
        <v>• 1 pâte sablée</v>
      </c>
      <c r="H24" s="673" t="str">
        <f t="shared" si="3"/>
        <v/>
      </c>
      <c r="I24" s="680" t="str">
        <f>IF(AND(F24&lt;&gt;"",N10&gt;0,M24&gt;N10),"Mot &gt; limite","")</f>
        <v/>
      </c>
      <c r="J24" s="674">
        <f>IF(K24="","",COUNTIF(K18:K24,"&lt;&gt;"))</f>
        <v>7</v>
      </c>
      <c r="K24" s="675" t="s">
        <v>6469</v>
      </c>
      <c r="L24" s="674">
        <f t="shared" si="4"/>
        <v>26</v>
      </c>
      <c r="M24" s="643">
        <f>IF(OR(F24="",N10="",N10&lt;=0),"",IF(LEN(F24)&lt;=N10,LEN(F24),IFERROR(FIND("♦",SUBSTITUTE(LEFT(F24,N10)," ","♦",LEN(LEFT(F24,N10))-LEN(SUBSTITUTE(LEFT(F24,N10)," ","")))),FIND(" ",F24&amp;" ",N10+1)-1)))</f>
        <v>15</v>
      </c>
      <c r="N24" s="676">
        <f t="shared" si="5"/>
        <v>7</v>
      </c>
      <c r="O24" s="677" t="str">
        <f t="shared" si="6"/>
        <v>• 1 pâte sablée</v>
      </c>
      <c r="P24" s="676">
        <f t="shared" si="7"/>
        <v>4</v>
      </c>
      <c r="Q24" s="676">
        <f t="shared" si="8"/>
        <v>15</v>
      </c>
      <c r="S24" s="509">
        <v>7</v>
      </c>
      <c r="T24" s="678" t="str">
        <f t="shared" si="10"/>
        <v>• 1 pâte sablée</v>
      </c>
      <c r="U24" s="679" t="str">
        <f t="shared" si="9"/>
        <v>• 1 pâte sablée *</v>
      </c>
      <c r="V24" s="512" t="str">
        <f>IF(13=13,IF(T24="","",IF(W24="X",""&amp;"Céréales contenant du gluten","")&amp;IF(X24="X",IF(COUNTIF(W24:W24,"X")&gt;0,", ","")&amp;"Crustacés","")&amp;IF(Y24="X",IF(COUNTIF(W24:X24,"X")&gt;0,", ","")&amp;"Œufs","")&amp;IF(Z24="X",IF(COUNTIF(W24:Y24,"X")&gt;0,", ","")&amp;"Poissons","")&amp;IF(AA24="X",IF(COUNTIF(W24:Z24,"X")&gt;0,", ","")&amp;"Arachides","")&amp;IF(AB24="X",IF(COUNTIF(W24:AA24,"X")&gt;0,", ","")&amp;"Soja","")&amp;IF(AC24="X",IF(COUNTIF(W24:AB24,"X")&gt;0,", ","")&amp;"Lait","")&amp;IF(AD24="X",IF(COUNTIF(W24:AC24,"X")&gt;0,", ","")&amp;"Fruits à coque","")&amp;IF(AE24="X",IF(COUNTIF(W24:AD24,"X")&gt;0,", ","")&amp;"Céleri","")&amp;IF(AF24="X",IF(COUNTIF(W24:AE24,"X")&gt;0,", ","")&amp;"Moutarde","")&amp;IF(AG24="X",IF(COUNTIF(W24:AF24,"X")&gt;0,", ","")&amp;"Sésame","")&amp;IF(AH24="X",IF(COUNTIF(W24:AG24,"X")&gt;0,", ","")&amp;"Sulfites","")&amp;IF(AI24="X",IF(COUNTIF(W24:AH24,"X")&gt;0,", ","")&amp;"Lupin","")&amp;IF(AJ24="X",IF(COUNTIF(W24:AI24,"X")&gt;0,", ","")&amp;"Mollusques","")),"")</f>
        <v>Céréales contenant du gluten</v>
      </c>
      <c r="W24" s="513" t="str">
        <f>IF(13=13,IF(T24="","",AX24),"")</f>
        <v>X</v>
      </c>
      <c r="X24" s="513" t="str">
        <f>IF(13=13,IF(T24="","",BA24),"")</f>
        <v/>
      </c>
      <c r="Y24" s="513" t="str">
        <f>IF(13=13,IF(T24="","",BE24),"")</f>
        <v>?</v>
      </c>
      <c r="Z24" s="513" t="str">
        <f>IF(13=13,IF(T24="","",IF(ISNUMBER(SEARCH(" colin ",AS24)),"X",BR24)),"")</f>
        <v/>
      </c>
      <c r="AA24" s="513" t="str">
        <f>IF(13=13,IF(T24="","",BT24),"")</f>
        <v/>
      </c>
      <c r="AB24" s="513" t="str">
        <f>IF(13=13,IF(T24="","",BX24),"")</f>
        <v/>
      </c>
      <c r="AC24" s="513" t="str">
        <f>IF(13=13,IF(T24="","",CE24),"")</f>
        <v/>
      </c>
      <c r="AD24" s="513" t="str">
        <f>IF(13=13,IF(T24="","",CI24),"")</f>
        <v/>
      </c>
      <c r="AE24" s="513" t="str">
        <f>IF(13=13,IF(T24="","",CL24),"")</f>
        <v>?</v>
      </c>
      <c r="AF24" s="513" t="str">
        <f>IF(13=13,IF(T24="","",CO24),"")</f>
        <v>?</v>
      </c>
      <c r="AG24" s="513" t="str">
        <f>IF(13=13,IF(T24="","",CR24),"")</f>
        <v/>
      </c>
      <c r="AH24" s="513" t="str">
        <f>IF(13=13,IF(T24="","",CU24),"")</f>
        <v/>
      </c>
      <c r="AI24" s="513" t="str">
        <f>IF(13=13,IF(T24="","",CX24),"")</f>
        <v/>
      </c>
      <c r="AJ24" s="513" t="str">
        <f>IF(13=13,IF(T24="","",DD24),"")</f>
        <v/>
      </c>
      <c r="AK24" s="514" t="str">
        <f>IF(13=13,IF(T24="","",IF(W24="?",""&amp;"Céréales contenant du gluten","")&amp;IF(X24="?",IF(COUNTIF(W24:W24,"~?")&gt;0,", ","")&amp;"Crustacés","")&amp;IF(Y24="?",IF(COUNTIF(W24:X24,"~?")&gt;0,", ","")&amp;"Œufs","")&amp;IF(Z24="?",IF(COUNTIF(W24:Y24,"~?")&gt;0,", ","")&amp;"Poissons","")&amp;IF(AA24="?",IF(COUNTIF(W24:Z24,"~?")&gt;0,", ","")&amp;"Arachides","")&amp;IF(AB24="?",IF(COUNTIF(W24:AA24,"~?")&gt;0,", ","")&amp;"Soja","")&amp;IF(AC24="?",IF(COUNTIF(W24:AB24,"~?")&gt;0,", ","")&amp;"Lait","")&amp;IF(AD24="?",IF(COUNTIF(W24:AC24,"~?")&gt;0,", ","")&amp;"Fruits à coque","")&amp;IF(AE24="?",IF(COUNTIF(W24:AD24,"~?")&gt;0,", ","")&amp;"Céleri","")&amp;IF(AF24="?",IF(COUNTIF(W24:AE24,"~?")&gt;0,", ","")&amp;"Moutarde","")&amp;IF(AG24="?",IF(COUNTIF(W24:AF24,"~?")&gt;0,", ","")&amp;"Sésame","")&amp;IF(AH24="?",IF(COUNTIF(W24:AG24,"~?")&gt;0,", ","")&amp;"Sulfites","")&amp;IF(AI24="?",IF(COUNTIF(W24:AH24,"~?")&gt;0,", ","")&amp;"Lupin","")&amp;IF(AJ24="?",IF(COUNTIF(W24:AI24,"~?")&gt;0,", ","")&amp;"Mollusques","")),"")</f>
        <v>Œufs, Céleri, Moutarde</v>
      </c>
      <c r="AM24" s="493" t="str">
        <f>IF(13=13,IF(T24="","",T24),"")</f>
        <v>• 1 pâte sablée</v>
      </c>
      <c r="AN24" s="493" t="str">
        <f>IF(13=13,LOWER(CLEAN(SUBSTITUTE(SUBSTITUTE(SUBSTITUTE(SUBSTITUTE(AM24,CHAR(160)," ")," "," "),CHAR(10)," "),CHAR(13)," "))),"")</f>
        <v>• 1 pâte sablée</v>
      </c>
      <c r="AO24" s="493" t="str">
        <f>IF(13=13,SUBSTITUTE(SUBSTITUTE(SUBSTITUTE(SUBSTITUTE(SUBSTITUTE(SUBSTITUTE(SUBSTITUTE(SUBSTITUTE(SUBSTITUTE(SUBSTITUTE(SUBSTITUTE(SUBSTITUTE(AN24,"œ","oe"),"æ","ae"),"à","a"),"á","a"),"â","a"),"ä","a"),"ã","a"),"ç","c"),"è","e"),"é","e"),"ê","e"),"ë","e"),"")</f>
        <v>• 1 pate sablee</v>
      </c>
      <c r="AP24" s="493" t="str">
        <f>IF(13=13,SUBSTITUTE(SUBSTITUTE(SUBSTITUTE(SUBSTITUTE(SUBSTITUTE(SUBSTITUTE(SUBSTITUTE(SUBSTITUTE(SUBSTITUTE(SUBSTITUTE(SUBSTITUTE(SUBSTITUTE(SUBSTITUTE(SUBSTITUTE(SUBSTITUTE(SUBSTITUTE(AO24,"ì","i"),"í","i"),"î","i"),"ï","i"),"ñ","n"),"ò","o"),"ó","o"),"ô","o"),"ö","o"),"õ","o"),"ù","u"),"ú","u"),"û","u"),"ü","u"),"ý","y"),"ÿ","y"),"")</f>
        <v>• 1 pate sablee</v>
      </c>
      <c r="AQ24" s="493" t="str">
        <f>IF(13=13,SUBSTITUTE(SUBSTITUTE(SUBSTITUTE(SUBSTITUTE(SUBSTITUTE(SUBSTITUTE(SUBSTITUTE(SUBSTITUTE(SUBSTITUTE(SUBSTITUTE(SUBSTITUTE(SUBSTITUTE(SUBSTITUTE(SUBSTITUTE(AP24,"’"," "),"`"," "),"–"," "),"—"," "),"-"," "),"'"," "),"/"," "),"_"," "),","," "),"."," "),"("," "),")"," "),";"," "),":"," "),"")</f>
        <v>• 1 pate sablee</v>
      </c>
      <c r="AR24" s="493" t="str">
        <f>IF(13=13,SUBSTITUTE(SUBSTITUTE(SUBSTITUTE(SUBSTITUTE(SUBSTITUTE(SUBSTITUTE(SUBSTITUTE(SUBSTITUTE(SUBSTITUTE(SUBSTITUTE(SUBSTITUTE(SUBSTITUTE(SUBSTITUTE(SUBSTITUTE(SUBSTITUTE(AQ24,"!"," "),"?"," "),"+"," "),"*"," "),"&amp;"," "),"["," "),"]"," "),"{"," "),"}"," "),"%"," "),"="," "),"\"," "),"|"," "),"&lt;"," "),"&gt;"," "),"")</f>
        <v>• 1 pate sablee</v>
      </c>
      <c r="AS24" s="493" t="str">
        <f>IF(13=13," "&amp;TRIM(SUBSTITUTE(SUBSTITUTE(SUBSTITUTE(SUBSTITUTE(SUBSTITUTE(SUBSTITUTE(AR24,CHAR(34)," "),"  "," "),"  "," "),"  "," "),"  "," "),"  "," "))&amp;" ","")</f>
        <v xml:space="preserve"> • 1 pate sablee </v>
      </c>
      <c r="AT24" s="493" cm="1">
        <f t="array" ref="AT24">IF(13=13,IF(AM24="","",SUMPRODUCT(--ISNUMBER(SEARCH(" "&amp;DJ13:DJ112&amp;" ",AV24)))),"")</f>
        <v>0</v>
      </c>
      <c r="AU24" s="493" cm="1">
        <f t="array" ref="AU24">IF(13=13,IF(AM24="","",SUMPRODUCT(--ISNUMBER(SEARCH(" "&amp;DJ113:DJ162&amp;" ",AV24)))),"")</f>
        <v>1</v>
      </c>
      <c r="AV24" s="493" t="str">
        <f>IF(AM24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24,"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1 pate sablee </v>
      </c>
      <c r="AW24" s="493" cm="1">
        <f t="array" ref="AW24">IF(AM24="","",SUMPRODUCT(--ISNUMBER(SEARCH(" "&amp;DJ195:DJ216&amp;" ",AV24)))+--ISNUMBER(SEARCH(" "&amp;DJ2465&amp;" ",AV24)))</f>
        <v>0</v>
      </c>
      <c r="AX24" s="493" t="str" cm="1">
        <f t="array" ref="AX24">IF(13=13,IF(AM24="","",IF(SUM(AT24:AU24)+SUMPRODUCT(--ISNUMBER(SEARCH(" "&amp;DJ2429:DJ2431&amp;" ",AV24)))&gt;0,"X",IF(AW24&gt;0,"?",""))),"")</f>
        <v>X</v>
      </c>
      <c r="AY24" s="493" cm="1">
        <f t="array" ref="AY24">IF(13=13,IF(AM24="","",SUMPRODUCT(--ISNUMBER(SEARCH(" "&amp;DJ217:DJ316&amp;" ",AS24)))),"")</f>
        <v>0</v>
      </c>
      <c r="AZ24" s="493" cm="1">
        <f t="array" ref="AZ24">IF(13=13,IF(AM24="","",SUMPRODUCT(--ISNUMBER(SEARCH(" "&amp;DJ317:DJ351&amp;" ",AS24)))),"")</f>
        <v>0</v>
      </c>
      <c r="BA24" s="493" t="str">
        <f>IF(13=13,IF(AM24="","",IF((SUM(AY24:AZ24))-(0)&gt;0,"X",IF((0)-(0)&gt;0,"?",""))),"")</f>
        <v/>
      </c>
      <c r="BB24" s="493" cm="1">
        <f t="array" ref="BB24">IF(13=13,IF(AM24="","",SUMPRODUCT(--ISNUMBER(SEARCH(" "&amp;DJ352:DJ409&amp;" ",AS24)))),"")</f>
        <v>0</v>
      </c>
      <c r="BC24" s="493" cm="1">
        <f t="array" ref="BC24">IF(13=13,IF(AM24="","",SUMPRODUCT(--ISNUMBER(SEARCH(" "&amp;DJ410:DJ437&amp;" ",BD24)))+SUMPRODUCT(--ISNUMBER(SEARCH(" "&amp;DJ2451:DJ2464&amp;" ",BD24)))),"")</f>
        <v>1</v>
      </c>
      <c r="BD24" s="493" t="str">
        <f>IF(13=13,IF(AM24="","",SUBSTITUTE(SUBSTITUTE(SUBSTITUTE(SUBSTITUTE(SUBSTITUTE(SUBSTITUTE(SUBSTITUTE(SUBSTITUTE(SUBSTITUTE(SUBSTITUTE(SUBSTITUTE(SUBSTITUTE(SUBSTITUTE(SUBSTITUTE(AS24," "&amp;DJ2466&amp;" "," ")," "&amp;DJ444&amp;" "," ")," "&amp;DJ442&amp;" "," ")," "&amp;DJ2449&amp;" "," ")," "&amp;DJ2450&amp;" "," ")," "&amp;DJ439&amp;" "," ")," "&amp;DJ443&amp;" "," ")," "&amp;DJ445&amp;" "," ")," "&amp;DJ440&amp;" "," ")," "&amp;DJ438&amp;" "," ")," "&amp;DJ1378&amp;" "," ")," "&amp;DJ446&amp;" "," ")," "&amp;DJ1377&amp;" "," ")," "&amp;DJ441&amp;" "," ")),"")</f>
        <v xml:space="preserve"> • 1 pate sablee </v>
      </c>
      <c r="BE24" s="493" t="str">
        <f>IF(13=13,IF(AM24="","",IF(BB24&gt;0,"X",IF(BC24&gt;0,"?",""))),"")</f>
        <v>?</v>
      </c>
      <c r="BF24" s="493" cm="1">
        <f t="array" ref="BF24">IF(13=13,IF(AM24="","",SUMPRODUCT(--ISNUMBER(SEARCH(" "&amp;DJ447:DJ546&amp;" ",BP24)))),"")</f>
        <v>0</v>
      </c>
      <c r="BG24" s="493" cm="1">
        <f t="array" ref="BG24">IF(13=13,IF(AM24="","",SUMPRODUCT(--ISNUMBER(SEARCH(" "&amp;DJ547:DJ646&amp;" ",BP24)))),"")</f>
        <v>0</v>
      </c>
      <c r="BH24" s="493" cm="1">
        <f t="array" ref="BH24">IF(13=13,IF(AM24="","",SUMPRODUCT(--ISNUMBER(SEARCH(" "&amp;DJ647:DJ746&amp;" ",BP24)))),"")</f>
        <v>0</v>
      </c>
      <c r="BI24" s="493" cm="1">
        <f t="array" ref="BI24">IF(13=13,IF(AM24="","",SUMPRODUCT(--ISNUMBER(SEARCH(" "&amp;DJ747:DJ846&amp;" ",BP24)))),"")</f>
        <v>0</v>
      </c>
      <c r="BJ24" s="493" cm="1">
        <f t="array" ref="BJ24">IF(13=13,IF(AM24="","",SUMPRODUCT(--ISNUMBER(SEARCH(" "&amp;DJ847:DJ946&amp;" ",BP24)))),"")</f>
        <v>0</v>
      </c>
      <c r="BK24" s="493" cm="1">
        <f t="array" ref="BK24">IF(13=13,IF(AM24="","",SUMPRODUCT(--ISNUMBER(SEARCH(" "&amp;DJ947:DJ1046&amp;" ",BP24)))),"")</f>
        <v>0</v>
      </c>
      <c r="BL24" s="493" cm="1">
        <f t="array" ref="BL24">IF(13=13,IF(AM24="","",SUMPRODUCT(--ISNUMBER(SEARCH(" "&amp;DJ1047:DJ1146&amp;" ",BP24)))),"")</f>
        <v>0</v>
      </c>
      <c r="BM24" s="493" cm="1">
        <f t="array" ref="BM24">IF(13=13,IF(AM24="","",SUMPRODUCT(--ISNUMBER(SEARCH(" "&amp;DJ1147:DJ1246&amp;" ",BP24)))),"")</f>
        <v>0</v>
      </c>
      <c r="BN24" s="493" cm="1">
        <f t="array" ref="BN24">IF(13=13,IF(AM24="","",SUMPRODUCT(--ISNUMBER(SEARCH(" "&amp;DJ1247:DJ1346&amp;" ",BP24)))),"")</f>
        <v>0</v>
      </c>
      <c r="BO24" s="493" cm="1">
        <f t="array" ref="BO24">IF(13=13,IF(AM24="","",SUMPRODUCT(--ISNUMBER(SEARCH(" "&amp;DJ1347:DJ1374&amp;" ",BP24)))),"")</f>
        <v>0</v>
      </c>
      <c r="BP24" s="493" t="str">
        <f>IF(13=13,IF(AM24="","",SUBSTITUTE(SUBSTITUTE(SUBSTITUTE(SUBSTITUTE(SUBSTITUTE(SUBSTITUTE(SUBSTITUTE(SUBSTITUTE(SUBSTITUTE(AS24," "&amp;DJ1376&amp;" "," ")," "&amp;DJ1375&amp;" "," ")," "&amp;DJ1381&amp;" "," ")," "&amp;DJ1382&amp;" "," ")," "&amp;DJ1378&amp;" "," ")," "&amp;DJ1380&amp;" "," ")," "&amp;DJ1377&amp;" "," ")," "&amp;DJ1379&amp;" "," ")," "&amp;DJ1383&amp;" "," ")),"")</f>
        <v xml:space="preserve"> • 1 pate sablee </v>
      </c>
      <c r="BQ24" s="493" cm="1">
        <f t="array" ref="BQ24">IF(13=13,IF(AM24="","",SUMPRODUCT(--ISNUMBER(SEARCH(" "&amp;DJ1384:DJ1394&amp;" ",BP24)))),"")</f>
        <v>0</v>
      </c>
      <c r="BR24" s="493" t="str" cm="1">
        <f t="array" ref="BR24">IF(13=13,IF(AM24="","",IF(SUM(BF24:BO24)+SUMPRODUCT(--ISNUMBER(SEARCH(" "&amp;DJ2432:DJ2433&amp;" ",BP24)))&gt;0,"X",IF(BQ24&gt;0,"?",""))),"")</f>
        <v/>
      </c>
      <c r="BS24" s="493" cm="1">
        <f t="array" ref="BS24">IF(13=13,IF(AM24="","",SUMPRODUCT(--ISNUMBER(SEARCH(" "&amp;DJ1395:DJ1415&amp;" ",AS24)))),"")</f>
        <v>0</v>
      </c>
      <c r="BT24" s="493" t="str">
        <f>IF(13=13,IF(AM24="","",IF((BS24)-(0)&gt;0,"X",IF((0)-(0)&gt;0,"?",""))),"")</f>
        <v/>
      </c>
      <c r="BU24" s="493" cm="1">
        <f t="array" ref="BU24">IF(13=13,IF(AM24="","",SUMPRODUCT(--ISNUMBER(SEARCH(" "&amp;DJ1416:DJ1453&amp;" ",BV24)))),"")</f>
        <v>0</v>
      </c>
      <c r="BV24" s="493" t="str">
        <f>IF(13=13,IF(AM24="","",SUBSTITUTE(SUBSTITUTE(AS24," "&amp;DJ1454&amp;" "," ")," "&amp;DJ1455&amp;" "," ")),"")</f>
        <v xml:space="preserve"> • 1 pate sablee </v>
      </c>
      <c r="BW24" s="493" cm="1">
        <f t="array" ref="BW24">IF(13=13,IF(AM24="","",SUMPRODUCT(--ISNUMBER(SEARCH(" "&amp;DJ1456:DJ1466&amp;" ",BV24)))),"")</f>
        <v>0</v>
      </c>
      <c r="BX24" s="493" t="str">
        <f>IF(13=13,IF(AM24="","",IF(BU24&gt;0,"X",IF(BW24&gt;0,"?",""))),"")</f>
        <v/>
      </c>
      <c r="BY24" s="493" cm="1">
        <f t="array" ref="BY24">IF(13=13,IF(AM24="","",SUMPRODUCT(--ISNUMBER(SEARCH(" "&amp;DJ1467:DJ1566&amp;" ",CB24)))),"")</f>
        <v>0</v>
      </c>
      <c r="BZ24" s="493" cm="1">
        <f t="array" ref="BZ24">IF(13=13,IF(AM24="","",SUMPRODUCT(--ISNUMBER(SEARCH(" "&amp;DJ1567:DJ1666&amp;" ",CB24)))),"")</f>
        <v>0</v>
      </c>
      <c r="CA24" s="493" cm="1">
        <f t="array" ref="CA24">IF(13=13,IF(AM24="","",SUMPRODUCT(--ISNUMBER(SEARCH(" "&amp;DJ1667:DJ1750&amp;" ",CB24)))),"")</f>
        <v>0</v>
      </c>
      <c r="CB24" s="493" t="str">
        <f>IF(13=13,IF(AM24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24,"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1 pate sablee </v>
      </c>
      <c r="CC24" s="493" cm="1">
        <f t="array" ref="CC24">IF(13=13,IF(AM24="","",SUMPRODUCT(--ISNUMBER(SEARCH(" "&amp;DJ1801:DJ1880&amp;" ",CD24)))+SUMPRODUCT(--ISNUMBER(SEARCH(" "&amp;DJ2451:DJ2464&amp;" ",CD24)))),"")</f>
        <v>0</v>
      </c>
      <c r="CD24" s="493" t="str">
        <f>IF(13=13,IF(AM24="","",SUBSTITUTE(SUBSTITUTE(SUBSTITUTE(SUBSTITUTE(SUBSTITUTE(SUBSTITUTE(SUBSTITUTE(SUBSTITUTE(SUBSTITUTE(SUBSTITUTE(SUBSTITUTE(SUBSTITUTE(SUBSTITUTE(CB24," "&amp;DJ1887&amp;" "," ")," "&amp;DJ1885&amp;" "," ")," "&amp;DJ2449&amp;" "," ")," "&amp;DJ2450&amp;" "," ")," "&amp;DJ1882&amp;" "," ")," "&amp;DJ1886&amp;" "," ")," "&amp;DJ1888&amp;" "," ")," "&amp;DJ1883&amp;" "," ")," "&amp;DJ1881&amp;" "," ")," "&amp;DJ1378&amp;" "," ")," "&amp;DJ1889&amp;" "," ")," "&amp;DJ1377&amp;" "," ")," "&amp;DJ1884&amp;" "," ")),"")</f>
        <v xml:space="preserve"> • 1 pate sablee </v>
      </c>
      <c r="CE24" s="493" t="str" cm="1">
        <f t="array" ref="CE24">IF(13=13,IF(AM24="","",IF(SUM(BY24:CA24)+SUMPRODUCT(--ISNUMBER(SEARCH(" "&amp;DJ2434:DJ2435&amp;" ",CB24)))&gt;0,"X",IF(CC24&gt;0,"?",""))),"")</f>
        <v/>
      </c>
      <c r="CF24" s="493" cm="1">
        <f t="array" ref="CF24">IF(13=13,IF(AM24="","",SUMPRODUCT(--ISNUMBER(SEARCH(" "&amp;DJ1890:DJ1947&amp;" ",CG24)))),"")</f>
        <v>0</v>
      </c>
      <c r="CG24" s="493" t="str">
        <f>IF(13=13,IF(AM24="","",SUBSTITUTE(SUBSTITUTE(SUBSTITUTE(SUBSTITUTE(SUBSTITUTE(SUBSTITUTE(SUBSTITUTE(SUBSTITUTE(SUBSTITUTE(SUBSTITUTE(SUBSTITUTE(SUBSTITUTE(SUBSTITUTE(SUBSTITUTE(SUBSTITUTE(SUBSTITUTE(SUBSTITUTE(SUBSTITUTE(SUBSTITUTE(SUBSTITUTE(SUBSTITUTE(SUBSTITUTE(SUBSTITUTE(AS24,"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1 pate sablee </v>
      </c>
      <c r="CH24" s="493" cm="1">
        <f t="array" ref="CH24">IF(13=13,IF(AM24="","",SUMPRODUCT(--ISNUMBER(SEARCH(" "&amp;DJ1971:DJ1987&amp;" ",CG24)))),"")</f>
        <v>0</v>
      </c>
      <c r="CI24" s="493" t="str">
        <f>IF(13=13,IF(AM24="","",IF(CF24&gt;0,"X",IF(CH24&gt;0,"?",""))),"")</f>
        <v/>
      </c>
      <c r="CJ24" s="493" cm="1">
        <f t="array" ref="CJ24">IF(13=13,IF(AM24="","",SUMPRODUCT(--ISNUMBER(SEARCH(" "&amp;DJ1988:DJ2001&amp;" ",AS24)))),"")</f>
        <v>0</v>
      </c>
      <c r="CK24" s="493" cm="1">
        <f t="array" ref="CK24">IF(13=13,IF(AM24="","",SUMPRODUCT(--ISNUMBER(SEARCH(" "&amp;DJ2002:DJ2016&amp;" ",AS24)))),"")</f>
        <v>1</v>
      </c>
      <c r="CL24" s="493" t="str">
        <f>IF(13=13,IF(AM24="","",IF((CJ24)-(0)&gt;0,"X",IF((CK24)-(0)&gt;0,"?",""))),"")</f>
        <v>?</v>
      </c>
      <c r="CM24" s="493" cm="1">
        <f t="array" ref="CM24">IF(13=13,IF(AM24="","",SUMPRODUCT(--ISNUMBER(SEARCH(" "&amp;DJ2017:DJ2034&amp;" ",AS24)))),"")</f>
        <v>0</v>
      </c>
      <c r="CN24" s="493" cm="1">
        <f t="array" ref="CN24">IF(13=13,IF(AM24="","",SUMPRODUCT(--ISNUMBER(SEARCH(" "&amp;DJ2035:DJ2049&amp;" ",AS24)))),"")</f>
        <v>1</v>
      </c>
      <c r="CO24" s="493" t="str">
        <f>IF(13=13,IF(AM24="","",IF((CM24)-(0)&gt;0,"X",IF((CN24)-(0)&gt;0,"?",""))),"")</f>
        <v>?</v>
      </c>
      <c r="CP24" s="493" cm="1">
        <f t="array" ref="CP24">IF(13=13,IF(AM24="","",SUMPRODUCT(--ISNUMBER(SEARCH(" "&amp;DJ2050:DJ2068&amp;" ",AS24)))),"")</f>
        <v>0</v>
      </c>
      <c r="CQ24" s="493" cm="1">
        <f t="array" ref="CQ24">IF(13=13,IF(AM24="","",SUMPRODUCT(--ISNUMBER(SEARCH(" "&amp;DJ2069:DJ2083&amp;" ",AS24)))),"")</f>
        <v>0</v>
      </c>
      <c r="CR24" s="493" t="str">
        <f>IF(13=13,IF(AM24="","",IF((CP24)-(0)&gt;0,"X",IF((CQ24)-(0)&gt;0,"?",""))),"")</f>
        <v/>
      </c>
      <c r="CS24" s="493" cm="1">
        <f t="array" ref="CS24">IF(13=13,IF(AM24="","",SUMPRODUCT(--ISNUMBER(SEARCH(" "&amp;DJ2084:DJ2104&amp;" ",AS24)))),"")</f>
        <v>0</v>
      </c>
      <c r="CT24" s="493" cm="1">
        <f t="array" ref="CT24">IF(13=13,IF(AM24="","",SUMPRODUCT(--ISNUMBER(SEARCH(" "&amp;DJ2105:DJ2144&amp;" ",SUBSTITUTE(SUBSTITUTE(AS24," "&amp;DJ1378&amp;" "," ")," "&amp;DJ1377&amp;" "," "))))+--ISNUMBER(SEARCH("poiré",AN24))),"")</f>
        <v>0</v>
      </c>
      <c r="CU24" s="493" t="str">
        <f>IF(13=13,IF(AM24="","",IF(OR(CS24&gt;0,ISNUMBER(SEARCH(" vinaigre de vin ",AS24)),ISNUMBER(SEARCH(" vinaigre au vin ",AS24))),"X",IF(CT24&gt;0,"?",""))),"")</f>
        <v/>
      </c>
      <c r="CV24" s="493" cm="1">
        <f t="array" ref="CV24">IF(13=13,IF(AM24="","",SUMPRODUCT(--ISNUMBER(SEARCH(" "&amp;DJ2145:DJ2157&amp;" ",AS24)))),"")</f>
        <v>0</v>
      </c>
      <c r="CW24" s="493" cm="1">
        <f t="array" ref="CW24">IF(13=13,IF(AM24="","",SUMPRODUCT(--ISNUMBER(SEARCH(" "&amp;DJ2158:DJ2163&amp;" ",AS24)))),"")</f>
        <v>0</v>
      </c>
      <c r="CX24" s="493" t="str">
        <f>IF(13=13,IF(AM24="","",IF((CV24)-(0)&gt;0,"X",IF((CW24)-(0)&gt;0,"?",""))),"")</f>
        <v/>
      </c>
      <c r="CY24" s="493" cm="1">
        <f t="array" ref="CY24">IF(13=13,IF(AM24="","",SUMPRODUCT(--ISNUMBER(SEARCH(" "&amp;DJ2164:DJ2263&amp;" ",DB24)))),"")</f>
        <v>0</v>
      </c>
      <c r="CZ24" s="493" cm="1">
        <f t="array" ref="CZ24">IF(13=13,IF(AM24="","",SUMPRODUCT(--ISNUMBER(SEARCH(" "&amp;DJ2264:DJ2363&amp;" ",DB24)))),"")</f>
        <v>0</v>
      </c>
      <c r="DA24" s="493" cm="1">
        <f t="array" ref="DA24">IF(13=13,IF(AM24="","",SUMPRODUCT(--ISNUMBER(SEARCH(" "&amp;DJ2364:DJ2406&amp;" ",DB24)))),"")</f>
        <v>0</v>
      </c>
      <c r="DB24" s="493" t="str">
        <f>IF(13=13,IF(AM24="","",SUBSTITUTE(SUBSTITUTE(SUBSTITUTE(SUBSTITUTE(SUBSTITUTE(SUBSTITUTE(SUBSTITUTE(SUBSTITUTE(SUBSTITUTE(SUBSTITUTE(SUBSTITUTE(SUBSTITUTE(SUBSTITUTE(SUBSTITUTE(SUBSTITUTE(SUBSTITUTE(AS24," "&amp;DJ2412&amp;" "," ")," "&amp;DJ2411&amp;" "," ")," "&amp;DJ2410&amp;" "," ")," "&amp;DJ2417&amp;" "," ")," "&amp;DJ2409&amp;" "," ")," "&amp;DJ2421&amp;" "," ")," "&amp;DJ2408&amp;" "," ")," "&amp;DJ2413&amp;" "," ")," "&amp;DJ2416&amp;" "," ")," "&amp;DJ2407&amp;" "," ")," "&amp;DJ2415&amp;" "," ")," "&amp;DJ2422&amp;" "," ")," "&amp;DJ2419&amp;" "," ")," "&amp;DJ2414&amp;" "," ")," "&amp;DJ2418&amp;" "," ")," "&amp;DJ2420&amp;" "," ")),"")</f>
        <v xml:space="preserve"> • 1 pate sablee </v>
      </c>
      <c r="DC24" s="493" cm="1">
        <f t="array" ref="DC24">IF(13=13,IF(AM24="","",SUMPRODUCT(--ISNUMBER(SEARCH(" "&amp;DJ2423:DJ2427&amp;" ",DB24)))),"")</f>
        <v>0</v>
      </c>
      <c r="DD24" s="493" t="str">
        <f>IF(13=13,IF(AM24="","",IF(SUM(CY24:DA24)&gt;0,"X",IF(DC24&gt;0,"?",""))),"")</f>
        <v/>
      </c>
      <c r="DE24" s="494"/>
      <c r="DF24" s="496" t="s">
        <v>1170</v>
      </c>
      <c r="DG24" s="496" t="s">
        <v>1083</v>
      </c>
      <c r="DH24" s="496" t="s">
        <v>689</v>
      </c>
      <c r="DI24" s="496" t="s">
        <v>309</v>
      </c>
      <c r="DJ24" s="496" t="s">
        <v>309</v>
      </c>
      <c r="DK24" s="496" t="s">
        <v>1085</v>
      </c>
      <c r="DL24" s="496" t="s">
        <v>1086</v>
      </c>
      <c r="DM24" s="496" t="s">
        <v>1087</v>
      </c>
      <c r="DN24" s="497" t="s">
        <v>1088</v>
      </c>
      <c r="DP24" s="543">
        <v>1</v>
      </c>
    </row>
    <row r="25" spans="2:120" ht="30" customHeight="1">
      <c r="B25" s="663" t="str">
        <f t="shared" si="0"/>
        <v>• 50 g d’amandes effilées</v>
      </c>
      <c r="C25" s="663" t="str">
        <f t="shared" si="1"/>
        <v>• 50 g d’amandes effilées</v>
      </c>
      <c r="D25" s="663" t="str">
        <f>IF(UPPER(TRIM(N11))="X",C25,B25)</f>
        <v>• 50 g d’amandes effilées</v>
      </c>
      <c r="E25" s="663" cm="1">
        <f t="array" ref="E25">IF(H24&lt;&gt;"",E24,IF(E24="","",IFERROR(MATCH(TRUE(),INDEX(INDEX(K:K,E24+1):K203&lt;&gt;"",0),0)+E24,"")))</f>
        <v>22</v>
      </c>
      <c r="F25" s="663" t="str" cm="1">
        <f t="array" ref="F25">IF(E25="","",IF(H24&lt;&gt;"",H24,INDEX(D:D,E25)))</f>
        <v>• 6 pommes</v>
      </c>
      <c r="G25" s="663" t="str">
        <f t="shared" si="2"/>
        <v>• 6 pommes</v>
      </c>
      <c r="H25" s="673" t="str">
        <f t="shared" si="3"/>
        <v/>
      </c>
      <c r="I25" s="680" t="str">
        <f>IF(AND(F25&lt;&gt;"",N10&gt;0,M25&gt;N10),"Mot &gt; limite","")</f>
        <v/>
      </c>
      <c r="J25" s="674">
        <f>IF(K25="","",COUNTIF(K18:K25,"&lt;&gt;"))</f>
        <v>8</v>
      </c>
      <c r="K25" s="675" t="s">
        <v>6470</v>
      </c>
      <c r="L25" s="674">
        <f t="shared" si="4"/>
        <v>25</v>
      </c>
      <c r="M25" s="643">
        <f>IF(OR(F25="",N10="",N10&lt;=0),"",IF(LEN(F25)&lt;=N10,LEN(F25),IFERROR(FIND("♦",SUBSTITUTE(LEFT(F25,N10)," ","♦",LEN(LEFT(F25,N10))-LEN(SUBSTITUTE(LEFT(F25,N10)," ","")))),FIND(" ",F25&amp;" ",N10+1)-1)))</f>
        <v>10</v>
      </c>
      <c r="N25" s="676">
        <f t="shared" si="5"/>
        <v>8</v>
      </c>
      <c r="O25" s="677" t="str">
        <f t="shared" si="6"/>
        <v>• 6 pommes</v>
      </c>
      <c r="P25" s="676">
        <f t="shared" si="7"/>
        <v>3</v>
      </c>
      <c r="Q25" s="676">
        <f t="shared" si="8"/>
        <v>10</v>
      </c>
      <c r="S25" s="509">
        <v>8</v>
      </c>
      <c r="T25" s="678" t="str">
        <f t="shared" si="10"/>
        <v>• 6 pommes</v>
      </c>
      <c r="U25" s="679" t="str">
        <f t="shared" si="9"/>
        <v>• 6 pommes</v>
      </c>
      <c r="V25" s="512" t="str">
        <f>IF(14=14,IF(T25="","",IF(W25="X",""&amp;"Céréales contenant du gluten","")&amp;IF(X25="X",IF(COUNTIF(W25:W25,"X")&gt;0,", ","")&amp;"Crustacés","")&amp;IF(Y25="X",IF(COUNTIF(W25:X25,"X")&gt;0,", ","")&amp;"Œufs","")&amp;IF(Z25="X",IF(COUNTIF(W25:Y25,"X")&gt;0,", ","")&amp;"Poissons","")&amp;IF(AA25="X",IF(COUNTIF(W25:Z25,"X")&gt;0,", ","")&amp;"Arachides","")&amp;IF(AB25="X",IF(COUNTIF(W25:AA25,"X")&gt;0,", ","")&amp;"Soja","")&amp;IF(AC25="X",IF(COUNTIF(W25:AB25,"X")&gt;0,", ","")&amp;"Lait","")&amp;IF(AD25="X",IF(COUNTIF(W25:AC25,"X")&gt;0,", ","")&amp;"Fruits à coque","")&amp;IF(AE25="X",IF(COUNTIF(W25:AD25,"X")&gt;0,", ","")&amp;"Céleri","")&amp;IF(AF25="X",IF(COUNTIF(W25:AE25,"X")&gt;0,", ","")&amp;"Moutarde","")&amp;IF(AG25="X",IF(COUNTIF(W25:AF25,"X")&gt;0,", ","")&amp;"Sésame","")&amp;IF(AH25="X",IF(COUNTIF(W25:AG25,"X")&gt;0,", ","")&amp;"Sulfites","")&amp;IF(AI25="X",IF(COUNTIF(W25:AH25,"X")&gt;0,", ","")&amp;"Lupin","")&amp;IF(AJ25="X",IF(COUNTIF(W25:AI25,"X")&gt;0,", ","")&amp;"Mollusques","")),"")</f>
        <v/>
      </c>
      <c r="W25" s="513" t="str">
        <f>IF(14=14,IF(T25="","",AX25),"")</f>
        <v/>
      </c>
      <c r="X25" s="513" t="str">
        <f>IF(14=14,IF(T25="","",BA25),"")</f>
        <v/>
      </c>
      <c r="Y25" s="513" t="str">
        <f>IF(14=14,IF(T25="","",BE25),"")</f>
        <v/>
      </c>
      <c r="Z25" s="513" t="str">
        <f>IF(14=14,IF(T25="","",IF(ISNUMBER(SEARCH(" colin ",AS25)),"X",BR25)),"")</f>
        <v/>
      </c>
      <c r="AA25" s="513" t="str">
        <f>IF(14=14,IF(T25="","",BT25),"")</f>
        <v/>
      </c>
      <c r="AB25" s="513" t="str">
        <f>IF(14=14,IF(T25="","",BX25),"")</f>
        <v/>
      </c>
      <c r="AC25" s="513" t="str">
        <f>IF(14=14,IF(T25="","",CE25),"")</f>
        <v/>
      </c>
      <c r="AD25" s="513" t="str">
        <f>IF(14=14,IF(T25="","",CI25),"")</f>
        <v/>
      </c>
      <c r="AE25" s="513" t="str">
        <f>IF(14=14,IF(T25="","",CL25),"")</f>
        <v/>
      </c>
      <c r="AF25" s="513" t="str">
        <f>IF(14=14,IF(T25="","",CO25),"")</f>
        <v/>
      </c>
      <c r="AG25" s="513" t="str">
        <f>IF(14=14,IF(T25="","",CR25),"")</f>
        <v/>
      </c>
      <c r="AH25" s="513" t="str">
        <f>IF(14=14,IF(T25="","",CU25),"")</f>
        <v/>
      </c>
      <c r="AI25" s="513" t="str">
        <f>IF(14=14,IF(T25="","",CX25),"")</f>
        <v/>
      </c>
      <c r="AJ25" s="513" t="str">
        <f>IF(14=14,IF(T25="","",DD25),"")</f>
        <v/>
      </c>
      <c r="AK25" s="514" t="str">
        <f>IF(14=14,IF(T25="","",IF(W25="?",""&amp;"Céréales contenant du gluten","")&amp;IF(X25="?",IF(COUNTIF(W25:W25,"~?")&gt;0,", ","")&amp;"Crustacés","")&amp;IF(Y25="?",IF(COUNTIF(W25:X25,"~?")&gt;0,", ","")&amp;"Œufs","")&amp;IF(Z25="?",IF(COUNTIF(W25:Y25,"~?")&gt;0,", ","")&amp;"Poissons","")&amp;IF(AA25="?",IF(COUNTIF(W25:Z25,"~?")&gt;0,", ","")&amp;"Arachides","")&amp;IF(AB25="?",IF(COUNTIF(W25:AA25,"~?")&gt;0,", ","")&amp;"Soja","")&amp;IF(AC25="?",IF(COUNTIF(W25:AB25,"~?")&gt;0,", ","")&amp;"Lait","")&amp;IF(AD25="?",IF(COUNTIF(W25:AC25,"~?")&gt;0,", ","")&amp;"Fruits à coque","")&amp;IF(AE25="?",IF(COUNTIF(W25:AD25,"~?")&gt;0,", ","")&amp;"Céleri","")&amp;IF(AF25="?",IF(COUNTIF(W25:AE25,"~?")&gt;0,", ","")&amp;"Moutarde","")&amp;IF(AG25="?",IF(COUNTIF(W25:AF25,"~?")&gt;0,", ","")&amp;"Sésame","")&amp;IF(AH25="?",IF(COUNTIF(W25:AG25,"~?")&gt;0,", ","")&amp;"Sulfites","")&amp;IF(AI25="?",IF(COUNTIF(W25:AH25,"~?")&gt;0,", ","")&amp;"Lupin","")&amp;IF(AJ25="?",IF(COUNTIF(W25:AI25,"~?")&gt;0,", ","")&amp;"Mollusques","")),"")</f>
        <v/>
      </c>
      <c r="AM25" s="493" t="str">
        <f>IF(14=14,IF(T25="","",T25),"")</f>
        <v>• 6 pommes</v>
      </c>
      <c r="AN25" s="493" t="str">
        <f>IF(14=14,LOWER(CLEAN(SUBSTITUTE(SUBSTITUTE(SUBSTITUTE(SUBSTITUTE(AM25,CHAR(160)," ")," "," "),CHAR(10)," "),CHAR(13)," "))),"")</f>
        <v>• 6 pommes</v>
      </c>
      <c r="AO25" s="493" t="str">
        <f>IF(14=14,SUBSTITUTE(SUBSTITUTE(SUBSTITUTE(SUBSTITUTE(SUBSTITUTE(SUBSTITUTE(SUBSTITUTE(SUBSTITUTE(SUBSTITUTE(SUBSTITUTE(SUBSTITUTE(SUBSTITUTE(AN25,"œ","oe"),"æ","ae"),"à","a"),"á","a"),"â","a"),"ä","a"),"ã","a"),"ç","c"),"è","e"),"é","e"),"ê","e"),"ë","e"),"")</f>
        <v>• 6 pommes</v>
      </c>
      <c r="AP25" s="493" t="str">
        <f>IF(14=14,SUBSTITUTE(SUBSTITUTE(SUBSTITUTE(SUBSTITUTE(SUBSTITUTE(SUBSTITUTE(SUBSTITUTE(SUBSTITUTE(SUBSTITUTE(SUBSTITUTE(SUBSTITUTE(SUBSTITUTE(SUBSTITUTE(SUBSTITUTE(SUBSTITUTE(SUBSTITUTE(AO25,"ì","i"),"í","i"),"î","i"),"ï","i"),"ñ","n"),"ò","o"),"ó","o"),"ô","o"),"ö","o"),"õ","o"),"ù","u"),"ú","u"),"û","u"),"ü","u"),"ý","y"),"ÿ","y"),"")</f>
        <v>• 6 pommes</v>
      </c>
      <c r="AQ25" s="493" t="str">
        <f>IF(14=14,SUBSTITUTE(SUBSTITUTE(SUBSTITUTE(SUBSTITUTE(SUBSTITUTE(SUBSTITUTE(SUBSTITUTE(SUBSTITUTE(SUBSTITUTE(SUBSTITUTE(SUBSTITUTE(SUBSTITUTE(SUBSTITUTE(SUBSTITUTE(AP25,"’"," "),"`"," "),"–"," "),"—"," "),"-"," "),"'"," "),"/"," "),"_"," "),","," "),"."," "),"("," "),")"," "),";"," "),":"," "),"")</f>
        <v>• 6 pommes</v>
      </c>
      <c r="AR25" s="493" t="str">
        <f>IF(14=14,SUBSTITUTE(SUBSTITUTE(SUBSTITUTE(SUBSTITUTE(SUBSTITUTE(SUBSTITUTE(SUBSTITUTE(SUBSTITUTE(SUBSTITUTE(SUBSTITUTE(SUBSTITUTE(SUBSTITUTE(SUBSTITUTE(SUBSTITUTE(SUBSTITUTE(AQ25,"!"," "),"?"," "),"+"," "),"*"," "),"&amp;"," "),"["," "),"]"," "),"{"," "),"}"," "),"%"," "),"="," "),"\"," "),"|"," "),"&lt;"," "),"&gt;"," "),"")</f>
        <v>• 6 pommes</v>
      </c>
      <c r="AS25" s="493" t="str">
        <f>IF(14=14," "&amp;TRIM(SUBSTITUTE(SUBSTITUTE(SUBSTITUTE(SUBSTITUTE(SUBSTITUTE(SUBSTITUTE(AR25,CHAR(34)," "),"  "," "),"  "," "),"  "," "),"  "," "),"  "," "))&amp;" ","")</f>
        <v xml:space="preserve"> • 6 pommes </v>
      </c>
      <c r="AT25" s="493" cm="1">
        <f t="array" ref="AT25">IF(14=14,IF(AM25="","",SUMPRODUCT(--ISNUMBER(SEARCH(" "&amp;DJ13:DJ112&amp;" ",AV25)))),"")</f>
        <v>0</v>
      </c>
      <c r="AU25" s="493" cm="1">
        <f t="array" ref="AU25">IF(14=14,IF(AM25="","",SUMPRODUCT(--ISNUMBER(SEARCH(" "&amp;DJ113:DJ162&amp;" ",AV25)))),"")</f>
        <v>0</v>
      </c>
      <c r="AV25" s="493" t="str">
        <f>IF(AM25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25,"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6 pommes </v>
      </c>
      <c r="AW25" s="493" cm="1">
        <f t="array" ref="AW25">IF(AM25="","",SUMPRODUCT(--ISNUMBER(SEARCH(" "&amp;DJ195:DJ216&amp;" ",AV25)))+--ISNUMBER(SEARCH(" "&amp;DJ2465&amp;" ",AV25)))</f>
        <v>0</v>
      </c>
      <c r="AX25" s="493" t="str" cm="1">
        <f t="array" ref="AX25">IF(14=14,IF(AM25="","",IF(SUM(AT25:AU25)+SUMPRODUCT(--ISNUMBER(SEARCH(" "&amp;DJ2429:DJ2431&amp;" ",AV25)))&gt;0,"X",IF(AW25&gt;0,"?",""))),"")</f>
        <v/>
      </c>
      <c r="AY25" s="493" cm="1">
        <f t="array" ref="AY25">IF(14=14,IF(AM25="","",SUMPRODUCT(--ISNUMBER(SEARCH(" "&amp;DJ217:DJ316&amp;" ",AS25)))),"")</f>
        <v>0</v>
      </c>
      <c r="AZ25" s="493" cm="1">
        <f t="array" ref="AZ25">IF(14=14,IF(AM25="","",SUMPRODUCT(--ISNUMBER(SEARCH(" "&amp;DJ317:DJ351&amp;" ",AS25)))),"")</f>
        <v>0</v>
      </c>
      <c r="BA25" s="493" t="str">
        <f>IF(14=14,IF(AM25="","",IF((SUM(AY25:AZ25))-(0)&gt;0,"X",IF((0)-(0)&gt;0,"?",""))),"")</f>
        <v/>
      </c>
      <c r="BB25" s="493" cm="1">
        <f t="array" ref="BB25">IF(14=14,IF(AM25="","",SUMPRODUCT(--ISNUMBER(SEARCH(" "&amp;DJ352:DJ409&amp;" ",AS25)))),"")</f>
        <v>0</v>
      </c>
      <c r="BC25" s="493" cm="1">
        <f t="array" ref="BC25">IF(14=14,IF(AM25="","",SUMPRODUCT(--ISNUMBER(SEARCH(" "&amp;DJ410:DJ437&amp;" ",BD25)))+SUMPRODUCT(--ISNUMBER(SEARCH(" "&amp;DJ2451:DJ2464&amp;" ",BD25)))),"")</f>
        <v>0</v>
      </c>
      <c r="BD25" s="493" t="str">
        <f>IF(14=14,IF(AM25="","",SUBSTITUTE(SUBSTITUTE(SUBSTITUTE(SUBSTITUTE(SUBSTITUTE(SUBSTITUTE(SUBSTITUTE(SUBSTITUTE(SUBSTITUTE(SUBSTITUTE(SUBSTITUTE(SUBSTITUTE(SUBSTITUTE(SUBSTITUTE(AS25," "&amp;DJ2466&amp;" "," ")," "&amp;DJ444&amp;" "," ")," "&amp;DJ442&amp;" "," ")," "&amp;DJ2449&amp;" "," ")," "&amp;DJ2450&amp;" "," ")," "&amp;DJ439&amp;" "," ")," "&amp;DJ443&amp;" "," ")," "&amp;DJ445&amp;" "," ")," "&amp;DJ440&amp;" "," ")," "&amp;DJ438&amp;" "," ")," "&amp;DJ1378&amp;" "," ")," "&amp;DJ446&amp;" "," ")," "&amp;DJ1377&amp;" "," ")," "&amp;DJ441&amp;" "," ")),"")</f>
        <v xml:space="preserve"> • 6 pommes </v>
      </c>
      <c r="BE25" s="493" t="str">
        <f>IF(14=14,IF(AM25="","",IF(BB25&gt;0,"X",IF(BC25&gt;0,"?",""))),"")</f>
        <v/>
      </c>
      <c r="BF25" s="493" cm="1">
        <f t="array" ref="BF25">IF(14=14,IF(AM25="","",SUMPRODUCT(--ISNUMBER(SEARCH(" "&amp;DJ447:DJ546&amp;" ",BP25)))),"")</f>
        <v>0</v>
      </c>
      <c r="BG25" s="493" cm="1">
        <f t="array" ref="BG25">IF(14=14,IF(AM25="","",SUMPRODUCT(--ISNUMBER(SEARCH(" "&amp;DJ547:DJ646&amp;" ",BP25)))),"")</f>
        <v>0</v>
      </c>
      <c r="BH25" s="493" cm="1">
        <f t="array" ref="BH25">IF(14=14,IF(AM25="","",SUMPRODUCT(--ISNUMBER(SEARCH(" "&amp;DJ647:DJ746&amp;" ",BP25)))),"")</f>
        <v>0</v>
      </c>
      <c r="BI25" s="493" cm="1">
        <f t="array" ref="BI25">IF(14=14,IF(AM25="","",SUMPRODUCT(--ISNUMBER(SEARCH(" "&amp;DJ747:DJ846&amp;" ",BP25)))),"")</f>
        <v>0</v>
      </c>
      <c r="BJ25" s="493" cm="1">
        <f t="array" ref="BJ25">IF(14=14,IF(AM25="","",SUMPRODUCT(--ISNUMBER(SEARCH(" "&amp;DJ847:DJ946&amp;" ",BP25)))),"")</f>
        <v>0</v>
      </c>
      <c r="BK25" s="493" cm="1">
        <f t="array" ref="BK25">IF(14=14,IF(AM25="","",SUMPRODUCT(--ISNUMBER(SEARCH(" "&amp;DJ947:DJ1046&amp;" ",BP25)))),"")</f>
        <v>0</v>
      </c>
      <c r="BL25" s="493" cm="1">
        <f t="array" ref="BL25">IF(14=14,IF(AM25="","",SUMPRODUCT(--ISNUMBER(SEARCH(" "&amp;DJ1047:DJ1146&amp;" ",BP25)))),"")</f>
        <v>0</v>
      </c>
      <c r="BM25" s="493" cm="1">
        <f t="array" ref="BM25">IF(14=14,IF(AM25="","",SUMPRODUCT(--ISNUMBER(SEARCH(" "&amp;DJ1147:DJ1246&amp;" ",BP25)))),"")</f>
        <v>0</v>
      </c>
      <c r="BN25" s="493" cm="1">
        <f t="array" ref="BN25">IF(14=14,IF(AM25="","",SUMPRODUCT(--ISNUMBER(SEARCH(" "&amp;DJ1247:DJ1346&amp;" ",BP25)))),"")</f>
        <v>0</v>
      </c>
      <c r="BO25" s="493" cm="1">
        <f t="array" ref="BO25">IF(14=14,IF(AM25="","",SUMPRODUCT(--ISNUMBER(SEARCH(" "&amp;DJ1347:DJ1374&amp;" ",BP25)))),"")</f>
        <v>0</v>
      </c>
      <c r="BP25" s="493" t="str">
        <f>IF(14=14,IF(AM25="","",SUBSTITUTE(SUBSTITUTE(SUBSTITUTE(SUBSTITUTE(SUBSTITUTE(SUBSTITUTE(SUBSTITUTE(SUBSTITUTE(SUBSTITUTE(AS25," "&amp;DJ1376&amp;" "," ")," "&amp;DJ1375&amp;" "," ")," "&amp;DJ1381&amp;" "," ")," "&amp;DJ1382&amp;" "," ")," "&amp;DJ1378&amp;" "," ")," "&amp;DJ1380&amp;" "," ")," "&amp;DJ1377&amp;" "," ")," "&amp;DJ1379&amp;" "," ")," "&amp;DJ1383&amp;" "," ")),"")</f>
        <v xml:space="preserve"> • 6 pommes </v>
      </c>
      <c r="BQ25" s="493" cm="1">
        <f t="array" ref="BQ25">IF(14=14,IF(AM25="","",SUMPRODUCT(--ISNUMBER(SEARCH(" "&amp;DJ1384:DJ1394&amp;" ",BP25)))),"")</f>
        <v>0</v>
      </c>
      <c r="BR25" s="493" t="str" cm="1">
        <f t="array" ref="BR25">IF(14=14,IF(AM25="","",IF(SUM(BF25:BO25)+SUMPRODUCT(--ISNUMBER(SEARCH(" "&amp;DJ2432:DJ2433&amp;" ",BP25)))&gt;0,"X",IF(BQ25&gt;0,"?",""))),"")</f>
        <v/>
      </c>
      <c r="BS25" s="493" cm="1">
        <f t="array" ref="BS25">IF(14=14,IF(AM25="","",SUMPRODUCT(--ISNUMBER(SEARCH(" "&amp;DJ1395:DJ1415&amp;" ",AS25)))),"")</f>
        <v>0</v>
      </c>
      <c r="BT25" s="493" t="str">
        <f>IF(14=14,IF(AM25="","",IF((BS25)-(0)&gt;0,"X",IF((0)-(0)&gt;0,"?",""))),"")</f>
        <v/>
      </c>
      <c r="BU25" s="493" cm="1">
        <f t="array" ref="BU25">IF(14=14,IF(AM25="","",SUMPRODUCT(--ISNUMBER(SEARCH(" "&amp;DJ1416:DJ1453&amp;" ",BV25)))),"")</f>
        <v>0</v>
      </c>
      <c r="BV25" s="493" t="str">
        <f>IF(14=14,IF(AM25="","",SUBSTITUTE(SUBSTITUTE(AS25," "&amp;DJ1454&amp;" "," ")," "&amp;DJ1455&amp;" "," ")),"")</f>
        <v xml:space="preserve"> • 6 pommes </v>
      </c>
      <c r="BW25" s="493" cm="1">
        <f t="array" ref="BW25">IF(14=14,IF(AM25="","",SUMPRODUCT(--ISNUMBER(SEARCH(" "&amp;DJ1456:DJ1466&amp;" ",BV25)))),"")</f>
        <v>0</v>
      </c>
      <c r="BX25" s="493" t="str">
        <f>IF(14=14,IF(AM25="","",IF(BU25&gt;0,"X",IF(BW25&gt;0,"?",""))),"")</f>
        <v/>
      </c>
      <c r="BY25" s="493" cm="1">
        <f t="array" ref="BY25">IF(14=14,IF(AM25="","",SUMPRODUCT(--ISNUMBER(SEARCH(" "&amp;DJ1467:DJ1566&amp;" ",CB25)))),"")</f>
        <v>0</v>
      </c>
      <c r="BZ25" s="493" cm="1">
        <f t="array" ref="BZ25">IF(14=14,IF(AM25="","",SUMPRODUCT(--ISNUMBER(SEARCH(" "&amp;DJ1567:DJ1666&amp;" ",CB25)))),"")</f>
        <v>0</v>
      </c>
      <c r="CA25" s="493" cm="1">
        <f t="array" ref="CA25">IF(14=14,IF(AM25="","",SUMPRODUCT(--ISNUMBER(SEARCH(" "&amp;DJ1667:DJ1750&amp;" ",CB25)))),"")</f>
        <v>0</v>
      </c>
      <c r="CB25" s="493" t="str">
        <f>IF(14=14,IF(AM25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25,"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6 pommes </v>
      </c>
      <c r="CC25" s="493" cm="1">
        <f t="array" ref="CC25">IF(14=14,IF(AM25="","",SUMPRODUCT(--ISNUMBER(SEARCH(" "&amp;DJ1801:DJ1880&amp;" ",CD25)))+SUMPRODUCT(--ISNUMBER(SEARCH(" "&amp;DJ2451:DJ2464&amp;" ",CD25)))),"")</f>
        <v>0</v>
      </c>
      <c r="CD25" s="493" t="str">
        <f>IF(14=14,IF(AM25="","",SUBSTITUTE(SUBSTITUTE(SUBSTITUTE(SUBSTITUTE(SUBSTITUTE(SUBSTITUTE(SUBSTITUTE(SUBSTITUTE(SUBSTITUTE(SUBSTITUTE(SUBSTITUTE(SUBSTITUTE(SUBSTITUTE(CB25," "&amp;DJ1887&amp;" "," ")," "&amp;DJ1885&amp;" "," ")," "&amp;DJ2449&amp;" "," ")," "&amp;DJ2450&amp;" "," ")," "&amp;DJ1882&amp;" "," ")," "&amp;DJ1886&amp;" "," ")," "&amp;DJ1888&amp;" "," ")," "&amp;DJ1883&amp;" "," ")," "&amp;DJ1881&amp;" "," ")," "&amp;DJ1378&amp;" "," ")," "&amp;DJ1889&amp;" "," ")," "&amp;DJ1377&amp;" "," ")," "&amp;DJ1884&amp;" "," ")),"")</f>
        <v xml:space="preserve"> • 6 pommes </v>
      </c>
      <c r="CE25" s="493" t="str" cm="1">
        <f t="array" ref="CE25">IF(14=14,IF(AM25="","",IF(SUM(BY25:CA25)+SUMPRODUCT(--ISNUMBER(SEARCH(" "&amp;DJ2434:DJ2435&amp;" ",CB25)))&gt;0,"X",IF(CC25&gt;0,"?",""))),"")</f>
        <v/>
      </c>
      <c r="CF25" s="493" cm="1">
        <f t="array" ref="CF25">IF(14=14,IF(AM25="","",SUMPRODUCT(--ISNUMBER(SEARCH(" "&amp;DJ1890:DJ1947&amp;" ",CG25)))),"")</f>
        <v>0</v>
      </c>
      <c r="CG25" s="493" t="str">
        <f>IF(14=14,IF(AM25="","",SUBSTITUTE(SUBSTITUTE(SUBSTITUTE(SUBSTITUTE(SUBSTITUTE(SUBSTITUTE(SUBSTITUTE(SUBSTITUTE(SUBSTITUTE(SUBSTITUTE(SUBSTITUTE(SUBSTITUTE(SUBSTITUTE(SUBSTITUTE(SUBSTITUTE(SUBSTITUTE(SUBSTITUTE(SUBSTITUTE(SUBSTITUTE(SUBSTITUTE(SUBSTITUTE(SUBSTITUTE(SUBSTITUTE(AS25,"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6 pommes </v>
      </c>
      <c r="CH25" s="493" cm="1">
        <f t="array" ref="CH25">IF(14=14,IF(AM25="","",SUMPRODUCT(--ISNUMBER(SEARCH(" "&amp;DJ1971:DJ1987&amp;" ",CG25)))),"")</f>
        <v>0</v>
      </c>
      <c r="CI25" s="493" t="str">
        <f>IF(14=14,IF(AM25="","",IF(CF25&gt;0,"X",IF(CH25&gt;0,"?",""))),"")</f>
        <v/>
      </c>
      <c r="CJ25" s="493" cm="1">
        <f t="array" ref="CJ25">IF(14=14,IF(AM25="","",SUMPRODUCT(--ISNUMBER(SEARCH(" "&amp;DJ1988:DJ2001&amp;" ",AS25)))),"")</f>
        <v>0</v>
      </c>
      <c r="CK25" s="493" cm="1">
        <f t="array" ref="CK25">IF(14=14,IF(AM25="","",SUMPRODUCT(--ISNUMBER(SEARCH(" "&amp;DJ2002:DJ2016&amp;" ",AS25)))),"")</f>
        <v>0</v>
      </c>
      <c r="CL25" s="493" t="str">
        <f>IF(14=14,IF(AM25="","",IF((CJ25)-(0)&gt;0,"X",IF((CK25)-(0)&gt;0,"?",""))),"")</f>
        <v/>
      </c>
      <c r="CM25" s="493" cm="1">
        <f t="array" ref="CM25">IF(14=14,IF(AM25="","",SUMPRODUCT(--ISNUMBER(SEARCH(" "&amp;DJ2017:DJ2034&amp;" ",AS25)))),"")</f>
        <v>0</v>
      </c>
      <c r="CN25" s="493" cm="1">
        <f t="array" ref="CN25">IF(14=14,IF(AM25="","",SUMPRODUCT(--ISNUMBER(SEARCH(" "&amp;DJ2035:DJ2049&amp;" ",AS25)))),"")</f>
        <v>0</v>
      </c>
      <c r="CO25" s="493" t="str">
        <f>IF(14=14,IF(AM25="","",IF((CM25)-(0)&gt;0,"X",IF((CN25)-(0)&gt;0,"?",""))),"")</f>
        <v/>
      </c>
      <c r="CP25" s="493" cm="1">
        <f t="array" ref="CP25">IF(14=14,IF(AM25="","",SUMPRODUCT(--ISNUMBER(SEARCH(" "&amp;DJ2050:DJ2068&amp;" ",AS25)))),"")</f>
        <v>0</v>
      </c>
      <c r="CQ25" s="493" cm="1">
        <f t="array" ref="CQ25">IF(14=14,IF(AM25="","",SUMPRODUCT(--ISNUMBER(SEARCH(" "&amp;DJ2069:DJ2083&amp;" ",AS25)))),"")</f>
        <v>0</v>
      </c>
      <c r="CR25" s="493" t="str">
        <f>IF(14=14,IF(AM25="","",IF((CP25)-(0)&gt;0,"X",IF((CQ25)-(0)&gt;0,"?",""))),"")</f>
        <v/>
      </c>
      <c r="CS25" s="493" cm="1">
        <f t="array" ref="CS25">IF(14=14,IF(AM25="","",SUMPRODUCT(--ISNUMBER(SEARCH(" "&amp;DJ2084:DJ2104&amp;" ",AS25)))),"")</f>
        <v>0</v>
      </c>
      <c r="CT25" s="493" cm="1">
        <f t="array" ref="CT25">IF(14=14,IF(AM25="","",SUMPRODUCT(--ISNUMBER(SEARCH(" "&amp;DJ2105:DJ2144&amp;" ",SUBSTITUTE(SUBSTITUTE(AS25," "&amp;DJ1378&amp;" "," ")," "&amp;DJ1377&amp;" "," "))))+--ISNUMBER(SEARCH("poiré",AN25))),"")</f>
        <v>0</v>
      </c>
      <c r="CU25" s="493" t="str">
        <f>IF(14=14,IF(AM25="","",IF(OR(CS25&gt;0,ISNUMBER(SEARCH(" vinaigre de vin ",AS25)),ISNUMBER(SEARCH(" vinaigre au vin ",AS25))),"X",IF(CT25&gt;0,"?",""))),"")</f>
        <v/>
      </c>
      <c r="CV25" s="493" cm="1">
        <f t="array" ref="CV25">IF(14=14,IF(AM25="","",SUMPRODUCT(--ISNUMBER(SEARCH(" "&amp;DJ2145:DJ2157&amp;" ",AS25)))),"")</f>
        <v>0</v>
      </c>
      <c r="CW25" s="493" cm="1">
        <f t="array" ref="CW25">IF(14=14,IF(AM25="","",SUMPRODUCT(--ISNUMBER(SEARCH(" "&amp;DJ2158:DJ2163&amp;" ",AS25)))),"")</f>
        <v>0</v>
      </c>
      <c r="CX25" s="493" t="str">
        <f>IF(14=14,IF(AM25="","",IF((CV25)-(0)&gt;0,"X",IF((CW25)-(0)&gt;0,"?",""))),"")</f>
        <v/>
      </c>
      <c r="CY25" s="493" cm="1">
        <f t="array" ref="CY25">IF(14=14,IF(AM25="","",SUMPRODUCT(--ISNUMBER(SEARCH(" "&amp;DJ2164:DJ2263&amp;" ",DB25)))),"")</f>
        <v>0</v>
      </c>
      <c r="CZ25" s="493" cm="1">
        <f t="array" ref="CZ25">IF(14=14,IF(AM25="","",SUMPRODUCT(--ISNUMBER(SEARCH(" "&amp;DJ2264:DJ2363&amp;" ",DB25)))),"")</f>
        <v>0</v>
      </c>
      <c r="DA25" s="493" cm="1">
        <f t="array" ref="DA25">IF(14=14,IF(AM25="","",SUMPRODUCT(--ISNUMBER(SEARCH(" "&amp;DJ2364:DJ2406&amp;" ",DB25)))),"")</f>
        <v>0</v>
      </c>
      <c r="DB25" s="493" t="str">
        <f>IF(14=14,IF(AM25="","",SUBSTITUTE(SUBSTITUTE(SUBSTITUTE(SUBSTITUTE(SUBSTITUTE(SUBSTITUTE(SUBSTITUTE(SUBSTITUTE(SUBSTITUTE(SUBSTITUTE(SUBSTITUTE(SUBSTITUTE(SUBSTITUTE(SUBSTITUTE(SUBSTITUTE(SUBSTITUTE(AS25," "&amp;DJ2412&amp;" "," ")," "&amp;DJ2411&amp;" "," ")," "&amp;DJ2410&amp;" "," ")," "&amp;DJ2417&amp;" "," ")," "&amp;DJ2409&amp;" "," ")," "&amp;DJ2421&amp;" "," ")," "&amp;DJ2408&amp;" "," ")," "&amp;DJ2413&amp;" "," ")," "&amp;DJ2416&amp;" "," ")," "&amp;DJ2407&amp;" "," ")," "&amp;DJ2415&amp;" "," ")," "&amp;DJ2422&amp;" "," ")," "&amp;DJ2419&amp;" "," ")," "&amp;DJ2414&amp;" "," ")," "&amp;DJ2418&amp;" "," ")," "&amp;DJ2420&amp;" "," ")),"")</f>
        <v xml:space="preserve"> • 6 pommes </v>
      </c>
      <c r="DC25" s="493" cm="1">
        <f t="array" ref="DC25">IF(14=14,IF(AM25="","",SUMPRODUCT(--ISNUMBER(SEARCH(" "&amp;DJ2423:DJ2427&amp;" ",DB25)))),"")</f>
        <v>0</v>
      </c>
      <c r="DD25" s="493" t="str">
        <f>IF(14=14,IF(AM25="","",IF(SUM(CY25:DA25)&gt;0,"X",IF(DC25&gt;0,"?",""))),"")</f>
        <v/>
      </c>
      <c r="DE25" s="494"/>
      <c r="DF25" s="496" t="s">
        <v>1171</v>
      </c>
      <c r="DG25" s="496" t="s">
        <v>1083</v>
      </c>
      <c r="DH25" s="496" t="s">
        <v>689</v>
      </c>
      <c r="DI25" s="496" t="s">
        <v>703</v>
      </c>
      <c r="DJ25" s="496" t="s">
        <v>703</v>
      </c>
      <c r="DK25" s="496" t="s">
        <v>1085</v>
      </c>
      <c r="DL25" s="496" t="s">
        <v>1086</v>
      </c>
      <c r="DM25" s="496" t="s">
        <v>1087</v>
      </c>
      <c r="DN25" s="497" t="s">
        <v>1088</v>
      </c>
      <c r="DP25" s="543">
        <v>1</v>
      </c>
    </row>
    <row r="26" spans="2:120" ht="30" customHeight="1">
      <c r="B26" s="663" t="str">
        <f t="shared" si="0"/>
        <v>• 50 g de sucre en poudre</v>
      </c>
      <c r="C26" s="663" t="str">
        <f t="shared" si="1"/>
        <v>• 50 g de sucre en poudre</v>
      </c>
      <c r="D26" s="663" t="str">
        <f>IF(UPPER(TRIM(N11))="X",C26,B26)</f>
        <v>• 50 g de sucre en poudre</v>
      </c>
      <c r="E26" s="663" cm="1">
        <f t="array" ref="E26">IF(H25&lt;&gt;"",E25,IF(E25="","",IFERROR(MATCH(TRUE(),INDEX(INDEX(K:K,E25+1):K203&lt;&gt;"",0),0)+E25,"")))</f>
        <v>23</v>
      </c>
      <c r="F26" s="663" t="str" cm="1">
        <f t="array" ref="F26">IF(E26="","",IF(H25&lt;&gt;"",H25,INDEX(D:D,E26)))</f>
        <v>• 3 œufs</v>
      </c>
      <c r="G26" s="663" t="str">
        <f t="shared" si="2"/>
        <v>• 3 œufs</v>
      </c>
      <c r="H26" s="673" t="str">
        <f t="shared" si="3"/>
        <v/>
      </c>
      <c r="I26" s="680" t="str">
        <f>IF(AND(F26&lt;&gt;"",N10&gt;0,M26&gt;N10),"Mot &gt; limite","")</f>
        <v/>
      </c>
      <c r="J26" s="674">
        <f>IF(K26="","",COUNTIF(K18:K26,"&lt;&gt;"))</f>
        <v>9</v>
      </c>
      <c r="K26" s="675" t="s">
        <v>6471</v>
      </c>
      <c r="L26" s="674">
        <f t="shared" si="4"/>
        <v>25</v>
      </c>
      <c r="M26" s="643">
        <f>IF(OR(F26="",N10="",N10&lt;=0),"",IF(LEN(F26)&lt;=N10,LEN(F26),IFERROR(FIND("♦",SUBSTITUTE(LEFT(F26,N10)," ","♦",LEN(LEFT(F26,N10))-LEN(SUBSTITUTE(LEFT(F26,N10)," ","")))),FIND(" ",F26&amp;" ",N10+1)-1)))</f>
        <v>8</v>
      </c>
      <c r="N26" s="676">
        <f t="shared" si="5"/>
        <v>9</v>
      </c>
      <c r="O26" s="677" t="str">
        <f t="shared" si="6"/>
        <v>• 3 œufs</v>
      </c>
      <c r="P26" s="676">
        <f t="shared" si="7"/>
        <v>3</v>
      </c>
      <c r="Q26" s="676">
        <f t="shared" si="8"/>
        <v>8</v>
      </c>
      <c r="S26" s="509">
        <v>9</v>
      </c>
      <c r="T26" s="678" t="str">
        <f t="shared" si="10"/>
        <v>• 3 œufs</v>
      </c>
      <c r="U26" s="679" t="str">
        <f t="shared" si="9"/>
        <v>• 3 œufs *</v>
      </c>
      <c r="V26" s="512" t="str">
        <f>IF(15=15,IF(T26="","",IF(W26="X",""&amp;"Céréales contenant du gluten","")&amp;IF(X26="X",IF(COUNTIF(W26:W26,"X")&gt;0,", ","")&amp;"Crustacés","")&amp;IF(Y26="X",IF(COUNTIF(W26:X26,"X")&gt;0,", ","")&amp;"Œufs","")&amp;IF(Z26="X",IF(COUNTIF(W26:Y26,"X")&gt;0,", ","")&amp;"Poissons","")&amp;IF(AA26="X",IF(COUNTIF(W26:Z26,"X")&gt;0,", ","")&amp;"Arachides","")&amp;IF(AB26="X",IF(COUNTIF(W26:AA26,"X")&gt;0,", ","")&amp;"Soja","")&amp;IF(AC26="X",IF(COUNTIF(W26:AB26,"X")&gt;0,", ","")&amp;"Lait","")&amp;IF(AD26="X",IF(COUNTIF(W26:AC26,"X")&gt;0,", ","")&amp;"Fruits à coque","")&amp;IF(AE26="X",IF(COUNTIF(W26:AD26,"X")&gt;0,", ","")&amp;"Céleri","")&amp;IF(AF26="X",IF(COUNTIF(W26:AE26,"X")&gt;0,", ","")&amp;"Moutarde","")&amp;IF(AG26="X",IF(COUNTIF(W26:AF26,"X")&gt;0,", ","")&amp;"Sésame","")&amp;IF(AH26="X",IF(COUNTIF(W26:AG26,"X")&gt;0,", ","")&amp;"Sulfites","")&amp;IF(AI26="X",IF(COUNTIF(W26:AH26,"X")&gt;0,", ","")&amp;"Lupin","")&amp;IF(AJ26="X",IF(COUNTIF(W26:AI26,"X")&gt;0,", ","")&amp;"Mollusques","")),"")</f>
        <v>Œufs</v>
      </c>
      <c r="W26" s="513" t="str">
        <f>IF(15=15,IF(T26="","",AX26),"")</f>
        <v/>
      </c>
      <c r="X26" s="513" t="str">
        <f>IF(15=15,IF(T26="","",BA26),"")</f>
        <v/>
      </c>
      <c r="Y26" s="513" t="str">
        <f>IF(15=15,IF(T26="","",BE26),"")</f>
        <v>X</v>
      </c>
      <c r="Z26" s="513" t="str">
        <f>IF(15=15,IF(T26="","",IF(ISNUMBER(SEARCH(" colin ",AS26)),"X",BR26)),"")</f>
        <v/>
      </c>
      <c r="AA26" s="513" t="str">
        <f>IF(15=15,IF(T26="","",BT26),"")</f>
        <v/>
      </c>
      <c r="AB26" s="513" t="str">
        <f>IF(15=15,IF(T26="","",BX26),"")</f>
        <v/>
      </c>
      <c r="AC26" s="513" t="str">
        <f>IF(15=15,IF(T26="","",CE26),"")</f>
        <v/>
      </c>
      <c r="AD26" s="513" t="str">
        <f>IF(15=15,IF(T26="","",CI26),"")</f>
        <v/>
      </c>
      <c r="AE26" s="513" t="str">
        <f>IF(15=15,IF(T26="","",CL26),"")</f>
        <v/>
      </c>
      <c r="AF26" s="513" t="str">
        <f>IF(15=15,IF(T26="","",CO26),"")</f>
        <v/>
      </c>
      <c r="AG26" s="513" t="str">
        <f>IF(15=15,IF(T26="","",CR26),"")</f>
        <v/>
      </c>
      <c r="AH26" s="513" t="str">
        <f>IF(15=15,IF(T26="","",CU26),"")</f>
        <v/>
      </c>
      <c r="AI26" s="513" t="str">
        <f>IF(15=15,IF(T26="","",CX26),"")</f>
        <v/>
      </c>
      <c r="AJ26" s="513" t="str">
        <f>IF(15=15,IF(T26="","",DD26),"")</f>
        <v/>
      </c>
      <c r="AK26" s="514" t="str">
        <f>IF(15=15,IF(T26="","",IF(W26="?",""&amp;"Céréales contenant du gluten","")&amp;IF(X26="?",IF(COUNTIF(W26:W26,"~?")&gt;0,", ","")&amp;"Crustacés","")&amp;IF(Y26="?",IF(COUNTIF(W26:X26,"~?")&gt;0,", ","")&amp;"Œufs","")&amp;IF(Z26="?",IF(COUNTIF(W26:Y26,"~?")&gt;0,", ","")&amp;"Poissons","")&amp;IF(AA26="?",IF(COUNTIF(W26:Z26,"~?")&gt;0,", ","")&amp;"Arachides","")&amp;IF(AB26="?",IF(COUNTIF(W26:AA26,"~?")&gt;0,", ","")&amp;"Soja","")&amp;IF(AC26="?",IF(COUNTIF(W26:AB26,"~?")&gt;0,", ","")&amp;"Lait","")&amp;IF(AD26="?",IF(COUNTIF(W26:AC26,"~?")&gt;0,", ","")&amp;"Fruits à coque","")&amp;IF(AE26="?",IF(COUNTIF(W26:AD26,"~?")&gt;0,", ","")&amp;"Céleri","")&amp;IF(AF26="?",IF(COUNTIF(W26:AE26,"~?")&gt;0,", ","")&amp;"Moutarde","")&amp;IF(AG26="?",IF(COUNTIF(W26:AF26,"~?")&gt;0,", ","")&amp;"Sésame","")&amp;IF(AH26="?",IF(COUNTIF(W26:AG26,"~?")&gt;0,", ","")&amp;"Sulfites","")&amp;IF(AI26="?",IF(COUNTIF(W26:AH26,"~?")&gt;0,", ","")&amp;"Lupin","")&amp;IF(AJ26="?",IF(COUNTIF(W26:AI26,"~?")&gt;0,", ","")&amp;"Mollusques","")),"")</f>
        <v/>
      </c>
      <c r="AM26" s="493" t="str">
        <f>IF(15=15,IF(T26="","",T26),"")</f>
        <v>• 3 œufs</v>
      </c>
      <c r="AN26" s="493" t="str">
        <f>IF(15=15,LOWER(CLEAN(SUBSTITUTE(SUBSTITUTE(SUBSTITUTE(SUBSTITUTE(AM26,CHAR(160)," ")," "," "),CHAR(10)," "),CHAR(13)," "))),"")</f>
        <v>• 3 œufs</v>
      </c>
      <c r="AO26" s="493" t="str">
        <f>IF(15=15,SUBSTITUTE(SUBSTITUTE(SUBSTITUTE(SUBSTITUTE(SUBSTITUTE(SUBSTITUTE(SUBSTITUTE(SUBSTITUTE(SUBSTITUTE(SUBSTITUTE(SUBSTITUTE(SUBSTITUTE(AN26,"œ","oe"),"æ","ae"),"à","a"),"á","a"),"â","a"),"ä","a"),"ã","a"),"ç","c"),"è","e"),"é","e"),"ê","e"),"ë","e"),"")</f>
        <v>• 3 oeufs</v>
      </c>
      <c r="AP26" s="493" t="str">
        <f>IF(15=15,SUBSTITUTE(SUBSTITUTE(SUBSTITUTE(SUBSTITUTE(SUBSTITUTE(SUBSTITUTE(SUBSTITUTE(SUBSTITUTE(SUBSTITUTE(SUBSTITUTE(SUBSTITUTE(SUBSTITUTE(SUBSTITUTE(SUBSTITUTE(SUBSTITUTE(SUBSTITUTE(AO26,"ì","i"),"í","i"),"î","i"),"ï","i"),"ñ","n"),"ò","o"),"ó","o"),"ô","o"),"ö","o"),"õ","o"),"ù","u"),"ú","u"),"û","u"),"ü","u"),"ý","y"),"ÿ","y"),"")</f>
        <v>• 3 oeufs</v>
      </c>
      <c r="AQ26" s="493" t="str">
        <f>IF(15=15,SUBSTITUTE(SUBSTITUTE(SUBSTITUTE(SUBSTITUTE(SUBSTITUTE(SUBSTITUTE(SUBSTITUTE(SUBSTITUTE(SUBSTITUTE(SUBSTITUTE(SUBSTITUTE(SUBSTITUTE(SUBSTITUTE(SUBSTITUTE(AP26,"’"," "),"`"," "),"–"," "),"—"," "),"-"," "),"'"," "),"/"," "),"_"," "),","," "),"."," "),"("," "),")"," "),";"," "),":"," "),"")</f>
        <v>• 3 oeufs</v>
      </c>
      <c r="AR26" s="493" t="str">
        <f>IF(15=15,SUBSTITUTE(SUBSTITUTE(SUBSTITUTE(SUBSTITUTE(SUBSTITUTE(SUBSTITUTE(SUBSTITUTE(SUBSTITUTE(SUBSTITUTE(SUBSTITUTE(SUBSTITUTE(SUBSTITUTE(SUBSTITUTE(SUBSTITUTE(SUBSTITUTE(AQ26,"!"," "),"?"," "),"+"," "),"*"," "),"&amp;"," "),"["," "),"]"," "),"{"," "),"}"," "),"%"," "),"="," "),"\"," "),"|"," "),"&lt;"," "),"&gt;"," "),"")</f>
        <v>• 3 oeufs</v>
      </c>
      <c r="AS26" s="493" t="str">
        <f>IF(15=15," "&amp;TRIM(SUBSTITUTE(SUBSTITUTE(SUBSTITUTE(SUBSTITUTE(SUBSTITUTE(SUBSTITUTE(AR26,CHAR(34)," "),"  "," "),"  "," "),"  "," "),"  "," "),"  "," "))&amp;" ","")</f>
        <v xml:space="preserve"> • 3 oeufs </v>
      </c>
      <c r="AT26" s="493" cm="1">
        <f t="array" ref="AT26">IF(15=15,IF(AM26="","",SUMPRODUCT(--ISNUMBER(SEARCH(" "&amp;DJ13:DJ112&amp;" ",AV26)))),"")</f>
        <v>0</v>
      </c>
      <c r="AU26" s="493" cm="1">
        <f t="array" ref="AU26">IF(15=15,IF(AM26="","",SUMPRODUCT(--ISNUMBER(SEARCH(" "&amp;DJ113:DJ162&amp;" ",AV26)))),"")</f>
        <v>0</v>
      </c>
      <c r="AV26" s="493" t="str">
        <f>IF(AM26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26,"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3 oeufs </v>
      </c>
      <c r="AW26" s="493" cm="1">
        <f t="array" ref="AW26">IF(AM26="","",SUMPRODUCT(--ISNUMBER(SEARCH(" "&amp;DJ195:DJ216&amp;" ",AV26)))+--ISNUMBER(SEARCH(" "&amp;DJ2465&amp;" ",AV26)))</f>
        <v>0</v>
      </c>
      <c r="AX26" s="493" t="str" cm="1">
        <f t="array" ref="AX26">IF(15=15,IF(AM26="","",IF(SUM(AT26:AU26)+SUMPRODUCT(--ISNUMBER(SEARCH(" "&amp;DJ2429:DJ2431&amp;" ",AV26)))&gt;0,"X",IF(AW26&gt;0,"?",""))),"")</f>
        <v/>
      </c>
      <c r="AY26" s="493" cm="1">
        <f t="array" ref="AY26">IF(15=15,IF(AM26="","",SUMPRODUCT(--ISNUMBER(SEARCH(" "&amp;DJ217:DJ316&amp;" ",AS26)))),"")</f>
        <v>0</v>
      </c>
      <c r="AZ26" s="493" cm="1">
        <f t="array" ref="AZ26">IF(15=15,IF(AM26="","",SUMPRODUCT(--ISNUMBER(SEARCH(" "&amp;DJ317:DJ351&amp;" ",AS26)))),"")</f>
        <v>0</v>
      </c>
      <c r="BA26" s="493" t="str">
        <f>IF(15=15,IF(AM26="","",IF((SUM(AY26:AZ26))-(0)&gt;0,"X",IF((0)-(0)&gt;0,"?",""))),"")</f>
        <v/>
      </c>
      <c r="BB26" s="493" cm="1">
        <f t="array" ref="BB26">IF(15=15,IF(AM26="","",SUMPRODUCT(--ISNUMBER(SEARCH(" "&amp;DJ352:DJ409&amp;" ",AS26)))),"")</f>
        <v>1</v>
      </c>
      <c r="BC26" s="493" cm="1">
        <f t="array" ref="BC26">IF(15=15,IF(AM26="","",SUMPRODUCT(--ISNUMBER(SEARCH(" "&amp;DJ410:DJ437&amp;" ",BD26)))+SUMPRODUCT(--ISNUMBER(SEARCH(" "&amp;DJ2451:DJ2464&amp;" ",BD26)))),"")</f>
        <v>0</v>
      </c>
      <c r="BD26" s="493" t="str">
        <f>IF(15=15,IF(AM26="","",SUBSTITUTE(SUBSTITUTE(SUBSTITUTE(SUBSTITUTE(SUBSTITUTE(SUBSTITUTE(SUBSTITUTE(SUBSTITUTE(SUBSTITUTE(SUBSTITUTE(SUBSTITUTE(SUBSTITUTE(SUBSTITUTE(SUBSTITUTE(AS26," "&amp;DJ2466&amp;" "," ")," "&amp;DJ444&amp;" "," ")," "&amp;DJ442&amp;" "," ")," "&amp;DJ2449&amp;" "," ")," "&amp;DJ2450&amp;" "," ")," "&amp;DJ439&amp;" "," ")," "&amp;DJ443&amp;" "," ")," "&amp;DJ445&amp;" "," ")," "&amp;DJ440&amp;" "," ")," "&amp;DJ438&amp;" "," ")," "&amp;DJ1378&amp;" "," ")," "&amp;DJ446&amp;" "," ")," "&amp;DJ1377&amp;" "," ")," "&amp;DJ441&amp;" "," ")),"")</f>
        <v xml:space="preserve"> • 3 oeufs </v>
      </c>
      <c r="BE26" s="493" t="str">
        <f>IF(15=15,IF(AM26="","",IF(BB26&gt;0,"X",IF(BC26&gt;0,"?",""))),"")</f>
        <v>X</v>
      </c>
      <c r="BF26" s="493" cm="1">
        <f t="array" ref="BF26">IF(15=15,IF(AM26="","",SUMPRODUCT(--ISNUMBER(SEARCH(" "&amp;DJ447:DJ546&amp;" ",BP26)))),"")</f>
        <v>0</v>
      </c>
      <c r="BG26" s="493" cm="1">
        <f t="array" ref="BG26">IF(15=15,IF(AM26="","",SUMPRODUCT(--ISNUMBER(SEARCH(" "&amp;DJ547:DJ646&amp;" ",BP26)))),"")</f>
        <v>0</v>
      </c>
      <c r="BH26" s="493" cm="1">
        <f t="array" ref="BH26">IF(15=15,IF(AM26="","",SUMPRODUCT(--ISNUMBER(SEARCH(" "&amp;DJ647:DJ746&amp;" ",BP26)))),"")</f>
        <v>0</v>
      </c>
      <c r="BI26" s="493" cm="1">
        <f t="array" ref="BI26">IF(15=15,IF(AM26="","",SUMPRODUCT(--ISNUMBER(SEARCH(" "&amp;DJ747:DJ846&amp;" ",BP26)))),"")</f>
        <v>0</v>
      </c>
      <c r="BJ26" s="493" cm="1">
        <f t="array" ref="BJ26">IF(15=15,IF(AM26="","",SUMPRODUCT(--ISNUMBER(SEARCH(" "&amp;DJ847:DJ946&amp;" ",BP26)))),"")</f>
        <v>0</v>
      </c>
      <c r="BK26" s="493" cm="1">
        <f t="array" ref="BK26">IF(15=15,IF(AM26="","",SUMPRODUCT(--ISNUMBER(SEARCH(" "&amp;DJ947:DJ1046&amp;" ",BP26)))),"")</f>
        <v>0</v>
      </c>
      <c r="BL26" s="493" cm="1">
        <f t="array" ref="BL26">IF(15=15,IF(AM26="","",SUMPRODUCT(--ISNUMBER(SEARCH(" "&amp;DJ1047:DJ1146&amp;" ",BP26)))),"")</f>
        <v>0</v>
      </c>
      <c r="BM26" s="493" cm="1">
        <f t="array" ref="BM26">IF(15=15,IF(AM26="","",SUMPRODUCT(--ISNUMBER(SEARCH(" "&amp;DJ1147:DJ1246&amp;" ",BP26)))),"")</f>
        <v>0</v>
      </c>
      <c r="BN26" s="493" cm="1">
        <f t="array" ref="BN26">IF(15=15,IF(AM26="","",SUMPRODUCT(--ISNUMBER(SEARCH(" "&amp;DJ1247:DJ1346&amp;" ",BP26)))),"")</f>
        <v>0</v>
      </c>
      <c r="BO26" s="493" cm="1">
        <f t="array" ref="BO26">IF(15=15,IF(AM26="","",SUMPRODUCT(--ISNUMBER(SEARCH(" "&amp;DJ1347:DJ1374&amp;" ",BP26)))),"")</f>
        <v>0</v>
      </c>
      <c r="BP26" s="493" t="str">
        <f>IF(15=15,IF(AM26="","",SUBSTITUTE(SUBSTITUTE(SUBSTITUTE(SUBSTITUTE(SUBSTITUTE(SUBSTITUTE(SUBSTITUTE(SUBSTITUTE(SUBSTITUTE(AS26," "&amp;DJ1376&amp;" "," ")," "&amp;DJ1375&amp;" "," ")," "&amp;DJ1381&amp;" "," ")," "&amp;DJ1382&amp;" "," ")," "&amp;DJ1378&amp;" "," ")," "&amp;DJ1380&amp;" "," ")," "&amp;DJ1377&amp;" "," ")," "&amp;DJ1379&amp;" "," ")," "&amp;DJ1383&amp;" "," ")),"")</f>
        <v xml:space="preserve"> • 3 oeufs </v>
      </c>
      <c r="BQ26" s="493" cm="1">
        <f t="array" ref="BQ26">IF(15=15,IF(AM26="","",SUMPRODUCT(--ISNUMBER(SEARCH(" "&amp;DJ1384:DJ1394&amp;" ",BP26)))),"")</f>
        <v>0</v>
      </c>
      <c r="BR26" s="493" t="str" cm="1">
        <f t="array" ref="BR26">IF(15=15,IF(AM26="","",IF(SUM(BF26:BO26)+SUMPRODUCT(--ISNUMBER(SEARCH(" "&amp;DJ2432:DJ2433&amp;" ",BP26)))&gt;0,"X",IF(BQ26&gt;0,"?",""))),"")</f>
        <v/>
      </c>
      <c r="BS26" s="493" cm="1">
        <f t="array" ref="BS26">IF(15=15,IF(AM26="","",SUMPRODUCT(--ISNUMBER(SEARCH(" "&amp;DJ1395:DJ1415&amp;" ",AS26)))),"")</f>
        <v>0</v>
      </c>
      <c r="BT26" s="493" t="str">
        <f>IF(15=15,IF(AM26="","",IF((BS26)-(0)&gt;0,"X",IF((0)-(0)&gt;0,"?",""))),"")</f>
        <v/>
      </c>
      <c r="BU26" s="493" cm="1">
        <f t="array" ref="BU26">IF(15=15,IF(AM26="","",SUMPRODUCT(--ISNUMBER(SEARCH(" "&amp;DJ1416:DJ1453&amp;" ",BV26)))),"")</f>
        <v>0</v>
      </c>
      <c r="BV26" s="493" t="str">
        <f>IF(15=15,IF(AM26="","",SUBSTITUTE(SUBSTITUTE(AS26," "&amp;DJ1454&amp;" "," ")," "&amp;DJ1455&amp;" "," ")),"")</f>
        <v xml:space="preserve"> • 3 oeufs </v>
      </c>
      <c r="BW26" s="493" cm="1">
        <f t="array" ref="BW26">IF(15=15,IF(AM26="","",SUMPRODUCT(--ISNUMBER(SEARCH(" "&amp;DJ1456:DJ1466&amp;" ",BV26)))),"")</f>
        <v>0</v>
      </c>
      <c r="BX26" s="493" t="str">
        <f>IF(15=15,IF(AM26="","",IF(BU26&gt;0,"X",IF(BW26&gt;0,"?",""))),"")</f>
        <v/>
      </c>
      <c r="BY26" s="493" cm="1">
        <f t="array" ref="BY26">IF(15=15,IF(AM26="","",SUMPRODUCT(--ISNUMBER(SEARCH(" "&amp;DJ1467:DJ1566&amp;" ",CB26)))),"")</f>
        <v>0</v>
      </c>
      <c r="BZ26" s="493" cm="1">
        <f t="array" ref="BZ26">IF(15=15,IF(AM26="","",SUMPRODUCT(--ISNUMBER(SEARCH(" "&amp;DJ1567:DJ1666&amp;" ",CB26)))),"")</f>
        <v>0</v>
      </c>
      <c r="CA26" s="493" cm="1">
        <f t="array" ref="CA26">IF(15=15,IF(AM26="","",SUMPRODUCT(--ISNUMBER(SEARCH(" "&amp;DJ1667:DJ1750&amp;" ",CB26)))),"")</f>
        <v>0</v>
      </c>
      <c r="CB26" s="493" t="str">
        <f>IF(15=15,IF(AM26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26,"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3 oeufs </v>
      </c>
      <c r="CC26" s="493" cm="1">
        <f t="array" ref="CC26">IF(15=15,IF(AM26="","",SUMPRODUCT(--ISNUMBER(SEARCH(" "&amp;DJ1801:DJ1880&amp;" ",CD26)))+SUMPRODUCT(--ISNUMBER(SEARCH(" "&amp;DJ2451:DJ2464&amp;" ",CD26)))),"")</f>
        <v>0</v>
      </c>
      <c r="CD26" s="493" t="str">
        <f>IF(15=15,IF(AM26="","",SUBSTITUTE(SUBSTITUTE(SUBSTITUTE(SUBSTITUTE(SUBSTITUTE(SUBSTITUTE(SUBSTITUTE(SUBSTITUTE(SUBSTITUTE(SUBSTITUTE(SUBSTITUTE(SUBSTITUTE(SUBSTITUTE(CB26," "&amp;DJ1887&amp;" "," ")," "&amp;DJ1885&amp;" "," ")," "&amp;DJ2449&amp;" "," ")," "&amp;DJ2450&amp;" "," ")," "&amp;DJ1882&amp;" "," ")," "&amp;DJ1886&amp;" "," ")," "&amp;DJ1888&amp;" "," ")," "&amp;DJ1883&amp;" "," ")," "&amp;DJ1881&amp;" "," ")," "&amp;DJ1378&amp;" "," ")," "&amp;DJ1889&amp;" "," ")," "&amp;DJ1377&amp;" "," ")," "&amp;DJ1884&amp;" "," ")),"")</f>
        <v xml:space="preserve"> • 3 oeufs </v>
      </c>
      <c r="CE26" s="493" t="str" cm="1">
        <f t="array" ref="CE26">IF(15=15,IF(AM26="","",IF(SUM(BY26:CA26)+SUMPRODUCT(--ISNUMBER(SEARCH(" "&amp;DJ2434:DJ2435&amp;" ",CB26)))&gt;0,"X",IF(CC26&gt;0,"?",""))),"")</f>
        <v/>
      </c>
      <c r="CF26" s="493" cm="1">
        <f t="array" ref="CF26">IF(15=15,IF(AM26="","",SUMPRODUCT(--ISNUMBER(SEARCH(" "&amp;DJ1890:DJ1947&amp;" ",CG26)))),"")</f>
        <v>0</v>
      </c>
      <c r="CG26" s="493" t="str">
        <f>IF(15=15,IF(AM26="","",SUBSTITUTE(SUBSTITUTE(SUBSTITUTE(SUBSTITUTE(SUBSTITUTE(SUBSTITUTE(SUBSTITUTE(SUBSTITUTE(SUBSTITUTE(SUBSTITUTE(SUBSTITUTE(SUBSTITUTE(SUBSTITUTE(SUBSTITUTE(SUBSTITUTE(SUBSTITUTE(SUBSTITUTE(SUBSTITUTE(SUBSTITUTE(SUBSTITUTE(SUBSTITUTE(SUBSTITUTE(SUBSTITUTE(AS26,"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3 oeufs </v>
      </c>
      <c r="CH26" s="493" cm="1">
        <f t="array" ref="CH26">IF(15=15,IF(AM26="","",SUMPRODUCT(--ISNUMBER(SEARCH(" "&amp;DJ1971:DJ1987&amp;" ",CG26)))),"")</f>
        <v>0</v>
      </c>
      <c r="CI26" s="493" t="str">
        <f>IF(15=15,IF(AM26="","",IF(CF26&gt;0,"X",IF(CH26&gt;0,"?",""))),"")</f>
        <v/>
      </c>
      <c r="CJ26" s="493" cm="1">
        <f t="array" ref="CJ26">IF(15=15,IF(AM26="","",SUMPRODUCT(--ISNUMBER(SEARCH(" "&amp;DJ1988:DJ2001&amp;" ",AS26)))),"")</f>
        <v>0</v>
      </c>
      <c r="CK26" s="493" cm="1">
        <f t="array" ref="CK26">IF(15=15,IF(AM26="","",SUMPRODUCT(--ISNUMBER(SEARCH(" "&amp;DJ2002:DJ2016&amp;" ",AS26)))),"")</f>
        <v>0</v>
      </c>
      <c r="CL26" s="493" t="str">
        <f>IF(15=15,IF(AM26="","",IF((CJ26)-(0)&gt;0,"X",IF((CK26)-(0)&gt;0,"?",""))),"")</f>
        <v/>
      </c>
      <c r="CM26" s="493" cm="1">
        <f t="array" ref="CM26">IF(15=15,IF(AM26="","",SUMPRODUCT(--ISNUMBER(SEARCH(" "&amp;DJ2017:DJ2034&amp;" ",AS26)))),"")</f>
        <v>0</v>
      </c>
      <c r="CN26" s="493" cm="1">
        <f t="array" ref="CN26">IF(15=15,IF(AM26="","",SUMPRODUCT(--ISNUMBER(SEARCH(" "&amp;DJ2035:DJ2049&amp;" ",AS26)))),"")</f>
        <v>0</v>
      </c>
      <c r="CO26" s="493" t="str">
        <f>IF(15=15,IF(AM26="","",IF((CM26)-(0)&gt;0,"X",IF((CN26)-(0)&gt;0,"?",""))),"")</f>
        <v/>
      </c>
      <c r="CP26" s="493" cm="1">
        <f t="array" ref="CP26">IF(15=15,IF(AM26="","",SUMPRODUCT(--ISNUMBER(SEARCH(" "&amp;DJ2050:DJ2068&amp;" ",AS26)))),"")</f>
        <v>0</v>
      </c>
      <c r="CQ26" s="493" cm="1">
        <f t="array" ref="CQ26">IF(15=15,IF(AM26="","",SUMPRODUCT(--ISNUMBER(SEARCH(" "&amp;DJ2069:DJ2083&amp;" ",AS26)))),"")</f>
        <v>0</v>
      </c>
      <c r="CR26" s="493" t="str">
        <f>IF(15=15,IF(AM26="","",IF((CP26)-(0)&gt;0,"X",IF((CQ26)-(0)&gt;0,"?",""))),"")</f>
        <v/>
      </c>
      <c r="CS26" s="493" cm="1">
        <f t="array" ref="CS26">IF(15=15,IF(AM26="","",SUMPRODUCT(--ISNUMBER(SEARCH(" "&amp;DJ2084:DJ2104&amp;" ",AS26)))),"")</f>
        <v>0</v>
      </c>
      <c r="CT26" s="493" cm="1">
        <f t="array" ref="CT26">IF(15=15,IF(AM26="","",SUMPRODUCT(--ISNUMBER(SEARCH(" "&amp;DJ2105:DJ2144&amp;" ",SUBSTITUTE(SUBSTITUTE(AS26," "&amp;DJ1378&amp;" "," ")," "&amp;DJ1377&amp;" "," "))))+--ISNUMBER(SEARCH("poiré",AN26))),"")</f>
        <v>0</v>
      </c>
      <c r="CU26" s="493" t="str">
        <f>IF(15=15,IF(AM26="","",IF(OR(CS26&gt;0,ISNUMBER(SEARCH(" vinaigre de vin ",AS26)),ISNUMBER(SEARCH(" vinaigre au vin ",AS26))),"X",IF(CT26&gt;0,"?",""))),"")</f>
        <v/>
      </c>
      <c r="CV26" s="493" cm="1">
        <f t="array" ref="CV26">IF(15=15,IF(AM26="","",SUMPRODUCT(--ISNUMBER(SEARCH(" "&amp;DJ2145:DJ2157&amp;" ",AS26)))),"")</f>
        <v>0</v>
      </c>
      <c r="CW26" s="493" cm="1">
        <f t="array" ref="CW26">IF(15=15,IF(AM26="","",SUMPRODUCT(--ISNUMBER(SEARCH(" "&amp;DJ2158:DJ2163&amp;" ",AS26)))),"")</f>
        <v>0</v>
      </c>
      <c r="CX26" s="493" t="str">
        <f>IF(15=15,IF(AM26="","",IF((CV26)-(0)&gt;0,"X",IF((CW26)-(0)&gt;0,"?",""))),"")</f>
        <v/>
      </c>
      <c r="CY26" s="493" cm="1">
        <f t="array" ref="CY26">IF(15=15,IF(AM26="","",SUMPRODUCT(--ISNUMBER(SEARCH(" "&amp;DJ2164:DJ2263&amp;" ",DB26)))),"")</f>
        <v>0</v>
      </c>
      <c r="CZ26" s="493" cm="1">
        <f t="array" ref="CZ26">IF(15=15,IF(AM26="","",SUMPRODUCT(--ISNUMBER(SEARCH(" "&amp;DJ2264:DJ2363&amp;" ",DB26)))),"")</f>
        <v>0</v>
      </c>
      <c r="DA26" s="493" cm="1">
        <f t="array" ref="DA26">IF(15=15,IF(AM26="","",SUMPRODUCT(--ISNUMBER(SEARCH(" "&amp;DJ2364:DJ2406&amp;" ",DB26)))),"")</f>
        <v>0</v>
      </c>
      <c r="DB26" s="493" t="str">
        <f>IF(15=15,IF(AM26="","",SUBSTITUTE(SUBSTITUTE(SUBSTITUTE(SUBSTITUTE(SUBSTITUTE(SUBSTITUTE(SUBSTITUTE(SUBSTITUTE(SUBSTITUTE(SUBSTITUTE(SUBSTITUTE(SUBSTITUTE(SUBSTITUTE(SUBSTITUTE(SUBSTITUTE(SUBSTITUTE(AS26," "&amp;DJ2412&amp;" "," ")," "&amp;DJ2411&amp;" "," ")," "&amp;DJ2410&amp;" "," ")," "&amp;DJ2417&amp;" "," ")," "&amp;DJ2409&amp;" "," ")," "&amp;DJ2421&amp;" "," ")," "&amp;DJ2408&amp;" "," ")," "&amp;DJ2413&amp;" "," ")," "&amp;DJ2416&amp;" "," ")," "&amp;DJ2407&amp;" "," ")," "&amp;DJ2415&amp;" "," ")," "&amp;DJ2422&amp;" "," ")," "&amp;DJ2419&amp;" "," ")," "&amp;DJ2414&amp;" "," ")," "&amp;DJ2418&amp;" "," ")," "&amp;DJ2420&amp;" "," ")),"")</f>
        <v xml:space="preserve"> • 3 oeufs </v>
      </c>
      <c r="DC26" s="493" cm="1">
        <f t="array" ref="DC26">IF(15=15,IF(AM26="","",SUMPRODUCT(--ISNUMBER(SEARCH(" "&amp;DJ2423:DJ2427&amp;" ",DB26)))),"")</f>
        <v>0</v>
      </c>
      <c r="DD26" s="493" t="str">
        <f>IF(15=15,IF(AM26="","",IF(SUM(CY26:DA26)&gt;0,"X",IF(DC26&gt;0,"?",""))),"")</f>
        <v/>
      </c>
      <c r="DE26" s="494"/>
      <c r="DF26" s="496" t="s">
        <v>1172</v>
      </c>
      <c r="DG26" s="496" t="s">
        <v>1083</v>
      </c>
      <c r="DH26" s="496" t="s">
        <v>689</v>
      </c>
      <c r="DI26" s="496" t="s">
        <v>310</v>
      </c>
      <c r="DJ26" s="496" t="s">
        <v>29</v>
      </c>
      <c r="DK26" s="496" t="s">
        <v>1085</v>
      </c>
      <c r="DL26" s="496" t="s">
        <v>1086</v>
      </c>
      <c r="DM26" s="496" t="s">
        <v>1087</v>
      </c>
      <c r="DN26" s="497" t="s">
        <v>1088</v>
      </c>
      <c r="DP26" s="543">
        <v>1</v>
      </c>
    </row>
    <row r="27" spans="2:120" ht="30" customHeight="1">
      <c r="B27" s="663" t="str">
        <f t="shared" si="0"/>
        <v>• 30 g de farine</v>
      </c>
      <c r="C27" s="663" t="str">
        <f t="shared" si="1"/>
        <v>• 30 g de farine</v>
      </c>
      <c r="D27" s="663" t="str">
        <f>IF(UPPER(TRIM(N11))="X",C27,B27)</f>
        <v>• 30 g de farine</v>
      </c>
      <c r="E27" s="663" cm="1">
        <f t="array" ref="E27">IF(H26&lt;&gt;"",E26,IF(E26="","",IFERROR(MATCH(TRUE(),INDEX(INDEX(K:K,E26+1):K203&lt;&gt;"",0),0)+E26,"")))</f>
        <v>24</v>
      </c>
      <c r="F27" s="663" t="str" cm="1">
        <f t="array" ref="F27">IF(E27="","",IF(H26&lt;&gt;"",H26,INDEX(D:D,E27)))</f>
        <v>• 50 g de poudre d’amandes</v>
      </c>
      <c r="G27" s="663" t="str">
        <f t="shared" si="2"/>
        <v>• 50 g de poudre d’amandes</v>
      </c>
      <c r="H27" s="673" t="str">
        <f t="shared" si="3"/>
        <v/>
      </c>
      <c r="I27" s="680" t="str">
        <f>IF(AND(F27&lt;&gt;"",N10&gt;0,M27&gt;N10),"Mot &gt; limite","")</f>
        <v/>
      </c>
      <c r="J27" s="674">
        <f>IF(K27="","",COUNTIF(K18:K27,"&lt;&gt;"))</f>
        <v>10</v>
      </c>
      <c r="K27" s="675" t="s">
        <v>6472</v>
      </c>
      <c r="L27" s="674">
        <f t="shared" si="4"/>
        <v>16</v>
      </c>
      <c r="M27" s="643">
        <f>IF(OR(F27="",N10="",N10&lt;=0),"",IF(LEN(F27)&lt;=N10,LEN(F27),IFERROR(FIND("♦",SUBSTITUTE(LEFT(F27,N10)," ","♦",LEN(LEFT(F27,N10))-LEN(SUBSTITUTE(LEFT(F27,N10)," ","")))),FIND(" ",F27&amp;" ",N10+1)-1)))</f>
        <v>26</v>
      </c>
      <c r="N27" s="676">
        <f t="shared" si="5"/>
        <v>10</v>
      </c>
      <c r="O27" s="677" t="str">
        <f t="shared" si="6"/>
        <v>• 50 g de poudre d’amandes</v>
      </c>
      <c r="P27" s="676">
        <f t="shared" si="7"/>
        <v>6</v>
      </c>
      <c r="Q27" s="676">
        <f t="shared" si="8"/>
        <v>26</v>
      </c>
      <c r="S27" s="509">
        <v>10</v>
      </c>
      <c r="T27" s="678" t="str">
        <f t="shared" si="10"/>
        <v>• 50 g de poudre d’amandes</v>
      </c>
      <c r="U27" s="679" t="str">
        <f t="shared" si="9"/>
        <v>• 50 g de poudre d’amandes *</v>
      </c>
      <c r="V27" s="512" t="str">
        <f>IF(16=16,IF(T27="","",IF(W27="X",""&amp;"Céréales contenant du gluten","")&amp;IF(X27="X",IF(COUNTIF(W27:W27,"X")&gt;0,", ","")&amp;"Crustacés","")&amp;IF(Y27="X",IF(COUNTIF(W27:X27,"X")&gt;0,", ","")&amp;"Œufs","")&amp;IF(Z27="X",IF(COUNTIF(W27:Y27,"X")&gt;0,", ","")&amp;"Poissons","")&amp;IF(AA27="X",IF(COUNTIF(W27:Z27,"X")&gt;0,", ","")&amp;"Arachides","")&amp;IF(AB27="X",IF(COUNTIF(W27:AA27,"X")&gt;0,", ","")&amp;"Soja","")&amp;IF(AC27="X",IF(COUNTIF(W27:AB27,"X")&gt;0,", ","")&amp;"Lait","")&amp;IF(AD27="X",IF(COUNTIF(W27:AC27,"X")&gt;0,", ","")&amp;"Fruits à coque","")&amp;IF(AE27="X",IF(COUNTIF(W27:AD27,"X")&gt;0,", ","")&amp;"Céleri","")&amp;IF(AF27="X",IF(COUNTIF(W27:AE27,"X")&gt;0,", ","")&amp;"Moutarde","")&amp;IF(AG27="X",IF(COUNTIF(W27:AF27,"X")&gt;0,", ","")&amp;"Sésame","")&amp;IF(AH27="X",IF(COUNTIF(W27:AG27,"X")&gt;0,", ","")&amp;"Sulfites","")&amp;IF(AI27="X",IF(COUNTIF(W27:AH27,"X")&gt;0,", ","")&amp;"Lupin","")&amp;IF(AJ27="X",IF(COUNTIF(W27:AI27,"X")&gt;0,", ","")&amp;"Mollusques","")),"")</f>
        <v>Fruits à coque</v>
      </c>
      <c r="W27" s="513" t="str">
        <f>IF(16=16,IF(T27="","",AX27),"")</f>
        <v/>
      </c>
      <c r="X27" s="513" t="str">
        <f>IF(16=16,IF(T27="","",BA27),"")</f>
        <v/>
      </c>
      <c r="Y27" s="513" t="str">
        <f>IF(16=16,IF(T27="","",BE27),"")</f>
        <v/>
      </c>
      <c r="Z27" s="513" t="str">
        <f>IF(16=16,IF(T27="","",IF(ISNUMBER(SEARCH(" colin ",AS27)),"X",BR27)),"")</f>
        <v/>
      </c>
      <c r="AA27" s="513" t="str">
        <f>IF(16=16,IF(T27="","",BT27),"")</f>
        <v/>
      </c>
      <c r="AB27" s="513" t="str">
        <f>IF(16=16,IF(T27="","",BX27),"")</f>
        <v/>
      </c>
      <c r="AC27" s="513" t="str">
        <f>IF(16=16,IF(T27="","",CE27),"")</f>
        <v/>
      </c>
      <c r="AD27" s="513" t="str">
        <f>IF(16=16,IF(T27="","",CI27),"")</f>
        <v>X</v>
      </c>
      <c r="AE27" s="513" t="str">
        <f>IF(16=16,IF(T27="","",CL27),"")</f>
        <v/>
      </c>
      <c r="AF27" s="513" t="str">
        <f>IF(16=16,IF(T27="","",CO27),"")</f>
        <v/>
      </c>
      <c r="AG27" s="513" t="str">
        <f>IF(16=16,IF(T27="","",CR27),"")</f>
        <v/>
      </c>
      <c r="AH27" s="513" t="str">
        <f>IF(16=16,IF(T27="","",CU27),"")</f>
        <v/>
      </c>
      <c r="AI27" s="513" t="str">
        <f>IF(16=16,IF(T27="","",CX27),"")</f>
        <v/>
      </c>
      <c r="AJ27" s="513" t="str">
        <f>IF(16=16,IF(T27="","",DD27),"")</f>
        <v/>
      </c>
      <c r="AK27" s="514" t="str">
        <f>IF(16=16,IF(T27="","",IF(W27="?",""&amp;"Céréales contenant du gluten","")&amp;IF(X27="?",IF(COUNTIF(W27:W27,"~?")&gt;0,", ","")&amp;"Crustacés","")&amp;IF(Y27="?",IF(COUNTIF(W27:X27,"~?")&gt;0,", ","")&amp;"Œufs","")&amp;IF(Z27="?",IF(COUNTIF(W27:Y27,"~?")&gt;0,", ","")&amp;"Poissons","")&amp;IF(AA27="?",IF(COUNTIF(W27:Z27,"~?")&gt;0,", ","")&amp;"Arachides","")&amp;IF(AB27="?",IF(COUNTIF(W27:AA27,"~?")&gt;0,", ","")&amp;"Soja","")&amp;IF(AC27="?",IF(COUNTIF(W27:AB27,"~?")&gt;0,", ","")&amp;"Lait","")&amp;IF(AD27="?",IF(COUNTIF(W27:AC27,"~?")&gt;0,", ","")&amp;"Fruits à coque","")&amp;IF(AE27="?",IF(COUNTIF(W27:AD27,"~?")&gt;0,", ","")&amp;"Céleri","")&amp;IF(AF27="?",IF(COUNTIF(W27:AE27,"~?")&gt;0,", ","")&amp;"Moutarde","")&amp;IF(AG27="?",IF(COUNTIF(W27:AF27,"~?")&gt;0,", ","")&amp;"Sésame","")&amp;IF(AH27="?",IF(COUNTIF(W27:AG27,"~?")&gt;0,", ","")&amp;"Sulfites","")&amp;IF(AI27="?",IF(COUNTIF(W27:AH27,"~?")&gt;0,", ","")&amp;"Lupin","")&amp;IF(AJ27="?",IF(COUNTIF(W27:AI27,"~?")&gt;0,", ","")&amp;"Mollusques","")),"")</f>
        <v/>
      </c>
      <c r="AM27" s="493" t="str">
        <f>IF(16=16,IF(T27="","",T27),"")</f>
        <v>• 50 g de poudre d’amandes</v>
      </c>
      <c r="AN27" s="493" t="str">
        <f>IF(16=16,LOWER(CLEAN(SUBSTITUTE(SUBSTITUTE(SUBSTITUTE(SUBSTITUTE(AM27,CHAR(160)," ")," "," "),CHAR(10)," "),CHAR(13)," "))),"")</f>
        <v>• 50 g de poudre d’amandes</v>
      </c>
      <c r="AO27" s="493" t="str">
        <f>IF(16=16,SUBSTITUTE(SUBSTITUTE(SUBSTITUTE(SUBSTITUTE(SUBSTITUTE(SUBSTITUTE(SUBSTITUTE(SUBSTITUTE(SUBSTITUTE(SUBSTITUTE(SUBSTITUTE(SUBSTITUTE(AN27,"œ","oe"),"æ","ae"),"à","a"),"á","a"),"â","a"),"ä","a"),"ã","a"),"ç","c"),"è","e"),"é","e"),"ê","e"),"ë","e"),"")</f>
        <v>• 50 g de poudre d’amandes</v>
      </c>
      <c r="AP27" s="493" t="str">
        <f>IF(16=16,SUBSTITUTE(SUBSTITUTE(SUBSTITUTE(SUBSTITUTE(SUBSTITUTE(SUBSTITUTE(SUBSTITUTE(SUBSTITUTE(SUBSTITUTE(SUBSTITUTE(SUBSTITUTE(SUBSTITUTE(SUBSTITUTE(SUBSTITUTE(SUBSTITUTE(SUBSTITUTE(AO27,"ì","i"),"í","i"),"î","i"),"ï","i"),"ñ","n"),"ò","o"),"ó","o"),"ô","o"),"ö","o"),"õ","o"),"ù","u"),"ú","u"),"û","u"),"ü","u"),"ý","y"),"ÿ","y"),"")</f>
        <v>• 50 g de poudre d’amandes</v>
      </c>
      <c r="AQ27" s="493" t="str">
        <f>IF(16=16,SUBSTITUTE(SUBSTITUTE(SUBSTITUTE(SUBSTITUTE(SUBSTITUTE(SUBSTITUTE(SUBSTITUTE(SUBSTITUTE(SUBSTITUTE(SUBSTITUTE(SUBSTITUTE(SUBSTITUTE(SUBSTITUTE(SUBSTITUTE(AP27,"’"," "),"`"," "),"–"," "),"—"," "),"-"," "),"'"," "),"/"," "),"_"," "),","," "),"."," "),"("," "),")"," "),";"," "),":"," "),"")</f>
        <v>• 50 g de poudre d amandes</v>
      </c>
      <c r="AR27" s="493" t="str">
        <f>IF(16=16,SUBSTITUTE(SUBSTITUTE(SUBSTITUTE(SUBSTITUTE(SUBSTITUTE(SUBSTITUTE(SUBSTITUTE(SUBSTITUTE(SUBSTITUTE(SUBSTITUTE(SUBSTITUTE(SUBSTITUTE(SUBSTITUTE(SUBSTITUTE(SUBSTITUTE(AQ27,"!"," "),"?"," "),"+"," "),"*"," "),"&amp;"," "),"["," "),"]"," "),"{"," "),"}"," "),"%"," "),"="," "),"\"," "),"|"," "),"&lt;"," "),"&gt;"," "),"")</f>
        <v>• 50 g de poudre d amandes</v>
      </c>
      <c r="AS27" s="493" t="str">
        <f>IF(16=16," "&amp;TRIM(SUBSTITUTE(SUBSTITUTE(SUBSTITUTE(SUBSTITUTE(SUBSTITUTE(SUBSTITUTE(AR27,CHAR(34)," "),"  "," "),"  "," "),"  "," "),"  "," "),"  "," "))&amp;" ","")</f>
        <v xml:space="preserve"> • 50 g de poudre d amandes </v>
      </c>
      <c r="AT27" s="493" cm="1">
        <f t="array" ref="AT27">IF(16=16,IF(AM27="","",SUMPRODUCT(--ISNUMBER(SEARCH(" "&amp;DJ13:DJ112&amp;" ",AV27)))),"")</f>
        <v>0</v>
      </c>
      <c r="AU27" s="493" cm="1">
        <f t="array" ref="AU27">IF(16=16,IF(AM27="","",SUMPRODUCT(--ISNUMBER(SEARCH(" "&amp;DJ113:DJ162&amp;" ",AV27)))),"")</f>
        <v>0</v>
      </c>
      <c r="AV27" s="493" t="str">
        <f>IF(AM27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27,"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50 g de poudre d amandes </v>
      </c>
      <c r="AW27" s="493" cm="1">
        <f t="array" ref="AW27">IF(AM27="","",SUMPRODUCT(--ISNUMBER(SEARCH(" "&amp;DJ195:DJ216&amp;" ",AV27)))+--ISNUMBER(SEARCH(" "&amp;DJ2465&amp;" ",AV27)))</f>
        <v>0</v>
      </c>
      <c r="AX27" s="493" t="str" cm="1">
        <f t="array" ref="AX27">IF(16=16,IF(AM27="","",IF(SUM(AT27:AU27)+SUMPRODUCT(--ISNUMBER(SEARCH(" "&amp;DJ2429:DJ2431&amp;" ",AV27)))&gt;0,"X",IF(AW27&gt;0,"?",""))),"")</f>
        <v/>
      </c>
      <c r="AY27" s="493" cm="1">
        <f t="array" ref="AY27">IF(16=16,IF(AM27="","",SUMPRODUCT(--ISNUMBER(SEARCH(" "&amp;DJ217:DJ316&amp;" ",AS27)))),"")</f>
        <v>0</v>
      </c>
      <c r="AZ27" s="493" cm="1">
        <f t="array" ref="AZ27">IF(16=16,IF(AM27="","",SUMPRODUCT(--ISNUMBER(SEARCH(" "&amp;DJ317:DJ351&amp;" ",AS27)))),"")</f>
        <v>0</v>
      </c>
      <c r="BA27" s="493" t="str">
        <f>IF(16=16,IF(AM27="","",IF((SUM(AY27:AZ27))-(0)&gt;0,"X",IF((0)-(0)&gt;0,"?",""))),"")</f>
        <v/>
      </c>
      <c r="BB27" s="493" cm="1">
        <f t="array" ref="BB27">IF(16=16,IF(AM27="","",SUMPRODUCT(--ISNUMBER(SEARCH(" "&amp;DJ352:DJ409&amp;" ",AS27)))),"")</f>
        <v>0</v>
      </c>
      <c r="BC27" s="493" cm="1">
        <f t="array" ref="BC27">IF(16=16,IF(AM27="","",SUMPRODUCT(--ISNUMBER(SEARCH(" "&amp;DJ410:DJ437&amp;" ",BD27)))+SUMPRODUCT(--ISNUMBER(SEARCH(" "&amp;DJ2451:DJ2464&amp;" ",BD27)))),"")</f>
        <v>0</v>
      </c>
      <c r="BD27" s="493" t="str">
        <f>IF(16=16,IF(AM27="","",SUBSTITUTE(SUBSTITUTE(SUBSTITUTE(SUBSTITUTE(SUBSTITUTE(SUBSTITUTE(SUBSTITUTE(SUBSTITUTE(SUBSTITUTE(SUBSTITUTE(SUBSTITUTE(SUBSTITUTE(SUBSTITUTE(SUBSTITUTE(AS27," "&amp;DJ2466&amp;" "," ")," "&amp;DJ444&amp;" "," ")," "&amp;DJ442&amp;" "," ")," "&amp;DJ2449&amp;" "," ")," "&amp;DJ2450&amp;" "," ")," "&amp;DJ439&amp;" "," ")," "&amp;DJ443&amp;" "," ")," "&amp;DJ445&amp;" "," ")," "&amp;DJ440&amp;" "," ")," "&amp;DJ438&amp;" "," ")," "&amp;DJ1378&amp;" "," ")," "&amp;DJ446&amp;" "," ")," "&amp;DJ1377&amp;" "," ")," "&amp;DJ441&amp;" "," ")),"")</f>
        <v xml:space="preserve"> • 50 g de poudre d amandes </v>
      </c>
      <c r="BE27" s="493" t="str">
        <f>IF(16=16,IF(AM27="","",IF(BB27&gt;0,"X",IF(BC27&gt;0,"?",""))),"")</f>
        <v/>
      </c>
      <c r="BF27" s="493" cm="1">
        <f t="array" ref="BF27">IF(16=16,IF(AM27="","",SUMPRODUCT(--ISNUMBER(SEARCH(" "&amp;DJ447:DJ546&amp;" ",BP27)))),"")</f>
        <v>0</v>
      </c>
      <c r="BG27" s="493" cm="1">
        <f t="array" ref="BG27">IF(16=16,IF(AM27="","",SUMPRODUCT(--ISNUMBER(SEARCH(" "&amp;DJ547:DJ646&amp;" ",BP27)))),"")</f>
        <v>0</v>
      </c>
      <c r="BH27" s="493" cm="1">
        <f t="array" ref="BH27">IF(16=16,IF(AM27="","",SUMPRODUCT(--ISNUMBER(SEARCH(" "&amp;DJ647:DJ746&amp;" ",BP27)))),"")</f>
        <v>0</v>
      </c>
      <c r="BI27" s="493" cm="1">
        <f t="array" ref="BI27">IF(16=16,IF(AM27="","",SUMPRODUCT(--ISNUMBER(SEARCH(" "&amp;DJ747:DJ846&amp;" ",BP27)))),"")</f>
        <v>0</v>
      </c>
      <c r="BJ27" s="493" cm="1">
        <f t="array" ref="BJ27">IF(16=16,IF(AM27="","",SUMPRODUCT(--ISNUMBER(SEARCH(" "&amp;DJ847:DJ946&amp;" ",BP27)))),"")</f>
        <v>0</v>
      </c>
      <c r="BK27" s="493" cm="1">
        <f t="array" ref="BK27">IF(16=16,IF(AM27="","",SUMPRODUCT(--ISNUMBER(SEARCH(" "&amp;DJ947:DJ1046&amp;" ",BP27)))),"")</f>
        <v>0</v>
      </c>
      <c r="BL27" s="493" cm="1">
        <f t="array" ref="BL27">IF(16=16,IF(AM27="","",SUMPRODUCT(--ISNUMBER(SEARCH(" "&amp;DJ1047:DJ1146&amp;" ",BP27)))),"")</f>
        <v>0</v>
      </c>
      <c r="BM27" s="493" cm="1">
        <f t="array" ref="BM27">IF(16=16,IF(AM27="","",SUMPRODUCT(--ISNUMBER(SEARCH(" "&amp;DJ1147:DJ1246&amp;" ",BP27)))),"")</f>
        <v>0</v>
      </c>
      <c r="BN27" s="493" cm="1">
        <f t="array" ref="BN27">IF(16=16,IF(AM27="","",SUMPRODUCT(--ISNUMBER(SEARCH(" "&amp;DJ1247:DJ1346&amp;" ",BP27)))),"")</f>
        <v>0</v>
      </c>
      <c r="BO27" s="493" cm="1">
        <f t="array" ref="BO27">IF(16=16,IF(AM27="","",SUMPRODUCT(--ISNUMBER(SEARCH(" "&amp;DJ1347:DJ1374&amp;" ",BP27)))),"")</f>
        <v>0</v>
      </c>
      <c r="BP27" s="493" t="str">
        <f>IF(16=16,IF(AM27="","",SUBSTITUTE(SUBSTITUTE(SUBSTITUTE(SUBSTITUTE(SUBSTITUTE(SUBSTITUTE(SUBSTITUTE(SUBSTITUTE(SUBSTITUTE(AS27," "&amp;DJ1376&amp;" "," ")," "&amp;DJ1375&amp;" "," ")," "&amp;DJ1381&amp;" "," ")," "&amp;DJ1382&amp;" "," ")," "&amp;DJ1378&amp;" "," ")," "&amp;DJ1380&amp;" "," ")," "&amp;DJ1377&amp;" "," ")," "&amp;DJ1379&amp;" "," ")," "&amp;DJ1383&amp;" "," ")),"")</f>
        <v xml:space="preserve"> • 50 g de poudre d amandes </v>
      </c>
      <c r="BQ27" s="493" cm="1">
        <f t="array" ref="BQ27">IF(16=16,IF(AM27="","",SUMPRODUCT(--ISNUMBER(SEARCH(" "&amp;DJ1384:DJ1394&amp;" ",BP27)))),"")</f>
        <v>0</v>
      </c>
      <c r="BR27" s="493" t="str" cm="1">
        <f t="array" ref="BR27">IF(16=16,IF(AM27="","",IF(SUM(BF27:BO27)+SUMPRODUCT(--ISNUMBER(SEARCH(" "&amp;DJ2432:DJ2433&amp;" ",BP27)))&gt;0,"X",IF(BQ27&gt;0,"?",""))),"")</f>
        <v/>
      </c>
      <c r="BS27" s="493" cm="1">
        <f t="array" ref="BS27">IF(16=16,IF(AM27="","",SUMPRODUCT(--ISNUMBER(SEARCH(" "&amp;DJ1395:DJ1415&amp;" ",AS27)))),"")</f>
        <v>0</v>
      </c>
      <c r="BT27" s="493" t="str">
        <f>IF(16=16,IF(AM27="","",IF((BS27)-(0)&gt;0,"X",IF((0)-(0)&gt;0,"?",""))),"")</f>
        <v/>
      </c>
      <c r="BU27" s="493" cm="1">
        <f t="array" ref="BU27">IF(16=16,IF(AM27="","",SUMPRODUCT(--ISNUMBER(SEARCH(" "&amp;DJ1416:DJ1453&amp;" ",BV27)))),"")</f>
        <v>0</v>
      </c>
      <c r="BV27" s="493" t="str">
        <f>IF(16=16,IF(AM27="","",SUBSTITUTE(SUBSTITUTE(AS27," "&amp;DJ1454&amp;" "," ")," "&amp;DJ1455&amp;" "," ")),"")</f>
        <v xml:space="preserve"> • 50 g de poudre d amandes </v>
      </c>
      <c r="BW27" s="493" cm="1">
        <f t="array" ref="BW27">IF(16=16,IF(AM27="","",SUMPRODUCT(--ISNUMBER(SEARCH(" "&amp;DJ1456:DJ1466&amp;" ",BV27)))),"")</f>
        <v>0</v>
      </c>
      <c r="BX27" s="493" t="str">
        <f>IF(16=16,IF(AM27="","",IF(BU27&gt;0,"X",IF(BW27&gt;0,"?",""))),"")</f>
        <v/>
      </c>
      <c r="BY27" s="493" cm="1">
        <f t="array" ref="BY27">IF(16=16,IF(AM27="","",SUMPRODUCT(--ISNUMBER(SEARCH(" "&amp;DJ1467:DJ1566&amp;" ",CB27)))),"")</f>
        <v>0</v>
      </c>
      <c r="BZ27" s="493" cm="1">
        <f t="array" ref="BZ27">IF(16=16,IF(AM27="","",SUMPRODUCT(--ISNUMBER(SEARCH(" "&amp;DJ1567:DJ1666&amp;" ",CB27)))),"")</f>
        <v>0</v>
      </c>
      <c r="CA27" s="493" cm="1">
        <f t="array" ref="CA27">IF(16=16,IF(AM27="","",SUMPRODUCT(--ISNUMBER(SEARCH(" "&amp;DJ1667:DJ1750&amp;" ",CB27)))),"")</f>
        <v>0</v>
      </c>
      <c r="CB27" s="493" t="str">
        <f>IF(16=16,IF(AM27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27,"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50 g de poudre d amandes </v>
      </c>
      <c r="CC27" s="493" cm="1">
        <f t="array" ref="CC27">IF(16=16,IF(AM27="","",SUMPRODUCT(--ISNUMBER(SEARCH(" "&amp;DJ1801:DJ1880&amp;" ",CD27)))+SUMPRODUCT(--ISNUMBER(SEARCH(" "&amp;DJ2451:DJ2464&amp;" ",CD27)))),"")</f>
        <v>0</v>
      </c>
      <c r="CD27" s="493" t="str">
        <f>IF(16=16,IF(AM27="","",SUBSTITUTE(SUBSTITUTE(SUBSTITUTE(SUBSTITUTE(SUBSTITUTE(SUBSTITUTE(SUBSTITUTE(SUBSTITUTE(SUBSTITUTE(SUBSTITUTE(SUBSTITUTE(SUBSTITUTE(SUBSTITUTE(CB27," "&amp;DJ1887&amp;" "," ")," "&amp;DJ1885&amp;" "," ")," "&amp;DJ2449&amp;" "," ")," "&amp;DJ2450&amp;" "," ")," "&amp;DJ1882&amp;" "," ")," "&amp;DJ1886&amp;" "," ")," "&amp;DJ1888&amp;" "," ")," "&amp;DJ1883&amp;" "," ")," "&amp;DJ1881&amp;" "," ")," "&amp;DJ1378&amp;" "," ")," "&amp;DJ1889&amp;" "," ")," "&amp;DJ1377&amp;" "," ")," "&amp;DJ1884&amp;" "," ")),"")</f>
        <v xml:space="preserve"> • 50 g de poudre d amandes </v>
      </c>
      <c r="CE27" s="493" t="str" cm="1">
        <f t="array" ref="CE27">IF(16=16,IF(AM27="","",IF(SUM(BY27:CA27)+SUMPRODUCT(--ISNUMBER(SEARCH(" "&amp;DJ2434:DJ2435&amp;" ",CB27)))&gt;0,"X",IF(CC27&gt;0,"?",""))),"")</f>
        <v/>
      </c>
      <c r="CF27" s="493" cm="1">
        <f t="array" ref="CF27">IF(16=16,IF(AM27="","",SUMPRODUCT(--ISNUMBER(SEARCH(" "&amp;DJ1890:DJ1947&amp;" ",CG27)))),"")</f>
        <v>1</v>
      </c>
      <c r="CG27" s="493" t="str">
        <f>IF(16=16,IF(AM27="","",SUBSTITUTE(SUBSTITUTE(SUBSTITUTE(SUBSTITUTE(SUBSTITUTE(SUBSTITUTE(SUBSTITUTE(SUBSTITUTE(SUBSTITUTE(SUBSTITUTE(SUBSTITUTE(SUBSTITUTE(SUBSTITUTE(SUBSTITUTE(SUBSTITUTE(SUBSTITUTE(SUBSTITUTE(SUBSTITUTE(SUBSTITUTE(SUBSTITUTE(SUBSTITUTE(SUBSTITUTE(SUBSTITUTE(AS27,"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50 g de poudre d amandes </v>
      </c>
      <c r="CH27" s="493" cm="1">
        <f t="array" ref="CH27">IF(16=16,IF(AM27="","",SUMPRODUCT(--ISNUMBER(SEARCH(" "&amp;DJ1971:DJ1987&amp;" ",CG27)))),"")</f>
        <v>0</v>
      </c>
      <c r="CI27" s="493" t="str">
        <f>IF(16=16,IF(AM27="","",IF(CF27&gt;0,"X",IF(CH27&gt;0,"?",""))),"")</f>
        <v>X</v>
      </c>
      <c r="CJ27" s="493" cm="1">
        <f t="array" ref="CJ27">IF(16=16,IF(AM27="","",SUMPRODUCT(--ISNUMBER(SEARCH(" "&amp;DJ1988:DJ2001&amp;" ",AS27)))),"")</f>
        <v>0</v>
      </c>
      <c r="CK27" s="493" cm="1">
        <f t="array" ref="CK27">IF(16=16,IF(AM27="","",SUMPRODUCT(--ISNUMBER(SEARCH(" "&amp;DJ2002:DJ2016&amp;" ",AS27)))),"")</f>
        <v>0</v>
      </c>
      <c r="CL27" s="493" t="str">
        <f>IF(16=16,IF(AM27="","",IF((CJ27)-(0)&gt;0,"X",IF((CK27)-(0)&gt;0,"?",""))),"")</f>
        <v/>
      </c>
      <c r="CM27" s="493" cm="1">
        <f t="array" ref="CM27">IF(16=16,IF(AM27="","",SUMPRODUCT(--ISNUMBER(SEARCH(" "&amp;DJ2017:DJ2034&amp;" ",AS27)))),"")</f>
        <v>0</v>
      </c>
      <c r="CN27" s="493" cm="1">
        <f t="array" ref="CN27">IF(16=16,IF(AM27="","",SUMPRODUCT(--ISNUMBER(SEARCH(" "&amp;DJ2035:DJ2049&amp;" ",AS27)))),"")</f>
        <v>0</v>
      </c>
      <c r="CO27" s="493" t="str">
        <f>IF(16=16,IF(AM27="","",IF((CM27)-(0)&gt;0,"X",IF((CN27)-(0)&gt;0,"?",""))),"")</f>
        <v/>
      </c>
      <c r="CP27" s="493" cm="1">
        <f t="array" ref="CP27">IF(16=16,IF(AM27="","",SUMPRODUCT(--ISNUMBER(SEARCH(" "&amp;DJ2050:DJ2068&amp;" ",AS27)))),"")</f>
        <v>0</v>
      </c>
      <c r="CQ27" s="493" cm="1">
        <f t="array" ref="CQ27">IF(16=16,IF(AM27="","",SUMPRODUCT(--ISNUMBER(SEARCH(" "&amp;DJ2069:DJ2083&amp;" ",AS27)))),"")</f>
        <v>0</v>
      </c>
      <c r="CR27" s="493" t="str">
        <f>IF(16=16,IF(AM27="","",IF((CP27)-(0)&gt;0,"X",IF((CQ27)-(0)&gt;0,"?",""))),"")</f>
        <v/>
      </c>
      <c r="CS27" s="493" cm="1">
        <f t="array" ref="CS27">IF(16=16,IF(AM27="","",SUMPRODUCT(--ISNUMBER(SEARCH(" "&amp;DJ2084:DJ2104&amp;" ",AS27)))),"")</f>
        <v>0</v>
      </c>
      <c r="CT27" s="493" cm="1">
        <f t="array" ref="CT27">IF(16=16,IF(AM27="","",SUMPRODUCT(--ISNUMBER(SEARCH(" "&amp;DJ2105:DJ2144&amp;" ",SUBSTITUTE(SUBSTITUTE(AS27," "&amp;DJ1378&amp;" "," ")," "&amp;DJ1377&amp;" "," "))))+--ISNUMBER(SEARCH("poiré",AN27))),"")</f>
        <v>0</v>
      </c>
      <c r="CU27" s="493" t="str">
        <f>IF(16=16,IF(AM27="","",IF(OR(CS27&gt;0,ISNUMBER(SEARCH(" vinaigre de vin ",AS27)),ISNUMBER(SEARCH(" vinaigre au vin ",AS27))),"X",IF(CT27&gt;0,"?",""))),"")</f>
        <v/>
      </c>
      <c r="CV27" s="493" cm="1">
        <f t="array" ref="CV27">IF(16=16,IF(AM27="","",SUMPRODUCT(--ISNUMBER(SEARCH(" "&amp;DJ2145:DJ2157&amp;" ",AS27)))),"")</f>
        <v>0</v>
      </c>
      <c r="CW27" s="493" cm="1">
        <f t="array" ref="CW27">IF(16=16,IF(AM27="","",SUMPRODUCT(--ISNUMBER(SEARCH(" "&amp;DJ2158:DJ2163&amp;" ",AS27)))),"")</f>
        <v>0</v>
      </c>
      <c r="CX27" s="493" t="str">
        <f>IF(16=16,IF(AM27="","",IF((CV27)-(0)&gt;0,"X",IF((CW27)-(0)&gt;0,"?",""))),"")</f>
        <v/>
      </c>
      <c r="CY27" s="493" cm="1">
        <f t="array" ref="CY27">IF(16=16,IF(AM27="","",SUMPRODUCT(--ISNUMBER(SEARCH(" "&amp;DJ2164:DJ2263&amp;" ",DB27)))),"")</f>
        <v>0</v>
      </c>
      <c r="CZ27" s="493" cm="1">
        <f t="array" ref="CZ27">IF(16=16,IF(AM27="","",SUMPRODUCT(--ISNUMBER(SEARCH(" "&amp;DJ2264:DJ2363&amp;" ",DB27)))),"")</f>
        <v>0</v>
      </c>
      <c r="DA27" s="493" cm="1">
        <f t="array" ref="DA27">IF(16=16,IF(AM27="","",SUMPRODUCT(--ISNUMBER(SEARCH(" "&amp;DJ2364:DJ2406&amp;" ",DB27)))),"")</f>
        <v>0</v>
      </c>
      <c r="DB27" s="493" t="str">
        <f>IF(16=16,IF(AM27="","",SUBSTITUTE(SUBSTITUTE(SUBSTITUTE(SUBSTITUTE(SUBSTITUTE(SUBSTITUTE(SUBSTITUTE(SUBSTITUTE(SUBSTITUTE(SUBSTITUTE(SUBSTITUTE(SUBSTITUTE(SUBSTITUTE(SUBSTITUTE(SUBSTITUTE(SUBSTITUTE(AS27," "&amp;DJ2412&amp;" "," ")," "&amp;DJ2411&amp;" "," ")," "&amp;DJ2410&amp;" "," ")," "&amp;DJ2417&amp;" "," ")," "&amp;DJ2409&amp;" "," ")," "&amp;DJ2421&amp;" "," ")," "&amp;DJ2408&amp;" "," ")," "&amp;DJ2413&amp;" "," ")," "&amp;DJ2416&amp;" "," ")," "&amp;DJ2407&amp;" "," ")," "&amp;DJ2415&amp;" "," ")," "&amp;DJ2422&amp;" "," ")," "&amp;DJ2419&amp;" "," ")," "&amp;DJ2414&amp;" "," ")," "&amp;DJ2418&amp;" "," ")," "&amp;DJ2420&amp;" "," ")),"")</f>
        <v xml:space="preserve"> • 50 g de poudre d amandes </v>
      </c>
      <c r="DC27" s="493" cm="1">
        <f t="array" ref="DC27">IF(16=16,IF(AM27="","",SUMPRODUCT(--ISNUMBER(SEARCH(" "&amp;DJ2423:DJ2427&amp;" ",DB27)))),"")</f>
        <v>0</v>
      </c>
      <c r="DD27" s="493" t="str">
        <f>IF(16=16,IF(AM27="","",IF(SUM(CY27:DA27)&gt;0,"X",IF(DC27&gt;0,"?",""))),"")</f>
        <v/>
      </c>
      <c r="DE27" s="494"/>
      <c r="DF27" s="496" t="s">
        <v>1173</v>
      </c>
      <c r="DG27" s="496" t="s">
        <v>1083</v>
      </c>
      <c r="DH27" s="496" t="s">
        <v>689</v>
      </c>
      <c r="DI27" s="496" t="s">
        <v>183</v>
      </c>
      <c r="DJ27" s="496" t="s">
        <v>183</v>
      </c>
      <c r="DK27" s="496" t="s">
        <v>1085</v>
      </c>
      <c r="DL27" s="496" t="s">
        <v>1086</v>
      </c>
      <c r="DM27" s="496" t="s">
        <v>1087</v>
      </c>
      <c r="DN27" s="497" t="s">
        <v>1088</v>
      </c>
      <c r="DP27" s="543">
        <v>1</v>
      </c>
    </row>
    <row r="28" spans="2:120" ht="30" customHeight="1">
      <c r="B28" s="663" t="str">
        <f t="shared" si="0"/>
        <v>• 15 cl de crème liquide</v>
      </c>
      <c r="C28" s="663" t="str">
        <f t="shared" si="1"/>
        <v>• 15 cl de crème liquide</v>
      </c>
      <c r="D28" s="663" t="str">
        <f>IF(UPPER(TRIM(N11))="X",C28,B28)</f>
        <v>• 15 cl de crème liquide</v>
      </c>
      <c r="E28" s="663" cm="1">
        <f t="array" ref="E28">IF(H27&lt;&gt;"",E27,IF(E27="","",IFERROR(MATCH(TRUE(),INDEX(INDEX(K:K,E27+1):K203&lt;&gt;"",0),0)+E27,"")))</f>
        <v>25</v>
      </c>
      <c r="F28" s="663" t="str" cm="1">
        <f t="array" ref="F28">IF(E28="","",IF(H27&lt;&gt;"",H27,INDEX(D:D,E28)))</f>
        <v>• 50 g d’amandes effilées</v>
      </c>
      <c r="G28" s="663" t="str">
        <f t="shared" si="2"/>
        <v>• 50 g d’amandes effilées</v>
      </c>
      <c r="H28" s="673" t="str">
        <f t="shared" si="3"/>
        <v/>
      </c>
      <c r="I28" s="680" t="str">
        <f>IF(AND(F28&lt;&gt;"",N10&gt;0,M28&gt;N10),"Mot &gt; limite","")</f>
        <v/>
      </c>
      <c r="J28" s="674">
        <f>IF(K28="","",COUNTIF(K18:K28,"&lt;&gt;"))</f>
        <v>11</v>
      </c>
      <c r="K28" s="675" t="s">
        <v>6473</v>
      </c>
      <c r="L28" s="674">
        <f t="shared" si="4"/>
        <v>24</v>
      </c>
      <c r="M28" s="643">
        <f>IF(OR(F28="",N10="",N10&lt;=0),"",IF(LEN(F28)&lt;=N10,LEN(F28),IFERROR(FIND("♦",SUBSTITUTE(LEFT(F28,N10)," ","♦",LEN(LEFT(F28,N10))-LEN(SUBSTITUTE(LEFT(F28,N10)," ","")))),FIND(" ",F28&amp;" ",N10+1)-1)))</f>
        <v>25</v>
      </c>
      <c r="N28" s="676">
        <f t="shared" si="5"/>
        <v>11</v>
      </c>
      <c r="O28" s="677" t="str">
        <f t="shared" si="6"/>
        <v>• 50 g d’amandes effilées</v>
      </c>
      <c r="P28" s="676">
        <f t="shared" si="7"/>
        <v>5</v>
      </c>
      <c r="Q28" s="676">
        <f t="shared" si="8"/>
        <v>25</v>
      </c>
      <c r="S28" s="509">
        <v>11</v>
      </c>
      <c r="T28" s="678" t="str">
        <f t="shared" si="10"/>
        <v>• 50 g d’amandes effilées</v>
      </c>
      <c r="U28" s="679" t="str">
        <f t="shared" si="9"/>
        <v>• 50 g d’amandes effilées *</v>
      </c>
      <c r="V28" s="512" t="str">
        <f>IF(17=17,IF(T28="","",IF(W28="X",""&amp;"Céréales contenant du gluten","")&amp;IF(X28="X",IF(COUNTIF(W28:W28,"X")&gt;0,", ","")&amp;"Crustacés","")&amp;IF(Y28="X",IF(COUNTIF(W28:X28,"X")&gt;0,", ","")&amp;"Œufs","")&amp;IF(Z28="X",IF(COUNTIF(W28:Y28,"X")&gt;0,", ","")&amp;"Poissons","")&amp;IF(AA28="X",IF(COUNTIF(W28:Z28,"X")&gt;0,", ","")&amp;"Arachides","")&amp;IF(AB28="X",IF(COUNTIF(W28:AA28,"X")&gt;0,", ","")&amp;"Soja","")&amp;IF(AC28="X",IF(COUNTIF(W28:AB28,"X")&gt;0,", ","")&amp;"Lait","")&amp;IF(AD28="X",IF(COUNTIF(W28:AC28,"X")&gt;0,", ","")&amp;"Fruits à coque","")&amp;IF(AE28="X",IF(COUNTIF(W28:AD28,"X")&gt;0,", ","")&amp;"Céleri","")&amp;IF(AF28="X",IF(COUNTIF(W28:AE28,"X")&gt;0,", ","")&amp;"Moutarde","")&amp;IF(AG28="X",IF(COUNTIF(W28:AF28,"X")&gt;0,", ","")&amp;"Sésame","")&amp;IF(AH28="X",IF(COUNTIF(W28:AG28,"X")&gt;0,", ","")&amp;"Sulfites","")&amp;IF(AI28="X",IF(COUNTIF(W28:AH28,"X")&gt;0,", ","")&amp;"Lupin","")&amp;IF(AJ28="X",IF(COUNTIF(W28:AI28,"X")&gt;0,", ","")&amp;"Mollusques","")),"")</f>
        <v>Fruits à coque</v>
      </c>
      <c r="W28" s="513" t="str">
        <f>IF(17=17,IF(T28="","",AX28),"")</f>
        <v/>
      </c>
      <c r="X28" s="513" t="str">
        <f>IF(17=17,IF(T28="","",BA28),"")</f>
        <v/>
      </c>
      <c r="Y28" s="513" t="str">
        <f>IF(17=17,IF(T28="","",BE28),"")</f>
        <v/>
      </c>
      <c r="Z28" s="513" t="str">
        <f>IF(17=17,IF(T28="","",IF(ISNUMBER(SEARCH(" colin ",AS28)),"X",BR28)),"")</f>
        <v/>
      </c>
      <c r="AA28" s="513" t="str">
        <f>IF(17=17,IF(T28="","",BT28),"")</f>
        <v/>
      </c>
      <c r="AB28" s="513" t="str">
        <f>IF(17=17,IF(T28="","",BX28),"")</f>
        <v/>
      </c>
      <c r="AC28" s="513" t="str">
        <f>IF(17=17,IF(T28="","",CE28),"")</f>
        <v/>
      </c>
      <c r="AD28" s="513" t="str">
        <f>IF(17=17,IF(T28="","",CI28),"")</f>
        <v>X</v>
      </c>
      <c r="AE28" s="513" t="str">
        <f>IF(17=17,IF(T28="","",CL28),"")</f>
        <v/>
      </c>
      <c r="AF28" s="513" t="str">
        <f>IF(17=17,IF(T28="","",CO28),"")</f>
        <v/>
      </c>
      <c r="AG28" s="513" t="str">
        <f>IF(17=17,IF(T28="","",CR28),"")</f>
        <v/>
      </c>
      <c r="AH28" s="513" t="str">
        <f>IF(17=17,IF(T28="","",CU28),"")</f>
        <v/>
      </c>
      <c r="AI28" s="513" t="str">
        <f>IF(17=17,IF(T28="","",CX28),"")</f>
        <v/>
      </c>
      <c r="AJ28" s="513" t="str">
        <f>IF(17=17,IF(T28="","",DD28),"")</f>
        <v/>
      </c>
      <c r="AK28" s="514" t="str">
        <f>IF(17=17,IF(T28="","",IF(W28="?",""&amp;"Céréales contenant du gluten","")&amp;IF(X28="?",IF(COUNTIF(W28:W28,"~?")&gt;0,", ","")&amp;"Crustacés","")&amp;IF(Y28="?",IF(COUNTIF(W28:X28,"~?")&gt;0,", ","")&amp;"Œufs","")&amp;IF(Z28="?",IF(COUNTIF(W28:Y28,"~?")&gt;0,", ","")&amp;"Poissons","")&amp;IF(AA28="?",IF(COUNTIF(W28:Z28,"~?")&gt;0,", ","")&amp;"Arachides","")&amp;IF(AB28="?",IF(COUNTIF(W28:AA28,"~?")&gt;0,", ","")&amp;"Soja","")&amp;IF(AC28="?",IF(COUNTIF(W28:AB28,"~?")&gt;0,", ","")&amp;"Lait","")&amp;IF(AD28="?",IF(COUNTIF(W28:AC28,"~?")&gt;0,", ","")&amp;"Fruits à coque","")&amp;IF(AE28="?",IF(COUNTIF(W28:AD28,"~?")&gt;0,", ","")&amp;"Céleri","")&amp;IF(AF28="?",IF(COUNTIF(W28:AE28,"~?")&gt;0,", ","")&amp;"Moutarde","")&amp;IF(AG28="?",IF(COUNTIF(W28:AF28,"~?")&gt;0,", ","")&amp;"Sésame","")&amp;IF(AH28="?",IF(COUNTIF(W28:AG28,"~?")&gt;0,", ","")&amp;"Sulfites","")&amp;IF(AI28="?",IF(COUNTIF(W28:AH28,"~?")&gt;0,", ","")&amp;"Lupin","")&amp;IF(AJ28="?",IF(COUNTIF(W28:AI28,"~?")&gt;0,", ","")&amp;"Mollusques","")),"")</f>
        <v/>
      </c>
      <c r="AM28" s="493" t="str">
        <f>IF(17=17,IF(T28="","",T28),"")</f>
        <v>• 50 g d’amandes effilées</v>
      </c>
      <c r="AN28" s="493" t="str">
        <f>IF(17=17,LOWER(CLEAN(SUBSTITUTE(SUBSTITUTE(SUBSTITUTE(SUBSTITUTE(AM28,CHAR(160)," ")," "," "),CHAR(10)," "),CHAR(13)," "))),"")</f>
        <v>• 50 g d’amandes effilées</v>
      </c>
      <c r="AO28" s="493" t="str">
        <f>IF(17=17,SUBSTITUTE(SUBSTITUTE(SUBSTITUTE(SUBSTITUTE(SUBSTITUTE(SUBSTITUTE(SUBSTITUTE(SUBSTITUTE(SUBSTITUTE(SUBSTITUTE(SUBSTITUTE(SUBSTITUTE(AN28,"œ","oe"),"æ","ae"),"à","a"),"á","a"),"â","a"),"ä","a"),"ã","a"),"ç","c"),"è","e"),"é","e"),"ê","e"),"ë","e"),"")</f>
        <v>• 50 g d’amandes effilees</v>
      </c>
      <c r="AP28" s="493" t="str">
        <f>IF(17=17,SUBSTITUTE(SUBSTITUTE(SUBSTITUTE(SUBSTITUTE(SUBSTITUTE(SUBSTITUTE(SUBSTITUTE(SUBSTITUTE(SUBSTITUTE(SUBSTITUTE(SUBSTITUTE(SUBSTITUTE(SUBSTITUTE(SUBSTITUTE(SUBSTITUTE(SUBSTITUTE(AO28,"ì","i"),"í","i"),"î","i"),"ï","i"),"ñ","n"),"ò","o"),"ó","o"),"ô","o"),"ö","o"),"õ","o"),"ù","u"),"ú","u"),"û","u"),"ü","u"),"ý","y"),"ÿ","y"),"")</f>
        <v>• 50 g d’amandes effilees</v>
      </c>
      <c r="AQ28" s="493" t="str">
        <f>IF(17=17,SUBSTITUTE(SUBSTITUTE(SUBSTITUTE(SUBSTITUTE(SUBSTITUTE(SUBSTITUTE(SUBSTITUTE(SUBSTITUTE(SUBSTITUTE(SUBSTITUTE(SUBSTITUTE(SUBSTITUTE(SUBSTITUTE(SUBSTITUTE(AP28,"’"," "),"`"," "),"–"," "),"—"," "),"-"," "),"'"," "),"/"," "),"_"," "),","," "),"."," "),"("," "),")"," "),";"," "),":"," "),"")</f>
        <v>• 50 g d amandes effilees</v>
      </c>
      <c r="AR28" s="493" t="str">
        <f>IF(17=17,SUBSTITUTE(SUBSTITUTE(SUBSTITUTE(SUBSTITUTE(SUBSTITUTE(SUBSTITUTE(SUBSTITUTE(SUBSTITUTE(SUBSTITUTE(SUBSTITUTE(SUBSTITUTE(SUBSTITUTE(SUBSTITUTE(SUBSTITUTE(SUBSTITUTE(AQ28,"!"," "),"?"," "),"+"," "),"*"," "),"&amp;"," "),"["," "),"]"," "),"{"," "),"}"," "),"%"," "),"="," "),"\"," "),"|"," "),"&lt;"," "),"&gt;"," "),"")</f>
        <v>• 50 g d amandes effilees</v>
      </c>
      <c r="AS28" s="493" t="str">
        <f>IF(17=17," "&amp;TRIM(SUBSTITUTE(SUBSTITUTE(SUBSTITUTE(SUBSTITUTE(SUBSTITUTE(SUBSTITUTE(AR28,CHAR(34)," "),"  "," "),"  "," "),"  "," "),"  "," "),"  "," "))&amp;" ","")</f>
        <v xml:space="preserve"> • 50 g d amandes effilees </v>
      </c>
      <c r="AT28" s="493" cm="1">
        <f t="array" ref="AT28">IF(17=17,IF(AM28="","",SUMPRODUCT(--ISNUMBER(SEARCH(" "&amp;DJ13:DJ112&amp;" ",AV28)))),"")</f>
        <v>0</v>
      </c>
      <c r="AU28" s="493" cm="1">
        <f t="array" ref="AU28">IF(17=17,IF(AM28="","",SUMPRODUCT(--ISNUMBER(SEARCH(" "&amp;DJ113:DJ162&amp;" ",AV28)))),"")</f>
        <v>0</v>
      </c>
      <c r="AV28" s="493" t="str">
        <f>IF(AM28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28,"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50 g d amandes effilees </v>
      </c>
      <c r="AW28" s="493" cm="1">
        <f t="array" ref="AW28">IF(AM28="","",SUMPRODUCT(--ISNUMBER(SEARCH(" "&amp;DJ195:DJ216&amp;" ",AV28)))+--ISNUMBER(SEARCH(" "&amp;DJ2465&amp;" ",AV28)))</f>
        <v>0</v>
      </c>
      <c r="AX28" s="493" t="str" cm="1">
        <f t="array" ref="AX28">IF(17=17,IF(AM28="","",IF(SUM(AT28:AU28)+SUMPRODUCT(--ISNUMBER(SEARCH(" "&amp;DJ2429:DJ2431&amp;" ",AV28)))&gt;0,"X",IF(AW28&gt;0,"?",""))),"")</f>
        <v/>
      </c>
      <c r="AY28" s="493" cm="1">
        <f t="array" ref="AY28">IF(17=17,IF(AM28="","",SUMPRODUCT(--ISNUMBER(SEARCH(" "&amp;DJ217:DJ316&amp;" ",AS28)))),"")</f>
        <v>0</v>
      </c>
      <c r="AZ28" s="493" cm="1">
        <f t="array" ref="AZ28">IF(17=17,IF(AM28="","",SUMPRODUCT(--ISNUMBER(SEARCH(" "&amp;DJ317:DJ351&amp;" ",AS28)))),"")</f>
        <v>0</v>
      </c>
      <c r="BA28" s="493" t="str">
        <f>IF(17=17,IF(AM28="","",IF((SUM(AY28:AZ28))-(0)&gt;0,"X",IF((0)-(0)&gt;0,"?",""))),"")</f>
        <v/>
      </c>
      <c r="BB28" s="493" cm="1">
        <f t="array" ref="BB28">IF(17=17,IF(AM28="","",SUMPRODUCT(--ISNUMBER(SEARCH(" "&amp;DJ352:DJ409&amp;" ",AS28)))),"")</f>
        <v>0</v>
      </c>
      <c r="BC28" s="493" cm="1">
        <f t="array" ref="BC28">IF(17=17,IF(AM28="","",SUMPRODUCT(--ISNUMBER(SEARCH(" "&amp;DJ410:DJ437&amp;" ",BD28)))+SUMPRODUCT(--ISNUMBER(SEARCH(" "&amp;DJ2451:DJ2464&amp;" ",BD28)))),"")</f>
        <v>0</v>
      </c>
      <c r="BD28" s="493" t="str">
        <f>IF(17=17,IF(AM28="","",SUBSTITUTE(SUBSTITUTE(SUBSTITUTE(SUBSTITUTE(SUBSTITUTE(SUBSTITUTE(SUBSTITUTE(SUBSTITUTE(SUBSTITUTE(SUBSTITUTE(SUBSTITUTE(SUBSTITUTE(SUBSTITUTE(SUBSTITUTE(AS28," "&amp;DJ2466&amp;" "," ")," "&amp;DJ444&amp;" "," ")," "&amp;DJ442&amp;" "," ")," "&amp;DJ2449&amp;" "," ")," "&amp;DJ2450&amp;" "," ")," "&amp;DJ439&amp;" "," ")," "&amp;DJ443&amp;" "," ")," "&amp;DJ445&amp;" "," ")," "&amp;DJ440&amp;" "," ")," "&amp;DJ438&amp;" "," ")," "&amp;DJ1378&amp;" "," ")," "&amp;DJ446&amp;" "," ")," "&amp;DJ1377&amp;" "," ")," "&amp;DJ441&amp;" "," ")),"")</f>
        <v xml:space="preserve"> • 50 g d amandes effilees </v>
      </c>
      <c r="BE28" s="493" t="str">
        <f>IF(17=17,IF(AM28="","",IF(BB28&gt;0,"X",IF(BC28&gt;0,"?",""))),"")</f>
        <v/>
      </c>
      <c r="BF28" s="493" cm="1">
        <f t="array" ref="BF28">IF(17=17,IF(AM28="","",SUMPRODUCT(--ISNUMBER(SEARCH(" "&amp;DJ447:DJ546&amp;" ",BP28)))),"")</f>
        <v>0</v>
      </c>
      <c r="BG28" s="493" cm="1">
        <f t="array" ref="BG28">IF(17=17,IF(AM28="","",SUMPRODUCT(--ISNUMBER(SEARCH(" "&amp;DJ547:DJ646&amp;" ",BP28)))),"")</f>
        <v>0</v>
      </c>
      <c r="BH28" s="493" cm="1">
        <f t="array" ref="BH28">IF(17=17,IF(AM28="","",SUMPRODUCT(--ISNUMBER(SEARCH(" "&amp;DJ647:DJ746&amp;" ",BP28)))),"")</f>
        <v>0</v>
      </c>
      <c r="BI28" s="493" cm="1">
        <f t="array" ref="BI28">IF(17=17,IF(AM28="","",SUMPRODUCT(--ISNUMBER(SEARCH(" "&amp;DJ747:DJ846&amp;" ",BP28)))),"")</f>
        <v>0</v>
      </c>
      <c r="BJ28" s="493" cm="1">
        <f t="array" ref="BJ28">IF(17=17,IF(AM28="","",SUMPRODUCT(--ISNUMBER(SEARCH(" "&amp;DJ847:DJ946&amp;" ",BP28)))),"")</f>
        <v>0</v>
      </c>
      <c r="BK28" s="493" cm="1">
        <f t="array" ref="BK28">IF(17=17,IF(AM28="","",SUMPRODUCT(--ISNUMBER(SEARCH(" "&amp;DJ947:DJ1046&amp;" ",BP28)))),"")</f>
        <v>0</v>
      </c>
      <c r="BL28" s="493" cm="1">
        <f t="array" ref="BL28">IF(17=17,IF(AM28="","",SUMPRODUCT(--ISNUMBER(SEARCH(" "&amp;DJ1047:DJ1146&amp;" ",BP28)))),"")</f>
        <v>0</v>
      </c>
      <c r="BM28" s="493" cm="1">
        <f t="array" ref="BM28">IF(17=17,IF(AM28="","",SUMPRODUCT(--ISNUMBER(SEARCH(" "&amp;DJ1147:DJ1246&amp;" ",BP28)))),"")</f>
        <v>0</v>
      </c>
      <c r="BN28" s="493" cm="1">
        <f t="array" ref="BN28">IF(17=17,IF(AM28="","",SUMPRODUCT(--ISNUMBER(SEARCH(" "&amp;DJ1247:DJ1346&amp;" ",BP28)))),"")</f>
        <v>0</v>
      </c>
      <c r="BO28" s="493" cm="1">
        <f t="array" ref="BO28">IF(17=17,IF(AM28="","",SUMPRODUCT(--ISNUMBER(SEARCH(" "&amp;DJ1347:DJ1374&amp;" ",BP28)))),"")</f>
        <v>0</v>
      </c>
      <c r="BP28" s="493" t="str">
        <f>IF(17=17,IF(AM28="","",SUBSTITUTE(SUBSTITUTE(SUBSTITUTE(SUBSTITUTE(SUBSTITUTE(SUBSTITUTE(SUBSTITUTE(SUBSTITUTE(SUBSTITUTE(AS28," "&amp;DJ1376&amp;" "," ")," "&amp;DJ1375&amp;" "," ")," "&amp;DJ1381&amp;" "," ")," "&amp;DJ1382&amp;" "," ")," "&amp;DJ1378&amp;" "," ")," "&amp;DJ1380&amp;" "," ")," "&amp;DJ1377&amp;" "," ")," "&amp;DJ1379&amp;" "," ")," "&amp;DJ1383&amp;" "," ")),"")</f>
        <v xml:space="preserve"> • 50 g d amandes effilees </v>
      </c>
      <c r="BQ28" s="493" cm="1">
        <f t="array" ref="BQ28">IF(17=17,IF(AM28="","",SUMPRODUCT(--ISNUMBER(SEARCH(" "&amp;DJ1384:DJ1394&amp;" ",BP28)))),"")</f>
        <v>0</v>
      </c>
      <c r="BR28" s="493" t="str" cm="1">
        <f t="array" ref="BR28">IF(17=17,IF(AM28="","",IF(SUM(BF28:BO28)+SUMPRODUCT(--ISNUMBER(SEARCH(" "&amp;DJ2432:DJ2433&amp;" ",BP28)))&gt;0,"X",IF(BQ28&gt;0,"?",""))),"")</f>
        <v/>
      </c>
      <c r="BS28" s="493" cm="1">
        <f t="array" ref="BS28">IF(17=17,IF(AM28="","",SUMPRODUCT(--ISNUMBER(SEARCH(" "&amp;DJ1395:DJ1415&amp;" ",AS28)))),"")</f>
        <v>0</v>
      </c>
      <c r="BT28" s="493" t="str">
        <f>IF(17=17,IF(AM28="","",IF((BS28)-(0)&gt;0,"X",IF((0)-(0)&gt;0,"?",""))),"")</f>
        <v/>
      </c>
      <c r="BU28" s="493" cm="1">
        <f t="array" ref="BU28">IF(17=17,IF(AM28="","",SUMPRODUCT(--ISNUMBER(SEARCH(" "&amp;DJ1416:DJ1453&amp;" ",BV28)))),"")</f>
        <v>0</v>
      </c>
      <c r="BV28" s="493" t="str">
        <f>IF(17=17,IF(AM28="","",SUBSTITUTE(SUBSTITUTE(AS28," "&amp;DJ1454&amp;" "," ")," "&amp;DJ1455&amp;" "," ")),"")</f>
        <v xml:space="preserve"> • 50 g d amandes effilees </v>
      </c>
      <c r="BW28" s="493" cm="1">
        <f t="array" ref="BW28">IF(17=17,IF(AM28="","",SUMPRODUCT(--ISNUMBER(SEARCH(" "&amp;DJ1456:DJ1466&amp;" ",BV28)))),"")</f>
        <v>0</v>
      </c>
      <c r="BX28" s="493" t="str">
        <f>IF(17=17,IF(AM28="","",IF(BU28&gt;0,"X",IF(BW28&gt;0,"?",""))),"")</f>
        <v/>
      </c>
      <c r="BY28" s="493" cm="1">
        <f t="array" ref="BY28">IF(17=17,IF(AM28="","",SUMPRODUCT(--ISNUMBER(SEARCH(" "&amp;DJ1467:DJ1566&amp;" ",CB28)))),"")</f>
        <v>0</v>
      </c>
      <c r="BZ28" s="493" cm="1">
        <f t="array" ref="BZ28">IF(17=17,IF(AM28="","",SUMPRODUCT(--ISNUMBER(SEARCH(" "&amp;DJ1567:DJ1666&amp;" ",CB28)))),"")</f>
        <v>0</v>
      </c>
      <c r="CA28" s="493" cm="1">
        <f t="array" ref="CA28">IF(17=17,IF(AM28="","",SUMPRODUCT(--ISNUMBER(SEARCH(" "&amp;DJ1667:DJ1750&amp;" ",CB28)))),"")</f>
        <v>0</v>
      </c>
      <c r="CB28" s="493" t="str">
        <f>IF(17=17,IF(AM28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28,"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50 g d amandes effilees </v>
      </c>
      <c r="CC28" s="493" cm="1">
        <f t="array" ref="CC28">IF(17=17,IF(AM28="","",SUMPRODUCT(--ISNUMBER(SEARCH(" "&amp;DJ1801:DJ1880&amp;" ",CD28)))+SUMPRODUCT(--ISNUMBER(SEARCH(" "&amp;DJ2451:DJ2464&amp;" ",CD28)))),"")</f>
        <v>0</v>
      </c>
      <c r="CD28" s="493" t="str">
        <f>IF(17=17,IF(AM28="","",SUBSTITUTE(SUBSTITUTE(SUBSTITUTE(SUBSTITUTE(SUBSTITUTE(SUBSTITUTE(SUBSTITUTE(SUBSTITUTE(SUBSTITUTE(SUBSTITUTE(SUBSTITUTE(SUBSTITUTE(SUBSTITUTE(CB28," "&amp;DJ1887&amp;" "," ")," "&amp;DJ1885&amp;" "," ")," "&amp;DJ2449&amp;" "," ")," "&amp;DJ2450&amp;" "," ")," "&amp;DJ1882&amp;" "," ")," "&amp;DJ1886&amp;" "," ")," "&amp;DJ1888&amp;" "," ")," "&amp;DJ1883&amp;" "," ")," "&amp;DJ1881&amp;" "," ")," "&amp;DJ1378&amp;" "," ")," "&amp;DJ1889&amp;" "," ")," "&amp;DJ1377&amp;" "," ")," "&amp;DJ1884&amp;" "," ")),"")</f>
        <v xml:space="preserve"> • 50 g d amandes effilees </v>
      </c>
      <c r="CE28" s="493" t="str" cm="1">
        <f t="array" ref="CE28">IF(17=17,IF(AM28="","",IF(SUM(BY28:CA28)+SUMPRODUCT(--ISNUMBER(SEARCH(" "&amp;DJ2434:DJ2435&amp;" ",CB28)))&gt;0,"X",IF(CC28&gt;0,"?",""))),"")</f>
        <v/>
      </c>
      <c r="CF28" s="493" cm="1">
        <f t="array" ref="CF28">IF(17=17,IF(AM28="","",SUMPRODUCT(--ISNUMBER(SEARCH(" "&amp;DJ1890:DJ1947&amp;" ",CG28)))),"")</f>
        <v>1</v>
      </c>
      <c r="CG28" s="493" t="str">
        <f>IF(17=17,IF(AM28="","",SUBSTITUTE(SUBSTITUTE(SUBSTITUTE(SUBSTITUTE(SUBSTITUTE(SUBSTITUTE(SUBSTITUTE(SUBSTITUTE(SUBSTITUTE(SUBSTITUTE(SUBSTITUTE(SUBSTITUTE(SUBSTITUTE(SUBSTITUTE(SUBSTITUTE(SUBSTITUTE(SUBSTITUTE(SUBSTITUTE(SUBSTITUTE(SUBSTITUTE(SUBSTITUTE(SUBSTITUTE(SUBSTITUTE(AS28,"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50 g d amandes effilees </v>
      </c>
      <c r="CH28" s="493" cm="1">
        <f t="array" ref="CH28">IF(17=17,IF(AM28="","",SUMPRODUCT(--ISNUMBER(SEARCH(" "&amp;DJ1971:DJ1987&amp;" ",CG28)))),"")</f>
        <v>0</v>
      </c>
      <c r="CI28" s="493" t="str">
        <f>IF(17=17,IF(AM28="","",IF(CF28&gt;0,"X",IF(CH28&gt;0,"?",""))),"")</f>
        <v>X</v>
      </c>
      <c r="CJ28" s="493" cm="1">
        <f t="array" ref="CJ28">IF(17=17,IF(AM28="","",SUMPRODUCT(--ISNUMBER(SEARCH(" "&amp;DJ1988:DJ2001&amp;" ",AS28)))),"")</f>
        <v>0</v>
      </c>
      <c r="CK28" s="493" cm="1">
        <f t="array" ref="CK28">IF(17=17,IF(AM28="","",SUMPRODUCT(--ISNUMBER(SEARCH(" "&amp;DJ2002:DJ2016&amp;" ",AS28)))),"")</f>
        <v>0</v>
      </c>
      <c r="CL28" s="493" t="str">
        <f>IF(17=17,IF(AM28="","",IF((CJ28)-(0)&gt;0,"X",IF((CK28)-(0)&gt;0,"?",""))),"")</f>
        <v/>
      </c>
      <c r="CM28" s="493" cm="1">
        <f t="array" ref="CM28">IF(17=17,IF(AM28="","",SUMPRODUCT(--ISNUMBER(SEARCH(" "&amp;DJ2017:DJ2034&amp;" ",AS28)))),"")</f>
        <v>0</v>
      </c>
      <c r="CN28" s="493" cm="1">
        <f t="array" ref="CN28">IF(17=17,IF(AM28="","",SUMPRODUCT(--ISNUMBER(SEARCH(" "&amp;DJ2035:DJ2049&amp;" ",AS28)))),"")</f>
        <v>0</v>
      </c>
      <c r="CO28" s="493" t="str">
        <f>IF(17=17,IF(AM28="","",IF((CM28)-(0)&gt;0,"X",IF((CN28)-(0)&gt;0,"?",""))),"")</f>
        <v/>
      </c>
      <c r="CP28" s="493" cm="1">
        <f t="array" ref="CP28">IF(17=17,IF(AM28="","",SUMPRODUCT(--ISNUMBER(SEARCH(" "&amp;DJ2050:DJ2068&amp;" ",AS28)))),"")</f>
        <v>0</v>
      </c>
      <c r="CQ28" s="493" cm="1">
        <f t="array" ref="CQ28">IF(17=17,IF(AM28="","",SUMPRODUCT(--ISNUMBER(SEARCH(" "&amp;DJ2069:DJ2083&amp;" ",AS28)))),"")</f>
        <v>0</v>
      </c>
      <c r="CR28" s="493" t="str">
        <f>IF(17=17,IF(AM28="","",IF((CP28)-(0)&gt;0,"X",IF((CQ28)-(0)&gt;0,"?",""))),"")</f>
        <v/>
      </c>
      <c r="CS28" s="493" cm="1">
        <f t="array" ref="CS28">IF(17=17,IF(AM28="","",SUMPRODUCT(--ISNUMBER(SEARCH(" "&amp;DJ2084:DJ2104&amp;" ",AS28)))),"")</f>
        <v>0</v>
      </c>
      <c r="CT28" s="493" cm="1">
        <f t="array" ref="CT28">IF(17=17,IF(AM28="","",SUMPRODUCT(--ISNUMBER(SEARCH(" "&amp;DJ2105:DJ2144&amp;" ",SUBSTITUTE(SUBSTITUTE(AS28," "&amp;DJ1378&amp;" "," ")," "&amp;DJ1377&amp;" "," "))))+--ISNUMBER(SEARCH("poiré",AN28))),"")</f>
        <v>0</v>
      </c>
      <c r="CU28" s="493" t="str">
        <f>IF(17=17,IF(AM28="","",IF(OR(CS28&gt;0,ISNUMBER(SEARCH(" vinaigre de vin ",AS28)),ISNUMBER(SEARCH(" vinaigre au vin ",AS28))),"X",IF(CT28&gt;0,"?",""))),"")</f>
        <v/>
      </c>
      <c r="CV28" s="493" cm="1">
        <f t="array" ref="CV28">IF(17=17,IF(AM28="","",SUMPRODUCT(--ISNUMBER(SEARCH(" "&amp;DJ2145:DJ2157&amp;" ",AS28)))),"")</f>
        <v>0</v>
      </c>
      <c r="CW28" s="493" cm="1">
        <f t="array" ref="CW28">IF(17=17,IF(AM28="","",SUMPRODUCT(--ISNUMBER(SEARCH(" "&amp;DJ2158:DJ2163&amp;" ",AS28)))),"")</f>
        <v>0</v>
      </c>
      <c r="CX28" s="493" t="str">
        <f>IF(17=17,IF(AM28="","",IF((CV28)-(0)&gt;0,"X",IF((CW28)-(0)&gt;0,"?",""))),"")</f>
        <v/>
      </c>
      <c r="CY28" s="493" cm="1">
        <f t="array" ref="CY28">IF(17=17,IF(AM28="","",SUMPRODUCT(--ISNUMBER(SEARCH(" "&amp;DJ2164:DJ2263&amp;" ",DB28)))),"")</f>
        <v>0</v>
      </c>
      <c r="CZ28" s="493" cm="1">
        <f t="array" ref="CZ28">IF(17=17,IF(AM28="","",SUMPRODUCT(--ISNUMBER(SEARCH(" "&amp;DJ2264:DJ2363&amp;" ",DB28)))),"")</f>
        <v>0</v>
      </c>
      <c r="DA28" s="493" cm="1">
        <f t="array" ref="DA28">IF(17=17,IF(AM28="","",SUMPRODUCT(--ISNUMBER(SEARCH(" "&amp;DJ2364:DJ2406&amp;" ",DB28)))),"")</f>
        <v>0</v>
      </c>
      <c r="DB28" s="493" t="str">
        <f>IF(17=17,IF(AM28="","",SUBSTITUTE(SUBSTITUTE(SUBSTITUTE(SUBSTITUTE(SUBSTITUTE(SUBSTITUTE(SUBSTITUTE(SUBSTITUTE(SUBSTITUTE(SUBSTITUTE(SUBSTITUTE(SUBSTITUTE(SUBSTITUTE(SUBSTITUTE(SUBSTITUTE(SUBSTITUTE(AS28," "&amp;DJ2412&amp;" "," ")," "&amp;DJ2411&amp;" "," ")," "&amp;DJ2410&amp;" "," ")," "&amp;DJ2417&amp;" "," ")," "&amp;DJ2409&amp;" "," ")," "&amp;DJ2421&amp;" "," ")," "&amp;DJ2408&amp;" "," ")," "&amp;DJ2413&amp;" "," ")," "&amp;DJ2416&amp;" "," ")," "&amp;DJ2407&amp;" "," ")," "&amp;DJ2415&amp;" "," ")," "&amp;DJ2422&amp;" "," ")," "&amp;DJ2419&amp;" "," ")," "&amp;DJ2414&amp;" "," ")," "&amp;DJ2418&amp;" "," ")," "&amp;DJ2420&amp;" "," ")),"")</f>
        <v xml:space="preserve"> • 50 g d amandes effilees </v>
      </c>
      <c r="DC28" s="493" cm="1">
        <f t="array" ref="DC28">IF(17=17,IF(AM28="","",SUMPRODUCT(--ISNUMBER(SEARCH(" "&amp;DJ2423:DJ2427&amp;" ",DB28)))),"")</f>
        <v>0</v>
      </c>
      <c r="DD28" s="493" t="str">
        <f>IF(17=17,IF(AM28="","",IF(SUM(CY28:DA28)&gt;0,"X",IF(DC28&gt;0,"?",""))),"")</f>
        <v/>
      </c>
      <c r="DE28" s="494"/>
      <c r="DF28" s="496" t="s">
        <v>1174</v>
      </c>
      <c r="DG28" s="496" t="s">
        <v>1083</v>
      </c>
      <c r="DH28" s="496" t="s">
        <v>689</v>
      </c>
      <c r="DI28" s="496" t="s">
        <v>1175</v>
      </c>
      <c r="DJ28" s="496" t="s">
        <v>1175</v>
      </c>
      <c r="DK28" s="496" t="s">
        <v>1151</v>
      </c>
      <c r="DL28" s="496" t="s">
        <v>1152</v>
      </c>
      <c r="DM28" s="496" t="s">
        <v>1087</v>
      </c>
      <c r="DN28" s="497" t="s">
        <v>1153</v>
      </c>
      <c r="DP28" s="543">
        <v>1</v>
      </c>
    </row>
    <row r="29" spans="2:120" ht="30" customHeight="1">
      <c r="B29" s="663" t="str">
        <f t="shared" si="0"/>
        <v>• 1 sachet de sucre vanillé</v>
      </c>
      <c r="C29" s="663" t="str">
        <f t="shared" si="1"/>
        <v>• 1 sachet de sucre vanillé</v>
      </c>
      <c r="D29" s="663" t="str">
        <f>IF(UPPER(TRIM(N11))="X",C29,B29)</f>
        <v>• 1 sachet de sucre vanillé</v>
      </c>
      <c r="E29" s="663" cm="1">
        <f t="array" ref="E29">IF(H28&lt;&gt;"",E28,IF(E28="","",IFERROR(MATCH(TRUE(),INDEX(INDEX(K:K,E28+1):K203&lt;&gt;"",0),0)+E28,"")))</f>
        <v>26</v>
      </c>
      <c r="F29" s="663" t="str" cm="1">
        <f t="array" ref="F29">IF(E29="","",IF(H28&lt;&gt;"",H28,INDEX(D:D,E29)))</f>
        <v>• 50 g de sucre en poudre</v>
      </c>
      <c r="G29" s="663" t="str">
        <f t="shared" si="2"/>
        <v>• 50 g de sucre en poudre</v>
      </c>
      <c r="H29" s="673" t="str">
        <f t="shared" si="3"/>
        <v/>
      </c>
      <c r="I29" s="680" t="str">
        <f>IF(AND(F29&lt;&gt;"",N10&gt;0,M29&gt;N10),"Mot &gt; limite","")</f>
        <v/>
      </c>
      <c r="J29" s="674">
        <f>IF(K29="","",COUNTIF(K18:K29,"&lt;&gt;"))</f>
        <v>12</v>
      </c>
      <c r="K29" s="675" t="s">
        <v>6474</v>
      </c>
      <c r="L29" s="674">
        <f t="shared" si="4"/>
        <v>27</v>
      </c>
      <c r="M29" s="643">
        <f>IF(OR(F29="",N10="",N10&lt;=0),"",IF(LEN(F29)&lt;=N10,LEN(F29),IFERROR(FIND("♦",SUBSTITUTE(LEFT(F29,N10)," ","♦",LEN(LEFT(F29,N10))-LEN(SUBSTITUTE(LEFT(F29,N10)," ","")))),FIND(" ",F29&amp;" ",N10+1)-1)))</f>
        <v>25</v>
      </c>
      <c r="N29" s="676">
        <f t="shared" si="5"/>
        <v>12</v>
      </c>
      <c r="O29" s="677" t="str">
        <f t="shared" si="6"/>
        <v>• 50 g de sucre en poudre</v>
      </c>
      <c r="P29" s="676">
        <f t="shared" si="7"/>
        <v>7</v>
      </c>
      <c r="Q29" s="676">
        <f t="shared" si="8"/>
        <v>25</v>
      </c>
      <c r="S29" s="509">
        <v>12</v>
      </c>
      <c r="T29" s="678" t="str">
        <f t="shared" si="10"/>
        <v>• 50 g de sucre en poudre</v>
      </c>
      <c r="U29" s="679" t="str">
        <f t="shared" si="9"/>
        <v>• 50 g de sucre en poudre</v>
      </c>
      <c r="V29" s="512" t="str">
        <f>IF(18=18,IF(T29="","",IF(W29="X",""&amp;"Céréales contenant du gluten","")&amp;IF(X29="X",IF(COUNTIF(W29:W29,"X")&gt;0,", ","")&amp;"Crustacés","")&amp;IF(Y29="X",IF(COUNTIF(W29:X29,"X")&gt;0,", ","")&amp;"Œufs","")&amp;IF(Z29="X",IF(COUNTIF(W29:Y29,"X")&gt;0,", ","")&amp;"Poissons","")&amp;IF(AA29="X",IF(COUNTIF(W29:Z29,"X")&gt;0,", ","")&amp;"Arachides","")&amp;IF(AB29="X",IF(COUNTIF(W29:AA29,"X")&gt;0,", ","")&amp;"Soja","")&amp;IF(AC29="X",IF(COUNTIF(W29:AB29,"X")&gt;0,", ","")&amp;"Lait","")&amp;IF(AD29="X",IF(COUNTIF(W29:AC29,"X")&gt;0,", ","")&amp;"Fruits à coque","")&amp;IF(AE29="X",IF(COUNTIF(W29:AD29,"X")&gt;0,", ","")&amp;"Céleri","")&amp;IF(AF29="X",IF(COUNTIF(W29:AE29,"X")&gt;0,", ","")&amp;"Moutarde","")&amp;IF(AG29="X",IF(COUNTIF(W29:AF29,"X")&gt;0,", ","")&amp;"Sésame","")&amp;IF(AH29="X",IF(COUNTIF(W29:AG29,"X")&gt;0,", ","")&amp;"Sulfites","")&amp;IF(AI29="X",IF(COUNTIF(W29:AH29,"X")&gt;0,", ","")&amp;"Lupin","")&amp;IF(AJ29="X",IF(COUNTIF(W29:AI29,"X")&gt;0,", ","")&amp;"Mollusques","")),"")</f>
        <v/>
      </c>
      <c r="W29" s="513" t="str">
        <f>IF(18=18,IF(T29="","",AX29),"")</f>
        <v/>
      </c>
      <c r="X29" s="513" t="str">
        <f>IF(18=18,IF(T29="","",BA29),"")</f>
        <v/>
      </c>
      <c r="Y29" s="513" t="str">
        <f>IF(18=18,IF(T29="","",BE29),"")</f>
        <v/>
      </c>
      <c r="Z29" s="513" t="str">
        <f>IF(18=18,IF(T29="","",IF(ISNUMBER(SEARCH(" colin ",AS29)),"X",BR29)),"")</f>
        <v/>
      </c>
      <c r="AA29" s="513" t="str">
        <f>IF(18=18,IF(T29="","",BT29),"")</f>
        <v/>
      </c>
      <c r="AB29" s="513" t="str">
        <f>IF(18=18,IF(T29="","",BX29),"")</f>
        <v/>
      </c>
      <c r="AC29" s="513" t="str">
        <f>IF(18=18,IF(T29="","",CE29),"")</f>
        <v/>
      </c>
      <c r="AD29" s="513" t="str">
        <f>IF(18=18,IF(T29="","",CI29),"")</f>
        <v/>
      </c>
      <c r="AE29" s="513" t="str">
        <f>IF(18=18,IF(T29="","",CL29),"")</f>
        <v/>
      </c>
      <c r="AF29" s="513" t="str">
        <f>IF(18=18,IF(T29="","",CO29),"")</f>
        <v/>
      </c>
      <c r="AG29" s="513" t="str">
        <f>IF(18=18,IF(T29="","",CR29),"")</f>
        <v/>
      </c>
      <c r="AH29" s="513" t="str">
        <f>IF(18=18,IF(T29="","",CU29),"")</f>
        <v/>
      </c>
      <c r="AI29" s="513" t="str">
        <f>IF(18=18,IF(T29="","",CX29),"")</f>
        <v/>
      </c>
      <c r="AJ29" s="513" t="str">
        <f>IF(18=18,IF(T29="","",DD29),"")</f>
        <v/>
      </c>
      <c r="AK29" s="514" t="str">
        <f>IF(18=18,IF(T29="","",IF(W29="?",""&amp;"Céréales contenant du gluten","")&amp;IF(X29="?",IF(COUNTIF(W29:W29,"~?")&gt;0,", ","")&amp;"Crustacés","")&amp;IF(Y29="?",IF(COUNTIF(W29:X29,"~?")&gt;0,", ","")&amp;"Œufs","")&amp;IF(Z29="?",IF(COUNTIF(W29:Y29,"~?")&gt;0,", ","")&amp;"Poissons","")&amp;IF(AA29="?",IF(COUNTIF(W29:Z29,"~?")&gt;0,", ","")&amp;"Arachides","")&amp;IF(AB29="?",IF(COUNTIF(W29:AA29,"~?")&gt;0,", ","")&amp;"Soja","")&amp;IF(AC29="?",IF(COUNTIF(W29:AB29,"~?")&gt;0,", ","")&amp;"Lait","")&amp;IF(AD29="?",IF(COUNTIF(W29:AC29,"~?")&gt;0,", ","")&amp;"Fruits à coque","")&amp;IF(AE29="?",IF(COUNTIF(W29:AD29,"~?")&gt;0,", ","")&amp;"Céleri","")&amp;IF(AF29="?",IF(COUNTIF(W29:AE29,"~?")&gt;0,", ","")&amp;"Moutarde","")&amp;IF(AG29="?",IF(COUNTIF(W29:AF29,"~?")&gt;0,", ","")&amp;"Sésame","")&amp;IF(AH29="?",IF(COUNTIF(W29:AG29,"~?")&gt;0,", ","")&amp;"Sulfites","")&amp;IF(AI29="?",IF(COUNTIF(W29:AH29,"~?")&gt;0,", ","")&amp;"Lupin","")&amp;IF(AJ29="?",IF(COUNTIF(W29:AI29,"~?")&gt;0,", ","")&amp;"Mollusques","")),"")</f>
        <v/>
      </c>
      <c r="AM29" s="493" t="str">
        <f>IF(18=18,IF(T29="","",T29),"")</f>
        <v>• 50 g de sucre en poudre</v>
      </c>
      <c r="AN29" s="493" t="str">
        <f>IF(18=18,LOWER(CLEAN(SUBSTITUTE(SUBSTITUTE(SUBSTITUTE(SUBSTITUTE(AM29,CHAR(160)," ")," "," "),CHAR(10)," "),CHAR(13)," "))),"")</f>
        <v>• 50 g de sucre en poudre</v>
      </c>
      <c r="AO29" s="493" t="str">
        <f>IF(18=18,SUBSTITUTE(SUBSTITUTE(SUBSTITUTE(SUBSTITUTE(SUBSTITUTE(SUBSTITUTE(SUBSTITUTE(SUBSTITUTE(SUBSTITUTE(SUBSTITUTE(SUBSTITUTE(SUBSTITUTE(AN29,"œ","oe"),"æ","ae"),"à","a"),"á","a"),"â","a"),"ä","a"),"ã","a"),"ç","c"),"è","e"),"é","e"),"ê","e"),"ë","e"),"")</f>
        <v>• 50 g de sucre en poudre</v>
      </c>
      <c r="AP29" s="493" t="str">
        <f>IF(18=18,SUBSTITUTE(SUBSTITUTE(SUBSTITUTE(SUBSTITUTE(SUBSTITUTE(SUBSTITUTE(SUBSTITUTE(SUBSTITUTE(SUBSTITUTE(SUBSTITUTE(SUBSTITUTE(SUBSTITUTE(SUBSTITUTE(SUBSTITUTE(SUBSTITUTE(SUBSTITUTE(AO29,"ì","i"),"í","i"),"î","i"),"ï","i"),"ñ","n"),"ò","o"),"ó","o"),"ô","o"),"ö","o"),"õ","o"),"ù","u"),"ú","u"),"û","u"),"ü","u"),"ý","y"),"ÿ","y"),"")</f>
        <v>• 50 g de sucre en poudre</v>
      </c>
      <c r="AQ29" s="493" t="str">
        <f>IF(18=18,SUBSTITUTE(SUBSTITUTE(SUBSTITUTE(SUBSTITUTE(SUBSTITUTE(SUBSTITUTE(SUBSTITUTE(SUBSTITUTE(SUBSTITUTE(SUBSTITUTE(SUBSTITUTE(SUBSTITUTE(SUBSTITUTE(SUBSTITUTE(AP29,"’"," "),"`"," "),"–"," "),"—"," "),"-"," "),"'"," "),"/"," "),"_"," "),","," "),"."," "),"("," "),")"," "),";"," "),":"," "),"")</f>
        <v>• 50 g de sucre en poudre</v>
      </c>
      <c r="AR29" s="493" t="str">
        <f>IF(18=18,SUBSTITUTE(SUBSTITUTE(SUBSTITUTE(SUBSTITUTE(SUBSTITUTE(SUBSTITUTE(SUBSTITUTE(SUBSTITUTE(SUBSTITUTE(SUBSTITUTE(SUBSTITUTE(SUBSTITUTE(SUBSTITUTE(SUBSTITUTE(SUBSTITUTE(AQ29,"!"," "),"?"," "),"+"," "),"*"," "),"&amp;"," "),"["," "),"]"," "),"{"," "),"}"," "),"%"," "),"="," "),"\"," "),"|"," "),"&lt;"," "),"&gt;"," "),"")</f>
        <v>• 50 g de sucre en poudre</v>
      </c>
      <c r="AS29" s="493" t="str">
        <f>IF(18=18," "&amp;TRIM(SUBSTITUTE(SUBSTITUTE(SUBSTITUTE(SUBSTITUTE(SUBSTITUTE(SUBSTITUTE(AR29,CHAR(34)," "),"  "," "),"  "," "),"  "," "),"  "," "),"  "," "))&amp;" ","")</f>
        <v xml:space="preserve"> • 50 g de sucre en poudre </v>
      </c>
      <c r="AT29" s="493" cm="1">
        <f t="array" ref="AT29">IF(18=18,IF(AM29="","",SUMPRODUCT(--ISNUMBER(SEARCH(" "&amp;DJ13:DJ112&amp;" ",AV29)))),"")</f>
        <v>0</v>
      </c>
      <c r="AU29" s="493" cm="1">
        <f t="array" ref="AU29">IF(18=18,IF(AM29="","",SUMPRODUCT(--ISNUMBER(SEARCH(" "&amp;DJ113:DJ162&amp;" ",AV29)))),"")</f>
        <v>0</v>
      </c>
      <c r="AV29" s="493" t="str">
        <f>IF(AM29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29,"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50 g de sucre en poudre </v>
      </c>
      <c r="AW29" s="493" cm="1">
        <f t="array" ref="AW29">IF(AM29="","",SUMPRODUCT(--ISNUMBER(SEARCH(" "&amp;DJ195:DJ216&amp;" ",AV29)))+--ISNUMBER(SEARCH(" "&amp;DJ2465&amp;" ",AV29)))</f>
        <v>0</v>
      </c>
      <c r="AX29" s="493" t="str" cm="1">
        <f t="array" ref="AX29">IF(18=18,IF(AM29="","",IF(SUM(AT29:AU29)+SUMPRODUCT(--ISNUMBER(SEARCH(" "&amp;DJ2429:DJ2431&amp;" ",AV29)))&gt;0,"X",IF(AW29&gt;0,"?",""))),"")</f>
        <v/>
      </c>
      <c r="AY29" s="493" cm="1">
        <f t="array" ref="AY29">IF(18=18,IF(AM29="","",SUMPRODUCT(--ISNUMBER(SEARCH(" "&amp;DJ217:DJ316&amp;" ",AS29)))),"")</f>
        <v>0</v>
      </c>
      <c r="AZ29" s="493" cm="1">
        <f t="array" ref="AZ29">IF(18=18,IF(AM29="","",SUMPRODUCT(--ISNUMBER(SEARCH(" "&amp;DJ317:DJ351&amp;" ",AS29)))),"")</f>
        <v>0</v>
      </c>
      <c r="BA29" s="493" t="str">
        <f>IF(18=18,IF(AM29="","",IF((SUM(AY29:AZ29))-(0)&gt;0,"X",IF((0)-(0)&gt;0,"?",""))),"")</f>
        <v/>
      </c>
      <c r="BB29" s="493" cm="1">
        <f t="array" ref="BB29">IF(18=18,IF(AM29="","",SUMPRODUCT(--ISNUMBER(SEARCH(" "&amp;DJ352:DJ409&amp;" ",AS29)))),"")</f>
        <v>0</v>
      </c>
      <c r="BC29" s="493" cm="1">
        <f t="array" ref="BC29">IF(18=18,IF(AM29="","",SUMPRODUCT(--ISNUMBER(SEARCH(" "&amp;DJ410:DJ437&amp;" ",BD29)))+SUMPRODUCT(--ISNUMBER(SEARCH(" "&amp;DJ2451:DJ2464&amp;" ",BD29)))),"")</f>
        <v>0</v>
      </c>
      <c r="BD29" s="493" t="str">
        <f>IF(18=18,IF(AM29="","",SUBSTITUTE(SUBSTITUTE(SUBSTITUTE(SUBSTITUTE(SUBSTITUTE(SUBSTITUTE(SUBSTITUTE(SUBSTITUTE(SUBSTITUTE(SUBSTITUTE(SUBSTITUTE(SUBSTITUTE(SUBSTITUTE(SUBSTITUTE(AS29," "&amp;DJ2466&amp;" "," ")," "&amp;DJ444&amp;" "," ")," "&amp;DJ442&amp;" "," ")," "&amp;DJ2449&amp;" "," ")," "&amp;DJ2450&amp;" "," ")," "&amp;DJ439&amp;" "," ")," "&amp;DJ443&amp;" "," ")," "&amp;DJ445&amp;" "," ")," "&amp;DJ440&amp;" "," ")," "&amp;DJ438&amp;" "," ")," "&amp;DJ1378&amp;" "," ")," "&amp;DJ446&amp;" "," ")," "&amp;DJ1377&amp;" "," ")," "&amp;DJ441&amp;" "," ")),"")</f>
        <v xml:space="preserve"> • 50 g de sucre en poudre </v>
      </c>
      <c r="BE29" s="493" t="str">
        <f>IF(18=18,IF(AM29="","",IF(BB29&gt;0,"X",IF(BC29&gt;0,"?",""))),"")</f>
        <v/>
      </c>
      <c r="BF29" s="493" cm="1">
        <f t="array" ref="BF29">IF(18=18,IF(AM29="","",SUMPRODUCT(--ISNUMBER(SEARCH(" "&amp;DJ447:DJ546&amp;" ",BP29)))),"")</f>
        <v>0</v>
      </c>
      <c r="BG29" s="493" cm="1">
        <f t="array" ref="BG29">IF(18=18,IF(AM29="","",SUMPRODUCT(--ISNUMBER(SEARCH(" "&amp;DJ547:DJ646&amp;" ",BP29)))),"")</f>
        <v>0</v>
      </c>
      <c r="BH29" s="493" cm="1">
        <f t="array" ref="BH29">IF(18=18,IF(AM29="","",SUMPRODUCT(--ISNUMBER(SEARCH(" "&amp;DJ647:DJ746&amp;" ",BP29)))),"")</f>
        <v>0</v>
      </c>
      <c r="BI29" s="493" cm="1">
        <f t="array" ref="BI29">IF(18=18,IF(AM29="","",SUMPRODUCT(--ISNUMBER(SEARCH(" "&amp;DJ747:DJ846&amp;" ",BP29)))),"")</f>
        <v>0</v>
      </c>
      <c r="BJ29" s="493" cm="1">
        <f t="array" ref="BJ29">IF(18=18,IF(AM29="","",SUMPRODUCT(--ISNUMBER(SEARCH(" "&amp;DJ847:DJ946&amp;" ",BP29)))),"")</f>
        <v>0</v>
      </c>
      <c r="BK29" s="493" cm="1">
        <f t="array" ref="BK29">IF(18=18,IF(AM29="","",SUMPRODUCT(--ISNUMBER(SEARCH(" "&amp;DJ947:DJ1046&amp;" ",BP29)))),"")</f>
        <v>0</v>
      </c>
      <c r="BL29" s="493" cm="1">
        <f t="array" ref="BL29">IF(18=18,IF(AM29="","",SUMPRODUCT(--ISNUMBER(SEARCH(" "&amp;DJ1047:DJ1146&amp;" ",BP29)))),"")</f>
        <v>0</v>
      </c>
      <c r="BM29" s="493" cm="1">
        <f t="array" ref="BM29">IF(18=18,IF(AM29="","",SUMPRODUCT(--ISNUMBER(SEARCH(" "&amp;DJ1147:DJ1246&amp;" ",BP29)))),"")</f>
        <v>0</v>
      </c>
      <c r="BN29" s="493" cm="1">
        <f t="array" ref="BN29">IF(18=18,IF(AM29="","",SUMPRODUCT(--ISNUMBER(SEARCH(" "&amp;DJ1247:DJ1346&amp;" ",BP29)))),"")</f>
        <v>0</v>
      </c>
      <c r="BO29" s="493" cm="1">
        <f t="array" ref="BO29">IF(18=18,IF(AM29="","",SUMPRODUCT(--ISNUMBER(SEARCH(" "&amp;DJ1347:DJ1374&amp;" ",BP29)))),"")</f>
        <v>0</v>
      </c>
      <c r="BP29" s="493" t="str">
        <f>IF(18=18,IF(AM29="","",SUBSTITUTE(SUBSTITUTE(SUBSTITUTE(SUBSTITUTE(SUBSTITUTE(SUBSTITUTE(SUBSTITUTE(SUBSTITUTE(SUBSTITUTE(AS29," "&amp;DJ1376&amp;" "," ")," "&amp;DJ1375&amp;" "," ")," "&amp;DJ1381&amp;" "," ")," "&amp;DJ1382&amp;" "," ")," "&amp;DJ1378&amp;" "," ")," "&amp;DJ1380&amp;" "," ")," "&amp;DJ1377&amp;" "," ")," "&amp;DJ1379&amp;" "," ")," "&amp;DJ1383&amp;" "," ")),"")</f>
        <v xml:space="preserve"> • 50 g de sucre en poudre </v>
      </c>
      <c r="BQ29" s="493" cm="1">
        <f t="array" ref="BQ29">IF(18=18,IF(AM29="","",SUMPRODUCT(--ISNUMBER(SEARCH(" "&amp;DJ1384:DJ1394&amp;" ",BP29)))),"")</f>
        <v>0</v>
      </c>
      <c r="BR29" s="493" t="str" cm="1">
        <f t="array" ref="BR29">IF(18=18,IF(AM29="","",IF(SUM(BF29:BO29)+SUMPRODUCT(--ISNUMBER(SEARCH(" "&amp;DJ2432:DJ2433&amp;" ",BP29)))&gt;0,"X",IF(BQ29&gt;0,"?",""))),"")</f>
        <v/>
      </c>
      <c r="BS29" s="493" cm="1">
        <f t="array" ref="BS29">IF(18=18,IF(AM29="","",SUMPRODUCT(--ISNUMBER(SEARCH(" "&amp;DJ1395:DJ1415&amp;" ",AS29)))),"")</f>
        <v>0</v>
      </c>
      <c r="BT29" s="493" t="str">
        <f>IF(18=18,IF(AM29="","",IF((BS29)-(0)&gt;0,"X",IF((0)-(0)&gt;0,"?",""))),"")</f>
        <v/>
      </c>
      <c r="BU29" s="493" cm="1">
        <f t="array" ref="BU29">IF(18=18,IF(AM29="","",SUMPRODUCT(--ISNUMBER(SEARCH(" "&amp;DJ1416:DJ1453&amp;" ",BV29)))),"")</f>
        <v>0</v>
      </c>
      <c r="BV29" s="493" t="str">
        <f>IF(18=18,IF(AM29="","",SUBSTITUTE(SUBSTITUTE(AS29," "&amp;DJ1454&amp;" "," ")," "&amp;DJ1455&amp;" "," ")),"")</f>
        <v xml:space="preserve"> • 50 g de sucre en poudre </v>
      </c>
      <c r="BW29" s="493" cm="1">
        <f t="array" ref="BW29">IF(18=18,IF(AM29="","",SUMPRODUCT(--ISNUMBER(SEARCH(" "&amp;DJ1456:DJ1466&amp;" ",BV29)))),"")</f>
        <v>0</v>
      </c>
      <c r="BX29" s="493" t="str">
        <f>IF(18=18,IF(AM29="","",IF(BU29&gt;0,"X",IF(BW29&gt;0,"?",""))),"")</f>
        <v/>
      </c>
      <c r="BY29" s="493" cm="1">
        <f t="array" ref="BY29">IF(18=18,IF(AM29="","",SUMPRODUCT(--ISNUMBER(SEARCH(" "&amp;DJ1467:DJ1566&amp;" ",CB29)))),"")</f>
        <v>0</v>
      </c>
      <c r="BZ29" s="493" cm="1">
        <f t="array" ref="BZ29">IF(18=18,IF(AM29="","",SUMPRODUCT(--ISNUMBER(SEARCH(" "&amp;DJ1567:DJ1666&amp;" ",CB29)))),"")</f>
        <v>0</v>
      </c>
      <c r="CA29" s="493" cm="1">
        <f t="array" ref="CA29">IF(18=18,IF(AM29="","",SUMPRODUCT(--ISNUMBER(SEARCH(" "&amp;DJ1667:DJ1750&amp;" ",CB29)))),"")</f>
        <v>0</v>
      </c>
      <c r="CB29" s="493" t="str">
        <f>IF(18=18,IF(AM29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29,"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50 g de sucre en poudre </v>
      </c>
      <c r="CC29" s="493" cm="1">
        <f t="array" ref="CC29">IF(18=18,IF(AM29="","",SUMPRODUCT(--ISNUMBER(SEARCH(" "&amp;DJ1801:DJ1880&amp;" ",CD29)))+SUMPRODUCT(--ISNUMBER(SEARCH(" "&amp;DJ2451:DJ2464&amp;" ",CD29)))),"")</f>
        <v>0</v>
      </c>
      <c r="CD29" s="493" t="str">
        <f>IF(18=18,IF(AM29="","",SUBSTITUTE(SUBSTITUTE(SUBSTITUTE(SUBSTITUTE(SUBSTITUTE(SUBSTITUTE(SUBSTITUTE(SUBSTITUTE(SUBSTITUTE(SUBSTITUTE(SUBSTITUTE(SUBSTITUTE(SUBSTITUTE(CB29," "&amp;DJ1887&amp;" "," ")," "&amp;DJ1885&amp;" "," ")," "&amp;DJ2449&amp;" "," ")," "&amp;DJ2450&amp;" "," ")," "&amp;DJ1882&amp;" "," ")," "&amp;DJ1886&amp;" "," ")," "&amp;DJ1888&amp;" "," ")," "&amp;DJ1883&amp;" "," ")," "&amp;DJ1881&amp;" "," ")," "&amp;DJ1378&amp;" "," ")," "&amp;DJ1889&amp;" "," ")," "&amp;DJ1377&amp;" "," ")," "&amp;DJ1884&amp;" "," ")),"")</f>
        <v xml:space="preserve"> • 50 g de sucre en poudre </v>
      </c>
      <c r="CE29" s="493" t="str" cm="1">
        <f t="array" ref="CE29">IF(18=18,IF(AM29="","",IF(SUM(BY29:CA29)+SUMPRODUCT(--ISNUMBER(SEARCH(" "&amp;DJ2434:DJ2435&amp;" ",CB29)))&gt;0,"X",IF(CC29&gt;0,"?",""))),"")</f>
        <v/>
      </c>
      <c r="CF29" s="493" cm="1">
        <f t="array" ref="CF29">IF(18=18,IF(AM29="","",SUMPRODUCT(--ISNUMBER(SEARCH(" "&amp;DJ1890:DJ1947&amp;" ",CG29)))),"")</f>
        <v>0</v>
      </c>
      <c r="CG29" s="493" t="str">
        <f>IF(18=18,IF(AM29="","",SUBSTITUTE(SUBSTITUTE(SUBSTITUTE(SUBSTITUTE(SUBSTITUTE(SUBSTITUTE(SUBSTITUTE(SUBSTITUTE(SUBSTITUTE(SUBSTITUTE(SUBSTITUTE(SUBSTITUTE(SUBSTITUTE(SUBSTITUTE(SUBSTITUTE(SUBSTITUTE(SUBSTITUTE(SUBSTITUTE(SUBSTITUTE(SUBSTITUTE(SUBSTITUTE(SUBSTITUTE(SUBSTITUTE(AS29,"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50 g de sucre en poudre </v>
      </c>
      <c r="CH29" s="493" cm="1">
        <f t="array" ref="CH29">IF(18=18,IF(AM29="","",SUMPRODUCT(--ISNUMBER(SEARCH(" "&amp;DJ1971:DJ1987&amp;" ",CG29)))),"")</f>
        <v>0</v>
      </c>
      <c r="CI29" s="493" t="str">
        <f>IF(18=18,IF(AM29="","",IF(CF29&gt;0,"X",IF(CH29&gt;0,"?",""))),"")</f>
        <v/>
      </c>
      <c r="CJ29" s="493" cm="1">
        <f t="array" ref="CJ29">IF(18=18,IF(AM29="","",SUMPRODUCT(--ISNUMBER(SEARCH(" "&amp;DJ1988:DJ2001&amp;" ",AS29)))),"")</f>
        <v>0</v>
      </c>
      <c r="CK29" s="493" cm="1">
        <f t="array" ref="CK29">IF(18=18,IF(AM29="","",SUMPRODUCT(--ISNUMBER(SEARCH(" "&amp;DJ2002:DJ2016&amp;" ",AS29)))),"")</f>
        <v>0</v>
      </c>
      <c r="CL29" s="493" t="str">
        <f>IF(18=18,IF(AM29="","",IF((CJ29)-(0)&gt;0,"X",IF((CK29)-(0)&gt;0,"?",""))),"")</f>
        <v/>
      </c>
      <c r="CM29" s="493" cm="1">
        <f t="array" ref="CM29">IF(18=18,IF(AM29="","",SUMPRODUCT(--ISNUMBER(SEARCH(" "&amp;DJ2017:DJ2034&amp;" ",AS29)))),"")</f>
        <v>0</v>
      </c>
      <c r="CN29" s="493" cm="1">
        <f t="array" ref="CN29">IF(18=18,IF(AM29="","",SUMPRODUCT(--ISNUMBER(SEARCH(" "&amp;DJ2035:DJ2049&amp;" ",AS29)))),"")</f>
        <v>0</v>
      </c>
      <c r="CO29" s="493" t="str">
        <f>IF(18=18,IF(AM29="","",IF((CM29)-(0)&gt;0,"X",IF((CN29)-(0)&gt;0,"?",""))),"")</f>
        <v/>
      </c>
      <c r="CP29" s="493" cm="1">
        <f t="array" ref="CP29">IF(18=18,IF(AM29="","",SUMPRODUCT(--ISNUMBER(SEARCH(" "&amp;DJ2050:DJ2068&amp;" ",AS29)))),"")</f>
        <v>0</v>
      </c>
      <c r="CQ29" s="493" cm="1">
        <f t="array" ref="CQ29">IF(18=18,IF(AM29="","",SUMPRODUCT(--ISNUMBER(SEARCH(" "&amp;DJ2069:DJ2083&amp;" ",AS29)))),"")</f>
        <v>0</v>
      </c>
      <c r="CR29" s="493" t="str">
        <f>IF(18=18,IF(AM29="","",IF((CP29)-(0)&gt;0,"X",IF((CQ29)-(0)&gt;0,"?",""))),"")</f>
        <v/>
      </c>
      <c r="CS29" s="493" cm="1">
        <f t="array" ref="CS29">IF(18=18,IF(AM29="","",SUMPRODUCT(--ISNUMBER(SEARCH(" "&amp;DJ2084:DJ2104&amp;" ",AS29)))),"")</f>
        <v>0</v>
      </c>
      <c r="CT29" s="493" cm="1">
        <f t="array" ref="CT29">IF(18=18,IF(AM29="","",SUMPRODUCT(--ISNUMBER(SEARCH(" "&amp;DJ2105:DJ2144&amp;" ",SUBSTITUTE(SUBSTITUTE(AS29," "&amp;DJ1378&amp;" "," ")," "&amp;DJ1377&amp;" "," "))))+--ISNUMBER(SEARCH("poiré",AN29))),"")</f>
        <v>0</v>
      </c>
      <c r="CU29" s="493" t="str">
        <f>IF(18=18,IF(AM29="","",IF(OR(CS29&gt;0,ISNUMBER(SEARCH(" vinaigre de vin ",AS29)),ISNUMBER(SEARCH(" vinaigre au vin ",AS29))),"X",IF(CT29&gt;0,"?",""))),"")</f>
        <v/>
      </c>
      <c r="CV29" s="493" cm="1">
        <f t="array" ref="CV29">IF(18=18,IF(AM29="","",SUMPRODUCT(--ISNUMBER(SEARCH(" "&amp;DJ2145:DJ2157&amp;" ",AS29)))),"")</f>
        <v>0</v>
      </c>
      <c r="CW29" s="493" cm="1">
        <f t="array" ref="CW29">IF(18=18,IF(AM29="","",SUMPRODUCT(--ISNUMBER(SEARCH(" "&amp;DJ2158:DJ2163&amp;" ",AS29)))),"")</f>
        <v>0</v>
      </c>
      <c r="CX29" s="493" t="str">
        <f>IF(18=18,IF(AM29="","",IF((CV29)-(0)&gt;0,"X",IF((CW29)-(0)&gt;0,"?",""))),"")</f>
        <v/>
      </c>
      <c r="CY29" s="493" cm="1">
        <f t="array" ref="CY29">IF(18=18,IF(AM29="","",SUMPRODUCT(--ISNUMBER(SEARCH(" "&amp;DJ2164:DJ2263&amp;" ",DB29)))),"")</f>
        <v>0</v>
      </c>
      <c r="CZ29" s="493" cm="1">
        <f t="array" ref="CZ29">IF(18=18,IF(AM29="","",SUMPRODUCT(--ISNUMBER(SEARCH(" "&amp;DJ2264:DJ2363&amp;" ",DB29)))),"")</f>
        <v>0</v>
      </c>
      <c r="DA29" s="493" cm="1">
        <f t="array" ref="DA29">IF(18=18,IF(AM29="","",SUMPRODUCT(--ISNUMBER(SEARCH(" "&amp;DJ2364:DJ2406&amp;" ",DB29)))),"")</f>
        <v>0</v>
      </c>
      <c r="DB29" s="493" t="str">
        <f>IF(18=18,IF(AM29="","",SUBSTITUTE(SUBSTITUTE(SUBSTITUTE(SUBSTITUTE(SUBSTITUTE(SUBSTITUTE(SUBSTITUTE(SUBSTITUTE(SUBSTITUTE(SUBSTITUTE(SUBSTITUTE(SUBSTITUTE(SUBSTITUTE(SUBSTITUTE(SUBSTITUTE(SUBSTITUTE(AS29," "&amp;DJ2412&amp;" "," ")," "&amp;DJ2411&amp;" "," ")," "&amp;DJ2410&amp;" "," ")," "&amp;DJ2417&amp;" "," ")," "&amp;DJ2409&amp;" "," ")," "&amp;DJ2421&amp;" "," ")," "&amp;DJ2408&amp;" "," ")," "&amp;DJ2413&amp;" "," ")," "&amp;DJ2416&amp;" "," ")," "&amp;DJ2407&amp;" "," ")," "&amp;DJ2415&amp;" "," ")," "&amp;DJ2422&amp;" "," ")," "&amp;DJ2419&amp;" "," ")," "&amp;DJ2414&amp;" "," ")," "&amp;DJ2418&amp;" "," ")," "&amp;DJ2420&amp;" "," ")),"")</f>
        <v xml:space="preserve"> • 50 g de sucre en poudre </v>
      </c>
      <c r="DC29" s="493" cm="1">
        <f t="array" ref="DC29">IF(18=18,IF(AM29="","",SUMPRODUCT(--ISNUMBER(SEARCH(" "&amp;DJ2423:DJ2427&amp;" ",DB29)))),"")</f>
        <v>0</v>
      </c>
      <c r="DD29" s="493" t="str">
        <f>IF(18=18,IF(AM29="","",IF(SUM(CY29:DA29)&gt;0,"X",IF(DC29&gt;0,"?",""))),"")</f>
        <v/>
      </c>
      <c r="DE29" s="494"/>
      <c r="DF29" s="496" t="s">
        <v>1176</v>
      </c>
      <c r="DG29" s="496" t="s">
        <v>1083</v>
      </c>
      <c r="DH29" s="496" t="s">
        <v>689</v>
      </c>
      <c r="DI29" s="496" t="s">
        <v>1177</v>
      </c>
      <c r="DJ29" s="496" t="s">
        <v>1177</v>
      </c>
      <c r="DK29" s="496" t="s">
        <v>1151</v>
      </c>
      <c r="DL29" s="496" t="s">
        <v>1152</v>
      </c>
      <c r="DM29" s="496" t="s">
        <v>1087</v>
      </c>
      <c r="DN29" s="497" t="s">
        <v>1153</v>
      </c>
      <c r="DP29" s="543">
        <v>1</v>
      </c>
    </row>
    <row r="30" spans="2:120" ht="30" customHeight="1">
      <c r="B30" s="663" t="str">
        <f t="shared" si="0"/>
        <v>• 15 g de beurre</v>
      </c>
      <c r="C30" s="663" t="str">
        <f t="shared" si="1"/>
        <v>• 15 g de beurre</v>
      </c>
      <c r="D30" s="663" t="str">
        <f>IF(UPPER(TRIM(N11))="X",C30,B30)</f>
        <v>• 15 g de beurre</v>
      </c>
      <c r="E30" s="663" cm="1">
        <f t="array" ref="E30">IF(H29&lt;&gt;"",E29,IF(E29="","",IFERROR(MATCH(TRUE(),INDEX(INDEX(K:K,E29+1):K203&lt;&gt;"",0),0)+E29,"")))</f>
        <v>27</v>
      </c>
      <c r="F30" s="663" t="str" cm="1">
        <f t="array" ref="F30">IF(E30="","",IF(H29&lt;&gt;"",H29,INDEX(D:D,E30)))</f>
        <v>• 30 g de farine</v>
      </c>
      <c r="G30" s="663" t="str">
        <f t="shared" si="2"/>
        <v>• 30 g de farine</v>
      </c>
      <c r="H30" s="673" t="str">
        <f t="shared" si="3"/>
        <v/>
      </c>
      <c r="I30" s="680" t="str">
        <f>IF(AND(F30&lt;&gt;"",N10&gt;0,M30&gt;N10),"Mot &gt; limite","")</f>
        <v/>
      </c>
      <c r="J30" s="674">
        <f>IF(K30="","",COUNTIF(K18:K30,"&lt;&gt;"))</f>
        <v>13</v>
      </c>
      <c r="K30" s="675" t="s">
        <v>6475</v>
      </c>
      <c r="L30" s="674">
        <f t="shared" si="4"/>
        <v>16</v>
      </c>
      <c r="M30" s="643">
        <f>IF(OR(F30="",N10="",N10&lt;=0),"",IF(LEN(F30)&lt;=N10,LEN(F30),IFERROR(FIND("♦",SUBSTITUTE(LEFT(F30,N10)," ","♦",LEN(LEFT(F30,N10))-LEN(SUBSTITUTE(LEFT(F30,N10)," ","")))),FIND(" ",F30&amp;" ",N10+1)-1)))</f>
        <v>16</v>
      </c>
      <c r="N30" s="676">
        <f t="shared" si="5"/>
        <v>13</v>
      </c>
      <c r="O30" s="677" t="str">
        <f t="shared" si="6"/>
        <v>• 30 g de farine</v>
      </c>
      <c r="P30" s="676">
        <f t="shared" si="7"/>
        <v>5</v>
      </c>
      <c r="Q30" s="676">
        <f t="shared" si="8"/>
        <v>16</v>
      </c>
      <c r="S30" s="509">
        <v>13</v>
      </c>
      <c r="T30" s="678" t="str">
        <f t="shared" si="10"/>
        <v>• 30 g de farine</v>
      </c>
      <c r="U30" s="679" t="str">
        <f t="shared" si="9"/>
        <v>• 30 g de farine ?</v>
      </c>
      <c r="V30" s="512" t="str">
        <f>IF(19=19,IF(T30="","",IF(W30="X",""&amp;"Céréales contenant du gluten","")&amp;IF(X30="X",IF(COUNTIF(W30:W30,"X")&gt;0,", ","")&amp;"Crustacés","")&amp;IF(Y30="X",IF(COUNTIF(W30:X30,"X")&gt;0,", ","")&amp;"Œufs","")&amp;IF(Z30="X",IF(COUNTIF(W30:Y30,"X")&gt;0,", ","")&amp;"Poissons","")&amp;IF(AA30="X",IF(COUNTIF(W30:Z30,"X")&gt;0,", ","")&amp;"Arachides","")&amp;IF(AB30="X",IF(COUNTIF(W30:AA30,"X")&gt;0,", ","")&amp;"Soja","")&amp;IF(AC30="X",IF(COUNTIF(W30:AB30,"X")&gt;0,", ","")&amp;"Lait","")&amp;IF(AD30="X",IF(COUNTIF(W30:AC30,"X")&gt;0,", ","")&amp;"Fruits à coque","")&amp;IF(AE30="X",IF(COUNTIF(W30:AD30,"X")&gt;0,", ","")&amp;"Céleri","")&amp;IF(AF30="X",IF(COUNTIF(W30:AE30,"X")&gt;0,", ","")&amp;"Moutarde","")&amp;IF(AG30="X",IF(COUNTIF(W30:AF30,"X")&gt;0,", ","")&amp;"Sésame","")&amp;IF(AH30="X",IF(COUNTIF(W30:AG30,"X")&gt;0,", ","")&amp;"Sulfites","")&amp;IF(AI30="X",IF(COUNTIF(W30:AH30,"X")&gt;0,", ","")&amp;"Lupin","")&amp;IF(AJ30="X",IF(COUNTIF(W30:AI30,"X")&gt;0,", ","")&amp;"Mollusques","")),"")</f>
        <v/>
      </c>
      <c r="W30" s="513" t="str">
        <f>IF(19=19,IF(T30="","",AX30),"")</f>
        <v>?</v>
      </c>
      <c r="X30" s="513" t="str">
        <f>IF(19=19,IF(T30="","",BA30),"")</f>
        <v/>
      </c>
      <c r="Y30" s="513" t="str">
        <f>IF(19=19,IF(T30="","",BE30),"")</f>
        <v/>
      </c>
      <c r="Z30" s="513" t="str">
        <f>IF(19=19,IF(T30="","",IF(ISNUMBER(SEARCH(" colin ",AS30)),"X",BR30)),"")</f>
        <v/>
      </c>
      <c r="AA30" s="513" t="str">
        <f>IF(19=19,IF(T30="","",BT30),"")</f>
        <v/>
      </c>
      <c r="AB30" s="513" t="str">
        <f>IF(19=19,IF(T30="","",BX30),"")</f>
        <v/>
      </c>
      <c r="AC30" s="513" t="str">
        <f>IF(19=19,IF(T30="","",CE30),"")</f>
        <v/>
      </c>
      <c r="AD30" s="513" t="str">
        <f>IF(19=19,IF(T30="","",CI30),"")</f>
        <v/>
      </c>
      <c r="AE30" s="513" t="str">
        <f>IF(19=19,IF(T30="","",CL30),"")</f>
        <v/>
      </c>
      <c r="AF30" s="513" t="str">
        <f>IF(19=19,IF(T30="","",CO30),"")</f>
        <v/>
      </c>
      <c r="AG30" s="513" t="str">
        <f>IF(19=19,IF(T30="","",CR30),"")</f>
        <v/>
      </c>
      <c r="AH30" s="513" t="str">
        <f>IF(19=19,IF(T30="","",CU30),"")</f>
        <v/>
      </c>
      <c r="AI30" s="513" t="str">
        <f>IF(19=19,IF(T30="","",CX30),"")</f>
        <v/>
      </c>
      <c r="AJ30" s="513" t="str">
        <f>IF(19=19,IF(T30="","",DD30),"")</f>
        <v/>
      </c>
      <c r="AK30" s="514" t="str">
        <f>IF(19=19,IF(T30="","",IF(W30="?",""&amp;"Céréales contenant du gluten","")&amp;IF(X30="?",IF(COUNTIF(W30:W30,"~?")&gt;0,", ","")&amp;"Crustacés","")&amp;IF(Y30="?",IF(COUNTIF(W30:X30,"~?")&gt;0,", ","")&amp;"Œufs","")&amp;IF(Z30="?",IF(COUNTIF(W30:Y30,"~?")&gt;0,", ","")&amp;"Poissons","")&amp;IF(AA30="?",IF(COUNTIF(W30:Z30,"~?")&gt;0,", ","")&amp;"Arachides","")&amp;IF(AB30="?",IF(COUNTIF(W30:AA30,"~?")&gt;0,", ","")&amp;"Soja","")&amp;IF(AC30="?",IF(COUNTIF(W30:AB30,"~?")&gt;0,", ","")&amp;"Lait","")&amp;IF(AD30="?",IF(COUNTIF(W30:AC30,"~?")&gt;0,", ","")&amp;"Fruits à coque","")&amp;IF(AE30="?",IF(COUNTIF(W30:AD30,"~?")&gt;0,", ","")&amp;"Céleri","")&amp;IF(AF30="?",IF(COUNTIF(W30:AE30,"~?")&gt;0,", ","")&amp;"Moutarde","")&amp;IF(AG30="?",IF(COUNTIF(W30:AF30,"~?")&gt;0,", ","")&amp;"Sésame","")&amp;IF(AH30="?",IF(COUNTIF(W30:AG30,"~?")&gt;0,", ","")&amp;"Sulfites","")&amp;IF(AI30="?",IF(COUNTIF(W30:AH30,"~?")&gt;0,", ","")&amp;"Lupin","")&amp;IF(AJ30="?",IF(COUNTIF(W30:AI30,"~?")&gt;0,", ","")&amp;"Mollusques","")),"")</f>
        <v>Céréales contenant du gluten</v>
      </c>
      <c r="AM30" s="493" t="str">
        <f>IF(19=19,IF(T30="","",T30),"")</f>
        <v>• 30 g de farine</v>
      </c>
      <c r="AN30" s="493" t="str">
        <f>IF(19=19,LOWER(CLEAN(SUBSTITUTE(SUBSTITUTE(SUBSTITUTE(SUBSTITUTE(AM30,CHAR(160)," ")," "," "),CHAR(10)," "),CHAR(13)," "))),"")</f>
        <v>• 30 g de farine</v>
      </c>
      <c r="AO30" s="493" t="str">
        <f>IF(19=19,SUBSTITUTE(SUBSTITUTE(SUBSTITUTE(SUBSTITUTE(SUBSTITUTE(SUBSTITUTE(SUBSTITUTE(SUBSTITUTE(SUBSTITUTE(SUBSTITUTE(SUBSTITUTE(SUBSTITUTE(AN30,"œ","oe"),"æ","ae"),"à","a"),"á","a"),"â","a"),"ä","a"),"ã","a"),"ç","c"),"è","e"),"é","e"),"ê","e"),"ë","e"),"")</f>
        <v>• 30 g de farine</v>
      </c>
      <c r="AP30" s="493" t="str">
        <f>IF(19=19,SUBSTITUTE(SUBSTITUTE(SUBSTITUTE(SUBSTITUTE(SUBSTITUTE(SUBSTITUTE(SUBSTITUTE(SUBSTITUTE(SUBSTITUTE(SUBSTITUTE(SUBSTITUTE(SUBSTITUTE(SUBSTITUTE(SUBSTITUTE(SUBSTITUTE(SUBSTITUTE(AO30,"ì","i"),"í","i"),"î","i"),"ï","i"),"ñ","n"),"ò","o"),"ó","o"),"ô","o"),"ö","o"),"õ","o"),"ù","u"),"ú","u"),"û","u"),"ü","u"),"ý","y"),"ÿ","y"),"")</f>
        <v>• 30 g de farine</v>
      </c>
      <c r="AQ30" s="493" t="str">
        <f>IF(19=19,SUBSTITUTE(SUBSTITUTE(SUBSTITUTE(SUBSTITUTE(SUBSTITUTE(SUBSTITUTE(SUBSTITUTE(SUBSTITUTE(SUBSTITUTE(SUBSTITUTE(SUBSTITUTE(SUBSTITUTE(SUBSTITUTE(SUBSTITUTE(AP30,"’"," "),"`"," "),"–"," "),"—"," "),"-"," "),"'"," "),"/"," "),"_"," "),","," "),"."," "),"("," "),")"," "),";"," "),":"," "),"")</f>
        <v>• 30 g de farine</v>
      </c>
      <c r="AR30" s="493" t="str">
        <f>IF(19=19,SUBSTITUTE(SUBSTITUTE(SUBSTITUTE(SUBSTITUTE(SUBSTITUTE(SUBSTITUTE(SUBSTITUTE(SUBSTITUTE(SUBSTITUTE(SUBSTITUTE(SUBSTITUTE(SUBSTITUTE(SUBSTITUTE(SUBSTITUTE(SUBSTITUTE(AQ30,"!"," "),"?"," "),"+"," "),"*"," "),"&amp;"," "),"["," "),"]"," "),"{"," "),"}"," "),"%"," "),"="," "),"\"," "),"|"," "),"&lt;"," "),"&gt;"," "),"")</f>
        <v>• 30 g de farine</v>
      </c>
      <c r="AS30" s="493" t="str">
        <f>IF(19=19," "&amp;TRIM(SUBSTITUTE(SUBSTITUTE(SUBSTITUTE(SUBSTITUTE(SUBSTITUTE(SUBSTITUTE(AR30,CHAR(34)," "),"  "," "),"  "," "),"  "," "),"  "," "),"  "," "))&amp;" ","")</f>
        <v xml:space="preserve"> • 30 g de farine </v>
      </c>
      <c r="AT30" s="493" cm="1">
        <f t="array" ref="AT30">IF(19=19,IF(AM30="","",SUMPRODUCT(--ISNUMBER(SEARCH(" "&amp;DJ13:DJ112&amp;" ",AV30)))),"")</f>
        <v>0</v>
      </c>
      <c r="AU30" s="493" cm="1">
        <f t="array" ref="AU30">IF(19=19,IF(AM30="","",SUMPRODUCT(--ISNUMBER(SEARCH(" "&amp;DJ113:DJ162&amp;" ",AV30)))),"")</f>
        <v>0</v>
      </c>
      <c r="AV30" s="493" t="str">
        <f>IF(AM30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30,"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30 g de farine </v>
      </c>
      <c r="AW30" s="493" cm="1">
        <f t="array" ref="AW30">IF(AM30="","",SUMPRODUCT(--ISNUMBER(SEARCH(" "&amp;DJ195:DJ216&amp;" ",AV30)))+--ISNUMBER(SEARCH(" "&amp;DJ2465&amp;" ",AV30)))</f>
        <v>1</v>
      </c>
      <c r="AX30" s="493" t="str" cm="1">
        <f t="array" ref="AX30">IF(19=19,IF(AM30="","",IF(SUM(AT30:AU30)+SUMPRODUCT(--ISNUMBER(SEARCH(" "&amp;DJ2429:DJ2431&amp;" ",AV30)))&gt;0,"X",IF(AW30&gt;0,"?",""))),"")</f>
        <v>?</v>
      </c>
      <c r="AY30" s="493" cm="1">
        <f t="array" ref="AY30">IF(19=19,IF(AM30="","",SUMPRODUCT(--ISNUMBER(SEARCH(" "&amp;DJ217:DJ316&amp;" ",AS30)))),"")</f>
        <v>0</v>
      </c>
      <c r="AZ30" s="493" cm="1">
        <f t="array" ref="AZ30">IF(19=19,IF(AM30="","",SUMPRODUCT(--ISNUMBER(SEARCH(" "&amp;DJ317:DJ351&amp;" ",AS30)))),"")</f>
        <v>0</v>
      </c>
      <c r="BA30" s="493" t="str">
        <f>IF(19=19,IF(AM30="","",IF((SUM(AY30:AZ30))-(0)&gt;0,"X",IF((0)-(0)&gt;0,"?",""))),"")</f>
        <v/>
      </c>
      <c r="BB30" s="493" cm="1">
        <f t="array" ref="BB30">IF(19=19,IF(AM30="","",SUMPRODUCT(--ISNUMBER(SEARCH(" "&amp;DJ352:DJ409&amp;" ",AS30)))),"")</f>
        <v>0</v>
      </c>
      <c r="BC30" s="493" cm="1">
        <f t="array" ref="BC30">IF(19=19,IF(AM30="","",SUMPRODUCT(--ISNUMBER(SEARCH(" "&amp;DJ410:DJ437&amp;" ",BD30)))+SUMPRODUCT(--ISNUMBER(SEARCH(" "&amp;DJ2451:DJ2464&amp;" ",BD30)))),"")</f>
        <v>0</v>
      </c>
      <c r="BD30" s="493" t="str">
        <f>IF(19=19,IF(AM30="","",SUBSTITUTE(SUBSTITUTE(SUBSTITUTE(SUBSTITUTE(SUBSTITUTE(SUBSTITUTE(SUBSTITUTE(SUBSTITUTE(SUBSTITUTE(SUBSTITUTE(SUBSTITUTE(SUBSTITUTE(SUBSTITUTE(SUBSTITUTE(AS30," "&amp;DJ2466&amp;" "," ")," "&amp;DJ444&amp;" "," ")," "&amp;DJ442&amp;" "," ")," "&amp;DJ2449&amp;" "," ")," "&amp;DJ2450&amp;" "," ")," "&amp;DJ439&amp;" "," ")," "&amp;DJ443&amp;" "," ")," "&amp;DJ445&amp;" "," ")," "&amp;DJ440&amp;" "," ")," "&amp;DJ438&amp;" "," ")," "&amp;DJ1378&amp;" "," ")," "&amp;DJ446&amp;" "," ")," "&amp;DJ1377&amp;" "," ")," "&amp;DJ441&amp;" "," ")),"")</f>
        <v xml:space="preserve"> • 30 g de farine </v>
      </c>
      <c r="BE30" s="493" t="str">
        <f>IF(19=19,IF(AM30="","",IF(BB30&gt;0,"X",IF(BC30&gt;0,"?",""))),"")</f>
        <v/>
      </c>
      <c r="BF30" s="493" cm="1">
        <f t="array" ref="BF30">IF(19=19,IF(AM30="","",SUMPRODUCT(--ISNUMBER(SEARCH(" "&amp;DJ447:DJ546&amp;" ",BP30)))),"")</f>
        <v>0</v>
      </c>
      <c r="BG30" s="493" cm="1">
        <f t="array" ref="BG30">IF(19=19,IF(AM30="","",SUMPRODUCT(--ISNUMBER(SEARCH(" "&amp;DJ547:DJ646&amp;" ",BP30)))),"")</f>
        <v>0</v>
      </c>
      <c r="BH30" s="493" cm="1">
        <f t="array" ref="BH30">IF(19=19,IF(AM30="","",SUMPRODUCT(--ISNUMBER(SEARCH(" "&amp;DJ647:DJ746&amp;" ",BP30)))),"")</f>
        <v>0</v>
      </c>
      <c r="BI30" s="493" cm="1">
        <f t="array" ref="BI30">IF(19=19,IF(AM30="","",SUMPRODUCT(--ISNUMBER(SEARCH(" "&amp;DJ747:DJ846&amp;" ",BP30)))),"")</f>
        <v>0</v>
      </c>
      <c r="BJ30" s="493" cm="1">
        <f t="array" ref="BJ30">IF(19=19,IF(AM30="","",SUMPRODUCT(--ISNUMBER(SEARCH(" "&amp;DJ847:DJ946&amp;" ",BP30)))),"")</f>
        <v>0</v>
      </c>
      <c r="BK30" s="493" cm="1">
        <f t="array" ref="BK30">IF(19=19,IF(AM30="","",SUMPRODUCT(--ISNUMBER(SEARCH(" "&amp;DJ947:DJ1046&amp;" ",BP30)))),"")</f>
        <v>0</v>
      </c>
      <c r="BL30" s="493" cm="1">
        <f t="array" ref="BL30">IF(19=19,IF(AM30="","",SUMPRODUCT(--ISNUMBER(SEARCH(" "&amp;DJ1047:DJ1146&amp;" ",BP30)))),"")</f>
        <v>0</v>
      </c>
      <c r="BM30" s="493" cm="1">
        <f t="array" ref="BM30">IF(19=19,IF(AM30="","",SUMPRODUCT(--ISNUMBER(SEARCH(" "&amp;DJ1147:DJ1246&amp;" ",BP30)))),"")</f>
        <v>0</v>
      </c>
      <c r="BN30" s="493" cm="1">
        <f t="array" ref="BN30">IF(19=19,IF(AM30="","",SUMPRODUCT(--ISNUMBER(SEARCH(" "&amp;DJ1247:DJ1346&amp;" ",BP30)))),"")</f>
        <v>0</v>
      </c>
      <c r="BO30" s="493" cm="1">
        <f t="array" ref="BO30">IF(19=19,IF(AM30="","",SUMPRODUCT(--ISNUMBER(SEARCH(" "&amp;DJ1347:DJ1374&amp;" ",BP30)))),"")</f>
        <v>0</v>
      </c>
      <c r="BP30" s="493" t="str">
        <f>IF(19=19,IF(AM30="","",SUBSTITUTE(SUBSTITUTE(SUBSTITUTE(SUBSTITUTE(SUBSTITUTE(SUBSTITUTE(SUBSTITUTE(SUBSTITUTE(SUBSTITUTE(AS30," "&amp;DJ1376&amp;" "," ")," "&amp;DJ1375&amp;" "," ")," "&amp;DJ1381&amp;" "," ")," "&amp;DJ1382&amp;" "," ")," "&amp;DJ1378&amp;" "," ")," "&amp;DJ1380&amp;" "," ")," "&amp;DJ1377&amp;" "," ")," "&amp;DJ1379&amp;" "," ")," "&amp;DJ1383&amp;" "," ")),"")</f>
        <v xml:space="preserve"> • 30 g de farine </v>
      </c>
      <c r="BQ30" s="493" cm="1">
        <f t="array" ref="BQ30">IF(19=19,IF(AM30="","",SUMPRODUCT(--ISNUMBER(SEARCH(" "&amp;DJ1384:DJ1394&amp;" ",BP30)))),"")</f>
        <v>0</v>
      </c>
      <c r="BR30" s="493" t="str" cm="1">
        <f t="array" ref="BR30">IF(19=19,IF(AM30="","",IF(SUM(BF30:BO30)+SUMPRODUCT(--ISNUMBER(SEARCH(" "&amp;DJ2432:DJ2433&amp;" ",BP30)))&gt;0,"X",IF(BQ30&gt;0,"?",""))),"")</f>
        <v/>
      </c>
      <c r="BS30" s="493" cm="1">
        <f t="array" ref="BS30">IF(19=19,IF(AM30="","",SUMPRODUCT(--ISNUMBER(SEARCH(" "&amp;DJ1395:DJ1415&amp;" ",AS30)))),"")</f>
        <v>0</v>
      </c>
      <c r="BT30" s="493" t="str">
        <f>IF(19=19,IF(AM30="","",IF((BS30)-(0)&gt;0,"X",IF((0)-(0)&gt;0,"?",""))),"")</f>
        <v/>
      </c>
      <c r="BU30" s="493" cm="1">
        <f t="array" ref="BU30">IF(19=19,IF(AM30="","",SUMPRODUCT(--ISNUMBER(SEARCH(" "&amp;DJ1416:DJ1453&amp;" ",BV30)))),"")</f>
        <v>0</v>
      </c>
      <c r="BV30" s="493" t="str">
        <f>IF(19=19,IF(AM30="","",SUBSTITUTE(SUBSTITUTE(AS30," "&amp;DJ1454&amp;" "," ")," "&amp;DJ1455&amp;" "," ")),"")</f>
        <v xml:space="preserve"> • 30 g de farine </v>
      </c>
      <c r="BW30" s="493" cm="1">
        <f t="array" ref="BW30">IF(19=19,IF(AM30="","",SUMPRODUCT(--ISNUMBER(SEARCH(" "&amp;DJ1456:DJ1466&amp;" ",BV30)))),"")</f>
        <v>0</v>
      </c>
      <c r="BX30" s="493" t="str">
        <f>IF(19=19,IF(AM30="","",IF(BU30&gt;0,"X",IF(BW30&gt;0,"?",""))),"")</f>
        <v/>
      </c>
      <c r="BY30" s="493" cm="1">
        <f t="array" ref="BY30">IF(19=19,IF(AM30="","",SUMPRODUCT(--ISNUMBER(SEARCH(" "&amp;DJ1467:DJ1566&amp;" ",CB30)))),"")</f>
        <v>0</v>
      </c>
      <c r="BZ30" s="493" cm="1">
        <f t="array" ref="BZ30">IF(19=19,IF(AM30="","",SUMPRODUCT(--ISNUMBER(SEARCH(" "&amp;DJ1567:DJ1666&amp;" ",CB30)))),"")</f>
        <v>0</v>
      </c>
      <c r="CA30" s="493" cm="1">
        <f t="array" ref="CA30">IF(19=19,IF(AM30="","",SUMPRODUCT(--ISNUMBER(SEARCH(" "&amp;DJ1667:DJ1750&amp;" ",CB30)))),"")</f>
        <v>0</v>
      </c>
      <c r="CB30" s="493" t="str">
        <f>IF(19=19,IF(AM30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30,"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30 g de farine </v>
      </c>
      <c r="CC30" s="493" cm="1">
        <f t="array" ref="CC30">IF(19=19,IF(AM30="","",SUMPRODUCT(--ISNUMBER(SEARCH(" "&amp;DJ1801:DJ1880&amp;" ",CD30)))+SUMPRODUCT(--ISNUMBER(SEARCH(" "&amp;DJ2451:DJ2464&amp;" ",CD30)))),"")</f>
        <v>0</v>
      </c>
      <c r="CD30" s="493" t="str">
        <f>IF(19=19,IF(AM30="","",SUBSTITUTE(SUBSTITUTE(SUBSTITUTE(SUBSTITUTE(SUBSTITUTE(SUBSTITUTE(SUBSTITUTE(SUBSTITUTE(SUBSTITUTE(SUBSTITUTE(SUBSTITUTE(SUBSTITUTE(SUBSTITUTE(CB30," "&amp;DJ1887&amp;" "," ")," "&amp;DJ1885&amp;" "," ")," "&amp;DJ2449&amp;" "," ")," "&amp;DJ2450&amp;" "," ")," "&amp;DJ1882&amp;" "," ")," "&amp;DJ1886&amp;" "," ")," "&amp;DJ1888&amp;" "," ")," "&amp;DJ1883&amp;" "," ")," "&amp;DJ1881&amp;" "," ")," "&amp;DJ1378&amp;" "," ")," "&amp;DJ1889&amp;" "," ")," "&amp;DJ1377&amp;" "," ")," "&amp;DJ1884&amp;" "," ")),"")</f>
        <v xml:space="preserve"> • 30 g de farine </v>
      </c>
      <c r="CE30" s="493" t="str" cm="1">
        <f t="array" ref="CE30">IF(19=19,IF(AM30="","",IF(SUM(BY30:CA30)+SUMPRODUCT(--ISNUMBER(SEARCH(" "&amp;DJ2434:DJ2435&amp;" ",CB30)))&gt;0,"X",IF(CC30&gt;0,"?",""))),"")</f>
        <v/>
      </c>
      <c r="CF30" s="493" cm="1">
        <f t="array" ref="CF30">IF(19=19,IF(AM30="","",SUMPRODUCT(--ISNUMBER(SEARCH(" "&amp;DJ1890:DJ1947&amp;" ",CG30)))),"")</f>
        <v>0</v>
      </c>
      <c r="CG30" s="493" t="str">
        <f>IF(19=19,IF(AM30="","",SUBSTITUTE(SUBSTITUTE(SUBSTITUTE(SUBSTITUTE(SUBSTITUTE(SUBSTITUTE(SUBSTITUTE(SUBSTITUTE(SUBSTITUTE(SUBSTITUTE(SUBSTITUTE(SUBSTITUTE(SUBSTITUTE(SUBSTITUTE(SUBSTITUTE(SUBSTITUTE(SUBSTITUTE(SUBSTITUTE(SUBSTITUTE(SUBSTITUTE(SUBSTITUTE(SUBSTITUTE(SUBSTITUTE(AS30,"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30 g de farine </v>
      </c>
      <c r="CH30" s="493" cm="1">
        <f t="array" ref="CH30">IF(19=19,IF(AM30="","",SUMPRODUCT(--ISNUMBER(SEARCH(" "&amp;DJ1971:DJ1987&amp;" ",CG30)))),"")</f>
        <v>0</v>
      </c>
      <c r="CI30" s="493" t="str">
        <f>IF(19=19,IF(AM30="","",IF(CF30&gt;0,"X",IF(CH30&gt;0,"?",""))),"")</f>
        <v/>
      </c>
      <c r="CJ30" s="493" cm="1">
        <f t="array" ref="CJ30">IF(19=19,IF(AM30="","",SUMPRODUCT(--ISNUMBER(SEARCH(" "&amp;DJ1988:DJ2001&amp;" ",AS30)))),"")</f>
        <v>0</v>
      </c>
      <c r="CK30" s="493" cm="1">
        <f t="array" ref="CK30">IF(19=19,IF(AM30="","",SUMPRODUCT(--ISNUMBER(SEARCH(" "&amp;DJ2002:DJ2016&amp;" ",AS30)))),"")</f>
        <v>0</v>
      </c>
      <c r="CL30" s="493" t="str">
        <f>IF(19=19,IF(AM30="","",IF((CJ30)-(0)&gt;0,"X",IF((CK30)-(0)&gt;0,"?",""))),"")</f>
        <v/>
      </c>
      <c r="CM30" s="493" cm="1">
        <f t="array" ref="CM30">IF(19=19,IF(AM30="","",SUMPRODUCT(--ISNUMBER(SEARCH(" "&amp;DJ2017:DJ2034&amp;" ",AS30)))),"")</f>
        <v>0</v>
      </c>
      <c r="CN30" s="493" cm="1">
        <f t="array" ref="CN30">IF(19=19,IF(AM30="","",SUMPRODUCT(--ISNUMBER(SEARCH(" "&amp;DJ2035:DJ2049&amp;" ",AS30)))),"")</f>
        <v>0</v>
      </c>
      <c r="CO30" s="493" t="str">
        <f>IF(19=19,IF(AM30="","",IF((CM30)-(0)&gt;0,"X",IF((CN30)-(0)&gt;0,"?",""))),"")</f>
        <v/>
      </c>
      <c r="CP30" s="493" cm="1">
        <f t="array" ref="CP30">IF(19=19,IF(AM30="","",SUMPRODUCT(--ISNUMBER(SEARCH(" "&amp;DJ2050:DJ2068&amp;" ",AS30)))),"")</f>
        <v>0</v>
      </c>
      <c r="CQ30" s="493" cm="1">
        <f t="array" ref="CQ30">IF(19=19,IF(AM30="","",SUMPRODUCT(--ISNUMBER(SEARCH(" "&amp;DJ2069:DJ2083&amp;" ",AS30)))),"")</f>
        <v>0</v>
      </c>
      <c r="CR30" s="493" t="str">
        <f>IF(19=19,IF(AM30="","",IF((CP30)-(0)&gt;0,"X",IF((CQ30)-(0)&gt;0,"?",""))),"")</f>
        <v/>
      </c>
      <c r="CS30" s="493" cm="1">
        <f t="array" ref="CS30">IF(19=19,IF(AM30="","",SUMPRODUCT(--ISNUMBER(SEARCH(" "&amp;DJ2084:DJ2104&amp;" ",AS30)))),"")</f>
        <v>0</v>
      </c>
      <c r="CT30" s="493" cm="1">
        <f t="array" ref="CT30">IF(19=19,IF(AM30="","",SUMPRODUCT(--ISNUMBER(SEARCH(" "&amp;DJ2105:DJ2144&amp;" ",SUBSTITUTE(SUBSTITUTE(AS30," "&amp;DJ1378&amp;" "," ")," "&amp;DJ1377&amp;" "," "))))+--ISNUMBER(SEARCH("poiré",AN30))),"")</f>
        <v>0</v>
      </c>
      <c r="CU30" s="493" t="str">
        <f>IF(19=19,IF(AM30="","",IF(OR(CS30&gt;0,ISNUMBER(SEARCH(" vinaigre de vin ",AS30)),ISNUMBER(SEARCH(" vinaigre au vin ",AS30))),"X",IF(CT30&gt;0,"?",""))),"")</f>
        <v/>
      </c>
      <c r="CV30" s="493" cm="1">
        <f t="array" ref="CV30">IF(19=19,IF(AM30="","",SUMPRODUCT(--ISNUMBER(SEARCH(" "&amp;DJ2145:DJ2157&amp;" ",AS30)))),"")</f>
        <v>0</v>
      </c>
      <c r="CW30" s="493" cm="1">
        <f t="array" ref="CW30">IF(19=19,IF(AM30="","",SUMPRODUCT(--ISNUMBER(SEARCH(" "&amp;DJ2158:DJ2163&amp;" ",AS30)))),"")</f>
        <v>0</v>
      </c>
      <c r="CX30" s="493" t="str">
        <f>IF(19=19,IF(AM30="","",IF((CV30)-(0)&gt;0,"X",IF((CW30)-(0)&gt;0,"?",""))),"")</f>
        <v/>
      </c>
      <c r="CY30" s="493" cm="1">
        <f t="array" ref="CY30">IF(19=19,IF(AM30="","",SUMPRODUCT(--ISNUMBER(SEARCH(" "&amp;DJ2164:DJ2263&amp;" ",DB30)))),"")</f>
        <v>0</v>
      </c>
      <c r="CZ30" s="493" cm="1">
        <f t="array" ref="CZ30">IF(19=19,IF(AM30="","",SUMPRODUCT(--ISNUMBER(SEARCH(" "&amp;DJ2264:DJ2363&amp;" ",DB30)))),"")</f>
        <v>0</v>
      </c>
      <c r="DA30" s="493" cm="1">
        <f t="array" ref="DA30">IF(19=19,IF(AM30="","",SUMPRODUCT(--ISNUMBER(SEARCH(" "&amp;DJ2364:DJ2406&amp;" ",DB30)))),"")</f>
        <v>0</v>
      </c>
      <c r="DB30" s="493" t="str">
        <f>IF(19=19,IF(AM30="","",SUBSTITUTE(SUBSTITUTE(SUBSTITUTE(SUBSTITUTE(SUBSTITUTE(SUBSTITUTE(SUBSTITUTE(SUBSTITUTE(SUBSTITUTE(SUBSTITUTE(SUBSTITUTE(SUBSTITUTE(SUBSTITUTE(SUBSTITUTE(SUBSTITUTE(SUBSTITUTE(AS30," "&amp;DJ2412&amp;" "," ")," "&amp;DJ2411&amp;" "," ")," "&amp;DJ2410&amp;" "," ")," "&amp;DJ2417&amp;" "," ")," "&amp;DJ2409&amp;" "," ")," "&amp;DJ2421&amp;" "," ")," "&amp;DJ2408&amp;" "," ")," "&amp;DJ2413&amp;" "," ")," "&amp;DJ2416&amp;" "," ")," "&amp;DJ2407&amp;" "," ")," "&amp;DJ2415&amp;" "," ")," "&amp;DJ2422&amp;" "," ")," "&amp;DJ2419&amp;" "," ")," "&amp;DJ2414&amp;" "," ")," "&amp;DJ2418&amp;" "," ")," "&amp;DJ2420&amp;" "," ")),"")</f>
        <v xml:space="preserve"> • 30 g de farine </v>
      </c>
      <c r="DC30" s="493" cm="1">
        <f t="array" ref="DC30">IF(19=19,IF(AM30="","",SUMPRODUCT(--ISNUMBER(SEARCH(" "&amp;DJ2423:DJ2427&amp;" ",DB30)))),"")</f>
        <v>0</v>
      </c>
      <c r="DD30" s="493" t="str">
        <f>IF(19=19,IF(AM30="","",IF(SUM(CY30:DA30)&gt;0,"X",IF(DC30&gt;0,"?",""))),"")</f>
        <v/>
      </c>
      <c r="DE30" s="494"/>
      <c r="DF30" s="496" t="s">
        <v>1178</v>
      </c>
      <c r="DG30" s="496" t="s">
        <v>1083</v>
      </c>
      <c r="DH30" s="496" t="s">
        <v>689</v>
      </c>
      <c r="DI30" s="496" t="s">
        <v>1179</v>
      </c>
      <c r="DJ30" s="496" t="s">
        <v>1179</v>
      </c>
      <c r="DK30" s="496" t="s">
        <v>1085</v>
      </c>
      <c r="DL30" s="496" t="s">
        <v>1086</v>
      </c>
      <c r="DM30" s="496" t="s">
        <v>1087</v>
      </c>
      <c r="DN30" s="497" t="s">
        <v>1088</v>
      </c>
      <c r="DP30" s="543">
        <v>1</v>
      </c>
    </row>
    <row r="31" spans="2:120" ht="30" customHeight="1">
      <c r="B31" s="663" t="str">
        <f t="shared" si="0"/>
        <v>• 10 g de sucre glace</v>
      </c>
      <c r="C31" s="663" t="str">
        <f t="shared" si="1"/>
        <v>• 10 g de sucre glace</v>
      </c>
      <c r="D31" s="663" t="str">
        <f>IF(UPPER(TRIM(N11))="X",C31,B31)</f>
        <v>• 10 g de sucre glace</v>
      </c>
      <c r="E31" s="663" cm="1">
        <f t="array" ref="E31">IF(H30&lt;&gt;"",E30,IF(E30="","",IFERROR(MATCH(TRUE(),INDEX(INDEX(K:K,E30+1):K203&lt;&gt;"",0),0)+E30,"")))</f>
        <v>28</v>
      </c>
      <c r="F31" s="663" t="str" cm="1">
        <f t="array" ref="F31">IF(E31="","",IF(H30&lt;&gt;"",H30,INDEX(D:D,E31)))</f>
        <v>• 15 cl de crème liquide</v>
      </c>
      <c r="G31" s="663" t="str">
        <f t="shared" si="2"/>
        <v>• 15 cl de crème liquide</v>
      </c>
      <c r="H31" s="673" t="str">
        <f t="shared" si="3"/>
        <v/>
      </c>
      <c r="I31" s="680" t="str">
        <f>IF(AND(F31&lt;&gt;"",N10&gt;0,M31&gt;N10),"Mot &gt; limite","")</f>
        <v/>
      </c>
      <c r="J31" s="674">
        <f>IF(K31="","",COUNTIF(K18:K31,"&lt;&gt;"))</f>
        <v>14</v>
      </c>
      <c r="K31" s="675" t="s">
        <v>6476</v>
      </c>
      <c r="L31" s="674">
        <f t="shared" si="4"/>
        <v>21</v>
      </c>
      <c r="M31" s="643">
        <f>IF(OR(F31="",N10="",N10&lt;=0),"",IF(LEN(F31)&lt;=N10,LEN(F31),IFERROR(FIND("♦",SUBSTITUTE(LEFT(F31,N10)," ","♦",LEN(LEFT(F31,N10))-LEN(SUBSTITUTE(LEFT(F31,N10)," ","")))),FIND(" ",F31&amp;" ",N10+1)-1)))</f>
        <v>24</v>
      </c>
      <c r="N31" s="676">
        <f t="shared" si="5"/>
        <v>14</v>
      </c>
      <c r="O31" s="677" t="str">
        <f t="shared" si="6"/>
        <v>• 15 cl de crème liquide</v>
      </c>
      <c r="P31" s="676">
        <f t="shared" si="7"/>
        <v>6</v>
      </c>
      <c r="Q31" s="676">
        <f t="shared" si="8"/>
        <v>24</v>
      </c>
      <c r="S31" s="509">
        <v>14</v>
      </c>
      <c r="T31" s="678" t="str">
        <f t="shared" si="10"/>
        <v>• 15 cl de crème liquide</v>
      </c>
      <c r="U31" s="679" t="str">
        <f t="shared" si="9"/>
        <v>• 15 cl de crème liquide *</v>
      </c>
      <c r="V31" s="512" t="str">
        <f>IF(20=20,IF(T31="","",IF(W31="X",""&amp;"Céréales contenant du gluten","")&amp;IF(X31="X",IF(COUNTIF(W31:W31,"X")&gt;0,", ","")&amp;"Crustacés","")&amp;IF(Y31="X",IF(COUNTIF(W31:X31,"X")&gt;0,", ","")&amp;"Œufs","")&amp;IF(Z31="X",IF(COUNTIF(W31:Y31,"X")&gt;0,", ","")&amp;"Poissons","")&amp;IF(AA31="X",IF(COUNTIF(W31:Z31,"X")&gt;0,", ","")&amp;"Arachides","")&amp;IF(AB31="X",IF(COUNTIF(W31:AA31,"X")&gt;0,", ","")&amp;"Soja","")&amp;IF(AC31="X",IF(COUNTIF(W31:AB31,"X")&gt;0,", ","")&amp;"Lait","")&amp;IF(AD31="X",IF(COUNTIF(W31:AC31,"X")&gt;0,", ","")&amp;"Fruits à coque","")&amp;IF(AE31="X",IF(COUNTIF(W31:AD31,"X")&gt;0,", ","")&amp;"Céleri","")&amp;IF(AF31="X",IF(COUNTIF(W31:AE31,"X")&gt;0,", ","")&amp;"Moutarde","")&amp;IF(AG31="X",IF(COUNTIF(W31:AF31,"X")&gt;0,", ","")&amp;"Sésame","")&amp;IF(AH31="X",IF(COUNTIF(W31:AG31,"X")&gt;0,", ","")&amp;"Sulfites","")&amp;IF(AI31="X",IF(COUNTIF(W31:AH31,"X")&gt;0,", ","")&amp;"Lupin","")&amp;IF(AJ31="X",IF(COUNTIF(W31:AI31,"X")&gt;0,", ","")&amp;"Mollusques","")),"")</f>
        <v>Lait</v>
      </c>
      <c r="W31" s="513" t="str">
        <f>IF(20=20,IF(T31="","",AX31),"")</f>
        <v/>
      </c>
      <c r="X31" s="513" t="str">
        <f>IF(20=20,IF(T31="","",BA31),"")</f>
        <v/>
      </c>
      <c r="Y31" s="513" t="str">
        <f>IF(20=20,IF(T31="","",BE31),"")</f>
        <v/>
      </c>
      <c r="Z31" s="513" t="str">
        <f>IF(20=20,IF(T31="","",IF(ISNUMBER(SEARCH(" colin ",AS31)),"X",BR31)),"")</f>
        <v/>
      </c>
      <c r="AA31" s="513" t="str">
        <f>IF(20=20,IF(T31="","",BT31),"")</f>
        <v/>
      </c>
      <c r="AB31" s="513" t="str">
        <f>IF(20=20,IF(T31="","",BX31),"")</f>
        <v/>
      </c>
      <c r="AC31" s="513" t="str">
        <f>IF(20=20,IF(T31="","",CE31),"")</f>
        <v>X</v>
      </c>
      <c r="AD31" s="513" t="str">
        <f>IF(20=20,IF(T31="","",CI31),"")</f>
        <v/>
      </c>
      <c r="AE31" s="513" t="str">
        <f>IF(20=20,IF(T31="","",CL31),"")</f>
        <v/>
      </c>
      <c r="AF31" s="513" t="str">
        <f>IF(20=20,IF(T31="","",CO31),"")</f>
        <v/>
      </c>
      <c r="AG31" s="513" t="str">
        <f>IF(20=20,IF(T31="","",CR31),"")</f>
        <v/>
      </c>
      <c r="AH31" s="513" t="str">
        <f>IF(20=20,IF(T31="","",CU31),"")</f>
        <v/>
      </c>
      <c r="AI31" s="513" t="str">
        <f>IF(20=20,IF(T31="","",CX31),"")</f>
        <v/>
      </c>
      <c r="AJ31" s="513" t="str">
        <f>IF(20=20,IF(T31="","",DD31),"")</f>
        <v/>
      </c>
      <c r="AK31" s="514" t="str">
        <f>IF(20=20,IF(T31="","",IF(W31="?",""&amp;"Céréales contenant du gluten","")&amp;IF(X31="?",IF(COUNTIF(W31:W31,"~?")&gt;0,", ","")&amp;"Crustacés","")&amp;IF(Y31="?",IF(COUNTIF(W31:X31,"~?")&gt;0,", ","")&amp;"Œufs","")&amp;IF(Z31="?",IF(COUNTIF(W31:Y31,"~?")&gt;0,", ","")&amp;"Poissons","")&amp;IF(AA31="?",IF(COUNTIF(W31:Z31,"~?")&gt;0,", ","")&amp;"Arachides","")&amp;IF(AB31="?",IF(COUNTIF(W31:AA31,"~?")&gt;0,", ","")&amp;"Soja","")&amp;IF(AC31="?",IF(COUNTIF(W31:AB31,"~?")&gt;0,", ","")&amp;"Lait","")&amp;IF(AD31="?",IF(COUNTIF(W31:AC31,"~?")&gt;0,", ","")&amp;"Fruits à coque","")&amp;IF(AE31="?",IF(COUNTIF(W31:AD31,"~?")&gt;0,", ","")&amp;"Céleri","")&amp;IF(AF31="?",IF(COUNTIF(W31:AE31,"~?")&gt;0,", ","")&amp;"Moutarde","")&amp;IF(AG31="?",IF(COUNTIF(W31:AF31,"~?")&gt;0,", ","")&amp;"Sésame","")&amp;IF(AH31="?",IF(COUNTIF(W31:AG31,"~?")&gt;0,", ","")&amp;"Sulfites","")&amp;IF(AI31="?",IF(COUNTIF(W31:AH31,"~?")&gt;0,", ","")&amp;"Lupin","")&amp;IF(AJ31="?",IF(COUNTIF(W31:AI31,"~?")&gt;0,", ","")&amp;"Mollusques","")),"")</f>
        <v/>
      </c>
      <c r="AM31" s="493" t="str">
        <f>IF(20=20,IF(T31="","",T31),"")</f>
        <v>• 15 cl de crème liquide</v>
      </c>
      <c r="AN31" s="493" t="str">
        <f>IF(20=20,LOWER(CLEAN(SUBSTITUTE(SUBSTITUTE(SUBSTITUTE(SUBSTITUTE(AM31,CHAR(160)," ")," "," "),CHAR(10)," "),CHAR(13)," "))),"")</f>
        <v>• 15 cl de crème liquide</v>
      </c>
      <c r="AO31" s="493" t="str">
        <f>IF(20=20,SUBSTITUTE(SUBSTITUTE(SUBSTITUTE(SUBSTITUTE(SUBSTITUTE(SUBSTITUTE(SUBSTITUTE(SUBSTITUTE(SUBSTITUTE(SUBSTITUTE(SUBSTITUTE(SUBSTITUTE(AN31,"œ","oe"),"æ","ae"),"à","a"),"á","a"),"â","a"),"ä","a"),"ã","a"),"ç","c"),"è","e"),"é","e"),"ê","e"),"ë","e"),"")</f>
        <v>• 15 cl de creme liquide</v>
      </c>
      <c r="AP31" s="493" t="str">
        <f>IF(20=20,SUBSTITUTE(SUBSTITUTE(SUBSTITUTE(SUBSTITUTE(SUBSTITUTE(SUBSTITUTE(SUBSTITUTE(SUBSTITUTE(SUBSTITUTE(SUBSTITUTE(SUBSTITUTE(SUBSTITUTE(SUBSTITUTE(SUBSTITUTE(SUBSTITUTE(SUBSTITUTE(AO31,"ì","i"),"í","i"),"î","i"),"ï","i"),"ñ","n"),"ò","o"),"ó","o"),"ô","o"),"ö","o"),"õ","o"),"ù","u"),"ú","u"),"û","u"),"ü","u"),"ý","y"),"ÿ","y"),"")</f>
        <v>• 15 cl de creme liquide</v>
      </c>
      <c r="AQ31" s="493" t="str">
        <f>IF(20=20,SUBSTITUTE(SUBSTITUTE(SUBSTITUTE(SUBSTITUTE(SUBSTITUTE(SUBSTITUTE(SUBSTITUTE(SUBSTITUTE(SUBSTITUTE(SUBSTITUTE(SUBSTITUTE(SUBSTITUTE(SUBSTITUTE(SUBSTITUTE(AP31,"’"," "),"`"," "),"–"," "),"—"," "),"-"," "),"'"," "),"/"," "),"_"," "),","," "),"."," "),"("," "),")"," "),";"," "),":"," "),"")</f>
        <v>• 15 cl de creme liquide</v>
      </c>
      <c r="AR31" s="493" t="str">
        <f>IF(20=20,SUBSTITUTE(SUBSTITUTE(SUBSTITUTE(SUBSTITUTE(SUBSTITUTE(SUBSTITUTE(SUBSTITUTE(SUBSTITUTE(SUBSTITUTE(SUBSTITUTE(SUBSTITUTE(SUBSTITUTE(SUBSTITUTE(SUBSTITUTE(SUBSTITUTE(AQ31,"!"," "),"?"," "),"+"," "),"*"," "),"&amp;"," "),"["," "),"]"," "),"{"," "),"}"," "),"%"," "),"="," "),"\"," "),"|"," "),"&lt;"," "),"&gt;"," "),"")</f>
        <v>• 15 cl de creme liquide</v>
      </c>
      <c r="AS31" s="493" t="str">
        <f>IF(20=20," "&amp;TRIM(SUBSTITUTE(SUBSTITUTE(SUBSTITUTE(SUBSTITUTE(SUBSTITUTE(SUBSTITUTE(AR31,CHAR(34)," "),"  "," "),"  "," "),"  "," "),"  "," "),"  "," "))&amp;" ","")</f>
        <v xml:space="preserve"> • 15 cl de creme liquide </v>
      </c>
      <c r="AT31" s="493" cm="1">
        <f t="array" ref="AT31">IF(20=20,IF(AM31="","",SUMPRODUCT(--ISNUMBER(SEARCH(" "&amp;DJ13:DJ112&amp;" ",AV31)))),"")</f>
        <v>0</v>
      </c>
      <c r="AU31" s="493" cm="1">
        <f t="array" ref="AU31">IF(20=20,IF(AM31="","",SUMPRODUCT(--ISNUMBER(SEARCH(" "&amp;DJ113:DJ162&amp;" ",AV31)))),"")</f>
        <v>0</v>
      </c>
      <c r="AV31" s="493" t="str">
        <f>IF(AM31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31,"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15 cl de creme liquide </v>
      </c>
      <c r="AW31" s="493" cm="1">
        <f t="array" ref="AW31">IF(AM31="","",SUMPRODUCT(--ISNUMBER(SEARCH(" "&amp;DJ195:DJ216&amp;" ",AV31)))+--ISNUMBER(SEARCH(" "&amp;DJ2465&amp;" ",AV31)))</f>
        <v>0</v>
      </c>
      <c r="AX31" s="493" t="str" cm="1">
        <f t="array" ref="AX31">IF(20=20,IF(AM31="","",IF(SUM(AT31:AU31)+SUMPRODUCT(--ISNUMBER(SEARCH(" "&amp;DJ2429:DJ2431&amp;" ",AV31)))&gt;0,"X",IF(AW31&gt;0,"?",""))),"")</f>
        <v/>
      </c>
      <c r="AY31" s="493" cm="1">
        <f t="array" ref="AY31">IF(20=20,IF(AM31="","",SUMPRODUCT(--ISNUMBER(SEARCH(" "&amp;DJ217:DJ316&amp;" ",AS31)))),"")</f>
        <v>0</v>
      </c>
      <c r="AZ31" s="493" cm="1">
        <f t="array" ref="AZ31">IF(20=20,IF(AM31="","",SUMPRODUCT(--ISNUMBER(SEARCH(" "&amp;DJ317:DJ351&amp;" ",AS31)))),"")</f>
        <v>0</v>
      </c>
      <c r="BA31" s="493" t="str">
        <f>IF(20=20,IF(AM31="","",IF((SUM(AY31:AZ31))-(0)&gt;0,"X",IF((0)-(0)&gt;0,"?",""))),"")</f>
        <v/>
      </c>
      <c r="BB31" s="493" cm="1">
        <f t="array" ref="BB31">IF(20=20,IF(AM31="","",SUMPRODUCT(--ISNUMBER(SEARCH(" "&amp;DJ352:DJ409&amp;" ",AS31)))),"")</f>
        <v>0</v>
      </c>
      <c r="BC31" s="493" cm="1">
        <f t="array" ref="BC31">IF(20=20,IF(AM31="","",SUMPRODUCT(--ISNUMBER(SEARCH(" "&amp;DJ410:DJ437&amp;" ",BD31)))+SUMPRODUCT(--ISNUMBER(SEARCH(" "&amp;DJ2451:DJ2464&amp;" ",BD31)))),"")</f>
        <v>0</v>
      </c>
      <c r="BD31" s="493" t="str">
        <f>IF(20=20,IF(AM31="","",SUBSTITUTE(SUBSTITUTE(SUBSTITUTE(SUBSTITUTE(SUBSTITUTE(SUBSTITUTE(SUBSTITUTE(SUBSTITUTE(SUBSTITUTE(SUBSTITUTE(SUBSTITUTE(SUBSTITUTE(SUBSTITUTE(SUBSTITUTE(AS31," "&amp;DJ2466&amp;" "," ")," "&amp;DJ444&amp;" "," ")," "&amp;DJ442&amp;" "," ")," "&amp;DJ2449&amp;" "," ")," "&amp;DJ2450&amp;" "," ")," "&amp;DJ439&amp;" "," ")," "&amp;DJ443&amp;" "," ")," "&amp;DJ445&amp;" "," ")," "&amp;DJ440&amp;" "," ")," "&amp;DJ438&amp;" "," ")," "&amp;DJ1378&amp;" "," ")," "&amp;DJ446&amp;" "," ")," "&amp;DJ1377&amp;" "," ")," "&amp;DJ441&amp;" "," ")),"")</f>
        <v xml:space="preserve"> • 15 cl de creme liquide </v>
      </c>
      <c r="BE31" s="493" t="str">
        <f>IF(20=20,IF(AM31="","",IF(BB31&gt;0,"X",IF(BC31&gt;0,"?",""))),"")</f>
        <v/>
      </c>
      <c r="BF31" s="493" cm="1">
        <f t="array" ref="BF31">IF(20=20,IF(AM31="","",SUMPRODUCT(--ISNUMBER(SEARCH(" "&amp;DJ447:DJ546&amp;" ",BP31)))),"")</f>
        <v>0</v>
      </c>
      <c r="BG31" s="493" cm="1">
        <f t="array" ref="BG31">IF(20=20,IF(AM31="","",SUMPRODUCT(--ISNUMBER(SEARCH(" "&amp;DJ547:DJ646&amp;" ",BP31)))),"")</f>
        <v>0</v>
      </c>
      <c r="BH31" s="493" cm="1">
        <f t="array" ref="BH31">IF(20=20,IF(AM31="","",SUMPRODUCT(--ISNUMBER(SEARCH(" "&amp;DJ647:DJ746&amp;" ",BP31)))),"")</f>
        <v>0</v>
      </c>
      <c r="BI31" s="493" cm="1">
        <f t="array" ref="BI31">IF(20=20,IF(AM31="","",SUMPRODUCT(--ISNUMBER(SEARCH(" "&amp;DJ747:DJ846&amp;" ",BP31)))),"")</f>
        <v>0</v>
      </c>
      <c r="BJ31" s="493" cm="1">
        <f t="array" ref="BJ31">IF(20=20,IF(AM31="","",SUMPRODUCT(--ISNUMBER(SEARCH(" "&amp;DJ847:DJ946&amp;" ",BP31)))),"")</f>
        <v>0</v>
      </c>
      <c r="BK31" s="493" cm="1">
        <f t="array" ref="BK31">IF(20=20,IF(AM31="","",SUMPRODUCT(--ISNUMBER(SEARCH(" "&amp;DJ947:DJ1046&amp;" ",BP31)))),"")</f>
        <v>0</v>
      </c>
      <c r="BL31" s="493" cm="1">
        <f t="array" ref="BL31">IF(20=20,IF(AM31="","",SUMPRODUCT(--ISNUMBER(SEARCH(" "&amp;DJ1047:DJ1146&amp;" ",BP31)))),"")</f>
        <v>0</v>
      </c>
      <c r="BM31" s="493" cm="1">
        <f t="array" ref="BM31">IF(20=20,IF(AM31="","",SUMPRODUCT(--ISNUMBER(SEARCH(" "&amp;DJ1147:DJ1246&amp;" ",BP31)))),"")</f>
        <v>0</v>
      </c>
      <c r="BN31" s="493" cm="1">
        <f t="array" ref="BN31">IF(20=20,IF(AM31="","",SUMPRODUCT(--ISNUMBER(SEARCH(" "&amp;DJ1247:DJ1346&amp;" ",BP31)))),"")</f>
        <v>0</v>
      </c>
      <c r="BO31" s="493" cm="1">
        <f t="array" ref="BO31">IF(20=20,IF(AM31="","",SUMPRODUCT(--ISNUMBER(SEARCH(" "&amp;DJ1347:DJ1374&amp;" ",BP31)))),"")</f>
        <v>0</v>
      </c>
      <c r="BP31" s="493" t="str">
        <f>IF(20=20,IF(AM31="","",SUBSTITUTE(SUBSTITUTE(SUBSTITUTE(SUBSTITUTE(SUBSTITUTE(SUBSTITUTE(SUBSTITUTE(SUBSTITUTE(SUBSTITUTE(AS31," "&amp;DJ1376&amp;" "," ")," "&amp;DJ1375&amp;" "," ")," "&amp;DJ1381&amp;" "," ")," "&amp;DJ1382&amp;" "," ")," "&amp;DJ1378&amp;" "," ")," "&amp;DJ1380&amp;" "," ")," "&amp;DJ1377&amp;" "," ")," "&amp;DJ1379&amp;" "," ")," "&amp;DJ1383&amp;" "," ")),"")</f>
        <v xml:space="preserve"> • 15 cl de creme liquide </v>
      </c>
      <c r="BQ31" s="493" cm="1">
        <f t="array" ref="BQ31">IF(20=20,IF(AM31="","",SUMPRODUCT(--ISNUMBER(SEARCH(" "&amp;DJ1384:DJ1394&amp;" ",BP31)))),"")</f>
        <v>0</v>
      </c>
      <c r="BR31" s="493" t="str" cm="1">
        <f t="array" ref="BR31">IF(20=20,IF(AM31="","",IF(SUM(BF31:BO31)+SUMPRODUCT(--ISNUMBER(SEARCH(" "&amp;DJ2432:DJ2433&amp;" ",BP31)))&gt;0,"X",IF(BQ31&gt;0,"?",""))),"")</f>
        <v/>
      </c>
      <c r="BS31" s="493" cm="1">
        <f t="array" ref="BS31">IF(20=20,IF(AM31="","",SUMPRODUCT(--ISNUMBER(SEARCH(" "&amp;DJ1395:DJ1415&amp;" ",AS31)))),"")</f>
        <v>0</v>
      </c>
      <c r="BT31" s="493" t="str">
        <f>IF(20=20,IF(AM31="","",IF((BS31)-(0)&gt;0,"X",IF((0)-(0)&gt;0,"?",""))),"")</f>
        <v/>
      </c>
      <c r="BU31" s="493" cm="1">
        <f t="array" ref="BU31">IF(20=20,IF(AM31="","",SUMPRODUCT(--ISNUMBER(SEARCH(" "&amp;DJ1416:DJ1453&amp;" ",BV31)))),"")</f>
        <v>0</v>
      </c>
      <c r="BV31" s="493" t="str">
        <f>IF(20=20,IF(AM31="","",SUBSTITUTE(SUBSTITUTE(AS31," "&amp;DJ1454&amp;" "," ")," "&amp;DJ1455&amp;" "," ")),"")</f>
        <v xml:space="preserve"> • 15 cl de creme liquide </v>
      </c>
      <c r="BW31" s="493" cm="1">
        <f t="array" ref="BW31">IF(20=20,IF(AM31="","",SUMPRODUCT(--ISNUMBER(SEARCH(" "&amp;DJ1456:DJ1466&amp;" ",BV31)))),"")</f>
        <v>0</v>
      </c>
      <c r="BX31" s="493" t="str">
        <f>IF(20=20,IF(AM31="","",IF(BU31&gt;0,"X",IF(BW31&gt;0,"?",""))),"")</f>
        <v/>
      </c>
      <c r="BY31" s="493" cm="1">
        <f t="array" ref="BY31">IF(20=20,IF(AM31="","",SUMPRODUCT(--ISNUMBER(SEARCH(" "&amp;DJ1467:DJ1566&amp;" ",CB31)))),"")</f>
        <v>2</v>
      </c>
      <c r="BZ31" s="493" cm="1">
        <f t="array" ref="BZ31">IF(20=20,IF(AM31="","",SUMPRODUCT(--ISNUMBER(SEARCH(" "&amp;DJ1567:DJ1666&amp;" ",CB31)))),"")</f>
        <v>0</v>
      </c>
      <c r="CA31" s="493" cm="1">
        <f t="array" ref="CA31">IF(20=20,IF(AM31="","",SUMPRODUCT(--ISNUMBER(SEARCH(" "&amp;DJ1667:DJ1750&amp;" ",CB31)))),"")</f>
        <v>0</v>
      </c>
      <c r="CB31" s="493" t="str">
        <f>IF(20=20,IF(AM31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31,"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15 cl de creme liquide </v>
      </c>
      <c r="CC31" s="493" cm="1">
        <f t="array" ref="CC31">IF(20=20,IF(AM31="","",SUMPRODUCT(--ISNUMBER(SEARCH(" "&amp;DJ1801:DJ1880&amp;" ",CD31)))+SUMPRODUCT(--ISNUMBER(SEARCH(" "&amp;DJ2451:DJ2464&amp;" ",CD31)))),"")</f>
        <v>0</v>
      </c>
      <c r="CD31" s="493" t="str">
        <f>IF(20=20,IF(AM31="","",SUBSTITUTE(SUBSTITUTE(SUBSTITUTE(SUBSTITUTE(SUBSTITUTE(SUBSTITUTE(SUBSTITUTE(SUBSTITUTE(SUBSTITUTE(SUBSTITUTE(SUBSTITUTE(SUBSTITUTE(SUBSTITUTE(CB31," "&amp;DJ1887&amp;" "," ")," "&amp;DJ1885&amp;" "," ")," "&amp;DJ2449&amp;" "," ")," "&amp;DJ2450&amp;" "," ")," "&amp;DJ1882&amp;" "," ")," "&amp;DJ1886&amp;" "," ")," "&amp;DJ1888&amp;" "," ")," "&amp;DJ1883&amp;" "," ")," "&amp;DJ1881&amp;" "," ")," "&amp;DJ1378&amp;" "," ")," "&amp;DJ1889&amp;" "," ")," "&amp;DJ1377&amp;" "," ")," "&amp;DJ1884&amp;" "," ")),"")</f>
        <v xml:space="preserve"> • 15 cl de creme liquide </v>
      </c>
      <c r="CE31" s="493" t="str" cm="1">
        <f t="array" ref="CE31">IF(20=20,IF(AM31="","",IF(SUM(BY31:CA31)+SUMPRODUCT(--ISNUMBER(SEARCH(" "&amp;DJ2434:DJ2435&amp;" ",CB31)))&gt;0,"X",IF(CC31&gt;0,"?",""))),"")</f>
        <v>X</v>
      </c>
      <c r="CF31" s="493" cm="1">
        <f t="array" ref="CF31">IF(20=20,IF(AM31="","",SUMPRODUCT(--ISNUMBER(SEARCH(" "&amp;DJ1890:DJ1947&amp;" ",CG31)))),"")</f>
        <v>0</v>
      </c>
      <c r="CG31" s="493" t="str">
        <f>IF(20=20,IF(AM31="","",SUBSTITUTE(SUBSTITUTE(SUBSTITUTE(SUBSTITUTE(SUBSTITUTE(SUBSTITUTE(SUBSTITUTE(SUBSTITUTE(SUBSTITUTE(SUBSTITUTE(SUBSTITUTE(SUBSTITUTE(SUBSTITUTE(SUBSTITUTE(SUBSTITUTE(SUBSTITUTE(SUBSTITUTE(SUBSTITUTE(SUBSTITUTE(SUBSTITUTE(SUBSTITUTE(SUBSTITUTE(SUBSTITUTE(AS31,"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15 cl de creme liquide </v>
      </c>
      <c r="CH31" s="493" cm="1">
        <f t="array" ref="CH31">IF(20=20,IF(AM31="","",SUMPRODUCT(--ISNUMBER(SEARCH(" "&amp;DJ1971:DJ1987&amp;" ",CG31)))),"")</f>
        <v>0</v>
      </c>
      <c r="CI31" s="493" t="str">
        <f>IF(20=20,IF(AM31="","",IF(CF31&gt;0,"X",IF(CH31&gt;0,"?",""))),"")</f>
        <v/>
      </c>
      <c r="CJ31" s="493" cm="1">
        <f t="array" ref="CJ31">IF(20=20,IF(AM31="","",SUMPRODUCT(--ISNUMBER(SEARCH(" "&amp;DJ1988:DJ2001&amp;" ",AS31)))),"")</f>
        <v>0</v>
      </c>
      <c r="CK31" s="493" cm="1">
        <f t="array" ref="CK31">IF(20=20,IF(AM31="","",SUMPRODUCT(--ISNUMBER(SEARCH(" "&amp;DJ2002:DJ2016&amp;" ",AS31)))),"")</f>
        <v>0</v>
      </c>
      <c r="CL31" s="493" t="str">
        <f>IF(20=20,IF(AM31="","",IF((CJ31)-(0)&gt;0,"X",IF((CK31)-(0)&gt;0,"?",""))),"")</f>
        <v/>
      </c>
      <c r="CM31" s="493" cm="1">
        <f t="array" ref="CM31">IF(20=20,IF(AM31="","",SUMPRODUCT(--ISNUMBER(SEARCH(" "&amp;DJ2017:DJ2034&amp;" ",AS31)))),"")</f>
        <v>0</v>
      </c>
      <c r="CN31" s="493" cm="1">
        <f t="array" ref="CN31">IF(20=20,IF(AM31="","",SUMPRODUCT(--ISNUMBER(SEARCH(" "&amp;DJ2035:DJ2049&amp;" ",AS31)))),"")</f>
        <v>0</v>
      </c>
      <c r="CO31" s="493" t="str">
        <f>IF(20=20,IF(AM31="","",IF((CM31)-(0)&gt;0,"X",IF((CN31)-(0)&gt;0,"?",""))),"")</f>
        <v/>
      </c>
      <c r="CP31" s="493" cm="1">
        <f t="array" ref="CP31">IF(20=20,IF(AM31="","",SUMPRODUCT(--ISNUMBER(SEARCH(" "&amp;DJ2050:DJ2068&amp;" ",AS31)))),"")</f>
        <v>0</v>
      </c>
      <c r="CQ31" s="493" cm="1">
        <f t="array" ref="CQ31">IF(20=20,IF(AM31="","",SUMPRODUCT(--ISNUMBER(SEARCH(" "&amp;DJ2069:DJ2083&amp;" ",AS31)))),"")</f>
        <v>0</v>
      </c>
      <c r="CR31" s="493" t="str">
        <f>IF(20=20,IF(AM31="","",IF((CP31)-(0)&gt;0,"X",IF((CQ31)-(0)&gt;0,"?",""))),"")</f>
        <v/>
      </c>
      <c r="CS31" s="493" cm="1">
        <f t="array" ref="CS31">IF(20=20,IF(AM31="","",SUMPRODUCT(--ISNUMBER(SEARCH(" "&amp;DJ2084:DJ2104&amp;" ",AS31)))),"")</f>
        <v>0</v>
      </c>
      <c r="CT31" s="493" cm="1">
        <f t="array" ref="CT31">IF(20=20,IF(AM31="","",SUMPRODUCT(--ISNUMBER(SEARCH(" "&amp;DJ2105:DJ2144&amp;" ",SUBSTITUTE(SUBSTITUTE(AS31," "&amp;DJ1378&amp;" "," ")," "&amp;DJ1377&amp;" "," "))))+--ISNUMBER(SEARCH("poiré",AN31))),"")</f>
        <v>0</v>
      </c>
      <c r="CU31" s="493" t="str">
        <f>IF(20=20,IF(AM31="","",IF(OR(CS31&gt;0,ISNUMBER(SEARCH(" vinaigre de vin ",AS31)),ISNUMBER(SEARCH(" vinaigre au vin ",AS31))),"X",IF(CT31&gt;0,"?",""))),"")</f>
        <v/>
      </c>
      <c r="CV31" s="493" cm="1">
        <f t="array" ref="CV31">IF(20=20,IF(AM31="","",SUMPRODUCT(--ISNUMBER(SEARCH(" "&amp;DJ2145:DJ2157&amp;" ",AS31)))),"")</f>
        <v>0</v>
      </c>
      <c r="CW31" s="493" cm="1">
        <f t="array" ref="CW31">IF(20=20,IF(AM31="","",SUMPRODUCT(--ISNUMBER(SEARCH(" "&amp;DJ2158:DJ2163&amp;" ",AS31)))),"")</f>
        <v>0</v>
      </c>
      <c r="CX31" s="493" t="str">
        <f>IF(20=20,IF(AM31="","",IF((CV31)-(0)&gt;0,"X",IF((CW31)-(0)&gt;0,"?",""))),"")</f>
        <v/>
      </c>
      <c r="CY31" s="493" cm="1">
        <f t="array" ref="CY31">IF(20=20,IF(AM31="","",SUMPRODUCT(--ISNUMBER(SEARCH(" "&amp;DJ2164:DJ2263&amp;" ",DB31)))),"")</f>
        <v>0</v>
      </c>
      <c r="CZ31" s="493" cm="1">
        <f t="array" ref="CZ31">IF(20=20,IF(AM31="","",SUMPRODUCT(--ISNUMBER(SEARCH(" "&amp;DJ2264:DJ2363&amp;" ",DB31)))),"")</f>
        <v>0</v>
      </c>
      <c r="DA31" s="493" cm="1">
        <f t="array" ref="DA31">IF(20=20,IF(AM31="","",SUMPRODUCT(--ISNUMBER(SEARCH(" "&amp;DJ2364:DJ2406&amp;" ",DB31)))),"")</f>
        <v>0</v>
      </c>
      <c r="DB31" s="493" t="str">
        <f>IF(20=20,IF(AM31="","",SUBSTITUTE(SUBSTITUTE(SUBSTITUTE(SUBSTITUTE(SUBSTITUTE(SUBSTITUTE(SUBSTITUTE(SUBSTITUTE(SUBSTITUTE(SUBSTITUTE(SUBSTITUTE(SUBSTITUTE(SUBSTITUTE(SUBSTITUTE(SUBSTITUTE(SUBSTITUTE(AS31," "&amp;DJ2412&amp;" "," ")," "&amp;DJ2411&amp;" "," ")," "&amp;DJ2410&amp;" "," ")," "&amp;DJ2417&amp;" "," ")," "&amp;DJ2409&amp;" "," ")," "&amp;DJ2421&amp;" "," ")," "&amp;DJ2408&amp;" "," ")," "&amp;DJ2413&amp;" "," ")," "&amp;DJ2416&amp;" "," ")," "&amp;DJ2407&amp;" "," ")," "&amp;DJ2415&amp;" "," ")," "&amp;DJ2422&amp;" "," ")," "&amp;DJ2419&amp;" "," ")," "&amp;DJ2414&amp;" "," ")," "&amp;DJ2418&amp;" "," ")," "&amp;DJ2420&amp;" "," ")),"")</f>
        <v xml:space="preserve"> • 15 cl de creme liquide </v>
      </c>
      <c r="DC31" s="493" cm="1">
        <f t="array" ref="DC31">IF(20=20,IF(AM31="","",SUMPRODUCT(--ISNUMBER(SEARCH(" "&amp;DJ2423:DJ2427&amp;" ",DB31)))),"")</f>
        <v>0</v>
      </c>
      <c r="DD31" s="493" t="str">
        <f>IF(20=20,IF(AM31="","",IF(SUM(CY31:DA31)&gt;0,"X",IF(DC31&gt;0,"?",""))),"")</f>
        <v/>
      </c>
      <c r="DE31" s="494"/>
      <c r="DF31" s="496" t="s">
        <v>1180</v>
      </c>
      <c r="DG31" s="496" t="s">
        <v>1083</v>
      </c>
      <c r="DH31" s="496" t="s">
        <v>689</v>
      </c>
      <c r="DI31" s="496" t="s">
        <v>1181</v>
      </c>
      <c r="DJ31" s="496" t="s">
        <v>1181</v>
      </c>
      <c r="DK31" s="496" t="s">
        <v>1085</v>
      </c>
      <c r="DL31" s="496" t="s">
        <v>1086</v>
      </c>
      <c r="DM31" s="496" t="s">
        <v>1087</v>
      </c>
      <c r="DN31" s="497" t="s">
        <v>1088</v>
      </c>
      <c r="DP31" s="543">
        <v>1</v>
      </c>
    </row>
    <row r="32" spans="2:120" ht="30" customHeight="1">
      <c r="B32" s="663" t="str">
        <f t="shared" si="0"/>
        <v>Préparation :</v>
      </c>
      <c r="C32" s="663" t="str">
        <f t="shared" si="1"/>
        <v>Préparation</v>
      </c>
      <c r="D32" s="663" t="str">
        <f>IF(UPPER(TRIM(N11))="X",C32,B32)</f>
        <v>Préparation :</v>
      </c>
      <c r="E32" s="663" cm="1">
        <f t="array" ref="E32">IF(H31&lt;&gt;"",E31,IF(E31="","",IFERROR(MATCH(TRUE(),INDEX(INDEX(K:K,E31+1):K203&lt;&gt;"",0),0)+E31,"")))</f>
        <v>29</v>
      </c>
      <c r="F32" s="663" t="str" cm="1">
        <f t="array" ref="F32">IF(E32="","",IF(H31&lt;&gt;"",H31,INDEX(D:D,E32)))</f>
        <v>• 1 sachet de sucre vanillé</v>
      </c>
      <c r="G32" s="663" t="str">
        <f t="shared" si="2"/>
        <v>• 1 sachet de sucre vanillé</v>
      </c>
      <c r="H32" s="673" t="str">
        <f t="shared" si="3"/>
        <v/>
      </c>
      <c r="I32" s="680" t="str">
        <f>IF(AND(F32&lt;&gt;"",N10&gt;0,M32&gt;N10),"Mot &gt; limite","")</f>
        <v/>
      </c>
      <c r="J32" s="674">
        <f>IF(K32="","",COUNTIF(K18:K32,"&lt;&gt;"))</f>
        <v>15</v>
      </c>
      <c r="K32" s="675" t="s">
        <v>6477</v>
      </c>
      <c r="L32" s="674">
        <f t="shared" si="4"/>
        <v>13</v>
      </c>
      <c r="M32" s="643">
        <f>IF(OR(F32="",N10="",N10&lt;=0),"",IF(LEN(F32)&lt;=N10,LEN(F32),IFERROR(FIND("♦",SUBSTITUTE(LEFT(F32,N10)," ","♦",LEN(LEFT(F32,N10))-LEN(SUBSTITUTE(LEFT(F32,N10)," ","")))),FIND(" ",F32&amp;" ",N10+1)-1)))</f>
        <v>27</v>
      </c>
      <c r="N32" s="676">
        <f t="shared" si="5"/>
        <v>15</v>
      </c>
      <c r="O32" s="677" t="str">
        <f t="shared" si="6"/>
        <v>• 1 sachet de sucre vanillé</v>
      </c>
      <c r="P32" s="676">
        <f t="shared" si="7"/>
        <v>6</v>
      </c>
      <c r="Q32" s="676">
        <f t="shared" si="8"/>
        <v>27</v>
      </c>
      <c r="S32" s="509">
        <v>15</v>
      </c>
      <c r="T32" s="678" t="str">
        <f t="shared" si="10"/>
        <v>• 1 sachet de sucre vanillé</v>
      </c>
      <c r="U32" s="679" t="str">
        <f t="shared" si="9"/>
        <v>• 1 sachet de sucre vanillé</v>
      </c>
      <c r="V32" s="512" t="str">
        <f>IF(21=21,IF(T32="","",IF(W32="X",""&amp;"Céréales contenant du gluten","")&amp;IF(X32="X",IF(COUNTIF(W32:W32,"X")&gt;0,", ","")&amp;"Crustacés","")&amp;IF(Y32="X",IF(COUNTIF(W32:X32,"X")&gt;0,", ","")&amp;"Œufs","")&amp;IF(Z32="X",IF(COUNTIF(W32:Y32,"X")&gt;0,", ","")&amp;"Poissons","")&amp;IF(AA32="X",IF(COUNTIF(W32:Z32,"X")&gt;0,", ","")&amp;"Arachides","")&amp;IF(AB32="X",IF(COUNTIF(W32:AA32,"X")&gt;0,", ","")&amp;"Soja","")&amp;IF(AC32="X",IF(COUNTIF(W32:AB32,"X")&gt;0,", ","")&amp;"Lait","")&amp;IF(AD32="X",IF(COUNTIF(W32:AC32,"X")&gt;0,", ","")&amp;"Fruits à coque","")&amp;IF(AE32="X",IF(COUNTIF(W32:AD32,"X")&gt;0,", ","")&amp;"Céleri","")&amp;IF(AF32="X",IF(COUNTIF(W32:AE32,"X")&gt;0,", ","")&amp;"Moutarde","")&amp;IF(AG32="X",IF(COUNTIF(W32:AF32,"X")&gt;0,", ","")&amp;"Sésame","")&amp;IF(AH32="X",IF(COUNTIF(W32:AG32,"X")&gt;0,", ","")&amp;"Sulfites","")&amp;IF(AI32="X",IF(COUNTIF(W32:AH32,"X")&gt;0,", ","")&amp;"Lupin","")&amp;IF(AJ32="X",IF(COUNTIF(W32:AI32,"X")&gt;0,", ","")&amp;"Mollusques","")),"")</f>
        <v/>
      </c>
      <c r="W32" s="513" t="str">
        <f>IF(21=21,IF(T32="","",AX32),"")</f>
        <v/>
      </c>
      <c r="X32" s="513" t="str">
        <f>IF(21=21,IF(T32="","",BA32),"")</f>
        <v/>
      </c>
      <c r="Y32" s="513" t="str">
        <f>IF(21=21,IF(T32="","",BE32),"")</f>
        <v/>
      </c>
      <c r="Z32" s="513" t="str">
        <f>IF(21=21,IF(T32="","",IF(ISNUMBER(SEARCH(" colin ",AS32)),"X",BR32)),"")</f>
        <v/>
      </c>
      <c r="AA32" s="513" t="str">
        <f>IF(21=21,IF(T32="","",BT32),"")</f>
        <v/>
      </c>
      <c r="AB32" s="513" t="str">
        <f>IF(21=21,IF(T32="","",BX32),"")</f>
        <v/>
      </c>
      <c r="AC32" s="513" t="str">
        <f>IF(21=21,IF(T32="","",CE32),"")</f>
        <v/>
      </c>
      <c r="AD32" s="513" t="str">
        <f>IF(21=21,IF(T32="","",CI32),"")</f>
        <v/>
      </c>
      <c r="AE32" s="513" t="str">
        <f>IF(21=21,IF(T32="","",CL32),"")</f>
        <v/>
      </c>
      <c r="AF32" s="513" t="str">
        <f>IF(21=21,IF(T32="","",CO32),"")</f>
        <v/>
      </c>
      <c r="AG32" s="513" t="str">
        <f>IF(21=21,IF(T32="","",CR32),"")</f>
        <v/>
      </c>
      <c r="AH32" s="513" t="str">
        <f>IF(21=21,IF(T32="","",CU32),"")</f>
        <v/>
      </c>
      <c r="AI32" s="513" t="str">
        <f>IF(21=21,IF(T32="","",CX32),"")</f>
        <v/>
      </c>
      <c r="AJ32" s="513" t="str">
        <f>IF(21=21,IF(T32="","",DD32),"")</f>
        <v/>
      </c>
      <c r="AK32" s="514" t="str">
        <f>IF(21=21,IF(T32="","",IF(W32="?",""&amp;"Céréales contenant du gluten","")&amp;IF(X32="?",IF(COUNTIF(W32:W32,"~?")&gt;0,", ","")&amp;"Crustacés","")&amp;IF(Y32="?",IF(COUNTIF(W32:X32,"~?")&gt;0,", ","")&amp;"Œufs","")&amp;IF(Z32="?",IF(COUNTIF(W32:Y32,"~?")&gt;0,", ","")&amp;"Poissons","")&amp;IF(AA32="?",IF(COUNTIF(W32:Z32,"~?")&gt;0,", ","")&amp;"Arachides","")&amp;IF(AB32="?",IF(COUNTIF(W32:AA32,"~?")&gt;0,", ","")&amp;"Soja","")&amp;IF(AC32="?",IF(COUNTIF(W32:AB32,"~?")&gt;0,", ","")&amp;"Lait","")&amp;IF(AD32="?",IF(COUNTIF(W32:AC32,"~?")&gt;0,", ","")&amp;"Fruits à coque","")&amp;IF(AE32="?",IF(COUNTIF(W32:AD32,"~?")&gt;0,", ","")&amp;"Céleri","")&amp;IF(AF32="?",IF(COUNTIF(W32:AE32,"~?")&gt;0,", ","")&amp;"Moutarde","")&amp;IF(AG32="?",IF(COUNTIF(W32:AF32,"~?")&gt;0,", ","")&amp;"Sésame","")&amp;IF(AH32="?",IF(COUNTIF(W32:AG32,"~?")&gt;0,", ","")&amp;"Sulfites","")&amp;IF(AI32="?",IF(COUNTIF(W32:AH32,"~?")&gt;0,", ","")&amp;"Lupin","")&amp;IF(AJ32="?",IF(COUNTIF(W32:AI32,"~?")&gt;0,", ","")&amp;"Mollusques","")),"")</f>
        <v/>
      </c>
      <c r="AM32" s="493" t="str">
        <f>IF(21=21,IF(T32="","",T32),"")</f>
        <v>• 1 sachet de sucre vanillé</v>
      </c>
      <c r="AN32" s="493" t="str">
        <f>IF(21=21,LOWER(CLEAN(SUBSTITUTE(SUBSTITUTE(SUBSTITUTE(SUBSTITUTE(AM32,CHAR(160)," ")," "," "),CHAR(10)," "),CHAR(13)," "))),"")</f>
        <v>• 1 sachet de sucre vanillé</v>
      </c>
      <c r="AO32" s="493" t="str">
        <f>IF(21=21,SUBSTITUTE(SUBSTITUTE(SUBSTITUTE(SUBSTITUTE(SUBSTITUTE(SUBSTITUTE(SUBSTITUTE(SUBSTITUTE(SUBSTITUTE(SUBSTITUTE(SUBSTITUTE(SUBSTITUTE(AN32,"œ","oe"),"æ","ae"),"à","a"),"á","a"),"â","a"),"ä","a"),"ã","a"),"ç","c"),"è","e"),"é","e"),"ê","e"),"ë","e"),"")</f>
        <v>• 1 sachet de sucre vanille</v>
      </c>
      <c r="AP32" s="493" t="str">
        <f>IF(21=21,SUBSTITUTE(SUBSTITUTE(SUBSTITUTE(SUBSTITUTE(SUBSTITUTE(SUBSTITUTE(SUBSTITUTE(SUBSTITUTE(SUBSTITUTE(SUBSTITUTE(SUBSTITUTE(SUBSTITUTE(SUBSTITUTE(SUBSTITUTE(SUBSTITUTE(SUBSTITUTE(AO32,"ì","i"),"í","i"),"î","i"),"ï","i"),"ñ","n"),"ò","o"),"ó","o"),"ô","o"),"ö","o"),"õ","o"),"ù","u"),"ú","u"),"û","u"),"ü","u"),"ý","y"),"ÿ","y"),"")</f>
        <v>• 1 sachet de sucre vanille</v>
      </c>
      <c r="AQ32" s="493" t="str">
        <f>IF(21=21,SUBSTITUTE(SUBSTITUTE(SUBSTITUTE(SUBSTITUTE(SUBSTITUTE(SUBSTITUTE(SUBSTITUTE(SUBSTITUTE(SUBSTITUTE(SUBSTITUTE(SUBSTITUTE(SUBSTITUTE(SUBSTITUTE(SUBSTITUTE(AP32,"’"," "),"`"," "),"–"," "),"—"," "),"-"," "),"'"," "),"/"," "),"_"," "),","," "),"."," "),"("," "),")"," "),";"," "),":"," "),"")</f>
        <v>• 1 sachet de sucre vanille</v>
      </c>
      <c r="AR32" s="493" t="str">
        <f>IF(21=21,SUBSTITUTE(SUBSTITUTE(SUBSTITUTE(SUBSTITUTE(SUBSTITUTE(SUBSTITUTE(SUBSTITUTE(SUBSTITUTE(SUBSTITUTE(SUBSTITUTE(SUBSTITUTE(SUBSTITUTE(SUBSTITUTE(SUBSTITUTE(SUBSTITUTE(AQ32,"!"," "),"?"," "),"+"," "),"*"," "),"&amp;"," "),"["," "),"]"," "),"{"," "),"}"," "),"%"," "),"="," "),"\"," "),"|"," "),"&lt;"," "),"&gt;"," "),"")</f>
        <v>• 1 sachet de sucre vanille</v>
      </c>
      <c r="AS32" s="493" t="str">
        <f>IF(21=21," "&amp;TRIM(SUBSTITUTE(SUBSTITUTE(SUBSTITUTE(SUBSTITUTE(SUBSTITUTE(SUBSTITUTE(AR32,CHAR(34)," "),"  "," "),"  "," "),"  "," "),"  "," "),"  "," "))&amp;" ","")</f>
        <v xml:space="preserve"> • 1 sachet de sucre vanille </v>
      </c>
      <c r="AT32" s="493" cm="1">
        <f t="array" ref="AT32">IF(21=21,IF(AM32="","",SUMPRODUCT(--ISNUMBER(SEARCH(" "&amp;DJ13:DJ112&amp;" ",AV32)))),"")</f>
        <v>0</v>
      </c>
      <c r="AU32" s="493" cm="1">
        <f t="array" ref="AU32">IF(21=21,IF(AM32="","",SUMPRODUCT(--ISNUMBER(SEARCH(" "&amp;DJ113:DJ162&amp;" ",AV32)))),"")</f>
        <v>0</v>
      </c>
      <c r="AV32" s="493" t="str">
        <f>IF(AM32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32,"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1 sachet de sucre vanille </v>
      </c>
      <c r="AW32" s="493" cm="1">
        <f t="array" ref="AW32">IF(AM32="","",SUMPRODUCT(--ISNUMBER(SEARCH(" "&amp;DJ195:DJ216&amp;" ",AV32)))+--ISNUMBER(SEARCH(" "&amp;DJ2465&amp;" ",AV32)))</f>
        <v>0</v>
      </c>
      <c r="AX32" s="493" t="str" cm="1">
        <f t="array" ref="AX32">IF(21=21,IF(AM32="","",IF(SUM(AT32:AU32)+SUMPRODUCT(--ISNUMBER(SEARCH(" "&amp;DJ2429:DJ2431&amp;" ",AV32)))&gt;0,"X",IF(AW32&gt;0,"?",""))),"")</f>
        <v/>
      </c>
      <c r="AY32" s="493" cm="1">
        <f t="array" ref="AY32">IF(21=21,IF(AM32="","",SUMPRODUCT(--ISNUMBER(SEARCH(" "&amp;DJ217:DJ316&amp;" ",AS32)))),"")</f>
        <v>0</v>
      </c>
      <c r="AZ32" s="493" cm="1">
        <f t="array" ref="AZ32">IF(21=21,IF(AM32="","",SUMPRODUCT(--ISNUMBER(SEARCH(" "&amp;DJ317:DJ351&amp;" ",AS32)))),"")</f>
        <v>0</v>
      </c>
      <c r="BA32" s="493" t="str">
        <f>IF(21=21,IF(AM32="","",IF((SUM(AY32:AZ32))-(0)&gt;0,"X",IF((0)-(0)&gt;0,"?",""))),"")</f>
        <v/>
      </c>
      <c r="BB32" s="493" cm="1">
        <f t="array" ref="BB32">IF(21=21,IF(AM32="","",SUMPRODUCT(--ISNUMBER(SEARCH(" "&amp;DJ352:DJ409&amp;" ",AS32)))),"")</f>
        <v>0</v>
      </c>
      <c r="BC32" s="493" cm="1">
        <f t="array" ref="BC32">IF(21=21,IF(AM32="","",SUMPRODUCT(--ISNUMBER(SEARCH(" "&amp;DJ410:DJ437&amp;" ",BD32)))+SUMPRODUCT(--ISNUMBER(SEARCH(" "&amp;DJ2451:DJ2464&amp;" ",BD32)))),"")</f>
        <v>0</v>
      </c>
      <c r="BD32" s="493" t="str">
        <f>IF(21=21,IF(AM32="","",SUBSTITUTE(SUBSTITUTE(SUBSTITUTE(SUBSTITUTE(SUBSTITUTE(SUBSTITUTE(SUBSTITUTE(SUBSTITUTE(SUBSTITUTE(SUBSTITUTE(SUBSTITUTE(SUBSTITUTE(SUBSTITUTE(SUBSTITUTE(AS32," "&amp;DJ2466&amp;" "," ")," "&amp;DJ444&amp;" "," ")," "&amp;DJ442&amp;" "," ")," "&amp;DJ2449&amp;" "," ")," "&amp;DJ2450&amp;" "," ")," "&amp;DJ439&amp;" "," ")," "&amp;DJ443&amp;" "," ")," "&amp;DJ445&amp;" "," ")," "&amp;DJ440&amp;" "," ")," "&amp;DJ438&amp;" "," ")," "&amp;DJ1378&amp;" "," ")," "&amp;DJ446&amp;" "," ")," "&amp;DJ1377&amp;" "," ")," "&amp;DJ441&amp;" "," ")),"")</f>
        <v xml:space="preserve"> • 1 sachet de sucre vanille </v>
      </c>
      <c r="BE32" s="493" t="str">
        <f>IF(21=21,IF(AM32="","",IF(BB32&gt;0,"X",IF(BC32&gt;0,"?",""))),"")</f>
        <v/>
      </c>
      <c r="BF32" s="493" cm="1">
        <f t="array" ref="BF32">IF(21=21,IF(AM32="","",SUMPRODUCT(--ISNUMBER(SEARCH(" "&amp;DJ447:DJ546&amp;" ",BP32)))),"")</f>
        <v>0</v>
      </c>
      <c r="BG32" s="493" cm="1">
        <f t="array" ref="BG32">IF(21=21,IF(AM32="","",SUMPRODUCT(--ISNUMBER(SEARCH(" "&amp;DJ547:DJ646&amp;" ",BP32)))),"")</f>
        <v>0</v>
      </c>
      <c r="BH32" s="493" cm="1">
        <f t="array" ref="BH32">IF(21=21,IF(AM32="","",SUMPRODUCT(--ISNUMBER(SEARCH(" "&amp;DJ647:DJ746&amp;" ",BP32)))),"")</f>
        <v>0</v>
      </c>
      <c r="BI32" s="493" cm="1">
        <f t="array" ref="BI32">IF(21=21,IF(AM32="","",SUMPRODUCT(--ISNUMBER(SEARCH(" "&amp;DJ747:DJ846&amp;" ",BP32)))),"")</f>
        <v>0</v>
      </c>
      <c r="BJ32" s="493" cm="1">
        <f t="array" ref="BJ32">IF(21=21,IF(AM32="","",SUMPRODUCT(--ISNUMBER(SEARCH(" "&amp;DJ847:DJ946&amp;" ",BP32)))),"")</f>
        <v>0</v>
      </c>
      <c r="BK32" s="493" cm="1">
        <f t="array" ref="BK32">IF(21=21,IF(AM32="","",SUMPRODUCT(--ISNUMBER(SEARCH(" "&amp;DJ947:DJ1046&amp;" ",BP32)))),"")</f>
        <v>0</v>
      </c>
      <c r="BL32" s="493" cm="1">
        <f t="array" ref="BL32">IF(21=21,IF(AM32="","",SUMPRODUCT(--ISNUMBER(SEARCH(" "&amp;DJ1047:DJ1146&amp;" ",BP32)))),"")</f>
        <v>0</v>
      </c>
      <c r="BM32" s="493" cm="1">
        <f t="array" ref="BM32">IF(21=21,IF(AM32="","",SUMPRODUCT(--ISNUMBER(SEARCH(" "&amp;DJ1147:DJ1246&amp;" ",BP32)))),"")</f>
        <v>0</v>
      </c>
      <c r="BN32" s="493" cm="1">
        <f t="array" ref="BN32">IF(21=21,IF(AM32="","",SUMPRODUCT(--ISNUMBER(SEARCH(" "&amp;DJ1247:DJ1346&amp;" ",BP32)))),"")</f>
        <v>0</v>
      </c>
      <c r="BO32" s="493" cm="1">
        <f t="array" ref="BO32">IF(21=21,IF(AM32="","",SUMPRODUCT(--ISNUMBER(SEARCH(" "&amp;DJ1347:DJ1374&amp;" ",BP32)))),"")</f>
        <v>0</v>
      </c>
      <c r="BP32" s="493" t="str">
        <f>IF(21=21,IF(AM32="","",SUBSTITUTE(SUBSTITUTE(SUBSTITUTE(SUBSTITUTE(SUBSTITUTE(SUBSTITUTE(SUBSTITUTE(SUBSTITUTE(SUBSTITUTE(AS32," "&amp;DJ1376&amp;" "," ")," "&amp;DJ1375&amp;" "," ")," "&amp;DJ1381&amp;" "," ")," "&amp;DJ1382&amp;" "," ")," "&amp;DJ1378&amp;" "," ")," "&amp;DJ1380&amp;" "," ")," "&amp;DJ1377&amp;" "," ")," "&amp;DJ1379&amp;" "," ")," "&amp;DJ1383&amp;" "," ")),"")</f>
        <v xml:space="preserve"> • 1 sachet de sucre vanille </v>
      </c>
      <c r="BQ32" s="493" cm="1">
        <f t="array" ref="BQ32">IF(21=21,IF(AM32="","",SUMPRODUCT(--ISNUMBER(SEARCH(" "&amp;DJ1384:DJ1394&amp;" ",BP32)))),"")</f>
        <v>0</v>
      </c>
      <c r="BR32" s="493" t="str" cm="1">
        <f t="array" ref="BR32">IF(21=21,IF(AM32="","",IF(SUM(BF32:BO32)+SUMPRODUCT(--ISNUMBER(SEARCH(" "&amp;DJ2432:DJ2433&amp;" ",BP32)))&gt;0,"X",IF(BQ32&gt;0,"?",""))),"")</f>
        <v/>
      </c>
      <c r="BS32" s="493" cm="1">
        <f t="array" ref="BS32">IF(21=21,IF(AM32="","",SUMPRODUCT(--ISNUMBER(SEARCH(" "&amp;DJ1395:DJ1415&amp;" ",AS32)))),"")</f>
        <v>0</v>
      </c>
      <c r="BT32" s="493" t="str">
        <f>IF(21=21,IF(AM32="","",IF((BS32)-(0)&gt;0,"X",IF((0)-(0)&gt;0,"?",""))),"")</f>
        <v/>
      </c>
      <c r="BU32" s="493" cm="1">
        <f t="array" ref="BU32">IF(21=21,IF(AM32="","",SUMPRODUCT(--ISNUMBER(SEARCH(" "&amp;DJ1416:DJ1453&amp;" ",BV32)))),"")</f>
        <v>0</v>
      </c>
      <c r="BV32" s="493" t="str">
        <f>IF(21=21,IF(AM32="","",SUBSTITUTE(SUBSTITUTE(AS32," "&amp;DJ1454&amp;" "," ")," "&amp;DJ1455&amp;" "," ")),"")</f>
        <v xml:space="preserve"> • 1 sachet de sucre vanille </v>
      </c>
      <c r="BW32" s="493" cm="1">
        <f t="array" ref="BW32">IF(21=21,IF(AM32="","",SUMPRODUCT(--ISNUMBER(SEARCH(" "&amp;DJ1456:DJ1466&amp;" ",BV32)))),"")</f>
        <v>0</v>
      </c>
      <c r="BX32" s="493" t="str">
        <f>IF(21=21,IF(AM32="","",IF(BU32&gt;0,"X",IF(BW32&gt;0,"?",""))),"")</f>
        <v/>
      </c>
      <c r="BY32" s="493" cm="1">
        <f t="array" ref="BY32">IF(21=21,IF(AM32="","",SUMPRODUCT(--ISNUMBER(SEARCH(" "&amp;DJ1467:DJ1566&amp;" ",CB32)))),"")</f>
        <v>0</v>
      </c>
      <c r="BZ32" s="493" cm="1">
        <f t="array" ref="BZ32">IF(21=21,IF(AM32="","",SUMPRODUCT(--ISNUMBER(SEARCH(" "&amp;DJ1567:DJ1666&amp;" ",CB32)))),"")</f>
        <v>0</v>
      </c>
      <c r="CA32" s="493" cm="1">
        <f t="array" ref="CA32">IF(21=21,IF(AM32="","",SUMPRODUCT(--ISNUMBER(SEARCH(" "&amp;DJ1667:DJ1750&amp;" ",CB32)))),"")</f>
        <v>0</v>
      </c>
      <c r="CB32" s="493" t="str">
        <f>IF(21=21,IF(AM32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32,"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1 sachet de sucre vanille </v>
      </c>
      <c r="CC32" s="493" cm="1">
        <f t="array" ref="CC32">IF(21=21,IF(AM32="","",SUMPRODUCT(--ISNUMBER(SEARCH(" "&amp;DJ1801:DJ1880&amp;" ",CD32)))+SUMPRODUCT(--ISNUMBER(SEARCH(" "&amp;DJ2451:DJ2464&amp;" ",CD32)))),"")</f>
        <v>0</v>
      </c>
      <c r="CD32" s="493" t="str">
        <f>IF(21=21,IF(AM32="","",SUBSTITUTE(SUBSTITUTE(SUBSTITUTE(SUBSTITUTE(SUBSTITUTE(SUBSTITUTE(SUBSTITUTE(SUBSTITUTE(SUBSTITUTE(SUBSTITUTE(SUBSTITUTE(SUBSTITUTE(SUBSTITUTE(CB32," "&amp;DJ1887&amp;" "," ")," "&amp;DJ1885&amp;" "," ")," "&amp;DJ2449&amp;" "," ")," "&amp;DJ2450&amp;" "," ")," "&amp;DJ1882&amp;" "," ")," "&amp;DJ1886&amp;" "," ")," "&amp;DJ1888&amp;" "," ")," "&amp;DJ1883&amp;" "," ")," "&amp;DJ1881&amp;" "," ")," "&amp;DJ1378&amp;" "," ")," "&amp;DJ1889&amp;" "," ")," "&amp;DJ1377&amp;" "," ")," "&amp;DJ1884&amp;" "," ")),"")</f>
        <v xml:space="preserve"> • 1 sachet de sucre vanille </v>
      </c>
      <c r="CE32" s="493" t="str" cm="1">
        <f t="array" ref="CE32">IF(21=21,IF(AM32="","",IF(SUM(BY32:CA32)+SUMPRODUCT(--ISNUMBER(SEARCH(" "&amp;DJ2434:DJ2435&amp;" ",CB32)))&gt;0,"X",IF(CC32&gt;0,"?",""))),"")</f>
        <v/>
      </c>
      <c r="CF32" s="493" cm="1">
        <f t="array" ref="CF32">IF(21=21,IF(AM32="","",SUMPRODUCT(--ISNUMBER(SEARCH(" "&amp;DJ1890:DJ1947&amp;" ",CG32)))),"")</f>
        <v>0</v>
      </c>
      <c r="CG32" s="493" t="str">
        <f>IF(21=21,IF(AM32="","",SUBSTITUTE(SUBSTITUTE(SUBSTITUTE(SUBSTITUTE(SUBSTITUTE(SUBSTITUTE(SUBSTITUTE(SUBSTITUTE(SUBSTITUTE(SUBSTITUTE(SUBSTITUTE(SUBSTITUTE(SUBSTITUTE(SUBSTITUTE(SUBSTITUTE(SUBSTITUTE(SUBSTITUTE(SUBSTITUTE(SUBSTITUTE(SUBSTITUTE(SUBSTITUTE(SUBSTITUTE(SUBSTITUTE(AS32,"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1 sachet de sucre vanille </v>
      </c>
      <c r="CH32" s="493" cm="1">
        <f t="array" ref="CH32">IF(21=21,IF(AM32="","",SUMPRODUCT(--ISNUMBER(SEARCH(" "&amp;DJ1971:DJ1987&amp;" ",CG32)))),"")</f>
        <v>0</v>
      </c>
      <c r="CI32" s="493" t="str">
        <f>IF(21=21,IF(AM32="","",IF(CF32&gt;0,"X",IF(CH32&gt;0,"?",""))),"")</f>
        <v/>
      </c>
      <c r="CJ32" s="493" cm="1">
        <f t="array" ref="CJ32">IF(21=21,IF(AM32="","",SUMPRODUCT(--ISNUMBER(SEARCH(" "&amp;DJ1988:DJ2001&amp;" ",AS32)))),"")</f>
        <v>0</v>
      </c>
      <c r="CK32" s="493" cm="1">
        <f t="array" ref="CK32">IF(21=21,IF(AM32="","",SUMPRODUCT(--ISNUMBER(SEARCH(" "&amp;DJ2002:DJ2016&amp;" ",AS32)))),"")</f>
        <v>0</v>
      </c>
      <c r="CL32" s="493" t="str">
        <f>IF(21=21,IF(AM32="","",IF((CJ32)-(0)&gt;0,"X",IF((CK32)-(0)&gt;0,"?",""))),"")</f>
        <v/>
      </c>
      <c r="CM32" s="493" cm="1">
        <f t="array" ref="CM32">IF(21=21,IF(AM32="","",SUMPRODUCT(--ISNUMBER(SEARCH(" "&amp;DJ2017:DJ2034&amp;" ",AS32)))),"")</f>
        <v>0</v>
      </c>
      <c r="CN32" s="493" cm="1">
        <f t="array" ref="CN32">IF(21=21,IF(AM32="","",SUMPRODUCT(--ISNUMBER(SEARCH(" "&amp;DJ2035:DJ2049&amp;" ",AS32)))),"")</f>
        <v>0</v>
      </c>
      <c r="CO32" s="493" t="str">
        <f>IF(21=21,IF(AM32="","",IF((CM32)-(0)&gt;0,"X",IF((CN32)-(0)&gt;0,"?",""))),"")</f>
        <v/>
      </c>
      <c r="CP32" s="493" cm="1">
        <f t="array" ref="CP32">IF(21=21,IF(AM32="","",SUMPRODUCT(--ISNUMBER(SEARCH(" "&amp;DJ2050:DJ2068&amp;" ",AS32)))),"")</f>
        <v>0</v>
      </c>
      <c r="CQ32" s="493" cm="1">
        <f t="array" ref="CQ32">IF(21=21,IF(AM32="","",SUMPRODUCT(--ISNUMBER(SEARCH(" "&amp;DJ2069:DJ2083&amp;" ",AS32)))),"")</f>
        <v>0</v>
      </c>
      <c r="CR32" s="493" t="str">
        <f>IF(21=21,IF(AM32="","",IF((CP32)-(0)&gt;0,"X",IF((CQ32)-(0)&gt;0,"?",""))),"")</f>
        <v/>
      </c>
      <c r="CS32" s="493" cm="1">
        <f t="array" ref="CS32">IF(21=21,IF(AM32="","",SUMPRODUCT(--ISNUMBER(SEARCH(" "&amp;DJ2084:DJ2104&amp;" ",AS32)))),"")</f>
        <v>0</v>
      </c>
      <c r="CT32" s="493" cm="1">
        <f t="array" ref="CT32">IF(21=21,IF(AM32="","",SUMPRODUCT(--ISNUMBER(SEARCH(" "&amp;DJ2105:DJ2144&amp;" ",SUBSTITUTE(SUBSTITUTE(AS32," "&amp;DJ1378&amp;" "," ")," "&amp;DJ1377&amp;" "," "))))+--ISNUMBER(SEARCH("poiré",AN32))),"")</f>
        <v>0</v>
      </c>
      <c r="CU32" s="493" t="str">
        <f>IF(21=21,IF(AM32="","",IF(OR(CS32&gt;0,ISNUMBER(SEARCH(" vinaigre de vin ",AS32)),ISNUMBER(SEARCH(" vinaigre au vin ",AS32))),"X",IF(CT32&gt;0,"?",""))),"")</f>
        <v/>
      </c>
      <c r="CV32" s="493" cm="1">
        <f t="array" ref="CV32">IF(21=21,IF(AM32="","",SUMPRODUCT(--ISNUMBER(SEARCH(" "&amp;DJ2145:DJ2157&amp;" ",AS32)))),"")</f>
        <v>0</v>
      </c>
      <c r="CW32" s="493" cm="1">
        <f t="array" ref="CW32">IF(21=21,IF(AM32="","",SUMPRODUCT(--ISNUMBER(SEARCH(" "&amp;DJ2158:DJ2163&amp;" ",AS32)))),"")</f>
        <v>0</v>
      </c>
      <c r="CX32" s="493" t="str">
        <f>IF(21=21,IF(AM32="","",IF((CV32)-(0)&gt;0,"X",IF((CW32)-(0)&gt;0,"?",""))),"")</f>
        <v/>
      </c>
      <c r="CY32" s="493" cm="1">
        <f t="array" ref="CY32">IF(21=21,IF(AM32="","",SUMPRODUCT(--ISNUMBER(SEARCH(" "&amp;DJ2164:DJ2263&amp;" ",DB32)))),"")</f>
        <v>0</v>
      </c>
      <c r="CZ32" s="493" cm="1">
        <f t="array" ref="CZ32">IF(21=21,IF(AM32="","",SUMPRODUCT(--ISNUMBER(SEARCH(" "&amp;DJ2264:DJ2363&amp;" ",DB32)))),"")</f>
        <v>0</v>
      </c>
      <c r="DA32" s="493" cm="1">
        <f t="array" ref="DA32">IF(21=21,IF(AM32="","",SUMPRODUCT(--ISNUMBER(SEARCH(" "&amp;DJ2364:DJ2406&amp;" ",DB32)))),"")</f>
        <v>0</v>
      </c>
      <c r="DB32" s="493" t="str">
        <f>IF(21=21,IF(AM32="","",SUBSTITUTE(SUBSTITUTE(SUBSTITUTE(SUBSTITUTE(SUBSTITUTE(SUBSTITUTE(SUBSTITUTE(SUBSTITUTE(SUBSTITUTE(SUBSTITUTE(SUBSTITUTE(SUBSTITUTE(SUBSTITUTE(SUBSTITUTE(SUBSTITUTE(SUBSTITUTE(AS32," "&amp;DJ2412&amp;" "," ")," "&amp;DJ2411&amp;" "," ")," "&amp;DJ2410&amp;" "," ")," "&amp;DJ2417&amp;" "," ")," "&amp;DJ2409&amp;" "," ")," "&amp;DJ2421&amp;" "," ")," "&amp;DJ2408&amp;" "," ")," "&amp;DJ2413&amp;" "," ")," "&amp;DJ2416&amp;" "," ")," "&amp;DJ2407&amp;" "," ")," "&amp;DJ2415&amp;" "," ")," "&amp;DJ2422&amp;" "," ")," "&amp;DJ2419&amp;" "," ")," "&amp;DJ2414&amp;" "," ")," "&amp;DJ2418&amp;" "," ")," "&amp;DJ2420&amp;" "," ")),"")</f>
        <v xml:space="preserve"> • 1 sachet de sucre vanille </v>
      </c>
      <c r="DC32" s="493" cm="1">
        <f t="array" ref="DC32">IF(21=21,IF(AM32="","",SUMPRODUCT(--ISNUMBER(SEARCH(" "&amp;DJ2423:DJ2427&amp;" ",DB32)))),"")</f>
        <v>0</v>
      </c>
      <c r="DD32" s="493" t="str">
        <f>IF(21=21,IF(AM32="","",IF(SUM(CY32:DA32)&gt;0,"X",IF(DC32&gt;0,"?",""))),"")</f>
        <v/>
      </c>
      <c r="DE32" s="494"/>
      <c r="DF32" s="496" t="s">
        <v>1182</v>
      </c>
      <c r="DG32" s="496" t="s">
        <v>1083</v>
      </c>
      <c r="DH32" s="496" t="s">
        <v>689</v>
      </c>
      <c r="DI32" s="496" t="s">
        <v>888</v>
      </c>
      <c r="DJ32" s="496" t="s">
        <v>888</v>
      </c>
      <c r="DK32" s="496" t="s">
        <v>1085</v>
      </c>
      <c r="DL32" s="496" t="s">
        <v>1086</v>
      </c>
      <c r="DM32" s="496" t="s">
        <v>1087</v>
      </c>
      <c r="DN32" s="497" t="s">
        <v>1088</v>
      </c>
      <c r="DP32" s="543">
        <v>1</v>
      </c>
    </row>
    <row r="33" spans="2:120" ht="30" customHeight="1">
      <c r="B33" s="663" t="str">
        <f t="shared" si="0"/>
        <v>1. Préchauffez le four à 180°C (th. 6).</v>
      </c>
      <c r="C33" s="663" t="str">
        <f t="shared" si="1"/>
        <v>1 Préchauffez le four à 180°C th 6</v>
      </c>
      <c r="D33" s="663" t="str">
        <f>IF(UPPER(TRIM(N11))="X",C33,B33)</f>
        <v>1. Préchauffez le four à 180°C (th. 6).</v>
      </c>
      <c r="E33" s="663" cm="1">
        <f t="array" ref="E33">IF(H32&lt;&gt;"",E32,IF(E32="","",IFERROR(MATCH(TRUE(),INDEX(INDEX(K:K,E32+1):K203&lt;&gt;"",0),0)+E32,"")))</f>
        <v>30</v>
      </c>
      <c r="F33" s="663" t="str" cm="1">
        <f t="array" ref="F33">IF(E33="","",IF(H32&lt;&gt;"",H32,INDEX(D:D,E33)))</f>
        <v>• 15 g de beurre</v>
      </c>
      <c r="G33" s="663" t="str">
        <f t="shared" si="2"/>
        <v>• 15 g de beurre</v>
      </c>
      <c r="H33" s="673" t="str">
        <f t="shared" si="3"/>
        <v/>
      </c>
      <c r="I33" s="680" t="str">
        <f>IF(AND(F33&lt;&gt;"",N10&gt;0,M33&gt;N10),"Mot &gt; limite","")</f>
        <v/>
      </c>
      <c r="J33" s="674">
        <f>IF(K33="","",COUNTIF(K18:K33,"&lt;&gt;"))</f>
        <v>16</v>
      </c>
      <c r="K33" s="675" t="s">
        <v>6478</v>
      </c>
      <c r="L33" s="674">
        <f t="shared" si="4"/>
        <v>39</v>
      </c>
      <c r="M33" s="643">
        <f>IF(OR(F33="",N10="",N10&lt;=0),"",IF(LEN(F33)&lt;=N10,LEN(F33),IFERROR(FIND("♦",SUBSTITUTE(LEFT(F33,N10)," ","♦",LEN(LEFT(F33,N10))-LEN(SUBSTITUTE(LEFT(F33,N10)," ","")))),FIND(" ",F33&amp;" ",N10+1)-1)))</f>
        <v>16</v>
      </c>
      <c r="N33" s="676">
        <f t="shared" si="5"/>
        <v>16</v>
      </c>
      <c r="O33" s="677" t="str">
        <f t="shared" si="6"/>
        <v>• 15 g de beurre</v>
      </c>
      <c r="P33" s="676">
        <f t="shared" si="7"/>
        <v>5</v>
      </c>
      <c r="Q33" s="676">
        <f t="shared" si="8"/>
        <v>16</v>
      </c>
      <c r="S33" s="509">
        <v>16</v>
      </c>
      <c r="T33" s="678" t="str">
        <f t="shared" si="10"/>
        <v>• 15 g de beurre</v>
      </c>
      <c r="U33" s="679" t="str">
        <f t="shared" si="9"/>
        <v>• 15 g de beurre *</v>
      </c>
      <c r="V33" s="512" t="str">
        <f>IF(22=22,IF(T33="","",IF(W33="X",""&amp;"Céréales contenant du gluten","")&amp;IF(X33="X",IF(COUNTIF(W33:W33,"X")&gt;0,", ","")&amp;"Crustacés","")&amp;IF(Y33="X",IF(COUNTIF(W33:X33,"X")&gt;0,", ","")&amp;"Œufs","")&amp;IF(Z33="X",IF(COUNTIF(W33:Y33,"X")&gt;0,", ","")&amp;"Poissons","")&amp;IF(AA33="X",IF(COUNTIF(W33:Z33,"X")&gt;0,", ","")&amp;"Arachides","")&amp;IF(AB33="X",IF(COUNTIF(W33:AA33,"X")&gt;0,", ","")&amp;"Soja","")&amp;IF(AC33="X",IF(COUNTIF(W33:AB33,"X")&gt;0,", ","")&amp;"Lait","")&amp;IF(AD33="X",IF(COUNTIF(W33:AC33,"X")&gt;0,", ","")&amp;"Fruits à coque","")&amp;IF(AE33="X",IF(COUNTIF(W33:AD33,"X")&gt;0,", ","")&amp;"Céleri","")&amp;IF(AF33="X",IF(COUNTIF(W33:AE33,"X")&gt;0,", ","")&amp;"Moutarde","")&amp;IF(AG33="X",IF(COUNTIF(W33:AF33,"X")&gt;0,", ","")&amp;"Sésame","")&amp;IF(AH33="X",IF(COUNTIF(W33:AG33,"X")&gt;0,", ","")&amp;"Sulfites","")&amp;IF(AI33="X",IF(COUNTIF(W33:AH33,"X")&gt;0,", ","")&amp;"Lupin","")&amp;IF(AJ33="X",IF(COUNTIF(W33:AI33,"X")&gt;0,", ","")&amp;"Mollusques","")),"")</f>
        <v>Lait</v>
      </c>
      <c r="W33" s="513" t="str">
        <f>IF(22=22,IF(T33="","",AX33),"")</f>
        <v/>
      </c>
      <c r="X33" s="513" t="str">
        <f>IF(22=22,IF(T33="","",BA33),"")</f>
        <v/>
      </c>
      <c r="Y33" s="513" t="str">
        <f>IF(22=22,IF(T33="","",BE33),"")</f>
        <v/>
      </c>
      <c r="Z33" s="513" t="str">
        <f>IF(22=22,IF(T33="","",IF(ISNUMBER(SEARCH(" colin ",AS33)),"X",BR33)),"")</f>
        <v/>
      </c>
      <c r="AA33" s="513" t="str">
        <f>IF(22=22,IF(T33="","",BT33),"")</f>
        <v/>
      </c>
      <c r="AB33" s="513" t="str">
        <f>IF(22=22,IF(T33="","",BX33),"")</f>
        <v/>
      </c>
      <c r="AC33" s="513" t="str">
        <f>IF(22=22,IF(T33="","",CE33),"")</f>
        <v>X</v>
      </c>
      <c r="AD33" s="513" t="str">
        <f>IF(22=22,IF(T33="","",CI33),"")</f>
        <v/>
      </c>
      <c r="AE33" s="513" t="str">
        <f>IF(22=22,IF(T33="","",CL33),"")</f>
        <v/>
      </c>
      <c r="AF33" s="513" t="str">
        <f>IF(22=22,IF(T33="","",CO33),"")</f>
        <v/>
      </c>
      <c r="AG33" s="513" t="str">
        <f>IF(22=22,IF(T33="","",CR33),"")</f>
        <v/>
      </c>
      <c r="AH33" s="513" t="str">
        <f>IF(22=22,IF(T33="","",CU33),"")</f>
        <v/>
      </c>
      <c r="AI33" s="513" t="str">
        <f>IF(22=22,IF(T33="","",CX33),"")</f>
        <v/>
      </c>
      <c r="AJ33" s="513" t="str">
        <f>IF(22=22,IF(T33="","",DD33),"")</f>
        <v/>
      </c>
      <c r="AK33" s="514" t="str">
        <f>IF(22=22,IF(T33="","",IF(W33="?",""&amp;"Céréales contenant du gluten","")&amp;IF(X33="?",IF(COUNTIF(W33:W33,"~?")&gt;0,", ","")&amp;"Crustacés","")&amp;IF(Y33="?",IF(COUNTIF(W33:X33,"~?")&gt;0,", ","")&amp;"Œufs","")&amp;IF(Z33="?",IF(COUNTIF(W33:Y33,"~?")&gt;0,", ","")&amp;"Poissons","")&amp;IF(AA33="?",IF(COUNTIF(W33:Z33,"~?")&gt;0,", ","")&amp;"Arachides","")&amp;IF(AB33="?",IF(COUNTIF(W33:AA33,"~?")&gt;0,", ","")&amp;"Soja","")&amp;IF(AC33="?",IF(COUNTIF(W33:AB33,"~?")&gt;0,", ","")&amp;"Lait","")&amp;IF(AD33="?",IF(COUNTIF(W33:AC33,"~?")&gt;0,", ","")&amp;"Fruits à coque","")&amp;IF(AE33="?",IF(COUNTIF(W33:AD33,"~?")&gt;0,", ","")&amp;"Céleri","")&amp;IF(AF33="?",IF(COUNTIF(W33:AE33,"~?")&gt;0,", ","")&amp;"Moutarde","")&amp;IF(AG33="?",IF(COUNTIF(W33:AF33,"~?")&gt;0,", ","")&amp;"Sésame","")&amp;IF(AH33="?",IF(COUNTIF(W33:AG33,"~?")&gt;0,", ","")&amp;"Sulfites","")&amp;IF(AI33="?",IF(COUNTIF(W33:AH33,"~?")&gt;0,", ","")&amp;"Lupin","")&amp;IF(AJ33="?",IF(COUNTIF(W33:AI33,"~?")&gt;0,", ","")&amp;"Mollusques","")),"")</f>
        <v/>
      </c>
      <c r="AM33" s="493" t="str">
        <f>IF(22=22,IF(T33="","",T33),"")</f>
        <v>• 15 g de beurre</v>
      </c>
      <c r="AN33" s="493" t="str">
        <f>IF(22=22,LOWER(CLEAN(SUBSTITUTE(SUBSTITUTE(SUBSTITUTE(SUBSTITUTE(AM33,CHAR(160)," ")," "," "),CHAR(10)," "),CHAR(13)," "))),"")</f>
        <v>• 15 g de beurre</v>
      </c>
      <c r="AO33" s="493" t="str">
        <f>IF(22=22,SUBSTITUTE(SUBSTITUTE(SUBSTITUTE(SUBSTITUTE(SUBSTITUTE(SUBSTITUTE(SUBSTITUTE(SUBSTITUTE(SUBSTITUTE(SUBSTITUTE(SUBSTITUTE(SUBSTITUTE(AN33,"œ","oe"),"æ","ae"),"à","a"),"á","a"),"â","a"),"ä","a"),"ã","a"),"ç","c"),"è","e"),"é","e"),"ê","e"),"ë","e"),"")</f>
        <v>• 15 g de beurre</v>
      </c>
      <c r="AP33" s="493" t="str">
        <f>IF(22=22,SUBSTITUTE(SUBSTITUTE(SUBSTITUTE(SUBSTITUTE(SUBSTITUTE(SUBSTITUTE(SUBSTITUTE(SUBSTITUTE(SUBSTITUTE(SUBSTITUTE(SUBSTITUTE(SUBSTITUTE(SUBSTITUTE(SUBSTITUTE(SUBSTITUTE(SUBSTITUTE(AO33,"ì","i"),"í","i"),"î","i"),"ï","i"),"ñ","n"),"ò","o"),"ó","o"),"ô","o"),"ö","o"),"õ","o"),"ù","u"),"ú","u"),"û","u"),"ü","u"),"ý","y"),"ÿ","y"),"")</f>
        <v>• 15 g de beurre</v>
      </c>
      <c r="AQ33" s="493" t="str">
        <f>IF(22=22,SUBSTITUTE(SUBSTITUTE(SUBSTITUTE(SUBSTITUTE(SUBSTITUTE(SUBSTITUTE(SUBSTITUTE(SUBSTITUTE(SUBSTITUTE(SUBSTITUTE(SUBSTITUTE(SUBSTITUTE(SUBSTITUTE(SUBSTITUTE(AP33,"’"," "),"`"," "),"–"," "),"—"," "),"-"," "),"'"," "),"/"," "),"_"," "),","," "),"."," "),"("," "),")"," "),";"," "),":"," "),"")</f>
        <v>• 15 g de beurre</v>
      </c>
      <c r="AR33" s="493" t="str">
        <f>IF(22=22,SUBSTITUTE(SUBSTITUTE(SUBSTITUTE(SUBSTITUTE(SUBSTITUTE(SUBSTITUTE(SUBSTITUTE(SUBSTITUTE(SUBSTITUTE(SUBSTITUTE(SUBSTITUTE(SUBSTITUTE(SUBSTITUTE(SUBSTITUTE(SUBSTITUTE(AQ33,"!"," "),"?"," "),"+"," "),"*"," "),"&amp;"," "),"["," "),"]"," "),"{"," "),"}"," "),"%"," "),"="," "),"\"," "),"|"," "),"&lt;"," "),"&gt;"," "),"")</f>
        <v>• 15 g de beurre</v>
      </c>
      <c r="AS33" s="493" t="str">
        <f>IF(22=22," "&amp;TRIM(SUBSTITUTE(SUBSTITUTE(SUBSTITUTE(SUBSTITUTE(SUBSTITUTE(SUBSTITUTE(AR33,CHAR(34)," "),"  "," "),"  "," "),"  "," "),"  "," "),"  "," "))&amp;" ","")</f>
        <v xml:space="preserve"> • 15 g de beurre </v>
      </c>
      <c r="AT33" s="493" cm="1">
        <f t="array" ref="AT33">IF(22=22,IF(AM33="","",SUMPRODUCT(--ISNUMBER(SEARCH(" "&amp;DJ13:DJ112&amp;" ",AV33)))),"")</f>
        <v>0</v>
      </c>
      <c r="AU33" s="493" cm="1">
        <f t="array" ref="AU33">IF(22=22,IF(AM33="","",SUMPRODUCT(--ISNUMBER(SEARCH(" "&amp;DJ113:DJ162&amp;" ",AV33)))),"")</f>
        <v>0</v>
      </c>
      <c r="AV33" s="493" t="str">
        <f>IF(AM33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33,"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15 g de beurre </v>
      </c>
      <c r="AW33" s="493" cm="1">
        <f t="array" ref="AW33">IF(AM33="","",SUMPRODUCT(--ISNUMBER(SEARCH(" "&amp;DJ195:DJ216&amp;" ",AV33)))+--ISNUMBER(SEARCH(" "&amp;DJ2465&amp;" ",AV33)))</f>
        <v>0</v>
      </c>
      <c r="AX33" s="493" t="str" cm="1">
        <f t="array" ref="AX33">IF(22=22,IF(AM33="","",IF(SUM(AT33:AU33)+SUMPRODUCT(--ISNUMBER(SEARCH(" "&amp;DJ2429:DJ2431&amp;" ",AV33)))&gt;0,"X",IF(AW33&gt;0,"?",""))),"")</f>
        <v/>
      </c>
      <c r="AY33" s="493" cm="1">
        <f t="array" ref="AY33">IF(22=22,IF(AM33="","",SUMPRODUCT(--ISNUMBER(SEARCH(" "&amp;DJ217:DJ316&amp;" ",AS33)))),"")</f>
        <v>0</v>
      </c>
      <c r="AZ33" s="493" cm="1">
        <f t="array" ref="AZ33">IF(22=22,IF(AM33="","",SUMPRODUCT(--ISNUMBER(SEARCH(" "&amp;DJ317:DJ351&amp;" ",AS33)))),"")</f>
        <v>0</v>
      </c>
      <c r="BA33" s="493" t="str">
        <f>IF(22=22,IF(AM33="","",IF((SUM(AY33:AZ33))-(0)&gt;0,"X",IF((0)-(0)&gt;0,"?",""))),"")</f>
        <v/>
      </c>
      <c r="BB33" s="493" cm="1">
        <f t="array" ref="BB33">IF(22=22,IF(AM33="","",SUMPRODUCT(--ISNUMBER(SEARCH(" "&amp;DJ352:DJ409&amp;" ",AS33)))),"")</f>
        <v>0</v>
      </c>
      <c r="BC33" s="493" cm="1">
        <f t="array" ref="BC33">IF(22=22,IF(AM33="","",SUMPRODUCT(--ISNUMBER(SEARCH(" "&amp;DJ410:DJ437&amp;" ",BD33)))+SUMPRODUCT(--ISNUMBER(SEARCH(" "&amp;DJ2451:DJ2464&amp;" ",BD33)))),"")</f>
        <v>0</v>
      </c>
      <c r="BD33" s="493" t="str">
        <f>IF(22=22,IF(AM33="","",SUBSTITUTE(SUBSTITUTE(SUBSTITUTE(SUBSTITUTE(SUBSTITUTE(SUBSTITUTE(SUBSTITUTE(SUBSTITUTE(SUBSTITUTE(SUBSTITUTE(SUBSTITUTE(SUBSTITUTE(SUBSTITUTE(SUBSTITUTE(AS33," "&amp;DJ2466&amp;" "," ")," "&amp;DJ444&amp;" "," ")," "&amp;DJ442&amp;" "," ")," "&amp;DJ2449&amp;" "," ")," "&amp;DJ2450&amp;" "," ")," "&amp;DJ439&amp;" "," ")," "&amp;DJ443&amp;" "," ")," "&amp;DJ445&amp;" "," ")," "&amp;DJ440&amp;" "," ")," "&amp;DJ438&amp;" "," ")," "&amp;DJ1378&amp;" "," ")," "&amp;DJ446&amp;" "," ")," "&amp;DJ1377&amp;" "," ")," "&amp;DJ441&amp;" "," ")),"")</f>
        <v xml:space="preserve"> • 15 g de beurre </v>
      </c>
      <c r="BE33" s="493" t="str">
        <f>IF(22=22,IF(AM33="","",IF(BB33&gt;0,"X",IF(BC33&gt;0,"?",""))),"")</f>
        <v/>
      </c>
      <c r="BF33" s="493" cm="1">
        <f t="array" ref="BF33">IF(22=22,IF(AM33="","",SUMPRODUCT(--ISNUMBER(SEARCH(" "&amp;DJ447:DJ546&amp;" ",BP33)))),"")</f>
        <v>0</v>
      </c>
      <c r="BG33" s="493" cm="1">
        <f t="array" ref="BG33">IF(22=22,IF(AM33="","",SUMPRODUCT(--ISNUMBER(SEARCH(" "&amp;DJ547:DJ646&amp;" ",BP33)))),"")</f>
        <v>0</v>
      </c>
      <c r="BH33" s="493" cm="1">
        <f t="array" ref="BH33">IF(22=22,IF(AM33="","",SUMPRODUCT(--ISNUMBER(SEARCH(" "&amp;DJ647:DJ746&amp;" ",BP33)))),"")</f>
        <v>0</v>
      </c>
      <c r="BI33" s="493" cm="1">
        <f t="array" ref="BI33">IF(22=22,IF(AM33="","",SUMPRODUCT(--ISNUMBER(SEARCH(" "&amp;DJ747:DJ846&amp;" ",BP33)))),"")</f>
        <v>0</v>
      </c>
      <c r="BJ33" s="493" cm="1">
        <f t="array" ref="BJ33">IF(22=22,IF(AM33="","",SUMPRODUCT(--ISNUMBER(SEARCH(" "&amp;DJ847:DJ946&amp;" ",BP33)))),"")</f>
        <v>0</v>
      </c>
      <c r="BK33" s="493" cm="1">
        <f t="array" ref="BK33">IF(22=22,IF(AM33="","",SUMPRODUCT(--ISNUMBER(SEARCH(" "&amp;DJ947:DJ1046&amp;" ",BP33)))),"")</f>
        <v>0</v>
      </c>
      <c r="BL33" s="493" cm="1">
        <f t="array" ref="BL33">IF(22=22,IF(AM33="","",SUMPRODUCT(--ISNUMBER(SEARCH(" "&amp;DJ1047:DJ1146&amp;" ",BP33)))),"")</f>
        <v>0</v>
      </c>
      <c r="BM33" s="493" cm="1">
        <f t="array" ref="BM33">IF(22=22,IF(AM33="","",SUMPRODUCT(--ISNUMBER(SEARCH(" "&amp;DJ1147:DJ1246&amp;" ",BP33)))),"")</f>
        <v>0</v>
      </c>
      <c r="BN33" s="493" cm="1">
        <f t="array" ref="BN33">IF(22=22,IF(AM33="","",SUMPRODUCT(--ISNUMBER(SEARCH(" "&amp;DJ1247:DJ1346&amp;" ",BP33)))),"")</f>
        <v>0</v>
      </c>
      <c r="BO33" s="493" cm="1">
        <f t="array" ref="BO33">IF(22=22,IF(AM33="","",SUMPRODUCT(--ISNUMBER(SEARCH(" "&amp;DJ1347:DJ1374&amp;" ",BP33)))),"")</f>
        <v>0</v>
      </c>
      <c r="BP33" s="493" t="str">
        <f>IF(22=22,IF(AM33="","",SUBSTITUTE(SUBSTITUTE(SUBSTITUTE(SUBSTITUTE(SUBSTITUTE(SUBSTITUTE(SUBSTITUTE(SUBSTITUTE(SUBSTITUTE(AS33," "&amp;DJ1376&amp;" "," ")," "&amp;DJ1375&amp;" "," ")," "&amp;DJ1381&amp;" "," ")," "&amp;DJ1382&amp;" "," ")," "&amp;DJ1378&amp;" "," ")," "&amp;DJ1380&amp;" "," ")," "&amp;DJ1377&amp;" "," ")," "&amp;DJ1379&amp;" "," ")," "&amp;DJ1383&amp;" "," ")),"")</f>
        <v xml:space="preserve"> • 15 g de beurre </v>
      </c>
      <c r="BQ33" s="493" cm="1">
        <f t="array" ref="BQ33">IF(22=22,IF(AM33="","",SUMPRODUCT(--ISNUMBER(SEARCH(" "&amp;DJ1384:DJ1394&amp;" ",BP33)))),"")</f>
        <v>0</v>
      </c>
      <c r="BR33" s="493" t="str" cm="1">
        <f t="array" ref="BR33">IF(22=22,IF(AM33="","",IF(SUM(BF33:BO33)+SUMPRODUCT(--ISNUMBER(SEARCH(" "&amp;DJ2432:DJ2433&amp;" ",BP33)))&gt;0,"X",IF(BQ33&gt;0,"?",""))),"")</f>
        <v/>
      </c>
      <c r="BS33" s="493" cm="1">
        <f t="array" ref="BS33">IF(22=22,IF(AM33="","",SUMPRODUCT(--ISNUMBER(SEARCH(" "&amp;DJ1395:DJ1415&amp;" ",AS33)))),"")</f>
        <v>0</v>
      </c>
      <c r="BT33" s="493" t="str">
        <f>IF(22=22,IF(AM33="","",IF((BS33)-(0)&gt;0,"X",IF((0)-(0)&gt;0,"?",""))),"")</f>
        <v/>
      </c>
      <c r="BU33" s="493" cm="1">
        <f t="array" ref="BU33">IF(22=22,IF(AM33="","",SUMPRODUCT(--ISNUMBER(SEARCH(" "&amp;DJ1416:DJ1453&amp;" ",BV33)))),"")</f>
        <v>0</v>
      </c>
      <c r="BV33" s="493" t="str">
        <f>IF(22=22,IF(AM33="","",SUBSTITUTE(SUBSTITUTE(AS33," "&amp;DJ1454&amp;" "," ")," "&amp;DJ1455&amp;" "," ")),"")</f>
        <v xml:space="preserve"> • 15 g de beurre </v>
      </c>
      <c r="BW33" s="493" cm="1">
        <f t="array" ref="BW33">IF(22=22,IF(AM33="","",SUMPRODUCT(--ISNUMBER(SEARCH(" "&amp;DJ1456:DJ1466&amp;" ",BV33)))),"")</f>
        <v>0</v>
      </c>
      <c r="BX33" s="493" t="str">
        <f>IF(22=22,IF(AM33="","",IF(BU33&gt;0,"X",IF(BW33&gt;0,"?",""))),"")</f>
        <v/>
      </c>
      <c r="BY33" s="493" cm="1">
        <f t="array" ref="BY33">IF(22=22,IF(AM33="","",SUMPRODUCT(--ISNUMBER(SEARCH(" "&amp;DJ1467:DJ1566&amp;" ",CB33)))),"")</f>
        <v>1</v>
      </c>
      <c r="BZ33" s="493" cm="1">
        <f t="array" ref="BZ33">IF(22=22,IF(AM33="","",SUMPRODUCT(--ISNUMBER(SEARCH(" "&amp;DJ1567:DJ1666&amp;" ",CB33)))),"")</f>
        <v>0</v>
      </c>
      <c r="CA33" s="493" cm="1">
        <f t="array" ref="CA33">IF(22=22,IF(AM33="","",SUMPRODUCT(--ISNUMBER(SEARCH(" "&amp;DJ1667:DJ1750&amp;" ",CB33)))),"")</f>
        <v>0</v>
      </c>
      <c r="CB33" s="493" t="str">
        <f>IF(22=22,IF(AM33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33,"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15 g de beurre </v>
      </c>
      <c r="CC33" s="493" cm="1">
        <f t="array" ref="CC33">IF(22=22,IF(AM33="","",SUMPRODUCT(--ISNUMBER(SEARCH(" "&amp;DJ1801:DJ1880&amp;" ",CD33)))+SUMPRODUCT(--ISNUMBER(SEARCH(" "&amp;DJ2451:DJ2464&amp;" ",CD33)))),"")</f>
        <v>0</v>
      </c>
      <c r="CD33" s="493" t="str">
        <f>IF(22=22,IF(AM33="","",SUBSTITUTE(SUBSTITUTE(SUBSTITUTE(SUBSTITUTE(SUBSTITUTE(SUBSTITUTE(SUBSTITUTE(SUBSTITUTE(SUBSTITUTE(SUBSTITUTE(SUBSTITUTE(SUBSTITUTE(SUBSTITUTE(CB33," "&amp;DJ1887&amp;" "," ")," "&amp;DJ1885&amp;" "," ")," "&amp;DJ2449&amp;" "," ")," "&amp;DJ2450&amp;" "," ")," "&amp;DJ1882&amp;" "," ")," "&amp;DJ1886&amp;" "," ")," "&amp;DJ1888&amp;" "," ")," "&amp;DJ1883&amp;" "," ")," "&amp;DJ1881&amp;" "," ")," "&amp;DJ1378&amp;" "," ")," "&amp;DJ1889&amp;" "," ")," "&amp;DJ1377&amp;" "," ")," "&amp;DJ1884&amp;" "," ")),"")</f>
        <v xml:space="preserve"> • 15 g de beurre </v>
      </c>
      <c r="CE33" s="493" t="str" cm="1">
        <f t="array" ref="CE33">IF(22=22,IF(AM33="","",IF(SUM(BY33:CA33)+SUMPRODUCT(--ISNUMBER(SEARCH(" "&amp;DJ2434:DJ2435&amp;" ",CB33)))&gt;0,"X",IF(CC33&gt;0,"?",""))),"")</f>
        <v>X</v>
      </c>
      <c r="CF33" s="493" cm="1">
        <f t="array" ref="CF33">IF(22=22,IF(AM33="","",SUMPRODUCT(--ISNUMBER(SEARCH(" "&amp;DJ1890:DJ1947&amp;" ",CG33)))),"")</f>
        <v>0</v>
      </c>
      <c r="CG33" s="493" t="str">
        <f>IF(22=22,IF(AM33="","",SUBSTITUTE(SUBSTITUTE(SUBSTITUTE(SUBSTITUTE(SUBSTITUTE(SUBSTITUTE(SUBSTITUTE(SUBSTITUTE(SUBSTITUTE(SUBSTITUTE(SUBSTITUTE(SUBSTITUTE(SUBSTITUTE(SUBSTITUTE(SUBSTITUTE(SUBSTITUTE(SUBSTITUTE(SUBSTITUTE(SUBSTITUTE(SUBSTITUTE(SUBSTITUTE(SUBSTITUTE(SUBSTITUTE(AS33,"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15 g de beurre </v>
      </c>
      <c r="CH33" s="493" cm="1">
        <f t="array" ref="CH33">IF(22=22,IF(AM33="","",SUMPRODUCT(--ISNUMBER(SEARCH(" "&amp;DJ1971:DJ1987&amp;" ",CG33)))),"")</f>
        <v>0</v>
      </c>
      <c r="CI33" s="493" t="str">
        <f>IF(22=22,IF(AM33="","",IF(CF33&gt;0,"X",IF(CH33&gt;0,"?",""))),"")</f>
        <v/>
      </c>
      <c r="CJ33" s="493" cm="1">
        <f t="array" ref="CJ33">IF(22=22,IF(AM33="","",SUMPRODUCT(--ISNUMBER(SEARCH(" "&amp;DJ1988:DJ2001&amp;" ",AS33)))),"")</f>
        <v>0</v>
      </c>
      <c r="CK33" s="493" cm="1">
        <f t="array" ref="CK33">IF(22=22,IF(AM33="","",SUMPRODUCT(--ISNUMBER(SEARCH(" "&amp;DJ2002:DJ2016&amp;" ",AS33)))),"")</f>
        <v>0</v>
      </c>
      <c r="CL33" s="493" t="str">
        <f>IF(22=22,IF(AM33="","",IF((CJ33)-(0)&gt;0,"X",IF((CK33)-(0)&gt;0,"?",""))),"")</f>
        <v/>
      </c>
      <c r="CM33" s="493" cm="1">
        <f t="array" ref="CM33">IF(22=22,IF(AM33="","",SUMPRODUCT(--ISNUMBER(SEARCH(" "&amp;DJ2017:DJ2034&amp;" ",AS33)))),"")</f>
        <v>0</v>
      </c>
      <c r="CN33" s="493" cm="1">
        <f t="array" ref="CN33">IF(22=22,IF(AM33="","",SUMPRODUCT(--ISNUMBER(SEARCH(" "&amp;DJ2035:DJ2049&amp;" ",AS33)))),"")</f>
        <v>0</v>
      </c>
      <c r="CO33" s="493" t="str">
        <f>IF(22=22,IF(AM33="","",IF((CM33)-(0)&gt;0,"X",IF((CN33)-(0)&gt;0,"?",""))),"")</f>
        <v/>
      </c>
      <c r="CP33" s="493" cm="1">
        <f t="array" ref="CP33">IF(22=22,IF(AM33="","",SUMPRODUCT(--ISNUMBER(SEARCH(" "&amp;DJ2050:DJ2068&amp;" ",AS33)))),"")</f>
        <v>0</v>
      </c>
      <c r="CQ33" s="493" cm="1">
        <f t="array" ref="CQ33">IF(22=22,IF(AM33="","",SUMPRODUCT(--ISNUMBER(SEARCH(" "&amp;DJ2069:DJ2083&amp;" ",AS33)))),"")</f>
        <v>0</v>
      </c>
      <c r="CR33" s="493" t="str">
        <f>IF(22=22,IF(AM33="","",IF((CP33)-(0)&gt;0,"X",IF((CQ33)-(0)&gt;0,"?",""))),"")</f>
        <v/>
      </c>
      <c r="CS33" s="493" cm="1">
        <f t="array" ref="CS33">IF(22=22,IF(AM33="","",SUMPRODUCT(--ISNUMBER(SEARCH(" "&amp;DJ2084:DJ2104&amp;" ",AS33)))),"")</f>
        <v>0</v>
      </c>
      <c r="CT33" s="493" cm="1">
        <f t="array" ref="CT33">IF(22=22,IF(AM33="","",SUMPRODUCT(--ISNUMBER(SEARCH(" "&amp;DJ2105:DJ2144&amp;" ",SUBSTITUTE(SUBSTITUTE(AS33," "&amp;DJ1378&amp;" "," ")," "&amp;DJ1377&amp;" "," "))))+--ISNUMBER(SEARCH("poiré",AN33))),"")</f>
        <v>0</v>
      </c>
      <c r="CU33" s="493" t="str">
        <f>IF(22=22,IF(AM33="","",IF(OR(CS33&gt;0,ISNUMBER(SEARCH(" vinaigre de vin ",AS33)),ISNUMBER(SEARCH(" vinaigre au vin ",AS33))),"X",IF(CT33&gt;0,"?",""))),"")</f>
        <v/>
      </c>
      <c r="CV33" s="493" cm="1">
        <f t="array" ref="CV33">IF(22=22,IF(AM33="","",SUMPRODUCT(--ISNUMBER(SEARCH(" "&amp;DJ2145:DJ2157&amp;" ",AS33)))),"")</f>
        <v>0</v>
      </c>
      <c r="CW33" s="493" cm="1">
        <f t="array" ref="CW33">IF(22=22,IF(AM33="","",SUMPRODUCT(--ISNUMBER(SEARCH(" "&amp;DJ2158:DJ2163&amp;" ",AS33)))),"")</f>
        <v>0</v>
      </c>
      <c r="CX33" s="493" t="str">
        <f>IF(22=22,IF(AM33="","",IF((CV33)-(0)&gt;0,"X",IF((CW33)-(0)&gt;0,"?",""))),"")</f>
        <v/>
      </c>
      <c r="CY33" s="493" cm="1">
        <f t="array" ref="CY33">IF(22=22,IF(AM33="","",SUMPRODUCT(--ISNUMBER(SEARCH(" "&amp;DJ2164:DJ2263&amp;" ",DB33)))),"")</f>
        <v>0</v>
      </c>
      <c r="CZ33" s="493" cm="1">
        <f t="array" ref="CZ33">IF(22=22,IF(AM33="","",SUMPRODUCT(--ISNUMBER(SEARCH(" "&amp;DJ2264:DJ2363&amp;" ",DB33)))),"")</f>
        <v>0</v>
      </c>
      <c r="DA33" s="493" cm="1">
        <f t="array" ref="DA33">IF(22=22,IF(AM33="","",SUMPRODUCT(--ISNUMBER(SEARCH(" "&amp;DJ2364:DJ2406&amp;" ",DB33)))),"")</f>
        <v>0</v>
      </c>
      <c r="DB33" s="493" t="str">
        <f>IF(22=22,IF(AM33="","",SUBSTITUTE(SUBSTITUTE(SUBSTITUTE(SUBSTITUTE(SUBSTITUTE(SUBSTITUTE(SUBSTITUTE(SUBSTITUTE(SUBSTITUTE(SUBSTITUTE(SUBSTITUTE(SUBSTITUTE(SUBSTITUTE(SUBSTITUTE(SUBSTITUTE(SUBSTITUTE(AS33," "&amp;DJ2412&amp;" "," ")," "&amp;DJ2411&amp;" "," ")," "&amp;DJ2410&amp;" "," ")," "&amp;DJ2417&amp;" "," ")," "&amp;DJ2409&amp;" "," ")," "&amp;DJ2421&amp;" "," ")," "&amp;DJ2408&amp;" "," ")," "&amp;DJ2413&amp;" "," ")," "&amp;DJ2416&amp;" "," ")," "&amp;DJ2407&amp;" "," ")," "&amp;DJ2415&amp;" "," ")," "&amp;DJ2422&amp;" "," ")," "&amp;DJ2419&amp;" "," ")," "&amp;DJ2414&amp;" "," ")," "&amp;DJ2418&amp;" "," ")," "&amp;DJ2420&amp;" "," ")),"")</f>
        <v xml:space="preserve"> • 15 g de beurre </v>
      </c>
      <c r="DC33" s="493" cm="1">
        <f t="array" ref="DC33">IF(22=22,IF(AM33="","",SUMPRODUCT(--ISNUMBER(SEARCH(" "&amp;DJ2423:DJ2427&amp;" ",DB33)))),"")</f>
        <v>0</v>
      </c>
      <c r="DD33" s="493" t="str">
        <f>IF(22=22,IF(AM33="","",IF(SUM(CY33:DA33)&gt;0,"X",IF(DC33&gt;0,"?",""))),"")</f>
        <v/>
      </c>
      <c r="DE33" s="494"/>
      <c r="DF33" s="496" t="s">
        <v>1183</v>
      </c>
      <c r="DG33" s="496" t="s">
        <v>1083</v>
      </c>
      <c r="DH33" s="496" t="s">
        <v>689</v>
      </c>
      <c r="DI33" s="496" t="s">
        <v>889</v>
      </c>
      <c r="DJ33" s="496" t="s">
        <v>889</v>
      </c>
      <c r="DK33" s="496" t="s">
        <v>1085</v>
      </c>
      <c r="DL33" s="496" t="s">
        <v>1086</v>
      </c>
      <c r="DM33" s="496" t="s">
        <v>1087</v>
      </c>
      <c r="DN33" s="497" t="s">
        <v>1088</v>
      </c>
      <c r="DP33" s="543">
        <v>1</v>
      </c>
    </row>
    <row r="34" spans="2:120" ht="30" customHeight="1">
      <c r="B34" s="663" t="str">
        <f t="shared" si="0"/>
        <v>2. Étalez la pâte sablée dans un moule beurré, piquez le fond avec une fourchette et placez au réfrigérateur pendant la préparation.</v>
      </c>
      <c r="C34" s="663" t="str">
        <f t="shared" si="1"/>
        <v>2 Étalez la pâte sablée dans un moule beurré piquez le fond avec une fourchette et placez au réfrigérateur pendant la préparation</v>
      </c>
      <c r="D34" s="663" t="str">
        <f>IF(UPPER(TRIM(N11))="X",C34,B34)</f>
        <v>2. Étalez la pâte sablée dans un moule beurré, piquez le fond avec une fourchette et placez au réfrigérateur pendant la préparation.</v>
      </c>
      <c r="E34" s="663" cm="1">
        <f t="array" ref="E34">IF(H33&lt;&gt;"",E33,IF(E33="","",IFERROR(MATCH(TRUE(),INDEX(INDEX(K:K,E33+1):K203&lt;&gt;"",0),0)+E33,"")))</f>
        <v>31</v>
      </c>
      <c r="F34" s="663" t="str" cm="1">
        <f t="array" ref="F34">IF(E34="","",IF(H33&lt;&gt;"",H33,INDEX(D:D,E34)))</f>
        <v>• 10 g de sucre glace</v>
      </c>
      <c r="G34" s="663" t="str">
        <f t="shared" si="2"/>
        <v>• 10 g de sucre glace</v>
      </c>
      <c r="H34" s="673" t="str">
        <f t="shared" si="3"/>
        <v/>
      </c>
      <c r="I34" s="680" t="str">
        <f>IF(AND(F34&lt;&gt;"",N10&gt;0,M34&gt;N10),"Mot &gt; limite","")</f>
        <v/>
      </c>
      <c r="J34" s="674">
        <f>IF(K34="","",COUNTIF(K18:K34,"&lt;&gt;"))</f>
        <v>17</v>
      </c>
      <c r="K34" s="675" t="s">
        <v>6479</v>
      </c>
      <c r="L34" s="674">
        <f t="shared" si="4"/>
        <v>132</v>
      </c>
      <c r="M34" s="643">
        <f>IF(OR(F34="",N10="",N10&lt;=0),"",IF(LEN(F34)&lt;=N10,LEN(F34),IFERROR(FIND("♦",SUBSTITUTE(LEFT(F34,N10)," ","♦",LEN(LEFT(F34,N10))-LEN(SUBSTITUTE(LEFT(F34,N10)," ","")))),FIND(" ",F34&amp;" ",N10+1)-1)))</f>
        <v>21</v>
      </c>
      <c r="N34" s="676">
        <f t="shared" si="5"/>
        <v>17</v>
      </c>
      <c r="O34" s="677" t="str">
        <f t="shared" si="6"/>
        <v>• 10 g de sucre glace</v>
      </c>
      <c r="P34" s="676">
        <f t="shared" si="7"/>
        <v>6</v>
      </c>
      <c r="Q34" s="676">
        <f t="shared" si="8"/>
        <v>21</v>
      </c>
      <c r="S34" s="509">
        <v>17</v>
      </c>
      <c r="T34" s="678" t="str">
        <f t="shared" si="10"/>
        <v>• 10 g de sucre glace</v>
      </c>
      <c r="U34" s="679" t="str">
        <f t="shared" si="9"/>
        <v>• 10 g de sucre glace</v>
      </c>
      <c r="V34" s="512" t="str">
        <f>IF(23=23,IF(T34="","",IF(W34="X",""&amp;"Céréales contenant du gluten","")&amp;IF(X34="X",IF(COUNTIF(W34:W34,"X")&gt;0,", ","")&amp;"Crustacés","")&amp;IF(Y34="X",IF(COUNTIF(W34:X34,"X")&gt;0,", ","")&amp;"Œufs","")&amp;IF(Z34="X",IF(COUNTIF(W34:Y34,"X")&gt;0,", ","")&amp;"Poissons","")&amp;IF(AA34="X",IF(COUNTIF(W34:Z34,"X")&gt;0,", ","")&amp;"Arachides","")&amp;IF(AB34="X",IF(COUNTIF(W34:AA34,"X")&gt;0,", ","")&amp;"Soja","")&amp;IF(AC34="X",IF(COUNTIF(W34:AB34,"X")&gt;0,", ","")&amp;"Lait","")&amp;IF(AD34="X",IF(COUNTIF(W34:AC34,"X")&gt;0,", ","")&amp;"Fruits à coque","")&amp;IF(AE34="X",IF(COUNTIF(W34:AD34,"X")&gt;0,", ","")&amp;"Céleri","")&amp;IF(AF34="X",IF(COUNTIF(W34:AE34,"X")&gt;0,", ","")&amp;"Moutarde","")&amp;IF(AG34="X",IF(COUNTIF(W34:AF34,"X")&gt;0,", ","")&amp;"Sésame","")&amp;IF(AH34="X",IF(COUNTIF(W34:AG34,"X")&gt;0,", ","")&amp;"Sulfites","")&amp;IF(AI34="X",IF(COUNTIF(W34:AH34,"X")&gt;0,", ","")&amp;"Lupin","")&amp;IF(AJ34="X",IF(COUNTIF(W34:AI34,"X")&gt;0,", ","")&amp;"Mollusques","")),"")</f>
        <v/>
      </c>
      <c r="W34" s="513" t="str">
        <f>IF(23=23,IF(T34="","",AX34),"")</f>
        <v/>
      </c>
      <c r="X34" s="513" t="str">
        <f>IF(23=23,IF(T34="","",BA34),"")</f>
        <v/>
      </c>
      <c r="Y34" s="513" t="str">
        <f>IF(23=23,IF(T34="","",BE34),"")</f>
        <v/>
      </c>
      <c r="Z34" s="513" t="str">
        <f>IF(23=23,IF(T34="","",IF(ISNUMBER(SEARCH(" colin ",AS34)),"X",BR34)),"")</f>
        <v/>
      </c>
      <c r="AA34" s="513" t="str">
        <f>IF(23=23,IF(T34="","",BT34),"")</f>
        <v/>
      </c>
      <c r="AB34" s="513" t="str">
        <f>IF(23=23,IF(T34="","",BX34),"")</f>
        <v/>
      </c>
      <c r="AC34" s="513" t="str">
        <f>IF(23=23,IF(T34="","",CE34),"")</f>
        <v/>
      </c>
      <c r="AD34" s="513" t="str">
        <f>IF(23=23,IF(T34="","",CI34),"")</f>
        <v/>
      </c>
      <c r="AE34" s="513" t="str">
        <f>IF(23=23,IF(T34="","",CL34),"")</f>
        <v/>
      </c>
      <c r="AF34" s="513" t="str">
        <f>IF(23=23,IF(T34="","",CO34),"")</f>
        <v/>
      </c>
      <c r="AG34" s="513" t="str">
        <f>IF(23=23,IF(T34="","",CR34),"")</f>
        <v/>
      </c>
      <c r="AH34" s="513" t="str">
        <f>IF(23=23,IF(T34="","",CU34),"")</f>
        <v/>
      </c>
      <c r="AI34" s="513" t="str">
        <f>IF(23=23,IF(T34="","",CX34),"")</f>
        <v/>
      </c>
      <c r="AJ34" s="513" t="str">
        <f>IF(23=23,IF(T34="","",DD34),"")</f>
        <v/>
      </c>
      <c r="AK34" s="514" t="str">
        <f>IF(23=23,IF(T34="","",IF(W34="?",""&amp;"Céréales contenant du gluten","")&amp;IF(X34="?",IF(COUNTIF(W34:W34,"~?")&gt;0,", ","")&amp;"Crustacés","")&amp;IF(Y34="?",IF(COUNTIF(W34:X34,"~?")&gt;0,", ","")&amp;"Œufs","")&amp;IF(Z34="?",IF(COUNTIF(W34:Y34,"~?")&gt;0,", ","")&amp;"Poissons","")&amp;IF(AA34="?",IF(COUNTIF(W34:Z34,"~?")&gt;0,", ","")&amp;"Arachides","")&amp;IF(AB34="?",IF(COUNTIF(W34:AA34,"~?")&gt;0,", ","")&amp;"Soja","")&amp;IF(AC34="?",IF(COUNTIF(W34:AB34,"~?")&gt;0,", ","")&amp;"Lait","")&amp;IF(AD34="?",IF(COUNTIF(W34:AC34,"~?")&gt;0,", ","")&amp;"Fruits à coque","")&amp;IF(AE34="?",IF(COUNTIF(W34:AD34,"~?")&gt;0,", ","")&amp;"Céleri","")&amp;IF(AF34="?",IF(COUNTIF(W34:AE34,"~?")&gt;0,", ","")&amp;"Moutarde","")&amp;IF(AG34="?",IF(COUNTIF(W34:AF34,"~?")&gt;0,", ","")&amp;"Sésame","")&amp;IF(AH34="?",IF(COUNTIF(W34:AG34,"~?")&gt;0,", ","")&amp;"Sulfites","")&amp;IF(AI34="?",IF(COUNTIF(W34:AH34,"~?")&gt;0,", ","")&amp;"Lupin","")&amp;IF(AJ34="?",IF(COUNTIF(W34:AI34,"~?")&gt;0,", ","")&amp;"Mollusques","")),"")</f>
        <v/>
      </c>
      <c r="AM34" s="493" t="str">
        <f>IF(23=23,IF(T34="","",T34),"")</f>
        <v>• 10 g de sucre glace</v>
      </c>
      <c r="AN34" s="493" t="str">
        <f>IF(23=23,LOWER(CLEAN(SUBSTITUTE(SUBSTITUTE(SUBSTITUTE(SUBSTITUTE(AM34,CHAR(160)," ")," "," "),CHAR(10)," "),CHAR(13)," "))),"")</f>
        <v>• 10 g de sucre glace</v>
      </c>
      <c r="AO34" s="493" t="str">
        <f>IF(23=23,SUBSTITUTE(SUBSTITUTE(SUBSTITUTE(SUBSTITUTE(SUBSTITUTE(SUBSTITUTE(SUBSTITUTE(SUBSTITUTE(SUBSTITUTE(SUBSTITUTE(SUBSTITUTE(SUBSTITUTE(AN34,"œ","oe"),"æ","ae"),"à","a"),"á","a"),"â","a"),"ä","a"),"ã","a"),"ç","c"),"è","e"),"é","e"),"ê","e"),"ë","e"),"")</f>
        <v>• 10 g de sucre glace</v>
      </c>
      <c r="AP34" s="493" t="str">
        <f>IF(23=23,SUBSTITUTE(SUBSTITUTE(SUBSTITUTE(SUBSTITUTE(SUBSTITUTE(SUBSTITUTE(SUBSTITUTE(SUBSTITUTE(SUBSTITUTE(SUBSTITUTE(SUBSTITUTE(SUBSTITUTE(SUBSTITUTE(SUBSTITUTE(SUBSTITUTE(SUBSTITUTE(AO34,"ì","i"),"í","i"),"î","i"),"ï","i"),"ñ","n"),"ò","o"),"ó","o"),"ô","o"),"ö","o"),"õ","o"),"ù","u"),"ú","u"),"û","u"),"ü","u"),"ý","y"),"ÿ","y"),"")</f>
        <v>• 10 g de sucre glace</v>
      </c>
      <c r="AQ34" s="493" t="str">
        <f>IF(23=23,SUBSTITUTE(SUBSTITUTE(SUBSTITUTE(SUBSTITUTE(SUBSTITUTE(SUBSTITUTE(SUBSTITUTE(SUBSTITUTE(SUBSTITUTE(SUBSTITUTE(SUBSTITUTE(SUBSTITUTE(SUBSTITUTE(SUBSTITUTE(AP34,"’"," "),"`"," "),"–"," "),"—"," "),"-"," "),"'"," "),"/"," "),"_"," "),","," "),"."," "),"("," "),")"," "),";"," "),":"," "),"")</f>
        <v>• 10 g de sucre glace</v>
      </c>
      <c r="AR34" s="493" t="str">
        <f>IF(23=23,SUBSTITUTE(SUBSTITUTE(SUBSTITUTE(SUBSTITUTE(SUBSTITUTE(SUBSTITUTE(SUBSTITUTE(SUBSTITUTE(SUBSTITUTE(SUBSTITUTE(SUBSTITUTE(SUBSTITUTE(SUBSTITUTE(SUBSTITUTE(SUBSTITUTE(AQ34,"!"," "),"?"," "),"+"," "),"*"," "),"&amp;"," "),"["," "),"]"," "),"{"," "),"}"," "),"%"," "),"="," "),"\"," "),"|"," "),"&lt;"," "),"&gt;"," "),"")</f>
        <v>• 10 g de sucre glace</v>
      </c>
      <c r="AS34" s="493" t="str">
        <f>IF(23=23," "&amp;TRIM(SUBSTITUTE(SUBSTITUTE(SUBSTITUTE(SUBSTITUTE(SUBSTITUTE(SUBSTITUTE(AR34,CHAR(34)," "),"  "," "),"  "," "),"  "," "),"  "," "),"  "," "))&amp;" ","")</f>
        <v xml:space="preserve"> • 10 g de sucre glace </v>
      </c>
      <c r="AT34" s="493" cm="1">
        <f t="array" ref="AT34">IF(23=23,IF(AM34="","",SUMPRODUCT(--ISNUMBER(SEARCH(" "&amp;DJ13:DJ112&amp;" ",AV34)))),"")</f>
        <v>0</v>
      </c>
      <c r="AU34" s="493" cm="1">
        <f t="array" ref="AU34">IF(23=23,IF(AM34="","",SUMPRODUCT(--ISNUMBER(SEARCH(" "&amp;DJ113:DJ162&amp;" ",AV34)))),"")</f>
        <v>0</v>
      </c>
      <c r="AV34" s="493" t="str">
        <f>IF(AM34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34,"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10 g de sucre glace </v>
      </c>
      <c r="AW34" s="493" cm="1">
        <f t="array" ref="AW34">IF(AM34="","",SUMPRODUCT(--ISNUMBER(SEARCH(" "&amp;DJ195:DJ216&amp;" ",AV34)))+--ISNUMBER(SEARCH(" "&amp;DJ2465&amp;" ",AV34)))</f>
        <v>0</v>
      </c>
      <c r="AX34" s="493" t="str" cm="1">
        <f t="array" ref="AX34">IF(23=23,IF(AM34="","",IF(SUM(AT34:AU34)+SUMPRODUCT(--ISNUMBER(SEARCH(" "&amp;DJ2429:DJ2431&amp;" ",AV34)))&gt;0,"X",IF(AW34&gt;0,"?",""))),"")</f>
        <v/>
      </c>
      <c r="AY34" s="493" cm="1">
        <f t="array" ref="AY34">IF(23=23,IF(AM34="","",SUMPRODUCT(--ISNUMBER(SEARCH(" "&amp;DJ217:DJ316&amp;" ",AS34)))),"")</f>
        <v>0</v>
      </c>
      <c r="AZ34" s="493" cm="1">
        <f t="array" ref="AZ34">IF(23=23,IF(AM34="","",SUMPRODUCT(--ISNUMBER(SEARCH(" "&amp;DJ317:DJ351&amp;" ",AS34)))),"")</f>
        <v>0</v>
      </c>
      <c r="BA34" s="493" t="str">
        <f>IF(23=23,IF(AM34="","",IF((SUM(AY34:AZ34))-(0)&gt;0,"X",IF((0)-(0)&gt;0,"?",""))),"")</f>
        <v/>
      </c>
      <c r="BB34" s="493" cm="1">
        <f t="array" ref="BB34">IF(23=23,IF(AM34="","",SUMPRODUCT(--ISNUMBER(SEARCH(" "&amp;DJ352:DJ409&amp;" ",AS34)))),"")</f>
        <v>0</v>
      </c>
      <c r="BC34" s="493" cm="1">
        <f t="array" ref="BC34">IF(23=23,IF(AM34="","",SUMPRODUCT(--ISNUMBER(SEARCH(" "&amp;DJ410:DJ437&amp;" ",BD34)))+SUMPRODUCT(--ISNUMBER(SEARCH(" "&amp;DJ2451:DJ2464&amp;" ",BD34)))),"")</f>
        <v>0</v>
      </c>
      <c r="BD34" s="493" t="str">
        <f>IF(23=23,IF(AM34="","",SUBSTITUTE(SUBSTITUTE(SUBSTITUTE(SUBSTITUTE(SUBSTITUTE(SUBSTITUTE(SUBSTITUTE(SUBSTITUTE(SUBSTITUTE(SUBSTITUTE(SUBSTITUTE(SUBSTITUTE(SUBSTITUTE(SUBSTITUTE(AS34," "&amp;DJ2466&amp;" "," ")," "&amp;DJ444&amp;" "," ")," "&amp;DJ442&amp;" "," ")," "&amp;DJ2449&amp;" "," ")," "&amp;DJ2450&amp;" "," ")," "&amp;DJ439&amp;" "," ")," "&amp;DJ443&amp;" "," ")," "&amp;DJ445&amp;" "," ")," "&amp;DJ440&amp;" "," ")," "&amp;DJ438&amp;" "," ")," "&amp;DJ1378&amp;" "," ")," "&amp;DJ446&amp;" "," ")," "&amp;DJ1377&amp;" "," ")," "&amp;DJ441&amp;" "," ")),"")</f>
        <v xml:space="preserve"> • 10 g de </v>
      </c>
      <c r="BE34" s="493" t="str">
        <f>IF(23=23,IF(AM34="","",IF(BB34&gt;0,"X",IF(BC34&gt;0,"?",""))),"")</f>
        <v/>
      </c>
      <c r="BF34" s="493" cm="1">
        <f t="array" ref="BF34">IF(23=23,IF(AM34="","",SUMPRODUCT(--ISNUMBER(SEARCH(" "&amp;DJ447:DJ546&amp;" ",BP34)))),"")</f>
        <v>0</v>
      </c>
      <c r="BG34" s="493" cm="1">
        <f t="array" ref="BG34">IF(23=23,IF(AM34="","",SUMPRODUCT(--ISNUMBER(SEARCH(" "&amp;DJ547:DJ646&amp;" ",BP34)))),"")</f>
        <v>0</v>
      </c>
      <c r="BH34" s="493" cm="1">
        <f t="array" ref="BH34">IF(23=23,IF(AM34="","",SUMPRODUCT(--ISNUMBER(SEARCH(" "&amp;DJ647:DJ746&amp;" ",BP34)))),"")</f>
        <v>0</v>
      </c>
      <c r="BI34" s="493" cm="1">
        <f t="array" ref="BI34">IF(23=23,IF(AM34="","",SUMPRODUCT(--ISNUMBER(SEARCH(" "&amp;DJ747:DJ846&amp;" ",BP34)))),"")</f>
        <v>0</v>
      </c>
      <c r="BJ34" s="493" cm="1">
        <f t="array" ref="BJ34">IF(23=23,IF(AM34="","",SUMPRODUCT(--ISNUMBER(SEARCH(" "&amp;DJ847:DJ946&amp;" ",BP34)))),"")</f>
        <v>0</v>
      </c>
      <c r="BK34" s="493" cm="1">
        <f t="array" ref="BK34">IF(23=23,IF(AM34="","",SUMPRODUCT(--ISNUMBER(SEARCH(" "&amp;DJ947:DJ1046&amp;" ",BP34)))),"")</f>
        <v>0</v>
      </c>
      <c r="BL34" s="493" cm="1">
        <f t="array" ref="BL34">IF(23=23,IF(AM34="","",SUMPRODUCT(--ISNUMBER(SEARCH(" "&amp;DJ1047:DJ1146&amp;" ",BP34)))),"")</f>
        <v>0</v>
      </c>
      <c r="BM34" s="493" cm="1">
        <f t="array" ref="BM34">IF(23=23,IF(AM34="","",SUMPRODUCT(--ISNUMBER(SEARCH(" "&amp;DJ1147:DJ1246&amp;" ",BP34)))),"")</f>
        <v>0</v>
      </c>
      <c r="BN34" s="493" cm="1">
        <f t="array" ref="BN34">IF(23=23,IF(AM34="","",SUMPRODUCT(--ISNUMBER(SEARCH(" "&amp;DJ1247:DJ1346&amp;" ",BP34)))),"")</f>
        <v>0</v>
      </c>
      <c r="BO34" s="493" cm="1">
        <f t="array" ref="BO34">IF(23=23,IF(AM34="","",SUMPRODUCT(--ISNUMBER(SEARCH(" "&amp;DJ1347:DJ1374&amp;" ",BP34)))),"")</f>
        <v>0</v>
      </c>
      <c r="BP34" s="493" t="str">
        <f>IF(23=23,IF(AM34="","",SUBSTITUTE(SUBSTITUTE(SUBSTITUTE(SUBSTITUTE(SUBSTITUTE(SUBSTITUTE(SUBSTITUTE(SUBSTITUTE(SUBSTITUTE(AS34," "&amp;DJ1376&amp;" "," ")," "&amp;DJ1375&amp;" "," ")," "&amp;DJ1381&amp;" "," ")," "&amp;DJ1382&amp;" "," ")," "&amp;DJ1378&amp;" "," ")," "&amp;DJ1380&amp;" "," ")," "&amp;DJ1377&amp;" "," ")," "&amp;DJ1379&amp;" "," ")," "&amp;DJ1383&amp;" "," ")),"")</f>
        <v xml:space="preserve"> • 10 g de sucre glace </v>
      </c>
      <c r="BQ34" s="493" cm="1">
        <f t="array" ref="BQ34">IF(23=23,IF(AM34="","",SUMPRODUCT(--ISNUMBER(SEARCH(" "&amp;DJ1384:DJ1394&amp;" ",BP34)))),"")</f>
        <v>0</v>
      </c>
      <c r="BR34" s="493" t="str" cm="1">
        <f t="array" ref="BR34">IF(23=23,IF(AM34="","",IF(SUM(BF34:BO34)+SUMPRODUCT(--ISNUMBER(SEARCH(" "&amp;DJ2432:DJ2433&amp;" ",BP34)))&gt;0,"X",IF(BQ34&gt;0,"?",""))),"")</f>
        <v/>
      </c>
      <c r="BS34" s="493" cm="1">
        <f t="array" ref="BS34">IF(23=23,IF(AM34="","",SUMPRODUCT(--ISNUMBER(SEARCH(" "&amp;DJ1395:DJ1415&amp;" ",AS34)))),"")</f>
        <v>0</v>
      </c>
      <c r="BT34" s="493" t="str">
        <f>IF(23=23,IF(AM34="","",IF((BS34)-(0)&gt;0,"X",IF((0)-(0)&gt;0,"?",""))),"")</f>
        <v/>
      </c>
      <c r="BU34" s="493" cm="1">
        <f t="array" ref="BU34">IF(23=23,IF(AM34="","",SUMPRODUCT(--ISNUMBER(SEARCH(" "&amp;DJ1416:DJ1453&amp;" ",BV34)))),"")</f>
        <v>0</v>
      </c>
      <c r="BV34" s="493" t="str">
        <f>IF(23=23,IF(AM34="","",SUBSTITUTE(SUBSTITUTE(AS34," "&amp;DJ1454&amp;" "," ")," "&amp;DJ1455&amp;" "," ")),"")</f>
        <v xml:space="preserve"> • 10 g de sucre glace </v>
      </c>
      <c r="BW34" s="493" cm="1">
        <f t="array" ref="BW34">IF(23=23,IF(AM34="","",SUMPRODUCT(--ISNUMBER(SEARCH(" "&amp;DJ1456:DJ1466&amp;" ",BV34)))),"")</f>
        <v>0</v>
      </c>
      <c r="BX34" s="493" t="str">
        <f>IF(23=23,IF(AM34="","",IF(BU34&gt;0,"X",IF(BW34&gt;0,"?",""))),"")</f>
        <v/>
      </c>
      <c r="BY34" s="493" cm="1">
        <f t="array" ref="BY34">IF(23=23,IF(AM34="","",SUMPRODUCT(--ISNUMBER(SEARCH(" "&amp;DJ1467:DJ1566&amp;" ",CB34)))),"")</f>
        <v>0</v>
      </c>
      <c r="BZ34" s="493" cm="1">
        <f t="array" ref="BZ34">IF(23=23,IF(AM34="","",SUMPRODUCT(--ISNUMBER(SEARCH(" "&amp;DJ1567:DJ1666&amp;" ",CB34)))),"")</f>
        <v>0</v>
      </c>
      <c r="CA34" s="493" cm="1">
        <f t="array" ref="CA34">IF(23=23,IF(AM34="","",SUMPRODUCT(--ISNUMBER(SEARCH(" "&amp;DJ1667:DJ1750&amp;" ",CB34)))),"")</f>
        <v>0</v>
      </c>
      <c r="CB34" s="493" t="str">
        <f>IF(23=23,IF(AM34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34,"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10 g de </v>
      </c>
      <c r="CC34" s="493" cm="1">
        <f t="array" ref="CC34">IF(23=23,IF(AM34="","",SUMPRODUCT(--ISNUMBER(SEARCH(" "&amp;DJ1801:DJ1880&amp;" ",CD34)))+SUMPRODUCT(--ISNUMBER(SEARCH(" "&amp;DJ2451:DJ2464&amp;" ",CD34)))),"")</f>
        <v>0</v>
      </c>
      <c r="CD34" s="493" t="str">
        <f>IF(23=23,IF(AM34="","",SUBSTITUTE(SUBSTITUTE(SUBSTITUTE(SUBSTITUTE(SUBSTITUTE(SUBSTITUTE(SUBSTITUTE(SUBSTITUTE(SUBSTITUTE(SUBSTITUTE(SUBSTITUTE(SUBSTITUTE(SUBSTITUTE(CB34," "&amp;DJ1887&amp;" "," ")," "&amp;DJ1885&amp;" "," ")," "&amp;DJ2449&amp;" "," ")," "&amp;DJ2450&amp;" "," ")," "&amp;DJ1882&amp;" "," ")," "&amp;DJ1886&amp;" "," ")," "&amp;DJ1888&amp;" "," ")," "&amp;DJ1883&amp;" "," ")," "&amp;DJ1881&amp;" "," ")," "&amp;DJ1378&amp;" "," ")," "&amp;DJ1889&amp;" "," ")," "&amp;DJ1377&amp;" "," ")," "&amp;DJ1884&amp;" "," ")),"")</f>
        <v xml:space="preserve"> • 10 g de </v>
      </c>
      <c r="CE34" s="493" t="str" cm="1">
        <f t="array" ref="CE34">IF(23=23,IF(AM34="","",IF(SUM(BY34:CA34)+SUMPRODUCT(--ISNUMBER(SEARCH(" "&amp;DJ2434:DJ2435&amp;" ",CB34)))&gt;0,"X",IF(CC34&gt;0,"?",""))),"")</f>
        <v/>
      </c>
      <c r="CF34" s="493" cm="1">
        <f t="array" ref="CF34">IF(23=23,IF(AM34="","",SUMPRODUCT(--ISNUMBER(SEARCH(" "&amp;DJ1890:DJ1947&amp;" ",CG34)))),"")</f>
        <v>0</v>
      </c>
      <c r="CG34" s="493" t="str">
        <f>IF(23=23,IF(AM34="","",SUBSTITUTE(SUBSTITUTE(SUBSTITUTE(SUBSTITUTE(SUBSTITUTE(SUBSTITUTE(SUBSTITUTE(SUBSTITUTE(SUBSTITUTE(SUBSTITUTE(SUBSTITUTE(SUBSTITUTE(SUBSTITUTE(SUBSTITUTE(SUBSTITUTE(SUBSTITUTE(SUBSTITUTE(SUBSTITUTE(SUBSTITUTE(SUBSTITUTE(SUBSTITUTE(SUBSTITUTE(SUBSTITUTE(AS34,"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10 g de sucre glace </v>
      </c>
      <c r="CH34" s="493" cm="1">
        <f t="array" ref="CH34">IF(23=23,IF(AM34="","",SUMPRODUCT(--ISNUMBER(SEARCH(" "&amp;DJ1971:DJ1987&amp;" ",CG34)))),"")</f>
        <v>0</v>
      </c>
      <c r="CI34" s="493" t="str">
        <f>IF(23=23,IF(AM34="","",IF(CF34&gt;0,"X",IF(CH34&gt;0,"?",""))),"")</f>
        <v/>
      </c>
      <c r="CJ34" s="493" cm="1">
        <f t="array" ref="CJ34">IF(23=23,IF(AM34="","",SUMPRODUCT(--ISNUMBER(SEARCH(" "&amp;DJ1988:DJ2001&amp;" ",AS34)))),"")</f>
        <v>0</v>
      </c>
      <c r="CK34" s="493" cm="1">
        <f t="array" ref="CK34">IF(23=23,IF(AM34="","",SUMPRODUCT(--ISNUMBER(SEARCH(" "&amp;DJ2002:DJ2016&amp;" ",AS34)))),"")</f>
        <v>0</v>
      </c>
      <c r="CL34" s="493" t="str">
        <f>IF(23=23,IF(AM34="","",IF((CJ34)-(0)&gt;0,"X",IF((CK34)-(0)&gt;0,"?",""))),"")</f>
        <v/>
      </c>
      <c r="CM34" s="493" cm="1">
        <f t="array" ref="CM34">IF(23=23,IF(AM34="","",SUMPRODUCT(--ISNUMBER(SEARCH(" "&amp;DJ2017:DJ2034&amp;" ",AS34)))),"")</f>
        <v>0</v>
      </c>
      <c r="CN34" s="493" cm="1">
        <f t="array" ref="CN34">IF(23=23,IF(AM34="","",SUMPRODUCT(--ISNUMBER(SEARCH(" "&amp;DJ2035:DJ2049&amp;" ",AS34)))),"")</f>
        <v>0</v>
      </c>
      <c r="CO34" s="493" t="str">
        <f>IF(23=23,IF(AM34="","",IF((CM34)-(0)&gt;0,"X",IF((CN34)-(0)&gt;0,"?",""))),"")</f>
        <v/>
      </c>
      <c r="CP34" s="493" cm="1">
        <f t="array" ref="CP34">IF(23=23,IF(AM34="","",SUMPRODUCT(--ISNUMBER(SEARCH(" "&amp;DJ2050:DJ2068&amp;" ",AS34)))),"")</f>
        <v>0</v>
      </c>
      <c r="CQ34" s="493" cm="1">
        <f t="array" ref="CQ34">IF(23=23,IF(AM34="","",SUMPRODUCT(--ISNUMBER(SEARCH(" "&amp;DJ2069:DJ2083&amp;" ",AS34)))),"")</f>
        <v>0</v>
      </c>
      <c r="CR34" s="493" t="str">
        <f>IF(23=23,IF(AM34="","",IF((CP34)-(0)&gt;0,"X",IF((CQ34)-(0)&gt;0,"?",""))),"")</f>
        <v/>
      </c>
      <c r="CS34" s="493" cm="1">
        <f t="array" ref="CS34">IF(23=23,IF(AM34="","",SUMPRODUCT(--ISNUMBER(SEARCH(" "&amp;DJ2084:DJ2104&amp;" ",AS34)))),"")</f>
        <v>0</v>
      </c>
      <c r="CT34" s="493" cm="1">
        <f t="array" ref="CT34">IF(23=23,IF(AM34="","",SUMPRODUCT(--ISNUMBER(SEARCH(" "&amp;DJ2105:DJ2144&amp;" ",SUBSTITUTE(SUBSTITUTE(AS34," "&amp;DJ1378&amp;" "," ")," "&amp;DJ1377&amp;" "," "))))+--ISNUMBER(SEARCH("poiré",AN34))),"")</f>
        <v>0</v>
      </c>
      <c r="CU34" s="493" t="str">
        <f>IF(23=23,IF(AM34="","",IF(OR(CS34&gt;0,ISNUMBER(SEARCH(" vinaigre de vin ",AS34)),ISNUMBER(SEARCH(" vinaigre au vin ",AS34))),"X",IF(CT34&gt;0,"?",""))),"")</f>
        <v/>
      </c>
      <c r="CV34" s="493" cm="1">
        <f t="array" ref="CV34">IF(23=23,IF(AM34="","",SUMPRODUCT(--ISNUMBER(SEARCH(" "&amp;DJ2145:DJ2157&amp;" ",AS34)))),"")</f>
        <v>0</v>
      </c>
      <c r="CW34" s="493" cm="1">
        <f t="array" ref="CW34">IF(23=23,IF(AM34="","",SUMPRODUCT(--ISNUMBER(SEARCH(" "&amp;DJ2158:DJ2163&amp;" ",AS34)))),"")</f>
        <v>0</v>
      </c>
      <c r="CX34" s="493" t="str">
        <f>IF(23=23,IF(AM34="","",IF((CV34)-(0)&gt;0,"X",IF((CW34)-(0)&gt;0,"?",""))),"")</f>
        <v/>
      </c>
      <c r="CY34" s="493" cm="1">
        <f t="array" ref="CY34">IF(23=23,IF(AM34="","",SUMPRODUCT(--ISNUMBER(SEARCH(" "&amp;DJ2164:DJ2263&amp;" ",DB34)))),"")</f>
        <v>0</v>
      </c>
      <c r="CZ34" s="493" cm="1">
        <f t="array" ref="CZ34">IF(23=23,IF(AM34="","",SUMPRODUCT(--ISNUMBER(SEARCH(" "&amp;DJ2264:DJ2363&amp;" ",DB34)))),"")</f>
        <v>0</v>
      </c>
      <c r="DA34" s="493" cm="1">
        <f t="array" ref="DA34">IF(23=23,IF(AM34="","",SUMPRODUCT(--ISNUMBER(SEARCH(" "&amp;DJ2364:DJ2406&amp;" ",DB34)))),"")</f>
        <v>0</v>
      </c>
      <c r="DB34" s="493" t="str">
        <f>IF(23=23,IF(AM34="","",SUBSTITUTE(SUBSTITUTE(SUBSTITUTE(SUBSTITUTE(SUBSTITUTE(SUBSTITUTE(SUBSTITUTE(SUBSTITUTE(SUBSTITUTE(SUBSTITUTE(SUBSTITUTE(SUBSTITUTE(SUBSTITUTE(SUBSTITUTE(SUBSTITUTE(SUBSTITUTE(AS34," "&amp;DJ2412&amp;" "," ")," "&amp;DJ2411&amp;" "," ")," "&amp;DJ2410&amp;" "," ")," "&amp;DJ2417&amp;" "," ")," "&amp;DJ2409&amp;" "," ")," "&amp;DJ2421&amp;" "," ")," "&amp;DJ2408&amp;" "," ")," "&amp;DJ2413&amp;" "," ")," "&amp;DJ2416&amp;" "," ")," "&amp;DJ2407&amp;" "," ")," "&amp;DJ2415&amp;" "," ")," "&amp;DJ2422&amp;" "," ")," "&amp;DJ2419&amp;" "," ")," "&amp;DJ2414&amp;" "," ")," "&amp;DJ2418&amp;" "," ")," "&amp;DJ2420&amp;" "," ")),"")</f>
        <v xml:space="preserve"> • 10 g de sucre glace </v>
      </c>
      <c r="DC34" s="493" cm="1">
        <f t="array" ref="DC34">IF(23=23,IF(AM34="","",SUMPRODUCT(--ISNUMBER(SEARCH(" "&amp;DJ2423:DJ2427&amp;" ",DB34)))),"")</f>
        <v>0</v>
      </c>
      <c r="DD34" s="493" t="str">
        <f>IF(23=23,IF(AM34="","",IF(SUM(CY34:DA34)&gt;0,"X",IF(DC34&gt;0,"?",""))),"")</f>
        <v/>
      </c>
      <c r="DE34" s="494"/>
      <c r="DF34" s="496" t="s">
        <v>1184</v>
      </c>
      <c r="DG34" s="496" t="s">
        <v>1083</v>
      </c>
      <c r="DH34" s="496" t="s">
        <v>689</v>
      </c>
      <c r="DI34" s="496" t="s">
        <v>1185</v>
      </c>
      <c r="DJ34" s="496" t="s">
        <v>1185</v>
      </c>
      <c r="DK34" s="496" t="s">
        <v>1085</v>
      </c>
      <c r="DL34" s="496" t="s">
        <v>1086</v>
      </c>
      <c r="DM34" s="496" t="s">
        <v>1087</v>
      </c>
      <c r="DN34" s="497" t="s">
        <v>1088</v>
      </c>
      <c r="DP34" s="543">
        <v>1</v>
      </c>
    </row>
    <row r="35" spans="2:120" ht="30" customHeight="1">
      <c r="B35" s="663" t="str">
        <f t="shared" si="0"/>
        <v>3. Épluchez, épépinez et coupez les pommes en tranches épaisses. Disposez-les joliment sur le fond de tarte.</v>
      </c>
      <c r="C35" s="663" t="str">
        <f t="shared" si="1"/>
        <v>3 Épluchez épépinez et coupez les pommes en tranches épaisses Disposez les joliment sur le fond de tarte</v>
      </c>
      <c r="D35" s="663" t="str">
        <f>IF(UPPER(TRIM(N11))="X",C35,B35)</f>
        <v>3. Épluchez, épépinez et coupez les pommes en tranches épaisses. Disposez-les joliment sur le fond de tarte.</v>
      </c>
      <c r="E35" s="663" cm="1">
        <f t="array" ref="E35">IF(H34&lt;&gt;"",E34,IF(E34="","",IFERROR(MATCH(TRUE(),INDEX(INDEX(K:K,E34+1):K203&lt;&gt;"",0),0)+E34,"")))</f>
        <v>32</v>
      </c>
      <c r="F35" s="663" t="str" cm="1">
        <f t="array" ref="F35">IF(E35="","",IF(H34&lt;&gt;"",H34,INDEX(D:D,E35)))</f>
        <v>Préparation :</v>
      </c>
      <c r="G35" s="663" t="str">
        <f t="shared" si="2"/>
        <v>Préparation :</v>
      </c>
      <c r="H35" s="673" t="str">
        <f t="shared" si="3"/>
        <v/>
      </c>
      <c r="I35" s="680" t="str">
        <f>IF(AND(F35&lt;&gt;"",N10&gt;0,M35&gt;N10),"Mot &gt; limite","")</f>
        <v/>
      </c>
      <c r="J35" s="674">
        <f>IF(K35="","",COUNTIF(K18:K35,"&lt;&gt;"))</f>
        <v>18</v>
      </c>
      <c r="K35" s="675" t="s">
        <v>6480</v>
      </c>
      <c r="L35" s="674">
        <f t="shared" si="4"/>
        <v>108</v>
      </c>
      <c r="M35" s="643">
        <f>IF(OR(F35="",N10="",N10&lt;=0),"",IF(LEN(F35)&lt;=N10,LEN(F35),IFERROR(FIND("♦",SUBSTITUTE(LEFT(F35,N10)," ","♦",LEN(LEFT(F35,N10))-LEN(SUBSTITUTE(LEFT(F35,N10)," ","")))),FIND(" ",F35&amp;" ",N10+1)-1)))</f>
        <v>13</v>
      </c>
      <c r="N35" s="676">
        <f t="shared" si="5"/>
        <v>18</v>
      </c>
      <c r="O35" s="677" t="str">
        <f t="shared" si="6"/>
        <v>Préparation :</v>
      </c>
      <c r="P35" s="676">
        <f t="shared" si="7"/>
        <v>2</v>
      </c>
      <c r="Q35" s="676">
        <f t="shared" si="8"/>
        <v>13</v>
      </c>
      <c r="S35" s="509">
        <v>18</v>
      </c>
      <c r="T35" s="678" t="str">
        <f t="shared" si="10"/>
        <v>Préparation :</v>
      </c>
      <c r="U35" s="679" t="str">
        <f t="shared" si="9"/>
        <v>Préparation :</v>
      </c>
      <c r="V35" s="512" t="str">
        <f>IF(24=24,IF(T35="","",IF(W35="X",""&amp;"Céréales contenant du gluten","")&amp;IF(X35="X",IF(COUNTIF(W35:W35,"X")&gt;0,", ","")&amp;"Crustacés","")&amp;IF(Y35="X",IF(COUNTIF(W35:X35,"X")&gt;0,", ","")&amp;"Œufs","")&amp;IF(Z35="X",IF(COUNTIF(W35:Y35,"X")&gt;0,", ","")&amp;"Poissons","")&amp;IF(AA35="X",IF(COUNTIF(W35:Z35,"X")&gt;0,", ","")&amp;"Arachides","")&amp;IF(AB35="X",IF(COUNTIF(W35:AA35,"X")&gt;0,", ","")&amp;"Soja","")&amp;IF(AC35="X",IF(COUNTIF(W35:AB35,"X")&gt;0,", ","")&amp;"Lait","")&amp;IF(AD35="X",IF(COUNTIF(W35:AC35,"X")&gt;0,", ","")&amp;"Fruits à coque","")&amp;IF(AE35="X",IF(COUNTIF(W35:AD35,"X")&gt;0,", ","")&amp;"Céleri","")&amp;IF(AF35="X",IF(COUNTIF(W35:AE35,"X")&gt;0,", ","")&amp;"Moutarde","")&amp;IF(AG35="X",IF(COUNTIF(W35:AF35,"X")&gt;0,", ","")&amp;"Sésame","")&amp;IF(AH35="X",IF(COUNTIF(W35:AG35,"X")&gt;0,", ","")&amp;"Sulfites","")&amp;IF(AI35="X",IF(COUNTIF(W35:AH35,"X")&gt;0,", ","")&amp;"Lupin","")&amp;IF(AJ35="X",IF(COUNTIF(W35:AI35,"X")&gt;0,", ","")&amp;"Mollusques","")),"")</f>
        <v/>
      </c>
      <c r="W35" s="513" t="str">
        <f>IF(24=24,IF(T35="","",AX35),"")</f>
        <v/>
      </c>
      <c r="X35" s="513" t="str">
        <f>IF(24=24,IF(T35="","",BA35),"")</f>
        <v/>
      </c>
      <c r="Y35" s="513" t="str">
        <f>IF(24=24,IF(T35="","",BE35),"")</f>
        <v/>
      </c>
      <c r="Z35" s="513" t="str">
        <f>IF(24=24,IF(T35="","",IF(ISNUMBER(SEARCH(" colin ",AS35)),"X",BR35)),"")</f>
        <v/>
      </c>
      <c r="AA35" s="513" t="str">
        <f>IF(24=24,IF(T35="","",BT35),"")</f>
        <v/>
      </c>
      <c r="AB35" s="513" t="str">
        <f>IF(24=24,IF(T35="","",BX35),"")</f>
        <v/>
      </c>
      <c r="AC35" s="513" t="str">
        <f>IF(24=24,IF(T35="","",CE35),"")</f>
        <v/>
      </c>
      <c r="AD35" s="513" t="str">
        <f>IF(24=24,IF(T35="","",CI35),"")</f>
        <v/>
      </c>
      <c r="AE35" s="513" t="str">
        <f>IF(24=24,IF(T35="","",CL35),"")</f>
        <v/>
      </c>
      <c r="AF35" s="513" t="str">
        <f>IF(24=24,IF(T35="","",CO35),"")</f>
        <v/>
      </c>
      <c r="AG35" s="513" t="str">
        <f>IF(24=24,IF(T35="","",CR35),"")</f>
        <v/>
      </c>
      <c r="AH35" s="513" t="str">
        <f>IF(24=24,IF(T35="","",CU35),"")</f>
        <v/>
      </c>
      <c r="AI35" s="513" t="str">
        <f>IF(24=24,IF(T35="","",CX35),"")</f>
        <v/>
      </c>
      <c r="AJ35" s="513" t="str">
        <f>IF(24=24,IF(T35="","",DD35),"")</f>
        <v/>
      </c>
      <c r="AK35" s="514" t="str">
        <f>IF(24=24,IF(T35="","",IF(W35="?",""&amp;"Céréales contenant du gluten","")&amp;IF(X35="?",IF(COUNTIF(W35:W35,"~?")&gt;0,", ","")&amp;"Crustacés","")&amp;IF(Y35="?",IF(COUNTIF(W35:X35,"~?")&gt;0,", ","")&amp;"Œufs","")&amp;IF(Z35="?",IF(COUNTIF(W35:Y35,"~?")&gt;0,", ","")&amp;"Poissons","")&amp;IF(AA35="?",IF(COUNTIF(W35:Z35,"~?")&gt;0,", ","")&amp;"Arachides","")&amp;IF(AB35="?",IF(COUNTIF(W35:AA35,"~?")&gt;0,", ","")&amp;"Soja","")&amp;IF(AC35="?",IF(COUNTIF(W35:AB35,"~?")&gt;0,", ","")&amp;"Lait","")&amp;IF(AD35="?",IF(COUNTIF(W35:AC35,"~?")&gt;0,", ","")&amp;"Fruits à coque","")&amp;IF(AE35="?",IF(COUNTIF(W35:AD35,"~?")&gt;0,", ","")&amp;"Céleri","")&amp;IF(AF35="?",IF(COUNTIF(W35:AE35,"~?")&gt;0,", ","")&amp;"Moutarde","")&amp;IF(AG35="?",IF(COUNTIF(W35:AF35,"~?")&gt;0,", ","")&amp;"Sésame","")&amp;IF(AH35="?",IF(COUNTIF(W35:AG35,"~?")&gt;0,", ","")&amp;"Sulfites","")&amp;IF(AI35="?",IF(COUNTIF(W35:AH35,"~?")&gt;0,", ","")&amp;"Lupin","")&amp;IF(AJ35="?",IF(COUNTIF(W35:AI35,"~?")&gt;0,", ","")&amp;"Mollusques","")),"")</f>
        <v/>
      </c>
      <c r="AM35" s="493" t="str">
        <f>IF(24=24,IF(T35="","",T35),"")</f>
        <v>Préparation :</v>
      </c>
      <c r="AN35" s="493" t="str">
        <f>IF(24=24,LOWER(CLEAN(SUBSTITUTE(SUBSTITUTE(SUBSTITUTE(SUBSTITUTE(AM35,CHAR(160)," ")," "," "),CHAR(10)," "),CHAR(13)," "))),"")</f>
        <v>préparation :</v>
      </c>
      <c r="AO35" s="493" t="str">
        <f>IF(24=24,SUBSTITUTE(SUBSTITUTE(SUBSTITUTE(SUBSTITUTE(SUBSTITUTE(SUBSTITUTE(SUBSTITUTE(SUBSTITUTE(SUBSTITUTE(SUBSTITUTE(SUBSTITUTE(SUBSTITUTE(AN35,"œ","oe"),"æ","ae"),"à","a"),"á","a"),"â","a"),"ä","a"),"ã","a"),"ç","c"),"è","e"),"é","e"),"ê","e"),"ë","e"),"")</f>
        <v>preparation :</v>
      </c>
      <c r="AP35" s="493" t="str">
        <f>IF(24=24,SUBSTITUTE(SUBSTITUTE(SUBSTITUTE(SUBSTITUTE(SUBSTITUTE(SUBSTITUTE(SUBSTITUTE(SUBSTITUTE(SUBSTITUTE(SUBSTITUTE(SUBSTITUTE(SUBSTITUTE(SUBSTITUTE(SUBSTITUTE(SUBSTITUTE(SUBSTITUTE(AO35,"ì","i"),"í","i"),"î","i"),"ï","i"),"ñ","n"),"ò","o"),"ó","o"),"ô","o"),"ö","o"),"õ","o"),"ù","u"),"ú","u"),"û","u"),"ü","u"),"ý","y"),"ÿ","y"),"")</f>
        <v>preparation :</v>
      </c>
      <c r="AQ35" s="493" t="str">
        <f>IF(24=24,SUBSTITUTE(SUBSTITUTE(SUBSTITUTE(SUBSTITUTE(SUBSTITUTE(SUBSTITUTE(SUBSTITUTE(SUBSTITUTE(SUBSTITUTE(SUBSTITUTE(SUBSTITUTE(SUBSTITUTE(SUBSTITUTE(SUBSTITUTE(AP35,"’"," "),"`"," "),"–"," "),"—"," "),"-"," "),"'"," "),"/"," "),"_"," "),","," "),"."," "),"("," "),")"," "),";"," "),":"," "),"")</f>
        <v xml:space="preserve">preparation  </v>
      </c>
      <c r="AR35" s="493" t="str">
        <f>IF(24=24,SUBSTITUTE(SUBSTITUTE(SUBSTITUTE(SUBSTITUTE(SUBSTITUTE(SUBSTITUTE(SUBSTITUTE(SUBSTITUTE(SUBSTITUTE(SUBSTITUTE(SUBSTITUTE(SUBSTITUTE(SUBSTITUTE(SUBSTITUTE(SUBSTITUTE(AQ35,"!"," "),"?"," "),"+"," "),"*"," "),"&amp;"," "),"["," "),"]"," "),"{"," "),"}"," "),"%"," "),"="," "),"\"," "),"|"," "),"&lt;"," "),"&gt;"," "),"")</f>
        <v xml:space="preserve">preparation  </v>
      </c>
      <c r="AS35" s="493" t="str">
        <f>IF(24=24," "&amp;TRIM(SUBSTITUTE(SUBSTITUTE(SUBSTITUTE(SUBSTITUTE(SUBSTITUTE(SUBSTITUTE(AR35,CHAR(34)," "),"  "," "),"  "," "),"  "," "),"  "," "),"  "," "))&amp;" ","")</f>
        <v xml:space="preserve"> preparation </v>
      </c>
      <c r="AT35" s="493" cm="1">
        <f t="array" ref="AT35">IF(24=24,IF(AM35="","",SUMPRODUCT(--ISNUMBER(SEARCH(" "&amp;DJ13:DJ112&amp;" ",AV35)))),"")</f>
        <v>0</v>
      </c>
      <c r="AU35" s="493" cm="1">
        <f t="array" ref="AU35">IF(24=24,IF(AM35="","",SUMPRODUCT(--ISNUMBER(SEARCH(" "&amp;DJ113:DJ162&amp;" ",AV35)))),"")</f>
        <v>0</v>
      </c>
      <c r="AV35" s="493" t="str">
        <f>IF(AM35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35,"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preparation </v>
      </c>
      <c r="AW35" s="493" cm="1">
        <f t="array" ref="AW35">IF(AM35="","",SUMPRODUCT(--ISNUMBER(SEARCH(" "&amp;DJ195:DJ216&amp;" ",AV35)))+--ISNUMBER(SEARCH(" "&amp;DJ2465&amp;" ",AV35)))</f>
        <v>0</v>
      </c>
      <c r="AX35" s="493" t="str" cm="1">
        <f t="array" ref="AX35">IF(24=24,IF(AM35="","",IF(SUM(AT35:AU35)+SUMPRODUCT(--ISNUMBER(SEARCH(" "&amp;DJ2429:DJ2431&amp;" ",AV35)))&gt;0,"X",IF(AW35&gt;0,"?",""))),"")</f>
        <v/>
      </c>
      <c r="AY35" s="493" cm="1">
        <f t="array" ref="AY35">IF(24=24,IF(AM35="","",SUMPRODUCT(--ISNUMBER(SEARCH(" "&amp;DJ217:DJ316&amp;" ",AS35)))),"")</f>
        <v>0</v>
      </c>
      <c r="AZ35" s="493" cm="1">
        <f t="array" ref="AZ35">IF(24=24,IF(AM35="","",SUMPRODUCT(--ISNUMBER(SEARCH(" "&amp;DJ317:DJ351&amp;" ",AS35)))),"")</f>
        <v>0</v>
      </c>
      <c r="BA35" s="493" t="str">
        <f>IF(24=24,IF(AM35="","",IF((SUM(AY35:AZ35))-(0)&gt;0,"X",IF((0)-(0)&gt;0,"?",""))),"")</f>
        <v/>
      </c>
      <c r="BB35" s="493" cm="1">
        <f t="array" ref="BB35">IF(24=24,IF(AM35="","",SUMPRODUCT(--ISNUMBER(SEARCH(" "&amp;DJ352:DJ409&amp;" ",AS35)))),"")</f>
        <v>0</v>
      </c>
      <c r="BC35" s="493" cm="1">
        <f t="array" ref="BC35">IF(24=24,IF(AM35="","",SUMPRODUCT(--ISNUMBER(SEARCH(" "&amp;DJ410:DJ437&amp;" ",BD35)))+SUMPRODUCT(--ISNUMBER(SEARCH(" "&amp;DJ2451:DJ2464&amp;" ",BD35)))),"")</f>
        <v>0</v>
      </c>
      <c r="BD35" s="493" t="str">
        <f>IF(24=24,IF(AM35="","",SUBSTITUTE(SUBSTITUTE(SUBSTITUTE(SUBSTITUTE(SUBSTITUTE(SUBSTITUTE(SUBSTITUTE(SUBSTITUTE(SUBSTITUTE(SUBSTITUTE(SUBSTITUTE(SUBSTITUTE(SUBSTITUTE(SUBSTITUTE(AS35," "&amp;DJ2466&amp;" "," ")," "&amp;DJ444&amp;" "," ")," "&amp;DJ442&amp;" "," ")," "&amp;DJ2449&amp;" "," ")," "&amp;DJ2450&amp;" "," ")," "&amp;DJ439&amp;" "," ")," "&amp;DJ443&amp;" "," ")," "&amp;DJ445&amp;" "," ")," "&amp;DJ440&amp;" "," ")," "&amp;DJ438&amp;" "," ")," "&amp;DJ1378&amp;" "," ")," "&amp;DJ446&amp;" "," ")," "&amp;DJ1377&amp;" "," ")," "&amp;DJ441&amp;" "," ")),"")</f>
        <v xml:space="preserve"> preparation </v>
      </c>
      <c r="BE35" s="493" t="str">
        <f>IF(24=24,IF(AM35="","",IF(BB35&gt;0,"X",IF(BC35&gt;0,"?",""))),"")</f>
        <v/>
      </c>
      <c r="BF35" s="493" cm="1">
        <f t="array" ref="BF35">IF(24=24,IF(AM35="","",SUMPRODUCT(--ISNUMBER(SEARCH(" "&amp;DJ447:DJ546&amp;" ",BP35)))),"")</f>
        <v>0</v>
      </c>
      <c r="BG35" s="493" cm="1">
        <f t="array" ref="BG35">IF(24=24,IF(AM35="","",SUMPRODUCT(--ISNUMBER(SEARCH(" "&amp;DJ547:DJ646&amp;" ",BP35)))),"")</f>
        <v>0</v>
      </c>
      <c r="BH35" s="493" cm="1">
        <f t="array" ref="BH35">IF(24=24,IF(AM35="","",SUMPRODUCT(--ISNUMBER(SEARCH(" "&amp;DJ647:DJ746&amp;" ",BP35)))),"")</f>
        <v>0</v>
      </c>
      <c r="BI35" s="493" cm="1">
        <f t="array" ref="BI35">IF(24=24,IF(AM35="","",SUMPRODUCT(--ISNUMBER(SEARCH(" "&amp;DJ747:DJ846&amp;" ",BP35)))),"")</f>
        <v>0</v>
      </c>
      <c r="BJ35" s="493" cm="1">
        <f t="array" ref="BJ35">IF(24=24,IF(AM35="","",SUMPRODUCT(--ISNUMBER(SEARCH(" "&amp;DJ847:DJ946&amp;" ",BP35)))),"")</f>
        <v>0</v>
      </c>
      <c r="BK35" s="493" cm="1">
        <f t="array" ref="BK35">IF(24=24,IF(AM35="","",SUMPRODUCT(--ISNUMBER(SEARCH(" "&amp;DJ947:DJ1046&amp;" ",BP35)))),"")</f>
        <v>0</v>
      </c>
      <c r="BL35" s="493" cm="1">
        <f t="array" ref="BL35">IF(24=24,IF(AM35="","",SUMPRODUCT(--ISNUMBER(SEARCH(" "&amp;DJ1047:DJ1146&amp;" ",BP35)))),"")</f>
        <v>0</v>
      </c>
      <c r="BM35" s="493" cm="1">
        <f t="array" ref="BM35">IF(24=24,IF(AM35="","",SUMPRODUCT(--ISNUMBER(SEARCH(" "&amp;DJ1147:DJ1246&amp;" ",BP35)))),"")</f>
        <v>0</v>
      </c>
      <c r="BN35" s="493" cm="1">
        <f t="array" ref="BN35">IF(24=24,IF(AM35="","",SUMPRODUCT(--ISNUMBER(SEARCH(" "&amp;DJ1247:DJ1346&amp;" ",BP35)))),"")</f>
        <v>0</v>
      </c>
      <c r="BO35" s="493" cm="1">
        <f t="array" ref="BO35">IF(24=24,IF(AM35="","",SUMPRODUCT(--ISNUMBER(SEARCH(" "&amp;DJ1347:DJ1374&amp;" ",BP35)))),"")</f>
        <v>0</v>
      </c>
      <c r="BP35" s="493" t="str">
        <f>IF(24=24,IF(AM35="","",SUBSTITUTE(SUBSTITUTE(SUBSTITUTE(SUBSTITUTE(SUBSTITUTE(SUBSTITUTE(SUBSTITUTE(SUBSTITUTE(SUBSTITUTE(AS35," "&amp;DJ1376&amp;" "," ")," "&amp;DJ1375&amp;" "," ")," "&amp;DJ1381&amp;" "," ")," "&amp;DJ1382&amp;" "," ")," "&amp;DJ1378&amp;" "," ")," "&amp;DJ1380&amp;" "," ")," "&amp;DJ1377&amp;" "," ")," "&amp;DJ1379&amp;" "," ")," "&amp;DJ1383&amp;" "," ")),"")</f>
        <v xml:space="preserve"> preparation </v>
      </c>
      <c r="BQ35" s="493" cm="1">
        <f t="array" ref="BQ35">IF(24=24,IF(AM35="","",SUMPRODUCT(--ISNUMBER(SEARCH(" "&amp;DJ1384:DJ1394&amp;" ",BP35)))),"")</f>
        <v>0</v>
      </c>
      <c r="BR35" s="493" t="str" cm="1">
        <f t="array" ref="BR35">IF(24=24,IF(AM35="","",IF(SUM(BF35:BO35)+SUMPRODUCT(--ISNUMBER(SEARCH(" "&amp;DJ2432:DJ2433&amp;" ",BP35)))&gt;0,"X",IF(BQ35&gt;0,"?",""))),"")</f>
        <v/>
      </c>
      <c r="BS35" s="493" cm="1">
        <f t="array" ref="BS35">IF(24=24,IF(AM35="","",SUMPRODUCT(--ISNUMBER(SEARCH(" "&amp;DJ1395:DJ1415&amp;" ",AS35)))),"")</f>
        <v>0</v>
      </c>
      <c r="BT35" s="493" t="str">
        <f>IF(24=24,IF(AM35="","",IF((BS35)-(0)&gt;0,"X",IF((0)-(0)&gt;0,"?",""))),"")</f>
        <v/>
      </c>
      <c r="BU35" s="493" cm="1">
        <f t="array" ref="BU35">IF(24=24,IF(AM35="","",SUMPRODUCT(--ISNUMBER(SEARCH(" "&amp;DJ1416:DJ1453&amp;" ",BV35)))),"")</f>
        <v>0</v>
      </c>
      <c r="BV35" s="493" t="str">
        <f>IF(24=24,IF(AM35="","",SUBSTITUTE(SUBSTITUTE(AS35," "&amp;DJ1454&amp;" "," ")," "&amp;DJ1455&amp;" "," ")),"")</f>
        <v xml:space="preserve"> preparation </v>
      </c>
      <c r="BW35" s="493" cm="1">
        <f t="array" ref="BW35">IF(24=24,IF(AM35="","",SUMPRODUCT(--ISNUMBER(SEARCH(" "&amp;DJ1456:DJ1466&amp;" ",BV35)))),"")</f>
        <v>0</v>
      </c>
      <c r="BX35" s="493" t="str">
        <f>IF(24=24,IF(AM35="","",IF(BU35&gt;0,"X",IF(BW35&gt;0,"?",""))),"")</f>
        <v/>
      </c>
      <c r="BY35" s="493" cm="1">
        <f t="array" ref="BY35">IF(24=24,IF(AM35="","",SUMPRODUCT(--ISNUMBER(SEARCH(" "&amp;DJ1467:DJ1566&amp;" ",CB35)))),"")</f>
        <v>0</v>
      </c>
      <c r="BZ35" s="493" cm="1">
        <f t="array" ref="BZ35">IF(24=24,IF(AM35="","",SUMPRODUCT(--ISNUMBER(SEARCH(" "&amp;DJ1567:DJ1666&amp;" ",CB35)))),"")</f>
        <v>0</v>
      </c>
      <c r="CA35" s="493" cm="1">
        <f t="array" ref="CA35">IF(24=24,IF(AM35="","",SUMPRODUCT(--ISNUMBER(SEARCH(" "&amp;DJ1667:DJ1750&amp;" ",CB35)))),"")</f>
        <v>0</v>
      </c>
      <c r="CB35" s="493" t="str">
        <f>IF(24=24,IF(AM35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35,"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preparation </v>
      </c>
      <c r="CC35" s="493" cm="1">
        <f t="array" ref="CC35">IF(24=24,IF(AM35="","",SUMPRODUCT(--ISNUMBER(SEARCH(" "&amp;DJ1801:DJ1880&amp;" ",CD35)))+SUMPRODUCT(--ISNUMBER(SEARCH(" "&amp;DJ2451:DJ2464&amp;" ",CD35)))),"")</f>
        <v>0</v>
      </c>
      <c r="CD35" s="493" t="str">
        <f>IF(24=24,IF(AM35="","",SUBSTITUTE(SUBSTITUTE(SUBSTITUTE(SUBSTITUTE(SUBSTITUTE(SUBSTITUTE(SUBSTITUTE(SUBSTITUTE(SUBSTITUTE(SUBSTITUTE(SUBSTITUTE(SUBSTITUTE(SUBSTITUTE(CB35," "&amp;DJ1887&amp;" "," ")," "&amp;DJ1885&amp;" "," ")," "&amp;DJ2449&amp;" "," ")," "&amp;DJ2450&amp;" "," ")," "&amp;DJ1882&amp;" "," ")," "&amp;DJ1886&amp;" "," ")," "&amp;DJ1888&amp;" "," ")," "&amp;DJ1883&amp;" "," ")," "&amp;DJ1881&amp;" "," ")," "&amp;DJ1378&amp;" "," ")," "&amp;DJ1889&amp;" "," ")," "&amp;DJ1377&amp;" "," ")," "&amp;DJ1884&amp;" "," ")),"")</f>
        <v xml:space="preserve"> preparation </v>
      </c>
      <c r="CE35" s="493" t="str" cm="1">
        <f t="array" ref="CE35">IF(24=24,IF(AM35="","",IF(SUM(BY35:CA35)+SUMPRODUCT(--ISNUMBER(SEARCH(" "&amp;DJ2434:DJ2435&amp;" ",CB35)))&gt;0,"X",IF(CC35&gt;0,"?",""))),"")</f>
        <v/>
      </c>
      <c r="CF35" s="493" cm="1">
        <f t="array" ref="CF35">IF(24=24,IF(AM35="","",SUMPRODUCT(--ISNUMBER(SEARCH(" "&amp;DJ1890:DJ1947&amp;" ",CG35)))),"")</f>
        <v>0</v>
      </c>
      <c r="CG35" s="493" t="str">
        <f>IF(24=24,IF(AM35="","",SUBSTITUTE(SUBSTITUTE(SUBSTITUTE(SUBSTITUTE(SUBSTITUTE(SUBSTITUTE(SUBSTITUTE(SUBSTITUTE(SUBSTITUTE(SUBSTITUTE(SUBSTITUTE(SUBSTITUTE(SUBSTITUTE(SUBSTITUTE(SUBSTITUTE(SUBSTITUTE(SUBSTITUTE(SUBSTITUTE(SUBSTITUTE(SUBSTITUTE(SUBSTITUTE(SUBSTITUTE(SUBSTITUTE(AS35,"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preparation </v>
      </c>
      <c r="CH35" s="493" cm="1">
        <f t="array" ref="CH35">IF(24=24,IF(AM35="","",SUMPRODUCT(--ISNUMBER(SEARCH(" "&amp;DJ1971:DJ1987&amp;" ",CG35)))),"")</f>
        <v>0</v>
      </c>
      <c r="CI35" s="493" t="str">
        <f>IF(24=24,IF(AM35="","",IF(CF35&gt;0,"X",IF(CH35&gt;0,"?",""))),"")</f>
        <v/>
      </c>
      <c r="CJ35" s="493" cm="1">
        <f t="array" ref="CJ35">IF(24=24,IF(AM35="","",SUMPRODUCT(--ISNUMBER(SEARCH(" "&amp;DJ1988:DJ2001&amp;" ",AS35)))),"")</f>
        <v>0</v>
      </c>
      <c r="CK35" s="493" cm="1">
        <f t="array" ref="CK35">IF(24=24,IF(AM35="","",SUMPRODUCT(--ISNUMBER(SEARCH(" "&amp;DJ2002:DJ2016&amp;" ",AS35)))),"")</f>
        <v>0</v>
      </c>
      <c r="CL35" s="493" t="str">
        <f>IF(24=24,IF(AM35="","",IF((CJ35)-(0)&gt;0,"X",IF((CK35)-(0)&gt;0,"?",""))),"")</f>
        <v/>
      </c>
      <c r="CM35" s="493" cm="1">
        <f t="array" ref="CM35">IF(24=24,IF(AM35="","",SUMPRODUCT(--ISNUMBER(SEARCH(" "&amp;DJ2017:DJ2034&amp;" ",AS35)))),"")</f>
        <v>0</v>
      </c>
      <c r="CN35" s="493" cm="1">
        <f t="array" ref="CN35">IF(24=24,IF(AM35="","",SUMPRODUCT(--ISNUMBER(SEARCH(" "&amp;DJ2035:DJ2049&amp;" ",AS35)))),"")</f>
        <v>0</v>
      </c>
      <c r="CO35" s="493" t="str">
        <f>IF(24=24,IF(AM35="","",IF((CM35)-(0)&gt;0,"X",IF((CN35)-(0)&gt;0,"?",""))),"")</f>
        <v/>
      </c>
      <c r="CP35" s="493" cm="1">
        <f t="array" ref="CP35">IF(24=24,IF(AM35="","",SUMPRODUCT(--ISNUMBER(SEARCH(" "&amp;DJ2050:DJ2068&amp;" ",AS35)))),"")</f>
        <v>0</v>
      </c>
      <c r="CQ35" s="493" cm="1">
        <f t="array" ref="CQ35">IF(24=24,IF(AM35="","",SUMPRODUCT(--ISNUMBER(SEARCH(" "&amp;DJ2069:DJ2083&amp;" ",AS35)))),"")</f>
        <v>0</v>
      </c>
      <c r="CR35" s="493" t="str">
        <f>IF(24=24,IF(AM35="","",IF((CP35)-(0)&gt;0,"X",IF((CQ35)-(0)&gt;0,"?",""))),"")</f>
        <v/>
      </c>
      <c r="CS35" s="493" cm="1">
        <f t="array" ref="CS35">IF(24=24,IF(AM35="","",SUMPRODUCT(--ISNUMBER(SEARCH(" "&amp;DJ2084:DJ2104&amp;" ",AS35)))),"")</f>
        <v>0</v>
      </c>
      <c r="CT35" s="493" cm="1">
        <f t="array" ref="CT35">IF(24=24,IF(AM35="","",SUMPRODUCT(--ISNUMBER(SEARCH(" "&amp;DJ2105:DJ2144&amp;" ",SUBSTITUTE(SUBSTITUTE(AS35," "&amp;DJ1378&amp;" "," ")," "&amp;DJ1377&amp;" "," "))))+--ISNUMBER(SEARCH("poiré",AN35))),"")</f>
        <v>0</v>
      </c>
      <c r="CU35" s="493" t="str">
        <f>IF(24=24,IF(AM35="","",IF(OR(CS35&gt;0,ISNUMBER(SEARCH(" vinaigre de vin ",AS35)),ISNUMBER(SEARCH(" vinaigre au vin ",AS35))),"X",IF(CT35&gt;0,"?",""))),"")</f>
        <v/>
      </c>
      <c r="CV35" s="493" cm="1">
        <f t="array" ref="CV35">IF(24=24,IF(AM35="","",SUMPRODUCT(--ISNUMBER(SEARCH(" "&amp;DJ2145:DJ2157&amp;" ",AS35)))),"")</f>
        <v>0</v>
      </c>
      <c r="CW35" s="493" cm="1">
        <f t="array" ref="CW35">IF(24=24,IF(AM35="","",SUMPRODUCT(--ISNUMBER(SEARCH(" "&amp;DJ2158:DJ2163&amp;" ",AS35)))),"")</f>
        <v>0</v>
      </c>
      <c r="CX35" s="493" t="str">
        <f>IF(24=24,IF(AM35="","",IF((CV35)-(0)&gt;0,"X",IF((CW35)-(0)&gt;0,"?",""))),"")</f>
        <v/>
      </c>
      <c r="CY35" s="493" cm="1">
        <f t="array" ref="CY35">IF(24=24,IF(AM35="","",SUMPRODUCT(--ISNUMBER(SEARCH(" "&amp;DJ2164:DJ2263&amp;" ",DB35)))),"")</f>
        <v>0</v>
      </c>
      <c r="CZ35" s="493" cm="1">
        <f t="array" ref="CZ35">IF(24=24,IF(AM35="","",SUMPRODUCT(--ISNUMBER(SEARCH(" "&amp;DJ2264:DJ2363&amp;" ",DB35)))),"")</f>
        <v>0</v>
      </c>
      <c r="DA35" s="493" cm="1">
        <f t="array" ref="DA35">IF(24=24,IF(AM35="","",SUMPRODUCT(--ISNUMBER(SEARCH(" "&amp;DJ2364:DJ2406&amp;" ",DB35)))),"")</f>
        <v>0</v>
      </c>
      <c r="DB35" s="493" t="str">
        <f>IF(24=24,IF(AM35="","",SUBSTITUTE(SUBSTITUTE(SUBSTITUTE(SUBSTITUTE(SUBSTITUTE(SUBSTITUTE(SUBSTITUTE(SUBSTITUTE(SUBSTITUTE(SUBSTITUTE(SUBSTITUTE(SUBSTITUTE(SUBSTITUTE(SUBSTITUTE(SUBSTITUTE(SUBSTITUTE(AS35," "&amp;DJ2412&amp;" "," ")," "&amp;DJ2411&amp;" "," ")," "&amp;DJ2410&amp;" "," ")," "&amp;DJ2417&amp;" "," ")," "&amp;DJ2409&amp;" "," ")," "&amp;DJ2421&amp;" "," ")," "&amp;DJ2408&amp;" "," ")," "&amp;DJ2413&amp;" "," ")," "&amp;DJ2416&amp;" "," ")," "&amp;DJ2407&amp;" "," ")," "&amp;DJ2415&amp;" "," ")," "&amp;DJ2422&amp;" "," ")," "&amp;DJ2419&amp;" "," ")," "&amp;DJ2414&amp;" "," ")," "&amp;DJ2418&amp;" "," ")," "&amp;DJ2420&amp;" "," ")),"")</f>
        <v xml:space="preserve"> preparation </v>
      </c>
      <c r="DC35" s="493" cm="1">
        <f t="array" ref="DC35">IF(24=24,IF(AM35="","",SUMPRODUCT(--ISNUMBER(SEARCH(" "&amp;DJ2423:DJ2427&amp;" ",DB35)))),"")</f>
        <v>0</v>
      </c>
      <c r="DD35" s="493" t="str">
        <f>IF(24=24,IF(AM35="","",IF(SUM(CY35:DA35)&gt;0,"X",IF(DC35&gt;0,"?",""))),"")</f>
        <v/>
      </c>
      <c r="DE35" s="494"/>
      <c r="DF35" s="496" t="s">
        <v>1187</v>
      </c>
      <c r="DG35" s="496" t="s">
        <v>1083</v>
      </c>
      <c r="DH35" s="496" t="s">
        <v>689</v>
      </c>
      <c r="DI35" s="496" t="s">
        <v>890</v>
      </c>
      <c r="DJ35" s="496" t="s">
        <v>890</v>
      </c>
      <c r="DK35" s="496" t="s">
        <v>1085</v>
      </c>
      <c r="DL35" s="496" t="s">
        <v>1086</v>
      </c>
      <c r="DM35" s="496" t="s">
        <v>1087</v>
      </c>
      <c r="DN35" s="497" t="s">
        <v>1088</v>
      </c>
      <c r="DP35" s="543">
        <v>1</v>
      </c>
    </row>
    <row r="36" spans="2:120" ht="30" customHeight="1">
      <c r="B36" s="663" t="str">
        <f t="shared" si="0"/>
        <v>4. Dans un saladier, fouettez les œufs avec le sucre et le sucre vanillé jusqu’à ce que le mélange blanchisse.</v>
      </c>
      <c r="C36" s="663" t="str">
        <f t="shared" si="1"/>
        <v>4 Dans un saladier fouettez les œufs avec le sucre et le sucre vanillé jusqu’à ce que le mélange blanchisse</v>
      </c>
      <c r="D36" s="663" t="str">
        <f>IF(UPPER(TRIM(N11))="X",C36,B36)</f>
        <v>4. Dans un saladier, fouettez les œufs avec le sucre et le sucre vanillé jusqu’à ce que le mélange blanchisse.</v>
      </c>
      <c r="E36" s="663" cm="1">
        <f t="array" ref="E36">IF(H35&lt;&gt;"",E35,IF(E35="","",IFERROR(MATCH(TRUE(),INDEX(INDEX(K:K,E35+1):K203&lt;&gt;"",0),0)+E35,"")))</f>
        <v>33</v>
      </c>
      <c r="F36" s="663" t="str" cm="1">
        <f t="array" ref="F36">IF(E36="","",IF(H35&lt;&gt;"",H35,INDEX(D:D,E36)))</f>
        <v>1. Préchauffez le four à 180°C (th. 6).</v>
      </c>
      <c r="G36" s="663" t="str">
        <f t="shared" si="2"/>
        <v>1. Préchauffez le four à 180°C (th. 6).</v>
      </c>
      <c r="H36" s="673" t="str">
        <f t="shared" si="3"/>
        <v/>
      </c>
      <c r="I36" s="680" t="str">
        <f>IF(AND(F36&lt;&gt;"",N10&gt;0,M36&gt;N10),"Mot &gt; limite","")</f>
        <v/>
      </c>
      <c r="J36" s="674">
        <f>IF(K36="","",COUNTIF(K18:K36,"&lt;&gt;"))</f>
        <v>19</v>
      </c>
      <c r="K36" s="675" t="s">
        <v>6481</v>
      </c>
      <c r="L36" s="674">
        <f t="shared" si="4"/>
        <v>110</v>
      </c>
      <c r="M36" s="643">
        <f>IF(OR(F36="",N10="",N10&lt;=0),"",IF(LEN(F36)&lt;=N10,LEN(F36),IFERROR(FIND("♦",SUBSTITUTE(LEFT(F36,N10)," ","♦",LEN(LEFT(F36,N10))-LEN(SUBSTITUTE(LEFT(F36,N10)," ","")))),FIND(" ",F36&amp;" ",N10+1)-1)))</f>
        <v>39</v>
      </c>
      <c r="N36" s="676">
        <f t="shared" si="5"/>
        <v>19</v>
      </c>
      <c r="O36" s="677" t="str">
        <f t="shared" si="6"/>
        <v>1. Préchauffez le four à 180°C (th. 6).</v>
      </c>
      <c r="P36" s="676">
        <f t="shared" si="7"/>
        <v>8</v>
      </c>
      <c r="Q36" s="676">
        <f t="shared" si="8"/>
        <v>39</v>
      </c>
      <c r="S36" s="509">
        <v>19</v>
      </c>
      <c r="T36" s="678" t="str">
        <f t="shared" si="10"/>
        <v>1. Préchauffez le four à 180°C (th. 6).</v>
      </c>
      <c r="U36" s="679" t="str">
        <f t="shared" si="9"/>
        <v>1. Préchauffez le four à 180°C (th. 6).</v>
      </c>
      <c r="V36" s="512" t="str">
        <f>IF(25=25,IF(T36="","",IF(W36="X",""&amp;"Céréales contenant du gluten","")&amp;IF(X36="X",IF(COUNTIF(W36:W36,"X")&gt;0,", ","")&amp;"Crustacés","")&amp;IF(Y36="X",IF(COUNTIF(W36:X36,"X")&gt;0,", ","")&amp;"Œufs","")&amp;IF(Z36="X",IF(COUNTIF(W36:Y36,"X")&gt;0,", ","")&amp;"Poissons","")&amp;IF(AA36="X",IF(COUNTIF(W36:Z36,"X")&gt;0,", ","")&amp;"Arachides","")&amp;IF(AB36="X",IF(COUNTIF(W36:AA36,"X")&gt;0,", ","")&amp;"Soja","")&amp;IF(AC36="X",IF(COUNTIF(W36:AB36,"X")&gt;0,", ","")&amp;"Lait","")&amp;IF(AD36="X",IF(COUNTIF(W36:AC36,"X")&gt;0,", ","")&amp;"Fruits à coque","")&amp;IF(AE36="X",IF(COUNTIF(W36:AD36,"X")&gt;0,", ","")&amp;"Céleri","")&amp;IF(AF36="X",IF(COUNTIF(W36:AE36,"X")&gt;0,", ","")&amp;"Moutarde","")&amp;IF(AG36="X",IF(COUNTIF(W36:AF36,"X")&gt;0,", ","")&amp;"Sésame","")&amp;IF(AH36="X",IF(COUNTIF(W36:AG36,"X")&gt;0,", ","")&amp;"Sulfites","")&amp;IF(AI36="X",IF(COUNTIF(W36:AH36,"X")&gt;0,", ","")&amp;"Lupin","")&amp;IF(AJ36="X",IF(COUNTIF(W36:AI36,"X")&gt;0,", ","")&amp;"Mollusques","")),"")</f>
        <v/>
      </c>
      <c r="W36" s="513" t="str">
        <f>IF(25=25,IF(T36="","",AX36),"")</f>
        <v/>
      </c>
      <c r="X36" s="513" t="str">
        <f>IF(25=25,IF(T36="","",BA36),"")</f>
        <v/>
      </c>
      <c r="Y36" s="513" t="str">
        <f>IF(25=25,IF(T36="","",BE36),"")</f>
        <v/>
      </c>
      <c r="Z36" s="513" t="str">
        <f>IF(25=25,IF(T36="","",IF(ISNUMBER(SEARCH(" colin ",AS36)),"X",BR36)),"")</f>
        <v/>
      </c>
      <c r="AA36" s="513" t="str">
        <f>IF(25=25,IF(T36="","",BT36),"")</f>
        <v/>
      </c>
      <c r="AB36" s="513" t="str">
        <f>IF(25=25,IF(T36="","",BX36),"")</f>
        <v/>
      </c>
      <c r="AC36" s="513" t="str">
        <f>IF(25=25,IF(T36="","",CE36),"")</f>
        <v/>
      </c>
      <c r="AD36" s="513" t="str">
        <f>IF(25=25,IF(T36="","",CI36),"")</f>
        <v/>
      </c>
      <c r="AE36" s="513" t="str">
        <f>IF(25=25,IF(T36="","",CL36),"")</f>
        <v/>
      </c>
      <c r="AF36" s="513" t="str">
        <f>IF(25=25,IF(T36="","",CO36),"")</f>
        <v/>
      </c>
      <c r="AG36" s="513" t="str">
        <f>IF(25=25,IF(T36="","",CR36),"")</f>
        <v/>
      </c>
      <c r="AH36" s="513" t="str">
        <f>IF(25=25,IF(T36="","",CU36),"")</f>
        <v/>
      </c>
      <c r="AI36" s="513" t="str">
        <f>IF(25=25,IF(T36="","",CX36),"")</f>
        <v/>
      </c>
      <c r="AJ36" s="513" t="str">
        <f>IF(25=25,IF(T36="","",DD36),"")</f>
        <v/>
      </c>
      <c r="AK36" s="514" t="str">
        <f>IF(25=25,IF(T36="","",IF(W36="?",""&amp;"Céréales contenant du gluten","")&amp;IF(X36="?",IF(COUNTIF(W36:W36,"~?")&gt;0,", ","")&amp;"Crustacés","")&amp;IF(Y36="?",IF(COUNTIF(W36:X36,"~?")&gt;0,", ","")&amp;"Œufs","")&amp;IF(Z36="?",IF(COUNTIF(W36:Y36,"~?")&gt;0,", ","")&amp;"Poissons","")&amp;IF(AA36="?",IF(COUNTIF(W36:Z36,"~?")&gt;0,", ","")&amp;"Arachides","")&amp;IF(AB36="?",IF(COUNTIF(W36:AA36,"~?")&gt;0,", ","")&amp;"Soja","")&amp;IF(AC36="?",IF(COUNTIF(W36:AB36,"~?")&gt;0,", ","")&amp;"Lait","")&amp;IF(AD36="?",IF(COUNTIF(W36:AC36,"~?")&gt;0,", ","")&amp;"Fruits à coque","")&amp;IF(AE36="?",IF(COUNTIF(W36:AD36,"~?")&gt;0,", ","")&amp;"Céleri","")&amp;IF(AF36="?",IF(COUNTIF(W36:AE36,"~?")&gt;0,", ","")&amp;"Moutarde","")&amp;IF(AG36="?",IF(COUNTIF(W36:AF36,"~?")&gt;0,", ","")&amp;"Sésame","")&amp;IF(AH36="?",IF(COUNTIF(W36:AG36,"~?")&gt;0,", ","")&amp;"Sulfites","")&amp;IF(AI36="?",IF(COUNTIF(W36:AH36,"~?")&gt;0,", ","")&amp;"Lupin","")&amp;IF(AJ36="?",IF(COUNTIF(W36:AI36,"~?")&gt;0,", ","")&amp;"Mollusques","")),"")</f>
        <v/>
      </c>
      <c r="AM36" s="493" t="str">
        <f>IF(25=25,IF(T36="","",T36),"")</f>
        <v>1. Préchauffez le four à 180°C (th. 6).</v>
      </c>
      <c r="AN36" s="493" t="str">
        <f>IF(25=25,LOWER(CLEAN(SUBSTITUTE(SUBSTITUTE(SUBSTITUTE(SUBSTITUTE(AM36,CHAR(160)," ")," "," "),CHAR(10)," "),CHAR(13)," "))),"")</f>
        <v>1. préchauffez le four à 180°c (th. 6).</v>
      </c>
      <c r="AO36" s="493" t="str">
        <f>IF(25=25,SUBSTITUTE(SUBSTITUTE(SUBSTITUTE(SUBSTITUTE(SUBSTITUTE(SUBSTITUTE(SUBSTITUTE(SUBSTITUTE(SUBSTITUTE(SUBSTITUTE(SUBSTITUTE(SUBSTITUTE(AN36,"œ","oe"),"æ","ae"),"à","a"),"á","a"),"â","a"),"ä","a"),"ã","a"),"ç","c"),"è","e"),"é","e"),"ê","e"),"ë","e"),"")</f>
        <v>1. prechauffez le four a 180°c (th. 6).</v>
      </c>
      <c r="AP36" s="493" t="str">
        <f>IF(25=25,SUBSTITUTE(SUBSTITUTE(SUBSTITUTE(SUBSTITUTE(SUBSTITUTE(SUBSTITUTE(SUBSTITUTE(SUBSTITUTE(SUBSTITUTE(SUBSTITUTE(SUBSTITUTE(SUBSTITUTE(SUBSTITUTE(SUBSTITUTE(SUBSTITUTE(SUBSTITUTE(AO36,"ì","i"),"í","i"),"î","i"),"ï","i"),"ñ","n"),"ò","o"),"ó","o"),"ô","o"),"ö","o"),"õ","o"),"ù","u"),"ú","u"),"û","u"),"ü","u"),"ý","y"),"ÿ","y"),"")</f>
        <v>1. prechauffez le four a 180°c (th. 6).</v>
      </c>
      <c r="AQ36" s="493" t="str">
        <f>IF(25=25,SUBSTITUTE(SUBSTITUTE(SUBSTITUTE(SUBSTITUTE(SUBSTITUTE(SUBSTITUTE(SUBSTITUTE(SUBSTITUTE(SUBSTITUTE(SUBSTITUTE(SUBSTITUTE(SUBSTITUTE(SUBSTITUTE(SUBSTITUTE(AP36,"’"," "),"`"," "),"–"," "),"—"," "),"-"," "),"'"," "),"/"," "),"_"," "),","," "),"."," "),"("," "),")"," "),";"," "),":"," "),"")</f>
        <v xml:space="preserve">1  prechauffez le four a 180°c  th  6  </v>
      </c>
      <c r="AR36" s="493" t="str">
        <f>IF(25=25,SUBSTITUTE(SUBSTITUTE(SUBSTITUTE(SUBSTITUTE(SUBSTITUTE(SUBSTITUTE(SUBSTITUTE(SUBSTITUTE(SUBSTITUTE(SUBSTITUTE(SUBSTITUTE(SUBSTITUTE(SUBSTITUTE(SUBSTITUTE(SUBSTITUTE(AQ36,"!"," "),"?"," "),"+"," "),"*"," "),"&amp;"," "),"["," "),"]"," "),"{"," "),"}"," "),"%"," "),"="," "),"\"," "),"|"," "),"&lt;"," "),"&gt;"," "),"")</f>
        <v xml:space="preserve">1  prechauffez le four a 180°c  th  6  </v>
      </c>
      <c r="AS36" s="493" t="str">
        <f>IF(25=25," "&amp;TRIM(SUBSTITUTE(SUBSTITUTE(SUBSTITUTE(SUBSTITUTE(SUBSTITUTE(SUBSTITUTE(AR36,CHAR(34)," "),"  "," "),"  "," "),"  "," "),"  "," "),"  "," "))&amp;" ","")</f>
        <v xml:space="preserve"> 1 prechauffez le four a 180°c th 6 </v>
      </c>
      <c r="AT36" s="493" cm="1">
        <f t="array" ref="AT36">IF(25=25,IF(AM36="","",SUMPRODUCT(--ISNUMBER(SEARCH(" "&amp;DJ13:DJ112&amp;" ",AV36)))),"")</f>
        <v>0</v>
      </c>
      <c r="AU36" s="493" cm="1">
        <f t="array" ref="AU36">IF(25=25,IF(AM36="","",SUMPRODUCT(--ISNUMBER(SEARCH(" "&amp;DJ113:DJ162&amp;" ",AV36)))),"")</f>
        <v>0</v>
      </c>
      <c r="AV36" s="493" t="str">
        <f>IF(AM36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36,"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1 prechauffez le four a 180°c th 6 </v>
      </c>
      <c r="AW36" s="493" cm="1">
        <f t="array" ref="AW36">IF(AM36="","",SUMPRODUCT(--ISNUMBER(SEARCH(" "&amp;DJ195:DJ216&amp;" ",AV36)))+--ISNUMBER(SEARCH(" "&amp;DJ2465&amp;" ",AV36)))</f>
        <v>0</v>
      </c>
      <c r="AX36" s="493" t="str" cm="1">
        <f t="array" ref="AX36">IF(25=25,IF(AM36="","",IF(SUM(AT36:AU36)+SUMPRODUCT(--ISNUMBER(SEARCH(" "&amp;DJ2429:DJ2431&amp;" ",AV36)))&gt;0,"X",IF(AW36&gt;0,"?",""))),"")</f>
        <v/>
      </c>
      <c r="AY36" s="493" cm="1">
        <f t="array" ref="AY36">IF(25=25,IF(AM36="","",SUMPRODUCT(--ISNUMBER(SEARCH(" "&amp;DJ217:DJ316&amp;" ",AS36)))),"")</f>
        <v>0</v>
      </c>
      <c r="AZ36" s="493" cm="1">
        <f t="array" ref="AZ36">IF(25=25,IF(AM36="","",SUMPRODUCT(--ISNUMBER(SEARCH(" "&amp;DJ317:DJ351&amp;" ",AS36)))),"")</f>
        <v>0</v>
      </c>
      <c r="BA36" s="493" t="str">
        <f>IF(25=25,IF(AM36="","",IF((SUM(AY36:AZ36))-(0)&gt;0,"X",IF((0)-(0)&gt;0,"?",""))),"")</f>
        <v/>
      </c>
      <c r="BB36" s="493" cm="1">
        <f t="array" ref="BB36">IF(25=25,IF(AM36="","",SUMPRODUCT(--ISNUMBER(SEARCH(" "&amp;DJ352:DJ409&amp;" ",AS36)))),"")</f>
        <v>0</v>
      </c>
      <c r="BC36" s="493" cm="1">
        <f t="array" ref="BC36">IF(25=25,IF(AM36="","",SUMPRODUCT(--ISNUMBER(SEARCH(" "&amp;DJ410:DJ437&amp;" ",BD36)))+SUMPRODUCT(--ISNUMBER(SEARCH(" "&amp;DJ2451:DJ2464&amp;" ",BD36)))),"")</f>
        <v>0</v>
      </c>
      <c r="BD36" s="493" t="str">
        <f>IF(25=25,IF(AM36="","",SUBSTITUTE(SUBSTITUTE(SUBSTITUTE(SUBSTITUTE(SUBSTITUTE(SUBSTITUTE(SUBSTITUTE(SUBSTITUTE(SUBSTITUTE(SUBSTITUTE(SUBSTITUTE(SUBSTITUTE(SUBSTITUTE(SUBSTITUTE(AS36," "&amp;DJ2466&amp;" "," ")," "&amp;DJ444&amp;" "," ")," "&amp;DJ442&amp;" "," ")," "&amp;DJ2449&amp;" "," ")," "&amp;DJ2450&amp;" "," ")," "&amp;DJ439&amp;" "," ")," "&amp;DJ443&amp;" "," ")," "&amp;DJ445&amp;" "," ")," "&amp;DJ440&amp;" "," ")," "&amp;DJ438&amp;" "," ")," "&amp;DJ1378&amp;" "," ")," "&amp;DJ446&amp;" "," ")," "&amp;DJ1377&amp;" "," ")," "&amp;DJ441&amp;" "," ")),"")</f>
        <v xml:space="preserve"> 1 prechauffez le four a 180°c th 6 </v>
      </c>
      <c r="BE36" s="493" t="str">
        <f>IF(25=25,IF(AM36="","",IF(BB36&gt;0,"X",IF(BC36&gt;0,"?",""))),"")</f>
        <v/>
      </c>
      <c r="BF36" s="493" cm="1">
        <f t="array" ref="BF36">IF(25=25,IF(AM36="","",SUMPRODUCT(--ISNUMBER(SEARCH(" "&amp;DJ447:DJ546&amp;" ",BP36)))),"")</f>
        <v>0</v>
      </c>
      <c r="BG36" s="493" cm="1">
        <f t="array" ref="BG36">IF(25=25,IF(AM36="","",SUMPRODUCT(--ISNUMBER(SEARCH(" "&amp;DJ547:DJ646&amp;" ",BP36)))),"")</f>
        <v>0</v>
      </c>
      <c r="BH36" s="493" cm="1">
        <f t="array" ref="BH36">IF(25=25,IF(AM36="","",SUMPRODUCT(--ISNUMBER(SEARCH(" "&amp;DJ647:DJ746&amp;" ",BP36)))),"")</f>
        <v>0</v>
      </c>
      <c r="BI36" s="493" cm="1">
        <f t="array" ref="BI36">IF(25=25,IF(AM36="","",SUMPRODUCT(--ISNUMBER(SEARCH(" "&amp;DJ747:DJ846&amp;" ",BP36)))),"")</f>
        <v>0</v>
      </c>
      <c r="BJ36" s="493" cm="1">
        <f t="array" ref="BJ36">IF(25=25,IF(AM36="","",SUMPRODUCT(--ISNUMBER(SEARCH(" "&amp;DJ847:DJ946&amp;" ",BP36)))),"")</f>
        <v>0</v>
      </c>
      <c r="BK36" s="493" cm="1">
        <f t="array" ref="BK36">IF(25=25,IF(AM36="","",SUMPRODUCT(--ISNUMBER(SEARCH(" "&amp;DJ947:DJ1046&amp;" ",BP36)))),"")</f>
        <v>0</v>
      </c>
      <c r="BL36" s="493" cm="1">
        <f t="array" ref="BL36">IF(25=25,IF(AM36="","",SUMPRODUCT(--ISNUMBER(SEARCH(" "&amp;DJ1047:DJ1146&amp;" ",BP36)))),"")</f>
        <v>0</v>
      </c>
      <c r="BM36" s="493" cm="1">
        <f t="array" ref="BM36">IF(25=25,IF(AM36="","",SUMPRODUCT(--ISNUMBER(SEARCH(" "&amp;DJ1147:DJ1246&amp;" ",BP36)))),"")</f>
        <v>0</v>
      </c>
      <c r="BN36" s="493" cm="1">
        <f t="array" ref="BN36">IF(25=25,IF(AM36="","",SUMPRODUCT(--ISNUMBER(SEARCH(" "&amp;DJ1247:DJ1346&amp;" ",BP36)))),"")</f>
        <v>0</v>
      </c>
      <c r="BO36" s="493" cm="1">
        <f t="array" ref="BO36">IF(25=25,IF(AM36="","",SUMPRODUCT(--ISNUMBER(SEARCH(" "&amp;DJ1347:DJ1374&amp;" ",BP36)))),"")</f>
        <v>0</v>
      </c>
      <c r="BP36" s="493" t="str">
        <f>IF(25=25,IF(AM36="","",SUBSTITUTE(SUBSTITUTE(SUBSTITUTE(SUBSTITUTE(SUBSTITUTE(SUBSTITUTE(SUBSTITUTE(SUBSTITUTE(SUBSTITUTE(AS36," "&amp;DJ1376&amp;" "," ")," "&amp;DJ1375&amp;" "," ")," "&amp;DJ1381&amp;" "," ")," "&amp;DJ1382&amp;" "," ")," "&amp;DJ1378&amp;" "," ")," "&amp;DJ1380&amp;" "," ")," "&amp;DJ1377&amp;" "," ")," "&amp;DJ1379&amp;" "," ")," "&amp;DJ1383&amp;" "," ")),"")</f>
        <v xml:space="preserve"> 1 prechauffez le four a 180°c th 6 </v>
      </c>
      <c r="BQ36" s="493" cm="1">
        <f t="array" ref="BQ36">IF(25=25,IF(AM36="","",SUMPRODUCT(--ISNUMBER(SEARCH(" "&amp;DJ1384:DJ1394&amp;" ",BP36)))),"")</f>
        <v>0</v>
      </c>
      <c r="BR36" s="493" t="str" cm="1">
        <f t="array" ref="BR36">IF(25=25,IF(AM36="","",IF(SUM(BF36:BO36)+SUMPRODUCT(--ISNUMBER(SEARCH(" "&amp;DJ2432:DJ2433&amp;" ",BP36)))&gt;0,"X",IF(BQ36&gt;0,"?",""))),"")</f>
        <v/>
      </c>
      <c r="BS36" s="493" cm="1">
        <f t="array" ref="BS36">IF(25=25,IF(AM36="","",SUMPRODUCT(--ISNUMBER(SEARCH(" "&amp;DJ1395:DJ1415&amp;" ",AS36)))),"")</f>
        <v>0</v>
      </c>
      <c r="BT36" s="493" t="str">
        <f>IF(25=25,IF(AM36="","",IF((BS36)-(0)&gt;0,"X",IF((0)-(0)&gt;0,"?",""))),"")</f>
        <v/>
      </c>
      <c r="BU36" s="493" cm="1">
        <f t="array" ref="BU36">IF(25=25,IF(AM36="","",SUMPRODUCT(--ISNUMBER(SEARCH(" "&amp;DJ1416:DJ1453&amp;" ",BV36)))),"")</f>
        <v>0</v>
      </c>
      <c r="BV36" s="493" t="str">
        <f>IF(25=25,IF(AM36="","",SUBSTITUTE(SUBSTITUTE(AS36," "&amp;DJ1454&amp;" "," ")," "&amp;DJ1455&amp;" "," ")),"")</f>
        <v xml:space="preserve"> 1 prechauffez le four a 180°c th 6 </v>
      </c>
      <c r="BW36" s="493" cm="1">
        <f t="array" ref="BW36">IF(25=25,IF(AM36="","",SUMPRODUCT(--ISNUMBER(SEARCH(" "&amp;DJ1456:DJ1466&amp;" ",BV36)))),"")</f>
        <v>0</v>
      </c>
      <c r="BX36" s="493" t="str">
        <f>IF(25=25,IF(AM36="","",IF(BU36&gt;0,"X",IF(BW36&gt;0,"?",""))),"")</f>
        <v/>
      </c>
      <c r="BY36" s="493" cm="1">
        <f t="array" ref="BY36">IF(25=25,IF(AM36="","",SUMPRODUCT(--ISNUMBER(SEARCH(" "&amp;DJ1467:DJ1566&amp;" ",CB36)))),"")</f>
        <v>0</v>
      </c>
      <c r="BZ36" s="493" cm="1">
        <f t="array" ref="BZ36">IF(25=25,IF(AM36="","",SUMPRODUCT(--ISNUMBER(SEARCH(" "&amp;DJ1567:DJ1666&amp;" ",CB36)))),"")</f>
        <v>0</v>
      </c>
      <c r="CA36" s="493" cm="1">
        <f t="array" ref="CA36">IF(25=25,IF(AM36="","",SUMPRODUCT(--ISNUMBER(SEARCH(" "&amp;DJ1667:DJ1750&amp;" ",CB36)))),"")</f>
        <v>0</v>
      </c>
      <c r="CB36" s="493" t="str">
        <f>IF(25=25,IF(AM36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36,"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1 prechauffez le four a 180°c th 6 </v>
      </c>
      <c r="CC36" s="493" cm="1">
        <f t="array" ref="CC36">IF(25=25,IF(AM36="","",SUMPRODUCT(--ISNUMBER(SEARCH(" "&amp;DJ1801:DJ1880&amp;" ",CD36)))+SUMPRODUCT(--ISNUMBER(SEARCH(" "&amp;DJ2451:DJ2464&amp;" ",CD36)))),"")</f>
        <v>0</v>
      </c>
      <c r="CD36" s="493" t="str">
        <f>IF(25=25,IF(AM36="","",SUBSTITUTE(SUBSTITUTE(SUBSTITUTE(SUBSTITUTE(SUBSTITUTE(SUBSTITUTE(SUBSTITUTE(SUBSTITUTE(SUBSTITUTE(SUBSTITUTE(SUBSTITUTE(SUBSTITUTE(SUBSTITUTE(CB36," "&amp;DJ1887&amp;" "," ")," "&amp;DJ1885&amp;" "," ")," "&amp;DJ2449&amp;" "," ")," "&amp;DJ2450&amp;" "," ")," "&amp;DJ1882&amp;" "," ")," "&amp;DJ1886&amp;" "," ")," "&amp;DJ1888&amp;" "," ")," "&amp;DJ1883&amp;" "," ")," "&amp;DJ1881&amp;" "," ")," "&amp;DJ1378&amp;" "," ")," "&amp;DJ1889&amp;" "," ")," "&amp;DJ1377&amp;" "," ")," "&amp;DJ1884&amp;" "," ")),"")</f>
        <v xml:space="preserve"> 1 prechauffez le four a 180°c th 6 </v>
      </c>
      <c r="CE36" s="493" t="str" cm="1">
        <f t="array" ref="CE36">IF(25=25,IF(AM36="","",IF(SUM(BY36:CA36)+SUMPRODUCT(--ISNUMBER(SEARCH(" "&amp;DJ2434:DJ2435&amp;" ",CB36)))&gt;0,"X",IF(CC36&gt;0,"?",""))),"")</f>
        <v/>
      </c>
      <c r="CF36" s="493" cm="1">
        <f t="array" ref="CF36">IF(25=25,IF(AM36="","",SUMPRODUCT(--ISNUMBER(SEARCH(" "&amp;DJ1890:DJ1947&amp;" ",CG36)))),"")</f>
        <v>0</v>
      </c>
      <c r="CG36" s="493" t="str">
        <f>IF(25=25,IF(AM36="","",SUBSTITUTE(SUBSTITUTE(SUBSTITUTE(SUBSTITUTE(SUBSTITUTE(SUBSTITUTE(SUBSTITUTE(SUBSTITUTE(SUBSTITUTE(SUBSTITUTE(SUBSTITUTE(SUBSTITUTE(SUBSTITUTE(SUBSTITUTE(SUBSTITUTE(SUBSTITUTE(SUBSTITUTE(SUBSTITUTE(SUBSTITUTE(SUBSTITUTE(SUBSTITUTE(SUBSTITUTE(SUBSTITUTE(AS36,"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1 prechauffez le four a 180°c th 6 </v>
      </c>
      <c r="CH36" s="493" cm="1">
        <f t="array" ref="CH36">IF(25=25,IF(AM36="","",SUMPRODUCT(--ISNUMBER(SEARCH(" "&amp;DJ1971:DJ1987&amp;" ",CG36)))),"")</f>
        <v>0</v>
      </c>
      <c r="CI36" s="493" t="str">
        <f>IF(25=25,IF(AM36="","",IF(CF36&gt;0,"X",IF(CH36&gt;0,"?",""))),"")</f>
        <v/>
      </c>
      <c r="CJ36" s="493" cm="1">
        <f t="array" ref="CJ36">IF(25=25,IF(AM36="","",SUMPRODUCT(--ISNUMBER(SEARCH(" "&amp;DJ1988:DJ2001&amp;" ",AS36)))),"")</f>
        <v>0</v>
      </c>
      <c r="CK36" s="493" cm="1">
        <f t="array" ref="CK36">IF(25=25,IF(AM36="","",SUMPRODUCT(--ISNUMBER(SEARCH(" "&amp;DJ2002:DJ2016&amp;" ",AS36)))),"")</f>
        <v>0</v>
      </c>
      <c r="CL36" s="493" t="str">
        <f>IF(25=25,IF(AM36="","",IF((CJ36)-(0)&gt;0,"X",IF((CK36)-(0)&gt;0,"?",""))),"")</f>
        <v/>
      </c>
      <c r="CM36" s="493" cm="1">
        <f t="array" ref="CM36">IF(25=25,IF(AM36="","",SUMPRODUCT(--ISNUMBER(SEARCH(" "&amp;DJ2017:DJ2034&amp;" ",AS36)))),"")</f>
        <v>0</v>
      </c>
      <c r="CN36" s="493" cm="1">
        <f t="array" ref="CN36">IF(25=25,IF(AM36="","",SUMPRODUCT(--ISNUMBER(SEARCH(" "&amp;DJ2035:DJ2049&amp;" ",AS36)))),"")</f>
        <v>0</v>
      </c>
      <c r="CO36" s="493" t="str">
        <f>IF(25=25,IF(AM36="","",IF((CM36)-(0)&gt;0,"X",IF((CN36)-(0)&gt;0,"?",""))),"")</f>
        <v/>
      </c>
      <c r="CP36" s="493" cm="1">
        <f t="array" ref="CP36">IF(25=25,IF(AM36="","",SUMPRODUCT(--ISNUMBER(SEARCH(" "&amp;DJ2050:DJ2068&amp;" ",AS36)))),"")</f>
        <v>0</v>
      </c>
      <c r="CQ36" s="493" cm="1">
        <f t="array" ref="CQ36">IF(25=25,IF(AM36="","",SUMPRODUCT(--ISNUMBER(SEARCH(" "&amp;DJ2069:DJ2083&amp;" ",AS36)))),"")</f>
        <v>0</v>
      </c>
      <c r="CR36" s="493" t="str">
        <f>IF(25=25,IF(AM36="","",IF((CP36)-(0)&gt;0,"X",IF((CQ36)-(0)&gt;0,"?",""))),"")</f>
        <v/>
      </c>
      <c r="CS36" s="493" cm="1">
        <f t="array" ref="CS36">IF(25=25,IF(AM36="","",SUMPRODUCT(--ISNUMBER(SEARCH(" "&amp;DJ2084:DJ2104&amp;" ",AS36)))),"")</f>
        <v>0</v>
      </c>
      <c r="CT36" s="493" cm="1">
        <f t="array" ref="CT36">IF(25=25,IF(AM36="","",SUMPRODUCT(--ISNUMBER(SEARCH(" "&amp;DJ2105:DJ2144&amp;" ",SUBSTITUTE(SUBSTITUTE(AS36," "&amp;DJ1378&amp;" "," ")," "&amp;DJ1377&amp;" "," "))))+--ISNUMBER(SEARCH("poiré",AN36))),"")</f>
        <v>0</v>
      </c>
      <c r="CU36" s="493" t="str">
        <f>IF(25=25,IF(AM36="","",IF(OR(CS36&gt;0,ISNUMBER(SEARCH(" vinaigre de vin ",AS36)),ISNUMBER(SEARCH(" vinaigre au vin ",AS36))),"X",IF(CT36&gt;0,"?",""))),"")</f>
        <v/>
      </c>
      <c r="CV36" s="493" cm="1">
        <f t="array" ref="CV36">IF(25=25,IF(AM36="","",SUMPRODUCT(--ISNUMBER(SEARCH(" "&amp;DJ2145:DJ2157&amp;" ",AS36)))),"")</f>
        <v>0</v>
      </c>
      <c r="CW36" s="493" cm="1">
        <f t="array" ref="CW36">IF(25=25,IF(AM36="","",SUMPRODUCT(--ISNUMBER(SEARCH(" "&amp;DJ2158:DJ2163&amp;" ",AS36)))),"")</f>
        <v>0</v>
      </c>
      <c r="CX36" s="493" t="str">
        <f>IF(25=25,IF(AM36="","",IF((CV36)-(0)&gt;0,"X",IF((CW36)-(0)&gt;0,"?",""))),"")</f>
        <v/>
      </c>
      <c r="CY36" s="493" cm="1">
        <f t="array" ref="CY36">IF(25=25,IF(AM36="","",SUMPRODUCT(--ISNUMBER(SEARCH(" "&amp;DJ2164:DJ2263&amp;" ",DB36)))),"")</f>
        <v>0</v>
      </c>
      <c r="CZ36" s="493" cm="1">
        <f t="array" ref="CZ36">IF(25=25,IF(AM36="","",SUMPRODUCT(--ISNUMBER(SEARCH(" "&amp;DJ2264:DJ2363&amp;" ",DB36)))),"")</f>
        <v>0</v>
      </c>
      <c r="DA36" s="493" cm="1">
        <f t="array" ref="DA36">IF(25=25,IF(AM36="","",SUMPRODUCT(--ISNUMBER(SEARCH(" "&amp;DJ2364:DJ2406&amp;" ",DB36)))),"")</f>
        <v>0</v>
      </c>
      <c r="DB36" s="493" t="str">
        <f>IF(25=25,IF(AM36="","",SUBSTITUTE(SUBSTITUTE(SUBSTITUTE(SUBSTITUTE(SUBSTITUTE(SUBSTITUTE(SUBSTITUTE(SUBSTITUTE(SUBSTITUTE(SUBSTITUTE(SUBSTITUTE(SUBSTITUTE(SUBSTITUTE(SUBSTITUTE(SUBSTITUTE(SUBSTITUTE(AS36," "&amp;DJ2412&amp;" "," ")," "&amp;DJ2411&amp;" "," ")," "&amp;DJ2410&amp;" "," ")," "&amp;DJ2417&amp;" "," ")," "&amp;DJ2409&amp;" "," ")," "&amp;DJ2421&amp;" "," ")," "&amp;DJ2408&amp;" "," ")," "&amp;DJ2413&amp;" "," ")," "&amp;DJ2416&amp;" "," ")," "&amp;DJ2407&amp;" "," ")," "&amp;DJ2415&amp;" "," ")," "&amp;DJ2422&amp;" "," ")," "&amp;DJ2419&amp;" "," ")," "&amp;DJ2414&amp;" "," ")," "&amp;DJ2418&amp;" "," ")," "&amp;DJ2420&amp;" "," ")),"")</f>
        <v xml:space="preserve"> 1 prechauffez le four a 180°c th 6 </v>
      </c>
      <c r="DC36" s="493" cm="1">
        <f t="array" ref="DC36">IF(25=25,IF(AM36="","",SUMPRODUCT(--ISNUMBER(SEARCH(" "&amp;DJ2423:DJ2427&amp;" ",DB36)))),"")</f>
        <v>0</v>
      </c>
      <c r="DD36" s="493" t="str">
        <f>IF(25=25,IF(AM36="","",IF(SUM(CY36:DA36)&gt;0,"X",IF(DC36&gt;0,"?",""))),"")</f>
        <v/>
      </c>
      <c r="DE36" s="494"/>
      <c r="DF36" s="496" t="s">
        <v>1188</v>
      </c>
      <c r="DG36" s="496" t="s">
        <v>1083</v>
      </c>
      <c r="DH36" s="496" t="s">
        <v>689</v>
      </c>
      <c r="DI36" s="496" t="s">
        <v>891</v>
      </c>
      <c r="DJ36" s="496" t="s">
        <v>891</v>
      </c>
      <c r="DK36" s="496" t="s">
        <v>1085</v>
      </c>
      <c r="DL36" s="496" t="s">
        <v>1086</v>
      </c>
      <c r="DM36" s="496" t="s">
        <v>1087</v>
      </c>
      <c r="DN36" s="497" t="s">
        <v>1088</v>
      </c>
      <c r="DP36" s="543">
        <v>1</v>
      </c>
    </row>
    <row r="37" spans="2:120" ht="30" customHeight="1">
      <c r="B37" s="663" t="str">
        <f t="shared" si="0"/>
        <v>5. Incorporez la farine, la poudre d’amandes puis la crème liquide, en mélangeant bien entre chaque ajout.</v>
      </c>
      <c r="C37" s="663" t="str">
        <f t="shared" si="1"/>
        <v>5 Incorporez la farine la poudre d’amandes puis la crème liquide en mélangeant bien entre chaque ajout</v>
      </c>
      <c r="D37" s="663" t="str">
        <f>IF(UPPER(TRIM(N11))="X",C37,B37)</f>
        <v>5. Incorporez la farine, la poudre d’amandes puis la crème liquide, en mélangeant bien entre chaque ajout.</v>
      </c>
      <c r="E37" s="663" cm="1">
        <f t="array" ref="E37">IF(H36&lt;&gt;"",E36,IF(E36="","",IFERROR(MATCH(TRUE(),INDEX(INDEX(K:K,E36+1):K203&lt;&gt;"",0),0)+E36,"")))</f>
        <v>34</v>
      </c>
      <c r="F37" s="663" t="str" cm="1">
        <f t="array" ref="F37">IF(E37="","",IF(H36&lt;&gt;"",H36,INDEX(D:D,E37)))</f>
        <v>2. Étalez la pâte sablée dans un moule beurré, piquez le fond avec une fourchette et placez au réfrigérateur pendant la préparation.</v>
      </c>
      <c r="G37" s="663" t="str">
        <f t="shared" si="2"/>
        <v xml:space="preserve">2. Étalez la pâte sablée dans un moule beurré, piquez le fond avec une </v>
      </c>
      <c r="H37" s="673" t="str">
        <f t="shared" si="3"/>
        <v>fourchette et placez au réfrigérateur pendant la préparation.</v>
      </c>
      <c r="I37" s="680" t="str">
        <f>IF(AND(F37&lt;&gt;"",N10&gt;0,M37&gt;N10),"Mot &gt; limite","")</f>
        <v/>
      </c>
      <c r="J37" s="674">
        <f>IF(K37="","",COUNTIF(K18:K37,"&lt;&gt;"))</f>
        <v>20</v>
      </c>
      <c r="K37" s="675" t="s">
        <v>6482</v>
      </c>
      <c r="L37" s="674">
        <f t="shared" si="4"/>
        <v>106</v>
      </c>
      <c r="M37" s="643">
        <f>IF(OR(F37="",N10="",N10&lt;=0),"",IF(LEN(F37)&lt;=N10,LEN(F37),IFERROR(FIND("♦",SUBSTITUTE(LEFT(F37,N10)," ","♦",LEN(LEFT(F37,N10))-LEN(SUBSTITUTE(LEFT(F37,N10)," ","")))),FIND(" ",F37&amp;" ",N10+1)-1)))</f>
        <v>71</v>
      </c>
      <c r="N37" s="676">
        <f t="shared" si="5"/>
        <v>20</v>
      </c>
      <c r="O37" s="677" t="str">
        <f t="shared" si="6"/>
        <v xml:space="preserve">2. Étalez la pâte sablée dans un moule beurré, piquez le fond avec une </v>
      </c>
      <c r="P37" s="676">
        <f t="shared" si="7"/>
        <v>14</v>
      </c>
      <c r="Q37" s="676">
        <f t="shared" si="8"/>
        <v>71</v>
      </c>
      <c r="S37" s="509">
        <v>20</v>
      </c>
      <c r="T37" s="678" t="str">
        <f t="shared" si="10"/>
        <v xml:space="preserve">2. Étalez la pâte sablée dans un moule beurré, piquez le fond avec une </v>
      </c>
      <c r="U37" s="679" t="str">
        <f t="shared" si="9"/>
        <v>2. Étalez la pâte sablée dans un moule beurré, piquez le fond avec une *</v>
      </c>
      <c r="V37" s="512" t="str">
        <f>IF(26=26,IF(T37="","",IF(W37="X",""&amp;"Céréales contenant du gluten","")&amp;IF(X37="X",IF(COUNTIF(W37:W37,"X")&gt;0,", ","")&amp;"Crustacés","")&amp;IF(Y37="X",IF(COUNTIF(W37:X37,"X")&gt;0,", ","")&amp;"Œufs","")&amp;IF(Z37="X",IF(COUNTIF(W37:Y37,"X")&gt;0,", ","")&amp;"Poissons","")&amp;IF(AA37="X",IF(COUNTIF(W37:Z37,"X")&gt;0,", ","")&amp;"Arachides","")&amp;IF(AB37="X",IF(COUNTIF(W37:AA37,"X")&gt;0,", ","")&amp;"Soja","")&amp;IF(AC37="X",IF(COUNTIF(W37:AB37,"X")&gt;0,", ","")&amp;"Lait","")&amp;IF(AD37="X",IF(COUNTIF(W37:AC37,"X")&gt;0,", ","")&amp;"Fruits à coque","")&amp;IF(AE37="X",IF(COUNTIF(W37:AD37,"X")&gt;0,", ","")&amp;"Céleri","")&amp;IF(AF37="X",IF(COUNTIF(W37:AE37,"X")&gt;0,", ","")&amp;"Moutarde","")&amp;IF(AG37="X",IF(COUNTIF(W37:AF37,"X")&gt;0,", ","")&amp;"Sésame","")&amp;IF(AH37="X",IF(COUNTIF(W37:AG37,"X")&gt;0,", ","")&amp;"Sulfites","")&amp;IF(AI37="X",IF(COUNTIF(W37:AH37,"X")&gt;0,", ","")&amp;"Lupin","")&amp;IF(AJ37="X",IF(COUNTIF(W37:AI37,"X")&gt;0,", ","")&amp;"Mollusques","")),"")</f>
        <v>Céréales contenant du gluten, Lait, Mollusques</v>
      </c>
      <c r="W37" s="513" t="str">
        <f>IF(26=26,IF(T37="","",AX37),"")</f>
        <v>X</v>
      </c>
      <c r="X37" s="513" t="str">
        <f>IF(26=26,IF(T37="","",BA37),"")</f>
        <v/>
      </c>
      <c r="Y37" s="513" t="str">
        <f>IF(26=26,IF(T37="","",BE37),"")</f>
        <v>?</v>
      </c>
      <c r="Z37" s="513" t="str">
        <f>IF(26=26,IF(T37="","",IF(ISNUMBER(SEARCH(" colin ",AS37)),"X",BR37)),"")</f>
        <v/>
      </c>
      <c r="AA37" s="513" t="str">
        <f>IF(26=26,IF(T37="","",BT37),"")</f>
        <v/>
      </c>
      <c r="AB37" s="513" t="str">
        <f>IF(26=26,IF(T37="","",BX37),"")</f>
        <v/>
      </c>
      <c r="AC37" s="513" t="str">
        <f>IF(26=26,IF(T37="","",CE37),"")</f>
        <v>X</v>
      </c>
      <c r="AD37" s="513" t="str">
        <f>IF(26=26,IF(T37="","",CI37),"")</f>
        <v/>
      </c>
      <c r="AE37" s="513" t="str">
        <f>IF(26=26,IF(T37="","",CL37),"")</f>
        <v>?</v>
      </c>
      <c r="AF37" s="513" t="str">
        <f>IF(26=26,IF(T37="","",CO37),"")</f>
        <v>?</v>
      </c>
      <c r="AG37" s="513" t="str">
        <f>IF(26=26,IF(T37="","",CR37),"")</f>
        <v/>
      </c>
      <c r="AH37" s="513" t="str">
        <f>IF(26=26,IF(T37="","",CU37),"")</f>
        <v/>
      </c>
      <c r="AI37" s="513" t="str">
        <f>IF(26=26,IF(T37="","",CX37),"")</f>
        <v/>
      </c>
      <c r="AJ37" s="513" t="str">
        <f>IF(26=26,IF(T37="","",DD37),"")</f>
        <v>X</v>
      </c>
      <c r="AK37" s="514" t="str">
        <f>IF(26=26,IF(T37="","",IF(W37="?",""&amp;"Céréales contenant du gluten","")&amp;IF(X37="?",IF(COUNTIF(W37:W37,"~?")&gt;0,", ","")&amp;"Crustacés","")&amp;IF(Y37="?",IF(COUNTIF(W37:X37,"~?")&gt;0,", ","")&amp;"Œufs","")&amp;IF(Z37="?",IF(COUNTIF(W37:Y37,"~?")&gt;0,", ","")&amp;"Poissons","")&amp;IF(AA37="?",IF(COUNTIF(W37:Z37,"~?")&gt;0,", ","")&amp;"Arachides","")&amp;IF(AB37="?",IF(COUNTIF(W37:AA37,"~?")&gt;0,", ","")&amp;"Soja","")&amp;IF(AC37="?",IF(COUNTIF(W37:AB37,"~?")&gt;0,", ","")&amp;"Lait","")&amp;IF(AD37="?",IF(COUNTIF(W37:AC37,"~?")&gt;0,", ","")&amp;"Fruits à coque","")&amp;IF(AE37="?",IF(COUNTIF(W37:AD37,"~?")&gt;0,", ","")&amp;"Céleri","")&amp;IF(AF37="?",IF(COUNTIF(W37:AE37,"~?")&gt;0,", ","")&amp;"Moutarde","")&amp;IF(AG37="?",IF(COUNTIF(W37:AF37,"~?")&gt;0,", ","")&amp;"Sésame","")&amp;IF(AH37="?",IF(COUNTIF(W37:AG37,"~?")&gt;0,", ","")&amp;"Sulfites","")&amp;IF(AI37="?",IF(COUNTIF(W37:AH37,"~?")&gt;0,", ","")&amp;"Lupin","")&amp;IF(AJ37="?",IF(COUNTIF(W37:AI37,"~?")&gt;0,", ","")&amp;"Mollusques","")),"")</f>
        <v>Œufs, Céleri, Moutarde</v>
      </c>
      <c r="AM37" s="493" t="str">
        <f>IF(26=26,IF(T37="","",T37),"")</f>
        <v xml:space="preserve">2. Étalez la pâte sablée dans un moule beurré, piquez le fond avec une </v>
      </c>
      <c r="AN37" s="493" t="str">
        <f>IF(26=26,LOWER(CLEAN(SUBSTITUTE(SUBSTITUTE(SUBSTITUTE(SUBSTITUTE(AM37,CHAR(160)," ")," "," "),CHAR(10)," "),CHAR(13)," "))),"")</f>
        <v xml:space="preserve">2. étalez la pâte sablée dans un moule beurré, piquez le fond avec une </v>
      </c>
      <c r="AO37" s="493" t="str">
        <f>IF(26=26,SUBSTITUTE(SUBSTITUTE(SUBSTITUTE(SUBSTITUTE(SUBSTITUTE(SUBSTITUTE(SUBSTITUTE(SUBSTITUTE(SUBSTITUTE(SUBSTITUTE(SUBSTITUTE(SUBSTITUTE(AN37,"œ","oe"),"æ","ae"),"à","a"),"á","a"),"â","a"),"ä","a"),"ã","a"),"ç","c"),"è","e"),"é","e"),"ê","e"),"ë","e"),"")</f>
        <v xml:space="preserve">2. etalez la pate sablee dans un moule beurre, piquez le fond avec une </v>
      </c>
      <c r="AP37" s="493" t="str">
        <f>IF(26=26,SUBSTITUTE(SUBSTITUTE(SUBSTITUTE(SUBSTITUTE(SUBSTITUTE(SUBSTITUTE(SUBSTITUTE(SUBSTITUTE(SUBSTITUTE(SUBSTITUTE(SUBSTITUTE(SUBSTITUTE(SUBSTITUTE(SUBSTITUTE(SUBSTITUTE(SUBSTITUTE(AO37,"ì","i"),"í","i"),"î","i"),"ï","i"),"ñ","n"),"ò","o"),"ó","o"),"ô","o"),"ö","o"),"õ","o"),"ù","u"),"ú","u"),"û","u"),"ü","u"),"ý","y"),"ÿ","y"),"")</f>
        <v xml:space="preserve">2. etalez la pate sablee dans un moule beurre, piquez le fond avec une </v>
      </c>
      <c r="AQ37" s="493" t="str">
        <f>IF(26=26,SUBSTITUTE(SUBSTITUTE(SUBSTITUTE(SUBSTITUTE(SUBSTITUTE(SUBSTITUTE(SUBSTITUTE(SUBSTITUTE(SUBSTITUTE(SUBSTITUTE(SUBSTITUTE(SUBSTITUTE(SUBSTITUTE(SUBSTITUTE(AP37,"’"," "),"`"," "),"–"," "),"—"," "),"-"," "),"'"," "),"/"," "),"_"," "),","," "),"."," "),"("," "),")"," "),";"," "),":"," "),"")</f>
        <v xml:space="preserve">2  etalez la pate sablee dans un moule beurre  piquez le fond avec une </v>
      </c>
      <c r="AR37" s="493" t="str">
        <f>IF(26=26,SUBSTITUTE(SUBSTITUTE(SUBSTITUTE(SUBSTITUTE(SUBSTITUTE(SUBSTITUTE(SUBSTITUTE(SUBSTITUTE(SUBSTITUTE(SUBSTITUTE(SUBSTITUTE(SUBSTITUTE(SUBSTITUTE(SUBSTITUTE(SUBSTITUTE(AQ37,"!"," "),"?"," "),"+"," "),"*"," "),"&amp;"," "),"["," "),"]"," "),"{"," "),"}"," "),"%"," "),"="," "),"\"," "),"|"," "),"&lt;"," "),"&gt;"," "),"")</f>
        <v xml:space="preserve">2  etalez la pate sablee dans un moule beurre  piquez le fond avec une </v>
      </c>
      <c r="AS37" s="493" t="str">
        <f>IF(26=26," "&amp;TRIM(SUBSTITUTE(SUBSTITUTE(SUBSTITUTE(SUBSTITUTE(SUBSTITUTE(SUBSTITUTE(AR37,CHAR(34)," "),"  "," "),"  "," "),"  "," "),"  "," "),"  "," "))&amp;" ","")</f>
        <v xml:space="preserve"> 2 etalez la pate sablee dans un moule beurre piquez le fond avec une </v>
      </c>
      <c r="AT37" s="493" cm="1">
        <f t="array" ref="AT37">IF(26=26,IF(AM37="","",SUMPRODUCT(--ISNUMBER(SEARCH(" "&amp;DJ13:DJ112&amp;" ",AV37)))),"")</f>
        <v>0</v>
      </c>
      <c r="AU37" s="493" cm="1">
        <f t="array" ref="AU37">IF(26=26,IF(AM37="","",SUMPRODUCT(--ISNUMBER(SEARCH(" "&amp;DJ113:DJ162&amp;" ",AV37)))),"")</f>
        <v>1</v>
      </c>
      <c r="AV37" s="493" t="str">
        <f>IF(AM37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37,"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2 etalez la pate sablee dans un moule beurre piquez le fond avec une </v>
      </c>
      <c r="AW37" s="493" cm="1">
        <f t="array" ref="AW37">IF(AM37="","",SUMPRODUCT(--ISNUMBER(SEARCH(" "&amp;DJ195:DJ216&amp;" ",AV37)))+--ISNUMBER(SEARCH(" "&amp;DJ2465&amp;" ",AV37)))</f>
        <v>0</v>
      </c>
      <c r="AX37" s="493" t="str" cm="1">
        <f t="array" ref="AX37">IF(26=26,IF(AM37="","",IF(SUM(AT37:AU37)+SUMPRODUCT(--ISNUMBER(SEARCH(" "&amp;DJ2429:DJ2431&amp;" ",AV37)))&gt;0,"X",IF(AW37&gt;0,"?",""))),"")</f>
        <v>X</v>
      </c>
      <c r="AY37" s="493" cm="1">
        <f t="array" ref="AY37">IF(26=26,IF(AM37="","",SUMPRODUCT(--ISNUMBER(SEARCH(" "&amp;DJ217:DJ316&amp;" ",AS37)))),"")</f>
        <v>0</v>
      </c>
      <c r="AZ37" s="493" cm="1">
        <f t="array" ref="AZ37">IF(26=26,IF(AM37="","",SUMPRODUCT(--ISNUMBER(SEARCH(" "&amp;DJ317:DJ351&amp;" ",AS37)))),"")</f>
        <v>0</v>
      </c>
      <c r="BA37" s="493" t="str">
        <f>IF(26=26,IF(AM37="","",IF((SUM(AY37:AZ37))-(0)&gt;0,"X",IF((0)-(0)&gt;0,"?",""))),"")</f>
        <v/>
      </c>
      <c r="BB37" s="493" cm="1">
        <f t="array" ref="BB37">IF(26=26,IF(AM37="","",SUMPRODUCT(--ISNUMBER(SEARCH(" "&amp;DJ352:DJ409&amp;" ",AS37)))),"")</f>
        <v>0</v>
      </c>
      <c r="BC37" s="493" cm="1">
        <f t="array" ref="BC37">IF(26=26,IF(AM37="","",SUMPRODUCT(--ISNUMBER(SEARCH(" "&amp;DJ410:DJ437&amp;" ",BD37)))+SUMPRODUCT(--ISNUMBER(SEARCH(" "&amp;DJ2451:DJ2464&amp;" ",BD37)))),"")</f>
        <v>1</v>
      </c>
      <c r="BD37" s="493" t="str">
        <f>IF(26=26,IF(AM37="","",SUBSTITUTE(SUBSTITUTE(SUBSTITUTE(SUBSTITUTE(SUBSTITUTE(SUBSTITUTE(SUBSTITUTE(SUBSTITUTE(SUBSTITUTE(SUBSTITUTE(SUBSTITUTE(SUBSTITUTE(SUBSTITUTE(SUBSTITUTE(AS37," "&amp;DJ2466&amp;" "," ")," "&amp;DJ444&amp;" "," ")," "&amp;DJ442&amp;" "," ")," "&amp;DJ2449&amp;" "," ")," "&amp;DJ2450&amp;" "," ")," "&amp;DJ439&amp;" "," ")," "&amp;DJ443&amp;" "," ")," "&amp;DJ445&amp;" "," ")," "&amp;DJ440&amp;" "," ")," "&amp;DJ438&amp;" "," ")," "&amp;DJ1378&amp;" "," ")," "&amp;DJ446&amp;" "," ")," "&amp;DJ1377&amp;" "," ")," "&amp;DJ441&amp;" "," ")),"")</f>
        <v xml:space="preserve"> 2 etalez la pate sablee dans un moule beurre piquez le fond avec une </v>
      </c>
      <c r="BE37" s="493" t="str">
        <f>IF(26=26,IF(AM37="","",IF(BB37&gt;0,"X",IF(BC37&gt;0,"?",""))),"")</f>
        <v>?</v>
      </c>
      <c r="BF37" s="493" cm="1">
        <f t="array" ref="BF37">IF(26=26,IF(AM37="","",SUMPRODUCT(--ISNUMBER(SEARCH(" "&amp;DJ447:DJ546&amp;" ",BP37)))),"")</f>
        <v>0</v>
      </c>
      <c r="BG37" s="493" cm="1">
        <f t="array" ref="BG37">IF(26=26,IF(AM37="","",SUMPRODUCT(--ISNUMBER(SEARCH(" "&amp;DJ547:DJ646&amp;" ",BP37)))),"")</f>
        <v>0</v>
      </c>
      <c r="BH37" s="493" cm="1">
        <f t="array" ref="BH37">IF(26=26,IF(AM37="","",SUMPRODUCT(--ISNUMBER(SEARCH(" "&amp;DJ647:DJ746&amp;" ",BP37)))),"")</f>
        <v>0</v>
      </c>
      <c r="BI37" s="493" cm="1">
        <f t="array" ref="BI37">IF(26=26,IF(AM37="","",SUMPRODUCT(--ISNUMBER(SEARCH(" "&amp;DJ747:DJ846&amp;" ",BP37)))),"")</f>
        <v>0</v>
      </c>
      <c r="BJ37" s="493" cm="1">
        <f t="array" ref="BJ37">IF(26=26,IF(AM37="","",SUMPRODUCT(--ISNUMBER(SEARCH(" "&amp;DJ847:DJ946&amp;" ",BP37)))),"")</f>
        <v>0</v>
      </c>
      <c r="BK37" s="493" cm="1">
        <f t="array" ref="BK37">IF(26=26,IF(AM37="","",SUMPRODUCT(--ISNUMBER(SEARCH(" "&amp;DJ947:DJ1046&amp;" ",BP37)))),"")</f>
        <v>0</v>
      </c>
      <c r="BL37" s="493" cm="1">
        <f t="array" ref="BL37">IF(26=26,IF(AM37="","",SUMPRODUCT(--ISNUMBER(SEARCH(" "&amp;DJ1047:DJ1146&amp;" ",BP37)))),"")</f>
        <v>0</v>
      </c>
      <c r="BM37" s="493" cm="1">
        <f t="array" ref="BM37">IF(26=26,IF(AM37="","",SUMPRODUCT(--ISNUMBER(SEARCH(" "&amp;DJ1147:DJ1246&amp;" ",BP37)))),"")</f>
        <v>0</v>
      </c>
      <c r="BN37" s="493" cm="1">
        <f t="array" ref="BN37">IF(26=26,IF(AM37="","",SUMPRODUCT(--ISNUMBER(SEARCH(" "&amp;DJ1247:DJ1346&amp;" ",BP37)))),"")</f>
        <v>0</v>
      </c>
      <c r="BO37" s="493" cm="1">
        <f t="array" ref="BO37">IF(26=26,IF(AM37="","",SUMPRODUCT(--ISNUMBER(SEARCH(" "&amp;DJ1347:DJ1374&amp;" ",BP37)))),"")</f>
        <v>0</v>
      </c>
      <c r="BP37" s="493" t="str">
        <f>IF(26=26,IF(AM37="","",SUBSTITUTE(SUBSTITUTE(SUBSTITUTE(SUBSTITUTE(SUBSTITUTE(SUBSTITUTE(SUBSTITUTE(SUBSTITUTE(SUBSTITUTE(AS37," "&amp;DJ1376&amp;" "," ")," "&amp;DJ1375&amp;" "," ")," "&amp;DJ1381&amp;" "," ")," "&amp;DJ1382&amp;" "," ")," "&amp;DJ1378&amp;" "," ")," "&amp;DJ1380&amp;" "," ")," "&amp;DJ1377&amp;" "," ")," "&amp;DJ1379&amp;" "," ")," "&amp;DJ1383&amp;" "," ")),"")</f>
        <v xml:space="preserve"> 2 etalez la pate sablee dans un moule beurre piquez le fond avec une </v>
      </c>
      <c r="BQ37" s="493" cm="1">
        <f t="array" ref="BQ37">IF(26=26,IF(AM37="","",SUMPRODUCT(--ISNUMBER(SEARCH(" "&amp;DJ1384:DJ1394&amp;" ",BP37)))),"")</f>
        <v>0</v>
      </c>
      <c r="BR37" s="493" t="str" cm="1">
        <f t="array" ref="BR37">IF(26=26,IF(AM37="","",IF(SUM(BF37:BO37)+SUMPRODUCT(--ISNUMBER(SEARCH(" "&amp;DJ2432:DJ2433&amp;" ",BP37)))&gt;0,"X",IF(BQ37&gt;0,"?",""))),"")</f>
        <v/>
      </c>
      <c r="BS37" s="493" cm="1">
        <f t="array" ref="BS37">IF(26=26,IF(AM37="","",SUMPRODUCT(--ISNUMBER(SEARCH(" "&amp;DJ1395:DJ1415&amp;" ",AS37)))),"")</f>
        <v>0</v>
      </c>
      <c r="BT37" s="493" t="str">
        <f>IF(26=26,IF(AM37="","",IF((BS37)-(0)&gt;0,"X",IF((0)-(0)&gt;0,"?",""))),"")</f>
        <v/>
      </c>
      <c r="BU37" s="493" cm="1">
        <f t="array" ref="BU37">IF(26=26,IF(AM37="","",SUMPRODUCT(--ISNUMBER(SEARCH(" "&amp;DJ1416:DJ1453&amp;" ",BV37)))),"")</f>
        <v>0</v>
      </c>
      <c r="BV37" s="493" t="str">
        <f>IF(26=26,IF(AM37="","",SUBSTITUTE(SUBSTITUTE(AS37," "&amp;DJ1454&amp;" "," ")," "&amp;DJ1455&amp;" "," ")),"")</f>
        <v xml:space="preserve"> 2 etalez la pate sablee dans un moule beurre piquez le fond avec une </v>
      </c>
      <c r="BW37" s="493" cm="1">
        <f t="array" ref="BW37">IF(26=26,IF(AM37="","",SUMPRODUCT(--ISNUMBER(SEARCH(" "&amp;DJ1456:DJ1466&amp;" ",BV37)))),"")</f>
        <v>0</v>
      </c>
      <c r="BX37" s="493" t="str">
        <f>IF(26=26,IF(AM37="","",IF(BU37&gt;0,"X",IF(BW37&gt;0,"?",""))),"")</f>
        <v/>
      </c>
      <c r="BY37" s="493" cm="1">
        <f t="array" ref="BY37">IF(26=26,IF(AM37="","",SUMPRODUCT(--ISNUMBER(SEARCH(" "&amp;DJ1467:DJ1566&amp;" ",CB37)))),"")</f>
        <v>1</v>
      </c>
      <c r="BZ37" s="493" cm="1">
        <f t="array" ref="BZ37">IF(26=26,IF(AM37="","",SUMPRODUCT(--ISNUMBER(SEARCH(" "&amp;DJ1567:DJ1666&amp;" ",CB37)))),"")</f>
        <v>0</v>
      </c>
      <c r="CA37" s="493" cm="1">
        <f t="array" ref="CA37">IF(26=26,IF(AM37="","",SUMPRODUCT(--ISNUMBER(SEARCH(" "&amp;DJ1667:DJ1750&amp;" ",CB37)))),"")</f>
        <v>0</v>
      </c>
      <c r="CB37" s="493" t="str">
        <f>IF(26=26,IF(AM37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37,"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2 etalez la pate sablee dans un moule beurre piquez le fond avec une </v>
      </c>
      <c r="CC37" s="493" cm="1">
        <f t="array" ref="CC37">IF(26=26,IF(AM37="","",SUMPRODUCT(--ISNUMBER(SEARCH(" "&amp;DJ1801:DJ1880&amp;" ",CD37)))+SUMPRODUCT(--ISNUMBER(SEARCH(" "&amp;DJ2451:DJ2464&amp;" ",CD37)))),"")</f>
        <v>0</v>
      </c>
      <c r="CD37" s="493" t="str">
        <f>IF(26=26,IF(AM37="","",SUBSTITUTE(SUBSTITUTE(SUBSTITUTE(SUBSTITUTE(SUBSTITUTE(SUBSTITUTE(SUBSTITUTE(SUBSTITUTE(SUBSTITUTE(SUBSTITUTE(SUBSTITUTE(SUBSTITUTE(SUBSTITUTE(CB37," "&amp;DJ1887&amp;" "," ")," "&amp;DJ1885&amp;" "," ")," "&amp;DJ2449&amp;" "," ")," "&amp;DJ2450&amp;" "," ")," "&amp;DJ1882&amp;" "," ")," "&amp;DJ1886&amp;" "," ")," "&amp;DJ1888&amp;" "," ")," "&amp;DJ1883&amp;" "," ")," "&amp;DJ1881&amp;" "," ")," "&amp;DJ1378&amp;" "," ")," "&amp;DJ1889&amp;" "," ")," "&amp;DJ1377&amp;" "," ")," "&amp;DJ1884&amp;" "," ")),"")</f>
        <v xml:space="preserve"> 2 etalez la pate sablee dans un moule beurre piquez le fond avec une </v>
      </c>
      <c r="CE37" s="493" t="str" cm="1">
        <f t="array" ref="CE37">IF(26=26,IF(AM37="","",IF(SUM(BY37:CA37)+SUMPRODUCT(--ISNUMBER(SEARCH(" "&amp;DJ2434:DJ2435&amp;" ",CB37)))&gt;0,"X",IF(CC37&gt;0,"?",""))),"")</f>
        <v>X</v>
      </c>
      <c r="CF37" s="493" cm="1">
        <f t="array" ref="CF37">IF(26=26,IF(AM37="","",SUMPRODUCT(--ISNUMBER(SEARCH(" "&amp;DJ1890:DJ1947&amp;" ",CG37)))),"")</f>
        <v>0</v>
      </c>
      <c r="CG37" s="493" t="str">
        <f>IF(26=26,IF(AM37="","",SUBSTITUTE(SUBSTITUTE(SUBSTITUTE(SUBSTITUTE(SUBSTITUTE(SUBSTITUTE(SUBSTITUTE(SUBSTITUTE(SUBSTITUTE(SUBSTITUTE(SUBSTITUTE(SUBSTITUTE(SUBSTITUTE(SUBSTITUTE(SUBSTITUTE(SUBSTITUTE(SUBSTITUTE(SUBSTITUTE(SUBSTITUTE(SUBSTITUTE(SUBSTITUTE(SUBSTITUTE(SUBSTITUTE(AS37,"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2 etalez la pate sablee dans un moule beurre piquez le fond avec une </v>
      </c>
      <c r="CH37" s="493" cm="1">
        <f t="array" ref="CH37">IF(26=26,IF(AM37="","",SUMPRODUCT(--ISNUMBER(SEARCH(" "&amp;DJ1971:DJ1987&amp;" ",CG37)))),"")</f>
        <v>0</v>
      </c>
      <c r="CI37" s="493" t="str">
        <f>IF(26=26,IF(AM37="","",IF(CF37&gt;0,"X",IF(CH37&gt;0,"?",""))),"")</f>
        <v/>
      </c>
      <c r="CJ37" s="493" cm="1">
        <f t="array" ref="CJ37">IF(26=26,IF(AM37="","",SUMPRODUCT(--ISNUMBER(SEARCH(" "&amp;DJ1988:DJ2001&amp;" ",AS37)))),"")</f>
        <v>0</v>
      </c>
      <c r="CK37" s="493" cm="1">
        <f t="array" ref="CK37">IF(26=26,IF(AM37="","",SUMPRODUCT(--ISNUMBER(SEARCH(" "&amp;DJ2002:DJ2016&amp;" ",AS37)))),"")</f>
        <v>1</v>
      </c>
      <c r="CL37" s="493" t="str">
        <f>IF(26=26,IF(AM37="","",IF((CJ37)-(0)&gt;0,"X",IF((CK37)-(0)&gt;0,"?",""))),"")</f>
        <v>?</v>
      </c>
      <c r="CM37" s="493" cm="1">
        <f t="array" ref="CM37">IF(26=26,IF(AM37="","",SUMPRODUCT(--ISNUMBER(SEARCH(" "&amp;DJ2017:DJ2034&amp;" ",AS37)))),"")</f>
        <v>0</v>
      </c>
      <c r="CN37" s="493" cm="1">
        <f t="array" ref="CN37">IF(26=26,IF(AM37="","",SUMPRODUCT(--ISNUMBER(SEARCH(" "&amp;DJ2035:DJ2049&amp;" ",AS37)))),"")</f>
        <v>1</v>
      </c>
      <c r="CO37" s="493" t="str">
        <f>IF(26=26,IF(AM37="","",IF((CM37)-(0)&gt;0,"X",IF((CN37)-(0)&gt;0,"?",""))),"")</f>
        <v>?</v>
      </c>
      <c r="CP37" s="493" cm="1">
        <f t="array" ref="CP37">IF(26=26,IF(AM37="","",SUMPRODUCT(--ISNUMBER(SEARCH(" "&amp;DJ2050:DJ2068&amp;" ",AS37)))),"")</f>
        <v>0</v>
      </c>
      <c r="CQ37" s="493" cm="1">
        <f t="array" ref="CQ37">IF(26=26,IF(AM37="","",SUMPRODUCT(--ISNUMBER(SEARCH(" "&amp;DJ2069:DJ2083&amp;" ",AS37)))),"")</f>
        <v>0</v>
      </c>
      <c r="CR37" s="493" t="str">
        <f>IF(26=26,IF(AM37="","",IF((CP37)-(0)&gt;0,"X",IF((CQ37)-(0)&gt;0,"?",""))),"")</f>
        <v/>
      </c>
      <c r="CS37" s="493" cm="1">
        <f t="array" ref="CS37">IF(26=26,IF(AM37="","",SUMPRODUCT(--ISNUMBER(SEARCH(" "&amp;DJ2084:DJ2104&amp;" ",AS37)))),"")</f>
        <v>0</v>
      </c>
      <c r="CT37" s="493" cm="1">
        <f t="array" ref="CT37">IF(26=26,IF(AM37="","",SUMPRODUCT(--ISNUMBER(SEARCH(" "&amp;DJ2105:DJ2144&amp;" ",SUBSTITUTE(SUBSTITUTE(AS37," "&amp;DJ1378&amp;" "," ")," "&amp;DJ1377&amp;" "," "))))+--ISNUMBER(SEARCH("poiré",AN37))),"")</f>
        <v>0</v>
      </c>
      <c r="CU37" s="493" t="str">
        <f>IF(26=26,IF(AM37="","",IF(OR(CS37&gt;0,ISNUMBER(SEARCH(" vinaigre de vin ",AS37)),ISNUMBER(SEARCH(" vinaigre au vin ",AS37))),"X",IF(CT37&gt;0,"?",""))),"")</f>
        <v/>
      </c>
      <c r="CV37" s="493" cm="1">
        <f t="array" ref="CV37">IF(26=26,IF(AM37="","",SUMPRODUCT(--ISNUMBER(SEARCH(" "&amp;DJ2145:DJ2157&amp;" ",AS37)))),"")</f>
        <v>0</v>
      </c>
      <c r="CW37" s="493" cm="1">
        <f t="array" ref="CW37">IF(26=26,IF(AM37="","",SUMPRODUCT(--ISNUMBER(SEARCH(" "&amp;DJ2158:DJ2163&amp;" ",AS37)))),"")</f>
        <v>0</v>
      </c>
      <c r="CX37" s="493" t="str">
        <f>IF(26=26,IF(AM37="","",IF((CV37)-(0)&gt;0,"X",IF((CW37)-(0)&gt;0,"?",""))),"")</f>
        <v/>
      </c>
      <c r="CY37" s="493" cm="1">
        <f t="array" ref="CY37">IF(26=26,IF(AM37="","",SUMPRODUCT(--ISNUMBER(SEARCH(" "&amp;DJ2164:DJ2263&amp;" ",DB37)))),"")</f>
        <v>0</v>
      </c>
      <c r="CZ37" s="493" cm="1">
        <f t="array" ref="CZ37">IF(26=26,IF(AM37="","",SUMPRODUCT(--ISNUMBER(SEARCH(" "&amp;DJ2264:DJ2363&amp;" ",DB37)))),"")</f>
        <v>1</v>
      </c>
      <c r="DA37" s="493" cm="1">
        <f t="array" ref="DA37">IF(26=26,IF(AM37="","",SUMPRODUCT(--ISNUMBER(SEARCH(" "&amp;DJ2364:DJ2406&amp;" ",DB37)))),"")</f>
        <v>0</v>
      </c>
      <c r="DB37" s="493" t="str">
        <f>IF(26=26,IF(AM37="","",SUBSTITUTE(SUBSTITUTE(SUBSTITUTE(SUBSTITUTE(SUBSTITUTE(SUBSTITUTE(SUBSTITUTE(SUBSTITUTE(SUBSTITUTE(SUBSTITUTE(SUBSTITUTE(SUBSTITUTE(SUBSTITUTE(SUBSTITUTE(SUBSTITUTE(SUBSTITUTE(AS37," "&amp;DJ2412&amp;" "," ")," "&amp;DJ2411&amp;" "," ")," "&amp;DJ2410&amp;" "," ")," "&amp;DJ2417&amp;" "," ")," "&amp;DJ2409&amp;" "," ")," "&amp;DJ2421&amp;" "," ")," "&amp;DJ2408&amp;" "," ")," "&amp;DJ2413&amp;" "," ")," "&amp;DJ2416&amp;" "," ")," "&amp;DJ2407&amp;" "," ")," "&amp;DJ2415&amp;" "," ")," "&amp;DJ2422&amp;" "," ")," "&amp;DJ2419&amp;" "," ")," "&amp;DJ2414&amp;" "," ")," "&amp;DJ2418&amp;" "," ")," "&amp;DJ2420&amp;" "," ")),"")</f>
        <v xml:space="preserve"> 2 etalez la pate sablee dans un moule beurre piquez le fond avec une </v>
      </c>
      <c r="DC37" s="493" cm="1">
        <f t="array" ref="DC37">IF(26=26,IF(AM37="","",SUMPRODUCT(--ISNUMBER(SEARCH(" "&amp;DJ2423:DJ2427&amp;" ",DB37)))),"")</f>
        <v>0</v>
      </c>
      <c r="DD37" s="493" t="str">
        <f>IF(26=26,IF(AM37="","",IF(SUM(CY37:DA37)&gt;0,"X",IF(DC37&gt;0,"?",""))),"")</f>
        <v>X</v>
      </c>
      <c r="DE37" s="494"/>
      <c r="DF37" s="496" t="s">
        <v>1189</v>
      </c>
      <c r="DG37" s="496" t="s">
        <v>1083</v>
      </c>
      <c r="DH37" s="496" t="s">
        <v>689</v>
      </c>
      <c r="DI37" s="496" t="s">
        <v>198</v>
      </c>
      <c r="DJ37" s="496" t="s">
        <v>198</v>
      </c>
      <c r="DK37" s="496" t="s">
        <v>1085</v>
      </c>
      <c r="DL37" s="496" t="s">
        <v>1086</v>
      </c>
      <c r="DM37" s="496" t="s">
        <v>1087</v>
      </c>
      <c r="DN37" s="497" t="s">
        <v>1088</v>
      </c>
      <c r="DP37" s="543">
        <v>1</v>
      </c>
    </row>
    <row r="38" spans="2:120" ht="30" customHeight="1">
      <c r="B38" s="663" t="str">
        <f t="shared" si="0"/>
        <v>6. Versez cette préparation sur les pommes, parsemez d’amandes effilées et ajoutez quelques noisettes de beurre.</v>
      </c>
      <c r="C38" s="663" t="str">
        <f t="shared" si="1"/>
        <v>6 Versez cette préparation sur les pommes parsemez d’amandes effilées et ajoutez quelques noisettes de beurre</v>
      </c>
      <c r="D38" s="663" t="str">
        <f>IF(UPPER(TRIM(N11))="X",C38,B38)</f>
        <v>6. Versez cette préparation sur les pommes, parsemez d’amandes effilées et ajoutez quelques noisettes de beurre.</v>
      </c>
      <c r="E38" s="663" cm="1">
        <f t="array" ref="E38">IF(H37&lt;&gt;"",E37,IF(E37="","",IFERROR(MATCH(TRUE(),INDEX(INDEX(K:K,E37+1):K203&lt;&gt;"",0),0)+E37,"")))</f>
        <v>34</v>
      </c>
      <c r="F38" s="663" t="str" cm="1">
        <f t="array" ref="F38">IF(E38="","",IF(H37&lt;&gt;"",H37,INDEX(D:D,E38)))</f>
        <v>fourchette et placez au réfrigérateur pendant la préparation.</v>
      </c>
      <c r="G38" s="663" t="str">
        <f t="shared" si="2"/>
        <v>fourchette et placez au réfrigérateur pendant la préparation.</v>
      </c>
      <c r="H38" s="673" t="str">
        <f t="shared" si="3"/>
        <v/>
      </c>
      <c r="I38" s="680" t="str">
        <f>IF(AND(F38&lt;&gt;"",N10&gt;0,M38&gt;N10),"Mot &gt; limite","")</f>
        <v/>
      </c>
      <c r="J38" s="674">
        <f>IF(K38="","",COUNTIF(K18:K38,"&lt;&gt;"))</f>
        <v>21</v>
      </c>
      <c r="K38" s="675" t="s">
        <v>6483</v>
      </c>
      <c r="L38" s="674">
        <f t="shared" si="4"/>
        <v>112</v>
      </c>
      <c r="M38" s="643">
        <f>IF(OR(F38="",N10="",N10&lt;=0),"",IF(LEN(F38)&lt;=N10,LEN(F38),IFERROR(FIND("♦",SUBSTITUTE(LEFT(F38,N10)," ","♦",LEN(LEFT(F38,N10))-LEN(SUBSTITUTE(LEFT(F38,N10)," ","")))),FIND(" ",F38&amp;" ",N10+1)-1)))</f>
        <v>61</v>
      </c>
      <c r="N38" s="676">
        <f t="shared" si="5"/>
        <v>21</v>
      </c>
      <c r="O38" s="677" t="str">
        <f t="shared" si="6"/>
        <v>fourchette et placez au réfrigérateur pendant la préparation.</v>
      </c>
      <c r="P38" s="676">
        <f t="shared" si="7"/>
        <v>8</v>
      </c>
      <c r="Q38" s="676">
        <f t="shared" si="8"/>
        <v>61</v>
      </c>
      <c r="S38" s="509">
        <v>21</v>
      </c>
      <c r="T38" s="678" t="str">
        <f t="shared" si="10"/>
        <v>fourchette et placez au réfrigérateur pendant la préparation.</v>
      </c>
      <c r="U38" s="679" t="str">
        <f t="shared" si="9"/>
        <v>fourchette et placez au réfrigérateur pendant la préparation.</v>
      </c>
      <c r="V38" s="512" t="str">
        <f>IF(27=27,IF(T38="","",IF(W38="X",""&amp;"Céréales contenant du gluten","")&amp;IF(X38="X",IF(COUNTIF(W38:W38,"X")&gt;0,", ","")&amp;"Crustacés","")&amp;IF(Y38="X",IF(COUNTIF(W38:X38,"X")&gt;0,", ","")&amp;"Œufs","")&amp;IF(Z38="X",IF(COUNTIF(W38:Y38,"X")&gt;0,", ","")&amp;"Poissons","")&amp;IF(AA38="X",IF(COUNTIF(W38:Z38,"X")&gt;0,", ","")&amp;"Arachides","")&amp;IF(AB38="X",IF(COUNTIF(W38:AA38,"X")&gt;0,", ","")&amp;"Soja","")&amp;IF(AC38="X",IF(COUNTIF(W38:AB38,"X")&gt;0,", ","")&amp;"Lait","")&amp;IF(AD38="X",IF(COUNTIF(W38:AC38,"X")&gt;0,", ","")&amp;"Fruits à coque","")&amp;IF(AE38="X",IF(COUNTIF(W38:AD38,"X")&gt;0,", ","")&amp;"Céleri","")&amp;IF(AF38="X",IF(COUNTIF(W38:AE38,"X")&gt;0,", ","")&amp;"Moutarde","")&amp;IF(AG38="X",IF(COUNTIF(W38:AF38,"X")&gt;0,", ","")&amp;"Sésame","")&amp;IF(AH38="X",IF(COUNTIF(W38:AG38,"X")&gt;0,", ","")&amp;"Sulfites","")&amp;IF(AI38="X",IF(COUNTIF(W38:AH38,"X")&gt;0,", ","")&amp;"Lupin","")&amp;IF(AJ38="X",IF(COUNTIF(W38:AI38,"X")&gt;0,", ","")&amp;"Mollusques","")),"")</f>
        <v/>
      </c>
      <c r="W38" s="513" t="str">
        <f>IF(27=27,IF(T38="","",AX38),"")</f>
        <v/>
      </c>
      <c r="X38" s="513" t="str">
        <f>IF(27=27,IF(T38="","",BA38),"")</f>
        <v/>
      </c>
      <c r="Y38" s="513" t="str">
        <f>IF(27=27,IF(T38="","",BE38),"")</f>
        <v/>
      </c>
      <c r="Z38" s="513" t="str">
        <f>IF(27=27,IF(T38="","",IF(ISNUMBER(SEARCH(" colin ",AS38)),"X",BR38)),"")</f>
        <v/>
      </c>
      <c r="AA38" s="513" t="str">
        <f>IF(27=27,IF(T38="","",BT38),"")</f>
        <v/>
      </c>
      <c r="AB38" s="513" t="str">
        <f>IF(27=27,IF(T38="","",BX38),"")</f>
        <v/>
      </c>
      <c r="AC38" s="513" t="str">
        <f>IF(27=27,IF(T38="","",CE38),"")</f>
        <v/>
      </c>
      <c r="AD38" s="513" t="str">
        <f>IF(27=27,IF(T38="","",CI38),"")</f>
        <v/>
      </c>
      <c r="AE38" s="513" t="str">
        <f>IF(27=27,IF(T38="","",CL38),"")</f>
        <v/>
      </c>
      <c r="AF38" s="513" t="str">
        <f>IF(27=27,IF(T38="","",CO38),"")</f>
        <v/>
      </c>
      <c r="AG38" s="513" t="str">
        <f>IF(27=27,IF(T38="","",CR38),"")</f>
        <v/>
      </c>
      <c r="AH38" s="513" t="str">
        <f>IF(27=27,IF(T38="","",CU38),"")</f>
        <v/>
      </c>
      <c r="AI38" s="513" t="str">
        <f>IF(27=27,IF(T38="","",CX38),"")</f>
        <v/>
      </c>
      <c r="AJ38" s="513" t="str">
        <f>IF(27=27,IF(T38="","",DD38),"")</f>
        <v/>
      </c>
      <c r="AK38" s="514" t="str">
        <f>IF(27=27,IF(T38="","",IF(W38="?",""&amp;"Céréales contenant du gluten","")&amp;IF(X38="?",IF(COUNTIF(W38:W38,"~?")&gt;0,", ","")&amp;"Crustacés","")&amp;IF(Y38="?",IF(COUNTIF(W38:X38,"~?")&gt;0,", ","")&amp;"Œufs","")&amp;IF(Z38="?",IF(COUNTIF(W38:Y38,"~?")&gt;0,", ","")&amp;"Poissons","")&amp;IF(AA38="?",IF(COUNTIF(W38:Z38,"~?")&gt;0,", ","")&amp;"Arachides","")&amp;IF(AB38="?",IF(COUNTIF(W38:AA38,"~?")&gt;0,", ","")&amp;"Soja","")&amp;IF(AC38="?",IF(COUNTIF(W38:AB38,"~?")&gt;0,", ","")&amp;"Lait","")&amp;IF(AD38="?",IF(COUNTIF(W38:AC38,"~?")&gt;0,", ","")&amp;"Fruits à coque","")&amp;IF(AE38="?",IF(COUNTIF(W38:AD38,"~?")&gt;0,", ","")&amp;"Céleri","")&amp;IF(AF38="?",IF(COUNTIF(W38:AE38,"~?")&gt;0,", ","")&amp;"Moutarde","")&amp;IF(AG38="?",IF(COUNTIF(W38:AF38,"~?")&gt;0,", ","")&amp;"Sésame","")&amp;IF(AH38="?",IF(COUNTIF(W38:AG38,"~?")&gt;0,", ","")&amp;"Sulfites","")&amp;IF(AI38="?",IF(COUNTIF(W38:AH38,"~?")&gt;0,", ","")&amp;"Lupin","")&amp;IF(AJ38="?",IF(COUNTIF(W38:AI38,"~?")&gt;0,", ","")&amp;"Mollusques","")),"")</f>
        <v/>
      </c>
      <c r="AM38" s="493" t="str">
        <f>IF(27=27,IF(T38="","",T38),"")</f>
        <v>fourchette et placez au réfrigérateur pendant la préparation.</v>
      </c>
      <c r="AN38" s="493" t="str">
        <f>IF(27=27,LOWER(CLEAN(SUBSTITUTE(SUBSTITUTE(SUBSTITUTE(SUBSTITUTE(AM38,CHAR(160)," ")," "," "),CHAR(10)," "),CHAR(13)," "))),"")</f>
        <v>fourchette et placez au réfrigérateur pendant la préparation.</v>
      </c>
      <c r="AO38" s="493" t="str">
        <f>IF(27=27,SUBSTITUTE(SUBSTITUTE(SUBSTITUTE(SUBSTITUTE(SUBSTITUTE(SUBSTITUTE(SUBSTITUTE(SUBSTITUTE(SUBSTITUTE(SUBSTITUTE(SUBSTITUTE(SUBSTITUTE(AN38,"œ","oe"),"æ","ae"),"à","a"),"á","a"),"â","a"),"ä","a"),"ã","a"),"ç","c"),"è","e"),"é","e"),"ê","e"),"ë","e"),"")</f>
        <v>fourchette et placez au refrigerateur pendant la preparation.</v>
      </c>
      <c r="AP38" s="493" t="str">
        <f>IF(27=27,SUBSTITUTE(SUBSTITUTE(SUBSTITUTE(SUBSTITUTE(SUBSTITUTE(SUBSTITUTE(SUBSTITUTE(SUBSTITUTE(SUBSTITUTE(SUBSTITUTE(SUBSTITUTE(SUBSTITUTE(SUBSTITUTE(SUBSTITUTE(SUBSTITUTE(SUBSTITUTE(AO38,"ì","i"),"í","i"),"î","i"),"ï","i"),"ñ","n"),"ò","o"),"ó","o"),"ô","o"),"ö","o"),"õ","o"),"ù","u"),"ú","u"),"û","u"),"ü","u"),"ý","y"),"ÿ","y"),"")</f>
        <v>fourchette et placez au refrigerateur pendant la preparation.</v>
      </c>
      <c r="AQ38" s="493" t="str">
        <f>IF(27=27,SUBSTITUTE(SUBSTITUTE(SUBSTITUTE(SUBSTITUTE(SUBSTITUTE(SUBSTITUTE(SUBSTITUTE(SUBSTITUTE(SUBSTITUTE(SUBSTITUTE(SUBSTITUTE(SUBSTITUTE(SUBSTITUTE(SUBSTITUTE(AP38,"’"," "),"`"," "),"–"," "),"—"," "),"-"," "),"'"," "),"/"," "),"_"," "),","," "),"."," "),"("," "),")"," "),";"," "),":"," "),"")</f>
        <v xml:space="preserve">fourchette et placez au refrigerateur pendant la preparation </v>
      </c>
      <c r="AR38" s="493" t="str">
        <f>IF(27=27,SUBSTITUTE(SUBSTITUTE(SUBSTITUTE(SUBSTITUTE(SUBSTITUTE(SUBSTITUTE(SUBSTITUTE(SUBSTITUTE(SUBSTITUTE(SUBSTITUTE(SUBSTITUTE(SUBSTITUTE(SUBSTITUTE(SUBSTITUTE(SUBSTITUTE(AQ38,"!"," "),"?"," "),"+"," "),"*"," "),"&amp;"," "),"["," "),"]"," "),"{"," "),"}"," "),"%"," "),"="," "),"\"," "),"|"," "),"&lt;"," "),"&gt;"," "),"")</f>
        <v xml:space="preserve">fourchette et placez au refrigerateur pendant la preparation </v>
      </c>
      <c r="AS38" s="493" t="str">
        <f>IF(27=27," "&amp;TRIM(SUBSTITUTE(SUBSTITUTE(SUBSTITUTE(SUBSTITUTE(SUBSTITUTE(SUBSTITUTE(AR38,CHAR(34)," "),"  "," "),"  "," "),"  "," "),"  "," "),"  "," "))&amp;" ","")</f>
        <v xml:space="preserve"> fourchette et placez au refrigerateur pendant la preparation </v>
      </c>
      <c r="AT38" s="493" cm="1">
        <f t="array" ref="AT38">IF(27=27,IF(AM38="","",SUMPRODUCT(--ISNUMBER(SEARCH(" "&amp;DJ13:DJ112&amp;" ",AV38)))),"")</f>
        <v>0</v>
      </c>
      <c r="AU38" s="493" cm="1">
        <f t="array" ref="AU38">IF(27=27,IF(AM38="","",SUMPRODUCT(--ISNUMBER(SEARCH(" "&amp;DJ113:DJ162&amp;" ",AV38)))),"")</f>
        <v>0</v>
      </c>
      <c r="AV38" s="493" t="str">
        <f>IF(AM38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38,"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fourchette et placez au refrigerateur pendant la preparation </v>
      </c>
      <c r="AW38" s="493" cm="1">
        <f t="array" ref="AW38">IF(AM38="","",SUMPRODUCT(--ISNUMBER(SEARCH(" "&amp;DJ195:DJ216&amp;" ",AV38)))+--ISNUMBER(SEARCH(" "&amp;DJ2465&amp;" ",AV38)))</f>
        <v>0</v>
      </c>
      <c r="AX38" s="493" t="str" cm="1">
        <f t="array" ref="AX38">IF(27=27,IF(AM38="","",IF(SUM(AT38:AU38)+SUMPRODUCT(--ISNUMBER(SEARCH(" "&amp;DJ2429:DJ2431&amp;" ",AV38)))&gt;0,"X",IF(AW38&gt;0,"?",""))),"")</f>
        <v/>
      </c>
      <c r="AY38" s="493" cm="1">
        <f t="array" ref="AY38">IF(27=27,IF(AM38="","",SUMPRODUCT(--ISNUMBER(SEARCH(" "&amp;DJ217:DJ316&amp;" ",AS38)))),"")</f>
        <v>0</v>
      </c>
      <c r="AZ38" s="493" cm="1">
        <f t="array" ref="AZ38">IF(27=27,IF(AM38="","",SUMPRODUCT(--ISNUMBER(SEARCH(" "&amp;DJ317:DJ351&amp;" ",AS38)))),"")</f>
        <v>0</v>
      </c>
      <c r="BA38" s="493" t="str">
        <f>IF(27=27,IF(AM38="","",IF((SUM(AY38:AZ38))-(0)&gt;0,"X",IF((0)-(0)&gt;0,"?",""))),"")</f>
        <v/>
      </c>
      <c r="BB38" s="493" cm="1">
        <f t="array" ref="BB38">IF(27=27,IF(AM38="","",SUMPRODUCT(--ISNUMBER(SEARCH(" "&amp;DJ352:DJ409&amp;" ",AS38)))),"")</f>
        <v>0</v>
      </c>
      <c r="BC38" s="493" cm="1">
        <f t="array" ref="BC38">IF(27=27,IF(AM38="","",SUMPRODUCT(--ISNUMBER(SEARCH(" "&amp;DJ410:DJ437&amp;" ",BD38)))+SUMPRODUCT(--ISNUMBER(SEARCH(" "&amp;DJ2451:DJ2464&amp;" ",BD38)))),"")</f>
        <v>0</v>
      </c>
      <c r="BD38" s="493" t="str">
        <f>IF(27=27,IF(AM38="","",SUBSTITUTE(SUBSTITUTE(SUBSTITUTE(SUBSTITUTE(SUBSTITUTE(SUBSTITUTE(SUBSTITUTE(SUBSTITUTE(SUBSTITUTE(SUBSTITUTE(SUBSTITUTE(SUBSTITUTE(SUBSTITUTE(SUBSTITUTE(AS38," "&amp;DJ2466&amp;" "," ")," "&amp;DJ444&amp;" "," ")," "&amp;DJ442&amp;" "," ")," "&amp;DJ2449&amp;" "," ")," "&amp;DJ2450&amp;" "," ")," "&amp;DJ439&amp;" "," ")," "&amp;DJ443&amp;" "," ")," "&amp;DJ445&amp;" "," ")," "&amp;DJ440&amp;" "," ")," "&amp;DJ438&amp;" "," ")," "&amp;DJ1378&amp;" "," ")," "&amp;DJ446&amp;" "," ")," "&amp;DJ1377&amp;" "," ")," "&amp;DJ441&amp;" "," ")),"")</f>
        <v xml:space="preserve"> fourchette et placez au refrigerateur pendant la preparation </v>
      </c>
      <c r="BE38" s="493" t="str">
        <f>IF(27=27,IF(AM38="","",IF(BB38&gt;0,"X",IF(BC38&gt;0,"?",""))),"")</f>
        <v/>
      </c>
      <c r="BF38" s="493" cm="1">
        <f t="array" ref="BF38">IF(27=27,IF(AM38="","",SUMPRODUCT(--ISNUMBER(SEARCH(" "&amp;DJ447:DJ546&amp;" ",BP38)))),"")</f>
        <v>0</v>
      </c>
      <c r="BG38" s="493" cm="1">
        <f t="array" ref="BG38">IF(27=27,IF(AM38="","",SUMPRODUCT(--ISNUMBER(SEARCH(" "&amp;DJ547:DJ646&amp;" ",BP38)))),"")</f>
        <v>0</v>
      </c>
      <c r="BH38" s="493" cm="1">
        <f t="array" ref="BH38">IF(27=27,IF(AM38="","",SUMPRODUCT(--ISNUMBER(SEARCH(" "&amp;DJ647:DJ746&amp;" ",BP38)))),"")</f>
        <v>0</v>
      </c>
      <c r="BI38" s="493" cm="1">
        <f t="array" ref="BI38">IF(27=27,IF(AM38="","",SUMPRODUCT(--ISNUMBER(SEARCH(" "&amp;DJ747:DJ846&amp;" ",BP38)))),"")</f>
        <v>0</v>
      </c>
      <c r="BJ38" s="493" cm="1">
        <f t="array" ref="BJ38">IF(27=27,IF(AM38="","",SUMPRODUCT(--ISNUMBER(SEARCH(" "&amp;DJ847:DJ946&amp;" ",BP38)))),"")</f>
        <v>0</v>
      </c>
      <c r="BK38" s="493" cm="1">
        <f t="array" ref="BK38">IF(27=27,IF(AM38="","",SUMPRODUCT(--ISNUMBER(SEARCH(" "&amp;DJ947:DJ1046&amp;" ",BP38)))),"")</f>
        <v>0</v>
      </c>
      <c r="BL38" s="493" cm="1">
        <f t="array" ref="BL38">IF(27=27,IF(AM38="","",SUMPRODUCT(--ISNUMBER(SEARCH(" "&amp;DJ1047:DJ1146&amp;" ",BP38)))),"")</f>
        <v>0</v>
      </c>
      <c r="BM38" s="493" cm="1">
        <f t="array" ref="BM38">IF(27=27,IF(AM38="","",SUMPRODUCT(--ISNUMBER(SEARCH(" "&amp;DJ1147:DJ1246&amp;" ",BP38)))),"")</f>
        <v>0</v>
      </c>
      <c r="BN38" s="493" cm="1">
        <f t="array" ref="BN38">IF(27=27,IF(AM38="","",SUMPRODUCT(--ISNUMBER(SEARCH(" "&amp;DJ1247:DJ1346&amp;" ",BP38)))),"")</f>
        <v>0</v>
      </c>
      <c r="BO38" s="493" cm="1">
        <f t="array" ref="BO38">IF(27=27,IF(AM38="","",SUMPRODUCT(--ISNUMBER(SEARCH(" "&amp;DJ1347:DJ1374&amp;" ",BP38)))),"")</f>
        <v>0</v>
      </c>
      <c r="BP38" s="493" t="str">
        <f>IF(27=27,IF(AM38="","",SUBSTITUTE(SUBSTITUTE(SUBSTITUTE(SUBSTITUTE(SUBSTITUTE(SUBSTITUTE(SUBSTITUTE(SUBSTITUTE(SUBSTITUTE(AS38," "&amp;DJ1376&amp;" "," ")," "&amp;DJ1375&amp;" "," ")," "&amp;DJ1381&amp;" "," ")," "&amp;DJ1382&amp;" "," ")," "&amp;DJ1378&amp;" "," ")," "&amp;DJ1380&amp;" "," ")," "&amp;DJ1377&amp;" "," ")," "&amp;DJ1379&amp;" "," ")," "&amp;DJ1383&amp;" "," ")),"")</f>
        <v xml:space="preserve"> fourchette et placez au refrigerateur pendant la preparation </v>
      </c>
      <c r="BQ38" s="493" cm="1">
        <f t="array" ref="BQ38">IF(27=27,IF(AM38="","",SUMPRODUCT(--ISNUMBER(SEARCH(" "&amp;DJ1384:DJ1394&amp;" ",BP38)))),"")</f>
        <v>0</v>
      </c>
      <c r="BR38" s="493" t="str" cm="1">
        <f t="array" ref="BR38">IF(27=27,IF(AM38="","",IF(SUM(BF38:BO38)+SUMPRODUCT(--ISNUMBER(SEARCH(" "&amp;DJ2432:DJ2433&amp;" ",BP38)))&gt;0,"X",IF(BQ38&gt;0,"?",""))),"")</f>
        <v/>
      </c>
      <c r="BS38" s="493" cm="1">
        <f t="array" ref="BS38">IF(27=27,IF(AM38="","",SUMPRODUCT(--ISNUMBER(SEARCH(" "&amp;DJ1395:DJ1415&amp;" ",AS38)))),"")</f>
        <v>0</v>
      </c>
      <c r="BT38" s="493" t="str">
        <f>IF(27=27,IF(AM38="","",IF((BS38)-(0)&gt;0,"X",IF((0)-(0)&gt;0,"?",""))),"")</f>
        <v/>
      </c>
      <c r="BU38" s="493" cm="1">
        <f t="array" ref="BU38">IF(27=27,IF(AM38="","",SUMPRODUCT(--ISNUMBER(SEARCH(" "&amp;DJ1416:DJ1453&amp;" ",BV38)))),"")</f>
        <v>0</v>
      </c>
      <c r="BV38" s="493" t="str">
        <f>IF(27=27,IF(AM38="","",SUBSTITUTE(SUBSTITUTE(AS38," "&amp;DJ1454&amp;" "," ")," "&amp;DJ1455&amp;" "," ")),"")</f>
        <v xml:space="preserve"> fourchette et placez au refrigerateur pendant la preparation </v>
      </c>
      <c r="BW38" s="493" cm="1">
        <f t="array" ref="BW38">IF(27=27,IF(AM38="","",SUMPRODUCT(--ISNUMBER(SEARCH(" "&amp;DJ1456:DJ1466&amp;" ",BV38)))),"")</f>
        <v>0</v>
      </c>
      <c r="BX38" s="493" t="str">
        <f>IF(27=27,IF(AM38="","",IF(BU38&gt;0,"X",IF(BW38&gt;0,"?",""))),"")</f>
        <v/>
      </c>
      <c r="BY38" s="493" cm="1">
        <f t="array" ref="BY38">IF(27=27,IF(AM38="","",SUMPRODUCT(--ISNUMBER(SEARCH(" "&amp;DJ1467:DJ1566&amp;" ",CB38)))),"")</f>
        <v>0</v>
      </c>
      <c r="BZ38" s="493" cm="1">
        <f t="array" ref="BZ38">IF(27=27,IF(AM38="","",SUMPRODUCT(--ISNUMBER(SEARCH(" "&amp;DJ1567:DJ1666&amp;" ",CB38)))),"")</f>
        <v>0</v>
      </c>
      <c r="CA38" s="493" cm="1">
        <f t="array" ref="CA38">IF(27=27,IF(AM38="","",SUMPRODUCT(--ISNUMBER(SEARCH(" "&amp;DJ1667:DJ1750&amp;" ",CB38)))),"")</f>
        <v>0</v>
      </c>
      <c r="CB38" s="493" t="str">
        <f>IF(27=27,IF(AM38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38,"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fourchette et placez au refrigerateur pendant la preparation </v>
      </c>
      <c r="CC38" s="493" cm="1">
        <f t="array" ref="CC38">IF(27=27,IF(AM38="","",SUMPRODUCT(--ISNUMBER(SEARCH(" "&amp;DJ1801:DJ1880&amp;" ",CD38)))+SUMPRODUCT(--ISNUMBER(SEARCH(" "&amp;DJ2451:DJ2464&amp;" ",CD38)))),"")</f>
        <v>0</v>
      </c>
      <c r="CD38" s="493" t="str">
        <f>IF(27=27,IF(AM38="","",SUBSTITUTE(SUBSTITUTE(SUBSTITUTE(SUBSTITUTE(SUBSTITUTE(SUBSTITUTE(SUBSTITUTE(SUBSTITUTE(SUBSTITUTE(SUBSTITUTE(SUBSTITUTE(SUBSTITUTE(SUBSTITUTE(CB38," "&amp;DJ1887&amp;" "," ")," "&amp;DJ1885&amp;" "," ")," "&amp;DJ2449&amp;" "," ")," "&amp;DJ2450&amp;" "," ")," "&amp;DJ1882&amp;" "," ")," "&amp;DJ1886&amp;" "," ")," "&amp;DJ1888&amp;" "," ")," "&amp;DJ1883&amp;" "," ")," "&amp;DJ1881&amp;" "," ")," "&amp;DJ1378&amp;" "," ")," "&amp;DJ1889&amp;" "," ")," "&amp;DJ1377&amp;" "," ")," "&amp;DJ1884&amp;" "," ")),"")</f>
        <v xml:space="preserve"> fourchette et placez au refrigerateur pendant la preparation </v>
      </c>
      <c r="CE38" s="493" t="str" cm="1">
        <f t="array" ref="CE38">IF(27=27,IF(AM38="","",IF(SUM(BY38:CA38)+SUMPRODUCT(--ISNUMBER(SEARCH(" "&amp;DJ2434:DJ2435&amp;" ",CB38)))&gt;0,"X",IF(CC38&gt;0,"?",""))),"")</f>
        <v/>
      </c>
      <c r="CF38" s="493" cm="1">
        <f t="array" ref="CF38">IF(27=27,IF(AM38="","",SUMPRODUCT(--ISNUMBER(SEARCH(" "&amp;DJ1890:DJ1947&amp;" ",CG38)))),"")</f>
        <v>0</v>
      </c>
      <c r="CG38" s="493" t="str">
        <f>IF(27=27,IF(AM38="","",SUBSTITUTE(SUBSTITUTE(SUBSTITUTE(SUBSTITUTE(SUBSTITUTE(SUBSTITUTE(SUBSTITUTE(SUBSTITUTE(SUBSTITUTE(SUBSTITUTE(SUBSTITUTE(SUBSTITUTE(SUBSTITUTE(SUBSTITUTE(SUBSTITUTE(SUBSTITUTE(SUBSTITUTE(SUBSTITUTE(SUBSTITUTE(SUBSTITUTE(SUBSTITUTE(SUBSTITUTE(SUBSTITUTE(AS38,"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fourchette et placez au refrigerateur pendant la preparation </v>
      </c>
      <c r="CH38" s="493" cm="1">
        <f t="array" ref="CH38">IF(27=27,IF(AM38="","",SUMPRODUCT(--ISNUMBER(SEARCH(" "&amp;DJ1971:DJ1987&amp;" ",CG38)))),"")</f>
        <v>0</v>
      </c>
      <c r="CI38" s="493" t="str">
        <f>IF(27=27,IF(AM38="","",IF(CF38&gt;0,"X",IF(CH38&gt;0,"?",""))),"")</f>
        <v/>
      </c>
      <c r="CJ38" s="493" cm="1">
        <f t="array" ref="CJ38">IF(27=27,IF(AM38="","",SUMPRODUCT(--ISNUMBER(SEARCH(" "&amp;DJ1988:DJ2001&amp;" ",AS38)))),"")</f>
        <v>0</v>
      </c>
      <c r="CK38" s="493" cm="1">
        <f t="array" ref="CK38">IF(27=27,IF(AM38="","",SUMPRODUCT(--ISNUMBER(SEARCH(" "&amp;DJ2002:DJ2016&amp;" ",AS38)))),"")</f>
        <v>0</v>
      </c>
      <c r="CL38" s="493" t="str">
        <f>IF(27=27,IF(AM38="","",IF((CJ38)-(0)&gt;0,"X",IF((CK38)-(0)&gt;0,"?",""))),"")</f>
        <v/>
      </c>
      <c r="CM38" s="493" cm="1">
        <f t="array" ref="CM38">IF(27=27,IF(AM38="","",SUMPRODUCT(--ISNUMBER(SEARCH(" "&amp;DJ2017:DJ2034&amp;" ",AS38)))),"")</f>
        <v>0</v>
      </c>
      <c r="CN38" s="493" cm="1">
        <f t="array" ref="CN38">IF(27=27,IF(AM38="","",SUMPRODUCT(--ISNUMBER(SEARCH(" "&amp;DJ2035:DJ2049&amp;" ",AS38)))),"")</f>
        <v>0</v>
      </c>
      <c r="CO38" s="493" t="str">
        <f>IF(27=27,IF(AM38="","",IF((CM38)-(0)&gt;0,"X",IF((CN38)-(0)&gt;0,"?",""))),"")</f>
        <v/>
      </c>
      <c r="CP38" s="493" cm="1">
        <f t="array" ref="CP38">IF(27=27,IF(AM38="","",SUMPRODUCT(--ISNUMBER(SEARCH(" "&amp;DJ2050:DJ2068&amp;" ",AS38)))),"")</f>
        <v>0</v>
      </c>
      <c r="CQ38" s="493" cm="1">
        <f t="array" ref="CQ38">IF(27=27,IF(AM38="","",SUMPRODUCT(--ISNUMBER(SEARCH(" "&amp;DJ2069:DJ2083&amp;" ",AS38)))),"")</f>
        <v>0</v>
      </c>
      <c r="CR38" s="493" t="str">
        <f>IF(27=27,IF(AM38="","",IF((CP38)-(0)&gt;0,"X",IF((CQ38)-(0)&gt;0,"?",""))),"")</f>
        <v/>
      </c>
      <c r="CS38" s="493" cm="1">
        <f t="array" ref="CS38">IF(27=27,IF(AM38="","",SUMPRODUCT(--ISNUMBER(SEARCH(" "&amp;DJ2084:DJ2104&amp;" ",AS38)))),"")</f>
        <v>0</v>
      </c>
      <c r="CT38" s="493" cm="1">
        <f t="array" ref="CT38">IF(27=27,IF(AM38="","",SUMPRODUCT(--ISNUMBER(SEARCH(" "&amp;DJ2105:DJ2144&amp;" ",SUBSTITUTE(SUBSTITUTE(AS38," "&amp;DJ1378&amp;" "," ")," "&amp;DJ1377&amp;" "," "))))+--ISNUMBER(SEARCH("poiré",AN38))),"")</f>
        <v>0</v>
      </c>
      <c r="CU38" s="493" t="str">
        <f>IF(27=27,IF(AM38="","",IF(OR(CS38&gt;0,ISNUMBER(SEARCH(" vinaigre de vin ",AS38)),ISNUMBER(SEARCH(" vinaigre au vin ",AS38))),"X",IF(CT38&gt;0,"?",""))),"")</f>
        <v/>
      </c>
      <c r="CV38" s="493" cm="1">
        <f t="array" ref="CV38">IF(27=27,IF(AM38="","",SUMPRODUCT(--ISNUMBER(SEARCH(" "&amp;DJ2145:DJ2157&amp;" ",AS38)))),"")</f>
        <v>0</v>
      </c>
      <c r="CW38" s="493" cm="1">
        <f t="array" ref="CW38">IF(27=27,IF(AM38="","",SUMPRODUCT(--ISNUMBER(SEARCH(" "&amp;DJ2158:DJ2163&amp;" ",AS38)))),"")</f>
        <v>0</v>
      </c>
      <c r="CX38" s="493" t="str">
        <f>IF(27=27,IF(AM38="","",IF((CV38)-(0)&gt;0,"X",IF((CW38)-(0)&gt;0,"?",""))),"")</f>
        <v/>
      </c>
      <c r="CY38" s="493" cm="1">
        <f t="array" ref="CY38">IF(27=27,IF(AM38="","",SUMPRODUCT(--ISNUMBER(SEARCH(" "&amp;DJ2164:DJ2263&amp;" ",DB38)))),"")</f>
        <v>0</v>
      </c>
      <c r="CZ38" s="493" cm="1">
        <f t="array" ref="CZ38">IF(27=27,IF(AM38="","",SUMPRODUCT(--ISNUMBER(SEARCH(" "&amp;DJ2264:DJ2363&amp;" ",DB38)))),"")</f>
        <v>0</v>
      </c>
      <c r="DA38" s="493" cm="1">
        <f t="array" ref="DA38">IF(27=27,IF(AM38="","",SUMPRODUCT(--ISNUMBER(SEARCH(" "&amp;DJ2364:DJ2406&amp;" ",DB38)))),"")</f>
        <v>0</v>
      </c>
      <c r="DB38" s="493" t="str">
        <f>IF(27=27,IF(AM38="","",SUBSTITUTE(SUBSTITUTE(SUBSTITUTE(SUBSTITUTE(SUBSTITUTE(SUBSTITUTE(SUBSTITUTE(SUBSTITUTE(SUBSTITUTE(SUBSTITUTE(SUBSTITUTE(SUBSTITUTE(SUBSTITUTE(SUBSTITUTE(SUBSTITUTE(SUBSTITUTE(AS38," "&amp;DJ2412&amp;" "," ")," "&amp;DJ2411&amp;" "," ")," "&amp;DJ2410&amp;" "," ")," "&amp;DJ2417&amp;" "," ")," "&amp;DJ2409&amp;" "," ")," "&amp;DJ2421&amp;" "," ")," "&amp;DJ2408&amp;" "," ")," "&amp;DJ2413&amp;" "," ")," "&amp;DJ2416&amp;" "," ")," "&amp;DJ2407&amp;" "," ")," "&amp;DJ2415&amp;" "," ")," "&amp;DJ2422&amp;" "," ")," "&amp;DJ2419&amp;" "," ")," "&amp;DJ2414&amp;" "," ")," "&amp;DJ2418&amp;" "," ")," "&amp;DJ2420&amp;" "," ")),"")</f>
        <v xml:space="preserve"> fourchette et placez au refrigerateur pendant la preparation </v>
      </c>
      <c r="DC38" s="493" cm="1">
        <f t="array" ref="DC38">IF(27=27,IF(AM38="","",SUMPRODUCT(--ISNUMBER(SEARCH(" "&amp;DJ2423:DJ2427&amp;" ",DB38)))),"")</f>
        <v>0</v>
      </c>
      <c r="DD38" s="493" t="str">
        <f>IF(27=27,IF(AM38="","",IF(SUM(CY38:DA38)&gt;0,"X",IF(DC38&gt;0,"?",""))),"")</f>
        <v/>
      </c>
      <c r="DE38" s="494"/>
      <c r="DF38" s="496" t="s">
        <v>1190</v>
      </c>
      <c r="DG38" s="496" t="s">
        <v>1083</v>
      </c>
      <c r="DH38" s="496" t="s">
        <v>689</v>
      </c>
      <c r="DI38" s="496" t="s">
        <v>1191</v>
      </c>
      <c r="DJ38" s="496" t="s">
        <v>1192</v>
      </c>
      <c r="DK38" s="496" t="s">
        <v>1085</v>
      </c>
      <c r="DL38" s="496" t="s">
        <v>1086</v>
      </c>
      <c r="DM38" s="496" t="s">
        <v>1087</v>
      </c>
      <c r="DN38" s="497" t="s">
        <v>1088</v>
      </c>
      <c r="DP38" s="543">
        <v>1</v>
      </c>
    </row>
    <row r="39" spans="2:120" ht="30" customHeight="1">
      <c r="B39" s="663" t="str">
        <f t="shared" si="0"/>
        <v>7. Enfournez pendant 30 minutes jusqu’à ce que la tarte soit dorée.</v>
      </c>
      <c r="C39" s="663" t="str">
        <f t="shared" si="1"/>
        <v>7 Enfournez pendant 30 minutes jusqu’à ce que la tarte soit dorée</v>
      </c>
      <c r="D39" s="663" t="str">
        <f>IF(UPPER(TRIM(N11))="X",C39,B39)</f>
        <v>7. Enfournez pendant 30 minutes jusqu’à ce que la tarte soit dorée.</v>
      </c>
      <c r="E39" s="663" cm="1">
        <f t="array" ref="E39">IF(H38&lt;&gt;"",E38,IF(E38="","",IFERROR(MATCH(TRUE(),INDEX(INDEX(K:K,E38+1):K203&lt;&gt;"",0),0)+E38,"")))</f>
        <v>35</v>
      </c>
      <c r="F39" s="663" t="str" cm="1">
        <f t="array" ref="F39">IF(E39="","",IF(H38&lt;&gt;"",H38,INDEX(D:D,E39)))</f>
        <v>3. Épluchez, épépinez et coupez les pommes en tranches épaisses. Disposez-les joliment sur le fond de tarte.</v>
      </c>
      <c r="G39" s="663" t="str">
        <f t="shared" si="2"/>
        <v xml:space="preserve">3. Épluchez, épépinez et coupez les pommes en tranches épaisses. Disposez-les </v>
      </c>
      <c r="H39" s="673" t="str">
        <f t="shared" si="3"/>
        <v>joliment sur le fond de tarte.</v>
      </c>
      <c r="I39" s="680" t="str">
        <f>IF(AND(F39&lt;&gt;"",N10&gt;0,M39&gt;N10),"Mot &gt; limite","")</f>
        <v/>
      </c>
      <c r="J39" s="674">
        <f>IF(K39="","",COUNTIF(K18:K39,"&lt;&gt;"))</f>
        <v>22</v>
      </c>
      <c r="K39" s="675" t="s">
        <v>6484</v>
      </c>
      <c r="L39" s="674">
        <f t="shared" si="4"/>
        <v>67</v>
      </c>
      <c r="M39" s="643">
        <f>IF(OR(F39="",N10="",N10&lt;=0),"",IF(LEN(F39)&lt;=N10,LEN(F39),IFERROR(FIND("♦",SUBSTITUTE(LEFT(F39,N10)," ","♦",LEN(LEFT(F39,N10))-LEN(SUBSTITUTE(LEFT(F39,N10)," ","")))),FIND(" ",F39&amp;" ",N10+1)-1)))</f>
        <v>78</v>
      </c>
      <c r="N39" s="676">
        <f t="shared" si="5"/>
        <v>22</v>
      </c>
      <c r="O39" s="677" t="str">
        <f t="shared" si="6"/>
        <v xml:space="preserve">3. Épluchez, épépinez et coupez les pommes en tranches épaisses. Disposez-les </v>
      </c>
      <c r="P39" s="676">
        <f t="shared" si="7"/>
        <v>11</v>
      </c>
      <c r="Q39" s="676">
        <f t="shared" si="8"/>
        <v>78</v>
      </c>
      <c r="S39" s="509">
        <v>22</v>
      </c>
      <c r="T39" s="678" t="str">
        <f t="shared" si="10"/>
        <v xml:space="preserve">3. Épluchez, épépinez et coupez les pommes en tranches épaisses. Disposez-les </v>
      </c>
      <c r="U39" s="679" t="str">
        <f t="shared" si="9"/>
        <v>3. Épluchez, épépinez et coupez les pommes en tranches épaisses. Disposez-les</v>
      </c>
      <c r="V39" s="512" t="str">
        <f>IF(28=28,IF(T39="","",IF(W39="X",""&amp;"Céréales contenant du gluten","")&amp;IF(X39="X",IF(COUNTIF(W39:W39,"X")&gt;0,", ","")&amp;"Crustacés","")&amp;IF(Y39="X",IF(COUNTIF(W39:X39,"X")&gt;0,", ","")&amp;"Œufs","")&amp;IF(Z39="X",IF(COUNTIF(W39:Y39,"X")&gt;0,", ","")&amp;"Poissons","")&amp;IF(AA39="X",IF(COUNTIF(W39:Z39,"X")&gt;0,", ","")&amp;"Arachides","")&amp;IF(AB39="X",IF(COUNTIF(W39:AA39,"X")&gt;0,", ","")&amp;"Soja","")&amp;IF(AC39="X",IF(COUNTIF(W39:AB39,"X")&gt;0,", ","")&amp;"Lait","")&amp;IF(AD39="X",IF(COUNTIF(W39:AC39,"X")&gt;0,", ","")&amp;"Fruits à coque","")&amp;IF(AE39="X",IF(COUNTIF(W39:AD39,"X")&gt;0,", ","")&amp;"Céleri","")&amp;IF(AF39="X",IF(COUNTIF(W39:AE39,"X")&gt;0,", ","")&amp;"Moutarde","")&amp;IF(AG39="X",IF(COUNTIF(W39:AF39,"X")&gt;0,", ","")&amp;"Sésame","")&amp;IF(AH39="X",IF(COUNTIF(W39:AG39,"X")&gt;0,", ","")&amp;"Sulfites","")&amp;IF(AI39="X",IF(COUNTIF(W39:AH39,"X")&gt;0,", ","")&amp;"Lupin","")&amp;IF(AJ39="X",IF(COUNTIF(W39:AI39,"X")&gt;0,", ","")&amp;"Mollusques","")),"")</f>
        <v/>
      </c>
      <c r="W39" s="513" t="str">
        <f>IF(28=28,IF(T39="","",AX39),"")</f>
        <v/>
      </c>
      <c r="X39" s="513" t="str">
        <f>IF(28=28,IF(T39="","",BA39),"")</f>
        <v/>
      </c>
      <c r="Y39" s="513" t="str">
        <f>IF(28=28,IF(T39="","",BE39),"")</f>
        <v/>
      </c>
      <c r="Z39" s="513" t="str">
        <f>IF(28=28,IF(T39="","",IF(ISNUMBER(SEARCH(" colin ",AS39)),"X",BR39)),"")</f>
        <v/>
      </c>
      <c r="AA39" s="513" t="str">
        <f>IF(28=28,IF(T39="","",BT39),"")</f>
        <v/>
      </c>
      <c r="AB39" s="513" t="str">
        <f>IF(28=28,IF(T39="","",BX39),"")</f>
        <v/>
      </c>
      <c r="AC39" s="513" t="str">
        <f>IF(28=28,IF(T39="","",CE39),"")</f>
        <v/>
      </c>
      <c r="AD39" s="513" t="str">
        <f>IF(28=28,IF(T39="","",CI39),"")</f>
        <v/>
      </c>
      <c r="AE39" s="513" t="str">
        <f>IF(28=28,IF(T39="","",CL39),"")</f>
        <v/>
      </c>
      <c r="AF39" s="513" t="str">
        <f>IF(28=28,IF(T39="","",CO39),"")</f>
        <v/>
      </c>
      <c r="AG39" s="513" t="str">
        <f>IF(28=28,IF(T39="","",CR39),"")</f>
        <v/>
      </c>
      <c r="AH39" s="513" t="str">
        <f>IF(28=28,IF(T39="","",CU39),"")</f>
        <v/>
      </c>
      <c r="AI39" s="513" t="str">
        <f>IF(28=28,IF(T39="","",CX39),"")</f>
        <v/>
      </c>
      <c r="AJ39" s="513" t="str">
        <f>IF(28=28,IF(T39="","",DD39),"")</f>
        <v/>
      </c>
      <c r="AK39" s="514" t="str">
        <f>IF(28=28,IF(T39="","",IF(W39="?",""&amp;"Céréales contenant du gluten","")&amp;IF(X39="?",IF(COUNTIF(W39:W39,"~?")&gt;0,", ","")&amp;"Crustacés","")&amp;IF(Y39="?",IF(COUNTIF(W39:X39,"~?")&gt;0,", ","")&amp;"Œufs","")&amp;IF(Z39="?",IF(COUNTIF(W39:Y39,"~?")&gt;0,", ","")&amp;"Poissons","")&amp;IF(AA39="?",IF(COUNTIF(W39:Z39,"~?")&gt;0,", ","")&amp;"Arachides","")&amp;IF(AB39="?",IF(COUNTIF(W39:AA39,"~?")&gt;0,", ","")&amp;"Soja","")&amp;IF(AC39="?",IF(COUNTIF(W39:AB39,"~?")&gt;0,", ","")&amp;"Lait","")&amp;IF(AD39="?",IF(COUNTIF(W39:AC39,"~?")&gt;0,", ","")&amp;"Fruits à coque","")&amp;IF(AE39="?",IF(COUNTIF(W39:AD39,"~?")&gt;0,", ","")&amp;"Céleri","")&amp;IF(AF39="?",IF(COUNTIF(W39:AE39,"~?")&gt;0,", ","")&amp;"Moutarde","")&amp;IF(AG39="?",IF(COUNTIF(W39:AF39,"~?")&gt;0,", ","")&amp;"Sésame","")&amp;IF(AH39="?",IF(COUNTIF(W39:AG39,"~?")&gt;0,", ","")&amp;"Sulfites","")&amp;IF(AI39="?",IF(COUNTIF(W39:AH39,"~?")&gt;0,", ","")&amp;"Lupin","")&amp;IF(AJ39="?",IF(COUNTIF(W39:AI39,"~?")&gt;0,", ","")&amp;"Mollusques","")),"")</f>
        <v/>
      </c>
      <c r="AM39" s="493" t="str">
        <f>IF(28=28,IF(T39="","",T39),"")</f>
        <v xml:space="preserve">3. Épluchez, épépinez et coupez les pommes en tranches épaisses. Disposez-les </v>
      </c>
      <c r="AN39" s="493" t="str">
        <f>IF(28=28,LOWER(CLEAN(SUBSTITUTE(SUBSTITUTE(SUBSTITUTE(SUBSTITUTE(AM39,CHAR(160)," ")," "," "),CHAR(10)," "),CHAR(13)," "))),"")</f>
        <v xml:space="preserve">3. épluchez, épépinez et coupez les pommes en tranches épaisses. disposez-les </v>
      </c>
      <c r="AO39" s="493" t="str">
        <f>IF(28=28,SUBSTITUTE(SUBSTITUTE(SUBSTITUTE(SUBSTITUTE(SUBSTITUTE(SUBSTITUTE(SUBSTITUTE(SUBSTITUTE(SUBSTITUTE(SUBSTITUTE(SUBSTITUTE(SUBSTITUTE(AN39,"œ","oe"),"æ","ae"),"à","a"),"á","a"),"â","a"),"ä","a"),"ã","a"),"ç","c"),"è","e"),"é","e"),"ê","e"),"ë","e"),"")</f>
        <v xml:space="preserve">3. epluchez, epepinez et coupez les pommes en tranches epaisses. disposez-les </v>
      </c>
      <c r="AP39" s="493" t="str">
        <f>IF(28=28,SUBSTITUTE(SUBSTITUTE(SUBSTITUTE(SUBSTITUTE(SUBSTITUTE(SUBSTITUTE(SUBSTITUTE(SUBSTITUTE(SUBSTITUTE(SUBSTITUTE(SUBSTITUTE(SUBSTITUTE(SUBSTITUTE(SUBSTITUTE(SUBSTITUTE(SUBSTITUTE(AO39,"ì","i"),"í","i"),"î","i"),"ï","i"),"ñ","n"),"ò","o"),"ó","o"),"ô","o"),"ö","o"),"õ","o"),"ù","u"),"ú","u"),"û","u"),"ü","u"),"ý","y"),"ÿ","y"),"")</f>
        <v xml:space="preserve">3. epluchez, epepinez et coupez les pommes en tranches epaisses. disposez-les </v>
      </c>
      <c r="AQ39" s="493" t="str">
        <f>IF(28=28,SUBSTITUTE(SUBSTITUTE(SUBSTITUTE(SUBSTITUTE(SUBSTITUTE(SUBSTITUTE(SUBSTITUTE(SUBSTITUTE(SUBSTITUTE(SUBSTITUTE(SUBSTITUTE(SUBSTITUTE(SUBSTITUTE(SUBSTITUTE(AP39,"’"," "),"`"," "),"–"," "),"—"," "),"-"," "),"'"," "),"/"," "),"_"," "),","," "),"."," "),"("," "),")"," "),";"," "),":"," "),"")</f>
        <v xml:space="preserve">3  epluchez  epepinez et coupez les pommes en tranches epaisses  disposez les </v>
      </c>
      <c r="AR39" s="493" t="str">
        <f>IF(28=28,SUBSTITUTE(SUBSTITUTE(SUBSTITUTE(SUBSTITUTE(SUBSTITUTE(SUBSTITUTE(SUBSTITUTE(SUBSTITUTE(SUBSTITUTE(SUBSTITUTE(SUBSTITUTE(SUBSTITUTE(SUBSTITUTE(SUBSTITUTE(SUBSTITUTE(AQ39,"!"," "),"?"," "),"+"," "),"*"," "),"&amp;"," "),"["," "),"]"," "),"{"," "),"}"," "),"%"," "),"="," "),"\"," "),"|"," "),"&lt;"," "),"&gt;"," "),"")</f>
        <v xml:space="preserve">3  epluchez  epepinez et coupez les pommes en tranches epaisses  disposez les </v>
      </c>
      <c r="AS39" s="493" t="str">
        <f>IF(28=28," "&amp;TRIM(SUBSTITUTE(SUBSTITUTE(SUBSTITUTE(SUBSTITUTE(SUBSTITUTE(SUBSTITUTE(AR39,CHAR(34)," "),"  "," "),"  "," "),"  "," "),"  "," "),"  "," "))&amp;" ","")</f>
        <v xml:space="preserve"> 3 epluchez epepinez et coupez les pommes en tranches epaisses disposez les </v>
      </c>
      <c r="AT39" s="493" cm="1">
        <f t="array" ref="AT39">IF(28=28,IF(AM39="","",SUMPRODUCT(--ISNUMBER(SEARCH(" "&amp;DJ13:DJ112&amp;" ",AV39)))),"")</f>
        <v>0</v>
      </c>
      <c r="AU39" s="493" cm="1">
        <f t="array" ref="AU39">IF(28=28,IF(AM39="","",SUMPRODUCT(--ISNUMBER(SEARCH(" "&amp;DJ113:DJ162&amp;" ",AV39)))),"")</f>
        <v>0</v>
      </c>
      <c r="AV39" s="493" t="str">
        <f>IF(AM39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39,"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3 epluchez epepinez et coupez les pommes en tranches epaisses disposez les </v>
      </c>
      <c r="AW39" s="493" cm="1">
        <f t="array" ref="AW39">IF(AM39="","",SUMPRODUCT(--ISNUMBER(SEARCH(" "&amp;DJ195:DJ216&amp;" ",AV39)))+--ISNUMBER(SEARCH(" "&amp;DJ2465&amp;" ",AV39)))</f>
        <v>0</v>
      </c>
      <c r="AX39" s="493" t="str" cm="1">
        <f t="array" ref="AX39">IF(28=28,IF(AM39="","",IF(SUM(AT39:AU39)+SUMPRODUCT(--ISNUMBER(SEARCH(" "&amp;DJ2429:DJ2431&amp;" ",AV39)))&gt;0,"X",IF(AW39&gt;0,"?",""))),"")</f>
        <v/>
      </c>
      <c r="AY39" s="493" cm="1">
        <f t="array" ref="AY39">IF(28=28,IF(AM39="","",SUMPRODUCT(--ISNUMBER(SEARCH(" "&amp;DJ217:DJ316&amp;" ",AS39)))),"")</f>
        <v>0</v>
      </c>
      <c r="AZ39" s="493" cm="1">
        <f t="array" ref="AZ39">IF(28=28,IF(AM39="","",SUMPRODUCT(--ISNUMBER(SEARCH(" "&amp;DJ317:DJ351&amp;" ",AS39)))),"")</f>
        <v>0</v>
      </c>
      <c r="BA39" s="493" t="str">
        <f>IF(28=28,IF(AM39="","",IF((SUM(AY39:AZ39))-(0)&gt;0,"X",IF((0)-(0)&gt;0,"?",""))),"")</f>
        <v/>
      </c>
      <c r="BB39" s="493" cm="1">
        <f t="array" ref="BB39">IF(28=28,IF(AM39="","",SUMPRODUCT(--ISNUMBER(SEARCH(" "&amp;DJ352:DJ409&amp;" ",AS39)))),"")</f>
        <v>0</v>
      </c>
      <c r="BC39" s="493" cm="1">
        <f t="array" ref="BC39">IF(28=28,IF(AM39="","",SUMPRODUCT(--ISNUMBER(SEARCH(" "&amp;DJ410:DJ437&amp;" ",BD39)))+SUMPRODUCT(--ISNUMBER(SEARCH(" "&amp;DJ2451:DJ2464&amp;" ",BD39)))),"")</f>
        <v>0</v>
      </c>
      <c r="BD39" s="493" t="str">
        <f>IF(28=28,IF(AM39="","",SUBSTITUTE(SUBSTITUTE(SUBSTITUTE(SUBSTITUTE(SUBSTITUTE(SUBSTITUTE(SUBSTITUTE(SUBSTITUTE(SUBSTITUTE(SUBSTITUTE(SUBSTITUTE(SUBSTITUTE(SUBSTITUTE(SUBSTITUTE(AS39," "&amp;DJ2466&amp;" "," ")," "&amp;DJ444&amp;" "," ")," "&amp;DJ442&amp;" "," ")," "&amp;DJ2449&amp;" "," ")," "&amp;DJ2450&amp;" "," ")," "&amp;DJ439&amp;" "," ")," "&amp;DJ443&amp;" "," ")," "&amp;DJ445&amp;" "," ")," "&amp;DJ440&amp;" "," ")," "&amp;DJ438&amp;" "," ")," "&amp;DJ1378&amp;" "," ")," "&amp;DJ446&amp;" "," ")," "&amp;DJ1377&amp;" "," ")," "&amp;DJ441&amp;" "," ")),"")</f>
        <v xml:space="preserve"> 3 epluchez epepinez et coupez les pommes en tranches epaisses disposez les </v>
      </c>
      <c r="BE39" s="493" t="str">
        <f>IF(28=28,IF(AM39="","",IF(BB39&gt;0,"X",IF(BC39&gt;0,"?",""))),"")</f>
        <v/>
      </c>
      <c r="BF39" s="493" cm="1">
        <f t="array" ref="BF39">IF(28=28,IF(AM39="","",SUMPRODUCT(--ISNUMBER(SEARCH(" "&amp;DJ447:DJ546&amp;" ",BP39)))),"")</f>
        <v>0</v>
      </c>
      <c r="BG39" s="493" cm="1">
        <f t="array" ref="BG39">IF(28=28,IF(AM39="","",SUMPRODUCT(--ISNUMBER(SEARCH(" "&amp;DJ547:DJ646&amp;" ",BP39)))),"")</f>
        <v>0</v>
      </c>
      <c r="BH39" s="493" cm="1">
        <f t="array" ref="BH39">IF(28=28,IF(AM39="","",SUMPRODUCT(--ISNUMBER(SEARCH(" "&amp;DJ647:DJ746&amp;" ",BP39)))),"")</f>
        <v>0</v>
      </c>
      <c r="BI39" s="493" cm="1">
        <f t="array" ref="BI39">IF(28=28,IF(AM39="","",SUMPRODUCT(--ISNUMBER(SEARCH(" "&amp;DJ747:DJ846&amp;" ",BP39)))),"")</f>
        <v>0</v>
      </c>
      <c r="BJ39" s="493" cm="1">
        <f t="array" ref="BJ39">IF(28=28,IF(AM39="","",SUMPRODUCT(--ISNUMBER(SEARCH(" "&amp;DJ847:DJ946&amp;" ",BP39)))),"")</f>
        <v>0</v>
      </c>
      <c r="BK39" s="493" cm="1">
        <f t="array" ref="BK39">IF(28=28,IF(AM39="","",SUMPRODUCT(--ISNUMBER(SEARCH(" "&amp;DJ947:DJ1046&amp;" ",BP39)))),"")</f>
        <v>0</v>
      </c>
      <c r="BL39" s="493" cm="1">
        <f t="array" ref="BL39">IF(28=28,IF(AM39="","",SUMPRODUCT(--ISNUMBER(SEARCH(" "&amp;DJ1047:DJ1146&amp;" ",BP39)))),"")</f>
        <v>0</v>
      </c>
      <c r="BM39" s="493" cm="1">
        <f t="array" ref="BM39">IF(28=28,IF(AM39="","",SUMPRODUCT(--ISNUMBER(SEARCH(" "&amp;DJ1147:DJ1246&amp;" ",BP39)))),"")</f>
        <v>0</v>
      </c>
      <c r="BN39" s="493" cm="1">
        <f t="array" ref="BN39">IF(28=28,IF(AM39="","",SUMPRODUCT(--ISNUMBER(SEARCH(" "&amp;DJ1247:DJ1346&amp;" ",BP39)))),"")</f>
        <v>0</v>
      </c>
      <c r="BO39" s="493" cm="1">
        <f t="array" ref="BO39">IF(28=28,IF(AM39="","",SUMPRODUCT(--ISNUMBER(SEARCH(" "&amp;DJ1347:DJ1374&amp;" ",BP39)))),"")</f>
        <v>0</v>
      </c>
      <c r="BP39" s="493" t="str">
        <f>IF(28=28,IF(AM39="","",SUBSTITUTE(SUBSTITUTE(SUBSTITUTE(SUBSTITUTE(SUBSTITUTE(SUBSTITUTE(SUBSTITUTE(SUBSTITUTE(SUBSTITUTE(AS39," "&amp;DJ1376&amp;" "," ")," "&amp;DJ1375&amp;" "," ")," "&amp;DJ1381&amp;" "," ")," "&amp;DJ1382&amp;" "," ")," "&amp;DJ1378&amp;" "," ")," "&amp;DJ1380&amp;" "," ")," "&amp;DJ1377&amp;" "," ")," "&amp;DJ1379&amp;" "," ")," "&amp;DJ1383&amp;" "," ")),"")</f>
        <v xml:space="preserve"> 3 epluchez epepinez et coupez les pommes en tranches epaisses disposez les </v>
      </c>
      <c r="BQ39" s="493" cm="1">
        <f t="array" ref="BQ39">IF(28=28,IF(AM39="","",SUMPRODUCT(--ISNUMBER(SEARCH(" "&amp;DJ1384:DJ1394&amp;" ",BP39)))),"")</f>
        <v>0</v>
      </c>
      <c r="BR39" s="493" t="str" cm="1">
        <f t="array" ref="BR39">IF(28=28,IF(AM39="","",IF(SUM(BF39:BO39)+SUMPRODUCT(--ISNUMBER(SEARCH(" "&amp;DJ2432:DJ2433&amp;" ",BP39)))&gt;0,"X",IF(BQ39&gt;0,"?",""))),"")</f>
        <v/>
      </c>
      <c r="BS39" s="493" cm="1">
        <f t="array" ref="BS39">IF(28=28,IF(AM39="","",SUMPRODUCT(--ISNUMBER(SEARCH(" "&amp;DJ1395:DJ1415&amp;" ",AS39)))),"")</f>
        <v>0</v>
      </c>
      <c r="BT39" s="493" t="str">
        <f>IF(28=28,IF(AM39="","",IF((BS39)-(0)&gt;0,"X",IF((0)-(0)&gt;0,"?",""))),"")</f>
        <v/>
      </c>
      <c r="BU39" s="493" cm="1">
        <f t="array" ref="BU39">IF(28=28,IF(AM39="","",SUMPRODUCT(--ISNUMBER(SEARCH(" "&amp;DJ1416:DJ1453&amp;" ",BV39)))),"")</f>
        <v>0</v>
      </c>
      <c r="BV39" s="493" t="str">
        <f>IF(28=28,IF(AM39="","",SUBSTITUTE(SUBSTITUTE(AS39," "&amp;DJ1454&amp;" "," ")," "&amp;DJ1455&amp;" "," ")),"")</f>
        <v xml:space="preserve"> 3 epluchez epepinez et coupez les pommes en tranches epaisses disposez les </v>
      </c>
      <c r="BW39" s="493" cm="1">
        <f t="array" ref="BW39">IF(28=28,IF(AM39="","",SUMPRODUCT(--ISNUMBER(SEARCH(" "&amp;DJ1456:DJ1466&amp;" ",BV39)))),"")</f>
        <v>0</v>
      </c>
      <c r="BX39" s="493" t="str">
        <f>IF(28=28,IF(AM39="","",IF(BU39&gt;0,"X",IF(BW39&gt;0,"?",""))),"")</f>
        <v/>
      </c>
      <c r="BY39" s="493" cm="1">
        <f t="array" ref="BY39">IF(28=28,IF(AM39="","",SUMPRODUCT(--ISNUMBER(SEARCH(" "&amp;DJ1467:DJ1566&amp;" ",CB39)))),"")</f>
        <v>0</v>
      </c>
      <c r="BZ39" s="493" cm="1">
        <f t="array" ref="BZ39">IF(28=28,IF(AM39="","",SUMPRODUCT(--ISNUMBER(SEARCH(" "&amp;DJ1567:DJ1666&amp;" ",CB39)))),"")</f>
        <v>0</v>
      </c>
      <c r="CA39" s="493" cm="1">
        <f t="array" ref="CA39">IF(28=28,IF(AM39="","",SUMPRODUCT(--ISNUMBER(SEARCH(" "&amp;DJ1667:DJ1750&amp;" ",CB39)))),"")</f>
        <v>0</v>
      </c>
      <c r="CB39" s="493" t="str">
        <f>IF(28=28,IF(AM39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39,"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3 epluchez epepinez et coupez les pommes en tranches epaisses disposez les </v>
      </c>
      <c r="CC39" s="493" cm="1">
        <f t="array" ref="CC39">IF(28=28,IF(AM39="","",SUMPRODUCT(--ISNUMBER(SEARCH(" "&amp;DJ1801:DJ1880&amp;" ",CD39)))+SUMPRODUCT(--ISNUMBER(SEARCH(" "&amp;DJ2451:DJ2464&amp;" ",CD39)))),"")</f>
        <v>0</v>
      </c>
      <c r="CD39" s="493" t="str">
        <f>IF(28=28,IF(AM39="","",SUBSTITUTE(SUBSTITUTE(SUBSTITUTE(SUBSTITUTE(SUBSTITUTE(SUBSTITUTE(SUBSTITUTE(SUBSTITUTE(SUBSTITUTE(SUBSTITUTE(SUBSTITUTE(SUBSTITUTE(SUBSTITUTE(CB39," "&amp;DJ1887&amp;" "," ")," "&amp;DJ1885&amp;" "," ")," "&amp;DJ2449&amp;" "," ")," "&amp;DJ2450&amp;" "," ")," "&amp;DJ1882&amp;" "," ")," "&amp;DJ1886&amp;" "," ")," "&amp;DJ1888&amp;" "," ")," "&amp;DJ1883&amp;" "," ")," "&amp;DJ1881&amp;" "," ")," "&amp;DJ1378&amp;" "," ")," "&amp;DJ1889&amp;" "," ")," "&amp;DJ1377&amp;" "," ")," "&amp;DJ1884&amp;" "," ")),"")</f>
        <v xml:space="preserve"> 3 epluchez epepinez et coupez les pommes en tranches epaisses disposez les </v>
      </c>
      <c r="CE39" s="493" t="str" cm="1">
        <f t="array" ref="CE39">IF(28=28,IF(AM39="","",IF(SUM(BY39:CA39)+SUMPRODUCT(--ISNUMBER(SEARCH(" "&amp;DJ2434:DJ2435&amp;" ",CB39)))&gt;0,"X",IF(CC39&gt;0,"?",""))),"")</f>
        <v/>
      </c>
      <c r="CF39" s="493" cm="1">
        <f t="array" ref="CF39">IF(28=28,IF(AM39="","",SUMPRODUCT(--ISNUMBER(SEARCH(" "&amp;DJ1890:DJ1947&amp;" ",CG39)))),"")</f>
        <v>0</v>
      </c>
      <c r="CG39" s="493" t="str">
        <f>IF(28=28,IF(AM39="","",SUBSTITUTE(SUBSTITUTE(SUBSTITUTE(SUBSTITUTE(SUBSTITUTE(SUBSTITUTE(SUBSTITUTE(SUBSTITUTE(SUBSTITUTE(SUBSTITUTE(SUBSTITUTE(SUBSTITUTE(SUBSTITUTE(SUBSTITUTE(SUBSTITUTE(SUBSTITUTE(SUBSTITUTE(SUBSTITUTE(SUBSTITUTE(SUBSTITUTE(SUBSTITUTE(SUBSTITUTE(SUBSTITUTE(AS39,"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3 epluchez epepinez et coupez les pommes en tranches epaisses disposez les </v>
      </c>
      <c r="CH39" s="493" cm="1">
        <f t="array" ref="CH39">IF(28=28,IF(AM39="","",SUMPRODUCT(--ISNUMBER(SEARCH(" "&amp;DJ1971:DJ1987&amp;" ",CG39)))),"")</f>
        <v>0</v>
      </c>
      <c r="CI39" s="493" t="str">
        <f>IF(28=28,IF(AM39="","",IF(CF39&gt;0,"X",IF(CH39&gt;0,"?",""))),"")</f>
        <v/>
      </c>
      <c r="CJ39" s="493" cm="1">
        <f t="array" ref="CJ39">IF(28=28,IF(AM39="","",SUMPRODUCT(--ISNUMBER(SEARCH(" "&amp;DJ1988:DJ2001&amp;" ",AS39)))),"")</f>
        <v>0</v>
      </c>
      <c r="CK39" s="493" cm="1">
        <f t="array" ref="CK39">IF(28=28,IF(AM39="","",SUMPRODUCT(--ISNUMBER(SEARCH(" "&amp;DJ2002:DJ2016&amp;" ",AS39)))),"")</f>
        <v>0</v>
      </c>
      <c r="CL39" s="493" t="str">
        <f>IF(28=28,IF(AM39="","",IF((CJ39)-(0)&gt;0,"X",IF((CK39)-(0)&gt;0,"?",""))),"")</f>
        <v/>
      </c>
      <c r="CM39" s="493" cm="1">
        <f t="array" ref="CM39">IF(28=28,IF(AM39="","",SUMPRODUCT(--ISNUMBER(SEARCH(" "&amp;DJ2017:DJ2034&amp;" ",AS39)))),"")</f>
        <v>0</v>
      </c>
      <c r="CN39" s="493" cm="1">
        <f t="array" ref="CN39">IF(28=28,IF(AM39="","",SUMPRODUCT(--ISNUMBER(SEARCH(" "&amp;DJ2035:DJ2049&amp;" ",AS39)))),"")</f>
        <v>0</v>
      </c>
      <c r="CO39" s="493" t="str">
        <f>IF(28=28,IF(AM39="","",IF((CM39)-(0)&gt;0,"X",IF((CN39)-(0)&gt;0,"?",""))),"")</f>
        <v/>
      </c>
      <c r="CP39" s="493" cm="1">
        <f t="array" ref="CP39">IF(28=28,IF(AM39="","",SUMPRODUCT(--ISNUMBER(SEARCH(" "&amp;DJ2050:DJ2068&amp;" ",AS39)))),"")</f>
        <v>0</v>
      </c>
      <c r="CQ39" s="493" cm="1">
        <f t="array" ref="CQ39">IF(28=28,IF(AM39="","",SUMPRODUCT(--ISNUMBER(SEARCH(" "&amp;DJ2069:DJ2083&amp;" ",AS39)))),"")</f>
        <v>0</v>
      </c>
      <c r="CR39" s="493" t="str">
        <f>IF(28=28,IF(AM39="","",IF((CP39)-(0)&gt;0,"X",IF((CQ39)-(0)&gt;0,"?",""))),"")</f>
        <v/>
      </c>
      <c r="CS39" s="493" cm="1">
        <f t="array" ref="CS39">IF(28=28,IF(AM39="","",SUMPRODUCT(--ISNUMBER(SEARCH(" "&amp;DJ2084:DJ2104&amp;" ",AS39)))),"")</f>
        <v>0</v>
      </c>
      <c r="CT39" s="493" cm="1">
        <f t="array" ref="CT39">IF(28=28,IF(AM39="","",SUMPRODUCT(--ISNUMBER(SEARCH(" "&amp;DJ2105:DJ2144&amp;" ",SUBSTITUTE(SUBSTITUTE(AS39," "&amp;DJ1378&amp;" "," ")," "&amp;DJ1377&amp;" "," "))))+--ISNUMBER(SEARCH("poiré",AN39))),"")</f>
        <v>0</v>
      </c>
      <c r="CU39" s="493" t="str">
        <f>IF(28=28,IF(AM39="","",IF(OR(CS39&gt;0,ISNUMBER(SEARCH(" vinaigre de vin ",AS39)),ISNUMBER(SEARCH(" vinaigre au vin ",AS39))),"X",IF(CT39&gt;0,"?",""))),"")</f>
        <v/>
      </c>
      <c r="CV39" s="493" cm="1">
        <f t="array" ref="CV39">IF(28=28,IF(AM39="","",SUMPRODUCT(--ISNUMBER(SEARCH(" "&amp;DJ2145:DJ2157&amp;" ",AS39)))),"")</f>
        <v>0</v>
      </c>
      <c r="CW39" s="493" cm="1">
        <f t="array" ref="CW39">IF(28=28,IF(AM39="","",SUMPRODUCT(--ISNUMBER(SEARCH(" "&amp;DJ2158:DJ2163&amp;" ",AS39)))),"")</f>
        <v>0</v>
      </c>
      <c r="CX39" s="493" t="str">
        <f>IF(28=28,IF(AM39="","",IF((CV39)-(0)&gt;0,"X",IF((CW39)-(0)&gt;0,"?",""))),"")</f>
        <v/>
      </c>
      <c r="CY39" s="493" cm="1">
        <f t="array" ref="CY39">IF(28=28,IF(AM39="","",SUMPRODUCT(--ISNUMBER(SEARCH(" "&amp;DJ2164:DJ2263&amp;" ",DB39)))),"")</f>
        <v>0</v>
      </c>
      <c r="CZ39" s="493" cm="1">
        <f t="array" ref="CZ39">IF(28=28,IF(AM39="","",SUMPRODUCT(--ISNUMBER(SEARCH(" "&amp;DJ2264:DJ2363&amp;" ",DB39)))),"")</f>
        <v>0</v>
      </c>
      <c r="DA39" s="493" cm="1">
        <f t="array" ref="DA39">IF(28=28,IF(AM39="","",SUMPRODUCT(--ISNUMBER(SEARCH(" "&amp;DJ2364:DJ2406&amp;" ",DB39)))),"")</f>
        <v>0</v>
      </c>
      <c r="DB39" s="493" t="str">
        <f>IF(28=28,IF(AM39="","",SUBSTITUTE(SUBSTITUTE(SUBSTITUTE(SUBSTITUTE(SUBSTITUTE(SUBSTITUTE(SUBSTITUTE(SUBSTITUTE(SUBSTITUTE(SUBSTITUTE(SUBSTITUTE(SUBSTITUTE(SUBSTITUTE(SUBSTITUTE(SUBSTITUTE(SUBSTITUTE(AS39," "&amp;DJ2412&amp;" "," ")," "&amp;DJ2411&amp;" "," ")," "&amp;DJ2410&amp;" "," ")," "&amp;DJ2417&amp;" "," ")," "&amp;DJ2409&amp;" "," ")," "&amp;DJ2421&amp;" "," ")," "&amp;DJ2408&amp;" "," ")," "&amp;DJ2413&amp;" "," ")," "&amp;DJ2416&amp;" "," ")," "&amp;DJ2407&amp;" "," ")," "&amp;DJ2415&amp;" "," ")," "&amp;DJ2422&amp;" "," ")," "&amp;DJ2419&amp;" "," ")," "&amp;DJ2414&amp;" "," ")," "&amp;DJ2418&amp;" "," ")," "&amp;DJ2420&amp;" "," ")),"")</f>
        <v xml:space="preserve"> 3 epluchez epepinez et coupez les pommes en tranches epaisses disposez les </v>
      </c>
      <c r="DC39" s="493" cm="1">
        <f t="array" ref="DC39">IF(28=28,IF(AM39="","",SUMPRODUCT(--ISNUMBER(SEARCH(" "&amp;DJ2423:DJ2427&amp;" ",DB39)))),"")</f>
        <v>0</v>
      </c>
      <c r="DD39" s="493" t="str">
        <f>IF(28=28,IF(AM39="","",IF(SUM(CY39:DA39)&gt;0,"X",IF(DC39&gt;0,"?",""))),"")</f>
        <v/>
      </c>
      <c r="DE39" s="494"/>
      <c r="DF39" s="496" t="s">
        <v>1193</v>
      </c>
      <c r="DG39" s="496" t="s">
        <v>1083</v>
      </c>
      <c r="DH39" s="496" t="s">
        <v>689</v>
      </c>
      <c r="DI39" s="496" t="s">
        <v>311</v>
      </c>
      <c r="DJ39" s="496" t="s">
        <v>311</v>
      </c>
      <c r="DK39" s="496" t="s">
        <v>1085</v>
      </c>
      <c r="DL39" s="496" t="s">
        <v>1086</v>
      </c>
      <c r="DM39" s="496" t="s">
        <v>1087</v>
      </c>
      <c r="DN39" s="497" t="s">
        <v>1088</v>
      </c>
      <c r="DP39" s="543">
        <v>1</v>
      </c>
    </row>
    <row r="40" spans="2:120" ht="30" customHeight="1">
      <c r="B40" s="663" t="str">
        <f t="shared" si="0"/>
        <v>8. Laissez tiédir, saupoudrez de sucre glace et servez avec une touche de crème fraîche.</v>
      </c>
      <c r="C40" s="663" t="str">
        <f t="shared" si="1"/>
        <v>8 Laissez tiédir saupoudrez de sucre glace et servez avec une touche de crème fraîche</v>
      </c>
      <c r="D40" s="663" t="str">
        <f>IF(UPPER(TRIM(N11))="X",C40,B40)</f>
        <v>8. Laissez tiédir, saupoudrez de sucre glace et servez avec une touche de crème fraîche.</v>
      </c>
      <c r="E40" s="663" cm="1">
        <f t="array" ref="E40">IF(H39&lt;&gt;"",E39,IF(E39="","",IFERROR(MATCH(TRUE(),INDEX(INDEX(K:K,E39+1):K203&lt;&gt;"",0),0)+E39,"")))</f>
        <v>35</v>
      </c>
      <c r="F40" s="663" t="str" cm="1">
        <f t="array" ref="F40">IF(E40="","",IF(H39&lt;&gt;"",H39,INDEX(D:D,E40)))</f>
        <v>joliment sur le fond de tarte.</v>
      </c>
      <c r="G40" s="663" t="str">
        <f t="shared" si="2"/>
        <v>joliment sur le fond de tarte.</v>
      </c>
      <c r="H40" s="673" t="str">
        <f t="shared" si="3"/>
        <v/>
      </c>
      <c r="I40" s="680" t="str">
        <f>IF(AND(F40&lt;&gt;"",N10&gt;0,M40&gt;N10),"Mot &gt; limite","")</f>
        <v/>
      </c>
      <c r="J40" s="674">
        <f>IF(K40="","",COUNTIF(K18:K40,"&lt;&gt;"))</f>
        <v>23</v>
      </c>
      <c r="K40" s="675" t="s">
        <v>6485</v>
      </c>
      <c r="L40" s="674">
        <f t="shared" si="4"/>
        <v>88</v>
      </c>
      <c r="M40" s="643">
        <f>IF(OR(F40="",N10="",N10&lt;=0),"",IF(LEN(F40)&lt;=N10,LEN(F40),IFERROR(FIND("♦",SUBSTITUTE(LEFT(F40,N10)," ","♦",LEN(LEFT(F40,N10))-LEN(SUBSTITUTE(LEFT(F40,N10)," ","")))),FIND(" ",F40&amp;" ",N10+1)-1)))</f>
        <v>30</v>
      </c>
      <c r="N40" s="676">
        <f t="shared" si="5"/>
        <v>23</v>
      </c>
      <c r="O40" s="677" t="str">
        <f t="shared" si="6"/>
        <v>joliment sur le fond de tarte.</v>
      </c>
      <c r="P40" s="676">
        <f t="shared" si="7"/>
        <v>6</v>
      </c>
      <c r="Q40" s="676">
        <f t="shared" si="8"/>
        <v>30</v>
      </c>
      <c r="S40" s="509">
        <v>23</v>
      </c>
      <c r="T40" s="678" t="str">
        <f t="shared" si="10"/>
        <v>joliment sur le fond de tarte.</v>
      </c>
      <c r="U40" s="679" t="str">
        <f t="shared" si="9"/>
        <v>joliment sur le fond de tarte.</v>
      </c>
      <c r="V40" s="512" t="str">
        <f>IF(29=29,IF(T40="","",IF(W40="X",""&amp;"Céréales contenant du gluten","")&amp;IF(X40="X",IF(COUNTIF(W40:W40,"X")&gt;0,", ","")&amp;"Crustacés","")&amp;IF(Y40="X",IF(COUNTIF(W40:X40,"X")&gt;0,", ","")&amp;"Œufs","")&amp;IF(Z40="X",IF(COUNTIF(W40:Y40,"X")&gt;0,", ","")&amp;"Poissons","")&amp;IF(AA40="X",IF(COUNTIF(W40:Z40,"X")&gt;0,", ","")&amp;"Arachides","")&amp;IF(AB40="X",IF(COUNTIF(W40:AA40,"X")&gt;0,", ","")&amp;"Soja","")&amp;IF(AC40="X",IF(COUNTIF(W40:AB40,"X")&gt;0,", ","")&amp;"Lait","")&amp;IF(AD40="X",IF(COUNTIF(W40:AC40,"X")&gt;0,", ","")&amp;"Fruits à coque","")&amp;IF(AE40="X",IF(COUNTIF(W40:AD40,"X")&gt;0,", ","")&amp;"Céleri","")&amp;IF(AF40="X",IF(COUNTIF(W40:AE40,"X")&gt;0,", ","")&amp;"Moutarde","")&amp;IF(AG40="X",IF(COUNTIF(W40:AF40,"X")&gt;0,", ","")&amp;"Sésame","")&amp;IF(AH40="X",IF(COUNTIF(W40:AG40,"X")&gt;0,", ","")&amp;"Sulfites","")&amp;IF(AI40="X",IF(COUNTIF(W40:AH40,"X")&gt;0,", ","")&amp;"Lupin","")&amp;IF(AJ40="X",IF(COUNTIF(W40:AI40,"X")&gt;0,", ","")&amp;"Mollusques","")),"")</f>
        <v/>
      </c>
      <c r="W40" s="513" t="str">
        <f>IF(29=29,IF(T40="","",AX40),"")</f>
        <v/>
      </c>
      <c r="X40" s="513" t="str">
        <f>IF(29=29,IF(T40="","",BA40),"")</f>
        <v/>
      </c>
      <c r="Y40" s="513" t="str">
        <f>IF(29=29,IF(T40="","",BE40),"")</f>
        <v/>
      </c>
      <c r="Z40" s="513" t="str">
        <f>IF(29=29,IF(T40="","",IF(ISNUMBER(SEARCH(" colin ",AS40)),"X",BR40)),"")</f>
        <v/>
      </c>
      <c r="AA40" s="513" t="str">
        <f>IF(29=29,IF(T40="","",BT40),"")</f>
        <v/>
      </c>
      <c r="AB40" s="513" t="str">
        <f>IF(29=29,IF(T40="","",BX40),"")</f>
        <v/>
      </c>
      <c r="AC40" s="513" t="str">
        <f>IF(29=29,IF(T40="","",CE40),"")</f>
        <v/>
      </c>
      <c r="AD40" s="513" t="str">
        <f>IF(29=29,IF(T40="","",CI40),"")</f>
        <v/>
      </c>
      <c r="AE40" s="513" t="str">
        <f>IF(29=29,IF(T40="","",CL40),"")</f>
        <v/>
      </c>
      <c r="AF40" s="513" t="str">
        <f>IF(29=29,IF(T40="","",CO40),"")</f>
        <v/>
      </c>
      <c r="AG40" s="513" t="str">
        <f>IF(29=29,IF(T40="","",CR40),"")</f>
        <v/>
      </c>
      <c r="AH40" s="513" t="str">
        <f>IF(29=29,IF(T40="","",CU40),"")</f>
        <v/>
      </c>
      <c r="AI40" s="513" t="str">
        <f>IF(29=29,IF(T40="","",CX40),"")</f>
        <v/>
      </c>
      <c r="AJ40" s="513" t="str">
        <f>IF(29=29,IF(T40="","",DD40),"")</f>
        <v/>
      </c>
      <c r="AK40" s="514" t="str">
        <f>IF(29=29,IF(T40="","",IF(W40="?",""&amp;"Céréales contenant du gluten","")&amp;IF(X40="?",IF(COUNTIF(W40:W40,"~?")&gt;0,", ","")&amp;"Crustacés","")&amp;IF(Y40="?",IF(COUNTIF(W40:X40,"~?")&gt;0,", ","")&amp;"Œufs","")&amp;IF(Z40="?",IF(COUNTIF(W40:Y40,"~?")&gt;0,", ","")&amp;"Poissons","")&amp;IF(AA40="?",IF(COUNTIF(W40:Z40,"~?")&gt;0,", ","")&amp;"Arachides","")&amp;IF(AB40="?",IF(COUNTIF(W40:AA40,"~?")&gt;0,", ","")&amp;"Soja","")&amp;IF(AC40="?",IF(COUNTIF(W40:AB40,"~?")&gt;0,", ","")&amp;"Lait","")&amp;IF(AD40="?",IF(COUNTIF(W40:AC40,"~?")&gt;0,", ","")&amp;"Fruits à coque","")&amp;IF(AE40="?",IF(COUNTIF(W40:AD40,"~?")&gt;0,", ","")&amp;"Céleri","")&amp;IF(AF40="?",IF(COUNTIF(W40:AE40,"~?")&gt;0,", ","")&amp;"Moutarde","")&amp;IF(AG40="?",IF(COUNTIF(W40:AF40,"~?")&gt;0,", ","")&amp;"Sésame","")&amp;IF(AH40="?",IF(COUNTIF(W40:AG40,"~?")&gt;0,", ","")&amp;"Sulfites","")&amp;IF(AI40="?",IF(COUNTIF(W40:AH40,"~?")&gt;0,", ","")&amp;"Lupin","")&amp;IF(AJ40="?",IF(COUNTIF(W40:AI40,"~?")&gt;0,", ","")&amp;"Mollusques","")),"")</f>
        <v/>
      </c>
      <c r="AM40" s="493" t="str">
        <f>IF(29=29,IF(T40="","",T40),"")</f>
        <v>joliment sur le fond de tarte.</v>
      </c>
      <c r="AN40" s="493" t="str">
        <f>IF(29=29,LOWER(CLEAN(SUBSTITUTE(SUBSTITUTE(SUBSTITUTE(SUBSTITUTE(AM40,CHAR(160)," ")," "," "),CHAR(10)," "),CHAR(13)," "))),"")</f>
        <v>joliment sur le fond de tarte.</v>
      </c>
      <c r="AO40" s="493" t="str">
        <f>IF(29=29,SUBSTITUTE(SUBSTITUTE(SUBSTITUTE(SUBSTITUTE(SUBSTITUTE(SUBSTITUTE(SUBSTITUTE(SUBSTITUTE(SUBSTITUTE(SUBSTITUTE(SUBSTITUTE(SUBSTITUTE(AN40,"œ","oe"),"æ","ae"),"à","a"),"á","a"),"â","a"),"ä","a"),"ã","a"),"ç","c"),"è","e"),"é","e"),"ê","e"),"ë","e"),"")</f>
        <v>joliment sur le fond de tarte.</v>
      </c>
      <c r="AP40" s="493" t="str">
        <f>IF(29=29,SUBSTITUTE(SUBSTITUTE(SUBSTITUTE(SUBSTITUTE(SUBSTITUTE(SUBSTITUTE(SUBSTITUTE(SUBSTITUTE(SUBSTITUTE(SUBSTITUTE(SUBSTITUTE(SUBSTITUTE(SUBSTITUTE(SUBSTITUTE(SUBSTITUTE(SUBSTITUTE(AO40,"ì","i"),"í","i"),"î","i"),"ï","i"),"ñ","n"),"ò","o"),"ó","o"),"ô","o"),"ö","o"),"õ","o"),"ù","u"),"ú","u"),"û","u"),"ü","u"),"ý","y"),"ÿ","y"),"")</f>
        <v>joliment sur le fond de tarte.</v>
      </c>
      <c r="AQ40" s="493" t="str">
        <f>IF(29=29,SUBSTITUTE(SUBSTITUTE(SUBSTITUTE(SUBSTITUTE(SUBSTITUTE(SUBSTITUTE(SUBSTITUTE(SUBSTITUTE(SUBSTITUTE(SUBSTITUTE(SUBSTITUTE(SUBSTITUTE(SUBSTITUTE(SUBSTITUTE(AP40,"’"," "),"`"," "),"–"," "),"—"," "),"-"," "),"'"," "),"/"," "),"_"," "),","," "),"."," "),"("," "),")"," "),";"," "),":"," "),"")</f>
        <v xml:space="preserve">joliment sur le fond de tarte </v>
      </c>
      <c r="AR40" s="493" t="str">
        <f>IF(29=29,SUBSTITUTE(SUBSTITUTE(SUBSTITUTE(SUBSTITUTE(SUBSTITUTE(SUBSTITUTE(SUBSTITUTE(SUBSTITUTE(SUBSTITUTE(SUBSTITUTE(SUBSTITUTE(SUBSTITUTE(SUBSTITUTE(SUBSTITUTE(SUBSTITUTE(AQ40,"!"," "),"?"," "),"+"," "),"*"," "),"&amp;"," "),"["," "),"]"," "),"{"," "),"}"," "),"%"," "),"="," "),"\"," "),"|"," "),"&lt;"," "),"&gt;"," "),"")</f>
        <v xml:space="preserve">joliment sur le fond de tarte </v>
      </c>
      <c r="AS40" s="493" t="str">
        <f>IF(29=29," "&amp;TRIM(SUBSTITUTE(SUBSTITUTE(SUBSTITUTE(SUBSTITUTE(SUBSTITUTE(SUBSTITUTE(AR40,CHAR(34)," "),"  "," "),"  "," "),"  "," "),"  "," "),"  "," "))&amp;" ","")</f>
        <v xml:space="preserve"> joliment sur le fond de tarte </v>
      </c>
      <c r="AT40" s="493" cm="1">
        <f t="array" ref="AT40">IF(29=29,IF(AM40="","",SUMPRODUCT(--ISNUMBER(SEARCH(" "&amp;DJ13:DJ112&amp;" ",AV40)))),"")</f>
        <v>0</v>
      </c>
      <c r="AU40" s="493" cm="1">
        <f t="array" ref="AU40">IF(29=29,IF(AM40="","",SUMPRODUCT(--ISNUMBER(SEARCH(" "&amp;DJ113:DJ162&amp;" ",AV40)))),"")</f>
        <v>0</v>
      </c>
      <c r="AV40" s="493" t="str">
        <f>IF(AM40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40,"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joliment sur le fond de tarte </v>
      </c>
      <c r="AW40" s="493" cm="1">
        <f t="array" ref="AW40">IF(AM40="","",SUMPRODUCT(--ISNUMBER(SEARCH(" "&amp;DJ195:DJ216&amp;" ",AV40)))+--ISNUMBER(SEARCH(" "&amp;DJ2465&amp;" ",AV40)))</f>
        <v>0</v>
      </c>
      <c r="AX40" s="493" t="str" cm="1">
        <f t="array" ref="AX40">IF(29=29,IF(AM40="","",IF(SUM(AT40:AU40)+SUMPRODUCT(--ISNUMBER(SEARCH(" "&amp;DJ2429:DJ2431&amp;" ",AV40)))&gt;0,"X",IF(AW40&gt;0,"?",""))),"")</f>
        <v/>
      </c>
      <c r="AY40" s="493" cm="1">
        <f t="array" ref="AY40">IF(29=29,IF(AM40="","",SUMPRODUCT(--ISNUMBER(SEARCH(" "&amp;DJ217:DJ316&amp;" ",AS40)))),"")</f>
        <v>0</v>
      </c>
      <c r="AZ40" s="493" cm="1">
        <f t="array" ref="AZ40">IF(29=29,IF(AM40="","",SUMPRODUCT(--ISNUMBER(SEARCH(" "&amp;DJ317:DJ351&amp;" ",AS40)))),"")</f>
        <v>0</v>
      </c>
      <c r="BA40" s="493" t="str">
        <f>IF(29=29,IF(AM40="","",IF((SUM(AY40:AZ40))-(0)&gt;0,"X",IF((0)-(0)&gt;0,"?",""))),"")</f>
        <v/>
      </c>
      <c r="BB40" s="493" cm="1">
        <f t="array" ref="BB40">IF(29=29,IF(AM40="","",SUMPRODUCT(--ISNUMBER(SEARCH(" "&amp;DJ352:DJ409&amp;" ",AS40)))),"")</f>
        <v>0</v>
      </c>
      <c r="BC40" s="493" cm="1">
        <f t="array" ref="BC40">IF(29=29,IF(AM40="","",SUMPRODUCT(--ISNUMBER(SEARCH(" "&amp;DJ410:DJ437&amp;" ",BD40)))+SUMPRODUCT(--ISNUMBER(SEARCH(" "&amp;DJ2451:DJ2464&amp;" ",BD40)))),"")</f>
        <v>0</v>
      </c>
      <c r="BD40" s="493" t="str">
        <f>IF(29=29,IF(AM40="","",SUBSTITUTE(SUBSTITUTE(SUBSTITUTE(SUBSTITUTE(SUBSTITUTE(SUBSTITUTE(SUBSTITUTE(SUBSTITUTE(SUBSTITUTE(SUBSTITUTE(SUBSTITUTE(SUBSTITUTE(SUBSTITUTE(SUBSTITUTE(AS40," "&amp;DJ2466&amp;" "," ")," "&amp;DJ444&amp;" "," ")," "&amp;DJ442&amp;" "," ")," "&amp;DJ2449&amp;" "," ")," "&amp;DJ2450&amp;" "," ")," "&amp;DJ439&amp;" "," ")," "&amp;DJ443&amp;" "," ")," "&amp;DJ445&amp;" "," ")," "&amp;DJ440&amp;" "," ")," "&amp;DJ438&amp;" "," ")," "&amp;DJ1378&amp;" "," ")," "&amp;DJ446&amp;" "," ")," "&amp;DJ1377&amp;" "," ")," "&amp;DJ441&amp;" "," ")),"")</f>
        <v xml:space="preserve"> joliment sur le fond de tarte </v>
      </c>
      <c r="BE40" s="493" t="str">
        <f>IF(29=29,IF(AM40="","",IF(BB40&gt;0,"X",IF(BC40&gt;0,"?",""))),"")</f>
        <v/>
      </c>
      <c r="BF40" s="493" cm="1">
        <f t="array" ref="BF40">IF(29=29,IF(AM40="","",SUMPRODUCT(--ISNUMBER(SEARCH(" "&amp;DJ447:DJ546&amp;" ",BP40)))),"")</f>
        <v>0</v>
      </c>
      <c r="BG40" s="493" cm="1">
        <f t="array" ref="BG40">IF(29=29,IF(AM40="","",SUMPRODUCT(--ISNUMBER(SEARCH(" "&amp;DJ547:DJ646&amp;" ",BP40)))),"")</f>
        <v>0</v>
      </c>
      <c r="BH40" s="493" cm="1">
        <f t="array" ref="BH40">IF(29=29,IF(AM40="","",SUMPRODUCT(--ISNUMBER(SEARCH(" "&amp;DJ647:DJ746&amp;" ",BP40)))),"")</f>
        <v>0</v>
      </c>
      <c r="BI40" s="493" cm="1">
        <f t="array" ref="BI40">IF(29=29,IF(AM40="","",SUMPRODUCT(--ISNUMBER(SEARCH(" "&amp;DJ747:DJ846&amp;" ",BP40)))),"")</f>
        <v>0</v>
      </c>
      <c r="BJ40" s="493" cm="1">
        <f t="array" ref="BJ40">IF(29=29,IF(AM40="","",SUMPRODUCT(--ISNUMBER(SEARCH(" "&amp;DJ847:DJ946&amp;" ",BP40)))),"")</f>
        <v>0</v>
      </c>
      <c r="BK40" s="493" cm="1">
        <f t="array" ref="BK40">IF(29=29,IF(AM40="","",SUMPRODUCT(--ISNUMBER(SEARCH(" "&amp;DJ947:DJ1046&amp;" ",BP40)))),"")</f>
        <v>0</v>
      </c>
      <c r="BL40" s="493" cm="1">
        <f t="array" ref="BL40">IF(29=29,IF(AM40="","",SUMPRODUCT(--ISNUMBER(SEARCH(" "&amp;DJ1047:DJ1146&amp;" ",BP40)))),"")</f>
        <v>0</v>
      </c>
      <c r="BM40" s="493" cm="1">
        <f t="array" ref="BM40">IF(29=29,IF(AM40="","",SUMPRODUCT(--ISNUMBER(SEARCH(" "&amp;DJ1147:DJ1246&amp;" ",BP40)))),"")</f>
        <v>0</v>
      </c>
      <c r="BN40" s="493" cm="1">
        <f t="array" ref="BN40">IF(29=29,IF(AM40="","",SUMPRODUCT(--ISNUMBER(SEARCH(" "&amp;DJ1247:DJ1346&amp;" ",BP40)))),"")</f>
        <v>0</v>
      </c>
      <c r="BO40" s="493" cm="1">
        <f t="array" ref="BO40">IF(29=29,IF(AM40="","",SUMPRODUCT(--ISNUMBER(SEARCH(" "&amp;DJ1347:DJ1374&amp;" ",BP40)))),"")</f>
        <v>0</v>
      </c>
      <c r="BP40" s="493" t="str">
        <f>IF(29=29,IF(AM40="","",SUBSTITUTE(SUBSTITUTE(SUBSTITUTE(SUBSTITUTE(SUBSTITUTE(SUBSTITUTE(SUBSTITUTE(SUBSTITUTE(SUBSTITUTE(AS40," "&amp;DJ1376&amp;" "," ")," "&amp;DJ1375&amp;" "," ")," "&amp;DJ1381&amp;" "," ")," "&amp;DJ1382&amp;" "," ")," "&amp;DJ1378&amp;" "," ")," "&amp;DJ1380&amp;" "," ")," "&amp;DJ1377&amp;" "," ")," "&amp;DJ1379&amp;" "," ")," "&amp;DJ1383&amp;" "," ")),"")</f>
        <v xml:space="preserve"> joliment sur le fond de tarte </v>
      </c>
      <c r="BQ40" s="493" cm="1">
        <f t="array" ref="BQ40">IF(29=29,IF(AM40="","",SUMPRODUCT(--ISNUMBER(SEARCH(" "&amp;DJ1384:DJ1394&amp;" ",BP40)))),"")</f>
        <v>0</v>
      </c>
      <c r="BR40" s="493" t="str" cm="1">
        <f t="array" ref="BR40">IF(29=29,IF(AM40="","",IF(SUM(BF40:BO40)+SUMPRODUCT(--ISNUMBER(SEARCH(" "&amp;DJ2432:DJ2433&amp;" ",BP40)))&gt;0,"X",IF(BQ40&gt;0,"?",""))),"")</f>
        <v/>
      </c>
      <c r="BS40" s="493" cm="1">
        <f t="array" ref="BS40">IF(29=29,IF(AM40="","",SUMPRODUCT(--ISNUMBER(SEARCH(" "&amp;DJ1395:DJ1415&amp;" ",AS40)))),"")</f>
        <v>0</v>
      </c>
      <c r="BT40" s="493" t="str">
        <f>IF(29=29,IF(AM40="","",IF((BS40)-(0)&gt;0,"X",IF((0)-(0)&gt;0,"?",""))),"")</f>
        <v/>
      </c>
      <c r="BU40" s="493" cm="1">
        <f t="array" ref="BU40">IF(29=29,IF(AM40="","",SUMPRODUCT(--ISNUMBER(SEARCH(" "&amp;DJ1416:DJ1453&amp;" ",BV40)))),"")</f>
        <v>0</v>
      </c>
      <c r="BV40" s="493" t="str">
        <f>IF(29=29,IF(AM40="","",SUBSTITUTE(SUBSTITUTE(AS40," "&amp;DJ1454&amp;" "," ")," "&amp;DJ1455&amp;" "," ")),"")</f>
        <v xml:space="preserve"> joliment sur le fond de tarte </v>
      </c>
      <c r="BW40" s="493" cm="1">
        <f t="array" ref="BW40">IF(29=29,IF(AM40="","",SUMPRODUCT(--ISNUMBER(SEARCH(" "&amp;DJ1456:DJ1466&amp;" ",BV40)))),"")</f>
        <v>0</v>
      </c>
      <c r="BX40" s="493" t="str">
        <f>IF(29=29,IF(AM40="","",IF(BU40&gt;0,"X",IF(BW40&gt;0,"?",""))),"")</f>
        <v/>
      </c>
      <c r="BY40" s="493" cm="1">
        <f t="array" ref="BY40">IF(29=29,IF(AM40="","",SUMPRODUCT(--ISNUMBER(SEARCH(" "&amp;DJ1467:DJ1566&amp;" ",CB40)))),"")</f>
        <v>0</v>
      </c>
      <c r="BZ40" s="493" cm="1">
        <f t="array" ref="BZ40">IF(29=29,IF(AM40="","",SUMPRODUCT(--ISNUMBER(SEARCH(" "&amp;DJ1567:DJ1666&amp;" ",CB40)))),"")</f>
        <v>0</v>
      </c>
      <c r="CA40" s="493" cm="1">
        <f t="array" ref="CA40">IF(29=29,IF(AM40="","",SUMPRODUCT(--ISNUMBER(SEARCH(" "&amp;DJ1667:DJ1750&amp;" ",CB40)))),"")</f>
        <v>0</v>
      </c>
      <c r="CB40" s="493" t="str">
        <f>IF(29=29,IF(AM40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40,"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joliment sur le fond de tarte </v>
      </c>
      <c r="CC40" s="493" cm="1">
        <f t="array" ref="CC40">IF(29=29,IF(AM40="","",SUMPRODUCT(--ISNUMBER(SEARCH(" "&amp;DJ1801:DJ1880&amp;" ",CD40)))+SUMPRODUCT(--ISNUMBER(SEARCH(" "&amp;DJ2451:DJ2464&amp;" ",CD40)))),"")</f>
        <v>0</v>
      </c>
      <c r="CD40" s="493" t="str">
        <f>IF(29=29,IF(AM40="","",SUBSTITUTE(SUBSTITUTE(SUBSTITUTE(SUBSTITUTE(SUBSTITUTE(SUBSTITUTE(SUBSTITUTE(SUBSTITUTE(SUBSTITUTE(SUBSTITUTE(SUBSTITUTE(SUBSTITUTE(SUBSTITUTE(CB40," "&amp;DJ1887&amp;" "," ")," "&amp;DJ1885&amp;" "," ")," "&amp;DJ2449&amp;" "," ")," "&amp;DJ2450&amp;" "," ")," "&amp;DJ1882&amp;" "," ")," "&amp;DJ1886&amp;" "," ")," "&amp;DJ1888&amp;" "," ")," "&amp;DJ1883&amp;" "," ")," "&amp;DJ1881&amp;" "," ")," "&amp;DJ1378&amp;" "," ")," "&amp;DJ1889&amp;" "," ")," "&amp;DJ1377&amp;" "," ")," "&amp;DJ1884&amp;" "," ")),"")</f>
        <v xml:space="preserve"> joliment sur le fond de tarte </v>
      </c>
      <c r="CE40" s="493" t="str" cm="1">
        <f t="array" ref="CE40">IF(29=29,IF(AM40="","",IF(SUM(BY40:CA40)+SUMPRODUCT(--ISNUMBER(SEARCH(" "&amp;DJ2434:DJ2435&amp;" ",CB40)))&gt;0,"X",IF(CC40&gt;0,"?",""))),"")</f>
        <v/>
      </c>
      <c r="CF40" s="493" cm="1">
        <f t="array" ref="CF40">IF(29=29,IF(AM40="","",SUMPRODUCT(--ISNUMBER(SEARCH(" "&amp;DJ1890:DJ1947&amp;" ",CG40)))),"")</f>
        <v>0</v>
      </c>
      <c r="CG40" s="493" t="str">
        <f>IF(29=29,IF(AM40="","",SUBSTITUTE(SUBSTITUTE(SUBSTITUTE(SUBSTITUTE(SUBSTITUTE(SUBSTITUTE(SUBSTITUTE(SUBSTITUTE(SUBSTITUTE(SUBSTITUTE(SUBSTITUTE(SUBSTITUTE(SUBSTITUTE(SUBSTITUTE(SUBSTITUTE(SUBSTITUTE(SUBSTITUTE(SUBSTITUTE(SUBSTITUTE(SUBSTITUTE(SUBSTITUTE(SUBSTITUTE(SUBSTITUTE(AS40,"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joliment sur le fond de tarte </v>
      </c>
      <c r="CH40" s="493" cm="1">
        <f t="array" ref="CH40">IF(29=29,IF(AM40="","",SUMPRODUCT(--ISNUMBER(SEARCH(" "&amp;DJ1971:DJ1987&amp;" ",CG40)))),"")</f>
        <v>0</v>
      </c>
      <c r="CI40" s="493" t="str">
        <f>IF(29=29,IF(AM40="","",IF(CF40&gt;0,"X",IF(CH40&gt;0,"?",""))),"")</f>
        <v/>
      </c>
      <c r="CJ40" s="493" cm="1">
        <f t="array" ref="CJ40">IF(29=29,IF(AM40="","",SUMPRODUCT(--ISNUMBER(SEARCH(" "&amp;DJ1988:DJ2001&amp;" ",AS40)))),"")</f>
        <v>0</v>
      </c>
      <c r="CK40" s="493" cm="1">
        <f t="array" ref="CK40">IF(29=29,IF(AM40="","",SUMPRODUCT(--ISNUMBER(SEARCH(" "&amp;DJ2002:DJ2016&amp;" ",AS40)))),"")</f>
        <v>0</v>
      </c>
      <c r="CL40" s="493" t="str">
        <f>IF(29=29,IF(AM40="","",IF((CJ40)-(0)&gt;0,"X",IF((CK40)-(0)&gt;0,"?",""))),"")</f>
        <v/>
      </c>
      <c r="CM40" s="493" cm="1">
        <f t="array" ref="CM40">IF(29=29,IF(AM40="","",SUMPRODUCT(--ISNUMBER(SEARCH(" "&amp;DJ2017:DJ2034&amp;" ",AS40)))),"")</f>
        <v>0</v>
      </c>
      <c r="CN40" s="493" cm="1">
        <f t="array" ref="CN40">IF(29=29,IF(AM40="","",SUMPRODUCT(--ISNUMBER(SEARCH(" "&amp;DJ2035:DJ2049&amp;" ",AS40)))),"")</f>
        <v>0</v>
      </c>
      <c r="CO40" s="493" t="str">
        <f>IF(29=29,IF(AM40="","",IF((CM40)-(0)&gt;0,"X",IF((CN40)-(0)&gt;0,"?",""))),"")</f>
        <v/>
      </c>
      <c r="CP40" s="493" cm="1">
        <f t="array" ref="CP40">IF(29=29,IF(AM40="","",SUMPRODUCT(--ISNUMBER(SEARCH(" "&amp;DJ2050:DJ2068&amp;" ",AS40)))),"")</f>
        <v>0</v>
      </c>
      <c r="CQ40" s="493" cm="1">
        <f t="array" ref="CQ40">IF(29=29,IF(AM40="","",SUMPRODUCT(--ISNUMBER(SEARCH(" "&amp;DJ2069:DJ2083&amp;" ",AS40)))),"")</f>
        <v>0</v>
      </c>
      <c r="CR40" s="493" t="str">
        <f>IF(29=29,IF(AM40="","",IF((CP40)-(0)&gt;0,"X",IF((CQ40)-(0)&gt;0,"?",""))),"")</f>
        <v/>
      </c>
      <c r="CS40" s="493" cm="1">
        <f t="array" ref="CS40">IF(29=29,IF(AM40="","",SUMPRODUCT(--ISNUMBER(SEARCH(" "&amp;DJ2084:DJ2104&amp;" ",AS40)))),"")</f>
        <v>0</v>
      </c>
      <c r="CT40" s="493" cm="1">
        <f t="array" ref="CT40">IF(29=29,IF(AM40="","",SUMPRODUCT(--ISNUMBER(SEARCH(" "&amp;DJ2105:DJ2144&amp;" ",SUBSTITUTE(SUBSTITUTE(AS40," "&amp;DJ1378&amp;" "," ")," "&amp;DJ1377&amp;" "," "))))+--ISNUMBER(SEARCH("poiré",AN40))),"")</f>
        <v>0</v>
      </c>
      <c r="CU40" s="493" t="str">
        <f>IF(29=29,IF(AM40="","",IF(OR(CS40&gt;0,ISNUMBER(SEARCH(" vinaigre de vin ",AS40)),ISNUMBER(SEARCH(" vinaigre au vin ",AS40))),"X",IF(CT40&gt;0,"?",""))),"")</f>
        <v/>
      </c>
      <c r="CV40" s="493" cm="1">
        <f t="array" ref="CV40">IF(29=29,IF(AM40="","",SUMPRODUCT(--ISNUMBER(SEARCH(" "&amp;DJ2145:DJ2157&amp;" ",AS40)))),"")</f>
        <v>0</v>
      </c>
      <c r="CW40" s="493" cm="1">
        <f t="array" ref="CW40">IF(29=29,IF(AM40="","",SUMPRODUCT(--ISNUMBER(SEARCH(" "&amp;DJ2158:DJ2163&amp;" ",AS40)))),"")</f>
        <v>0</v>
      </c>
      <c r="CX40" s="493" t="str">
        <f>IF(29=29,IF(AM40="","",IF((CV40)-(0)&gt;0,"X",IF((CW40)-(0)&gt;0,"?",""))),"")</f>
        <v/>
      </c>
      <c r="CY40" s="493" cm="1">
        <f t="array" ref="CY40">IF(29=29,IF(AM40="","",SUMPRODUCT(--ISNUMBER(SEARCH(" "&amp;DJ2164:DJ2263&amp;" ",DB40)))),"")</f>
        <v>0</v>
      </c>
      <c r="CZ40" s="493" cm="1">
        <f t="array" ref="CZ40">IF(29=29,IF(AM40="","",SUMPRODUCT(--ISNUMBER(SEARCH(" "&amp;DJ2264:DJ2363&amp;" ",DB40)))),"")</f>
        <v>0</v>
      </c>
      <c r="DA40" s="493" cm="1">
        <f t="array" ref="DA40">IF(29=29,IF(AM40="","",SUMPRODUCT(--ISNUMBER(SEARCH(" "&amp;DJ2364:DJ2406&amp;" ",DB40)))),"")</f>
        <v>0</v>
      </c>
      <c r="DB40" s="493" t="str">
        <f>IF(29=29,IF(AM40="","",SUBSTITUTE(SUBSTITUTE(SUBSTITUTE(SUBSTITUTE(SUBSTITUTE(SUBSTITUTE(SUBSTITUTE(SUBSTITUTE(SUBSTITUTE(SUBSTITUTE(SUBSTITUTE(SUBSTITUTE(SUBSTITUTE(SUBSTITUTE(SUBSTITUTE(SUBSTITUTE(AS40," "&amp;DJ2412&amp;" "," ")," "&amp;DJ2411&amp;" "," ")," "&amp;DJ2410&amp;" "," ")," "&amp;DJ2417&amp;" "," ")," "&amp;DJ2409&amp;" "," ")," "&amp;DJ2421&amp;" "," ")," "&amp;DJ2408&amp;" "," ")," "&amp;DJ2413&amp;" "," ")," "&amp;DJ2416&amp;" "," ")," "&amp;DJ2407&amp;" "," ")," "&amp;DJ2415&amp;" "," ")," "&amp;DJ2422&amp;" "," ")," "&amp;DJ2419&amp;" "," ")," "&amp;DJ2414&amp;" "," ")," "&amp;DJ2418&amp;" "," ")," "&amp;DJ2420&amp;" "," ")),"")</f>
        <v xml:space="preserve"> joliment sur le fond de tarte </v>
      </c>
      <c r="DC40" s="493" cm="1">
        <f t="array" ref="DC40">IF(29=29,IF(AM40="","",SUMPRODUCT(--ISNUMBER(SEARCH(" "&amp;DJ2423:DJ2427&amp;" ",DB40)))),"")</f>
        <v>0</v>
      </c>
      <c r="DD40" s="493" t="str">
        <f>IF(29=29,IF(AM40="","",IF(SUM(CY40:DA40)&gt;0,"X",IF(DC40&gt;0,"?",""))),"")</f>
        <v/>
      </c>
      <c r="DE40" s="494"/>
      <c r="DF40" s="496" t="s">
        <v>1194</v>
      </c>
      <c r="DG40" s="496" t="s">
        <v>1083</v>
      </c>
      <c r="DH40" s="496" t="s">
        <v>689</v>
      </c>
      <c r="DI40" s="496" t="s">
        <v>893</v>
      </c>
      <c r="DJ40" s="496" t="s">
        <v>893</v>
      </c>
      <c r="DK40" s="496" t="s">
        <v>1085</v>
      </c>
      <c r="DL40" s="496" t="s">
        <v>1086</v>
      </c>
      <c r="DM40" s="496" t="s">
        <v>1087</v>
      </c>
      <c r="DN40" s="497" t="s">
        <v>1088</v>
      </c>
      <c r="DP40" s="543">
        <v>1</v>
      </c>
    </row>
    <row r="41" spans="2:120" ht="30" customHeight="1">
      <c r="B41" s="663" t="str">
        <f t="shared" si="0"/>
        <v>Préparation : 20 min</v>
      </c>
      <c r="C41" s="663" t="str">
        <f t="shared" si="1"/>
        <v>Préparation 20 min</v>
      </c>
      <c r="D41" s="663" t="str">
        <f>IF(UPPER(TRIM(N11))="X",C41,B41)</f>
        <v>Préparation : 20 min</v>
      </c>
      <c r="E41" s="663" cm="1">
        <f t="array" ref="E41">IF(H40&lt;&gt;"",E40,IF(E40="","",IFERROR(MATCH(TRUE(),INDEX(INDEX(K:K,E40+1):K203&lt;&gt;"",0),0)+E40,"")))</f>
        <v>36</v>
      </c>
      <c r="F41" s="663" t="str" cm="1">
        <f t="array" ref="F41">IF(E41="","",IF(H40&lt;&gt;"",H40,INDEX(D:D,E41)))</f>
        <v>4. Dans un saladier, fouettez les œufs avec le sucre et le sucre vanillé jusqu’à ce que le mélange blanchisse.</v>
      </c>
      <c r="G41" s="663" t="str">
        <f t="shared" si="2"/>
        <v xml:space="preserve">4. Dans un saladier, fouettez les œufs avec le sucre et le sucre vanillé </v>
      </c>
      <c r="H41" s="673" t="str">
        <f t="shared" si="3"/>
        <v>jusqu’à ce que le mélange blanchisse.</v>
      </c>
      <c r="I41" s="680" t="str">
        <f>IF(AND(F41&lt;&gt;"",N10&gt;0,M41&gt;N10),"Mot &gt; limite","")</f>
        <v/>
      </c>
      <c r="J41" s="674">
        <f>IF(K41="","",COUNTIF(K18:K41,"&lt;&gt;"))</f>
        <v>24</v>
      </c>
      <c r="K41" s="675" t="s">
        <v>6486</v>
      </c>
      <c r="L41" s="674">
        <f t="shared" si="4"/>
        <v>20</v>
      </c>
      <c r="M41" s="643">
        <f>IF(OR(F41="",N10="",N10&lt;=0),"",IF(LEN(F41)&lt;=N10,LEN(F41),IFERROR(FIND("♦",SUBSTITUTE(LEFT(F41,N10)," ","♦",LEN(LEFT(F41,N10))-LEN(SUBSTITUTE(LEFT(F41,N10)," ","")))),FIND(" ",F41&amp;" ",N10+1)-1)))</f>
        <v>73</v>
      </c>
      <c r="N41" s="676">
        <f t="shared" si="5"/>
        <v>24</v>
      </c>
      <c r="O41" s="677" t="str">
        <f t="shared" si="6"/>
        <v xml:space="preserve">4. Dans un saladier, fouettez les œufs avec le sucre et le sucre vanillé </v>
      </c>
      <c r="P41" s="676">
        <f t="shared" si="7"/>
        <v>14</v>
      </c>
      <c r="Q41" s="676">
        <f t="shared" si="8"/>
        <v>73</v>
      </c>
      <c r="S41" s="509">
        <v>24</v>
      </c>
      <c r="T41" s="678" t="str">
        <f t="shared" si="10"/>
        <v xml:space="preserve">4. Dans un saladier, fouettez les œufs avec le sucre et le sucre vanillé </v>
      </c>
      <c r="U41" s="679" t="str">
        <f t="shared" si="9"/>
        <v>4. Dans un saladier, fouettez les œufs avec le sucre et le sucre vanillé *</v>
      </c>
      <c r="V41" s="512" t="str">
        <f>IF(30=30,IF(T41="","",IF(W41="X",""&amp;"Céréales contenant du gluten","")&amp;IF(X41="X",IF(COUNTIF(W41:W41,"X")&gt;0,", ","")&amp;"Crustacés","")&amp;IF(Y41="X",IF(COUNTIF(W41:X41,"X")&gt;0,", ","")&amp;"Œufs","")&amp;IF(Z41="X",IF(COUNTIF(W41:Y41,"X")&gt;0,", ","")&amp;"Poissons","")&amp;IF(AA41="X",IF(COUNTIF(W41:Z41,"X")&gt;0,", ","")&amp;"Arachides","")&amp;IF(AB41="X",IF(COUNTIF(W41:AA41,"X")&gt;0,", ","")&amp;"Soja","")&amp;IF(AC41="X",IF(COUNTIF(W41:AB41,"X")&gt;0,", ","")&amp;"Lait","")&amp;IF(AD41="X",IF(COUNTIF(W41:AC41,"X")&gt;0,", ","")&amp;"Fruits à coque","")&amp;IF(AE41="X",IF(COUNTIF(W41:AD41,"X")&gt;0,", ","")&amp;"Céleri","")&amp;IF(AF41="X",IF(COUNTIF(W41:AE41,"X")&gt;0,", ","")&amp;"Moutarde","")&amp;IF(AG41="X",IF(COUNTIF(W41:AF41,"X")&gt;0,", ","")&amp;"Sésame","")&amp;IF(AH41="X",IF(COUNTIF(W41:AG41,"X")&gt;0,", ","")&amp;"Sulfites","")&amp;IF(AI41="X",IF(COUNTIF(W41:AH41,"X")&gt;0,", ","")&amp;"Lupin","")&amp;IF(AJ41="X",IF(COUNTIF(W41:AI41,"X")&gt;0,", ","")&amp;"Mollusques","")),"")</f>
        <v>Œufs</v>
      </c>
      <c r="W41" s="513" t="str">
        <f>IF(30=30,IF(T41="","",AX41),"")</f>
        <v/>
      </c>
      <c r="X41" s="513" t="str">
        <f>IF(30=30,IF(T41="","",BA41),"")</f>
        <v/>
      </c>
      <c r="Y41" s="513" t="str">
        <f>IF(30=30,IF(T41="","",BE41),"")</f>
        <v>X</v>
      </c>
      <c r="Z41" s="513" t="str">
        <f>IF(30=30,IF(T41="","",IF(ISNUMBER(SEARCH(" colin ",AS41)),"X",BR41)),"")</f>
        <v/>
      </c>
      <c r="AA41" s="513" t="str">
        <f>IF(30=30,IF(T41="","",BT41),"")</f>
        <v/>
      </c>
      <c r="AB41" s="513" t="str">
        <f>IF(30=30,IF(T41="","",BX41),"")</f>
        <v/>
      </c>
      <c r="AC41" s="513" t="str">
        <f>IF(30=30,IF(T41="","",CE41),"")</f>
        <v/>
      </c>
      <c r="AD41" s="513" t="str">
        <f>IF(30=30,IF(T41="","",CI41),"")</f>
        <v/>
      </c>
      <c r="AE41" s="513" t="str">
        <f>IF(30=30,IF(T41="","",CL41),"")</f>
        <v/>
      </c>
      <c r="AF41" s="513" t="str">
        <f>IF(30=30,IF(T41="","",CO41),"")</f>
        <v/>
      </c>
      <c r="AG41" s="513" t="str">
        <f>IF(30=30,IF(T41="","",CR41),"")</f>
        <v/>
      </c>
      <c r="AH41" s="513" t="str">
        <f>IF(30=30,IF(T41="","",CU41),"")</f>
        <v/>
      </c>
      <c r="AI41" s="513" t="str">
        <f>IF(30=30,IF(T41="","",CX41),"")</f>
        <v/>
      </c>
      <c r="AJ41" s="513" t="str">
        <f>IF(30=30,IF(T41="","",DD41),"")</f>
        <v/>
      </c>
      <c r="AK41" s="514" t="str">
        <f>IF(30=30,IF(T41="","",IF(W41="?",""&amp;"Céréales contenant du gluten","")&amp;IF(X41="?",IF(COUNTIF(W41:W41,"~?")&gt;0,", ","")&amp;"Crustacés","")&amp;IF(Y41="?",IF(COUNTIF(W41:X41,"~?")&gt;0,", ","")&amp;"Œufs","")&amp;IF(Z41="?",IF(COUNTIF(W41:Y41,"~?")&gt;0,", ","")&amp;"Poissons","")&amp;IF(AA41="?",IF(COUNTIF(W41:Z41,"~?")&gt;0,", ","")&amp;"Arachides","")&amp;IF(AB41="?",IF(COUNTIF(W41:AA41,"~?")&gt;0,", ","")&amp;"Soja","")&amp;IF(AC41="?",IF(COUNTIF(W41:AB41,"~?")&gt;0,", ","")&amp;"Lait","")&amp;IF(AD41="?",IF(COUNTIF(W41:AC41,"~?")&gt;0,", ","")&amp;"Fruits à coque","")&amp;IF(AE41="?",IF(COUNTIF(W41:AD41,"~?")&gt;0,", ","")&amp;"Céleri","")&amp;IF(AF41="?",IF(COUNTIF(W41:AE41,"~?")&gt;0,", ","")&amp;"Moutarde","")&amp;IF(AG41="?",IF(COUNTIF(W41:AF41,"~?")&gt;0,", ","")&amp;"Sésame","")&amp;IF(AH41="?",IF(COUNTIF(W41:AG41,"~?")&gt;0,", ","")&amp;"Sulfites","")&amp;IF(AI41="?",IF(COUNTIF(W41:AH41,"~?")&gt;0,", ","")&amp;"Lupin","")&amp;IF(AJ41="?",IF(COUNTIF(W41:AI41,"~?")&gt;0,", ","")&amp;"Mollusques","")),"")</f>
        <v/>
      </c>
      <c r="AM41" s="493" t="str">
        <f>IF(30=30,IF(T41="","",T41),"")</f>
        <v xml:space="preserve">4. Dans un saladier, fouettez les œufs avec le sucre et le sucre vanillé </v>
      </c>
      <c r="AN41" s="493" t="str">
        <f>IF(30=30,LOWER(CLEAN(SUBSTITUTE(SUBSTITUTE(SUBSTITUTE(SUBSTITUTE(AM41,CHAR(160)," ")," "," "),CHAR(10)," "),CHAR(13)," "))),"")</f>
        <v xml:space="preserve">4. dans un saladier, fouettez les œufs avec le sucre et le sucre vanillé </v>
      </c>
      <c r="AO41" s="493" t="str">
        <f>IF(30=30,SUBSTITUTE(SUBSTITUTE(SUBSTITUTE(SUBSTITUTE(SUBSTITUTE(SUBSTITUTE(SUBSTITUTE(SUBSTITUTE(SUBSTITUTE(SUBSTITUTE(SUBSTITUTE(SUBSTITUTE(AN41,"œ","oe"),"æ","ae"),"à","a"),"á","a"),"â","a"),"ä","a"),"ã","a"),"ç","c"),"è","e"),"é","e"),"ê","e"),"ë","e"),"")</f>
        <v xml:space="preserve">4. dans un saladier, fouettez les oeufs avec le sucre et le sucre vanille </v>
      </c>
      <c r="AP41" s="493" t="str">
        <f>IF(30=30,SUBSTITUTE(SUBSTITUTE(SUBSTITUTE(SUBSTITUTE(SUBSTITUTE(SUBSTITUTE(SUBSTITUTE(SUBSTITUTE(SUBSTITUTE(SUBSTITUTE(SUBSTITUTE(SUBSTITUTE(SUBSTITUTE(SUBSTITUTE(SUBSTITUTE(SUBSTITUTE(AO41,"ì","i"),"í","i"),"î","i"),"ï","i"),"ñ","n"),"ò","o"),"ó","o"),"ô","o"),"ö","o"),"õ","o"),"ù","u"),"ú","u"),"û","u"),"ü","u"),"ý","y"),"ÿ","y"),"")</f>
        <v xml:space="preserve">4. dans un saladier, fouettez les oeufs avec le sucre et le sucre vanille </v>
      </c>
      <c r="AQ41" s="493" t="str">
        <f>IF(30=30,SUBSTITUTE(SUBSTITUTE(SUBSTITUTE(SUBSTITUTE(SUBSTITUTE(SUBSTITUTE(SUBSTITUTE(SUBSTITUTE(SUBSTITUTE(SUBSTITUTE(SUBSTITUTE(SUBSTITUTE(SUBSTITUTE(SUBSTITUTE(AP41,"’"," "),"`"," "),"–"," "),"—"," "),"-"," "),"'"," "),"/"," "),"_"," "),","," "),"."," "),"("," "),")"," "),";"," "),":"," "),"")</f>
        <v xml:space="preserve">4  dans un saladier  fouettez les oeufs avec le sucre et le sucre vanille </v>
      </c>
      <c r="AR41" s="493" t="str">
        <f>IF(30=30,SUBSTITUTE(SUBSTITUTE(SUBSTITUTE(SUBSTITUTE(SUBSTITUTE(SUBSTITUTE(SUBSTITUTE(SUBSTITUTE(SUBSTITUTE(SUBSTITUTE(SUBSTITUTE(SUBSTITUTE(SUBSTITUTE(SUBSTITUTE(SUBSTITUTE(AQ41,"!"," "),"?"," "),"+"," "),"*"," "),"&amp;"," "),"["," "),"]"," "),"{"," "),"}"," "),"%"," "),"="," "),"\"," "),"|"," "),"&lt;"," "),"&gt;"," "),"")</f>
        <v xml:space="preserve">4  dans un saladier  fouettez les oeufs avec le sucre et le sucre vanille </v>
      </c>
      <c r="AS41" s="493" t="str">
        <f>IF(30=30," "&amp;TRIM(SUBSTITUTE(SUBSTITUTE(SUBSTITUTE(SUBSTITUTE(SUBSTITUTE(SUBSTITUTE(AR41,CHAR(34)," "),"  "," "),"  "," "),"  "," "),"  "," "),"  "," "))&amp;" ","")</f>
        <v xml:space="preserve"> 4 dans un saladier fouettez les oeufs avec le sucre et le sucre vanille </v>
      </c>
      <c r="AT41" s="493" cm="1">
        <f t="array" ref="AT41">IF(30=30,IF(AM41="","",SUMPRODUCT(--ISNUMBER(SEARCH(" "&amp;DJ13:DJ112&amp;" ",AV41)))),"")</f>
        <v>0</v>
      </c>
      <c r="AU41" s="493" cm="1">
        <f t="array" ref="AU41">IF(30=30,IF(AM41="","",SUMPRODUCT(--ISNUMBER(SEARCH(" "&amp;DJ113:DJ162&amp;" ",AV41)))),"")</f>
        <v>0</v>
      </c>
      <c r="AV41" s="493" t="str">
        <f>IF(AM41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41,"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4 dans un saladier fouettez les oeufs avec le sucre et le sucre vanille </v>
      </c>
      <c r="AW41" s="493" cm="1">
        <f t="array" ref="AW41">IF(AM41="","",SUMPRODUCT(--ISNUMBER(SEARCH(" "&amp;DJ195:DJ216&amp;" ",AV41)))+--ISNUMBER(SEARCH(" "&amp;DJ2465&amp;" ",AV41)))</f>
        <v>0</v>
      </c>
      <c r="AX41" s="493" t="str" cm="1">
        <f t="array" ref="AX41">IF(30=30,IF(AM41="","",IF(SUM(AT41:AU41)+SUMPRODUCT(--ISNUMBER(SEARCH(" "&amp;DJ2429:DJ2431&amp;" ",AV41)))&gt;0,"X",IF(AW41&gt;0,"?",""))),"")</f>
        <v/>
      </c>
      <c r="AY41" s="493" cm="1">
        <f t="array" ref="AY41">IF(30=30,IF(AM41="","",SUMPRODUCT(--ISNUMBER(SEARCH(" "&amp;DJ217:DJ316&amp;" ",AS41)))),"")</f>
        <v>0</v>
      </c>
      <c r="AZ41" s="493" cm="1">
        <f t="array" ref="AZ41">IF(30=30,IF(AM41="","",SUMPRODUCT(--ISNUMBER(SEARCH(" "&amp;DJ317:DJ351&amp;" ",AS41)))),"")</f>
        <v>0</v>
      </c>
      <c r="BA41" s="493" t="str">
        <f>IF(30=30,IF(AM41="","",IF((SUM(AY41:AZ41))-(0)&gt;0,"X",IF((0)-(0)&gt;0,"?",""))),"")</f>
        <v/>
      </c>
      <c r="BB41" s="493" cm="1">
        <f t="array" ref="BB41">IF(30=30,IF(AM41="","",SUMPRODUCT(--ISNUMBER(SEARCH(" "&amp;DJ352:DJ409&amp;" ",AS41)))),"")</f>
        <v>1</v>
      </c>
      <c r="BC41" s="493" cm="1">
        <f t="array" ref="BC41">IF(30=30,IF(AM41="","",SUMPRODUCT(--ISNUMBER(SEARCH(" "&amp;DJ410:DJ437&amp;" ",BD41)))+SUMPRODUCT(--ISNUMBER(SEARCH(" "&amp;DJ2451:DJ2464&amp;" ",BD41)))),"")</f>
        <v>0</v>
      </c>
      <c r="BD41" s="493" t="str">
        <f>IF(30=30,IF(AM41="","",SUBSTITUTE(SUBSTITUTE(SUBSTITUTE(SUBSTITUTE(SUBSTITUTE(SUBSTITUTE(SUBSTITUTE(SUBSTITUTE(SUBSTITUTE(SUBSTITUTE(SUBSTITUTE(SUBSTITUTE(SUBSTITUTE(SUBSTITUTE(AS41," "&amp;DJ2466&amp;" "," ")," "&amp;DJ444&amp;" "," ")," "&amp;DJ442&amp;" "," ")," "&amp;DJ2449&amp;" "," ")," "&amp;DJ2450&amp;" "," ")," "&amp;DJ439&amp;" "," ")," "&amp;DJ443&amp;" "," ")," "&amp;DJ445&amp;" "," ")," "&amp;DJ440&amp;" "," ")," "&amp;DJ438&amp;" "," ")," "&amp;DJ1378&amp;" "," ")," "&amp;DJ446&amp;" "," ")," "&amp;DJ1377&amp;" "," ")," "&amp;DJ441&amp;" "," ")),"")</f>
        <v xml:space="preserve"> 4 dans un saladier fouettez les oeufs avec le sucre et le sucre vanille </v>
      </c>
      <c r="BE41" s="493" t="str">
        <f>IF(30=30,IF(AM41="","",IF(BB41&gt;0,"X",IF(BC41&gt;0,"?",""))),"")</f>
        <v>X</v>
      </c>
      <c r="BF41" s="493" cm="1">
        <f t="array" ref="BF41">IF(30=30,IF(AM41="","",SUMPRODUCT(--ISNUMBER(SEARCH(" "&amp;DJ447:DJ546&amp;" ",BP41)))),"")</f>
        <v>0</v>
      </c>
      <c r="BG41" s="493" cm="1">
        <f t="array" ref="BG41">IF(30=30,IF(AM41="","",SUMPRODUCT(--ISNUMBER(SEARCH(" "&amp;DJ547:DJ646&amp;" ",BP41)))),"")</f>
        <v>0</v>
      </c>
      <c r="BH41" s="493" cm="1">
        <f t="array" ref="BH41">IF(30=30,IF(AM41="","",SUMPRODUCT(--ISNUMBER(SEARCH(" "&amp;DJ647:DJ746&amp;" ",BP41)))),"")</f>
        <v>0</v>
      </c>
      <c r="BI41" s="493" cm="1">
        <f t="array" ref="BI41">IF(30=30,IF(AM41="","",SUMPRODUCT(--ISNUMBER(SEARCH(" "&amp;DJ747:DJ846&amp;" ",BP41)))),"")</f>
        <v>0</v>
      </c>
      <c r="BJ41" s="493" cm="1">
        <f t="array" ref="BJ41">IF(30=30,IF(AM41="","",SUMPRODUCT(--ISNUMBER(SEARCH(" "&amp;DJ847:DJ946&amp;" ",BP41)))),"")</f>
        <v>0</v>
      </c>
      <c r="BK41" s="493" cm="1">
        <f t="array" ref="BK41">IF(30=30,IF(AM41="","",SUMPRODUCT(--ISNUMBER(SEARCH(" "&amp;DJ947:DJ1046&amp;" ",BP41)))),"")</f>
        <v>0</v>
      </c>
      <c r="BL41" s="493" cm="1">
        <f t="array" ref="BL41">IF(30=30,IF(AM41="","",SUMPRODUCT(--ISNUMBER(SEARCH(" "&amp;DJ1047:DJ1146&amp;" ",BP41)))),"")</f>
        <v>0</v>
      </c>
      <c r="BM41" s="493" cm="1">
        <f t="array" ref="BM41">IF(30=30,IF(AM41="","",SUMPRODUCT(--ISNUMBER(SEARCH(" "&amp;DJ1147:DJ1246&amp;" ",BP41)))),"")</f>
        <v>0</v>
      </c>
      <c r="BN41" s="493" cm="1">
        <f t="array" ref="BN41">IF(30=30,IF(AM41="","",SUMPRODUCT(--ISNUMBER(SEARCH(" "&amp;DJ1247:DJ1346&amp;" ",BP41)))),"")</f>
        <v>0</v>
      </c>
      <c r="BO41" s="493" cm="1">
        <f t="array" ref="BO41">IF(30=30,IF(AM41="","",SUMPRODUCT(--ISNUMBER(SEARCH(" "&amp;DJ1347:DJ1374&amp;" ",BP41)))),"")</f>
        <v>0</v>
      </c>
      <c r="BP41" s="493" t="str">
        <f>IF(30=30,IF(AM41="","",SUBSTITUTE(SUBSTITUTE(SUBSTITUTE(SUBSTITUTE(SUBSTITUTE(SUBSTITUTE(SUBSTITUTE(SUBSTITUTE(SUBSTITUTE(AS41," "&amp;DJ1376&amp;" "," ")," "&amp;DJ1375&amp;" "," ")," "&amp;DJ1381&amp;" "," ")," "&amp;DJ1382&amp;" "," ")," "&amp;DJ1378&amp;" "," ")," "&amp;DJ1380&amp;" "," ")," "&amp;DJ1377&amp;" "," ")," "&amp;DJ1379&amp;" "," ")," "&amp;DJ1383&amp;" "," ")),"")</f>
        <v xml:space="preserve"> 4 dans un saladier fouettez les oeufs avec le sucre et le sucre vanille </v>
      </c>
      <c r="BQ41" s="493" cm="1">
        <f t="array" ref="BQ41">IF(30=30,IF(AM41="","",SUMPRODUCT(--ISNUMBER(SEARCH(" "&amp;DJ1384:DJ1394&amp;" ",BP41)))),"")</f>
        <v>0</v>
      </c>
      <c r="BR41" s="493" t="str" cm="1">
        <f t="array" ref="BR41">IF(30=30,IF(AM41="","",IF(SUM(BF41:BO41)+SUMPRODUCT(--ISNUMBER(SEARCH(" "&amp;DJ2432:DJ2433&amp;" ",BP41)))&gt;0,"X",IF(BQ41&gt;0,"?",""))),"")</f>
        <v/>
      </c>
      <c r="BS41" s="493" cm="1">
        <f t="array" ref="BS41">IF(30=30,IF(AM41="","",SUMPRODUCT(--ISNUMBER(SEARCH(" "&amp;DJ1395:DJ1415&amp;" ",AS41)))),"")</f>
        <v>0</v>
      </c>
      <c r="BT41" s="493" t="str">
        <f>IF(30=30,IF(AM41="","",IF((BS41)-(0)&gt;0,"X",IF((0)-(0)&gt;0,"?",""))),"")</f>
        <v/>
      </c>
      <c r="BU41" s="493" cm="1">
        <f t="array" ref="BU41">IF(30=30,IF(AM41="","",SUMPRODUCT(--ISNUMBER(SEARCH(" "&amp;DJ1416:DJ1453&amp;" ",BV41)))),"")</f>
        <v>0</v>
      </c>
      <c r="BV41" s="493" t="str">
        <f>IF(30=30,IF(AM41="","",SUBSTITUTE(SUBSTITUTE(AS41," "&amp;DJ1454&amp;" "," ")," "&amp;DJ1455&amp;" "," ")),"")</f>
        <v xml:space="preserve"> 4 dans un saladier fouettez les oeufs avec le sucre et le sucre vanille </v>
      </c>
      <c r="BW41" s="493" cm="1">
        <f t="array" ref="BW41">IF(30=30,IF(AM41="","",SUMPRODUCT(--ISNUMBER(SEARCH(" "&amp;DJ1456:DJ1466&amp;" ",BV41)))),"")</f>
        <v>0</v>
      </c>
      <c r="BX41" s="493" t="str">
        <f>IF(30=30,IF(AM41="","",IF(BU41&gt;0,"X",IF(BW41&gt;0,"?",""))),"")</f>
        <v/>
      </c>
      <c r="BY41" s="493" cm="1">
        <f t="array" ref="BY41">IF(30=30,IF(AM41="","",SUMPRODUCT(--ISNUMBER(SEARCH(" "&amp;DJ1467:DJ1566&amp;" ",CB41)))),"")</f>
        <v>0</v>
      </c>
      <c r="BZ41" s="493" cm="1">
        <f t="array" ref="BZ41">IF(30=30,IF(AM41="","",SUMPRODUCT(--ISNUMBER(SEARCH(" "&amp;DJ1567:DJ1666&amp;" ",CB41)))),"")</f>
        <v>0</v>
      </c>
      <c r="CA41" s="493" cm="1">
        <f t="array" ref="CA41">IF(30=30,IF(AM41="","",SUMPRODUCT(--ISNUMBER(SEARCH(" "&amp;DJ1667:DJ1750&amp;" ",CB41)))),"")</f>
        <v>0</v>
      </c>
      <c r="CB41" s="493" t="str">
        <f>IF(30=30,IF(AM41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41,"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4 dans un saladier fouettez les oeufs avec le sucre et le sucre vanille </v>
      </c>
      <c r="CC41" s="493" cm="1">
        <f t="array" ref="CC41">IF(30=30,IF(AM41="","",SUMPRODUCT(--ISNUMBER(SEARCH(" "&amp;DJ1801:DJ1880&amp;" ",CD41)))+SUMPRODUCT(--ISNUMBER(SEARCH(" "&amp;DJ2451:DJ2464&amp;" ",CD41)))),"")</f>
        <v>0</v>
      </c>
      <c r="CD41" s="493" t="str">
        <f>IF(30=30,IF(AM41="","",SUBSTITUTE(SUBSTITUTE(SUBSTITUTE(SUBSTITUTE(SUBSTITUTE(SUBSTITUTE(SUBSTITUTE(SUBSTITUTE(SUBSTITUTE(SUBSTITUTE(SUBSTITUTE(SUBSTITUTE(SUBSTITUTE(CB41," "&amp;DJ1887&amp;" "," ")," "&amp;DJ1885&amp;" "," ")," "&amp;DJ2449&amp;" "," ")," "&amp;DJ2450&amp;" "," ")," "&amp;DJ1882&amp;" "," ")," "&amp;DJ1886&amp;" "," ")," "&amp;DJ1888&amp;" "," ")," "&amp;DJ1883&amp;" "," ")," "&amp;DJ1881&amp;" "," ")," "&amp;DJ1378&amp;" "," ")," "&amp;DJ1889&amp;" "," ")," "&amp;DJ1377&amp;" "," ")," "&amp;DJ1884&amp;" "," ")),"")</f>
        <v xml:space="preserve"> 4 dans un saladier fouettez les oeufs avec le sucre et le sucre vanille </v>
      </c>
      <c r="CE41" s="493" t="str" cm="1">
        <f t="array" ref="CE41">IF(30=30,IF(AM41="","",IF(SUM(BY41:CA41)+SUMPRODUCT(--ISNUMBER(SEARCH(" "&amp;DJ2434:DJ2435&amp;" ",CB41)))&gt;0,"X",IF(CC41&gt;0,"?",""))),"")</f>
        <v/>
      </c>
      <c r="CF41" s="493" cm="1">
        <f t="array" ref="CF41">IF(30=30,IF(AM41="","",SUMPRODUCT(--ISNUMBER(SEARCH(" "&amp;DJ1890:DJ1947&amp;" ",CG41)))),"")</f>
        <v>0</v>
      </c>
      <c r="CG41" s="493" t="str">
        <f>IF(30=30,IF(AM41="","",SUBSTITUTE(SUBSTITUTE(SUBSTITUTE(SUBSTITUTE(SUBSTITUTE(SUBSTITUTE(SUBSTITUTE(SUBSTITUTE(SUBSTITUTE(SUBSTITUTE(SUBSTITUTE(SUBSTITUTE(SUBSTITUTE(SUBSTITUTE(SUBSTITUTE(SUBSTITUTE(SUBSTITUTE(SUBSTITUTE(SUBSTITUTE(SUBSTITUTE(SUBSTITUTE(SUBSTITUTE(SUBSTITUTE(AS41,"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4 dans un saladier fouettez les oeufs avec le sucre et le sucre vanille </v>
      </c>
      <c r="CH41" s="493" cm="1">
        <f t="array" ref="CH41">IF(30=30,IF(AM41="","",SUMPRODUCT(--ISNUMBER(SEARCH(" "&amp;DJ1971:DJ1987&amp;" ",CG41)))),"")</f>
        <v>0</v>
      </c>
      <c r="CI41" s="493" t="str">
        <f>IF(30=30,IF(AM41="","",IF(CF41&gt;0,"X",IF(CH41&gt;0,"?",""))),"")</f>
        <v/>
      </c>
      <c r="CJ41" s="493" cm="1">
        <f t="array" ref="CJ41">IF(30=30,IF(AM41="","",SUMPRODUCT(--ISNUMBER(SEARCH(" "&amp;DJ1988:DJ2001&amp;" ",AS41)))),"")</f>
        <v>0</v>
      </c>
      <c r="CK41" s="493" cm="1">
        <f t="array" ref="CK41">IF(30=30,IF(AM41="","",SUMPRODUCT(--ISNUMBER(SEARCH(" "&amp;DJ2002:DJ2016&amp;" ",AS41)))),"")</f>
        <v>0</v>
      </c>
      <c r="CL41" s="493" t="str">
        <f>IF(30=30,IF(AM41="","",IF((CJ41)-(0)&gt;0,"X",IF((CK41)-(0)&gt;0,"?",""))),"")</f>
        <v/>
      </c>
      <c r="CM41" s="493" cm="1">
        <f t="array" ref="CM41">IF(30=30,IF(AM41="","",SUMPRODUCT(--ISNUMBER(SEARCH(" "&amp;DJ2017:DJ2034&amp;" ",AS41)))),"")</f>
        <v>0</v>
      </c>
      <c r="CN41" s="493" cm="1">
        <f t="array" ref="CN41">IF(30=30,IF(AM41="","",SUMPRODUCT(--ISNUMBER(SEARCH(" "&amp;DJ2035:DJ2049&amp;" ",AS41)))),"")</f>
        <v>0</v>
      </c>
      <c r="CO41" s="493" t="str">
        <f>IF(30=30,IF(AM41="","",IF((CM41)-(0)&gt;0,"X",IF((CN41)-(0)&gt;0,"?",""))),"")</f>
        <v/>
      </c>
      <c r="CP41" s="493" cm="1">
        <f t="array" ref="CP41">IF(30=30,IF(AM41="","",SUMPRODUCT(--ISNUMBER(SEARCH(" "&amp;DJ2050:DJ2068&amp;" ",AS41)))),"")</f>
        <v>0</v>
      </c>
      <c r="CQ41" s="493" cm="1">
        <f t="array" ref="CQ41">IF(30=30,IF(AM41="","",SUMPRODUCT(--ISNUMBER(SEARCH(" "&amp;DJ2069:DJ2083&amp;" ",AS41)))),"")</f>
        <v>0</v>
      </c>
      <c r="CR41" s="493" t="str">
        <f>IF(30=30,IF(AM41="","",IF((CP41)-(0)&gt;0,"X",IF((CQ41)-(0)&gt;0,"?",""))),"")</f>
        <v/>
      </c>
      <c r="CS41" s="493" cm="1">
        <f t="array" ref="CS41">IF(30=30,IF(AM41="","",SUMPRODUCT(--ISNUMBER(SEARCH(" "&amp;DJ2084:DJ2104&amp;" ",AS41)))),"")</f>
        <v>0</v>
      </c>
      <c r="CT41" s="493" cm="1">
        <f t="array" ref="CT41">IF(30=30,IF(AM41="","",SUMPRODUCT(--ISNUMBER(SEARCH(" "&amp;DJ2105:DJ2144&amp;" ",SUBSTITUTE(SUBSTITUTE(AS41," "&amp;DJ1378&amp;" "," ")," "&amp;DJ1377&amp;" "," "))))+--ISNUMBER(SEARCH("poiré",AN41))),"")</f>
        <v>0</v>
      </c>
      <c r="CU41" s="493" t="str">
        <f>IF(30=30,IF(AM41="","",IF(OR(CS41&gt;0,ISNUMBER(SEARCH(" vinaigre de vin ",AS41)),ISNUMBER(SEARCH(" vinaigre au vin ",AS41))),"X",IF(CT41&gt;0,"?",""))),"")</f>
        <v/>
      </c>
      <c r="CV41" s="493" cm="1">
        <f t="array" ref="CV41">IF(30=30,IF(AM41="","",SUMPRODUCT(--ISNUMBER(SEARCH(" "&amp;DJ2145:DJ2157&amp;" ",AS41)))),"")</f>
        <v>0</v>
      </c>
      <c r="CW41" s="493" cm="1">
        <f t="array" ref="CW41">IF(30=30,IF(AM41="","",SUMPRODUCT(--ISNUMBER(SEARCH(" "&amp;DJ2158:DJ2163&amp;" ",AS41)))),"")</f>
        <v>0</v>
      </c>
      <c r="CX41" s="493" t="str">
        <f>IF(30=30,IF(AM41="","",IF((CV41)-(0)&gt;0,"X",IF((CW41)-(0)&gt;0,"?",""))),"")</f>
        <v/>
      </c>
      <c r="CY41" s="493" cm="1">
        <f t="array" ref="CY41">IF(30=30,IF(AM41="","",SUMPRODUCT(--ISNUMBER(SEARCH(" "&amp;DJ2164:DJ2263&amp;" ",DB41)))),"")</f>
        <v>0</v>
      </c>
      <c r="CZ41" s="493" cm="1">
        <f t="array" ref="CZ41">IF(30=30,IF(AM41="","",SUMPRODUCT(--ISNUMBER(SEARCH(" "&amp;DJ2264:DJ2363&amp;" ",DB41)))),"")</f>
        <v>0</v>
      </c>
      <c r="DA41" s="493" cm="1">
        <f t="array" ref="DA41">IF(30=30,IF(AM41="","",SUMPRODUCT(--ISNUMBER(SEARCH(" "&amp;DJ2364:DJ2406&amp;" ",DB41)))),"")</f>
        <v>0</v>
      </c>
      <c r="DB41" s="493" t="str">
        <f>IF(30=30,IF(AM41="","",SUBSTITUTE(SUBSTITUTE(SUBSTITUTE(SUBSTITUTE(SUBSTITUTE(SUBSTITUTE(SUBSTITUTE(SUBSTITUTE(SUBSTITUTE(SUBSTITUTE(SUBSTITUTE(SUBSTITUTE(SUBSTITUTE(SUBSTITUTE(SUBSTITUTE(SUBSTITUTE(AS41," "&amp;DJ2412&amp;" "," ")," "&amp;DJ2411&amp;" "," ")," "&amp;DJ2410&amp;" "," ")," "&amp;DJ2417&amp;" "," ")," "&amp;DJ2409&amp;" "," ")," "&amp;DJ2421&amp;" "," ")," "&amp;DJ2408&amp;" "," ")," "&amp;DJ2413&amp;" "," ")," "&amp;DJ2416&amp;" "," ")," "&amp;DJ2407&amp;" "," ")," "&amp;DJ2415&amp;" "," ")," "&amp;DJ2422&amp;" "," ")," "&amp;DJ2419&amp;" "," ")," "&amp;DJ2414&amp;" "," ")," "&amp;DJ2418&amp;" "," ")," "&amp;DJ2420&amp;" "," ")),"")</f>
        <v xml:space="preserve"> 4 dans un saladier fouettez les oeufs avec le sucre et le sucre vanille </v>
      </c>
      <c r="DC41" s="493" cm="1">
        <f t="array" ref="DC41">IF(30=30,IF(AM41="","",SUMPRODUCT(--ISNUMBER(SEARCH(" "&amp;DJ2423:DJ2427&amp;" ",DB41)))),"")</f>
        <v>0</v>
      </c>
      <c r="DD41" s="493" t="str">
        <f>IF(30=30,IF(AM41="","",IF(SUM(CY41:DA41)&gt;0,"X",IF(DC41&gt;0,"?",""))),"")</f>
        <v/>
      </c>
      <c r="DE41" s="494"/>
      <c r="DF41" s="496" t="s">
        <v>1195</v>
      </c>
      <c r="DG41" s="496" t="s">
        <v>1083</v>
      </c>
      <c r="DH41" s="496" t="s">
        <v>689</v>
      </c>
      <c r="DI41" s="496" t="s">
        <v>187</v>
      </c>
      <c r="DJ41" s="496" t="s">
        <v>187</v>
      </c>
      <c r="DK41" s="496" t="s">
        <v>1085</v>
      </c>
      <c r="DL41" s="496" t="s">
        <v>1086</v>
      </c>
      <c r="DM41" s="496" t="s">
        <v>1087</v>
      </c>
      <c r="DN41" s="497" t="s">
        <v>1088</v>
      </c>
      <c r="DP41" s="543">
        <v>1</v>
      </c>
    </row>
    <row r="42" spans="2:120" ht="30" customHeight="1">
      <c r="B42" s="663" t="str">
        <f t="shared" si="0"/>
        <v>Cuisson : 30 min</v>
      </c>
      <c r="C42" s="663" t="str">
        <f t="shared" si="1"/>
        <v>Cuisson 30 min</v>
      </c>
      <c r="D42" s="663" t="str">
        <f>IF(UPPER(TRIM(N11))="X",C42,B42)</f>
        <v>Cuisson : 30 min</v>
      </c>
      <c r="E42" s="663" cm="1">
        <f t="array" ref="E42">IF(H41&lt;&gt;"",E41,IF(E41="","",IFERROR(MATCH(TRUE(),INDEX(INDEX(K:K,E41+1):K203&lt;&gt;"",0),0)+E41,"")))</f>
        <v>36</v>
      </c>
      <c r="F42" s="663" t="str" cm="1">
        <f t="array" ref="F42">IF(E42="","",IF(H41&lt;&gt;"",H41,INDEX(D:D,E42)))</f>
        <v>jusqu’à ce que le mélange blanchisse.</v>
      </c>
      <c r="G42" s="663" t="str">
        <f t="shared" si="2"/>
        <v>jusqu’à ce que le mélange blanchisse.</v>
      </c>
      <c r="H42" s="673" t="str">
        <f t="shared" si="3"/>
        <v/>
      </c>
      <c r="I42" s="680" t="str">
        <f>IF(AND(F42&lt;&gt;"",N10&gt;0,M42&gt;N10),"Mot &gt; limite","")</f>
        <v/>
      </c>
      <c r="J42" s="674">
        <f>IF(K42="","",COUNTIF(K18:K42,"&lt;&gt;"))</f>
        <v>25</v>
      </c>
      <c r="K42" s="675" t="s">
        <v>6487</v>
      </c>
      <c r="L42" s="674">
        <f t="shared" si="4"/>
        <v>16</v>
      </c>
      <c r="M42" s="643">
        <f>IF(OR(F42="",N10="",N10&lt;=0),"",IF(LEN(F42)&lt;=N10,LEN(F42),IFERROR(FIND("♦",SUBSTITUTE(LEFT(F42,N10)," ","♦",LEN(LEFT(F42,N10))-LEN(SUBSTITUTE(LEFT(F42,N10)," ","")))),FIND(" ",F42&amp;" ",N10+1)-1)))</f>
        <v>37</v>
      </c>
      <c r="N42" s="676">
        <f t="shared" si="5"/>
        <v>25</v>
      </c>
      <c r="O42" s="677" t="str">
        <f t="shared" si="6"/>
        <v>jusqu’à ce que le mélange blanchisse.</v>
      </c>
      <c r="P42" s="676">
        <f t="shared" si="7"/>
        <v>6</v>
      </c>
      <c r="Q42" s="676">
        <f t="shared" si="8"/>
        <v>37</v>
      </c>
      <c r="S42" s="509">
        <v>25</v>
      </c>
      <c r="T42" s="678" t="str">
        <f t="shared" si="10"/>
        <v>jusqu’à ce que le mélange blanchisse.</v>
      </c>
      <c r="U42" s="679" t="str">
        <f t="shared" si="9"/>
        <v>jusqu’à ce que le mélange blanchisse.</v>
      </c>
      <c r="V42" s="512" t="str">
        <f>IF(31=31,IF(T42="","",IF(W42="X",""&amp;"Céréales contenant du gluten","")&amp;IF(X42="X",IF(COUNTIF(W42:W42,"X")&gt;0,", ","")&amp;"Crustacés","")&amp;IF(Y42="X",IF(COUNTIF(W42:X42,"X")&gt;0,", ","")&amp;"Œufs","")&amp;IF(Z42="X",IF(COUNTIF(W42:Y42,"X")&gt;0,", ","")&amp;"Poissons","")&amp;IF(AA42="X",IF(COUNTIF(W42:Z42,"X")&gt;0,", ","")&amp;"Arachides","")&amp;IF(AB42="X",IF(COUNTIF(W42:AA42,"X")&gt;0,", ","")&amp;"Soja","")&amp;IF(AC42="X",IF(COUNTIF(W42:AB42,"X")&gt;0,", ","")&amp;"Lait","")&amp;IF(AD42="X",IF(COUNTIF(W42:AC42,"X")&gt;0,", ","")&amp;"Fruits à coque","")&amp;IF(AE42="X",IF(COUNTIF(W42:AD42,"X")&gt;0,", ","")&amp;"Céleri","")&amp;IF(AF42="X",IF(COUNTIF(W42:AE42,"X")&gt;0,", ","")&amp;"Moutarde","")&amp;IF(AG42="X",IF(COUNTIF(W42:AF42,"X")&gt;0,", ","")&amp;"Sésame","")&amp;IF(AH42="X",IF(COUNTIF(W42:AG42,"X")&gt;0,", ","")&amp;"Sulfites","")&amp;IF(AI42="X",IF(COUNTIF(W42:AH42,"X")&gt;0,", ","")&amp;"Lupin","")&amp;IF(AJ42="X",IF(COUNTIF(W42:AI42,"X")&gt;0,", ","")&amp;"Mollusques","")),"")</f>
        <v/>
      </c>
      <c r="W42" s="513" t="str">
        <f>IF(31=31,IF(T42="","",AX42),"")</f>
        <v/>
      </c>
      <c r="X42" s="513" t="str">
        <f>IF(31=31,IF(T42="","",BA42),"")</f>
        <v/>
      </c>
      <c r="Y42" s="513" t="str">
        <f>IF(31=31,IF(T42="","",BE42),"")</f>
        <v/>
      </c>
      <c r="Z42" s="513" t="str">
        <f>IF(31=31,IF(T42="","",IF(ISNUMBER(SEARCH(" colin ",AS42)),"X",BR42)),"")</f>
        <v/>
      </c>
      <c r="AA42" s="513" t="str">
        <f>IF(31=31,IF(T42="","",BT42),"")</f>
        <v/>
      </c>
      <c r="AB42" s="513" t="str">
        <f>IF(31=31,IF(T42="","",BX42),"")</f>
        <v/>
      </c>
      <c r="AC42" s="513" t="str">
        <f>IF(31=31,IF(T42="","",CE42),"")</f>
        <v/>
      </c>
      <c r="AD42" s="513" t="str">
        <f>IF(31=31,IF(T42="","",CI42),"")</f>
        <v/>
      </c>
      <c r="AE42" s="513" t="str">
        <f>IF(31=31,IF(T42="","",CL42),"")</f>
        <v/>
      </c>
      <c r="AF42" s="513" t="str">
        <f>IF(31=31,IF(T42="","",CO42),"")</f>
        <v/>
      </c>
      <c r="AG42" s="513" t="str">
        <f>IF(31=31,IF(T42="","",CR42),"")</f>
        <v/>
      </c>
      <c r="AH42" s="513" t="str">
        <f>IF(31=31,IF(T42="","",CU42),"")</f>
        <v/>
      </c>
      <c r="AI42" s="513" t="str">
        <f>IF(31=31,IF(T42="","",CX42),"")</f>
        <v/>
      </c>
      <c r="AJ42" s="513" t="str">
        <f>IF(31=31,IF(T42="","",DD42),"")</f>
        <v/>
      </c>
      <c r="AK42" s="514" t="str">
        <f>IF(31=31,IF(T42="","",IF(W42="?",""&amp;"Céréales contenant du gluten","")&amp;IF(X42="?",IF(COUNTIF(W42:W42,"~?")&gt;0,", ","")&amp;"Crustacés","")&amp;IF(Y42="?",IF(COUNTIF(W42:X42,"~?")&gt;0,", ","")&amp;"Œufs","")&amp;IF(Z42="?",IF(COUNTIF(W42:Y42,"~?")&gt;0,", ","")&amp;"Poissons","")&amp;IF(AA42="?",IF(COUNTIF(W42:Z42,"~?")&gt;0,", ","")&amp;"Arachides","")&amp;IF(AB42="?",IF(COUNTIF(W42:AA42,"~?")&gt;0,", ","")&amp;"Soja","")&amp;IF(AC42="?",IF(COUNTIF(W42:AB42,"~?")&gt;0,", ","")&amp;"Lait","")&amp;IF(AD42="?",IF(COUNTIF(W42:AC42,"~?")&gt;0,", ","")&amp;"Fruits à coque","")&amp;IF(AE42="?",IF(COUNTIF(W42:AD42,"~?")&gt;0,", ","")&amp;"Céleri","")&amp;IF(AF42="?",IF(COUNTIF(W42:AE42,"~?")&gt;0,", ","")&amp;"Moutarde","")&amp;IF(AG42="?",IF(COUNTIF(W42:AF42,"~?")&gt;0,", ","")&amp;"Sésame","")&amp;IF(AH42="?",IF(COUNTIF(W42:AG42,"~?")&gt;0,", ","")&amp;"Sulfites","")&amp;IF(AI42="?",IF(COUNTIF(W42:AH42,"~?")&gt;0,", ","")&amp;"Lupin","")&amp;IF(AJ42="?",IF(COUNTIF(W42:AI42,"~?")&gt;0,", ","")&amp;"Mollusques","")),"")</f>
        <v/>
      </c>
      <c r="AM42" s="493" t="str">
        <f>IF(31=31,IF(T42="","",T42),"")</f>
        <v>jusqu’à ce que le mélange blanchisse.</v>
      </c>
      <c r="AN42" s="493" t="str">
        <f>IF(31=31,LOWER(CLEAN(SUBSTITUTE(SUBSTITUTE(SUBSTITUTE(SUBSTITUTE(AM42,CHAR(160)," ")," "," "),CHAR(10)," "),CHAR(13)," "))),"")</f>
        <v>jusqu’à ce que le mélange blanchisse.</v>
      </c>
      <c r="AO42" s="493" t="str">
        <f>IF(31=31,SUBSTITUTE(SUBSTITUTE(SUBSTITUTE(SUBSTITUTE(SUBSTITUTE(SUBSTITUTE(SUBSTITUTE(SUBSTITUTE(SUBSTITUTE(SUBSTITUTE(SUBSTITUTE(SUBSTITUTE(AN42,"œ","oe"),"æ","ae"),"à","a"),"á","a"),"â","a"),"ä","a"),"ã","a"),"ç","c"),"è","e"),"é","e"),"ê","e"),"ë","e"),"")</f>
        <v>jusqu’a ce que le melange blanchisse.</v>
      </c>
      <c r="AP42" s="493" t="str">
        <f>IF(31=31,SUBSTITUTE(SUBSTITUTE(SUBSTITUTE(SUBSTITUTE(SUBSTITUTE(SUBSTITUTE(SUBSTITUTE(SUBSTITUTE(SUBSTITUTE(SUBSTITUTE(SUBSTITUTE(SUBSTITUTE(SUBSTITUTE(SUBSTITUTE(SUBSTITUTE(SUBSTITUTE(AO42,"ì","i"),"í","i"),"î","i"),"ï","i"),"ñ","n"),"ò","o"),"ó","o"),"ô","o"),"ö","o"),"õ","o"),"ù","u"),"ú","u"),"û","u"),"ü","u"),"ý","y"),"ÿ","y"),"")</f>
        <v>jusqu’a ce que le melange blanchisse.</v>
      </c>
      <c r="AQ42" s="493" t="str">
        <f>IF(31=31,SUBSTITUTE(SUBSTITUTE(SUBSTITUTE(SUBSTITUTE(SUBSTITUTE(SUBSTITUTE(SUBSTITUTE(SUBSTITUTE(SUBSTITUTE(SUBSTITUTE(SUBSTITUTE(SUBSTITUTE(SUBSTITUTE(SUBSTITUTE(AP42,"’"," "),"`"," "),"–"," "),"—"," "),"-"," "),"'"," "),"/"," "),"_"," "),","," "),"."," "),"("," "),")"," "),";"," "),":"," "),"")</f>
        <v xml:space="preserve">jusqu a ce que le melange blanchisse </v>
      </c>
      <c r="AR42" s="493" t="str">
        <f>IF(31=31,SUBSTITUTE(SUBSTITUTE(SUBSTITUTE(SUBSTITUTE(SUBSTITUTE(SUBSTITUTE(SUBSTITUTE(SUBSTITUTE(SUBSTITUTE(SUBSTITUTE(SUBSTITUTE(SUBSTITUTE(SUBSTITUTE(SUBSTITUTE(SUBSTITUTE(AQ42,"!"," "),"?"," "),"+"," "),"*"," "),"&amp;"," "),"["," "),"]"," "),"{"," "),"}"," "),"%"," "),"="," "),"\"," "),"|"," "),"&lt;"," "),"&gt;"," "),"")</f>
        <v xml:space="preserve">jusqu a ce que le melange blanchisse </v>
      </c>
      <c r="AS42" s="493" t="str">
        <f>IF(31=31," "&amp;TRIM(SUBSTITUTE(SUBSTITUTE(SUBSTITUTE(SUBSTITUTE(SUBSTITUTE(SUBSTITUTE(AR42,CHAR(34)," "),"  "," "),"  "," "),"  "," "),"  "," "),"  "," "))&amp;" ","")</f>
        <v xml:space="preserve"> jusqu a ce que le melange blanchisse </v>
      </c>
      <c r="AT42" s="493" cm="1">
        <f t="array" ref="AT42">IF(31=31,IF(AM42="","",SUMPRODUCT(--ISNUMBER(SEARCH(" "&amp;DJ13:DJ112&amp;" ",AV42)))),"")</f>
        <v>0</v>
      </c>
      <c r="AU42" s="493" cm="1">
        <f t="array" ref="AU42">IF(31=31,IF(AM42="","",SUMPRODUCT(--ISNUMBER(SEARCH(" "&amp;DJ113:DJ162&amp;" ",AV42)))),"")</f>
        <v>0</v>
      </c>
      <c r="AV42" s="493" t="str">
        <f>IF(AM42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42,"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jusqu a ce que le melange blanchisse </v>
      </c>
      <c r="AW42" s="493" cm="1">
        <f t="array" ref="AW42">IF(AM42="","",SUMPRODUCT(--ISNUMBER(SEARCH(" "&amp;DJ195:DJ216&amp;" ",AV42)))+--ISNUMBER(SEARCH(" "&amp;DJ2465&amp;" ",AV42)))</f>
        <v>0</v>
      </c>
      <c r="AX42" s="493" t="str" cm="1">
        <f t="array" ref="AX42">IF(31=31,IF(AM42="","",IF(SUM(AT42:AU42)+SUMPRODUCT(--ISNUMBER(SEARCH(" "&amp;DJ2429:DJ2431&amp;" ",AV42)))&gt;0,"X",IF(AW42&gt;0,"?",""))),"")</f>
        <v/>
      </c>
      <c r="AY42" s="493" cm="1">
        <f t="array" ref="AY42">IF(31=31,IF(AM42="","",SUMPRODUCT(--ISNUMBER(SEARCH(" "&amp;DJ217:DJ316&amp;" ",AS42)))),"")</f>
        <v>0</v>
      </c>
      <c r="AZ42" s="493" cm="1">
        <f t="array" ref="AZ42">IF(31=31,IF(AM42="","",SUMPRODUCT(--ISNUMBER(SEARCH(" "&amp;DJ317:DJ351&amp;" ",AS42)))),"")</f>
        <v>0</v>
      </c>
      <c r="BA42" s="493" t="str">
        <f>IF(31=31,IF(AM42="","",IF((SUM(AY42:AZ42))-(0)&gt;0,"X",IF((0)-(0)&gt;0,"?",""))),"")</f>
        <v/>
      </c>
      <c r="BB42" s="493" cm="1">
        <f t="array" ref="BB42">IF(31=31,IF(AM42="","",SUMPRODUCT(--ISNUMBER(SEARCH(" "&amp;DJ352:DJ409&amp;" ",AS42)))),"")</f>
        <v>0</v>
      </c>
      <c r="BC42" s="493" cm="1">
        <f t="array" ref="BC42">IF(31=31,IF(AM42="","",SUMPRODUCT(--ISNUMBER(SEARCH(" "&amp;DJ410:DJ437&amp;" ",BD42)))+SUMPRODUCT(--ISNUMBER(SEARCH(" "&amp;DJ2451:DJ2464&amp;" ",BD42)))),"")</f>
        <v>0</v>
      </c>
      <c r="BD42" s="493" t="str">
        <f>IF(31=31,IF(AM42="","",SUBSTITUTE(SUBSTITUTE(SUBSTITUTE(SUBSTITUTE(SUBSTITUTE(SUBSTITUTE(SUBSTITUTE(SUBSTITUTE(SUBSTITUTE(SUBSTITUTE(SUBSTITUTE(SUBSTITUTE(SUBSTITUTE(SUBSTITUTE(AS42," "&amp;DJ2466&amp;" "," ")," "&amp;DJ444&amp;" "," ")," "&amp;DJ442&amp;" "," ")," "&amp;DJ2449&amp;" "," ")," "&amp;DJ2450&amp;" "," ")," "&amp;DJ439&amp;" "," ")," "&amp;DJ443&amp;" "," ")," "&amp;DJ445&amp;" "," ")," "&amp;DJ440&amp;" "," ")," "&amp;DJ438&amp;" "," ")," "&amp;DJ1378&amp;" "," ")," "&amp;DJ446&amp;" "," ")," "&amp;DJ1377&amp;" "," ")," "&amp;DJ441&amp;" "," ")),"")</f>
        <v xml:space="preserve"> jusqu a ce que le melange blanchisse </v>
      </c>
      <c r="BE42" s="493" t="str">
        <f>IF(31=31,IF(AM42="","",IF(BB42&gt;0,"X",IF(BC42&gt;0,"?",""))),"")</f>
        <v/>
      </c>
      <c r="BF42" s="493" cm="1">
        <f t="array" ref="BF42">IF(31=31,IF(AM42="","",SUMPRODUCT(--ISNUMBER(SEARCH(" "&amp;DJ447:DJ546&amp;" ",BP42)))),"")</f>
        <v>0</v>
      </c>
      <c r="BG42" s="493" cm="1">
        <f t="array" ref="BG42">IF(31=31,IF(AM42="","",SUMPRODUCT(--ISNUMBER(SEARCH(" "&amp;DJ547:DJ646&amp;" ",BP42)))),"")</f>
        <v>0</v>
      </c>
      <c r="BH42" s="493" cm="1">
        <f t="array" ref="BH42">IF(31=31,IF(AM42="","",SUMPRODUCT(--ISNUMBER(SEARCH(" "&amp;DJ647:DJ746&amp;" ",BP42)))),"")</f>
        <v>0</v>
      </c>
      <c r="BI42" s="493" cm="1">
        <f t="array" ref="BI42">IF(31=31,IF(AM42="","",SUMPRODUCT(--ISNUMBER(SEARCH(" "&amp;DJ747:DJ846&amp;" ",BP42)))),"")</f>
        <v>0</v>
      </c>
      <c r="BJ42" s="493" cm="1">
        <f t="array" ref="BJ42">IF(31=31,IF(AM42="","",SUMPRODUCT(--ISNUMBER(SEARCH(" "&amp;DJ847:DJ946&amp;" ",BP42)))),"")</f>
        <v>0</v>
      </c>
      <c r="BK42" s="493" cm="1">
        <f t="array" ref="BK42">IF(31=31,IF(AM42="","",SUMPRODUCT(--ISNUMBER(SEARCH(" "&amp;DJ947:DJ1046&amp;" ",BP42)))),"")</f>
        <v>0</v>
      </c>
      <c r="BL42" s="493" cm="1">
        <f t="array" ref="BL42">IF(31=31,IF(AM42="","",SUMPRODUCT(--ISNUMBER(SEARCH(" "&amp;DJ1047:DJ1146&amp;" ",BP42)))),"")</f>
        <v>0</v>
      </c>
      <c r="BM42" s="493" cm="1">
        <f t="array" ref="BM42">IF(31=31,IF(AM42="","",SUMPRODUCT(--ISNUMBER(SEARCH(" "&amp;DJ1147:DJ1246&amp;" ",BP42)))),"")</f>
        <v>0</v>
      </c>
      <c r="BN42" s="493" cm="1">
        <f t="array" ref="BN42">IF(31=31,IF(AM42="","",SUMPRODUCT(--ISNUMBER(SEARCH(" "&amp;DJ1247:DJ1346&amp;" ",BP42)))),"")</f>
        <v>0</v>
      </c>
      <c r="BO42" s="493" cm="1">
        <f t="array" ref="BO42">IF(31=31,IF(AM42="","",SUMPRODUCT(--ISNUMBER(SEARCH(" "&amp;DJ1347:DJ1374&amp;" ",BP42)))),"")</f>
        <v>0</v>
      </c>
      <c r="BP42" s="493" t="str">
        <f>IF(31=31,IF(AM42="","",SUBSTITUTE(SUBSTITUTE(SUBSTITUTE(SUBSTITUTE(SUBSTITUTE(SUBSTITUTE(SUBSTITUTE(SUBSTITUTE(SUBSTITUTE(AS42," "&amp;DJ1376&amp;" "," ")," "&amp;DJ1375&amp;" "," ")," "&amp;DJ1381&amp;" "," ")," "&amp;DJ1382&amp;" "," ")," "&amp;DJ1378&amp;" "," ")," "&amp;DJ1380&amp;" "," ")," "&amp;DJ1377&amp;" "," ")," "&amp;DJ1379&amp;" "," ")," "&amp;DJ1383&amp;" "," ")),"")</f>
        <v xml:space="preserve"> jusqu a ce que le melange blanchisse </v>
      </c>
      <c r="BQ42" s="493" cm="1">
        <f t="array" ref="BQ42">IF(31=31,IF(AM42="","",SUMPRODUCT(--ISNUMBER(SEARCH(" "&amp;DJ1384:DJ1394&amp;" ",BP42)))),"")</f>
        <v>0</v>
      </c>
      <c r="BR42" s="493" t="str" cm="1">
        <f t="array" ref="BR42">IF(31=31,IF(AM42="","",IF(SUM(BF42:BO42)+SUMPRODUCT(--ISNUMBER(SEARCH(" "&amp;DJ2432:DJ2433&amp;" ",BP42)))&gt;0,"X",IF(BQ42&gt;0,"?",""))),"")</f>
        <v/>
      </c>
      <c r="BS42" s="493" cm="1">
        <f t="array" ref="BS42">IF(31=31,IF(AM42="","",SUMPRODUCT(--ISNUMBER(SEARCH(" "&amp;DJ1395:DJ1415&amp;" ",AS42)))),"")</f>
        <v>0</v>
      </c>
      <c r="BT42" s="493" t="str">
        <f>IF(31=31,IF(AM42="","",IF((BS42)-(0)&gt;0,"X",IF((0)-(0)&gt;0,"?",""))),"")</f>
        <v/>
      </c>
      <c r="BU42" s="493" cm="1">
        <f t="array" ref="BU42">IF(31=31,IF(AM42="","",SUMPRODUCT(--ISNUMBER(SEARCH(" "&amp;DJ1416:DJ1453&amp;" ",BV42)))),"")</f>
        <v>0</v>
      </c>
      <c r="BV42" s="493" t="str">
        <f>IF(31=31,IF(AM42="","",SUBSTITUTE(SUBSTITUTE(AS42," "&amp;DJ1454&amp;" "," ")," "&amp;DJ1455&amp;" "," ")),"")</f>
        <v xml:space="preserve"> jusqu a ce que le melange blanchisse </v>
      </c>
      <c r="BW42" s="493" cm="1">
        <f t="array" ref="BW42">IF(31=31,IF(AM42="","",SUMPRODUCT(--ISNUMBER(SEARCH(" "&amp;DJ1456:DJ1466&amp;" ",BV42)))),"")</f>
        <v>0</v>
      </c>
      <c r="BX42" s="493" t="str">
        <f>IF(31=31,IF(AM42="","",IF(BU42&gt;0,"X",IF(BW42&gt;0,"?",""))),"")</f>
        <v/>
      </c>
      <c r="BY42" s="493" cm="1">
        <f t="array" ref="BY42">IF(31=31,IF(AM42="","",SUMPRODUCT(--ISNUMBER(SEARCH(" "&amp;DJ1467:DJ1566&amp;" ",CB42)))),"")</f>
        <v>0</v>
      </c>
      <c r="BZ42" s="493" cm="1">
        <f t="array" ref="BZ42">IF(31=31,IF(AM42="","",SUMPRODUCT(--ISNUMBER(SEARCH(" "&amp;DJ1567:DJ1666&amp;" ",CB42)))),"")</f>
        <v>0</v>
      </c>
      <c r="CA42" s="493" cm="1">
        <f t="array" ref="CA42">IF(31=31,IF(AM42="","",SUMPRODUCT(--ISNUMBER(SEARCH(" "&amp;DJ1667:DJ1750&amp;" ",CB42)))),"")</f>
        <v>0</v>
      </c>
      <c r="CB42" s="493" t="str">
        <f>IF(31=31,IF(AM42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42,"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jusqu a ce que le melange blanchisse </v>
      </c>
      <c r="CC42" s="493" cm="1">
        <f t="array" ref="CC42">IF(31=31,IF(AM42="","",SUMPRODUCT(--ISNUMBER(SEARCH(" "&amp;DJ1801:DJ1880&amp;" ",CD42)))+SUMPRODUCT(--ISNUMBER(SEARCH(" "&amp;DJ2451:DJ2464&amp;" ",CD42)))),"")</f>
        <v>0</v>
      </c>
      <c r="CD42" s="493" t="str">
        <f>IF(31=31,IF(AM42="","",SUBSTITUTE(SUBSTITUTE(SUBSTITUTE(SUBSTITUTE(SUBSTITUTE(SUBSTITUTE(SUBSTITUTE(SUBSTITUTE(SUBSTITUTE(SUBSTITUTE(SUBSTITUTE(SUBSTITUTE(SUBSTITUTE(CB42," "&amp;DJ1887&amp;" "," ")," "&amp;DJ1885&amp;" "," ")," "&amp;DJ2449&amp;" "," ")," "&amp;DJ2450&amp;" "," ")," "&amp;DJ1882&amp;" "," ")," "&amp;DJ1886&amp;" "," ")," "&amp;DJ1888&amp;" "," ")," "&amp;DJ1883&amp;" "," ")," "&amp;DJ1881&amp;" "," ")," "&amp;DJ1378&amp;" "," ")," "&amp;DJ1889&amp;" "," ")," "&amp;DJ1377&amp;" "," ")," "&amp;DJ1884&amp;" "," ")),"")</f>
        <v xml:space="preserve"> jusqu a ce que le melange blanchisse </v>
      </c>
      <c r="CE42" s="493" t="str" cm="1">
        <f t="array" ref="CE42">IF(31=31,IF(AM42="","",IF(SUM(BY42:CA42)+SUMPRODUCT(--ISNUMBER(SEARCH(" "&amp;DJ2434:DJ2435&amp;" ",CB42)))&gt;0,"X",IF(CC42&gt;0,"?",""))),"")</f>
        <v/>
      </c>
      <c r="CF42" s="493" cm="1">
        <f t="array" ref="CF42">IF(31=31,IF(AM42="","",SUMPRODUCT(--ISNUMBER(SEARCH(" "&amp;DJ1890:DJ1947&amp;" ",CG42)))),"")</f>
        <v>0</v>
      </c>
      <c r="CG42" s="493" t="str">
        <f>IF(31=31,IF(AM42="","",SUBSTITUTE(SUBSTITUTE(SUBSTITUTE(SUBSTITUTE(SUBSTITUTE(SUBSTITUTE(SUBSTITUTE(SUBSTITUTE(SUBSTITUTE(SUBSTITUTE(SUBSTITUTE(SUBSTITUTE(SUBSTITUTE(SUBSTITUTE(SUBSTITUTE(SUBSTITUTE(SUBSTITUTE(SUBSTITUTE(SUBSTITUTE(SUBSTITUTE(SUBSTITUTE(SUBSTITUTE(SUBSTITUTE(AS42,"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jusqu a ce que le melange blanchisse </v>
      </c>
      <c r="CH42" s="493" cm="1">
        <f t="array" ref="CH42">IF(31=31,IF(AM42="","",SUMPRODUCT(--ISNUMBER(SEARCH(" "&amp;DJ1971:DJ1987&amp;" ",CG42)))),"")</f>
        <v>0</v>
      </c>
      <c r="CI42" s="493" t="str">
        <f>IF(31=31,IF(AM42="","",IF(CF42&gt;0,"X",IF(CH42&gt;0,"?",""))),"")</f>
        <v/>
      </c>
      <c r="CJ42" s="493" cm="1">
        <f t="array" ref="CJ42">IF(31=31,IF(AM42="","",SUMPRODUCT(--ISNUMBER(SEARCH(" "&amp;DJ1988:DJ2001&amp;" ",AS42)))),"")</f>
        <v>0</v>
      </c>
      <c r="CK42" s="493" cm="1">
        <f t="array" ref="CK42">IF(31=31,IF(AM42="","",SUMPRODUCT(--ISNUMBER(SEARCH(" "&amp;DJ2002:DJ2016&amp;" ",AS42)))),"")</f>
        <v>0</v>
      </c>
      <c r="CL42" s="493" t="str">
        <f>IF(31=31,IF(AM42="","",IF((CJ42)-(0)&gt;0,"X",IF((CK42)-(0)&gt;0,"?",""))),"")</f>
        <v/>
      </c>
      <c r="CM42" s="493" cm="1">
        <f t="array" ref="CM42">IF(31=31,IF(AM42="","",SUMPRODUCT(--ISNUMBER(SEARCH(" "&amp;DJ2017:DJ2034&amp;" ",AS42)))),"")</f>
        <v>0</v>
      </c>
      <c r="CN42" s="493" cm="1">
        <f t="array" ref="CN42">IF(31=31,IF(AM42="","",SUMPRODUCT(--ISNUMBER(SEARCH(" "&amp;DJ2035:DJ2049&amp;" ",AS42)))),"")</f>
        <v>0</v>
      </c>
      <c r="CO42" s="493" t="str">
        <f>IF(31=31,IF(AM42="","",IF((CM42)-(0)&gt;0,"X",IF((CN42)-(0)&gt;0,"?",""))),"")</f>
        <v/>
      </c>
      <c r="CP42" s="493" cm="1">
        <f t="array" ref="CP42">IF(31=31,IF(AM42="","",SUMPRODUCT(--ISNUMBER(SEARCH(" "&amp;DJ2050:DJ2068&amp;" ",AS42)))),"")</f>
        <v>0</v>
      </c>
      <c r="CQ42" s="493" cm="1">
        <f t="array" ref="CQ42">IF(31=31,IF(AM42="","",SUMPRODUCT(--ISNUMBER(SEARCH(" "&amp;DJ2069:DJ2083&amp;" ",AS42)))),"")</f>
        <v>0</v>
      </c>
      <c r="CR42" s="493" t="str">
        <f>IF(31=31,IF(AM42="","",IF((CP42)-(0)&gt;0,"X",IF((CQ42)-(0)&gt;0,"?",""))),"")</f>
        <v/>
      </c>
      <c r="CS42" s="493" cm="1">
        <f t="array" ref="CS42">IF(31=31,IF(AM42="","",SUMPRODUCT(--ISNUMBER(SEARCH(" "&amp;DJ2084:DJ2104&amp;" ",AS42)))),"")</f>
        <v>0</v>
      </c>
      <c r="CT42" s="493" cm="1">
        <f t="array" ref="CT42">IF(31=31,IF(AM42="","",SUMPRODUCT(--ISNUMBER(SEARCH(" "&amp;DJ2105:DJ2144&amp;" ",SUBSTITUTE(SUBSTITUTE(AS42," "&amp;DJ1378&amp;" "," ")," "&amp;DJ1377&amp;" "," "))))+--ISNUMBER(SEARCH("poiré",AN42))),"")</f>
        <v>0</v>
      </c>
      <c r="CU42" s="493" t="str">
        <f>IF(31=31,IF(AM42="","",IF(OR(CS42&gt;0,ISNUMBER(SEARCH(" vinaigre de vin ",AS42)),ISNUMBER(SEARCH(" vinaigre au vin ",AS42))),"X",IF(CT42&gt;0,"?",""))),"")</f>
        <v/>
      </c>
      <c r="CV42" s="493" cm="1">
        <f t="array" ref="CV42">IF(31=31,IF(AM42="","",SUMPRODUCT(--ISNUMBER(SEARCH(" "&amp;DJ2145:DJ2157&amp;" ",AS42)))),"")</f>
        <v>0</v>
      </c>
      <c r="CW42" s="493" cm="1">
        <f t="array" ref="CW42">IF(31=31,IF(AM42="","",SUMPRODUCT(--ISNUMBER(SEARCH(" "&amp;DJ2158:DJ2163&amp;" ",AS42)))),"")</f>
        <v>0</v>
      </c>
      <c r="CX42" s="493" t="str">
        <f>IF(31=31,IF(AM42="","",IF((CV42)-(0)&gt;0,"X",IF((CW42)-(0)&gt;0,"?",""))),"")</f>
        <v/>
      </c>
      <c r="CY42" s="493" cm="1">
        <f t="array" ref="CY42">IF(31=31,IF(AM42="","",SUMPRODUCT(--ISNUMBER(SEARCH(" "&amp;DJ2164:DJ2263&amp;" ",DB42)))),"")</f>
        <v>0</v>
      </c>
      <c r="CZ42" s="493" cm="1">
        <f t="array" ref="CZ42">IF(31=31,IF(AM42="","",SUMPRODUCT(--ISNUMBER(SEARCH(" "&amp;DJ2264:DJ2363&amp;" ",DB42)))),"")</f>
        <v>0</v>
      </c>
      <c r="DA42" s="493" cm="1">
        <f t="array" ref="DA42">IF(31=31,IF(AM42="","",SUMPRODUCT(--ISNUMBER(SEARCH(" "&amp;DJ2364:DJ2406&amp;" ",DB42)))),"")</f>
        <v>0</v>
      </c>
      <c r="DB42" s="493" t="str">
        <f>IF(31=31,IF(AM42="","",SUBSTITUTE(SUBSTITUTE(SUBSTITUTE(SUBSTITUTE(SUBSTITUTE(SUBSTITUTE(SUBSTITUTE(SUBSTITUTE(SUBSTITUTE(SUBSTITUTE(SUBSTITUTE(SUBSTITUTE(SUBSTITUTE(SUBSTITUTE(SUBSTITUTE(SUBSTITUTE(AS42," "&amp;DJ2412&amp;" "," ")," "&amp;DJ2411&amp;" "," ")," "&amp;DJ2410&amp;" "," ")," "&amp;DJ2417&amp;" "," ")," "&amp;DJ2409&amp;" "," ")," "&amp;DJ2421&amp;" "," ")," "&amp;DJ2408&amp;" "," ")," "&amp;DJ2413&amp;" "," ")," "&amp;DJ2416&amp;" "," ")," "&amp;DJ2407&amp;" "," ")," "&amp;DJ2415&amp;" "," ")," "&amp;DJ2422&amp;" "," ")," "&amp;DJ2419&amp;" "," ")," "&amp;DJ2414&amp;" "," ")," "&amp;DJ2418&amp;" "," ")," "&amp;DJ2420&amp;" "," ")),"")</f>
        <v xml:space="preserve"> jusqu a ce que le melange blanchisse </v>
      </c>
      <c r="DC42" s="493" cm="1">
        <f t="array" ref="DC42">IF(31=31,IF(AM42="","",SUMPRODUCT(--ISNUMBER(SEARCH(" "&amp;DJ2423:DJ2427&amp;" ",DB42)))),"")</f>
        <v>0</v>
      </c>
      <c r="DD42" s="493" t="str">
        <f>IF(31=31,IF(AM42="","",IF(SUM(CY42:DA42)&gt;0,"X",IF(DC42&gt;0,"?",""))),"")</f>
        <v/>
      </c>
      <c r="DE42" s="494"/>
      <c r="DF42" s="496" t="s">
        <v>1196</v>
      </c>
      <c r="DG42" s="496" t="s">
        <v>1083</v>
      </c>
      <c r="DH42" s="496" t="s">
        <v>689</v>
      </c>
      <c r="DI42" s="496" t="s">
        <v>1197</v>
      </c>
      <c r="DJ42" s="496" t="s">
        <v>1197</v>
      </c>
      <c r="DK42" s="496" t="s">
        <v>1085</v>
      </c>
      <c r="DL42" s="496" t="s">
        <v>1086</v>
      </c>
      <c r="DM42" s="496" t="s">
        <v>1087</v>
      </c>
      <c r="DN42" s="497" t="s">
        <v>1088</v>
      </c>
      <c r="DP42" s="543">
        <v>1</v>
      </c>
    </row>
    <row r="43" spans="2:120" ht="30" customHeight="1">
      <c r="B43" s="663" t="str">
        <f t="shared" si="0"/>
        <v>Portions : 4</v>
      </c>
      <c r="C43" s="663" t="str">
        <f t="shared" si="1"/>
        <v>Portions 4</v>
      </c>
      <c r="D43" s="663" t="str">
        <f>IF(UPPER(TRIM(N11))="X",C43,B43)</f>
        <v>Portions : 4</v>
      </c>
      <c r="E43" s="663" cm="1">
        <f t="array" ref="E43">IF(H42&lt;&gt;"",E42,IF(E42="","",IFERROR(MATCH(TRUE(),INDEX(INDEX(K:K,E42+1):K203&lt;&gt;"",0),0)+E42,"")))</f>
        <v>37</v>
      </c>
      <c r="F43" s="663" t="str" cm="1">
        <f t="array" ref="F43">IF(E43="","",IF(H42&lt;&gt;"",H42,INDEX(D:D,E43)))</f>
        <v>5. Incorporez la farine, la poudre d’amandes puis la crème liquide, en mélangeant bien entre chaque ajout.</v>
      </c>
      <c r="G43" s="663" t="str">
        <f t="shared" si="2"/>
        <v xml:space="preserve">5. Incorporez la farine, la poudre d’amandes puis la crème liquide, en </v>
      </c>
      <c r="H43" s="673" t="str">
        <f t="shared" si="3"/>
        <v>mélangeant bien entre chaque ajout.</v>
      </c>
      <c r="I43" s="680" t="str">
        <f>IF(AND(F43&lt;&gt;"",N10&gt;0,M43&gt;N10),"Mot &gt; limite","")</f>
        <v/>
      </c>
      <c r="J43" s="674">
        <f>IF(K43="","",COUNTIF(K18:K43,"&lt;&gt;"))</f>
        <v>26</v>
      </c>
      <c r="K43" s="675" t="s">
        <v>6488</v>
      </c>
      <c r="L43" s="674">
        <f t="shared" si="4"/>
        <v>12</v>
      </c>
      <c r="M43" s="643">
        <f>IF(OR(F43="",N10="",N10&lt;=0),"",IF(LEN(F43)&lt;=N10,LEN(F43),IFERROR(FIND("♦",SUBSTITUTE(LEFT(F43,N10)," ","♦",LEN(LEFT(F43,N10))-LEN(SUBSTITUTE(LEFT(F43,N10)," ","")))),FIND(" ",F43&amp;" ",N10+1)-1)))</f>
        <v>71</v>
      </c>
      <c r="N43" s="676">
        <f t="shared" si="5"/>
        <v>26</v>
      </c>
      <c r="O43" s="677" t="str">
        <f t="shared" si="6"/>
        <v xml:space="preserve">5. Incorporez la farine, la poudre d’amandes puis la crème liquide, en </v>
      </c>
      <c r="P43" s="676">
        <f t="shared" si="7"/>
        <v>12</v>
      </c>
      <c r="Q43" s="676">
        <f t="shared" si="8"/>
        <v>71</v>
      </c>
      <c r="S43" s="509">
        <v>26</v>
      </c>
      <c r="T43" s="678" t="str">
        <f t="shared" si="10"/>
        <v xml:space="preserve">5. Incorporez la farine, la poudre d’amandes puis la crème liquide, en </v>
      </c>
      <c r="U43" s="679" t="str">
        <f t="shared" si="9"/>
        <v>5. Incorporez la farine, la poudre d’amandes puis la crème liquide, en *</v>
      </c>
      <c r="V43" s="512" t="str">
        <f>IF(32=32,IF(T43="","",IF(W43="X",""&amp;"Céréales contenant du gluten","")&amp;IF(X43="X",IF(COUNTIF(W43:W43,"X")&gt;0,", ","")&amp;"Crustacés","")&amp;IF(Y43="X",IF(COUNTIF(W43:X43,"X")&gt;0,", ","")&amp;"Œufs","")&amp;IF(Z43="X",IF(COUNTIF(W43:Y43,"X")&gt;0,", ","")&amp;"Poissons","")&amp;IF(AA43="X",IF(COUNTIF(W43:Z43,"X")&gt;0,", ","")&amp;"Arachides","")&amp;IF(AB43="X",IF(COUNTIF(W43:AA43,"X")&gt;0,", ","")&amp;"Soja","")&amp;IF(AC43="X",IF(COUNTIF(W43:AB43,"X")&gt;0,", ","")&amp;"Lait","")&amp;IF(AD43="X",IF(COUNTIF(W43:AC43,"X")&gt;0,", ","")&amp;"Fruits à coque","")&amp;IF(AE43="X",IF(COUNTIF(W43:AD43,"X")&gt;0,", ","")&amp;"Céleri","")&amp;IF(AF43="X",IF(COUNTIF(W43:AE43,"X")&gt;0,", ","")&amp;"Moutarde","")&amp;IF(AG43="X",IF(COUNTIF(W43:AF43,"X")&gt;0,", ","")&amp;"Sésame","")&amp;IF(AH43="X",IF(COUNTIF(W43:AG43,"X")&gt;0,", ","")&amp;"Sulfites","")&amp;IF(AI43="X",IF(COUNTIF(W43:AH43,"X")&gt;0,", ","")&amp;"Lupin","")&amp;IF(AJ43="X",IF(COUNTIF(W43:AI43,"X")&gt;0,", ","")&amp;"Mollusques","")),"")</f>
        <v>Lait, Fruits à coque</v>
      </c>
      <c r="W43" s="513" t="str">
        <f>IF(32=32,IF(T43="","",AX43),"")</f>
        <v>?</v>
      </c>
      <c r="X43" s="513" t="str">
        <f>IF(32=32,IF(T43="","",BA43),"")</f>
        <v/>
      </c>
      <c r="Y43" s="513" t="str">
        <f>IF(32=32,IF(T43="","",BE43),"")</f>
        <v/>
      </c>
      <c r="Z43" s="513" t="str">
        <f>IF(32=32,IF(T43="","",IF(ISNUMBER(SEARCH(" colin ",AS43)),"X",BR43)),"")</f>
        <v/>
      </c>
      <c r="AA43" s="513" t="str">
        <f>IF(32=32,IF(T43="","",BT43),"")</f>
        <v/>
      </c>
      <c r="AB43" s="513" t="str">
        <f>IF(32=32,IF(T43="","",BX43),"")</f>
        <v/>
      </c>
      <c r="AC43" s="513" t="str">
        <f>IF(32=32,IF(T43="","",CE43),"")</f>
        <v>X</v>
      </c>
      <c r="AD43" s="513" t="str">
        <f>IF(32=32,IF(T43="","",CI43),"")</f>
        <v>X</v>
      </c>
      <c r="AE43" s="513" t="str">
        <f>IF(32=32,IF(T43="","",CL43),"")</f>
        <v/>
      </c>
      <c r="AF43" s="513" t="str">
        <f>IF(32=32,IF(T43="","",CO43),"")</f>
        <v/>
      </c>
      <c r="AG43" s="513" t="str">
        <f>IF(32=32,IF(T43="","",CR43),"")</f>
        <v/>
      </c>
      <c r="AH43" s="513" t="str">
        <f>IF(32=32,IF(T43="","",CU43),"")</f>
        <v/>
      </c>
      <c r="AI43" s="513" t="str">
        <f>IF(32=32,IF(T43="","",CX43),"")</f>
        <v/>
      </c>
      <c r="AJ43" s="513" t="str">
        <f>IF(32=32,IF(T43="","",DD43),"")</f>
        <v/>
      </c>
      <c r="AK43" s="514" t="str">
        <f>IF(32=32,IF(T43="","",IF(W43="?",""&amp;"Céréales contenant du gluten","")&amp;IF(X43="?",IF(COUNTIF(W43:W43,"~?")&gt;0,", ","")&amp;"Crustacés","")&amp;IF(Y43="?",IF(COUNTIF(W43:X43,"~?")&gt;0,", ","")&amp;"Œufs","")&amp;IF(Z43="?",IF(COUNTIF(W43:Y43,"~?")&gt;0,", ","")&amp;"Poissons","")&amp;IF(AA43="?",IF(COUNTIF(W43:Z43,"~?")&gt;0,", ","")&amp;"Arachides","")&amp;IF(AB43="?",IF(COUNTIF(W43:AA43,"~?")&gt;0,", ","")&amp;"Soja","")&amp;IF(AC43="?",IF(COUNTIF(W43:AB43,"~?")&gt;0,", ","")&amp;"Lait","")&amp;IF(AD43="?",IF(COUNTIF(W43:AC43,"~?")&gt;0,", ","")&amp;"Fruits à coque","")&amp;IF(AE43="?",IF(COUNTIF(W43:AD43,"~?")&gt;0,", ","")&amp;"Céleri","")&amp;IF(AF43="?",IF(COUNTIF(W43:AE43,"~?")&gt;0,", ","")&amp;"Moutarde","")&amp;IF(AG43="?",IF(COUNTIF(W43:AF43,"~?")&gt;0,", ","")&amp;"Sésame","")&amp;IF(AH43="?",IF(COUNTIF(W43:AG43,"~?")&gt;0,", ","")&amp;"Sulfites","")&amp;IF(AI43="?",IF(COUNTIF(W43:AH43,"~?")&gt;0,", ","")&amp;"Lupin","")&amp;IF(AJ43="?",IF(COUNTIF(W43:AI43,"~?")&gt;0,", ","")&amp;"Mollusques","")),"")</f>
        <v>Céréales contenant du gluten</v>
      </c>
      <c r="AM43" s="493" t="str">
        <f>IF(32=32,IF(T43="","",T43),"")</f>
        <v xml:space="preserve">5. Incorporez la farine, la poudre d’amandes puis la crème liquide, en </v>
      </c>
      <c r="AN43" s="493" t="str">
        <f>IF(32=32,LOWER(CLEAN(SUBSTITUTE(SUBSTITUTE(SUBSTITUTE(SUBSTITUTE(AM43,CHAR(160)," ")," "," "),CHAR(10)," "),CHAR(13)," "))),"")</f>
        <v xml:space="preserve">5. incorporez la farine, la poudre d’amandes puis la crème liquide, en </v>
      </c>
      <c r="AO43" s="493" t="str">
        <f>IF(32=32,SUBSTITUTE(SUBSTITUTE(SUBSTITUTE(SUBSTITUTE(SUBSTITUTE(SUBSTITUTE(SUBSTITUTE(SUBSTITUTE(SUBSTITUTE(SUBSTITUTE(SUBSTITUTE(SUBSTITUTE(AN43,"œ","oe"),"æ","ae"),"à","a"),"á","a"),"â","a"),"ä","a"),"ã","a"),"ç","c"),"è","e"),"é","e"),"ê","e"),"ë","e"),"")</f>
        <v xml:space="preserve">5. incorporez la farine, la poudre d’amandes puis la creme liquide, en </v>
      </c>
      <c r="AP43" s="493" t="str">
        <f>IF(32=32,SUBSTITUTE(SUBSTITUTE(SUBSTITUTE(SUBSTITUTE(SUBSTITUTE(SUBSTITUTE(SUBSTITUTE(SUBSTITUTE(SUBSTITUTE(SUBSTITUTE(SUBSTITUTE(SUBSTITUTE(SUBSTITUTE(SUBSTITUTE(SUBSTITUTE(SUBSTITUTE(AO43,"ì","i"),"í","i"),"î","i"),"ï","i"),"ñ","n"),"ò","o"),"ó","o"),"ô","o"),"ö","o"),"õ","o"),"ù","u"),"ú","u"),"û","u"),"ü","u"),"ý","y"),"ÿ","y"),"")</f>
        <v xml:space="preserve">5. incorporez la farine, la poudre d’amandes puis la creme liquide, en </v>
      </c>
      <c r="AQ43" s="493" t="str">
        <f>IF(32=32,SUBSTITUTE(SUBSTITUTE(SUBSTITUTE(SUBSTITUTE(SUBSTITUTE(SUBSTITUTE(SUBSTITUTE(SUBSTITUTE(SUBSTITUTE(SUBSTITUTE(SUBSTITUTE(SUBSTITUTE(SUBSTITUTE(SUBSTITUTE(AP43,"’"," "),"`"," "),"–"," "),"—"," "),"-"," "),"'"," "),"/"," "),"_"," "),","," "),"."," "),"("," "),")"," "),";"," "),":"," "),"")</f>
        <v xml:space="preserve">5  incorporez la farine  la poudre d amandes puis la creme liquide  en </v>
      </c>
      <c r="AR43" s="493" t="str">
        <f>IF(32=32,SUBSTITUTE(SUBSTITUTE(SUBSTITUTE(SUBSTITUTE(SUBSTITUTE(SUBSTITUTE(SUBSTITUTE(SUBSTITUTE(SUBSTITUTE(SUBSTITUTE(SUBSTITUTE(SUBSTITUTE(SUBSTITUTE(SUBSTITUTE(SUBSTITUTE(AQ43,"!"," "),"?"," "),"+"," "),"*"," "),"&amp;"," "),"["," "),"]"," "),"{"," "),"}"," "),"%"," "),"="," "),"\"," "),"|"," "),"&lt;"," "),"&gt;"," "),"")</f>
        <v xml:space="preserve">5  incorporez la farine  la poudre d amandes puis la creme liquide  en </v>
      </c>
      <c r="AS43" s="493" t="str">
        <f>IF(32=32," "&amp;TRIM(SUBSTITUTE(SUBSTITUTE(SUBSTITUTE(SUBSTITUTE(SUBSTITUTE(SUBSTITUTE(AR43,CHAR(34)," "),"  "," "),"  "," "),"  "," "),"  "," "),"  "," "))&amp;" ","")</f>
        <v xml:space="preserve"> 5 incorporez la farine la poudre d amandes puis la creme liquide en </v>
      </c>
      <c r="AT43" s="493" cm="1">
        <f t="array" ref="AT43">IF(32=32,IF(AM43="","",SUMPRODUCT(--ISNUMBER(SEARCH(" "&amp;DJ13:DJ112&amp;" ",AV43)))),"")</f>
        <v>0</v>
      </c>
      <c r="AU43" s="493" cm="1">
        <f t="array" ref="AU43">IF(32=32,IF(AM43="","",SUMPRODUCT(--ISNUMBER(SEARCH(" "&amp;DJ113:DJ162&amp;" ",AV43)))),"")</f>
        <v>0</v>
      </c>
      <c r="AV43" s="493" t="str">
        <f>IF(AM43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43,"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5 incorporez la farine la poudre d amandes puis la creme liquide en </v>
      </c>
      <c r="AW43" s="493" cm="1">
        <f t="array" ref="AW43">IF(AM43="","",SUMPRODUCT(--ISNUMBER(SEARCH(" "&amp;DJ195:DJ216&amp;" ",AV43)))+--ISNUMBER(SEARCH(" "&amp;DJ2465&amp;" ",AV43)))</f>
        <v>1</v>
      </c>
      <c r="AX43" s="493" t="str" cm="1">
        <f t="array" ref="AX43">IF(32=32,IF(AM43="","",IF(SUM(AT43:AU43)+SUMPRODUCT(--ISNUMBER(SEARCH(" "&amp;DJ2429:DJ2431&amp;" ",AV43)))&gt;0,"X",IF(AW43&gt;0,"?",""))),"")</f>
        <v>?</v>
      </c>
      <c r="AY43" s="493" cm="1">
        <f t="array" ref="AY43">IF(32=32,IF(AM43="","",SUMPRODUCT(--ISNUMBER(SEARCH(" "&amp;DJ217:DJ316&amp;" ",AS43)))),"")</f>
        <v>0</v>
      </c>
      <c r="AZ43" s="493" cm="1">
        <f t="array" ref="AZ43">IF(32=32,IF(AM43="","",SUMPRODUCT(--ISNUMBER(SEARCH(" "&amp;DJ317:DJ351&amp;" ",AS43)))),"")</f>
        <v>0</v>
      </c>
      <c r="BA43" s="493" t="str">
        <f>IF(32=32,IF(AM43="","",IF((SUM(AY43:AZ43))-(0)&gt;0,"X",IF((0)-(0)&gt;0,"?",""))),"")</f>
        <v/>
      </c>
      <c r="BB43" s="493" cm="1">
        <f t="array" ref="BB43">IF(32=32,IF(AM43="","",SUMPRODUCT(--ISNUMBER(SEARCH(" "&amp;DJ352:DJ409&amp;" ",AS43)))),"")</f>
        <v>0</v>
      </c>
      <c r="BC43" s="493" cm="1">
        <f t="array" ref="BC43">IF(32=32,IF(AM43="","",SUMPRODUCT(--ISNUMBER(SEARCH(" "&amp;DJ410:DJ437&amp;" ",BD43)))+SUMPRODUCT(--ISNUMBER(SEARCH(" "&amp;DJ2451:DJ2464&amp;" ",BD43)))),"")</f>
        <v>0</v>
      </c>
      <c r="BD43" s="493" t="str">
        <f>IF(32=32,IF(AM43="","",SUBSTITUTE(SUBSTITUTE(SUBSTITUTE(SUBSTITUTE(SUBSTITUTE(SUBSTITUTE(SUBSTITUTE(SUBSTITUTE(SUBSTITUTE(SUBSTITUTE(SUBSTITUTE(SUBSTITUTE(SUBSTITUTE(SUBSTITUTE(AS43," "&amp;DJ2466&amp;" "," ")," "&amp;DJ444&amp;" "," ")," "&amp;DJ442&amp;" "," ")," "&amp;DJ2449&amp;" "," ")," "&amp;DJ2450&amp;" "," ")," "&amp;DJ439&amp;" "," ")," "&amp;DJ443&amp;" "," ")," "&amp;DJ445&amp;" "," ")," "&amp;DJ440&amp;" "," ")," "&amp;DJ438&amp;" "," ")," "&amp;DJ1378&amp;" "," ")," "&amp;DJ446&amp;" "," ")," "&amp;DJ1377&amp;" "," ")," "&amp;DJ441&amp;" "," ")),"")</f>
        <v xml:space="preserve"> 5 incorporez la farine la poudre d amandes puis la creme liquide en </v>
      </c>
      <c r="BE43" s="493" t="str">
        <f>IF(32=32,IF(AM43="","",IF(BB43&gt;0,"X",IF(BC43&gt;0,"?",""))),"")</f>
        <v/>
      </c>
      <c r="BF43" s="493" cm="1">
        <f t="array" ref="BF43">IF(32=32,IF(AM43="","",SUMPRODUCT(--ISNUMBER(SEARCH(" "&amp;DJ447:DJ546&amp;" ",BP43)))),"")</f>
        <v>0</v>
      </c>
      <c r="BG43" s="493" cm="1">
        <f t="array" ref="BG43">IF(32=32,IF(AM43="","",SUMPRODUCT(--ISNUMBER(SEARCH(" "&amp;DJ547:DJ646&amp;" ",BP43)))),"")</f>
        <v>0</v>
      </c>
      <c r="BH43" s="493" cm="1">
        <f t="array" ref="BH43">IF(32=32,IF(AM43="","",SUMPRODUCT(--ISNUMBER(SEARCH(" "&amp;DJ647:DJ746&amp;" ",BP43)))),"")</f>
        <v>0</v>
      </c>
      <c r="BI43" s="493" cm="1">
        <f t="array" ref="BI43">IF(32=32,IF(AM43="","",SUMPRODUCT(--ISNUMBER(SEARCH(" "&amp;DJ747:DJ846&amp;" ",BP43)))),"")</f>
        <v>0</v>
      </c>
      <c r="BJ43" s="493" cm="1">
        <f t="array" ref="BJ43">IF(32=32,IF(AM43="","",SUMPRODUCT(--ISNUMBER(SEARCH(" "&amp;DJ847:DJ946&amp;" ",BP43)))),"")</f>
        <v>0</v>
      </c>
      <c r="BK43" s="493" cm="1">
        <f t="array" ref="BK43">IF(32=32,IF(AM43="","",SUMPRODUCT(--ISNUMBER(SEARCH(" "&amp;DJ947:DJ1046&amp;" ",BP43)))),"")</f>
        <v>0</v>
      </c>
      <c r="BL43" s="493" cm="1">
        <f t="array" ref="BL43">IF(32=32,IF(AM43="","",SUMPRODUCT(--ISNUMBER(SEARCH(" "&amp;DJ1047:DJ1146&amp;" ",BP43)))),"")</f>
        <v>0</v>
      </c>
      <c r="BM43" s="493" cm="1">
        <f t="array" ref="BM43">IF(32=32,IF(AM43="","",SUMPRODUCT(--ISNUMBER(SEARCH(" "&amp;DJ1147:DJ1246&amp;" ",BP43)))),"")</f>
        <v>0</v>
      </c>
      <c r="BN43" s="493" cm="1">
        <f t="array" ref="BN43">IF(32=32,IF(AM43="","",SUMPRODUCT(--ISNUMBER(SEARCH(" "&amp;DJ1247:DJ1346&amp;" ",BP43)))),"")</f>
        <v>0</v>
      </c>
      <c r="BO43" s="493" cm="1">
        <f t="array" ref="BO43">IF(32=32,IF(AM43="","",SUMPRODUCT(--ISNUMBER(SEARCH(" "&amp;DJ1347:DJ1374&amp;" ",BP43)))),"")</f>
        <v>0</v>
      </c>
      <c r="BP43" s="493" t="str">
        <f>IF(32=32,IF(AM43="","",SUBSTITUTE(SUBSTITUTE(SUBSTITUTE(SUBSTITUTE(SUBSTITUTE(SUBSTITUTE(SUBSTITUTE(SUBSTITUTE(SUBSTITUTE(AS43," "&amp;DJ1376&amp;" "," ")," "&amp;DJ1375&amp;" "," ")," "&amp;DJ1381&amp;" "," ")," "&amp;DJ1382&amp;" "," ")," "&amp;DJ1378&amp;" "," ")," "&amp;DJ1380&amp;" "," ")," "&amp;DJ1377&amp;" "," ")," "&amp;DJ1379&amp;" "," ")," "&amp;DJ1383&amp;" "," ")),"")</f>
        <v xml:space="preserve"> 5 incorporez la farine la poudre d amandes puis la creme liquide en </v>
      </c>
      <c r="BQ43" s="493" cm="1">
        <f t="array" ref="BQ43">IF(32=32,IF(AM43="","",SUMPRODUCT(--ISNUMBER(SEARCH(" "&amp;DJ1384:DJ1394&amp;" ",BP43)))),"")</f>
        <v>0</v>
      </c>
      <c r="BR43" s="493" t="str" cm="1">
        <f t="array" ref="BR43">IF(32=32,IF(AM43="","",IF(SUM(BF43:BO43)+SUMPRODUCT(--ISNUMBER(SEARCH(" "&amp;DJ2432:DJ2433&amp;" ",BP43)))&gt;0,"X",IF(BQ43&gt;0,"?",""))),"")</f>
        <v/>
      </c>
      <c r="BS43" s="493" cm="1">
        <f t="array" ref="BS43">IF(32=32,IF(AM43="","",SUMPRODUCT(--ISNUMBER(SEARCH(" "&amp;DJ1395:DJ1415&amp;" ",AS43)))),"")</f>
        <v>0</v>
      </c>
      <c r="BT43" s="493" t="str">
        <f>IF(32=32,IF(AM43="","",IF((BS43)-(0)&gt;0,"X",IF((0)-(0)&gt;0,"?",""))),"")</f>
        <v/>
      </c>
      <c r="BU43" s="493" cm="1">
        <f t="array" ref="BU43">IF(32=32,IF(AM43="","",SUMPRODUCT(--ISNUMBER(SEARCH(" "&amp;DJ1416:DJ1453&amp;" ",BV43)))),"")</f>
        <v>0</v>
      </c>
      <c r="BV43" s="493" t="str">
        <f>IF(32=32,IF(AM43="","",SUBSTITUTE(SUBSTITUTE(AS43," "&amp;DJ1454&amp;" "," ")," "&amp;DJ1455&amp;" "," ")),"")</f>
        <v xml:space="preserve"> 5 incorporez la farine la poudre d amandes puis la creme liquide en </v>
      </c>
      <c r="BW43" s="493" cm="1">
        <f t="array" ref="BW43">IF(32=32,IF(AM43="","",SUMPRODUCT(--ISNUMBER(SEARCH(" "&amp;DJ1456:DJ1466&amp;" ",BV43)))),"")</f>
        <v>0</v>
      </c>
      <c r="BX43" s="493" t="str">
        <f>IF(32=32,IF(AM43="","",IF(BU43&gt;0,"X",IF(BW43&gt;0,"?",""))),"")</f>
        <v/>
      </c>
      <c r="BY43" s="493" cm="1">
        <f t="array" ref="BY43">IF(32=32,IF(AM43="","",SUMPRODUCT(--ISNUMBER(SEARCH(" "&amp;DJ1467:DJ1566&amp;" ",CB43)))),"")</f>
        <v>2</v>
      </c>
      <c r="BZ43" s="493" cm="1">
        <f t="array" ref="BZ43">IF(32=32,IF(AM43="","",SUMPRODUCT(--ISNUMBER(SEARCH(" "&amp;DJ1567:DJ1666&amp;" ",CB43)))),"")</f>
        <v>0</v>
      </c>
      <c r="CA43" s="493" cm="1">
        <f t="array" ref="CA43">IF(32=32,IF(AM43="","",SUMPRODUCT(--ISNUMBER(SEARCH(" "&amp;DJ1667:DJ1750&amp;" ",CB43)))),"")</f>
        <v>0</v>
      </c>
      <c r="CB43" s="493" t="str">
        <f>IF(32=32,IF(AM43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43,"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5 incorporez la farine la poudre d amandes puis la creme liquide en </v>
      </c>
      <c r="CC43" s="493" cm="1">
        <f t="array" ref="CC43">IF(32=32,IF(AM43="","",SUMPRODUCT(--ISNUMBER(SEARCH(" "&amp;DJ1801:DJ1880&amp;" ",CD43)))+SUMPRODUCT(--ISNUMBER(SEARCH(" "&amp;DJ2451:DJ2464&amp;" ",CD43)))),"")</f>
        <v>0</v>
      </c>
      <c r="CD43" s="493" t="str">
        <f>IF(32=32,IF(AM43="","",SUBSTITUTE(SUBSTITUTE(SUBSTITUTE(SUBSTITUTE(SUBSTITUTE(SUBSTITUTE(SUBSTITUTE(SUBSTITUTE(SUBSTITUTE(SUBSTITUTE(SUBSTITUTE(SUBSTITUTE(SUBSTITUTE(CB43," "&amp;DJ1887&amp;" "," ")," "&amp;DJ1885&amp;" "," ")," "&amp;DJ2449&amp;" "," ")," "&amp;DJ2450&amp;" "," ")," "&amp;DJ1882&amp;" "," ")," "&amp;DJ1886&amp;" "," ")," "&amp;DJ1888&amp;" "," ")," "&amp;DJ1883&amp;" "," ")," "&amp;DJ1881&amp;" "," ")," "&amp;DJ1378&amp;" "," ")," "&amp;DJ1889&amp;" "," ")," "&amp;DJ1377&amp;" "," ")," "&amp;DJ1884&amp;" "," ")),"")</f>
        <v xml:space="preserve"> 5 incorporez la farine la poudre d amandes puis la creme liquide en </v>
      </c>
      <c r="CE43" s="493" t="str" cm="1">
        <f t="array" ref="CE43">IF(32=32,IF(AM43="","",IF(SUM(BY43:CA43)+SUMPRODUCT(--ISNUMBER(SEARCH(" "&amp;DJ2434:DJ2435&amp;" ",CB43)))&gt;0,"X",IF(CC43&gt;0,"?",""))),"")</f>
        <v>X</v>
      </c>
      <c r="CF43" s="493" cm="1">
        <f t="array" ref="CF43">IF(32=32,IF(AM43="","",SUMPRODUCT(--ISNUMBER(SEARCH(" "&amp;DJ1890:DJ1947&amp;" ",CG43)))),"")</f>
        <v>1</v>
      </c>
      <c r="CG43" s="493" t="str">
        <f>IF(32=32,IF(AM43="","",SUBSTITUTE(SUBSTITUTE(SUBSTITUTE(SUBSTITUTE(SUBSTITUTE(SUBSTITUTE(SUBSTITUTE(SUBSTITUTE(SUBSTITUTE(SUBSTITUTE(SUBSTITUTE(SUBSTITUTE(SUBSTITUTE(SUBSTITUTE(SUBSTITUTE(SUBSTITUTE(SUBSTITUTE(SUBSTITUTE(SUBSTITUTE(SUBSTITUTE(SUBSTITUTE(SUBSTITUTE(SUBSTITUTE(AS43,"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5 incorporez la farine la poudre d amandes puis la creme liquide en </v>
      </c>
      <c r="CH43" s="493" cm="1">
        <f t="array" ref="CH43">IF(32=32,IF(AM43="","",SUMPRODUCT(--ISNUMBER(SEARCH(" "&amp;DJ1971:DJ1987&amp;" ",CG43)))),"")</f>
        <v>0</v>
      </c>
      <c r="CI43" s="493" t="str">
        <f>IF(32=32,IF(AM43="","",IF(CF43&gt;0,"X",IF(CH43&gt;0,"?",""))),"")</f>
        <v>X</v>
      </c>
      <c r="CJ43" s="493" cm="1">
        <f t="array" ref="CJ43">IF(32=32,IF(AM43="","",SUMPRODUCT(--ISNUMBER(SEARCH(" "&amp;DJ1988:DJ2001&amp;" ",AS43)))),"")</f>
        <v>0</v>
      </c>
      <c r="CK43" s="493" cm="1">
        <f t="array" ref="CK43">IF(32=32,IF(AM43="","",SUMPRODUCT(--ISNUMBER(SEARCH(" "&amp;DJ2002:DJ2016&amp;" ",AS43)))),"")</f>
        <v>0</v>
      </c>
      <c r="CL43" s="493" t="str">
        <f>IF(32=32,IF(AM43="","",IF((CJ43)-(0)&gt;0,"X",IF((CK43)-(0)&gt;0,"?",""))),"")</f>
        <v/>
      </c>
      <c r="CM43" s="493" cm="1">
        <f t="array" ref="CM43">IF(32=32,IF(AM43="","",SUMPRODUCT(--ISNUMBER(SEARCH(" "&amp;DJ2017:DJ2034&amp;" ",AS43)))),"")</f>
        <v>0</v>
      </c>
      <c r="CN43" s="493" cm="1">
        <f t="array" ref="CN43">IF(32=32,IF(AM43="","",SUMPRODUCT(--ISNUMBER(SEARCH(" "&amp;DJ2035:DJ2049&amp;" ",AS43)))),"")</f>
        <v>0</v>
      </c>
      <c r="CO43" s="493" t="str">
        <f>IF(32=32,IF(AM43="","",IF((CM43)-(0)&gt;0,"X",IF((CN43)-(0)&gt;0,"?",""))),"")</f>
        <v/>
      </c>
      <c r="CP43" s="493" cm="1">
        <f t="array" ref="CP43">IF(32=32,IF(AM43="","",SUMPRODUCT(--ISNUMBER(SEARCH(" "&amp;DJ2050:DJ2068&amp;" ",AS43)))),"")</f>
        <v>0</v>
      </c>
      <c r="CQ43" s="493" cm="1">
        <f t="array" ref="CQ43">IF(32=32,IF(AM43="","",SUMPRODUCT(--ISNUMBER(SEARCH(" "&amp;DJ2069:DJ2083&amp;" ",AS43)))),"")</f>
        <v>0</v>
      </c>
      <c r="CR43" s="493" t="str">
        <f>IF(32=32,IF(AM43="","",IF((CP43)-(0)&gt;0,"X",IF((CQ43)-(0)&gt;0,"?",""))),"")</f>
        <v/>
      </c>
      <c r="CS43" s="493" cm="1">
        <f t="array" ref="CS43">IF(32=32,IF(AM43="","",SUMPRODUCT(--ISNUMBER(SEARCH(" "&amp;DJ2084:DJ2104&amp;" ",AS43)))),"")</f>
        <v>0</v>
      </c>
      <c r="CT43" s="493" cm="1">
        <f t="array" ref="CT43">IF(32=32,IF(AM43="","",SUMPRODUCT(--ISNUMBER(SEARCH(" "&amp;DJ2105:DJ2144&amp;" ",SUBSTITUTE(SUBSTITUTE(AS43," "&amp;DJ1378&amp;" "," ")," "&amp;DJ1377&amp;" "," "))))+--ISNUMBER(SEARCH("poiré",AN43))),"")</f>
        <v>0</v>
      </c>
      <c r="CU43" s="493" t="str">
        <f>IF(32=32,IF(AM43="","",IF(OR(CS43&gt;0,ISNUMBER(SEARCH(" vinaigre de vin ",AS43)),ISNUMBER(SEARCH(" vinaigre au vin ",AS43))),"X",IF(CT43&gt;0,"?",""))),"")</f>
        <v/>
      </c>
      <c r="CV43" s="493" cm="1">
        <f t="array" ref="CV43">IF(32=32,IF(AM43="","",SUMPRODUCT(--ISNUMBER(SEARCH(" "&amp;DJ2145:DJ2157&amp;" ",AS43)))),"")</f>
        <v>0</v>
      </c>
      <c r="CW43" s="493" cm="1">
        <f t="array" ref="CW43">IF(32=32,IF(AM43="","",SUMPRODUCT(--ISNUMBER(SEARCH(" "&amp;DJ2158:DJ2163&amp;" ",AS43)))),"")</f>
        <v>0</v>
      </c>
      <c r="CX43" s="493" t="str">
        <f>IF(32=32,IF(AM43="","",IF((CV43)-(0)&gt;0,"X",IF((CW43)-(0)&gt;0,"?",""))),"")</f>
        <v/>
      </c>
      <c r="CY43" s="493" cm="1">
        <f t="array" ref="CY43">IF(32=32,IF(AM43="","",SUMPRODUCT(--ISNUMBER(SEARCH(" "&amp;DJ2164:DJ2263&amp;" ",DB43)))),"")</f>
        <v>0</v>
      </c>
      <c r="CZ43" s="493" cm="1">
        <f t="array" ref="CZ43">IF(32=32,IF(AM43="","",SUMPRODUCT(--ISNUMBER(SEARCH(" "&amp;DJ2264:DJ2363&amp;" ",DB43)))),"")</f>
        <v>0</v>
      </c>
      <c r="DA43" s="493" cm="1">
        <f t="array" ref="DA43">IF(32=32,IF(AM43="","",SUMPRODUCT(--ISNUMBER(SEARCH(" "&amp;DJ2364:DJ2406&amp;" ",DB43)))),"")</f>
        <v>0</v>
      </c>
      <c r="DB43" s="493" t="str">
        <f>IF(32=32,IF(AM43="","",SUBSTITUTE(SUBSTITUTE(SUBSTITUTE(SUBSTITUTE(SUBSTITUTE(SUBSTITUTE(SUBSTITUTE(SUBSTITUTE(SUBSTITUTE(SUBSTITUTE(SUBSTITUTE(SUBSTITUTE(SUBSTITUTE(SUBSTITUTE(SUBSTITUTE(SUBSTITUTE(AS43," "&amp;DJ2412&amp;" "," ")," "&amp;DJ2411&amp;" "," ")," "&amp;DJ2410&amp;" "," ")," "&amp;DJ2417&amp;" "," ")," "&amp;DJ2409&amp;" "," ")," "&amp;DJ2421&amp;" "," ")," "&amp;DJ2408&amp;" "," ")," "&amp;DJ2413&amp;" "," ")," "&amp;DJ2416&amp;" "," ")," "&amp;DJ2407&amp;" "," ")," "&amp;DJ2415&amp;" "," ")," "&amp;DJ2422&amp;" "," ")," "&amp;DJ2419&amp;" "," ")," "&amp;DJ2414&amp;" "," ")," "&amp;DJ2418&amp;" "," ")," "&amp;DJ2420&amp;" "," ")),"")</f>
        <v xml:space="preserve"> 5 incorporez la farine la poudre d amandes puis la creme liquide en </v>
      </c>
      <c r="DC43" s="493" cm="1">
        <f t="array" ref="DC43">IF(32=32,IF(AM43="","",SUMPRODUCT(--ISNUMBER(SEARCH(" "&amp;DJ2423:DJ2427&amp;" ",DB43)))),"")</f>
        <v>0</v>
      </c>
      <c r="DD43" s="493" t="str">
        <f>IF(32=32,IF(AM43="","",IF(SUM(CY43:DA43)&gt;0,"X",IF(DC43&gt;0,"?",""))),"")</f>
        <v/>
      </c>
      <c r="DE43" s="494"/>
      <c r="DF43" s="496" t="s">
        <v>1198</v>
      </c>
      <c r="DG43" s="496" t="s">
        <v>1083</v>
      </c>
      <c r="DH43" s="496" t="s">
        <v>689</v>
      </c>
      <c r="DI43" s="496" t="s">
        <v>1199</v>
      </c>
      <c r="DJ43" s="496" t="s">
        <v>1199</v>
      </c>
      <c r="DK43" s="496" t="s">
        <v>1085</v>
      </c>
      <c r="DL43" s="496" t="s">
        <v>1086</v>
      </c>
      <c r="DM43" s="496" t="s">
        <v>1087</v>
      </c>
      <c r="DN43" s="497" t="s">
        <v>1088</v>
      </c>
      <c r="DP43" s="543">
        <v>1</v>
      </c>
    </row>
    <row r="44" spans="2:120" ht="30" customHeight="1">
      <c r="B44" s="663" t="str">
        <f t="shared" si="0"/>
        <v>Calories : ≈ 410 kcal par part</v>
      </c>
      <c r="C44" s="663" t="str">
        <f t="shared" si="1"/>
        <v>Calories ≈ 410 kcal par part</v>
      </c>
      <c r="D44" s="663" t="str">
        <f>IF(UPPER(TRIM(N11))="X",C44,B44)</f>
        <v>Calories : ≈ 410 kcal par part</v>
      </c>
      <c r="E44" s="663" cm="1">
        <f t="array" ref="E44">IF(H43&lt;&gt;"",E43,IF(E43="","",IFERROR(MATCH(TRUE(),INDEX(INDEX(K:K,E43+1):K203&lt;&gt;"",0),0)+E43,"")))</f>
        <v>37</v>
      </c>
      <c r="F44" s="663" t="str" cm="1">
        <f t="array" ref="F44">IF(E44="","",IF(H43&lt;&gt;"",H43,INDEX(D:D,E44)))</f>
        <v>mélangeant bien entre chaque ajout.</v>
      </c>
      <c r="G44" s="663" t="str">
        <f t="shared" si="2"/>
        <v>mélangeant bien entre chaque ajout.</v>
      </c>
      <c r="H44" s="673" t="str">
        <f t="shared" si="3"/>
        <v/>
      </c>
      <c r="I44" s="680" t="str">
        <f>IF(AND(F44&lt;&gt;"",N10&gt;0,M44&gt;N10),"Mot &gt; limite","")</f>
        <v/>
      </c>
      <c r="J44" s="674">
        <f>IF(K44="","",COUNTIF(K18:K44,"&lt;&gt;"))</f>
        <v>27</v>
      </c>
      <c r="K44" s="675" t="s">
        <v>6489</v>
      </c>
      <c r="L44" s="674">
        <f t="shared" si="4"/>
        <v>30</v>
      </c>
      <c r="M44" s="643">
        <f>IF(OR(F44="",N10="",N10&lt;=0),"",IF(LEN(F44)&lt;=N10,LEN(F44),IFERROR(FIND("♦",SUBSTITUTE(LEFT(F44,N10)," ","♦",LEN(LEFT(F44,N10))-LEN(SUBSTITUTE(LEFT(F44,N10)," ","")))),FIND(" ",F44&amp;" ",N10+1)-1)))</f>
        <v>35</v>
      </c>
      <c r="N44" s="676">
        <f t="shared" si="5"/>
        <v>27</v>
      </c>
      <c r="O44" s="677" t="str">
        <f t="shared" si="6"/>
        <v>mélangeant bien entre chaque ajout.</v>
      </c>
      <c r="P44" s="676">
        <f t="shared" si="7"/>
        <v>5</v>
      </c>
      <c r="Q44" s="676">
        <f t="shared" si="8"/>
        <v>35</v>
      </c>
      <c r="S44" s="509">
        <v>27</v>
      </c>
      <c r="T44" s="678" t="str">
        <f t="shared" si="10"/>
        <v>mélangeant bien entre chaque ajout.</v>
      </c>
      <c r="U44" s="679" t="str">
        <f t="shared" si="9"/>
        <v>mélangeant bien entre chaque ajout.</v>
      </c>
      <c r="V44" s="512" t="str">
        <f>IF(33=33,IF(T44="","",IF(W44="X",""&amp;"Céréales contenant du gluten","")&amp;IF(X44="X",IF(COUNTIF(W44:W44,"X")&gt;0,", ","")&amp;"Crustacés","")&amp;IF(Y44="X",IF(COUNTIF(W44:X44,"X")&gt;0,", ","")&amp;"Œufs","")&amp;IF(Z44="X",IF(COUNTIF(W44:Y44,"X")&gt;0,", ","")&amp;"Poissons","")&amp;IF(AA44="X",IF(COUNTIF(W44:Z44,"X")&gt;0,", ","")&amp;"Arachides","")&amp;IF(AB44="X",IF(COUNTIF(W44:AA44,"X")&gt;0,", ","")&amp;"Soja","")&amp;IF(AC44="X",IF(COUNTIF(W44:AB44,"X")&gt;0,", ","")&amp;"Lait","")&amp;IF(AD44="X",IF(COUNTIF(W44:AC44,"X")&gt;0,", ","")&amp;"Fruits à coque","")&amp;IF(AE44="X",IF(COUNTIF(W44:AD44,"X")&gt;0,", ","")&amp;"Céleri","")&amp;IF(AF44="X",IF(COUNTIF(W44:AE44,"X")&gt;0,", ","")&amp;"Moutarde","")&amp;IF(AG44="X",IF(COUNTIF(W44:AF44,"X")&gt;0,", ","")&amp;"Sésame","")&amp;IF(AH44="X",IF(COUNTIF(W44:AG44,"X")&gt;0,", ","")&amp;"Sulfites","")&amp;IF(AI44="X",IF(COUNTIF(W44:AH44,"X")&gt;0,", ","")&amp;"Lupin","")&amp;IF(AJ44="X",IF(COUNTIF(W44:AI44,"X")&gt;0,", ","")&amp;"Mollusques","")),"")</f>
        <v/>
      </c>
      <c r="W44" s="513" t="str">
        <f>IF(33=33,IF(T44="","",AX44),"")</f>
        <v/>
      </c>
      <c r="X44" s="513" t="str">
        <f>IF(33=33,IF(T44="","",BA44),"")</f>
        <v/>
      </c>
      <c r="Y44" s="513" t="str">
        <f>IF(33=33,IF(T44="","",BE44),"")</f>
        <v/>
      </c>
      <c r="Z44" s="513" t="str">
        <f>IF(33=33,IF(T44="","",IF(ISNUMBER(SEARCH(" colin ",AS44)),"X",BR44)),"")</f>
        <v/>
      </c>
      <c r="AA44" s="513" t="str">
        <f>IF(33=33,IF(T44="","",BT44),"")</f>
        <v/>
      </c>
      <c r="AB44" s="513" t="str">
        <f>IF(33=33,IF(T44="","",BX44),"")</f>
        <v/>
      </c>
      <c r="AC44" s="513" t="str">
        <f>IF(33=33,IF(T44="","",CE44),"")</f>
        <v/>
      </c>
      <c r="AD44" s="513" t="str">
        <f>IF(33=33,IF(T44="","",CI44),"")</f>
        <v/>
      </c>
      <c r="AE44" s="513" t="str">
        <f>IF(33=33,IF(T44="","",CL44),"")</f>
        <v/>
      </c>
      <c r="AF44" s="513" t="str">
        <f>IF(33=33,IF(T44="","",CO44),"")</f>
        <v/>
      </c>
      <c r="AG44" s="513" t="str">
        <f>IF(33=33,IF(T44="","",CR44),"")</f>
        <v/>
      </c>
      <c r="AH44" s="513" t="str">
        <f>IF(33=33,IF(T44="","",CU44),"")</f>
        <v/>
      </c>
      <c r="AI44" s="513" t="str">
        <f>IF(33=33,IF(T44="","",CX44),"")</f>
        <v/>
      </c>
      <c r="AJ44" s="513" t="str">
        <f>IF(33=33,IF(T44="","",DD44),"")</f>
        <v/>
      </c>
      <c r="AK44" s="514" t="str">
        <f>IF(33=33,IF(T44="","",IF(W44="?",""&amp;"Céréales contenant du gluten","")&amp;IF(X44="?",IF(COUNTIF(W44:W44,"~?")&gt;0,", ","")&amp;"Crustacés","")&amp;IF(Y44="?",IF(COUNTIF(W44:X44,"~?")&gt;0,", ","")&amp;"Œufs","")&amp;IF(Z44="?",IF(COUNTIF(W44:Y44,"~?")&gt;0,", ","")&amp;"Poissons","")&amp;IF(AA44="?",IF(COUNTIF(W44:Z44,"~?")&gt;0,", ","")&amp;"Arachides","")&amp;IF(AB44="?",IF(COUNTIF(W44:AA44,"~?")&gt;0,", ","")&amp;"Soja","")&amp;IF(AC44="?",IF(COUNTIF(W44:AB44,"~?")&gt;0,", ","")&amp;"Lait","")&amp;IF(AD44="?",IF(COUNTIF(W44:AC44,"~?")&gt;0,", ","")&amp;"Fruits à coque","")&amp;IF(AE44="?",IF(COUNTIF(W44:AD44,"~?")&gt;0,", ","")&amp;"Céleri","")&amp;IF(AF44="?",IF(COUNTIF(W44:AE44,"~?")&gt;0,", ","")&amp;"Moutarde","")&amp;IF(AG44="?",IF(COUNTIF(W44:AF44,"~?")&gt;0,", ","")&amp;"Sésame","")&amp;IF(AH44="?",IF(COUNTIF(W44:AG44,"~?")&gt;0,", ","")&amp;"Sulfites","")&amp;IF(AI44="?",IF(COUNTIF(W44:AH44,"~?")&gt;0,", ","")&amp;"Lupin","")&amp;IF(AJ44="?",IF(COUNTIF(W44:AI44,"~?")&gt;0,", ","")&amp;"Mollusques","")),"")</f>
        <v/>
      </c>
      <c r="AM44" s="493" t="str">
        <f>IF(33=33,IF(T44="","",T44),"")</f>
        <v>mélangeant bien entre chaque ajout.</v>
      </c>
      <c r="AN44" s="493" t="str">
        <f>IF(33=33,LOWER(CLEAN(SUBSTITUTE(SUBSTITUTE(SUBSTITUTE(SUBSTITUTE(AM44,CHAR(160)," ")," "," "),CHAR(10)," "),CHAR(13)," "))),"")</f>
        <v>mélangeant bien entre chaque ajout.</v>
      </c>
      <c r="AO44" s="493" t="str">
        <f>IF(33=33,SUBSTITUTE(SUBSTITUTE(SUBSTITUTE(SUBSTITUTE(SUBSTITUTE(SUBSTITUTE(SUBSTITUTE(SUBSTITUTE(SUBSTITUTE(SUBSTITUTE(SUBSTITUTE(SUBSTITUTE(AN44,"œ","oe"),"æ","ae"),"à","a"),"á","a"),"â","a"),"ä","a"),"ã","a"),"ç","c"),"è","e"),"é","e"),"ê","e"),"ë","e"),"")</f>
        <v>melangeant bien entre chaque ajout.</v>
      </c>
      <c r="AP44" s="493" t="str">
        <f>IF(33=33,SUBSTITUTE(SUBSTITUTE(SUBSTITUTE(SUBSTITUTE(SUBSTITUTE(SUBSTITUTE(SUBSTITUTE(SUBSTITUTE(SUBSTITUTE(SUBSTITUTE(SUBSTITUTE(SUBSTITUTE(SUBSTITUTE(SUBSTITUTE(SUBSTITUTE(SUBSTITUTE(AO44,"ì","i"),"í","i"),"î","i"),"ï","i"),"ñ","n"),"ò","o"),"ó","o"),"ô","o"),"ö","o"),"õ","o"),"ù","u"),"ú","u"),"û","u"),"ü","u"),"ý","y"),"ÿ","y"),"")</f>
        <v>melangeant bien entre chaque ajout.</v>
      </c>
      <c r="AQ44" s="493" t="str">
        <f>IF(33=33,SUBSTITUTE(SUBSTITUTE(SUBSTITUTE(SUBSTITUTE(SUBSTITUTE(SUBSTITUTE(SUBSTITUTE(SUBSTITUTE(SUBSTITUTE(SUBSTITUTE(SUBSTITUTE(SUBSTITUTE(SUBSTITUTE(SUBSTITUTE(AP44,"’"," "),"`"," "),"–"," "),"—"," "),"-"," "),"'"," "),"/"," "),"_"," "),","," "),"."," "),"("," "),")"," "),";"," "),":"," "),"")</f>
        <v xml:space="preserve">melangeant bien entre chaque ajout </v>
      </c>
      <c r="AR44" s="493" t="str">
        <f>IF(33=33,SUBSTITUTE(SUBSTITUTE(SUBSTITUTE(SUBSTITUTE(SUBSTITUTE(SUBSTITUTE(SUBSTITUTE(SUBSTITUTE(SUBSTITUTE(SUBSTITUTE(SUBSTITUTE(SUBSTITUTE(SUBSTITUTE(SUBSTITUTE(SUBSTITUTE(AQ44,"!"," "),"?"," "),"+"," "),"*"," "),"&amp;"," "),"["," "),"]"," "),"{"," "),"}"," "),"%"," "),"="," "),"\"," "),"|"," "),"&lt;"," "),"&gt;"," "),"")</f>
        <v xml:space="preserve">melangeant bien entre chaque ajout </v>
      </c>
      <c r="AS44" s="493" t="str">
        <f>IF(33=33," "&amp;TRIM(SUBSTITUTE(SUBSTITUTE(SUBSTITUTE(SUBSTITUTE(SUBSTITUTE(SUBSTITUTE(AR44,CHAR(34)," "),"  "," "),"  "," "),"  "," "),"  "," "),"  "," "))&amp;" ","")</f>
        <v xml:space="preserve"> melangeant bien entre chaque ajout </v>
      </c>
      <c r="AT44" s="493" cm="1">
        <f t="array" ref="AT44">IF(33=33,IF(AM44="","",SUMPRODUCT(--ISNUMBER(SEARCH(" "&amp;DJ13:DJ112&amp;" ",AV44)))),"")</f>
        <v>0</v>
      </c>
      <c r="AU44" s="493" cm="1">
        <f t="array" ref="AU44">IF(33=33,IF(AM44="","",SUMPRODUCT(--ISNUMBER(SEARCH(" "&amp;DJ113:DJ162&amp;" ",AV44)))),"")</f>
        <v>0</v>
      </c>
      <c r="AV44" s="493" t="str">
        <f>IF(AM44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44,"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melangeant bien entre chaque ajout </v>
      </c>
      <c r="AW44" s="493" cm="1">
        <f t="array" ref="AW44">IF(AM44="","",SUMPRODUCT(--ISNUMBER(SEARCH(" "&amp;DJ195:DJ216&amp;" ",AV44)))+--ISNUMBER(SEARCH(" "&amp;DJ2465&amp;" ",AV44)))</f>
        <v>0</v>
      </c>
      <c r="AX44" s="493" t="str" cm="1">
        <f t="array" ref="AX44">IF(33=33,IF(AM44="","",IF(SUM(AT44:AU44)+SUMPRODUCT(--ISNUMBER(SEARCH(" "&amp;DJ2429:DJ2431&amp;" ",AV44)))&gt;0,"X",IF(AW44&gt;0,"?",""))),"")</f>
        <v/>
      </c>
      <c r="AY44" s="493" cm="1">
        <f t="array" ref="AY44">IF(33=33,IF(AM44="","",SUMPRODUCT(--ISNUMBER(SEARCH(" "&amp;DJ217:DJ316&amp;" ",AS44)))),"")</f>
        <v>0</v>
      </c>
      <c r="AZ44" s="493" cm="1">
        <f t="array" ref="AZ44">IF(33=33,IF(AM44="","",SUMPRODUCT(--ISNUMBER(SEARCH(" "&amp;DJ317:DJ351&amp;" ",AS44)))),"")</f>
        <v>0</v>
      </c>
      <c r="BA44" s="493" t="str">
        <f>IF(33=33,IF(AM44="","",IF((SUM(AY44:AZ44))-(0)&gt;0,"X",IF((0)-(0)&gt;0,"?",""))),"")</f>
        <v/>
      </c>
      <c r="BB44" s="493" cm="1">
        <f t="array" ref="BB44">IF(33=33,IF(AM44="","",SUMPRODUCT(--ISNUMBER(SEARCH(" "&amp;DJ352:DJ409&amp;" ",AS44)))),"")</f>
        <v>0</v>
      </c>
      <c r="BC44" s="493" cm="1">
        <f t="array" ref="BC44">IF(33=33,IF(AM44="","",SUMPRODUCT(--ISNUMBER(SEARCH(" "&amp;DJ410:DJ437&amp;" ",BD44)))+SUMPRODUCT(--ISNUMBER(SEARCH(" "&amp;DJ2451:DJ2464&amp;" ",BD44)))),"")</f>
        <v>0</v>
      </c>
      <c r="BD44" s="493" t="str">
        <f>IF(33=33,IF(AM44="","",SUBSTITUTE(SUBSTITUTE(SUBSTITUTE(SUBSTITUTE(SUBSTITUTE(SUBSTITUTE(SUBSTITUTE(SUBSTITUTE(SUBSTITUTE(SUBSTITUTE(SUBSTITUTE(SUBSTITUTE(SUBSTITUTE(SUBSTITUTE(AS44," "&amp;DJ2466&amp;" "," ")," "&amp;DJ444&amp;" "," ")," "&amp;DJ442&amp;" "," ")," "&amp;DJ2449&amp;" "," ")," "&amp;DJ2450&amp;" "," ")," "&amp;DJ439&amp;" "," ")," "&amp;DJ443&amp;" "," ")," "&amp;DJ445&amp;" "," ")," "&amp;DJ440&amp;" "," ")," "&amp;DJ438&amp;" "," ")," "&amp;DJ1378&amp;" "," ")," "&amp;DJ446&amp;" "," ")," "&amp;DJ1377&amp;" "," ")," "&amp;DJ441&amp;" "," ")),"")</f>
        <v xml:space="preserve"> melangeant bien entre chaque ajout </v>
      </c>
      <c r="BE44" s="493" t="str">
        <f>IF(33=33,IF(AM44="","",IF(BB44&gt;0,"X",IF(BC44&gt;0,"?",""))),"")</f>
        <v/>
      </c>
      <c r="BF44" s="493" cm="1">
        <f t="array" ref="BF44">IF(33=33,IF(AM44="","",SUMPRODUCT(--ISNUMBER(SEARCH(" "&amp;DJ447:DJ546&amp;" ",BP44)))),"")</f>
        <v>0</v>
      </c>
      <c r="BG44" s="493" cm="1">
        <f t="array" ref="BG44">IF(33=33,IF(AM44="","",SUMPRODUCT(--ISNUMBER(SEARCH(" "&amp;DJ547:DJ646&amp;" ",BP44)))),"")</f>
        <v>0</v>
      </c>
      <c r="BH44" s="493" cm="1">
        <f t="array" ref="BH44">IF(33=33,IF(AM44="","",SUMPRODUCT(--ISNUMBER(SEARCH(" "&amp;DJ647:DJ746&amp;" ",BP44)))),"")</f>
        <v>0</v>
      </c>
      <c r="BI44" s="493" cm="1">
        <f t="array" ref="BI44">IF(33=33,IF(AM44="","",SUMPRODUCT(--ISNUMBER(SEARCH(" "&amp;DJ747:DJ846&amp;" ",BP44)))),"")</f>
        <v>0</v>
      </c>
      <c r="BJ44" s="493" cm="1">
        <f t="array" ref="BJ44">IF(33=33,IF(AM44="","",SUMPRODUCT(--ISNUMBER(SEARCH(" "&amp;DJ847:DJ946&amp;" ",BP44)))),"")</f>
        <v>0</v>
      </c>
      <c r="BK44" s="493" cm="1">
        <f t="array" ref="BK44">IF(33=33,IF(AM44="","",SUMPRODUCT(--ISNUMBER(SEARCH(" "&amp;DJ947:DJ1046&amp;" ",BP44)))),"")</f>
        <v>0</v>
      </c>
      <c r="BL44" s="493" cm="1">
        <f t="array" ref="BL44">IF(33=33,IF(AM44="","",SUMPRODUCT(--ISNUMBER(SEARCH(" "&amp;DJ1047:DJ1146&amp;" ",BP44)))),"")</f>
        <v>0</v>
      </c>
      <c r="BM44" s="493" cm="1">
        <f t="array" ref="BM44">IF(33=33,IF(AM44="","",SUMPRODUCT(--ISNUMBER(SEARCH(" "&amp;DJ1147:DJ1246&amp;" ",BP44)))),"")</f>
        <v>0</v>
      </c>
      <c r="BN44" s="493" cm="1">
        <f t="array" ref="BN44">IF(33=33,IF(AM44="","",SUMPRODUCT(--ISNUMBER(SEARCH(" "&amp;DJ1247:DJ1346&amp;" ",BP44)))),"")</f>
        <v>0</v>
      </c>
      <c r="BO44" s="493" cm="1">
        <f t="array" ref="BO44">IF(33=33,IF(AM44="","",SUMPRODUCT(--ISNUMBER(SEARCH(" "&amp;DJ1347:DJ1374&amp;" ",BP44)))),"")</f>
        <v>0</v>
      </c>
      <c r="BP44" s="493" t="str">
        <f>IF(33=33,IF(AM44="","",SUBSTITUTE(SUBSTITUTE(SUBSTITUTE(SUBSTITUTE(SUBSTITUTE(SUBSTITUTE(SUBSTITUTE(SUBSTITUTE(SUBSTITUTE(AS44," "&amp;DJ1376&amp;" "," ")," "&amp;DJ1375&amp;" "," ")," "&amp;DJ1381&amp;" "," ")," "&amp;DJ1382&amp;" "," ")," "&amp;DJ1378&amp;" "," ")," "&amp;DJ1380&amp;" "," ")," "&amp;DJ1377&amp;" "," ")," "&amp;DJ1379&amp;" "," ")," "&amp;DJ1383&amp;" "," ")),"")</f>
        <v xml:space="preserve"> melangeant bien entre chaque ajout </v>
      </c>
      <c r="BQ44" s="493" cm="1">
        <f t="array" ref="BQ44">IF(33=33,IF(AM44="","",SUMPRODUCT(--ISNUMBER(SEARCH(" "&amp;DJ1384:DJ1394&amp;" ",BP44)))),"")</f>
        <v>0</v>
      </c>
      <c r="BR44" s="493" t="str" cm="1">
        <f t="array" ref="BR44">IF(33=33,IF(AM44="","",IF(SUM(BF44:BO44)+SUMPRODUCT(--ISNUMBER(SEARCH(" "&amp;DJ2432:DJ2433&amp;" ",BP44)))&gt;0,"X",IF(BQ44&gt;0,"?",""))),"")</f>
        <v/>
      </c>
      <c r="BS44" s="493" cm="1">
        <f t="array" ref="BS44">IF(33=33,IF(AM44="","",SUMPRODUCT(--ISNUMBER(SEARCH(" "&amp;DJ1395:DJ1415&amp;" ",AS44)))),"")</f>
        <v>0</v>
      </c>
      <c r="BT44" s="493" t="str">
        <f>IF(33=33,IF(AM44="","",IF((BS44)-(0)&gt;0,"X",IF((0)-(0)&gt;0,"?",""))),"")</f>
        <v/>
      </c>
      <c r="BU44" s="493" cm="1">
        <f t="array" ref="BU44">IF(33=33,IF(AM44="","",SUMPRODUCT(--ISNUMBER(SEARCH(" "&amp;DJ1416:DJ1453&amp;" ",BV44)))),"")</f>
        <v>0</v>
      </c>
      <c r="BV44" s="493" t="str">
        <f>IF(33=33,IF(AM44="","",SUBSTITUTE(SUBSTITUTE(AS44," "&amp;DJ1454&amp;" "," ")," "&amp;DJ1455&amp;" "," ")),"")</f>
        <v xml:space="preserve"> melangeant bien entre chaque ajout </v>
      </c>
      <c r="BW44" s="493" cm="1">
        <f t="array" ref="BW44">IF(33=33,IF(AM44="","",SUMPRODUCT(--ISNUMBER(SEARCH(" "&amp;DJ1456:DJ1466&amp;" ",BV44)))),"")</f>
        <v>0</v>
      </c>
      <c r="BX44" s="493" t="str">
        <f>IF(33=33,IF(AM44="","",IF(BU44&gt;0,"X",IF(BW44&gt;0,"?",""))),"")</f>
        <v/>
      </c>
      <c r="BY44" s="493" cm="1">
        <f t="array" ref="BY44">IF(33=33,IF(AM44="","",SUMPRODUCT(--ISNUMBER(SEARCH(" "&amp;DJ1467:DJ1566&amp;" ",CB44)))),"")</f>
        <v>0</v>
      </c>
      <c r="BZ44" s="493" cm="1">
        <f t="array" ref="BZ44">IF(33=33,IF(AM44="","",SUMPRODUCT(--ISNUMBER(SEARCH(" "&amp;DJ1567:DJ1666&amp;" ",CB44)))),"")</f>
        <v>0</v>
      </c>
      <c r="CA44" s="493" cm="1">
        <f t="array" ref="CA44">IF(33=33,IF(AM44="","",SUMPRODUCT(--ISNUMBER(SEARCH(" "&amp;DJ1667:DJ1750&amp;" ",CB44)))),"")</f>
        <v>0</v>
      </c>
      <c r="CB44" s="493" t="str">
        <f>IF(33=33,IF(AM44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44,"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melangeant bien entre chaque ajout </v>
      </c>
      <c r="CC44" s="493" cm="1">
        <f t="array" ref="CC44">IF(33=33,IF(AM44="","",SUMPRODUCT(--ISNUMBER(SEARCH(" "&amp;DJ1801:DJ1880&amp;" ",CD44)))+SUMPRODUCT(--ISNUMBER(SEARCH(" "&amp;DJ2451:DJ2464&amp;" ",CD44)))),"")</f>
        <v>0</v>
      </c>
      <c r="CD44" s="493" t="str">
        <f>IF(33=33,IF(AM44="","",SUBSTITUTE(SUBSTITUTE(SUBSTITUTE(SUBSTITUTE(SUBSTITUTE(SUBSTITUTE(SUBSTITUTE(SUBSTITUTE(SUBSTITUTE(SUBSTITUTE(SUBSTITUTE(SUBSTITUTE(SUBSTITUTE(CB44," "&amp;DJ1887&amp;" "," ")," "&amp;DJ1885&amp;" "," ")," "&amp;DJ2449&amp;" "," ")," "&amp;DJ2450&amp;" "," ")," "&amp;DJ1882&amp;" "," ")," "&amp;DJ1886&amp;" "," ")," "&amp;DJ1888&amp;" "," ")," "&amp;DJ1883&amp;" "," ")," "&amp;DJ1881&amp;" "," ")," "&amp;DJ1378&amp;" "," ")," "&amp;DJ1889&amp;" "," ")," "&amp;DJ1377&amp;" "," ")," "&amp;DJ1884&amp;" "," ")),"")</f>
        <v xml:space="preserve"> melangeant bien entre chaque ajout </v>
      </c>
      <c r="CE44" s="493" t="str" cm="1">
        <f t="array" ref="CE44">IF(33=33,IF(AM44="","",IF(SUM(BY44:CA44)+SUMPRODUCT(--ISNUMBER(SEARCH(" "&amp;DJ2434:DJ2435&amp;" ",CB44)))&gt;0,"X",IF(CC44&gt;0,"?",""))),"")</f>
        <v/>
      </c>
      <c r="CF44" s="493" cm="1">
        <f t="array" ref="CF44">IF(33=33,IF(AM44="","",SUMPRODUCT(--ISNUMBER(SEARCH(" "&amp;DJ1890:DJ1947&amp;" ",CG44)))),"")</f>
        <v>0</v>
      </c>
      <c r="CG44" s="493" t="str">
        <f>IF(33=33,IF(AM44="","",SUBSTITUTE(SUBSTITUTE(SUBSTITUTE(SUBSTITUTE(SUBSTITUTE(SUBSTITUTE(SUBSTITUTE(SUBSTITUTE(SUBSTITUTE(SUBSTITUTE(SUBSTITUTE(SUBSTITUTE(SUBSTITUTE(SUBSTITUTE(SUBSTITUTE(SUBSTITUTE(SUBSTITUTE(SUBSTITUTE(SUBSTITUTE(SUBSTITUTE(SUBSTITUTE(SUBSTITUTE(SUBSTITUTE(AS44,"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melangeant bien entre chaque ajout </v>
      </c>
      <c r="CH44" s="493" cm="1">
        <f t="array" ref="CH44">IF(33=33,IF(AM44="","",SUMPRODUCT(--ISNUMBER(SEARCH(" "&amp;DJ1971:DJ1987&amp;" ",CG44)))),"")</f>
        <v>0</v>
      </c>
      <c r="CI44" s="493" t="str">
        <f>IF(33=33,IF(AM44="","",IF(CF44&gt;0,"X",IF(CH44&gt;0,"?",""))),"")</f>
        <v/>
      </c>
      <c r="CJ44" s="493" cm="1">
        <f t="array" ref="CJ44">IF(33=33,IF(AM44="","",SUMPRODUCT(--ISNUMBER(SEARCH(" "&amp;DJ1988:DJ2001&amp;" ",AS44)))),"")</f>
        <v>0</v>
      </c>
      <c r="CK44" s="493" cm="1">
        <f t="array" ref="CK44">IF(33=33,IF(AM44="","",SUMPRODUCT(--ISNUMBER(SEARCH(" "&amp;DJ2002:DJ2016&amp;" ",AS44)))),"")</f>
        <v>0</v>
      </c>
      <c r="CL44" s="493" t="str">
        <f>IF(33=33,IF(AM44="","",IF((CJ44)-(0)&gt;0,"X",IF((CK44)-(0)&gt;0,"?",""))),"")</f>
        <v/>
      </c>
      <c r="CM44" s="493" cm="1">
        <f t="array" ref="CM44">IF(33=33,IF(AM44="","",SUMPRODUCT(--ISNUMBER(SEARCH(" "&amp;DJ2017:DJ2034&amp;" ",AS44)))),"")</f>
        <v>0</v>
      </c>
      <c r="CN44" s="493" cm="1">
        <f t="array" ref="CN44">IF(33=33,IF(AM44="","",SUMPRODUCT(--ISNUMBER(SEARCH(" "&amp;DJ2035:DJ2049&amp;" ",AS44)))),"")</f>
        <v>0</v>
      </c>
      <c r="CO44" s="493" t="str">
        <f>IF(33=33,IF(AM44="","",IF((CM44)-(0)&gt;0,"X",IF((CN44)-(0)&gt;0,"?",""))),"")</f>
        <v/>
      </c>
      <c r="CP44" s="493" cm="1">
        <f t="array" ref="CP44">IF(33=33,IF(AM44="","",SUMPRODUCT(--ISNUMBER(SEARCH(" "&amp;DJ2050:DJ2068&amp;" ",AS44)))),"")</f>
        <v>0</v>
      </c>
      <c r="CQ44" s="493" cm="1">
        <f t="array" ref="CQ44">IF(33=33,IF(AM44="","",SUMPRODUCT(--ISNUMBER(SEARCH(" "&amp;DJ2069:DJ2083&amp;" ",AS44)))),"")</f>
        <v>0</v>
      </c>
      <c r="CR44" s="493" t="str">
        <f>IF(33=33,IF(AM44="","",IF((CP44)-(0)&gt;0,"X",IF((CQ44)-(0)&gt;0,"?",""))),"")</f>
        <v/>
      </c>
      <c r="CS44" s="493" cm="1">
        <f t="array" ref="CS44">IF(33=33,IF(AM44="","",SUMPRODUCT(--ISNUMBER(SEARCH(" "&amp;DJ2084:DJ2104&amp;" ",AS44)))),"")</f>
        <v>0</v>
      </c>
      <c r="CT44" s="493" cm="1">
        <f t="array" ref="CT44">IF(33=33,IF(AM44="","",SUMPRODUCT(--ISNUMBER(SEARCH(" "&amp;DJ2105:DJ2144&amp;" ",SUBSTITUTE(SUBSTITUTE(AS44," "&amp;DJ1378&amp;" "," ")," "&amp;DJ1377&amp;" "," "))))+--ISNUMBER(SEARCH("poiré",AN44))),"")</f>
        <v>0</v>
      </c>
      <c r="CU44" s="493" t="str">
        <f>IF(33=33,IF(AM44="","",IF(OR(CS44&gt;0,ISNUMBER(SEARCH(" vinaigre de vin ",AS44)),ISNUMBER(SEARCH(" vinaigre au vin ",AS44))),"X",IF(CT44&gt;0,"?",""))),"")</f>
        <v/>
      </c>
      <c r="CV44" s="493" cm="1">
        <f t="array" ref="CV44">IF(33=33,IF(AM44="","",SUMPRODUCT(--ISNUMBER(SEARCH(" "&amp;DJ2145:DJ2157&amp;" ",AS44)))),"")</f>
        <v>0</v>
      </c>
      <c r="CW44" s="493" cm="1">
        <f t="array" ref="CW44">IF(33=33,IF(AM44="","",SUMPRODUCT(--ISNUMBER(SEARCH(" "&amp;DJ2158:DJ2163&amp;" ",AS44)))),"")</f>
        <v>0</v>
      </c>
      <c r="CX44" s="493" t="str">
        <f>IF(33=33,IF(AM44="","",IF((CV44)-(0)&gt;0,"X",IF((CW44)-(0)&gt;0,"?",""))),"")</f>
        <v/>
      </c>
      <c r="CY44" s="493" cm="1">
        <f t="array" ref="CY44">IF(33=33,IF(AM44="","",SUMPRODUCT(--ISNUMBER(SEARCH(" "&amp;DJ2164:DJ2263&amp;" ",DB44)))),"")</f>
        <v>0</v>
      </c>
      <c r="CZ44" s="493" cm="1">
        <f t="array" ref="CZ44">IF(33=33,IF(AM44="","",SUMPRODUCT(--ISNUMBER(SEARCH(" "&amp;DJ2264:DJ2363&amp;" ",DB44)))),"")</f>
        <v>0</v>
      </c>
      <c r="DA44" s="493" cm="1">
        <f t="array" ref="DA44">IF(33=33,IF(AM44="","",SUMPRODUCT(--ISNUMBER(SEARCH(" "&amp;DJ2364:DJ2406&amp;" ",DB44)))),"")</f>
        <v>0</v>
      </c>
      <c r="DB44" s="493" t="str">
        <f>IF(33=33,IF(AM44="","",SUBSTITUTE(SUBSTITUTE(SUBSTITUTE(SUBSTITUTE(SUBSTITUTE(SUBSTITUTE(SUBSTITUTE(SUBSTITUTE(SUBSTITUTE(SUBSTITUTE(SUBSTITUTE(SUBSTITUTE(SUBSTITUTE(SUBSTITUTE(SUBSTITUTE(SUBSTITUTE(AS44," "&amp;DJ2412&amp;" "," ")," "&amp;DJ2411&amp;" "," ")," "&amp;DJ2410&amp;" "," ")," "&amp;DJ2417&amp;" "," ")," "&amp;DJ2409&amp;" "," ")," "&amp;DJ2421&amp;" "," ")," "&amp;DJ2408&amp;" "," ")," "&amp;DJ2413&amp;" "," ")," "&amp;DJ2416&amp;" "," ")," "&amp;DJ2407&amp;" "," ")," "&amp;DJ2415&amp;" "," ")," "&amp;DJ2422&amp;" "," ")," "&amp;DJ2419&amp;" "," ")," "&amp;DJ2414&amp;" "," ")," "&amp;DJ2418&amp;" "," ")," "&amp;DJ2420&amp;" "," ")),"")</f>
        <v xml:space="preserve"> melangeant bien entre chaque ajout </v>
      </c>
      <c r="DC44" s="493" cm="1">
        <f t="array" ref="DC44">IF(33=33,IF(AM44="","",SUMPRODUCT(--ISNUMBER(SEARCH(" "&amp;DJ2423:DJ2427&amp;" ",DB44)))),"")</f>
        <v>0</v>
      </c>
      <c r="DD44" s="493" t="str">
        <f>IF(33=33,IF(AM44="","",IF(SUM(CY44:DA44)&gt;0,"X",IF(DC44&gt;0,"?",""))),"")</f>
        <v/>
      </c>
      <c r="DE44" s="494"/>
      <c r="DF44" s="496" t="s">
        <v>1200</v>
      </c>
      <c r="DG44" s="496" t="s">
        <v>1083</v>
      </c>
      <c r="DH44" s="496" t="s">
        <v>689</v>
      </c>
      <c r="DI44" s="496" t="s">
        <v>1201</v>
      </c>
      <c r="DJ44" s="496" t="s">
        <v>895</v>
      </c>
      <c r="DK44" s="496" t="s">
        <v>1085</v>
      </c>
      <c r="DL44" s="496" t="s">
        <v>1086</v>
      </c>
      <c r="DM44" s="496" t="s">
        <v>1087</v>
      </c>
      <c r="DN44" s="497" t="s">
        <v>1088</v>
      </c>
      <c r="DP44" s="543">
        <v>1</v>
      </c>
    </row>
    <row r="45" spans="2:120" ht="30" customHeight="1">
      <c r="B45" s="663" t="str">
        <f t="shared" si="0"/>
        <v/>
      </c>
      <c r="C45" s="663" t="str">
        <f t="shared" si="1"/>
        <v/>
      </c>
      <c r="D45" s="663" t="str">
        <f>IF(UPPER(TRIM(N11))="X",C45,B45)</f>
        <v/>
      </c>
      <c r="E45" s="663" cm="1">
        <f t="array" ref="E45">IF(H44&lt;&gt;"",E44,IF(E44="","",IFERROR(MATCH(TRUE(),INDEX(INDEX(K:K,E44+1):K203&lt;&gt;"",0),0)+E44,"")))</f>
        <v>38</v>
      </c>
      <c r="F45" s="663" t="str" cm="1">
        <f t="array" ref="F45">IF(E45="","",IF(H44&lt;&gt;"",H44,INDEX(D:D,E45)))</f>
        <v>6. Versez cette préparation sur les pommes, parsemez d’amandes effilées et ajoutez quelques noisettes de beurre.</v>
      </c>
      <c r="G45" s="663" t="str">
        <f t="shared" si="2"/>
        <v xml:space="preserve">6. Versez cette préparation sur les pommes, parsemez d’amandes effilées et </v>
      </c>
      <c r="H45" s="673" t="str">
        <f t="shared" si="3"/>
        <v>ajoutez quelques noisettes de beurre.</v>
      </c>
      <c r="I45" s="680" t="str">
        <f>IF(AND(F45&lt;&gt;"",N10&gt;0,M45&gt;N10),"Mot &gt; limite","")</f>
        <v/>
      </c>
      <c r="J45" s="674" t="str">
        <f>IF(K45="","",COUNTIF(K18:K45,"&lt;&gt;"))</f>
        <v/>
      </c>
      <c r="K45" s="675"/>
      <c r="L45" s="674" t="str">
        <f t="shared" si="4"/>
        <v/>
      </c>
      <c r="M45" s="643">
        <f>IF(OR(F45="",N10="",N10&lt;=0),"",IF(LEN(F45)&lt;=N10,LEN(F45),IFERROR(FIND("♦",SUBSTITUTE(LEFT(F45,N10)," ","♦",LEN(LEFT(F45,N10))-LEN(SUBSTITUTE(LEFT(F45,N10)," ","")))),FIND(" ",F45&amp;" ",N10+1)-1)))</f>
        <v>75</v>
      </c>
      <c r="N45" s="676">
        <f t="shared" si="5"/>
        <v>28</v>
      </c>
      <c r="O45" s="677" t="str">
        <f t="shared" si="6"/>
        <v xml:space="preserve">6. Versez cette préparation sur les pommes, parsemez d’amandes effilées et </v>
      </c>
      <c r="P45" s="676">
        <f t="shared" si="7"/>
        <v>11</v>
      </c>
      <c r="Q45" s="676">
        <f t="shared" si="8"/>
        <v>75</v>
      </c>
      <c r="S45" s="509">
        <v>28</v>
      </c>
      <c r="T45" s="678" t="str">
        <f t="shared" si="10"/>
        <v xml:space="preserve">6. Versez cette préparation sur les pommes, parsemez d’amandes effilées et </v>
      </c>
      <c r="U45" s="679" t="str">
        <f t="shared" si="9"/>
        <v>6. Versez cette préparation sur les pommes, parsemez d’amandes effilées et *</v>
      </c>
      <c r="V45" s="512" t="str">
        <f>IF(34=34,IF(T45="","",IF(W45="X",""&amp;"Céréales contenant du gluten","")&amp;IF(X45="X",IF(COUNTIF(W45:W45,"X")&gt;0,", ","")&amp;"Crustacés","")&amp;IF(Y45="X",IF(COUNTIF(W45:X45,"X")&gt;0,", ","")&amp;"Œufs","")&amp;IF(Z45="X",IF(COUNTIF(W45:Y45,"X")&gt;0,", ","")&amp;"Poissons","")&amp;IF(AA45="X",IF(COUNTIF(W45:Z45,"X")&gt;0,", ","")&amp;"Arachides","")&amp;IF(AB45="X",IF(COUNTIF(W45:AA45,"X")&gt;0,", ","")&amp;"Soja","")&amp;IF(AC45="X",IF(COUNTIF(W45:AB45,"X")&gt;0,", ","")&amp;"Lait","")&amp;IF(AD45="X",IF(COUNTIF(W45:AC45,"X")&gt;0,", ","")&amp;"Fruits à coque","")&amp;IF(AE45="X",IF(COUNTIF(W45:AD45,"X")&gt;0,", ","")&amp;"Céleri","")&amp;IF(AF45="X",IF(COUNTIF(W45:AE45,"X")&gt;0,", ","")&amp;"Moutarde","")&amp;IF(AG45="X",IF(COUNTIF(W45:AF45,"X")&gt;0,", ","")&amp;"Sésame","")&amp;IF(AH45="X",IF(COUNTIF(W45:AG45,"X")&gt;0,", ","")&amp;"Sulfites","")&amp;IF(AI45="X",IF(COUNTIF(W45:AH45,"X")&gt;0,", ","")&amp;"Lupin","")&amp;IF(AJ45="X",IF(COUNTIF(W45:AI45,"X")&gt;0,", ","")&amp;"Mollusques","")),"")</f>
        <v>Fruits à coque</v>
      </c>
      <c r="W45" s="513" t="str">
        <f>IF(34=34,IF(T45="","",AX45),"")</f>
        <v/>
      </c>
      <c r="X45" s="513" t="str">
        <f>IF(34=34,IF(T45="","",BA45),"")</f>
        <v/>
      </c>
      <c r="Y45" s="513" t="str">
        <f>IF(34=34,IF(T45="","",BE45),"")</f>
        <v/>
      </c>
      <c r="Z45" s="513" t="str">
        <f>IF(34=34,IF(T45="","",IF(ISNUMBER(SEARCH(" colin ",AS45)),"X",BR45)),"")</f>
        <v/>
      </c>
      <c r="AA45" s="513" t="str">
        <f>IF(34=34,IF(T45="","",BT45),"")</f>
        <v/>
      </c>
      <c r="AB45" s="513" t="str">
        <f>IF(34=34,IF(T45="","",BX45),"")</f>
        <v/>
      </c>
      <c r="AC45" s="513" t="str">
        <f>IF(34=34,IF(T45="","",CE45),"")</f>
        <v/>
      </c>
      <c r="AD45" s="513" t="str">
        <f>IF(34=34,IF(T45="","",CI45),"")</f>
        <v>X</v>
      </c>
      <c r="AE45" s="513" t="str">
        <f>IF(34=34,IF(T45="","",CL45),"")</f>
        <v/>
      </c>
      <c r="AF45" s="513" t="str">
        <f>IF(34=34,IF(T45="","",CO45),"")</f>
        <v/>
      </c>
      <c r="AG45" s="513" t="str">
        <f>IF(34=34,IF(T45="","",CR45),"")</f>
        <v/>
      </c>
      <c r="AH45" s="513" t="str">
        <f>IF(34=34,IF(T45="","",CU45),"")</f>
        <v/>
      </c>
      <c r="AI45" s="513" t="str">
        <f>IF(34=34,IF(T45="","",CX45),"")</f>
        <v/>
      </c>
      <c r="AJ45" s="513" t="str">
        <f>IF(34=34,IF(T45="","",DD45),"")</f>
        <v/>
      </c>
      <c r="AK45" s="514" t="str">
        <f>IF(34=34,IF(T45="","",IF(W45="?",""&amp;"Céréales contenant du gluten","")&amp;IF(X45="?",IF(COUNTIF(W45:W45,"~?")&gt;0,", ","")&amp;"Crustacés","")&amp;IF(Y45="?",IF(COUNTIF(W45:X45,"~?")&gt;0,", ","")&amp;"Œufs","")&amp;IF(Z45="?",IF(COUNTIF(W45:Y45,"~?")&gt;0,", ","")&amp;"Poissons","")&amp;IF(AA45="?",IF(COUNTIF(W45:Z45,"~?")&gt;0,", ","")&amp;"Arachides","")&amp;IF(AB45="?",IF(COUNTIF(W45:AA45,"~?")&gt;0,", ","")&amp;"Soja","")&amp;IF(AC45="?",IF(COUNTIF(W45:AB45,"~?")&gt;0,", ","")&amp;"Lait","")&amp;IF(AD45="?",IF(COUNTIF(W45:AC45,"~?")&gt;0,", ","")&amp;"Fruits à coque","")&amp;IF(AE45="?",IF(COUNTIF(W45:AD45,"~?")&gt;0,", ","")&amp;"Céleri","")&amp;IF(AF45="?",IF(COUNTIF(W45:AE45,"~?")&gt;0,", ","")&amp;"Moutarde","")&amp;IF(AG45="?",IF(COUNTIF(W45:AF45,"~?")&gt;0,", ","")&amp;"Sésame","")&amp;IF(AH45="?",IF(COUNTIF(W45:AG45,"~?")&gt;0,", ","")&amp;"Sulfites","")&amp;IF(AI45="?",IF(COUNTIF(W45:AH45,"~?")&gt;0,", ","")&amp;"Lupin","")&amp;IF(AJ45="?",IF(COUNTIF(W45:AI45,"~?")&gt;0,", ","")&amp;"Mollusques","")),"")</f>
        <v/>
      </c>
      <c r="AM45" s="493" t="str">
        <f>IF(34=34,IF(T45="","",T45),"")</f>
        <v xml:space="preserve">6. Versez cette préparation sur les pommes, parsemez d’amandes effilées et </v>
      </c>
      <c r="AN45" s="493" t="str">
        <f>IF(34=34,LOWER(CLEAN(SUBSTITUTE(SUBSTITUTE(SUBSTITUTE(SUBSTITUTE(AM45,CHAR(160)," ")," "," "),CHAR(10)," "),CHAR(13)," "))),"")</f>
        <v xml:space="preserve">6. versez cette préparation sur les pommes, parsemez d’amandes effilées et </v>
      </c>
      <c r="AO45" s="493" t="str">
        <f>IF(34=34,SUBSTITUTE(SUBSTITUTE(SUBSTITUTE(SUBSTITUTE(SUBSTITUTE(SUBSTITUTE(SUBSTITUTE(SUBSTITUTE(SUBSTITUTE(SUBSTITUTE(SUBSTITUTE(SUBSTITUTE(AN45,"œ","oe"),"æ","ae"),"à","a"),"á","a"),"â","a"),"ä","a"),"ã","a"),"ç","c"),"è","e"),"é","e"),"ê","e"),"ë","e"),"")</f>
        <v xml:space="preserve">6. versez cette preparation sur les pommes, parsemez d’amandes effilees et </v>
      </c>
      <c r="AP45" s="493" t="str">
        <f>IF(34=34,SUBSTITUTE(SUBSTITUTE(SUBSTITUTE(SUBSTITUTE(SUBSTITUTE(SUBSTITUTE(SUBSTITUTE(SUBSTITUTE(SUBSTITUTE(SUBSTITUTE(SUBSTITUTE(SUBSTITUTE(SUBSTITUTE(SUBSTITUTE(SUBSTITUTE(SUBSTITUTE(AO45,"ì","i"),"í","i"),"î","i"),"ï","i"),"ñ","n"),"ò","o"),"ó","o"),"ô","o"),"ö","o"),"õ","o"),"ù","u"),"ú","u"),"û","u"),"ü","u"),"ý","y"),"ÿ","y"),"")</f>
        <v xml:space="preserve">6. versez cette preparation sur les pommes, parsemez d’amandes effilees et </v>
      </c>
      <c r="AQ45" s="493" t="str">
        <f>IF(34=34,SUBSTITUTE(SUBSTITUTE(SUBSTITUTE(SUBSTITUTE(SUBSTITUTE(SUBSTITUTE(SUBSTITUTE(SUBSTITUTE(SUBSTITUTE(SUBSTITUTE(SUBSTITUTE(SUBSTITUTE(SUBSTITUTE(SUBSTITUTE(AP45,"’"," "),"`"," "),"–"," "),"—"," "),"-"," "),"'"," "),"/"," "),"_"," "),","," "),"."," "),"("," "),")"," "),";"," "),":"," "),"")</f>
        <v xml:space="preserve">6  versez cette preparation sur les pommes  parsemez d amandes effilees et </v>
      </c>
      <c r="AR45" s="493" t="str">
        <f>IF(34=34,SUBSTITUTE(SUBSTITUTE(SUBSTITUTE(SUBSTITUTE(SUBSTITUTE(SUBSTITUTE(SUBSTITUTE(SUBSTITUTE(SUBSTITUTE(SUBSTITUTE(SUBSTITUTE(SUBSTITUTE(SUBSTITUTE(SUBSTITUTE(SUBSTITUTE(AQ45,"!"," "),"?"," "),"+"," "),"*"," "),"&amp;"," "),"["," "),"]"," "),"{"," "),"}"," "),"%"," "),"="," "),"\"," "),"|"," "),"&lt;"," "),"&gt;"," "),"")</f>
        <v xml:space="preserve">6  versez cette preparation sur les pommes  parsemez d amandes effilees et </v>
      </c>
      <c r="AS45" s="493" t="str">
        <f>IF(34=34," "&amp;TRIM(SUBSTITUTE(SUBSTITUTE(SUBSTITUTE(SUBSTITUTE(SUBSTITUTE(SUBSTITUTE(AR45,CHAR(34)," "),"  "," "),"  "," "),"  "," "),"  "," "),"  "," "))&amp;" ","")</f>
        <v xml:space="preserve"> 6 versez cette preparation sur les pommes parsemez d amandes effilees et </v>
      </c>
      <c r="AT45" s="493" cm="1">
        <f t="array" ref="AT45">IF(34=34,IF(AM45="","",SUMPRODUCT(--ISNUMBER(SEARCH(" "&amp;DJ13:DJ112&amp;" ",AV45)))),"")</f>
        <v>0</v>
      </c>
      <c r="AU45" s="493" cm="1">
        <f t="array" ref="AU45">IF(34=34,IF(AM45="","",SUMPRODUCT(--ISNUMBER(SEARCH(" "&amp;DJ113:DJ162&amp;" ",AV45)))),"")</f>
        <v>0</v>
      </c>
      <c r="AV45" s="493" t="str">
        <f>IF(AM45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45,"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6 versez cette preparation sur les pommes parsemez d amandes effilees et </v>
      </c>
      <c r="AW45" s="493" cm="1">
        <f t="array" ref="AW45">IF(AM45="","",SUMPRODUCT(--ISNUMBER(SEARCH(" "&amp;DJ195:DJ216&amp;" ",AV45)))+--ISNUMBER(SEARCH(" "&amp;DJ2465&amp;" ",AV45)))</f>
        <v>0</v>
      </c>
      <c r="AX45" s="493" t="str" cm="1">
        <f t="array" ref="AX45">IF(34=34,IF(AM45="","",IF(SUM(AT45:AU45)+SUMPRODUCT(--ISNUMBER(SEARCH(" "&amp;DJ2429:DJ2431&amp;" ",AV45)))&gt;0,"X",IF(AW45&gt;0,"?",""))),"")</f>
        <v/>
      </c>
      <c r="AY45" s="493" cm="1">
        <f t="array" ref="AY45">IF(34=34,IF(AM45="","",SUMPRODUCT(--ISNUMBER(SEARCH(" "&amp;DJ217:DJ316&amp;" ",AS45)))),"")</f>
        <v>0</v>
      </c>
      <c r="AZ45" s="493" cm="1">
        <f t="array" ref="AZ45">IF(34=34,IF(AM45="","",SUMPRODUCT(--ISNUMBER(SEARCH(" "&amp;DJ317:DJ351&amp;" ",AS45)))),"")</f>
        <v>0</v>
      </c>
      <c r="BA45" s="493" t="str">
        <f>IF(34=34,IF(AM45="","",IF((SUM(AY45:AZ45))-(0)&gt;0,"X",IF((0)-(0)&gt;0,"?",""))),"")</f>
        <v/>
      </c>
      <c r="BB45" s="493" cm="1">
        <f t="array" ref="BB45">IF(34=34,IF(AM45="","",SUMPRODUCT(--ISNUMBER(SEARCH(" "&amp;DJ352:DJ409&amp;" ",AS45)))),"")</f>
        <v>0</v>
      </c>
      <c r="BC45" s="493" cm="1">
        <f t="array" ref="BC45">IF(34=34,IF(AM45="","",SUMPRODUCT(--ISNUMBER(SEARCH(" "&amp;DJ410:DJ437&amp;" ",BD45)))+SUMPRODUCT(--ISNUMBER(SEARCH(" "&amp;DJ2451:DJ2464&amp;" ",BD45)))),"")</f>
        <v>0</v>
      </c>
      <c r="BD45" s="493" t="str">
        <f>IF(34=34,IF(AM45="","",SUBSTITUTE(SUBSTITUTE(SUBSTITUTE(SUBSTITUTE(SUBSTITUTE(SUBSTITUTE(SUBSTITUTE(SUBSTITUTE(SUBSTITUTE(SUBSTITUTE(SUBSTITUTE(SUBSTITUTE(SUBSTITUTE(SUBSTITUTE(AS45," "&amp;DJ2466&amp;" "," ")," "&amp;DJ444&amp;" "," ")," "&amp;DJ442&amp;" "," ")," "&amp;DJ2449&amp;" "," ")," "&amp;DJ2450&amp;" "," ")," "&amp;DJ439&amp;" "," ")," "&amp;DJ443&amp;" "," ")," "&amp;DJ445&amp;" "," ")," "&amp;DJ440&amp;" "," ")," "&amp;DJ438&amp;" "," ")," "&amp;DJ1378&amp;" "," ")," "&amp;DJ446&amp;" "," ")," "&amp;DJ1377&amp;" "," ")," "&amp;DJ441&amp;" "," ")),"")</f>
        <v xml:space="preserve"> 6 versez cette preparation sur les pommes parsemez d amandes effilees et </v>
      </c>
      <c r="BE45" s="493" t="str">
        <f>IF(34=34,IF(AM45="","",IF(BB45&gt;0,"X",IF(BC45&gt;0,"?",""))),"")</f>
        <v/>
      </c>
      <c r="BF45" s="493" cm="1">
        <f t="array" ref="BF45">IF(34=34,IF(AM45="","",SUMPRODUCT(--ISNUMBER(SEARCH(" "&amp;DJ447:DJ546&amp;" ",BP45)))),"")</f>
        <v>0</v>
      </c>
      <c r="BG45" s="493" cm="1">
        <f t="array" ref="BG45">IF(34=34,IF(AM45="","",SUMPRODUCT(--ISNUMBER(SEARCH(" "&amp;DJ547:DJ646&amp;" ",BP45)))),"")</f>
        <v>0</v>
      </c>
      <c r="BH45" s="493" cm="1">
        <f t="array" ref="BH45">IF(34=34,IF(AM45="","",SUMPRODUCT(--ISNUMBER(SEARCH(" "&amp;DJ647:DJ746&amp;" ",BP45)))),"")</f>
        <v>0</v>
      </c>
      <c r="BI45" s="493" cm="1">
        <f t="array" ref="BI45">IF(34=34,IF(AM45="","",SUMPRODUCT(--ISNUMBER(SEARCH(" "&amp;DJ747:DJ846&amp;" ",BP45)))),"")</f>
        <v>0</v>
      </c>
      <c r="BJ45" s="493" cm="1">
        <f t="array" ref="BJ45">IF(34=34,IF(AM45="","",SUMPRODUCT(--ISNUMBER(SEARCH(" "&amp;DJ847:DJ946&amp;" ",BP45)))),"")</f>
        <v>0</v>
      </c>
      <c r="BK45" s="493" cm="1">
        <f t="array" ref="BK45">IF(34=34,IF(AM45="","",SUMPRODUCT(--ISNUMBER(SEARCH(" "&amp;DJ947:DJ1046&amp;" ",BP45)))),"")</f>
        <v>0</v>
      </c>
      <c r="BL45" s="493" cm="1">
        <f t="array" ref="BL45">IF(34=34,IF(AM45="","",SUMPRODUCT(--ISNUMBER(SEARCH(" "&amp;DJ1047:DJ1146&amp;" ",BP45)))),"")</f>
        <v>0</v>
      </c>
      <c r="BM45" s="493" cm="1">
        <f t="array" ref="BM45">IF(34=34,IF(AM45="","",SUMPRODUCT(--ISNUMBER(SEARCH(" "&amp;DJ1147:DJ1246&amp;" ",BP45)))),"")</f>
        <v>0</v>
      </c>
      <c r="BN45" s="493" cm="1">
        <f t="array" ref="BN45">IF(34=34,IF(AM45="","",SUMPRODUCT(--ISNUMBER(SEARCH(" "&amp;DJ1247:DJ1346&amp;" ",BP45)))),"")</f>
        <v>0</v>
      </c>
      <c r="BO45" s="493" cm="1">
        <f t="array" ref="BO45">IF(34=34,IF(AM45="","",SUMPRODUCT(--ISNUMBER(SEARCH(" "&amp;DJ1347:DJ1374&amp;" ",BP45)))),"")</f>
        <v>0</v>
      </c>
      <c r="BP45" s="493" t="str">
        <f>IF(34=34,IF(AM45="","",SUBSTITUTE(SUBSTITUTE(SUBSTITUTE(SUBSTITUTE(SUBSTITUTE(SUBSTITUTE(SUBSTITUTE(SUBSTITUTE(SUBSTITUTE(AS45," "&amp;DJ1376&amp;" "," ")," "&amp;DJ1375&amp;" "," ")," "&amp;DJ1381&amp;" "," ")," "&amp;DJ1382&amp;" "," ")," "&amp;DJ1378&amp;" "," ")," "&amp;DJ1380&amp;" "," ")," "&amp;DJ1377&amp;" "," ")," "&amp;DJ1379&amp;" "," ")," "&amp;DJ1383&amp;" "," ")),"")</f>
        <v xml:space="preserve"> 6 versez cette preparation sur les pommes parsemez d amandes effilees et </v>
      </c>
      <c r="BQ45" s="493" cm="1">
        <f t="array" ref="BQ45">IF(34=34,IF(AM45="","",SUMPRODUCT(--ISNUMBER(SEARCH(" "&amp;DJ1384:DJ1394&amp;" ",BP45)))),"")</f>
        <v>0</v>
      </c>
      <c r="BR45" s="493" t="str" cm="1">
        <f t="array" ref="BR45">IF(34=34,IF(AM45="","",IF(SUM(BF45:BO45)+SUMPRODUCT(--ISNUMBER(SEARCH(" "&amp;DJ2432:DJ2433&amp;" ",BP45)))&gt;0,"X",IF(BQ45&gt;0,"?",""))),"")</f>
        <v/>
      </c>
      <c r="BS45" s="493" cm="1">
        <f t="array" ref="BS45">IF(34=34,IF(AM45="","",SUMPRODUCT(--ISNUMBER(SEARCH(" "&amp;DJ1395:DJ1415&amp;" ",AS45)))),"")</f>
        <v>0</v>
      </c>
      <c r="BT45" s="493" t="str">
        <f>IF(34=34,IF(AM45="","",IF((BS45)-(0)&gt;0,"X",IF((0)-(0)&gt;0,"?",""))),"")</f>
        <v/>
      </c>
      <c r="BU45" s="493" cm="1">
        <f t="array" ref="BU45">IF(34=34,IF(AM45="","",SUMPRODUCT(--ISNUMBER(SEARCH(" "&amp;DJ1416:DJ1453&amp;" ",BV45)))),"")</f>
        <v>0</v>
      </c>
      <c r="BV45" s="493" t="str">
        <f>IF(34=34,IF(AM45="","",SUBSTITUTE(SUBSTITUTE(AS45," "&amp;DJ1454&amp;" "," ")," "&amp;DJ1455&amp;" "," ")),"")</f>
        <v xml:space="preserve"> 6 versez cette preparation sur les pommes parsemez d amandes effilees et </v>
      </c>
      <c r="BW45" s="493" cm="1">
        <f t="array" ref="BW45">IF(34=34,IF(AM45="","",SUMPRODUCT(--ISNUMBER(SEARCH(" "&amp;DJ1456:DJ1466&amp;" ",BV45)))),"")</f>
        <v>0</v>
      </c>
      <c r="BX45" s="493" t="str">
        <f>IF(34=34,IF(AM45="","",IF(BU45&gt;0,"X",IF(BW45&gt;0,"?",""))),"")</f>
        <v/>
      </c>
      <c r="BY45" s="493" cm="1">
        <f t="array" ref="BY45">IF(34=34,IF(AM45="","",SUMPRODUCT(--ISNUMBER(SEARCH(" "&amp;DJ1467:DJ1566&amp;" ",CB45)))),"")</f>
        <v>0</v>
      </c>
      <c r="BZ45" s="493" cm="1">
        <f t="array" ref="BZ45">IF(34=34,IF(AM45="","",SUMPRODUCT(--ISNUMBER(SEARCH(" "&amp;DJ1567:DJ1666&amp;" ",CB45)))),"")</f>
        <v>0</v>
      </c>
      <c r="CA45" s="493" cm="1">
        <f t="array" ref="CA45">IF(34=34,IF(AM45="","",SUMPRODUCT(--ISNUMBER(SEARCH(" "&amp;DJ1667:DJ1750&amp;" ",CB45)))),"")</f>
        <v>0</v>
      </c>
      <c r="CB45" s="493" t="str">
        <f>IF(34=34,IF(AM45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45,"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6 versez cette preparation sur les pommes parsemez d amandes effilees et </v>
      </c>
      <c r="CC45" s="493" cm="1">
        <f t="array" ref="CC45">IF(34=34,IF(AM45="","",SUMPRODUCT(--ISNUMBER(SEARCH(" "&amp;DJ1801:DJ1880&amp;" ",CD45)))+SUMPRODUCT(--ISNUMBER(SEARCH(" "&amp;DJ2451:DJ2464&amp;" ",CD45)))),"")</f>
        <v>0</v>
      </c>
      <c r="CD45" s="493" t="str">
        <f>IF(34=34,IF(AM45="","",SUBSTITUTE(SUBSTITUTE(SUBSTITUTE(SUBSTITUTE(SUBSTITUTE(SUBSTITUTE(SUBSTITUTE(SUBSTITUTE(SUBSTITUTE(SUBSTITUTE(SUBSTITUTE(SUBSTITUTE(SUBSTITUTE(CB45," "&amp;DJ1887&amp;" "," ")," "&amp;DJ1885&amp;" "," ")," "&amp;DJ2449&amp;" "," ")," "&amp;DJ2450&amp;" "," ")," "&amp;DJ1882&amp;" "," ")," "&amp;DJ1886&amp;" "," ")," "&amp;DJ1888&amp;" "," ")," "&amp;DJ1883&amp;" "," ")," "&amp;DJ1881&amp;" "," ")," "&amp;DJ1378&amp;" "," ")," "&amp;DJ1889&amp;" "," ")," "&amp;DJ1377&amp;" "," ")," "&amp;DJ1884&amp;" "," ")),"")</f>
        <v xml:space="preserve"> 6 versez cette preparation sur les pommes parsemez d amandes effilees et </v>
      </c>
      <c r="CE45" s="493" t="str" cm="1">
        <f t="array" ref="CE45">IF(34=34,IF(AM45="","",IF(SUM(BY45:CA45)+SUMPRODUCT(--ISNUMBER(SEARCH(" "&amp;DJ2434:DJ2435&amp;" ",CB45)))&gt;0,"X",IF(CC45&gt;0,"?",""))),"")</f>
        <v/>
      </c>
      <c r="CF45" s="493" cm="1">
        <f t="array" ref="CF45">IF(34=34,IF(AM45="","",SUMPRODUCT(--ISNUMBER(SEARCH(" "&amp;DJ1890:DJ1947&amp;" ",CG45)))),"")</f>
        <v>1</v>
      </c>
      <c r="CG45" s="493" t="str">
        <f>IF(34=34,IF(AM45="","",SUBSTITUTE(SUBSTITUTE(SUBSTITUTE(SUBSTITUTE(SUBSTITUTE(SUBSTITUTE(SUBSTITUTE(SUBSTITUTE(SUBSTITUTE(SUBSTITUTE(SUBSTITUTE(SUBSTITUTE(SUBSTITUTE(SUBSTITUTE(SUBSTITUTE(SUBSTITUTE(SUBSTITUTE(SUBSTITUTE(SUBSTITUTE(SUBSTITUTE(SUBSTITUTE(SUBSTITUTE(SUBSTITUTE(AS45,"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6 versez cette preparation sur les pommes parsemez d amandes effilees et </v>
      </c>
      <c r="CH45" s="493" cm="1">
        <f t="array" ref="CH45">IF(34=34,IF(AM45="","",SUMPRODUCT(--ISNUMBER(SEARCH(" "&amp;DJ1971:DJ1987&amp;" ",CG45)))),"")</f>
        <v>0</v>
      </c>
      <c r="CI45" s="493" t="str">
        <f>IF(34=34,IF(AM45="","",IF(CF45&gt;0,"X",IF(CH45&gt;0,"?",""))),"")</f>
        <v>X</v>
      </c>
      <c r="CJ45" s="493" cm="1">
        <f t="array" ref="CJ45">IF(34=34,IF(AM45="","",SUMPRODUCT(--ISNUMBER(SEARCH(" "&amp;DJ1988:DJ2001&amp;" ",AS45)))),"")</f>
        <v>0</v>
      </c>
      <c r="CK45" s="493" cm="1">
        <f t="array" ref="CK45">IF(34=34,IF(AM45="","",SUMPRODUCT(--ISNUMBER(SEARCH(" "&amp;DJ2002:DJ2016&amp;" ",AS45)))),"")</f>
        <v>0</v>
      </c>
      <c r="CL45" s="493" t="str">
        <f>IF(34=34,IF(AM45="","",IF((CJ45)-(0)&gt;0,"X",IF((CK45)-(0)&gt;0,"?",""))),"")</f>
        <v/>
      </c>
      <c r="CM45" s="493" cm="1">
        <f t="array" ref="CM45">IF(34=34,IF(AM45="","",SUMPRODUCT(--ISNUMBER(SEARCH(" "&amp;DJ2017:DJ2034&amp;" ",AS45)))),"")</f>
        <v>0</v>
      </c>
      <c r="CN45" s="493" cm="1">
        <f t="array" ref="CN45">IF(34=34,IF(AM45="","",SUMPRODUCT(--ISNUMBER(SEARCH(" "&amp;DJ2035:DJ2049&amp;" ",AS45)))),"")</f>
        <v>0</v>
      </c>
      <c r="CO45" s="493" t="str">
        <f>IF(34=34,IF(AM45="","",IF((CM45)-(0)&gt;0,"X",IF((CN45)-(0)&gt;0,"?",""))),"")</f>
        <v/>
      </c>
      <c r="CP45" s="493" cm="1">
        <f t="array" ref="CP45">IF(34=34,IF(AM45="","",SUMPRODUCT(--ISNUMBER(SEARCH(" "&amp;DJ2050:DJ2068&amp;" ",AS45)))),"")</f>
        <v>0</v>
      </c>
      <c r="CQ45" s="493" cm="1">
        <f t="array" ref="CQ45">IF(34=34,IF(AM45="","",SUMPRODUCT(--ISNUMBER(SEARCH(" "&amp;DJ2069:DJ2083&amp;" ",AS45)))),"")</f>
        <v>0</v>
      </c>
      <c r="CR45" s="493" t="str">
        <f>IF(34=34,IF(AM45="","",IF((CP45)-(0)&gt;0,"X",IF((CQ45)-(0)&gt;0,"?",""))),"")</f>
        <v/>
      </c>
      <c r="CS45" s="493" cm="1">
        <f t="array" ref="CS45">IF(34=34,IF(AM45="","",SUMPRODUCT(--ISNUMBER(SEARCH(" "&amp;DJ2084:DJ2104&amp;" ",AS45)))),"")</f>
        <v>0</v>
      </c>
      <c r="CT45" s="493" cm="1">
        <f t="array" ref="CT45">IF(34=34,IF(AM45="","",SUMPRODUCT(--ISNUMBER(SEARCH(" "&amp;DJ2105:DJ2144&amp;" ",SUBSTITUTE(SUBSTITUTE(AS45," "&amp;DJ1378&amp;" "," ")," "&amp;DJ1377&amp;" "," "))))+--ISNUMBER(SEARCH("poiré",AN45))),"")</f>
        <v>0</v>
      </c>
      <c r="CU45" s="493" t="str">
        <f>IF(34=34,IF(AM45="","",IF(OR(CS45&gt;0,ISNUMBER(SEARCH(" vinaigre de vin ",AS45)),ISNUMBER(SEARCH(" vinaigre au vin ",AS45))),"X",IF(CT45&gt;0,"?",""))),"")</f>
        <v/>
      </c>
      <c r="CV45" s="493" cm="1">
        <f t="array" ref="CV45">IF(34=34,IF(AM45="","",SUMPRODUCT(--ISNUMBER(SEARCH(" "&amp;DJ2145:DJ2157&amp;" ",AS45)))),"")</f>
        <v>0</v>
      </c>
      <c r="CW45" s="493" cm="1">
        <f t="array" ref="CW45">IF(34=34,IF(AM45="","",SUMPRODUCT(--ISNUMBER(SEARCH(" "&amp;DJ2158:DJ2163&amp;" ",AS45)))),"")</f>
        <v>0</v>
      </c>
      <c r="CX45" s="493" t="str">
        <f>IF(34=34,IF(AM45="","",IF((CV45)-(0)&gt;0,"X",IF((CW45)-(0)&gt;0,"?",""))),"")</f>
        <v/>
      </c>
      <c r="CY45" s="493" cm="1">
        <f t="array" ref="CY45">IF(34=34,IF(AM45="","",SUMPRODUCT(--ISNUMBER(SEARCH(" "&amp;DJ2164:DJ2263&amp;" ",DB45)))),"")</f>
        <v>0</v>
      </c>
      <c r="CZ45" s="493" cm="1">
        <f t="array" ref="CZ45">IF(34=34,IF(AM45="","",SUMPRODUCT(--ISNUMBER(SEARCH(" "&amp;DJ2264:DJ2363&amp;" ",DB45)))),"")</f>
        <v>0</v>
      </c>
      <c r="DA45" s="493" cm="1">
        <f t="array" ref="DA45">IF(34=34,IF(AM45="","",SUMPRODUCT(--ISNUMBER(SEARCH(" "&amp;DJ2364:DJ2406&amp;" ",DB45)))),"")</f>
        <v>0</v>
      </c>
      <c r="DB45" s="493" t="str">
        <f>IF(34=34,IF(AM45="","",SUBSTITUTE(SUBSTITUTE(SUBSTITUTE(SUBSTITUTE(SUBSTITUTE(SUBSTITUTE(SUBSTITUTE(SUBSTITUTE(SUBSTITUTE(SUBSTITUTE(SUBSTITUTE(SUBSTITUTE(SUBSTITUTE(SUBSTITUTE(SUBSTITUTE(SUBSTITUTE(AS45," "&amp;DJ2412&amp;" "," ")," "&amp;DJ2411&amp;" "," ")," "&amp;DJ2410&amp;" "," ")," "&amp;DJ2417&amp;" "," ")," "&amp;DJ2409&amp;" "," ")," "&amp;DJ2421&amp;" "," ")," "&amp;DJ2408&amp;" "," ")," "&amp;DJ2413&amp;" "," ")," "&amp;DJ2416&amp;" "," ")," "&amp;DJ2407&amp;" "," ")," "&amp;DJ2415&amp;" "," ")," "&amp;DJ2422&amp;" "," ")," "&amp;DJ2419&amp;" "," ")," "&amp;DJ2414&amp;" "," ")," "&amp;DJ2418&amp;" "," ")," "&amp;DJ2420&amp;" "," ")),"")</f>
        <v xml:space="preserve"> 6 versez cette preparation sur les pommes parsemez d amandes effilees et </v>
      </c>
      <c r="DC45" s="493" cm="1">
        <f t="array" ref="DC45">IF(34=34,IF(AM45="","",SUMPRODUCT(--ISNUMBER(SEARCH(" "&amp;DJ2423:DJ2427&amp;" ",DB45)))),"")</f>
        <v>0</v>
      </c>
      <c r="DD45" s="493" t="str">
        <f>IF(34=34,IF(AM45="","",IF(SUM(CY45:DA45)&gt;0,"X",IF(DC45&gt;0,"?",""))),"")</f>
        <v/>
      </c>
      <c r="DE45" s="494"/>
      <c r="DF45" s="496" t="s">
        <v>1202</v>
      </c>
      <c r="DG45" s="496" t="s">
        <v>1083</v>
      </c>
      <c r="DH45" s="496" t="s">
        <v>689</v>
      </c>
      <c r="DI45" s="496" t="s">
        <v>1203</v>
      </c>
      <c r="DJ45" s="496" t="s">
        <v>896</v>
      </c>
      <c r="DK45" s="496" t="s">
        <v>1085</v>
      </c>
      <c r="DL45" s="496" t="s">
        <v>1086</v>
      </c>
      <c r="DM45" s="496" t="s">
        <v>1087</v>
      </c>
      <c r="DN45" s="497" t="s">
        <v>1088</v>
      </c>
      <c r="DP45" s="543">
        <v>1</v>
      </c>
    </row>
    <row r="46" spans="2:120" ht="30" customHeight="1">
      <c r="B46" s="663" t="str">
        <f t="shared" si="0"/>
        <v/>
      </c>
      <c r="C46" s="663" t="str">
        <f t="shared" si="1"/>
        <v/>
      </c>
      <c r="D46" s="663" t="str">
        <f>IF(UPPER(TRIM(N11))="X",C46,B46)</f>
        <v/>
      </c>
      <c r="E46" s="663" cm="1">
        <f t="array" ref="E46">IF(H45&lt;&gt;"",E45,IF(E45="","",IFERROR(MATCH(TRUE(),INDEX(INDEX(K:K,E45+1):K203&lt;&gt;"",0),0)+E45,"")))</f>
        <v>38</v>
      </c>
      <c r="F46" s="663" t="str" cm="1">
        <f t="array" ref="F46">IF(E46="","",IF(H45&lt;&gt;"",H45,INDEX(D:D,E46)))</f>
        <v>ajoutez quelques noisettes de beurre.</v>
      </c>
      <c r="G46" s="663" t="str">
        <f t="shared" si="2"/>
        <v>ajoutez quelques noisettes de beurre.</v>
      </c>
      <c r="H46" s="673" t="str">
        <f t="shared" si="3"/>
        <v/>
      </c>
      <c r="I46" s="680" t="str">
        <f>IF(AND(F46&lt;&gt;"",N10&gt;0,M46&gt;N10),"Mot &gt; limite","")</f>
        <v/>
      </c>
      <c r="J46" s="674" t="str">
        <f>IF(K46="","",COUNTIF(K18:K46,"&lt;&gt;"))</f>
        <v/>
      </c>
      <c r="K46" s="675"/>
      <c r="L46" s="674" t="str">
        <f t="shared" si="4"/>
        <v/>
      </c>
      <c r="M46" s="643">
        <f>IF(OR(F46="",N10="",N10&lt;=0),"",IF(LEN(F46)&lt;=N10,LEN(F46),IFERROR(FIND("♦",SUBSTITUTE(LEFT(F46,N10)," ","♦",LEN(LEFT(F46,N10))-LEN(SUBSTITUTE(LEFT(F46,N10)," ","")))),FIND(" ",F46&amp;" ",N10+1)-1)))</f>
        <v>37</v>
      </c>
      <c r="N46" s="676">
        <f t="shared" si="5"/>
        <v>29</v>
      </c>
      <c r="O46" s="677" t="str">
        <f t="shared" si="6"/>
        <v>ajoutez quelques noisettes de beurre.</v>
      </c>
      <c r="P46" s="676">
        <f t="shared" si="7"/>
        <v>5</v>
      </c>
      <c r="Q46" s="676">
        <f t="shared" si="8"/>
        <v>37</v>
      </c>
      <c r="S46" s="509">
        <v>29</v>
      </c>
      <c r="T46" s="678" t="str">
        <f t="shared" si="10"/>
        <v>ajoutez quelques noisettes de beurre.</v>
      </c>
      <c r="U46" s="679" t="str">
        <f t="shared" si="9"/>
        <v>ajoutez quelques noisettes de beurre. *</v>
      </c>
      <c r="V46" s="512" t="str">
        <f>IF(35=35,IF(T46="","",IF(W46="X",""&amp;"Céréales contenant du gluten","")&amp;IF(X46="X",IF(COUNTIF(W46:W46,"X")&gt;0,", ","")&amp;"Crustacés","")&amp;IF(Y46="X",IF(COUNTIF(W46:X46,"X")&gt;0,", ","")&amp;"Œufs","")&amp;IF(Z46="X",IF(COUNTIF(W46:Y46,"X")&gt;0,", ","")&amp;"Poissons","")&amp;IF(AA46="X",IF(COUNTIF(W46:Z46,"X")&gt;0,", ","")&amp;"Arachides","")&amp;IF(AB46="X",IF(COUNTIF(W46:AA46,"X")&gt;0,", ","")&amp;"Soja","")&amp;IF(AC46="X",IF(COUNTIF(W46:AB46,"X")&gt;0,", ","")&amp;"Lait","")&amp;IF(AD46="X",IF(COUNTIF(W46:AC46,"X")&gt;0,", ","")&amp;"Fruits à coque","")&amp;IF(AE46="X",IF(COUNTIF(W46:AD46,"X")&gt;0,", ","")&amp;"Céleri","")&amp;IF(AF46="X",IF(COUNTIF(W46:AE46,"X")&gt;0,", ","")&amp;"Moutarde","")&amp;IF(AG46="X",IF(COUNTIF(W46:AF46,"X")&gt;0,", ","")&amp;"Sésame","")&amp;IF(AH46="X",IF(COUNTIF(W46:AG46,"X")&gt;0,", ","")&amp;"Sulfites","")&amp;IF(AI46="X",IF(COUNTIF(W46:AH46,"X")&gt;0,", ","")&amp;"Lupin","")&amp;IF(AJ46="X",IF(COUNTIF(W46:AI46,"X")&gt;0,", ","")&amp;"Mollusques","")),"")</f>
        <v>Lait, Fruits à coque</v>
      </c>
      <c r="W46" s="513" t="str">
        <f>IF(35=35,IF(T46="","",AX46),"")</f>
        <v/>
      </c>
      <c r="X46" s="513" t="str">
        <f>IF(35=35,IF(T46="","",BA46),"")</f>
        <v/>
      </c>
      <c r="Y46" s="513" t="str">
        <f>IF(35=35,IF(T46="","",BE46),"")</f>
        <v/>
      </c>
      <c r="Z46" s="513" t="str">
        <f>IF(35=35,IF(T46="","",IF(ISNUMBER(SEARCH(" colin ",AS46)),"X",BR46)),"")</f>
        <v/>
      </c>
      <c r="AA46" s="513" t="str">
        <f>IF(35=35,IF(T46="","",BT46),"")</f>
        <v/>
      </c>
      <c r="AB46" s="513" t="str">
        <f>IF(35=35,IF(T46="","",BX46),"")</f>
        <v/>
      </c>
      <c r="AC46" s="513" t="str">
        <f>IF(35=35,IF(T46="","",CE46),"")</f>
        <v>X</v>
      </c>
      <c r="AD46" s="513" t="str">
        <f>IF(35=35,IF(T46="","",CI46),"")</f>
        <v>X</v>
      </c>
      <c r="AE46" s="513" t="str">
        <f>IF(35=35,IF(T46="","",CL46),"")</f>
        <v/>
      </c>
      <c r="AF46" s="513" t="str">
        <f>IF(35=35,IF(T46="","",CO46),"")</f>
        <v/>
      </c>
      <c r="AG46" s="513" t="str">
        <f>IF(35=35,IF(T46="","",CR46),"")</f>
        <v/>
      </c>
      <c r="AH46" s="513" t="str">
        <f>IF(35=35,IF(T46="","",CU46),"")</f>
        <v/>
      </c>
      <c r="AI46" s="513" t="str">
        <f>IF(35=35,IF(T46="","",CX46),"")</f>
        <v/>
      </c>
      <c r="AJ46" s="513" t="str">
        <f>IF(35=35,IF(T46="","",DD46),"")</f>
        <v/>
      </c>
      <c r="AK46" s="514" t="str">
        <f>IF(35=35,IF(T46="","",IF(W46="?",""&amp;"Céréales contenant du gluten","")&amp;IF(X46="?",IF(COUNTIF(W46:W46,"~?")&gt;0,", ","")&amp;"Crustacés","")&amp;IF(Y46="?",IF(COUNTIF(W46:X46,"~?")&gt;0,", ","")&amp;"Œufs","")&amp;IF(Z46="?",IF(COUNTIF(W46:Y46,"~?")&gt;0,", ","")&amp;"Poissons","")&amp;IF(AA46="?",IF(COUNTIF(W46:Z46,"~?")&gt;0,", ","")&amp;"Arachides","")&amp;IF(AB46="?",IF(COUNTIF(W46:AA46,"~?")&gt;0,", ","")&amp;"Soja","")&amp;IF(AC46="?",IF(COUNTIF(W46:AB46,"~?")&gt;0,", ","")&amp;"Lait","")&amp;IF(AD46="?",IF(COUNTIF(W46:AC46,"~?")&gt;0,", ","")&amp;"Fruits à coque","")&amp;IF(AE46="?",IF(COUNTIF(W46:AD46,"~?")&gt;0,", ","")&amp;"Céleri","")&amp;IF(AF46="?",IF(COUNTIF(W46:AE46,"~?")&gt;0,", ","")&amp;"Moutarde","")&amp;IF(AG46="?",IF(COUNTIF(W46:AF46,"~?")&gt;0,", ","")&amp;"Sésame","")&amp;IF(AH46="?",IF(COUNTIF(W46:AG46,"~?")&gt;0,", ","")&amp;"Sulfites","")&amp;IF(AI46="?",IF(COUNTIF(W46:AH46,"~?")&gt;0,", ","")&amp;"Lupin","")&amp;IF(AJ46="?",IF(COUNTIF(W46:AI46,"~?")&gt;0,", ","")&amp;"Mollusques","")),"")</f>
        <v/>
      </c>
      <c r="AM46" s="493" t="str">
        <f>IF(35=35,IF(T46="","",T46),"")</f>
        <v>ajoutez quelques noisettes de beurre.</v>
      </c>
      <c r="AN46" s="493" t="str">
        <f>IF(35=35,LOWER(CLEAN(SUBSTITUTE(SUBSTITUTE(SUBSTITUTE(SUBSTITUTE(AM46,CHAR(160)," ")," "," "),CHAR(10)," "),CHAR(13)," "))),"")</f>
        <v>ajoutez quelques noisettes de beurre.</v>
      </c>
      <c r="AO46" s="493" t="str">
        <f>IF(35=35,SUBSTITUTE(SUBSTITUTE(SUBSTITUTE(SUBSTITUTE(SUBSTITUTE(SUBSTITUTE(SUBSTITUTE(SUBSTITUTE(SUBSTITUTE(SUBSTITUTE(SUBSTITUTE(SUBSTITUTE(AN46,"œ","oe"),"æ","ae"),"à","a"),"á","a"),"â","a"),"ä","a"),"ã","a"),"ç","c"),"è","e"),"é","e"),"ê","e"),"ë","e"),"")</f>
        <v>ajoutez quelques noisettes de beurre.</v>
      </c>
      <c r="AP46" s="493" t="str">
        <f>IF(35=35,SUBSTITUTE(SUBSTITUTE(SUBSTITUTE(SUBSTITUTE(SUBSTITUTE(SUBSTITUTE(SUBSTITUTE(SUBSTITUTE(SUBSTITUTE(SUBSTITUTE(SUBSTITUTE(SUBSTITUTE(SUBSTITUTE(SUBSTITUTE(SUBSTITUTE(SUBSTITUTE(AO46,"ì","i"),"í","i"),"î","i"),"ï","i"),"ñ","n"),"ò","o"),"ó","o"),"ô","o"),"ö","o"),"õ","o"),"ù","u"),"ú","u"),"û","u"),"ü","u"),"ý","y"),"ÿ","y"),"")</f>
        <v>ajoutez quelques noisettes de beurre.</v>
      </c>
      <c r="AQ46" s="493" t="str">
        <f>IF(35=35,SUBSTITUTE(SUBSTITUTE(SUBSTITUTE(SUBSTITUTE(SUBSTITUTE(SUBSTITUTE(SUBSTITUTE(SUBSTITUTE(SUBSTITUTE(SUBSTITUTE(SUBSTITUTE(SUBSTITUTE(SUBSTITUTE(SUBSTITUTE(AP46,"’"," "),"`"," "),"–"," "),"—"," "),"-"," "),"'"," "),"/"," "),"_"," "),","," "),"."," "),"("," "),")"," "),";"," "),":"," "),"")</f>
        <v xml:space="preserve">ajoutez quelques noisettes de beurre </v>
      </c>
      <c r="AR46" s="493" t="str">
        <f>IF(35=35,SUBSTITUTE(SUBSTITUTE(SUBSTITUTE(SUBSTITUTE(SUBSTITUTE(SUBSTITUTE(SUBSTITUTE(SUBSTITUTE(SUBSTITUTE(SUBSTITUTE(SUBSTITUTE(SUBSTITUTE(SUBSTITUTE(SUBSTITUTE(SUBSTITUTE(AQ46,"!"," "),"?"," "),"+"," "),"*"," "),"&amp;"," "),"["," "),"]"," "),"{"," "),"}"," "),"%"," "),"="," "),"\"," "),"|"," "),"&lt;"," "),"&gt;"," "),"")</f>
        <v xml:space="preserve">ajoutez quelques noisettes de beurre </v>
      </c>
      <c r="AS46" s="493" t="str">
        <f>IF(35=35," "&amp;TRIM(SUBSTITUTE(SUBSTITUTE(SUBSTITUTE(SUBSTITUTE(SUBSTITUTE(SUBSTITUTE(AR46,CHAR(34)," "),"  "," "),"  "," "),"  "," "),"  "," "),"  "," "))&amp;" ","")</f>
        <v xml:space="preserve"> ajoutez quelques noisettes de beurre </v>
      </c>
      <c r="AT46" s="493" cm="1">
        <f t="array" ref="AT46">IF(35=35,IF(AM46="","",SUMPRODUCT(--ISNUMBER(SEARCH(" "&amp;DJ13:DJ112&amp;" ",AV46)))),"")</f>
        <v>0</v>
      </c>
      <c r="AU46" s="493" cm="1">
        <f t="array" ref="AU46">IF(35=35,IF(AM46="","",SUMPRODUCT(--ISNUMBER(SEARCH(" "&amp;DJ113:DJ162&amp;" ",AV46)))),"")</f>
        <v>0</v>
      </c>
      <c r="AV46" s="493" t="str">
        <f>IF(AM46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46,"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ajoutez quelques noisettes de beurre </v>
      </c>
      <c r="AW46" s="493" cm="1">
        <f t="array" ref="AW46">IF(AM46="","",SUMPRODUCT(--ISNUMBER(SEARCH(" "&amp;DJ195:DJ216&amp;" ",AV46)))+--ISNUMBER(SEARCH(" "&amp;DJ2465&amp;" ",AV46)))</f>
        <v>0</v>
      </c>
      <c r="AX46" s="493" t="str" cm="1">
        <f t="array" ref="AX46">IF(35=35,IF(AM46="","",IF(SUM(AT46:AU46)+SUMPRODUCT(--ISNUMBER(SEARCH(" "&amp;DJ2429:DJ2431&amp;" ",AV46)))&gt;0,"X",IF(AW46&gt;0,"?",""))),"")</f>
        <v/>
      </c>
      <c r="AY46" s="493" cm="1">
        <f t="array" ref="AY46">IF(35=35,IF(AM46="","",SUMPRODUCT(--ISNUMBER(SEARCH(" "&amp;DJ217:DJ316&amp;" ",AS46)))),"")</f>
        <v>0</v>
      </c>
      <c r="AZ46" s="493" cm="1">
        <f t="array" ref="AZ46">IF(35=35,IF(AM46="","",SUMPRODUCT(--ISNUMBER(SEARCH(" "&amp;DJ317:DJ351&amp;" ",AS46)))),"")</f>
        <v>0</v>
      </c>
      <c r="BA46" s="493" t="str">
        <f>IF(35=35,IF(AM46="","",IF((SUM(AY46:AZ46))-(0)&gt;0,"X",IF((0)-(0)&gt;0,"?",""))),"")</f>
        <v/>
      </c>
      <c r="BB46" s="493" cm="1">
        <f t="array" ref="BB46">IF(35=35,IF(AM46="","",SUMPRODUCT(--ISNUMBER(SEARCH(" "&amp;DJ352:DJ409&amp;" ",AS46)))),"")</f>
        <v>0</v>
      </c>
      <c r="BC46" s="493" cm="1">
        <f t="array" ref="BC46">IF(35=35,IF(AM46="","",SUMPRODUCT(--ISNUMBER(SEARCH(" "&amp;DJ410:DJ437&amp;" ",BD46)))+SUMPRODUCT(--ISNUMBER(SEARCH(" "&amp;DJ2451:DJ2464&amp;" ",BD46)))),"")</f>
        <v>0</v>
      </c>
      <c r="BD46" s="493" t="str">
        <f>IF(35=35,IF(AM46="","",SUBSTITUTE(SUBSTITUTE(SUBSTITUTE(SUBSTITUTE(SUBSTITUTE(SUBSTITUTE(SUBSTITUTE(SUBSTITUTE(SUBSTITUTE(SUBSTITUTE(SUBSTITUTE(SUBSTITUTE(SUBSTITUTE(SUBSTITUTE(AS46," "&amp;DJ2466&amp;" "," ")," "&amp;DJ444&amp;" "," ")," "&amp;DJ442&amp;" "," ")," "&amp;DJ2449&amp;" "," ")," "&amp;DJ2450&amp;" "," ")," "&amp;DJ439&amp;" "," ")," "&amp;DJ443&amp;" "," ")," "&amp;DJ445&amp;" "," ")," "&amp;DJ440&amp;" "," ")," "&amp;DJ438&amp;" "," ")," "&amp;DJ1378&amp;" "," ")," "&amp;DJ446&amp;" "," ")," "&amp;DJ1377&amp;" "," ")," "&amp;DJ441&amp;" "," ")),"")</f>
        <v xml:space="preserve"> ajoutez quelques noisettes de beurre </v>
      </c>
      <c r="BE46" s="493" t="str">
        <f>IF(35=35,IF(AM46="","",IF(BB46&gt;0,"X",IF(BC46&gt;0,"?",""))),"")</f>
        <v/>
      </c>
      <c r="BF46" s="493" cm="1">
        <f t="array" ref="BF46">IF(35=35,IF(AM46="","",SUMPRODUCT(--ISNUMBER(SEARCH(" "&amp;DJ447:DJ546&amp;" ",BP46)))),"")</f>
        <v>0</v>
      </c>
      <c r="BG46" s="493" cm="1">
        <f t="array" ref="BG46">IF(35=35,IF(AM46="","",SUMPRODUCT(--ISNUMBER(SEARCH(" "&amp;DJ547:DJ646&amp;" ",BP46)))),"")</f>
        <v>0</v>
      </c>
      <c r="BH46" s="493" cm="1">
        <f t="array" ref="BH46">IF(35=35,IF(AM46="","",SUMPRODUCT(--ISNUMBER(SEARCH(" "&amp;DJ647:DJ746&amp;" ",BP46)))),"")</f>
        <v>0</v>
      </c>
      <c r="BI46" s="493" cm="1">
        <f t="array" ref="BI46">IF(35=35,IF(AM46="","",SUMPRODUCT(--ISNUMBER(SEARCH(" "&amp;DJ747:DJ846&amp;" ",BP46)))),"")</f>
        <v>0</v>
      </c>
      <c r="BJ46" s="493" cm="1">
        <f t="array" ref="BJ46">IF(35=35,IF(AM46="","",SUMPRODUCT(--ISNUMBER(SEARCH(" "&amp;DJ847:DJ946&amp;" ",BP46)))),"")</f>
        <v>0</v>
      </c>
      <c r="BK46" s="493" cm="1">
        <f t="array" ref="BK46">IF(35=35,IF(AM46="","",SUMPRODUCT(--ISNUMBER(SEARCH(" "&amp;DJ947:DJ1046&amp;" ",BP46)))),"")</f>
        <v>0</v>
      </c>
      <c r="BL46" s="493" cm="1">
        <f t="array" ref="BL46">IF(35=35,IF(AM46="","",SUMPRODUCT(--ISNUMBER(SEARCH(" "&amp;DJ1047:DJ1146&amp;" ",BP46)))),"")</f>
        <v>0</v>
      </c>
      <c r="BM46" s="493" cm="1">
        <f t="array" ref="BM46">IF(35=35,IF(AM46="","",SUMPRODUCT(--ISNUMBER(SEARCH(" "&amp;DJ1147:DJ1246&amp;" ",BP46)))),"")</f>
        <v>0</v>
      </c>
      <c r="BN46" s="493" cm="1">
        <f t="array" ref="BN46">IF(35=35,IF(AM46="","",SUMPRODUCT(--ISNUMBER(SEARCH(" "&amp;DJ1247:DJ1346&amp;" ",BP46)))),"")</f>
        <v>0</v>
      </c>
      <c r="BO46" s="493" cm="1">
        <f t="array" ref="BO46">IF(35=35,IF(AM46="","",SUMPRODUCT(--ISNUMBER(SEARCH(" "&amp;DJ1347:DJ1374&amp;" ",BP46)))),"")</f>
        <v>0</v>
      </c>
      <c r="BP46" s="493" t="str">
        <f>IF(35=35,IF(AM46="","",SUBSTITUTE(SUBSTITUTE(SUBSTITUTE(SUBSTITUTE(SUBSTITUTE(SUBSTITUTE(SUBSTITUTE(SUBSTITUTE(SUBSTITUTE(AS46," "&amp;DJ1376&amp;" "," ")," "&amp;DJ1375&amp;" "," ")," "&amp;DJ1381&amp;" "," ")," "&amp;DJ1382&amp;" "," ")," "&amp;DJ1378&amp;" "," ")," "&amp;DJ1380&amp;" "," ")," "&amp;DJ1377&amp;" "," ")," "&amp;DJ1379&amp;" "," ")," "&amp;DJ1383&amp;" "," ")),"")</f>
        <v xml:space="preserve"> ajoutez quelques noisettes de beurre </v>
      </c>
      <c r="BQ46" s="493" cm="1">
        <f t="array" ref="BQ46">IF(35=35,IF(AM46="","",SUMPRODUCT(--ISNUMBER(SEARCH(" "&amp;DJ1384:DJ1394&amp;" ",BP46)))),"")</f>
        <v>0</v>
      </c>
      <c r="BR46" s="493" t="str" cm="1">
        <f t="array" ref="BR46">IF(35=35,IF(AM46="","",IF(SUM(BF46:BO46)+SUMPRODUCT(--ISNUMBER(SEARCH(" "&amp;DJ2432:DJ2433&amp;" ",BP46)))&gt;0,"X",IF(BQ46&gt;0,"?",""))),"")</f>
        <v/>
      </c>
      <c r="BS46" s="493" cm="1">
        <f t="array" ref="BS46">IF(35=35,IF(AM46="","",SUMPRODUCT(--ISNUMBER(SEARCH(" "&amp;DJ1395:DJ1415&amp;" ",AS46)))),"")</f>
        <v>0</v>
      </c>
      <c r="BT46" s="493" t="str">
        <f>IF(35=35,IF(AM46="","",IF((BS46)-(0)&gt;0,"X",IF((0)-(0)&gt;0,"?",""))),"")</f>
        <v/>
      </c>
      <c r="BU46" s="493" cm="1">
        <f t="array" ref="BU46">IF(35=35,IF(AM46="","",SUMPRODUCT(--ISNUMBER(SEARCH(" "&amp;DJ1416:DJ1453&amp;" ",BV46)))),"")</f>
        <v>0</v>
      </c>
      <c r="BV46" s="493" t="str">
        <f>IF(35=35,IF(AM46="","",SUBSTITUTE(SUBSTITUTE(AS46," "&amp;DJ1454&amp;" "," ")," "&amp;DJ1455&amp;" "," ")),"")</f>
        <v xml:space="preserve"> ajoutez quelques noisettes de beurre </v>
      </c>
      <c r="BW46" s="493" cm="1">
        <f t="array" ref="BW46">IF(35=35,IF(AM46="","",SUMPRODUCT(--ISNUMBER(SEARCH(" "&amp;DJ1456:DJ1466&amp;" ",BV46)))),"")</f>
        <v>0</v>
      </c>
      <c r="BX46" s="493" t="str">
        <f>IF(35=35,IF(AM46="","",IF(BU46&gt;0,"X",IF(BW46&gt;0,"?",""))),"")</f>
        <v/>
      </c>
      <c r="BY46" s="493" cm="1">
        <f t="array" ref="BY46">IF(35=35,IF(AM46="","",SUMPRODUCT(--ISNUMBER(SEARCH(" "&amp;DJ1467:DJ1566&amp;" ",CB46)))),"")</f>
        <v>1</v>
      </c>
      <c r="BZ46" s="493" cm="1">
        <f t="array" ref="BZ46">IF(35=35,IF(AM46="","",SUMPRODUCT(--ISNUMBER(SEARCH(" "&amp;DJ1567:DJ1666&amp;" ",CB46)))),"")</f>
        <v>0</v>
      </c>
      <c r="CA46" s="493" cm="1">
        <f t="array" ref="CA46">IF(35=35,IF(AM46="","",SUMPRODUCT(--ISNUMBER(SEARCH(" "&amp;DJ1667:DJ1750&amp;" ",CB46)))),"")</f>
        <v>0</v>
      </c>
      <c r="CB46" s="493" t="str">
        <f>IF(35=35,IF(AM46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46,"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ajoutez quelques noisettes de beurre </v>
      </c>
      <c r="CC46" s="493" cm="1">
        <f t="array" ref="CC46">IF(35=35,IF(AM46="","",SUMPRODUCT(--ISNUMBER(SEARCH(" "&amp;DJ1801:DJ1880&amp;" ",CD46)))+SUMPRODUCT(--ISNUMBER(SEARCH(" "&amp;DJ2451:DJ2464&amp;" ",CD46)))),"")</f>
        <v>0</v>
      </c>
      <c r="CD46" s="493" t="str">
        <f>IF(35=35,IF(AM46="","",SUBSTITUTE(SUBSTITUTE(SUBSTITUTE(SUBSTITUTE(SUBSTITUTE(SUBSTITUTE(SUBSTITUTE(SUBSTITUTE(SUBSTITUTE(SUBSTITUTE(SUBSTITUTE(SUBSTITUTE(SUBSTITUTE(CB46," "&amp;DJ1887&amp;" "," ")," "&amp;DJ1885&amp;" "," ")," "&amp;DJ2449&amp;" "," ")," "&amp;DJ2450&amp;" "," ")," "&amp;DJ1882&amp;" "," ")," "&amp;DJ1886&amp;" "," ")," "&amp;DJ1888&amp;" "," ")," "&amp;DJ1883&amp;" "," ")," "&amp;DJ1881&amp;" "," ")," "&amp;DJ1378&amp;" "," ")," "&amp;DJ1889&amp;" "," ")," "&amp;DJ1377&amp;" "," ")," "&amp;DJ1884&amp;" "," ")),"")</f>
        <v xml:space="preserve"> ajoutez quelques noisettes de beurre </v>
      </c>
      <c r="CE46" s="493" t="str" cm="1">
        <f t="array" ref="CE46">IF(35=35,IF(AM46="","",IF(SUM(BY46:CA46)+SUMPRODUCT(--ISNUMBER(SEARCH(" "&amp;DJ2434:DJ2435&amp;" ",CB46)))&gt;0,"X",IF(CC46&gt;0,"?",""))),"")</f>
        <v>X</v>
      </c>
      <c r="CF46" s="493" cm="1">
        <f t="array" ref="CF46">IF(35=35,IF(AM46="","",SUMPRODUCT(--ISNUMBER(SEARCH(" "&amp;DJ1890:DJ1947&amp;" ",CG46)))),"")</f>
        <v>1</v>
      </c>
      <c r="CG46" s="493" t="str">
        <f>IF(35=35,IF(AM46="","",SUBSTITUTE(SUBSTITUTE(SUBSTITUTE(SUBSTITUTE(SUBSTITUTE(SUBSTITUTE(SUBSTITUTE(SUBSTITUTE(SUBSTITUTE(SUBSTITUTE(SUBSTITUTE(SUBSTITUTE(SUBSTITUTE(SUBSTITUTE(SUBSTITUTE(SUBSTITUTE(SUBSTITUTE(SUBSTITUTE(SUBSTITUTE(SUBSTITUTE(SUBSTITUTE(SUBSTITUTE(SUBSTITUTE(AS46,"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ajoutez quelques noisettes de beurre </v>
      </c>
      <c r="CH46" s="493" cm="1">
        <f t="array" ref="CH46">IF(35=35,IF(AM46="","",SUMPRODUCT(--ISNUMBER(SEARCH(" "&amp;DJ1971:DJ1987&amp;" ",CG46)))),"")</f>
        <v>0</v>
      </c>
      <c r="CI46" s="493" t="str">
        <f>IF(35=35,IF(AM46="","",IF(CF46&gt;0,"X",IF(CH46&gt;0,"?",""))),"")</f>
        <v>X</v>
      </c>
      <c r="CJ46" s="493" cm="1">
        <f t="array" ref="CJ46">IF(35=35,IF(AM46="","",SUMPRODUCT(--ISNUMBER(SEARCH(" "&amp;DJ1988:DJ2001&amp;" ",AS46)))),"")</f>
        <v>0</v>
      </c>
      <c r="CK46" s="493" cm="1">
        <f t="array" ref="CK46">IF(35=35,IF(AM46="","",SUMPRODUCT(--ISNUMBER(SEARCH(" "&amp;DJ2002:DJ2016&amp;" ",AS46)))),"")</f>
        <v>0</v>
      </c>
      <c r="CL46" s="493" t="str">
        <f>IF(35=35,IF(AM46="","",IF((CJ46)-(0)&gt;0,"X",IF((CK46)-(0)&gt;0,"?",""))),"")</f>
        <v/>
      </c>
      <c r="CM46" s="493" cm="1">
        <f t="array" ref="CM46">IF(35=35,IF(AM46="","",SUMPRODUCT(--ISNUMBER(SEARCH(" "&amp;DJ2017:DJ2034&amp;" ",AS46)))),"")</f>
        <v>0</v>
      </c>
      <c r="CN46" s="493" cm="1">
        <f t="array" ref="CN46">IF(35=35,IF(AM46="","",SUMPRODUCT(--ISNUMBER(SEARCH(" "&amp;DJ2035:DJ2049&amp;" ",AS46)))),"")</f>
        <v>0</v>
      </c>
      <c r="CO46" s="493" t="str">
        <f>IF(35=35,IF(AM46="","",IF((CM46)-(0)&gt;0,"X",IF((CN46)-(0)&gt;0,"?",""))),"")</f>
        <v/>
      </c>
      <c r="CP46" s="493" cm="1">
        <f t="array" ref="CP46">IF(35=35,IF(AM46="","",SUMPRODUCT(--ISNUMBER(SEARCH(" "&amp;DJ2050:DJ2068&amp;" ",AS46)))),"")</f>
        <v>0</v>
      </c>
      <c r="CQ46" s="493" cm="1">
        <f t="array" ref="CQ46">IF(35=35,IF(AM46="","",SUMPRODUCT(--ISNUMBER(SEARCH(" "&amp;DJ2069:DJ2083&amp;" ",AS46)))),"")</f>
        <v>0</v>
      </c>
      <c r="CR46" s="493" t="str">
        <f>IF(35=35,IF(AM46="","",IF((CP46)-(0)&gt;0,"X",IF((CQ46)-(0)&gt;0,"?",""))),"")</f>
        <v/>
      </c>
      <c r="CS46" s="493" cm="1">
        <f t="array" ref="CS46">IF(35=35,IF(AM46="","",SUMPRODUCT(--ISNUMBER(SEARCH(" "&amp;DJ2084:DJ2104&amp;" ",AS46)))),"")</f>
        <v>0</v>
      </c>
      <c r="CT46" s="493" cm="1">
        <f t="array" ref="CT46">IF(35=35,IF(AM46="","",SUMPRODUCT(--ISNUMBER(SEARCH(" "&amp;DJ2105:DJ2144&amp;" ",SUBSTITUTE(SUBSTITUTE(AS46," "&amp;DJ1378&amp;" "," ")," "&amp;DJ1377&amp;" "," "))))+--ISNUMBER(SEARCH("poiré",AN46))),"")</f>
        <v>0</v>
      </c>
      <c r="CU46" s="493" t="str">
        <f>IF(35=35,IF(AM46="","",IF(OR(CS46&gt;0,ISNUMBER(SEARCH(" vinaigre de vin ",AS46)),ISNUMBER(SEARCH(" vinaigre au vin ",AS46))),"X",IF(CT46&gt;0,"?",""))),"")</f>
        <v/>
      </c>
      <c r="CV46" s="493" cm="1">
        <f t="array" ref="CV46">IF(35=35,IF(AM46="","",SUMPRODUCT(--ISNUMBER(SEARCH(" "&amp;DJ2145:DJ2157&amp;" ",AS46)))),"")</f>
        <v>0</v>
      </c>
      <c r="CW46" s="493" cm="1">
        <f t="array" ref="CW46">IF(35=35,IF(AM46="","",SUMPRODUCT(--ISNUMBER(SEARCH(" "&amp;DJ2158:DJ2163&amp;" ",AS46)))),"")</f>
        <v>0</v>
      </c>
      <c r="CX46" s="493" t="str">
        <f>IF(35=35,IF(AM46="","",IF((CV46)-(0)&gt;0,"X",IF((CW46)-(0)&gt;0,"?",""))),"")</f>
        <v/>
      </c>
      <c r="CY46" s="493" cm="1">
        <f t="array" ref="CY46">IF(35=35,IF(AM46="","",SUMPRODUCT(--ISNUMBER(SEARCH(" "&amp;DJ2164:DJ2263&amp;" ",DB46)))),"")</f>
        <v>0</v>
      </c>
      <c r="CZ46" s="493" cm="1">
        <f t="array" ref="CZ46">IF(35=35,IF(AM46="","",SUMPRODUCT(--ISNUMBER(SEARCH(" "&amp;DJ2264:DJ2363&amp;" ",DB46)))),"")</f>
        <v>0</v>
      </c>
      <c r="DA46" s="493" cm="1">
        <f t="array" ref="DA46">IF(35=35,IF(AM46="","",SUMPRODUCT(--ISNUMBER(SEARCH(" "&amp;DJ2364:DJ2406&amp;" ",DB46)))),"")</f>
        <v>0</v>
      </c>
      <c r="DB46" s="493" t="str">
        <f>IF(35=35,IF(AM46="","",SUBSTITUTE(SUBSTITUTE(SUBSTITUTE(SUBSTITUTE(SUBSTITUTE(SUBSTITUTE(SUBSTITUTE(SUBSTITUTE(SUBSTITUTE(SUBSTITUTE(SUBSTITUTE(SUBSTITUTE(SUBSTITUTE(SUBSTITUTE(SUBSTITUTE(SUBSTITUTE(AS46," "&amp;DJ2412&amp;" "," ")," "&amp;DJ2411&amp;" "," ")," "&amp;DJ2410&amp;" "," ")," "&amp;DJ2417&amp;" "," ")," "&amp;DJ2409&amp;" "," ")," "&amp;DJ2421&amp;" "," ")," "&amp;DJ2408&amp;" "," ")," "&amp;DJ2413&amp;" "," ")," "&amp;DJ2416&amp;" "," ")," "&amp;DJ2407&amp;" "," ")," "&amp;DJ2415&amp;" "," ")," "&amp;DJ2422&amp;" "," ")," "&amp;DJ2419&amp;" "," ")," "&amp;DJ2414&amp;" "," ")," "&amp;DJ2418&amp;" "," ")," "&amp;DJ2420&amp;" "," ")),"")</f>
        <v xml:space="preserve"> ajoutez quelques noisettes de beurre </v>
      </c>
      <c r="DC46" s="493" cm="1">
        <f t="array" ref="DC46">IF(35=35,IF(AM46="","",SUMPRODUCT(--ISNUMBER(SEARCH(" "&amp;DJ2423:DJ2427&amp;" ",DB46)))),"")</f>
        <v>0</v>
      </c>
      <c r="DD46" s="493" t="str">
        <f>IF(35=35,IF(AM46="","",IF(SUM(CY46:DA46)&gt;0,"X",IF(DC46&gt;0,"?",""))),"")</f>
        <v/>
      </c>
      <c r="DE46" s="494"/>
      <c r="DF46" s="496" t="s">
        <v>1204</v>
      </c>
      <c r="DG46" s="496" t="s">
        <v>1083</v>
      </c>
      <c r="DH46" s="496" t="s">
        <v>689</v>
      </c>
      <c r="DI46" s="496" t="s">
        <v>897</v>
      </c>
      <c r="DJ46" s="496" t="s">
        <v>897</v>
      </c>
      <c r="DK46" s="496" t="s">
        <v>1085</v>
      </c>
      <c r="DL46" s="496" t="s">
        <v>1086</v>
      </c>
      <c r="DM46" s="496" t="s">
        <v>1087</v>
      </c>
      <c r="DN46" s="497" t="s">
        <v>1088</v>
      </c>
      <c r="DP46" s="543">
        <v>1</v>
      </c>
    </row>
    <row r="47" spans="2:120" ht="30" customHeight="1">
      <c r="B47" s="663" t="str">
        <f t="shared" si="0"/>
        <v/>
      </c>
      <c r="C47" s="663" t="str">
        <f t="shared" si="1"/>
        <v/>
      </c>
      <c r="D47" s="663" t="str">
        <f>IF(UPPER(TRIM(N11))="X",C47,B47)</f>
        <v/>
      </c>
      <c r="E47" s="663" cm="1">
        <f t="array" ref="E47">IF(H46&lt;&gt;"",E46,IF(E46="","",IFERROR(MATCH(TRUE(),INDEX(INDEX(K:K,E46+1):K203&lt;&gt;"",0),0)+E46,"")))</f>
        <v>39</v>
      </c>
      <c r="F47" s="663" t="str" cm="1">
        <f t="array" ref="F47">IF(E47="","",IF(H46&lt;&gt;"",H46,INDEX(D:D,E47)))</f>
        <v>7. Enfournez pendant 30 minutes jusqu’à ce que la tarte soit dorée.</v>
      </c>
      <c r="G47" s="663" t="str">
        <f t="shared" si="2"/>
        <v>7. Enfournez pendant 30 minutes jusqu’à ce que la tarte soit dorée.</v>
      </c>
      <c r="H47" s="673" t="str">
        <f t="shared" si="3"/>
        <v/>
      </c>
      <c r="I47" s="680" t="str">
        <f>IF(AND(F47&lt;&gt;"",N10&gt;0,M47&gt;N10),"Mot &gt; limite","")</f>
        <v/>
      </c>
      <c r="J47" s="674" t="str">
        <f>IF(K47="","",COUNTIF(K18:K47,"&lt;&gt;"))</f>
        <v/>
      </c>
      <c r="K47" s="675"/>
      <c r="L47" s="674" t="str">
        <f t="shared" si="4"/>
        <v/>
      </c>
      <c r="M47" s="643">
        <f>IF(OR(F47="",N10="",N10&lt;=0),"",IF(LEN(F47)&lt;=N10,LEN(F47),IFERROR(FIND("♦",SUBSTITUTE(LEFT(F47,N10)," ","♦",LEN(LEFT(F47,N10))-LEN(SUBSTITUTE(LEFT(F47,N10)," ","")))),FIND(" ",F47&amp;" ",N10+1)-1)))</f>
        <v>67</v>
      </c>
      <c r="N47" s="676">
        <f t="shared" si="5"/>
        <v>30</v>
      </c>
      <c r="O47" s="677" t="str">
        <f t="shared" si="6"/>
        <v>7. Enfournez pendant 30 minutes jusqu’à ce que la tarte soit dorée.</v>
      </c>
      <c r="P47" s="676">
        <f t="shared" si="7"/>
        <v>12</v>
      </c>
      <c r="Q47" s="676">
        <f t="shared" si="8"/>
        <v>67</v>
      </c>
      <c r="S47" s="509">
        <v>30</v>
      </c>
      <c r="T47" s="678" t="str">
        <f t="shared" si="10"/>
        <v>7. Enfournez pendant 30 minutes jusqu’à ce que la tarte soit dorée.</v>
      </c>
      <c r="U47" s="679" t="str">
        <f t="shared" si="9"/>
        <v>7. Enfournez pendant 30 minutes jusqu’à ce que la tarte soit dorée.</v>
      </c>
      <c r="V47" s="512" t="str">
        <f>IF(36=36,IF(T47="","",IF(W47="X",""&amp;"Céréales contenant du gluten","")&amp;IF(X47="X",IF(COUNTIF(W47:W47,"X")&gt;0,", ","")&amp;"Crustacés","")&amp;IF(Y47="X",IF(COUNTIF(W47:X47,"X")&gt;0,", ","")&amp;"Œufs","")&amp;IF(Z47="X",IF(COUNTIF(W47:Y47,"X")&gt;0,", ","")&amp;"Poissons","")&amp;IF(AA47="X",IF(COUNTIF(W47:Z47,"X")&gt;0,", ","")&amp;"Arachides","")&amp;IF(AB47="X",IF(COUNTIF(W47:AA47,"X")&gt;0,", ","")&amp;"Soja","")&amp;IF(AC47="X",IF(COUNTIF(W47:AB47,"X")&gt;0,", ","")&amp;"Lait","")&amp;IF(AD47="X",IF(COUNTIF(W47:AC47,"X")&gt;0,", ","")&amp;"Fruits à coque","")&amp;IF(AE47="X",IF(COUNTIF(W47:AD47,"X")&gt;0,", ","")&amp;"Céleri","")&amp;IF(AF47="X",IF(COUNTIF(W47:AE47,"X")&gt;0,", ","")&amp;"Moutarde","")&amp;IF(AG47="X",IF(COUNTIF(W47:AF47,"X")&gt;0,", ","")&amp;"Sésame","")&amp;IF(AH47="X",IF(COUNTIF(W47:AG47,"X")&gt;0,", ","")&amp;"Sulfites","")&amp;IF(AI47="X",IF(COUNTIF(W47:AH47,"X")&gt;0,", ","")&amp;"Lupin","")&amp;IF(AJ47="X",IF(COUNTIF(W47:AI47,"X")&gt;0,", ","")&amp;"Mollusques","")),"")</f>
        <v/>
      </c>
      <c r="W47" s="513" t="str">
        <f>IF(36=36,IF(T47="","",AX47),"")</f>
        <v/>
      </c>
      <c r="X47" s="513" t="str">
        <f>IF(36=36,IF(T47="","",BA47),"")</f>
        <v/>
      </c>
      <c r="Y47" s="513" t="str">
        <f>IF(36=36,IF(T47="","",BE47),"")</f>
        <v/>
      </c>
      <c r="Z47" s="513" t="str">
        <f>IF(36=36,IF(T47="","",IF(ISNUMBER(SEARCH(" colin ",AS47)),"X",BR47)),"")</f>
        <v/>
      </c>
      <c r="AA47" s="513" t="str">
        <f>IF(36=36,IF(T47="","",BT47),"")</f>
        <v/>
      </c>
      <c r="AB47" s="513" t="str">
        <f>IF(36=36,IF(T47="","",BX47),"")</f>
        <v/>
      </c>
      <c r="AC47" s="513" t="str">
        <f>IF(36=36,IF(T47="","",CE47),"")</f>
        <v/>
      </c>
      <c r="AD47" s="513" t="str">
        <f>IF(36=36,IF(T47="","",CI47),"")</f>
        <v/>
      </c>
      <c r="AE47" s="513" t="str">
        <f>IF(36=36,IF(T47="","",CL47),"")</f>
        <v/>
      </c>
      <c r="AF47" s="513" t="str">
        <f>IF(36=36,IF(T47="","",CO47),"")</f>
        <v/>
      </c>
      <c r="AG47" s="513" t="str">
        <f>IF(36=36,IF(T47="","",CR47),"")</f>
        <v/>
      </c>
      <c r="AH47" s="513" t="str">
        <f>IF(36=36,IF(T47="","",CU47),"")</f>
        <v/>
      </c>
      <c r="AI47" s="513" t="str">
        <f>IF(36=36,IF(T47="","",CX47),"")</f>
        <v/>
      </c>
      <c r="AJ47" s="513" t="str">
        <f>IF(36=36,IF(T47="","",DD47),"")</f>
        <v/>
      </c>
      <c r="AK47" s="514" t="str">
        <f>IF(36=36,IF(T47="","",IF(W47="?",""&amp;"Céréales contenant du gluten","")&amp;IF(X47="?",IF(COUNTIF(W47:W47,"~?")&gt;0,", ","")&amp;"Crustacés","")&amp;IF(Y47="?",IF(COUNTIF(W47:X47,"~?")&gt;0,", ","")&amp;"Œufs","")&amp;IF(Z47="?",IF(COUNTIF(W47:Y47,"~?")&gt;0,", ","")&amp;"Poissons","")&amp;IF(AA47="?",IF(COUNTIF(W47:Z47,"~?")&gt;0,", ","")&amp;"Arachides","")&amp;IF(AB47="?",IF(COUNTIF(W47:AA47,"~?")&gt;0,", ","")&amp;"Soja","")&amp;IF(AC47="?",IF(COUNTIF(W47:AB47,"~?")&gt;0,", ","")&amp;"Lait","")&amp;IF(AD47="?",IF(COUNTIF(W47:AC47,"~?")&gt;0,", ","")&amp;"Fruits à coque","")&amp;IF(AE47="?",IF(COUNTIF(W47:AD47,"~?")&gt;0,", ","")&amp;"Céleri","")&amp;IF(AF47="?",IF(COUNTIF(W47:AE47,"~?")&gt;0,", ","")&amp;"Moutarde","")&amp;IF(AG47="?",IF(COUNTIF(W47:AF47,"~?")&gt;0,", ","")&amp;"Sésame","")&amp;IF(AH47="?",IF(COUNTIF(W47:AG47,"~?")&gt;0,", ","")&amp;"Sulfites","")&amp;IF(AI47="?",IF(COUNTIF(W47:AH47,"~?")&gt;0,", ","")&amp;"Lupin","")&amp;IF(AJ47="?",IF(COUNTIF(W47:AI47,"~?")&gt;0,", ","")&amp;"Mollusques","")),"")</f>
        <v/>
      </c>
      <c r="AM47" s="493" t="str">
        <f>IF(36=36,IF(T47="","",T47),"")</f>
        <v>7. Enfournez pendant 30 minutes jusqu’à ce que la tarte soit dorée.</v>
      </c>
      <c r="AN47" s="493" t="str">
        <f>IF(36=36,LOWER(CLEAN(SUBSTITUTE(SUBSTITUTE(SUBSTITUTE(SUBSTITUTE(AM47,CHAR(160)," ")," "," "),CHAR(10)," "),CHAR(13)," "))),"")</f>
        <v>7. enfournez pendant 30 minutes jusqu’à ce que la tarte soit dorée.</v>
      </c>
      <c r="AO47" s="493" t="str">
        <f>IF(36=36,SUBSTITUTE(SUBSTITUTE(SUBSTITUTE(SUBSTITUTE(SUBSTITUTE(SUBSTITUTE(SUBSTITUTE(SUBSTITUTE(SUBSTITUTE(SUBSTITUTE(SUBSTITUTE(SUBSTITUTE(AN47,"œ","oe"),"æ","ae"),"à","a"),"á","a"),"â","a"),"ä","a"),"ã","a"),"ç","c"),"è","e"),"é","e"),"ê","e"),"ë","e"),"")</f>
        <v>7. enfournez pendant 30 minutes jusqu’a ce que la tarte soit doree.</v>
      </c>
      <c r="AP47" s="493" t="str">
        <f>IF(36=36,SUBSTITUTE(SUBSTITUTE(SUBSTITUTE(SUBSTITUTE(SUBSTITUTE(SUBSTITUTE(SUBSTITUTE(SUBSTITUTE(SUBSTITUTE(SUBSTITUTE(SUBSTITUTE(SUBSTITUTE(SUBSTITUTE(SUBSTITUTE(SUBSTITUTE(SUBSTITUTE(AO47,"ì","i"),"í","i"),"î","i"),"ï","i"),"ñ","n"),"ò","o"),"ó","o"),"ô","o"),"ö","o"),"õ","o"),"ù","u"),"ú","u"),"û","u"),"ü","u"),"ý","y"),"ÿ","y"),"")</f>
        <v>7. enfournez pendant 30 minutes jusqu’a ce que la tarte soit doree.</v>
      </c>
      <c r="AQ47" s="493" t="str">
        <f>IF(36=36,SUBSTITUTE(SUBSTITUTE(SUBSTITUTE(SUBSTITUTE(SUBSTITUTE(SUBSTITUTE(SUBSTITUTE(SUBSTITUTE(SUBSTITUTE(SUBSTITUTE(SUBSTITUTE(SUBSTITUTE(SUBSTITUTE(SUBSTITUTE(AP47,"’"," "),"`"," "),"–"," "),"—"," "),"-"," "),"'"," "),"/"," "),"_"," "),","," "),"."," "),"("," "),")"," "),";"," "),":"," "),"")</f>
        <v xml:space="preserve">7  enfournez pendant 30 minutes jusqu a ce que la tarte soit doree </v>
      </c>
      <c r="AR47" s="493" t="str">
        <f>IF(36=36,SUBSTITUTE(SUBSTITUTE(SUBSTITUTE(SUBSTITUTE(SUBSTITUTE(SUBSTITUTE(SUBSTITUTE(SUBSTITUTE(SUBSTITUTE(SUBSTITUTE(SUBSTITUTE(SUBSTITUTE(SUBSTITUTE(SUBSTITUTE(SUBSTITUTE(AQ47,"!"," "),"?"," "),"+"," "),"*"," "),"&amp;"," "),"["," "),"]"," "),"{"," "),"}"," "),"%"," "),"="," "),"\"," "),"|"," "),"&lt;"," "),"&gt;"," "),"")</f>
        <v xml:space="preserve">7  enfournez pendant 30 minutes jusqu a ce que la tarte soit doree </v>
      </c>
      <c r="AS47" s="493" t="str">
        <f>IF(36=36," "&amp;TRIM(SUBSTITUTE(SUBSTITUTE(SUBSTITUTE(SUBSTITUTE(SUBSTITUTE(SUBSTITUTE(AR47,CHAR(34)," "),"  "," "),"  "," "),"  "," "),"  "," "),"  "," "))&amp;" ","")</f>
        <v xml:space="preserve"> 7 enfournez pendant 30 minutes jusqu a ce que la tarte soit doree </v>
      </c>
      <c r="AT47" s="493" cm="1">
        <f t="array" ref="AT47">IF(36=36,IF(AM47="","",SUMPRODUCT(--ISNUMBER(SEARCH(" "&amp;DJ13:DJ112&amp;" ",AV47)))),"")</f>
        <v>0</v>
      </c>
      <c r="AU47" s="493" cm="1">
        <f t="array" ref="AU47">IF(36=36,IF(AM47="","",SUMPRODUCT(--ISNUMBER(SEARCH(" "&amp;DJ113:DJ162&amp;" ",AV47)))),"")</f>
        <v>0</v>
      </c>
      <c r="AV47" s="493" t="str">
        <f>IF(AM47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47,"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7 enfournez pendant 30 minutes jusqu a ce que la tarte soit doree </v>
      </c>
      <c r="AW47" s="493" cm="1">
        <f t="array" ref="AW47">IF(AM47="","",SUMPRODUCT(--ISNUMBER(SEARCH(" "&amp;DJ195:DJ216&amp;" ",AV47)))+--ISNUMBER(SEARCH(" "&amp;DJ2465&amp;" ",AV47)))</f>
        <v>0</v>
      </c>
      <c r="AX47" s="493" t="str" cm="1">
        <f t="array" ref="AX47">IF(36=36,IF(AM47="","",IF(SUM(AT47:AU47)+SUMPRODUCT(--ISNUMBER(SEARCH(" "&amp;DJ2429:DJ2431&amp;" ",AV47)))&gt;0,"X",IF(AW47&gt;0,"?",""))),"")</f>
        <v/>
      </c>
      <c r="AY47" s="493" cm="1">
        <f t="array" ref="AY47">IF(36=36,IF(AM47="","",SUMPRODUCT(--ISNUMBER(SEARCH(" "&amp;DJ217:DJ316&amp;" ",AS47)))),"")</f>
        <v>0</v>
      </c>
      <c r="AZ47" s="493" cm="1">
        <f t="array" ref="AZ47">IF(36=36,IF(AM47="","",SUMPRODUCT(--ISNUMBER(SEARCH(" "&amp;DJ317:DJ351&amp;" ",AS47)))),"")</f>
        <v>0</v>
      </c>
      <c r="BA47" s="493" t="str">
        <f>IF(36=36,IF(AM47="","",IF((SUM(AY47:AZ47))-(0)&gt;0,"X",IF((0)-(0)&gt;0,"?",""))),"")</f>
        <v/>
      </c>
      <c r="BB47" s="493" cm="1">
        <f t="array" ref="BB47">IF(36=36,IF(AM47="","",SUMPRODUCT(--ISNUMBER(SEARCH(" "&amp;DJ352:DJ409&amp;" ",AS47)))),"")</f>
        <v>0</v>
      </c>
      <c r="BC47" s="493" cm="1">
        <f t="array" ref="BC47">IF(36=36,IF(AM47="","",SUMPRODUCT(--ISNUMBER(SEARCH(" "&amp;DJ410:DJ437&amp;" ",BD47)))+SUMPRODUCT(--ISNUMBER(SEARCH(" "&amp;DJ2451:DJ2464&amp;" ",BD47)))),"")</f>
        <v>0</v>
      </c>
      <c r="BD47" s="493" t="str">
        <f>IF(36=36,IF(AM47="","",SUBSTITUTE(SUBSTITUTE(SUBSTITUTE(SUBSTITUTE(SUBSTITUTE(SUBSTITUTE(SUBSTITUTE(SUBSTITUTE(SUBSTITUTE(SUBSTITUTE(SUBSTITUTE(SUBSTITUTE(SUBSTITUTE(SUBSTITUTE(AS47," "&amp;DJ2466&amp;" "," ")," "&amp;DJ444&amp;" "," ")," "&amp;DJ442&amp;" "," ")," "&amp;DJ2449&amp;" "," ")," "&amp;DJ2450&amp;" "," ")," "&amp;DJ439&amp;" "," ")," "&amp;DJ443&amp;" "," ")," "&amp;DJ445&amp;" "," ")," "&amp;DJ440&amp;" "," ")," "&amp;DJ438&amp;" "," ")," "&amp;DJ1378&amp;" "," ")," "&amp;DJ446&amp;" "," ")," "&amp;DJ1377&amp;" "," ")," "&amp;DJ441&amp;" "," ")),"")</f>
        <v xml:space="preserve"> 7 enfournez pendant 30 minutes jusqu a ce que la tarte soit doree </v>
      </c>
      <c r="BE47" s="493" t="str">
        <f>IF(36=36,IF(AM47="","",IF(BB47&gt;0,"X",IF(BC47&gt;0,"?",""))),"")</f>
        <v/>
      </c>
      <c r="BF47" s="493" cm="1">
        <f t="array" ref="BF47">IF(36=36,IF(AM47="","",SUMPRODUCT(--ISNUMBER(SEARCH(" "&amp;DJ447:DJ546&amp;" ",BP47)))),"")</f>
        <v>0</v>
      </c>
      <c r="BG47" s="493" cm="1">
        <f t="array" ref="BG47">IF(36=36,IF(AM47="","",SUMPRODUCT(--ISNUMBER(SEARCH(" "&amp;DJ547:DJ646&amp;" ",BP47)))),"")</f>
        <v>0</v>
      </c>
      <c r="BH47" s="493" cm="1">
        <f t="array" ref="BH47">IF(36=36,IF(AM47="","",SUMPRODUCT(--ISNUMBER(SEARCH(" "&amp;DJ647:DJ746&amp;" ",BP47)))),"")</f>
        <v>0</v>
      </c>
      <c r="BI47" s="493" cm="1">
        <f t="array" ref="BI47">IF(36=36,IF(AM47="","",SUMPRODUCT(--ISNUMBER(SEARCH(" "&amp;DJ747:DJ846&amp;" ",BP47)))),"")</f>
        <v>0</v>
      </c>
      <c r="BJ47" s="493" cm="1">
        <f t="array" ref="BJ47">IF(36=36,IF(AM47="","",SUMPRODUCT(--ISNUMBER(SEARCH(" "&amp;DJ847:DJ946&amp;" ",BP47)))),"")</f>
        <v>0</v>
      </c>
      <c r="BK47" s="493" cm="1">
        <f t="array" ref="BK47">IF(36=36,IF(AM47="","",SUMPRODUCT(--ISNUMBER(SEARCH(" "&amp;DJ947:DJ1046&amp;" ",BP47)))),"")</f>
        <v>0</v>
      </c>
      <c r="BL47" s="493" cm="1">
        <f t="array" ref="BL47">IF(36=36,IF(AM47="","",SUMPRODUCT(--ISNUMBER(SEARCH(" "&amp;DJ1047:DJ1146&amp;" ",BP47)))),"")</f>
        <v>0</v>
      </c>
      <c r="BM47" s="493" cm="1">
        <f t="array" ref="BM47">IF(36=36,IF(AM47="","",SUMPRODUCT(--ISNUMBER(SEARCH(" "&amp;DJ1147:DJ1246&amp;" ",BP47)))),"")</f>
        <v>0</v>
      </c>
      <c r="BN47" s="493" cm="1">
        <f t="array" ref="BN47">IF(36=36,IF(AM47="","",SUMPRODUCT(--ISNUMBER(SEARCH(" "&amp;DJ1247:DJ1346&amp;" ",BP47)))),"")</f>
        <v>0</v>
      </c>
      <c r="BO47" s="493" cm="1">
        <f t="array" ref="BO47">IF(36=36,IF(AM47="","",SUMPRODUCT(--ISNUMBER(SEARCH(" "&amp;DJ1347:DJ1374&amp;" ",BP47)))),"")</f>
        <v>0</v>
      </c>
      <c r="BP47" s="493" t="str">
        <f>IF(36=36,IF(AM47="","",SUBSTITUTE(SUBSTITUTE(SUBSTITUTE(SUBSTITUTE(SUBSTITUTE(SUBSTITUTE(SUBSTITUTE(SUBSTITUTE(SUBSTITUTE(AS47," "&amp;DJ1376&amp;" "," ")," "&amp;DJ1375&amp;" "," ")," "&amp;DJ1381&amp;" "," ")," "&amp;DJ1382&amp;" "," ")," "&amp;DJ1378&amp;" "," ")," "&amp;DJ1380&amp;" "," ")," "&amp;DJ1377&amp;" "," ")," "&amp;DJ1379&amp;" "," ")," "&amp;DJ1383&amp;" "," ")),"")</f>
        <v xml:space="preserve"> 7 enfournez pendant 30 minutes jusqu a ce que la tarte soit doree </v>
      </c>
      <c r="BQ47" s="493" cm="1">
        <f t="array" ref="BQ47">IF(36=36,IF(AM47="","",SUMPRODUCT(--ISNUMBER(SEARCH(" "&amp;DJ1384:DJ1394&amp;" ",BP47)))),"")</f>
        <v>0</v>
      </c>
      <c r="BR47" s="493" t="str" cm="1">
        <f t="array" ref="BR47">IF(36=36,IF(AM47="","",IF(SUM(BF47:BO47)+SUMPRODUCT(--ISNUMBER(SEARCH(" "&amp;DJ2432:DJ2433&amp;" ",BP47)))&gt;0,"X",IF(BQ47&gt;0,"?",""))),"")</f>
        <v/>
      </c>
      <c r="BS47" s="493" cm="1">
        <f t="array" ref="BS47">IF(36=36,IF(AM47="","",SUMPRODUCT(--ISNUMBER(SEARCH(" "&amp;DJ1395:DJ1415&amp;" ",AS47)))),"")</f>
        <v>0</v>
      </c>
      <c r="BT47" s="493" t="str">
        <f>IF(36=36,IF(AM47="","",IF((BS47)-(0)&gt;0,"X",IF((0)-(0)&gt;0,"?",""))),"")</f>
        <v/>
      </c>
      <c r="BU47" s="493" cm="1">
        <f t="array" ref="BU47">IF(36=36,IF(AM47="","",SUMPRODUCT(--ISNUMBER(SEARCH(" "&amp;DJ1416:DJ1453&amp;" ",BV47)))),"")</f>
        <v>0</v>
      </c>
      <c r="BV47" s="493" t="str">
        <f>IF(36=36,IF(AM47="","",SUBSTITUTE(SUBSTITUTE(AS47," "&amp;DJ1454&amp;" "," ")," "&amp;DJ1455&amp;" "," ")),"")</f>
        <v xml:space="preserve"> 7 enfournez pendant 30 minutes jusqu a ce que la tarte soit doree </v>
      </c>
      <c r="BW47" s="493" cm="1">
        <f t="array" ref="BW47">IF(36=36,IF(AM47="","",SUMPRODUCT(--ISNUMBER(SEARCH(" "&amp;DJ1456:DJ1466&amp;" ",BV47)))),"")</f>
        <v>0</v>
      </c>
      <c r="BX47" s="493" t="str">
        <f>IF(36=36,IF(AM47="","",IF(BU47&gt;0,"X",IF(BW47&gt;0,"?",""))),"")</f>
        <v/>
      </c>
      <c r="BY47" s="493" cm="1">
        <f t="array" ref="BY47">IF(36=36,IF(AM47="","",SUMPRODUCT(--ISNUMBER(SEARCH(" "&amp;DJ1467:DJ1566&amp;" ",CB47)))),"")</f>
        <v>0</v>
      </c>
      <c r="BZ47" s="493" cm="1">
        <f t="array" ref="BZ47">IF(36=36,IF(AM47="","",SUMPRODUCT(--ISNUMBER(SEARCH(" "&amp;DJ1567:DJ1666&amp;" ",CB47)))),"")</f>
        <v>0</v>
      </c>
      <c r="CA47" s="493" cm="1">
        <f t="array" ref="CA47">IF(36=36,IF(AM47="","",SUMPRODUCT(--ISNUMBER(SEARCH(" "&amp;DJ1667:DJ1750&amp;" ",CB47)))),"")</f>
        <v>0</v>
      </c>
      <c r="CB47" s="493" t="str">
        <f>IF(36=36,IF(AM47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47,"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7 enfournez pendant 30 minutes jusqu a ce que la tarte soit doree </v>
      </c>
      <c r="CC47" s="493" cm="1">
        <f t="array" ref="CC47">IF(36=36,IF(AM47="","",SUMPRODUCT(--ISNUMBER(SEARCH(" "&amp;DJ1801:DJ1880&amp;" ",CD47)))+SUMPRODUCT(--ISNUMBER(SEARCH(" "&amp;DJ2451:DJ2464&amp;" ",CD47)))),"")</f>
        <v>0</v>
      </c>
      <c r="CD47" s="493" t="str">
        <f>IF(36=36,IF(AM47="","",SUBSTITUTE(SUBSTITUTE(SUBSTITUTE(SUBSTITUTE(SUBSTITUTE(SUBSTITUTE(SUBSTITUTE(SUBSTITUTE(SUBSTITUTE(SUBSTITUTE(SUBSTITUTE(SUBSTITUTE(SUBSTITUTE(CB47," "&amp;DJ1887&amp;" "," ")," "&amp;DJ1885&amp;" "," ")," "&amp;DJ2449&amp;" "," ")," "&amp;DJ2450&amp;" "," ")," "&amp;DJ1882&amp;" "," ")," "&amp;DJ1886&amp;" "," ")," "&amp;DJ1888&amp;" "," ")," "&amp;DJ1883&amp;" "," ")," "&amp;DJ1881&amp;" "," ")," "&amp;DJ1378&amp;" "," ")," "&amp;DJ1889&amp;" "," ")," "&amp;DJ1377&amp;" "," ")," "&amp;DJ1884&amp;" "," ")),"")</f>
        <v xml:space="preserve"> 7 enfournez pendant 30 minutes jusqu a ce que la tarte soit doree </v>
      </c>
      <c r="CE47" s="493" t="str" cm="1">
        <f t="array" ref="CE47">IF(36=36,IF(AM47="","",IF(SUM(BY47:CA47)+SUMPRODUCT(--ISNUMBER(SEARCH(" "&amp;DJ2434:DJ2435&amp;" ",CB47)))&gt;0,"X",IF(CC47&gt;0,"?",""))),"")</f>
        <v/>
      </c>
      <c r="CF47" s="493" cm="1">
        <f t="array" ref="CF47">IF(36=36,IF(AM47="","",SUMPRODUCT(--ISNUMBER(SEARCH(" "&amp;DJ1890:DJ1947&amp;" ",CG47)))),"")</f>
        <v>0</v>
      </c>
      <c r="CG47" s="493" t="str">
        <f>IF(36=36,IF(AM47="","",SUBSTITUTE(SUBSTITUTE(SUBSTITUTE(SUBSTITUTE(SUBSTITUTE(SUBSTITUTE(SUBSTITUTE(SUBSTITUTE(SUBSTITUTE(SUBSTITUTE(SUBSTITUTE(SUBSTITUTE(SUBSTITUTE(SUBSTITUTE(SUBSTITUTE(SUBSTITUTE(SUBSTITUTE(SUBSTITUTE(SUBSTITUTE(SUBSTITUTE(SUBSTITUTE(SUBSTITUTE(SUBSTITUTE(AS47,"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7 enfournez pendant 30 minutes jusqu a ce que la tarte soit doree </v>
      </c>
      <c r="CH47" s="493" cm="1">
        <f t="array" ref="CH47">IF(36=36,IF(AM47="","",SUMPRODUCT(--ISNUMBER(SEARCH(" "&amp;DJ1971:DJ1987&amp;" ",CG47)))),"")</f>
        <v>0</v>
      </c>
      <c r="CI47" s="493" t="str">
        <f>IF(36=36,IF(AM47="","",IF(CF47&gt;0,"X",IF(CH47&gt;0,"?",""))),"")</f>
        <v/>
      </c>
      <c r="CJ47" s="493" cm="1">
        <f t="array" ref="CJ47">IF(36=36,IF(AM47="","",SUMPRODUCT(--ISNUMBER(SEARCH(" "&amp;DJ1988:DJ2001&amp;" ",AS47)))),"")</f>
        <v>0</v>
      </c>
      <c r="CK47" s="493" cm="1">
        <f t="array" ref="CK47">IF(36=36,IF(AM47="","",SUMPRODUCT(--ISNUMBER(SEARCH(" "&amp;DJ2002:DJ2016&amp;" ",AS47)))),"")</f>
        <v>0</v>
      </c>
      <c r="CL47" s="493" t="str">
        <f>IF(36=36,IF(AM47="","",IF((CJ47)-(0)&gt;0,"X",IF((CK47)-(0)&gt;0,"?",""))),"")</f>
        <v/>
      </c>
      <c r="CM47" s="493" cm="1">
        <f t="array" ref="CM47">IF(36=36,IF(AM47="","",SUMPRODUCT(--ISNUMBER(SEARCH(" "&amp;DJ2017:DJ2034&amp;" ",AS47)))),"")</f>
        <v>0</v>
      </c>
      <c r="CN47" s="493" cm="1">
        <f t="array" ref="CN47">IF(36=36,IF(AM47="","",SUMPRODUCT(--ISNUMBER(SEARCH(" "&amp;DJ2035:DJ2049&amp;" ",AS47)))),"")</f>
        <v>0</v>
      </c>
      <c r="CO47" s="493" t="str">
        <f>IF(36=36,IF(AM47="","",IF((CM47)-(0)&gt;0,"X",IF((CN47)-(0)&gt;0,"?",""))),"")</f>
        <v/>
      </c>
      <c r="CP47" s="493" cm="1">
        <f t="array" ref="CP47">IF(36=36,IF(AM47="","",SUMPRODUCT(--ISNUMBER(SEARCH(" "&amp;DJ2050:DJ2068&amp;" ",AS47)))),"")</f>
        <v>0</v>
      </c>
      <c r="CQ47" s="493" cm="1">
        <f t="array" ref="CQ47">IF(36=36,IF(AM47="","",SUMPRODUCT(--ISNUMBER(SEARCH(" "&amp;DJ2069:DJ2083&amp;" ",AS47)))),"")</f>
        <v>0</v>
      </c>
      <c r="CR47" s="493" t="str">
        <f>IF(36=36,IF(AM47="","",IF((CP47)-(0)&gt;0,"X",IF((CQ47)-(0)&gt;0,"?",""))),"")</f>
        <v/>
      </c>
      <c r="CS47" s="493" cm="1">
        <f t="array" ref="CS47">IF(36=36,IF(AM47="","",SUMPRODUCT(--ISNUMBER(SEARCH(" "&amp;DJ2084:DJ2104&amp;" ",AS47)))),"")</f>
        <v>0</v>
      </c>
      <c r="CT47" s="493" cm="1">
        <f t="array" ref="CT47">IF(36=36,IF(AM47="","",SUMPRODUCT(--ISNUMBER(SEARCH(" "&amp;DJ2105:DJ2144&amp;" ",SUBSTITUTE(SUBSTITUTE(AS47," "&amp;DJ1378&amp;" "," ")," "&amp;DJ1377&amp;" "," "))))+--ISNUMBER(SEARCH("poiré",AN47))),"")</f>
        <v>0</v>
      </c>
      <c r="CU47" s="493" t="str">
        <f>IF(36=36,IF(AM47="","",IF(OR(CS47&gt;0,ISNUMBER(SEARCH(" vinaigre de vin ",AS47)),ISNUMBER(SEARCH(" vinaigre au vin ",AS47))),"X",IF(CT47&gt;0,"?",""))),"")</f>
        <v/>
      </c>
      <c r="CV47" s="493" cm="1">
        <f t="array" ref="CV47">IF(36=36,IF(AM47="","",SUMPRODUCT(--ISNUMBER(SEARCH(" "&amp;DJ2145:DJ2157&amp;" ",AS47)))),"")</f>
        <v>0</v>
      </c>
      <c r="CW47" s="493" cm="1">
        <f t="array" ref="CW47">IF(36=36,IF(AM47="","",SUMPRODUCT(--ISNUMBER(SEARCH(" "&amp;DJ2158:DJ2163&amp;" ",AS47)))),"")</f>
        <v>0</v>
      </c>
      <c r="CX47" s="493" t="str">
        <f>IF(36=36,IF(AM47="","",IF((CV47)-(0)&gt;0,"X",IF((CW47)-(0)&gt;0,"?",""))),"")</f>
        <v/>
      </c>
      <c r="CY47" s="493" cm="1">
        <f t="array" ref="CY47">IF(36=36,IF(AM47="","",SUMPRODUCT(--ISNUMBER(SEARCH(" "&amp;DJ2164:DJ2263&amp;" ",DB47)))),"")</f>
        <v>0</v>
      </c>
      <c r="CZ47" s="493" cm="1">
        <f t="array" ref="CZ47">IF(36=36,IF(AM47="","",SUMPRODUCT(--ISNUMBER(SEARCH(" "&amp;DJ2264:DJ2363&amp;" ",DB47)))),"")</f>
        <v>0</v>
      </c>
      <c r="DA47" s="493" cm="1">
        <f t="array" ref="DA47">IF(36=36,IF(AM47="","",SUMPRODUCT(--ISNUMBER(SEARCH(" "&amp;DJ2364:DJ2406&amp;" ",DB47)))),"")</f>
        <v>0</v>
      </c>
      <c r="DB47" s="493" t="str">
        <f>IF(36=36,IF(AM47="","",SUBSTITUTE(SUBSTITUTE(SUBSTITUTE(SUBSTITUTE(SUBSTITUTE(SUBSTITUTE(SUBSTITUTE(SUBSTITUTE(SUBSTITUTE(SUBSTITUTE(SUBSTITUTE(SUBSTITUTE(SUBSTITUTE(SUBSTITUTE(SUBSTITUTE(SUBSTITUTE(AS47," "&amp;DJ2412&amp;" "," ")," "&amp;DJ2411&amp;" "," ")," "&amp;DJ2410&amp;" "," ")," "&amp;DJ2417&amp;" "," ")," "&amp;DJ2409&amp;" "," ")," "&amp;DJ2421&amp;" "," ")," "&amp;DJ2408&amp;" "," ")," "&amp;DJ2413&amp;" "," ")," "&amp;DJ2416&amp;" "," ")," "&amp;DJ2407&amp;" "," ")," "&amp;DJ2415&amp;" "," ")," "&amp;DJ2422&amp;" "," ")," "&amp;DJ2419&amp;" "," ")," "&amp;DJ2414&amp;" "," ")," "&amp;DJ2418&amp;" "," ")," "&amp;DJ2420&amp;" "," ")),"")</f>
        <v xml:space="preserve"> 7 enfournez pendant 30 minutes jusqu a ce que la tarte soit doree </v>
      </c>
      <c r="DC47" s="493" cm="1">
        <f t="array" ref="DC47">IF(36=36,IF(AM47="","",SUMPRODUCT(--ISNUMBER(SEARCH(" "&amp;DJ2423:DJ2427&amp;" ",DB47)))),"")</f>
        <v>0</v>
      </c>
      <c r="DD47" s="493" t="str">
        <f>IF(36=36,IF(AM47="","",IF(SUM(CY47:DA47)&gt;0,"X",IF(DC47&gt;0,"?",""))),"")</f>
        <v/>
      </c>
      <c r="DE47" s="494"/>
      <c r="DF47" s="496" t="s">
        <v>1205</v>
      </c>
      <c r="DG47" s="496" t="s">
        <v>1083</v>
      </c>
      <c r="DH47" s="496" t="s">
        <v>689</v>
      </c>
      <c r="DI47" s="496" t="s">
        <v>1206</v>
      </c>
      <c r="DJ47" s="496" t="s">
        <v>312</v>
      </c>
      <c r="DK47" s="496" t="s">
        <v>1085</v>
      </c>
      <c r="DL47" s="496" t="s">
        <v>1086</v>
      </c>
      <c r="DM47" s="496" t="s">
        <v>1087</v>
      </c>
      <c r="DN47" s="497" t="s">
        <v>1088</v>
      </c>
      <c r="DP47" s="543">
        <v>1</v>
      </c>
    </row>
    <row r="48" spans="2:120" ht="30" customHeight="1">
      <c r="B48" s="663" t="str">
        <f t="shared" si="0"/>
        <v/>
      </c>
      <c r="C48" s="663" t="str">
        <f t="shared" si="1"/>
        <v/>
      </c>
      <c r="D48" s="663" t="str">
        <f>IF(UPPER(TRIM(N11))="X",C48,B48)</f>
        <v/>
      </c>
      <c r="E48" s="663" cm="1">
        <f t="array" ref="E48">IF(H47&lt;&gt;"",E47,IF(E47="","",IFERROR(MATCH(TRUE(),INDEX(INDEX(K:K,E47+1):K203&lt;&gt;"",0),0)+E47,"")))</f>
        <v>40</v>
      </c>
      <c r="F48" s="663" t="str" cm="1">
        <f t="array" ref="F48">IF(E48="","",IF(H47&lt;&gt;"",H47,INDEX(D:D,E48)))</f>
        <v>8. Laissez tiédir, saupoudrez de sucre glace et servez avec une touche de crème fraîche.</v>
      </c>
      <c r="G48" s="663" t="str">
        <f t="shared" si="2"/>
        <v xml:space="preserve">8. Laissez tiédir, saupoudrez de sucre glace et servez avec une touche de crème </v>
      </c>
      <c r="H48" s="673" t="str">
        <f t="shared" si="3"/>
        <v>fraîche.</v>
      </c>
      <c r="I48" s="680" t="str">
        <f>IF(AND(F48&lt;&gt;"",N10&gt;0,M48&gt;N10),"Mot &gt; limite","")</f>
        <v/>
      </c>
      <c r="J48" s="674" t="str">
        <f>IF(K48="","",COUNTIF(K18:K48,"&lt;&gt;"))</f>
        <v/>
      </c>
      <c r="K48" s="675"/>
      <c r="L48" s="674" t="str">
        <f t="shared" si="4"/>
        <v/>
      </c>
      <c r="M48" s="643">
        <f>IF(OR(F48="",N10="",N10&lt;=0),"",IF(LEN(F48)&lt;=N10,LEN(F48),IFERROR(FIND("♦",SUBSTITUTE(LEFT(F48,N10)," ","♦",LEN(LEFT(F48,N10))-LEN(SUBSTITUTE(LEFT(F48,N10)," ","")))),FIND(" ",F48&amp;" ",N10+1)-1)))</f>
        <v>80</v>
      </c>
      <c r="N48" s="676">
        <f t="shared" si="5"/>
        <v>31</v>
      </c>
      <c r="O48" s="677" t="str">
        <f t="shared" si="6"/>
        <v xml:space="preserve">8. Laissez tiédir, saupoudrez de sucre glace et servez avec une touche de crème </v>
      </c>
      <c r="P48" s="676">
        <f t="shared" si="7"/>
        <v>14</v>
      </c>
      <c r="Q48" s="676">
        <f t="shared" si="8"/>
        <v>80</v>
      </c>
      <c r="S48" s="509">
        <v>31</v>
      </c>
      <c r="T48" s="678" t="str">
        <f t="shared" si="10"/>
        <v xml:space="preserve">8. Laissez tiédir, saupoudrez de sucre glace et servez avec une touche de crème </v>
      </c>
      <c r="U48" s="679" t="str">
        <f t="shared" si="9"/>
        <v>8. Laissez tiédir, saupoudrez de sucre glace et servez avec une touche de crème *</v>
      </c>
      <c r="V48" s="512" t="str">
        <f>IF(37=37,IF(T48="","",IF(W48="X",""&amp;"Céréales contenant du gluten","")&amp;IF(X48="X",IF(COUNTIF(W48:W48,"X")&gt;0,", ","")&amp;"Crustacés","")&amp;IF(Y48="X",IF(COUNTIF(W48:X48,"X")&gt;0,", ","")&amp;"Œufs","")&amp;IF(Z48="X",IF(COUNTIF(W48:Y48,"X")&gt;0,", ","")&amp;"Poissons","")&amp;IF(AA48="X",IF(COUNTIF(W48:Z48,"X")&gt;0,", ","")&amp;"Arachides","")&amp;IF(AB48="X",IF(COUNTIF(W48:AA48,"X")&gt;0,", ","")&amp;"Soja","")&amp;IF(AC48="X",IF(COUNTIF(W48:AB48,"X")&gt;0,", ","")&amp;"Lait","")&amp;IF(AD48="X",IF(COUNTIF(W48:AC48,"X")&gt;0,", ","")&amp;"Fruits à coque","")&amp;IF(AE48="X",IF(COUNTIF(W48:AD48,"X")&gt;0,", ","")&amp;"Céleri","")&amp;IF(AF48="X",IF(COUNTIF(W48:AE48,"X")&gt;0,", ","")&amp;"Moutarde","")&amp;IF(AG48="X",IF(COUNTIF(W48:AF48,"X")&gt;0,", ","")&amp;"Sésame","")&amp;IF(AH48="X",IF(COUNTIF(W48:AG48,"X")&gt;0,", ","")&amp;"Sulfites","")&amp;IF(AI48="X",IF(COUNTIF(W48:AH48,"X")&gt;0,", ","")&amp;"Lupin","")&amp;IF(AJ48="X",IF(COUNTIF(W48:AI48,"X")&gt;0,", ","")&amp;"Mollusques","")),"")</f>
        <v>Lait</v>
      </c>
      <c r="W48" s="513" t="str">
        <f>IF(37=37,IF(T48="","",AX48),"")</f>
        <v/>
      </c>
      <c r="X48" s="513" t="str">
        <f>IF(37=37,IF(T48="","",BA48),"")</f>
        <v/>
      </c>
      <c r="Y48" s="513" t="str">
        <f>IF(37=37,IF(T48="","",BE48),"")</f>
        <v/>
      </c>
      <c r="Z48" s="513" t="str">
        <f>IF(37=37,IF(T48="","",IF(ISNUMBER(SEARCH(" colin ",AS48)),"X",BR48)),"")</f>
        <v/>
      </c>
      <c r="AA48" s="513" t="str">
        <f>IF(37=37,IF(T48="","",BT48),"")</f>
        <v/>
      </c>
      <c r="AB48" s="513" t="str">
        <f>IF(37=37,IF(T48="","",BX48),"")</f>
        <v/>
      </c>
      <c r="AC48" s="513" t="str">
        <f>IF(37=37,IF(T48="","",CE48),"")</f>
        <v>X</v>
      </c>
      <c r="AD48" s="513" t="str">
        <f>IF(37=37,IF(T48="","",CI48),"")</f>
        <v/>
      </c>
      <c r="AE48" s="513" t="str">
        <f>IF(37=37,IF(T48="","",CL48),"")</f>
        <v/>
      </c>
      <c r="AF48" s="513" t="str">
        <f>IF(37=37,IF(T48="","",CO48),"")</f>
        <v/>
      </c>
      <c r="AG48" s="513" t="str">
        <f>IF(37=37,IF(T48="","",CR48),"")</f>
        <v/>
      </c>
      <c r="AH48" s="513" t="str">
        <f>IF(37=37,IF(T48="","",CU48),"")</f>
        <v/>
      </c>
      <c r="AI48" s="513" t="str">
        <f>IF(37=37,IF(T48="","",CX48),"")</f>
        <v/>
      </c>
      <c r="AJ48" s="513" t="str">
        <f>IF(37=37,IF(T48="","",DD48),"")</f>
        <v/>
      </c>
      <c r="AK48" s="514" t="str">
        <f>IF(37=37,IF(T48="","",IF(W48="?",""&amp;"Céréales contenant du gluten","")&amp;IF(X48="?",IF(COUNTIF(W48:W48,"~?")&gt;0,", ","")&amp;"Crustacés","")&amp;IF(Y48="?",IF(COUNTIF(W48:X48,"~?")&gt;0,", ","")&amp;"Œufs","")&amp;IF(Z48="?",IF(COUNTIF(W48:Y48,"~?")&gt;0,", ","")&amp;"Poissons","")&amp;IF(AA48="?",IF(COUNTIF(W48:Z48,"~?")&gt;0,", ","")&amp;"Arachides","")&amp;IF(AB48="?",IF(COUNTIF(W48:AA48,"~?")&gt;0,", ","")&amp;"Soja","")&amp;IF(AC48="?",IF(COUNTIF(W48:AB48,"~?")&gt;0,", ","")&amp;"Lait","")&amp;IF(AD48="?",IF(COUNTIF(W48:AC48,"~?")&gt;0,", ","")&amp;"Fruits à coque","")&amp;IF(AE48="?",IF(COUNTIF(W48:AD48,"~?")&gt;0,", ","")&amp;"Céleri","")&amp;IF(AF48="?",IF(COUNTIF(W48:AE48,"~?")&gt;0,", ","")&amp;"Moutarde","")&amp;IF(AG48="?",IF(COUNTIF(W48:AF48,"~?")&gt;0,", ","")&amp;"Sésame","")&amp;IF(AH48="?",IF(COUNTIF(W48:AG48,"~?")&gt;0,", ","")&amp;"Sulfites","")&amp;IF(AI48="?",IF(COUNTIF(W48:AH48,"~?")&gt;0,", ","")&amp;"Lupin","")&amp;IF(AJ48="?",IF(COUNTIF(W48:AI48,"~?")&gt;0,", ","")&amp;"Mollusques","")),"")</f>
        <v/>
      </c>
      <c r="AM48" s="493" t="str">
        <f>IF(37=37,IF(T48="","",T48),"")</f>
        <v xml:space="preserve">8. Laissez tiédir, saupoudrez de sucre glace et servez avec une touche de crème </v>
      </c>
      <c r="AN48" s="493" t="str">
        <f>IF(37=37,LOWER(CLEAN(SUBSTITUTE(SUBSTITUTE(SUBSTITUTE(SUBSTITUTE(AM48,CHAR(160)," ")," "," "),CHAR(10)," "),CHAR(13)," "))),"")</f>
        <v xml:space="preserve">8. laissez tiédir, saupoudrez de sucre glace et servez avec une touche de crème </v>
      </c>
      <c r="AO48" s="493" t="str">
        <f>IF(37=37,SUBSTITUTE(SUBSTITUTE(SUBSTITUTE(SUBSTITUTE(SUBSTITUTE(SUBSTITUTE(SUBSTITUTE(SUBSTITUTE(SUBSTITUTE(SUBSTITUTE(SUBSTITUTE(SUBSTITUTE(AN48,"œ","oe"),"æ","ae"),"à","a"),"á","a"),"â","a"),"ä","a"),"ã","a"),"ç","c"),"è","e"),"é","e"),"ê","e"),"ë","e"),"")</f>
        <v xml:space="preserve">8. laissez tiedir, saupoudrez de sucre glace et servez avec une touche de creme </v>
      </c>
      <c r="AP48" s="493" t="str">
        <f>IF(37=37,SUBSTITUTE(SUBSTITUTE(SUBSTITUTE(SUBSTITUTE(SUBSTITUTE(SUBSTITUTE(SUBSTITUTE(SUBSTITUTE(SUBSTITUTE(SUBSTITUTE(SUBSTITUTE(SUBSTITUTE(SUBSTITUTE(SUBSTITUTE(SUBSTITUTE(SUBSTITUTE(AO48,"ì","i"),"í","i"),"î","i"),"ï","i"),"ñ","n"),"ò","o"),"ó","o"),"ô","o"),"ö","o"),"õ","o"),"ù","u"),"ú","u"),"û","u"),"ü","u"),"ý","y"),"ÿ","y"),"")</f>
        <v xml:space="preserve">8. laissez tiedir, saupoudrez de sucre glace et servez avec une touche de creme </v>
      </c>
      <c r="AQ48" s="493" t="str">
        <f>IF(37=37,SUBSTITUTE(SUBSTITUTE(SUBSTITUTE(SUBSTITUTE(SUBSTITUTE(SUBSTITUTE(SUBSTITUTE(SUBSTITUTE(SUBSTITUTE(SUBSTITUTE(SUBSTITUTE(SUBSTITUTE(SUBSTITUTE(SUBSTITUTE(AP48,"’"," "),"`"," "),"–"," "),"—"," "),"-"," "),"'"," "),"/"," "),"_"," "),","," "),"."," "),"("," "),")"," "),";"," "),":"," "),"")</f>
        <v xml:space="preserve">8  laissez tiedir  saupoudrez de sucre glace et servez avec une touche de creme </v>
      </c>
      <c r="AR48" s="493" t="str">
        <f>IF(37=37,SUBSTITUTE(SUBSTITUTE(SUBSTITUTE(SUBSTITUTE(SUBSTITUTE(SUBSTITUTE(SUBSTITUTE(SUBSTITUTE(SUBSTITUTE(SUBSTITUTE(SUBSTITUTE(SUBSTITUTE(SUBSTITUTE(SUBSTITUTE(SUBSTITUTE(AQ48,"!"," "),"?"," "),"+"," "),"*"," "),"&amp;"," "),"["," "),"]"," "),"{"," "),"}"," "),"%"," "),"="," "),"\"," "),"|"," "),"&lt;"," "),"&gt;"," "),"")</f>
        <v xml:space="preserve">8  laissez tiedir  saupoudrez de sucre glace et servez avec une touche de creme </v>
      </c>
      <c r="AS48" s="493" t="str">
        <f>IF(37=37," "&amp;TRIM(SUBSTITUTE(SUBSTITUTE(SUBSTITUTE(SUBSTITUTE(SUBSTITUTE(SUBSTITUTE(AR48,CHAR(34)," "),"  "," "),"  "," "),"  "," "),"  "," "),"  "," "))&amp;" ","")</f>
        <v xml:space="preserve"> 8 laissez tiedir saupoudrez de sucre glace et servez avec une touche de creme </v>
      </c>
      <c r="AT48" s="493" cm="1">
        <f t="array" ref="AT48">IF(37=37,IF(AM48="","",SUMPRODUCT(--ISNUMBER(SEARCH(" "&amp;DJ13:DJ112&amp;" ",AV48)))),"")</f>
        <v>0</v>
      </c>
      <c r="AU48" s="493" cm="1">
        <f t="array" ref="AU48">IF(37=37,IF(AM48="","",SUMPRODUCT(--ISNUMBER(SEARCH(" "&amp;DJ113:DJ162&amp;" ",AV48)))),"")</f>
        <v>0</v>
      </c>
      <c r="AV48" s="493" t="str">
        <f>IF(AM48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48,"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8 laissez tiedir saupoudrez de sucre glace et servez avec une touche de creme </v>
      </c>
      <c r="AW48" s="493" cm="1">
        <f t="array" ref="AW48">IF(AM48="","",SUMPRODUCT(--ISNUMBER(SEARCH(" "&amp;DJ195:DJ216&amp;" ",AV48)))+--ISNUMBER(SEARCH(" "&amp;DJ2465&amp;" ",AV48)))</f>
        <v>0</v>
      </c>
      <c r="AX48" s="493" t="str" cm="1">
        <f t="array" ref="AX48">IF(37=37,IF(AM48="","",IF(SUM(AT48:AU48)+SUMPRODUCT(--ISNUMBER(SEARCH(" "&amp;DJ2429:DJ2431&amp;" ",AV48)))&gt;0,"X",IF(AW48&gt;0,"?",""))),"")</f>
        <v/>
      </c>
      <c r="AY48" s="493" cm="1">
        <f t="array" ref="AY48">IF(37=37,IF(AM48="","",SUMPRODUCT(--ISNUMBER(SEARCH(" "&amp;DJ217:DJ316&amp;" ",AS48)))),"")</f>
        <v>0</v>
      </c>
      <c r="AZ48" s="493" cm="1">
        <f t="array" ref="AZ48">IF(37=37,IF(AM48="","",SUMPRODUCT(--ISNUMBER(SEARCH(" "&amp;DJ317:DJ351&amp;" ",AS48)))),"")</f>
        <v>0</v>
      </c>
      <c r="BA48" s="493" t="str">
        <f>IF(37=37,IF(AM48="","",IF((SUM(AY48:AZ48))-(0)&gt;0,"X",IF((0)-(0)&gt;0,"?",""))),"")</f>
        <v/>
      </c>
      <c r="BB48" s="493" cm="1">
        <f t="array" ref="BB48">IF(37=37,IF(AM48="","",SUMPRODUCT(--ISNUMBER(SEARCH(" "&amp;DJ352:DJ409&amp;" ",AS48)))),"")</f>
        <v>0</v>
      </c>
      <c r="BC48" s="493" cm="1">
        <f t="array" ref="BC48">IF(37=37,IF(AM48="","",SUMPRODUCT(--ISNUMBER(SEARCH(" "&amp;DJ410:DJ437&amp;" ",BD48)))+SUMPRODUCT(--ISNUMBER(SEARCH(" "&amp;DJ2451:DJ2464&amp;" ",BD48)))),"")</f>
        <v>0</v>
      </c>
      <c r="BD48" s="493" t="str">
        <f>IF(37=37,IF(AM48="","",SUBSTITUTE(SUBSTITUTE(SUBSTITUTE(SUBSTITUTE(SUBSTITUTE(SUBSTITUTE(SUBSTITUTE(SUBSTITUTE(SUBSTITUTE(SUBSTITUTE(SUBSTITUTE(SUBSTITUTE(SUBSTITUTE(SUBSTITUTE(AS48," "&amp;DJ2466&amp;" "," ")," "&amp;DJ444&amp;" "," ")," "&amp;DJ442&amp;" "," ")," "&amp;DJ2449&amp;" "," ")," "&amp;DJ2450&amp;" "," ")," "&amp;DJ439&amp;" "," ")," "&amp;DJ443&amp;" "," ")," "&amp;DJ445&amp;" "," ")," "&amp;DJ440&amp;" "," ")," "&amp;DJ438&amp;" "," ")," "&amp;DJ1378&amp;" "," ")," "&amp;DJ446&amp;" "," ")," "&amp;DJ1377&amp;" "," ")," "&amp;DJ441&amp;" "," ")),"")</f>
        <v xml:space="preserve"> 8 laissez tiedir saupoudrez de et servez avec une touche de creme </v>
      </c>
      <c r="BE48" s="493" t="str">
        <f>IF(37=37,IF(AM48="","",IF(BB48&gt;0,"X",IF(BC48&gt;0,"?",""))),"")</f>
        <v/>
      </c>
      <c r="BF48" s="493" cm="1">
        <f t="array" ref="BF48">IF(37=37,IF(AM48="","",SUMPRODUCT(--ISNUMBER(SEARCH(" "&amp;DJ447:DJ546&amp;" ",BP48)))),"")</f>
        <v>0</v>
      </c>
      <c r="BG48" s="493" cm="1">
        <f t="array" ref="BG48">IF(37=37,IF(AM48="","",SUMPRODUCT(--ISNUMBER(SEARCH(" "&amp;DJ547:DJ646&amp;" ",BP48)))),"")</f>
        <v>0</v>
      </c>
      <c r="BH48" s="493" cm="1">
        <f t="array" ref="BH48">IF(37=37,IF(AM48="","",SUMPRODUCT(--ISNUMBER(SEARCH(" "&amp;DJ647:DJ746&amp;" ",BP48)))),"")</f>
        <v>0</v>
      </c>
      <c r="BI48" s="493" cm="1">
        <f t="array" ref="BI48">IF(37=37,IF(AM48="","",SUMPRODUCT(--ISNUMBER(SEARCH(" "&amp;DJ747:DJ846&amp;" ",BP48)))),"")</f>
        <v>0</v>
      </c>
      <c r="BJ48" s="493" cm="1">
        <f t="array" ref="BJ48">IF(37=37,IF(AM48="","",SUMPRODUCT(--ISNUMBER(SEARCH(" "&amp;DJ847:DJ946&amp;" ",BP48)))),"")</f>
        <v>0</v>
      </c>
      <c r="BK48" s="493" cm="1">
        <f t="array" ref="BK48">IF(37=37,IF(AM48="","",SUMPRODUCT(--ISNUMBER(SEARCH(" "&amp;DJ947:DJ1046&amp;" ",BP48)))),"")</f>
        <v>0</v>
      </c>
      <c r="BL48" s="493" cm="1">
        <f t="array" ref="BL48">IF(37=37,IF(AM48="","",SUMPRODUCT(--ISNUMBER(SEARCH(" "&amp;DJ1047:DJ1146&amp;" ",BP48)))),"")</f>
        <v>0</v>
      </c>
      <c r="BM48" s="493" cm="1">
        <f t="array" ref="BM48">IF(37=37,IF(AM48="","",SUMPRODUCT(--ISNUMBER(SEARCH(" "&amp;DJ1147:DJ1246&amp;" ",BP48)))),"")</f>
        <v>0</v>
      </c>
      <c r="BN48" s="493" cm="1">
        <f t="array" ref="BN48">IF(37=37,IF(AM48="","",SUMPRODUCT(--ISNUMBER(SEARCH(" "&amp;DJ1247:DJ1346&amp;" ",BP48)))),"")</f>
        <v>0</v>
      </c>
      <c r="BO48" s="493" cm="1">
        <f t="array" ref="BO48">IF(37=37,IF(AM48="","",SUMPRODUCT(--ISNUMBER(SEARCH(" "&amp;DJ1347:DJ1374&amp;" ",BP48)))),"")</f>
        <v>0</v>
      </c>
      <c r="BP48" s="493" t="str">
        <f>IF(37=37,IF(AM48="","",SUBSTITUTE(SUBSTITUTE(SUBSTITUTE(SUBSTITUTE(SUBSTITUTE(SUBSTITUTE(SUBSTITUTE(SUBSTITUTE(SUBSTITUTE(AS48," "&amp;DJ1376&amp;" "," ")," "&amp;DJ1375&amp;" "," ")," "&amp;DJ1381&amp;" "," ")," "&amp;DJ1382&amp;" "," ")," "&amp;DJ1378&amp;" "," ")," "&amp;DJ1380&amp;" "," ")," "&amp;DJ1377&amp;" "," ")," "&amp;DJ1379&amp;" "," ")," "&amp;DJ1383&amp;" "," ")),"")</f>
        <v xml:space="preserve"> 8 laissez tiedir saupoudrez de sucre glace et servez avec une touche de creme </v>
      </c>
      <c r="BQ48" s="493" cm="1">
        <f t="array" ref="BQ48">IF(37=37,IF(AM48="","",SUMPRODUCT(--ISNUMBER(SEARCH(" "&amp;DJ1384:DJ1394&amp;" ",BP48)))),"")</f>
        <v>0</v>
      </c>
      <c r="BR48" s="493" t="str" cm="1">
        <f t="array" ref="BR48">IF(37=37,IF(AM48="","",IF(SUM(BF48:BO48)+SUMPRODUCT(--ISNUMBER(SEARCH(" "&amp;DJ2432:DJ2433&amp;" ",BP48)))&gt;0,"X",IF(BQ48&gt;0,"?",""))),"")</f>
        <v/>
      </c>
      <c r="BS48" s="493" cm="1">
        <f t="array" ref="BS48">IF(37=37,IF(AM48="","",SUMPRODUCT(--ISNUMBER(SEARCH(" "&amp;DJ1395:DJ1415&amp;" ",AS48)))),"")</f>
        <v>0</v>
      </c>
      <c r="BT48" s="493" t="str">
        <f>IF(37=37,IF(AM48="","",IF((BS48)-(0)&gt;0,"X",IF((0)-(0)&gt;0,"?",""))),"")</f>
        <v/>
      </c>
      <c r="BU48" s="493" cm="1">
        <f t="array" ref="BU48">IF(37=37,IF(AM48="","",SUMPRODUCT(--ISNUMBER(SEARCH(" "&amp;DJ1416:DJ1453&amp;" ",BV48)))),"")</f>
        <v>0</v>
      </c>
      <c r="BV48" s="493" t="str">
        <f>IF(37=37,IF(AM48="","",SUBSTITUTE(SUBSTITUTE(AS48," "&amp;DJ1454&amp;" "," ")," "&amp;DJ1455&amp;" "," ")),"")</f>
        <v xml:space="preserve"> 8 laissez tiedir saupoudrez de sucre glace et servez avec une touche de creme </v>
      </c>
      <c r="BW48" s="493" cm="1">
        <f t="array" ref="BW48">IF(37=37,IF(AM48="","",SUMPRODUCT(--ISNUMBER(SEARCH(" "&amp;DJ1456:DJ1466&amp;" ",BV48)))),"")</f>
        <v>0</v>
      </c>
      <c r="BX48" s="493" t="str">
        <f>IF(37=37,IF(AM48="","",IF(BU48&gt;0,"X",IF(BW48&gt;0,"?",""))),"")</f>
        <v/>
      </c>
      <c r="BY48" s="493" cm="1">
        <f t="array" ref="BY48">IF(37=37,IF(AM48="","",SUMPRODUCT(--ISNUMBER(SEARCH(" "&amp;DJ1467:DJ1566&amp;" ",CB48)))),"")</f>
        <v>1</v>
      </c>
      <c r="BZ48" s="493" cm="1">
        <f t="array" ref="BZ48">IF(37=37,IF(AM48="","",SUMPRODUCT(--ISNUMBER(SEARCH(" "&amp;DJ1567:DJ1666&amp;" ",CB48)))),"")</f>
        <v>0</v>
      </c>
      <c r="CA48" s="493" cm="1">
        <f t="array" ref="CA48">IF(37=37,IF(AM48="","",SUMPRODUCT(--ISNUMBER(SEARCH(" "&amp;DJ1667:DJ1750&amp;" ",CB48)))),"")</f>
        <v>0</v>
      </c>
      <c r="CB48" s="493" t="str">
        <f>IF(37=37,IF(AM48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48,"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8 laissez tiedir saupoudrez de et servez avec une touche de creme </v>
      </c>
      <c r="CC48" s="493" cm="1">
        <f t="array" ref="CC48">IF(37=37,IF(AM48="","",SUMPRODUCT(--ISNUMBER(SEARCH(" "&amp;DJ1801:DJ1880&amp;" ",CD48)))+SUMPRODUCT(--ISNUMBER(SEARCH(" "&amp;DJ2451:DJ2464&amp;" ",CD48)))),"")</f>
        <v>0</v>
      </c>
      <c r="CD48" s="493" t="str">
        <f>IF(37=37,IF(AM48="","",SUBSTITUTE(SUBSTITUTE(SUBSTITUTE(SUBSTITUTE(SUBSTITUTE(SUBSTITUTE(SUBSTITUTE(SUBSTITUTE(SUBSTITUTE(SUBSTITUTE(SUBSTITUTE(SUBSTITUTE(SUBSTITUTE(CB48," "&amp;DJ1887&amp;" "," ")," "&amp;DJ1885&amp;" "," ")," "&amp;DJ2449&amp;" "," ")," "&amp;DJ2450&amp;" "," ")," "&amp;DJ1882&amp;" "," ")," "&amp;DJ1886&amp;" "," ")," "&amp;DJ1888&amp;" "," ")," "&amp;DJ1883&amp;" "," ")," "&amp;DJ1881&amp;" "," ")," "&amp;DJ1378&amp;" "," ")," "&amp;DJ1889&amp;" "," ")," "&amp;DJ1377&amp;" "," ")," "&amp;DJ1884&amp;" "," ")),"")</f>
        <v xml:space="preserve"> 8 laissez tiedir saupoudrez de et servez avec une touche de creme </v>
      </c>
      <c r="CE48" s="493" t="str" cm="1">
        <f t="array" ref="CE48">IF(37=37,IF(AM48="","",IF(SUM(BY48:CA48)+SUMPRODUCT(--ISNUMBER(SEARCH(" "&amp;DJ2434:DJ2435&amp;" ",CB48)))&gt;0,"X",IF(CC48&gt;0,"?",""))),"")</f>
        <v>X</v>
      </c>
      <c r="CF48" s="493" cm="1">
        <f t="array" ref="CF48">IF(37=37,IF(AM48="","",SUMPRODUCT(--ISNUMBER(SEARCH(" "&amp;DJ1890:DJ1947&amp;" ",CG48)))),"")</f>
        <v>0</v>
      </c>
      <c r="CG48" s="493" t="str">
        <f>IF(37=37,IF(AM48="","",SUBSTITUTE(SUBSTITUTE(SUBSTITUTE(SUBSTITUTE(SUBSTITUTE(SUBSTITUTE(SUBSTITUTE(SUBSTITUTE(SUBSTITUTE(SUBSTITUTE(SUBSTITUTE(SUBSTITUTE(SUBSTITUTE(SUBSTITUTE(SUBSTITUTE(SUBSTITUTE(SUBSTITUTE(SUBSTITUTE(SUBSTITUTE(SUBSTITUTE(SUBSTITUTE(SUBSTITUTE(SUBSTITUTE(AS48,"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8 laissez tiedir saupoudrez de sucre glace et servez avec une touche de creme </v>
      </c>
      <c r="CH48" s="493" cm="1">
        <f t="array" ref="CH48">IF(37=37,IF(AM48="","",SUMPRODUCT(--ISNUMBER(SEARCH(" "&amp;DJ1971:DJ1987&amp;" ",CG48)))),"")</f>
        <v>0</v>
      </c>
      <c r="CI48" s="493" t="str">
        <f>IF(37=37,IF(AM48="","",IF(CF48&gt;0,"X",IF(CH48&gt;0,"?",""))),"")</f>
        <v/>
      </c>
      <c r="CJ48" s="493" cm="1">
        <f t="array" ref="CJ48">IF(37=37,IF(AM48="","",SUMPRODUCT(--ISNUMBER(SEARCH(" "&amp;DJ1988:DJ2001&amp;" ",AS48)))),"")</f>
        <v>0</v>
      </c>
      <c r="CK48" s="493" cm="1">
        <f t="array" ref="CK48">IF(37=37,IF(AM48="","",SUMPRODUCT(--ISNUMBER(SEARCH(" "&amp;DJ2002:DJ2016&amp;" ",AS48)))),"")</f>
        <v>0</v>
      </c>
      <c r="CL48" s="493" t="str">
        <f>IF(37=37,IF(AM48="","",IF((CJ48)-(0)&gt;0,"X",IF((CK48)-(0)&gt;0,"?",""))),"")</f>
        <v/>
      </c>
      <c r="CM48" s="493" cm="1">
        <f t="array" ref="CM48">IF(37=37,IF(AM48="","",SUMPRODUCT(--ISNUMBER(SEARCH(" "&amp;DJ2017:DJ2034&amp;" ",AS48)))),"")</f>
        <v>0</v>
      </c>
      <c r="CN48" s="493" cm="1">
        <f t="array" ref="CN48">IF(37=37,IF(AM48="","",SUMPRODUCT(--ISNUMBER(SEARCH(" "&amp;DJ2035:DJ2049&amp;" ",AS48)))),"")</f>
        <v>0</v>
      </c>
      <c r="CO48" s="493" t="str">
        <f>IF(37=37,IF(AM48="","",IF((CM48)-(0)&gt;0,"X",IF((CN48)-(0)&gt;0,"?",""))),"")</f>
        <v/>
      </c>
      <c r="CP48" s="493" cm="1">
        <f t="array" ref="CP48">IF(37=37,IF(AM48="","",SUMPRODUCT(--ISNUMBER(SEARCH(" "&amp;DJ2050:DJ2068&amp;" ",AS48)))),"")</f>
        <v>0</v>
      </c>
      <c r="CQ48" s="493" cm="1">
        <f t="array" ref="CQ48">IF(37=37,IF(AM48="","",SUMPRODUCT(--ISNUMBER(SEARCH(" "&amp;DJ2069:DJ2083&amp;" ",AS48)))),"")</f>
        <v>0</v>
      </c>
      <c r="CR48" s="493" t="str">
        <f>IF(37=37,IF(AM48="","",IF((CP48)-(0)&gt;0,"X",IF((CQ48)-(0)&gt;0,"?",""))),"")</f>
        <v/>
      </c>
      <c r="CS48" s="493" cm="1">
        <f t="array" ref="CS48">IF(37=37,IF(AM48="","",SUMPRODUCT(--ISNUMBER(SEARCH(" "&amp;DJ2084:DJ2104&amp;" ",AS48)))),"")</f>
        <v>0</v>
      </c>
      <c r="CT48" s="493" cm="1">
        <f t="array" ref="CT48">IF(37=37,IF(AM48="","",SUMPRODUCT(--ISNUMBER(SEARCH(" "&amp;DJ2105:DJ2144&amp;" ",SUBSTITUTE(SUBSTITUTE(AS48," "&amp;DJ1378&amp;" "," ")," "&amp;DJ1377&amp;" "," "))))+--ISNUMBER(SEARCH("poiré",AN48))),"")</f>
        <v>0</v>
      </c>
      <c r="CU48" s="493" t="str">
        <f>IF(37=37,IF(AM48="","",IF(OR(CS48&gt;0,ISNUMBER(SEARCH(" vinaigre de vin ",AS48)),ISNUMBER(SEARCH(" vinaigre au vin ",AS48))),"X",IF(CT48&gt;0,"?",""))),"")</f>
        <v/>
      </c>
      <c r="CV48" s="493" cm="1">
        <f t="array" ref="CV48">IF(37=37,IF(AM48="","",SUMPRODUCT(--ISNUMBER(SEARCH(" "&amp;DJ2145:DJ2157&amp;" ",AS48)))),"")</f>
        <v>0</v>
      </c>
      <c r="CW48" s="493" cm="1">
        <f t="array" ref="CW48">IF(37=37,IF(AM48="","",SUMPRODUCT(--ISNUMBER(SEARCH(" "&amp;DJ2158:DJ2163&amp;" ",AS48)))),"")</f>
        <v>0</v>
      </c>
      <c r="CX48" s="493" t="str">
        <f>IF(37=37,IF(AM48="","",IF((CV48)-(0)&gt;0,"X",IF((CW48)-(0)&gt;0,"?",""))),"")</f>
        <v/>
      </c>
      <c r="CY48" s="493" cm="1">
        <f t="array" ref="CY48">IF(37=37,IF(AM48="","",SUMPRODUCT(--ISNUMBER(SEARCH(" "&amp;DJ2164:DJ2263&amp;" ",DB48)))),"")</f>
        <v>0</v>
      </c>
      <c r="CZ48" s="493" cm="1">
        <f t="array" ref="CZ48">IF(37=37,IF(AM48="","",SUMPRODUCT(--ISNUMBER(SEARCH(" "&amp;DJ2264:DJ2363&amp;" ",DB48)))),"")</f>
        <v>0</v>
      </c>
      <c r="DA48" s="493" cm="1">
        <f t="array" ref="DA48">IF(37=37,IF(AM48="","",SUMPRODUCT(--ISNUMBER(SEARCH(" "&amp;DJ2364:DJ2406&amp;" ",DB48)))),"")</f>
        <v>0</v>
      </c>
      <c r="DB48" s="493" t="str">
        <f>IF(37=37,IF(AM48="","",SUBSTITUTE(SUBSTITUTE(SUBSTITUTE(SUBSTITUTE(SUBSTITUTE(SUBSTITUTE(SUBSTITUTE(SUBSTITUTE(SUBSTITUTE(SUBSTITUTE(SUBSTITUTE(SUBSTITUTE(SUBSTITUTE(SUBSTITUTE(SUBSTITUTE(SUBSTITUTE(AS48," "&amp;DJ2412&amp;" "," ")," "&amp;DJ2411&amp;" "," ")," "&amp;DJ2410&amp;" "," ")," "&amp;DJ2417&amp;" "," ")," "&amp;DJ2409&amp;" "," ")," "&amp;DJ2421&amp;" "," ")," "&amp;DJ2408&amp;" "," ")," "&amp;DJ2413&amp;" "," ")," "&amp;DJ2416&amp;" "," ")," "&amp;DJ2407&amp;" "," ")," "&amp;DJ2415&amp;" "," ")," "&amp;DJ2422&amp;" "," ")," "&amp;DJ2419&amp;" "," ")," "&amp;DJ2414&amp;" "," ")," "&amp;DJ2418&amp;" "," ")," "&amp;DJ2420&amp;" "," ")),"")</f>
        <v xml:space="preserve"> 8 laissez tiedir saupoudrez de sucre glace et servez avec une touche de creme </v>
      </c>
      <c r="DC48" s="493" cm="1">
        <f t="array" ref="DC48">IF(37=37,IF(AM48="","",SUMPRODUCT(--ISNUMBER(SEARCH(" "&amp;DJ2423:DJ2427&amp;" ",DB48)))),"")</f>
        <v>0</v>
      </c>
      <c r="DD48" s="493" t="str">
        <f>IF(37=37,IF(AM48="","",IF(SUM(CY48:DA48)&gt;0,"X",IF(DC48&gt;0,"?",""))),"")</f>
        <v/>
      </c>
      <c r="DE48" s="494"/>
      <c r="DF48" s="496" t="s">
        <v>1207</v>
      </c>
      <c r="DG48" s="496" t="s">
        <v>1083</v>
      </c>
      <c r="DH48" s="496" t="s">
        <v>689</v>
      </c>
      <c r="DI48" s="496" t="s">
        <v>321</v>
      </c>
      <c r="DJ48" s="496" t="s">
        <v>320</v>
      </c>
      <c r="DK48" s="496" t="s">
        <v>1085</v>
      </c>
      <c r="DL48" s="496" t="s">
        <v>1086</v>
      </c>
      <c r="DM48" s="496" t="s">
        <v>1087</v>
      </c>
      <c r="DN48" s="497" t="s">
        <v>1088</v>
      </c>
      <c r="DP48" s="543">
        <v>1</v>
      </c>
    </row>
    <row r="49" spans="2:120" ht="30" customHeight="1">
      <c r="B49" s="663" t="str">
        <f t="shared" si="0"/>
        <v/>
      </c>
      <c r="C49" s="663" t="str">
        <f t="shared" si="1"/>
        <v/>
      </c>
      <c r="D49" s="663" t="str">
        <f>IF(UPPER(TRIM(N11))="X",C49,B49)</f>
        <v/>
      </c>
      <c r="E49" s="663" cm="1">
        <f t="array" ref="E49">IF(H48&lt;&gt;"",E48,IF(E48="","",IFERROR(MATCH(TRUE(),INDEX(INDEX(K:K,E48+1):K203&lt;&gt;"",0),0)+E48,"")))</f>
        <v>40</v>
      </c>
      <c r="F49" s="663" t="str" cm="1">
        <f t="array" ref="F49">IF(E49="","",IF(H48&lt;&gt;"",H48,INDEX(D:D,E49)))</f>
        <v>fraîche.</v>
      </c>
      <c r="G49" s="663" t="str">
        <f t="shared" si="2"/>
        <v>fraîche.</v>
      </c>
      <c r="H49" s="673" t="str">
        <f t="shared" si="3"/>
        <v/>
      </c>
      <c r="I49" s="680" t="str">
        <f>IF(AND(F49&lt;&gt;"",N10&gt;0,M49&gt;N10),"Mot &gt; limite","")</f>
        <v/>
      </c>
      <c r="J49" s="674" t="str">
        <f>IF(K49="","",COUNTIF(K18:K49,"&lt;&gt;"))</f>
        <v/>
      </c>
      <c r="K49" s="675"/>
      <c r="L49" s="674" t="str">
        <f t="shared" si="4"/>
        <v/>
      </c>
      <c r="M49" s="643">
        <f>IF(OR(F49="",N10="",N10&lt;=0),"",IF(LEN(F49)&lt;=N10,LEN(F49),IFERROR(FIND("♦",SUBSTITUTE(LEFT(F49,N10)," ","♦",LEN(LEFT(F49,N10))-LEN(SUBSTITUTE(LEFT(F49,N10)," ","")))),FIND(" ",F49&amp;" ",N10+1)-1)))</f>
        <v>8</v>
      </c>
      <c r="N49" s="676">
        <f t="shared" si="5"/>
        <v>32</v>
      </c>
      <c r="O49" s="677" t="str">
        <f t="shared" si="6"/>
        <v>fraîche.</v>
      </c>
      <c r="P49" s="676">
        <f t="shared" si="7"/>
        <v>1</v>
      </c>
      <c r="Q49" s="676">
        <f t="shared" si="8"/>
        <v>8</v>
      </c>
      <c r="S49" s="509">
        <v>32</v>
      </c>
      <c r="T49" s="678" t="str">
        <f t="shared" si="10"/>
        <v>fraîche.</v>
      </c>
      <c r="U49" s="679" t="str">
        <f t="shared" si="9"/>
        <v>fraîche.</v>
      </c>
      <c r="V49" s="512" t="str">
        <f>IF(38=38,IF(T49="","",IF(W49="X",""&amp;"Céréales contenant du gluten","")&amp;IF(X49="X",IF(COUNTIF(W49:W49,"X")&gt;0,", ","")&amp;"Crustacés","")&amp;IF(Y49="X",IF(COUNTIF(W49:X49,"X")&gt;0,", ","")&amp;"Œufs","")&amp;IF(Z49="X",IF(COUNTIF(W49:Y49,"X")&gt;0,", ","")&amp;"Poissons","")&amp;IF(AA49="X",IF(COUNTIF(W49:Z49,"X")&gt;0,", ","")&amp;"Arachides","")&amp;IF(AB49="X",IF(COUNTIF(W49:AA49,"X")&gt;0,", ","")&amp;"Soja","")&amp;IF(AC49="X",IF(COUNTIF(W49:AB49,"X")&gt;0,", ","")&amp;"Lait","")&amp;IF(AD49="X",IF(COUNTIF(W49:AC49,"X")&gt;0,", ","")&amp;"Fruits à coque","")&amp;IF(AE49="X",IF(COUNTIF(W49:AD49,"X")&gt;0,", ","")&amp;"Céleri","")&amp;IF(AF49="X",IF(COUNTIF(W49:AE49,"X")&gt;0,", ","")&amp;"Moutarde","")&amp;IF(AG49="X",IF(COUNTIF(W49:AF49,"X")&gt;0,", ","")&amp;"Sésame","")&amp;IF(AH49="X",IF(COUNTIF(W49:AG49,"X")&gt;0,", ","")&amp;"Sulfites","")&amp;IF(AI49="X",IF(COUNTIF(W49:AH49,"X")&gt;0,", ","")&amp;"Lupin","")&amp;IF(AJ49="X",IF(COUNTIF(W49:AI49,"X")&gt;0,", ","")&amp;"Mollusques","")),"")</f>
        <v/>
      </c>
      <c r="W49" s="513" t="str">
        <f>IF(38=38,IF(T49="","",AX49),"")</f>
        <v/>
      </c>
      <c r="X49" s="513" t="str">
        <f>IF(38=38,IF(T49="","",BA49),"")</f>
        <v/>
      </c>
      <c r="Y49" s="513" t="str">
        <f>IF(38=38,IF(T49="","",BE49),"")</f>
        <v/>
      </c>
      <c r="Z49" s="513" t="str">
        <f>IF(38=38,IF(T49="","",IF(ISNUMBER(SEARCH(" colin ",AS49)),"X",BR49)),"")</f>
        <v/>
      </c>
      <c r="AA49" s="513" t="str">
        <f>IF(38=38,IF(T49="","",BT49),"")</f>
        <v/>
      </c>
      <c r="AB49" s="513" t="str">
        <f>IF(38=38,IF(T49="","",BX49),"")</f>
        <v/>
      </c>
      <c r="AC49" s="513" t="str">
        <f>IF(38=38,IF(T49="","",CE49),"")</f>
        <v/>
      </c>
      <c r="AD49" s="513" t="str">
        <f>IF(38=38,IF(T49="","",CI49),"")</f>
        <v/>
      </c>
      <c r="AE49" s="513" t="str">
        <f>IF(38=38,IF(T49="","",CL49),"")</f>
        <v/>
      </c>
      <c r="AF49" s="513" t="str">
        <f>IF(38=38,IF(T49="","",CO49),"")</f>
        <v/>
      </c>
      <c r="AG49" s="513" t="str">
        <f>IF(38=38,IF(T49="","",CR49),"")</f>
        <v/>
      </c>
      <c r="AH49" s="513" t="str">
        <f>IF(38=38,IF(T49="","",CU49),"")</f>
        <v/>
      </c>
      <c r="AI49" s="513" t="str">
        <f>IF(38=38,IF(T49="","",CX49),"")</f>
        <v/>
      </c>
      <c r="AJ49" s="513" t="str">
        <f>IF(38=38,IF(T49="","",DD49),"")</f>
        <v/>
      </c>
      <c r="AK49" s="514" t="str">
        <f>IF(38=38,IF(T49="","",IF(W49="?",""&amp;"Céréales contenant du gluten","")&amp;IF(X49="?",IF(COUNTIF(W49:W49,"~?")&gt;0,", ","")&amp;"Crustacés","")&amp;IF(Y49="?",IF(COUNTIF(W49:X49,"~?")&gt;0,", ","")&amp;"Œufs","")&amp;IF(Z49="?",IF(COUNTIF(W49:Y49,"~?")&gt;0,", ","")&amp;"Poissons","")&amp;IF(AA49="?",IF(COUNTIF(W49:Z49,"~?")&gt;0,", ","")&amp;"Arachides","")&amp;IF(AB49="?",IF(COUNTIF(W49:AA49,"~?")&gt;0,", ","")&amp;"Soja","")&amp;IF(AC49="?",IF(COUNTIF(W49:AB49,"~?")&gt;0,", ","")&amp;"Lait","")&amp;IF(AD49="?",IF(COUNTIF(W49:AC49,"~?")&gt;0,", ","")&amp;"Fruits à coque","")&amp;IF(AE49="?",IF(COUNTIF(W49:AD49,"~?")&gt;0,", ","")&amp;"Céleri","")&amp;IF(AF49="?",IF(COUNTIF(W49:AE49,"~?")&gt;0,", ","")&amp;"Moutarde","")&amp;IF(AG49="?",IF(COUNTIF(W49:AF49,"~?")&gt;0,", ","")&amp;"Sésame","")&amp;IF(AH49="?",IF(COUNTIF(W49:AG49,"~?")&gt;0,", ","")&amp;"Sulfites","")&amp;IF(AI49="?",IF(COUNTIF(W49:AH49,"~?")&gt;0,", ","")&amp;"Lupin","")&amp;IF(AJ49="?",IF(COUNTIF(W49:AI49,"~?")&gt;0,", ","")&amp;"Mollusques","")),"")</f>
        <v/>
      </c>
      <c r="AM49" s="493" t="str">
        <f>IF(38=38,IF(T49="","",T49),"")</f>
        <v>fraîche.</v>
      </c>
      <c r="AN49" s="493" t="str">
        <f>IF(38=38,LOWER(CLEAN(SUBSTITUTE(SUBSTITUTE(SUBSTITUTE(SUBSTITUTE(AM49,CHAR(160)," ")," "," "),CHAR(10)," "),CHAR(13)," "))),"")</f>
        <v>fraîche.</v>
      </c>
      <c r="AO49" s="493" t="str">
        <f>IF(38=38,SUBSTITUTE(SUBSTITUTE(SUBSTITUTE(SUBSTITUTE(SUBSTITUTE(SUBSTITUTE(SUBSTITUTE(SUBSTITUTE(SUBSTITUTE(SUBSTITUTE(SUBSTITUTE(SUBSTITUTE(AN49,"œ","oe"),"æ","ae"),"à","a"),"á","a"),"â","a"),"ä","a"),"ã","a"),"ç","c"),"è","e"),"é","e"),"ê","e"),"ë","e"),"")</f>
        <v>fraîche.</v>
      </c>
      <c r="AP49" s="493" t="str">
        <f>IF(38=38,SUBSTITUTE(SUBSTITUTE(SUBSTITUTE(SUBSTITUTE(SUBSTITUTE(SUBSTITUTE(SUBSTITUTE(SUBSTITUTE(SUBSTITUTE(SUBSTITUTE(SUBSTITUTE(SUBSTITUTE(SUBSTITUTE(SUBSTITUTE(SUBSTITUTE(SUBSTITUTE(AO49,"ì","i"),"í","i"),"î","i"),"ï","i"),"ñ","n"),"ò","o"),"ó","o"),"ô","o"),"ö","o"),"õ","o"),"ù","u"),"ú","u"),"û","u"),"ü","u"),"ý","y"),"ÿ","y"),"")</f>
        <v>fraiche.</v>
      </c>
      <c r="AQ49" s="493" t="str">
        <f>IF(38=38,SUBSTITUTE(SUBSTITUTE(SUBSTITUTE(SUBSTITUTE(SUBSTITUTE(SUBSTITUTE(SUBSTITUTE(SUBSTITUTE(SUBSTITUTE(SUBSTITUTE(SUBSTITUTE(SUBSTITUTE(SUBSTITUTE(SUBSTITUTE(AP49,"’"," "),"`"," "),"–"," "),"—"," "),"-"," "),"'"," "),"/"," "),"_"," "),","," "),"."," "),"("," "),")"," "),";"," "),":"," "),"")</f>
        <v xml:space="preserve">fraiche </v>
      </c>
      <c r="AR49" s="493" t="str">
        <f>IF(38=38,SUBSTITUTE(SUBSTITUTE(SUBSTITUTE(SUBSTITUTE(SUBSTITUTE(SUBSTITUTE(SUBSTITUTE(SUBSTITUTE(SUBSTITUTE(SUBSTITUTE(SUBSTITUTE(SUBSTITUTE(SUBSTITUTE(SUBSTITUTE(SUBSTITUTE(AQ49,"!"," "),"?"," "),"+"," "),"*"," "),"&amp;"," "),"["," "),"]"," "),"{"," "),"}"," "),"%"," "),"="," "),"\"," "),"|"," "),"&lt;"," "),"&gt;"," "),"")</f>
        <v xml:space="preserve">fraiche </v>
      </c>
      <c r="AS49" s="493" t="str">
        <f>IF(38=38," "&amp;TRIM(SUBSTITUTE(SUBSTITUTE(SUBSTITUTE(SUBSTITUTE(SUBSTITUTE(SUBSTITUTE(AR49,CHAR(34)," "),"  "," "),"  "," "),"  "," "),"  "," "),"  "," "))&amp;" ","")</f>
        <v xml:space="preserve"> fraiche </v>
      </c>
      <c r="AT49" s="493" cm="1">
        <f t="array" ref="AT49">IF(38=38,IF(AM49="","",SUMPRODUCT(--ISNUMBER(SEARCH(" "&amp;DJ13:DJ112&amp;" ",AV49)))),"")</f>
        <v>0</v>
      </c>
      <c r="AU49" s="493" cm="1">
        <f t="array" ref="AU49">IF(38=38,IF(AM49="","",SUMPRODUCT(--ISNUMBER(SEARCH(" "&amp;DJ113:DJ162&amp;" ",AV49)))),"")</f>
        <v>0</v>
      </c>
      <c r="AV49" s="493" t="str">
        <f>IF(AM49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49,"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fraiche </v>
      </c>
      <c r="AW49" s="493" cm="1">
        <f t="array" ref="AW49">IF(AM49="","",SUMPRODUCT(--ISNUMBER(SEARCH(" "&amp;DJ195:DJ216&amp;" ",AV49)))+--ISNUMBER(SEARCH(" "&amp;DJ2465&amp;" ",AV49)))</f>
        <v>0</v>
      </c>
      <c r="AX49" s="493" t="str" cm="1">
        <f t="array" ref="AX49">IF(38=38,IF(AM49="","",IF(SUM(AT49:AU49)+SUMPRODUCT(--ISNUMBER(SEARCH(" "&amp;DJ2429:DJ2431&amp;" ",AV49)))&gt;0,"X",IF(AW49&gt;0,"?",""))),"")</f>
        <v/>
      </c>
      <c r="AY49" s="493" cm="1">
        <f t="array" ref="AY49">IF(38=38,IF(AM49="","",SUMPRODUCT(--ISNUMBER(SEARCH(" "&amp;DJ217:DJ316&amp;" ",AS49)))),"")</f>
        <v>0</v>
      </c>
      <c r="AZ49" s="493" cm="1">
        <f t="array" ref="AZ49">IF(38=38,IF(AM49="","",SUMPRODUCT(--ISNUMBER(SEARCH(" "&amp;DJ317:DJ351&amp;" ",AS49)))),"")</f>
        <v>0</v>
      </c>
      <c r="BA49" s="493" t="str">
        <f>IF(38=38,IF(AM49="","",IF((SUM(AY49:AZ49))-(0)&gt;0,"X",IF((0)-(0)&gt;0,"?",""))),"")</f>
        <v/>
      </c>
      <c r="BB49" s="493" cm="1">
        <f t="array" ref="BB49">IF(38=38,IF(AM49="","",SUMPRODUCT(--ISNUMBER(SEARCH(" "&amp;DJ352:DJ409&amp;" ",AS49)))),"")</f>
        <v>0</v>
      </c>
      <c r="BC49" s="493" cm="1">
        <f t="array" ref="BC49">IF(38=38,IF(AM49="","",SUMPRODUCT(--ISNUMBER(SEARCH(" "&amp;DJ410:DJ437&amp;" ",BD49)))+SUMPRODUCT(--ISNUMBER(SEARCH(" "&amp;DJ2451:DJ2464&amp;" ",BD49)))),"")</f>
        <v>0</v>
      </c>
      <c r="BD49" s="493" t="str">
        <f>IF(38=38,IF(AM49="","",SUBSTITUTE(SUBSTITUTE(SUBSTITUTE(SUBSTITUTE(SUBSTITUTE(SUBSTITUTE(SUBSTITUTE(SUBSTITUTE(SUBSTITUTE(SUBSTITUTE(SUBSTITUTE(SUBSTITUTE(SUBSTITUTE(SUBSTITUTE(AS49," "&amp;DJ2466&amp;" "," ")," "&amp;DJ444&amp;" "," ")," "&amp;DJ442&amp;" "," ")," "&amp;DJ2449&amp;" "," ")," "&amp;DJ2450&amp;" "," ")," "&amp;DJ439&amp;" "," ")," "&amp;DJ443&amp;" "," ")," "&amp;DJ445&amp;" "," ")," "&amp;DJ440&amp;" "," ")," "&amp;DJ438&amp;" "," ")," "&amp;DJ1378&amp;" "," ")," "&amp;DJ446&amp;" "," ")," "&amp;DJ1377&amp;" "," ")," "&amp;DJ441&amp;" "," ")),"")</f>
        <v xml:space="preserve"> fraiche </v>
      </c>
      <c r="BE49" s="493" t="str">
        <f>IF(38=38,IF(AM49="","",IF(BB49&gt;0,"X",IF(BC49&gt;0,"?",""))),"")</f>
        <v/>
      </c>
      <c r="BF49" s="493" cm="1">
        <f t="array" ref="BF49">IF(38=38,IF(AM49="","",SUMPRODUCT(--ISNUMBER(SEARCH(" "&amp;DJ447:DJ546&amp;" ",BP49)))),"")</f>
        <v>0</v>
      </c>
      <c r="BG49" s="493" cm="1">
        <f t="array" ref="BG49">IF(38=38,IF(AM49="","",SUMPRODUCT(--ISNUMBER(SEARCH(" "&amp;DJ547:DJ646&amp;" ",BP49)))),"")</f>
        <v>0</v>
      </c>
      <c r="BH49" s="493" cm="1">
        <f t="array" ref="BH49">IF(38=38,IF(AM49="","",SUMPRODUCT(--ISNUMBER(SEARCH(" "&amp;DJ647:DJ746&amp;" ",BP49)))),"")</f>
        <v>0</v>
      </c>
      <c r="BI49" s="493" cm="1">
        <f t="array" ref="BI49">IF(38=38,IF(AM49="","",SUMPRODUCT(--ISNUMBER(SEARCH(" "&amp;DJ747:DJ846&amp;" ",BP49)))),"")</f>
        <v>0</v>
      </c>
      <c r="BJ49" s="493" cm="1">
        <f t="array" ref="BJ49">IF(38=38,IF(AM49="","",SUMPRODUCT(--ISNUMBER(SEARCH(" "&amp;DJ847:DJ946&amp;" ",BP49)))),"")</f>
        <v>0</v>
      </c>
      <c r="BK49" s="493" cm="1">
        <f t="array" ref="BK49">IF(38=38,IF(AM49="","",SUMPRODUCT(--ISNUMBER(SEARCH(" "&amp;DJ947:DJ1046&amp;" ",BP49)))),"")</f>
        <v>0</v>
      </c>
      <c r="BL49" s="493" cm="1">
        <f t="array" ref="BL49">IF(38=38,IF(AM49="","",SUMPRODUCT(--ISNUMBER(SEARCH(" "&amp;DJ1047:DJ1146&amp;" ",BP49)))),"")</f>
        <v>0</v>
      </c>
      <c r="BM49" s="493" cm="1">
        <f t="array" ref="BM49">IF(38=38,IF(AM49="","",SUMPRODUCT(--ISNUMBER(SEARCH(" "&amp;DJ1147:DJ1246&amp;" ",BP49)))),"")</f>
        <v>0</v>
      </c>
      <c r="BN49" s="493" cm="1">
        <f t="array" ref="BN49">IF(38=38,IF(AM49="","",SUMPRODUCT(--ISNUMBER(SEARCH(" "&amp;DJ1247:DJ1346&amp;" ",BP49)))),"")</f>
        <v>0</v>
      </c>
      <c r="BO49" s="493" cm="1">
        <f t="array" ref="BO49">IF(38=38,IF(AM49="","",SUMPRODUCT(--ISNUMBER(SEARCH(" "&amp;DJ1347:DJ1374&amp;" ",BP49)))),"")</f>
        <v>0</v>
      </c>
      <c r="BP49" s="493" t="str">
        <f>IF(38=38,IF(AM49="","",SUBSTITUTE(SUBSTITUTE(SUBSTITUTE(SUBSTITUTE(SUBSTITUTE(SUBSTITUTE(SUBSTITUTE(SUBSTITUTE(SUBSTITUTE(AS49," "&amp;DJ1376&amp;" "," ")," "&amp;DJ1375&amp;" "," ")," "&amp;DJ1381&amp;" "," ")," "&amp;DJ1382&amp;" "," ")," "&amp;DJ1378&amp;" "," ")," "&amp;DJ1380&amp;" "," ")," "&amp;DJ1377&amp;" "," ")," "&amp;DJ1379&amp;" "," ")," "&amp;DJ1383&amp;" "," ")),"")</f>
        <v xml:space="preserve"> fraiche </v>
      </c>
      <c r="BQ49" s="493" cm="1">
        <f t="array" ref="BQ49">IF(38=38,IF(AM49="","",SUMPRODUCT(--ISNUMBER(SEARCH(" "&amp;DJ1384:DJ1394&amp;" ",BP49)))),"")</f>
        <v>0</v>
      </c>
      <c r="BR49" s="493" t="str" cm="1">
        <f t="array" ref="BR49">IF(38=38,IF(AM49="","",IF(SUM(BF49:BO49)+SUMPRODUCT(--ISNUMBER(SEARCH(" "&amp;DJ2432:DJ2433&amp;" ",BP49)))&gt;0,"X",IF(BQ49&gt;0,"?",""))),"")</f>
        <v/>
      </c>
      <c r="BS49" s="493" cm="1">
        <f t="array" ref="BS49">IF(38=38,IF(AM49="","",SUMPRODUCT(--ISNUMBER(SEARCH(" "&amp;DJ1395:DJ1415&amp;" ",AS49)))),"")</f>
        <v>0</v>
      </c>
      <c r="BT49" s="493" t="str">
        <f>IF(38=38,IF(AM49="","",IF((BS49)-(0)&gt;0,"X",IF((0)-(0)&gt;0,"?",""))),"")</f>
        <v/>
      </c>
      <c r="BU49" s="493" cm="1">
        <f t="array" ref="BU49">IF(38=38,IF(AM49="","",SUMPRODUCT(--ISNUMBER(SEARCH(" "&amp;DJ1416:DJ1453&amp;" ",BV49)))),"")</f>
        <v>0</v>
      </c>
      <c r="BV49" s="493" t="str">
        <f>IF(38=38,IF(AM49="","",SUBSTITUTE(SUBSTITUTE(AS49," "&amp;DJ1454&amp;" "," ")," "&amp;DJ1455&amp;" "," ")),"")</f>
        <v xml:space="preserve"> fraiche </v>
      </c>
      <c r="BW49" s="493" cm="1">
        <f t="array" ref="BW49">IF(38=38,IF(AM49="","",SUMPRODUCT(--ISNUMBER(SEARCH(" "&amp;DJ1456:DJ1466&amp;" ",BV49)))),"")</f>
        <v>0</v>
      </c>
      <c r="BX49" s="493" t="str">
        <f>IF(38=38,IF(AM49="","",IF(BU49&gt;0,"X",IF(BW49&gt;0,"?",""))),"")</f>
        <v/>
      </c>
      <c r="BY49" s="493" cm="1">
        <f t="array" ref="BY49">IF(38=38,IF(AM49="","",SUMPRODUCT(--ISNUMBER(SEARCH(" "&amp;DJ1467:DJ1566&amp;" ",CB49)))),"")</f>
        <v>0</v>
      </c>
      <c r="BZ49" s="493" cm="1">
        <f t="array" ref="BZ49">IF(38=38,IF(AM49="","",SUMPRODUCT(--ISNUMBER(SEARCH(" "&amp;DJ1567:DJ1666&amp;" ",CB49)))),"")</f>
        <v>0</v>
      </c>
      <c r="CA49" s="493" cm="1">
        <f t="array" ref="CA49">IF(38=38,IF(AM49="","",SUMPRODUCT(--ISNUMBER(SEARCH(" "&amp;DJ1667:DJ1750&amp;" ",CB49)))),"")</f>
        <v>0</v>
      </c>
      <c r="CB49" s="493" t="str">
        <f>IF(38=38,IF(AM49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49,"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fraiche </v>
      </c>
      <c r="CC49" s="493" cm="1">
        <f t="array" ref="CC49">IF(38=38,IF(AM49="","",SUMPRODUCT(--ISNUMBER(SEARCH(" "&amp;DJ1801:DJ1880&amp;" ",CD49)))+SUMPRODUCT(--ISNUMBER(SEARCH(" "&amp;DJ2451:DJ2464&amp;" ",CD49)))),"")</f>
        <v>0</v>
      </c>
      <c r="CD49" s="493" t="str">
        <f>IF(38=38,IF(AM49="","",SUBSTITUTE(SUBSTITUTE(SUBSTITUTE(SUBSTITUTE(SUBSTITUTE(SUBSTITUTE(SUBSTITUTE(SUBSTITUTE(SUBSTITUTE(SUBSTITUTE(SUBSTITUTE(SUBSTITUTE(SUBSTITUTE(CB49," "&amp;DJ1887&amp;" "," ")," "&amp;DJ1885&amp;" "," ")," "&amp;DJ2449&amp;" "," ")," "&amp;DJ2450&amp;" "," ")," "&amp;DJ1882&amp;" "," ")," "&amp;DJ1886&amp;" "," ")," "&amp;DJ1888&amp;" "," ")," "&amp;DJ1883&amp;" "," ")," "&amp;DJ1881&amp;" "," ")," "&amp;DJ1378&amp;" "," ")," "&amp;DJ1889&amp;" "," ")," "&amp;DJ1377&amp;" "," ")," "&amp;DJ1884&amp;" "," ")),"")</f>
        <v xml:space="preserve"> fraiche </v>
      </c>
      <c r="CE49" s="493" t="str" cm="1">
        <f t="array" ref="CE49">IF(38=38,IF(AM49="","",IF(SUM(BY49:CA49)+SUMPRODUCT(--ISNUMBER(SEARCH(" "&amp;DJ2434:DJ2435&amp;" ",CB49)))&gt;0,"X",IF(CC49&gt;0,"?",""))),"")</f>
        <v/>
      </c>
      <c r="CF49" s="493" cm="1">
        <f t="array" ref="CF49">IF(38=38,IF(AM49="","",SUMPRODUCT(--ISNUMBER(SEARCH(" "&amp;DJ1890:DJ1947&amp;" ",CG49)))),"")</f>
        <v>0</v>
      </c>
      <c r="CG49" s="493" t="str">
        <f>IF(38=38,IF(AM49="","",SUBSTITUTE(SUBSTITUTE(SUBSTITUTE(SUBSTITUTE(SUBSTITUTE(SUBSTITUTE(SUBSTITUTE(SUBSTITUTE(SUBSTITUTE(SUBSTITUTE(SUBSTITUTE(SUBSTITUTE(SUBSTITUTE(SUBSTITUTE(SUBSTITUTE(SUBSTITUTE(SUBSTITUTE(SUBSTITUTE(SUBSTITUTE(SUBSTITUTE(SUBSTITUTE(SUBSTITUTE(SUBSTITUTE(AS49,"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fraiche </v>
      </c>
      <c r="CH49" s="493" cm="1">
        <f t="array" ref="CH49">IF(38=38,IF(AM49="","",SUMPRODUCT(--ISNUMBER(SEARCH(" "&amp;DJ1971:DJ1987&amp;" ",CG49)))),"")</f>
        <v>0</v>
      </c>
      <c r="CI49" s="493" t="str">
        <f>IF(38=38,IF(AM49="","",IF(CF49&gt;0,"X",IF(CH49&gt;0,"?",""))),"")</f>
        <v/>
      </c>
      <c r="CJ49" s="493" cm="1">
        <f t="array" ref="CJ49">IF(38=38,IF(AM49="","",SUMPRODUCT(--ISNUMBER(SEARCH(" "&amp;DJ1988:DJ2001&amp;" ",AS49)))),"")</f>
        <v>0</v>
      </c>
      <c r="CK49" s="493" cm="1">
        <f t="array" ref="CK49">IF(38=38,IF(AM49="","",SUMPRODUCT(--ISNUMBER(SEARCH(" "&amp;DJ2002:DJ2016&amp;" ",AS49)))),"")</f>
        <v>0</v>
      </c>
      <c r="CL49" s="493" t="str">
        <f>IF(38=38,IF(AM49="","",IF((CJ49)-(0)&gt;0,"X",IF((CK49)-(0)&gt;0,"?",""))),"")</f>
        <v/>
      </c>
      <c r="CM49" s="493" cm="1">
        <f t="array" ref="CM49">IF(38=38,IF(AM49="","",SUMPRODUCT(--ISNUMBER(SEARCH(" "&amp;DJ2017:DJ2034&amp;" ",AS49)))),"")</f>
        <v>0</v>
      </c>
      <c r="CN49" s="493" cm="1">
        <f t="array" ref="CN49">IF(38=38,IF(AM49="","",SUMPRODUCT(--ISNUMBER(SEARCH(" "&amp;DJ2035:DJ2049&amp;" ",AS49)))),"")</f>
        <v>0</v>
      </c>
      <c r="CO49" s="493" t="str">
        <f>IF(38=38,IF(AM49="","",IF((CM49)-(0)&gt;0,"X",IF((CN49)-(0)&gt;0,"?",""))),"")</f>
        <v/>
      </c>
      <c r="CP49" s="493" cm="1">
        <f t="array" ref="CP49">IF(38=38,IF(AM49="","",SUMPRODUCT(--ISNUMBER(SEARCH(" "&amp;DJ2050:DJ2068&amp;" ",AS49)))),"")</f>
        <v>0</v>
      </c>
      <c r="CQ49" s="493" cm="1">
        <f t="array" ref="CQ49">IF(38=38,IF(AM49="","",SUMPRODUCT(--ISNUMBER(SEARCH(" "&amp;DJ2069:DJ2083&amp;" ",AS49)))),"")</f>
        <v>0</v>
      </c>
      <c r="CR49" s="493" t="str">
        <f>IF(38=38,IF(AM49="","",IF((CP49)-(0)&gt;0,"X",IF((CQ49)-(0)&gt;0,"?",""))),"")</f>
        <v/>
      </c>
      <c r="CS49" s="493" cm="1">
        <f t="array" ref="CS49">IF(38=38,IF(AM49="","",SUMPRODUCT(--ISNUMBER(SEARCH(" "&amp;DJ2084:DJ2104&amp;" ",AS49)))),"")</f>
        <v>0</v>
      </c>
      <c r="CT49" s="493" cm="1">
        <f t="array" ref="CT49">IF(38=38,IF(AM49="","",SUMPRODUCT(--ISNUMBER(SEARCH(" "&amp;DJ2105:DJ2144&amp;" ",SUBSTITUTE(SUBSTITUTE(AS49," "&amp;DJ1378&amp;" "," ")," "&amp;DJ1377&amp;" "," "))))+--ISNUMBER(SEARCH("poiré",AN49))),"")</f>
        <v>0</v>
      </c>
      <c r="CU49" s="493" t="str">
        <f>IF(38=38,IF(AM49="","",IF(OR(CS49&gt;0,ISNUMBER(SEARCH(" vinaigre de vin ",AS49)),ISNUMBER(SEARCH(" vinaigre au vin ",AS49))),"X",IF(CT49&gt;0,"?",""))),"")</f>
        <v/>
      </c>
      <c r="CV49" s="493" cm="1">
        <f t="array" ref="CV49">IF(38=38,IF(AM49="","",SUMPRODUCT(--ISNUMBER(SEARCH(" "&amp;DJ2145:DJ2157&amp;" ",AS49)))),"")</f>
        <v>0</v>
      </c>
      <c r="CW49" s="493" cm="1">
        <f t="array" ref="CW49">IF(38=38,IF(AM49="","",SUMPRODUCT(--ISNUMBER(SEARCH(" "&amp;DJ2158:DJ2163&amp;" ",AS49)))),"")</f>
        <v>0</v>
      </c>
      <c r="CX49" s="493" t="str">
        <f>IF(38=38,IF(AM49="","",IF((CV49)-(0)&gt;0,"X",IF((CW49)-(0)&gt;0,"?",""))),"")</f>
        <v/>
      </c>
      <c r="CY49" s="493" cm="1">
        <f t="array" ref="CY49">IF(38=38,IF(AM49="","",SUMPRODUCT(--ISNUMBER(SEARCH(" "&amp;DJ2164:DJ2263&amp;" ",DB49)))),"")</f>
        <v>0</v>
      </c>
      <c r="CZ49" s="493" cm="1">
        <f t="array" ref="CZ49">IF(38=38,IF(AM49="","",SUMPRODUCT(--ISNUMBER(SEARCH(" "&amp;DJ2264:DJ2363&amp;" ",DB49)))),"")</f>
        <v>0</v>
      </c>
      <c r="DA49" s="493" cm="1">
        <f t="array" ref="DA49">IF(38=38,IF(AM49="","",SUMPRODUCT(--ISNUMBER(SEARCH(" "&amp;DJ2364:DJ2406&amp;" ",DB49)))),"")</f>
        <v>0</v>
      </c>
      <c r="DB49" s="493" t="str">
        <f>IF(38=38,IF(AM49="","",SUBSTITUTE(SUBSTITUTE(SUBSTITUTE(SUBSTITUTE(SUBSTITUTE(SUBSTITUTE(SUBSTITUTE(SUBSTITUTE(SUBSTITUTE(SUBSTITUTE(SUBSTITUTE(SUBSTITUTE(SUBSTITUTE(SUBSTITUTE(SUBSTITUTE(SUBSTITUTE(AS49," "&amp;DJ2412&amp;" "," ")," "&amp;DJ2411&amp;" "," ")," "&amp;DJ2410&amp;" "," ")," "&amp;DJ2417&amp;" "," ")," "&amp;DJ2409&amp;" "," ")," "&amp;DJ2421&amp;" "," ")," "&amp;DJ2408&amp;" "," ")," "&amp;DJ2413&amp;" "," ")," "&amp;DJ2416&amp;" "," ")," "&amp;DJ2407&amp;" "," ")," "&amp;DJ2415&amp;" "," ")," "&amp;DJ2422&amp;" "," ")," "&amp;DJ2419&amp;" "," ")," "&amp;DJ2414&amp;" "," ")," "&amp;DJ2418&amp;" "," ")," "&amp;DJ2420&amp;" "," ")),"")</f>
        <v xml:space="preserve"> fraiche </v>
      </c>
      <c r="DC49" s="493" cm="1">
        <f t="array" ref="DC49">IF(38=38,IF(AM49="","",SUMPRODUCT(--ISNUMBER(SEARCH(" "&amp;DJ2423:DJ2427&amp;" ",DB49)))),"")</f>
        <v>0</v>
      </c>
      <c r="DD49" s="493" t="str">
        <f>IF(38=38,IF(AM49="","",IF(SUM(CY49:DA49)&gt;0,"X",IF(DC49&gt;0,"?",""))),"")</f>
        <v/>
      </c>
      <c r="DE49" s="494"/>
      <c r="DF49" s="496" t="s">
        <v>1208</v>
      </c>
      <c r="DG49" s="496" t="s">
        <v>1083</v>
      </c>
      <c r="DH49" s="496" t="s">
        <v>689</v>
      </c>
      <c r="DI49" s="496" t="s">
        <v>899</v>
      </c>
      <c r="DJ49" s="496" t="s">
        <v>899</v>
      </c>
      <c r="DK49" s="496" t="s">
        <v>1085</v>
      </c>
      <c r="DL49" s="496" t="s">
        <v>1086</v>
      </c>
      <c r="DM49" s="496" t="s">
        <v>1087</v>
      </c>
      <c r="DN49" s="497" t="s">
        <v>1088</v>
      </c>
      <c r="DP49" s="543">
        <v>1</v>
      </c>
    </row>
    <row r="50" spans="2:120" ht="30" customHeight="1">
      <c r="B50" s="663" t="str">
        <f t="shared" si="0"/>
        <v/>
      </c>
      <c r="C50" s="663" t="str">
        <f t="shared" si="1"/>
        <v/>
      </c>
      <c r="D50" s="663" t="str">
        <f>IF(UPPER(TRIM(N11))="X",C50,B50)</f>
        <v/>
      </c>
      <c r="E50" s="663" cm="1">
        <f t="array" ref="E50">IF(H49&lt;&gt;"",E49,IF(E49="","",IFERROR(MATCH(TRUE(),INDEX(INDEX(K:K,E49+1):K203&lt;&gt;"",0),0)+E49,"")))</f>
        <v>41</v>
      </c>
      <c r="F50" s="663" t="str" cm="1">
        <f t="array" ref="F50">IF(E50="","",IF(H49&lt;&gt;"",H49,INDEX(D:D,E50)))</f>
        <v>Préparation : 20 min</v>
      </c>
      <c r="G50" s="663" t="str">
        <f t="shared" si="2"/>
        <v>Préparation : 20 min</v>
      </c>
      <c r="H50" s="673" t="str">
        <f t="shared" si="3"/>
        <v/>
      </c>
      <c r="I50" s="680" t="str">
        <f>IF(AND(F50&lt;&gt;"",N10&gt;0,M50&gt;N10),"Mot &gt; limite","")</f>
        <v/>
      </c>
      <c r="J50" s="674" t="str">
        <f>IF(K50="","",COUNTIF(K18:K50,"&lt;&gt;"))</f>
        <v/>
      </c>
      <c r="K50" s="675"/>
      <c r="L50" s="674" t="str">
        <f t="shared" si="4"/>
        <v/>
      </c>
      <c r="M50" s="643">
        <f>IF(OR(F50="",N10="",N10&lt;=0),"",IF(LEN(F50)&lt;=N10,LEN(F50),IFERROR(FIND("♦",SUBSTITUTE(LEFT(F50,N10)," ","♦",LEN(LEFT(F50,N10))-LEN(SUBSTITUTE(LEFT(F50,N10)," ","")))),FIND(" ",F50&amp;" ",N10+1)-1)))</f>
        <v>20</v>
      </c>
      <c r="N50" s="676">
        <f t="shared" si="5"/>
        <v>33</v>
      </c>
      <c r="O50" s="677" t="str">
        <f t="shared" si="6"/>
        <v>Préparation : 20 min</v>
      </c>
      <c r="P50" s="676">
        <f t="shared" si="7"/>
        <v>4</v>
      </c>
      <c r="Q50" s="676">
        <f t="shared" si="8"/>
        <v>20</v>
      </c>
      <c r="S50" s="509">
        <v>33</v>
      </c>
      <c r="T50" s="678" t="str">
        <f t="shared" si="10"/>
        <v>Préparation : 20 min</v>
      </c>
      <c r="U50" s="679" t="str">
        <f t="shared" ref="U50:U77" si="11">IF(7=7,IF(T50="","",TRIM(IF(RIGHT(TRIM(T50),1)="?",LEFT(TRIM(T50),LEN(TRIM(T50))-1),TRIM(T50)))&amp;IF(COUNTIF(W50:AJ50,"X")&gt;0," *",IF(OR(W50="?",X50="?",Y50="?",Z50="?",AA50="?",AB50="?",AC50="?",AD50="?",AE50="?",AF50="?",AG50="?",AH50="?",AI50="?",AJ50="?")," ?",""))),"")</f>
        <v>Préparation : 20 min</v>
      </c>
      <c r="V50" s="512" t="str">
        <f>IF(39=39,IF(T50="","",IF(W50="X",""&amp;"Céréales contenant du gluten","")&amp;IF(X50="X",IF(COUNTIF(W50:W50,"X")&gt;0,", ","")&amp;"Crustacés","")&amp;IF(Y50="X",IF(COUNTIF(W50:X50,"X")&gt;0,", ","")&amp;"Œufs","")&amp;IF(Z50="X",IF(COUNTIF(W50:Y50,"X")&gt;0,", ","")&amp;"Poissons","")&amp;IF(AA50="X",IF(COUNTIF(W50:Z50,"X")&gt;0,", ","")&amp;"Arachides","")&amp;IF(AB50="X",IF(COUNTIF(W50:AA50,"X")&gt;0,", ","")&amp;"Soja","")&amp;IF(AC50="X",IF(COUNTIF(W50:AB50,"X")&gt;0,", ","")&amp;"Lait","")&amp;IF(AD50="X",IF(COUNTIF(W50:AC50,"X")&gt;0,", ","")&amp;"Fruits à coque","")&amp;IF(AE50="X",IF(COUNTIF(W50:AD50,"X")&gt;0,", ","")&amp;"Céleri","")&amp;IF(AF50="X",IF(COUNTIF(W50:AE50,"X")&gt;0,", ","")&amp;"Moutarde","")&amp;IF(AG50="X",IF(COUNTIF(W50:AF50,"X")&gt;0,", ","")&amp;"Sésame","")&amp;IF(AH50="X",IF(COUNTIF(W50:AG50,"X")&gt;0,", ","")&amp;"Sulfites","")&amp;IF(AI50="X",IF(COUNTIF(W50:AH50,"X")&gt;0,", ","")&amp;"Lupin","")&amp;IF(AJ50="X",IF(COUNTIF(W50:AI50,"X")&gt;0,", ","")&amp;"Mollusques","")),"")</f>
        <v/>
      </c>
      <c r="W50" s="513" t="str">
        <f>IF(39=39,IF(T50="","",AX50),"")</f>
        <v/>
      </c>
      <c r="X50" s="513" t="str">
        <f>IF(39=39,IF(T50="","",BA50),"")</f>
        <v/>
      </c>
      <c r="Y50" s="513" t="str">
        <f>IF(39=39,IF(T50="","",BE50),"")</f>
        <v/>
      </c>
      <c r="Z50" s="513" t="str">
        <f>IF(39=39,IF(T50="","",IF(ISNUMBER(SEARCH(" colin ",AS50)),"X",BR50)),"")</f>
        <v/>
      </c>
      <c r="AA50" s="513" t="str">
        <f>IF(39=39,IF(T50="","",BT50),"")</f>
        <v/>
      </c>
      <c r="AB50" s="513" t="str">
        <f>IF(39=39,IF(T50="","",BX50),"")</f>
        <v/>
      </c>
      <c r="AC50" s="513" t="str">
        <f>IF(39=39,IF(T50="","",CE50),"")</f>
        <v/>
      </c>
      <c r="AD50" s="513" t="str">
        <f>IF(39=39,IF(T50="","",CI50),"")</f>
        <v/>
      </c>
      <c r="AE50" s="513" t="str">
        <f>IF(39=39,IF(T50="","",CL50),"")</f>
        <v/>
      </c>
      <c r="AF50" s="513" t="str">
        <f>IF(39=39,IF(T50="","",CO50),"")</f>
        <v/>
      </c>
      <c r="AG50" s="513" t="str">
        <f>IF(39=39,IF(T50="","",CR50),"")</f>
        <v/>
      </c>
      <c r="AH50" s="513" t="str">
        <f>IF(39=39,IF(T50="","",CU50),"")</f>
        <v/>
      </c>
      <c r="AI50" s="513" t="str">
        <f>IF(39=39,IF(T50="","",CX50),"")</f>
        <v/>
      </c>
      <c r="AJ50" s="513" t="str">
        <f>IF(39=39,IF(T50="","",DD50),"")</f>
        <v/>
      </c>
      <c r="AK50" s="514" t="str">
        <f>IF(39=39,IF(T50="","",IF(W50="?",""&amp;"Céréales contenant du gluten","")&amp;IF(X50="?",IF(COUNTIF(W50:W50,"~?")&gt;0,", ","")&amp;"Crustacés","")&amp;IF(Y50="?",IF(COUNTIF(W50:X50,"~?")&gt;0,", ","")&amp;"Œufs","")&amp;IF(Z50="?",IF(COUNTIF(W50:Y50,"~?")&gt;0,", ","")&amp;"Poissons","")&amp;IF(AA50="?",IF(COUNTIF(W50:Z50,"~?")&gt;0,", ","")&amp;"Arachides","")&amp;IF(AB50="?",IF(COUNTIF(W50:AA50,"~?")&gt;0,", ","")&amp;"Soja","")&amp;IF(AC50="?",IF(COUNTIF(W50:AB50,"~?")&gt;0,", ","")&amp;"Lait","")&amp;IF(AD50="?",IF(COUNTIF(W50:AC50,"~?")&gt;0,", ","")&amp;"Fruits à coque","")&amp;IF(AE50="?",IF(COUNTIF(W50:AD50,"~?")&gt;0,", ","")&amp;"Céleri","")&amp;IF(AF50="?",IF(COUNTIF(W50:AE50,"~?")&gt;0,", ","")&amp;"Moutarde","")&amp;IF(AG50="?",IF(COUNTIF(W50:AF50,"~?")&gt;0,", ","")&amp;"Sésame","")&amp;IF(AH50="?",IF(COUNTIF(W50:AG50,"~?")&gt;0,", ","")&amp;"Sulfites","")&amp;IF(AI50="?",IF(COUNTIF(W50:AH50,"~?")&gt;0,", ","")&amp;"Lupin","")&amp;IF(AJ50="?",IF(COUNTIF(W50:AI50,"~?")&gt;0,", ","")&amp;"Mollusques","")),"")</f>
        <v/>
      </c>
      <c r="AM50" s="493" t="str">
        <f>IF(39=39,IF(T50="","",T50),"")</f>
        <v>Préparation : 20 min</v>
      </c>
      <c r="AN50" s="493" t="str">
        <f>IF(39=39,LOWER(CLEAN(SUBSTITUTE(SUBSTITUTE(SUBSTITUTE(SUBSTITUTE(AM50,CHAR(160)," ")," "," "),CHAR(10)," "),CHAR(13)," "))),"")</f>
        <v>préparation : 20 min</v>
      </c>
      <c r="AO50" s="493" t="str">
        <f>IF(39=39,SUBSTITUTE(SUBSTITUTE(SUBSTITUTE(SUBSTITUTE(SUBSTITUTE(SUBSTITUTE(SUBSTITUTE(SUBSTITUTE(SUBSTITUTE(SUBSTITUTE(SUBSTITUTE(SUBSTITUTE(AN50,"œ","oe"),"æ","ae"),"à","a"),"á","a"),"â","a"),"ä","a"),"ã","a"),"ç","c"),"è","e"),"é","e"),"ê","e"),"ë","e"),"")</f>
        <v>preparation : 20 min</v>
      </c>
      <c r="AP50" s="493" t="str">
        <f>IF(39=39,SUBSTITUTE(SUBSTITUTE(SUBSTITUTE(SUBSTITUTE(SUBSTITUTE(SUBSTITUTE(SUBSTITUTE(SUBSTITUTE(SUBSTITUTE(SUBSTITUTE(SUBSTITUTE(SUBSTITUTE(SUBSTITUTE(SUBSTITUTE(SUBSTITUTE(SUBSTITUTE(AO50,"ì","i"),"í","i"),"î","i"),"ï","i"),"ñ","n"),"ò","o"),"ó","o"),"ô","o"),"ö","o"),"õ","o"),"ù","u"),"ú","u"),"û","u"),"ü","u"),"ý","y"),"ÿ","y"),"")</f>
        <v>preparation : 20 min</v>
      </c>
      <c r="AQ50" s="493" t="str">
        <f>IF(39=39,SUBSTITUTE(SUBSTITUTE(SUBSTITUTE(SUBSTITUTE(SUBSTITUTE(SUBSTITUTE(SUBSTITUTE(SUBSTITUTE(SUBSTITUTE(SUBSTITUTE(SUBSTITUTE(SUBSTITUTE(SUBSTITUTE(SUBSTITUTE(AP50,"’"," "),"`"," "),"–"," "),"—"," "),"-"," "),"'"," "),"/"," "),"_"," "),","," "),"."," "),"("," "),")"," "),";"," "),":"," "),"")</f>
        <v>preparation   20 min</v>
      </c>
      <c r="AR50" s="493" t="str">
        <f>IF(39=39,SUBSTITUTE(SUBSTITUTE(SUBSTITUTE(SUBSTITUTE(SUBSTITUTE(SUBSTITUTE(SUBSTITUTE(SUBSTITUTE(SUBSTITUTE(SUBSTITUTE(SUBSTITUTE(SUBSTITUTE(SUBSTITUTE(SUBSTITUTE(SUBSTITUTE(AQ50,"!"," "),"?"," "),"+"," "),"*"," "),"&amp;"," "),"["," "),"]"," "),"{"," "),"}"," "),"%"," "),"="," "),"\"," "),"|"," "),"&lt;"," "),"&gt;"," "),"")</f>
        <v>preparation   20 min</v>
      </c>
      <c r="AS50" s="493" t="str">
        <f>IF(39=39," "&amp;TRIM(SUBSTITUTE(SUBSTITUTE(SUBSTITUTE(SUBSTITUTE(SUBSTITUTE(SUBSTITUTE(AR50,CHAR(34)," "),"  "," "),"  "," "),"  "," "),"  "," "),"  "," "))&amp;" ","")</f>
        <v xml:space="preserve"> preparation 20 min </v>
      </c>
      <c r="AT50" s="493" cm="1">
        <f t="array" ref="AT50">IF(39=39,IF(AM50="","",SUMPRODUCT(--ISNUMBER(SEARCH(" "&amp;DJ13:DJ112&amp;" ",AV50)))),"")</f>
        <v>0</v>
      </c>
      <c r="AU50" s="493" cm="1">
        <f t="array" ref="AU50">IF(39=39,IF(AM50="","",SUMPRODUCT(--ISNUMBER(SEARCH(" "&amp;DJ113:DJ162&amp;" ",AV50)))),"")</f>
        <v>0</v>
      </c>
      <c r="AV50" s="493" t="str">
        <f>IF(AM50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50,"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preparation 20 min </v>
      </c>
      <c r="AW50" s="493" cm="1">
        <f t="array" ref="AW50">IF(AM50="","",SUMPRODUCT(--ISNUMBER(SEARCH(" "&amp;DJ195:DJ216&amp;" ",AV50)))+--ISNUMBER(SEARCH(" "&amp;DJ2465&amp;" ",AV50)))</f>
        <v>0</v>
      </c>
      <c r="AX50" s="493" t="str" cm="1">
        <f t="array" ref="AX50">IF(39=39,IF(AM50="","",IF(SUM(AT50:AU50)+SUMPRODUCT(--ISNUMBER(SEARCH(" "&amp;DJ2429:DJ2431&amp;" ",AV50)))&gt;0,"X",IF(AW50&gt;0,"?",""))),"")</f>
        <v/>
      </c>
      <c r="AY50" s="493" cm="1">
        <f t="array" ref="AY50">IF(39=39,IF(AM50="","",SUMPRODUCT(--ISNUMBER(SEARCH(" "&amp;DJ217:DJ316&amp;" ",AS50)))),"")</f>
        <v>0</v>
      </c>
      <c r="AZ50" s="493" cm="1">
        <f t="array" ref="AZ50">IF(39=39,IF(AM50="","",SUMPRODUCT(--ISNUMBER(SEARCH(" "&amp;DJ317:DJ351&amp;" ",AS50)))),"")</f>
        <v>0</v>
      </c>
      <c r="BA50" s="493" t="str">
        <f>IF(39=39,IF(AM50="","",IF((SUM(AY50:AZ50))-(0)&gt;0,"X",IF((0)-(0)&gt;0,"?",""))),"")</f>
        <v/>
      </c>
      <c r="BB50" s="493" cm="1">
        <f t="array" ref="BB50">IF(39=39,IF(AM50="","",SUMPRODUCT(--ISNUMBER(SEARCH(" "&amp;DJ352:DJ409&amp;" ",AS50)))),"")</f>
        <v>0</v>
      </c>
      <c r="BC50" s="493" cm="1">
        <f t="array" ref="BC50">IF(39=39,IF(AM50="","",SUMPRODUCT(--ISNUMBER(SEARCH(" "&amp;DJ410:DJ437&amp;" ",BD50)))+SUMPRODUCT(--ISNUMBER(SEARCH(" "&amp;DJ2451:DJ2464&amp;" ",BD50)))),"")</f>
        <v>0</v>
      </c>
      <c r="BD50" s="493" t="str">
        <f>IF(39=39,IF(AM50="","",SUBSTITUTE(SUBSTITUTE(SUBSTITUTE(SUBSTITUTE(SUBSTITUTE(SUBSTITUTE(SUBSTITUTE(SUBSTITUTE(SUBSTITUTE(SUBSTITUTE(SUBSTITUTE(SUBSTITUTE(SUBSTITUTE(SUBSTITUTE(AS50," "&amp;DJ2466&amp;" "," ")," "&amp;DJ444&amp;" "," ")," "&amp;DJ442&amp;" "," ")," "&amp;DJ2449&amp;" "," ")," "&amp;DJ2450&amp;" "," ")," "&amp;DJ439&amp;" "," ")," "&amp;DJ443&amp;" "," ")," "&amp;DJ445&amp;" "," ")," "&amp;DJ440&amp;" "," ")," "&amp;DJ438&amp;" "," ")," "&amp;DJ1378&amp;" "," ")," "&amp;DJ446&amp;" "," ")," "&amp;DJ1377&amp;" "," ")," "&amp;DJ441&amp;" "," ")),"")</f>
        <v xml:space="preserve"> preparation 20 min </v>
      </c>
      <c r="BE50" s="493" t="str">
        <f>IF(39=39,IF(AM50="","",IF(BB50&gt;0,"X",IF(BC50&gt;0,"?",""))),"")</f>
        <v/>
      </c>
      <c r="BF50" s="493" cm="1">
        <f t="array" ref="BF50">IF(39=39,IF(AM50="","",SUMPRODUCT(--ISNUMBER(SEARCH(" "&amp;DJ447:DJ546&amp;" ",BP50)))),"")</f>
        <v>0</v>
      </c>
      <c r="BG50" s="493" cm="1">
        <f t="array" ref="BG50">IF(39=39,IF(AM50="","",SUMPRODUCT(--ISNUMBER(SEARCH(" "&amp;DJ547:DJ646&amp;" ",BP50)))),"")</f>
        <v>0</v>
      </c>
      <c r="BH50" s="493" cm="1">
        <f t="array" ref="BH50">IF(39=39,IF(AM50="","",SUMPRODUCT(--ISNUMBER(SEARCH(" "&amp;DJ647:DJ746&amp;" ",BP50)))),"")</f>
        <v>0</v>
      </c>
      <c r="BI50" s="493" cm="1">
        <f t="array" ref="BI50">IF(39=39,IF(AM50="","",SUMPRODUCT(--ISNUMBER(SEARCH(" "&amp;DJ747:DJ846&amp;" ",BP50)))),"")</f>
        <v>0</v>
      </c>
      <c r="BJ50" s="493" cm="1">
        <f t="array" ref="BJ50">IF(39=39,IF(AM50="","",SUMPRODUCT(--ISNUMBER(SEARCH(" "&amp;DJ847:DJ946&amp;" ",BP50)))),"")</f>
        <v>0</v>
      </c>
      <c r="BK50" s="493" cm="1">
        <f t="array" ref="BK50">IF(39=39,IF(AM50="","",SUMPRODUCT(--ISNUMBER(SEARCH(" "&amp;DJ947:DJ1046&amp;" ",BP50)))),"")</f>
        <v>0</v>
      </c>
      <c r="BL50" s="493" cm="1">
        <f t="array" ref="BL50">IF(39=39,IF(AM50="","",SUMPRODUCT(--ISNUMBER(SEARCH(" "&amp;DJ1047:DJ1146&amp;" ",BP50)))),"")</f>
        <v>0</v>
      </c>
      <c r="BM50" s="493" cm="1">
        <f t="array" ref="BM50">IF(39=39,IF(AM50="","",SUMPRODUCT(--ISNUMBER(SEARCH(" "&amp;DJ1147:DJ1246&amp;" ",BP50)))),"")</f>
        <v>0</v>
      </c>
      <c r="BN50" s="493" cm="1">
        <f t="array" ref="BN50">IF(39=39,IF(AM50="","",SUMPRODUCT(--ISNUMBER(SEARCH(" "&amp;DJ1247:DJ1346&amp;" ",BP50)))),"")</f>
        <v>0</v>
      </c>
      <c r="BO50" s="493" cm="1">
        <f t="array" ref="BO50">IF(39=39,IF(AM50="","",SUMPRODUCT(--ISNUMBER(SEARCH(" "&amp;DJ1347:DJ1374&amp;" ",BP50)))),"")</f>
        <v>0</v>
      </c>
      <c r="BP50" s="493" t="str">
        <f>IF(39=39,IF(AM50="","",SUBSTITUTE(SUBSTITUTE(SUBSTITUTE(SUBSTITUTE(SUBSTITUTE(SUBSTITUTE(SUBSTITUTE(SUBSTITUTE(SUBSTITUTE(AS50," "&amp;DJ1376&amp;" "," ")," "&amp;DJ1375&amp;" "," ")," "&amp;DJ1381&amp;" "," ")," "&amp;DJ1382&amp;" "," ")," "&amp;DJ1378&amp;" "," ")," "&amp;DJ1380&amp;" "," ")," "&amp;DJ1377&amp;" "," ")," "&amp;DJ1379&amp;" "," ")," "&amp;DJ1383&amp;" "," ")),"")</f>
        <v xml:space="preserve"> preparation 20 min </v>
      </c>
      <c r="BQ50" s="493" cm="1">
        <f t="array" ref="BQ50">IF(39=39,IF(AM50="","",SUMPRODUCT(--ISNUMBER(SEARCH(" "&amp;DJ1384:DJ1394&amp;" ",BP50)))),"")</f>
        <v>0</v>
      </c>
      <c r="BR50" s="493" t="str" cm="1">
        <f t="array" ref="BR50">IF(39=39,IF(AM50="","",IF(SUM(BF50:BO50)+SUMPRODUCT(--ISNUMBER(SEARCH(" "&amp;DJ2432:DJ2433&amp;" ",BP50)))&gt;0,"X",IF(BQ50&gt;0,"?",""))),"")</f>
        <v/>
      </c>
      <c r="BS50" s="493" cm="1">
        <f t="array" ref="BS50">IF(39=39,IF(AM50="","",SUMPRODUCT(--ISNUMBER(SEARCH(" "&amp;DJ1395:DJ1415&amp;" ",AS50)))),"")</f>
        <v>0</v>
      </c>
      <c r="BT50" s="493" t="str">
        <f>IF(39=39,IF(AM50="","",IF((BS50)-(0)&gt;0,"X",IF((0)-(0)&gt;0,"?",""))),"")</f>
        <v/>
      </c>
      <c r="BU50" s="493" cm="1">
        <f t="array" ref="BU50">IF(39=39,IF(AM50="","",SUMPRODUCT(--ISNUMBER(SEARCH(" "&amp;DJ1416:DJ1453&amp;" ",BV50)))),"")</f>
        <v>0</v>
      </c>
      <c r="BV50" s="493" t="str">
        <f>IF(39=39,IF(AM50="","",SUBSTITUTE(SUBSTITUTE(AS50," "&amp;DJ1454&amp;" "," ")," "&amp;DJ1455&amp;" "," ")),"")</f>
        <v xml:space="preserve"> preparation 20 min </v>
      </c>
      <c r="BW50" s="493" cm="1">
        <f t="array" ref="BW50">IF(39=39,IF(AM50="","",SUMPRODUCT(--ISNUMBER(SEARCH(" "&amp;DJ1456:DJ1466&amp;" ",BV50)))),"")</f>
        <v>0</v>
      </c>
      <c r="BX50" s="493" t="str">
        <f>IF(39=39,IF(AM50="","",IF(BU50&gt;0,"X",IF(BW50&gt;0,"?",""))),"")</f>
        <v/>
      </c>
      <c r="BY50" s="493" cm="1">
        <f t="array" ref="BY50">IF(39=39,IF(AM50="","",SUMPRODUCT(--ISNUMBER(SEARCH(" "&amp;DJ1467:DJ1566&amp;" ",CB50)))),"")</f>
        <v>0</v>
      </c>
      <c r="BZ50" s="493" cm="1">
        <f t="array" ref="BZ50">IF(39=39,IF(AM50="","",SUMPRODUCT(--ISNUMBER(SEARCH(" "&amp;DJ1567:DJ1666&amp;" ",CB50)))),"")</f>
        <v>0</v>
      </c>
      <c r="CA50" s="493" cm="1">
        <f t="array" ref="CA50">IF(39=39,IF(AM50="","",SUMPRODUCT(--ISNUMBER(SEARCH(" "&amp;DJ1667:DJ1750&amp;" ",CB50)))),"")</f>
        <v>0</v>
      </c>
      <c r="CB50" s="493" t="str">
        <f>IF(39=39,IF(AM50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50,"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preparation 20 min </v>
      </c>
      <c r="CC50" s="493" cm="1">
        <f t="array" ref="CC50">IF(39=39,IF(AM50="","",SUMPRODUCT(--ISNUMBER(SEARCH(" "&amp;DJ1801:DJ1880&amp;" ",CD50)))+SUMPRODUCT(--ISNUMBER(SEARCH(" "&amp;DJ2451:DJ2464&amp;" ",CD50)))),"")</f>
        <v>0</v>
      </c>
      <c r="CD50" s="493" t="str">
        <f>IF(39=39,IF(AM50="","",SUBSTITUTE(SUBSTITUTE(SUBSTITUTE(SUBSTITUTE(SUBSTITUTE(SUBSTITUTE(SUBSTITUTE(SUBSTITUTE(SUBSTITUTE(SUBSTITUTE(SUBSTITUTE(SUBSTITUTE(SUBSTITUTE(CB50," "&amp;DJ1887&amp;" "," ")," "&amp;DJ1885&amp;" "," ")," "&amp;DJ2449&amp;" "," ")," "&amp;DJ2450&amp;" "," ")," "&amp;DJ1882&amp;" "," ")," "&amp;DJ1886&amp;" "," ")," "&amp;DJ1888&amp;" "," ")," "&amp;DJ1883&amp;" "," ")," "&amp;DJ1881&amp;" "," ")," "&amp;DJ1378&amp;" "," ")," "&amp;DJ1889&amp;" "," ")," "&amp;DJ1377&amp;" "," ")," "&amp;DJ1884&amp;" "," ")),"")</f>
        <v xml:space="preserve"> preparation 20 min </v>
      </c>
      <c r="CE50" s="493" t="str" cm="1">
        <f t="array" ref="CE50">IF(39=39,IF(AM50="","",IF(SUM(BY50:CA50)+SUMPRODUCT(--ISNUMBER(SEARCH(" "&amp;DJ2434:DJ2435&amp;" ",CB50)))&gt;0,"X",IF(CC50&gt;0,"?",""))),"")</f>
        <v/>
      </c>
      <c r="CF50" s="493" cm="1">
        <f t="array" ref="CF50">IF(39=39,IF(AM50="","",SUMPRODUCT(--ISNUMBER(SEARCH(" "&amp;DJ1890:DJ1947&amp;" ",CG50)))),"")</f>
        <v>0</v>
      </c>
      <c r="CG50" s="493" t="str">
        <f>IF(39=39,IF(AM50="","",SUBSTITUTE(SUBSTITUTE(SUBSTITUTE(SUBSTITUTE(SUBSTITUTE(SUBSTITUTE(SUBSTITUTE(SUBSTITUTE(SUBSTITUTE(SUBSTITUTE(SUBSTITUTE(SUBSTITUTE(SUBSTITUTE(SUBSTITUTE(SUBSTITUTE(SUBSTITUTE(SUBSTITUTE(SUBSTITUTE(SUBSTITUTE(SUBSTITUTE(SUBSTITUTE(SUBSTITUTE(SUBSTITUTE(AS50,"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preparation 20 min </v>
      </c>
      <c r="CH50" s="493" cm="1">
        <f t="array" ref="CH50">IF(39=39,IF(AM50="","",SUMPRODUCT(--ISNUMBER(SEARCH(" "&amp;DJ1971:DJ1987&amp;" ",CG50)))),"")</f>
        <v>0</v>
      </c>
      <c r="CI50" s="493" t="str">
        <f>IF(39=39,IF(AM50="","",IF(CF50&gt;0,"X",IF(CH50&gt;0,"?",""))),"")</f>
        <v/>
      </c>
      <c r="CJ50" s="493" cm="1">
        <f t="array" ref="CJ50">IF(39=39,IF(AM50="","",SUMPRODUCT(--ISNUMBER(SEARCH(" "&amp;DJ1988:DJ2001&amp;" ",AS50)))),"")</f>
        <v>0</v>
      </c>
      <c r="CK50" s="493" cm="1">
        <f t="array" ref="CK50">IF(39=39,IF(AM50="","",SUMPRODUCT(--ISNUMBER(SEARCH(" "&amp;DJ2002:DJ2016&amp;" ",AS50)))),"")</f>
        <v>0</v>
      </c>
      <c r="CL50" s="493" t="str">
        <f>IF(39=39,IF(AM50="","",IF((CJ50)-(0)&gt;0,"X",IF((CK50)-(0)&gt;0,"?",""))),"")</f>
        <v/>
      </c>
      <c r="CM50" s="493" cm="1">
        <f t="array" ref="CM50">IF(39=39,IF(AM50="","",SUMPRODUCT(--ISNUMBER(SEARCH(" "&amp;DJ2017:DJ2034&amp;" ",AS50)))),"")</f>
        <v>0</v>
      </c>
      <c r="CN50" s="493" cm="1">
        <f t="array" ref="CN50">IF(39=39,IF(AM50="","",SUMPRODUCT(--ISNUMBER(SEARCH(" "&amp;DJ2035:DJ2049&amp;" ",AS50)))),"")</f>
        <v>0</v>
      </c>
      <c r="CO50" s="493" t="str">
        <f>IF(39=39,IF(AM50="","",IF((CM50)-(0)&gt;0,"X",IF((CN50)-(0)&gt;0,"?",""))),"")</f>
        <v/>
      </c>
      <c r="CP50" s="493" cm="1">
        <f t="array" ref="CP50">IF(39=39,IF(AM50="","",SUMPRODUCT(--ISNUMBER(SEARCH(" "&amp;DJ2050:DJ2068&amp;" ",AS50)))),"")</f>
        <v>0</v>
      </c>
      <c r="CQ50" s="493" cm="1">
        <f t="array" ref="CQ50">IF(39=39,IF(AM50="","",SUMPRODUCT(--ISNUMBER(SEARCH(" "&amp;DJ2069:DJ2083&amp;" ",AS50)))),"")</f>
        <v>0</v>
      </c>
      <c r="CR50" s="493" t="str">
        <f>IF(39=39,IF(AM50="","",IF((CP50)-(0)&gt;0,"X",IF((CQ50)-(0)&gt;0,"?",""))),"")</f>
        <v/>
      </c>
      <c r="CS50" s="493" cm="1">
        <f t="array" ref="CS50">IF(39=39,IF(AM50="","",SUMPRODUCT(--ISNUMBER(SEARCH(" "&amp;DJ2084:DJ2104&amp;" ",AS50)))),"")</f>
        <v>0</v>
      </c>
      <c r="CT50" s="493" cm="1">
        <f t="array" ref="CT50">IF(39=39,IF(AM50="","",SUMPRODUCT(--ISNUMBER(SEARCH(" "&amp;DJ2105:DJ2144&amp;" ",SUBSTITUTE(SUBSTITUTE(AS50," "&amp;DJ1378&amp;" "," ")," "&amp;DJ1377&amp;" "," "))))+--ISNUMBER(SEARCH("poiré",AN50))),"")</f>
        <v>0</v>
      </c>
      <c r="CU50" s="493" t="str">
        <f>IF(39=39,IF(AM50="","",IF(OR(CS50&gt;0,ISNUMBER(SEARCH(" vinaigre de vin ",AS50)),ISNUMBER(SEARCH(" vinaigre au vin ",AS50))),"X",IF(CT50&gt;0,"?",""))),"")</f>
        <v/>
      </c>
      <c r="CV50" s="493" cm="1">
        <f t="array" ref="CV50">IF(39=39,IF(AM50="","",SUMPRODUCT(--ISNUMBER(SEARCH(" "&amp;DJ2145:DJ2157&amp;" ",AS50)))),"")</f>
        <v>0</v>
      </c>
      <c r="CW50" s="493" cm="1">
        <f t="array" ref="CW50">IF(39=39,IF(AM50="","",SUMPRODUCT(--ISNUMBER(SEARCH(" "&amp;DJ2158:DJ2163&amp;" ",AS50)))),"")</f>
        <v>0</v>
      </c>
      <c r="CX50" s="493" t="str">
        <f>IF(39=39,IF(AM50="","",IF((CV50)-(0)&gt;0,"X",IF((CW50)-(0)&gt;0,"?",""))),"")</f>
        <v/>
      </c>
      <c r="CY50" s="493" cm="1">
        <f t="array" ref="CY50">IF(39=39,IF(AM50="","",SUMPRODUCT(--ISNUMBER(SEARCH(" "&amp;DJ2164:DJ2263&amp;" ",DB50)))),"")</f>
        <v>0</v>
      </c>
      <c r="CZ50" s="493" cm="1">
        <f t="array" ref="CZ50">IF(39=39,IF(AM50="","",SUMPRODUCT(--ISNUMBER(SEARCH(" "&amp;DJ2264:DJ2363&amp;" ",DB50)))),"")</f>
        <v>0</v>
      </c>
      <c r="DA50" s="493" cm="1">
        <f t="array" ref="DA50">IF(39=39,IF(AM50="","",SUMPRODUCT(--ISNUMBER(SEARCH(" "&amp;DJ2364:DJ2406&amp;" ",DB50)))),"")</f>
        <v>0</v>
      </c>
      <c r="DB50" s="493" t="str">
        <f>IF(39=39,IF(AM50="","",SUBSTITUTE(SUBSTITUTE(SUBSTITUTE(SUBSTITUTE(SUBSTITUTE(SUBSTITUTE(SUBSTITUTE(SUBSTITUTE(SUBSTITUTE(SUBSTITUTE(SUBSTITUTE(SUBSTITUTE(SUBSTITUTE(SUBSTITUTE(SUBSTITUTE(SUBSTITUTE(AS50," "&amp;DJ2412&amp;" "," ")," "&amp;DJ2411&amp;" "," ")," "&amp;DJ2410&amp;" "," ")," "&amp;DJ2417&amp;" "," ")," "&amp;DJ2409&amp;" "," ")," "&amp;DJ2421&amp;" "," ")," "&amp;DJ2408&amp;" "," ")," "&amp;DJ2413&amp;" "," ")," "&amp;DJ2416&amp;" "," ")," "&amp;DJ2407&amp;" "," ")," "&amp;DJ2415&amp;" "," ")," "&amp;DJ2422&amp;" "," ")," "&amp;DJ2419&amp;" "," ")," "&amp;DJ2414&amp;" "," ")," "&amp;DJ2418&amp;" "," ")," "&amp;DJ2420&amp;" "," ")),"")</f>
        <v xml:space="preserve"> preparation 20 min </v>
      </c>
      <c r="DC50" s="493" cm="1">
        <f t="array" ref="DC50">IF(39=39,IF(AM50="","",SUMPRODUCT(--ISNUMBER(SEARCH(" "&amp;DJ2423:DJ2427&amp;" ",DB50)))),"")</f>
        <v>0</v>
      </c>
      <c r="DD50" s="493" t="str">
        <f>IF(39=39,IF(AM50="","",IF(SUM(CY50:DA50)&gt;0,"X",IF(DC50&gt;0,"?",""))),"")</f>
        <v/>
      </c>
      <c r="DE50" s="494"/>
      <c r="DF50" s="496" t="s">
        <v>1209</v>
      </c>
      <c r="DG50" s="496" t="s">
        <v>1083</v>
      </c>
      <c r="DH50" s="496" t="s">
        <v>689</v>
      </c>
      <c r="DI50" s="496" t="s">
        <v>1210</v>
      </c>
      <c r="DJ50" s="496" t="s">
        <v>900</v>
      </c>
      <c r="DK50" s="496" t="s">
        <v>1085</v>
      </c>
      <c r="DL50" s="496" t="s">
        <v>1086</v>
      </c>
      <c r="DM50" s="496" t="s">
        <v>1087</v>
      </c>
      <c r="DN50" s="497" t="s">
        <v>1088</v>
      </c>
      <c r="DP50" s="543">
        <v>1</v>
      </c>
    </row>
    <row r="51" spans="2:120" ht="30" customHeight="1">
      <c r="B51" s="663" t="str">
        <f t="shared" si="0"/>
        <v/>
      </c>
      <c r="C51" s="663" t="str">
        <f t="shared" si="1"/>
        <v/>
      </c>
      <c r="D51" s="663" t="str">
        <f>IF(UPPER(TRIM(N11))="X",C51,B51)</f>
        <v/>
      </c>
      <c r="E51" s="663" cm="1">
        <f t="array" ref="E51">IF(H50&lt;&gt;"",E50,IF(E50="","",IFERROR(MATCH(TRUE(),INDEX(INDEX(K:K,E50+1):K203&lt;&gt;"",0),0)+E50,"")))</f>
        <v>42</v>
      </c>
      <c r="F51" s="663" t="str" cm="1">
        <f t="array" ref="F51">IF(E51="","",IF(H50&lt;&gt;"",H50,INDEX(D:D,E51)))</f>
        <v>Cuisson : 30 min</v>
      </c>
      <c r="G51" s="663" t="str">
        <f t="shared" si="2"/>
        <v>Cuisson : 30 min</v>
      </c>
      <c r="H51" s="673" t="str">
        <f t="shared" si="3"/>
        <v/>
      </c>
      <c r="I51" s="680" t="str">
        <f>IF(AND(F51&lt;&gt;"",N10&gt;0,M51&gt;N10),"Mot &gt; limite","")</f>
        <v/>
      </c>
      <c r="J51" s="674" t="str">
        <f>IF(K51="","",COUNTIF(K18:K51,"&lt;&gt;"))</f>
        <v/>
      </c>
      <c r="K51" s="675"/>
      <c r="L51" s="674" t="str">
        <f t="shared" si="4"/>
        <v/>
      </c>
      <c r="M51" s="643">
        <f>IF(OR(F51="",N10="",N10&lt;=0),"",IF(LEN(F51)&lt;=N10,LEN(F51),IFERROR(FIND("♦",SUBSTITUTE(LEFT(F51,N10)," ","♦",LEN(LEFT(F51,N10))-LEN(SUBSTITUTE(LEFT(F51,N10)," ","")))),FIND(" ",F51&amp;" ",N10+1)-1)))</f>
        <v>16</v>
      </c>
      <c r="N51" s="676">
        <f t="shared" si="5"/>
        <v>34</v>
      </c>
      <c r="O51" s="677" t="str">
        <f t="shared" si="6"/>
        <v>Cuisson : 30 min</v>
      </c>
      <c r="P51" s="676">
        <f t="shared" si="7"/>
        <v>4</v>
      </c>
      <c r="Q51" s="676">
        <f t="shared" si="8"/>
        <v>16</v>
      </c>
      <c r="S51" s="509">
        <v>34</v>
      </c>
      <c r="T51" s="678" t="str">
        <f t="shared" si="10"/>
        <v>Cuisson : 30 min</v>
      </c>
      <c r="U51" s="679" t="str">
        <f t="shared" si="11"/>
        <v>Cuisson : 30 min</v>
      </c>
      <c r="V51" s="512" t="str">
        <f>IF(40=40,IF(T51="","",IF(W51="X",""&amp;"Céréales contenant du gluten","")&amp;IF(X51="X",IF(COUNTIF(W51:W51,"X")&gt;0,", ","")&amp;"Crustacés","")&amp;IF(Y51="X",IF(COUNTIF(W51:X51,"X")&gt;0,", ","")&amp;"Œufs","")&amp;IF(Z51="X",IF(COUNTIF(W51:Y51,"X")&gt;0,", ","")&amp;"Poissons","")&amp;IF(AA51="X",IF(COUNTIF(W51:Z51,"X")&gt;0,", ","")&amp;"Arachides","")&amp;IF(AB51="X",IF(COUNTIF(W51:AA51,"X")&gt;0,", ","")&amp;"Soja","")&amp;IF(AC51="X",IF(COUNTIF(W51:AB51,"X")&gt;0,", ","")&amp;"Lait","")&amp;IF(AD51="X",IF(COUNTIF(W51:AC51,"X")&gt;0,", ","")&amp;"Fruits à coque","")&amp;IF(AE51="X",IF(COUNTIF(W51:AD51,"X")&gt;0,", ","")&amp;"Céleri","")&amp;IF(AF51="X",IF(COUNTIF(W51:AE51,"X")&gt;0,", ","")&amp;"Moutarde","")&amp;IF(AG51="X",IF(COUNTIF(W51:AF51,"X")&gt;0,", ","")&amp;"Sésame","")&amp;IF(AH51="X",IF(COUNTIF(W51:AG51,"X")&gt;0,", ","")&amp;"Sulfites","")&amp;IF(AI51="X",IF(COUNTIF(W51:AH51,"X")&gt;0,", ","")&amp;"Lupin","")&amp;IF(AJ51="X",IF(COUNTIF(W51:AI51,"X")&gt;0,", ","")&amp;"Mollusques","")),"")</f>
        <v/>
      </c>
      <c r="W51" s="513" t="str">
        <f>IF(40=40,IF(T51="","",AX51),"")</f>
        <v/>
      </c>
      <c r="X51" s="513" t="str">
        <f>IF(40=40,IF(T51="","",BA51),"")</f>
        <v/>
      </c>
      <c r="Y51" s="513" t="str">
        <f>IF(40=40,IF(T51="","",BE51),"")</f>
        <v/>
      </c>
      <c r="Z51" s="513" t="str">
        <f>IF(40=40,IF(T51="","",IF(ISNUMBER(SEARCH(" colin ",AS51)),"X",BR51)),"")</f>
        <v/>
      </c>
      <c r="AA51" s="513" t="str">
        <f>IF(40=40,IF(T51="","",BT51),"")</f>
        <v/>
      </c>
      <c r="AB51" s="513" t="str">
        <f>IF(40=40,IF(T51="","",BX51),"")</f>
        <v/>
      </c>
      <c r="AC51" s="513" t="str">
        <f>IF(40=40,IF(T51="","",CE51),"")</f>
        <v/>
      </c>
      <c r="AD51" s="513" t="str">
        <f>IF(40=40,IF(T51="","",CI51),"")</f>
        <v/>
      </c>
      <c r="AE51" s="513" t="str">
        <f>IF(40=40,IF(T51="","",CL51),"")</f>
        <v/>
      </c>
      <c r="AF51" s="513" t="str">
        <f>IF(40=40,IF(T51="","",CO51),"")</f>
        <v/>
      </c>
      <c r="AG51" s="513" t="str">
        <f>IF(40=40,IF(T51="","",CR51),"")</f>
        <v/>
      </c>
      <c r="AH51" s="513" t="str">
        <f>IF(40=40,IF(T51="","",CU51),"")</f>
        <v/>
      </c>
      <c r="AI51" s="513" t="str">
        <f>IF(40=40,IF(T51="","",CX51),"")</f>
        <v/>
      </c>
      <c r="AJ51" s="513" t="str">
        <f>IF(40=40,IF(T51="","",DD51),"")</f>
        <v/>
      </c>
      <c r="AK51" s="514" t="str">
        <f>IF(40=40,IF(T51="","",IF(W51="?",""&amp;"Céréales contenant du gluten","")&amp;IF(X51="?",IF(COUNTIF(W51:W51,"~?")&gt;0,", ","")&amp;"Crustacés","")&amp;IF(Y51="?",IF(COUNTIF(W51:X51,"~?")&gt;0,", ","")&amp;"Œufs","")&amp;IF(Z51="?",IF(COUNTIF(W51:Y51,"~?")&gt;0,", ","")&amp;"Poissons","")&amp;IF(AA51="?",IF(COUNTIF(W51:Z51,"~?")&gt;0,", ","")&amp;"Arachides","")&amp;IF(AB51="?",IF(COUNTIF(W51:AA51,"~?")&gt;0,", ","")&amp;"Soja","")&amp;IF(AC51="?",IF(COUNTIF(W51:AB51,"~?")&gt;0,", ","")&amp;"Lait","")&amp;IF(AD51="?",IF(COUNTIF(W51:AC51,"~?")&gt;0,", ","")&amp;"Fruits à coque","")&amp;IF(AE51="?",IF(COUNTIF(W51:AD51,"~?")&gt;0,", ","")&amp;"Céleri","")&amp;IF(AF51="?",IF(COUNTIF(W51:AE51,"~?")&gt;0,", ","")&amp;"Moutarde","")&amp;IF(AG51="?",IF(COUNTIF(W51:AF51,"~?")&gt;0,", ","")&amp;"Sésame","")&amp;IF(AH51="?",IF(COUNTIF(W51:AG51,"~?")&gt;0,", ","")&amp;"Sulfites","")&amp;IF(AI51="?",IF(COUNTIF(W51:AH51,"~?")&gt;0,", ","")&amp;"Lupin","")&amp;IF(AJ51="?",IF(COUNTIF(W51:AI51,"~?")&gt;0,", ","")&amp;"Mollusques","")),"")</f>
        <v/>
      </c>
      <c r="AM51" s="493" t="str">
        <f>IF(40=40,IF(T51="","",T51),"")</f>
        <v>Cuisson : 30 min</v>
      </c>
      <c r="AN51" s="493" t="str">
        <f>IF(40=40,LOWER(CLEAN(SUBSTITUTE(SUBSTITUTE(SUBSTITUTE(SUBSTITUTE(AM51,CHAR(160)," ")," "," "),CHAR(10)," "),CHAR(13)," "))),"")</f>
        <v>cuisson : 30 min</v>
      </c>
      <c r="AO51" s="493" t="str">
        <f>IF(40=40,SUBSTITUTE(SUBSTITUTE(SUBSTITUTE(SUBSTITUTE(SUBSTITUTE(SUBSTITUTE(SUBSTITUTE(SUBSTITUTE(SUBSTITUTE(SUBSTITUTE(SUBSTITUTE(SUBSTITUTE(AN51,"œ","oe"),"æ","ae"),"à","a"),"á","a"),"â","a"),"ä","a"),"ã","a"),"ç","c"),"è","e"),"é","e"),"ê","e"),"ë","e"),"")</f>
        <v>cuisson : 30 min</v>
      </c>
      <c r="AP51" s="493" t="str">
        <f>IF(40=40,SUBSTITUTE(SUBSTITUTE(SUBSTITUTE(SUBSTITUTE(SUBSTITUTE(SUBSTITUTE(SUBSTITUTE(SUBSTITUTE(SUBSTITUTE(SUBSTITUTE(SUBSTITUTE(SUBSTITUTE(SUBSTITUTE(SUBSTITUTE(SUBSTITUTE(SUBSTITUTE(AO51,"ì","i"),"í","i"),"î","i"),"ï","i"),"ñ","n"),"ò","o"),"ó","o"),"ô","o"),"ö","o"),"õ","o"),"ù","u"),"ú","u"),"û","u"),"ü","u"),"ý","y"),"ÿ","y"),"")</f>
        <v>cuisson : 30 min</v>
      </c>
      <c r="AQ51" s="493" t="str">
        <f>IF(40=40,SUBSTITUTE(SUBSTITUTE(SUBSTITUTE(SUBSTITUTE(SUBSTITUTE(SUBSTITUTE(SUBSTITUTE(SUBSTITUTE(SUBSTITUTE(SUBSTITUTE(SUBSTITUTE(SUBSTITUTE(SUBSTITUTE(SUBSTITUTE(AP51,"’"," "),"`"," "),"–"," "),"—"," "),"-"," "),"'"," "),"/"," "),"_"," "),","," "),"."," "),"("," "),")"," "),";"," "),":"," "),"")</f>
        <v>cuisson   30 min</v>
      </c>
      <c r="AR51" s="493" t="str">
        <f>IF(40=40,SUBSTITUTE(SUBSTITUTE(SUBSTITUTE(SUBSTITUTE(SUBSTITUTE(SUBSTITUTE(SUBSTITUTE(SUBSTITUTE(SUBSTITUTE(SUBSTITUTE(SUBSTITUTE(SUBSTITUTE(SUBSTITUTE(SUBSTITUTE(SUBSTITUTE(AQ51,"!"," "),"?"," "),"+"," "),"*"," "),"&amp;"," "),"["," "),"]"," "),"{"," "),"}"," "),"%"," "),"="," "),"\"," "),"|"," "),"&lt;"," "),"&gt;"," "),"")</f>
        <v>cuisson   30 min</v>
      </c>
      <c r="AS51" s="493" t="str">
        <f>IF(40=40," "&amp;TRIM(SUBSTITUTE(SUBSTITUTE(SUBSTITUTE(SUBSTITUTE(SUBSTITUTE(SUBSTITUTE(AR51,CHAR(34)," "),"  "," "),"  "," "),"  "," "),"  "," "),"  "," "))&amp;" ","")</f>
        <v xml:space="preserve"> cuisson 30 min </v>
      </c>
      <c r="AT51" s="493" cm="1">
        <f t="array" ref="AT51">IF(40=40,IF(AM51="","",SUMPRODUCT(--ISNUMBER(SEARCH(" "&amp;DJ13:DJ112&amp;" ",AV51)))),"")</f>
        <v>0</v>
      </c>
      <c r="AU51" s="493" cm="1">
        <f t="array" ref="AU51">IF(40=40,IF(AM51="","",SUMPRODUCT(--ISNUMBER(SEARCH(" "&amp;DJ113:DJ162&amp;" ",AV51)))),"")</f>
        <v>0</v>
      </c>
      <c r="AV51" s="493" t="str">
        <f>IF(AM51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51,"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cuisson 30 min </v>
      </c>
      <c r="AW51" s="493" cm="1">
        <f t="array" ref="AW51">IF(AM51="","",SUMPRODUCT(--ISNUMBER(SEARCH(" "&amp;DJ195:DJ216&amp;" ",AV51)))+--ISNUMBER(SEARCH(" "&amp;DJ2465&amp;" ",AV51)))</f>
        <v>0</v>
      </c>
      <c r="AX51" s="493" t="str" cm="1">
        <f t="array" ref="AX51">IF(40=40,IF(AM51="","",IF(SUM(AT51:AU51)+SUMPRODUCT(--ISNUMBER(SEARCH(" "&amp;DJ2429:DJ2431&amp;" ",AV51)))&gt;0,"X",IF(AW51&gt;0,"?",""))),"")</f>
        <v/>
      </c>
      <c r="AY51" s="493" cm="1">
        <f t="array" ref="AY51">IF(40=40,IF(AM51="","",SUMPRODUCT(--ISNUMBER(SEARCH(" "&amp;DJ217:DJ316&amp;" ",AS51)))),"")</f>
        <v>0</v>
      </c>
      <c r="AZ51" s="493" cm="1">
        <f t="array" ref="AZ51">IF(40=40,IF(AM51="","",SUMPRODUCT(--ISNUMBER(SEARCH(" "&amp;DJ317:DJ351&amp;" ",AS51)))),"")</f>
        <v>0</v>
      </c>
      <c r="BA51" s="493" t="str">
        <f>IF(40=40,IF(AM51="","",IF((SUM(AY51:AZ51))-(0)&gt;0,"X",IF((0)-(0)&gt;0,"?",""))),"")</f>
        <v/>
      </c>
      <c r="BB51" s="493" cm="1">
        <f t="array" ref="BB51">IF(40=40,IF(AM51="","",SUMPRODUCT(--ISNUMBER(SEARCH(" "&amp;DJ352:DJ409&amp;" ",AS51)))),"")</f>
        <v>0</v>
      </c>
      <c r="BC51" s="493" cm="1">
        <f t="array" ref="BC51">IF(40=40,IF(AM51="","",SUMPRODUCT(--ISNUMBER(SEARCH(" "&amp;DJ410:DJ437&amp;" ",BD51)))+SUMPRODUCT(--ISNUMBER(SEARCH(" "&amp;DJ2451:DJ2464&amp;" ",BD51)))),"")</f>
        <v>0</v>
      </c>
      <c r="BD51" s="493" t="str">
        <f>IF(40=40,IF(AM51="","",SUBSTITUTE(SUBSTITUTE(SUBSTITUTE(SUBSTITUTE(SUBSTITUTE(SUBSTITUTE(SUBSTITUTE(SUBSTITUTE(SUBSTITUTE(SUBSTITUTE(SUBSTITUTE(SUBSTITUTE(SUBSTITUTE(SUBSTITUTE(AS51," "&amp;DJ2466&amp;" "," ")," "&amp;DJ444&amp;" "," ")," "&amp;DJ442&amp;" "," ")," "&amp;DJ2449&amp;" "," ")," "&amp;DJ2450&amp;" "," ")," "&amp;DJ439&amp;" "," ")," "&amp;DJ443&amp;" "," ")," "&amp;DJ445&amp;" "," ")," "&amp;DJ440&amp;" "," ")," "&amp;DJ438&amp;" "," ")," "&amp;DJ1378&amp;" "," ")," "&amp;DJ446&amp;" "," ")," "&amp;DJ1377&amp;" "," ")," "&amp;DJ441&amp;" "," ")),"")</f>
        <v xml:space="preserve"> cuisson 30 min </v>
      </c>
      <c r="BE51" s="493" t="str">
        <f>IF(40=40,IF(AM51="","",IF(BB51&gt;0,"X",IF(BC51&gt;0,"?",""))),"")</f>
        <v/>
      </c>
      <c r="BF51" s="493" cm="1">
        <f t="array" ref="BF51">IF(40=40,IF(AM51="","",SUMPRODUCT(--ISNUMBER(SEARCH(" "&amp;DJ447:DJ546&amp;" ",BP51)))),"")</f>
        <v>0</v>
      </c>
      <c r="BG51" s="493" cm="1">
        <f t="array" ref="BG51">IF(40=40,IF(AM51="","",SUMPRODUCT(--ISNUMBER(SEARCH(" "&amp;DJ547:DJ646&amp;" ",BP51)))),"")</f>
        <v>0</v>
      </c>
      <c r="BH51" s="493" cm="1">
        <f t="array" ref="BH51">IF(40=40,IF(AM51="","",SUMPRODUCT(--ISNUMBER(SEARCH(" "&amp;DJ647:DJ746&amp;" ",BP51)))),"")</f>
        <v>0</v>
      </c>
      <c r="BI51" s="493" cm="1">
        <f t="array" ref="BI51">IF(40=40,IF(AM51="","",SUMPRODUCT(--ISNUMBER(SEARCH(" "&amp;DJ747:DJ846&amp;" ",BP51)))),"")</f>
        <v>0</v>
      </c>
      <c r="BJ51" s="493" cm="1">
        <f t="array" ref="BJ51">IF(40=40,IF(AM51="","",SUMPRODUCT(--ISNUMBER(SEARCH(" "&amp;DJ847:DJ946&amp;" ",BP51)))),"")</f>
        <v>0</v>
      </c>
      <c r="BK51" s="493" cm="1">
        <f t="array" ref="BK51">IF(40=40,IF(AM51="","",SUMPRODUCT(--ISNUMBER(SEARCH(" "&amp;DJ947:DJ1046&amp;" ",BP51)))),"")</f>
        <v>0</v>
      </c>
      <c r="BL51" s="493" cm="1">
        <f t="array" ref="BL51">IF(40=40,IF(AM51="","",SUMPRODUCT(--ISNUMBER(SEARCH(" "&amp;DJ1047:DJ1146&amp;" ",BP51)))),"")</f>
        <v>0</v>
      </c>
      <c r="BM51" s="493" cm="1">
        <f t="array" ref="BM51">IF(40=40,IF(AM51="","",SUMPRODUCT(--ISNUMBER(SEARCH(" "&amp;DJ1147:DJ1246&amp;" ",BP51)))),"")</f>
        <v>0</v>
      </c>
      <c r="BN51" s="493" cm="1">
        <f t="array" ref="BN51">IF(40=40,IF(AM51="","",SUMPRODUCT(--ISNUMBER(SEARCH(" "&amp;DJ1247:DJ1346&amp;" ",BP51)))),"")</f>
        <v>0</v>
      </c>
      <c r="BO51" s="493" cm="1">
        <f t="array" ref="BO51">IF(40=40,IF(AM51="","",SUMPRODUCT(--ISNUMBER(SEARCH(" "&amp;DJ1347:DJ1374&amp;" ",BP51)))),"")</f>
        <v>0</v>
      </c>
      <c r="BP51" s="493" t="str">
        <f>IF(40=40,IF(AM51="","",SUBSTITUTE(SUBSTITUTE(SUBSTITUTE(SUBSTITUTE(SUBSTITUTE(SUBSTITUTE(SUBSTITUTE(SUBSTITUTE(SUBSTITUTE(AS51," "&amp;DJ1376&amp;" "," ")," "&amp;DJ1375&amp;" "," ")," "&amp;DJ1381&amp;" "," ")," "&amp;DJ1382&amp;" "," ")," "&amp;DJ1378&amp;" "," ")," "&amp;DJ1380&amp;" "," ")," "&amp;DJ1377&amp;" "," ")," "&amp;DJ1379&amp;" "," ")," "&amp;DJ1383&amp;" "," ")),"")</f>
        <v xml:space="preserve"> cuisson 30 min </v>
      </c>
      <c r="BQ51" s="493" cm="1">
        <f t="array" ref="BQ51">IF(40=40,IF(AM51="","",SUMPRODUCT(--ISNUMBER(SEARCH(" "&amp;DJ1384:DJ1394&amp;" ",BP51)))),"")</f>
        <v>0</v>
      </c>
      <c r="BR51" s="493" t="str" cm="1">
        <f t="array" ref="BR51">IF(40=40,IF(AM51="","",IF(SUM(BF51:BO51)+SUMPRODUCT(--ISNUMBER(SEARCH(" "&amp;DJ2432:DJ2433&amp;" ",BP51)))&gt;0,"X",IF(BQ51&gt;0,"?",""))),"")</f>
        <v/>
      </c>
      <c r="BS51" s="493" cm="1">
        <f t="array" ref="BS51">IF(40=40,IF(AM51="","",SUMPRODUCT(--ISNUMBER(SEARCH(" "&amp;DJ1395:DJ1415&amp;" ",AS51)))),"")</f>
        <v>0</v>
      </c>
      <c r="BT51" s="493" t="str">
        <f>IF(40=40,IF(AM51="","",IF((BS51)-(0)&gt;0,"X",IF((0)-(0)&gt;0,"?",""))),"")</f>
        <v/>
      </c>
      <c r="BU51" s="493" cm="1">
        <f t="array" ref="BU51">IF(40=40,IF(AM51="","",SUMPRODUCT(--ISNUMBER(SEARCH(" "&amp;DJ1416:DJ1453&amp;" ",BV51)))),"")</f>
        <v>0</v>
      </c>
      <c r="BV51" s="493" t="str">
        <f>IF(40=40,IF(AM51="","",SUBSTITUTE(SUBSTITUTE(AS51," "&amp;DJ1454&amp;" "," ")," "&amp;DJ1455&amp;" "," ")),"")</f>
        <v xml:space="preserve"> cuisson 30 min </v>
      </c>
      <c r="BW51" s="493" cm="1">
        <f t="array" ref="BW51">IF(40=40,IF(AM51="","",SUMPRODUCT(--ISNUMBER(SEARCH(" "&amp;DJ1456:DJ1466&amp;" ",BV51)))),"")</f>
        <v>0</v>
      </c>
      <c r="BX51" s="493" t="str">
        <f>IF(40=40,IF(AM51="","",IF(BU51&gt;0,"X",IF(BW51&gt;0,"?",""))),"")</f>
        <v/>
      </c>
      <c r="BY51" s="493" cm="1">
        <f t="array" ref="BY51">IF(40=40,IF(AM51="","",SUMPRODUCT(--ISNUMBER(SEARCH(" "&amp;DJ1467:DJ1566&amp;" ",CB51)))),"")</f>
        <v>0</v>
      </c>
      <c r="BZ51" s="493" cm="1">
        <f t="array" ref="BZ51">IF(40=40,IF(AM51="","",SUMPRODUCT(--ISNUMBER(SEARCH(" "&amp;DJ1567:DJ1666&amp;" ",CB51)))),"")</f>
        <v>0</v>
      </c>
      <c r="CA51" s="493" cm="1">
        <f t="array" ref="CA51">IF(40=40,IF(AM51="","",SUMPRODUCT(--ISNUMBER(SEARCH(" "&amp;DJ1667:DJ1750&amp;" ",CB51)))),"")</f>
        <v>0</v>
      </c>
      <c r="CB51" s="493" t="str">
        <f>IF(40=40,IF(AM51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51,"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cuisson 30 min </v>
      </c>
      <c r="CC51" s="493" cm="1">
        <f t="array" ref="CC51">IF(40=40,IF(AM51="","",SUMPRODUCT(--ISNUMBER(SEARCH(" "&amp;DJ1801:DJ1880&amp;" ",CD51)))+SUMPRODUCT(--ISNUMBER(SEARCH(" "&amp;DJ2451:DJ2464&amp;" ",CD51)))),"")</f>
        <v>0</v>
      </c>
      <c r="CD51" s="493" t="str">
        <f>IF(40=40,IF(AM51="","",SUBSTITUTE(SUBSTITUTE(SUBSTITUTE(SUBSTITUTE(SUBSTITUTE(SUBSTITUTE(SUBSTITUTE(SUBSTITUTE(SUBSTITUTE(SUBSTITUTE(SUBSTITUTE(SUBSTITUTE(SUBSTITUTE(CB51," "&amp;DJ1887&amp;" "," ")," "&amp;DJ1885&amp;" "," ")," "&amp;DJ2449&amp;" "," ")," "&amp;DJ2450&amp;" "," ")," "&amp;DJ1882&amp;" "," ")," "&amp;DJ1886&amp;" "," ")," "&amp;DJ1888&amp;" "," ")," "&amp;DJ1883&amp;" "," ")," "&amp;DJ1881&amp;" "," ")," "&amp;DJ1378&amp;" "," ")," "&amp;DJ1889&amp;" "," ")," "&amp;DJ1377&amp;" "," ")," "&amp;DJ1884&amp;" "," ")),"")</f>
        <v xml:space="preserve"> cuisson 30 min </v>
      </c>
      <c r="CE51" s="493" t="str" cm="1">
        <f t="array" ref="CE51">IF(40=40,IF(AM51="","",IF(SUM(BY51:CA51)+SUMPRODUCT(--ISNUMBER(SEARCH(" "&amp;DJ2434:DJ2435&amp;" ",CB51)))&gt;0,"X",IF(CC51&gt;0,"?",""))),"")</f>
        <v/>
      </c>
      <c r="CF51" s="493" cm="1">
        <f t="array" ref="CF51">IF(40=40,IF(AM51="","",SUMPRODUCT(--ISNUMBER(SEARCH(" "&amp;DJ1890:DJ1947&amp;" ",CG51)))),"")</f>
        <v>0</v>
      </c>
      <c r="CG51" s="493" t="str">
        <f>IF(40=40,IF(AM51="","",SUBSTITUTE(SUBSTITUTE(SUBSTITUTE(SUBSTITUTE(SUBSTITUTE(SUBSTITUTE(SUBSTITUTE(SUBSTITUTE(SUBSTITUTE(SUBSTITUTE(SUBSTITUTE(SUBSTITUTE(SUBSTITUTE(SUBSTITUTE(SUBSTITUTE(SUBSTITUTE(SUBSTITUTE(SUBSTITUTE(SUBSTITUTE(SUBSTITUTE(SUBSTITUTE(SUBSTITUTE(SUBSTITUTE(AS51,"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cuisson 30 min </v>
      </c>
      <c r="CH51" s="493" cm="1">
        <f t="array" ref="CH51">IF(40=40,IF(AM51="","",SUMPRODUCT(--ISNUMBER(SEARCH(" "&amp;DJ1971:DJ1987&amp;" ",CG51)))),"")</f>
        <v>0</v>
      </c>
      <c r="CI51" s="493" t="str">
        <f>IF(40=40,IF(AM51="","",IF(CF51&gt;0,"X",IF(CH51&gt;0,"?",""))),"")</f>
        <v/>
      </c>
      <c r="CJ51" s="493" cm="1">
        <f t="array" ref="CJ51">IF(40=40,IF(AM51="","",SUMPRODUCT(--ISNUMBER(SEARCH(" "&amp;DJ1988:DJ2001&amp;" ",AS51)))),"")</f>
        <v>0</v>
      </c>
      <c r="CK51" s="493" cm="1">
        <f t="array" ref="CK51">IF(40=40,IF(AM51="","",SUMPRODUCT(--ISNUMBER(SEARCH(" "&amp;DJ2002:DJ2016&amp;" ",AS51)))),"")</f>
        <v>0</v>
      </c>
      <c r="CL51" s="493" t="str">
        <f>IF(40=40,IF(AM51="","",IF((CJ51)-(0)&gt;0,"X",IF((CK51)-(0)&gt;0,"?",""))),"")</f>
        <v/>
      </c>
      <c r="CM51" s="493" cm="1">
        <f t="array" ref="CM51">IF(40=40,IF(AM51="","",SUMPRODUCT(--ISNUMBER(SEARCH(" "&amp;DJ2017:DJ2034&amp;" ",AS51)))),"")</f>
        <v>0</v>
      </c>
      <c r="CN51" s="493" cm="1">
        <f t="array" ref="CN51">IF(40=40,IF(AM51="","",SUMPRODUCT(--ISNUMBER(SEARCH(" "&amp;DJ2035:DJ2049&amp;" ",AS51)))),"")</f>
        <v>0</v>
      </c>
      <c r="CO51" s="493" t="str">
        <f>IF(40=40,IF(AM51="","",IF((CM51)-(0)&gt;0,"X",IF((CN51)-(0)&gt;0,"?",""))),"")</f>
        <v/>
      </c>
      <c r="CP51" s="493" cm="1">
        <f t="array" ref="CP51">IF(40=40,IF(AM51="","",SUMPRODUCT(--ISNUMBER(SEARCH(" "&amp;DJ2050:DJ2068&amp;" ",AS51)))),"")</f>
        <v>0</v>
      </c>
      <c r="CQ51" s="493" cm="1">
        <f t="array" ref="CQ51">IF(40=40,IF(AM51="","",SUMPRODUCT(--ISNUMBER(SEARCH(" "&amp;DJ2069:DJ2083&amp;" ",AS51)))),"")</f>
        <v>0</v>
      </c>
      <c r="CR51" s="493" t="str">
        <f>IF(40=40,IF(AM51="","",IF((CP51)-(0)&gt;0,"X",IF((CQ51)-(0)&gt;0,"?",""))),"")</f>
        <v/>
      </c>
      <c r="CS51" s="493" cm="1">
        <f t="array" ref="CS51">IF(40=40,IF(AM51="","",SUMPRODUCT(--ISNUMBER(SEARCH(" "&amp;DJ2084:DJ2104&amp;" ",AS51)))),"")</f>
        <v>0</v>
      </c>
      <c r="CT51" s="493" cm="1">
        <f t="array" ref="CT51">IF(40=40,IF(AM51="","",SUMPRODUCT(--ISNUMBER(SEARCH(" "&amp;DJ2105:DJ2144&amp;" ",SUBSTITUTE(SUBSTITUTE(AS51," "&amp;DJ1378&amp;" "," ")," "&amp;DJ1377&amp;" "," "))))+--ISNUMBER(SEARCH("poiré",AN51))),"")</f>
        <v>0</v>
      </c>
      <c r="CU51" s="493" t="str">
        <f>IF(40=40,IF(AM51="","",IF(OR(CS51&gt;0,ISNUMBER(SEARCH(" vinaigre de vin ",AS51)),ISNUMBER(SEARCH(" vinaigre au vin ",AS51))),"X",IF(CT51&gt;0,"?",""))),"")</f>
        <v/>
      </c>
      <c r="CV51" s="493" cm="1">
        <f t="array" ref="CV51">IF(40=40,IF(AM51="","",SUMPRODUCT(--ISNUMBER(SEARCH(" "&amp;DJ2145:DJ2157&amp;" ",AS51)))),"")</f>
        <v>0</v>
      </c>
      <c r="CW51" s="493" cm="1">
        <f t="array" ref="CW51">IF(40=40,IF(AM51="","",SUMPRODUCT(--ISNUMBER(SEARCH(" "&amp;DJ2158:DJ2163&amp;" ",AS51)))),"")</f>
        <v>0</v>
      </c>
      <c r="CX51" s="493" t="str">
        <f>IF(40=40,IF(AM51="","",IF((CV51)-(0)&gt;0,"X",IF((CW51)-(0)&gt;0,"?",""))),"")</f>
        <v/>
      </c>
      <c r="CY51" s="493" cm="1">
        <f t="array" ref="CY51">IF(40=40,IF(AM51="","",SUMPRODUCT(--ISNUMBER(SEARCH(" "&amp;DJ2164:DJ2263&amp;" ",DB51)))),"")</f>
        <v>0</v>
      </c>
      <c r="CZ51" s="493" cm="1">
        <f t="array" ref="CZ51">IF(40=40,IF(AM51="","",SUMPRODUCT(--ISNUMBER(SEARCH(" "&amp;DJ2264:DJ2363&amp;" ",DB51)))),"")</f>
        <v>0</v>
      </c>
      <c r="DA51" s="493" cm="1">
        <f t="array" ref="DA51">IF(40=40,IF(AM51="","",SUMPRODUCT(--ISNUMBER(SEARCH(" "&amp;DJ2364:DJ2406&amp;" ",DB51)))),"")</f>
        <v>0</v>
      </c>
      <c r="DB51" s="493" t="str">
        <f>IF(40=40,IF(AM51="","",SUBSTITUTE(SUBSTITUTE(SUBSTITUTE(SUBSTITUTE(SUBSTITUTE(SUBSTITUTE(SUBSTITUTE(SUBSTITUTE(SUBSTITUTE(SUBSTITUTE(SUBSTITUTE(SUBSTITUTE(SUBSTITUTE(SUBSTITUTE(SUBSTITUTE(SUBSTITUTE(AS51," "&amp;DJ2412&amp;" "," ")," "&amp;DJ2411&amp;" "," ")," "&amp;DJ2410&amp;" "," ")," "&amp;DJ2417&amp;" "," ")," "&amp;DJ2409&amp;" "," ")," "&amp;DJ2421&amp;" "," ")," "&amp;DJ2408&amp;" "," ")," "&amp;DJ2413&amp;" "," ")," "&amp;DJ2416&amp;" "," ")," "&amp;DJ2407&amp;" "," ")," "&amp;DJ2415&amp;" "," ")," "&amp;DJ2422&amp;" "," ")," "&amp;DJ2419&amp;" "," ")," "&amp;DJ2414&amp;" "," ")," "&amp;DJ2418&amp;" "," ")," "&amp;DJ2420&amp;" "," ")),"")</f>
        <v xml:space="preserve"> cuisson 30 min </v>
      </c>
      <c r="DC51" s="493" cm="1">
        <f t="array" ref="DC51">IF(40=40,IF(AM51="","",SUMPRODUCT(--ISNUMBER(SEARCH(" "&amp;DJ2423:DJ2427&amp;" ",DB51)))),"")</f>
        <v>0</v>
      </c>
      <c r="DD51" s="493" t="str">
        <f>IF(40=40,IF(AM51="","",IF(SUM(CY51:DA51)&gt;0,"X",IF(DC51&gt;0,"?",""))),"")</f>
        <v/>
      </c>
      <c r="DE51" s="494"/>
      <c r="DF51" s="496" t="s">
        <v>1211</v>
      </c>
      <c r="DG51" s="496" t="s">
        <v>1083</v>
      </c>
      <c r="DH51" s="496" t="s">
        <v>689</v>
      </c>
      <c r="DI51" s="496" t="s">
        <v>1212</v>
      </c>
      <c r="DJ51" s="496" t="s">
        <v>901</v>
      </c>
      <c r="DK51" s="496" t="s">
        <v>1085</v>
      </c>
      <c r="DL51" s="496" t="s">
        <v>1086</v>
      </c>
      <c r="DM51" s="496" t="s">
        <v>1087</v>
      </c>
      <c r="DN51" s="497" t="s">
        <v>1088</v>
      </c>
      <c r="DP51" s="543">
        <v>1</v>
      </c>
    </row>
    <row r="52" spans="2:120" ht="30" customHeight="1">
      <c r="B52" s="663" t="str">
        <f t="shared" si="0"/>
        <v/>
      </c>
      <c r="C52" s="663" t="str">
        <f t="shared" si="1"/>
        <v/>
      </c>
      <c r="D52" s="663" t="str">
        <f>IF(UPPER(TRIM(N11))="X",C52,B52)</f>
        <v/>
      </c>
      <c r="E52" s="663" cm="1">
        <f t="array" ref="E52">IF(H51&lt;&gt;"",E51,IF(E51="","",IFERROR(MATCH(TRUE(),INDEX(INDEX(K:K,E51+1):K203&lt;&gt;"",0),0)+E51,"")))</f>
        <v>43</v>
      </c>
      <c r="F52" s="663" t="str" cm="1">
        <f t="array" ref="F52">IF(E52="","",IF(H51&lt;&gt;"",H51,INDEX(D:D,E52)))</f>
        <v>Portions : 4</v>
      </c>
      <c r="G52" s="663" t="str">
        <f t="shared" si="2"/>
        <v>Portions : 4</v>
      </c>
      <c r="H52" s="673" t="str">
        <f t="shared" si="3"/>
        <v/>
      </c>
      <c r="I52" s="680" t="str">
        <f>IF(AND(F52&lt;&gt;"",N10&gt;0,M52&gt;N10),"Mot &gt; limite","")</f>
        <v/>
      </c>
      <c r="J52" s="674" t="str">
        <f>IF(K52="","",COUNTIF(K18:K52,"&lt;&gt;"))</f>
        <v/>
      </c>
      <c r="K52" s="675"/>
      <c r="L52" s="674" t="str">
        <f t="shared" si="4"/>
        <v/>
      </c>
      <c r="M52" s="643">
        <f>IF(OR(F52="",N10="",N10&lt;=0),"",IF(LEN(F52)&lt;=N10,LEN(F52),IFERROR(FIND("♦",SUBSTITUTE(LEFT(F52,N10)," ","♦",LEN(LEFT(F52,N10))-LEN(SUBSTITUTE(LEFT(F52,N10)," ","")))),FIND(" ",F52&amp;" ",N10+1)-1)))</f>
        <v>12</v>
      </c>
      <c r="N52" s="676">
        <f t="shared" si="5"/>
        <v>35</v>
      </c>
      <c r="O52" s="677" t="str">
        <f t="shared" si="6"/>
        <v>Portions : 4</v>
      </c>
      <c r="P52" s="676">
        <f t="shared" si="7"/>
        <v>3</v>
      </c>
      <c r="Q52" s="676">
        <f t="shared" si="8"/>
        <v>12</v>
      </c>
      <c r="S52" s="509">
        <v>35</v>
      </c>
      <c r="T52" s="678" t="str">
        <f t="shared" si="10"/>
        <v>Portions : 4</v>
      </c>
      <c r="U52" s="679" t="str">
        <f t="shared" si="11"/>
        <v>Portions : 4</v>
      </c>
      <c r="V52" s="512" t="str">
        <f>IF(41=41,IF(T52="","",IF(W52="X",""&amp;"Céréales contenant du gluten","")&amp;IF(X52="X",IF(COUNTIF(W52:W52,"X")&gt;0,", ","")&amp;"Crustacés","")&amp;IF(Y52="X",IF(COUNTIF(W52:X52,"X")&gt;0,", ","")&amp;"Œufs","")&amp;IF(Z52="X",IF(COUNTIF(W52:Y52,"X")&gt;0,", ","")&amp;"Poissons","")&amp;IF(AA52="X",IF(COUNTIF(W52:Z52,"X")&gt;0,", ","")&amp;"Arachides","")&amp;IF(AB52="X",IF(COUNTIF(W52:AA52,"X")&gt;0,", ","")&amp;"Soja","")&amp;IF(AC52="X",IF(COUNTIF(W52:AB52,"X")&gt;0,", ","")&amp;"Lait","")&amp;IF(AD52="X",IF(COUNTIF(W52:AC52,"X")&gt;0,", ","")&amp;"Fruits à coque","")&amp;IF(AE52="X",IF(COUNTIF(W52:AD52,"X")&gt;0,", ","")&amp;"Céleri","")&amp;IF(AF52="X",IF(COUNTIF(W52:AE52,"X")&gt;0,", ","")&amp;"Moutarde","")&amp;IF(AG52="X",IF(COUNTIF(W52:AF52,"X")&gt;0,", ","")&amp;"Sésame","")&amp;IF(AH52="X",IF(COUNTIF(W52:AG52,"X")&gt;0,", ","")&amp;"Sulfites","")&amp;IF(AI52="X",IF(COUNTIF(W52:AH52,"X")&gt;0,", ","")&amp;"Lupin","")&amp;IF(AJ52="X",IF(COUNTIF(W52:AI52,"X")&gt;0,", ","")&amp;"Mollusques","")),"")</f>
        <v/>
      </c>
      <c r="W52" s="513" t="str">
        <f>IF(41=41,IF(T52="","",AX52),"")</f>
        <v/>
      </c>
      <c r="X52" s="513" t="str">
        <f>IF(41=41,IF(T52="","",BA52),"")</f>
        <v/>
      </c>
      <c r="Y52" s="513" t="str">
        <f>IF(41=41,IF(T52="","",BE52),"")</f>
        <v/>
      </c>
      <c r="Z52" s="513" t="str">
        <f>IF(41=41,IF(T52="","",IF(ISNUMBER(SEARCH(" colin ",AS52)),"X",BR52)),"")</f>
        <v/>
      </c>
      <c r="AA52" s="513" t="str">
        <f>IF(41=41,IF(T52="","",BT52),"")</f>
        <v/>
      </c>
      <c r="AB52" s="513" t="str">
        <f>IF(41=41,IF(T52="","",BX52),"")</f>
        <v/>
      </c>
      <c r="AC52" s="513" t="str">
        <f>IF(41=41,IF(T52="","",CE52),"")</f>
        <v/>
      </c>
      <c r="AD52" s="513" t="str">
        <f>IF(41=41,IF(T52="","",CI52),"")</f>
        <v/>
      </c>
      <c r="AE52" s="513" t="str">
        <f>IF(41=41,IF(T52="","",CL52),"")</f>
        <v/>
      </c>
      <c r="AF52" s="513" t="str">
        <f>IF(41=41,IF(T52="","",CO52),"")</f>
        <v/>
      </c>
      <c r="AG52" s="513" t="str">
        <f>IF(41=41,IF(T52="","",CR52),"")</f>
        <v/>
      </c>
      <c r="AH52" s="513" t="str">
        <f>IF(41=41,IF(T52="","",CU52),"")</f>
        <v/>
      </c>
      <c r="AI52" s="513" t="str">
        <f>IF(41=41,IF(T52="","",CX52),"")</f>
        <v/>
      </c>
      <c r="AJ52" s="513" t="str">
        <f>IF(41=41,IF(T52="","",DD52),"")</f>
        <v/>
      </c>
      <c r="AK52" s="514" t="str">
        <f>IF(41=41,IF(T52="","",IF(W52="?",""&amp;"Céréales contenant du gluten","")&amp;IF(X52="?",IF(COUNTIF(W52:W52,"~?")&gt;0,", ","")&amp;"Crustacés","")&amp;IF(Y52="?",IF(COUNTIF(W52:X52,"~?")&gt;0,", ","")&amp;"Œufs","")&amp;IF(Z52="?",IF(COUNTIF(W52:Y52,"~?")&gt;0,", ","")&amp;"Poissons","")&amp;IF(AA52="?",IF(COUNTIF(W52:Z52,"~?")&gt;0,", ","")&amp;"Arachides","")&amp;IF(AB52="?",IF(COUNTIF(W52:AA52,"~?")&gt;0,", ","")&amp;"Soja","")&amp;IF(AC52="?",IF(COUNTIF(W52:AB52,"~?")&gt;0,", ","")&amp;"Lait","")&amp;IF(AD52="?",IF(COUNTIF(W52:AC52,"~?")&gt;0,", ","")&amp;"Fruits à coque","")&amp;IF(AE52="?",IF(COUNTIF(W52:AD52,"~?")&gt;0,", ","")&amp;"Céleri","")&amp;IF(AF52="?",IF(COUNTIF(W52:AE52,"~?")&gt;0,", ","")&amp;"Moutarde","")&amp;IF(AG52="?",IF(COUNTIF(W52:AF52,"~?")&gt;0,", ","")&amp;"Sésame","")&amp;IF(AH52="?",IF(COUNTIF(W52:AG52,"~?")&gt;0,", ","")&amp;"Sulfites","")&amp;IF(AI52="?",IF(COUNTIF(W52:AH52,"~?")&gt;0,", ","")&amp;"Lupin","")&amp;IF(AJ52="?",IF(COUNTIF(W52:AI52,"~?")&gt;0,", ","")&amp;"Mollusques","")),"")</f>
        <v/>
      </c>
      <c r="AM52" s="493" t="str">
        <f>IF(41=41,IF(T52="","",T52),"")</f>
        <v>Portions : 4</v>
      </c>
      <c r="AN52" s="493" t="str">
        <f>IF(41=41,LOWER(CLEAN(SUBSTITUTE(SUBSTITUTE(SUBSTITUTE(SUBSTITUTE(AM52,CHAR(160)," ")," "," "),CHAR(10)," "),CHAR(13)," "))),"")</f>
        <v>portions : 4</v>
      </c>
      <c r="AO52" s="493" t="str">
        <f>IF(41=41,SUBSTITUTE(SUBSTITUTE(SUBSTITUTE(SUBSTITUTE(SUBSTITUTE(SUBSTITUTE(SUBSTITUTE(SUBSTITUTE(SUBSTITUTE(SUBSTITUTE(SUBSTITUTE(SUBSTITUTE(AN52,"œ","oe"),"æ","ae"),"à","a"),"á","a"),"â","a"),"ä","a"),"ã","a"),"ç","c"),"è","e"),"é","e"),"ê","e"),"ë","e"),"")</f>
        <v>portions : 4</v>
      </c>
      <c r="AP52" s="493" t="str">
        <f>IF(41=41,SUBSTITUTE(SUBSTITUTE(SUBSTITUTE(SUBSTITUTE(SUBSTITUTE(SUBSTITUTE(SUBSTITUTE(SUBSTITUTE(SUBSTITUTE(SUBSTITUTE(SUBSTITUTE(SUBSTITUTE(SUBSTITUTE(SUBSTITUTE(SUBSTITUTE(SUBSTITUTE(AO52,"ì","i"),"í","i"),"î","i"),"ï","i"),"ñ","n"),"ò","o"),"ó","o"),"ô","o"),"ö","o"),"õ","o"),"ù","u"),"ú","u"),"û","u"),"ü","u"),"ý","y"),"ÿ","y"),"")</f>
        <v>portions : 4</v>
      </c>
      <c r="AQ52" s="493" t="str">
        <f>IF(41=41,SUBSTITUTE(SUBSTITUTE(SUBSTITUTE(SUBSTITUTE(SUBSTITUTE(SUBSTITUTE(SUBSTITUTE(SUBSTITUTE(SUBSTITUTE(SUBSTITUTE(SUBSTITUTE(SUBSTITUTE(SUBSTITUTE(SUBSTITUTE(AP52,"’"," "),"`"," "),"–"," "),"—"," "),"-"," "),"'"," "),"/"," "),"_"," "),","," "),"."," "),"("," "),")"," "),";"," "),":"," "),"")</f>
        <v>portions   4</v>
      </c>
      <c r="AR52" s="493" t="str">
        <f>IF(41=41,SUBSTITUTE(SUBSTITUTE(SUBSTITUTE(SUBSTITUTE(SUBSTITUTE(SUBSTITUTE(SUBSTITUTE(SUBSTITUTE(SUBSTITUTE(SUBSTITUTE(SUBSTITUTE(SUBSTITUTE(SUBSTITUTE(SUBSTITUTE(SUBSTITUTE(AQ52,"!"," "),"?"," "),"+"," "),"*"," "),"&amp;"," "),"["," "),"]"," "),"{"," "),"}"," "),"%"," "),"="," "),"\"," "),"|"," "),"&lt;"," "),"&gt;"," "),"")</f>
        <v>portions   4</v>
      </c>
      <c r="AS52" s="493" t="str">
        <f>IF(41=41," "&amp;TRIM(SUBSTITUTE(SUBSTITUTE(SUBSTITUTE(SUBSTITUTE(SUBSTITUTE(SUBSTITUTE(AR52,CHAR(34)," "),"  "," "),"  "," "),"  "," "),"  "," "),"  "," "))&amp;" ","")</f>
        <v xml:space="preserve"> portions 4 </v>
      </c>
      <c r="AT52" s="493" cm="1">
        <f t="array" ref="AT52">IF(41=41,IF(AM52="","",SUMPRODUCT(--ISNUMBER(SEARCH(" "&amp;DJ13:DJ112&amp;" ",AV52)))),"")</f>
        <v>0</v>
      </c>
      <c r="AU52" s="493" cm="1">
        <f t="array" ref="AU52">IF(41=41,IF(AM52="","",SUMPRODUCT(--ISNUMBER(SEARCH(" "&amp;DJ113:DJ162&amp;" ",AV52)))),"")</f>
        <v>0</v>
      </c>
      <c r="AV52" s="493" t="str">
        <f>IF(AM52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52,"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portions 4 </v>
      </c>
      <c r="AW52" s="493" cm="1">
        <f t="array" ref="AW52">IF(AM52="","",SUMPRODUCT(--ISNUMBER(SEARCH(" "&amp;DJ195:DJ216&amp;" ",AV52)))+--ISNUMBER(SEARCH(" "&amp;DJ2465&amp;" ",AV52)))</f>
        <v>0</v>
      </c>
      <c r="AX52" s="493" t="str" cm="1">
        <f t="array" ref="AX52">IF(41=41,IF(AM52="","",IF(SUM(AT52:AU52)+SUMPRODUCT(--ISNUMBER(SEARCH(" "&amp;DJ2429:DJ2431&amp;" ",AV52)))&gt;0,"X",IF(AW52&gt;0,"?",""))),"")</f>
        <v/>
      </c>
      <c r="AY52" s="493" cm="1">
        <f t="array" ref="AY52">IF(41=41,IF(AM52="","",SUMPRODUCT(--ISNUMBER(SEARCH(" "&amp;DJ217:DJ316&amp;" ",AS52)))),"")</f>
        <v>0</v>
      </c>
      <c r="AZ52" s="493" cm="1">
        <f t="array" ref="AZ52">IF(41=41,IF(AM52="","",SUMPRODUCT(--ISNUMBER(SEARCH(" "&amp;DJ317:DJ351&amp;" ",AS52)))),"")</f>
        <v>0</v>
      </c>
      <c r="BA52" s="493" t="str">
        <f>IF(41=41,IF(AM52="","",IF((SUM(AY52:AZ52))-(0)&gt;0,"X",IF((0)-(0)&gt;0,"?",""))),"")</f>
        <v/>
      </c>
      <c r="BB52" s="493" cm="1">
        <f t="array" ref="BB52">IF(41=41,IF(AM52="","",SUMPRODUCT(--ISNUMBER(SEARCH(" "&amp;DJ352:DJ409&amp;" ",AS52)))),"")</f>
        <v>0</v>
      </c>
      <c r="BC52" s="493" cm="1">
        <f t="array" ref="BC52">IF(41=41,IF(AM52="","",SUMPRODUCT(--ISNUMBER(SEARCH(" "&amp;DJ410:DJ437&amp;" ",BD52)))+SUMPRODUCT(--ISNUMBER(SEARCH(" "&amp;DJ2451:DJ2464&amp;" ",BD52)))),"")</f>
        <v>0</v>
      </c>
      <c r="BD52" s="493" t="str">
        <f>IF(41=41,IF(AM52="","",SUBSTITUTE(SUBSTITUTE(SUBSTITUTE(SUBSTITUTE(SUBSTITUTE(SUBSTITUTE(SUBSTITUTE(SUBSTITUTE(SUBSTITUTE(SUBSTITUTE(SUBSTITUTE(SUBSTITUTE(SUBSTITUTE(SUBSTITUTE(AS52," "&amp;DJ2466&amp;" "," ")," "&amp;DJ444&amp;" "," ")," "&amp;DJ442&amp;" "," ")," "&amp;DJ2449&amp;" "," ")," "&amp;DJ2450&amp;" "," ")," "&amp;DJ439&amp;" "," ")," "&amp;DJ443&amp;" "," ")," "&amp;DJ445&amp;" "," ")," "&amp;DJ440&amp;" "," ")," "&amp;DJ438&amp;" "," ")," "&amp;DJ1378&amp;" "," ")," "&amp;DJ446&amp;" "," ")," "&amp;DJ1377&amp;" "," ")," "&amp;DJ441&amp;" "," ")),"")</f>
        <v xml:space="preserve"> portions 4 </v>
      </c>
      <c r="BE52" s="493" t="str">
        <f>IF(41=41,IF(AM52="","",IF(BB52&gt;0,"X",IF(BC52&gt;0,"?",""))),"")</f>
        <v/>
      </c>
      <c r="BF52" s="493" cm="1">
        <f t="array" ref="BF52">IF(41=41,IF(AM52="","",SUMPRODUCT(--ISNUMBER(SEARCH(" "&amp;DJ447:DJ546&amp;" ",BP52)))),"")</f>
        <v>0</v>
      </c>
      <c r="BG52" s="493" cm="1">
        <f t="array" ref="BG52">IF(41=41,IF(AM52="","",SUMPRODUCT(--ISNUMBER(SEARCH(" "&amp;DJ547:DJ646&amp;" ",BP52)))),"")</f>
        <v>0</v>
      </c>
      <c r="BH52" s="493" cm="1">
        <f t="array" ref="BH52">IF(41=41,IF(AM52="","",SUMPRODUCT(--ISNUMBER(SEARCH(" "&amp;DJ647:DJ746&amp;" ",BP52)))),"")</f>
        <v>0</v>
      </c>
      <c r="BI52" s="493" cm="1">
        <f t="array" ref="BI52">IF(41=41,IF(AM52="","",SUMPRODUCT(--ISNUMBER(SEARCH(" "&amp;DJ747:DJ846&amp;" ",BP52)))),"")</f>
        <v>0</v>
      </c>
      <c r="BJ52" s="493" cm="1">
        <f t="array" ref="BJ52">IF(41=41,IF(AM52="","",SUMPRODUCT(--ISNUMBER(SEARCH(" "&amp;DJ847:DJ946&amp;" ",BP52)))),"")</f>
        <v>0</v>
      </c>
      <c r="BK52" s="493" cm="1">
        <f t="array" ref="BK52">IF(41=41,IF(AM52="","",SUMPRODUCT(--ISNUMBER(SEARCH(" "&amp;DJ947:DJ1046&amp;" ",BP52)))),"")</f>
        <v>0</v>
      </c>
      <c r="BL52" s="493" cm="1">
        <f t="array" ref="BL52">IF(41=41,IF(AM52="","",SUMPRODUCT(--ISNUMBER(SEARCH(" "&amp;DJ1047:DJ1146&amp;" ",BP52)))),"")</f>
        <v>0</v>
      </c>
      <c r="BM52" s="493" cm="1">
        <f t="array" ref="BM52">IF(41=41,IF(AM52="","",SUMPRODUCT(--ISNUMBER(SEARCH(" "&amp;DJ1147:DJ1246&amp;" ",BP52)))),"")</f>
        <v>0</v>
      </c>
      <c r="BN52" s="493" cm="1">
        <f t="array" ref="BN52">IF(41=41,IF(AM52="","",SUMPRODUCT(--ISNUMBER(SEARCH(" "&amp;DJ1247:DJ1346&amp;" ",BP52)))),"")</f>
        <v>0</v>
      </c>
      <c r="BO52" s="493" cm="1">
        <f t="array" ref="BO52">IF(41=41,IF(AM52="","",SUMPRODUCT(--ISNUMBER(SEARCH(" "&amp;DJ1347:DJ1374&amp;" ",BP52)))),"")</f>
        <v>0</v>
      </c>
      <c r="BP52" s="493" t="str">
        <f>IF(41=41,IF(AM52="","",SUBSTITUTE(SUBSTITUTE(SUBSTITUTE(SUBSTITUTE(SUBSTITUTE(SUBSTITUTE(SUBSTITUTE(SUBSTITUTE(SUBSTITUTE(AS52," "&amp;DJ1376&amp;" "," ")," "&amp;DJ1375&amp;" "," ")," "&amp;DJ1381&amp;" "," ")," "&amp;DJ1382&amp;" "," ")," "&amp;DJ1378&amp;" "," ")," "&amp;DJ1380&amp;" "," ")," "&amp;DJ1377&amp;" "," ")," "&amp;DJ1379&amp;" "," ")," "&amp;DJ1383&amp;" "," ")),"")</f>
        <v xml:space="preserve"> portions 4 </v>
      </c>
      <c r="BQ52" s="493" cm="1">
        <f t="array" ref="BQ52">IF(41=41,IF(AM52="","",SUMPRODUCT(--ISNUMBER(SEARCH(" "&amp;DJ1384:DJ1394&amp;" ",BP52)))),"")</f>
        <v>0</v>
      </c>
      <c r="BR52" s="493" t="str" cm="1">
        <f t="array" ref="BR52">IF(41=41,IF(AM52="","",IF(SUM(BF52:BO52)+SUMPRODUCT(--ISNUMBER(SEARCH(" "&amp;DJ2432:DJ2433&amp;" ",BP52)))&gt;0,"X",IF(BQ52&gt;0,"?",""))),"")</f>
        <v/>
      </c>
      <c r="BS52" s="493" cm="1">
        <f t="array" ref="BS52">IF(41=41,IF(AM52="","",SUMPRODUCT(--ISNUMBER(SEARCH(" "&amp;DJ1395:DJ1415&amp;" ",AS52)))),"")</f>
        <v>0</v>
      </c>
      <c r="BT52" s="493" t="str">
        <f>IF(41=41,IF(AM52="","",IF((BS52)-(0)&gt;0,"X",IF((0)-(0)&gt;0,"?",""))),"")</f>
        <v/>
      </c>
      <c r="BU52" s="493" cm="1">
        <f t="array" ref="BU52">IF(41=41,IF(AM52="","",SUMPRODUCT(--ISNUMBER(SEARCH(" "&amp;DJ1416:DJ1453&amp;" ",BV52)))),"")</f>
        <v>0</v>
      </c>
      <c r="BV52" s="493" t="str">
        <f>IF(41=41,IF(AM52="","",SUBSTITUTE(SUBSTITUTE(AS52," "&amp;DJ1454&amp;" "," ")," "&amp;DJ1455&amp;" "," ")),"")</f>
        <v xml:space="preserve"> portions 4 </v>
      </c>
      <c r="BW52" s="493" cm="1">
        <f t="array" ref="BW52">IF(41=41,IF(AM52="","",SUMPRODUCT(--ISNUMBER(SEARCH(" "&amp;DJ1456:DJ1466&amp;" ",BV52)))),"")</f>
        <v>0</v>
      </c>
      <c r="BX52" s="493" t="str">
        <f>IF(41=41,IF(AM52="","",IF(BU52&gt;0,"X",IF(BW52&gt;0,"?",""))),"")</f>
        <v/>
      </c>
      <c r="BY52" s="493" cm="1">
        <f t="array" ref="BY52">IF(41=41,IF(AM52="","",SUMPRODUCT(--ISNUMBER(SEARCH(" "&amp;DJ1467:DJ1566&amp;" ",CB52)))),"")</f>
        <v>0</v>
      </c>
      <c r="BZ52" s="493" cm="1">
        <f t="array" ref="BZ52">IF(41=41,IF(AM52="","",SUMPRODUCT(--ISNUMBER(SEARCH(" "&amp;DJ1567:DJ1666&amp;" ",CB52)))),"")</f>
        <v>0</v>
      </c>
      <c r="CA52" s="493" cm="1">
        <f t="array" ref="CA52">IF(41=41,IF(AM52="","",SUMPRODUCT(--ISNUMBER(SEARCH(" "&amp;DJ1667:DJ1750&amp;" ",CB52)))),"")</f>
        <v>0</v>
      </c>
      <c r="CB52" s="493" t="str">
        <f>IF(41=41,IF(AM52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52,"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portions 4 </v>
      </c>
      <c r="CC52" s="493" cm="1">
        <f t="array" ref="CC52">IF(41=41,IF(AM52="","",SUMPRODUCT(--ISNUMBER(SEARCH(" "&amp;DJ1801:DJ1880&amp;" ",CD52)))+SUMPRODUCT(--ISNUMBER(SEARCH(" "&amp;DJ2451:DJ2464&amp;" ",CD52)))),"")</f>
        <v>0</v>
      </c>
      <c r="CD52" s="493" t="str">
        <f>IF(41=41,IF(AM52="","",SUBSTITUTE(SUBSTITUTE(SUBSTITUTE(SUBSTITUTE(SUBSTITUTE(SUBSTITUTE(SUBSTITUTE(SUBSTITUTE(SUBSTITUTE(SUBSTITUTE(SUBSTITUTE(SUBSTITUTE(SUBSTITUTE(CB52," "&amp;DJ1887&amp;" "," ")," "&amp;DJ1885&amp;" "," ")," "&amp;DJ2449&amp;" "," ")," "&amp;DJ2450&amp;" "," ")," "&amp;DJ1882&amp;" "," ")," "&amp;DJ1886&amp;" "," ")," "&amp;DJ1888&amp;" "," ")," "&amp;DJ1883&amp;" "," ")," "&amp;DJ1881&amp;" "," ")," "&amp;DJ1378&amp;" "," ")," "&amp;DJ1889&amp;" "," ")," "&amp;DJ1377&amp;" "," ")," "&amp;DJ1884&amp;" "," ")),"")</f>
        <v xml:space="preserve"> portions 4 </v>
      </c>
      <c r="CE52" s="493" t="str" cm="1">
        <f t="array" ref="CE52">IF(41=41,IF(AM52="","",IF(SUM(BY52:CA52)+SUMPRODUCT(--ISNUMBER(SEARCH(" "&amp;DJ2434:DJ2435&amp;" ",CB52)))&gt;0,"X",IF(CC52&gt;0,"?",""))),"")</f>
        <v/>
      </c>
      <c r="CF52" s="493" cm="1">
        <f t="array" ref="CF52">IF(41=41,IF(AM52="","",SUMPRODUCT(--ISNUMBER(SEARCH(" "&amp;DJ1890:DJ1947&amp;" ",CG52)))),"")</f>
        <v>0</v>
      </c>
      <c r="CG52" s="493" t="str">
        <f>IF(41=41,IF(AM52="","",SUBSTITUTE(SUBSTITUTE(SUBSTITUTE(SUBSTITUTE(SUBSTITUTE(SUBSTITUTE(SUBSTITUTE(SUBSTITUTE(SUBSTITUTE(SUBSTITUTE(SUBSTITUTE(SUBSTITUTE(SUBSTITUTE(SUBSTITUTE(SUBSTITUTE(SUBSTITUTE(SUBSTITUTE(SUBSTITUTE(SUBSTITUTE(SUBSTITUTE(SUBSTITUTE(SUBSTITUTE(SUBSTITUTE(AS52,"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portions 4 </v>
      </c>
      <c r="CH52" s="493" cm="1">
        <f t="array" ref="CH52">IF(41=41,IF(AM52="","",SUMPRODUCT(--ISNUMBER(SEARCH(" "&amp;DJ1971:DJ1987&amp;" ",CG52)))),"")</f>
        <v>0</v>
      </c>
      <c r="CI52" s="493" t="str">
        <f>IF(41=41,IF(AM52="","",IF(CF52&gt;0,"X",IF(CH52&gt;0,"?",""))),"")</f>
        <v/>
      </c>
      <c r="CJ52" s="493" cm="1">
        <f t="array" ref="CJ52">IF(41=41,IF(AM52="","",SUMPRODUCT(--ISNUMBER(SEARCH(" "&amp;DJ1988:DJ2001&amp;" ",AS52)))),"")</f>
        <v>0</v>
      </c>
      <c r="CK52" s="493" cm="1">
        <f t="array" ref="CK52">IF(41=41,IF(AM52="","",SUMPRODUCT(--ISNUMBER(SEARCH(" "&amp;DJ2002:DJ2016&amp;" ",AS52)))),"")</f>
        <v>0</v>
      </c>
      <c r="CL52" s="493" t="str">
        <f>IF(41=41,IF(AM52="","",IF((CJ52)-(0)&gt;0,"X",IF((CK52)-(0)&gt;0,"?",""))),"")</f>
        <v/>
      </c>
      <c r="CM52" s="493" cm="1">
        <f t="array" ref="CM52">IF(41=41,IF(AM52="","",SUMPRODUCT(--ISNUMBER(SEARCH(" "&amp;DJ2017:DJ2034&amp;" ",AS52)))),"")</f>
        <v>0</v>
      </c>
      <c r="CN52" s="493" cm="1">
        <f t="array" ref="CN52">IF(41=41,IF(AM52="","",SUMPRODUCT(--ISNUMBER(SEARCH(" "&amp;DJ2035:DJ2049&amp;" ",AS52)))),"")</f>
        <v>0</v>
      </c>
      <c r="CO52" s="493" t="str">
        <f>IF(41=41,IF(AM52="","",IF((CM52)-(0)&gt;0,"X",IF((CN52)-(0)&gt;0,"?",""))),"")</f>
        <v/>
      </c>
      <c r="CP52" s="493" cm="1">
        <f t="array" ref="CP52">IF(41=41,IF(AM52="","",SUMPRODUCT(--ISNUMBER(SEARCH(" "&amp;DJ2050:DJ2068&amp;" ",AS52)))),"")</f>
        <v>0</v>
      </c>
      <c r="CQ52" s="493" cm="1">
        <f t="array" ref="CQ52">IF(41=41,IF(AM52="","",SUMPRODUCT(--ISNUMBER(SEARCH(" "&amp;DJ2069:DJ2083&amp;" ",AS52)))),"")</f>
        <v>0</v>
      </c>
      <c r="CR52" s="493" t="str">
        <f>IF(41=41,IF(AM52="","",IF((CP52)-(0)&gt;0,"X",IF((CQ52)-(0)&gt;0,"?",""))),"")</f>
        <v/>
      </c>
      <c r="CS52" s="493" cm="1">
        <f t="array" ref="CS52">IF(41=41,IF(AM52="","",SUMPRODUCT(--ISNUMBER(SEARCH(" "&amp;DJ2084:DJ2104&amp;" ",AS52)))),"")</f>
        <v>0</v>
      </c>
      <c r="CT52" s="493" cm="1">
        <f t="array" ref="CT52">IF(41=41,IF(AM52="","",SUMPRODUCT(--ISNUMBER(SEARCH(" "&amp;DJ2105:DJ2144&amp;" ",SUBSTITUTE(SUBSTITUTE(AS52," "&amp;DJ1378&amp;" "," ")," "&amp;DJ1377&amp;" "," "))))+--ISNUMBER(SEARCH("poiré",AN52))),"")</f>
        <v>0</v>
      </c>
      <c r="CU52" s="493" t="str">
        <f>IF(41=41,IF(AM52="","",IF(OR(CS52&gt;0,ISNUMBER(SEARCH(" vinaigre de vin ",AS52)),ISNUMBER(SEARCH(" vinaigre au vin ",AS52))),"X",IF(CT52&gt;0,"?",""))),"")</f>
        <v/>
      </c>
      <c r="CV52" s="493" cm="1">
        <f t="array" ref="CV52">IF(41=41,IF(AM52="","",SUMPRODUCT(--ISNUMBER(SEARCH(" "&amp;DJ2145:DJ2157&amp;" ",AS52)))),"")</f>
        <v>0</v>
      </c>
      <c r="CW52" s="493" cm="1">
        <f t="array" ref="CW52">IF(41=41,IF(AM52="","",SUMPRODUCT(--ISNUMBER(SEARCH(" "&amp;DJ2158:DJ2163&amp;" ",AS52)))),"")</f>
        <v>0</v>
      </c>
      <c r="CX52" s="493" t="str">
        <f>IF(41=41,IF(AM52="","",IF((CV52)-(0)&gt;0,"X",IF((CW52)-(0)&gt;0,"?",""))),"")</f>
        <v/>
      </c>
      <c r="CY52" s="493" cm="1">
        <f t="array" ref="CY52">IF(41=41,IF(AM52="","",SUMPRODUCT(--ISNUMBER(SEARCH(" "&amp;DJ2164:DJ2263&amp;" ",DB52)))),"")</f>
        <v>0</v>
      </c>
      <c r="CZ52" s="493" cm="1">
        <f t="array" ref="CZ52">IF(41=41,IF(AM52="","",SUMPRODUCT(--ISNUMBER(SEARCH(" "&amp;DJ2264:DJ2363&amp;" ",DB52)))),"")</f>
        <v>0</v>
      </c>
      <c r="DA52" s="493" cm="1">
        <f t="array" ref="DA52">IF(41=41,IF(AM52="","",SUMPRODUCT(--ISNUMBER(SEARCH(" "&amp;DJ2364:DJ2406&amp;" ",DB52)))),"")</f>
        <v>0</v>
      </c>
      <c r="DB52" s="493" t="str">
        <f>IF(41=41,IF(AM52="","",SUBSTITUTE(SUBSTITUTE(SUBSTITUTE(SUBSTITUTE(SUBSTITUTE(SUBSTITUTE(SUBSTITUTE(SUBSTITUTE(SUBSTITUTE(SUBSTITUTE(SUBSTITUTE(SUBSTITUTE(SUBSTITUTE(SUBSTITUTE(SUBSTITUTE(SUBSTITUTE(AS52," "&amp;DJ2412&amp;" "," ")," "&amp;DJ2411&amp;" "," ")," "&amp;DJ2410&amp;" "," ")," "&amp;DJ2417&amp;" "," ")," "&amp;DJ2409&amp;" "," ")," "&amp;DJ2421&amp;" "," ")," "&amp;DJ2408&amp;" "," ")," "&amp;DJ2413&amp;" "," ")," "&amp;DJ2416&amp;" "," ")," "&amp;DJ2407&amp;" "," ")," "&amp;DJ2415&amp;" "," ")," "&amp;DJ2422&amp;" "," ")," "&amp;DJ2419&amp;" "," ")," "&amp;DJ2414&amp;" "," ")," "&amp;DJ2418&amp;" "," ")," "&amp;DJ2420&amp;" "," ")),"")</f>
        <v xml:space="preserve"> portions 4 </v>
      </c>
      <c r="DC52" s="493" cm="1">
        <f t="array" ref="DC52">IF(41=41,IF(AM52="","",SUMPRODUCT(--ISNUMBER(SEARCH(" "&amp;DJ2423:DJ2427&amp;" ",DB52)))),"")</f>
        <v>0</v>
      </c>
      <c r="DD52" s="493" t="str">
        <f>IF(41=41,IF(AM52="","",IF(SUM(CY52:DA52)&gt;0,"X",IF(DC52&gt;0,"?",""))),"")</f>
        <v/>
      </c>
      <c r="DE52" s="494"/>
      <c r="DF52" s="496" t="s">
        <v>1213</v>
      </c>
      <c r="DG52" s="496" t="s">
        <v>1083</v>
      </c>
      <c r="DH52" s="496" t="s">
        <v>689</v>
      </c>
      <c r="DI52" s="496" t="s">
        <v>1214</v>
      </c>
      <c r="DJ52" s="496" t="s">
        <v>1214</v>
      </c>
      <c r="DK52" s="496" t="s">
        <v>1085</v>
      </c>
      <c r="DL52" s="496" t="s">
        <v>1086</v>
      </c>
      <c r="DM52" s="496" t="s">
        <v>1087</v>
      </c>
      <c r="DN52" s="497" t="s">
        <v>1088</v>
      </c>
      <c r="DP52" s="543">
        <v>1</v>
      </c>
    </row>
    <row r="53" spans="2:120" ht="30" customHeight="1">
      <c r="B53" s="663" t="str">
        <f t="shared" si="0"/>
        <v/>
      </c>
      <c r="C53" s="663" t="str">
        <f t="shared" si="1"/>
        <v/>
      </c>
      <c r="D53" s="663" t="str">
        <f>IF(UPPER(TRIM(N11))="X",C53,B53)</f>
        <v/>
      </c>
      <c r="E53" s="663" cm="1">
        <f t="array" ref="E53">IF(H52&lt;&gt;"",E52,IF(E52="","",IFERROR(MATCH(TRUE(),INDEX(INDEX(K:K,E52+1):K203&lt;&gt;"",0),0)+E52,"")))</f>
        <v>44</v>
      </c>
      <c r="F53" s="663" t="str" cm="1">
        <f t="array" ref="F53">IF(E53="","",IF(H52&lt;&gt;"",H52,INDEX(D:D,E53)))</f>
        <v>Calories : ≈ 410 kcal par part</v>
      </c>
      <c r="G53" s="663" t="str">
        <f t="shared" si="2"/>
        <v>Calories : ≈ 410 kcal par part</v>
      </c>
      <c r="H53" s="673" t="str">
        <f t="shared" si="3"/>
        <v/>
      </c>
      <c r="I53" s="680" t="str">
        <f>IF(AND(F53&lt;&gt;"",N10&gt;0,M53&gt;N10),"Mot &gt; limite","")</f>
        <v/>
      </c>
      <c r="J53" s="674" t="str">
        <f>IF(K53="","",COUNTIF(K18:K53,"&lt;&gt;"))</f>
        <v/>
      </c>
      <c r="K53" s="675"/>
      <c r="L53" s="674" t="str">
        <f t="shared" si="4"/>
        <v/>
      </c>
      <c r="M53" s="643">
        <f>IF(OR(F53="",N10="",N10&lt;=0),"",IF(LEN(F53)&lt;=N10,LEN(F53),IFERROR(FIND("♦",SUBSTITUTE(LEFT(F53,N10)," ","♦",LEN(LEFT(F53,N10))-LEN(SUBSTITUTE(LEFT(F53,N10)," ","")))),FIND(" ",F53&amp;" ",N10+1)-1)))</f>
        <v>30</v>
      </c>
      <c r="N53" s="676">
        <f t="shared" si="5"/>
        <v>36</v>
      </c>
      <c r="O53" s="677" t="str">
        <f t="shared" si="6"/>
        <v>Calories : ≈ 410 kcal par part</v>
      </c>
      <c r="P53" s="676">
        <f t="shared" si="7"/>
        <v>7</v>
      </c>
      <c r="Q53" s="676">
        <f t="shared" si="8"/>
        <v>30</v>
      </c>
      <c r="S53" s="509">
        <v>36</v>
      </c>
      <c r="T53" s="678" t="str">
        <f t="shared" si="10"/>
        <v>Calories : ≈ 410 kcal par part</v>
      </c>
      <c r="U53" s="679" t="str">
        <f t="shared" si="11"/>
        <v>Calories : ≈ 410 kcal par part</v>
      </c>
      <c r="V53" s="512" t="str">
        <f>IF(42=42,IF(T53="","",IF(W53="X",""&amp;"Céréales contenant du gluten","")&amp;IF(X53="X",IF(COUNTIF(W53:W53,"X")&gt;0,", ","")&amp;"Crustacés","")&amp;IF(Y53="X",IF(COUNTIF(W53:X53,"X")&gt;0,", ","")&amp;"Œufs","")&amp;IF(Z53="X",IF(COUNTIF(W53:Y53,"X")&gt;0,", ","")&amp;"Poissons","")&amp;IF(AA53="X",IF(COUNTIF(W53:Z53,"X")&gt;0,", ","")&amp;"Arachides","")&amp;IF(AB53="X",IF(COUNTIF(W53:AA53,"X")&gt;0,", ","")&amp;"Soja","")&amp;IF(AC53="X",IF(COUNTIF(W53:AB53,"X")&gt;0,", ","")&amp;"Lait","")&amp;IF(AD53="X",IF(COUNTIF(W53:AC53,"X")&gt;0,", ","")&amp;"Fruits à coque","")&amp;IF(AE53="X",IF(COUNTIF(W53:AD53,"X")&gt;0,", ","")&amp;"Céleri","")&amp;IF(AF53="X",IF(COUNTIF(W53:AE53,"X")&gt;0,", ","")&amp;"Moutarde","")&amp;IF(AG53="X",IF(COUNTIF(W53:AF53,"X")&gt;0,", ","")&amp;"Sésame","")&amp;IF(AH53="X",IF(COUNTIF(W53:AG53,"X")&gt;0,", ","")&amp;"Sulfites","")&amp;IF(AI53="X",IF(COUNTIF(W53:AH53,"X")&gt;0,", ","")&amp;"Lupin","")&amp;IF(AJ53="X",IF(COUNTIF(W53:AI53,"X")&gt;0,", ","")&amp;"Mollusques","")),"")</f>
        <v/>
      </c>
      <c r="W53" s="513" t="str">
        <f>IF(42=42,IF(T53="","",AX53),"")</f>
        <v/>
      </c>
      <c r="X53" s="513" t="str">
        <f>IF(42=42,IF(T53="","",BA53),"")</f>
        <v/>
      </c>
      <c r="Y53" s="513" t="str">
        <f>IF(42=42,IF(T53="","",BE53),"")</f>
        <v/>
      </c>
      <c r="Z53" s="513" t="str">
        <f>IF(42=42,IF(T53="","",IF(ISNUMBER(SEARCH(" colin ",AS53)),"X",BR53)),"")</f>
        <v/>
      </c>
      <c r="AA53" s="513" t="str">
        <f>IF(42=42,IF(T53="","",BT53),"")</f>
        <v/>
      </c>
      <c r="AB53" s="513" t="str">
        <f>IF(42=42,IF(T53="","",BX53),"")</f>
        <v/>
      </c>
      <c r="AC53" s="513" t="str">
        <f>IF(42=42,IF(T53="","",CE53),"")</f>
        <v/>
      </c>
      <c r="AD53" s="513" t="str">
        <f>IF(42=42,IF(T53="","",CI53),"")</f>
        <v/>
      </c>
      <c r="AE53" s="513" t="str">
        <f>IF(42=42,IF(T53="","",CL53),"")</f>
        <v/>
      </c>
      <c r="AF53" s="513" t="str">
        <f>IF(42=42,IF(T53="","",CO53),"")</f>
        <v/>
      </c>
      <c r="AG53" s="513" t="str">
        <f>IF(42=42,IF(T53="","",CR53),"")</f>
        <v/>
      </c>
      <c r="AH53" s="513" t="str">
        <f>IF(42=42,IF(T53="","",CU53),"")</f>
        <v/>
      </c>
      <c r="AI53" s="513" t="str">
        <f>IF(42=42,IF(T53="","",CX53),"")</f>
        <v/>
      </c>
      <c r="AJ53" s="513" t="str">
        <f>IF(42=42,IF(T53="","",DD53),"")</f>
        <v/>
      </c>
      <c r="AK53" s="514" t="str">
        <f>IF(42=42,IF(T53="","",IF(W53="?",""&amp;"Céréales contenant du gluten","")&amp;IF(X53="?",IF(COUNTIF(W53:W53,"~?")&gt;0,", ","")&amp;"Crustacés","")&amp;IF(Y53="?",IF(COUNTIF(W53:X53,"~?")&gt;0,", ","")&amp;"Œufs","")&amp;IF(Z53="?",IF(COUNTIF(W53:Y53,"~?")&gt;0,", ","")&amp;"Poissons","")&amp;IF(AA53="?",IF(COUNTIF(W53:Z53,"~?")&gt;0,", ","")&amp;"Arachides","")&amp;IF(AB53="?",IF(COUNTIF(W53:AA53,"~?")&gt;0,", ","")&amp;"Soja","")&amp;IF(AC53="?",IF(COUNTIF(W53:AB53,"~?")&gt;0,", ","")&amp;"Lait","")&amp;IF(AD53="?",IF(COUNTIF(W53:AC53,"~?")&gt;0,", ","")&amp;"Fruits à coque","")&amp;IF(AE53="?",IF(COUNTIF(W53:AD53,"~?")&gt;0,", ","")&amp;"Céleri","")&amp;IF(AF53="?",IF(COUNTIF(W53:AE53,"~?")&gt;0,", ","")&amp;"Moutarde","")&amp;IF(AG53="?",IF(COUNTIF(W53:AF53,"~?")&gt;0,", ","")&amp;"Sésame","")&amp;IF(AH53="?",IF(COUNTIF(W53:AG53,"~?")&gt;0,", ","")&amp;"Sulfites","")&amp;IF(AI53="?",IF(COUNTIF(W53:AH53,"~?")&gt;0,", ","")&amp;"Lupin","")&amp;IF(AJ53="?",IF(COUNTIF(W53:AI53,"~?")&gt;0,", ","")&amp;"Mollusques","")),"")</f>
        <v/>
      </c>
      <c r="AM53" s="493" t="str">
        <f>IF(42=42,IF(T53="","",T53),"")</f>
        <v>Calories : ≈ 410 kcal par part</v>
      </c>
      <c r="AN53" s="493" t="str">
        <f>IF(42=42,LOWER(CLEAN(SUBSTITUTE(SUBSTITUTE(SUBSTITUTE(SUBSTITUTE(AM53,CHAR(160)," ")," "," "),CHAR(10)," "),CHAR(13)," "))),"")</f>
        <v>calories : ≈ 410 kcal par part</v>
      </c>
      <c r="AO53" s="493" t="str">
        <f>IF(42=42,SUBSTITUTE(SUBSTITUTE(SUBSTITUTE(SUBSTITUTE(SUBSTITUTE(SUBSTITUTE(SUBSTITUTE(SUBSTITUTE(SUBSTITUTE(SUBSTITUTE(SUBSTITUTE(SUBSTITUTE(AN53,"œ","oe"),"æ","ae"),"à","a"),"á","a"),"â","a"),"ä","a"),"ã","a"),"ç","c"),"è","e"),"é","e"),"ê","e"),"ë","e"),"")</f>
        <v>calories : ≈ 410 kcal par part</v>
      </c>
      <c r="AP53" s="493" t="str">
        <f>IF(42=42,SUBSTITUTE(SUBSTITUTE(SUBSTITUTE(SUBSTITUTE(SUBSTITUTE(SUBSTITUTE(SUBSTITUTE(SUBSTITUTE(SUBSTITUTE(SUBSTITUTE(SUBSTITUTE(SUBSTITUTE(SUBSTITUTE(SUBSTITUTE(SUBSTITUTE(SUBSTITUTE(AO53,"ì","i"),"í","i"),"î","i"),"ï","i"),"ñ","n"),"ò","o"),"ó","o"),"ô","o"),"ö","o"),"õ","o"),"ù","u"),"ú","u"),"û","u"),"ü","u"),"ý","y"),"ÿ","y"),"")</f>
        <v>calories : ≈ 410 kcal par part</v>
      </c>
      <c r="AQ53" s="493" t="str">
        <f>IF(42=42,SUBSTITUTE(SUBSTITUTE(SUBSTITUTE(SUBSTITUTE(SUBSTITUTE(SUBSTITUTE(SUBSTITUTE(SUBSTITUTE(SUBSTITUTE(SUBSTITUTE(SUBSTITUTE(SUBSTITUTE(SUBSTITUTE(SUBSTITUTE(AP53,"’"," "),"`"," "),"–"," "),"—"," "),"-"," "),"'"," "),"/"," "),"_"," "),","," "),"."," "),"("," "),")"," "),";"," "),":"," "),"")</f>
        <v>calories   ≈ 410 kcal par part</v>
      </c>
      <c r="AR53" s="493" t="str">
        <f>IF(42=42,SUBSTITUTE(SUBSTITUTE(SUBSTITUTE(SUBSTITUTE(SUBSTITUTE(SUBSTITUTE(SUBSTITUTE(SUBSTITUTE(SUBSTITUTE(SUBSTITUTE(SUBSTITUTE(SUBSTITUTE(SUBSTITUTE(SUBSTITUTE(SUBSTITUTE(AQ53,"!"," "),"?"," "),"+"," "),"*"," "),"&amp;"," "),"["," "),"]"," "),"{"," "),"}"," "),"%"," "),"="," "),"\"," "),"|"," "),"&lt;"," "),"&gt;"," "),"")</f>
        <v>calories   ≈ 410 kcal par part</v>
      </c>
      <c r="AS53" s="493" t="str">
        <f>IF(42=42," "&amp;TRIM(SUBSTITUTE(SUBSTITUTE(SUBSTITUTE(SUBSTITUTE(SUBSTITUTE(SUBSTITUTE(AR53,CHAR(34)," "),"  "," "),"  "," "),"  "," "),"  "," "),"  "," "))&amp;" ","")</f>
        <v xml:space="preserve"> calories ≈ 410 kcal par part </v>
      </c>
      <c r="AT53" s="493" cm="1">
        <f t="array" ref="AT53">IF(42=42,IF(AM53="","",SUMPRODUCT(--ISNUMBER(SEARCH(" "&amp;DJ13:DJ112&amp;" ",AV53)))),"")</f>
        <v>0</v>
      </c>
      <c r="AU53" s="493" cm="1">
        <f t="array" ref="AU53">IF(42=42,IF(AM53="","",SUMPRODUCT(--ISNUMBER(SEARCH(" "&amp;DJ113:DJ162&amp;" ",AV53)))),"")</f>
        <v>0</v>
      </c>
      <c r="AV53" s="493" t="str">
        <f>IF(AM53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53,"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calories ≈ 410 kcal par part </v>
      </c>
      <c r="AW53" s="493" cm="1">
        <f t="array" ref="AW53">IF(AM53="","",SUMPRODUCT(--ISNUMBER(SEARCH(" "&amp;DJ195:DJ216&amp;" ",AV53)))+--ISNUMBER(SEARCH(" "&amp;DJ2465&amp;" ",AV53)))</f>
        <v>0</v>
      </c>
      <c r="AX53" s="493" t="str" cm="1">
        <f t="array" ref="AX53">IF(42=42,IF(AM53="","",IF(SUM(AT53:AU53)+SUMPRODUCT(--ISNUMBER(SEARCH(" "&amp;DJ2429:DJ2431&amp;" ",AV53)))&gt;0,"X",IF(AW53&gt;0,"?",""))),"")</f>
        <v/>
      </c>
      <c r="AY53" s="493" cm="1">
        <f t="array" ref="AY53">IF(42=42,IF(AM53="","",SUMPRODUCT(--ISNUMBER(SEARCH(" "&amp;DJ217:DJ316&amp;" ",AS53)))),"")</f>
        <v>0</v>
      </c>
      <c r="AZ53" s="493" cm="1">
        <f t="array" ref="AZ53">IF(42=42,IF(AM53="","",SUMPRODUCT(--ISNUMBER(SEARCH(" "&amp;DJ317:DJ351&amp;" ",AS53)))),"")</f>
        <v>0</v>
      </c>
      <c r="BA53" s="493" t="str">
        <f>IF(42=42,IF(AM53="","",IF((SUM(AY53:AZ53))-(0)&gt;0,"X",IF((0)-(0)&gt;0,"?",""))),"")</f>
        <v/>
      </c>
      <c r="BB53" s="493" cm="1">
        <f t="array" ref="BB53">IF(42=42,IF(AM53="","",SUMPRODUCT(--ISNUMBER(SEARCH(" "&amp;DJ352:DJ409&amp;" ",AS53)))),"")</f>
        <v>0</v>
      </c>
      <c r="BC53" s="493" cm="1">
        <f t="array" ref="BC53">IF(42=42,IF(AM53="","",SUMPRODUCT(--ISNUMBER(SEARCH(" "&amp;DJ410:DJ437&amp;" ",BD53)))+SUMPRODUCT(--ISNUMBER(SEARCH(" "&amp;DJ2451:DJ2464&amp;" ",BD53)))),"")</f>
        <v>0</v>
      </c>
      <c r="BD53" s="493" t="str">
        <f>IF(42=42,IF(AM53="","",SUBSTITUTE(SUBSTITUTE(SUBSTITUTE(SUBSTITUTE(SUBSTITUTE(SUBSTITUTE(SUBSTITUTE(SUBSTITUTE(SUBSTITUTE(SUBSTITUTE(SUBSTITUTE(SUBSTITUTE(SUBSTITUTE(SUBSTITUTE(AS53," "&amp;DJ2466&amp;" "," ")," "&amp;DJ444&amp;" "," ")," "&amp;DJ442&amp;" "," ")," "&amp;DJ2449&amp;" "," ")," "&amp;DJ2450&amp;" "," ")," "&amp;DJ439&amp;" "," ")," "&amp;DJ443&amp;" "," ")," "&amp;DJ445&amp;" "," ")," "&amp;DJ440&amp;" "," ")," "&amp;DJ438&amp;" "," ")," "&amp;DJ1378&amp;" "," ")," "&amp;DJ446&amp;" "," ")," "&amp;DJ1377&amp;" "," ")," "&amp;DJ441&amp;" "," ")),"")</f>
        <v xml:space="preserve"> calories ≈ 410 kcal par part </v>
      </c>
      <c r="BE53" s="493" t="str">
        <f>IF(42=42,IF(AM53="","",IF(BB53&gt;0,"X",IF(BC53&gt;0,"?",""))),"")</f>
        <v/>
      </c>
      <c r="BF53" s="493" cm="1">
        <f t="array" ref="BF53">IF(42=42,IF(AM53="","",SUMPRODUCT(--ISNUMBER(SEARCH(" "&amp;DJ447:DJ546&amp;" ",BP53)))),"")</f>
        <v>0</v>
      </c>
      <c r="BG53" s="493" cm="1">
        <f t="array" ref="BG53">IF(42=42,IF(AM53="","",SUMPRODUCT(--ISNUMBER(SEARCH(" "&amp;DJ547:DJ646&amp;" ",BP53)))),"")</f>
        <v>0</v>
      </c>
      <c r="BH53" s="493" cm="1">
        <f t="array" ref="BH53">IF(42=42,IF(AM53="","",SUMPRODUCT(--ISNUMBER(SEARCH(" "&amp;DJ647:DJ746&amp;" ",BP53)))),"")</f>
        <v>0</v>
      </c>
      <c r="BI53" s="493" cm="1">
        <f t="array" ref="BI53">IF(42=42,IF(AM53="","",SUMPRODUCT(--ISNUMBER(SEARCH(" "&amp;DJ747:DJ846&amp;" ",BP53)))),"")</f>
        <v>0</v>
      </c>
      <c r="BJ53" s="493" cm="1">
        <f t="array" ref="BJ53">IF(42=42,IF(AM53="","",SUMPRODUCT(--ISNUMBER(SEARCH(" "&amp;DJ847:DJ946&amp;" ",BP53)))),"")</f>
        <v>0</v>
      </c>
      <c r="BK53" s="493" cm="1">
        <f t="array" ref="BK53">IF(42=42,IF(AM53="","",SUMPRODUCT(--ISNUMBER(SEARCH(" "&amp;DJ947:DJ1046&amp;" ",BP53)))),"")</f>
        <v>0</v>
      </c>
      <c r="BL53" s="493" cm="1">
        <f t="array" ref="BL53">IF(42=42,IF(AM53="","",SUMPRODUCT(--ISNUMBER(SEARCH(" "&amp;DJ1047:DJ1146&amp;" ",BP53)))),"")</f>
        <v>0</v>
      </c>
      <c r="BM53" s="493" cm="1">
        <f t="array" ref="BM53">IF(42=42,IF(AM53="","",SUMPRODUCT(--ISNUMBER(SEARCH(" "&amp;DJ1147:DJ1246&amp;" ",BP53)))),"")</f>
        <v>0</v>
      </c>
      <c r="BN53" s="493" cm="1">
        <f t="array" ref="BN53">IF(42=42,IF(AM53="","",SUMPRODUCT(--ISNUMBER(SEARCH(" "&amp;DJ1247:DJ1346&amp;" ",BP53)))),"")</f>
        <v>0</v>
      </c>
      <c r="BO53" s="493" cm="1">
        <f t="array" ref="BO53">IF(42=42,IF(AM53="","",SUMPRODUCT(--ISNUMBER(SEARCH(" "&amp;DJ1347:DJ1374&amp;" ",BP53)))),"")</f>
        <v>0</v>
      </c>
      <c r="BP53" s="493" t="str">
        <f>IF(42=42,IF(AM53="","",SUBSTITUTE(SUBSTITUTE(SUBSTITUTE(SUBSTITUTE(SUBSTITUTE(SUBSTITUTE(SUBSTITUTE(SUBSTITUTE(SUBSTITUTE(AS53," "&amp;DJ1376&amp;" "," ")," "&amp;DJ1375&amp;" "," ")," "&amp;DJ1381&amp;" "," ")," "&amp;DJ1382&amp;" "," ")," "&amp;DJ1378&amp;" "," ")," "&amp;DJ1380&amp;" "," ")," "&amp;DJ1377&amp;" "," ")," "&amp;DJ1379&amp;" "," ")," "&amp;DJ1383&amp;" "," ")),"")</f>
        <v xml:space="preserve"> calories ≈ 410 kcal par part </v>
      </c>
      <c r="BQ53" s="493" cm="1">
        <f t="array" ref="BQ53">IF(42=42,IF(AM53="","",SUMPRODUCT(--ISNUMBER(SEARCH(" "&amp;DJ1384:DJ1394&amp;" ",BP53)))),"")</f>
        <v>0</v>
      </c>
      <c r="BR53" s="493" t="str" cm="1">
        <f t="array" ref="BR53">IF(42=42,IF(AM53="","",IF(SUM(BF53:BO53)+SUMPRODUCT(--ISNUMBER(SEARCH(" "&amp;DJ2432:DJ2433&amp;" ",BP53)))&gt;0,"X",IF(BQ53&gt;0,"?",""))),"")</f>
        <v/>
      </c>
      <c r="BS53" s="493" cm="1">
        <f t="array" ref="BS53">IF(42=42,IF(AM53="","",SUMPRODUCT(--ISNUMBER(SEARCH(" "&amp;DJ1395:DJ1415&amp;" ",AS53)))),"")</f>
        <v>0</v>
      </c>
      <c r="BT53" s="493" t="str">
        <f>IF(42=42,IF(AM53="","",IF((BS53)-(0)&gt;0,"X",IF((0)-(0)&gt;0,"?",""))),"")</f>
        <v/>
      </c>
      <c r="BU53" s="493" cm="1">
        <f t="array" ref="BU53">IF(42=42,IF(AM53="","",SUMPRODUCT(--ISNUMBER(SEARCH(" "&amp;DJ1416:DJ1453&amp;" ",BV53)))),"")</f>
        <v>0</v>
      </c>
      <c r="BV53" s="493" t="str">
        <f>IF(42=42,IF(AM53="","",SUBSTITUTE(SUBSTITUTE(AS53," "&amp;DJ1454&amp;" "," ")," "&amp;DJ1455&amp;" "," ")),"")</f>
        <v xml:space="preserve"> calories ≈ 410 kcal par part </v>
      </c>
      <c r="BW53" s="493" cm="1">
        <f t="array" ref="BW53">IF(42=42,IF(AM53="","",SUMPRODUCT(--ISNUMBER(SEARCH(" "&amp;DJ1456:DJ1466&amp;" ",BV53)))),"")</f>
        <v>0</v>
      </c>
      <c r="BX53" s="493" t="str">
        <f>IF(42=42,IF(AM53="","",IF(BU53&gt;0,"X",IF(BW53&gt;0,"?",""))),"")</f>
        <v/>
      </c>
      <c r="BY53" s="493" cm="1">
        <f t="array" ref="BY53">IF(42=42,IF(AM53="","",SUMPRODUCT(--ISNUMBER(SEARCH(" "&amp;DJ1467:DJ1566&amp;" ",CB53)))),"")</f>
        <v>0</v>
      </c>
      <c r="BZ53" s="493" cm="1">
        <f t="array" ref="BZ53">IF(42=42,IF(AM53="","",SUMPRODUCT(--ISNUMBER(SEARCH(" "&amp;DJ1567:DJ1666&amp;" ",CB53)))),"")</f>
        <v>0</v>
      </c>
      <c r="CA53" s="493" cm="1">
        <f t="array" ref="CA53">IF(42=42,IF(AM53="","",SUMPRODUCT(--ISNUMBER(SEARCH(" "&amp;DJ1667:DJ1750&amp;" ",CB53)))),"")</f>
        <v>0</v>
      </c>
      <c r="CB53" s="493" t="str">
        <f>IF(42=42,IF(AM53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53,"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calories ≈ 410 kcal par part </v>
      </c>
      <c r="CC53" s="493" cm="1">
        <f t="array" ref="CC53">IF(42=42,IF(AM53="","",SUMPRODUCT(--ISNUMBER(SEARCH(" "&amp;DJ1801:DJ1880&amp;" ",CD53)))+SUMPRODUCT(--ISNUMBER(SEARCH(" "&amp;DJ2451:DJ2464&amp;" ",CD53)))),"")</f>
        <v>0</v>
      </c>
      <c r="CD53" s="493" t="str">
        <f>IF(42=42,IF(AM53="","",SUBSTITUTE(SUBSTITUTE(SUBSTITUTE(SUBSTITUTE(SUBSTITUTE(SUBSTITUTE(SUBSTITUTE(SUBSTITUTE(SUBSTITUTE(SUBSTITUTE(SUBSTITUTE(SUBSTITUTE(SUBSTITUTE(CB53," "&amp;DJ1887&amp;" "," ")," "&amp;DJ1885&amp;" "," ")," "&amp;DJ2449&amp;" "," ")," "&amp;DJ2450&amp;" "," ")," "&amp;DJ1882&amp;" "," ")," "&amp;DJ1886&amp;" "," ")," "&amp;DJ1888&amp;" "," ")," "&amp;DJ1883&amp;" "," ")," "&amp;DJ1881&amp;" "," ")," "&amp;DJ1378&amp;" "," ")," "&amp;DJ1889&amp;" "," ")," "&amp;DJ1377&amp;" "," ")," "&amp;DJ1884&amp;" "," ")),"")</f>
        <v xml:space="preserve"> calories ≈ 410 kcal par part </v>
      </c>
      <c r="CE53" s="493" t="str" cm="1">
        <f t="array" ref="CE53">IF(42=42,IF(AM53="","",IF(SUM(BY53:CA53)+SUMPRODUCT(--ISNUMBER(SEARCH(" "&amp;DJ2434:DJ2435&amp;" ",CB53)))&gt;0,"X",IF(CC53&gt;0,"?",""))),"")</f>
        <v/>
      </c>
      <c r="CF53" s="493" cm="1">
        <f t="array" ref="CF53">IF(42=42,IF(AM53="","",SUMPRODUCT(--ISNUMBER(SEARCH(" "&amp;DJ1890:DJ1947&amp;" ",CG53)))),"")</f>
        <v>0</v>
      </c>
      <c r="CG53" s="493" t="str">
        <f>IF(42=42,IF(AM53="","",SUBSTITUTE(SUBSTITUTE(SUBSTITUTE(SUBSTITUTE(SUBSTITUTE(SUBSTITUTE(SUBSTITUTE(SUBSTITUTE(SUBSTITUTE(SUBSTITUTE(SUBSTITUTE(SUBSTITUTE(SUBSTITUTE(SUBSTITUTE(SUBSTITUTE(SUBSTITUTE(SUBSTITUTE(SUBSTITUTE(SUBSTITUTE(SUBSTITUTE(SUBSTITUTE(SUBSTITUTE(SUBSTITUTE(AS53,"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calories ≈ 410 kcal par part </v>
      </c>
      <c r="CH53" s="493" cm="1">
        <f t="array" ref="CH53">IF(42=42,IF(AM53="","",SUMPRODUCT(--ISNUMBER(SEARCH(" "&amp;DJ1971:DJ1987&amp;" ",CG53)))),"")</f>
        <v>0</v>
      </c>
      <c r="CI53" s="493" t="str">
        <f>IF(42=42,IF(AM53="","",IF(CF53&gt;0,"X",IF(CH53&gt;0,"?",""))),"")</f>
        <v/>
      </c>
      <c r="CJ53" s="493" cm="1">
        <f t="array" ref="CJ53">IF(42=42,IF(AM53="","",SUMPRODUCT(--ISNUMBER(SEARCH(" "&amp;DJ1988:DJ2001&amp;" ",AS53)))),"")</f>
        <v>0</v>
      </c>
      <c r="CK53" s="493" cm="1">
        <f t="array" ref="CK53">IF(42=42,IF(AM53="","",SUMPRODUCT(--ISNUMBER(SEARCH(" "&amp;DJ2002:DJ2016&amp;" ",AS53)))),"")</f>
        <v>0</v>
      </c>
      <c r="CL53" s="493" t="str">
        <f>IF(42=42,IF(AM53="","",IF((CJ53)-(0)&gt;0,"X",IF((CK53)-(0)&gt;0,"?",""))),"")</f>
        <v/>
      </c>
      <c r="CM53" s="493" cm="1">
        <f t="array" ref="CM53">IF(42=42,IF(AM53="","",SUMPRODUCT(--ISNUMBER(SEARCH(" "&amp;DJ2017:DJ2034&amp;" ",AS53)))),"")</f>
        <v>0</v>
      </c>
      <c r="CN53" s="493" cm="1">
        <f t="array" ref="CN53">IF(42=42,IF(AM53="","",SUMPRODUCT(--ISNUMBER(SEARCH(" "&amp;DJ2035:DJ2049&amp;" ",AS53)))),"")</f>
        <v>0</v>
      </c>
      <c r="CO53" s="493" t="str">
        <f>IF(42=42,IF(AM53="","",IF((CM53)-(0)&gt;0,"X",IF((CN53)-(0)&gt;0,"?",""))),"")</f>
        <v/>
      </c>
      <c r="CP53" s="493" cm="1">
        <f t="array" ref="CP53">IF(42=42,IF(AM53="","",SUMPRODUCT(--ISNUMBER(SEARCH(" "&amp;DJ2050:DJ2068&amp;" ",AS53)))),"")</f>
        <v>0</v>
      </c>
      <c r="CQ53" s="493" cm="1">
        <f t="array" ref="CQ53">IF(42=42,IF(AM53="","",SUMPRODUCT(--ISNUMBER(SEARCH(" "&amp;DJ2069:DJ2083&amp;" ",AS53)))),"")</f>
        <v>0</v>
      </c>
      <c r="CR53" s="493" t="str">
        <f>IF(42=42,IF(AM53="","",IF((CP53)-(0)&gt;0,"X",IF((CQ53)-(0)&gt;0,"?",""))),"")</f>
        <v/>
      </c>
      <c r="CS53" s="493" cm="1">
        <f t="array" ref="CS53">IF(42=42,IF(AM53="","",SUMPRODUCT(--ISNUMBER(SEARCH(" "&amp;DJ2084:DJ2104&amp;" ",AS53)))),"")</f>
        <v>0</v>
      </c>
      <c r="CT53" s="493" cm="1">
        <f t="array" ref="CT53">IF(42=42,IF(AM53="","",SUMPRODUCT(--ISNUMBER(SEARCH(" "&amp;DJ2105:DJ2144&amp;" ",SUBSTITUTE(SUBSTITUTE(AS53," "&amp;DJ1378&amp;" "," ")," "&amp;DJ1377&amp;" "," "))))+--ISNUMBER(SEARCH("poiré",AN53))),"")</f>
        <v>0</v>
      </c>
      <c r="CU53" s="493" t="str">
        <f>IF(42=42,IF(AM53="","",IF(OR(CS53&gt;0,ISNUMBER(SEARCH(" vinaigre de vin ",AS53)),ISNUMBER(SEARCH(" vinaigre au vin ",AS53))),"X",IF(CT53&gt;0,"?",""))),"")</f>
        <v/>
      </c>
      <c r="CV53" s="493" cm="1">
        <f t="array" ref="CV53">IF(42=42,IF(AM53="","",SUMPRODUCT(--ISNUMBER(SEARCH(" "&amp;DJ2145:DJ2157&amp;" ",AS53)))),"")</f>
        <v>0</v>
      </c>
      <c r="CW53" s="493" cm="1">
        <f t="array" ref="CW53">IF(42=42,IF(AM53="","",SUMPRODUCT(--ISNUMBER(SEARCH(" "&amp;DJ2158:DJ2163&amp;" ",AS53)))),"")</f>
        <v>0</v>
      </c>
      <c r="CX53" s="493" t="str">
        <f>IF(42=42,IF(AM53="","",IF((CV53)-(0)&gt;0,"X",IF((CW53)-(0)&gt;0,"?",""))),"")</f>
        <v/>
      </c>
      <c r="CY53" s="493" cm="1">
        <f t="array" ref="CY53">IF(42=42,IF(AM53="","",SUMPRODUCT(--ISNUMBER(SEARCH(" "&amp;DJ2164:DJ2263&amp;" ",DB53)))),"")</f>
        <v>0</v>
      </c>
      <c r="CZ53" s="493" cm="1">
        <f t="array" ref="CZ53">IF(42=42,IF(AM53="","",SUMPRODUCT(--ISNUMBER(SEARCH(" "&amp;DJ2264:DJ2363&amp;" ",DB53)))),"")</f>
        <v>0</v>
      </c>
      <c r="DA53" s="493" cm="1">
        <f t="array" ref="DA53">IF(42=42,IF(AM53="","",SUMPRODUCT(--ISNUMBER(SEARCH(" "&amp;DJ2364:DJ2406&amp;" ",DB53)))),"")</f>
        <v>0</v>
      </c>
      <c r="DB53" s="493" t="str">
        <f>IF(42=42,IF(AM53="","",SUBSTITUTE(SUBSTITUTE(SUBSTITUTE(SUBSTITUTE(SUBSTITUTE(SUBSTITUTE(SUBSTITUTE(SUBSTITUTE(SUBSTITUTE(SUBSTITUTE(SUBSTITUTE(SUBSTITUTE(SUBSTITUTE(SUBSTITUTE(SUBSTITUTE(SUBSTITUTE(AS53," "&amp;DJ2412&amp;" "," ")," "&amp;DJ2411&amp;" "," ")," "&amp;DJ2410&amp;" "," ")," "&amp;DJ2417&amp;" "," ")," "&amp;DJ2409&amp;" "," ")," "&amp;DJ2421&amp;" "," ")," "&amp;DJ2408&amp;" "," ")," "&amp;DJ2413&amp;" "," ")," "&amp;DJ2416&amp;" "," ")," "&amp;DJ2407&amp;" "," ")," "&amp;DJ2415&amp;" "," ")," "&amp;DJ2422&amp;" "," ")," "&amp;DJ2419&amp;" "," ")," "&amp;DJ2414&amp;" "," ")," "&amp;DJ2418&amp;" "," ")," "&amp;DJ2420&amp;" "," ")),"")</f>
        <v xml:space="preserve"> calories ≈ 410 kcal par part </v>
      </c>
      <c r="DC53" s="493" cm="1">
        <f t="array" ref="DC53">IF(42=42,IF(AM53="","",SUMPRODUCT(--ISNUMBER(SEARCH(" "&amp;DJ2423:DJ2427&amp;" ",DB53)))),"")</f>
        <v>0</v>
      </c>
      <c r="DD53" s="493" t="str">
        <f>IF(42=42,IF(AM53="","",IF(SUM(CY53:DA53)&gt;0,"X",IF(DC53&gt;0,"?",""))),"")</f>
        <v/>
      </c>
      <c r="DE53" s="494"/>
      <c r="DF53" s="496" t="s">
        <v>1215</v>
      </c>
      <c r="DG53" s="496" t="s">
        <v>1083</v>
      </c>
      <c r="DH53" s="496" t="s">
        <v>689</v>
      </c>
      <c r="DI53" s="496" t="s">
        <v>1216</v>
      </c>
      <c r="DJ53" s="496" t="s">
        <v>66</v>
      </c>
      <c r="DK53" s="496" t="s">
        <v>1085</v>
      </c>
      <c r="DL53" s="496" t="s">
        <v>1086</v>
      </c>
      <c r="DM53" s="496" t="s">
        <v>1087</v>
      </c>
      <c r="DN53" s="497" t="s">
        <v>1088</v>
      </c>
      <c r="DP53" s="543">
        <v>1</v>
      </c>
    </row>
    <row r="54" spans="2:120" ht="30" customHeight="1">
      <c r="B54" s="663" t="str">
        <f t="shared" si="0"/>
        <v/>
      </c>
      <c r="C54" s="663" t="str">
        <f t="shared" si="1"/>
        <v/>
      </c>
      <c r="D54" s="663" t="str">
        <f>IF(UPPER(TRIM(N11))="X",C54,B54)</f>
        <v/>
      </c>
      <c r="E54" s="663" cm="1">
        <f t="array" ref="E54">IF(H53&lt;&gt;"",E53,IF(E53="","",IFERROR(MATCH(TRUE(),INDEX(INDEX(K:K,E53+1):K203&lt;&gt;"",0),0)+E53,"")))</f>
        <v>91</v>
      </c>
      <c r="F54" s="663" t="str" cm="1">
        <f t="array" ref="F54">IF(E54="","",IF(H53&lt;&gt;"",H53,INDEX(D:D,E54)))</f>
        <v>►&gt; &gt; &gt;</v>
      </c>
      <c r="G54" s="663" t="str">
        <f t="shared" si="2"/>
        <v>►&gt; &gt; &gt;</v>
      </c>
      <c r="H54" s="673" t="str">
        <f t="shared" si="3"/>
        <v/>
      </c>
      <c r="I54" s="680" t="str">
        <f>IF(AND(F54&lt;&gt;"",N10&gt;0,M54&gt;N10),"Mot &gt; limite","")</f>
        <v/>
      </c>
      <c r="J54" s="674" t="str">
        <f>IF(K54="","",COUNTIF(K18:K54,"&lt;&gt;"))</f>
        <v/>
      </c>
      <c r="K54" s="675"/>
      <c r="L54" s="674" t="str">
        <f t="shared" si="4"/>
        <v/>
      </c>
      <c r="M54" s="643">
        <f>IF(OR(F54="",N10="",N10&lt;=0),"",IF(LEN(F54)&lt;=N10,LEN(F54),IFERROR(FIND("♦",SUBSTITUTE(LEFT(F54,N10)," ","♦",LEN(LEFT(F54,N10))-LEN(SUBSTITUTE(LEFT(F54,N10)," ","")))),FIND(" ",F54&amp;" ",N10+1)-1)))</f>
        <v>6</v>
      </c>
      <c r="N54" s="676">
        <f t="shared" si="5"/>
        <v>37</v>
      </c>
      <c r="O54" s="677" t="str">
        <f t="shared" si="6"/>
        <v>►&gt; &gt; &gt;</v>
      </c>
      <c r="P54" s="676">
        <f t="shared" si="7"/>
        <v>3</v>
      </c>
      <c r="Q54" s="676">
        <f t="shared" si="8"/>
        <v>6</v>
      </c>
      <c r="S54" s="509">
        <v>37</v>
      </c>
      <c r="T54" s="678" t="str">
        <f t="shared" si="10"/>
        <v>►&gt; &gt; &gt;</v>
      </c>
      <c r="U54" s="679" t="str">
        <f t="shared" si="11"/>
        <v>►&gt; &gt; &gt;</v>
      </c>
      <c r="V54" s="512" t="str">
        <f>IF(43=43,IF(T54="","",IF(W54="X",""&amp;"Céréales contenant du gluten","")&amp;IF(X54="X",IF(COUNTIF(W54:W54,"X")&gt;0,", ","")&amp;"Crustacés","")&amp;IF(Y54="X",IF(COUNTIF(W54:X54,"X")&gt;0,", ","")&amp;"Œufs","")&amp;IF(Z54="X",IF(COUNTIF(W54:Y54,"X")&gt;0,", ","")&amp;"Poissons","")&amp;IF(AA54="X",IF(COUNTIF(W54:Z54,"X")&gt;0,", ","")&amp;"Arachides","")&amp;IF(AB54="X",IF(COUNTIF(W54:AA54,"X")&gt;0,", ","")&amp;"Soja","")&amp;IF(AC54="X",IF(COUNTIF(W54:AB54,"X")&gt;0,", ","")&amp;"Lait","")&amp;IF(AD54="X",IF(COUNTIF(W54:AC54,"X")&gt;0,", ","")&amp;"Fruits à coque","")&amp;IF(AE54="X",IF(COUNTIF(W54:AD54,"X")&gt;0,", ","")&amp;"Céleri","")&amp;IF(AF54="X",IF(COUNTIF(W54:AE54,"X")&gt;0,", ","")&amp;"Moutarde","")&amp;IF(AG54="X",IF(COUNTIF(W54:AF54,"X")&gt;0,", ","")&amp;"Sésame","")&amp;IF(AH54="X",IF(COUNTIF(W54:AG54,"X")&gt;0,", ","")&amp;"Sulfites","")&amp;IF(AI54="X",IF(COUNTIF(W54:AH54,"X")&gt;0,", ","")&amp;"Lupin","")&amp;IF(AJ54="X",IF(COUNTIF(W54:AI54,"X")&gt;0,", ","")&amp;"Mollusques","")),"")</f>
        <v/>
      </c>
      <c r="W54" s="513" t="str">
        <f>IF(43=43,IF(T54="","",AX54),"")</f>
        <v/>
      </c>
      <c r="X54" s="513" t="str">
        <f>IF(43=43,IF(T54="","",BA54),"")</f>
        <v/>
      </c>
      <c r="Y54" s="513" t="str">
        <f>IF(43=43,IF(T54="","",BE54),"")</f>
        <v/>
      </c>
      <c r="Z54" s="513" t="str">
        <f>IF(43=43,IF(T54="","",IF(ISNUMBER(SEARCH(" colin ",AS54)),"X",BR54)),"")</f>
        <v/>
      </c>
      <c r="AA54" s="513" t="str">
        <f>IF(43=43,IF(T54="","",BT54),"")</f>
        <v/>
      </c>
      <c r="AB54" s="513" t="str">
        <f>IF(43=43,IF(T54="","",BX54),"")</f>
        <v/>
      </c>
      <c r="AC54" s="513" t="str">
        <f>IF(43=43,IF(T54="","",CE54),"")</f>
        <v/>
      </c>
      <c r="AD54" s="513" t="str">
        <f>IF(43=43,IF(T54="","",CI54),"")</f>
        <v/>
      </c>
      <c r="AE54" s="513" t="str">
        <f>IF(43=43,IF(T54="","",CL54),"")</f>
        <v/>
      </c>
      <c r="AF54" s="513" t="str">
        <f>IF(43=43,IF(T54="","",CO54),"")</f>
        <v/>
      </c>
      <c r="AG54" s="513" t="str">
        <f>IF(43=43,IF(T54="","",CR54),"")</f>
        <v/>
      </c>
      <c r="AH54" s="513" t="str">
        <f>IF(43=43,IF(T54="","",CU54),"")</f>
        <v/>
      </c>
      <c r="AI54" s="513" t="str">
        <f>IF(43=43,IF(T54="","",CX54),"")</f>
        <v/>
      </c>
      <c r="AJ54" s="513" t="str">
        <f>IF(43=43,IF(T54="","",DD54),"")</f>
        <v/>
      </c>
      <c r="AK54" s="514" t="str">
        <f>IF(43=43,IF(T54="","",IF(W54="?",""&amp;"Céréales contenant du gluten","")&amp;IF(X54="?",IF(COUNTIF(W54:W54,"~?")&gt;0,", ","")&amp;"Crustacés","")&amp;IF(Y54="?",IF(COUNTIF(W54:X54,"~?")&gt;0,", ","")&amp;"Œufs","")&amp;IF(Z54="?",IF(COUNTIF(W54:Y54,"~?")&gt;0,", ","")&amp;"Poissons","")&amp;IF(AA54="?",IF(COUNTIF(W54:Z54,"~?")&gt;0,", ","")&amp;"Arachides","")&amp;IF(AB54="?",IF(COUNTIF(W54:AA54,"~?")&gt;0,", ","")&amp;"Soja","")&amp;IF(AC54="?",IF(COUNTIF(W54:AB54,"~?")&gt;0,", ","")&amp;"Lait","")&amp;IF(AD54="?",IF(COUNTIF(W54:AC54,"~?")&gt;0,", ","")&amp;"Fruits à coque","")&amp;IF(AE54="?",IF(COUNTIF(W54:AD54,"~?")&gt;0,", ","")&amp;"Céleri","")&amp;IF(AF54="?",IF(COUNTIF(W54:AE54,"~?")&gt;0,", ","")&amp;"Moutarde","")&amp;IF(AG54="?",IF(COUNTIF(W54:AF54,"~?")&gt;0,", ","")&amp;"Sésame","")&amp;IF(AH54="?",IF(COUNTIF(W54:AG54,"~?")&gt;0,", ","")&amp;"Sulfites","")&amp;IF(AI54="?",IF(COUNTIF(W54:AH54,"~?")&gt;0,", ","")&amp;"Lupin","")&amp;IF(AJ54="?",IF(COUNTIF(W54:AI54,"~?")&gt;0,", ","")&amp;"Mollusques","")),"")</f>
        <v/>
      </c>
      <c r="AM54" s="493" t="str">
        <f>IF(43=43,IF(T54="","",T54),"")</f>
        <v>►&gt; &gt; &gt;</v>
      </c>
      <c r="AN54" s="493" t="str">
        <f>IF(43=43,LOWER(CLEAN(SUBSTITUTE(SUBSTITUTE(SUBSTITUTE(SUBSTITUTE(AM54,CHAR(160)," ")," "," "),CHAR(10)," "),CHAR(13)," "))),"")</f>
        <v>►&gt; &gt; &gt;</v>
      </c>
      <c r="AO54" s="493" t="str">
        <f>IF(43=43,SUBSTITUTE(SUBSTITUTE(SUBSTITUTE(SUBSTITUTE(SUBSTITUTE(SUBSTITUTE(SUBSTITUTE(SUBSTITUTE(SUBSTITUTE(SUBSTITUTE(SUBSTITUTE(SUBSTITUTE(AN54,"œ","oe"),"æ","ae"),"à","a"),"á","a"),"â","a"),"ä","a"),"ã","a"),"ç","c"),"è","e"),"é","e"),"ê","e"),"ë","e"),"")</f>
        <v>►&gt; &gt; &gt;</v>
      </c>
      <c r="AP54" s="493" t="str">
        <f>IF(43=43,SUBSTITUTE(SUBSTITUTE(SUBSTITUTE(SUBSTITUTE(SUBSTITUTE(SUBSTITUTE(SUBSTITUTE(SUBSTITUTE(SUBSTITUTE(SUBSTITUTE(SUBSTITUTE(SUBSTITUTE(SUBSTITUTE(SUBSTITUTE(SUBSTITUTE(SUBSTITUTE(AO54,"ì","i"),"í","i"),"î","i"),"ï","i"),"ñ","n"),"ò","o"),"ó","o"),"ô","o"),"ö","o"),"õ","o"),"ù","u"),"ú","u"),"û","u"),"ü","u"),"ý","y"),"ÿ","y"),"")</f>
        <v>►&gt; &gt; &gt;</v>
      </c>
      <c r="AQ54" s="493" t="str">
        <f>IF(43=43,SUBSTITUTE(SUBSTITUTE(SUBSTITUTE(SUBSTITUTE(SUBSTITUTE(SUBSTITUTE(SUBSTITUTE(SUBSTITUTE(SUBSTITUTE(SUBSTITUTE(SUBSTITUTE(SUBSTITUTE(SUBSTITUTE(SUBSTITUTE(AP54,"’"," "),"`"," "),"–"," "),"—"," "),"-"," "),"'"," "),"/"," "),"_"," "),","," "),"."," "),"("," "),")"," "),";"," "),":"," "),"")</f>
        <v>►&gt; &gt; &gt;</v>
      </c>
      <c r="AR54" s="493" t="str">
        <f>IF(43=43,SUBSTITUTE(SUBSTITUTE(SUBSTITUTE(SUBSTITUTE(SUBSTITUTE(SUBSTITUTE(SUBSTITUTE(SUBSTITUTE(SUBSTITUTE(SUBSTITUTE(SUBSTITUTE(SUBSTITUTE(SUBSTITUTE(SUBSTITUTE(SUBSTITUTE(AQ54,"!"," "),"?"," "),"+"," "),"*"," "),"&amp;"," "),"["," "),"]"," "),"{"," "),"}"," "),"%"," "),"="," "),"\"," "),"|"," "),"&lt;"," "),"&gt;"," "),"")</f>
        <v xml:space="preserve">►     </v>
      </c>
      <c r="AS54" s="493" t="str">
        <f>IF(43=43," "&amp;TRIM(SUBSTITUTE(SUBSTITUTE(SUBSTITUTE(SUBSTITUTE(SUBSTITUTE(SUBSTITUTE(AR54,CHAR(34)," "),"  "," "),"  "," "),"  "," "),"  "," "),"  "," "))&amp;" ","")</f>
        <v xml:space="preserve"> ► </v>
      </c>
      <c r="AT54" s="493" cm="1">
        <f t="array" ref="AT54">IF(43=43,IF(AM54="","",SUMPRODUCT(--ISNUMBER(SEARCH(" "&amp;DJ13:DJ112&amp;" ",AV54)))),"")</f>
        <v>0</v>
      </c>
      <c r="AU54" s="493" cm="1">
        <f t="array" ref="AU54">IF(43=43,IF(AM54="","",SUMPRODUCT(--ISNUMBER(SEARCH(" "&amp;DJ113:DJ162&amp;" ",AV54)))),"")</f>
        <v>0</v>
      </c>
      <c r="AV54" s="493" t="str">
        <f>IF(AM54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54,"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 </v>
      </c>
      <c r="AW54" s="493" cm="1">
        <f t="array" ref="AW54">IF(AM54="","",SUMPRODUCT(--ISNUMBER(SEARCH(" "&amp;DJ195:DJ216&amp;" ",AV54)))+--ISNUMBER(SEARCH(" "&amp;DJ2465&amp;" ",AV54)))</f>
        <v>0</v>
      </c>
      <c r="AX54" s="493" t="str" cm="1">
        <f t="array" ref="AX54">IF(43=43,IF(AM54="","",IF(SUM(AT54:AU54)+SUMPRODUCT(--ISNUMBER(SEARCH(" "&amp;DJ2429:DJ2431&amp;" ",AV54)))&gt;0,"X",IF(AW54&gt;0,"?",""))),"")</f>
        <v/>
      </c>
      <c r="AY54" s="493" cm="1">
        <f t="array" ref="AY54">IF(43=43,IF(AM54="","",SUMPRODUCT(--ISNUMBER(SEARCH(" "&amp;DJ217:DJ316&amp;" ",AS54)))),"")</f>
        <v>0</v>
      </c>
      <c r="AZ54" s="493" cm="1">
        <f t="array" ref="AZ54">IF(43=43,IF(AM54="","",SUMPRODUCT(--ISNUMBER(SEARCH(" "&amp;DJ317:DJ351&amp;" ",AS54)))),"")</f>
        <v>0</v>
      </c>
      <c r="BA54" s="493" t="str">
        <f>IF(43=43,IF(AM54="","",IF((SUM(AY54:AZ54))-(0)&gt;0,"X",IF((0)-(0)&gt;0,"?",""))),"")</f>
        <v/>
      </c>
      <c r="BB54" s="493" cm="1">
        <f t="array" ref="BB54">IF(43=43,IF(AM54="","",SUMPRODUCT(--ISNUMBER(SEARCH(" "&amp;DJ352:DJ409&amp;" ",AS54)))),"")</f>
        <v>0</v>
      </c>
      <c r="BC54" s="493" cm="1">
        <f t="array" ref="BC54">IF(43=43,IF(AM54="","",SUMPRODUCT(--ISNUMBER(SEARCH(" "&amp;DJ410:DJ437&amp;" ",BD54)))+SUMPRODUCT(--ISNUMBER(SEARCH(" "&amp;DJ2451:DJ2464&amp;" ",BD54)))),"")</f>
        <v>0</v>
      </c>
      <c r="BD54" s="493" t="str">
        <f>IF(43=43,IF(AM54="","",SUBSTITUTE(SUBSTITUTE(SUBSTITUTE(SUBSTITUTE(SUBSTITUTE(SUBSTITUTE(SUBSTITUTE(SUBSTITUTE(SUBSTITUTE(SUBSTITUTE(SUBSTITUTE(SUBSTITUTE(SUBSTITUTE(SUBSTITUTE(AS54," "&amp;DJ2466&amp;" "," ")," "&amp;DJ444&amp;" "," ")," "&amp;DJ442&amp;" "," ")," "&amp;DJ2449&amp;" "," ")," "&amp;DJ2450&amp;" "," ")," "&amp;DJ439&amp;" "," ")," "&amp;DJ443&amp;" "," ")," "&amp;DJ445&amp;" "," ")," "&amp;DJ440&amp;" "," ")," "&amp;DJ438&amp;" "," ")," "&amp;DJ1378&amp;" "," ")," "&amp;DJ446&amp;" "," ")," "&amp;DJ1377&amp;" "," ")," "&amp;DJ441&amp;" "," ")),"")</f>
        <v xml:space="preserve"> ► </v>
      </c>
      <c r="BE54" s="493" t="str">
        <f>IF(43=43,IF(AM54="","",IF(BB54&gt;0,"X",IF(BC54&gt;0,"?",""))),"")</f>
        <v/>
      </c>
      <c r="BF54" s="493" cm="1">
        <f t="array" ref="BF54">IF(43=43,IF(AM54="","",SUMPRODUCT(--ISNUMBER(SEARCH(" "&amp;DJ447:DJ546&amp;" ",BP54)))),"")</f>
        <v>0</v>
      </c>
      <c r="BG54" s="493" cm="1">
        <f t="array" ref="BG54">IF(43=43,IF(AM54="","",SUMPRODUCT(--ISNUMBER(SEARCH(" "&amp;DJ547:DJ646&amp;" ",BP54)))),"")</f>
        <v>0</v>
      </c>
      <c r="BH54" s="493" cm="1">
        <f t="array" ref="BH54">IF(43=43,IF(AM54="","",SUMPRODUCT(--ISNUMBER(SEARCH(" "&amp;DJ647:DJ746&amp;" ",BP54)))),"")</f>
        <v>0</v>
      </c>
      <c r="BI54" s="493" cm="1">
        <f t="array" ref="BI54">IF(43=43,IF(AM54="","",SUMPRODUCT(--ISNUMBER(SEARCH(" "&amp;DJ747:DJ846&amp;" ",BP54)))),"")</f>
        <v>0</v>
      </c>
      <c r="BJ54" s="493" cm="1">
        <f t="array" ref="BJ54">IF(43=43,IF(AM54="","",SUMPRODUCT(--ISNUMBER(SEARCH(" "&amp;DJ847:DJ946&amp;" ",BP54)))),"")</f>
        <v>0</v>
      </c>
      <c r="BK54" s="493" cm="1">
        <f t="array" ref="BK54">IF(43=43,IF(AM54="","",SUMPRODUCT(--ISNUMBER(SEARCH(" "&amp;DJ947:DJ1046&amp;" ",BP54)))),"")</f>
        <v>0</v>
      </c>
      <c r="BL54" s="493" cm="1">
        <f t="array" ref="BL54">IF(43=43,IF(AM54="","",SUMPRODUCT(--ISNUMBER(SEARCH(" "&amp;DJ1047:DJ1146&amp;" ",BP54)))),"")</f>
        <v>0</v>
      </c>
      <c r="BM54" s="493" cm="1">
        <f t="array" ref="BM54">IF(43=43,IF(AM54="","",SUMPRODUCT(--ISNUMBER(SEARCH(" "&amp;DJ1147:DJ1246&amp;" ",BP54)))),"")</f>
        <v>0</v>
      </c>
      <c r="BN54" s="493" cm="1">
        <f t="array" ref="BN54">IF(43=43,IF(AM54="","",SUMPRODUCT(--ISNUMBER(SEARCH(" "&amp;DJ1247:DJ1346&amp;" ",BP54)))),"")</f>
        <v>0</v>
      </c>
      <c r="BO54" s="493" cm="1">
        <f t="array" ref="BO54">IF(43=43,IF(AM54="","",SUMPRODUCT(--ISNUMBER(SEARCH(" "&amp;DJ1347:DJ1374&amp;" ",BP54)))),"")</f>
        <v>0</v>
      </c>
      <c r="BP54" s="493" t="str">
        <f>IF(43=43,IF(AM54="","",SUBSTITUTE(SUBSTITUTE(SUBSTITUTE(SUBSTITUTE(SUBSTITUTE(SUBSTITUTE(SUBSTITUTE(SUBSTITUTE(SUBSTITUTE(AS54," "&amp;DJ1376&amp;" "," ")," "&amp;DJ1375&amp;" "," ")," "&amp;DJ1381&amp;" "," ")," "&amp;DJ1382&amp;" "," ")," "&amp;DJ1378&amp;" "," ")," "&amp;DJ1380&amp;" "," ")," "&amp;DJ1377&amp;" "," ")," "&amp;DJ1379&amp;" "," ")," "&amp;DJ1383&amp;" "," ")),"")</f>
        <v xml:space="preserve"> ► </v>
      </c>
      <c r="BQ54" s="493" cm="1">
        <f t="array" ref="BQ54">IF(43=43,IF(AM54="","",SUMPRODUCT(--ISNUMBER(SEARCH(" "&amp;DJ1384:DJ1394&amp;" ",BP54)))),"")</f>
        <v>0</v>
      </c>
      <c r="BR54" s="493" t="str" cm="1">
        <f t="array" ref="BR54">IF(43=43,IF(AM54="","",IF(SUM(BF54:BO54)+SUMPRODUCT(--ISNUMBER(SEARCH(" "&amp;DJ2432:DJ2433&amp;" ",BP54)))&gt;0,"X",IF(BQ54&gt;0,"?",""))),"")</f>
        <v/>
      </c>
      <c r="BS54" s="493" cm="1">
        <f t="array" ref="BS54">IF(43=43,IF(AM54="","",SUMPRODUCT(--ISNUMBER(SEARCH(" "&amp;DJ1395:DJ1415&amp;" ",AS54)))),"")</f>
        <v>0</v>
      </c>
      <c r="BT54" s="493" t="str">
        <f>IF(43=43,IF(AM54="","",IF((BS54)-(0)&gt;0,"X",IF((0)-(0)&gt;0,"?",""))),"")</f>
        <v/>
      </c>
      <c r="BU54" s="493" cm="1">
        <f t="array" ref="BU54">IF(43=43,IF(AM54="","",SUMPRODUCT(--ISNUMBER(SEARCH(" "&amp;DJ1416:DJ1453&amp;" ",BV54)))),"")</f>
        <v>0</v>
      </c>
      <c r="BV54" s="493" t="str">
        <f>IF(43=43,IF(AM54="","",SUBSTITUTE(SUBSTITUTE(AS54," "&amp;DJ1454&amp;" "," ")," "&amp;DJ1455&amp;" "," ")),"")</f>
        <v xml:space="preserve"> ► </v>
      </c>
      <c r="BW54" s="493" cm="1">
        <f t="array" ref="BW54">IF(43=43,IF(AM54="","",SUMPRODUCT(--ISNUMBER(SEARCH(" "&amp;DJ1456:DJ1466&amp;" ",BV54)))),"")</f>
        <v>0</v>
      </c>
      <c r="BX54" s="493" t="str">
        <f>IF(43=43,IF(AM54="","",IF(BU54&gt;0,"X",IF(BW54&gt;0,"?",""))),"")</f>
        <v/>
      </c>
      <c r="BY54" s="493" cm="1">
        <f t="array" ref="BY54">IF(43=43,IF(AM54="","",SUMPRODUCT(--ISNUMBER(SEARCH(" "&amp;DJ1467:DJ1566&amp;" ",CB54)))),"")</f>
        <v>0</v>
      </c>
      <c r="BZ54" s="493" cm="1">
        <f t="array" ref="BZ54">IF(43=43,IF(AM54="","",SUMPRODUCT(--ISNUMBER(SEARCH(" "&amp;DJ1567:DJ1666&amp;" ",CB54)))),"")</f>
        <v>0</v>
      </c>
      <c r="CA54" s="493" cm="1">
        <f t="array" ref="CA54">IF(43=43,IF(AM54="","",SUMPRODUCT(--ISNUMBER(SEARCH(" "&amp;DJ1667:DJ1750&amp;" ",CB54)))),"")</f>
        <v>0</v>
      </c>
      <c r="CB54" s="493" t="str">
        <f>IF(43=43,IF(AM54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54,"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 </v>
      </c>
      <c r="CC54" s="493" cm="1">
        <f t="array" ref="CC54">IF(43=43,IF(AM54="","",SUMPRODUCT(--ISNUMBER(SEARCH(" "&amp;DJ1801:DJ1880&amp;" ",CD54)))+SUMPRODUCT(--ISNUMBER(SEARCH(" "&amp;DJ2451:DJ2464&amp;" ",CD54)))),"")</f>
        <v>0</v>
      </c>
      <c r="CD54" s="493" t="str">
        <f>IF(43=43,IF(AM54="","",SUBSTITUTE(SUBSTITUTE(SUBSTITUTE(SUBSTITUTE(SUBSTITUTE(SUBSTITUTE(SUBSTITUTE(SUBSTITUTE(SUBSTITUTE(SUBSTITUTE(SUBSTITUTE(SUBSTITUTE(SUBSTITUTE(CB54," "&amp;DJ1887&amp;" "," ")," "&amp;DJ1885&amp;" "," ")," "&amp;DJ2449&amp;" "," ")," "&amp;DJ2450&amp;" "," ")," "&amp;DJ1882&amp;" "," ")," "&amp;DJ1886&amp;" "," ")," "&amp;DJ1888&amp;" "," ")," "&amp;DJ1883&amp;" "," ")," "&amp;DJ1881&amp;" "," ")," "&amp;DJ1378&amp;" "," ")," "&amp;DJ1889&amp;" "," ")," "&amp;DJ1377&amp;" "," ")," "&amp;DJ1884&amp;" "," ")),"")</f>
        <v xml:space="preserve"> ► </v>
      </c>
      <c r="CE54" s="493" t="str" cm="1">
        <f t="array" ref="CE54">IF(43=43,IF(AM54="","",IF(SUM(BY54:CA54)+SUMPRODUCT(--ISNUMBER(SEARCH(" "&amp;DJ2434:DJ2435&amp;" ",CB54)))&gt;0,"X",IF(CC54&gt;0,"?",""))),"")</f>
        <v/>
      </c>
      <c r="CF54" s="493" cm="1">
        <f t="array" ref="CF54">IF(43=43,IF(AM54="","",SUMPRODUCT(--ISNUMBER(SEARCH(" "&amp;DJ1890:DJ1947&amp;" ",CG54)))),"")</f>
        <v>0</v>
      </c>
      <c r="CG54" s="493" t="str">
        <f>IF(43=43,IF(AM54="","",SUBSTITUTE(SUBSTITUTE(SUBSTITUTE(SUBSTITUTE(SUBSTITUTE(SUBSTITUTE(SUBSTITUTE(SUBSTITUTE(SUBSTITUTE(SUBSTITUTE(SUBSTITUTE(SUBSTITUTE(SUBSTITUTE(SUBSTITUTE(SUBSTITUTE(SUBSTITUTE(SUBSTITUTE(SUBSTITUTE(SUBSTITUTE(SUBSTITUTE(SUBSTITUTE(SUBSTITUTE(SUBSTITUTE(AS54,"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 </v>
      </c>
      <c r="CH54" s="493" cm="1">
        <f t="array" ref="CH54">IF(43=43,IF(AM54="","",SUMPRODUCT(--ISNUMBER(SEARCH(" "&amp;DJ1971:DJ1987&amp;" ",CG54)))),"")</f>
        <v>0</v>
      </c>
      <c r="CI54" s="493" t="str">
        <f>IF(43=43,IF(AM54="","",IF(CF54&gt;0,"X",IF(CH54&gt;0,"?",""))),"")</f>
        <v/>
      </c>
      <c r="CJ54" s="493" cm="1">
        <f t="array" ref="CJ54">IF(43=43,IF(AM54="","",SUMPRODUCT(--ISNUMBER(SEARCH(" "&amp;DJ1988:DJ2001&amp;" ",AS54)))),"")</f>
        <v>0</v>
      </c>
      <c r="CK54" s="493" cm="1">
        <f t="array" ref="CK54">IF(43=43,IF(AM54="","",SUMPRODUCT(--ISNUMBER(SEARCH(" "&amp;DJ2002:DJ2016&amp;" ",AS54)))),"")</f>
        <v>0</v>
      </c>
      <c r="CL54" s="493" t="str">
        <f>IF(43=43,IF(AM54="","",IF((CJ54)-(0)&gt;0,"X",IF((CK54)-(0)&gt;0,"?",""))),"")</f>
        <v/>
      </c>
      <c r="CM54" s="493" cm="1">
        <f t="array" ref="CM54">IF(43=43,IF(AM54="","",SUMPRODUCT(--ISNUMBER(SEARCH(" "&amp;DJ2017:DJ2034&amp;" ",AS54)))),"")</f>
        <v>0</v>
      </c>
      <c r="CN54" s="493" cm="1">
        <f t="array" ref="CN54">IF(43=43,IF(AM54="","",SUMPRODUCT(--ISNUMBER(SEARCH(" "&amp;DJ2035:DJ2049&amp;" ",AS54)))),"")</f>
        <v>0</v>
      </c>
      <c r="CO54" s="493" t="str">
        <f>IF(43=43,IF(AM54="","",IF((CM54)-(0)&gt;0,"X",IF((CN54)-(0)&gt;0,"?",""))),"")</f>
        <v/>
      </c>
      <c r="CP54" s="493" cm="1">
        <f t="array" ref="CP54">IF(43=43,IF(AM54="","",SUMPRODUCT(--ISNUMBER(SEARCH(" "&amp;DJ2050:DJ2068&amp;" ",AS54)))),"")</f>
        <v>0</v>
      </c>
      <c r="CQ54" s="493" cm="1">
        <f t="array" ref="CQ54">IF(43=43,IF(AM54="","",SUMPRODUCT(--ISNUMBER(SEARCH(" "&amp;DJ2069:DJ2083&amp;" ",AS54)))),"")</f>
        <v>0</v>
      </c>
      <c r="CR54" s="493" t="str">
        <f>IF(43=43,IF(AM54="","",IF((CP54)-(0)&gt;0,"X",IF((CQ54)-(0)&gt;0,"?",""))),"")</f>
        <v/>
      </c>
      <c r="CS54" s="493" cm="1">
        <f t="array" ref="CS54">IF(43=43,IF(AM54="","",SUMPRODUCT(--ISNUMBER(SEARCH(" "&amp;DJ2084:DJ2104&amp;" ",AS54)))),"")</f>
        <v>0</v>
      </c>
      <c r="CT54" s="493" cm="1">
        <f t="array" ref="CT54">IF(43=43,IF(AM54="","",SUMPRODUCT(--ISNUMBER(SEARCH(" "&amp;DJ2105:DJ2144&amp;" ",SUBSTITUTE(SUBSTITUTE(AS54," "&amp;DJ1378&amp;" "," ")," "&amp;DJ1377&amp;" "," "))))+--ISNUMBER(SEARCH("poiré",AN54))),"")</f>
        <v>0</v>
      </c>
      <c r="CU54" s="493" t="str">
        <f>IF(43=43,IF(AM54="","",IF(OR(CS54&gt;0,ISNUMBER(SEARCH(" vinaigre de vin ",AS54)),ISNUMBER(SEARCH(" vinaigre au vin ",AS54))),"X",IF(CT54&gt;0,"?",""))),"")</f>
        <v/>
      </c>
      <c r="CV54" s="493" cm="1">
        <f t="array" ref="CV54">IF(43=43,IF(AM54="","",SUMPRODUCT(--ISNUMBER(SEARCH(" "&amp;DJ2145:DJ2157&amp;" ",AS54)))),"")</f>
        <v>0</v>
      </c>
      <c r="CW54" s="493" cm="1">
        <f t="array" ref="CW54">IF(43=43,IF(AM54="","",SUMPRODUCT(--ISNUMBER(SEARCH(" "&amp;DJ2158:DJ2163&amp;" ",AS54)))),"")</f>
        <v>0</v>
      </c>
      <c r="CX54" s="493" t="str">
        <f>IF(43=43,IF(AM54="","",IF((CV54)-(0)&gt;0,"X",IF((CW54)-(0)&gt;0,"?",""))),"")</f>
        <v/>
      </c>
      <c r="CY54" s="493" cm="1">
        <f t="array" ref="CY54">IF(43=43,IF(AM54="","",SUMPRODUCT(--ISNUMBER(SEARCH(" "&amp;DJ2164:DJ2263&amp;" ",DB54)))),"")</f>
        <v>0</v>
      </c>
      <c r="CZ54" s="493" cm="1">
        <f t="array" ref="CZ54">IF(43=43,IF(AM54="","",SUMPRODUCT(--ISNUMBER(SEARCH(" "&amp;DJ2264:DJ2363&amp;" ",DB54)))),"")</f>
        <v>0</v>
      </c>
      <c r="DA54" s="493" cm="1">
        <f t="array" ref="DA54">IF(43=43,IF(AM54="","",SUMPRODUCT(--ISNUMBER(SEARCH(" "&amp;DJ2364:DJ2406&amp;" ",DB54)))),"")</f>
        <v>0</v>
      </c>
      <c r="DB54" s="493" t="str">
        <f>IF(43=43,IF(AM54="","",SUBSTITUTE(SUBSTITUTE(SUBSTITUTE(SUBSTITUTE(SUBSTITUTE(SUBSTITUTE(SUBSTITUTE(SUBSTITUTE(SUBSTITUTE(SUBSTITUTE(SUBSTITUTE(SUBSTITUTE(SUBSTITUTE(SUBSTITUTE(SUBSTITUTE(SUBSTITUTE(AS54," "&amp;DJ2412&amp;" "," ")," "&amp;DJ2411&amp;" "," ")," "&amp;DJ2410&amp;" "," ")," "&amp;DJ2417&amp;" "," ")," "&amp;DJ2409&amp;" "," ")," "&amp;DJ2421&amp;" "," ")," "&amp;DJ2408&amp;" "," ")," "&amp;DJ2413&amp;" "," ")," "&amp;DJ2416&amp;" "," ")," "&amp;DJ2407&amp;" "," ")," "&amp;DJ2415&amp;" "," ")," "&amp;DJ2422&amp;" "," ")," "&amp;DJ2419&amp;" "," ")," "&amp;DJ2414&amp;" "," ")," "&amp;DJ2418&amp;" "," ")," "&amp;DJ2420&amp;" "," ")),"")</f>
        <v xml:space="preserve"> ► </v>
      </c>
      <c r="DC54" s="493" cm="1">
        <f t="array" ref="DC54">IF(43=43,IF(AM54="","",SUMPRODUCT(--ISNUMBER(SEARCH(" "&amp;DJ2423:DJ2427&amp;" ",DB54)))),"")</f>
        <v>0</v>
      </c>
      <c r="DD54" s="493" t="str">
        <f>IF(43=43,IF(AM54="","",IF(SUM(CY54:DA54)&gt;0,"X",IF(DC54&gt;0,"?",""))),"")</f>
        <v/>
      </c>
      <c r="DE54" s="494"/>
      <c r="DF54" s="496" t="s">
        <v>1217</v>
      </c>
      <c r="DG54" s="496" t="s">
        <v>1083</v>
      </c>
      <c r="DH54" s="496" t="s">
        <v>689</v>
      </c>
      <c r="DI54" s="496" t="s">
        <v>170</v>
      </c>
      <c r="DJ54" s="496" t="s">
        <v>170</v>
      </c>
      <c r="DK54" s="496" t="s">
        <v>1085</v>
      </c>
      <c r="DL54" s="496" t="s">
        <v>1086</v>
      </c>
      <c r="DM54" s="496" t="s">
        <v>1087</v>
      </c>
      <c r="DN54" s="497" t="s">
        <v>1088</v>
      </c>
      <c r="DP54" s="543">
        <v>1</v>
      </c>
    </row>
    <row r="55" spans="2:120" ht="30" customHeight="1">
      <c r="B55" s="663" t="str">
        <f t="shared" si="0"/>
        <v/>
      </c>
      <c r="C55" s="663" t="str">
        <f t="shared" si="1"/>
        <v/>
      </c>
      <c r="D55" s="663" t="str">
        <f>IF(UPPER(TRIM(N11))="X",C55,B55)</f>
        <v/>
      </c>
      <c r="E55" s="663" cm="1">
        <f t="array" ref="E55">IF(H54&lt;&gt;"",E54,IF(E54="","",IFERROR(MATCH(TRUE(),INDEX(INDEX(K:K,E54+1):K203&lt;&gt;"",0),0)+E54,"")))</f>
        <v>203</v>
      </c>
      <c r="F55" s="663" t="str" cm="1">
        <f t="array" ref="F55">IF(E55="","",IF(H54&lt;&gt;"",H54,INDEX(D:D,E55)))</f>
        <v>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55" s="663" t="str">
        <f t="shared" si="2"/>
        <v xml:space="preserve">Si vous récupérez du texte sur internet, collez-le d’abord dans la colonne 1️⃣ </v>
      </c>
      <c r="H55" s="673" t="str">
        <f t="shared" si="3"/>
        <v>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55" s="680" t="str">
        <f>IF(AND(F55&lt;&gt;"",N10&gt;0,M55&gt;N10),"Mot &gt; limite","")</f>
        <v/>
      </c>
      <c r="J55" s="674" t="str">
        <f>IF(K55="","",COUNTIF(K18:K55,"&lt;&gt;"))</f>
        <v/>
      </c>
      <c r="K55" s="675"/>
      <c r="L55" s="674" t="str">
        <f t="shared" si="4"/>
        <v/>
      </c>
      <c r="M55" s="643">
        <f>IF(OR(F55="",N10="",N10&lt;=0),"",IF(LEN(F55)&lt;=N10,LEN(F55),IFERROR(FIND("♦",SUBSTITUTE(LEFT(F55,N10)," ","♦",LEN(LEFT(F55,N10))-LEN(SUBSTITUTE(LEFT(F55,N10)," ","")))),FIND(" ",F55&amp;" ",N10+1)-1)))</f>
        <v>79</v>
      </c>
      <c r="N55" s="676">
        <f t="shared" si="5"/>
        <v>38</v>
      </c>
      <c r="O55" s="677" t="str">
        <f t="shared" si="6"/>
        <v xml:space="preserve">Si vous récupérez du texte sur internet, collez-le d’abord dans la colonne 1️⃣ </v>
      </c>
      <c r="P55" s="676">
        <f t="shared" si="7"/>
        <v>13</v>
      </c>
      <c r="Q55" s="676">
        <f t="shared" si="8"/>
        <v>79</v>
      </c>
      <c r="S55" s="509">
        <v>38</v>
      </c>
      <c r="T55" s="678" t="str">
        <f t="shared" si="10"/>
        <v xml:space="preserve">Si vous récupérez du texte sur internet, collez-le d’abord dans la colonne 1️⃣ </v>
      </c>
      <c r="U55" s="679" t="str">
        <f t="shared" si="11"/>
        <v>Si vous récupérez du texte sur internet, collez-le d’abord dans la colonne 1️⃣</v>
      </c>
      <c r="V55" s="512" t="str">
        <f>IF(44=44,IF(T55="","",IF(W55="X",""&amp;"Céréales contenant du gluten","")&amp;IF(X55="X",IF(COUNTIF(W55:W55,"X")&gt;0,", ","")&amp;"Crustacés","")&amp;IF(Y55="X",IF(COUNTIF(W55:X55,"X")&gt;0,", ","")&amp;"Œufs","")&amp;IF(Z55="X",IF(COUNTIF(W55:Y55,"X")&gt;0,", ","")&amp;"Poissons","")&amp;IF(AA55="X",IF(COUNTIF(W55:Z55,"X")&gt;0,", ","")&amp;"Arachides","")&amp;IF(AB55="X",IF(COUNTIF(W55:AA55,"X")&gt;0,", ","")&amp;"Soja","")&amp;IF(AC55="X",IF(COUNTIF(W55:AB55,"X")&gt;0,", ","")&amp;"Lait","")&amp;IF(AD55="X",IF(COUNTIF(W55:AC55,"X")&gt;0,", ","")&amp;"Fruits à coque","")&amp;IF(AE55="X",IF(COUNTIF(W55:AD55,"X")&gt;0,", ","")&amp;"Céleri","")&amp;IF(AF55="X",IF(COUNTIF(W55:AE55,"X")&gt;0,", ","")&amp;"Moutarde","")&amp;IF(AG55="X",IF(COUNTIF(W55:AF55,"X")&gt;0,", ","")&amp;"Sésame","")&amp;IF(AH55="X",IF(COUNTIF(W55:AG55,"X")&gt;0,", ","")&amp;"Sulfites","")&amp;IF(AI55="X",IF(COUNTIF(W55:AH55,"X")&gt;0,", ","")&amp;"Lupin","")&amp;IF(AJ55="X",IF(COUNTIF(W55:AI55,"X")&gt;0,", ","")&amp;"Mollusques","")),"")</f>
        <v/>
      </c>
      <c r="W55" s="513" t="str">
        <f>IF(44=44,IF(T55="","",AX55),"")</f>
        <v/>
      </c>
      <c r="X55" s="513" t="str">
        <f>IF(44=44,IF(T55="","",BA55),"")</f>
        <v/>
      </c>
      <c r="Y55" s="513" t="str">
        <f>IF(44=44,IF(T55="","",BE55),"")</f>
        <v/>
      </c>
      <c r="Z55" s="513" t="str">
        <f>IF(44=44,IF(T55="","",IF(ISNUMBER(SEARCH(" colin ",AS55)),"X",BR55)),"")</f>
        <v/>
      </c>
      <c r="AA55" s="513" t="str">
        <f>IF(44=44,IF(T55="","",BT55),"")</f>
        <v/>
      </c>
      <c r="AB55" s="513" t="str">
        <f>IF(44=44,IF(T55="","",BX55),"")</f>
        <v/>
      </c>
      <c r="AC55" s="513" t="str">
        <f>IF(44=44,IF(T55="","",CE55),"")</f>
        <v/>
      </c>
      <c r="AD55" s="513" t="str">
        <f>IF(44=44,IF(T55="","",CI55),"")</f>
        <v/>
      </c>
      <c r="AE55" s="513" t="str">
        <f>IF(44=44,IF(T55="","",CL55),"")</f>
        <v/>
      </c>
      <c r="AF55" s="513" t="str">
        <f>IF(44=44,IF(T55="","",CO55),"")</f>
        <v/>
      </c>
      <c r="AG55" s="513" t="str">
        <f>IF(44=44,IF(T55="","",CR55),"")</f>
        <v/>
      </c>
      <c r="AH55" s="513" t="str">
        <f>IF(44=44,IF(T55="","",CU55),"")</f>
        <v/>
      </c>
      <c r="AI55" s="513" t="str">
        <f>IF(44=44,IF(T55="","",CX55),"")</f>
        <v/>
      </c>
      <c r="AJ55" s="513" t="str">
        <f>IF(44=44,IF(T55="","",DD55),"")</f>
        <v/>
      </c>
      <c r="AK55" s="514" t="str">
        <f>IF(44=44,IF(T55="","",IF(W55="?",""&amp;"Céréales contenant du gluten","")&amp;IF(X55="?",IF(COUNTIF(W55:W55,"~?")&gt;0,", ","")&amp;"Crustacés","")&amp;IF(Y55="?",IF(COUNTIF(W55:X55,"~?")&gt;0,", ","")&amp;"Œufs","")&amp;IF(Z55="?",IF(COUNTIF(W55:Y55,"~?")&gt;0,", ","")&amp;"Poissons","")&amp;IF(AA55="?",IF(COUNTIF(W55:Z55,"~?")&gt;0,", ","")&amp;"Arachides","")&amp;IF(AB55="?",IF(COUNTIF(W55:AA55,"~?")&gt;0,", ","")&amp;"Soja","")&amp;IF(AC55="?",IF(COUNTIF(W55:AB55,"~?")&gt;0,", ","")&amp;"Lait","")&amp;IF(AD55="?",IF(COUNTIF(W55:AC55,"~?")&gt;0,", ","")&amp;"Fruits à coque","")&amp;IF(AE55="?",IF(COUNTIF(W55:AD55,"~?")&gt;0,", ","")&amp;"Céleri","")&amp;IF(AF55="?",IF(COUNTIF(W55:AE55,"~?")&gt;0,", ","")&amp;"Moutarde","")&amp;IF(AG55="?",IF(COUNTIF(W55:AF55,"~?")&gt;0,", ","")&amp;"Sésame","")&amp;IF(AH55="?",IF(COUNTIF(W55:AG55,"~?")&gt;0,", ","")&amp;"Sulfites","")&amp;IF(AI55="?",IF(COUNTIF(W55:AH55,"~?")&gt;0,", ","")&amp;"Lupin","")&amp;IF(AJ55="?",IF(COUNTIF(W55:AI55,"~?")&gt;0,", ","")&amp;"Mollusques","")),"")</f>
        <v/>
      </c>
      <c r="AM55" s="493" t="str">
        <f>IF(44=44,IF(T55="","",T55),"")</f>
        <v xml:space="preserve">Si vous récupérez du texte sur internet, collez-le d’abord dans la colonne 1️⃣ </v>
      </c>
      <c r="AN55" s="493" t="str">
        <f>IF(44=44,LOWER(CLEAN(SUBSTITUTE(SUBSTITUTE(SUBSTITUTE(SUBSTITUTE(AM55,CHAR(160)," ")," "," "),CHAR(10)," "),CHAR(13)," "))),"")</f>
        <v xml:space="preserve">si vous récupérez du texte sur internet, collez-le d’abord dans la colonne 1️⃣ </v>
      </c>
      <c r="AO55" s="493" t="str">
        <f>IF(44=44,SUBSTITUTE(SUBSTITUTE(SUBSTITUTE(SUBSTITUTE(SUBSTITUTE(SUBSTITUTE(SUBSTITUTE(SUBSTITUTE(SUBSTITUTE(SUBSTITUTE(SUBSTITUTE(SUBSTITUTE(AN55,"œ","oe"),"æ","ae"),"à","a"),"á","a"),"â","a"),"ä","a"),"ã","a"),"ç","c"),"è","e"),"é","e"),"ê","e"),"ë","e"),"")</f>
        <v xml:space="preserve">si vous recuperez du texte sur internet, collez-le d’abord dans la colonne 1️⃣ </v>
      </c>
      <c r="AP55" s="493" t="str">
        <f>IF(44=44,SUBSTITUTE(SUBSTITUTE(SUBSTITUTE(SUBSTITUTE(SUBSTITUTE(SUBSTITUTE(SUBSTITUTE(SUBSTITUTE(SUBSTITUTE(SUBSTITUTE(SUBSTITUTE(SUBSTITUTE(SUBSTITUTE(SUBSTITUTE(SUBSTITUTE(SUBSTITUTE(AO55,"ì","i"),"í","i"),"î","i"),"ï","i"),"ñ","n"),"ò","o"),"ó","o"),"ô","o"),"ö","o"),"õ","o"),"ù","u"),"ú","u"),"û","u"),"ü","u"),"ý","y"),"ÿ","y"),"")</f>
        <v xml:space="preserve">si vous recuperez du texte sur internet, collez-le d’abord dans la colonne 1️⃣ </v>
      </c>
      <c r="AQ55" s="493" t="str">
        <f>IF(44=44,SUBSTITUTE(SUBSTITUTE(SUBSTITUTE(SUBSTITUTE(SUBSTITUTE(SUBSTITUTE(SUBSTITUTE(SUBSTITUTE(SUBSTITUTE(SUBSTITUTE(SUBSTITUTE(SUBSTITUTE(SUBSTITUTE(SUBSTITUTE(AP55,"’"," "),"`"," "),"–"," "),"—"," "),"-"," "),"'"," "),"/"," "),"_"," "),","," "),"."," "),"("," "),")"," "),";"," "),":"," "),"")</f>
        <v xml:space="preserve">si vous recuperez du texte sur internet  collez le d abord dans la colonne 1️⃣ </v>
      </c>
      <c r="AR55" s="493" t="str">
        <f>IF(44=44,SUBSTITUTE(SUBSTITUTE(SUBSTITUTE(SUBSTITUTE(SUBSTITUTE(SUBSTITUTE(SUBSTITUTE(SUBSTITUTE(SUBSTITUTE(SUBSTITUTE(SUBSTITUTE(SUBSTITUTE(SUBSTITUTE(SUBSTITUTE(SUBSTITUTE(AQ55,"!"," "),"?"," "),"+"," "),"*"," "),"&amp;"," "),"["," "),"]"," "),"{"," "),"}"," "),"%"," "),"="," "),"\"," "),"|"," "),"&lt;"," "),"&gt;"," "),"")</f>
        <v xml:space="preserve">si vous recuperez du texte sur internet  collez le d abord dans la colonne 1️⃣ </v>
      </c>
      <c r="AS55" s="493" t="str">
        <f>IF(44=44," "&amp;TRIM(SUBSTITUTE(SUBSTITUTE(SUBSTITUTE(SUBSTITUTE(SUBSTITUTE(SUBSTITUTE(AR55,CHAR(34)," "),"  "," "),"  "," "),"  "," "),"  "," "),"  "," "))&amp;" ","")</f>
        <v xml:space="preserve"> si vous recuperez du texte sur internet collez le d abord dans la colonne 1️⃣ </v>
      </c>
      <c r="AT55" s="493" cm="1">
        <f t="array" ref="AT55">IF(44=44,IF(AM55="","",SUMPRODUCT(--ISNUMBER(SEARCH(" "&amp;DJ13:DJ112&amp;" ",AV55)))),"")</f>
        <v>0</v>
      </c>
      <c r="AU55" s="493" cm="1">
        <f t="array" ref="AU55">IF(44=44,IF(AM55="","",SUMPRODUCT(--ISNUMBER(SEARCH(" "&amp;DJ113:DJ162&amp;" ",AV55)))),"")</f>
        <v>0</v>
      </c>
      <c r="AV55" s="493" t="str">
        <f>IF(AM55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55,"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si vous recuperez du texte sur internet collez le d abord dans la colonne 1️⃣ </v>
      </c>
      <c r="AW55" s="493" cm="1">
        <f t="array" ref="AW55">IF(AM55="","",SUMPRODUCT(--ISNUMBER(SEARCH(" "&amp;DJ195:DJ216&amp;" ",AV55)))+--ISNUMBER(SEARCH(" "&amp;DJ2465&amp;" ",AV55)))</f>
        <v>0</v>
      </c>
      <c r="AX55" s="493" t="str" cm="1">
        <f t="array" ref="AX55">IF(44=44,IF(AM55="","",IF(SUM(AT55:AU55)+SUMPRODUCT(--ISNUMBER(SEARCH(" "&amp;DJ2429:DJ2431&amp;" ",AV55)))&gt;0,"X",IF(AW55&gt;0,"?",""))),"")</f>
        <v/>
      </c>
      <c r="AY55" s="493" cm="1">
        <f t="array" ref="AY55">IF(44=44,IF(AM55="","",SUMPRODUCT(--ISNUMBER(SEARCH(" "&amp;DJ217:DJ316&amp;" ",AS55)))),"")</f>
        <v>0</v>
      </c>
      <c r="AZ55" s="493" cm="1">
        <f t="array" ref="AZ55">IF(44=44,IF(AM55="","",SUMPRODUCT(--ISNUMBER(SEARCH(" "&amp;DJ317:DJ351&amp;" ",AS55)))),"")</f>
        <v>0</v>
      </c>
      <c r="BA55" s="493" t="str">
        <f>IF(44=44,IF(AM55="","",IF((SUM(AY55:AZ55))-(0)&gt;0,"X",IF((0)-(0)&gt;0,"?",""))),"")</f>
        <v/>
      </c>
      <c r="BB55" s="493" cm="1">
        <f t="array" ref="BB55">IF(44=44,IF(AM55="","",SUMPRODUCT(--ISNUMBER(SEARCH(" "&amp;DJ352:DJ409&amp;" ",AS55)))),"")</f>
        <v>0</v>
      </c>
      <c r="BC55" s="493" cm="1">
        <f t="array" ref="BC55">IF(44=44,IF(AM55="","",SUMPRODUCT(--ISNUMBER(SEARCH(" "&amp;DJ410:DJ437&amp;" ",BD55)))+SUMPRODUCT(--ISNUMBER(SEARCH(" "&amp;DJ2451:DJ2464&amp;" ",BD55)))),"")</f>
        <v>0</v>
      </c>
      <c r="BD55" s="493" t="str">
        <f>IF(44=44,IF(AM55="","",SUBSTITUTE(SUBSTITUTE(SUBSTITUTE(SUBSTITUTE(SUBSTITUTE(SUBSTITUTE(SUBSTITUTE(SUBSTITUTE(SUBSTITUTE(SUBSTITUTE(SUBSTITUTE(SUBSTITUTE(SUBSTITUTE(SUBSTITUTE(AS55," "&amp;DJ2466&amp;" "," ")," "&amp;DJ444&amp;" "," ")," "&amp;DJ442&amp;" "," ")," "&amp;DJ2449&amp;" "," ")," "&amp;DJ2450&amp;" "," ")," "&amp;DJ439&amp;" "," ")," "&amp;DJ443&amp;" "," ")," "&amp;DJ445&amp;" "," ")," "&amp;DJ440&amp;" "," ")," "&amp;DJ438&amp;" "," ")," "&amp;DJ1378&amp;" "," ")," "&amp;DJ446&amp;" "," ")," "&amp;DJ1377&amp;" "," ")," "&amp;DJ441&amp;" "," ")),"")</f>
        <v xml:space="preserve"> si vous recuperez du texte sur internet collez le d abord dans la colonne 1️⃣ </v>
      </c>
      <c r="BE55" s="493" t="str">
        <f>IF(44=44,IF(AM55="","",IF(BB55&gt;0,"X",IF(BC55&gt;0,"?",""))),"")</f>
        <v/>
      </c>
      <c r="BF55" s="493" cm="1">
        <f t="array" ref="BF55">IF(44=44,IF(AM55="","",SUMPRODUCT(--ISNUMBER(SEARCH(" "&amp;DJ447:DJ546&amp;" ",BP55)))),"")</f>
        <v>0</v>
      </c>
      <c r="BG55" s="493" cm="1">
        <f t="array" ref="BG55">IF(44=44,IF(AM55="","",SUMPRODUCT(--ISNUMBER(SEARCH(" "&amp;DJ547:DJ646&amp;" ",BP55)))),"")</f>
        <v>0</v>
      </c>
      <c r="BH55" s="493" cm="1">
        <f t="array" ref="BH55">IF(44=44,IF(AM55="","",SUMPRODUCT(--ISNUMBER(SEARCH(" "&amp;DJ647:DJ746&amp;" ",BP55)))),"")</f>
        <v>0</v>
      </c>
      <c r="BI55" s="493" cm="1">
        <f t="array" ref="BI55">IF(44=44,IF(AM55="","",SUMPRODUCT(--ISNUMBER(SEARCH(" "&amp;DJ747:DJ846&amp;" ",BP55)))),"")</f>
        <v>0</v>
      </c>
      <c r="BJ55" s="493" cm="1">
        <f t="array" ref="BJ55">IF(44=44,IF(AM55="","",SUMPRODUCT(--ISNUMBER(SEARCH(" "&amp;DJ847:DJ946&amp;" ",BP55)))),"")</f>
        <v>0</v>
      </c>
      <c r="BK55" s="493" cm="1">
        <f t="array" ref="BK55">IF(44=44,IF(AM55="","",SUMPRODUCT(--ISNUMBER(SEARCH(" "&amp;DJ947:DJ1046&amp;" ",BP55)))),"")</f>
        <v>0</v>
      </c>
      <c r="BL55" s="493" cm="1">
        <f t="array" ref="BL55">IF(44=44,IF(AM55="","",SUMPRODUCT(--ISNUMBER(SEARCH(" "&amp;DJ1047:DJ1146&amp;" ",BP55)))),"")</f>
        <v>0</v>
      </c>
      <c r="BM55" s="493" cm="1">
        <f t="array" ref="BM55">IF(44=44,IF(AM55="","",SUMPRODUCT(--ISNUMBER(SEARCH(" "&amp;DJ1147:DJ1246&amp;" ",BP55)))),"")</f>
        <v>0</v>
      </c>
      <c r="BN55" s="493" cm="1">
        <f t="array" ref="BN55">IF(44=44,IF(AM55="","",SUMPRODUCT(--ISNUMBER(SEARCH(" "&amp;DJ1247:DJ1346&amp;" ",BP55)))),"")</f>
        <v>0</v>
      </c>
      <c r="BO55" s="493" cm="1">
        <f t="array" ref="BO55">IF(44=44,IF(AM55="","",SUMPRODUCT(--ISNUMBER(SEARCH(" "&amp;DJ1347:DJ1374&amp;" ",BP55)))),"")</f>
        <v>0</v>
      </c>
      <c r="BP55" s="493" t="str">
        <f>IF(44=44,IF(AM55="","",SUBSTITUTE(SUBSTITUTE(SUBSTITUTE(SUBSTITUTE(SUBSTITUTE(SUBSTITUTE(SUBSTITUTE(SUBSTITUTE(SUBSTITUTE(AS55," "&amp;DJ1376&amp;" "," ")," "&amp;DJ1375&amp;" "," ")," "&amp;DJ1381&amp;" "," ")," "&amp;DJ1382&amp;" "," ")," "&amp;DJ1378&amp;" "," ")," "&amp;DJ1380&amp;" "," ")," "&amp;DJ1377&amp;" "," ")," "&amp;DJ1379&amp;" "," ")," "&amp;DJ1383&amp;" "," ")),"")</f>
        <v xml:space="preserve"> si vous recuperez du texte sur internet collez le d abord dans la colonne 1️⃣ </v>
      </c>
      <c r="BQ55" s="493" cm="1">
        <f t="array" ref="BQ55">IF(44=44,IF(AM55="","",SUMPRODUCT(--ISNUMBER(SEARCH(" "&amp;DJ1384:DJ1394&amp;" ",BP55)))),"")</f>
        <v>0</v>
      </c>
      <c r="BR55" s="493" t="str" cm="1">
        <f t="array" ref="BR55">IF(44=44,IF(AM55="","",IF(SUM(BF55:BO55)+SUMPRODUCT(--ISNUMBER(SEARCH(" "&amp;DJ2432:DJ2433&amp;" ",BP55)))&gt;0,"X",IF(BQ55&gt;0,"?",""))),"")</f>
        <v/>
      </c>
      <c r="BS55" s="493" cm="1">
        <f t="array" ref="BS55">IF(44=44,IF(AM55="","",SUMPRODUCT(--ISNUMBER(SEARCH(" "&amp;DJ1395:DJ1415&amp;" ",AS55)))),"")</f>
        <v>0</v>
      </c>
      <c r="BT55" s="493" t="str">
        <f>IF(44=44,IF(AM55="","",IF((BS55)-(0)&gt;0,"X",IF((0)-(0)&gt;0,"?",""))),"")</f>
        <v/>
      </c>
      <c r="BU55" s="493" cm="1">
        <f t="array" ref="BU55">IF(44=44,IF(AM55="","",SUMPRODUCT(--ISNUMBER(SEARCH(" "&amp;DJ1416:DJ1453&amp;" ",BV55)))),"")</f>
        <v>0</v>
      </c>
      <c r="BV55" s="493" t="str">
        <f>IF(44=44,IF(AM55="","",SUBSTITUTE(SUBSTITUTE(AS55," "&amp;DJ1454&amp;" "," ")," "&amp;DJ1455&amp;" "," ")),"")</f>
        <v xml:space="preserve"> si vous recuperez du texte sur internet collez le d abord dans la colonne 1️⃣ </v>
      </c>
      <c r="BW55" s="493" cm="1">
        <f t="array" ref="BW55">IF(44=44,IF(AM55="","",SUMPRODUCT(--ISNUMBER(SEARCH(" "&amp;DJ1456:DJ1466&amp;" ",BV55)))),"")</f>
        <v>0</v>
      </c>
      <c r="BX55" s="493" t="str">
        <f>IF(44=44,IF(AM55="","",IF(BU55&gt;0,"X",IF(BW55&gt;0,"?",""))),"")</f>
        <v/>
      </c>
      <c r="BY55" s="493" cm="1">
        <f t="array" ref="BY55">IF(44=44,IF(AM55="","",SUMPRODUCT(--ISNUMBER(SEARCH(" "&amp;DJ1467:DJ1566&amp;" ",CB55)))),"")</f>
        <v>0</v>
      </c>
      <c r="BZ55" s="493" cm="1">
        <f t="array" ref="BZ55">IF(44=44,IF(AM55="","",SUMPRODUCT(--ISNUMBER(SEARCH(" "&amp;DJ1567:DJ1666&amp;" ",CB55)))),"")</f>
        <v>0</v>
      </c>
      <c r="CA55" s="493" cm="1">
        <f t="array" ref="CA55">IF(44=44,IF(AM55="","",SUMPRODUCT(--ISNUMBER(SEARCH(" "&amp;DJ1667:DJ1750&amp;" ",CB55)))),"")</f>
        <v>0</v>
      </c>
      <c r="CB55" s="493" t="str">
        <f>IF(44=44,IF(AM55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55,"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si vous recuperez du texte sur internet collez le d abord dans la colonne 1️⃣ </v>
      </c>
      <c r="CC55" s="493" cm="1">
        <f t="array" ref="CC55">IF(44=44,IF(AM55="","",SUMPRODUCT(--ISNUMBER(SEARCH(" "&amp;DJ1801:DJ1880&amp;" ",CD55)))+SUMPRODUCT(--ISNUMBER(SEARCH(" "&amp;DJ2451:DJ2464&amp;" ",CD55)))),"")</f>
        <v>0</v>
      </c>
      <c r="CD55" s="493" t="str">
        <f>IF(44=44,IF(AM55="","",SUBSTITUTE(SUBSTITUTE(SUBSTITUTE(SUBSTITUTE(SUBSTITUTE(SUBSTITUTE(SUBSTITUTE(SUBSTITUTE(SUBSTITUTE(SUBSTITUTE(SUBSTITUTE(SUBSTITUTE(SUBSTITUTE(CB55," "&amp;DJ1887&amp;" "," ")," "&amp;DJ1885&amp;" "," ")," "&amp;DJ2449&amp;" "," ")," "&amp;DJ2450&amp;" "," ")," "&amp;DJ1882&amp;" "," ")," "&amp;DJ1886&amp;" "," ")," "&amp;DJ1888&amp;" "," ")," "&amp;DJ1883&amp;" "," ")," "&amp;DJ1881&amp;" "," ")," "&amp;DJ1378&amp;" "," ")," "&amp;DJ1889&amp;" "," ")," "&amp;DJ1377&amp;" "," ")," "&amp;DJ1884&amp;" "," ")),"")</f>
        <v xml:space="preserve"> si vous recuperez du texte sur internet collez le d abord dans la colonne 1️⃣ </v>
      </c>
      <c r="CE55" s="493" t="str" cm="1">
        <f t="array" ref="CE55">IF(44=44,IF(AM55="","",IF(SUM(BY55:CA55)+SUMPRODUCT(--ISNUMBER(SEARCH(" "&amp;DJ2434:DJ2435&amp;" ",CB55)))&gt;0,"X",IF(CC55&gt;0,"?",""))),"")</f>
        <v/>
      </c>
      <c r="CF55" s="493" cm="1">
        <f t="array" ref="CF55">IF(44=44,IF(AM55="","",SUMPRODUCT(--ISNUMBER(SEARCH(" "&amp;DJ1890:DJ1947&amp;" ",CG55)))),"")</f>
        <v>0</v>
      </c>
      <c r="CG55" s="493" t="str">
        <f>IF(44=44,IF(AM55="","",SUBSTITUTE(SUBSTITUTE(SUBSTITUTE(SUBSTITUTE(SUBSTITUTE(SUBSTITUTE(SUBSTITUTE(SUBSTITUTE(SUBSTITUTE(SUBSTITUTE(SUBSTITUTE(SUBSTITUTE(SUBSTITUTE(SUBSTITUTE(SUBSTITUTE(SUBSTITUTE(SUBSTITUTE(SUBSTITUTE(SUBSTITUTE(SUBSTITUTE(SUBSTITUTE(SUBSTITUTE(SUBSTITUTE(AS55,"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si vous recuperez du texte sur internet collez le d abord dans la colonne 1️⃣ </v>
      </c>
      <c r="CH55" s="493" cm="1">
        <f t="array" ref="CH55">IF(44=44,IF(AM55="","",SUMPRODUCT(--ISNUMBER(SEARCH(" "&amp;DJ1971:DJ1987&amp;" ",CG55)))),"")</f>
        <v>0</v>
      </c>
      <c r="CI55" s="493" t="str">
        <f>IF(44=44,IF(AM55="","",IF(CF55&gt;0,"X",IF(CH55&gt;0,"?",""))),"")</f>
        <v/>
      </c>
      <c r="CJ55" s="493" cm="1">
        <f t="array" ref="CJ55">IF(44=44,IF(AM55="","",SUMPRODUCT(--ISNUMBER(SEARCH(" "&amp;DJ1988:DJ2001&amp;" ",AS55)))),"")</f>
        <v>0</v>
      </c>
      <c r="CK55" s="493" cm="1">
        <f t="array" ref="CK55">IF(44=44,IF(AM55="","",SUMPRODUCT(--ISNUMBER(SEARCH(" "&amp;DJ2002:DJ2016&amp;" ",AS55)))),"")</f>
        <v>0</v>
      </c>
      <c r="CL55" s="493" t="str">
        <f>IF(44=44,IF(AM55="","",IF((CJ55)-(0)&gt;0,"X",IF((CK55)-(0)&gt;0,"?",""))),"")</f>
        <v/>
      </c>
      <c r="CM55" s="493" cm="1">
        <f t="array" ref="CM55">IF(44=44,IF(AM55="","",SUMPRODUCT(--ISNUMBER(SEARCH(" "&amp;DJ2017:DJ2034&amp;" ",AS55)))),"")</f>
        <v>0</v>
      </c>
      <c r="CN55" s="493" cm="1">
        <f t="array" ref="CN55">IF(44=44,IF(AM55="","",SUMPRODUCT(--ISNUMBER(SEARCH(" "&amp;DJ2035:DJ2049&amp;" ",AS55)))),"")</f>
        <v>0</v>
      </c>
      <c r="CO55" s="493" t="str">
        <f>IF(44=44,IF(AM55="","",IF((CM55)-(0)&gt;0,"X",IF((CN55)-(0)&gt;0,"?",""))),"")</f>
        <v/>
      </c>
      <c r="CP55" s="493" cm="1">
        <f t="array" ref="CP55">IF(44=44,IF(AM55="","",SUMPRODUCT(--ISNUMBER(SEARCH(" "&amp;DJ2050:DJ2068&amp;" ",AS55)))),"")</f>
        <v>0</v>
      </c>
      <c r="CQ55" s="493" cm="1">
        <f t="array" ref="CQ55">IF(44=44,IF(AM55="","",SUMPRODUCT(--ISNUMBER(SEARCH(" "&amp;DJ2069:DJ2083&amp;" ",AS55)))),"")</f>
        <v>0</v>
      </c>
      <c r="CR55" s="493" t="str">
        <f>IF(44=44,IF(AM55="","",IF((CP55)-(0)&gt;0,"X",IF((CQ55)-(0)&gt;0,"?",""))),"")</f>
        <v/>
      </c>
      <c r="CS55" s="493" cm="1">
        <f t="array" ref="CS55">IF(44=44,IF(AM55="","",SUMPRODUCT(--ISNUMBER(SEARCH(" "&amp;DJ2084:DJ2104&amp;" ",AS55)))),"")</f>
        <v>0</v>
      </c>
      <c r="CT55" s="493" cm="1">
        <f t="array" ref="CT55">IF(44=44,IF(AM55="","",SUMPRODUCT(--ISNUMBER(SEARCH(" "&amp;DJ2105:DJ2144&amp;" ",SUBSTITUTE(SUBSTITUTE(AS55," "&amp;DJ1378&amp;" "," ")," "&amp;DJ1377&amp;" "," "))))+--ISNUMBER(SEARCH("poiré",AN55))),"")</f>
        <v>0</v>
      </c>
      <c r="CU55" s="493" t="str">
        <f>IF(44=44,IF(AM55="","",IF(OR(CS55&gt;0,ISNUMBER(SEARCH(" vinaigre de vin ",AS55)),ISNUMBER(SEARCH(" vinaigre au vin ",AS55))),"X",IF(CT55&gt;0,"?",""))),"")</f>
        <v/>
      </c>
      <c r="CV55" s="493" cm="1">
        <f t="array" ref="CV55">IF(44=44,IF(AM55="","",SUMPRODUCT(--ISNUMBER(SEARCH(" "&amp;DJ2145:DJ2157&amp;" ",AS55)))),"")</f>
        <v>0</v>
      </c>
      <c r="CW55" s="493" cm="1">
        <f t="array" ref="CW55">IF(44=44,IF(AM55="","",SUMPRODUCT(--ISNUMBER(SEARCH(" "&amp;DJ2158:DJ2163&amp;" ",AS55)))),"")</f>
        <v>0</v>
      </c>
      <c r="CX55" s="493" t="str">
        <f>IF(44=44,IF(AM55="","",IF((CV55)-(0)&gt;0,"X",IF((CW55)-(0)&gt;0,"?",""))),"")</f>
        <v/>
      </c>
      <c r="CY55" s="493" cm="1">
        <f t="array" ref="CY55">IF(44=44,IF(AM55="","",SUMPRODUCT(--ISNUMBER(SEARCH(" "&amp;DJ2164:DJ2263&amp;" ",DB55)))),"")</f>
        <v>0</v>
      </c>
      <c r="CZ55" s="493" cm="1">
        <f t="array" ref="CZ55">IF(44=44,IF(AM55="","",SUMPRODUCT(--ISNUMBER(SEARCH(" "&amp;DJ2264:DJ2363&amp;" ",DB55)))),"")</f>
        <v>0</v>
      </c>
      <c r="DA55" s="493" cm="1">
        <f t="array" ref="DA55">IF(44=44,IF(AM55="","",SUMPRODUCT(--ISNUMBER(SEARCH(" "&amp;DJ2364:DJ2406&amp;" ",DB55)))),"")</f>
        <v>0</v>
      </c>
      <c r="DB55" s="493" t="str">
        <f>IF(44=44,IF(AM55="","",SUBSTITUTE(SUBSTITUTE(SUBSTITUTE(SUBSTITUTE(SUBSTITUTE(SUBSTITUTE(SUBSTITUTE(SUBSTITUTE(SUBSTITUTE(SUBSTITUTE(SUBSTITUTE(SUBSTITUTE(SUBSTITUTE(SUBSTITUTE(SUBSTITUTE(SUBSTITUTE(AS55," "&amp;DJ2412&amp;" "," ")," "&amp;DJ2411&amp;" "," ")," "&amp;DJ2410&amp;" "," ")," "&amp;DJ2417&amp;" "," ")," "&amp;DJ2409&amp;" "," ")," "&amp;DJ2421&amp;" "," ")," "&amp;DJ2408&amp;" "," ")," "&amp;DJ2413&amp;" "," ")," "&amp;DJ2416&amp;" "," ")," "&amp;DJ2407&amp;" "," ")," "&amp;DJ2415&amp;" "," ")," "&amp;DJ2422&amp;" "," ")," "&amp;DJ2419&amp;" "," ")," "&amp;DJ2414&amp;" "," ")," "&amp;DJ2418&amp;" "," ")," "&amp;DJ2420&amp;" "," ")),"")</f>
        <v xml:space="preserve"> si vous recuperez du texte sur internet collez le d abord dans la colonne 1️⃣ </v>
      </c>
      <c r="DC55" s="493" cm="1">
        <f t="array" ref="DC55">IF(44=44,IF(AM55="","",SUMPRODUCT(--ISNUMBER(SEARCH(" "&amp;DJ2423:DJ2427&amp;" ",DB55)))),"")</f>
        <v>0</v>
      </c>
      <c r="DD55" s="493" t="str">
        <f>IF(44=44,IF(AM55="","",IF(SUM(CY55:DA55)&gt;0,"X",IF(DC55&gt;0,"?",""))),"")</f>
        <v/>
      </c>
      <c r="DE55" s="494"/>
      <c r="DF55" s="496" t="s">
        <v>1218</v>
      </c>
      <c r="DG55" s="496" t="s">
        <v>1083</v>
      </c>
      <c r="DH55" s="496" t="s">
        <v>689</v>
      </c>
      <c r="DI55" s="496" t="s">
        <v>5880</v>
      </c>
      <c r="DJ55" s="496" t="s">
        <v>5881</v>
      </c>
      <c r="DK55" s="496" t="s">
        <v>1085</v>
      </c>
      <c r="DL55" s="496" t="s">
        <v>5882</v>
      </c>
      <c r="DM55" s="496" t="s">
        <v>1087</v>
      </c>
      <c r="DN55" s="497" t="s">
        <v>1088</v>
      </c>
      <c r="DP55" s="543">
        <v>1</v>
      </c>
    </row>
    <row r="56" spans="2:120" ht="30" customHeight="1">
      <c r="B56" s="663" t="str">
        <f t="shared" si="0"/>
        <v/>
      </c>
      <c r="C56" s="663" t="str">
        <f t="shared" si="1"/>
        <v/>
      </c>
      <c r="D56" s="663" t="str">
        <f>IF(UPPER(TRIM(N11))="X",C56,B56)</f>
        <v/>
      </c>
      <c r="E56" s="663" cm="1">
        <f t="array" ref="E56">IF(H55&lt;&gt;"",E55,IF(E55="","",IFERROR(MATCH(TRUE(),INDEX(INDEX(K:K,E55+1):K203&lt;&gt;"",0),0)+E55,"")))</f>
        <v>203</v>
      </c>
      <c r="F56" s="663" t="str" cm="1">
        <f t="array" ref="F56">IF(E56="","",IF(H55&lt;&gt;"",H55,INDEX(D:D,E56)))</f>
        <v>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56" s="663" t="str">
        <f t="shared" si="2"/>
        <v xml:space="preserve">pour le “nettoyer” : cela supprime les espaces insécables, tabulations </v>
      </c>
      <c r="H56" s="673" t="str">
        <f t="shared" si="3"/>
        <v>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56" s="680" t="str">
        <f>IF(AND(F56&lt;&gt;"",N10&gt;0,M56&gt;N10),"Mot &gt; limite","")</f>
        <v/>
      </c>
      <c r="J56" s="674" t="str">
        <f>IF(K56="","",COUNTIF(K18:K56,"&lt;&gt;"))</f>
        <v/>
      </c>
      <c r="K56" s="675"/>
      <c r="L56" s="674" t="str">
        <f t="shared" si="4"/>
        <v/>
      </c>
      <c r="M56" s="643">
        <f>IF(OR(F56="",N10="",N10&lt;=0),"",IF(LEN(F56)&lt;=N10,LEN(F56),IFERROR(FIND("♦",SUBSTITUTE(LEFT(F56,N10)," ","♦",LEN(LEFT(F56,N10))-LEN(SUBSTITUTE(LEFT(F56,N10)," ","")))),FIND(" ",F56&amp;" ",N10+1)-1)))</f>
        <v>71</v>
      </c>
      <c r="N56" s="676">
        <f t="shared" si="5"/>
        <v>39</v>
      </c>
      <c r="O56" s="677" t="str">
        <f t="shared" si="6"/>
        <v xml:space="preserve">pour le “nettoyer” : cela supprime les espaces insécables, tabulations </v>
      </c>
      <c r="P56" s="676">
        <f t="shared" si="7"/>
        <v>10</v>
      </c>
      <c r="Q56" s="676">
        <f t="shared" si="8"/>
        <v>71</v>
      </c>
      <c r="S56" s="509">
        <v>39</v>
      </c>
      <c r="T56" s="678" t="str">
        <f t="shared" si="10"/>
        <v xml:space="preserve">pour le “nettoyer” : cela supprime les espaces insécables, tabulations </v>
      </c>
      <c r="U56" s="679" t="str">
        <f t="shared" si="11"/>
        <v>pour le “nettoyer” : cela supprime les espaces insécables, tabulations</v>
      </c>
      <c r="V56" s="512" t="str">
        <f>IF(45=45,IF(T56="","",IF(W56="X",""&amp;"Céréales contenant du gluten","")&amp;IF(X56="X",IF(COUNTIF(W56:W56,"X")&gt;0,", ","")&amp;"Crustacés","")&amp;IF(Y56="X",IF(COUNTIF(W56:X56,"X")&gt;0,", ","")&amp;"Œufs","")&amp;IF(Z56="X",IF(COUNTIF(W56:Y56,"X")&gt;0,", ","")&amp;"Poissons","")&amp;IF(AA56="X",IF(COUNTIF(W56:Z56,"X")&gt;0,", ","")&amp;"Arachides","")&amp;IF(AB56="X",IF(COUNTIF(W56:AA56,"X")&gt;0,", ","")&amp;"Soja","")&amp;IF(AC56="X",IF(COUNTIF(W56:AB56,"X")&gt;0,", ","")&amp;"Lait","")&amp;IF(AD56="X",IF(COUNTIF(W56:AC56,"X")&gt;0,", ","")&amp;"Fruits à coque","")&amp;IF(AE56="X",IF(COUNTIF(W56:AD56,"X")&gt;0,", ","")&amp;"Céleri","")&amp;IF(AF56="X",IF(COUNTIF(W56:AE56,"X")&gt;0,", ","")&amp;"Moutarde","")&amp;IF(AG56="X",IF(COUNTIF(W56:AF56,"X")&gt;0,", ","")&amp;"Sésame","")&amp;IF(AH56="X",IF(COUNTIF(W56:AG56,"X")&gt;0,", ","")&amp;"Sulfites","")&amp;IF(AI56="X",IF(COUNTIF(W56:AH56,"X")&gt;0,", ","")&amp;"Lupin","")&amp;IF(AJ56="X",IF(COUNTIF(W56:AI56,"X")&gt;0,", ","")&amp;"Mollusques","")),"")</f>
        <v/>
      </c>
      <c r="W56" s="513" t="str">
        <f>IF(45=45,IF(T56="","",AX56),"")</f>
        <v/>
      </c>
      <c r="X56" s="513" t="str">
        <f>IF(45=45,IF(T56="","",BA56),"")</f>
        <v/>
      </c>
      <c r="Y56" s="513" t="str">
        <f>IF(45=45,IF(T56="","",BE56),"")</f>
        <v/>
      </c>
      <c r="Z56" s="513" t="str">
        <f>IF(45=45,IF(T56="","",IF(ISNUMBER(SEARCH(" colin ",AS56)),"X",BR56)),"")</f>
        <v/>
      </c>
      <c r="AA56" s="513" t="str">
        <f>IF(45=45,IF(T56="","",BT56),"")</f>
        <v/>
      </c>
      <c r="AB56" s="513" t="str">
        <f>IF(45=45,IF(T56="","",BX56),"")</f>
        <v/>
      </c>
      <c r="AC56" s="513" t="str">
        <f>IF(45=45,IF(T56="","",CE56),"")</f>
        <v/>
      </c>
      <c r="AD56" s="513" t="str">
        <f>IF(45=45,IF(T56="","",CI56),"")</f>
        <v/>
      </c>
      <c r="AE56" s="513" t="str">
        <f>IF(45=45,IF(T56="","",CL56),"")</f>
        <v/>
      </c>
      <c r="AF56" s="513" t="str">
        <f>IF(45=45,IF(T56="","",CO56),"")</f>
        <v/>
      </c>
      <c r="AG56" s="513" t="str">
        <f>IF(45=45,IF(T56="","",CR56),"")</f>
        <v/>
      </c>
      <c r="AH56" s="513" t="str">
        <f>IF(45=45,IF(T56="","",CU56),"")</f>
        <v/>
      </c>
      <c r="AI56" s="513" t="str">
        <f>IF(45=45,IF(T56="","",CX56),"")</f>
        <v/>
      </c>
      <c r="AJ56" s="513" t="str">
        <f>IF(45=45,IF(T56="","",DD56),"")</f>
        <v/>
      </c>
      <c r="AK56" s="514" t="str">
        <f>IF(45=45,IF(T56="","",IF(W56="?",""&amp;"Céréales contenant du gluten","")&amp;IF(X56="?",IF(COUNTIF(W56:W56,"~?")&gt;0,", ","")&amp;"Crustacés","")&amp;IF(Y56="?",IF(COUNTIF(W56:X56,"~?")&gt;0,", ","")&amp;"Œufs","")&amp;IF(Z56="?",IF(COUNTIF(W56:Y56,"~?")&gt;0,", ","")&amp;"Poissons","")&amp;IF(AA56="?",IF(COUNTIF(W56:Z56,"~?")&gt;0,", ","")&amp;"Arachides","")&amp;IF(AB56="?",IF(COUNTIF(W56:AA56,"~?")&gt;0,", ","")&amp;"Soja","")&amp;IF(AC56="?",IF(COUNTIF(W56:AB56,"~?")&gt;0,", ","")&amp;"Lait","")&amp;IF(AD56="?",IF(COUNTIF(W56:AC56,"~?")&gt;0,", ","")&amp;"Fruits à coque","")&amp;IF(AE56="?",IF(COUNTIF(W56:AD56,"~?")&gt;0,", ","")&amp;"Céleri","")&amp;IF(AF56="?",IF(COUNTIF(W56:AE56,"~?")&gt;0,", ","")&amp;"Moutarde","")&amp;IF(AG56="?",IF(COUNTIF(W56:AF56,"~?")&gt;0,", ","")&amp;"Sésame","")&amp;IF(AH56="?",IF(COUNTIF(W56:AG56,"~?")&gt;0,", ","")&amp;"Sulfites","")&amp;IF(AI56="?",IF(COUNTIF(W56:AH56,"~?")&gt;0,", ","")&amp;"Lupin","")&amp;IF(AJ56="?",IF(COUNTIF(W56:AI56,"~?")&gt;0,", ","")&amp;"Mollusques","")),"")</f>
        <v/>
      </c>
      <c r="AM56" s="493" t="str">
        <f>IF(45=45,IF(T56="","",T56),"")</f>
        <v xml:space="preserve">pour le “nettoyer” : cela supprime les espaces insécables, tabulations </v>
      </c>
      <c r="AN56" s="493" t="str">
        <f>IF(45=45,LOWER(CLEAN(SUBSTITUTE(SUBSTITUTE(SUBSTITUTE(SUBSTITUTE(AM56,CHAR(160)," ")," "," "),CHAR(10)," "),CHAR(13)," "))),"")</f>
        <v xml:space="preserve">pour le “nettoyer” : cela supprime les espaces insécables, tabulations </v>
      </c>
      <c r="AO56" s="493" t="str">
        <f>IF(45=45,SUBSTITUTE(SUBSTITUTE(SUBSTITUTE(SUBSTITUTE(SUBSTITUTE(SUBSTITUTE(SUBSTITUTE(SUBSTITUTE(SUBSTITUTE(SUBSTITUTE(SUBSTITUTE(SUBSTITUTE(AN56,"œ","oe"),"æ","ae"),"à","a"),"á","a"),"â","a"),"ä","a"),"ã","a"),"ç","c"),"è","e"),"é","e"),"ê","e"),"ë","e"),"")</f>
        <v xml:space="preserve">pour le “nettoyer” : cela supprime les espaces insecables, tabulations </v>
      </c>
      <c r="AP56" s="493" t="str">
        <f>IF(45=45,SUBSTITUTE(SUBSTITUTE(SUBSTITUTE(SUBSTITUTE(SUBSTITUTE(SUBSTITUTE(SUBSTITUTE(SUBSTITUTE(SUBSTITUTE(SUBSTITUTE(SUBSTITUTE(SUBSTITUTE(SUBSTITUTE(SUBSTITUTE(SUBSTITUTE(SUBSTITUTE(AO56,"ì","i"),"í","i"),"î","i"),"ï","i"),"ñ","n"),"ò","o"),"ó","o"),"ô","o"),"ö","o"),"õ","o"),"ù","u"),"ú","u"),"û","u"),"ü","u"),"ý","y"),"ÿ","y"),"")</f>
        <v xml:space="preserve">pour le “nettoyer” : cela supprime les espaces insecables, tabulations </v>
      </c>
      <c r="AQ56" s="493" t="str">
        <f>IF(45=45,SUBSTITUTE(SUBSTITUTE(SUBSTITUTE(SUBSTITUTE(SUBSTITUTE(SUBSTITUTE(SUBSTITUTE(SUBSTITUTE(SUBSTITUTE(SUBSTITUTE(SUBSTITUTE(SUBSTITUTE(SUBSTITUTE(SUBSTITUTE(AP56,"’"," "),"`"," "),"–"," "),"—"," "),"-"," "),"'"," "),"/"," "),"_"," "),","," "),"."," "),"("," "),")"," "),";"," "),":"," "),"")</f>
        <v xml:space="preserve">pour le “nettoyer”   cela supprime les espaces insecables  tabulations </v>
      </c>
      <c r="AR56" s="493" t="str">
        <f>IF(45=45,SUBSTITUTE(SUBSTITUTE(SUBSTITUTE(SUBSTITUTE(SUBSTITUTE(SUBSTITUTE(SUBSTITUTE(SUBSTITUTE(SUBSTITUTE(SUBSTITUTE(SUBSTITUTE(SUBSTITUTE(SUBSTITUTE(SUBSTITUTE(SUBSTITUTE(AQ56,"!"," "),"?"," "),"+"," "),"*"," "),"&amp;"," "),"["," "),"]"," "),"{"," "),"}"," "),"%"," "),"="," "),"\"," "),"|"," "),"&lt;"," "),"&gt;"," "),"")</f>
        <v xml:space="preserve">pour le “nettoyer”   cela supprime les espaces insecables  tabulations </v>
      </c>
      <c r="AS56" s="493" t="str">
        <f>IF(45=45," "&amp;TRIM(SUBSTITUTE(SUBSTITUTE(SUBSTITUTE(SUBSTITUTE(SUBSTITUTE(SUBSTITUTE(AR56,CHAR(34)," "),"  "," "),"  "," "),"  "," "),"  "," "),"  "," "))&amp;" ","")</f>
        <v xml:space="preserve"> pour le “nettoyer” cela supprime les espaces insecables tabulations </v>
      </c>
      <c r="AT56" s="493" cm="1">
        <f t="array" ref="AT56">IF(45=45,IF(AM56="","",SUMPRODUCT(--ISNUMBER(SEARCH(" "&amp;DJ13:DJ112&amp;" ",AV56)))),"")</f>
        <v>0</v>
      </c>
      <c r="AU56" s="493" cm="1">
        <f t="array" ref="AU56">IF(45=45,IF(AM56="","",SUMPRODUCT(--ISNUMBER(SEARCH(" "&amp;DJ113:DJ162&amp;" ",AV56)))),"")</f>
        <v>0</v>
      </c>
      <c r="AV56" s="493" t="str">
        <f>IF(AM56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56,"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pour le “nettoyer” cela supprime les espaces insecables tabulations </v>
      </c>
      <c r="AW56" s="493" cm="1">
        <f t="array" ref="AW56">IF(AM56="","",SUMPRODUCT(--ISNUMBER(SEARCH(" "&amp;DJ195:DJ216&amp;" ",AV56)))+--ISNUMBER(SEARCH(" "&amp;DJ2465&amp;" ",AV56)))</f>
        <v>0</v>
      </c>
      <c r="AX56" s="493" t="str" cm="1">
        <f t="array" ref="AX56">IF(45=45,IF(AM56="","",IF(SUM(AT56:AU56)+SUMPRODUCT(--ISNUMBER(SEARCH(" "&amp;DJ2429:DJ2431&amp;" ",AV56)))&gt;0,"X",IF(AW56&gt;0,"?",""))),"")</f>
        <v/>
      </c>
      <c r="AY56" s="493" cm="1">
        <f t="array" ref="AY56">IF(45=45,IF(AM56="","",SUMPRODUCT(--ISNUMBER(SEARCH(" "&amp;DJ217:DJ316&amp;" ",AS56)))),"")</f>
        <v>0</v>
      </c>
      <c r="AZ56" s="493" cm="1">
        <f t="array" ref="AZ56">IF(45=45,IF(AM56="","",SUMPRODUCT(--ISNUMBER(SEARCH(" "&amp;DJ317:DJ351&amp;" ",AS56)))),"")</f>
        <v>0</v>
      </c>
      <c r="BA56" s="493" t="str">
        <f>IF(45=45,IF(AM56="","",IF((SUM(AY56:AZ56))-(0)&gt;0,"X",IF((0)-(0)&gt;0,"?",""))),"")</f>
        <v/>
      </c>
      <c r="BB56" s="493" cm="1">
        <f t="array" ref="BB56">IF(45=45,IF(AM56="","",SUMPRODUCT(--ISNUMBER(SEARCH(" "&amp;DJ352:DJ409&amp;" ",AS56)))),"")</f>
        <v>0</v>
      </c>
      <c r="BC56" s="493" cm="1">
        <f t="array" ref="BC56">IF(45=45,IF(AM56="","",SUMPRODUCT(--ISNUMBER(SEARCH(" "&amp;DJ410:DJ437&amp;" ",BD56)))+SUMPRODUCT(--ISNUMBER(SEARCH(" "&amp;DJ2451:DJ2464&amp;" ",BD56)))),"")</f>
        <v>0</v>
      </c>
      <c r="BD56" s="493" t="str">
        <f>IF(45=45,IF(AM56="","",SUBSTITUTE(SUBSTITUTE(SUBSTITUTE(SUBSTITUTE(SUBSTITUTE(SUBSTITUTE(SUBSTITUTE(SUBSTITUTE(SUBSTITUTE(SUBSTITUTE(SUBSTITUTE(SUBSTITUTE(SUBSTITUTE(SUBSTITUTE(AS56," "&amp;DJ2466&amp;" "," ")," "&amp;DJ444&amp;" "," ")," "&amp;DJ442&amp;" "," ")," "&amp;DJ2449&amp;" "," ")," "&amp;DJ2450&amp;" "," ")," "&amp;DJ439&amp;" "," ")," "&amp;DJ443&amp;" "," ")," "&amp;DJ445&amp;" "," ")," "&amp;DJ440&amp;" "," ")," "&amp;DJ438&amp;" "," ")," "&amp;DJ1378&amp;" "," ")," "&amp;DJ446&amp;" "," ")," "&amp;DJ1377&amp;" "," ")," "&amp;DJ441&amp;" "," ")),"")</f>
        <v xml:space="preserve"> pour le “nettoyer” cela supprime les espaces insecables tabulations </v>
      </c>
      <c r="BE56" s="493" t="str">
        <f>IF(45=45,IF(AM56="","",IF(BB56&gt;0,"X",IF(BC56&gt;0,"?",""))),"")</f>
        <v/>
      </c>
      <c r="BF56" s="493" cm="1">
        <f t="array" ref="BF56">IF(45=45,IF(AM56="","",SUMPRODUCT(--ISNUMBER(SEARCH(" "&amp;DJ447:DJ546&amp;" ",BP56)))),"")</f>
        <v>0</v>
      </c>
      <c r="BG56" s="493" cm="1">
        <f t="array" ref="BG56">IF(45=45,IF(AM56="","",SUMPRODUCT(--ISNUMBER(SEARCH(" "&amp;DJ547:DJ646&amp;" ",BP56)))),"")</f>
        <v>0</v>
      </c>
      <c r="BH56" s="493" cm="1">
        <f t="array" ref="BH56">IF(45=45,IF(AM56="","",SUMPRODUCT(--ISNUMBER(SEARCH(" "&amp;DJ647:DJ746&amp;" ",BP56)))),"")</f>
        <v>0</v>
      </c>
      <c r="BI56" s="493" cm="1">
        <f t="array" ref="BI56">IF(45=45,IF(AM56="","",SUMPRODUCT(--ISNUMBER(SEARCH(" "&amp;DJ747:DJ846&amp;" ",BP56)))),"")</f>
        <v>0</v>
      </c>
      <c r="BJ56" s="493" cm="1">
        <f t="array" ref="BJ56">IF(45=45,IF(AM56="","",SUMPRODUCT(--ISNUMBER(SEARCH(" "&amp;DJ847:DJ946&amp;" ",BP56)))),"")</f>
        <v>0</v>
      </c>
      <c r="BK56" s="493" cm="1">
        <f t="array" ref="BK56">IF(45=45,IF(AM56="","",SUMPRODUCT(--ISNUMBER(SEARCH(" "&amp;DJ947:DJ1046&amp;" ",BP56)))),"")</f>
        <v>0</v>
      </c>
      <c r="BL56" s="493" cm="1">
        <f t="array" ref="BL56">IF(45=45,IF(AM56="","",SUMPRODUCT(--ISNUMBER(SEARCH(" "&amp;DJ1047:DJ1146&amp;" ",BP56)))),"")</f>
        <v>0</v>
      </c>
      <c r="BM56" s="493" cm="1">
        <f t="array" ref="BM56">IF(45=45,IF(AM56="","",SUMPRODUCT(--ISNUMBER(SEARCH(" "&amp;DJ1147:DJ1246&amp;" ",BP56)))),"")</f>
        <v>0</v>
      </c>
      <c r="BN56" s="493" cm="1">
        <f t="array" ref="BN56">IF(45=45,IF(AM56="","",SUMPRODUCT(--ISNUMBER(SEARCH(" "&amp;DJ1247:DJ1346&amp;" ",BP56)))),"")</f>
        <v>0</v>
      </c>
      <c r="BO56" s="493" cm="1">
        <f t="array" ref="BO56">IF(45=45,IF(AM56="","",SUMPRODUCT(--ISNUMBER(SEARCH(" "&amp;DJ1347:DJ1374&amp;" ",BP56)))),"")</f>
        <v>0</v>
      </c>
      <c r="BP56" s="493" t="str">
        <f>IF(45=45,IF(AM56="","",SUBSTITUTE(SUBSTITUTE(SUBSTITUTE(SUBSTITUTE(SUBSTITUTE(SUBSTITUTE(SUBSTITUTE(SUBSTITUTE(SUBSTITUTE(AS56," "&amp;DJ1376&amp;" "," ")," "&amp;DJ1375&amp;" "," ")," "&amp;DJ1381&amp;" "," ")," "&amp;DJ1382&amp;" "," ")," "&amp;DJ1378&amp;" "," ")," "&amp;DJ1380&amp;" "," ")," "&amp;DJ1377&amp;" "," ")," "&amp;DJ1379&amp;" "," ")," "&amp;DJ1383&amp;" "," ")),"")</f>
        <v xml:space="preserve"> pour le “nettoyer” cela supprime les espaces insecables tabulations </v>
      </c>
      <c r="BQ56" s="493" cm="1">
        <f t="array" ref="BQ56">IF(45=45,IF(AM56="","",SUMPRODUCT(--ISNUMBER(SEARCH(" "&amp;DJ1384:DJ1394&amp;" ",BP56)))),"")</f>
        <v>0</v>
      </c>
      <c r="BR56" s="493" t="str" cm="1">
        <f t="array" ref="BR56">IF(45=45,IF(AM56="","",IF(SUM(BF56:BO56)+SUMPRODUCT(--ISNUMBER(SEARCH(" "&amp;DJ2432:DJ2433&amp;" ",BP56)))&gt;0,"X",IF(BQ56&gt;0,"?",""))),"")</f>
        <v/>
      </c>
      <c r="BS56" s="493" cm="1">
        <f t="array" ref="BS56">IF(45=45,IF(AM56="","",SUMPRODUCT(--ISNUMBER(SEARCH(" "&amp;DJ1395:DJ1415&amp;" ",AS56)))),"")</f>
        <v>0</v>
      </c>
      <c r="BT56" s="493" t="str">
        <f>IF(45=45,IF(AM56="","",IF((BS56)-(0)&gt;0,"X",IF((0)-(0)&gt;0,"?",""))),"")</f>
        <v/>
      </c>
      <c r="BU56" s="493" cm="1">
        <f t="array" ref="BU56">IF(45=45,IF(AM56="","",SUMPRODUCT(--ISNUMBER(SEARCH(" "&amp;DJ1416:DJ1453&amp;" ",BV56)))),"")</f>
        <v>0</v>
      </c>
      <c r="BV56" s="493" t="str">
        <f>IF(45=45,IF(AM56="","",SUBSTITUTE(SUBSTITUTE(AS56," "&amp;DJ1454&amp;" "," ")," "&amp;DJ1455&amp;" "," ")),"")</f>
        <v xml:space="preserve"> pour le “nettoyer” cela supprime les espaces insecables tabulations </v>
      </c>
      <c r="BW56" s="493" cm="1">
        <f t="array" ref="BW56">IF(45=45,IF(AM56="","",SUMPRODUCT(--ISNUMBER(SEARCH(" "&amp;DJ1456:DJ1466&amp;" ",BV56)))),"")</f>
        <v>0</v>
      </c>
      <c r="BX56" s="493" t="str">
        <f>IF(45=45,IF(AM56="","",IF(BU56&gt;0,"X",IF(BW56&gt;0,"?",""))),"")</f>
        <v/>
      </c>
      <c r="BY56" s="493" cm="1">
        <f t="array" ref="BY56">IF(45=45,IF(AM56="","",SUMPRODUCT(--ISNUMBER(SEARCH(" "&amp;DJ1467:DJ1566&amp;" ",CB56)))),"")</f>
        <v>0</v>
      </c>
      <c r="BZ56" s="493" cm="1">
        <f t="array" ref="BZ56">IF(45=45,IF(AM56="","",SUMPRODUCT(--ISNUMBER(SEARCH(" "&amp;DJ1567:DJ1666&amp;" ",CB56)))),"")</f>
        <v>0</v>
      </c>
      <c r="CA56" s="493" cm="1">
        <f t="array" ref="CA56">IF(45=45,IF(AM56="","",SUMPRODUCT(--ISNUMBER(SEARCH(" "&amp;DJ1667:DJ1750&amp;" ",CB56)))),"")</f>
        <v>0</v>
      </c>
      <c r="CB56" s="493" t="str">
        <f>IF(45=45,IF(AM56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56,"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pour le “nettoyer” cela supprime les espaces insecables tabulations </v>
      </c>
      <c r="CC56" s="493" cm="1">
        <f t="array" ref="CC56">IF(45=45,IF(AM56="","",SUMPRODUCT(--ISNUMBER(SEARCH(" "&amp;DJ1801:DJ1880&amp;" ",CD56)))+SUMPRODUCT(--ISNUMBER(SEARCH(" "&amp;DJ2451:DJ2464&amp;" ",CD56)))),"")</f>
        <v>0</v>
      </c>
      <c r="CD56" s="493" t="str">
        <f>IF(45=45,IF(AM56="","",SUBSTITUTE(SUBSTITUTE(SUBSTITUTE(SUBSTITUTE(SUBSTITUTE(SUBSTITUTE(SUBSTITUTE(SUBSTITUTE(SUBSTITUTE(SUBSTITUTE(SUBSTITUTE(SUBSTITUTE(SUBSTITUTE(CB56," "&amp;DJ1887&amp;" "," ")," "&amp;DJ1885&amp;" "," ")," "&amp;DJ2449&amp;" "," ")," "&amp;DJ2450&amp;" "," ")," "&amp;DJ1882&amp;" "," ")," "&amp;DJ1886&amp;" "," ")," "&amp;DJ1888&amp;" "," ")," "&amp;DJ1883&amp;" "," ")," "&amp;DJ1881&amp;" "," ")," "&amp;DJ1378&amp;" "," ")," "&amp;DJ1889&amp;" "," ")," "&amp;DJ1377&amp;" "," ")," "&amp;DJ1884&amp;" "," ")),"")</f>
        <v xml:space="preserve"> pour le “nettoyer” cela supprime les espaces insecables tabulations </v>
      </c>
      <c r="CE56" s="493" t="str" cm="1">
        <f t="array" ref="CE56">IF(45=45,IF(AM56="","",IF(SUM(BY56:CA56)+SUMPRODUCT(--ISNUMBER(SEARCH(" "&amp;DJ2434:DJ2435&amp;" ",CB56)))&gt;0,"X",IF(CC56&gt;0,"?",""))),"")</f>
        <v/>
      </c>
      <c r="CF56" s="493" cm="1">
        <f t="array" ref="CF56">IF(45=45,IF(AM56="","",SUMPRODUCT(--ISNUMBER(SEARCH(" "&amp;DJ1890:DJ1947&amp;" ",CG56)))),"")</f>
        <v>0</v>
      </c>
      <c r="CG56" s="493" t="str">
        <f>IF(45=45,IF(AM56="","",SUBSTITUTE(SUBSTITUTE(SUBSTITUTE(SUBSTITUTE(SUBSTITUTE(SUBSTITUTE(SUBSTITUTE(SUBSTITUTE(SUBSTITUTE(SUBSTITUTE(SUBSTITUTE(SUBSTITUTE(SUBSTITUTE(SUBSTITUTE(SUBSTITUTE(SUBSTITUTE(SUBSTITUTE(SUBSTITUTE(SUBSTITUTE(SUBSTITUTE(SUBSTITUTE(SUBSTITUTE(SUBSTITUTE(AS56,"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pour le “nettoyer” cela supprime les espaces insecables tabulations </v>
      </c>
      <c r="CH56" s="493" cm="1">
        <f t="array" ref="CH56">IF(45=45,IF(AM56="","",SUMPRODUCT(--ISNUMBER(SEARCH(" "&amp;DJ1971:DJ1987&amp;" ",CG56)))),"")</f>
        <v>0</v>
      </c>
      <c r="CI56" s="493" t="str">
        <f>IF(45=45,IF(AM56="","",IF(CF56&gt;0,"X",IF(CH56&gt;0,"?",""))),"")</f>
        <v/>
      </c>
      <c r="CJ56" s="493" cm="1">
        <f t="array" ref="CJ56">IF(45=45,IF(AM56="","",SUMPRODUCT(--ISNUMBER(SEARCH(" "&amp;DJ1988:DJ2001&amp;" ",AS56)))),"")</f>
        <v>0</v>
      </c>
      <c r="CK56" s="493" cm="1">
        <f t="array" ref="CK56">IF(45=45,IF(AM56="","",SUMPRODUCT(--ISNUMBER(SEARCH(" "&amp;DJ2002:DJ2016&amp;" ",AS56)))),"")</f>
        <v>0</v>
      </c>
      <c r="CL56" s="493" t="str">
        <f>IF(45=45,IF(AM56="","",IF((CJ56)-(0)&gt;0,"X",IF((CK56)-(0)&gt;0,"?",""))),"")</f>
        <v/>
      </c>
      <c r="CM56" s="493" cm="1">
        <f t="array" ref="CM56">IF(45=45,IF(AM56="","",SUMPRODUCT(--ISNUMBER(SEARCH(" "&amp;DJ2017:DJ2034&amp;" ",AS56)))),"")</f>
        <v>0</v>
      </c>
      <c r="CN56" s="493" cm="1">
        <f t="array" ref="CN56">IF(45=45,IF(AM56="","",SUMPRODUCT(--ISNUMBER(SEARCH(" "&amp;DJ2035:DJ2049&amp;" ",AS56)))),"")</f>
        <v>0</v>
      </c>
      <c r="CO56" s="493" t="str">
        <f>IF(45=45,IF(AM56="","",IF((CM56)-(0)&gt;0,"X",IF((CN56)-(0)&gt;0,"?",""))),"")</f>
        <v/>
      </c>
      <c r="CP56" s="493" cm="1">
        <f t="array" ref="CP56">IF(45=45,IF(AM56="","",SUMPRODUCT(--ISNUMBER(SEARCH(" "&amp;DJ2050:DJ2068&amp;" ",AS56)))),"")</f>
        <v>0</v>
      </c>
      <c r="CQ56" s="493" cm="1">
        <f t="array" ref="CQ56">IF(45=45,IF(AM56="","",SUMPRODUCT(--ISNUMBER(SEARCH(" "&amp;DJ2069:DJ2083&amp;" ",AS56)))),"")</f>
        <v>0</v>
      </c>
      <c r="CR56" s="493" t="str">
        <f>IF(45=45,IF(AM56="","",IF((CP56)-(0)&gt;0,"X",IF((CQ56)-(0)&gt;0,"?",""))),"")</f>
        <v/>
      </c>
      <c r="CS56" s="493" cm="1">
        <f t="array" ref="CS56">IF(45=45,IF(AM56="","",SUMPRODUCT(--ISNUMBER(SEARCH(" "&amp;DJ2084:DJ2104&amp;" ",AS56)))),"")</f>
        <v>0</v>
      </c>
      <c r="CT56" s="493" cm="1">
        <f t="array" ref="CT56">IF(45=45,IF(AM56="","",SUMPRODUCT(--ISNUMBER(SEARCH(" "&amp;DJ2105:DJ2144&amp;" ",SUBSTITUTE(SUBSTITUTE(AS56," "&amp;DJ1378&amp;" "," ")," "&amp;DJ1377&amp;" "," "))))+--ISNUMBER(SEARCH("poiré",AN56))),"")</f>
        <v>0</v>
      </c>
      <c r="CU56" s="493" t="str">
        <f>IF(45=45,IF(AM56="","",IF(OR(CS56&gt;0,ISNUMBER(SEARCH(" vinaigre de vin ",AS56)),ISNUMBER(SEARCH(" vinaigre au vin ",AS56))),"X",IF(CT56&gt;0,"?",""))),"")</f>
        <v/>
      </c>
      <c r="CV56" s="493" cm="1">
        <f t="array" ref="CV56">IF(45=45,IF(AM56="","",SUMPRODUCT(--ISNUMBER(SEARCH(" "&amp;DJ2145:DJ2157&amp;" ",AS56)))),"")</f>
        <v>0</v>
      </c>
      <c r="CW56" s="493" cm="1">
        <f t="array" ref="CW56">IF(45=45,IF(AM56="","",SUMPRODUCT(--ISNUMBER(SEARCH(" "&amp;DJ2158:DJ2163&amp;" ",AS56)))),"")</f>
        <v>0</v>
      </c>
      <c r="CX56" s="493" t="str">
        <f>IF(45=45,IF(AM56="","",IF((CV56)-(0)&gt;0,"X",IF((CW56)-(0)&gt;0,"?",""))),"")</f>
        <v/>
      </c>
      <c r="CY56" s="493" cm="1">
        <f t="array" ref="CY56">IF(45=45,IF(AM56="","",SUMPRODUCT(--ISNUMBER(SEARCH(" "&amp;DJ2164:DJ2263&amp;" ",DB56)))),"")</f>
        <v>0</v>
      </c>
      <c r="CZ56" s="493" cm="1">
        <f t="array" ref="CZ56">IF(45=45,IF(AM56="","",SUMPRODUCT(--ISNUMBER(SEARCH(" "&amp;DJ2264:DJ2363&amp;" ",DB56)))),"")</f>
        <v>0</v>
      </c>
      <c r="DA56" s="493" cm="1">
        <f t="array" ref="DA56">IF(45=45,IF(AM56="","",SUMPRODUCT(--ISNUMBER(SEARCH(" "&amp;DJ2364:DJ2406&amp;" ",DB56)))),"")</f>
        <v>0</v>
      </c>
      <c r="DB56" s="493" t="str">
        <f>IF(45=45,IF(AM56="","",SUBSTITUTE(SUBSTITUTE(SUBSTITUTE(SUBSTITUTE(SUBSTITUTE(SUBSTITUTE(SUBSTITUTE(SUBSTITUTE(SUBSTITUTE(SUBSTITUTE(SUBSTITUTE(SUBSTITUTE(SUBSTITUTE(SUBSTITUTE(SUBSTITUTE(SUBSTITUTE(AS56," "&amp;DJ2412&amp;" "," ")," "&amp;DJ2411&amp;" "," ")," "&amp;DJ2410&amp;" "," ")," "&amp;DJ2417&amp;" "," ")," "&amp;DJ2409&amp;" "," ")," "&amp;DJ2421&amp;" "," ")," "&amp;DJ2408&amp;" "," ")," "&amp;DJ2413&amp;" "," ")," "&amp;DJ2416&amp;" "," ")," "&amp;DJ2407&amp;" "," ")," "&amp;DJ2415&amp;" "," ")," "&amp;DJ2422&amp;" "," ")," "&amp;DJ2419&amp;" "," ")," "&amp;DJ2414&amp;" "," ")," "&amp;DJ2418&amp;" "," ")," "&amp;DJ2420&amp;" "," ")),"")</f>
        <v xml:space="preserve"> pour le “nettoyer” cela supprime les espaces insecables tabulations </v>
      </c>
      <c r="DC56" s="493" cm="1">
        <f t="array" ref="DC56">IF(45=45,IF(AM56="","",SUMPRODUCT(--ISNUMBER(SEARCH(" "&amp;DJ2423:DJ2427&amp;" ",DB56)))),"")</f>
        <v>0</v>
      </c>
      <c r="DD56" s="493" t="str">
        <f>IF(45=45,IF(AM56="","",IF(SUM(CY56:DA56)&gt;0,"X",IF(DC56&gt;0,"?",""))),"")</f>
        <v/>
      </c>
      <c r="DE56" s="494"/>
      <c r="DF56" s="496" t="s">
        <v>1219</v>
      </c>
      <c r="DG56" s="496" t="s">
        <v>1083</v>
      </c>
      <c r="DH56" s="496" t="s">
        <v>689</v>
      </c>
      <c r="DI56" s="496" t="s">
        <v>1220</v>
      </c>
      <c r="DJ56" s="496" t="s">
        <v>1220</v>
      </c>
      <c r="DK56" s="496" t="s">
        <v>1085</v>
      </c>
      <c r="DL56" s="496" t="s">
        <v>1086</v>
      </c>
      <c r="DM56" s="496" t="s">
        <v>1087</v>
      </c>
      <c r="DN56" s="497" t="s">
        <v>1088</v>
      </c>
      <c r="DP56" s="543">
        <v>1</v>
      </c>
    </row>
    <row r="57" spans="2:120" ht="30" customHeight="1">
      <c r="B57" s="663" t="str">
        <f t="shared" si="0"/>
        <v/>
      </c>
      <c r="C57" s="663" t="str">
        <f t="shared" si="1"/>
        <v/>
      </c>
      <c r="D57" s="663" t="str">
        <f>IF(UPPER(TRIM(N11))="X",C57,B57)</f>
        <v/>
      </c>
      <c r="E57" s="663" cm="1">
        <f t="array" ref="E57">IF(H56&lt;&gt;"",E56,IF(E56="","",IFERROR(MATCH(TRUE(),INDEX(INDEX(K:K,E56+1):K203&lt;&gt;"",0),0)+E56,"")))</f>
        <v>203</v>
      </c>
      <c r="F57" s="663" t="str" cm="1">
        <f t="array" ref="F57">IF(E57="","",IF(H56&lt;&gt;"",H56,INDEX(D:D,E57)))</f>
        <v>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57" s="663" t="str">
        <f t="shared" si="2"/>
        <v xml:space="preserve">invisibles et autres “pollutions”.◄ 2️⃣ Saisissez la largeur du document dans </v>
      </c>
      <c r="H57" s="673" t="str">
        <f t="shared" si="3"/>
        <v>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I57" s="680" t="str">
        <f>IF(AND(F57&lt;&gt;"",N10&gt;0,M57&gt;N10),"Mot &gt; limite","")</f>
        <v/>
      </c>
      <c r="J57" s="674" t="str">
        <f>IF(K57="","",COUNTIF(K18:K57,"&lt;&gt;"))</f>
        <v/>
      </c>
      <c r="K57" s="675"/>
      <c r="L57" s="674" t="str">
        <f t="shared" si="4"/>
        <v/>
      </c>
      <c r="M57" s="643">
        <f>IF(OR(F57="",N10="",N10&lt;=0),"",IF(LEN(F57)&lt;=N10,LEN(F57),IFERROR(FIND("♦",SUBSTITUTE(LEFT(F57,N10)," ","♦",LEN(LEFT(F57,N10))-LEN(SUBSTITUTE(LEFT(F57,N10)," ","")))),FIND(" ",F57&amp;" ",N10+1)-1)))</f>
        <v>78</v>
      </c>
      <c r="N57" s="676">
        <f t="shared" si="5"/>
        <v>40</v>
      </c>
      <c r="O57" s="677" t="str">
        <f t="shared" si="6"/>
        <v xml:space="preserve">invisibles et autres “pollutions”.◄ 2️⃣ Saisissez la largeur du document dans </v>
      </c>
      <c r="P57" s="676">
        <f t="shared" si="7"/>
        <v>11</v>
      </c>
      <c r="Q57" s="676">
        <f t="shared" si="8"/>
        <v>78</v>
      </c>
      <c r="S57" s="509">
        <v>40</v>
      </c>
      <c r="T57" s="678" t="str">
        <f t="shared" si="10"/>
        <v xml:space="preserve">invisibles et autres “pollutions”.◄ 2️⃣ Saisissez la largeur du document dans </v>
      </c>
      <c r="U57" s="679" t="str">
        <f t="shared" si="11"/>
        <v>invisibles et autres “pollutions”.◄ 2️⃣ Saisissez la largeur du document dans</v>
      </c>
      <c r="V57" s="512" t="str">
        <f>IF(46=46,IF(T57="","",IF(W57="X",""&amp;"Céréales contenant du gluten","")&amp;IF(X57="X",IF(COUNTIF(W57:W57,"X")&gt;0,", ","")&amp;"Crustacés","")&amp;IF(Y57="X",IF(COUNTIF(W57:X57,"X")&gt;0,", ","")&amp;"Œufs","")&amp;IF(Z57="X",IF(COUNTIF(W57:Y57,"X")&gt;0,", ","")&amp;"Poissons","")&amp;IF(AA57="X",IF(COUNTIF(W57:Z57,"X")&gt;0,", ","")&amp;"Arachides","")&amp;IF(AB57="X",IF(COUNTIF(W57:AA57,"X")&gt;0,", ","")&amp;"Soja","")&amp;IF(AC57="X",IF(COUNTIF(W57:AB57,"X")&gt;0,", ","")&amp;"Lait","")&amp;IF(AD57="X",IF(COUNTIF(W57:AC57,"X")&gt;0,", ","")&amp;"Fruits à coque","")&amp;IF(AE57="X",IF(COUNTIF(W57:AD57,"X")&gt;0,", ","")&amp;"Céleri","")&amp;IF(AF57="X",IF(COUNTIF(W57:AE57,"X")&gt;0,", ","")&amp;"Moutarde","")&amp;IF(AG57="X",IF(COUNTIF(W57:AF57,"X")&gt;0,", ","")&amp;"Sésame","")&amp;IF(AH57="X",IF(COUNTIF(W57:AG57,"X")&gt;0,", ","")&amp;"Sulfites","")&amp;IF(AI57="X",IF(COUNTIF(W57:AH57,"X")&gt;0,", ","")&amp;"Lupin","")&amp;IF(AJ57="X",IF(COUNTIF(W57:AI57,"X")&gt;0,", ","")&amp;"Mollusques","")),"")</f>
        <v/>
      </c>
      <c r="W57" s="513" t="str">
        <f>IF(46=46,IF(T57="","",AX57),"")</f>
        <v/>
      </c>
      <c r="X57" s="513" t="str">
        <f>IF(46=46,IF(T57="","",BA57),"")</f>
        <v/>
      </c>
      <c r="Y57" s="513" t="str">
        <f>IF(46=46,IF(T57="","",BE57),"")</f>
        <v/>
      </c>
      <c r="Z57" s="513" t="str">
        <f>IF(46=46,IF(T57="","",IF(ISNUMBER(SEARCH(" colin ",AS57)),"X",BR57)),"")</f>
        <v/>
      </c>
      <c r="AA57" s="513" t="str">
        <f>IF(46=46,IF(T57="","",BT57),"")</f>
        <v/>
      </c>
      <c r="AB57" s="513" t="str">
        <f>IF(46=46,IF(T57="","",BX57),"")</f>
        <v/>
      </c>
      <c r="AC57" s="513" t="str">
        <f>IF(46=46,IF(T57="","",CE57),"")</f>
        <v/>
      </c>
      <c r="AD57" s="513" t="str">
        <f>IF(46=46,IF(T57="","",CI57),"")</f>
        <v/>
      </c>
      <c r="AE57" s="513" t="str">
        <f>IF(46=46,IF(T57="","",CL57),"")</f>
        <v/>
      </c>
      <c r="AF57" s="513" t="str">
        <f>IF(46=46,IF(T57="","",CO57),"")</f>
        <v/>
      </c>
      <c r="AG57" s="513" t="str">
        <f>IF(46=46,IF(T57="","",CR57),"")</f>
        <v/>
      </c>
      <c r="AH57" s="513" t="str">
        <f>IF(46=46,IF(T57="","",CU57),"")</f>
        <v/>
      </c>
      <c r="AI57" s="513" t="str">
        <f>IF(46=46,IF(T57="","",CX57),"")</f>
        <v/>
      </c>
      <c r="AJ57" s="513" t="str">
        <f>IF(46=46,IF(T57="","",DD57),"")</f>
        <v/>
      </c>
      <c r="AK57" s="514" t="str">
        <f>IF(46=46,IF(T57="","",IF(W57="?",""&amp;"Céréales contenant du gluten","")&amp;IF(X57="?",IF(COUNTIF(W57:W57,"~?")&gt;0,", ","")&amp;"Crustacés","")&amp;IF(Y57="?",IF(COUNTIF(W57:X57,"~?")&gt;0,", ","")&amp;"Œufs","")&amp;IF(Z57="?",IF(COUNTIF(W57:Y57,"~?")&gt;0,", ","")&amp;"Poissons","")&amp;IF(AA57="?",IF(COUNTIF(W57:Z57,"~?")&gt;0,", ","")&amp;"Arachides","")&amp;IF(AB57="?",IF(COUNTIF(W57:AA57,"~?")&gt;0,", ","")&amp;"Soja","")&amp;IF(AC57="?",IF(COUNTIF(W57:AB57,"~?")&gt;0,", ","")&amp;"Lait","")&amp;IF(AD57="?",IF(COUNTIF(W57:AC57,"~?")&gt;0,", ","")&amp;"Fruits à coque","")&amp;IF(AE57="?",IF(COUNTIF(W57:AD57,"~?")&gt;0,", ","")&amp;"Céleri","")&amp;IF(AF57="?",IF(COUNTIF(W57:AE57,"~?")&gt;0,", ","")&amp;"Moutarde","")&amp;IF(AG57="?",IF(COUNTIF(W57:AF57,"~?")&gt;0,", ","")&amp;"Sésame","")&amp;IF(AH57="?",IF(COUNTIF(W57:AG57,"~?")&gt;0,", ","")&amp;"Sulfites","")&amp;IF(AI57="?",IF(COUNTIF(W57:AH57,"~?")&gt;0,", ","")&amp;"Lupin","")&amp;IF(AJ57="?",IF(COUNTIF(W57:AI57,"~?")&gt;0,", ","")&amp;"Mollusques","")),"")</f>
        <v/>
      </c>
      <c r="AM57" s="493" t="str">
        <f>IF(46=46,IF(T57="","",T57),"")</f>
        <v xml:space="preserve">invisibles et autres “pollutions”.◄ 2️⃣ Saisissez la largeur du document dans </v>
      </c>
      <c r="AN57" s="493" t="str">
        <f>IF(46=46,LOWER(CLEAN(SUBSTITUTE(SUBSTITUTE(SUBSTITUTE(SUBSTITUTE(AM57,CHAR(160)," ")," "," "),CHAR(10)," "),CHAR(13)," "))),"")</f>
        <v xml:space="preserve">invisibles et autres “pollutions”.◄ 2️⃣ saisissez la largeur du document dans </v>
      </c>
      <c r="AO57" s="493" t="str">
        <f>IF(46=46,SUBSTITUTE(SUBSTITUTE(SUBSTITUTE(SUBSTITUTE(SUBSTITUTE(SUBSTITUTE(SUBSTITUTE(SUBSTITUTE(SUBSTITUTE(SUBSTITUTE(SUBSTITUTE(SUBSTITUTE(AN57,"œ","oe"),"æ","ae"),"à","a"),"á","a"),"â","a"),"ä","a"),"ã","a"),"ç","c"),"è","e"),"é","e"),"ê","e"),"ë","e"),"")</f>
        <v xml:space="preserve">invisibles et autres “pollutions”.◄ 2️⃣ saisissez la largeur du document dans </v>
      </c>
      <c r="AP57" s="493" t="str">
        <f>IF(46=46,SUBSTITUTE(SUBSTITUTE(SUBSTITUTE(SUBSTITUTE(SUBSTITUTE(SUBSTITUTE(SUBSTITUTE(SUBSTITUTE(SUBSTITUTE(SUBSTITUTE(SUBSTITUTE(SUBSTITUTE(SUBSTITUTE(SUBSTITUTE(SUBSTITUTE(SUBSTITUTE(AO57,"ì","i"),"í","i"),"î","i"),"ï","i"),"ñ","n"),"ò","o"),"ó","o"),"ô","o"),"ö","o"),"õ","o"),"ù","u"),"ú","u"),"û","u"),"ü","u"),"ý","y"),"ÿ","y"),"")</f>
        <v xml:space="preserve">invisibles et autres “pollutions”.◄ 2️⃣ saisissez la largeur du document dans </v>
      </c>
      <c r="AQ57" s="493" t="str">
        <f>IF(46=46,SUBSTITUTE(SUBSTITUTE(SUBSTITUTE(SUBSTITUTE(SUBSTITUTE(SUBSTITUTE(SUBSTITUTE(SUBSTITUTE(SUBSTITUTE(SUBSTITUTE(SUBSTITUTE(SUBSTITUTE(SUBSTITUTE(SUBSTITUTE(AP57,"’"," "),"`"," "),"–"," "),"—"," "),"-"," "),"'"," "),"/"," "),"_"," "),","," "),"."," "),"("," "),")"," "),";"," "),":"," "),"")</f>
        <v xml:space="preserve">invisibles et autres “pollutions” ◄ 2️⃣ saisissez la largeur du document dans </v>
      </c>
      <c r="AR57" s="493" t="str">
        <f>IF(46=46,SUBSTITUTE(SUBSTITUTE(SUBSTITUTE(SUBSTITUTE(SUBSTITUTE(SUBSTITUTE(SUBSTITUTE(SUBSTITUTE(SUBSTITUTE(SUBSTITUTE(SUBSTITUTE(SUBSTITUTE(SUBSTITUTE(SUBSTITUTE(SUBSTITUTE(AQ57,"!"," "),"?"," "),"+"," "),"*"," "),"&amp;"," "),"["," "),"]"," "),"{"," "),"}"," "),"%"," "),"="," "),"\"," "),"|"," "),"&lt;"," "),"&gt;"," "),"")</f>
        <v xml:space="preserve">invisibles et autres “pollutions” ◄ 2️⃣ saisissez la largeur du document dans </v>
      </c>
      <c r="AS57" s="493" t="str">
        <f>IF(46=46," "&amp;TRIM(SUBSTITUTE(SUBSTITUTE(SUBSTITUTE(SUBSTITUTE(SUBSTITUTE(SUBSTITUTE(AR57,CHAR(34)," "),"  "," "),"  "," "),"  "," "),"  "," "),"  "," "))&amp;" ","")</f>
        <v xml:space="preserve"> invisibles et autres “pollutions” ◄ 2️⃣ saisissez la largeur du document dans </v>
      </c>
      <c r="AT57" s="493" cm="1">
        <f t="array" ref="AT57">IF(46=46,IF(AM57="","",SUMPRODUCT(--ISNUMBER(SEARCH(" "&amp;DJ13:DJ112&amp;" ",AV57)))),"")</f>
        <v>0</v>
      </c>
      <c r="AU57" s="493" cm="1">
        <f t="array" ref="AU57">IF(46=46,IF(AM57="","",SUMPRODUCT(--ISNUMBER(SEARCH(" "&amp;DJ113:DJ162&amp;" ",AV57)))),"")</f>
        <v>0</v>
      </c>
      <c r="AV57" s="493" t="str">
        <f>IF(AM57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57,"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invisibles et autres “pollutions” ◄ 2️⃣ saisissez la largeur du document dans </v>
      </c>
      <c r="AW57" s="493" cm="1">
        <f t="array" ref="AW57">IF(AM57="","",SUMPRODUCT(--ISNUMBER(SEARCH(" "&amp;DJ195:DJ216&amp;" ",AV57)))+--ISNUMBER(SEARCH(" "&amp;DJ2465&amp;" ",AV57)))</f>
        <v>0</v>
      </c>
      <c r="AX57" s="493" t="str" cm="1">
        <f t="array" ref="AX57">IF(46=46,IF(AM57="","",IF(SUM(AT57:AU57)+SUMPRODUCT(--ISNUMBER(SEARCH(" "&amp;DJ2429:DJ2431&amp;" ",AV57)))&gt;0,"X",IF(AW57&gt;0,"?",""))),"")</f>
        <v/>
      </c>
      <c r="AY57" s="493" cm="1">
        <f t="array" ref="AY57">IF(46=46,IF(AM57="","",SUMPRODUCT(--ISNUMBER(SEARCH(" "&amp;DJ217:DJ316&amp;" ",AS57)))),"")</f>
        <v>0</v>
      </c>
      <c r="AZ57" s="493" cm="1">
        <f t="array" ref="AZ57">IF(46=46,IF(AM57="","",SUMPRODUCT(--ISNUMBER(SEARCH(" "&amp;DJ317:DJ351&amp;" ",AS57)))),"")</f>
        <v>0</v>
      </c>
      <c r="BA57" s="493" t="str">
        <f>IF(46=46,IF(AM57="","",IF((SUM(AY57:AZ57))-(0)&gt;0,"X",IF((0)-(0)&gt;0,"?",""))),"")</f>
        <v/>
      </c>
      <c r="BB57" s="493" cm="1">
        <f t="array" ref="BB57">IF(46=46,IF(AM57="","",SUMPRODUCT(--ISNUMBER(SEARCH(" "&amp;DJ352:DJ409&amp;" ",AS57)))),"")</f>
        <v>0</v>
      </c>
      <c r="BC57" s="493" cm="1">
        <f t="array" ref="BC57">IF(46=46,IF(AM57="","",SUMPRODUCT(--ISNUMBER(SEARCH(" "&amp;DJ410:DJ437&amp;" ",BD57)))+SUMPRODUCT(--ISNUMBER(SEARCH(" "&amp;DJ2451:DJ2464&amp;" ",BD57)))),"")</f>
        <v>0</v>
      </c>
      <c r="BD57" s="493" t="str">
        <f>IF(46=46,IF(AM57="","",SUBSTITUTE(SUBSTITUTE(SUBSTITUTE(SUBSTITUTE(SUBSTITUTE(SUBSTITUTE(SUBSTITUTE(SUBSTITUTE(SUBSTITUTE(SUBSTITUTE(SUBSTITUTE(SUBSTITUTE(SUBSTITUTE(SUBSTITUTE(AS57," "&amp;DJ2466&amp;" "," ")," "&amp;DJ444&amp;" "," ")," "&amp;DJ442&amp;" "," ")," "&amp;DJ2449&amp;" "," ")," "&amp;DJ2450&amp;" "," ")," "&amp;DJ439&amp;" "," ")," "&amp;DJ443&amp;" "," ")," "&amp;DJ445&amp;" "," ")," "&amp;DJ440&amp;" "," ")," "&amp;DJ438&amp;" "," ")," "&amp;DJ1378&amp;" "," ")," "&amp;DJ446&amp;" "," ")," "&amp;DJ1377&amp;" "," ")," "&amp;DJ441&amp;" "," ")),"")</f>
        <v xml:space="preserve"> invisibles et autres “pollutions” ◄ 2️⃣ saisissez la largeur du document dans </v>
      </c>
      <c r="BE57" s="493" t="str">
        <f>IF(46=46,IF(AM57="","",IF(BB57&gt;0,"X",IF(BC57&gt;0,"?",""))),"")</f>
        <v/>
      </c>
      <c r="BF57" s="493" cm="1">
        <f t="array" ref="BF57">IF(46=46,IF(AM57="","",SUMPRODUCT(--ISNUMBER(SEARCH(" "&amp;DJ447:DJ546&amp;" ",BP57)))),"")</f>
        <v>0</v>
      </c>
      <c r="BG57" s="493" cm="1">
        <f t="array" ref="BG57">IF(46=46,IF(AM57="","",SUMPRODUCT(--ISNUMBER(SEARCH(" "&amp;DJ547:DJ646&amp;" ",BP57)))),"")</f>
        <v>0</v>
      </c>
      <c r="BH57" s="493" cm="1">
        <f t="array" ref="BH57">IF(46=46,IF(AM57="","",SUMPRODUCT(--ISNUMBER(SEARCH(" "&amp;DJ647:DJ746&amp;" ",BP57)))),"")</f>
        <v>0</v>
      </c>
      <c r="BI57" s="493" cm="1">
        <f t="array" ref="BI57">IF(46=46,IF(AM57="","",SUMPRODUCT(--ISNUMBER(SEARCH(" "&amp;DJ747:DJ846&amp;" ",BP57)))),"")</f>
        <v>0</v>
      </c>
      <c r="BJ57" s="493" cm="1">
        <f t="array" ref="BJ57">IF(46=46,IF(AM57="","",SUMPRODUCT(--ISNUMBER(SEARCH(" "&amp;DJ847:DJ946&amp;" ",BP57)))),"")</f>
        <v>0</v>
      </c>
      <c r="BK57" s="493" cm="1">
        <f t="array" ref="BK57">IF(46=46,IF(AM57="","",SUMPRODUCT(--ISNUMBER(SEARCH(" "&amp;DJ947:DJ1046&amp;" ",BP57)))),"")</f>
        <v>0</v>
      </c>
      <c r="BL57" s="493" cm="1">
        <f t="array" ref="BL57">IF(46=46,IF(AM57="","",SUMPRODUCT(--ISNUMBER(SEARCH(" "&amp;DJ1047:DJ1146&amp;" ",BP57)))),"")</f>
        <v>0</v>
      </c>
      <c r="BM57" s="493" cm="1">
        <f t="array" ref="BM57">IF(46=46,IF(AM57="","",SUMPRODUCT(--ISNUMBER(SEARCH(" "&amp;DJ1147:DJ1246&amp;" ",BP57)))),"")</f>
        <v>0</v>
      </c>
      <c r="BN57" s="493" cm="1">
        <f t="array" ref="BN57">IF(46=46,IF(AM57="","",SUMPRODUCT(--ISNUMBER(SEARCH(" "&amp;DJ1247:DJ1346&amp;" ",BP57)))),"")</f>
        <v>0</v>
      </c>
      <c r="BO57" s="493" cm="1">
        <f t="array" ref="BO57">IF(46=46,IF(AM57="","",SUMPRODUCT(--ISNUMBER(SEARCH(" "&amp;DJ1347:DJ1374&amp;" ",BP57)))),"")</f>
        <v>0</v>
      </c>
      <c r="BP57" s="493" t="str">
        <f>IF(46=46,IF(AM57="","",SUBSTITUTE(SUBSTITUTE(SUBSTITUTE(SUBSTITUTE(SUBSTITUTE(SUBSTITUTE(SUBSTITUTE(SUBSTITUTE(SUBSTITUTE(AS57," "&amp;DJ1376&amp;" "," ")," "&amp;DJ1375&amp;" "," ")," "&amp;DJ1381&amp;" "," ")," "&amp;DJ1382&amp;" "," ")," "&amp;DJ1378&amp;" "," ")," "&amp;DJ1380&amp;" "," ")," "&amp;DJ1377&amp;" "," ")," "&amp;DJ1379&amp;" "," ")," "&amp;DJ1383&amp;" "," ")),"")</f>
        <v xml:space="preserve"> invisibles et autres “pollutions” ◄ 2️⃣ saisissez la largeur du document dans </v>
      </c>
      <c r="BQ57" s="493" cm="1">
        <f t="array" ref="BQ57">IF(46=46,IF(AM57="","",SUMPRODUCT(--ISNUMBER(SEARCH(" "&amp;DJ1384:DJ1394&amp;" ",BP57)))),"")</f>
        <v>0</v>
      </c>
      <c r="BR57" s="493" t="str" cm="1">
        <f t="array" ref="BR57">IF(46=46,IF(AM57="","",IF(SUM(BF57:BO57)+SUMPRODUCT(--ISNUMBER(SEARCH(" "&amp;DJ2432:DJ2433&amp;" ",BP57)))&gt;0,"X",IF(BQ57&gt;0,"?",""))),"")</f>
        <v/>
      </c>
      <c r="BS57" s="493" cm="1">
        <f t="array" ref="BS57">IF(46=46,IF(AM57="","",SUMPRODUCT(--ISNUMBER(SEARCH(" "&amp;DJ1395:DJ1415&amp;" ",AS57)))),"")</f>
        <v>0</v>
      </c>
      <c r="BT57" s="493" t="str">
        <f>IF(46=46,IF(AM57="","",IF((BS57)-(0)&gt;0,"X",IF((0)-(0)&gt;0,"?",""))),"")</f>
        <v/>
      </c>
      <c r="BU57" s="493" cm="1">
        <f t="array" ref="BU57">IF(46=46,IF(AM57="","",SUMPRODUCT(--ISNUMBER(SEARCH(" "&amp;DJ1416:DJ1453&amp;" ",BV57)))),"")</f>
        <v>0</v>
      </c>
      <c r="BV57" s="493" t="str">
        <f>IF(46=46,IF(AM57="","",SUBSTITUTE(SUBSTITUTE(AS57," "&amp;DJ1454&amp;" "," ")," "&amp;DJ1455&amp;" "," ")),"")</f>
        <v xml:space="preserve"> invisibles et autres “pollutions” ◄ 2️⃣ saisissez la largeur du document dans </v>
      </c>
      <c r="BW57" s="493" cm="1">
        <f t="array" ref="BW57">IF(46=46,IF(AM57="","",SUMPRODUCT(--ISNUMBER(SEARCH(" "&amp;DJ1456:DJ1466&amp;" ",BV57)))),"")</f>
        <v>0</v>
      </c>
      <c r="BX57" s="493" t="str">
        <f>IF(46=46,IF(AM57="","",IF(BU57&gt;0,"X",IF(BW57&gt;0,"?",""))),"")</f>
        <v/>
      </c>
      <c r="BY57" s="493" cm="1">
        <f t="array" ref="BY57">IF(46=46,IF(AM57="","",SUMPRODUCT(--ISNUMBER(SEARCH(" "&amp;DJ1467:DJ1566&amp;" ",CB57)))),"")</f>
        <v>0</v>
      </c>
      <c r="BZ57" s="493" cm="1">
        <f t="array" ref="BZ57">IF(46=46,IF(AM57="","",SUMPRODUCT(--ISNUMBER(SEARCH(" "&amp;DJ1567:DJ1666&amp;" ",CB57)))),"")</f>
        <v>0</v>
      </c>
      <c r="CA57" s="493" cm="1">
        <f t="array" ref="CA57">IF(46=46,IF(AM57="","",SUMPRODUCT(--ISNUMBER(SEARCH(" "&amp;DJ1667:DJ1750&amp;" ",CB57)))),"")</f>
        <v>0</v>
      </c>
      <c r="CB57" s="493" t="str">
        <f>IF(46=46,IF(AM57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57,"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invisibles et autres “pollutions” ◄ 2️⃣ saisissez la largeur du document dans </v>
      </c>
      <c r="CC57" s="493" cm="1">
        <f t="array" ref="CC57">IF(46=46,IF(AM57="","",SUMPRODUCT(--ISNUMBER(SEARCH(" "&amp;DJ1801:DJ1880&amp;" ",CD57)))+SUMPRODUCT(--ISNUMBER(SEARCH(" "&amp;DJ2451:DJ2464&amp;" ",CD57)))),"")</f>
        <v>0</v>
      </c>
      <c r="CD57" s="493" t="str">
        <f>IF(46=46,IF(AM57="","",SUBSTITUTE(SUBSTITUTE(SUBSTITUTE(SUBSTITUTE(SUBSTITUTE(SUBSTITUTE(SUBSTITUTE(SUBSTITUTE(SUBSTITUTE(SUBSTITUTE(SUBSTITUTE(SUBSTITUTE(SUBSTITUTE(CB57," "&amp;DJ1887&amp;" "," ")," "&amp;DJ1885&amp;" "," ")," "&amp;DJ2449&amp;" "," ")," "&amp;DJ2450&amp;" "," ")," "&amp;DJ1882&amp;" "," ")," "&amp;DJ1886&amp;" "," ")," "&amp;DJ1888&amp;" "," ")," "&amp;DJ1883&amp;" "," ")," "&amp;DJ1881&amp;" "," ")," "&amp;DJ1378&amp;" "," ")," "&amp;DJ1889&amp;" "," ")," "&amp;DJ1377&amp;" "," ")," "&amp;DJ1884&amp;" "," ")),"")</f>
        <v xml:space="preserve"> invisibles et autres “pollutions” ◄ 2️⃣ saisissez la largeur du document dans </v>
      </c>
      <c r="CE57" s="493" t="str" cm="1">
        <f t="array" ref="CE57">IF(46=46,IF(AM57="","",IF(SUM(BY57:CA57)+SUMPRODUCT(--ISNUMBER(SEARCH(" "&amp;DJ2434:DJ2435&amp;" ",CB57)))&gt;0,"X",IF(CC57&gt;0,"?",""))),"")</f>
        <v/>
      </c>
      <c r="CF57" s="493" cm="1">
        <f t="array" ref="CF57">IF(46=46,IF(AM57="","",SUMPRODUCT(--ISNUMBER(SEARCH(" "&amp;DJ1890:DJ1947&amp;" ",CG57)))),"")</f>
        <v>0</v>
      </c>
      <c r="CG57" s="493" t="str">
        <f>IF(46=46,IF(AM57="","",SUBSTITUTE(SUBSTITUTE(SUBSTITUTE(SUBSTITUTE(SUBSTITUTE(SUBSTITUTE(SUBSTITUTE(SUBSTITUTE(SUBSTITUTE(SUBSTITUTE(SUBSTITUTE(SUBSTITUTE(SUBSTITUTE(SUBSTITUTE(SUBSTITUTE(SUBSTITUTE(SUBSTITUTE(SUBSTITUTE(SUBSTITUTE(SUBSTITUTE(SUBSTITUTE(SUBSTITUTE(SUBSTITUTE(AS57,"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invisibles et autres “pollutions” ◄ 2️⃣ saisissez la largeur du document dans </v>
      </c>
      <c r="CH57" s="493" cm="1">
        <f t="array" ref="CH57">IF(46=46,IF(AM57="","",SUMPRODUCT(--ISNUMBER(SEARCH(" "&amp;DJ1971:DJ1987&amp;" ",CG57)))),"")</f>
        <v>0</v>
      </c>
      <c r="CI57" s="493" t="str">
        <f>IF(46=46,IF(AM57="","",IF(CF57&gt;0,"X",IF(CH57&gt;0,"?",""))),"")</f>
        <v/>
      </c>
      <c r="CJ57" s="493" cm="1">
        <f t="array" ref="CJ57">IF(46=46,IF(AM57="","",SUMPRODUCT(--ISNUMBER(SEARCH(" "&amp;DJ1988:DJ2001&amp;" ",AS57)))),"")</f>
        <v>0</v>
      </c>
      <c r="CK57" s="493" cm="1">
        <f t="array" ref="CK57">IF(46=46,IF(AM57="","",SUMPRODUCT(--ISNUMBER(SEARCH(" "&amp;DJ2002:DJ2016&amp;" ",AS57)))),"")</f>
        <v>0</v>
      </c>
      <c r="CL57" s="493" t="str">
        <f>IF(46=46,IF(AM57="","",IF((CJ57)-(0)&gt;0,"X",IF((CK57)-(0)&gt;0,"?",""))),"")</f>
        <v/>
      </c>
      <c r="CM57" s="493" cm="1">
        <f t="array" ref="CM57">IF(46=46,IF(AM57="","",SUMPRODUCT(--ISNUMBER(SEARCH(" "&amp;DJ2017:DJ2034&amp;" ",AS57)))),"")</f>
        <v>0</v>
      </c>
      <c r="CN57" s="493" cm="1">
        <f t="array" ref="CN57">IF(46=46,IF(AM57="","",SUMPRODUCT(--ISNUMBER(SEARCH(" "&amp;DJ2035:DJ2049&amp;" ",AS57)))),"")</f>
        <v>0</v>
      </c>
      <c r="CO57" s="493" t="str">
        <f>IF(46=46,IF(AM57="","",IF((CM57)-(0)&gt;0,"X",IF((CN57)-(0)&gt;0,"?",""))),"")</f>
        <v/>
      </c>
      <c r="CP57" s="493" cm="1">
        <f t="array" ref="CP57">IF(46=46,IF(AM57="","",SUMPRODUCT(--ISNUMBER(SEARCH(" "&amp;DJ2050:DJ2068&amp;" ",AS57)))),"")</f>
        <v>0</v>
      </c>
      <c r="CQ57" s="493" cm="1">
        <f t="array" ref="CQ57">IF(46=46,IF(AM57="","",SUMPRODUCT(--ISNUMBER(SEARCH(" "&amp;DJ2069:DJ2083&amp;" ",AS57)))),"")</f>
        <v>0</v>
      </c>
      <c r="CR57" s="493" t="str">
        <f>IF(46=46,IF(AM57="","",IF((CP57)-(0)&gt;0,"X",IF((CQ57)-(0)&gt;0,"?",""))),"")</f>
        <v/>
      </c>
      <c r="CS57" s="493" cm="1">
        <f t="array" ref="CS57">IF(46=46,IF(AM57="","",SUMPRODUCT(--ISNUMBER(SEARCH(" "&amp;DJ2084:DJ2104&amp;" ",AS57)))),"")</f>
        <v>0</v>
      </c>
      <c r="CT57" s="493" cm="1">
        <f t="array" ref="CT57">IF(46=46,IF(AM57="","",SUMPRODUCT(--ISNUMBER(SEARCH(" "&amp;DJ2105:DJ2144&amp;" ",SUBSTITUTE(SUBSTITUTE(AS57," "&amp;DJ1378&amp;" "," ")," "&amp;DJ1377&amp;" "," "))))+--ISNUMBER(SEARCH("poiré",AN57))),"")</f>
        <v>0</v>
      </c>
      <c r="CU57" s="493" t="str">
        <f>IF(46=46,IF(AM57="","",IF(OR(CS57&gt;0,ISNUMBER(SEARCH(" vinaigre de vin ",AS57)),ISNUMBER(SEARCH(" vinaigre au vin ",AS57))),"X",IF(CT57&gt;0,"?",""))),"")</f>
        <v/>
      </c>
      <c r="CV57" s="493" cm="1">
        <f t="array" ref="CV57">IF(46=46,IF(AM57="","",SUMPRODUCT(--ISNUMBER(SEARCH(" "&amp;DJ2145:DJ2157&amp;" ",AS57)))),"")</f>
        <v>0</v>
      </c>
      <c r="CW57" s="493" cm="1">
        <f t="array" ref="CW57">IF(46=46,IF(AM57="","",SUMPRODUCT(--ISNUMBER(SEARCH(" "&amp;DJ2158:DJ2163&amp;" ",AS57)))),"")</f>
        <v>0</v>
      </c>
      <c r="CX57" s="493" t="str">
        <f>IF(46=46,IF(AM57="","",IF((CV57)-(0)&gt;0,"X",IF((CW57)-(0)&gt;0,"?",""))),"")</f>
        <v/>
      </c>
      <c r="CY57" s="493" cm="1">
        <f t="array" ref="CY57">IF(46=46,IF(AM57="","",SUMPRODUCT(--ISNUMBER(SEARCH(" "&amp;DJ2164:DJ2263&amp;" ",DB57)))),"")</f>
        <v>0</v>
      </c>
      <c r="CZ57" s="493" cm="1">
        <f t="array" ref="CZ57">IF(46=46,IF(AM57="","",SUMPRODUCT(--ISNUMBER(SEARCH(" "&amp;DJ2264:DJ2363&amp;" ",DB57)))),"")</f>
        <v>0</v>
      </c>
      <c r="DA57" s="493" cm="1">
        <f t="array" ref="DA57">IF(46=46,IF(AM57="","",SUMPRODUCT(--ISNUMBER(SEARCH(" "&amp;DJ2364:DJ2406&amp;" ",DB57)))),"")</f>
        <v>0</v>
      </c>
      <c r="DB57" s="493" t="str">
        <f>IF(46=46,IF(AM57="","",SUBSTITUTE(SUBSTITUTE(SUBSTITUTE(SUBSTITUTE(SUBSTITUTE(SUBSTITUTE(SUBSTITUTE(SUBSTITUTE(SUBSTITUTE(SUBSTITUTE(SUBSTITUTE(SUBSTITUTE(SUBSTITUTE(SUBSTITUTE(SUBSTITUTE(SUBSTITUTE(AS57," "&amp;DJ2412&amp;" "," ")," "&amp;DJ2411&amp;" "," ")," "&amp;DJ2410&amp;" "," ")," "&amp;DJ2417&amp;" "," ")," "&amp;DJ2409&amp;" "," ")," "&amp;DJ2421&amp;" "," ")," "&amp;DJ2408&amp;" "," ")," "&amp;DJ2413&amp;" "," ")," "&amp;DJ2416&amp;" "," ")," "&amp;DJ2407&amp;" "," ")," "&amp;DJ2415&amp;" "," ")," "&amp;DJ2422&amp;" "," ")," "&amp;DJ2419&amp;" "," ")," "&amp;DJ2414&amp;" "," ")," "&amp;DJ2418&amp;" "," ")," "&amp;DJ2420&amp;" "," ")),"")</f>
        <v xml:space="preserve"> invisibles et autres “pollutions” ◄ 2️⃣ saisissez la largeur du document dans </v>
      </c>
      <c r="DC57" s="493" cm="1">
        <f t="array" ref="DC57">IF(46=46,IF(AM57="","",SUMPRODUCT(--ISNUMBER(SEARCH(" "&amp;DJ2423:DJ2427&amp;" ",DB57)))),"")</f>
        <v>0</v>
      </c>
      <c r="DD57" s="493" t="str">
        <f>IF(46=46,IF(AM57="","",IF(SUM(CY57:DA57)&gt;0,"X",IF(DC57&gt;0,"?",""))),"")</f>
        <v/>
      </c>
      <c r="DE57" s="494"/>
      <c r="DF57" s="496" t="s">
        <v>1221</v>
      </c>
      <c r="DG57" s="496" t="s">
        <v>1083</v>
      </c>
      <c r="DH57" s="496" t="s">
        <v>689</v>
      </c>
      <c r="DI57" s="496" t="s">
        <v>1222</v>
      </c>
      <c r="DJ57" s="496" t="s">
        <v>1222</v>
      </c>
      <c r="DK57" s="496" t="s">
        <v>1085</v>
      </c>
      <c r="DL57" s="496" t="s">
        <v>1086</v>
      </c>
      <c r="DM57" s="496" t="s">
        <v>1087</v>
      </c>
      <c r="DN57" s="497" t="s">
        <v>1088</v>
      </c>
      <c r="DP57" s="543">
        <v>1</v>
      </c>
    </row>
    <row r="58" spans="2:120" ht="30" customHeight="1">
      <c r="B58" s="663" t="str">
        <f t="shared" si="0"/>
        <v/>
      </c>
      <c r="C58" s="663" t="str">
        <f t="shared" si="1"/>
        <v/>
      </c>
      <c r="D58" s="663" t="str">
        <f>IF(UPPER(TRIM(N11))="X",C58,B58)</f>
        <v/>
      </c>
      <c r="E58" s="663" cm="1">
        <f t="array" ref="E58">IF(H57&lt;&gt;"",E57,IF(E57="","",IFERROR(MATCH(TRUE(),INDEX(INDEX(K:K,E57+1):K203&lt;&gt;"",0),0)+E57,"")))</f>
        <v>203</v>
      </c>
      <c r="F58" s="663" t="str" cm="1">
        <f t="array" ref="F58">IF(E58="","",IF(H57&lt;&gt;"",H57,INDEX(D:D,E58)))</f>
        <v>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G58" s="663" t="str">
        <f t="shared" si="2"/>
        <v xml:space="preserve">lequel vous collerez ensuite le texte. ◄ 3️⃣ saisissez un nombre de caractères </v>
      </c>
      <c r="H58" s="673" t="str">
        <f t="shared" si="3"/>
        <v>par lignes ◄ 4️⃣ Si vous ne voulez pas de ponctuation saisissez un X dans la cellule - Ensuite, dans la colonne B copiez le texte nettoyé - puis dans votre document faites Collage spécial &gt; 1.2.3 Valeurs pour ne coller que le texte, sans formules.</v>
      </c>
      <c r="I58" s="680" t="str">
        <f>IF(AND(F58&lt;&gt;"",N10&gt;0,M58&gt;N10),"Mot &gt; limite","")</f>
        <v/>
      </c>
      <c r="J58" s="674" t="str">
        <f>IF(K58="","",COUNTIF(K18:K58,"&lt;&gt;"))</f>
        <v/>
      </c>
      <c r="K58" s="675"/>
      <c r="L58" s="674" t="str">
        <f t="shared" si="4"/>
        <v/>
      </c>
      <c r="M58" s="643">
        <f>IF(OR(F58="",N10="",N10&lt;=0),"",IF(LEN(F58)&lt;=N10,LEN(F58),IFERROR(FIND("♦",SUBSTITUTE(LEFT(F58,N10)," ","♦",LEN(LEFT(F58,N10))-LEN(SUBSTITUTE(LEFT(F58,N10)," ","")))),FIND(" ",F58&amp;" ",N10+1)-1)))</f>
        <v>79</v>
      </c>
      <c r="N58" s="676">
        <f t="shared" si="5"/>
        <v>41</v>
      </c>
      <c r="O58" s="677" t="str">
        <f t="shared" si="6"/>
        <v xml:space="preserve">lequel vous collerez ensuite le texte. ◄ 3️⃣ saisissez un nombre de caractères </v>
      </c>
      <c r="P58" s="676">
        <f t="shared" si="7"/>
        <v>13</v>
      </c>
      <c r="Q58" s="676">
        <f t="shared" si="8"/>
        <v>79</v>
      </c>
      <c r="S58" s="509">
        <v>41</v>
      </c>
      <c r="T58" s="678" t="str">
        <f t="shared" si="10"/>
        <v xml:space="preserve">lequel vous collerez ensuite le texte. ◄ 3️⃣ saisissez un nombre de caractères </v>
      </c>
      <c r="U58" s="679" t="str">
        <f t="shared" si="11"/>
        <v>lequel vous collerez ensuite le texte. ◄ 3️⃣ saisissez un nombre de caractères</v>
      </c>
      <c r="V58" s="512" t="str">
        <f>IF(47=47,IF(T58="","",IF(W58="X",""&amp;"Céréales contenant du gluten","")&amp;IF(X58="X",IF(COUNTIF(W58:W58,"X")&gt;0,", ","")&amp;"Crustacés","")&amp;IF(Y58="X",IF(COUNTIF(W58:X58,"X")&gt;0,", ","")&amp;"Œufs","")&amp;IF(Z58="X",IF(COUNTIF(W58:Y58,"X")&gt;0,", ","")&amp;"Poissons","")&amp;IF(AA58="X",IF(COUNTIF(W58:Z58,"X")&gt;0,", ","")&amp;"Arachides","")&amp;IF(AB58="X",IF(COUNTIF(W58:AA58,"X")&gt;0,", ","")&amp;"Soja","")&amp;IF(AC58="X",IF(COUNTIF(W58:AB58,"X")&gt;0,", ","")&amp;"Lait","")&amp;IF(AD58="X",IF(COUNTIF(W58:AC58,"X")&gt;0,", ","")&amp;"Fruits à coque","")&amp;IF(AE58="X",IF(COUNTIF(W58:AD58,"X")&gt;0,", ","")&amp;"Céleri","")&amp;IF(AF58="X",IF(COUNTIF(W58:AE58,"X")&gt;0,", ","")&amp;"Moutarde","")&amp;IF(AG58="X",IF(COUNTIF(W58:AF58,"X")&gt;0,", ","")&amp;"Sésame","")&amp;IF(AH58="X",IF(COUNTIF(W58:AG58,"X")&gt;0,", ","")&amp;"Sulfites","")&amp;IF(AI58="X",IF(COUNTIF(W58:AH58,"X")&gt;0,", ","")&amp;"Lupin","")&amp;IF(AJ58="X",IF(COUNTIF(W58:AI58,"X")&gt;0,", ","")&amp;"Mollusques","")),"")</f>
        <v/>
      </c>
      <c r="W58" s="513" t="str">
        <f>IF(47=47,IF(T58="","",AX58),"")</f>
        <v/>
      </c>
      <c r="X58" s="513" t="str">
        <f>IF(47=47,IF(T58="","",BA58),"")</f>
        <v/>
      </c>
      <c r="Y58" s="513" t="str">
        <f>IF(47=47,IF(T58="","",BE58),"")</f>
        <v/>
      </c>
      <c r="Z58" s="513" t="str">
        <f>IF(47=47,IF(T58="","",IF(ISNUMBER(SEARCH(" colin ",AS58)),"X",BR58)),"")</f>
        <v/>
      </c>
      <c r="AA58" s="513" t="str">
        <f>IF(47=47,IF(T58="","",BT58),"")</f>
        <v/>
      </c>
      <c r="AB58" s="513" t="str">
        <f>IF(47=47,IF(T58="","",BX58),"")</f>
        <v/>
      </c>
      <c r="AC58" s="513" t="str">
        <f>IF(47=47,IF(T58="","",CE58),"")</f>
        <v/>
      </c>
      <c r="AD58" s="513" t="str">
        <f>IF(47=47,IF(T58="","",CI58),"")</f>
        <v/>
      </c>
      <c r="AE58" s="513" t="str">
        <f>IF(47=47,IF(T58="","",CL58),"")</f>
        <v/>
      </c>
      <c r="AF58" s="513" t="str">
        <f>IF(47=47,IF(T58="","",CO58),"")</f>
        <v/>
      </c>
      <c r="AG58" s="513" t="str">
        <f>IF(47=47,IF(T58="","",CR58),"")</f>
        <v/>
      </c>
      <c r="AH58" s="513" t="str">
        <f>IF(47=47,IF(T58="","",CU58),"")</f>
        <v/>
      </c>
      <c r="AI58" s="513" t="str">
        <f>IF(47=47,IF(T58="","",CX58),"")</f>
        <v/>
      </c>
      <c r="AJ58" s="513" t="str">
        <f>IF(47=47,IF(T58="","",DD58),"")</f>
        <v/>
      </c>
      <c r="AK58" s="514" t="str">
        <f>IF(47=47,IF(T58="","",IF(W58="?",""&amp;"Céréales contenant du gluten","")&amp;IF(X58="?",IF(COUNTIF(W58:W58,"~?")&gt;0,", ","")&amp;"Crustacés","")&amp;IF(Y58="?",IF(COUNTIF(W58:X58,"~?")&gt;0,", ","")&amp;"Œufs","")&amp;IF(Z58="?",IF(COUNTIF(W58:Y58,"~?")&gt;0,", ","")&amp;"Poissons","")&amp;IF(AA58="?",IF(COUNTIF(W58:Z58,"~?")&gt;0,", ","")&amp;"Arachides","")&amp;IF(AB58="?",IF(COUNTIF(W58:AA58,"~?")&gt;0,", ","")&amp;"Soja","")&amp;IF(AC58="?",IF(COUNTIF(W58:AB58,"~?")&gt;0,", ","")&amp;"Lait","")&amp;IF(AD58="?",IF(COUNTIF(W58:AC58,"~?")&gt;0,", ","")&amp;"Fruits à coque","")&amp;IF(AE58="?",IF(COUNTIF(W58:AD58,"~?")&gt;0,", ","")&amp;"Céleri","")&amp;IF(AF58="?",IF(COUNTIF(W58:AE58,"~?")&gt;0,", ","")&amp;"Moutarde","")&amp;IF(AG58="?",IF(COUNTIF(W58:AF58,"~?")&gt;0,", ","")&amp;"Sésame","")&amp;IF(AH58="?",IF(COUNTIF(W58:AG58,"~?")&gt;0,", ","")&amp;"Sulfites","")&amp;IF(AI58="?",IF(COUNTIF(W58:AH58,"~?")&gt;0,", ","")&amp;"Lupin","")&amp;IF(AJ58="?",IF(COUNTIF(W58:AI58,"~?")&gt;0,", ","")&amp;"Mollusques","")),"")</f>
        <v/>
      </c>
      <c r="AM58" s="493" t="str">
        <f>IF(47=47,IF(T58="","",T58),"")</f>
        <v xml:space="preserve">lequel vous collerez ensuite le texte. ◄ 3️⃣ saisissez un nombre de caractères </v>
      </c>
      <c r="AN58" s="493" t="str">
        <f>IF(47=47,LOWER(CLEAN(SUBSTITUTE(SUBSTITUTE(SUBSTITUTE(SUBSTITUTE(AM58,CHAR(160)," ")," "," "),CHAR(10)," "),CHAR(13)," "))),"")</f>
        <v xml:space="preserve">lequel vous collerez ensuite le texte. ◄ 3️⃣ saisissez un nombre de caractères </v>
      </c>
      <c r="AO58" s="493" t="str">
        <f>IF(47=47,SUBSTITUTE(SUBSTITUTE(SUBSTITUTE(SUBSTITUTE(SUBSTITUTE(SUBSTITUTE(SUBSTITUTE(SUBSTITUTE(SUBSTITUTE(SUBSTITUTE(SUBSTITUTE(SUBSTITUTE(AN58,"œ","oe"),"æ","ae"),"à","a"),"á","a"),"â","a"),"ä","a"),"ã","a"),"ç","c"),"è","e"),"é","e"),"ê","e"),"ë","e"),"")</f>
        <v xml:space="preserve">lequel vous collerez ensuite le texte. ◄ 3️⃣ saisissez un nombre de caracteres </v>
      </c>
      <c r="AP58" s="493" t="str">
        <f>IF(47=47,SUBSTITUTE(SUBSTITUTE(SUBSTITUTE(SUBSTITUTE(SUBSTITUTE(SUBSTITUTE(SUBSTITUTE(SUBSTITUTE(SUBSTITUTE(SUBSTITUTE(SUBSTITUTE(SUBSTITUTE(SUBSTITUTE(SUBSTITUTE(SUBSTITUTE(SUBSTITUTE(AO58,"ì","i"),"í","i"),"î","i"),"ï","i"),"ñ","n"),"ò","o"),"ó","o"),"ô","o"),"ö","o"),"õ","o"),"ù","u"),"ú","u"),"û","u"),"ü","u"),"ý","y"),"ÿ","y"),"")</f>
        <v xml:space="preserve">lequel vous collerez ensuite le texte. ◄ 3️⃣ saisissez un nombre de caracteres </v>
      </c>
      <c r="AQ58" s="493" t="str">
        <f>IF(47=47,SUBSTITUTE(SUBSTITUTE(SUBSTITUTE(SUBSTITUTE(SUBSTITUTE(SUBSTITUTE(SUBSTITUTE(SUBSTITUTE(SUBSTITUTE(SUBSTITUTE(SUBSTITUTE(SUBSTITUTE(SUBSTITUTE(SUBSTITUTE(AP58,"’"," "),"`"," "),"–"," "),"—"," "),"-"," "),"'"," "),"/"," "),"_"," "),","," "),"."," "),"("," "),")"," "),";"," "),":"," "),"")</f>
        <v xml:space="preserve">lequel vous collerez ensuite le texte  ◄ 3️⃣ saisissez un nombre de caracteres </v>
      </c>
      <c r="AR58" s="493" t="str">
        <f>IF(47=47,SUBSTITUTE(SUBSTITUTE(SUBSTITUTE(SUBSTITUTE(SUBSTITUTE(SUBSTITUTE(SUBSTITUTE(SUBSTITUTE(SUBSTITUTE(SUBSTITUTE(SUBSTITUTE(SUBSTITUTE(SUBSTITUTE(SUBSTITUTE(SUBSTITUTE(AQ58,"!"," "),"?"," "),"+"," "),"*"," "),"&amp;"," "),"["," "),"]"," "),"{"," "),"}"," "),"%"," "),"="," "),"\"," "),"|"," "),"&lt;"," "),"&gt;"," "),"")</f>
        <v xml:space="preserve">lequel vous collerez ensuite le texte  ◄ 3️⃣ saisissez un nombre de caracteres </v>
      </c>
      <c r="AS58" s="493" t="str">
        <f>IF(47=47," "&amp;TRIM(SUBSTITUTE(SUBSTITUTE(SUBSTITUTE(SUBSTITUTE(SUBSTITUTE(SUBSTITUTE(AR58,CHAR(34)," "),"  "," "),"  "," "),"  "," "),"  "," "),"  "," "))&amp;" ","")</f>
        <v xml:space="preserve"> lequel vous collerez ensuite le texte ◄ 3️⃣ saisissez un nombre de caracteres </v>
      </c>
      <c r="AT58" s="493" cm="1">
        <f t="array" ref="AT58">IF(47=47,IF(AM58="","",SUMPRODUCT(--ISNUMBER(SEARCH(" "&amp;DJ13:DJ112&amp;" ",AV58)))),"")</f>
        <v>0</v>
      </c>
      <c r="AU58" s="493" cm="1">
        <f t="array" ref="AU58">IF(47=47,IF(AM58="","",SUMPRODUCT(--ISNUMBER(SEARCH(" "&amp;DJ113:DJ162&amp;" ",AV58)))),"")</f>
        <v>0</v>
      </c>
      <c r="AV58" s="493" t="str">
        <f>IF(AM58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58,"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lequel vous collerez ensuite le texte ◄ 3️⃣ saisissez un nombre de caracteres </v>
      </c>
      <c r="AW58" s="493" cm="1">
        <f t="array" ref="AW58">IF(AM58="","",SUMPRODUCT(--ISNUMBER(SEARCH(" "&amp;DJ195:DJ216&amp;" ",AV58)))+--ISNUMBER(SEARCH(" "&amp;DJ2465&amp;" ",AV58)))</f>
        <v>0</v>
      </c>
      <c r="AX58" s="493" t="str" cm="1">
        <f t="array" ref="AX58">IF(47=47,IF(AM58="","",IF(SUM(AT58:AU58)+SUMPRODUCT(--ISNUMBER(SEARCH(" "&amp;DJ2429:DJ2431&amp;" ",AV58)))&gt;0,"X",IF(AW58&gt;0,"?",""))),"")</f>
        <v/>
      </c>
      <c r="AY58" s="493" cm="1">
        <f t="array" ref="AY58">IF(47=47,IF(AM58="","",SUMPRODUCT(--ISNUMBER(SEARCH(" "&amp;DJ217:DJ316&amp;" ",AS58)))),"")</f>
        <v>0</v>
      </c>
      <c r="AZ58" s="493" cm="1">
        <f t="array" ref="AZ58">IF(47=47,IF(AM58="","",SUMPRODUCT(--ISNUMBER(SEARCH(" "&amp;DJ317:DJ351&amp;" ",AS58)))),"")</f>
        <v>0</v>
      </c>
      <c r="BA58" s="493" t="str">
        <f>IF(47=47,IF(AM58="","",IF((SUM(AY58:AZ58))-(0)&gt;0,"X",IF((0)-(0)&gt;0,"?",""))),"")</f>
        <v/>
      </c>
      <c r="BB58" s="493" cm="1">
        <f t="array" ref="BB58">IF(47=47,IF(AM58="","",SUMPRODUCT(--ISNUMBER(SEARCH(" "&amp;DJ352:DJ409&amp;" ",AS58)))),"")</f>
        <v>0</v>
      </c>
      <c r="BC58" s="493" cm="1">
        <f t="array" ref="BC58">IF(47=47,IF(AM58="","",SUMPRODUCT(--ISNUMBER(SEARCH(" "&amp;DJ410:DJ437&amp;" ",BD58)))+SUMPRODUCT(--ISNUMBER(SEARCH(" "&amp;DJ2451:DJ2464&amp;" ",BD58)))),"")</f>
        <v>0</v>
      </c>
      <c r="BD58" s="493" t="str">
        <f>IF(47=47,IF(AM58="","",SUBSTITUTE(SUBSTITUTE(SUBSTITUTE(SUBSTITUTE(SUBSTITUTE(SUBSTITUTE(SUBSTITUTE(SUBSTITUTE(SUBSTITUTE(SUBSTITUTE(SUBSTITUTE(SUBSTITUTE(SUBSTITUTE(SUBSTITUTE(AS58," "&amp;DJ2466&amp;" "," ")," "&amp;DJ444&amp;" "," ")," "&amp;DJ442&amp;" "," ")," "&amp;DJ2449&amp;" "," ")," "&amp;DJ2450&amp;" "," ")," "&amp;DJ439&amp;" "," ")," "&amp;DJ443&amp;" "," ")," "&amp;DJ445&amp;" "," ")," "&amp;DJ440&amp;" "," ")," "&amp;DJ438&amp;" "," ")," "&amp;DJ1378&amp;" "," ")," "&amp;DJ446&amp;" "," ")," "&amp;DJ1377&amp;" "," ")," "&amp;DJ441&amp;" "," ")),"")</f>
        <v xml:space="preserve"> lequel vous collerez ensuite le texte ◄ 3️⃣ saisissez un nombre de caracteres </v>
      </c>
      <c r="BE58" s="493" t="str">
        <f>IF(47=47,IF(AM58="","",IF(BB58&gt;0,"X",IF(BC58&gt;0,"?",""))),"")</f>
        <v/>
      </c>
      <c r="BF58" s="493" cm="1">
        <f t="array" ref="BF58">IF(47=47,IF(AM58="","",SUMPRODUCT(--ISNUMBER(SEARCH(" "&amp;DJ447:DJ546&amp;" ",BP58)))),"")</f>
        <v>0</v>
      </c>
      <c r="BG58" s="493" cm="1">
        <f t="array" ref="BG58">IF(47=47,IF(AM58="","",SUMPRODUCT(--ISNUMBER(SEARCH(" "&amp;DJ547:DJ646&amp;" ",BP58)))),"")</f>
        <v>0</v>
      </c>
      <c r="BH58" s="493" cm="1">
        <f t="array" ref="BH58">IF(47=47,IF(AM58="","",SUMPRODUCT(--ISNUMBER(SEARCH(" "&amp;DJ647:DJ746&amp;" ",BP58)))),"")</f>
        <v>0</v>
      </c>
      <c r="BI58" s="493" cm="1">
        <f t="array" ref="BI58">IF(47=47,IF(AM58="","",SUMPRODUCT(--ISNUMBER(SEARCH(" "&amp;DJ747:DJ846&amp;" ",BP58)))),"")</f>
        <v>0</v>
      </c>
      <c r="BJ58" s="493" cm="1">
        <f t="array" ref="BJ58">IF(47=47,IF(AM58="","",SUMPRODUCT(--ISNUMBER(SEARCH(" "&amp;DJ847:DJ946&amp;" ",BP58)))),"")</f>
        <v>0</v>
      </c>
      <c r="BK58" s="493" cm="1">
        <f t="array" ref="BK58">IF(47=47,IF(AM58="","",SUMPRODUCT(--ISNUMBER(SEARCH(" "&amp;DJ947:DJ1046&amp;" ",BP58)))),"")</f>
        <v>0</v>
      </c>
      <c r="BL58" s="493" cm="1">
        <f t="array" ref="BL58">IF(47=47,IF(AM58="","",SUMPRODUCT(--ISNUMBER(SEARCH(" "&amp;DJ1047:DJ1146&amp;" ",BP58)))),"")</f>
        <v>0</v>
      </c>
      <c r="BM58" s="493" cm="1">
        <f t="array" ref="BM58">IF(47=47,IF(AM58="","",SUMPRODUCT(--ISNUMBER(SEARCH(" "&amp;DJ1147:DJ1246&amp;" ",BP58)))),"")</f>
        <v>0</v>
      </c>
      <c r="BN58" s="493" cm="1">
        <f t="array" ref="BN58">IF(47=47,IF(AM58="","",SUMPRODUCT(--ISNUMBER(SEARCH(" "&amp;DJ1247:DJ1346&amp;" ",BP58)))),"")</f>
        <v>0</v>
      </c>
      <c r="BO58" s="493" cm="1">
        <f t="array" ref="BO58">IF(47=47,IF(AM58="","",SUMPRODUCT(--ISNUMBER(SEARCH(" "&amp;DJ1347:DJ1374&amp;" ",BP58)))),"")</f>
        <v>0</v>
      </c>
      <c r="BP58" s="493" t="str">
        <f>IF(47=47,IF(AM58="","",SUBSTITUTE(SUBSTITUTE(SUBSTITUTE(SUBSTITUTE(SUBSTITUTE(SUBSTITUTE(SUBSTITUTE(SUBSTITUTE(SUBSTITUTE(AS58," "&amp;DJ1376&amp;" "," ")," "&amp;DJ1375&amp;" "," ")," "&amp;DJ1381&amp;" "," ")," "&amp;DJ1382&amp;" "," ")," "&amp;DJ1378&amp;" "," ")," "&amp;DJ1380&amp;" "," ")," "&amp;DJ1377&amp;" "," ")," "&amp;DJ1379&amp;" "," ")," "&amp;DJ1383&amp;" "," ")),"")</f>
        <v xml:space="preserve"> lequel vous collerez ensuite le texte ◄ 3️⃣ saisissez un nombre de caracteres </v>
      </c>
      <c r="BQ58" s="493" cm="1">
        <f t="array" ref="BQ58">IF(47=47,IF(AM58="","",SUMPRODUCT(--ISNUMBER(SEARCH(" "&amp;DJ1384:DJ1394&amp;" ",BP58)))),"")</f>
        <v>0</v>
      </c>
      <c r="BR58" s="493" t="str" cm="1">
        <f t="array" ref="BR58">IF(47=47,IF(AM58="","",IF(SUM(BF58:BO58)+SUMPRODUCT(--ISNUMBER(SEARCH(" "&amp;DJ2432:DJ2433&amp;" ",BP58)))&gt;0,"X",IF(BQ58&gt;0,"?",""))),"")</f>
        <v/>
      </c>
      <c r="BS58" s="493" cm="1">
        <f t="array" ref="BS58">IF(47=47,IF(AM58="","",SUMPRODUCT(--ISNUMBER(SEARCH(" "&amp;DJ1395:DJ1415&amp;" ",AS58)))),"")</f>
        <v>0</v>
      </c>
      <c r="BT58" s="493" t="str">
        <f>IF(47=47,IF(AM58="","",IF((BS58)-(0)&gt;0,"X",IF((0)-(0)&gt;0,"?",""))),"")</f>
        <v/>
      </c>
      <c r="BU58" s="493" cm="1">
        <f t="array" ref="BU58">IF(47=47,IF(AM58="","",SUMPRODUCT(--ISNUMBER(SEARCH(" "&amp;DJ1416:DJ1453&amp;" ",BV58)))),"")</f>
        <v>0</v>
      </c>
      <c r="BV58" s="493" t="str">
        <f>IF(47=47,IF(AM58="","",SUBSTITUTE(SUBSTITUTE(AS58," "&amp;DJ1454&amp;" "," ")," "&amp;DJ1455&amp;" "," ")),"")</f>
        <v xml:space="preserve"> lequel vous collerez ensuite le texte ◄ 3️⃣ saisissez un nombre de caracteres </v>
      </c>
      <c r="BW58" s="493" cm="1">
        <f t="array" ref="BW58">IF(47=47,IF(AM58="","",SUMPRODUCT(--ISNUMBER(SEARCH(" "&amp;DJ1456:DJ1466&amp;" ",BV58)))),"")</f>
        <v>0</v>
      </c>
      <c r="BX58" s="493" t="str">
        <f>IF(47=47,IF(AM58="","",IF(BU58&gt;0,"X",IF(BW58&gt;0,"?",""))),"")</f>
        <v/>
      </c>
      <c r="BY58" s="493" cm="1">
        <f t="array" ref="BY58">IF(47=47,IF(AM58="","",SUMPRODUCT(--ISNUMBER(SEARCH(" "&amp;DJ1467:DJ1566&amp;" ",CB58)))),"")</f>
        <v>0</v>
      </c>
      <c r="BZ58" s="493" cm="1">
        <f t="array" ref="BZ58">IF(47=47,IF(AM58="","",SUMPRODUCT(--ISNUMBER(SEARCH(" "&amp;DJ1567:DJ1666&amp;" ",CB58)))),"")</f>
        <v>0</v>
      </c>
      <c r="CA58" s="493" cm="1">
        <f t="array" ref="CA58">IF(47=47,IF(AM58="","",SUMPRODUCT(--ISNUMBER(SEARCH(" "&amp;DJ1667:DJ1750&amp;" ",CB58)))),"")</f>
        <v>0</v>
      </c>
      <c r="CB58" s="493" t="str">
        <f>IF(47=47,IF(AM58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58,"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lequel vous collerez ensuite le texte ◄ 3️⃣ saisissez un nombre de caracteres </v>
      </c>
      <c r="CC58" s="493" cm="1">
        <f t="array" ref="CC58">IF(47=47,IF(AM58="","",SUMPRODUCT(--ISNUMBER(SEARCH(" "&amp;DJ1801:DJ1880&amp;" ",CD58)))+SUMPRODUCT(--ISNUMBER(SEARCH(" "&amp;DJ2451:DJ2464&amp;" ",CD58)))),"")</f>
        <v>0</v>
      </c>
      <c r="CD58" s="493" t="str">
        <f>IF(47=47,IF(AM58="","",SUBSTITUTE(SUBSTITUTE(SUBSTITUTE(SUBSTITUTE(SUBSTITUTE(SUBSTITUTE(SUBSTITUTE(SUBSTITUTE(SUBSTITUTE(SUBSTITUTE(SUBSTITUTE(SUBSTITUTE(SUBSTITUTE(CB58," "&amp;DJ1887&amp;" "," ")," "&amp;DJ1885&amp;" "," ")," "&amp;DJ2449&amp;" "," ")," "&amp;DJ2450&amp;" "," ")," "&amp;DJ1882&amp;" "," ")," "&amp;DJ1886&amp;" "," ")," "&amp;DJ1888&amp;" "," ")," "&amp;DJ1883&amp;" "," ")," "&amp;DJ1881&amp;" "," ")," "&amp;DJ1378&amp;" "," ")," "&amp;DJ1889&amp;" "," ")," "&amp;DJ1377&amp;" "," ")," "&amp;DJ1884&amp;" "," ")),"")</f>
        <v xml:space="preserve"> lequel vous collerez ensuite le texte ◄ 3️⃣ saisissez un nombre de caracteres </v>
      </c>
      <c r="CE58" s="493" t="str" cm="1">
        <f t="array" ref="CE58">IF(47=47,IF(AM58="","",IF(SUM(BY58:CA58)+SUMPRODUCT(--ISNUMBER(SEARCH(" "&amp;DJ2434:DJ2435&amp;" ",CB58)))&gt;0,"X",IF(CC58&gt;0,"?",""))),"")</f>
        <v/>
      </c>
      <c r="CF58" s="493" cm="1">
        <f t="array" ref="CF58">IF(47=47,IF(AM58="","",SUMPRODUCT(--ISNUMBER(SEARCH(" "&amp;DJ1890:DJ1947&amp;" ",CG58)))),"")</f>
        <v>0</v>
      </c>
      <c r="CG58" s="493" t="str">
        <f>IF(47=47,IF(AM58="","",SUBSTITUTE(SUBSTITUTE(SUBSTITUTE(SUBSTITUTE(SUBSTITUTE(SUBSTITUTE(SUBSTITUTE(SUBSTITUTE(SUBSTITUTE(SUBSTITUTE(SUBSTITUTE(SUBSTITUTE(SUBSTITUTE(SUBSTITUTE(SUBSTITUTE(SUBSTITUTE(SUBSTITUTE(SUBSTITUTE(SUBSTITUTE(SUBSTITUTE(SUBSTITUTE(SUBSTITUTE(SUBSTITUTE(AS58,"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lequel vous collerez ensuite le texte ◄ 3️⃣ saisissez un nombre de caracteres </v>
      </c>
      <c r="CH58" s="493" cm="1">
        <f t="array" ref="CH58">IF(47=47,IF(AM58="","",SUMPRODUCT(--ISNUMBER(SEARCH(" "&amp;DJ1971:DJ1987&amp;" ",CG58)))),"")</f>
        <v>0</v>
      </c>
      <c r="CI58" s="493" t="str">
        <f>IF(47=47,IF(AM58="","",IF(CF58&gt;0,"X",IF(CH58&gt;0,"?",""))),"")</f>
        <v/>
      </c>
      <c r="CJ58" s="493" cm="1">
        <f t="array" ref="CJ58">IF(47=47,IF(AM58="","",SUMPRODUCT(--ISNUMBER(SEARCH(" "&amp;DJ1988:DJ2001&amp;" ",AS58)))),"")</f>
        <v>0</v>
      </c>
      <c r="CK58" s="493" cm="1">
        <f t="array" ref="CK58">IF(47=47,IF(AM58="","",SUMPRODUCT(--ISNUMBER(SEARCH(" "&amp;DJ2002:DJ2016&amp;" ",AS58)))),"")</f>
        <v>0</v>
      </c>
      <c r="CL58" s="493" t="str">
        <f>IF(47=47,IF(AM58="","",IF((CJ58)-(0)&gt;0,"X",IF((CK58)-(0)&gt;0,"?",""))),"")</f>
        <v/>
      </c>
      <c r="CM58" s="493" cm="1">
        <f t="array" ref="CM58">IF(47=47,IF(AM58="","",SUMPRODUCT(--ISNUMBER(SEARCH(" "&amp;DJ2017:DJ2034&amp;" ",AS58)))),"")</f>
        <v>0</v>
      </c>
      <c r="CN58" s="493" cm="1">
        <f t="array" ref="CN58">IF(47=47,IF(AM58="","",SUMPRODUCT(--ISNUMBER(SEARCH(" "&amp;DJ2035:DJ2049&amp;" ",AS58)))),"")</f>
        <v>0</v>
      </c>
      <c r="CO58" s="493" t="str">
        <f>IF(47=47,IF(AM58="","",IF((CM58)-(0)&gt;0,"X",IF((CN58)-(0)&gt;0,"?",""))),"")</f>
        <v/>
      </c>
      <c r="CP58" s="493" cm="1">
        <f t="array" ref="CP58">IF(47=47,IF(AM58="","",SUMPRODUCT(--ISNUMBER(SEARCH(" "&amp;DJ2050:DJ2068&amp;" ",AS58)))),"")</f>
        <v>0</v>
      </c>
      <c r="CQ58" s="493" cm="1">
        <f t="array" ref="CQ58">IF(47=47,IF(AM58="","",SUMPRODUCT(--ISNUMBER(SEARCH(" "&amp;DJ2069:DJ2083&amp;" ",AS58)))),"")</f>
        <v>0</v>
      </c>
      <c r="CR58" s="493" t="str">
        <f>IF(47=47,IF(AM58="","",IF((CP58)-(0)&gt;0,"X",IF((CQ58)-(0)&gt;0,"?",""))),"")</f>
        <v/>
      </c>
      <c r="CS58" s="493" cm="1">
        <f t="array" ref="CS58">IF(47=47,IF(AM58="","",SUMPRODUCT(--ISNUMBER(SEARCH(" "&amp;DJ2084:DJ2104&amp;" ",AS58)))),"")</f>
        <v>0</v>
      </c>
      <c r="CT58" s="493" cm="1">
        <f t="array" ref="CT58">IF(47=47,IF(AM58="","",SUMPRODUCT(--ISNUMBER(SEARCH(" "&amp;DJ2105:DJ2144&amp;" ",SUBSTITUTE(SUBSTITUTE(AS58," "&amp;DJ1378&amp;" "," ")," "&amp;DJ1377&amp;" "," "))))+--ISNUMBER(SEARCH("poiré",AN58))),"")</f>
        <v>0</v>
      </c>
      <c r="CU58" s="493" t="str">
        <f>IF(47=47,IF(AM58="","",IF(OR(CS58&gt;0,ISNUMBER(SEARCH(" vinaigre de vin ",AS58)),ISNUMBER(SEARCH(" vinaigre au vin ",AS58))),"X",IF(CT58&gt;0,"?",""))),"")</f>
        <v/>
      </c>
      <c r="CV58" s="493" cm="1">
        <f t="array" ref="CV58">IF(47=47,IF(AM58="","",SUMPRODUCT(--ISNUMBER(SEARCH(" "&amp;DJ2145:DJ2157&amp;" ",AS58)))),"")</f>
        <v>0</v>
      </c>
      <c r="CW58" s="493" cm="1">
        <f t="array" ref="CW58">IF(47=47,IF(AM58="","",SUMPRODUCT(--ISNUMBER(SEARCH(" "&amp;DJ2158:DJ2163&amp;" ",AS58)))),"")</f>
        <v>0</v>
      </c>
      <c r="CX58" s="493" t="str">
        <f>IF(47=47,IF(AM58="","",IF((CV58)-(0)&gt;0,"X",IF((CW58)-(0)&gt;0,"?",""))),"")</f>
        <v/>
      </c>
      <c r="CY58" s="493" cm="1">
        <f t="array" ref="CY58">IF(47=47,IF(AM58="","",SUMPRODUCT(--ISNUMBER(SEARCH(" "&amp;DJ2164:DJ2263&amp;" ",DB58)))),"")</f>
        <v>0</v>
      </c>
      <c r="CZ58" s="493" cm="1">
        <f t="array" ref="CZ58">IF(47=47,IF(AM58="","",SUMPRODUCT(--ISNUMBER(SEARCH(" "&amp;DJ2264:DJ2363&amp;" ",DB58)))),"")</f>
        <v>0</v>
      </c>
      <c r="DA58" s="493" cm="1">
        <f t="array" ref="DA58">IF(47=47,IF(AM58="","",SUMPRODUCT(--ISNUMBER(SEARCH(" "&amp;DJ2364:DJ2406&amp;" ",DB58)))),"")</f>
        <v>0</v>
      </c>
      <c r="DB58" s="493" t="str">
        <f>IF(47=47,IF(AM58="","",SUBSTITUTE(SUBSTITUTE(SUBSTITUTE(SUBSTITUTE(SUBSTITUTE(SUBSTITUTE(SUBSTITUTE(SUBSTITUTE(SUBSTITUTE(SUBSTITUTE(SUBSTITUTE(SUBSTITUTE(SUBSTITUTE(SUBSTITUTE(SUBSTITUTE(SUBSTITUTE(AS58," "&amp;DJ2412&amp;" "," ")," "&amp;DJ2411&amp;" "," ")," "&amp;DJ2410&amp;" "," ")," "&amp;DJ2417&amp;" "," ")," "&amp;DJ2409&amp;" "," ")," "&amp;DJ2421&amp;" "," ")," "&amp;DJ2408&amp;" "," ")," "&amp;DJ2413&amp;" "," ")," "&amp;DJ2416&amp;" "," ")," "&amp;DJ2407&amp;" "," ")," "&amp;DJ2415&amp;" "," ")," "&amp;DJ2422&amp;" "," ")," "&amp;DJ2419&amp;" "," ")," "&amp;DJ2414&amp;" "," ")," "&amp;DJ2418&amp;" "," ")," "&amp;DJ2420&amp;" "," ")),"")</f>
        <v xml:space="preserve"> lequel vous collerez ensuite le texte ◄ 3️⃣ saisissez un nombre de caracteres </v>
      </c>
      <c r="DC58" s="493" cm="1">
        <f t="array" ref="DC58">IF(47=47,IF(AM58="","",SUMPRODUCT(--ISNUMBER(SEARCH(" "&amp;DJ2423:DJ2427&amp;" ",DB58)))),"")</f>
        <v>0</v>
      </c>
      <c r="DD58" s="493" t="str">
        <f>IF(47=47,IF(AM58="","",IF(SUM(CY58:DA58)&gt;0,"X",IF(DC58&gt;0,"?",""))),"")</f>
        <v/>
      </c>
      <c r="DE58" s="494"/>
      <c r="DF58" s="496" t="s">
        <v>1223</v>
      </c>
      <c r="DG58" s="496" t="s">
        <v>1083</v>
      </c>
      <c r="DH58" s="496" t="s">
        <v>689</v>
      </c>
      <c r="DI58" s="496" t="s">
        <v>1224</v>
      </c>
      <c r="DJ58" s="496" t="s">
        <v>1225</v>
      </c>
      <c r="DK58" s="496" t="s">
        <v>1085</v>
      </c>
      <c r="DL58" s="496" t="s">
        <v>1086</v>
      </c>
      <c r="DM58" s="496" t="s">
        <v>1087</v>
      </c>
      <c r="DN58" s="497" t="s">
        <v>1088</v>
      </c>
      <c r="DP58" s="543">
        <v>1</v>
      </c>
    </row>
    <row r="59" spans="2:120" ht="30" customHeight="1">
      <c r="B59" s="663" t="str">
        <f t="shared" si="0"/>
        <v/>
      </c>
      <c r="C59" s="663" t="str">
        <f t="shared" si="1"/>
        <v/>
      </c>
      <c r="D59" s="663" t="str">
        <f>IF(UPPER(TRIM(N11))="X",C59,B59)</f>
        <v/>
      </c>
      <c r="E59" s="663" cm="1">
        <f t="array" ref="E59">IF(H58&lt;&gt;"",E58,IF(E58="","",IFERROR(MATCH(TRUE(),INDEX(INDEX(K:K,E58+1):K203&lt;&gt;"",0),0)+E58,"")))</f>
        <v>203</v>
      </c>
      <c r="F59" s="663" t="str" cm="1">
        <f t="array" ref="F59">IF(E59="","",IF(H58&lt;&gt;"",H58,INDEX(D:D,E59)))</f>
        <v>par lignes ◄ 4️⃣ Si vous ne voulez pas de ponctuation saisissez un X dans la cellule - Ensuite, dans la colonne B copiez le texte nettoyé - puis dans votre document faites Collage spécial &gt; 1.2.3 Valeurs pour ne coller que le texte, sans formules.</v>
      </c>
      <c r="G59" s="663" t="str">
        <f t="shared" si="2"/>
        <v xml:space="preserve">par lignes ◄ 4️⃣ Si vous ne voulez pas de ponctuation saisissez un X dans la </v>
      </c>
      <c r="H59" s="673" t="str">
        <f t="shared" si="3"/>
        <v>cellule - Ensuite, dans la colonne B copiez le texte nettoyé - puis dans votre document faites Collage spécial &gt; 1.2.3 Valeurs pour ne coller que le texte, sans formules.</v>
      </c>
      <c r="I59" s="680" t="str">
        <f>IF(AND(F59&lt;&gt;"",N10&gt;0,M59&gt;N10),"Mot &gt; limite","")</f>
        <v/>
      </c>
      <c r="J59" s="674" t="str">
        <f>IF(K59="","",COUNTIF(K18:K59,"&lt;&gt;"))</f>
        <v/>
      </c>
      <c r="K59" s="675"/>
      <c r="L59" s="674" t="str">
        <f t="shared" si="4"/>
        <v/>
      </c>
      <c r="M59" s="643">
        <f>IF(OR(F59="",N10="",N10&lt;=0),"",IF(LEN(F59)&lt;=N10,LEN(F59),IFERROR(FIND("♦",SUBSTITUTE(LEFT(F59,N10)," ","♦",LEN(LEFT(F59,N10))-LEN(SUBSTITUTE(LEFT(F59,N10)," ","")))),FIND(" ",F59&amp;" ",N10+1)-1)))</f>
        <v>77</v>
      </c>
      <c r="N59" s="676">
        <f t="shared" si="5"/>
        <v>42</v>
      </c>
      <c r="O59" s="677" t="str">
        <f t="shared" si="6"/>
        <v xml:space="preserve">par lignes ◄ 4️⃣ Si vous ne voulez pas de ponctuation saisissez un X dans la </v>
      </c>
      <c r="P59" s="676">
        <f t="shared" si="7"/>
        <v>16</v>
      </c>
      <c r="Q59" s="676">
        <f t="shared" si="8"/>
        <v>77</v>
      </c>
      <c r="S59" s="509">
        <v>42</v>
      </c>
      <c r="T59" s="678" t="str">
        <f t="shared" si="10"/>
        <v xml:space="preserve">par lignes ◄ 4️⃣ Si vous ne voulez pas de ponctuation saisissez un X dans la </v>
      </c>
      <c r="U59" s="679" t="str">
        <f t="shared" si="11"/>
        <v>par lignes ◄ 4️⃣ Si vous ne voulez pas de ponctuation saisissez un X dans la</v>
      </c>
      <c r="V59" s="512" t="str">
        <f>IF(48=48,IF(T59="","",IF(W59="X",""&amp;"Céréales contenant du gluten","")&amp;IF(X59="X",IF(COUNTIF(W59:W59,"X")&gt;0,", ","")&amp;"Crustacés","")&amp;IF(Y59="X",IF(COUNTIF(W59:X59,"X")&gt;0,", ","")&amp;"Œufs","")&amp;IF(Z59="X",IF(COUNTIF(W59:Y59,"X")&gt;0,", ","")&amp;"Poissons","")&amp;IF(AA59="X",IF(COUNTIF(W59:Z59,"X")&gt;0,", ","")&amp;"Arachides","")&amp;IF(AB59="X",IF(COUNTIF(W59:AA59,"X")&gt;0,", ","")&amp;"Soja","")&amp;IF(AC59="X",IF(COUNTIF(W59:AB59,"X")&gt;0,", ","")&amp;"Lait","")&amp;IF(AD59="X",IF(COUNTIF(W59:AC59,"X")&gt;0,", ","")&amp;"Fruits à coque","")&amp;IF(AE59="X",IF(COUNTIF(W59:AD59,"X")&gt;0,", ","")&amp;"Céleri","")&amp;IF(AF59="X",IF(COUNTIF(W59:AE59,"X")&gt;0,", ","")&amp;"Moutarde","")&amp;IF(AG59="X",IF(COUNTIF(W59:AF59,"X")&gt;0,", ","")&amp;"Sésame","")&amp;IF(AH59="X",IF(COUNTIF(W59:AG59,"X")&gt;0,", ","")&amp;"Sulfites","")&amp;IF(AI59="X",IF(COUNTIF(W59:AH59,"X")&gt;0,", ","")&amp;"Lupin","")&amp;IF(AJ59="X",IF(COUNTIF(W59:AI59,"X")&gt;0,", ","")&amp;"Mollusques","")),"")</f>
        <v/>
      </c>
      <c r="W59" s="513" t="str">
        <f>IF(48=48,IF(T59="","",AX59),"")</f>
        <v/>
      </c>
      <c r="X59" s="513" t="str">
        <f>IF(48=48,IF(T59="","",BA59),"")</f>
        <v/>
      </c>
      <c r="Y59" s="513" t="str">
        <f>IF(48=48,IF(T59="","",BE59),"")</f>
        <v/>
      </c>
      <c r="Z59" s="513" t="str">
        <f>IF(48=48,IF(T59="","",IF(ISNUMBER(SEARCH(" colin ",AS59)),"X",BR59)),"")</f>
        <v/>
      </c>
      <c r="AA59" s="513" t="str">
        <f>IF(48=48,IF(T59="","",BT59),"")</f>
        <v/>
      </c>
      <c r="AB59" s="513" t="str">
        <f>IF(48=48,IF(T59="","",BX59),"")</f>
        <v/>
      </c>
      <c r="AC59" s="513" t="str">
        <f>IF(48=48,IF(T59="","",CE59),"")</f>
        <v/>
      </c>
      <c r="AD59" s="513" t="str">
        <f>IF(48=48,IF(T59="","",CI59),"")</f>
        <v/>
      </c>
      <c r="AE59" s="513" t="str">
        <f>IF(48=48,IF(T59="","",CL59),"")</f>
        <v/>
      </c>
      <c r="AF59" s="513" t="str">
        <f>IF(48=48,IF(T59="","",CO59),"")</f>
        <v/>
      </c>
      <c r="AG59" s="513" t="str">
        <f>IF(48=48,IF(T59="","",CR59),"")</f>
        <v/>
      </c>
      <c r="AH59" s="513" t="str">
        <f>IF(48=48,IF(T59="","",CU59),"")</f>
        <v/>
      </c>
      <c r="AI59" s="513" t="str">
        <f>IF(48=48,IF(T59="","",CX59),"")</f>
        <v/>
      </c>
      <c r="AJ59" s="513" t="str">
        <f>IF(48=48,IF(T59="","",DD59),"")</f>
        <v/>
      </c>
      <c r="AK59" s="514" t="str">
        <f>IF(48=48,IF(T59="","",IF(W59="?",""&amp;"Céréales contenant du gluten","")&amp;IF(X59="?",IF(COUNTIF(W59:W59,"~?")&gt;0,", ","")&amp;"Crustacés","")&amp;IF(Y59="?",IF(COUNTIF(W59:X59,"~?")&gt;0,", ","")&amp;"Œufs","")&amp;IF(Z59="?",IF(COUNTIF(W59:Y59,"~?")&gt;0,", ","")&amp;"Poissons","")&amp;IF(AA59="?",IF(COUNTIF(W59:Z59,"~?")&gt;0,", ","")&amp;"Arachides","")&amp;IF(AB59="?",IF(COUNTIF(W59:AA59,"~?")&gt;0,", ","")&amp;"Soja","")&amp;IF(AC59="?",IF(COUNTIF(W59:AB59,"~?")&gt;0,", ","")&amp;"Lait","")&amp;IF(AD59="?",IF(COUNTIF(W59:AC59,"~?")&gt;0,", ","")&amp;"Fruits à coque","")&amp;IF(AE59="?",IF(COUNTIF(W59:AD59,"~?")&gt;0,", ","")&amp;"Céleri","")&amp;IF(AF59="?",IF(COUNTIF(W59:AE59,"~?")&gt;0,", ","")&amp;"Moutarde","")&amp;IF(AG59="?",IF(COUNTIF(W59:AF59,"~?")&gt;0,", ","")&amp;"Sésame","")&amp;IF(AH59="?",IF(COUNTIF(W59:AG59,"~?")&gt;0,", ","")&amp;"Sulfites","")&amp;IF(AI59="?",IF(COUNTIF(W59:AH59,"~?")&gt;0,", ","")&amp;"Lupin","")&amp;IF(AJ59="?",IF(COUNTIF(W59:AI59,"~?")&gt;0,", ","")&amp;"Mollusques","")),"")</f>
        <v/>
      </c>
      <c r="AM59" s="493" t="str">
        <f>IF(48=48,IF(T59="","",T59),"")</f>
        <v xml:space="preserve">par lignes ◄ 4️⃣ Si vous ne voulez pas de ponctuation saisissez un X dans la </v>
      </c>
      <c r="AN59" s="493" t="str">
        <f>IF(48=48,LOWER(CLEAN(SUBSTITUTE(SUBSTITUTE(SUBSTITUTE(SUBSTITUTE(AM59,CHAR(160)," ")," "," "),CHAR(10)," "),CHAR(13)," "))),"")</f>
        <v xml:space="preserve">par lignes ◄ 4️⃣ si vous ne voulez pas de ponctuation saisissez un x dans la </v>
      </c>
      <c r="AO59" s="493" t="str">
        <f>IF(48=48,SUBSTITUTE(SUBSTITUTE(SUBSTITUTE(SUBSTITUTE(SUBSTITUTE(SUBSTITUTE(SUBSTITUTE(SUBSTITUTE(SUBSTITUTE(SUBSTITUTE(SUBSTITUTE(SUBSTITUTE(AN59,"œ","oe"),"æ","ae"),"à","a"),"á","a"),"â","a"),"ä","a"),"ã","a"),"ç","c"),"è","e"),"é","e"),"ê","e"),"ë","e"),"")</f>
        <v xml:space="preserve">par lignes ◄ 4️⃣ si vous ne voulez pas de ponctuation saisissez un x dans la </v>
      </c>
      <c r="AP59" s="493" t="str">
        <f>IF(48=48,SUBSTITUTE(SUBSTITUTE(SUBSTITUTE(SUBSTITUTE(SUBSTITUTE(SUBSTITUTE(SUBSTITUTE(SUBSTITUTE(SUBSTITUTE(SUBSTITUTE(SUBSTITUTE(SUBSTITUTE(SUBSTITUTE(SUBSTITUTE(SUBSTITUTE(SUBSTITUTE(AO59,"ì","i"),"í","i"),"î","i"),"ï","i"),"ñ","n"),"ò","o"),"ó","o"),"ô","o"),"ö","o"),"õ","o"),"ù","u"),"ú","u"),"û","u"),"ü","u"),"ý","y"),"ÿ","y"),"")</f>
        <v xml:space="preserve">par lignes ◄ 4️⃣ si vous ne voulez pas de ponctuation saisissez un x dans la </v>
      </c>
      <c r="AQ59" s="493" t="str">
        <f>IF(48=48,SUBSTITUTE(SUBSTITUTE(SUBSTITUTE(SUBSTITUTE(SUBSTITUTE(SUBSTITUTE(SUBSTITUTE(SUBSTITUTE(SUBSTITUTE(SUBSTITUTE(SUBSTITUTE(SUBSTITUTE(SUBSTITUTE(SUBSTITUTE(AP59,"’"," "),"`"," "),"–"," "),"—"," "),"-"," "),"'"," "),"/"," "),"_"," "),","," "),"."," "),"("," "),")"," "),";"," "),":"," "),"")</f>
        <v xml:space="preserve">par lignes ◄ 4️⃣ si vous ne voulez pas de ponctuation saisissez un x dans la </v>
      </c>
      <c r="AR59" s="493" t="str">
        <f>IF(48=48,SUBSTITUTE(SUBSTITUTE(SUBSTITUTE(SUBSTITUTE(SUBSTITUTE(SUBSTITUTE(SUBSTITUTE(SUBSTITUTE(SUBSTITUTE(SUBSTITUTE(SUBSTITUTE(SUBSTITUTE(SUBSTITUTE(SUBSTITUTE(SUBSTITUTE(AQ59,"!"," "),"?"," "),"+"," "),"*"," "),"&amp;"," "),"["," "),"]"," "),"{"," "),"}"," "),"%"," "),"="," "),"\"," "),"|"," "),"&lt;"," "),"&gt;"," "),"")</f>
        <v xml:space="preserve">par lignes ◄ 4️⃣ si vous ne voulez pas de ponctuation saisissez un x dans la </v>
      </c>
      <c r="AS59" s="493" t="str">
        <f>IF(48=48," "&amp;TRIM(SUBSTITUTE(SUBSTITUTE(SUBSTITUTE(SUBSTITUTE(SUBSTITUTE(SUBSTITUTE(AR59,CHAR(34)," "),"  "," "),"  "," "),"  "," "),"  "," "),"  "," "))&amp;" ","")</f>
        <v xml:space="preserve"> par lignes ◄ 4️⃣ si vous ne voulez pas de ponctuation saisissez un x dans la </v>
      </c>
      <c r="AT59" s="493" cm="1">
        <f t="array" ref="AT59">IF(48=48,IF(AM59="","",SUMPRODUCT(--ISNUMBER(SEARCH(" "&amp;DJ13:DJ112&amp;" ",AV59)))),"")</f>
        <v>0</v>
      </c>
      <c r="AU59" s="493" cm="1">
        <f t="array" ref="AU59">IF(48=48,IF(AM59="","",SUMPRODUCT(--ISNUMBER(SEARCH(" "&amp;DJ113:DJ162&amp;" ",AV59)))),"")</f>
        <v>0</v>
      </c>
      <c r="AV59" s="493" t="str">
        <f>IF(AM59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59,"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par lignes ◄ 4️⃣ si vous ne voulez pas de ponctuation saisissez un x dans la </v>
      </c>
      <c r="AW59" s="493" cm="1">
        <f t="array" ref="AW59">IF(AM59="","",SUMPRODUCT(--ISNUMBER(SEARCH(" "&amp;DJ195:DJ216&amp;" ",AV59)))+--ISNUMBER(SEARCH(" "&amp;DJ2465&amp;" ",AV59)))</f>
        <v>0</v>
      </c>
      <c r="AX59" s="493" t="str" cm="1">
        <f t="array" ref="AX59">IF(48=48,IF(AM59="","",IF(SUM(AT59:AU59)+SUMPRODUCT(--ISNUMBER(SEARCH(" "&amp;DJ2429:DJ2431&amp;" ",AV59)))&gt;0,"X",IF(AW59&gt;0,"?",""))),"")</f>
        <v/>
      </c>
      <c r="AY59" s="493" cm="1">
        <f t="array" ref="AY59">IF(48=48,IF(AM59="","",SUMPRODUCT(--ISNUMBER(SEARCH(" "&amp;DJ217:DJ316&amp;" ",AS59)))),"")</f>
        <v>0</v>
      </c>
      <c r="AZ59" s="493" cm="1">
        <f t="array" ref="AZ59">IF(48=48,IF(AM59="","",SUMPRODUCT(--ISNUMBER(SEARCH(" "&amp;DJ317:DJ351&amp;" ",AS59)))),"")</f>
        <v>0</v>
      </c>
      <c r="BA59" s="493" t="str">
        <f>IF(48=48,IF(AM59="","",IF((SUM(AY59:AZ59))-(0)&gt;0,"X",IF((0)-(0)&gt;0,"?",""))),"")</f>
        <v/>
      </c>
      <c r="BB59" s="493" cm="1">
        <f t="array" ref="BB59">IF(48=48,IF(AM59="","",SUMPRODUCT(--ISNUMBER(SEARCH(" "&amp;DJ352:DJ409&amp;" ",AS59)))),"")</f>
        <v>0</v>
      </c>
      <c r="BC59" s="493" cm="1">
        <f t="array" ref="BC59">IF(48=48,IF(AM59="","",SUMPRODUCT(--ISNUMBER(SEARCH(" "&amp;DJ410:DJ437&amp;" ",BD59)))+SUMPRODUCT(--ISNUMBER(SEARCH(" "&amp;DJ2451:DJ2464&amp;" ",BD59)))),"")</f>
        <v>0</v>
      </c>
      <c r="BD59" s="493" t="str">
        <f>IF(48=48,IF(AM59="","",SUBSTITUTE(SUBSTITUTE(SUBSTITUTE(SUBSTITUTE(SUBSTITUTE(SUBSTITUTE(SUBSTITUTE(SUBSTITUTE(SUBSTITUTE(SUBSTITUTE(SUBSTITUTE(SUBSTITUTE(SUBSTITUTE(SUBSTITUTE(AS59," "&amp;DJ2466&amp;" "," ")," "&amp;DJ444&amp;" "," ")," "&amp;DJ442&amp;" "," ")," "&amp;DJ2449&amp;" "," ")," "&amp;DJ2450&amp;" "," ")," "&amp;DJ439&amp;" "," ")," "&amp;DJ443&amp;" "," ")," "&amp;DJ445&amp;" "," ")," "&amp;DJ440&amp;" "," ")," "&amp;DJ438&amp;" "," ")," "&amp;DJ1378&amp;" "," ")," "&amp;DJ446&amp;" "," ")," "&amp;DJ1377&amp;" "," ")," "&amp;DJ441&amp;" "," ")),"")</f>
        <v xml:space="preserve"> par lignes ◄ 4️⃣ si vous ne voulez pas de ponctuation saisissez un x dans la </v>
      </c>
      <c r="BE59" s="493" t="str">
        <f>IF(48=48,IF(AM59="","",IF(BB59&gt;0,"X",IF(BC59&gt;0,"?",""))),"")</f>
        <v/>
      </c>
      <c r="BF59" s="493" cm="1">
        <f t="array" ref="BF59">IF(48=48,IF(AM59="","",SUMPRODUCT(--ISNUMBER(SEARCH(" "&amp;DJ447:DJ546&amp;" ",BP59)))),"")</f>
        <v>0</v>
      </c>
      <c r="BG59" s="493" cm="1">
        <f t="array" ref="BG59">IF(48=48,IF(AM59="","",SUMPRODUCT(--ISNUMBER(SEARCH(" "&amp;DJ547:DJ646&amp;" ",BP59)))),"")</f>
        <v>0</v>
      </c>
      <c r="BH59" s="493" cm="1">
        <f t="array" ref="BH59">IF(48=48,IF(AM59="","",SUMPRODUCT(--ISNUMBER(SEARCH(" "&amp;DJ647:DJ746&amp;" ",BP59)))),"")</f>
        <v>0</v>
      </c>
      <c r="BI59" s="493" cm="1">
        <f t="array" ref="BI59">IF(48=48,IF(AM59="","",SUMPRODUCT(--ISNUMBER(SEARCH(" "&amp;DJ747:DJ846&amp;" ",BP59)))),"")</f>
        <v>0</v>
      </c>
      <c r="BJ59" s="493" cm="1">
        <f t="array" ref="BJ59">IF(48=48,IF(AM59="","",SUMPRODUCT(--ISNUMBER(SEARCH(" "&amp;DJ847:DJ946&amp;" ",BP59)))),"")</f>
        <v>0</v>
      </c>
      <c r="BK59" s="493" cm="1">
        <f t="array" ref="BK59">IF(48=48,IF(AM59="","",SUMPRODUCT(--ISNUMBER(SEARCH(" "&amp;DJ947:DJ1046&amp;" ",BP59)))),"")</f>
        <v>0</v>
      </c>
      <c r="BL59" s="493" cm="1">
        <f t="array" ref="BL59">IF(48=48,IF(AM59="","",SUMPRODUCT(--ISNUMBER(SEARCH(" "&amp;DJ1047:DJ1146&amp;" ",BP59)))),"")</f>
        <v>0</v>
      </c>
      <c r="BM59" s="493" cm="1">
        <f t="array" ref="BM59">IF(48=48,IF(AM59="","",SUMPRODUCT(--ISNUMBER(SEARCH(" "&amp;DJ1147:DJ1246&amp;" ",BP59)))),"")</f>
        <v>0</v>
      </c>
      <c r="BN59" s="493" cm="1">
        <f t="array" ref="BN59">IF(48=48,IF(AM59="","",SUMPRODUCT(--ISNUMBER(SEARCH(" "&amp;DJ1247:DJ1346&amp;" ",BP59)))),"")</f>
        <v>0</v>
      </c>
      <c r="BO59" s="493" cm="1">
        <f t="array" ref="BO59">IF(48=48,IF(AM59="","",SUMPRODUCT(--ISNUMBER(SEARCH(" "&amp;DJ1347:DJ1374&amp;" ",BP59)))),"")</f>
        <v>0</v>
      </c>
      <c r="BP59" s="493" t="str">
        <f>IF(48=48,IF(AM59="","",SUBSTITUTE(SUBSTITUTE(SUBSTITUTE(SUBSTITUTE(SUBSTITUTE(SUBSTITUTE(SUBSTITUTE(SUBSTITUTE(SUBSTITUTE(AS59," "&amp;DJ1376&amp;" "," ")," "&amp;DJ1375&amp;" "," ")," "&amp;DJ1381&amp;" "," ")," "&amp;DJ1382&amp;" "," ")," "&amp;DJ1378&amp;" "," ")," "&amp;DJ1380&amp;" "," ")," "&amp;DJ1377&amp;" "," ")," "&amp;DJ1379&amp;" "," ")," "&amp;DJ1383&amp;" "," ")),"")</f>
        <v xml:space="preserve"> par lignes ◄ 4️⃣ si vous ne voulez pas de ponctuation saisissez un x dans la </v>
      </c>
      <c r="BQ59" s="493" cm="1">
        <f t="array" ref="BQ59">IF(48=48,IF(AM59="","",SUMPRODUCT(--ISNUMBER(SEARCH(" "&amp;DJ1384:DJ1394&amp;" ",BP59)))),"")</f>
        <v>0</v>
      </c>
      <c r="BR59" s="493" t="str" cm="1">
        <f t="array" ref="BR59">IF(48=48,IF(AM59="","",IF(SUM(BF59:BO59)+SUMPRODUCT(--ISNUMBER(SEARCH(" "&amp;DJ2432:DJ2433&amp;" ",BP59)))&gt;0,"X",IF(BQ59&gt;0,"?",""))),"")</f>
        <v/>
      </c>
      <c r="BS59" s="493" cm="1">
        <f t="array" ref="BS59">IF(48=48,IF(AM59="","",SUMPRODUCT(--ISNUMBER(SEARCH(" "&amp;DJ1395:DJ1415&amp;" ",AS59)))),"")</f>
        <v>0</v>
      </c>
      <c r="BT59" s="493" t="str">
        <f>IF(48=48,IF(AM59="","",IF((BS59)-(0)&gt;0,"X",IF((0)-(0)&gt;0,"?",""))),"")</f>
        <v/>
      </c>
      <c r="BU59" s="493" cm="1">
        <f t="array" ref="BU59">IF(48=48,IF(AM59="","",SUMPRODUCT(--ISNUMBER(SEARCH(" "&amp;DJ1416:DJ1453&amp;" ",BV59)))),"")</f>
        <v>0</v>
      </c>
      <c r="BV59" s="493" t="str">
        <f>IF(48=48,IF(AM59="","",SUBSTITUTE(SUBSTITUTE(AS59," "&amp;DJ1454&amp;" "," ")," "&amp;DJ1455&amp;" "," ")),"")</f>
        <v xml:space="preserve"> par lignes ◄ 4️⃣ si vous ne voulez pas de ponctuation saisissez un x dans la </v>
      </c>
      <c r="BW59" s="493" cm="1">
        <f t="array" ref="BW59">IF(48=48,IF(AM59="","",SUMPRODUCT(--ISNUMBER(SEARCH(" "&amp;DJ1456:DJ1466&amp;" ",BV59)))),"")</f>
        <v>0</v>
      </c>
      <c r="BX59" s="493" t="str">
        <f>IF(48=48,IF(AM59="","",IF(BU59&gt;0,"X",IF(BW59&gt;0,"?",""))),"")</f>
        <v/>
      </c>
      <c r="BY59" s="493" cm="1">
        <f t="array" ref="BY59">IF(48=48,IF(AM59="","",SUMPRODUCT(--ISNUMBER(SEARCH(" "&amp;DJ1467:DJ1566&amp;" ",CB59)))),"")</f>
        <v>0</v>
      </c>
      <c r="BZ59" s="493" cm="1">
        <f t="array" ref="BZ59">IF(48=48,IF(AM59="","",SUMPRODUCT(--ISNUMBER(SEARCH(" "&amp;DJ1567:DJ1666&amp;" ",CB59)))),"")</f>
        <v>0</v>
      </c>
      <c r="CA59" s="493" cm="1">
        <f t="array" ref="CA59">IF(48=48,IF(AM59="","",SUMPRODUCT(--ISNUMBER(SEARCH(" "&amp;DJ1667:DJ1750&amp;" ",CB59)))),"")</f>
        <v>0</v>
      </c>
      <c r="CB59" s="493" t="str">
        <f>IF(48=48,IF(AM59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59,"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par lignes ◄ 4️⃣ si vous ne voulez pas de ponctuation saisissez un x dans la </v>
      </c>
      <c r="CC59" s="493" cm="1">
        <f t="array" ref="CC59">IF(48=48,IF(AM59="","",SUMPRODUCT(--ISNUMBER(SEARCH(" "&amp;DJ1801:DJ1880&amp;" ",CD59)))+SUMPRODUCT(--ISNUMBER(SEARCH(" "&amp;DJ2451:DJ2464&amp;" ",CD59)))),"")</f>
        <v>0</v>
      </c>
      <c r="CD59" s="493" t="str">
        <f>IF(48=48,IF(AM59="","",SUBSTITUTE(SUBSTITUTE(SUBSTITUTE(SUBSTITUTE(SUBSTITUTE(SUBSTITUTE(SUBSTITUTE(SUBSTITUTE(SUBSTITUTE(SUBSTITUTE(SUBSTITUTE(SUBSTITUTE(SUBSTITUTE(CB59," "&amp;DJ1887&amp;" "," ")," "&amp;DJ1885&amp;" "," ")," "&amp;DJ2449&amp;" "," ")," "&amp;DJ2450&amp;" "," ")," "&amp;DJ1882&amp;" "," ")," "&amp;DJ1886&amp;" "," ")," "&amp;DJ1888&amp;" "," ")," "&amp;DJ1883&amp;" "," ")," "&amp;DJ1881&amp;" "," ")," "&amp;DJ1378&amp;" "," ")," "&amp;DJ1889&amp;" "," ")," "&amp;DJ1377&amp;" "," ")," "&amp;DJ1884&amp;" "," ")),"")</f>
        <v xml:space="preserve"> par lignes ◄ 4️⃣ si vous ne voulez pas de ponctuation saisissez un x dans la </v>
      </c>
      <c r="CE59" s="493" t="str" cm="1">
        <f t="array" ref="CE59">IF(48=48,IF(AM59="","",IF(SUM(BY59:CA59)+SUMPRODUCT(--ISNUMBER(SEARCH(" "&amp;DJ2434:DJ2435&amp;" ",CB59)))&gt;0,"X",IF(CC59&gt;0,"?",""))),"")</f>
        <v/>
      </c>
      <c r="CF59" s="493" cm="1">
        <f t="array" ref="CF59">IF(48=48,IF(AM59="","",SUMPRODUCT(--ISNUMBER(SEARCH(" "&amp;DJ1890:DJ1947&amp;" ",CG59)))),"")</f>
        <v>0</v>
      </c>
      <c r="CG59" s="493" t="str">
        <f>IF(48=48,IF(AM59="","",SUBSTITUTE(SUBSTITUTE(SUBSTITUTE(SUBSTITUTE(SUBSTITUTE(SUBSTITUTE(SUBSTITUTE(SUBSTITUTE(SUBSTITUTE(SUBSTITUTE(SUBSTITUTE(SUBSTITUTE(SUBSTITUTE(SUBSTITUTE(SUBSTITUTE(SUBSTITUTE(SUBSTITUTE(SUBSTITUTE(SUBSTITUTE(SUBSTITUTE(SUBSTITUTE(SUBSTITUTE(SUBSTITUTE(AS59,"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par lignes ◄ 4️⃣ si vous ne voulez pas de ponctuation saisissez un x dans la </v>
      </c>
      <c r="CH59" s="493" cm="1">
        <f t="array" ref="CH59">IF(48=48,IF(AM59="","",SUMPRODUCT(--ISNUMBER(SEARCH(" "&amp;DJ1971:DJ1987&amp;" ",CG59)))),"")</f>
        <v>0</v>
      </c>
      <c r="CI59" s="493" t="str">
        <f>IF(48=48,IF(AM59="","",IF(CF59&gt;0,"X",IF(CH59&gt;0,"?",""))),"")</f>
        <v/>
      </c>
      <c r="CJ59" s="493" cm="1">
        <f t="array" ref="CJ59">IF(48=48,IF(AM59="","",SUMPRODUCT(--ISNUMBER(SEARCH(" "&amp;DJ1988:DJ2001&amp;" ",AS59)))),"")</f>
        <v>0</v>
      </c>
      <c r="CK59" s="493" cm="1">
        <f t="array" ref="CK59">IF(48=48,IF(AM59="","",SUMPRODUCT(--ISNUMBER(SEARCH(" "&amp;DJ2002:DJ2016&amp;" ",AS59)))),"")</f>
        <v>0</v>
      </c>
      <c r="CL59" s="493" t="str">
        <f>IF(48=48,IF(AM59="","",IF((CJ59)-(0)&gt;0,"X",IF((CK59)-(0)&gt;0,"?",""))),"")</f>
        <v/>
      </c>
      <c r="CM59" s="493" cm="1">
        <f t="array" ref="CM59">IF(48=48,IF(AM59="","",SUMPRODUCT(--ISNUMBER(SEARCH(" "&amp;DJ2017:DJ2034&amp;" ",AS59)))),"")</f>
        <v>0</v>
      </c>
      <c r="CN59" s="493" cm="1">
        <f t="array" ref="CN59">IF(48=48,IF(AM59="","",SUMPRODUCT(--ISNUMBER(SEARCH(" "&amp;DJ2035:DJ2049&amp;" ",AS59)))),"")</f>
        <v>0</v>
      </c>
      <c r="CO59" s="493" t="str">
        <f>IF(48=48,IF(AM59="","",IF((CM59)-(0)&gt;0,"X",IF((CN59)-(0)&gt;0,"?",""))),"")</f>
        <v/>
      </c>
      <c r="CP59" s="493" cm="1">
        <f t="array" ref="CP59">IF(48=48,IF(AM59="","",SUMPRODUCT(--ISNUMBER(SEARCH(" "&amp;DJ2050:DJ2068&amp;" ",AS59)))),"")</f>
        <v>0</v>
      </c>
      <c r="CQ59" s="493" cm="1">
        <f t="array" ref="CQ59">IF(48=48,IF(AM59="","",SUMPRODUCT(--ISNUMBER(SEARCH(" "&amp;DJ2069:DJ2083&amp;" ",AS59)))),"")</f>
        <v>0</v>
      </c>
      <c r="CR59" s="493" t="str">
        <f>IF(48=48,IF(AM59="","",IF((CP59)-(0)&gt;0,"X",IF((CQ59)-(0)&gt;0,"?",""))),"")</f>
        <v/>
      </c>
      <c r="CS59" s="493" cm="1">
        <f t="array" ref="CS59">IF(48=48,IF(AM59="","",SUMPRODUCT(--ISNUMBER(SEARCH(" "&amp;DJ2084:DJ2104&amp;" ",AS59)))),"")</f>
        <v>0</v>
      </c>
      <c r="CT59" s="493" cm="1">
        <f t="array" ref="CT59">IF(48=48,IF(AM59="","",SUMPRODUCT(--ISNUMBER(SEARCH(" "&amp;DJ2105:DJ2144&amp;" ",SUBSTITUTE(SUBSTITUTE(AS59," "&amp;DJ1378&amp;" "," ")," "&amp;DJ1377&amp;" "," "))))+--ISNUMBER(SEARCH("poiré",AN59))),"")</f>
        <v>0</v>
      </c>
      <c r="CU59" s="493" t="str">
        <f>IF(48=48,IF(AM59="","",IF(OR(CS59&gt;0,ISNUMBER(SEARCH(" vinaigre de vin ",AS59)),ISNUMBER(SEARCH(" vinaigre au vin ",AS59))),"X",IF(CT59&gt;0,"?",""))),"")</f>
        <v/>
      </c>
      <c r="CV59" s="493" cm="1">
        <f t="array" ref="CV59">IF(48=48,IF(AM59="","",SUMPRODUCT(--ISNUMBER(SEARCH(" "&amp;DJ2145:DJ2157&amp;" ",AS59)))),"")</f>
        <v>0</v>
      </c>
      <c r="CW59" s="493" cm="1">
        <f t="array" ref="CW59">IF(48=48,IF(AM59="","",SUMPRODUCT(--ISNUMBER(SEARCH(" "&amp;DJ2158:DJ2163&amp;" ",AS59)))),"")</f>
        <v>0</v>
      </c>
      <c r="CX59" s="493" t="str">
        <f>IF(48=48,IF(AM59="","",IF((CV59)-(0)&gt;0,"X",IF((CW59)-(0)&gt;0,"?",""))),"")</f>
        <v/>
      </c>
      <c r="CY59" s="493" cm="1">
        <f t="array" ref="CY59">IF(48=48,IF(AM59="","",SUMPRODUCT(--ISNUMBER(SEARCH(" "&amp;DJ2164:DJ2263&amp;" ",DB59)))),"")</f>
        <v>0</v>
      </c>
      <c r="CZ59" s="493" cm="1">
        <f t="array" ref="CZ59">IF(48=48,IF(AM59="","",SUMPRODUCT(--ISNUMBER(SEARCH(" "&amp;DJ2264:DJ2363&amp;" ",DB59)))),"")</f>
        <v>0</v>
      </c>
      <c r="DA59" s="493" cm="1">
        <f t="array" ref="DA59">IF(48=48,IF(AM59="","",SUMPRODUCT(--ISNUMBER(SEARCH(" "&amp;DJ2364:DJ2406&amp;" ",DB59)))),"")</f>
        <v>0</v>
      </c>
      <c r="DB59" s="493" t="str">
        <f>IF(48=48,IF(AM59="","",SUBSTITUTE(SUBSTITUTE(SUBSTITUTE(SUBSTITUTE(SUBSTITUTE(SUBSTITUTE(SUBSTITUTE(SUBSTITUTE(SUBSTITUTE(SUBSTITUTE(SUBSTITUTE(SUBSTITUTE(SUBSTITUTE(SUBSTITUTE(SUBSTITUTE(SUBSTITUTE(AS59," "&amp;DJ2412&amp;" "," ")," "&amp;DJ2411&amp;" "," ")," "&amp;DJ2410&amp;" "," ")," "&amp;DJ2417&amp;" "," ")," "&amp;DJ2409&amp;" "," ")," "&amp;DJ2421&amp;" "," ")," "&amp;DJ2408&amp;" "," ")," "&amp;DJ2413&amp;" "," ")," "&amp;DJ2416&amp;" "," ")," "&amp;DJ2407&amp;" "," ")," "&amp;DJ2415&amp;" "," ")," "&amp;DJ2422&amp;" "," ")," "&amp;DJ2419&amp;" "," ")," "&amp;DJ2414&amp;" "," ")," "&amp;DJ2418&amp;" "," ")," "&amp;DJ2420&amp;" "," ")),"")</f>
        <v xml:space="preserve"> par lignes ◄ 4️⃣ si vous ne voulez pas de ponctuation saisissez un x dans la </v>
      </c>
      <c r="DC59" s="493" cm="1">
        <f t="array" ref="DC59">IF(48=48,IF(AM59="","",SUMPRODUCT(--ISNUMBER(SEARCH(" "&amp;DJ2423:DJ2427&amp;" ",DB59)))),"")</f>
        <v>0</v>
      </c>
      <c r="DD59" s="493" t="str">
        <f>IF(48=48,IF(AM59="","",IF(SUM(CY59:DA59)&gt;0,"X",IF(DC59&gt;0,"?",""))),"")</f>
        <v/>
      </c>
      <c r="DE59" s="494"/>
      <c r="DF59" s="496" t="s">
        <v>1226</v>
      </c>
      <c r="DG59" s="496" t="s">
        <v>1083</v>
      </c>
      <c r="DH59" s="496" t="s">
        <v>689</v>
      </c>
      <c r="DI59" s="496" t="s">
        <v>1227</v>
      </c>
      <c r="DJ59" s="496" t="s">
        <v>1227</v>
      </c>
      <c r="DK59" s="496" t="s">
        <v>1085</v>
      </c>
      <c r="DL59" s="496" t="s">
        <v>1086</v>
      </c>
      <c r="DM59" s="496" t="s">
        <v>1087</v>
      </c>
      <c r="DN59" s="497" t="s">
        <v>1088</v>
      </c>
      <c r="DP59" s="543">
        <v>1</v>
      </c>
    </row>
    <row r="60" spans="2:120" ht="30" customHeight="1">
      <c r="B60" s="663" t="str">
        <f t="shared" si="0"/>
        <v/>
      </c>
      <c r="C60" s="663" t="str">
        <f t="shared" si="1"/>
        <v/>
      </c>
      <c r="D60" s="663" t="str">
        <f>IF(UPPER(TRIM(N11))="X",C60,B60)</f>
        <v/>
      </c>
      <c r="E60" s="663" cm="1">
        <f t="array" ref="E60">IF(H59&lt;&gt;"",E59,IF(E59="","",IFERROR(MATCH(TRUE(),INDEX(INDEX(K:K,E59+1):K203&lt;&gt;"",0),0)+E59,"")))</f>
        <v>203</v>
      </c>
      <c r="F60" s="663" t="str" cm="1">
        <f t="array" ref="F60">IF(E60="","",IF(H59&lt;&gt;"",H59,INDEX(D:D,E60)))</f>
        <v>cellule - Ensuite, dans la colonne B copiez le texte nettoyé - puis dans votre document faites Collage spécial &gt; 1.2.3 Valeurs pour ne coller que le texte, sans formules.</v>
      </c>
      <c r="G60" s="663" t="str">
        <f t="shared" si="2"/>
        <v xml:space="preserve">cellule - Ensuite, dans la colonne B copiez le texte nettoyé - puis dans votre </v>
      </c>
      <c r="H60" s="673" t="str">
        <f t="shared" si="3"/>
        <v>document faites Collage spécial &gt; 1.2.3 Valeurs pour ne coller que le texte, sans formules.</v>
      </c>
      <c r="I60" s="680" t="str">
        <f>IF(AND(F60&lt;&gt;"",N10&gt;0,M60&gt;N10),"Mot &gt; limite","")</f>
        <v/>
      </c>
      <c r="J60" s="674" t="str">
        <f>IF(K60="","",COUNTIF(K18:K60,"&lt;&gt;"))</f>
        <v/>
      </c>
      <c r="K60" s="675"/>
      <c r="L60" s="674" t="str">
        <f t="shared" si="4"/>
        <v/>
      </c>
      <c r="M60" s="643">
        <f>IF(OR(F60="",N10="",N10&lt;=0),"",IF(LEN(F60)&lt;=N10,LEN(F60),IFERROR(FIND("♦",SUBSTITUTE(LEFT(F60,N10)," ","♦",LEN(LEFT(F60,N10))-LEN(SUBSTITUTE(LEFT(F60,N10)," ","")))),FIND(" ",F60&amp;" ",N10+1)-1)))</f>
        <v>79</v>
      </c>
      <c r="N60" s="676">
        <f t="shared" si="5"/>
        <v>43</v>
      </c>
      <c r="O60" s="677" t="str">
        <f t="shared" si="6"/>
        <v xml:space="preserve">cellule - Ensuite, dans la colonne B copiez le texte nettoyé - puis dans votre </v>
      </c>
      <c r="P60" s="676">
        <f t="shared" si="7"/>
        <v>15</v>
      </c>
      <c r="Q60" s="676">
        <f t="shared" si="8"/>
        <v>79</v>
      </c>
      <c r="S60" s="509">
        <v>43</v>
      </c>
      <c r="T60" s="678" t="str">
        <f t="shared" si="10"/>
        <v xml:space="preserve">cellule - Ensuite, dans la colonne B copiez le texte nettoyé - puis dans votre </v>
      </c>
      <c r="U60" s="679" t="str">
        <f t="shared" si="11"/>
        <v>cellule - Ensuite, dans la colonne B copiez le texte nettoyé - puis dans votre</v>
      </c>
      <c r="V60" s="512" t="str">
        <f>IF(49=49,IF(T60="","",IF(W60="X",""&amp;"Céréales contenant du gluten","")&amp;IF(X60="X",IF(COUNTIF(W60:W60,"X")&gt;0,", ","")&amp;"Crustacés","")&amp;IF(Y60="X",IF(COUNTIF(W60:X60,"X")&gt;0,", ","")&amp;"Œufs","")&amp;IF(Z60="X",IF(COUNTIF(W60:Y60,"X")&gt;0,", ","")&amp;"Poissons","")&amp;IF(AA60="X",IF(COUNTIF(W60:Z60,"X")&gt;0,", ","")&amp;"Arachides","")&amp;IF(AB60="X",IF(COUNTIF(W60:AA60,"X")&gt;0,", ","")&amp;"Soja","")&amp;IF(AC60="X",IF(COUNTIF(W60:AB60,"X")&gt;0,", ","")&amp;"Lait","")&amp;IF(AD60="X",IF(COUNTIF(W60:AC60,"X")&gt;0,", ","")&amp;"Fruits à coque","")&amp;IF(AE60="X",IF(COUNTIF(W60:AD60,"X")&gt;0,", ","")&amp;"Céleri","")&amp;IF(AF60="X",IF(COUNTIF(W60:AE60,"X")&gt;0,", ","")&amp;"Moutarde","")&amp;IF(AG60="X",IF(COUNTIF(W60:AF60,"X")&gt;0,", ","")&amp;"Sésame","")&amp;IF(AH60="X",IF(COUNTIF(W60:AG60,"X")&gt;0,", ","")&amp;"Sulfites","")&amp;IF(AI60="X",IF(COUNTIF(W60:AH60,"X")&gt;0,", ","")&amp;"Lupin","")&amp;IF(AJ60="X",IF(COUNTIF(W60:AI60,"X")&gt;0,", ","")&amp;"Mollusques","")),"")</f>
        <v/>
      </c>
      <c r="W60" s="513" t="str">
        <f>IF(49=49,IF(T60="","",AX60),"")</f>
        <v/>
      </c>
      <c r="X60" s="513" t="str">
        <f>IF(49=49,IF(T60="","",BA60),"")</f>
        <v/>
      </c>
      <c r="Y60" s="513" t="str">
        <f>IF(49=49,IF(T60="","",BE60),"")</f>
        <v/>
      </c>
      <c r="Z60" s="513" t="str">
        <f>IF(49=49,IF(T60="","",IF(ISNUMBER(SEARCH(" colin ",AS60)),"X",BR60)),"")</f>
        <v/>
      </c>
      <c r="AA60" s="513" t="str">
        <f>IF(49=49,IF(T60="","",BT60),"")</f>
        <v/>
      </c>
      <c r="AB60" s="513" t="str">
        <f>IF(49=49,IF(T60="","",BX60),"")</f>
        <v/>
      </c>
      <c r="AC60" s="513" t="str">
        <f>IF(49=49,IF(T60="","",CE60),"")</f>
        <v/>
      </c>
      <c r="AD60" s="513" t="str">
        <f>IF(49=49,IF(T60="","",CI60),"")</f>
        <v/>
      </c>
      <c r="AE60" s="513" t="str">
        <f>IF(49=49,IF(T60="","",CL60),"")</f>
        <v/>
      </c>
      <c r="AF60" s="513" t="str">
        <f>IF(49=49,IF(T60="","",CO60),"")</f>
        <v/>
      </c>
      <c r="AG60" s="513" t="str">
        <f>IF(49=49,IF(T60="","",CR60),"")</f>
        <v/>
      </c>
      <c r="AH60" s="513" t="str">
        <f>IF(49=49,IF(T60="","",CU60),"")</f>
        <v/>
      </c>
      <c r="AI60" s="513" t="str">
        <f>IF(49=49,IF(T60="","",CX60),"")</f>
        <v/>
      </c>
      <c r="AJ60" s="513" t="str">
        <f>IF(49=49,IF(T60="","",DD60),"")</f>
        <v/>
      </c>
      <c r="AK60" s="514" t="str">
        <f>IF(49=49,IF(T60="","",IF(W60="?",""&amp;"Céréales contenant du gluten","")&amp;IF(X60="?",IF(COUNTIF(W60:W60,"~?")&gt;0,", ","")&amp;"Crustacés","")&amp;IF(Y60="?",IF(COUNTIF(W60:X60,"~?")&gt;0,", ","")&amp;"Œufs","")&amp;IF(Z60="?",IF(COUNTIF(W60:Y60,"~?")&gt;0,", ","")&amp;"Poissons","")&amp;IF(AA60="?",IF(COUNTIF(W60:Z60,"~?")&gt;0,", ","")&amp;"Arachides","")&amp;IF(AB60="?",IF(COUNTIF(W60:AA60,"~?")&gt;0,", ","")&amp;"Soja","")&amp;IF(AC60="?",IF(COUNTIF(W60:AB60,"~?")&gt;0,", ","")&amp;"Lait","")&amp;IF(AD60="?",IF(COUNTIF(W60:AC60,"~?")&gt;0,", ","")&amp;"Fruits à coque","")&amp;IF(AE60="?",IF(COUNTIF(W60:AD60,"~?")&gt;0,", ","")&amp;"Céleri","")&amp;IF(AF60="?",IF(COUNTIF(W60:AE60,"~?")&gt;0,", ","")&amp;"Moutarde","")&amp;IF(AG60="?",IF(COUNTIF(W60:AF60,"~?")&gt;0,", ","")&amp;"Sésame","")&amp;IF(AH60="?",IF(COUNTIF(W60:AG60,"~?")&gt;0,", ","")&amp;"Sulfites","")&amp;IF(AI60="?",IF(COUNTIF(W60:AH60,"~?")&gt;0,", ","")&amp;"Lupin","")&amp;IF(AJ60="?",IF(COUNTIF(W60:AI60,"~?")&gt;0,", ","")&amp;"Mollusques","")),"")</f>
        <v/>
      </c>
      <c r="AM60" s="493" t="str">
        <f>IF(49=49,IF(T60="","",T60),"")</f>
        <v xml:space="preserve">cellule - Ensuite, dans la colonne B copiez le texte nettoyé - puis dans votre </v>
      </c>
      <c r="AN60" s="493" t="str">
        <f>IF(49=49,LOWER(CLEAN(SUBSTITUTE(SUBSTITUTE(SUBSTITUTE(SUBSTITUTE(AM60,CHAR(160)," ")," "," "),CHAR(10)," "),CHAR(13)," "))),"")</f>
        <v xml:space="preserve">cellule - ensuite, dans la colonne b copiez le texte nettoyé - puis dans votre </v>
      </c>
      <c r="AO60" s="493" t="str">
        <f>IF(49=49,SUBSTITUTE(SUBSTITUTE(SUBSTITUTE(SUBSTITUTE(SUBSTITUTE(SUBSTITUTE(SUBSTITUTE(SUBSTITUTE(SUBSTITUTE(SUBSTITUTE(SUBSTITUTE(SUBSTITUTE(AN60,"œ","oe"),"æ","ae"),"à","a"),"á","a"),"â","a"),"ä","a"),"ã","a"),"ç","c"),"è","e"),"é","e"),"ê","e"),"ë","e"),"")</f>
        <v xml:space="preserve">cellule - ensuite, dans la colonne b copiez le texte nettoye - puis dans votre </v>
      </c>
      <c r="AP60" s="493" t="str">
        <f>IF(49=49,SUBSTITUTE(SUBSTITUTE(SUBSTITUTE(SUBSTITUTE(SUBSTITUTE(SUBSTITUTE(SUBSTITUTE(SUBSTITUTE(SUBSTITUTE(SUBSTITUTE(SUBSTITUTE(SUBSTITUTE(SUBSTITUTE(SUBSTITUTE(SUBSTITUTE(SUBSTITUTE(AO60,"ì","i"),"í","i"),"î","i"),"ï","i"),"ñ","n"),"ò","o"),"ó","o"),"ô","o"),"ö","o"),"õ","o"),"ù","u"),"ú","u"),"û","u"),"ü","u"),"ý","y"),"ÿ","y"),"")</f>
        <v xml:space="preserve">cellule - ensuite, dans la colonne b copiez le texte nettoye - puis dans votre </v>
      </c>
      <c r="AQ60" s="493" t="str">
        <f>IF(49=49,SUBSTITUTE(SUBSTITUTE(SUBSTITUTE(SUBSTITUTE(SUBSTITUTE(SUBSTITUTE(SUBSTITUTE(SUBSTITUTE(SUBSTITUTE(SUBSTITUTE(SUBSTITUTE(SUBSTITUTE(SUBSTITUTE(SUBSTITUTE(AP60,"’"," "),"`"," "),"–"," "),"—"," "),"-"," "),"'"," "),"/"," "),"_"," "),","," "),"."," "),"("," "),")"," "),";"," "),":"," "),"")</f>
        <v xml:space="preserve">cellule   ensuite  dans la colonne b copiez le texte nettoye   puis dans votre </v>
      </c>
      <c r="AR60" s="493" t="str">
        <f>IF(49=49,SUBSTITUTE(SUBSTITUTE(SUBSTITUTE(SUBSTITUTE(SUBSTITUTE(SUBSTITUTE(SUBSTITUTE(SUBSTITUTE(SUBSTITUTE(SUBSTITUTE(SUBSTITUTE(SUBSTITUTE(SUBSTITUTE(SUBSTITUTE(SUBSTITUTE(AQ60,"!"," "),"?"," "),"+"," "),"*"," "),"&amp;"," "),"["," "),"]"," "),"{"," "),"}"," "),"%"," "),"="," "),"\"," "),"|"," "),"&lt;"," "),"&gt;"," "),"")</f>
        <v xml:space="preserve">cellule   ensuite  dans la colonne b copiez le texte nettoye   puis dans votre </v>
      </c>
      <c r="AS60" s="493" t="str">
        <f>IF(49=49," "&amp;TRIM(SUBSTITUTE(SUBSTITUTE(SUBSTITUTE(SUBSTITUTE(SUBSTITUTE(SUBSTITUTE(AR60,CHAR(34)," "),"  "," "),"  "," "),"  "," "),"  "," "),"  "," "))&amp;" ","")</f>
        <v xml:space="preserve"> cellule ensuite dans la colonne b copiez le texte nettoye puis dans votre </v>
      </c>
      <c r="AT60" s="493" cm="1">
        <f t="array" ref="AT60">IF(49=49,IF(AM60="","",SUMPRODUCT(--ISNUMBER(SEARCH(" "&amp;DJ13:DJ112&amp;" ",AV60)))),"")</f>
        <v>0</v>
      </c>
      <c r="AU60" s="493" cm="1">
        <f t="array" ref="AU60">IF(49=49,IF(AM60="","",SUMPRODUCT(--ISNUMBER(SEARCH(" "&amp;DJ113:DJ162&amp;" ",AV60)))),"")</f>
        <v>0</v>
      </c>
      <c r="AV60" s="493" t="str">
        <f>IF(AM60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60,"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cellule ensuite dans la colonne b copiez le texte nettoye puis dans votre </v>
      </c>
      <c r="AW60" s="493" cm="1">
        <f t="array" ref="AW60">IF(AM60="","",SUMPRODUCT(--ISNUMBER(SEARCH(" "&amp;DJ195:DJ216&amp;" ",AV60)))+--ISNUMBER(SEARCH(" "&amp;DJ2465&amp;" ",AV60)))</f>
        <v>0</v>
      </c>
      <c r="AX60" s="493" t="str" cm="1">
        <f t="array" ref="AX60">IF(49=49,IF(AM60="","",IF(SUM(AT60:AU60)+SUMPRODUCT(--ISNUMBER(SEARCH(" "&amp;DJ2429:DJ2431&amp;" ",AV60)))&gt;0,"X",IF(AW60&gt;0,"?",""))),"")</f>
        <v/>
      </c>
      <c r="AY60" s="493" cm="1">
        <f t="array" ref="AY60">IF(49=49,IF(AM60="","",SUMPRODUCT(--ISNUMBER(SEARCH(" "&amp;DJ217:DJ316&amp;" ",AS60)))),"")</f>
        <v>0</v>
      </c>
      <c r="AZ60" s="493" cm="1">
        <f t="array" ref="AZ60">IF(49=49,IF(AM60="","",SUMPRODUCT(--ISNUMBER(SEARCH(" "&amp;DJ317:DJ351&amp;" ",AS60)))),"")</f>
        <v>0</v>
      </c>
      <c r="BA60" s="493" t="str">
        <f>IF(49=49,IF(AM60="","",IF((SUM(AY60:AZ60))-(0)&gt;0,"X",IF((0)-(0)&gt;0,"?",""))),"")</f>
        <v/>
      </c>
      <c r="BB60" s="493" cm="1">
        <f t="array" ref="BB60">IF(49=49,IF(AM60="","",SUMPRODUCT(--ISNUMBER(SEARCH(" "&amp;DJ352:DJ409&amp;" ",AS60)))),"")</f>
        <v>0</v>
      </c>
      <c r="BC60" s="493" cm="1">
        <f t="array" ref="BC60">IF(49=49,IF(AM60="","",SUMPRODUCT(--ISNUMBER(SEARCH(" "&amp;DJ410:DJ437&amp;" ",BD60)))+SUMPRODUCT(--ISNUMBER(SEARCH(" "&amp;DJ2451:DJ2464&amp;" ",BD60)))),"")</f>
        <v>0</v>
      </c>
      <c r="BD60" s="493" t="str">
        <f>IF(49=49,IF(AM60="","",SUBSTITUTE(SUBSTITUTE(SUBSTITUTE(SUBSTITUTE(SUBSTITUTE(SUBSTITUTE(SUBSTITUTE(SUBSTITUTE(SUBSTITUTE(SUBSTITUTE(SUBSTITUTE(SUBSTITUTE(SUBSTITUTE(SUBSTITUTE(AS60," "&amp;DJ2466&amp;" "," ")," "&amp;DJ444&amp;" "," ")," "&amp;DJ442&amp;" "," ")," "&amp;DJ2449&amp;" "," ")," "&amp;DJ2450&amp;" "," ")," "&amp;DJ439&amp;" "," ")," "&amp;DJ443&amp;" "," ")," "&amp;DJ445&amp;" "," ")," "&amp;DJ440&amp;" "," ")," "&amp;DJ438&amp;" "," ")," "&amp;DJ1378&amp;" "," ")," "&amp;DJ446&amp;" "," ")," "&amp;DJ1377&amp;" "," ")," "&amp;DJ441&amp;" "," ")),"")</f>
        <v xml:space="preserve"> cellule ensuite dans la colonne b copiez le texte nettoye puis dans votre </v>
      </c>
      <c r="BE60" s="493" t="str">
        <f>IF(49=49,IF(AM60="","",IF(BB60&gt;0,"X",IF(BC60&gt;0,"?",""))),"")</f>
        <v/>
      </c>
      <c r="BF60" s="493" cm="1">
        <f t="array" ref="BF60">IF(49=49,IF(AM60="","",SUMPRODUCT(--ISNUMBER(SEARCH(" "&amp;DJ447:DJ546&amp;" ",BP60)))),"")</f>
        <v>0</v>
      </c>
      <c r="BG60" s="493" cm="1">
        <f t="array" ref="BG60">IF(49=49,IF(AM60="","",SUMPRODUCT(--ISNUMBER(SEARCH(" "&amp;DJ547:DJ646&amp;" ",BP60)))),"")</f>
        <v>0</v>
      </c>
      <c r="BH60" s="493" cm="1">
        <f t="array" ref="BH60">IF(49=49,IF(AM60="","",SUMPRODUCT(--ISNUMBER(SEARCH(" "&amp;DJ647:DJ746&amp;" ",BP60)))),"")</f>
        <v>0</v>
      </c>
      <c r="BI60" s="493" cm="1">
        <f t="array" ref="BI60">IF(49=49,IF(AM60="","",SUMPRODUCT(--ISNUMBER(SEARCH(" "&amp;DJ747:DJ846&amp;" ",BP60)))),"")</f>
        <v>0</v>
      </c>
      <c r="BJ60" s="493" cm="1">
        <f t="array" ref="BJ60">IF(49=49,IF(AM60="","",SUMPRODUCT(--ISNUMBER(SEARCH(" "&amp;DJ847:DJ946&amp;" ",BP60)))),"")</f>
        <v>0</v>
      </c>
      <c r="BK60" s="493" cm="1">
        <f t="array" ref="BK60">IF(49=49,IF(AM60="","",SUMPRODUCT(--ISNUMBER(SEARCH(" "&amp;DJ947:DJ1046&amp;" ",BP60)))),"")</f>
        <v>0</v>
      </c>
      <c r="BL60" s="493" cm="1">
        <f t="array" ref="BL60">IF(49=49,IF(AM60="","",SUMPRODUCT(--ISNUMBER(SEARCH(" "&amp;DJ1047:DJ1146&amp;" ",BP60)))),"")</f>
        <v>0</v>
      </c>
      <c r="BM60" s="493" cm="1">
        <f t="array" ref="BM60">IF(49=49,IF(AM60="","",SUMPRODUCT(--ISNUMBER(SEARCH(" "&amp;DJ1147:DJ1246&amp;" ",BP60)))),"")</f>
        <v>0</v>
      </c>
      <c r="BN60" s="493" cm="1">
        <f t="array" ref="BN60">IF(49=49,IF(AM60="","",SUMPRODUCT(--ISNUMBER(SEARCH(" "&amp;DJ1247:DJ1346&amp;" ",BP60)))),"")</f>
        <v>0</v>
      </c>
      <c r="BO60" s="493" cm="1">
        <f t="array" ref="BO60">IF(49=49,IF(AM60="","",SUMPRODUCT(--ISNUMBER(SEARCH(" "&amp;DJ1347:DJ1374&amp;" ",BP60)))),"")</f>
        <v>0</v>
      </c>
      <c r="BP60" s="493" t="str">
        <f>IF(49=49,IF(AM60="","",SUBSTITUTE(SUBSTITUTE(SUBSTITUTE(SUBSTITUTE(SUBSTITUTE(SUBSTITUTE(SUBSTITUTE(SUBSTITUTE(SUBSTITUTE(AS60," "&amp;DJ1376&amp;" "," ")," "&amp;DJ1375&amp;" "," ")," "&amp;DJ1381&amp;" "," ")," "&amp;DJ1382&amp;" "," ")," "&amp;DJ1378&amp;" "," ")," "&amp;DJ1380&amp;" "," ")," "&amp;DJ1377&amp;" "," ")," "&amp;DJ1379&amp;" "," ")," "&amp;DJ1383&amp;" "," ")),"")</f>
        <v xml:space="preserve"> cellule ensuite dans la colonne b copiez le texte nettoye puis dans votre </v>
      </c>
      <c r="BQ60" s="493" cm="1">
        <f t="array" ref="BQ60">IF(49=49,IF(AM60="","",SUMPRODUCT(--ISNUMBER(SEARCH(" "&amp;DJ1384:DJ1394&amp;" ",BP60)))),"")</f>
        <v>0</v>
      </c>
      <c r="BR60" s="493" t="str" cm="1">
        <f t="array" ref="BR60">IF(49=49,IF(AM60="","",IF(SUM(BF60:BO60)+SUMPRODUCT(--ISNUMBER(SEARCH(" "&amp;DJ2432:DJ2433&amp;" ",BP60)))&gt;0,"X",IF(BQ60&gt;0,"?",""))),"")</f>
        <v/>
      </c>
      <c r="BS60" s="493" cm="1">
        <f t="array" ref="BS60">IF(49=49,IF(AM60="","",SUMPRODUCT(--ISNUMBER(SEARCH(" "&amp;DJ1395:DJ1415&amp;" ",AS60)))),"")</f>
        <v>0</v>
      </c>
      <c r="BT60" s="493" t="str">
        <f>IF(49=49,IF(AM60="","",IF((BS60)-(0)&gt;0,"X",IF((0)-(0)&gt;0,"?",""))),"")</f>
        <v/>
      </c>
      <c r="BU60" s="493" cm="1">
        <f t="array" ref="BU60">IF(49=49,IF(AM60="","",SUMPRODUCT(--ISNUMBER(SEARCH(" "&amp;DJ1416:DJ1453&amp;" ",BV60)))),"")</f>
        <v>0</v>
      </c>
      <c r="BV60" s="493" t="str">
        <f>IF(49=49,IF(AM60="","",SUBSTITUTE(SUBSTITUTE(AS60," "&amp;DJ1454&amp;" "," ")," "&amp;DJ1455&amp;" "," ")),"")</f>
        <v xml:space="preserve"> cellule ensuite dans la colonne b copiez le texte nettoye puis dans votre </v>
      </c>
      <c r="BW60" s="493" cm="1">
        <f t="array" ref="BW60">IF(49=49,IF(AM60="","",SUMPRODUCT(--ISNUMBER(SEARCH(" "&amp;DJ1456:DJ1466&amp;" ",BV60)))),"")</f>
        <v>0</v>
      </c>
      <c r="BX60" s="493" t="str">
        <f>IF(49=49,IF(AM60="","",IF(BU60&gt;0,"X",IF(BW60&gt;0,"?",""))),"")</f>
        <v/>
      </c>
      <c r="BY60" s="493" cm="1">
        <f t="array" ref="BY60">IF(49=49,IF(AM60="","",SUMPRODUCT(--ISNUMBER(SEARCH(" "&amp;DJ1467:DJ1566&amp;" ",CB60)))),"")</f>
        <v>0</v>
      </c>
      <c r="BZ60" s="493" cm="1">
        <f t="array" ref="BZ60">IF(49=49,IF(AM60="","",SUMPRODUCT(--ISNUMBER(SEARCH(" "&amp;DJ1567:DJ1666&amp;" ",CB60)))),"")</f>
        <v>0</v>
      </c>
      <c r="CA60" s="493" cm="1">
        <f t="array" ref="CA60">IF(49=49,IF(AM60="","",SUMPRODUCT(--ISNUMBER(SEARCH(" "&amp;DJ1667:DJ1750&amp;" ",CB60)))),"")</f>
        <v>0</v>
      </c>
      <c r="CB60" s="493" t="str">
        <f>IF(49=49,IF(AM60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60,"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cellule ensuite dans la colonne b copiez le texte nettoye puis dans votre </v>
      </c>
      <c r="CC60" s="493" cm="1">
        <f t="array" ref="CC60">IF(49=49,IF(AM60="","",SUMPRODUCT(--ISNUMBER(SEARCH(" "&amp;DJ1801:DJ1880&amp;" ",CD60)))+SUMPRODUCT(--ISNUMBER(SEARCH(" "&amp;DJ2451:DJ2464&amp;" ",CD60)))),"")</f>
        <v>0</v>
      </c>
      <c r="CD60" s="493" t="str">
        <f>IF(49=49,IF(AM60="","",SUBSTITUTE(SUBSTITUTE(SUBSTITUTE(SUBSTITUTE(SUBSTITUTE(SUBSTITUTE(SUBSTITUTE(SUBSTITUTE(SUBSTITUTE(SUBSTITUTE(SUBSTITUTE(SUBSTITUTE(SUBSTITUTE(CB60," "&amp;DJ1887&amp;" "," ")," "&amp;DJ1885&amp;" "," ")," "&amp;DJ2449&amp;" "," ")," "&amp;DJ2450&amp;" "," ")," "&amp;DJ1882&amp;" "," ")," "&amp;DJ1886&amp;" "," ")," "&amp;DJ1888&amp;" "," ")," "&amp;DJ1883&amp;" "," ")," "&amp;DJ1881&amp;" "," ")," "&amp;DJ1378&amp;" "," ")," "&amp;DJ1889&amp;" "," ")," "&amp;DJ1377&amp;" "," ")," "&amp;DJ1884&amp;" "," ")),"")</f>
        <v xml:space="preserve"> cellule ensuite dans la colonne b copiez le texte nettoye puis dans votre </v>
      </c>
      <c r="CE60" s="493" t="str" cm="1">
        <f t="array" ref="CE60">IF(49=49,IF(AM60="","",IF(SUM(BY60:CA60)+SUMPRODUCT(--ISNUMBER(SEARCH(" "&amp;DJ2434:DJ2435&amp;" ",CB60)))&gt;0,"X",IF(CC60&gt;0,"?",""))),"")</f>
        <v/>
      </c>
      <c r="CF60" s="493" cm="1">
        <f t="array" ref="CF60">IF(49=49,IF(AM60="","",SUMPRODUCT(--ISNUMBER(SEARCH(" "&amp;DJ1890:DJ1947&amp;" ",CG60)))),"")</f>
        <v>0</v>
      </c>
      <c r="CG60" s="493" t="str">
        <f>IF(49=49,IF(AM60="","",SUBSTITUTE(SUBSTITUTE(SUBSTITUTE(SUBSTITUTE(SUBSTITUTE(SUBSTITUTE(SUBSTITUTE(SUBSTITUTE(SUBSTITUTE(SUBSTITUTE(SUBSTITUTE(SUBSTITUTE(SUBSTITUTE(SUBSTITUTE(SUBSTITUTE(SUBSTITUTE(SUBSTITUTE(SUBSTITUTE(SUBSTITUTE(SUBSTITUTE(SUBSTITUTE(SUBSTITUTE(SUBSTITUTE(AS60,"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cellule ensuite dans la colonne b copiez le texte nettoye puis dans votre </v>
      </c>
      <c r="CH60" s="493" cm="1">
        <f t="array" ref="CH60">IF(49=49,IF(AM60="","",SUMPRODUCT(--ISNUMBER(SEARCH(" "&amp;DJ1971:DJ1987&amp;" ",CG60)))),"")</f>
        <v>0</v>
      </c>
      <c r="CI60" s="493" t="str">
        <f>IF(49=49,IF(AM60="","",IF(CF60&gt;0,"X",IF(CH60&gt;0,"?",""))),"")</f>
        <v/>
      </c>
      <c r="CJ60" s="493" cm="1">
        <f t="array" ref="CJ60">IF(49=49,IF(AM60="","",SUMPRODUCT(--ISNUMBER(SEARCH(" "&amp;DJ1988:DJ2001&amp;" ",AS60)))),"")</f>
        <v>0</v>
      </c>
      <c r="CK60" s="493" cm="1">
        <f t="array" ref="CK60">IF(49=49,IF(AM60="","",SUMPRODUCT(--ISNUMBER(SEARCH(" "&amp;DJ2002:DJ2016&amp;" ",AS60)))),"")</f>
        <v>0</v>
      </c>
      <c r="CL60" s="493" t="str">
        <f>IF(49=49,IF(AM60="","",IF((CJ60)-(0)&gt;0,"X",IF((CK60)-(0)&gt;0,"?",""))),"")</f>
        <v/>
      </c>
      <c r="CM60" s="493" cm="1">
        <f t="array" ref="CM60">IF(49=49,IF(AM60="","",SUMPRODUCT(--ISNUMBER(SEARCH(" "&amp;DJ2017:DJ2034&amp;" ",AS60)))),"")</f>
        <v>0</v>
      </c>
      <c r="CN60" s="493" cm="1">
        <f t="array" ref="CN60">IF(49=49,IF(AM60="","",SUMPRODUCT(--ISNUMBER(SEARCH(" "&amp;DJ2035:DJ2049&amp;" ",AS60)))),"")</f>
        <v>0</v>
      </c>
      <c r="CO60" s="493" t="str">
        <f>IF(49=49,IF(AM60="","",IF((CM60)-(0)&gt;0,"X",IF((CN60)-(0)&gt;0,"?",""))),"")</f>
        <v/>
      </c>
      <c r="CP60" s="493" cm="1">
        <f t="array" ref="CP60">IF(49=49,IF(AM60="","",SUMPRODUCT(--ISNUMBER(SEARCH(" "&amp;DJ2050:DJ2068&amp;" ",AS60)))),"")</f>
        <v>0</v>
      </c>
      <c r="CQ60" s="493" cm="1">
        <f t="array" ref="CQ60">IF(49=49,IF(AM60="","",SUMPRODUCT(--ISNUMBER(SEARCH(" "&amp;DJ2069:DJ2083&amp;" ",AS60)))),"")</f>
        <v>0</v>
      </c>
      <c r="CR60" s="493" t="str">
        <f>IF(49=49,IF(AM60="","",IF((CP60)-(0)&gt;0,"X",IF((CQ60)-(0)&gt;0,"?",""))),"")</f>
        <v/>
      </c>
      <c r="CS60" s="493" cm="1">
        <f t="array" ref="CS60">IF(49=49,IF(AM60="","",SUMPRODUCT(--ISNUMBER(SEARCH(" "&amp;DJ2084:DJ2104&amp;" ",AS60)))),"")</f>
        <v>0</v>
      </c>
      <c r="CT60" s="493" cm="1">
        <f t="array" ref="CT60">IF(49=49,IF(AM60="","",SUMPRODUCT(--ISNUMBER(SEARCH(" "&amp;DJ2105:DJ2144&amp;" ",SUBSTITUTE(SUBSTITUTE(AS60," "&amp;DJ1378&amp;" "," ")," "&amp;DJ1377&amp;" "," "))))+--ISNUMBER(SEARCH("poiré",AN60))),"")</f>
        <v>0</v>
      </c>
      <c r="CU60" s="493" t="str">
        <f>IF(49=49,IF(AM60="","",IF(OR(CS60&gt;0,ISNUMBER(SEARCH(" vinaigre de vin ",AS60)),ISNUMBER(SEARCH(" vinaigre au vin ",AS60))),"X",IF(CT60&gt;0,"?",""))),"")</f>
        <v/>
      </c>
      <c r="CV60" s="493" cm="1">
        <f t="array" ref="CV60">IF(49=49,IF(AM60="","",SUMPRODUCT(--ISNUMBER(SEARCH(" "&amp;DJ2145:DJ2157&amp;" ",AS60)))),"")</f>
        <v>0</v>
      </c>
      <c r="CW60" s="493" cm="1">
        <f t="array" ref="CW60">IF(49=49,IF(AM60="","",SUMPRODUCT(--ISNUMBER(SEARCH(" "&amp;DJ2158:DJ2163&amp;" ",AS60)))),"")</f>
        <v>0</v>
      </c>
      <c r="CX60" s="493" t="str">
        <f>IF(49=49,IF(AM60="","",IF((CV60)-(0)&gt;0,"X",IF((CW60)-(0)&gt;0,"?",""))),"")</f>
        <v/>
      </c>
      <c r="CY60" s="493" cm="1">
        <f t="array" ref="CY60">IF(49=49,IF(AM60="","",SUMPRODUCT(--ISNUMBER(SEARCH(" "&amp;DJ2164:DJ2263&amp;" ",DB60)))),"")</f>
        <v>0</v>
      </c>
      <c r="CZ60" s="493" cm="1">
        <f t="array" ref="CZ60">IF(49=49,IF(AM60="","",SUMPRODUCT(--ISNUMBER(SEARCH(" "&amp;DJ2264:DJ2363&amp;" ",DB60)))),"")</f>
        <v>0</v>
      </c>
      <c r="DA60" s="493" cm="1">
        <f t="array" ref="DA60">IF(49=49,IF(AM60="","",SUMPRODUCT(--ISNUMBER(SEARCH(" "&amp;DJ2364:DJ2406&amp;" ",DB60)))),"")</f>
        <v>0</v>
      </c>
      <c r="DB60" s="493" t="str">
        <f>IF(49=49,IF(AM60="","",SUBSTITUTE(SUBSTITUTE(SUBSTITUTE(SUBSTITUTE(SUBSTITUTE(SUBSTITUTE(SUBSTITUTE(SUBSTITUTE(SUBSTITUTE(SUBSTITUTE(SUBSTITUTE(SUBSTITUTE(SUBSTITUTE(SUBSTITUTE(SUBSTITUTE(SUBSTITUTE(AS60," "&amp;DJ2412&amp;" "," ")," "&amp;DJ2411&amp;" "," ")," "&amp;DJ2410&amp;" "," ")," "&amp;DJ2417&amp;" "," ")," "&amp;DJ2409&amp;" "," ")," "&amp;DJ2421&amp;" "," ")," "&amp;DJ2408&amp;" "," ")," "&amp;DJ2413&amp;" "," ")," "&amp;DJ2416&amp;" "," ")," "&amp;DJ2407&amp;" "," ")," "&amp;DJ2415&amp;" "," ")," "&amp;DJ2422&amp;" "," ")," "&amp;DJ2419&amp;" "," ")," "&amp;DJ2414&amp;" "," ")," "&amp;DJ2418&amp;" "," ")," "&amp;DJ2420&amp;" "," ")),"")</f>
        <v xml:space="preserve"> cellule ensuite dans la colonne b copiez le texte nettoye puis dans votre </v>
      </c>
      <c r="DC60" s="493" cm="1">
        <f t="array" ref="DC60">IF(49=49,IF(AM60="","",SUMPRODUCT(--ISNUMBER(SEARCH(" "&amp;DJ2423:DJ2427&amp;" ",DB60)))),"")</f>
        <v>0</v>
      </c>
      <c r="DD60" s="493" t="str">
        <f>IF(49=49,IF(AM60="","",IF(SUM(CY60:DA60)&gt;0,"X",IF(DC60&gt;0,"?",""))),"")</f>
        <v/>
      </c>
      <c r="DE60" s="494"/>
      <c r="DF60" s="496" t="s">
        <v>1228</v>
      </c>
      <c r="DG60" s="496" t="s">
        <v>1083</v>
      </c>
      <c r="DH60" s="496" t="s">
        <v>689</v>
      </c>
      <c r="DI60" s="496" t="s">
        <v>1229</v>
      </c>
      <c r="DJ60" s="496" t="s">
        <v>1230</v>
      </c>
      <c r="DK60" s="496" t="s">
        <v>1085</v>
      </c>
      <c r="DL60" s="496" t="s">
        <v>1086</v>
      </c>
      <c r="DM60" s="496" t="s">
        <v>1087</v>
      </c>
      <c r="DN60" s="497" t="s">
        <v>1088</v>
      </c>
      <c r="DP60" s="543">
        <v>1</v>
      </c>
    </row>
    <row r="61" spans="2:120" ht="30" customHeight="1">
      <c r="B61" s="663" t="str">
        <f t="shared" si="0"/>
        <v/>
      </c>
      <c r="C61" s="663" t="str">
        <f t="shared" si="1"/>
        <v/>
      </c>
      <c r="D61" s="663" t="str">
        <f>IF(UPPER(TRIM(N11))="X",C61,B61)</f>
        <v/>
      </c>
      <c r="E61" s="663" cm="1">
        <f t="array" ref="E61">IF(H60&lt;&gt;"",E60,IF(E60="","",IFERROR(MATCH(TRUE(),INDEX(INDEX(K:K,E60+1):K203&lt;&gt;"",0),0)+E60,"")))</f>
        <v>203</v>
      </c>
      <c r="F61" s="663" t="str" cm="1">
        <f t="array" ref="F61">IF(E61="","",IF(H60&lt;&gt;"",H60,INDEX(D:D,E61)))</f>
        <v>document faites Collage spécial &gt; 1.2.3 Valeurs pour ne coller que le texte, sans formules.</v>
      </c>
      <c r="G61" s="663" t="str">
        <f t="shared" si="2"/>
        <v xml:space="preserve">document faites Collage spécial &gt; 1.2.3 Valeurs pour ne coller que le texte, </v>
      </c>
      <c r="H61" s="673" t="str">
        <f t="shared" si="3"/>
        <v>sans formules.</v>
      </c>
      <c r="I61" s="680" t="str">
        <f>IF(AND(F61&lt;&gt;"",N10&gt;0,M61&gt;N10),"Mot &gt; limite","")</f>
        <v/>
      </c>
      <c r="J61" s="674" t="str">
        <f>IF(K61="","",COUNTIF(K18:K61,"&lt;&gt;"))</f>
        <v/>
      </c>
      <c r="K61" s="675"/>
      <c r="L61" s="674" t="str">
        <f t="shared" si="4"/>
        <v/>
      </c>
      <c r="M61" s="643">
        <f>IF(OR(F61="",N10="",N10&lt;=0),"",IF(LEN(F61)&lt;=N10,LEN(F61),IFERROR(FIND("♦",SUBSTITUTE(LEFT(F61,N10)," ","♦",LEN(LEFT(F61,N10))-LEN(SUBSTITUTE(LEFT(F61,N10)," ","")))),FIND(" ",F61&amp;" ",N10+1)-1)))</f>
        <v>77</v>
      </c>
      <c r="N61" s="676">
        <f t="shared" si="5"/>
        <v>44</v>
      </c>
      <c r="O61" s="677" t="str">
        <f t="shared" si="6"/>
        <v xml:space="preserve">document faites Collage spécial &gt; 1.2.3 Valeurs pour ne coller que le texte, </v>
      </c>
      <c r="P61" s="676">
        <f t="shared" si="7"/>
        <v>13</v>
      </c>
      <c r="Q61" s="676">
        <f t="shared" si="8"/>
        <v>77</v>
      </c>
      <c r="S61" s="509">
        <v>44</v>
      </c>
      <c r="T61" s="678" t="str">
        <f t="shared" si="10"/>
        <v xml:space="preserve">document faites Collage spécial &gt; 1.2.3 Valeurs pour ne coller que le texte, </v>
      </c>
      <c r="U61" s="679" t="str">
        <f t="shared" si="11"/>
        <v>document faites Collage spécial &gt; 1.2.3 Valeurs pour ne coller que le texte,</v>
      </c>
      <c r="V61" s="512" t="str">
        <f>IF(50=50,IF(T61="","",IF(W61="X",""&amp;"Céréales contenant du gluten","")&amp;IF(X61="X",IF(COUNTIF(W61:W61,"X")&gt;0,", ","")&amp;"Crustacés","")&amp;IF(Y61="X",IF(COUNTIF(W61:X61,"X")&gt;0,", ","")&amp;"Œufs","")&amp;IF(Z61="X",IF(COUNTIF(W61:Y61,"X")&gt;0,", ","")&amp;"Poissons","")&amp;IF(AA61="X",IF(COUNTIF(W61:Z61,"X")&gt;0,", ","")&amp;"Arachides","")&amp;IF(AB61="X",IF(COUNTIF(W61:AA61,"X")&gt;0,", ","")&amp;"Soja","")&amp;IF(AC61="X",IF(COUNTIF(W61:AB61,"X")&gt;0,", ","")&amp;"Lait","")&amp;IF(AD61="X",IF(COUNTIF(W61:AC61,"X")&gt;0,", ","")&amp;"Fruits à coque","")&amp;IF(AE61="X",IF(COUNTIF(W61:AD61,"X")&gt;0,", ","")&amp;"Céleri","")&amp;IF(AF61="X",IF(COUNTIF(W61:AE61,"X")&gt;0,", ","")&amp;"Moutarde","")&amp;IF(AG61="X",IF(COUNTIF(W61:AF61,"X")&gt;0,", ","")&amp;"Sésame","")&amp;IF(AH61="X",IF(COUNTIF(W61:AG61,"X")&gt;0,", ","")&amp;"Sulfites","")&amp;IF(AI61="X",IF(COUNTIF(W61:AH61,"X")&gt;0,", ","")&amp;"Lupin","")&amp;IF(AJ61="X",IF(COUNTIF(W61:AI61,"X")&gt;0,", ","")&amp;"Mollusques","")),"")</f>
        <v/>
      </c>
      <c r="W61" s="513" t="str">
        <f>IF(50=50,IF(T61="","",AX61),"")</f>
        <v/>
      </c>
      <c r="X61" s="513" t="str">
        <f>IF(50=50,IF(T61="","",BA61),"")</f>
        <v/>
      </c>
      <c r="Y61" s="513" t="str">
        <f>IF(50=50,IF(T61="","",BE61),"")</f>
        <v/>
      </c>
      <c r="Z61" s="513" t="str">
        <f>IF(50=50,IF(T61="","",IF(ISNUMBER(SEARCH(" colin ",AS61)),"X",BR61)),"")</f>
        <v/>
      </c>
      <c r="AA61" s="513" t="str">
        <f>IF(50=50,IF(T61="","",BT61),"")</f>
        <v/>
      </c>
      <c r="AB61" s="513" t="str">
        <f>IF(50=50,IF(T61="","",BX61),"")</f>
        <v/>
      </c>
      <c r="AC61" s="513" t="str">
        <f>IF(50=50,IF(T61="","",CE61),"")</f>
        <v/>
      </c>
      <c r="AD61" s="513" t="str">
        <f>IF(50=50,IF(T61="","",CI61),"")</f>
        <v/>
      </c>
      <c r="AE61" s="513" t="str">
        <f>IF(50=50,IF(T61="","",CL61),"")</f>
        <v/>
      </c>
      <c r="AF61" s="513" t="str">
        <f>IF(50=50,IF(T61="","",CO61),"")</f>
        <v/>
      </c>
      <c r="AG61" s="513" t="str">
        <f>IF(50=50,IF(T61="","",CR61),"")</f>
        <v/>
      </c>
      <c r="AH61" s="513" t="str">
        <f>IF(50=50,IF(T61="","",CU61),"")</f>
        <v/>
      </c>
      <c r="AI61" s="513" t="str">
        <f>IF(50=50,IF(T61="","",CX61),"")</f>
        <v/>
      </c>
      <c r="AJ61" s="513" t="str">
        <f>IF(50=50,IF(T61="","",DD61),"")</f>
        <v/>
      </c>
      <c r="AK61" s="514" t="str">
        <f>IF(50=50,IF(T61="","",IF(W61="?",""&amp;"Céréales contenant du gluten","")&amp;IF(X61="?",IF(COUNTIF(W61:W61,"~?")&gt;0,", ","")&amp;"Crustacés","")&amp;IF(Y61="?",IF(COUNTIF(W61:X61,"~?")&gt;0,", ","")&amp;"Œufs","")&amp;IF(Z61="?",IF(COUNTIF(W61:Y61,"~?")&gt;0,", ","")&amp;"Poissons","")&amp;IF(AA61="?",IF(COUNTIF(W61:Z61,"~?")&gt;0,", ","")&amp;"Arachides","")&amp;IF(AB61="?",IF(COUNTIF(W61:AA61,"~?")&gt;0,", ","")&amp;"Soja","")&amp;IF(AC61="?",IF(COUNTIF(W61:AB61,"~?")&gt;0,", ","")&amp;"Lait","")&amp;IF(AD61="?",IF(COUNTIF(W61:AC61,"~?")&gt;0,", ","")&amp;"Fruits à coque","")&amp;IF(AE61="?",IF(COUNTIF(W61:AD61,"~?")&gt;0,", ","")&amp;"Céleri","")&amp;IF(AF61="?",IF(COUNTIF(W61:AE61,"~?")&gt;0,", ","")&amp;"Moutarde","")&amp;IF(AG61="?",IF(COUNTIF(W61:AF61,"~?")&gt;0,", ","")&amp;"Sésame","")&amp;IF(AH61="?",IF(COUNTIF(W61:AG61,"~?")&gt;0,", ","")&amp;"Sulfites","")&amp;IF(AI61="?",IF(COUNTIF(W61:AH61,"~?")&gt;0,", ","")&amp;"Lupin","")&amp;IF(AJ61="?",IF(COUNTIF(W61:AI61,"~?")&gt;0,", ","")&amp;"Mollusques","")),"")</f>
        <v/>
      </c>
      <c r="AM61" s="493" t="str">
        <f>IF(50=50,IF(T61="","",T61),"")</f>
        <v xml:space="preserve">document faites Collage spécial &gt; 1.2.3 Valeurs pour ne coller que le texte, </v>
      </c>
      <c r="AN61" s="493" t="str">
        <f>IF(50=50,LOWER(CLEAN(SUBSTITUTE(SUBSTITUTE(SUBSTITUTE(SUBSTITUTE(AM61,CHAR(160)," ")," "," "),CHAR(10)," "),CHAR(13)," "))),"")</f>
        <v xml:space="preserve">document faites collage spécial &gt; 1.2.3 valeurs pour ne coller que le texte, </v>
      </c>
      <c r="AO61" s="493" t="str">
        <f>IF(50=50,SUBSTITUTE(SUBSTITUTE(SUBSTITUTE(SUBSTITUTE(SUBSTITUTE(SUBSTITUTE(SUBSTITUTE(SUBSTITUTE(SUBSTITUTE(SUBSTITUTE(SUBSTITUTE(SUBSTITUTE(AN61,"œ","oe"),"æ","ae"),"à","a"),"á","a"),"â","a"),"ä","a"),"ã","a"),"ç","c"),"è","e"),"é","e"),"ê","e"),"ë","e"),"")</f>
        <v xml:space="preserve">document faites collage special &gt; 1.2.3 valeurs pour ne coller que le texte, </v>
      </c>
      <c r="AP61" s="493" t="str">
        <f>IF(50=50,SUBSTITUTE(SUBSTITUTE(SUBSTITUTE(SUBSTITUTE(SUBSTITUTE(SUBSTITUTE(SUBSTITUTE(SUBSTITUTE(SUBSTITUTE(SUBSTITUTE(SUBSTITUTE(SUBSTITUTE(SUBSTITUTE(SUBSTITUTE(SUBSTITUTE(SUBSTITUTE(AO61,"ì","i"),"í","i"),"î","i"),"ï","i"),"ñ","n"),"ò","o"),"ó","o"),"ô","o"),"ö","o"),"õ","o"),"ù","u"),"ú","u"),"û","u"),"ü","u"),"ý","y"),"ÿ","y"),"")</f>
        <v xml:space="preserve">document faites collage special &gt; 1.2.3 valeurs pour ne coller que le texte, </v>
      </c>
      <c r="AQ61" s="493" t="str">
        <f>IF(50=50,SUBSTITUTE(SUBSTITUTE(SUBSTITUTE(SUBSTITUTE(SUBSTITUTE(SUBSTITUTE(SUBSTITUTE(SUBSTITUTE(SUBSTITUTE(SUBSTITUTE(SUBSTITUTE(SUBSTITUTE(SUBSTITUTE(SUBSTITUTE(AP61,"’"," "),"`"," "),"–"," "),"—"," "),"-"," "),"'"," "),"/"," "),"_"," "),","," "),"."," "),"("," "),")"," "),";"," "),":"," "),"")</f>
        <v xml:space="preserve">document faites collage special &gt; 1 2 3 valeurs pour ne coller que le texte  </v>
      </c>
      <c r="AR61" s="493" t="str">
        <f>IF(50=50,SUBSTITUTE(SUBSTITUTE(SUBSTITUTE(SUBSTITUTE(SUBSTITUTE(SUBSTITUTE(SUBSTITUTE(SUBSTITUTE(SUBSTITUTE(SUBSTITUTE(SUBSTITUTE(SUBSTITUTE(SUBSTITUTE(SUBSTITUTE(SUBSTITUTE(AQ61,"!"," "),"?"," "),"+"," "),"*"," "),"&amp;"," "),"["," "),"]"," "),"{"," "),"}"," "),"%"," "),"="," "),"\"," "),"|"," "),"&lt;"," "),"&gt;"," "),"")</f>
        <v xml:space="preserve">document faites collage special   1 2 3 valeurs pour ne coller que le texte  </v>
      </c>
      <c r="AS61" s="493" t="str">
        <f>IF(50=50," "&amp;TRIM(SUBSTITUTE(SUBSTITUTE(SUBSTITUTE(SUBSTITUTE(SUBSTITUTE(SUBSTITUTE(AR61,CHAR(34)," "),"  "," "),"  "," "),"  "," "),"  "," "),"  "," "))&amp;" ","")</f>
        <v xml:space="preserve"> document faites collage special 1 2 3 valeurs pour ne coller que le texte </v>
      </c>
      <c r="AT61" s="493" cm="1">
        <f t="array" ref="AT61">IF(50=50,IF(AM61="","",SUMPRODUCT(--ISNUMBER(SEARCH(" "&amp;DJ13:DJ112&amp;" ",AV61)))),"")</f>
        <v>0</v>
      </c>
      <c r="AU61" s="493" cm="1">
        <f t="array" ref="AU61">IF(50=50,IF(AM61="","",SUMPRODUCT(--ISNUMBER(SEARCH(" "&amp;DJ113:DJ162&amp;" ",AV61)))),"")</f>
        <v>0</v>
      </c>
      <c r="AV61" s="493" t="str">
        <f>IF(AM61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61,"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document faites collage special 1 2 3 valeurs pour ne coller que le texte </v>
      </c>
      <c r="AW61" s="493" cm="1">
        <f t="array" ref="AW61">IF(AM61="","",SUMPRODUCT(--ISNUMBER(SEARCH(" "&amp;DJ195:DJ216&amp;" ",AV61)))+--ISNUMBER(SEARCH(" "&amp;DJ2465&amp;" ",AV61)))</f>
        <v>0</v>
      </c>
      <c r="AX61" s="493" t="str" cm="1">
        <f t="array" ref="AX61">IF(50=50,IF(AM61="","",IF(SUM(AT61:AU61)+SUMPRODUCT(--ISNUMBER(SEARCH(" "&amp;DJ2429:DJ2431&amp;" ",AV61)))&gt;0,"X",IF(AW61&gt;0,"?",""))),"")</f>
        <v/>
      </c>
      <c r="AY61" s="493" cm="1">
        <f t="array" ref="AY61">IF(50=50,IF(AM61="","",SUMPRODUCT(--ISNUMBER(SEARCH(" "&amp;DJ217:DJ316&amp;" ",AS61)))),"")</f>
        <v>0</v>
      </c>
      <c r="AZ61" s="493" cm="1">
        <f t="array" ref="AZ61">IF(50=50,IF(AM61="","",SUMPRODUCT(--ISNUMBER(SEARCH(" "&amp;DJ317:DJ351&amp;" ",AS61)))),"")</f>
        <v>0</v>
      </c>
      <c r="BA61" s="493" t="str">
        <f>IF(50=50,IF(AM61="","",IF((SUM(AY61:AZ61))-(0)&gt;0,"X",IF((0)-(0)&gt;0,"?",""))),"")</f>
        <v/>
      </c>
      <c r="BB61" s="493" cm="1">
        <f t="array" ref="BB61">IF(50=50,IF(AM61="","",SUMPRODUCT(--ISNUMBER(SEARCH(" "&amp;DJ352:DJ409&amp;" ",AS61)))),"")</f>
        <v>0</v>
      </c>
      <c r="BC61" s="493" cm="1">
        <f t="array" ref="BC61">IF(50=50,IF(AM61="","",SUMPRODUCT(--ISNUMBER(SEARCH(" "&amp;DJ410:DJ437&amp;" ",BD61)))+SUMPRODUCT(--ISNUMBER(SEARCH(" "&amp;DJ2451:DJ2464&amp;" ",BD61)))),"")</f>
        <v>0</v>
      </c>
      <c r="BD61" s="493" t="str">
        <f>IF(50=50,IF(AM61="","",SUBSTITUTE(SUBSTITUTE(SUBSTITUTE(SUBSTITUTE(SUBSTITUTE(SUBSTITUTE(SUBSTITUTE(SUBSTITUTE(SUBSTITUTE(SUBSTITUTE(SUBSTITUTE(SUBSTITUTE(SUBSTITUTE(SUBSTITUTE(AS61," "&amp;DJ2466&amp;" "," ")," "&amp;DJ444&amp;" "," ")," "&amp;DJ442&amp;" "," ")," "&amp;DJ2449&amp;" "," ")," "&amp;DJ2450&amp;" "," ")," "&amp;DJ439&amp;" "," ")," "&amp;DJ443&amp;" "," ")," "&amp;DJ445&amp;" "," ")," "&amp;DJ440&amp;" "," ")," "&amp;DJ438&amp;" "," ")," "&amp;DJ1378&amp;" "," ")," "&amp;DJ446&amp;" "," ")," "&amp;DJ1377&amp;" "," ")," "&amp;DJ441&amp;" "," ")),"")</f>
        <v xml:space="preserve"> document faites collage special 1 2 3 valeurs pour ne coller que le texte </v>
      </c>
      <c r="BE61" s="493" t="str">
        <f>IF(50=50,IF(AM61="","",IF(BB61&gt;0,"X",IF(BC61&gt;0,"?",""))),"")</f>
        <v/>
      </c>
      <c r="BF61" s="493" cm="1">
        <f t="array" ref="BF61">IF(50=50,IF(AM61="","",SUMPRODUCT(--ISNUMBER(SEARCH(" "&amp;DJ447:DJ546&amp;" ",BP61)))),"")</f>
        <v>0</v>
      </c>
      <c r="BG61" s="493" cm="1">
        <f t="array" ref="BG61">IF(50=50,IF(AM61="","",SUMPRODUCT(--ISNUMBER(SEARCH(" "&amp;DJ547:DJ646&amp;" ",BP61)))),"")</f>
        <v>0</v>
      </c>
      <c r="BH61" s="493" cm="1">
        <f t="array" ref="BH61">IF(50=50,IF(AM61="","",SUMPRODUCT(--ISNUMBER(SEARCH(" "&amp;DJ647:DJ746&amp;" ",BP61)))),"")</f>
        <v>0</v>
      </c>
      <c r="BI61" s="493" cm="1">
        <f t="array" ref="BI61">IF(50=50,IF(AM61="","",SUMPRODUCT(--ISNUMBER(SEARCH(" "&amp;DJ747:DJ846&amp;" ",BP61)))),"")</f>
        <v>0</v>
      </c>
      <c r="BJ61" s="493" cm="1">
        <f t="array" ref="BJ61">IF(50=50,IF(AM61="","",SUMPRODUCT(--ISNUMBER(SEARCH(" "&amp;DJ847:DJ946&amp;" ",BP61)))),"")</f>
        <v>0</v>
      </c>
      <c r="BK61" s="493" cm="1">
        <f t="array" ref="BK61">IF(50=50,IF(AM61="","",SUMPRODUCT(--ISNUMBER(SEARCH(" "&amp;DJ947:DJ1046&amp;" ",BP61)))),"")</f>
        <v>0</v>
      </c>
      <c r="BL61" s="493" cm="1">
        <f t="array" ref="BL61">IF(50=50,IF(AM61="","",SUMPRODUCT(--ISNUMBER(SEARCH(" "&amp;DJ1047:DJ1146&amp;" ",BP61)))),"")</f>
        <v>0</v>
      </c>
      <c r="BM61" s="493" cm="1">
        <f t="array" ref="BM61">IF(50=50,IF(AM61="","",SUMPRODUCT(--ISNUMBER(SEARCH(" "&amp;DJ1147:DJ1246&amp;" ",BP61)))),"")</f>
        <v>0</v>
      </c>
      <c r="BN61" s="493" cm="1">
        <f t="array" ref="BN61">IF(50=50,IF(AM61="","",SUMPRODUCT(--ISNUMBER(SEARCH(" "&amp;DJ1247:DJ1346&amp;" ",BP61)))),"")</f>
        <v>0</v>
      </c>
      <c r="BO61" s="493" cm="1">
        <f t="array" ref="BO61">IF(50=50,IF(AM61="","",SUMPRODUCT(--ISNUMBER(SEARCH(" "&amp;DJ1347:DJ1374&amp;" ",BP61)))),"")</f>
        <v>0</v>
      </c>
      <c r="BP61" s="493" t="str">
        <f>IF(50=50,IF(AM61="","",SUBSTITUTE(SUBSTITUTE(SUBSTITUTE(SUBSTITUTE(SUBSTITUTE(SUBSTITUTE(SUBSTITUTE(SUBSTITUTE(SUBSTITUTE(AS61," "&amp;DJ1376&amp;" "," ")," "&amp;DJ1375&amp;" "," ")," "&amp;DJ1381&amp;" "," ")," "&amp;DJ1382&amp;" "," ")," "&amp;DJ1378&amp;" "," ")," "&amp;DJ1380&amp;" "," ")," "&amp;DJ1377&amp;" "," ")," "&amp;DJ1379&amp;" "," ")," "&amp;DJ1383&amp;" "," ")),"")</f>
        <v xml:space="preserve"> document faites collage special 1 2 3 valeurs pour ne coller que le texte </v>
      </c>
      <c r="BQ61" s="493" cm="1">
        <f t="array" ref="BQ61">IF(50=50,IF(AM61="","",SUMPRODUCT(--ISNUMBER(SEARCH(" "&amp;DJ1384:DJ1394&amp;" ",BP61)))),"")</f>
        <v>0</v>
      </c>
      <c r="BR61" s="493" t="str" cm="1">
        <f t="array" ref="BR61">IF(50=50,IF(AM61="","",IF(SUM(BF61:BO61)+SUMPRODUCT(--ISNUMBER(SEARCH(" "&amp;DJ2432:DJ2433&amp;" ",BP61)))&gt;0,"X",IF(BQ61&gt;0,"?",""))),"")</f>
        <v/>
      </c>
      <c r="BS61" s="493" cm="1">
        <f t="array" ref="BS61">IF(50=50,IF(AM61="","",SUMPRODUCT(--ISNUMBER(SEARCH(" "&amp;DJ1395:DJ1415&amp;" ",AS61)))),"")</f>
        <v>0</v>
      </c>
      <c r="BT61" s="493" t="str">
        <f>IF(50=50,IF(AM61="","",IF((BS61)-(0)&gt;0,"X",IF((0)-(0)&gt;0,"?",""))),"")</f>
        <v/>
      </c>
      <c r="BU61" s="493" cm="1">
        <f t="array" ref="BU61">IF(50=50,IF(AM61="","",SUMPRODUCT(--ISNUMBER(SEARCH(" "&amp;DJ1416:DJ1453&amp;" ",BV61)))),"")</f>
        <v>0</v>
      </c>
      <c r="BV61" s="493" t="str">
        <f>IF(50=50,IF(AM61="","",SUBSTITUTE(SUBSTITUTE(AS61," "&amp;DJ1454&amp;" "," ")," "&amp;DJ1455&amp;" "," ")),"")</f>
        <v xml:space="preserve"> document faites collage special 1 2 3 valeurs pour ne coller que le texte </v>
      </c>
      <c r="BW61" s="493" cm="1">
        <f t="array" ref="BW61">IF(50=50,IF(AM61="","",SUMPRODUCT(--ISNUMBER(SEARCH(" "&amp;DJ1456:DJ1466&amp;" ",BV61)))),"")</f>
        <v>0</v>
      </c>
      <c r="BX61" s="493" t="str">
        <f>IF(50=50,IF(AM61="","",IF(BU61&gt;0,"X",IF(BW61&gt;0,"?",""))),"")</f>
        <v/>
      </c>
      <c r="BY61" s="493" cm="1">
        <f t="array" ref="BY61">IF(50=50,IF(AM61="","",SUMPRODUCT(--ISNUMBER(SEARCH(" "&amp;DJ1467:DJ1566&amp;" ",CB61)))),"")</f>
        <v>0</v>
      </c>
      <c r="BZ61" s="493" cm="1">
        <f t="array" ref="BZ61">IF(50=50,IF(AM61="","",SUMPRODUCT(--ISNUMBER(SEARCH(" "&amp;DJ1567:DJ1666&amp;" ",CB61)))),"")</f>
        <v>0</v>
      </c>
      <c r="CA61" s="493" cm="1">
        <f t="array" ref="CA61">IF(50=50,IF(AM61="","",SUMPRODUCT(--ISNUMBER(SEARCH(" "&amp;DJ1667:DJ1750&amp;" ",CB61)))),"")</f>
        <v>0</v>
      </c>
      <c r="CB61" s="493" t="str">
        <f>IF(50=50,IF(AM61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61,"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document faites collage special 1 2 3 valeurs pour ne coller que le texte </v>
      </c>
      <c r="CC61" s="493" cm="1">
        <f t="array" ref="CC61">IF(50=50,IF(AM61="","",SUMPRODUCT(--ISNUMBER(SEARCH(" "&amp;DJ1801:DJ1880&amp;" ",CD61)))+SUMPRODUCT(--ISNUMBER(SEARCH(" "&amp;DJ2451:DJ2464&amp;" ",CD61)))),"")</f>
        <v>0</v>
      </c>
      <c r="CD61" s="493" t="str">
        <f>IF(50=50,IF(AM61="","",SUBSTITUTE(SUBSTITUTE(SUBSTITUTE(SUBSTITUTE(SUBSTITUTE(SUBSTITUTE(SUBSTITUTE(SUBSTITUTE(SUBSTITUTE(SUBSTITUTE(SUBSTITUTE(SUBSTITUTE(SUBSTITUTE(CB61," "&amp;DJ1887&amp;" "," ")," "&amp;DJ1885&amp;" "," ")," "&amp;DJ2449&amp;" "," ")," "&amp;DJ2450&amp;" "," ")," "&amp;DJ1882&amp;" "," ")," "&amp;DJ1886&amp;" "," ")," "&amp;DJ1888&amp;" "," ")," "&amp;DJ1883&amp;" "," ")," "&amp;DJ1881&amp;" "," ")," "&amp;DJ1378&amp;" "," ")," "&amp;DJ1889&amp;" "," ")," "&amp;DJ1377&amp;" "," ")," "&amp;DJ1884&amp;" "," ")),"")</f>
        <v xml:space="preserve"> document faites collage special 1 2 3 valeurs pour ne coller que le texte </v>
      </c>
      <c r="CE61" s="493" t="str" cm="1">
        <f t="array" ref="CE61">IF(50=50,IF(AM61="","",IF(SUM(BY61:CA61)+SUMPRODUCT(--ISNUMBER(SEARCH(" "&amp;DJ2434:DJ2435&amp;" ",CB61)))&gt;0,"X",IF(CC61&gt;0,"?",""))),"")</f>
        <v/>
      </c>
      <c r="CF61" s="493" cm="1">
        <f t="array" ref="CF61">IF(50=50,IF(AM61="","",SUMPRODUCT(--ISNUMBER(SEARCH(" "&amp;DJ1890:DJ1947&amp;" ",CG61)))),"")</f>
        <v>0</v>
      </c>
      <c r="CG61" s="493" t="str">
        <f>IF(50=50,IF(AM61="","",SUBSTITUTE(SUBSTITUTE(SUBSTITUTE(SUBSTITUTE(SUBSTITUTE(SUBSTITUTE(SUBSTITUTE(SUBSTITUTE(SUBSTITUTE(SUBSTITUTE(SUBSTITUTE(SUBSTITUTE(SUBSTITUTE(SUBSTITUTE(SUBSTITUTE(SUBSTITUTE(SUBSTITUTE(SUBSTITUTE(SUBSTITUTE(SUBSTITUTE(SUBSTITUTE(SUBSTITUTE(SUBSTITUTE(AS61,"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document faites collage special 1 2 3 valeurs pour ne coller que le texte </v>
      </c>
      <c r="CH61" s="493" cm="1">
        <f t="array" ref="CH61">IF(50=50,IF(AM61="","",SUMPRODUCT(--ISNUMBER(SEARCH(" "&amp;DJ1971:DJ1987&amp;" ",CG61)))),"")</f>
        <v>0</v>
      </c>
      <c r="CI61" s="493" t="str">
        <f>IF(50=50,IF(AM61="","",IF(CF61&gt;0,"X",IF(CH61&gt;0,"?",""))),"")</f>
        <v/>
      </c>
      <c r="CJ61" s="493" cm="1">
        <f t="array" ref="CJ61">IF(50=50,IF(AM61="","",SUMPRODUCT(--ISNUMBER(SEARCH(" "&amp;DJ1988:DJ2001&amp;" ",AS61)))),"")</f>
        <v>0</v>
      </c>
      <c r="CK61" s="493" cm="1">
        <f t="array" ref="CK61">IF(50=50,IF(AM61="","",SUMPRODUCT(--ISNUMBER(SEARCH(" "&amp;DJ2002:DJ2016&amp;" ",AS61)))),"")</f>
        <v>0</v>
      </c>
      <c r="CL61" s="493" t="str">
        <f>IF(50=50,IF(AM61="","",IF((CJ61)-(0)&gt;0,"X",IF((CK61)-(0)&gt;0,"?",""))),"")</f>
        <v/>
      </c>
      <c r="CM61" s="493" cm="1">
        <f t="array" ref="CM61">IF(50=50,IF(AM61="","",SUMPRODUCT(--ISNUMBER(SEARCH(" "&amp;DJ2017:DJ2034&amp;" ",AS61)))),"")</f>
        <v>0</v>
      </c>
      <c r="CN61" s="493" cm="1">
        <f t="array" ref="CN61">IF(50=50,IF(AM61="","",SUMPRODUCT(--ISNUMBER(SEARCH(" "&amp;DJ2035:DJ2049&amp;" ",AS61)))),"")</f>
        <v>0</v>
      </c>
      <c r="CO61" s="493" t="str">
        <f>IF(50=50,IF(AM61="","",IF((CM61)-(0)&gt;0,"X",IF((CN61)-(0)&gt;0,"?",""))),"")</f>
        <v/>
      </c>
      <c r="CP61" s="493" cm="1">
        <f t="array" ref="CP61">IF(50=50,IF(AM61="","",SUMPRODUCT(--ISNUMBER(SEARCH(" "&amp;DJ2050:DJ2068&amp;" ",AS61)))),"")</f>
        <v>0</v>
      </c>
      <c r="CQ61" s="493" cm="1">
        <f t="array" ref="CQ61">IF(50=50,IF(AM61="","",SUMPRODUCT(--ISNUMBER(SEARCH(" "&amp;DJ2069:DJ2083&amp;" ",AS61)))),"")</f>
        <v>0</v>
      </c>
      <c r="CR61" s="493" t="str">
        <f>IF(50=50,IF(AM61="","",IF((CP61)-(0)&gt;0,"X",IF((CQ61)-(0)&gt;0,"?",""))),"")</f>
        <v/>
      </c>
      <c r="CS61" s="493" cm="1">
        <f t="array" ref="CS61">IF(50=50,IF(AM61="","",SUMPRODUCT(--ISNUMBER(SEARCH(" "&amp;DJ2084:DJ2104&amp;" ",AS61)))),"")</f>
        <v>0</v>
      </c>
      <c r="CT61" s="493" cm="1">
        <f t="array" ref="CT61">IF(50=50,IF(AM61="","",SUMPRODUCT(--ISNUMBER(SEARCH(" "&amp;DJ2105:DJ2144&amp;" ",SUBSTITUTE(SUBSTITUTE(AS61," "&amp;DJ1378&amp;" "," ")," "&amp;DJ1377&amp;" "," "))))+--ISNUMBER(SEARCH("poiré",AN61))),"")</f>
        <v>0</v>
      </c>
      <c r="CU61" s="493" t="str">
        <f>IF(50=50,IF(AM61="","",IF(OR(CS61&gt;0,ISNUMBER(SEARCH(" vinaigre de vin ",AS61)),ISNUMBER(SEARCH(" vinaigre au vin ",AS61))),"X",IF(CT61&gt;0,"?",""))),"")</f>
        <v/>
      </c>
      <c r="CV61" s="493" cm="1">
        <f t="array" ref="CV61">IF(50=50,IF(AM61="","",SUMPRODUCT(--ISNUMBER(SEARCH(" "&amp;DJ2145:DJ2157&amp;" ",AS61)))),"")</f>
        <v>0</v>
      </c>
      <c r="CW61" s="493" cm="1">
        <f t="array" ref="CW61">IF(50=50,IF(AM61="","",SUMPRODUCT(--ISNUMBER(SEARCH(" "&amp;DJ2158:DJ2163&amp;" ",AS61)))),"")</f>
        <v>0</v>
      </c>
      <c r="CX61" s="493" t="str">
        <f>IF(50=50,IF(AM61="","",IF((CV61)-(0)&gt;0,"X",IF((CW61)-(0)&gt;0,"?",""))),"")</f>
        <v/>
      </c>
      <c r="CY61" s="493" cm="1">
        <f t="array" ref="CY61">IF(50=50,IF(AM61="","",SUMPRODUCT(--ISNUMBER(SEARCH(" "&amp;DJ2164:DJ2263&amp;" ",DB61)))),"")</f>
        <v>0</v>
      </c>
      <c r="CZ61" s="493" cm="1">
        <f t="array" ref="CZ61">IF(50=50,IF(AM61="","",SUMPRODUCT(--ISNUMBER(SEARCH(" "&amp;DJ2264:DJ2363&amp;" ",DB61)))),"")</f>
        <v>0</v>
      </c>
      <c r="DA61" s="493" cm="1">
        <f t="array" ref="DA61">IF(50=50,IF(AM61="","",SUMPRODUCT(--ISNUMBER(SEARCH(" "&amp;DJ2364:DJ2406&amp;" ",DB61)))),"")</f>
        <v>0</v>
      </c>
      <c r="DB61" s="493" t="str">
        <f>IF(50=50,IF(AM61="","",SUBSTITUTE(SUBSTITUTE(SUBSTITUTE(SUBSTITUTE(SUBSTITUTE(SUBSTITUTE(SUBSTITUTE(SUBSTITUTE(SUBSTITUTE(SUBSTITUTE(SUBSTITUTE(SUBSTITUTE(SUBSTITUTE(SUBSTITUTE(SUBSTITUTE(SUBSTITUTE(AS61," "&amp;DJ2412&amp;" "," ")," "&amp;DJ2411&amp;" "," ")," "&amp;DJ2410&amp;" "," ")," "&amp;DJ2417&amp;" "," ")," "&amp;DJ2409&amp;" "," ")," "&amp;DJ2421&amp;" "," ")," "&amp;DJ2408&amp;" "," ")," "&amp;DJ2413&amp;" "," ")," "&amp;DJ2416&amp;" "," ")," "&amp;DJ2407&amp;" "," ")," "&amp;DJ2415&amp;" "," ")," "&amp;DJ2422&amp;" "," ")," "&amp;DJ2419&amp;" "," ")," "&amp;DJ2414&amp;" "," ")," "&amp;DJ2418&amp;" "," ")," "&amp;DJ2420&amp;" "," ")),"")</f>
        <v xml:space="preserve"> document faites collage special 1 2 3 valeurs pour ne coller que le texte </v>
      </c>
      <c r="DC61" s="493" cm="1">
        <f t="array" ref="DC61">IF(50=50,IF(AM61="","",SUMPRODUCT(--ISNUMBER(SEARCH(" "&amp;DJ2423:DJ2427&amp;" ",DB61)))),"")</f>
        <v>0</v>
      </c>
      <c r="DD61" s="493" t="str">
        <f>IF(50=50,IF(AM61="","",IF(SUM(CY61:DA61)&gt;0,"X",IF(DC61&gt;0,"?",""))),"")</f>
        <v/>
      </c>
      <c r="DE61" s="494"/>
      <c r="DF61" s="496" t="s">
        <v>1231</v>
      </c>
      <c r="DG61" s="496" t="s">
        <v>1083</v>
      </c>
      <c r="DH61" s="496" t="s">
        <v>689</v>
      </c>
      <c r="DI61" s="496" t="s">
        <v>1232</v>
      </c>
      <c r="DJ61" s="496" t="s">
        <v>1232</v>
      </c>
      <c r="DK61" s="496" t="s">
        <v>1085</v>
      </c>
      <c r="DL61" s="496" t="s">
        <v>1086</v>
      </c>
      <c r="DM61" s="496" t="s">
        <v>1087</v>
      </c>
      <c r="DN61" s="497" t="s">
        <v>1088</v>
      </c>
      <c r="DP61" s="543">
        <v>1</v>
      </c>
    </row>
    <row r="62" spans="2:120" ht="30" customHeight="1">
      <c r="B62" s="663" t="str">
        <f t="shared" si="0"/>
        <v/>
      </c>
      <c r="C62" s="663" t="str">
        <f t="shared" si="1"/>
        <v/>
      </c>
      <c r="D62" s="663" t="str">
        <f>IF(UPPER(TRIM(N11))="X",C62,B62)</f>
        <v/>
      </c>
      <c r="E62" s="663" cm="1">
        <f t="array" ref="E62">IF(H61&lt;&gt;"",E61,IF(E61="","",IFERROR(MATCH(TRUE(),INDEX(INDEX(K:K,E61+1):K203&lt;&gt;"",0),0)+E61,"")))</f>
        <v>203</v>
      </c>
      <c r="F62" s="663" t="str" cm="1">
        <f t="array" ref="F62">IF(E62="","",IF(H61&lt;&gt;"",H61,INDEX(D:D,E62)))</f>
        <v>sans formules.</v>
      </c>
      <c r="G62" s="663" t="str">
        <f t="shared" si="2"/>
        <v>sans formules.</v>
      </c>
      <c r="H62" s="673" t="str">
        <f t="shared" si="3"/>
        <v/>
      </c>
      <c r="I62" s="680" t="str">
        <f>IF(AND(F62&lt;&gt;"",N10&gt;0,M62&gt;N10),"Mot &gt; limite","")</f>
        <v/>
      </c>
      <c r="J62" s="674" t="str">
        <f>IF(K62="","",COUNTIF(K18:K62,"&lt;&gt;"))</f>
        <v/>
      </c>
      <c r="K62" s="675"/>
      <c r="L62" s="674" t="str">
        <f t="shared" si="4"/>
        <v/>
      </c>
      <c r="M62" s="643">
        <f>IF(OR(F62="",N10="",N10&lt;=0),"",IF(LEN(F62)&lt;=N10,LEN(F62),IFERROR(FIND("♦",SUBSTITUTE(LEFT(F62,N10)," ","♦",LEN(LEFT(F62,N10))-LEN(SUBSTITUTE(LEFT(F62,N10)," ","")))),FIND(" ",F62&amp;" ",N10+1)-1)))</f>
        <v>14</v>
      </c>
      <c r="N62" s="676">
        <f t="shared" si="5"/>
        <v>45</v>
      </c>
      <c r="O62" s="677" t="str">
        <f t="shared" si="6"/>
        <v>sans formules.</v>
      </c>
      <c r="P62" s="676">
        <f t="shared" si="7"/>
        <v>2</v>
      </c>
      <c r="Q62" s="676">
        <f t="shared" si="8"/>
        <v>14</v>
      </c>
      <c r="S62" s="509">
        <v>45</v>
      </c>
      <c r="T62" s="678" t="str">
        <f t="shared" si="10"/>
        <v>sans formules.</v>
      </c>
      <c r="U62" s="679" t="str">
        <f t="shared" si="11"/>
        <v>sans formules.</v>
      </c>
      <c r="V62" s="512" t="str">
        <f>IF(51=51,IF(T62="","",IF(W62="X",""&amp;"Céréales contenant du gluten","")&amp;IF(X62="X",IF(COUNTIF(W62:W62,"X")&gt;0,", ","")&amp;"Crustacés","")&amp;IF(Y62="X",IF(COUNTIF(W62:X62,"X")&gt;0,", ","")&amp;"Œufs","")&amp;IF(Z62="X",IF(COUNTIF(W62:Y62,"X")&gt;0,", ","")&amp;"Poissons","")&amp;IF(AA62="X",IF(COUNTIF(W62:Z62,"X")&gt;0,", ","")&amp;"Arachides","")&amp;IF(AB62="X",IF(COUNTIF(W62:AA62,"X")&gt;0,", ","")&amp;"Soja","")&amp;IF(AC62="X",IF(COUNTIF(W62:AB62,"X")&gt;0,", ","")&amp;"Lait","")&amp;IF(AD62="X",IF(COUNTIF(W62:AC62,"X")&gt;0,", ","")&amp;"Fruits à coque","")&amp;IF(AE62="X",IF(COUNTIF(W62:AD62,"X")&gt;0,", ","")&amp;"Céleri","")&amp;IF(AF62="X",IF(COUNTIF(W62:AE62,"X")&gt;0,", ","")&amp;"Moutarde","")&amp;IF(AG62="X",IF(COUNTIF(W62:AF62,"X")&gt;0,", ","")&amp;"Sésame","")&amp;IF(AH62="X",IF(COUNTIF(W62:AG62,"X")&gt;0,", ","")&amp;"Sulfites","")&amp;IF(AI62="X",IF(COUNTIF(W62:AH62,"X")&gt;0,", ","")&amp;"Lupin","")&amp;IF(AJ62="X",IF(COUNTIF(W62:AI62,"X")&gt;0,", ","")&amp;"Mollusques","")),"")</f>
        <v/>
      </c>
      <c r="W62" s="513" t="str">
        <f>IF(51=51,IF(T62="","",AX62),"")</f>
        <v/>
      </c>
      <c r="X62" s="513" t="str">
        <f>IF(51=51,IF(T62="","",BA62),"")</f>
        <v/>
      </c>
      <c r="Y62" s="513" t="str">
        <f>IF(51=51,IF(T62="","",BE62),"")</f>
        <v/>
      </c>
      <c r="Z62" s="513" t="str">
        <f>IF(51=51,IF(T62="","",IF(ISNUMBER(SEARCH(" colin ",AS62)),"X",BR62)),"")</f>
        <v/>
      </c>
      <c r="AA62" s="513" t="str">
        <f>IF(51=51,IF(T62="","",BT62),"")</f>
        <v/>
      </c>
      <c r="AB62" s="513" t="str">
        <f>IF(51=51,IF(T62="","",BX62),"")</f>
        <v/>
      </c>
      <c r="AC62" s="513" t="str">
        <f>IF(51=51,IF(T62="","",CE62),"")</f>
        <v/>
      </c>
      <c r="AD62" s="513" t="str">
        <f>IF(51=51,IF(T62="","",CI62),"")</f>
        <v/>
      </c>
      <c r="AE62" s="513" t="str">
        <f>IF(51=51,IF(T62="","",CL62),"")</f>
        <v/>
      </c>
      <c r="AF62" s="513" t="str">
        <f>IF(51=51,IF(T62="","",CO62),"")</f>
        <v/>
      </c>
      <c r="AG62" s="513" t="str">
        <f>IF(51=51,IF(T62="","",CR62),"")</f>
        <v/>
      </c>
      <c r="AH62" s="513" t="str">
        <f>IF(51=51,IF(T62="","",CU62),"")</f>
        <v/>
      </c>
      <c r="AI62" s="513" t="str">
        <f>IF(51=51,IF(T62="","",CX62),"")</f>
        <v/>
      </c>
      <c r="AJ62" s="513" t="str">
        <f>IF(51=51,IF(T62="","",DD62),"")</f>
        <v/>
      </c>
      <c r="AK62" s="514" t="str">
        <f>IF(51=51,IF(T62="","",IF(W62="?",""&amp;"Céréales contenant du gluten","")&amp;IF(X62="?",IF(COUNTIF(W62:W62,"~?")&gt;0,", ","")&amp;"Crustacés","")&amp;IF(Y62="?",IF(COUNTIF(W62:X62,"~?")&gt;0,", ","")&amp;"Œufs","")&amp;IF(Z62="?",IF(COUNTIF(W62:Y62,"~?")&gt;0,", ","")&amp;"Poissons","")&amp;IF(AA62="?",IF(COUNTIF(W62:Z62,"~?")&gt;0,", ","")&amp;"Arachides","")&amp;IF(AB62="?",IF(COUNTIF(W62:AA62,"~?")&gt;0,", ","")&amp;"Soja","")&amp;IF(AC62="?",IF(COUNTIF(W62:AB62,"~?")&gt;0,", ","")&amp;"Lait","")&amp;IF(AD62="?",IF(COUNTIF(W62:AC62,"~?")&gt;0,", ","")&amp;"Fruits à coque","")&amp;IF(AE62="?",IF(COUNTIF(W62:AD62,"~?")&gt;0,", ","")&amp;"Céleri","")&amp;IF(AF62="?",IF(COUNTIF(W62:AE62,"~?")&gt;0,", ","")&amp;"Moutarde","")&amp;IF(AG62="?",IF(COUNTIF(W62:AF62,"~?")&gt;0,", ","")&amp;"Sésame","")&amp;IF(AH62="?",IF(COUNTIF(W62:AG62,"~?")&gt;0,", ","")&amp;"Sulfites","")&amp;IF(AI62="?",IF(COUNTIF(W62:AH62,"~?")&gt;0,", ","")&amp;"Lupin","")&amp;IF(AJ62="?",IF(COUNTIF(W62:AI62,"~?")&gt;0,", ","")&amp;"Mollusques","")),"")</f>
        <v/>
      </c>
      <c r="AM62" s="493" t="str">
        <f>IF(51=51,IF(T62="","",T62),"")</f>
        <v>sans formules.</v>
      </c>
      <c r="AN62" s="493" t="str">
        <f>IF(51=51,LOWER(CLEAN(SUBSTITUTE(SUBSTITUTE(SUBSTITUTE(SUBSTITUTE(AM62,CHAR(160)," ")," "," "),CHAR(10)," "),CHAR(13)," "))),"")</f>
        <v>sans formules.</v>
      </c>
      <c r="AO62" s="493" t="str">
        <f>IF(51=51,SUBSTITUTE(SUBSTITUTE(SUBSTITUTE(SUBSTITUTE(SUBSTITUTE(SUBSTITUTE(SUBSTITUTE(SUBSTITUTE(SUBSTITUTE(SUBSTITUTE(SUBSTITUTE(SUBSTITUTE(AN62,"œ","oe"),"æ","ae"),"à","a"),"á","a"),"â","a"),"ä","a"),"ã","a"),"ç","c"),"è","e"),"é","e"),"ê","e"),"ë","e"),"")</f>
        <v>sans formules.</v>
      </c>
      <c r="AP62" s="493" t="str">
        <f>IF(51=51,SUBSTITUTE(SUBSTITUTE(SUBSTITUTE(SUBSTITUTE(SUBSTITUTE(SUBSTITUTE(SUBSTITUTE(SUBSTITUTE(SUBSTITUTE(SUBSTITUTE(SUBSTITUTE(SUBSTITUTE(SUBSTITUTE(SUBSTITUTE(SUBSTITUTE(SUBSTITUTE(AO62,"ì","i"),"í","i"),"î","i"),"ï","i"),"ñ","n"),"ò","o"),"ó","o"),"ô","o"),"ö","o"),"õ","o"),"ù","u"),"ú","u"),"û","u"),"ü","u"),"ý","y"),"ÿ","y"),"")</f>
        <v>sans formules.</v>
      </c>
      <c r="AQ62" s="493" t="str">
        <f>IF(51=51,SUBSTITUTE(SUBSTITUTE(SUBSTITUTE(SUBSTITUTE(SUBSTITUTE(SUBSTITUTE(SUBSTITUTE(SUBSTITUTE(SUBSTITUTE(SUBSTITUTE(SUBSTITUTE(SUBSTITUTE(SUBSTITUTE(SUBSTITUTE(AP62,"’"," "),"`"," "),"–"," "),"—"," "),"-"," "),"'"," "),"/"," "),"_"," "),","," "),"."," "),"("," "),")"," "),";"," "),":"," "),"")</f>
        <v xml:space="preserve">sans formules </v>
      </c>
      <c r="AR62" s="493" t="str">
        <f>IF(51=51,SUBSTITUTE(SUBSTITUTE(SUBSTITUTE(SUBSTITUTE(SUBSTITUTE(SUBSTITUTE(SUBSTITUTE(SUBSTITUTE(SUBSTITUTE(SUBSTITUTE(SUBSTITUTE(SUBSTITUTE(SUBSTITUTE(SUBSTITUTE(SUBSTITUTE(AQ62,"!"," "),"?"," "),"+"," "),"*"," "),"&amp;"," "),"["," "),"]"," "),"{"," "),"}"," "),"%"," "),"="," "),"\"," "),"|"," "),"&lt;"," "),"&gt;"," "),"")</f>
        <v xml:space="preserve">sans formules </v>
      </c>
      <c r="AS62" s="493" t="str">
        <f>IF(51=51," "&amp;TRIM(SUBSTITUTE(SUBSTITUTE(SUBSTITUTE(SUBSTITUTE(SUBSTITUTE(SUBSTITUTE(AR62,CHAR(34)," "),"  "," "),"  "," "),"  "," "),"  "," "),"  "," "))&amp;" ","")</f>
        <v xml:space="preserve"> sans formules </v>
      </c>
      <c r="AT62" s="493" cm="1">
        <f t="array" ref="AT62">IF(51=51,IF(AM62="","",SUMPRODUCT(--ISNUMBER(SEARCH(" "&amp;DJ13:DJ112&amp;" ",AV62)))),"")</f>
        <v>0</v>
      </c>
      <c r="AU62" s="493" cm="1">
        <f t="array" ref="AU62">IF(51=51,IF(AM62="","",SUMPRODUCT(--ISNUMBER(SEARCH(" "&amp;DJ113:DJ162&amp;" ",AV62)))),"")</f>
        <v>0</v>
      </c>
      <c r="AV62" s="493" t="str">
        <f>IF(AM62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62,"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sans formules </v>
      </c>
      <c r="AW62" s="493" cm="1">
        <f t="array" ref="AW62">IF(AM62="","",SUMPRODUCT(--ISNUMBER(SEARCH(" "&amp;DJ195:DJ216&amp;" ",AV62)))+--ISNUMBER(SEARCH(" "&amp;DJ2465&amp;" ",AV62)))</f>
        <v>0</v>
      </c>
      <c r="AX62" s="493" t="str" cm="1">
        <f t="array" ref="AX62">IF(51=51,IF(AM62="","",IF(SUM(AT62:AU62)+SUMPRODUCT(--ISNUMBER(SEARCH(" "&amp;DJ2429:DJ2431&amp;" ",AV62)))&gt;0,"X",IF(AW62&gt;0,"?",""))),"")</f>
        <v/>
      </c>
      <c r="AY62" s="493" cm="1">
        <f t="array" ref="AY62">IF(51=51,IF(AM62="","",SUMPRODUCT(--ISNUMBER(SEARCH(" "&amp;DJ217:DJ316&amp;" ",AS62)))),"")</f>
        <v>0</v>
      </c>
      <c r="AZ62" s="493" cm="1">
        <f t="array" ref="AZ62">IF(51=51,IF(AM62="","",SUMPRODUCT(--ISNUMBER(SEARCH(" "&amp;DJ317:DJ351&amp;" ",AS62)))),"")</f>
        <v>0</v>
      </c>
      <c r="BA62" s="493" t="str">
        <f>IF(51=51,IF(AM62="","",IF((SUM(AY62:AZ62))-(0)&gt;0,"X",IF((0)-(0)&gt;0,"?",""))),"")</f>
        <v/>
      </c>
      <c r="BB62" s="493" cm="1">
        <f t="array" ref="BB62">IF(51=51,IF(AM62="","",SUMPRODUCT(--ISNUMBER(SEARCH(" "&amp;DJ352:DJ409&amp;" ",AS62)))),"")</f>
        <v>0</v>
      </c>
      <c r="BC62" s="493" cm="1">
        <f t="array" ref="BC62">IF(51=51,IF(AM62="","",SUMPRODUCT(--ISNUMBER(SEARCH(" "&amp;DJ410:DJ437&amp;" ",BD62)))+SUMPRODUCT(--ISNUMBER(SEARCH(" "&amp;DJ2451:DJ2464&amp;" ",BD62)))),"")</f>
        <v>0</v>
      </c>
      <c r="BD62" s="493" t="str">
        <f>IF(51=51,IF(AM62="","",SUBSTITUTE(SUBSTITUTE(SUBSTITUTE(SUBSTITUTE(SUBSTITUTE(SUBSTITUTE(SUBSTITUTE(SUBSTITUTE(SUBSTITUTE(SUBSTITUTE(SUBSTITUTE(SUBSTITUTE(SUBSTITUTE(SUBSTITUTE(AS62," "&amp;DJ2466&amp;" "," ")," "&amp;DJ444&amp;" "," ")," "&amp;DJ442&amp;" "," ")," "&amp;DJ2449&amp;" "," ")," "&amp;DJ2450&amp;" "," ")," "&amp;DJ439&amp;" "," ")," "&amp;DJ443&amp;" "," ")," "&amp;DJ445&amp;" "," ")," "&amp;DJ440&amp;" "," ")," "&amp;DJ438&amp;" "," ")," "&amp;DJ1378&amp;" "," ")," "&amp;DJ446&amp;" "," ")," "&amp;DJ1377&amp;" "," ")," "&amp;DJ441&amp;" "," ")),"")</f>
        <v xml:space="preserve"> sans formules </v>
      </c>
      <c r="BE62" s="493" t="str">
        <f>IF(51=51,IF(AM62="","",IF(BB62&gt;0,"X",IF(BC62&gt;0,"?",""))),"")</f>
        <v/>
      </c>
      <c r="BF62" s="493" cm="1">
        <f t="array" ref="BF62">IF(51=51,IF(AM62="","",SUMPRODUCT(--ISNUMBER(SEARCH(" "&amp;DJ447:DJ546&amp;" ",BP62)))),"")</f>
        <v>0</v>
      </c>
      <c r="BG62" s="493" cm="1">
        <f t="array" ref="BG62">IF(51=51,IF(AM62="","",SUMPRODUCT(--ISNUMBER(SEARCH(" "&amp;DJ547:DJ646&amp;" ",BP62)))),"")</f>
        <v>0</v>
      </c>
      <c r="BH62" s="493" cm="1">
        <f t="array" ref="BH62">IF(51=51,IF(AM62="","",SUMPRODUCT(--ISNUMBER(SEARCH(" "&amp;DJ647:DJ746&amp;" ",BP62)))),"")</f>
        <v>0</v>
      </c>
      <c r="BI62" s="493" cm="1">
        <f t="array" ref="BI62">IF(51=51,IF(AM62="","",SUMPRODUCT(--ISNUMBER(SEARCH(" "&amp;DJ747:DJ846&amp;" ",BP62)))),"")</f>
        <v>0</v>
      </c>
      <c r="BJ62" s="493" cm="1">
        <f t="array" ref="BJ62">IF(51=51,IF(AM62="","",SUMPRODUCT(--ISNUMBER(SEARCH(" "&amp;DJ847:DJ946&amp;" ",BP62)))),"")</f>
        <v>0</v>
      </c>
      <c r="BK62" s="493" cm="1">
        <f t="array" ref="BK62">IF(51=51,IF(AM62="","",SUMPRODUCT(--ISNUMBER(SEARCH(" "&amp;DJ947:DJ1046&amp;" ",BP62)))),"")</f>
        <v>0</v>
      </c>
      <c r="BL62" s="493" cm="1">
        <f t="array" ref="BL62">IF(51=51,IF(AM62="","",SUMPRODUCT(--ISNUMBER(SEARCH(" "&amp;DJ1047:DJ1146&amp;" ",BP62)))),"")</f>
        <v>0</v>
      </c>
      <c r="BM62" s="493" cm="1">
        <f t="array" ref="BM62">IF(51=51,IF(AM62="","",SUMPRODUCT(--ISNUMBER(SEARCH(" "&amp;DJ1147:DJ1246&amp;" ",BP62)))),"")</f>
        <v>0</v>
      </c>
      <c r="BN62" s="493" cm="1">
        <f t="array" ref="BN62">IF(51=51,IF(AM62="","",SUMPRODUCT(--ISNUMBER(SEARCH(" "&amp;DJ1247:DJ1346&amp;" ",BP62)))),"")</f>
        <v>0</v>
      </c>
      <c r="BO62" s="493" cm="1">
        <f t="array" ref="BO62">IF(51=51,IF(AM62="","",SUMPRODUCT(--ISNUMBER(SEARCH(" "&amp;DJ1347:DJ1374&amp;" ",BP62)))),"")</f>
        <v>0</v>
      </c>
      <c r="BP62" s="493" t="str">
        <f>IF(51=51,IF(AM62="","",SUBSTITUTE(SUBSTITUTE(SUBSTITUTE(SUBSTITUTE(SUBSTITUTE(SUBSTITUTE(SUBSTITUTE(SUBSTITUTE(SUBSTITUTE(AS62," "&amp;DJ1376&amp;" "," ")," "&amp;DJ1375&amp;" "," ")," "&amp;DJ1381&amp;" "," ")," "&amp;DJ1382&amp;" "," ")," "&amp;DJ1378&amp;" "," ")," "&amp;DJ1380&amp;" "," ")," "&amp;DJ1377&amp;" "," ")," "&amp;DJ1379&amp;" "," ")," "&amp;DJ1383&amp;" "," ")),"")</f>
        <v xml:space="preserve"> sans formules </v>
      </c>
      <c r="BQ62" s="493" cm="1">
        <f t="array" ref="BQ62">IF(51=51,IF(AM62="","",SUMPRODUCT(--ISNUMBER(SEARCH(" "&amp;DJ1384:DJ1394&amp;" ",BP62)))),"")</f>
        <v>0</v>
      </c>
      <c r="BR62" s="493" t="str" cm="1">
        <f t="array" ref="BR62">IF(51=51,IF(AM62="","",IF(SUM(BF62:BO62)+SUMPRODUCT(--ISNUMBER(SEARCH(" "&amp;DJ2432:DJ2433&amp;" ",BP62)))&gt;0,"X",IF(BQ62&gt;0,"?",""))),"")</f>
        <v/>
      </c>
      <c r="BS62" s="493" cm="1">
        <f t="array" ref="BS62">IF(51=51,IF(AM62="","",SUMPRODUCT(--ISNUMBER(SEARCH(" "&amp;DJ1395:DJ1415&amp;" ",AS62)))),"")</f>
        <v>0</v>
      </c>
      <c r="BT62" s="493" t="str">
        <f>IF(51=51,IF(AM62="","",IF((BS62)-(0)&gt;0,"X",IF((0)-(0)&gt;0,"?",""))),"")</f>
        <v/>
      </c>
      <c r="BU62" s="493" cm="1">
        <f t="array" ref="BU62">IF(51=51,IF(AM62="","",SUMPRODUCT(--ISNUMBER(SEARCH(" "&amp;DJ1416:DJ1453&amp;" ",BV62)))),"")</f>
        <v>0</v>
      </c>
      <c r="BV62" s="493" t="str">
        <f>IF(51=51,IF(AM62="","",SUBSTITUTE(SUBSTITUTE(AS62," "&amp;DJ1454&amp;" "," ")," "&amp;DJ1455&amp;" "," ")),"")</f>
        <v xml:space="preserve"> sans formules </v>
      </c>
      <c r="BW62" s="493" cm="1">
        <f t="array" ref="BW62">IF(51=51,IF(AM62="","",SUMPRODUCT(--ISNUMBER(SEARCH(" "&amp;DJ1456:DJ1466&amp;" ",BV62)))),"")</f>
        <v>0</v>
      </c>
      <c r="BX62" s="493" t="str">
        <f>IF(51=51,IF(AM62="","",IF(BU62&gt;0,"X",IF(BW62&gt;0,"?",""))),"")</f>
        <v/>
      </c>
      <c r="BY62" s="493" cm="1">
        <f t="array" ref="BY62">IF(51=51,IF(AM62="","",SUMPRODUCT(--ISNUMBER(SEARCH(" "&amp;DJ1467:DJ1566&amp;" ",CB62)))),"")</f>
        <v>0</v>
      </c>
      <c r="BZ62" s="493" cm="1">
        <f t="array" ref="BZ62">IF(51=51,IF(AM62="","",SUMPRODUCT(--ISNUMBER(SEARCH(" "&amp;DJ1567:DJ1666&amp;" ",CB62)))),"")</f>
        <v>0</v>
      </c>
      <c r="CA62" s="493" cm="1">
        <f t="array" ref="CA62">IF(51=51,IF(AM62="","",SUMPRODUCT(--ISNUMBER(SEARCH(" "&amp;DJ1667:DJ1750&amp;" ",CB62)))),"")</f>
        <v>0</v>
      </c>
      <c r="CB62" s="493" t="str">
        <f>IF(51=51,IF(AM62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62,"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sans formules </v>
      </c>
      <c r="CC62" s="493" cm="1">
        <f t="array" ref="CC62">IF(51=51,IF(AM62="","",SUMPRODUCT(--ISNUMBER(SEARCH(" "&amp;DJ1801:DJ1880&amp;" ",CD62)))+SUMPRODUCT(--ISNUMBER(SEARCH(" "&amp;DJ2451:DJ2464&amp;" ",CD62)))),"")</f>
        <v>0</v>
      </c>
      <c r="CD62" s="493" t="str">
        <f>IF(51=51,IF(AM62="","",SUBSTITUTE(SUBSTITUTE(SUBSTITUTE(SUBSTITUTE(SUBSTITUTE(SUBSTITUTE(SUBSTITUTE(SUBSTITUTE(SUBSTITUTE(SUBSTITUTE(SUBSTITUTE(SUBSTITUTE(SUBSTITUTE(CB62," "&amp;DJ1887&amp;" "," ")," "&amp;DJ1885&amp;" "," ")," "&amp;DJ2449&amp;" "," ")," "&amp;DJ2450&amp;" "," ")," "&amp;DJ1882&amp;" "," ")," "&amp;DJ1886&amp;" "," ")," "&amp;DJ1888&amp;" "," ")," "&amp;DJ1883&amp;" "," ")," "&amp;DJ1881&amp;" "," ")," "&amp;DJ1378&amp;" "," ")," "&amp;DJ1889&amp;" "," ")," "&amp;DJ1377&amp;" "," ")," "&amp;DJ1884&amp;" "," ")),"")</f>
        <v xml:space="preserve"> sans formules </v>
      </c>
      <c r="CE62" s="493" t="str" cm="1">
        <f t="array" ref="CE62">IF(51=51,IF(AM62="","",IF(SUM(BY62:CA62)+SUMPRODUCT(--ISNUMBER(SEARCH(" "&amp;DJ2434:DJ2435&amp;" ",CB62)))&gt;0,"X",IF(CC62&gt;0,"?",""))),"")</f>
        <v/>
      </c>
      <c r="CF62" s="493" cm="1">
        <f t="array" ref="CF62">IF(51=51,IF(AM62="","",SUMPRODUCT(--ISNUMBER(SEARCH(" "&amp;DJ1890:DJ1947&amp;" ",CG62)))),"")</f>
        <v>0</v>
      </c>
      <c r="CG62" s="493" t="str">
        <f>IF(51=51,IF(AM62="","",SUBSTITUTE(SUBSTITUTE(SUBSTITUTE(SUBSTITUTE(SUBSTITUTE(SUBSTITUTE(SUBSTITUTE(SUBSTITUTE(SUBSTITUTE(SUBSTITUTE(SUBSTITUTE(SUBSTITUTE(SUBSTITUTE(SUBSTITUTE(SUBSTITUTE(SUBSTITUTE(SUBSTITUTE(SUBSTITUTE(SUBSTITUTE(SUBSTITUTE(SUBSTITUTE(SUBSTITUTE(SUBSTITUTE(AS62,"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sans formules </v>
      </c>
      <c r="CH62" s="493" cm="1">
        <f t="array" ref="CH62">IF(51=51,IF(AM62="","",SUMPRODUCT(--ISNUMBER(SEARCH(" "&amp;DJ1971:DJ1987&amp;" ",CG62)))),"")</f>
        <v>0</v>
      </c>
      <c r="CI62" s="493" t="str">
        <f>IF(51=51,IF(AM62="","",IF(CF62&gt;0,"X",IF(CH62&gt;0,"?",""))),"")</f>
        <v/>
      </c>
      <c r="CJ62" s="493" cm="1">
        <f t="array" ref="CJ62">IF(51=51,IF(AM62="","",SUMPRODUCT(--ISNUMBER(SEARCH(" "&amp;DJ1988:DJ2001&amp;" ",AS62)))),"")</f>
        <v>0</v>
      </c>
      <c r="CK62" s="493" cm="1">
        <f t="array" ref="CK62">IF(51=51,IF(AM62="","",SUMPRODUCT(--ISNUMBER(SEARCH(" "&amp;DJ2002:DJ2016&amp;" ",AS62)))),"")</f>
        <v>0</v>
      </c>
      <c r="CL62" s="493" t="str">
        <f>IF(51=51,IF(AM62="","",IF((CJ62)-(0)&gt;0,"X",IF((CK62)-(0)&gt;0,"?",""))),"")</f>
        <v/>
      </c>
      <c r="CM62" s="493" cm="1">
        <f t="array" ref="CM62">IF(51=51,IF(AM62="","",SUMPRODUCT(--ISNUMBER(SEARCH(" "&amp;DJ2017:DJ2034&amp;" ",AS62)))),"")</f>
        <v>0</v>
      </c>
      <c r="CN62" s="493" cm="1">
        <f t="array" ref="CN62">IF(51=51,IF(AM62="","",SUMPRODUCT(--ISNUMBER(SEARCH(" "&amp;DJ2035:DJ2049&amp;" ",AS62)))),"")</f>
        <v>0</v>
      </c>
      <c r="CO62" s="493" t="str">
        <f>IF(51=51,IF(AM62="","",IF((CM62)-(0)&gt;0,"X",IF((CN62)-(0)&gt;0,"?",""))),"")</f>
        <v/>
      </c>
      <c r="CP62" s="493" cm="1">
        <f t="array" ref="CP62">IF(51=51,IF(AM62="","",SUMPRODUCT(--ISNUMBER(SEARCH(" "&amp;DJ2050:DJ2068&amp;" ",AS62)))),"")</f>
        <v>0</v>
      </c>
      <c r="CQ62" s="493" cm="1">
        <f t="array" ref="CQ62">IF(51=51,IF(AM62="","",SUMPRODUCT(--ISNUMBER(SEARCH(" "&amp;DJ2069:DJ2083&amp;" ",AS62)))),"")</f>
        <v>0</v>
      </c>
      <c r="CR62" s="493" t="str">
        <f>IF(51=51,IF(AM62="","",IF((CP62)-(0)&gt;0,"X",IF((CQ62)-(0)&gt;0,"?",""))),"")</f>
        <v/>
      </c>
      <c r="CS62" s="493" cm="1">
        <f t="array" ref="CS62">IF(51=51,IF(AM62="","",SUMPRODUCT(--ISNUMBER(SEARCH(" "&amp;DJ2084:DJ2104&amp;" ",AS62)))),"")</f>
        <v>0</v>
      </c>
      <c r="CT62" s="493" cm="1">
        <f t="array" ref="CT62">IF(51=51,IF(AM62="","",SUMPRODUCT(--ISNUMBER(SEARCH(" "&amp;DJ2105:DJ2144&amp;" ",SUBSTITUTE(SUBSTITUTE(AS62," "&amp;DJ1378&amp;" "," ")," "&amp;DJ1377&amp;" "," "))))+--ISNUMBER(SEARCH("poiré",AN62))),"")</f>
        <v>0</v>
      </c>
      <c r="CU62" s="493" t="str">
        <f>IF(51=51,IF(AM62="","",IF(OR(CS62&gt;0,ISNUMBER(SEARCH(" vinaigre de vin ",AS62)),ISNUMBER(SEARCH(" vinaigre au vin ",AS62))),"X",IF(CT62&gt;0,"?",""))),"")</f>
        <v/>
      </c>
      <c r="CV62" s="493" cm="1">
        <f t="array" ref="CV62">IF(51=51,IF(AM62="","",SUMPRODUCT(--ISNUMBER(SEARCH(" "&amp;DJ2145:DJ2157&amp;" ",AS62)))),"")</f>
        <v>0</v>
      </c>
      <c r="CW62" s="493" cm="1">
        <f t="array" ref="CW62">IF(51=51,IF(AM62="","",SUMPRODUCT(--ISNUMBER(SEARCH(" "&amp;DJ2158:DJ2163&amp;" ",AS62)))),"")</f>
        <v>0</v>
      </c>
      <c r="CX62" s="493" t="str">
        <f>IF(51=51,IF(AM62="","",IF((CV62)-(0)&gt;0,"X",IF((CW62)-(0)&gt;0,"?",""))),"")</f>
        <v/>
      </c>
      <c r="CY62" s="493" cm="1">
        <f t="array" ref="CY62">IF(51=51,IF(AM62="","",SUMPRODUCT(--ISNUMBER(SEARCH(" "&amp;DJ2164:DJ2263&amp;" ",DB62)))),"")</f>
        <v>0</v>
      </c>
      <c r="CZ62" s="493" cm="1">
        <f t="array" ref="CZ62">IF(51=51,IF(AM62="","",SUMPRODUCT(--ISNUMBER(SEARCH(" "&amp;DJ2264:DJ2363&amp;" ",DB62)))),"")</f>
        <v>0</v>
      </c>
      <c r="DA62" s="493" cm="1">
        <f t="array" ref="DA62">IF(51=51,IF(AM62="","",SUMPRODUCT(--ISNUMBER(SEARCH(" "&amp;DJ2364:DJ2406&amp;" ",DB62)))),"")</f>
        <v>0</v>
      </c>
      <c r="DB62" s="493" t="str">
        <f>IF(51=51,IF(AM62="","",SUBSTITUTE(SUBSTITUTE(SUBSTITUTE(SUBSTITUTE(SUBSTITUTE(SUBSTITUTE(SUBSTITUTE(SUBSTITUTE(SUBSTITUTE(SUBSTITUTE(SUBSTITUTE(SUBSTITUTE(SUBSTITUTE(SUBSTITUTE(SUBSTITUTE(SUBSTITUTE(AS62," "&amp;DJ2412&amp;" "," ")," "&amp;DJ2411&amp;" "," ")," "&amp;DJ2410&amp;" "," ")," "&amp;DJ2417&amp;" "," ")," "&amp;DJ2409&amp;" "," ")," "&amp;DJ2421&amp;" "," ")," "&amp;DJ2408&amp;" "," ")," "&amp;DJ2413&amp;" "," ")," "&amp;DJ2416&amp;" "," ")," "&amp;DJ2407&amp;" "," ")," "&amp;DJ2415&amp;" "," ")," "&amp;DJ2422&amp;" "," ")," "&amp;DJ2419&amp;" "," ")," "&amp;DJ2414&amp;" "," ")," "&amp;DJ2418&amp;" "," ")," "&amp;DJ2420&amp;" "," ")),"")</f>
        <v xml:space="preserve"> sans formules </v>
      </c>
      <c r="DC62" s="493" cm="1">
        <f t="array" ref="DC62">IF(51=51,IF(AM62="","",SUMPRODUCT(--ISNUMBER(SEARCH(" "&amp;DJ2423:DJ2427&amp;" ",DB62)))),"")</f>
        <v>0</v>
      </c>
      <c r="DD62" s="493" t="str">
        <f>IF(51=51,IF(AM62="","",IF(SUM(CY62:DA62)&gt;0,"X",IF(DC62&gt;0,"?",""))),"")</f>
        <v/>
      </c>
      <c r="DE62" s="494"/>
      <c r="DF62" s="496" t="s">
        <v>1233</v>
      </c>
      <c r="DG62" s="496" t="s">
        <v>1083</v>
      </c>
      <c r="DH62" s="496" t="s">
        <v>689</v>
      </c>
      <c r="DI62" s="496" t="s">
        <v>1234</v>
      </c>
      <c r="DJ62" s="496" t="s">
        <v>41</v>
      </c>
      <c r="DK62" s="496" t="s">
        <v>1085</v>
      </c>
      <c r="DL62" s="496" t="s">
        <v>1086</v>
      </c>
      <c r="DM62" s="496" t="s">
        <v>1087</v>
      </c>
      <c r="DN62" s="497" t="s">
        <v>1088</v>
      </c>
      <c r="DP62" s="543">
        <v>1</v>
      </c>
    </row>
    <row r="63" spans="2:120" ht="30" customHeight="1">
      <c r="B63" s="663" t="str">
        <f t="shared" si="0"/>
        <v/>
      </c>
      <c r="C63" s="663" t="str">
        <f t="shared" si="1"/>
        <v/>
      </c>
      <c r="D63" s="663" t="str">
        <f>IF(UPPER(TRIM(N11))="X",C63,B63)</f>
        <v/>
      </c>
      <c r="E63" s="663" cm="1">
        <f t="array" ref="E63">IF(H62&lt;&gt;"",E62,IF(E62="","",IFERROR(MATCH(TRUE(),INDEX(INDEX(K:K,E62+1):K203&lt;&gt;"",0),0)+E62,"")))</f>
        <v>204</v>
      </c>
      <c r="F63" s="663" cm="1">
        <f t="array" ref="F63">IF(E63="","",IF(H62&lt;&gt;"",H62,INDEX(D:D,E63)))</f>
        <v>0</v>
      </c>
      <c r="G63" s="663" t="str">
        <f t="shared" si="2"/>
        <v>0</v>
      </c>
      <c r="H63" s="673" t="str">
        <f t="shared" si="3"/>
        <v/>
      </c>
      <c r="I63" s="680" t="str">
        <f>IF(AND(F63&lt;&gt;"",N10&gt;0,M63&gt;N10),"Mot &gt; limite","")</f>
        <v/>
      </c>
      <c r="J63" s="674" t="str">
        <f>IF(K63="","",COUNTIF(K18:K63,"&lt;&gt;"))</f>
        <v/>
      </c>
      <c r="K63" s="675"/>
      <c r="L63" s="674" t="str">
        <f t="shared" si="4"/>
        <v/>
      </c>
      <c r="M63" s="643">
        <f>IF(OR(F63="",N10="",N10&lt;=0),"",IF(LEN(F63)&lt;=N10,LEN(F63),IFERROR(FIND("♦",SUBSTITUTE(LEFT(F63,N10)," ","♦",LEN(LEFT(F63,N10))-LEN(SUBSTITUTE(LEFT(F63,N10)," ","")))),FIND(" ",F63&amp;" ",N10+1)-1)))</f>
        <v>1</v>
      </c>
      <c r="N63" s="676">
        <f t="shared" si="5"/>
        <v>46</v>
      </c>
      <c r="O63" s="677" t="str">
        <f t="shared" si="6"/>
        <v>0</v>
      </c>
      <c r="P63" s="676">
        <f t="shared" si="7"/>
        <v>1</v>
      </c>
      <c r="Q63" s="676">
        <f t="shared" si="8"/>
        <v>1</v>
      </c>
      <c r="S63" s="509">
        <v>46</v>
      </c>
      <c r="T63" s="678" t="str">
        <f t="shared" si="10"/>
        <v>0</v>
      </c>
      <c r="U63" s="679" t="str">
        <f t="shared" si="11"/>
        <v>0</v>
      </c>
      <c r="V63" s="512" t="str">
        <f>IF(52=52,IF(T63="","",IF(W63="X",""&amp;"Céréales contenant du gluten","")&amp;IF(X63="X",IF(COUNTIF(W63:W63,"X")&gt;0,", ","")&amp;"Crustacés","")&amp;IF(Y63="X",IF(COUNTIF(W63:X63,"X")&gt;0,", ","")&amp;"Œufs","")&amp;IF(Z63="X",IF(COUNTIF(W63:Y63,"X")&gt;0,", ","")&amp;"Poissons","")&amp;IF(AA63="X",IF(COUNTIF(W63:Z63,"X")&gt;0,", ","")&amp;"Arachides","")&amp;IF(AB63="X",IF(COUNTIF(W63:AA63,"X")&gt;0,", ","")&amp;"Soja","")&amp;IF(AC63="X",IF(COUNTIF(W63:AB63,"X")&gt;0,", ","")&amp;"Lait","")&amp;IF(AD63="X",IF(COUNTIF(W63:AC63,"X")&gt;0,", ","")&amp;"Fruits à coque","")&amp;IF(AE63="X",IF(COUNTIF(W63:AD63,"X")&gt;0,", ","")&amp;"Céleri","")&amp;IF(AF63="X",IF(COUNTIF(W63:AE63,"X")&gt;0,", ","")&amp;"Moutarde","")&amp;IF(AG63="X",IF(COUNTIF(W63:AF63,"X")&gt;0,", ","")&amp;"Sésame","")&amp;IF(AH63="X",IF(COUNTIF(W63:AG63,"X")&gt;0,", ","")&amp;"Sulfites","")&amp;IF(AI63="X",IF(COUNTIF(W63:AH63,"X")&gt;0,", ","")&amp;"Lupin","")&amp;IF(AJ63="X",IF(COUNTIF(W63:AI63,"X")&gt;0,", ","")&amp;"Mollusques","")),"")</f>
        <v/>
      </c>
      <c r="W63" s="513" t="str">
        <f>IF(52=52,IF(T63="","",AX63),"")</f>
        <v/>
      </c>
      <c r="X63" s="513" t="str">
        <f>IF(52=52,IF(T63="","",BA63),"")</f>
        <v/>
      </c>
      <c r="Y63" s="513" t="str">
        <f>IF(52=52,IF(T63="","",BE63),"")</f>
        <v/>
      </c>
      <c r="Z63" s="513" t="str">
        <f>IF(52=52,IF(T63="","",IF(ISNUMBER(SEARCH(" colin ",AS63)),"X",BR63)),"")</f>
        <v/>
      </c>
      <c r="AA63" s="513" t="str">
        <f>IF(52=52,IF(T63="","",BT63),"")</f>
        <v/>
      </c>
      <c r="AB63" s="513" t="str">
        <f>IF(52=52,IF(T63="","",BX63),"")</f>
        <v/>
      </c>
      <c r="AC63" s="513" t="str">
        <f>IF(52=52,IF(T63="","",CE63),"")</f>
        <v/>
      </c>
      <c r="AD63" s="513" t="str">
        <f>IF(52=52,IF(T63="","",CI63),"")</f>
        <v/>
      </c>
      <c r="AE63" s="513" t="str">
        <f>IF(52=52,IF(T63="","",CL63),"")</f>
        <v/>
      </c>
      <c r="AF63" s="513" t="str">
        <f>IF(52=52,IF(T63="","",CO63),"")</f>
        <v/>
      </c>
      <c r="AG63" s="513" t="str">
        <f>IF(52=52,IF(T63="","",CR63),"")</f>
        <v/>
      </c>
      <c r="AH63" s="513" t="str">
        <f>IF(52=52,IF(T63="","",CU63),"")</f>
        <v/>
      </c>
      <c r="AI63" s="513" t="str">
        <f>IF(52=52,IF(T63="","",CX63),"")</f>
        <v/>
      </c>
      <c r="AJ63" s="513" t="str">
        <f>IF(52=52,IF(T63="","",DD63),"")</f>
        <v/>
      </c>
      <c r="AK63" s="514" t="str">
        <f>IF(52=52,IF(T63="","",IF(W63="?",""&amp;"Céréales contenant du gluten","")&amp;IF(X63="?",IF(COUNTIF(W63:W63,"~?")&gt;0,", ","")&amp;"Crustacés","")&amp;IF(Y63="?",IF(COUNTIF(W63:X63,"~?")&gt;0,", ","")&amp;"Œufs","")&amp;IF(Z63="?",IF(COUNTIF(W63:Y63,"~?")&gt;0,", ","")&amp;"Poissons","")&amp;IF(AA63="?",IF(COUNTIF(W63:Z63,"~?")&gt;0,", ","")&amp;"Arachides","")&amp;IF(AB63="?",IF(COUNTIF(W63:AA63,"~?")&gt;0,", ","")&amp;"Soja","")&amp;IF(AC63="?",IF(COUNTIF(W63:AB63,"~?")&gt;0,", ","")&amp;"Lait","")&amp;IF(AD63="?",IF(COUNTIF(W63:AC63,"~?")&gt;0,", ","")&amp;"Fruits à coque","")&amp;IF(AE63="?",IF(COUNTIF(W63:AD63,"~?")&gt;0,", ","")&amp;"Céleri","")&amp;IF(AF63="?",IF(COUNTIF(W63:AE63,"~?")&gt;0,", ","")&amp;"Moutarde","")&amp;IF(AG63="?",IF(COUNTIF(W63:AF63,"~?")&gt;0,", ","")&amp;"Sésame","")&amp;IF(AH63="?",IF(COUNTIF(W63:AG63,"~?")&gt;0,", ","")&amp;"Sulfites","")&amp;IF(AI63="?",IF(COUNTIF(W63:AH63,"~?")&gt;0,", ","")&amp;"Lupin","")&amp;IF(AJ63="?",IF(COUNTIF(W63:AI63,"~?")&gt;0,", ","")&amp;"Mollusques","")),"")</f>
        <v/>
      </c>
      <c r="AM63" s="493" t="str">
        <f>IF(52=52,IF(T63="","",T63),"")</f>
        <v>0</v>
      </c>
      <c r="AN63" s="493" t="str">
        <f>IF(52=52,LOWER(CLEAN(SUBSTITUTE(SUBSTITUTE(SUBSTITUTE(SUBSTITUTE(AM63,CHAR(160)," ")," "," "),CHAR(10)," "),CHAR(13)," "))),"")</f>
        <v>0</v>
      </c>
      <c r="AO63" s="493" t="str">
        <f>IF(52=52,SUBSTITUTE(SUBSTITUTE(SUBSTITUTE(SUBSTITUTE(SUBSTITUTE(SUBSTITUTE(SUBSTITUTE(SUBSTITUTE(SUBSTITUTE(SUBSTITUTE(SUBSTITUTE(SUBSTITUTE(AN63,"œ","oe"),"æ","ae"),"à","a"),"á","a"),"â","a"),"ä","a"),"ã","a"),"ç","c"),"è","e"),"é","e"),"ê","e"),"ë","e"),"")</f>
        <v>0</v>
      </c>
      <c r="AP63" s="493" t="str">
        <f>IF(52=52,SUBSTITUTE(SUBSTITUTE(SUBSTITUTE(SUBSTITUTE(SUBSTITUTE(SUBSTITUTE(SUBSTITUTE(SUBSTITUTE(SUBSTITUTE(SUBSTITUTE(SUBSTITUTE(SUBSTITUTE(SUBSTITUTE(SUBSTITUTE(SUBSTITUTE(SUBSTITUTE(AO63,"ì","i"),"í","i"),"î","i"),"ï","i"),"ñ","n"),"ò","o"),"ó","o"),"ô","o"),"ö","o"),"õ","o"),"ù","u"),"ú","u"),"û","u"),"ü","u"),"ý","y"),"ÿ","y"),"")</f>
        <v>0</v>
      </c>
      <c r="AQ63" s="493" t="str">
        <f>IF(52=52,SUBSTITUTE(SUBSTITUTE(SUBSTITUTE(SUBSTITUTE(SUBSTITUTE(SUBSTITUTE(SUBSTITUTE(SUBSTITUTE(SUBSTITUTE(SUBSTITUTE(SUBSTITUTE(SUBSTITUTE(SUBSTITUTE(SUBSTITUTE(AP63,"’"," "),"`"," "),"–"," "),"—"," "),"-"," "),"'"," "),"/"," "),"_"," "),","," "),"."," "),"("," "),")"," "),";"," "),":"," "),"")</f>
        <v>0</v>
      </c>
      <c r="AR63" s="493" t="str">
        <f>IF(52=52,SUBSTITUTE(SUBSTITUTE(SUBSTITUTE(SUBSTITUTE(SUBSTITUTE(SUBSTITUTE(SUBSTITUTE(SUBSTITUTE(SUBSTITUTE(SUBSTITUTE(SUBSTITUTE(SUBSTITUTE(SUBSTITUTE(SUBSTITUTE(SUBSTITUTE(AQ63,"!"," "),"?"," "),"+"," "),"*"," "),"&amp;"," "),"["," "),"]"," "),"{"," "),"}"," "),"%"," "),"="," "),"\"," "),"|"," "),"&lt;"," "),"&gt;"," "),"")</f>
        <v>0</v>
      </c>
      <c r="AS63" s="493" t="str">
        <f>IF(52=52," "&amp;TRIM(SUBSTITUTE(SUBSTITUTE(SUBSTITUTE(SUBSTITUTE(SUBSTITUTE(SUBSTITUTE(AR63,CHAR(34)," "),"  "," "),"  "," "),"  "," "),"  "," "),"  "," "))&amp;" ","")</f>
        <v xml:space="preserve"> 0 </v>
      </c>
      <c r="AT63" s="493" cm="1">
        <f t="array" ref="AT63">IF(52=52,IF(AM63="","",SUMPRODUCT(--ISNUMBER(SEARCH(" "&amp;DJ13:DJ112&amp;" ",AV63)))),"")</f>
        <v>0</v>
      </c>
      <c r="AU63" s="493" cm="1">
        <f t="array" ref="AU63">IF(52=52,IF(AM63="","",SUMPRODUCT(--ISNUMBER(SEARCH(" "&amp;DJ113:DJ162&amp;" ",AV63)))),"")</f>
        <v>0</v>
      </c>
      <c r="AV63" s="493" t="str">
        <f>IF(AM63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63,"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0 </v>
      </c>
      <c r="AW63" s="493" cm="1">
        <f t="array" ref="AW63">IF(AM63="","",SUMPRODUCT(--ISNUMBER(SEARCH(" "&amp;DJ195:DJ216&amp;" ",AV63)))+--ISNUMBER(SEARCH(" "&amp;DJ2465&amp;" ",AV63)))</f>
        <v>0</v>
      </c>
      <c r="AX63" s="493" t="str" cm="1">
        <f t="array" ref="AX63">IF(52=52,IF(AM63="","",IF(SUM(AT63:AU63)+SUMPRODUCT(--ISNUMBER(SEARCH(" "&amp;DJ2429:DJ2431&amp;" ",AV63)))&gt;0,"X",IF(AW63&gt;0,"?",""))),"")</f>
        <v/>
      </c>
      <c r="AY63" s="493" cm="1">
        <f t="array" ref="AY63">IF(52=52,IF(AM63="","",SUMPRODUCT(--ISNUMBER(SEARCH(" "&amp;DJ217:DJ316&amp;" ",AS63)))),"")</f>
        <v>0</v>
      </c>
      <c r="AZ63" s="493" cm="1">
        <f t="array" ref="AZ63">IF(52=52,IF(AM63="","",SUMPRODUCT(--ISNUMBER(SEARCH(" "&amp;DJ317:DJ351&amp;" ",AS63)))),"")</f>
        <v>0</v>
      </c>
      <c r="BA63" s="493" t="str">
        <f>IF(52=52,IF(AM63="","",IF((SUM(AY63:AZ63))-(0)&gt;0,"X",IF((0)-(0)&gt;0,"?",""))),"")</f>
        <v/>
      </c>
      <c r="BB63" s="493" cm="1">
        <f t="array" ref="BB63">IF(52=52,IF(AM63="","",SUMPRODUCT(--ISNUMBER(SEARCH(" "&amp;DJ352:DJ409&amp;" ",AS63)))),"")</f>
        <v>0</v>
      </c>
      <c r="BC63" s="493" cm="1">
        <f t="array" ref="BC63">IF(52=52,IF(AM63="","",SUMPRODUCT(--ISNUMBER(SEARCH(" "&amp;DJ410:DJ437&amp;" ",BD63)))+SUMPRODUCT(--ISNUMBER(SEARCH(" "&amp;DJ2451:DJ2464&amp;" ",BD63)))),"")</f>
        <v>0</v>
      </c>
      <c r="BD63" s="493" t="str">
        <f>IF(52=52,IF(AM63="","",SUBSTITUTE(SUBSTITUTE(SUBSTITUTE(SUBSTITUTE(SUBSTITUTE(SUBSTITUTE(SUBSTITUTE(SUBSTITUTE(SUBSTITUTE(SUBSTITUTE(SUBSTITUTE(SUBSTITUTE(SUBSTITUTE(SUBSTITUTE(AS63," "&amp;DJ2466&amp;" "," ")," "&amp;DJ444&amp;" "," ")," "&amp;DJ442&amp;" "," ")," "&amp;DJ2449&amp;" "," ")," "&amp;DJ2450&amp;" "," ")," "&amp;DJ439&amp;" "," ")," "&amp;DJ443&amp;" "," ")," "&amp;DJ445&amp;" "," ")," "&amp;DJ440&amp;" "," ")," "&amp;DJ438&amp;" "," ")," "&amp;DJ1378&amp;" "," ")," "&amp;DJ446&amp;" "," ")," "&amp;DJ1377&amp;" "," ")," "&amp;DJ441&amp;" "," ")),"")</f>
        <v xml:space="preserve"> 0 </v>
      </c>
      <c r="BE63" s="493" t="str">
        <f>IF(52=52,IF(AM63="","",IF(BB63&gt;0,"X",IF(BC63&gt;0,"?",""))),"")</f>
        <v/>
      </c>
      <c r="BF63" s="493" cm="1">
        <f t="array" ref="BF63">IF(52=52,IF(AM63="","",SUMPRODUCT(--ISNUMBER(SEARCH(" "&amp;DJ447:DJ546&amp;" ",BP63)))),"")</f>
        <v>0</v>
      </c>
      <c r="BG63" s="493" cm="1">
        <f t="array" ref="BG63">IF(52=52,IF(AM63="","",SUMPRODUCT(--ISNUMBER(SEARCH(" "&amp;DJ547:DJ646&amp;" ",BP63)))),"")</f>
        <v>0</v>
      </c>
      <c r="BH63" s="493" cm="1">
        <f t="array" ref="BH63">IF(52=52,IF(AM63="","",SUMPRODUCT(--ISNUMBER(SEARCH(" "&amp;DJ647:DJ746&amp;" ",BP63)))),"")</f>
        <v>0</v>
      </c>
      <c r="BI63" s="493" cm="1">
        <f t="array" ref="BI63">IF(52=52,IF(AM63="","",SUMPRODUCT(--ISNUMBER(SEARCH(" "&amp;DJ747:DJ846&amp;" ",BP63)))),"")</f>
        <v>0</v>
      </c>
      <c r="BJ63" s="493" cm="1">
        <f t="array" ref="BJ63">IF(52=52,IF(AM63="","",SUMPRODUCT(--ISNUMBER(SEARCH(" "&amp;DJ847:DJ946&amp;" ",BP63)))),"")</f>
        <v>0</v>
      </c>
      <c r="BK63" s="493" cm="1">
        <f t="array" ref="BK63">IF(52=52,IF(AM63="","",SUMPRODUCT(--ISNUMBER(SEARCH(" "&amp;DJ947:DJ1046&amp;" ",BP63)))),"")</f>
        <v>0</v>
      </c>
      <c r="BL63" s="493" cm="1">
        <f t="array" ref="BL63">IF(52=52,IF(AM63="","",SUMPRODUCT(--ISNUMBER(SEARCH(" "&amp;DJ1047:DJ1146&amp;" ",BP63)))),"")</f>
        <v>0</v>
      </c>
      <c r="BM63" s="493" cm="1">
        <f t="array" ref="BM63">IF(52=52,IF(AM63="","",SUMPRODUCT(--ISNUMBER(SEARCH(" "&amp;DJ1147:DJ1246&amp;" ",BP63)))),"")</f>
        <v>0</v>
      </c>
      <c r="BN63" s="493" cm="1">
        <f t="array" ref="BN63">IF(52=52,IF(AM63="","",SUMPRODUCT(--ISNUMBER(SEARCH(" "&amp;DJ1247:DJ1346&amp;" ",BP63)))),"")</f>
        <v>0</v>
      </c>
      <c r="BO63" s="493" cm="1">
        <f t="array" ref="BO63">IF(52=52,IF(AM63="","",SUMPRODUCT(--ISNUMBER(SEARCH(" "&amp;DJ1347:DJ1374&amp;" ",BP63)))),"")</f>
        <v>0</v>
      </c>
      <c r="BP63" s="493" t="str">
        <f>IF(52=52,IF(AM63="","",SUBSTITUTE(SUBSTITUTE(SUBSTITUTE(SUBSTITUTE(SUBSTITUTE(SUBSTITUTE(SUBSTITUTE(SUBSTITUTE(SUBSTITUTE(AS63," "&amp;DJ1376&amp;" "," ")," "&amp;DJ1375&amp;" "," ")," "&amp;DJ1381&amp;" "," ")," "&amp;DJ1382&amp;" "," ")," "&amp;DJ1378&amp;" "," ")," "&amp;DJ1380&amp;" "," ")," "&amp;DJ1377&amp;" "," ")," "&amp;DJ1379&amp;" "," ")," "&amp;DJ1383&amp;" "," ")),"")</f>
        <v xml:space="preserve"> 0 </v>
      </c>
      <c r="BQ63" s="493" cm="1">
        <f t="array" ref="BQ63">IF(52=52,IF(AM63="","",SUMPRODUCT(--ISNUMBER(SEARCH(" "&amp;DJ1384:DJ1394&amp;" ",BP63)))),"")</f>
        <v>0</v>
      </c>
      <c r="BR63" s="493" t="str" cm="1">
        <f t="array" ref="BR63">IF(52=52,IF(AM63="","",IF(SUM(BF63:BO63)+SUMPRODUCT(--ISNUMBER(SEARCH(" "&amp;DJ2432:DJ2433&amp;" ",BP63)))&gt;0,"X",IF(BQ63&gt;0,"?",""))),"")</f>
        <v/>
      </c>
      <c r="BS63" s="493" cm="1">
        <f t="array" ref="BS63">IF(52=52,IF(AM63="","",SUMPRODUCT(--ISNUMBER(SEARCH(" "&amp;DJ1395:DJ1415&amp;" ",AS63)))),"")</f>
        <v>0</v>
      </c>
      <c r="BT63" s="493" t="str">
        <f>IF(52=52,IF(AM63="","",IF((BS63)-(0)&gt;0,"X",IF((0)-(0)&gt;0,"?",""))),"")</f>
        <v/>
      </c>
      <c r="BU63" s="493" cm="1">
        <f t="array" ref="BU63">IF(52=52,IF(AM63="","",SUMPRODUCT(--ISNUMBER(SEARCH(" "&amp;DJ1416:DJ1453&amp;" ",BV63)))),"")</f>
        <v>0</v>
      </c>
      <c r="BV63" s="493" t="str">
        <f>IF(52=52,IF(AM63="","",SUBSTITUTE(SUBSTITUTE(AS63," "&amp;DJ1454&amp;" "," ")," "&amp;DJ1455&amp;" "," ")),"")</f>
        <v xml:space="preserve"> 0 </v>
      </c>
      <c r="BW63" s="493" cm="1">
        <f t="array" ref="BW63">IF(52=52,IF(AM63="","",SUMPRODUCT(--ISNUMBER(SEARCH(" "&amp;DJ1456:DJ1466&amp;" ",BV63)))),"")</f>
        <v>0</v>
      </c>
      <c r="BX63" s="493" t="str">
        <f>IF(52=52,IF(AM63="","",IF(BU63&gt;0,"X",IF(BW63&gt;0,"?",""))),"")</f>
        <v/>
      </c>
      <c r="BY63" s="493" cm="1">
        <f t="array" ref="BY63">IF(52=52,IF(AM63="","",SUMPRODUCT(--ISNUMBER(SEARCH(" "&amp;DJ1467:DJ1566&amp;" ",CB63)))),"")</f>
        <v>0</v>
      </c>
      <c r="BZ63" s="493" cm="1">
        <f t="array" ref="BZ63">IF(52=52,IF(AM63="","",SUMPRODUCT(--ISNUMBER(SEARCH(" "&amp;DJ1567:DJ1666&amp;" ",CB63)))),"")</f>
        <v>0</v>
      </c>
      <c r="CA63" s="493" cm="1">
        <f t="array" ref="CA63">IF(52=52,IF(AM63="","",SUMPRODUCT(--ISNUMBER(SEARCH(" "&amp;DJ1667:DJ1750&amp;" ",CB63)))),"")</f>
        <v>0</v>
      </c>
      <c r="CB63" s="493" t="str">
        <f>IF(52=52,IF(AM63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63,"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0 </v>
      </c>
      <c r="CC63" s="493" cm="1">
        <f t="array" ref="CC63">IF(52=52,IF(AM63="","",SUMPRODUCT(--ISNUMBER(SEARCH(" "&amp;DJ1801:DJ1880&amp;" ",CD63)))+SUMPRODUCT(--ISNUMBER(SEARCH(" "&amp;DJ2451:DJ2464&amp;" ",CD63)))),"")</f>
        <v>0</v>
      </c>
      <c r="CD63" s="493" t="str">
        <f>IF(52=52,IF(AM63="","",SUBSTITUTE(SUBSTITUTE(SUBSTITUTE(SUBSTITUTE(SUBSTITUTE(SUBSTITUTE(SUBSTITUTE(SUBSTITUTE(SUBSTITUTE(SUBSTITUTE(SUBSTITUTE(SUBSTITUTE(SUBSTITUTE(CB63," "&amp;DJ1887&amp;" "," ")," "&amp;DJ1885&amp;" "," ")," "&amp;DJ2449&amp;" "," ")," "&amp;DJ2450&amp;" "," ")," "&amp;DJ1882&amp;" "," ")," "&amp;DJ1886&amp;" "," ")," "&amp;DJ1888&amp;" "," ")," "&amp;DJ1883&amp;" "," ")," "&amp;DJ1881&amp;" "," ")," "&amp;DJ1378&amp;" "," ")," "&amp;DJ1889&amp;" "," ")," "&amp;DJ1377&amp;" "," ")," "&amp;DJ1884&amp;" "," ")),"")</f>
        <v xml:space="preserve"> 0 </v>
      </c>
      <c r="CE63" s="493" t="str" cm="1">
        <f t="array" ref="CE63">IF(52=52,IF(AM63="","",IF(SUM(BY63:CA63)+SUMPRODUCT(--ISNUMBER(SEARCH(" "&amp;DJ2434:DJ2435&amp;" ",CB63)))&gt;0,"X",IF(CC63&gt;0,"?",""))),"")</f>
        <v/>
      </c>
      <c r="CF63" s="493" cm="1">
        <f t="array" ref="CF63">IF(52=52,IF(AM63="","",SUMPRODUCT(--ISNUMBER(SEARCH(" "&amp;DJ1890:DJ1947&amp;" ",CG63)))),"")</f>
        <v>0</v>
      </c>
      <c r="CG63" s="493" t="str">
        <f>IF(52=52,IF(AM63="","",SUBSTITUTE(SUBSTITUTE(SUBSTITUTE(SUBSTITUTE(SUBSTITUTE(SUBSTITUTE(SUBSTITUTE(SUBSTITUTE(SUBSTITUTE(SUBSTITUTE(SUBSTITUTE(SUBSTITUTE(SUBSTITUTE(SUBSTITUTE(SUBSTITUTE(SUBSTITUTE(SUBSTITUTE(SUBSTITUTE(SUBSTITUTE(SUBSTITUTE(SUBSTITUTE(SUBSTITUTE(SUBSTITUTE(AS63,"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0 </v>
      </c>
      <c r="CH63" s="493" cm="1">
        <f t="array" ref="CH63">IF(52=52,IF(AM63="","",SUMPRODUCT(--ISNUMBER(SEARCH(" "&amp;DJ1971:DJ1987&amp;" ",CG63)))),"")</f>
        <v>0</v>
      </c>
      <c r="CI63" s="493" t="str">
        <f>IF(52=52,IF(AM63="","",IF(CF63&gt;0,"X",IF(CH63&gt;0,"?",""))),"")</f>
        <v/>
      </c>
      <c r="CJ63" s="493" cm="1">
        <f t="array" ref="CJ63">IF(52=52,IF(AM63="","",SUMPRODUCT(--ISNUMBER(SEARCH(" "&amp;DJ1988:DJ2001&amp;" ",AS63)))),"")</f>
        <v>0</v>
      </c>
      <c r="CK63" s="493" cm="1">
        <f t="array" ref="CK63">IF(52=52,IF(AM63="","",SUMPRODUCT(--ISNUMBER(SEARCH(" "&amp;DJ2002:DJ2016&amp;" ",AS63)))),"")</f>
        <v>0</v>
      </c>
      <c r="CL63" s="493" t="str">
        <f>IF(52=52,IF(AM63="","",IF((CJ63)-(0)&gt;0,"X",IF((CK63)-(0)&gt;0,"?",""))),"")</f>
        <v/>
      </c>
      <c r="CM63" s="493" cm="1">
        <f t="array" ref="CM63">IF(52=52,IF(AM63="","",SUMPRODUCT(--ISNUMBER(SEARCH(" "&amp;DJ2017:DJ2034&amp;" ",AS63)))),"")</f>
        <v>0</v>
      </c>
      <c r="CN63" s="493" cm="1">
        <f t="array" ref="CN63">IF(52=52,IF(AM63="","",SUMPRODUCT(--ISNUMBER(SEARCH(" "&amp;DJ2035:DJ2049&amp;" ",AS63)))),"")</f>
        <v>0</v>
      </c>
      <c r="CO63" s="493" t="str">
        <f>IF(52=52,IF(AM63="","",IF((CM63)-(0)&gt;0,"X",IF((CN63)-(0)&gt;0,"?",""))),"")</f>
        <v/>
      </c>
      <c r="CP63" s="493" cm="1">
        <f t="array" ref="CP63">IF(52=52,IF(AM63="","",SUMPRODUCT(--ISNUMBER(SEARCH(" "&amp;DJ2050:DJ2068&amp;" ",AS63)))),"")</f>
        <v>0</v>
      </c>
      <c r="CQ63" s="493" cm="1">
        <f t="array" ref="CQ63">IF(52=52,IF(AM63="","",SUMPRODUCT(--ISNUMBER(SEARCH(" "&amp;DJ2069:DJ2083&amp;" ",AS63)))),"")</f>
        <v>0</v>
      </c>
      <c r="CR63" s="493" t="str">
        <f>IF(52=52,IF(AM63="","",IF((CP63)-(0)&gt;0,"X",IF((CQ63)-(0)&gt;0,"?",""))),"")</f>
        <v/>
      </c>
      <c r="CS63" s="493" cm="1">
        <f t="array" ref="CS63">IF(52=52,IF(AM63="","",SUMPRODUCT(--ISNUMBER(SEARCH(" "&amp;DJ2084:DJ2104&amp;" ",AS63)))),"")</f>
        <v>0</v>
      </c>
      <c r="CT63" s="493" cm="1">
        <f t="array" ref="CT63">IF(52=52,IF(AM63="","",SUMPRODUCT(--ISNUMBER(SEARCH(" "&amp;DJ2105:DJ2144&amp;" ",SUBSTITUTE(SUBSTITUTE(AS63," "&amp;DJ1378&amp;" "," ")," "&amp;DJ1377&amp;" "," "))))+--ISNUMBER(SEARCH("poiré",AN63))),"")</f>
        <v>0</v>
      </c>
      <c r="CU63" s="493" t="str">
        <f>IF(52=52,IF(AM63="","",IF(OR(CS63&gt;0,ISNUMBER(SEARCH(" vinaigre de vin ",AS63)),ISNUMBER(SEARCH(" vinaigre au vin ",AS63))),"X",IF(CT63&gt;0,"?",""))),"")</f>
        <v/>
      </c>
      <c r="CV63" s="493" cm="1">
        <f t="array" ref="CV63">IF(52=52,IF(AM63="","",SUMPRODUCT(--ISNUMBER(SEARCH(" "&amp;DJ2145:DJ2157&amp;" ",AS63)))),"")</f>
        <v>0</v>
      </c>
      <c r="CW63" s="493" cm="1">
        <f t="array" ref="CW63">IF(52=52,IF(AM63="","",SUMPRODUCT(--ISNUMBER(SEARCH(" "&amp;DJ2158:DJ2163&amp;" ",AS63)))),"")</f>
        <v>0</v>
      </c>
      <c r="CX63" s="493" t="str">
        <f>IF(52=52,IF(AM63="","",IF((CV63)-(0)&gt;0,"X",IF((CW63)-(0)&gt;0,"?",""))),"")</f>
        <v/>
      </c>
      <c r="CY63" s="493" cm="1">
        <f t="array" ref="CY63">IF(52=52,IF(AM63="","",SUMPRODUCT(--ISNUMBER(SEARCH(" "&amp;DJ2164:DJ2263&amp;" ",DB63)))),"")</f>
        <v>0</v>
      </c>
      <c r="CZ63" s="493" cm="1">
        <f t="array" ref="CZ63">IF(52=52,IF(AM63="","",SUMPRODUCT(--ISNUMBER(SEARCH(" "&amp;DJ2264:DJ2363&amp;" ",DB63)))),"")</f>
        <v>0</v>
      </c>
      <c r="DA63" s="493" cm="1">
        <f t="array" ref="DA63">IF(52=52,IF(AM63="","",SUMPRODUCT(--ISNUMBER(SEARCH(" "&amp;DJ2364:DJ2406&amp;" ",DB63)))),"")</f>
        <v>0</v>
      </c>
      <c r="DB63" s="493" t="str">
        <f>IF(52=52,IF(AM63="","",SUBSTITUTE(SUBSTITUTE(SUBSTITUTE(SUBSTITUTE(SUBSTITUTE(SUBSTITUTE(SUBSTITUTE(SUBSTITUTE(SUBSTITUTE(SUBSTITUTE(SUBSTITUTE(SUBSTITUTE(SUBSTITUTE(SUBSTITUTE(SUBSTITUTE(SUBSTITUTE(AS63," "&amp;DJ2412&amp;" "," ")," "&amp;DJ2411&amp;" "," ")," "&amp;DJ2410&amp;" "," ")," "&amp;DJ2417&amp;" "," ")," "&amp;DJ2409&amp;" "," ")," "&amp;DJ2421&amp;" "," ")," "&amp;DJ2408&amp;" "," ")," "&amp;DJ2413&amp;" "," ")," "&amp;DJ2416&amp;" "," ")," "&amp;DJ2407&amp;" "," ")," "&amp;DJ2415&amp;" "," ")," "&amp;DJ2422&amp;" "," ")," "&amp;DJ2419&amp;" "," ")," "&amp;DJ2414&amp;" "," ")," "&amp;DJ2418&amp;" "," ")," "&amp;DJ2420&amp;" "," ")),"")</f>
        <v xml:space="preserve"> 0 </v>
      </c>
      <c r="DC63" s="493" cm="1">
        <f t="array" ref="DC63">IF(52=52,IF(AM63="","",SUMPRODUCT(--ISNUMBER(SEARCH(" "&amp;DJ2423:DJ2427&amp;" ",DB63)))),"")</f>
        <v>0</v>
      </c>
      <c r="DD63" s="493" t="str">
        <f>IF(52=52,IF(AM63="","",IF(SUM(CY63:DA63)&gt;0,"X",IF(DC63&gt;0,"?",""))),"")</f>
        <v/>
      </c>
      <c r="DE63" s="494"/>
      <c r="DF63" s="496" t="s">
        <v>1235</v>
      </c>
      <c r="DG63" s="496" t="s">
        <v>1083</v>
      </c>
      <c r="DH63" s="496" t="s">
        <v>689</v>
      </c>
      <c r="DI63" s="496" t="s">
        <v>1236</v>
      </c>
      <c r="DJ63" s="496" t="s">
        <v>1236</v>
      </c>
      <c r="DK63" s="496" t="s">
        <v>1085</v>
      </c>
      <c r="DL63" s="496" t="s">
        <v>1086</v>
      </c>
      <c r="DM63" s="496" t="s">
        <v>1087</v>
      </c>
      <c r="DN63" s="497" t="s">
        <v>1088</v>
      </c>
      <c r="DP63" s="543">
        <v>1</v>
      </c>
    </row>
    <row r="64" spans="2:120" ht="30" customHeight="1">
      <c r="B64" s="663" t="str">
        <f t="shared" si="0"/>
        <v/>
      </c>
      <c r="C64" s="663" t="str">
        <f t="shared" si="1"/>
        <v/>
      </c>
      <c r="D64" s="663" t="str">
        <f>IF(UPPER(TRIM(N11))="X",C64,B64)</f>
        <v/>
      </c>
      <c r="E64" s="663" cm="1">
        <f t="array" ref="E64">IF(H63&lt;&gt;"",E63,IF(E63="","",IFERROR(MATCH(TRUE(),INDEX(INDEX(K:K,E63+1):K203&lt;&gt;"",0),0)+E63,"")))</f>
        <v>205</v>
      </c>
      <c r="F64" s="663" cm="1">
        <f t="array" ref="F64">IF(E64="","",IF(H63&lt;&gt;"",H63,INDEX(D:D,E64)))</f>
        <v>0</v>
      </c>
      <c r="G64" s="663" t="str">
        <f t="shared" si="2"/>
        <v>0</v>
      </c>
      <c r="H64" s="673" t="str">
        <f t="shared" si="3"/>
        <v/>
      </c>
      <c r="I64" s="680" t="str">
        <f>IF(AND(F64&lt;&gt;"",N10&gt;0,M64&gt;N10),"Mot &gt; limite","")</f>
        <v/>
      </c>
      <c r="J64" s="674" t="str">
        <f>IF(K64="","",COUNTIF(K18:K64,"&lt;&gt;"))</f>
        <v/>
      </c>
      <c r="K64" s="675"/>
      <c r="L64" s="674" t="str">
        <f t="shared" si="4"/>
        <v/>
      </c>
      <c r="M64" s="643">
        <f>IF(OR(F64="",N10="",N10&lt;=0),"",IF(LEN(F64)&lt;=N10,LEN(F64),IFERROR(FIND("♦",SUBSTITUTE(LEFT(F64,N10)," ","♦",LEN(LEFT(F64,N10))-LEN(SUBSTITUTE(LEFT(F64,N10)," ","")))),FIND(" ",F64&amp;" ",N10+1)-1)))</f>
        <v>1</v>
      </c>
      <c r="N64" s="676">
        <f t="shared" si="5"/>
        <v>47</v>
      </c>
      <c r="O64" s="677" t="str">
        <f t="shared" si="6"/>
        <v>0</v>
      </c>
      <c r="P64" s="676">
        <f t="shared" si="7"/>
        <v>1</v>
      </c>
      <c r="Q64" s="676">
        <f t="shared" si="8"/>
        <v>1</v>
      </c>
      <c r="S64" s="509">
        <v>47</v>
      </c>
      <c r="T64" s="678" t="str">
        <f t="shared" si="10"/>
        <v>0</v>
      </c>
      <c r="U64" s="679" t="str">
        <f t="shared" si="11"/>
        <v>0</v>
      </c>
      <c r="V64" s="512" t="str">
        <f>IF(53=53,IF(T64="","",IF(W64="X",""&amp;"Céréales contenant du gluten","")&amp;IF(X64="X",IF(COUNTIF(W64:W64,"X")&gt;0,", ","")&amp;"Crustacés","")&amp;IF(Y64="X",IF(COUNTIF(W64:X64,"X")&gt;0,", ","")&amp;"Œufs","")&amp;IF(Z64="X",IF(COUNTIF(W64:Y64,"X")&gt;0,", ","")&amp;"Poissons","")&amp;IF(AA64="X",IF(COUNTIF(W64:Z64,"X")&gt;0,", ","")&amp;"Arachides","")&amp;IF(AB64="X",IF(COUNTIF(W64:AA64,"X")&gt;0,", ","")&amp;"Soja","")&amp;IF(AC64="X",IF(COUNTIF(W64:AB64,"X")&gt;0,", ","")&amp;"Lait","")&amp;IF(AD64="X",IF(COUNTIF(W64:AC64,"X")&gt;0,", ","")&amp;"Fruits à coque","")&amp;IF(AE64="X",IF(COUNTIF(W64:AD64,"X")&gt;0,", ","")&amp;"Céleri","")&amp;IF(AF64="X",IF(COUNTIF(W64:AE64,"X")&gt;0,", ","")&amp;"Moutarde","")&amp;IF(AG64="X",IF(COUNTIF(W64:AF64,"X")&gt;0,", ","")&amp;"Sésame","")&amp;IF(AH64="X",IF(COUNTIF(W64:AG64,"X")&gt;0,", ","")&amp;"Sulfites","")&amp;IF(AI64="X",IF(COUNTIF(W64:AH64,"X")&gt;0,", ","")&amp;"Lupin","")&amp;IF(AJ64="X",IF(COUNTIF(W64:AI64,"X")&gt;0,", ","")&amp;"Mollusques","")),"")</f>
        <v/>
      </c>
      <c r="W64" s="513" t="str">
        <f>IF(53=53,IF(T64="","",AX64),"")</f>
        <v/>
      </c>
      <c r="X64" s="513" t="str">
        <f>IF(53=53,IF(T64="","",BA64),"")</f>
        <v/>
      </c>
      <c r="Y64" s="513" t="str">
        <f>IF(53=53,IF(T64="","",BE64),"")</f>
        <v/>
      </c>
      <c r="Z64" s="513" t="str">
        <f>IF(53=53,IF(T64="","",IF(ISNUMBER(SEARCH(" colin ",AS64)),"X",BR64)),"")</f>
        <v/>
      </c>
      <c r="AA64" s="513" t="str">
        <f>IF(53=53,IF(T64="","",BT64),"")</f>
        <v/>
      </c>
      <c r="AB64" s="513" t="str">
        <f>IF(53=53,IF(T64="","",BX64),"")</f>
        <v/>
      </c>
      <c r="AC64" s="513" t="str">
        <f>IF(53=53,IF(T64="","",CE64),"")</f>
        <v/>
      </c>
      <c r="AD64" s="513" t="str">
        <f>IF(53=53,IF(T64="","",CI64),"")</f>
        <v/>
      </c>
      <c r="AE64" s="513" t="str">
        <f>IF(53=53,IF(T64="","",CL64),"")</f>
        <v/>
      </c>
      <c r="AF64" s="513" t="str">
        <f>IF(53=53,IF(T64="","",CO64),"")</f>
        <v/>
      </c>
      <c r="AG64" s="513" t="str">
        <f>IF(53=53,IF(T64="","",CR64),"")</f>
        <v/>
      </c>
      <c r="AH64" s="513" t="str">
        <f>IF(53=53,IF(T64="","",CU64),"")</f>
        <v/>
      </c>
      <c r="AI64" s="513" t="str">
        <f>IF(53=53,IF(T64="","",CX64),"")</f>
        <v/>
      </c>
      <c r="AJ64" s="513" t="str">
        <f>IF(53=53,IF(T64="","",DD64),"")</f>
        <v/>
      </c>
      <c r="AK64" s="514" t="str">
        <f>IF(53=53,IF(T64="","",IF(W64="?",""&amp;"Céréales contenant du gluten","")&amp;IF(X64="?",IF(COUNTIF(W64:W64,"~?")&gt;0,", ","")&amp;"Crustacés","")&amp;IF(Y64="?",IF(COUNTIF(W64:X64,"~?")&gt;0,", ","")&amp;"Œufs","")&amp;IF(Z64="?",IF(COUNTIF(W64:Y64,"~?")&gt;0,", ","")&amp;"Poissons","")&amp;IF(AA64="?",IF(COUNTIF(W64:Z64,"~?")&gt;0,", ","")&amp;"Arachides","")&amp;IF(AB64="?",IF(COUNTIF(W64:AA64,"~?")&gt;0,", ","")&amp;"Soja","")&amp;IF(AC64="?",IF(COUNTIF(W64:AB64,"~?")&gt;0,", ","")&amp;"Lait","")&amp;IF(AD64="?",IF(COUNTIF(W64:AC64,"~?")&gt;0,", ","")&amp;"Fruits à coque","")&amp;IF(AE64="?",IF(COUNTIF(W64:AD64,"~?")&gt;0,", ","")&amp;"Céleri","")&amp;IF(AF64="?",IF(COUNTIF(W64:AE64,"~?")&gt;0,", ","")&amp;"Moutarde","")&amp;IF(AG64="?",IF(COUNTIF(W64:AF64,"~?")&gt;0,", ","")&amp;"Sésame","")&amp;IF(AH64="?",IF(COUNTIF(W64:AG64,"~?")&gt;0,", ","")&amp;"Sulfites","")&amp;IF(AI64="?",IF(COUNTIF(W64:AH64,"~?")&gt;0,", ","")&amp;"Lupin","")&amp;IF(AJ64="?",IF(COUNTIF(W64:AI64,"~?")&gt;0,", ","")&amp;"Mollusques","")),"")</f>
        <v/>
      </c>
      <c r="AM64" s="493" t="str">
        <f>IF(53=53,IF(T64="","",T64),"")</f>
        <v>0</v>
      </c>
      <c r="AN64" s="493" t="str">
        <f>IF(53=53,LOWER(CLEAN(SUBSTITUTE(SUBSTITUTE(SUBSTITUTE(SUBSTITUTE(AM64,CHAR(160)," ")," "," "),CHAR(10)," "),CHAR(13)," "))),"")</f>
        <v>0</v>
      </c>
      <c r="AO64" s="493" t="str">
        <f>IF(53=53,SUBSTITUTE(SUBSTITUTE(SUBSTITUTE(SUBSTITUTE(SUBSTITUTE(SUBSTITUTE(SUBSTITUTE(SUBSTITUTE(SUBSTITUTE(SUBSTITUTE(SUBSTITUTE(SUBSTITUTE(AN64,"œ","oe"),"æ","ae"),"à","a"),"á","a"),"â","a"),"ä","a"),"ã","a"),"ç","c"),"è","e"),"é","e"),"ê","e"),"ë","e"),"")</f>
        <v>0</v>
      </c>
      <c r="AP64" s="493" t="str">
        <f>IF(53=53,SUBSTITUTE(SUBSTITUTE(SUBSTITUTE(SUBSTITUTE(SUBSTITUTE(SUBSTITUTE(SUBSTITUTE(SUBSTITUTE(SUBSTITUTE(SUBSTITUTE(SUBSTITUTE(SUBSTITUTE(SUBSTITUTE(SUBSTITUTE(SUBSTITUTE(SUBSTITUTE(AO64,"ì","i"),"í","i"),"î","i"),"ï","i"),"ñ","n"),"ò","o"),"ó","o"),"ô","o"),"ö","o"),"õ","o"),"ù","u"),"ú","u"),"û","u"),"ü","u"),"ý","y"),"ÿ","y"),"")</f>
        <v>0</v>
      </c>
      <c r="AQ64" s="493" t="str">
        <f>IF(53=53,SUBSTITUTE(SUBSTITUTE(SUBSTITUTE(SUBSTITUTE(SUBSTITUTE(SUBSTITUTE(SUBSTITUTE(SUBSTITUTE(SUBSTITUTE(SUBSTITUTE(SUBSTITUTE(SUBSTITUTE(SUBSTITUTE(SUBSTITUTE(AP64,"’"," "),"`"," "),"–"," "),"—"," "),"-"," "),"'"," "),"/"," "),"_"," "),","," "),"."," "),"("," "),")"," "),";"," "),":"," "),"")</f>
        <v>0</v>
      </c>
      <c r="AR64" s="493" t="str">
        <f>IF(53=53,SUBSTITUTE(SUBSTITUTE(SUBSTITUTE(SUBSTITUTE(SUBSTITUTE(SUBSTITUTE(SUBSTITUTE(SUBSTITUTE(SUBSTITUTE(SUBSTITUTE(SUBSTITUTE(SUBSTITUTE(SUBSTITUTE(SUBSTITUTE(SUBSTITUTE(AQ64,"!"," "),"?"," "),"+"," "),"*"," "),"&amp;"," "),"["," "),"]"," "),"{"," "),"}"," "),"%"," "),"="," "),"\"," "),"|"," "),"&lt;"," "),"&gt;"," "),"")</f>
        <v>0</v>
      </c>
      <c r="AS64" s="493" t="str">
        <f>IF(53=53," "&amp;TRIM(SUBSTITUTE(SUBSTITUTE(SUBSTITUTE(SUBSTITUTE(SUBSTITUTE(SUBSTITUTE(AR64,CHAR(34)," "),"  "," "),"  "," "),"  "," "),"  "," "),"  "," "))&amp;" ","")</f>
        <v xml:space="preserve"> 0 </v>
      </c>
      <c r="AT64" s="493" cm="1">
        <f t="array" ref="AT64">IF(53=53,IF(AM64="","",SUMPRODUCT(--ISNUMBER(SEARCH(" "&amp;DJ13:DJ112&amp;" ",AV64)))),"")</f>
        <v>0</v>
      </c>
      <c r="AU64" s="493" cm="1">
        <f t="array" ref="AU64">IF(53=53,IF(AM64="","",SUMPRODUCT(--ISNUMBER(SEARCH(" "&amp;DJ113:DJ162&amp;" ",AV64)))),"")</f>
        <v>0</v>
      </c>
      <c r="AV64" s="493" t="str">
        <f>IF(AM64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64,"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0 </v>
      </c>
      <c r="AW64" s="493" cm="1">
        <f t="array" ref="AW64">IF(AM64="","",SUMPRODUCT(--ISNUMBER(SEARCH(" "&amp;DJ195:DJ216&amp;" ",AV64)))+--ISNUMBER(SEARCH(" "&amp;DJ2465&amp;" ",AV64)))</f>
        <v>0</v>
      </c>
      <c r="AX64" s="493" t="str" cm="1">
        <f t="array" ref="AX64">IF(53=53,IF(AM64="","",IF(SUM(AT64:AU64)+SUMPRODUCT(--ISNUMBER(SEARCH(" "&amp;DJ2429:DJ2431&amp;" ",AV64)))&gt;0,"X",IF(AW64&gt;0,"?",""))),"")</f>
        <v/>
      </c>
      <c r="AY64" s="493" cm="1">
        <f t="array" ref="AY64">IF(53=53,IF(AM64="","",SUMPRODUCT(--ISNUMBER(SEARCH(" "&amp;DJ217:DJ316&amp;" ",AS64)))),"")</f>
        <v>0</v>
      </c>
      <c r="AZ64" s="493" cm="1">
        <f t="array" ref="AZ64">IF(53=53,IF(AM64="","",SUMPRODUCT(--ISNUMBER(SEARCH(" "&amp;DJ317:DJ351&amp;" ",AS64)))),"")</f>
        <v>0</v>
      </c>
      <c r="BA64" s="493" t="str">
        <f>IF(53=53,IF(AM64="","",IF((SUM(AY64:AZ64))-(0)&gt;0,"X",IF((0)-(0)&gt;0,"?",""))),"")</f>
        <v/>
      </c>
      <c r="BB64" s="493" cm="1">
        <f t="array" ref="BB64">IF(53=53,IF(AM64="","",SUMPRODUCT(--ISNUMBER(SEARCH(" "&amp;DJ352:DJ409&amp;" ",AS64)))),"")</f>
        <v>0</v>
      </c>
      <c r="BC64" s="493" cm="1">
        <f t="array" ref="BC64">IF(53=53,IF(AM64="","",SUMPRODUCT(--ISNUMBER(SEARCH(" "&amp;DJ410:DJ437&amp;" ",BD64)))+SUMPRODUCT(--ISNUMBER(SEARCH(" "&amp;DJ2451:DJ2464&amp;" ",BD64)))),"")</f>
        <v>0</v>
      </c>
      <c r="BD64" s="493" t="str">
        <f>IF(53=53,IF(AM64="","",SUBSTITUTE(SUBSTITUTE(SUBSTITUTE(SUBSTITUTE(SUBSTITUTE(SUBSTITUTE(SUBSTITUTE(SUBSTITUTE(SUBSTITUTE(SUBSTITUTE(SUBSTITUTE(SUBSTITUTE(SUBSTITUTE(SUBSTITUTE(AS64," "&amp;DJ2466&amp;" "," ")," "&amp;DJ444&amp;" "," ")," "&amp;DJ442&amp;" "," ")," "&amp;DJ2449&amp;" "," ")," "&amp;DJ2450&amp;" "," ")," "&amp;DJ439&amp;" "," ")," "&amp;DJ443&amp;" "," ")," "&amp;DJ445&amp;" "," ")," "&amp;DJ440&amp;" "," ")," "&amp;DJ438&amp;" "," ")," "&amp;DJ1378&amp;" "," ")," "&amp;DJ446&amp;" "," ")," "&amp;DJ1377&amp;" "," ")," "&amp;DJ441&amp;" "," ")),"")</f>
        <v xml:space="preserve"> 0 </v>
      </c>
      <c r="BE64" s="493" t="str">
        <f>IF(53=53,IF(AM64="","",IF(BB64&gt;0,"X",IF(BC64&gt;0,"?",""))),"")</f>
        <v/>
      </c>
      <c r="BF64" s="493" cm="1">
        <f t="array" ref="BF64">IF(53=53,IF(AM64="","",SUMPRODUCT(--ISNUMBER(SEARCH(" "&amp;DJ447:DJ546&amp;" ",BP64)))),"")</f>
        <v>0</v>
      </c>
      <c r="BG64" s="493" cm="1">
        <f t="array" ref="BG64">IF(53=53,IF(AM64="","",SUMPRODUCT(--ISNUMBER(SEARCH(" "&amp;DJ547:DJ646&amp;" ",BP64)))),"")</f>
        <v>0</v>
      </c>
      <c r="BH64" s="493" cm="1">
        <f t="array" ref="BH64">IF(53=53,IF(AM64="","",SUMPRODUCT(--ISNUMBER(SEARCH(" "&amp;DJ647:DJ746&amp;" ",BP64)))),"")</f>
        <v>0</v>
      </c>
      <c r="BI64" s="493" cm="1">
        <f t="array" ref="BI64">IF(53=53,IF(AM64="","",SUMPRODUCT(--ISNUMBER(SEARCH(" "&amp;DJ747:DJ846&amp;" ",BP64)))),"")</f>
        <v>0</v>
      </c>
      <c r="BJ64" s="493" cm="1">
        <f t="array" ref="BJ64">IF(53=53,IF(AM64="","",SUMPRODUCT(--ISNUMBER(SEARCH(" "&amp;DJ847:DJ946&amp;" ",BP64)))),"")</f>
        <v>0</v>
      </c>
      <c r="BK64" s="493" cm="1">
        <f t="array" ref="BK64">IF(53=53,IF(AM64="","",SUMPRODUCT(--ISNUMBER(SEARCH(" "&amp;DJ947:DJ1046&amp;" ",BP64)))),"")</f>
        <v>0</v>
      </c>
      <c r="BL64" s="493" cm="1">
        <f t="array" ref="BL64">IF(53=53,IF(AM64="","",SUMPRODUCT(--ISNUMBER(SEARCH(" "&amp;DJ1047:DJ1146&amp;" ",BP64)))),"")</f>
        <v>0</v>
      </c>
      <c r="BM64" s="493" cm="1">
        <f t="array" ref="BM64">IF(53=53,IF(AM64="","",SUMPRODUCT(--ISNUMBER(SEARCH(" "&amp;DJ1147:DJ1246&amp;" ",BP64)))),"")</f>
        <v>0</v>
      </c>
      <c r="BN64" s="493" cm="1">
        <f t="array" ref="BN64">IF(53=53,IF(AM64="","",SUMPRODUCT(--ISNUMBER(SEARCH(" "&amp;DJ1247:DJ1346&amp;" ",BP64)))),"")</f>
        <v>0</v>
      </c>
      <c r="BO64" s="493" cm="1">
        <f t="array" ref="BO64">IF(53=53,IF(AM64="","",SUMPRODUCT(--ISNUMBER(SEARCH(" "&amp;DJ1347:DJ1374&amp;" ",BP64)))),"")</f>
        <v>0</v>
      </c>
      <c r="BP64" s="493" t="str">
        <f>IF(53=53,IF(AM64="","",SUBSTITUTE(SUBSTITUTE(SUBSTITUTE(SUBSTITUTE(SUBSTITUTE(SUBSTITUTE(SUBSTITUTE(SUBSTITUTE(SUBSTITUTE(AS64," "&amp;DJ1376&amp;" "," ")," "&amp;DJ1375&amp;" "," ")," "&amp;DJ1381&amp;" "," ")," "&amp;DJ1382&amp;" "," ")," "&amp;DJ1378&amp;" "," ")," "&amp;DJ1380&amp;" "," ")," "&amp;DJ1377&amp;" "," ")," "&amp;DJ1379&amp;" "," ")," "&amp;DJ1383&amp;" "," ")),"")</f>
        <v xml:space="preserve"> 0 </v>
      </c>
      <c r="BQ64" s="493" cm="1">
        <f t="array" ref="BQ64">IF(53=53,IF(AM64="","",SUMPRODUCT(--ISNUMBER(SEARCH(" "&amp;DJ1384:DJ1394&amp;" ",BP64)))),"")</f>
        <v>0</v>
      </c>
      <c r="BR64" s="493" t="str" cm="1">
        <f t="array" ref="BR64">IF(53=53,IF(AM64="","",IF(SUM(BF64:BO64)+SUMPRODUCT(--ISNUMBER(SEARCH(" "&amp;DJ2432:DJ2433&amp;" ",BP64)))&gt;0,"X",IF(BQ64&gt;0,"?",""))),"")</f>
        <v/>
      </c>
      <c r="BS64" s="493" cm="1">
        <f t="array" ref="BS64">IF(53=53,IF(AM64="","",SUMPRODUCT(--ISNUMBER(SEARCH(" "&amp;DJ1395:DJ1415&amp;" ",AS64)))),"")</f>
        <v>0</v>
      </c>
      <c r="BT64" s="493" t="str">
        <f>IF(53=53,IF(AM64="","",IF((BS64)-(0)&gt;0,"X",IF((0)-(0)&gt;0,"?",""))),"")</f>
        <v/>
      </c>
      <c r="BU64" s="493" cm="1">
        <f t="array" ref="BU64">IF(53=53,IF(AM64="","",SUMPRODUCT(--ISNUMBER(SEARCH(" "&amp;DJ1416:DJ1453&amp;" ",BV64)))),"")</f>
        <v>0</v>
      </c>
      <c r="BV64" s="493" t="str">
        <f>IF(53=53,IF(AM64="","",SUBSTITUTE(SUBSTITUTE(AS64," "&amp;DJ1454&amp;" "," ")," "&amp;DJ1455&amp;" "," ")),"")</f>
        <v xml:space="preserve"> 0 </v>
      </c>
      <c r="BW64" s="493" cm="1">
        <f t="array" ref="BW64">IF(53=53,IF(AM64="","",SUMPRODUCT(--ISNUMBER(SEARCH(" "&amp;DJ1456:DJ1466&amp;" ",BV64)))),"")</f>
        <v>0</v>
      </c>
      <c r="BX64" s="493" t="str">
        <f>IF(53=53,IF(AM64="","",IF(BU64&gt;0,"X",IF(BW64&gt;0,"?",""))),"")</f>
        <v/>
      </c>
      <c r="BY64" s="493" cm="1">
        <f t="array" ref="BY64">IF(53=53,IF(AM64="","",SUMPRODUCT(--ISNUMBER(SEARCH(" "&amp;DJ1467:DJ1566&amp;" ",CB64)))),"")</f>
        <v>0</v>
      </c>
      <c r="BZ64" s="493" cm="1">
        <f t="array" ref="BZ64">IF(53=53,IF(AM64="","",SUMPRODUCT(--ISNUMBER(SEARCH(" "&amp;DJ1567:DJ1666&amp;" ",CB64)))),"")</f>
        <v>0</v>
      </c>
      <c r="CA64" s="493" cm="1">
        <f t="array" ref="CA64">IF(53=53,IF(AM64="","",SUMPRODUCT(--ISNUMBER(SEARCH(" "&amp;DJ1667:DJ1750&amp;" ",CB64)))),"")</f>
        <v>0</v>
      </c>
      <c r="CB64" s="493" t="str">
        <f>IF(53=53,IF(AM64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64,"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0 </v>
      </c>
      <c r="CC64" s="493" cm="1">
        <f t="array" ref="CC64">IF(53=53,IF(AM64="","",SUMPRODUCT(--ISNUMBER(SEARCH(" "&amp;DJ1801:DJ1880&amp;" ",CD64)))+SUMPRODUCT(--ISNUMBER(SEARCH(" "&amp;DJ2451:DJ2464&amp;" ",CD64)))),"")</f>
        <v>0</v>
      </c>
      <c r="CD64" s="493" t="str">
        <f>IF(53=53,IF(AM64="","",SUBSTITUTE(SUBSTITUTE(SUBSTITUTE(SUBSTITUTE(SUBSTITUTE(SUBSTITUTE(SUBSTITUTE(SUBSTITUTE(SUBSTITUTE(SUBSTITUTE(SUBSTITUTE(SUBSTITUTE(SUBSTITUTE(CB64," "&amp;DJ1887&amp;" "," ")," "&amp;DJ1885&amp;" "," ")," "&amp;DJ2449&amp;" "," ")," "&amp;DJ2450&amp;" "," ")," "&amp;DJ1882&amp;" "," ")," "&amp;DJ1886&amp;" "," ")," "&amp;DJ1888&amp;" "," ")," "&amp;DJ1883&amp;" "," ")," "&amp;DJ1881&amp;" "," ")," "&amp;DJ1378&amp;" "," ")," "&amp;DJ1889&amp;" "," ")," "&amp;DJ1377&amp;" "," ")," "&amp;DJ1884&amp;" "," ")),"")</f>
        <v xml:space="preserve"> 0 </v>
      </c>
      <c r="CE64" s="493" t="str" cm="1">
        <f t="array" ref="CE64">IF(53=53,IF(AM64="","",IF(SUM(BY64:CA64)+SUMPRODUCT(--ISNUMBER(SEARCH(" "&amp;DJ2434:DJ2435&amp;" ",CB64)))&gt;0,"X",IF(CC64&gt;0,"?",""))),"")</f>
        <v/>
      </c>
      <c r="CF64" s="493" cm="1">
        <f t="array" ref="CF64">IF(53=53,IF(AM64="","",SUMPRODUCT(--ISNUMBER(SEARCH(" "&amp;DJ1890:DJ1947&amp;" ",CG64)))),"")</f>
        <v>0</v>
      </c>
      <c r="CG64" s="493" t="str">
        <f>IF(53=53,IF(AM64="","",SUBSTITUTE(SUBSTITUTE(SUBSTITUTE(SUBSTITUTE(SUBSTITUTE(SUBSTITUTE(SUBSTITUTE(SUBSTITUTE(SUBSTITUTE(SUBSTITUTE(SUBSTITUTE(SUBSTITUTE(SUBSTITUTE(SUBSTITUTE(SUBSTITUTE(SUBSTITUTE(SUBSTITUTE(SUBSTITUTE(SUBSTITUTE(SUBSTITUTE(SUBSTITUTE(SUBSTITUTE(SUBSTITUTE(AS64,"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0 </v>
      </c>
      <c r="CH64" s="493" cm="1">
        <f t="array" ref="CH64">IF(53=53,IF(AM64="","",SUMPRODUCT(--ISNUMBER(SEARCH(" "&amp;DJ1971:DJ1987&amp;" ",CG64)))),"")</f>
        <v>0</v>
      </c>
      <c r="CI64" s="493" t="str">
        <f>IF(53=53,IF(AM64="","",IF(CF64&gt;0,"X",IF(CH64&gt;0,"?",""))),"")</f>
        <v/>
      </c>
      <c r="CJ64" s="493" cm="1">
        <f t="array" ref="CJ64">IF(53=53,IF(AM64="","",SUMPRODUCT(--ISNUMBER(SEARCH(" "&amp;DJ1988:DJ2001&amp;" ",AS64)))),"")</f>
        <v>0</v>
      </c>
      <c r="CK64" s="493" cm="1">
        <f t="array" ref="CK64">IF(53=53,IF(AM64="","",SUMPRODUCT(--ISNUMBER(SEARCH(" "&amp;DJ2002:DJ2016&amp;" ",AS64)))),"")</f>
        <v>0</v>
      </c>
      <c r="CL64" s="493" t="str">
        <f>IF(53=53,IF(AM64="","",IF((CJ64)-(0)&gt;0,"X",IF((CK64)-(0)&gt;0,"?",""))),"")</f>
        <v/>
      </c>
      <c r="CM64" s="493" cm="1">
        <f t="array" ref="CM64">IF(53=53,IF(AM64="","",SUMPRODUCT(--ISNUMBER(SEARCH(" "&amp;DJ2017:DJ2034&amp;" ",AS64)))),"")</f>
        <v>0</v>
      </c>
      <c r="CN64" s="493" cm="1">
        <f t="array" ref="CN64">IF(53=53,IF(AM64="","",SUMPRODUCT(--ISNUMBER(SEARCH(" "&amp;DJ2035:DJ2049&amp;" ",AS64)))),"")</f>
        <v>0</v>
      </c>
      <c r="CO64" s="493" t="str">
        <f>IF(53=53,IF(AM64="","",IF((CM64)-(0)&gt;0,"X",IF((CN64)-(0)&gt;0,"?",""))),"")</f>
        <v/>
      </c>
      <c r="CP64" s="493" cm="1">
        <f t="array" ref="CP64">IF(53=53,IF(AM64="","",SUMPRODUCT(--ISNUMBER(SEARCH(" "&amp;DJ2050:DJ2068&amp;" ",AS64)))),"")</f>
        <v>0</v>
      </c>
      <c r="CQ64" s="493" cm="1">
        <f t="array" ref="CQ64">IF(53=53,IF(AM64="","",SUMPRODUCT(--ISNUMBER(SEARCH(" "&amp;DJ2069:DJ2083&amp;" ",AS64)))),"")</f>
        <v>0</v>
      </c>
      <c r="CR64" s="493" t="str">
        <f>IF(53=53,IF(AM64="","",IF((CP64)-(0)&gt;0,"X",IF((CQ64)-(0)&gt;0,"?",""))),"")</f>
        <v/>
      </c>
      <c r="CS64" s="493" cm="1">
        <f t="array" ref="CS64">IF(53=53,IF(AM64="","",SUMPRODUCT(--ISNUMBER(SEARCH(" "&amp;DJ2084:DJ2104&amp;" ",AS64)))),"")</f>
        <v>0</v>
      </c>
      <c r="CT64" s="493" cm="1">
        <f t="array" ref="CT64">IF(53=53,IF(AM64="","",SUMPRODUCT(--ISNUMBER(SEARCH(" "&amp;DJ2105:DJ2144&amp;" ",SUBSTITUTE(SUBSTITUTE(AS64," "&amp;DJ1378&amp;" "," ")," "&amp;DJ1377&amp;" "," "))))+--ISNUMBER(SEARCH("poiré",AN64))),"")</f>
        <v>0</v>
      </c>
      <c r="CU64" s="493" t="str">
        <f>IF(53=53,IF(AM64="","",IF(OR(CS64&gt;0,ISNUMBER(SEARCH(" vinaigre de vin ",AS64)),ISNUMBER(SEARCH(" vinaigre au vin ",AS64))),"X",IF(CT64&gt;0,"?",""))),"")</f>
        <v/>
      </c>
      <c r="CV64" s="493" cm="1">
        <f t="array" ref="CV64">IF(53=53,IF(AM64="","",SUMPRODUCT(--ISNUMBER(SEARCH(" "&amp;DJ2145:DJ2157&amp;" ",AS64)))),"")</f>
        <v>0</v>
      </c>
      <c r="CW64" s="493" cm="1">
        <f t="array" ref="CW64">IF(53=53,IF(AM64="","",SUMPRODUCT(--ISNUMBER(SEARCH(" "&amp;DJ2158:DJ2163&amp;" ",AS64)))),"")</f>
        <v>0</v>
      </c>
      <c r="CX64" s="493" t="str">
        <f>IF(53=53,IF(AM64="","",IF((CV64)-(0)&gt;0,"X",IF((CW64)-(0)&gt;0,"?",""))),"")</f>
        <v/>
      </c>
      <c r="CY64" s="493" cm="1">
        <f t="array" ref="CY64">IF(53=53,IF(AM64="","",SUMPRODUCT(--ISNUMBER(SEARCH(" "&amp;DJ2164:DJ2263&amp;" ",DB64)))),"")</f>
        <v>0</v>
      </c>
      <c r="CZ64" s="493" cm="1">
        <f t="array" ref="CZ64">IF(53=53,IF(AM64="","",SUMPRODUCT(--ISNUMBER(SEARCH(" "&amp;DJ2264:DJ2363&amp;" ",DB64)))),"")</f>
        <v>0</v>
      </c>
      <c r="DA64" s="493" cm="1">
        <f t="array" ref="DA64">IF(53=53,IF(AM64="","",SUMPRODUCT(--ISNUMBER(SEARCH(" "&amp;DJ2364:DJ2406&amp;" ",DB64)))),"")</f>
        <v>0</v>
      </c>
      <c r="DB64" s="493" t="str">
        <f>IF(53=53,IF(AM64="","",SUBSTITUTE(SUBSTITUTE(SUBSTITUTE(SUBSTITUTE(SUBSTITUTE(SUBSTITUTE(SUBSTITUTE(SUBSTITUTE(SUBSTITUTE(SUBSTITUTE(SUBSTITUTE(SUBSTITUTE(SUBSTITUTE(SUBSTITUTE(SUBSTITUTE(SUBSTITUTE(AS64," "&amp;DJ2412&amp;" "," ")," "&amp;DJ2411&amp;" "," ")," "&amp;DJ2410&amp;" "," ")," "&amp;DJ2417&amp;" "," ")," "&amp;DJ2409&amp;" "," ")," "&amp;DJ2421&amp;" "," ")," "&amp;DJ2408&amp;" "," ")," "&amp;DJ2413&amp;" "," ")," "&amp;DJ2416&amp;" "," ")," "&amp;DJ2407&amp;" "," ")," "&amp;DJ2415&amp;" "," ")," "&amp;DJ2422&amp;" "," ")," "&amp;DJ2419&amp;" "," ")," "&amp;DJ2414&amp;" "," ")," "&amp;DJ2418&amp;" "," ")," "&amp;DJ2420&amp;" "," ")),"")</f>
        <v xml:space="preserve"> 0 </v>
      </c>
      <c r="DC64" s="493" cm="1">
        <f t="array" ref="DC64">IF(53=53,IF(AM64="","",SUMPRODUCT(--ISNUMBER(SEARCH(" "&amp;DJ2423:DJ2427&amp;" ",DB64)))),"")</f>
        <v>0</v>
      </c>
      <c r="DD64" s="493" t="str">
        <f>IF(53=53,IF(AM64="","",IF(SUM(CY64:DA64)&gt;0,"X",IF(DC64&gt;0,"?",""))),"")</f>
        <v/>
      </c>
      <c r="DE64" s="494"/>
      <c r="DF64" s="496" t="s">
        <v>1237</v>
      </c>
      <c r="DG64" s="496" t="s">
        <v>1083</v>
      </c>
      <c r="DH64" s="496" t="s">
        <v>689</v>
      </c>
      <c r="DI64" s="496" t="s">
        <v>1238</v>
      </c>
      <c r="DJ64" s="496" t="s">
        <v>1238</v>
      </c>
      <c r="DK64" s="496" t="s">
        <v>1085</v>
      </c>
      <c r="DL64" s="496" t="s">
        <v>1086</v>
      </c>
      <c r="DM64" s="496" t="s">
        <v>1087</v>
      </c>
      <c r="DN64" s="497" t="s">
        <v>1088</v>
      </c>
      <c r="DP64" s="543">
        <v>1</v>
      </c>
    </row>
    <row r="65" spans="2:120" ht="30" customHeight="1">
      <c r="B65" s="663" t="str">
        <f t="shared" si="0"/>
        <v/>
      </c>
      <c r="C65" s="663" t="str">
        <f t="shared" si="1"/>
        <v/>
      </c>
      <c r="D65" s="663" t="str">
        <f>IF(UPPER(TRIM(N11))="X",C65,B65)</f>
        <v/>
      </c>
      <c r="E65" s="663" cm="1">
        <f t="array" ref="E65">IF(H64&lt;&gt;"",E64,IF(E64="","",IFERROR(MATCH(TRUE(),INDEX(INDEX(K:K,E64+1):K203&lt;&gt;"",0),0)+E64,"")))</f>
        <v>206</v>
      </c>
      <c r="F65" s="663" cm="1">
        <f t="array" ref="F65">IF(E65="","",IF(H64&lt;&gt;"",H64,INDEX(D:D,E65)))</f>
        <v>0</v>
      </c>
      <c r="G65" s="663" t="str">
        <f t="shared" si="2"/>
        <v>0</v>
      </c>
      <c r="H65" s="673" t="str">
        <f t="shared" si="3"/>
        <v/>
      </c>
      <c r="I65" s="680" t="str">
        <f>IF(AND(F65&lt;&gt;"",N10&gt;0,M65&gt;N10),"Mot &gt; limite","")</f>
        <v/>
      </c>
      <c r="J65" s="674" t="str">
        <f>IF(K65="","",COUNTIF(K18:K65,"&lt;&gt;"))</f>
        <v/>
      </c>
      <c r="K65" s="675"/>
      <c r="L65" s="674" t="str">
        <f t="shared" si="4"/>
        <v/>
      </c>
      <c r="M65" s="643">
        <f>IF(OR(F65="",N10="",N10&lt;=0),"",IF(LEN(F65)&lt;=N10,LEN(F65),IFERROR(FIND("♦",SUBSTITUTE(LEFT(F65,N10)," ","♦",LEN(LEFT(F65,N10))-LEN(SUBSTITUTE(LEFT(F65,N10)," ","")))),FIND(" ",F65&amp;" ",N10+1)-1)))</f>
        <v>1</v>
      </c>
      <c r="N65" s="676">
        <f t="shared" si="5"/>
        <v>48</v>
      </c>
      <c r="O65" s="677" t="str">
        <f t="shared" si="6"/>
        <v>0</v>
      </c>
      <c r="P65" s="676">
        <f t="shared" si="7"/>
        <v>1</v>
      </c>
      <c r="Q65" s="676">
        <f t="shared" si="8"/>
        <v>1</v>
      </c>
      <c r="S65" s="509">
        <v>48</v>
      </c>
      <c r="T65" s="678" t="str">
        <f t="shared" si="10"/>
        <v>0</v>
      </c>
      <c r="U65" s="679" t="str">
        <f t="shared" si="11"/>
        <v>0</v>
      </c>
      <c r="V65" s="512" t="str">
        <f>IF(54=54,IF(T65="","",IF(W65="X",""&amp;"Céréales contenant du gluten","")&amp;IF(X65="X",IF(COUNTIF(W65:W65,"X")&gt;0,", ","")&amp;"Crustacés","")&amp;IF(Y65="X",IF(COUNTIF(W65:X65,"X")&gt;0,", ","")&amp;"Œufs","")&amp;IF(Z65="X",IF(COUNTIF(W65:Y65,"X")&gt;0,", ","")&amp;"Poissons","")&amp;IF(AA65="X",IF(COUNTIF(W65:Z65,"X")&gt;0,", ","")&amp;"Arachides","")&amp;IF(AB65="X",IF(COUNTIF(W65:AA65,"X")&gt;0,", ","")&amp;"Soja","")&amp;IF(AC65="X",IF(COUNTIF(W65:AB65,"X")&gt;0,", ","")&amp;"Lait","")&amp;IF(AD65="X",IF(COUNTIF(W65:AC65,"X")&gt;0,", ","")&amp;"Fruits à coque","")&amp;IF(AE65="X",IF(COUNTIF(W65:AD65,"X")&gt;0,", ","")&amp;"Céleri","")&amp;IF(AF65="X",IF(COUNTIF(W65:AE65,"X")&gt;0,", ","")&amp;"Moutarde","")&amp;IF(AG65="X",IF(COUNTIF(W65:AF65,"X")&gt;0,", ","")&amp;"Sésame","")&amp;IF(AH65="X",IF(COUNTIF(W65:AG65,"X")&gt;0,", ","")&amp;"Sulfites","")&amp;IF(AI65="X",IF(COUNTIF(W65:AH65,"X")&gt;0,", ","")&amp;"Lupin","")&amp;IF(AJ65="X",IF(COUNTIF(W65:AI65,"X")&gt;0,", ","")&amp;"Mollusques","")),"")</f>
        <v/>
      </c>
      <c r="W65" s="513" t="str">
        <f>IF(54=54,IF(T65="","",AX65),"")</f>
        <v/>
      </c>
      <c r="X65" s="513" t="str">
        <f>IF(54=54,IF(T65="","",BA65),"")</f>
        <v/>
      </c>
      <c r="Y65" s="513" t="str">
        <f>IF(54=54,IF(T65="","",BE65),"")</f>
        <v/>
      </c>
      <c r="Z65" s="513" t="str">
        <f>IF(54=54,IF(T65="","",IF(ISNUMBER(SEARCH(" colin ",AS65)),"X",BR65)),"")</f>
        <v/>
      </c>
      <c r="AA65" s="513" t="str">
        <f>IF(54=54,IF(T65="","",BT65),"")</f>
        <v/>
      </c>
      <c r="AB65" s="513" t="str">
        <f>IF(54=54,IF(T65="","",BX65),"")</f>
        <v/>
      </c>
      <c r="AC65" s="513" t="str">
        <f>IF(54=54,IF(T65="","",CE65),"")</f>
        <v/>
      </c>
      <c r="AD65" s="513" t="str">
        <f>IF(54=54,IF(T65="","",CI65),"")</f>
        <v/>
      </c>
      <c r="AE65" s="513" t="str">
        <f>IF(54=54,IF(T65="","",CL65),"")</f>
        <v/>
      </c>
      <c r="AF65" s="513" t="str">
        <f>IF(54=54,IF(T65="","",CO65),"")</f>
        <v/>
      </c>
      <c r="AG65" s="513" t="str">
        <f>IF(54=54,IF(T65="","",CR65),"")</f>
        <v/>
      </c>
      <c r="AH65" s="513" t="str">
        <f>IF(54=54,IF(T65="","",CU65),"")</f>
        <v/>
      </c>
      <c r="AI65" s="513" t="str">
        <f>IF(54=54,IF(T65="","",CX65),"")</f>
        <v/>
      </c>
      <c r="AJ65" s="513" t="str">
        <f>IF(54=54,IF(T65="","",DD65),"")</f>
        <v/>
      </c>
      <c r="AK65" s="514" t="str">
        <f>IF(54=54,IF(T65="","",IF(W65="?",""&amp;"Céréales contenant du gluten","")&amp;IF(X65="?",IF(COUNTIF(W65:W65,"~?")&gt;0,", ","")&amp;"Crustacés","")&amp;IF(Y65="?",IF(COUNTIF(W65:X65,"~?")&gt;0,", ","")&amp;"Œufs","")&amp;IF(Z65="?",IF(COUNTIF(W65:Y65,"~?")&gt;0,", ","")&amp;"Poissons","")&amp;IF(AA65="?",IF(COUNTIF(W65:Z65,"~?")&gt;0,", ","")&amp;"Arachides","")&amp;IF(AB65="?",IF(COUNTIF(W65:AA65,"~?")&gt;0,", ","")&amp;"Soja","")&amp;IF(AC65="?",IF(COUNTIF(W65:AB65,"~?")&gt;0,", ","")&amp;"Lait","")&amp;IF(AD65="?",IF(COUNTIF(W65:AC65,"~?")&gt;0,", ","")&amp;"Fruits à coque","")&amp;IF(AE65="?",IF(COUNTIF(W65:AD65,"~?")&gt;0,", ","")&amp;"Céleri","")&amp;IF(AF65="?",IF(COUNTIF(W65:AE65,"~?")&gt;0,", ","")&amp;"Moutarde","")&amp;IF(AG65="?",IF(COUNTIF(W65:AF65,"~?")&gt;0,", ","")&amp;"Sésame","")&amp;IF(AH65="?",IF(COUNTIF(W65:AG65,"~?")&gt;0,", ","")&amp;"Sulfites","")&amp;IF(AI65="?",IF(COUNTIF(W65:AH65,"~?")&gt;0,", ","")&amp;"Lupin","")&amp;IF(AJ65="?",IF(COUNTIF(W65:AI65,"~?")&gt;0,", ","")&amp;"Mollusques","")),"")</f>
        <v/>
      </c>
      <c r="AM65" s="493" t="str">
        <f>IF(54=54,IF(T65="","",T65),"")</f>
        <v>0</v>
      </c>
      <c r="AN65" s="493" t="str">
        <f>IF(54=54,LOWER(CLEAN(SUBSTITUTE(SUBSTITUTE(SUBSTITUTE(SUBSTITUTE(AM65,CHAR(160)," ")," "," "),CHAR(10)," "),CHAR(13)," "))),"")</f>
        <v>0</v>
      </c>
      <c r="AO65" s="493" t="str">
        <f>IF(54=54,SUBSTITUTE(SUBSTITUTE(SUBSTITUTE(SUBSTITUTE(SUBSTITUTE(SUBSTITUTE(SUBSTITUTE(SUBSTITUTE(SUBSTITUTE(SUBSTITUTE(SUBSTITUTE(SUBSTITUTE(AN65,"œ","oe"),"æ","ae"),"à","a"),"á","a"),"â","a"),"ä","a"),"ã","a"),"ç","c"),"è","e"),"é","e"),"ê","e"),"ë","e"),"")</f>
        <v>0</v>
      </c>
      <c r="AP65" s="493" t="str">
        <f>IF(54=54,SUBSTITUTE(SUBSTITUTE(SUBSTITUTE(SUBSTITUTE(SUBSTITUTE(SUBSTITUTE(SUBSTITUTE(SUBSTITUTE(SUBSTITUTE(SUBSTITUTE(SUBSTITUTE(SUBSTITUTE(SUBSTITUTE(SUBSTITUTE(SUBSTITUTE(SUBSTITUTE(AO65,"ì","i"),"í","i"),"î","i"),"ï","i"),"ñ","n"),"ò","o"),"ó","o"),"ô","o"),"ö","o"),"õ","o"),"ù","u"),"ú","u"),"û","u"),"ü","u"),"ý","y"),"ÿ","y"),"")</f>
        <v>0</v>
      </c>
      <c r="AQ65" s="493" t="str">
        <f>IF(54=54,SUBSTITUTE(SUBSTITUTE(SUBSTITUTE(SUBSTITUTE(SUBSTITUTE(SUBSTITUTE(SUBSTITUTE(SUBSTITUTE(SUBSTITUTE(SUBSTITUTE(SUBSTITUTE(SUBSTITUTE(SUBSTITUTE(SUBSTITUTE(AP65,"’"," "),"`"," "),"–"," "),"—"," "),"-"," "),"'"," "),"/"," "),"_"," "),","," "),"."," "),"("," "),")"," "),";"," "),":"," "),"")</f>
        <v>0</v>
      </c>
      <c r="AR65" s="493" t="str">
        <f>IF(54=54,SUBSTITUTE(SUBSTITUTE(SUBSTITUTE(SUBSTITUTE(SUBSTITUTE(SUBSTITUTE(SUBSTITUTE(SUBSTITUTE(SUBSTITUTE(SUBSTITUTE(SUBSTITUTE(SUBSTITUTE(SUBSTITUTE(SUBSTITUTE(SUBSTITUTE(AQ65,"!"," "),"?"," "),"+"," "),"*"," "),"&amp;"," "),"["," "),"]"," "),"{"," "),"}"," "),"%"," "),"="," "),"\"," "),"|"," "),"&lt;"," "),"&gt;"," "),"")</f>
        <v>0</v>
      </c>
      <c r="AS65" s="493" t="str">
        <f>IF(54=54," "&amp;TRIM(SUBSTITUTE(SUBSTITUTE(SUBSTITUTE(SUBSTITUTE(SUBSTITUTE(SUBSTITUTE(AR65,CHAR(34)," "),"  "," "),"  "," "),"  "," "),"  "," "),"  "," "))&amp;" ","")</f>
        <v xml:space="preserve"> 0 </v>
      </c>
      <c r="AT65" s="493" cm="1">
        <f t="array" ref="AT65">IF(54=54,IF(AM65="","",SUMPRODUCT(--ISNUMBER(SEARCH(" "&amp;DJ13:DJ112&amp;" ",AV65)))),"")</f>
        <v>0</v>
      </c>
      <c r="AU65" s="493" cm="1">
        <f t="array" ref="AU65">IF(54=54,IF(AM65="","",SUMPRODUCT(--ISNUMBER(SEARCH(" "&amp;DJ113:DJ162&amp;" ",AV65)))),"")</f>
        <v>0</v>
      </c>
      <c r="AV65" s="493" t="str">
        <f>IF(AM65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65,"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0 </v>
      </c>
      <c r="AW65" s="493" cm="1">
        <f t="array" ref="AW65">IF(AM65="","",SUMPRODUCT(--ISNUMBER(SEARCH(" "&amp;DJ195:DJ216&amp;" ",AV65)))+--ISNUMBER(SEARCH(" "&amp;DJ2465&amp;" ",AV65)))</f>
        <v>0</v>
      </c>
      <c r="AX65" s="493" t="str" cm="1">
        <f t="array" ref="AX65">IF(54=54,IF(AM65="","",IF(SUM(AT65:AU65)+SUMPRODUCT(--ISNUMBER(SEARCH(" "&amp;DJ2429:DJ2431&amp;" ",AV65)))&gt;0,"X",IF(AW65&gt;0,"?",""))),"")</f>
        <v/>
      </c>
      <c r="AY65" s="493" cm="1">
        <f t="array" ref="AY65">IF(54=54,IF(AM65="","",SUMPRODUCT(--ISNUMBER(SEARCH(" "&amp;DJ217:DJ316&amp;" ",AS65)))),"")</f>
        <v>0</v>
      </c>
      <c r="AZ65" s="493" cm="1">
        <f t="array" ref="AZ65">IF(54=54,IF(AM65="","",SUMPRODUCT(--ISNUMBER(SEARCH(" "&amp;DJ317:DJ351&amp;" ",AS65)))),"")</f>
        <v>0</v>
      </c>
      <c r="BA65" s="493" t="str">
        <f>IF(54=54,IF(AM65="","",IF((SUM(AY65:AZ65))-(0)&gt;0,"X",IF((0)-(0)&gt;0,"?",""))),"")</f>
        <v/>
      </c>
      <c r="BB65" s="493" cm="1">
        <f t="array" ref="BB65">IF(54=54,IF(AM65="","",SUMPRODUCT(--ISNUMBER(SEARCH(" "&amp;DJ352:DJ409&amp;" ",AS65)))),"")</f>
        <v>0</v>
      </c>
      <c r="BC65" s="493" cm="1">
        <f t="array" ref="BC65">IF(54=54,IF(AM65="","",SUMPRODUCT(--ISNUMBER(SEARCH(" "&amp;DJ410:DJ437&amp;" ",BD65)))+SUMPRODUCT(--ISNUMBER(SEARCH(" "&amp;DJ2451:DJ2464&amp;" ",BD65)))),"")</f>
        <v>0</v>
      </c>
      <c r="BD65" s="493" t="str">
        <f>IF(54=54,IF(AM65="","",SUBSTITUTE(SUBSTITUTE(SUBSTITUTE(SUBSTITUTE(SUBSTITUTE(SUBSTITUTE(SUBSTITUTE(SUBSTITUTE(SUBSTITUTE(SUBSTITUTE(SUBSTITUTE(SUBSTITUTE(SUBSTITUTE(SUBSTITUTE(AS65," "&amp;DJ2466&amp;" "," ")," "&amp;DJ444&amp;" "," ")," "&amp;DJ442&amp;" "," ")," "&amp;DJ2449&amp;" "," ")," "&amp;DJ2450&amp;" "," ")," "&amp;DJ439&amp;" "," ")," "&amp;DJ443&amp;" "," ")," "&amp;DJ445&amp;" "," ")," "&amp;DJ440&amp;" "," ")," "&amp;DJ438&amp;" "," ")," "&amp;DJ1378&amp;" "," ")," "&amp;DJ446&amp;" "," ")," "&amp;DJ1377&amp;" "," ")," "&amp;DJ441&amp;" "," ")),"")</f>
        <v xml:space="preserve"> 0 </v>
      </c>
      <c r="BE65" s="493" t="str">
        <f>IF(54=54,IF(AM65="","",IF(BB65&gt;0,"X",IF(BC65&gt;0,"?",""))),"")</f>
        <v/>
      </c>
      <c r="BF65" s="493" cm="1">
        <f t="array" ref="BF65">IF(54=54,IF(AM65="","",SUMPRODUCT(--ISNUMBER(SEARCH(" "&amp;DJ447:DJ546&amp;" ",BP65)))),"")</f>
        <v>0</v>
      </c>
      <c r="BG65" s="493" cm="1">
        <f t="array" ref="BG65">IF(54=54,IF(AM65="","",SUMPRODUCT(--ISNUMBER(SEARCH(" "&amp;DJ547:DJ646&amp;" ",BP65)))),"")</f>
        <v>0</v>
      </c>
      <c r="BH65" s="493" cm="1">
        <f t="array" ref="BH65">IF(54=54,IF(AM65="","",SUMPRODUCT(--ISNUMBER(SEARCH(" "&amp;DJ647:DJ746&amp;" ",BP65)))),"")</f>
        <v>0</v>
      </c>
      <c r="BI65" s="493" cm="1">
        <f t="array" ref="BI65">IF(54=54,IF(AM65="","",SUMPRODUCT(--ISNUMBER(SEARCH(" "&amp;DJ747:DJ846&amp;" ",BP65)))),"")</f>
        <v>0</v>
      </c>
      <c r="BJ65" s="493" cm="1">
        <f t="array" ref="BJ65">IF(54=54,IF(AM65="","",SUMPRODUCT(--ISNUMBER(SEARCH(" "&amp;DJ847:DJ946&amp;" ",BP65)))),"")</f>
        <v>0</v>
      </c>
      <c r="BK65" s="493" cm="1">
        <f t="array" ref="BK65">IF(54=54,IF(AM65="","",SUMPRODUCT(--ISNUMBER(SEARCH(" "&amp;DJ947:DJ1046&amp;" ",BP65)))),"")</f>
        <v>0</v>
      </c>
      <c r="BL65" s="493" cm="1">
        <f t="array" ref="BL65">IF(54=54,IF(AM65="","",SUMPRODUCT(--ISNUMBER(SEARCH(" "&amp;DJ1047:DJ1146&amp;" ",BP65)))),"")</f>
        <v>0</v>
      </c>
      <c r="BM65" s="493" cm="1">
        <f t="array" ref="BM65">IF(54=54,IF(AM65="","",SUMPRODUCT(--ISNUMBER(SEARCH(" "&amp;DJ1147:DJ1246&amp;" ",BP65)))),"")</f>
        <v>0</v>
      </c>
      <c r="BN65" s="493" cm="1">
        <f t="array" ref="BN65">IF(54=54,IF(AM65="","",SUMPRODUCT(--ISNUMBER(SEARCH(" "&amp;DJ1247:DJ1346&amp;" ",BP65)))),"")</f>
        <v>0</v>
      </c>
      <c r="BO65" s="493" cm="1">
        <f t="array" ref="BO65">IF(54=54,IF(AM65="","",SUMPRODUCT(--ISNUMBER(SEARCH(" "&amp;DJ1347:DJ1374&amp;" ",BP65)))),"")</f>
        <v>0</v>
      </c>
      <c r="BP65" s="493" t="str">
        <f>IF(54=54,IF(AM65="","",SUBSTITUTE(SUBSTITUTE(SUBSTITUTE(SUBSTITUTE(SUBSTITUTE(SUBSTITUTE(SUBSTITUTE(SUBSTITUTE(SUBSTITUTE(AS65," "&amp;DJ1376&amp;" "," ")," "&amp;DJ1375&amp;" "," ")," "&amp;DJ1381&amp;" "," ")," "&amp;DJ1382&amp;" "," ")," "&amp;DJ1378&amp;" "," ")," "&amp;DJ1380&amp;" "," ")," "&amp;DJ1377&amp;" "," ")," "&amp;DJ1379&amp;" "," ")," "&amp;DJ1383&amp;" "," ")),"")</f>
        <v xml:space="preserve"> 0 </v>
      </c>
      <c r="BQ65" s="493" cm="1">
        <f t="array" ref="BQ65">IF(54=54,IF(AM65="","",SUMPRODUCT(--ISNUMBER(SEARCH(" "&amp;DJ1384:DJ1394&amp;" ",BP65)))),"")</f>
        <v>0</v>
      </c>
      <c r="BR65" s="493" t="str" cm="1">
        <f t="array" ref="BR65">IF(54=54,IF(AM65="","",IF(SUM(BF65:BO65)+SUMPRODUCT(--ISNUMBER(SEARCH(" "&amp;DJ2432:DJ2433&amp;" ",BP65)))&gt;0,"X",IF(BQ65&gt;0,"?",""))),"")</f>
        <v/>
      </c>
      <c r="BS65" s="493" cm="1">
        <f t="array" ref="BS65">IF(54=54,IF(AM65="","",SUMPRODUCT(--ISNUMBER(SEARCH(" "&amp;DJ1395:DJ1415&amp;" ",AS65)))),"")</f>
        <v>0</v>
      </c>
      <c r="BT65" s="493" t="str">
        <f>IF(54=54,IF(AM65="","",IF((BS65)-(0)&gt;0,"X",IF((0)-(0)&gt;0,"?",""))),"")</f>
        <v/>
      </c>
      <c r="BU65" s="493" cm="1">
        <f t="array" ref="BU65">IF(54=54,IF(AM65="","",SUMPRODUCT(--ISNUMBER(SEARCH(" "&amp;DJ1416:DJ1453&amp;" ",BV65)))),"")</f>
        <v>0</v>
      </c>
      <c r="BV65" s="493" t="str">
        <f>IF(54=54,IF(AM65="","",SUBSTITUTE(SUBSTITUTE(AS65," "&amp;DJ1454&amp;" "," ")," "&amp;DJ1455&amp;" "," ")),"")</f>
        <v xml:space="preserve"> 0 </v>
      </c>
      <c r="BW65" s="493" cm="1">
        <f t="array" ref="BW65">IF(54=54,IF(AM65="","",SUMPRODUCT(--ISNUMBER(SEARCH(" "&amp;DJ1456:DJ1466&amp;" ",BV65)))),"")</f>
        <v>0</v>
      </c>
      <c r="BX65" s="493" t="str">
        <f>IF(54=54,IF(AM65="","",IF(BU65&gt;0,"X",IF(BW65&gt;0,"?",""))),"")</f>
        <v/>
      </c>
      <c r="BY65" s="493" cm="1">
        <f t="array" ref="BY65">IF(54=54,IF(AM65="","",SUMPRODUCT(--ISNUMBER(SEARCH(" "&amp;DJ1467:DJ1566&amp;" ",CB65)))),"")</f>
        <v>0</v>
      </c>
      <c r="BZ65" s="493" cm="1">
        <f t="array" ref="BZ65">IF(54=54,IF(AM65="","",SUMPRODUCT(--ISNUMBER(SEARCH(" "&amp;DJ1567:DJ1666&amp;" ",CB65)))),"")</f>
        <v>0</v>
      </c>
      <c r="CA65" s="493" cm="1">
        <f t="array" ref="CA65">IF(54=54,IF(AM65="","",SUMPRODUCT(--ISNUMBER(SEARCH(" "&amp;DJ1667:DJ1750&amp;" ",CB65)))),"")</f>
        <v>0</v>
      </c>
      <c r="CB65" s="493" t="str">
        <f>IF(54=54,IF(AM65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65,"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0 </v>
      </c>
      <c r="CC65" s="493" cm="1">
        <f t="array" ref="CC65">IF(54=54,IF(AM65="","",SUMPRODUCT(--ISNUMBER(SEARCH(" "&amp;DJ1801:DJ1880&amp;" ",CD65)))+SUMPRODUCT(--ISNUMBER(SEARCH(" "&amp;DJ2451:DJ2464&amp;" ",CD65)))),"")</f>
        <v>0</v>
      </c>
      <c r="CD65" s="493" t="str">
        <f>IF(54=54,IF(AM65="","",SUBSTITUTE(SUBSTITUTE(SUBSTITUTE(SUBSTITUTE(SUBSTITUTE(SUBSTITUTE(SUBSTITUTE(SUBSTITUTE(SUBSTITUTE(SUBSTITUTE(SUBSTITUTE(SUBSTITUTE(SUBSTITUTE(CB65," "&amp;DJ1887&amp;" "," ")," "&amp;DJ1885&amp;" "," ")," "&amp;DJ2449&amp;" "," ")," "&amp;DJ2450&amp;" "," ")," "&amp;DJ1882&amp;" "," ")," "&amp;DJ1886&amp;" "," ")," "&amp;DJ1888&amp;" "," ")," "&amp;DJ1883&amp;" "," ")," "&amp;DJ1881&amp;" "," ")," "&amp;DJ1378&amp;" "," ")," "&amp;DJ1889&amp;" "," ")," "&amp;DJ1377&amp;" "," ")," "&amp;DJ1884&amp;" "," ")),"")</f>
        <v xml:space="preserve"> 0 </v>
      </c>
      <c r="CE65" s="493" t="str" cm="1">
        <f t="array" ref="CE65">IF(54=54,IF(AM65="","",IF(SUM(BY65:CA65)+SUMPRODUCT(--ISNUMBER(SEARCH(" "&amp;DJ2434:DJ2435&amp;" ",CB65)))&gt;0,"X",IF(CC65&gt;0,"?",""))),"")</f>
        <v/>
      </c>
      <c r="CF65" s="493" cm="1">
        <f t="array" ref="CF65">IF(54=54,IF(AM65="","",SUMPRODUCT(--ISNUMBER(SEARCH(" "&amp;DJ1890:DJ1947&amp;" ",CG65)))),"")</f>
        <v>0</v>
      </c>
      <c r="CG65" s="493" t="str">
        <f>IF(54=54,IF(AM65="","",SUBSTITUTE(SUBSTITUTE(SUBSTITUTE(SUBSTITUTE(SUBSTITUTE(SUBSTITUTE(SUBSTITUTE(SUBSTITUTE(SUBSTITUTE(SUBSTITUTE(SUBSTITUTE(SUBSTITUTE(SUBSTITUTE(SUBSTITUTE(SUBSTITUTE(SUBSTITUTE(SUBSTITUTE(SUBSTITUTE(SUBSTITUTE(SUBSTITUTE(SUBSTITUTE(SUBSTITUTE(SUBSTITUTE(AS65,"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0 </v>
      </c>
      <c r="CH65" s="493" cm="1">
        <f t="array" ref="CH65">IF(54=54,IF(AM65="","",SUMPRODUCT(--ISNUMBER(SEARCH(" "&amp;DJ1971:DJ1987&amp;" ",CG65)))),"")</f>
        <v>0</v>
      </c>
      <c r="CI65" s="493" t="str">
        <f>IF(54=54,IF(AM65="","",IF(CF65&gt;0,"X",IF(CH65&gt;0,"?",""))),"")</f>
        <v/>
      </c>
      <c r="CJ65" s="493" cm="1">
        <f t="array" ref="CJ65">IF(54=54,IF(AM65="","",SUMPRODUCT(--ISNUMBER(SEARCH(" "&amp;DJ1988:DJ2001&amp;" ",AS65)))),"")</f>
        <v>0</v>
      </c>
      <c r="CK65" s="493" cm="1">
        <f t="array" ref="CK65">IF(54=54,IF(AM65="","",SUMPRODUCT(--ISNUMBER(SEARCH(" "&amp;DJ2002:DJ2016&amp;" ",AS65)))),"")</f>
        <v>0</v>
      </c>
      <c r="CL65" s="493" t="str">
        <f>IF(54=54,IF(AM65="","",IF((CJ65)-(0)&gt;0,"X",IF((CK65)-(0)&gt;0,"?",""))),"")</f>
        <v/>
      </c>
      <c r="CM65" s="493" cm="1">
        <f t="array" ref="CM65">IF(54=54,IF(AM65="","",SUMPRODUCT(--ISNUMBER(SEARCH(" "&amp;DJ2017:DJ2034&amp;" ",AS65)))),"")</f>
        <v>0</v>
      </c>
      <c r="CN65" s="493" cm="1">
        <f t="array" ref="CN65">IF(54=54,IF(AM65="","",SUMPRODUCT(--ISNUMBER(SEARCH(" "&amp;DJ2035:DJ2049&amp;" ",AS65)))),"")</f>
        <v>0</v>
      </c>
      <c r="CO65" s="493" t="str">
        <f>IF(54=54,IF(AM65="","",IF((CM65)-(0)&gt;0,"X",IF((CN65)-(0)&gt;0,"?",""))),"")</f>
        <v/>
      </c>
      <c r="CP65" s="493" cm="1">
        <f t="array" ref="CP65">IF(54=54,IF(AM65="","",SUMPRODUCT(--ISNUMBER(SEARCH(" "&amp;DJ2050:DJ2068&amp;" ",AS65)))),"")</f>
        <v>0</v>
      </c>
      <c r="CQ65" s="493" cm="1">
        <f t="array" ref="CQ65">IF(54=54,IF(AM65="","",SUMPRODUCT(--ISNUMBER(SEARCH(" "&amp;DJ2069:DJ2083&amp;" ",AS65)))),"")</f>
        <v>0</v>
      </c>
      <c r="CR65" s="493" t="str">
        <f>IF(54=54,IF(AM65="","",IF((CP65)-(0)&gt;0,"X",IF((CQ65)-(0)&gt;0,"?",""))),"")</f>
        <v/>
      </c>
      <c r="CS65" s="493" cm="1">
        <f t="array" ref="CS65">IF(54=54,IF(AM65="","",SUMPRODUCT(--ISNUMBER(SEARCH(" "&amp;DJ2084:DJ2104&amp;" ",AS65)))),"")</f>
        <v>0</v>
      </c>
      <c r="CT65" s="493" cm="1">
        <f t="array" ref="CT65">IF(54=54,IF(AM65="","",SUMPRODUCT(--ISNUMBER(SEARCH(" "&amp;DJ2105:DJ2144&amp;" ",SUBSTITUTE(SUBSTITUTE(AS65," "&amp;DJ1378&amp;" "," ")," "&amp;DJ1377&amp;" "," "))))+--ISNUMBER(SEARCH("poiré",AN65))),"")</f>
        <v>0</v>
      </c>
      <c r="CU65" s="493" t="str">
        <f>IF(54=54,IF(AM65="","",IF(OR(CS65&gt;0,ISNUMBER(SEARCH(" vinaigre de vin ",AS65)),ISNUMBER(SEARCH(" vinaigre au vin ",AS65))),"X",IF(CT65&gt;0,"?",""))),"")</f>
        <v/>
      </c>
      <c r="CV65" s="493" cm="1">
        <f t="array" ref="CV65">IF(54=54,IF(AM65="","",SUMPRODUCT(--ISNUMBER(SEARCH(" "&amp;DJ2145:DJ2157&amp;" ",AS65)))),"")</f>
        <v>0</v>
      </c>
      <c r="CW65" s="493" cm="1">
        <f t="array" ref="CW65">IF(54=54,IF(AM65="","",SUMPRODUCT(--ISNUMBER(SEARCH(" "&amp;DJ2158:DJ2163&amp;" ",AS65)))),"")</f>
        <v>0</v>
      </c>
      <c r="CX65" s="493" t="str">
        <f>IF(54=54,IF(AM65="","",IF((CV65)-(0)&gt;0,"X",IF((CW65)-(0)&gt;0,"?",""))),"")</f>
        <v/>
      </c>
      <c r="CY65" s="493" cm="1">
        <f t="array" ref="CY65">IF(54=54,IF(AM65="","",SUMPRODUCT(--ISNUMBER(SEARCH(" "&amp;DJ2164:DJ2263&amp;" ",DB65)))),"")</f>
        <v>0</v>
      </c>
      <c r="CZ65" s="493" cm="1">
        <f t="array" ref="CZ65">IF(54=54,IF(AM65="","",SUMPRODUCT(--ISNUMBER(SEARCH(" "&amp;DJ2264:DJ2363&amp;" ",DB65)))),"")</f>
        <v>0</v>
      </c>
      <c r="DA65" s="493" cm="1">
        <f t="array" ref="DA65">IF(54=54,IF(AM65="","",SUMPRODUCT(--ISNUMBER(SEARCH(" "&amp;DJ2364:DJ2406&amp;" ",DB65)))),"")</f>
        <v>0</v>
      </c>
      <c r="DB65" s="493" t="str">
        <f>IF(54=54,IF(AM65="","",SUBSTITUTE(SUBSTITUTE(SUBSTITUTE(SUBSTITUTE(SUBSTITUTE(SUBSTITUTE(SUBSTITUTE(SUBSTITUTE(SUBSTITUTE(SUBSTITUTE(SUBSTITUTE(SUBSTITUTE(SUBSTITUTE(SUBSTITUTE(SUBSTITUTE(SUBSTITUTE(AS65," "&amp;DJ2412&amp;" "," ")," "&amp;DJ2411&amp;" "," ")," "&amp;DJ2410&amp;" "," ")," "&amp;DJ2417&amp;" "," ")," "&amp;DJ2409&amp;" "," ")," "&amp;DJ2421&amp;" "," ")," "&amp;DJ2408&amp;" "," ")," "&amp;DJ2413&amp;" "," ")," "&amp;DJ2416&amp;" "," ")," "&amp;DJ2407&amp;" "," ")," "&amp;DJ2415&amp;" "," ")," "&amp;DJ2422&amp;" "," ")," "&amp;DJ2419&amp;" "," ")," "&amp;DJ2414&amp;" "," ")," "&amp;DJ2418&amp;" "," ")," "&amp;DJ2420&amp;" "," ")),"")</f>
        <v xml:space="preserve"> 0 </v>
      </c>
      <c r="DC65" s="493" cm="1">
        <f t="array" ref="DC65">IF(54=54,IF(AM65="","",SUMPRODUCT(--ISNUMBER(SEARCH(" "&amp;DJ2423:DJ2427&amp;" ",DB65)))),"")</f>
        <v>0</v>
      </c>
      <c r="DD65" s="493" t="str">
        <f>IF(54=54,IF(AM65="","",IF(SUM(CY65:DA65)&gt;0,"X",IF(DC65&gt;0,"?",""))),"")</f>
        <v/>
      </c>
      <c r="DE65" s="494"/>
      <c r="DF65" s="496" t="s">
        <v>1239</v>
      </c>
      <c r="DG65" s="496" t="s">
        <v>1083</v>
      </c>
      <c r="DH65" s="496" t="s">
        <v>689</v>
      </c>
      <c r="DI65" s="496" t="s">
        <v>1240</v>
      </c>
      <c r="DJ65" s="496" t="s">
        <v>1240</v>
      </c>
      <c r="DK65" s="496" t="s">
        <v>1085</v>
      </c>
      <c r="DL65" s="496" t="s">
        <v>1086</v>
      </c>
      <c r="DM65" s="496" t="s">
        <v>1087</v>
      </c>
      <c r="DN65" s="497" t="s">
        <v>1088</v>
      </c>
      <c r="DP65" s="543">
        <v>1</v>
      </c>
    </row>
    <row r="66" spans="2:120" ht="30" customHeight="1">
      <c r="B66" s="663" t="str">
        <f t="shared" si="0"/>
        <v/>
      </c>
      <c r="C66" s="663" t="str">
        <f t="shared" si="1"/>
        <v/>
      </c>
      <c r="D66" s="663" t="str">
        <f>IF(UPPER(TRIM(N11))="X",C66,B66)</f>
        <v/>
      </c>
      <c r="E66" s="663" cm="1">
        <f t="array" ref="E66">IF(H65&lt;&gt;"",E65,IF(E65="","",IFERROR(MATCH(TRUE(),INDEX(INDEX(K:K,E65+1):K203&lt;&gt;"",0),0)+E65,"")))</f>
        <v>207</v>
      </c>
      <c r="F66" s="663" cm="1">
        <f t="array" ref="F66">IF(E66="","",IF(H65&lt;&gt;"",H65,INDEX(D:D,E66)))</f>
        <v>0</v>
      </c>
      <c r="G66" s="663" t="str">
        <f t="shared" si="2"/>
        <v>0</v>
      </c>
      <c r="H66" s="673" t="str">
        <f t="shared" si="3"/>
        <v/>
      </c>
      <c r="I66" s="680" t="str">
        <f>IF(AND(F66&lt;&gt;"",N10&gt;0,M66&gt;N10),"Mot &gt; limite","")</f>
        <v/>
      </c>
      <c r="J66" s="674" t="str">
        <f>IF(K66="","",COUNTIF(K18:K66,"&lt;&gt;"))</f>
        <v/>
      </c>
      <c r="K66" s="675"/>
      <c r="L66" s="674" t="str">
        <f t="shared" si="4"/>
        <v/>
      </c>
      <c r="M66" s="643">
        <f>IF(OR(F66="",N10="",N10&lt;=0),"",IF(LEN(F66)&lt;=N10,LEN(F66),IFERROR(FIND("♦",SUBSTITUTE(LEFT(F66,N10)," ","♦",LEN(LEFT(F66,N10))-LEN(SUBSTITUTE(LEFT(F66,N10)," ","")))),FIND(" ",F66&amp;" ",N10+1)-1)))</f>
        <v>1</v>
      </c>
      <c r="N66" s="676">
        <f t="shared" si="5"/>
        <v>49</v>
      </c>
      <c r="O66" s="677" t="str">
        <f t="shared" si="6"/>
        <v>0</v>
      </c>
      <c r="P66" s="676">
        <f t="shared" si="7"/>
        <v>1</v>
      </c>
      <c r="Q66" s="676">
        <f t="shared" si="8"/>
        <v>1</v>
      </c>
      <c r="S66" s="509">
        <v>49</v>
      </c>
      <c r="T66" s="678" t="str">
        <f t="shared" si="10"/>
        <v>0</v>
      </c>
      <c r="U66" s="679" t="str">
        <f t="shared" si="11"/>
        <v>0</v>
      </c>
      <c r="V66" s="512" t="str">
        <f>IF(55=55,IF(T66="","",IF(W66="X",""&amp;"Céréales contenant du gluten","")&amp;IF(X66="X",IF(COUNTIF(W66:W66,"X")&gt;0,", ","")&amp;"Crustacés","")&amp;IF(Y66="X",IF(COUNTIF(W66:X66,"X")&gt;0,", ","")&amp;"Œufs","")&amp;IF(Z66="X",IF(COUNTIF(W66:Y66,"X")&gt;0,", ","")&amp;"Poissons","")&amp;IF(AA66="X",IF(COUNTIF(W66:Z66,"X")&gt;0,", ","")&amp;"Arachides","")&amp;IF(AB66="X",IF(COUNTIF(W66:AA66,"X")&gt;0,", ","")&amp;"Soja","")&amp;IF(AC66="X",IF(COUNTIF(W66:AB66,"X")&gt;0,", ","")&amp;"Lait","")&amp;IF(AD66="X",IF(COUNTIF(W66:AC66,"X")&gt;0,", ","")&amp;"Fruits à coque","")&amp;IF(AE66="X",IF(COUNTIF(W66:AD66,"X")&gt;0,", ","")&amp;"Céleri","")&amp;IF(AF66="X",IF(COUNTIF(W66:AE66,"X")&gt;0,", ","")&amp;"Moutarde","")&amp;IF(AG66="X",IF(COUNTIF(W66:AF66,"X")&gt;0,", ","")&amp;"Sésame","")&amp;IF(AH66="X",IF(COUNTIF(W66:AG66,"X")&gt;0,", ","")&amp;"Sulfites","")&amp;IF(AI66="X",IF(COUNTIF(W66:AH66,"X")&gt;0,", ","")&amp;"Lupin","")&amp;IF(AJ66="X",IF(COUNTIF(W66:AI66,"X")&gt;0,", ","")&amp;"Mollusques","")),"")</f>
        <v/>
      </c>
      <c r="W66" s="513" t="str">
        <f>IF(55=55,IF(T66="","",AX66),"")</f>
        <v/>
      </c>
      <c r="X66" s="513" t="str">
        <f>IF(55=55,IF(T66="","",BA66),"")</f>
        <v/>
      </c>
      <c r="Y66" s="513" t="str">
        <f>IF(55=55,IF(T66="","",BE66),"")</f>
        <v/>
      </c>
      <c r="Z66" s="513" t="str">
        <f>IF(55=55,IF(T66="","",IF(ISNUMBER(SEARCH(" colin ",AS66)),"X",BR66)),"")</f>
        <v/>
      </c>
      <c r="AA66" s="513" t="str">
        <f>IF(55=55,IF(T66="","",BT66),"")</f>
        <v/>
      </c>
      <c r="AB66" s="513" t="str">
        <f>IF(55=55,IF(T66="","",BX66),"")</f>
        <v/>
      </c>
      <c r="AC66" s="513" t="str">
        <f>IF(55=55,IF(T66="","",CE66),"")</f>
        <v/>
      </c>
      <c r="AD66" s="513" t="str">
        <f>IF(55=55,IF(T66="","",CI66),"")</f>
        <v/>
      </c>
      <c r="AE66" s="513" t="str">
        <f>IF(55=55,IF(T66="","",CL66),"")</f>
        <v/>
      </c>
      <c r="AF66" s="513" t="str">
        <f>IF(55=55,IF(T66="","",CO66),"")</f>
        <v/>
      </c>
      <c r="AG66" s="513" t="str">
        <f>IF(55=55,IF(T66="","",CR66),"")</f>
        <v/>
      </c>
      <c r="AH66" s="513" t="str">
        <f>IF(55=55,IF(T66="","",CU66),"")</f>
        <v/>
      </c>
      <c r="AI66" s="513" t="str">
        <f>IF(55=55,IF(T66="","",CX66),"")</f>
        <v/>
      </c>
      <c r="AJ66" s="513" t="str">
        <f>IF(55=55,IF(T66="","",DD66),"")</f>
        <v/>
      </c>
      <c r="AK66" s="514" t="str">
        <f>IF(55=55,IF(T66="","",IF(W66="?",""&amp;"Céréales contenant du gluten","")&amp;IF(X66="?",IF(COUNTIF(W66:W66,"~?")&gt;0,", ","")&amp;"Crustacés","")&amp;IF(Y66="?",IF(COUNTIF(W66:X66,"~?")&gt;0,", ","")&amp;"Œufs","")&amp;IF(Z66="?",IF(COUNTIF(W66:Y66,"~?")&gt;0,", ","")&amp;"Poissons","")&amp;IF(AA66="?",IF(COUNTIF(W66:Z66,"~?")&gt;0,", ","")&amp;"Arachides","")&amp;IF(AB66="?",IF(COUNTIF(W66:AA66,"~?")&gt;0,", ","")&amp;"Soja","")&amp;IF(AC66="?",IF(COUNTIF(W66:AB66,"~?")&gt;0,", ","")&amp;"Lait","")&amp;IF(AD66="?",IF(COUNTIF(W66:AC66,"~?")&gt;0,", ","")&amp;"Fruits à coque","")&amp;IF(AE66="?",IF(COUNTIF(W66:AD66,"~?")&gt;0,", ","")&amp;"Céleri","")&amp;IF(AF66="?",IF(COUNTIF(W66:AE66,"~?")&gt;0,", ","")&amp;"Moutarde","")&amp;IF(AG66="?",IF(COUNTIF(W66:AF66,"~?")&gt;0,", ","")&amp;"Sésame","")&amp;IF(AH66="?",IF(COUNTIF(W66:AG66,"~?")&gt;0,", ","")&amp;"Sulfites","")&amp;IF(AI66="?",IF(COUNTIF(W66:AH66,"~?")&gt;0,", ","")&amp;"Lupin","")&amp;IF(AJ66="?",IF(COUNTIF(W66:AI66,"~?")&gt;0,", ","")&amp;"Mollusques","")),"")</f>
        <v/>
      </c>
      <c r="AM66" s="493" t="str">
        <f>IF(55=55,IF(T66="","",T66),"")</f>
        <v>0</v>
      </c>
      <c r="AN66" s="493" t="str">
        <f>IF(55=55,LOWER(CLEAN(SUBSTITUTE(SUBSTITUTE(SUBSTITUTE(SUBSTITUTE(AM66,CHAR(160)," ")," "," "),CHAR(10)," "),CHAR(13)," "))),"")</f>
        <v>0</v>
      </c>
      <c r="AO66" s="493" t="str">
        <f>IF(55=55,SUBSTITUTE(SUBSTITUTE(SUBSTITUTE(SUBSTITUTE(SUBSTITUTE(SUBSTITUTE(SUBSTITUTE(SUBSTITUTE(SUBSTITUTE(SUBSTITUTE(SUBSTITUTE(SUBSTITUTE(AN66,"œ","oe"),"æ","ae"),"à","a"),"á","a"),"â","a"),"ä","a"),"ã","a"),"ç","c"),"è","e"),"é","e"),"ê","e"),"ë","e"),"")</f>
        <v>0</v>
      </c>
      <c r="AP66" s="493" t="str">
        <f>IF(55=55,SUBSTITUTE(SUBSTITUTE(SUBSTITUTE(SUBSTITUTE(SUBSTITUTE(SUBSTITUTE(SUBSTITUTE(SUBSTITUTE(SUBSTITUTE(SUBSTITUTE(SUBSTITUTE(SUBSTITUTE(SUBSTITUTE(SUBSTITUTE(SUBSTITUTE(SUBSTITUTE(AO66,"ì","i"),"í","i"),"î","i"),"ï","i"),"ñ","n"),"ò","o"),"ó","o"),"ô","o"),"ö","o"),"õ","o"),"ù","u"),"ú","u"),"û","u"),"ü","u"),"ý","y"),"ÿ","y"),"")</f>
        <v>0</v>
      </c>
      <c r="AQ66" s="493" t="str">
        <f>IF(55=55,SUBSTITUTE(SUBSTITUTE(SUBSTITUTE(SUBSTITUTE(SUBSTITUTE(SUBSTITUTE(SUBSTITUTE(SUBSTITUTE(SUBSTITUTE(SUBSTITUTE(SUBSTITUTE(SUBSTITUTE(SUBSTITUTE(SUBSTITUTE(AP66,"’"," "),"`"," "),"–"," "),"—"," "),"-"," "),"'"," "),"/"," "),"_"," "),","," "),"."," "),"("," "),")"," "),";"," "),":"," "),"")</f>
        <v>0</v>
      </c>
      <c r="AR66" s="493" t="str">
        <f>IF(55=55,SUBSTITUTE(SUBSTITUTE(SUBSTITUTE(SUBSTITUTE(SUBSTITUTE(SUBSTITUTE(SUBSTITUTE(SUBSTITUTE(SUBSTITUTE(SUBSTITUTE(SUBSTITUTE(SUBSTITUTE(SUBSTITUTE(SUBSTITUTE(SUBSTITUTE(AQ66,"!"," "),"?"," "),"+"," "),"*"," "),"&amp;"," "),"["," "),"]"," "),"{"," "),"}"," "),"%"," "),"="," "),"\"," "),"|"," "),"&lt;"," "),"&gt;"," "),"")</f>
        <v>0</v>
      </c>
      <c r="AS66" s="493" t="str">
        <f>IF(55=55," "&amp;TRIM(SUBSTITUTE(SUBSTITUTE(SUBSTITUTE(SUBSTITUTE(SUBSTITUTE(SUBSTITUTE(AR66,CHAR(34)," "),"  "," "),"  "," "),"  "," "),"  "," "),"  "," "))&amp;" ","")</f>
        <v xml:space="preserve"> 0 </v>
      </c>
      <c r="AT66" s="493" cm="1">
        <f t="array" ref="AT66">IF(55=55,IF(AM66="","",SUMPRODUCT(--ISNUMBER(SEARCH(" "&amp;DJ13:DJ112&amp;" ",AV66)))),"")</f>
        <v>0</v>
      </c>
      <c r="AU66" s="493" cm="1">
        <f t="array" ref="AU66">IF(55=55,IF(AM66="","",SUMPRODUCT(--ISNUMBER(SEARCH(" "&amp;DJ113:DJ162&amp;" ",AV66)))),"")</f>
        <v>0</v>
      </c>
      <c r="AV66" s="493" t="str">
        <f>IF(AM66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66,"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0 </v>
      </c>
      <c r="AW66" s="493" cm="1">
        <f t="array" ref="AW66">IF(AM66="","",SUMPRODUCT(--ISNUMBER(SEARCH(" "&amp;DJ195:DJ216&amp;" ",AV66)))+--ISNUMBER(SEARCH(" "&amp;DJ2465&amp;" ",AV66)))</f>
        <v>0</v>
      </c>
      <c r="AX66" s="493" t="str" cm="1">
        <f t="array" ref="AX66">IF(55=55,IF(AM66="","",IF(SUM(AT66:AU66)+SUMPRODUCT(--ISNUMBER(SEARCH(" "&amp;DJ2429:DJ2431&amp;" ",AV66)))&gt;0,"X",IF(AW66&gt;0,"?",""))),"")</f>
        <v/>
      </c>
      <c r="AY66" s="493" cm="1">
        <f t="array" ref="AY66">IF(55=55,IF(AM66="","",SUMPRODUCT(--ISNUMBER(SEARCH(" "&amp;DJ217:DJ316&amp;" ",AS66)))),"")</f>
        <v>0</v>
      </c>
      <c r="AZ66" s="493" cm="1">
        <f t="array" ref="AZ66">IF(55=55,IF(AM66="","",SUMPRODUCT(--ISNUMBER(SEARCH(" "&amp;DJ317:DJ351&amp;" ",AS66)))),"")</f>
        <v>0</v>
      </c>
      <c r="BA66" s="493" t="str">
        <f>IF(55=55,IF(AM66="","",IF((SUM(AY66:AZ66))-(0)&gt;0,"X",IF((0)-(0)&gt;0,"?",""))),"")</f>
        <v/>
      </c>
      <c r="BB66" s="493" cm="1">
        <f t="array" ref="BB66">IF(55=55,IF(AM66="","",SUMPRODUCT(--ISNUMBER(SEARCH(" "&amp;DJ352:DJ409&amp;" ",AS66)))),"")</f>
        <v>0</v>
      </c>
      <c r="BC66" s="493" cm="1">
        <f t="array" ref="BC66">IF(55=55,IF(AM66="","",SUMPRODUCT(--ISNUMBER(SEARCH(" "&amp;DJ410:DJ437&amp;" ",BD66)))+SUMPRODUCT(--ISNUMBER(SEARCH(" "&amp;DJ2451:DJ2464&amp;" ",BD66)))),"")</f>
        <v>0</v>
      </c>
      <c r="BD66" s="493" t="str">
        <f>IF(55=55,IF(AM66="","",SUBSTITUTE(SUBSTITUTE(SUBSTITUTE(SUBSTITUTE(SUBSTITUTE(SUBSTITUTE(SUBSTITUTE(SUBSTITUTE(SUBSTITUTE(SUBSTITUTE(SUBSTITUTE(SUBSTITUTE(SUBSTITUTE(SUBSTITUTE(AS66," "&amp;DJ2466&amp;" "," ")," "&amp;DJ444&amp;" "," ")," "&amp;DJ442&amp;" "," ")," "&amp;DJ2449&amp;" "," ")," "&amp;DJ2450&amp;" "," ")," "&amp;DJ439&amp;" "," ")," "&amp;DJ443&amp;" "," ")," "&amp;DJ445&amp;" "," ")," "&amp;DJ440&amp;" "," ")," "&amp;DJ438&amp;" "," ")," "&amp;DJ1378&amp;" "," ")," "&amp;DJ446&amp;" "," ")," "&amp;DJ1377&amp;" "," ")," "&amp;DJ441&amp;" "," ")),"")</f>
        <v xml:space="preserve"> 0 </v>
      </c>
      <c r="BE66" s="493" t="str">
        <f>IF(55=55,IF(AM66="","",IF(BB66&gt;0,"X",IF(BC66&gt;0,"?",""))),"")</f>
        <v/>
      </c>
      <c r="BF66" s="493" cm="1">
        <f t="array" ref="BF66">IF(55=55,IF(AM66="","",SUMPRODUCT(--ISNUMBER(SEARCH(" "&amp;DJ447:DJ546&amp;" ",BP66)))),"")</f>
        <v>0</v>
      </c>
      <c r="BG66" s="493" cm="1">
        <f t="array" ref="BG66">IF(55=55,IF(AM66="","",SUMPRODUCT(--ISNUMBER(SEARCH(" "&amp;DJ547:DJ646&amp;" ",BP66)))),"")</f>
        <v>0</v>
      </c>
      <c r="BH66" s="493" cm="1">
        <f t="array" ref="BH66">IF(55=55,IF(AM66="","",SUMPRODUCT(--ISNUMBER(SEARCH(" "&amp;DJ647:DJ746&amp;" ",BP66)))),"")</f>
        <v>0</v>
      </c>
      <c r="BI66" s="493" cm="1">
        <f t="array" ref="BI66">IF(55=55,IF(AM66="","",SUMPRODUCT(--ISNUMBER(SEARCH(" "&amp;DJ747:DJ846&amp;" ",BP66)))),"")</f>
        <v>0</v>
      </c>
      <c r="BJ66" s="493" cm="1">
        <f t="array" ref="BJ66">IF(55=55,IF(AM66="","",SUMPRODUCT(--ISNUMBER(SEARCH(" "&amp;DJ847:DJ946&amp;" ",BP66)))),"")</f>
        <v>0</v>
      </c>
      <c r="BK66" s="493" cm="1">
        <f t="array" ref="BK66">IF(55=55,IF(AM66="","",SUMPRODUCT(--ISNUMBER(SEARCH(" "&amp;DJ947:DJ1046&amp;" ",BP66)))),"")</f>
        <v>0</v>
      </c>
      <c r="BL66" s="493" cm="1">
        <f t="array" ref="BL66">IF(55=55,IF(AM66="","",SUMPRODUCT(--ISNUMBER(SEARCH(" "&amp;DJ1047:DJ1146&amp;" ",BP66)))),"")</f>
        <v>0</v>
      </c>
      <c r="BM66" s="493" cm="1">
        <f t="array" ref="BM66">IF(55=55,IF(AM66="","",SUMPRODUCT(--ISNUMBER(SEARCH(" "&amp;DJ1147:DJ1246&amp;" ",BP66)))),"")</f>
        <v>0</v>
      </c>
      <c r="BN66" s="493" cm="1">
        <f t="array" ref="BN66">IF(55=55,IF(AM66="","",SUMPRODUCT(--ISNUMBER(SEARCH(" "&amp;DJ1247:DJ1346&amp;" ",BP66)))),"")</f>
        <v>0</v>
      </c>
      <c r="BO66" s="493" cm="1">
        <f t="array" ref="BO66">IF(55=55,IF(AM66="","",SUMPRODUCT(--ISNUMBER(SEARCH(" "&amp;DJ1347:DJ1374&amp;" ",BP66)))),"")</f>
        <v>0</v>
      </c>
      <c r="BP66" s="493" t="str">
        <f>IF(55=55,IF(AM66="","",SUBSTITUTE(SUBSTITUTE(SUBSTITUTE(SUBSTITUTE(SUBSTITUTE(SUBSTITUTE(SUBSTITUTE(SUBSTITUTE(SUBSTITUTE(AS66," "&amp;DJ1376&amp;" "," ")," "&amp;DJ1375&amp;" "," ")," "&amp;DJ1381&amp;" "," ")," "&amp;DJ1382&amp;" "," ")," "&amp;DJ1378&amp;" "," ")," "&amp;DJ1380&amp;" "," ")," "&amp;DJ1377&amp;" "," ")," "&amp;DJ1379&amp;" "," ")," "&amp;DJ1383&amp;" "," ")),"")</f>
        <v xml:space="preserve"> 0 </v>
      </c>
      <c r="BQ66" s="493" cm="1">
        <f t="array" ref="BQ66">IF(55=55,IF(AM66="","",SUMPRODUCT(--ISNUMBER(SEARCH(" "&amp;DJ1384:DJ1394&amp;" ",BP66)))),"")</f>
        <v>0</v>
      </c>
      <c r="BR66" s="493" t="str" cm="1">
        <f t="array" ref="BR66">IF(55=55,IF(AM66="","",IF(SUM(BF66:BO66)+SUMPRODUCT(--ISNUMBER(SEARCH(" "&amp;DJ2432:DJ2433&amp;" ",BP66)))&gt;0,"X",IF(BQ66&gt;0,"?",""))),"")</f>
        <v/>
      </c>
      <c r="BS66" s="493" cm="1">
        <f t="array" ref="BS66">IF(55=55,IF(AM66="","",SUMPRODUCT(--ISNUMBER(SEARCH(" "&amp;DJ1395:DJ1415&amp;" ",AS66)))),"")</f>
        <v>0</v>
      </c>
      <c r="BT66" s="493" t="str">
        <f>IF(55=55,IF(AM66="","",IF((BS66)-(0)&gt;0,"X",IF((0)-(0)&gt;0,"?",""))),"")</f>
        <v/>
      </c>
      <c r="BU66" s="493" cm="1">
        <f t="array" ref="BU66">IF(55=55,IF(AM66="","",SUMPRODUCT(--ISNUMBER(SEARCH(" "&amp;DJ1416:DJ1453&amp;" ",BV66)))),"")</f>
        <v>0</v>
      </c>
      <c r="BV66" s="493" t="str">
        <f>IF(55=55,IF(AM66="","",SUBSTITUTE(SUBSTITUTE(AS66," "&amp;DJ1454&amp;" "," ")," "&amp;DJ1455&amp;" "," ")),"")</f>
        <v xml:space="preserve"> 0 </v>
      </c>
      <c r="BW66" s="493" cm="1">
        <f t="array" ref="BW66">IF(55=55,IF(AM66="","",SUMPRODUCT(--ISNUMBER(SEARCH(" "&amp;DJ1456:DJ1466&amp;" ",BV66)))),"")</f>
        <v>0</v>
      </c>
      <c r="BX66" s="493" t="str">
        <f>IF(55=55,IF(AM66="","",IF(BU66&gt;0,"X",IF(BW66&gt;0,"?",""))),"")</f>
        <v/>
      </c>
      <c r="BY66" s="493" cm="1">
        <f t="array" ref="BY66">IF(55=55,IF(AM66="","",SUMPRODUCT(--ISNUMBER(SEARCH(" "&amp;DJ1467:DJ1566&amp;" ",CB66)))),"")</f>
        <v>0</v>
      </c>
      <c r="BZ66" s="493" cm="1">
        <f t="array" ref="BZ66">IF(55=55,IF(AM66="","",SUMPRODUCT(--ISNUMBER(SEARCH(" "&amp;DJ1567:DJ1666&amp;" ",CB66)))),"")</f>
        <v>0</v>
      </c>
      <c r="CA66" s="493" cm="1">
        <f t="array" ref="CA66">IF(55=55,IF(AM66="","",SUMPRODUCT(--ISNUMBER(SEARCH(" "&amp;DJ1667:DJ1750&amp;" ",CB66)))),"")</f>
        <v>0</v>
      </c>
      <c r="CB66" s="493" t="str">
        <f>IF(55=55,IF(AM66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66,"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0 </v>
      </c>
      <c r="CC66" s="493" cm="1">
        <f t="array" ref="CC66">IF(55=55,IF(AM66="","",SUMPRODUCT(--ISNUMBER(SEARCH(" "&amp;DJ1801:DJ1880&amp;" ",CD66)))+SUMPRODUCT(--ISNUMBER(SEARCH(" "&amp;DJ2451:DJ2464&amp;" ",CD66)))),"")</f>
        <v>0</v>
      </c>
      <c r="CD66" s="493" t="str">
        <f>IF(55=55,IF(AM66="","",SUBSTITUTE(SUBSTITUTE(SUBSTITUTE(SUBSTITUTE(SUBSTITUTE(SUBSTITUTE(SUBSTITUTE(SUBSTITUTE(SUBSTITUTE(SUBSTITUTE(SUBSTITUTE(SUBSTITUTE(SUBSTITUTE(CB66," "&amp;DJ1887&amp;" "," ")," "&amp;DJ1885&amp;" "," ")," "&amp;DJ2449&amp;" "," ")," "&amp;DJ2450&amp;" "," ")," "&amp;DJ1882&amp;" "," ")," "&amp;DJ1886&amp;" "," ")," "&amp;DJ1888&amp;" "," ")," "&amp;DJ1883&amp;" "," ")," "&amp;DJ1881&amp;" "," ")," "&amp;DJ1378&amp;" "," ")," "&amp;DJ1889&amp;" "," ")," "&amp;DJ1377&amp;" "," ")," "&amp;DJ1884&amp;" "," ")),"")</f>
        <v xml:space="preserve"> 0 </v>
      </c>
      <c r="CE66" s="493" t="str" cm="1">
        <f t="array" ref="CE66">IF(55=55,IF(AM66="","",IF(SUM(BY66:CA66)+SUMPRODUCT(--ISNUMBER(SEARCH(" "&amp;DJ2434:DJ2435&amp;" ",CB66)))&gt;0,"X",IF(CC66&gt;0,"?",""))),"")</f>
        <v/>
      </c>
      <c r="CF66" s="493" cm="1">
        <f t="array" ref="CF66">IF(55=55,IF(AM66="","",SUMPRODUCT(--ISNUMBER(SEARCH(" "&amp;DJ1890:DJ1947&amp;" ",CG66)))),"")</f>
        <v>0</v>
      </c>
      <c r="CG66" s="493" t="str">
        <f>IF(55=55,IF(AM66="","",SUBSTITUTE(SUBSTITUTE(SUBSTITUTE(SUBSTITUTE(SUBSTITUTE(SUBSTITUTE(SUBSTITUTE(SUBSTITUTE(SUBSTITUTE(SUBSTITUTE(SUBSTITUTE(SUBSTITUTE(SUBSTITUTE(SUBSTITUTE(SUBSTITUTE(SUBSTITUTE(SUBSTITUTE(SUBSTITUTE(SUBSTITUTE(SUBSTITUTE(SUBSTITUTE(SUBSTITUTE(SUBSTITUTE(AS66,"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0 </v>
      </c>
      <c r="CH66" s="493" cm="1">
        <f t="array" ref="CH66">IF(55=55,IF(AM66="","",SUMPRODUCT(--ISNUMBER(SEARCH(" "&amp;DJ1971:DJ1987&amp;" ",CG66)))),"")</f>
        <v>0</v>
      </c>
      <c r="CI66" s="493" t="str">
        <f>IF(55=55,IF(AM66="","",IF(CF66&gt;0,"X",IF(CH66&gt;0,"?",""))),"")</f>
        <v/>
      </c>
      <c r="CJ66" s="493" cm="1">
        <f t="array" ref="CJ66">IF(55=55,IF(AM66="","",SUMPRODUCT(--ISNUMBER(SEARCH(" "&amp;DJ1988:DJ2001&amp;" ",AS66)))),"")</f>
        <v>0</v>
      </c>
      <c r="CK66" s="493" cm="1">
        <f t="array" ref="CK66">IF(55=55,IF(AM66="","",SUMPRODUCT(--ISNUMBER(SEARCH(" "&amp;DJ2002:DJ2016&amp;" ",AS66)))),"")</f>
        <v>0</v>
      </c>
      <c r="CL66" s="493" t="str">
        <f>IF(55=55,IF(AM66="","",IF((CJ66)-(0)&gt;0,"X",IF((CK66)-(0)&gt;0,"?",""))),"")</f>
        <v/>
      </c>
      <c r="CM66" s="493" cm="1">
        <f t="array" ref="CM66">IF(55=55,IF(AM66="","",SUMPRODUCT(--ISNUMBER(SEARCH(" "&amp;DJ2017:DJ2034&amp;" ",AS66)))),"")</f>
        <v>0</v>
      </c>
      <c r="CN66" s="493" cm="1">
        <f t="array" ref="CN66">IF(55=55,IF(AM66="","",SUMPRODUCT(--ISNUMBER(SEARCH(" "&amp;DJ2035:DJ2049&amp;" ",AS66)))),"")</f>
        <v>0</v>
      </c>
      <c r="CO66" s="493" t="str">
        <f>IF(55=55,IF(AM66="","",IF((CM66)-(0)&gt;0,"X",IF((CN66)-(0)&gt;0,"?",""))),"")</f>
        <v/>
      </c>
      <c r="CP66" s="493" cm="1">
        <f t="array" ref="CP66">IF(55=55,IF(AM66="","",SUMPRODUCT(--ISNUMBER(SEARCH(" "&amp;DJ2050:DJ2068&amp;" ",AS66)))),"")</f>
        <v>0</v>
      </c>
      <c r="CQ66" s="493" cm="1">
        <f t="array" ref="CQ66">IF(55=55,IF(AM66="","",SUMPRODUCT(--ISNUMBER(SEARCH(" "&amp;DJ2069:DJ2083&amp;" ",AS66)))),"")</f>
        <v>0</v>
      </c>
      <c r="CR66" s="493" t="str">
        <f>IF(55=55,IF(AM66="","",IF((CP66)-(0)&gt;0,"X",IF((CQ66)-(0)&gt;0,"?",""))),"")</f>
        <v/>
      </c>
      <c r="CS66" s="493" cm="1">
        <f t="array" ref="CS66">IF(55=55,IF(AM66="","",SUMPRODUCT(--ISNUMBER(SEARCH(" "&amp;DJ2084:DJ2104&amp;" ",AS66)))),"")</f>
        <v>0</v>
      </c>
      <c r="CT66" s="493" cm="1">
        <f t="array" ref="CT66">IF(55=55,IF(AM66="","",SUMPRODUCT(--ISNUMBER(SEARCH(" "&amp;DJ2105:DJ2144&amp;" ",SUBSTITUTE(SUBSTITUTE(AS66," "&amp;DJ1378&amp;" "," ")," "&amp;DJ1377&amp;" "," "))))+--ISNUMBER(SEARCH("poiré",AN66))),"")</f>
        <v>0</v>
      </c>
      <c r="CU66" s="493" t="str">
        <f>IF(55=55,IF(AM66="","",IF(OR(CS66&gt;0,ISNUMBER(SEARCH(" vinaigre de vin ",AS66)),ISNUMBER(SEARCH(" vinaigre au vin ",AS66))),"X",IF(CT66&gt;0,"?",""))),"")</f>
        <v/>
      </c>
      <c r="CV66" s="493" cm="1">
        <f t="array" ref="CV66">IF(55=55,IF(AM66="","",SUMPRODUCT(--ISNUMBER(SEARCH(" "&amp;DJ2145:DJ2157&amp;" ",AS66)))),"")</f>
        <v>0</v>
      </c>
      <c r="CW66" s="493" cm="1">
        <f t="array" ref="CW66">IF(55=55,IF(AM66="","",SUMPRODUCT(--ISNUMBER(SEARCH(" "&amp;DJ2158:DJ2163&amp;" ",AS66)))),"")</f>
        <v>0</v>
      </c>
      <c r="CX66" s="493" t="str">
        <f>IF(55=55,IF(AM66="","",IF((CV66)-(0)&gt;0,"X",IF((CW66)-(0)&gt;0,"?",""))),"")</f>
        <v/>
      </c>
      <c r="CY66" s="493" cm="1">
        <f t="array" ref="CY66">IF(55=55,IF(AM66="","",SUMPRODUCT(--ISNUMBER(SEARCH(" "&amp;DJ2164:DJ2263&amp;" ",DB66)))),"")</f>
        <v>0</v>
      </c>
      <c r="CZ66" s="493" cm="1">
        <f t="array" ref="CZ66">IF(55=55,IF(AM66="","",SUMPRODUCT(--ISNUMBER(SEARCH(" "&amp;DJ2264:DJ2363&amp;" ",DB66)))),"")</f>
        <v>0</v>
      </c>
      <c r="DA66" s="493" cm="1">
        <f t="array" ref="DA66">IF(55=55,IF(AM66="","",SUMPRODUCT(--ISNUMBER(SEARCH(" "&amp;DJ2364:DJ2406&amp;" ",DB66)))),"")</f>
        <v>0</v>
      </c>
      <c r="DB66" s="493" t="str">
        <f>IF(55=55,IF(AM66="","",SUBSTITUTE(SUBSTITUTE(SUBSTITUTE(SUBSTITUTE(SUBSTITUTE(SUBSTITUTE(SUBSTITUTE(SUBSTITUTE(SUBSTITUTE(SUBSTITUTE(SUBSTITUTE(SUBSTITUTE(SUBSTITUTE(SUBSTITUTE(SUBSTITUTE(SUBSTITUTE(AS66," "&amp;DJ2412&amp;" "," ")," "&amp;DJ2411&amp;" "," ")," "&amp;DJ2410&amp;" "," ")," "&amp;DJ2417&amp;" "," ")," "&amp;DJ2409&amp;" "," ")," "&amp;DJ2421&amp;" "," ")," "&amp;DJ2408&amp;" "," ")," "&amp;DJ2413&amp;" "," ")," "&amp;DJ2416&amp;" "," ")," "&amp;DJ2407&amp;" "," ")," "&amp;DJ2415&amp;" "," ")," "&amp;DJ2422&amp;" "," ")," "&amp;DJ2419&amp;" "," ")," "&amp;DJ2414&amp;" "," ")," "&amp;DJ2418&amp;" "," ")," "&amp;DJ2420&amp;" "," ")),"")</f>
        <v xml:space="preserve"> 0 </v>
      </c>
      <c r="DC66" s="493" cm="1">
        <f t="array" ref="DC66">IF(55=55,IF(AM66="","",SUMPRODUCT(--ISNUMBER(SEARCH(" "&amp;DJ2423:DJ2427&amp;" ",DB66)))),"")</f>
        <v>0</v>
      </c>
      <c r="DD66" s="493" t="str">
        <f>IF(55=55,IF(AM66="","",IF(SUM(CY66:DA66)&gt;0,"X",IF(DC66&gt;0,"?",""))),"")</f>
        <v/>
      </c>
      <c r="DE66" s="494"/>
      <c r="DF66" s="496" t="s">
        <v>1241</v>
      </c>
      <c r="DG66" s="496" t="s">
        <v>1083</v>
      </c>
      <c r="DH66" s="496" t="s">
        <v>689</v>
      </c>
      <c r="DI66" s="496" t="s">
        <v>1242</v>
      </c>
      <c r="DJ66" s="496" t="s">
        <v>1242</v>
      </c>
      <c r="DK66" s="496" t="s">
        <v>1085</v>
      </c>
      <c r="DL66" s="496" t="s">
        <v>1086</v>
      </c>
      <c r="DM66" s="496" t="s">
        <v>1087</v>
      </c>
      <c r="DN66" s="497" t="s">
        <v>1088</v>
      </c>
      <c r="DP66" s="543">
        <v>1</v>
      </c>
    </row>
    <row r="67" spans="2:120" ht="30" customHeight="1">
      <c r="B67" s="663" t="str">
        <f t="shared" si="0"/>
        <v/>
      </c>
      <c r="C67" s="663" t="str">
        <f t="shared" si="1"/>
        <v/>
      </c>
      <c r="D67" s="663" t="str">
        <f>IF(UPPER(TRIM(N11))="X",C67,B67)</f>
        <v/>
      </c>
      <c r="E67" s="663" cm="1">
        <f t="array" ref="E67">IF(H66&lt;&gt;"",E66,IF(E66="","",IFERROR(MATCH(TRUE(),INDEX(INDEX(K:K,E66+1):K203&lt;&gt;"",0),0)+E66,"")))</f>
        <v>208</v>
      </c>
      <c r="F67" s="663" cm="1">
        <f t="array" ref="F67">IF(E67="","",IF(H66&lt;&gt;"",H66,INDEX(D:D,E67)))</f>
        <v>0</v>
      </c>
      <c r="G67" s="663" t="str">
        <f t="shared" si="2"/>
        <v>0</v>
      </c>
      <c r="H67" s="673" t="str">
        <f t="shared" si="3"/>
        <v/>
      </c>
      <c r="I67" s="680" t="str">
        <f>IF(AND(F67&lt;&gt;"",N10&gt;0,M67&gt;N10),"Mot &gt; limite","")</f>
        <v/>
      </c>
      <c r="J67" s="674" t="str">
        <f>IF(K67="","",COUNTIF(K18:K67,"&lt;&gt;"))</f>
        <v/>
      </c>
      <c r="K67" s="675"/>
      <c r="L67" s="674" t="str">
        <f t="shared" si="4"/>
        <v/>
      </c>
      <c r="M67" s="643">
        <f>IF(OR(F67="",N10="",N10&lt;=0),"",IF(LEN(F67)&lt;=N10,LEN(F67),IFERROR(FIND("♦",SUBSTITUTE(LEFT(F67,N10)," ","♦",LEN(LEFT(F67,N10))-LEN(SUBSTITUTE(LEFT(F67,N10)," ","")))),FIND(" ",F67&amp;" ",N10+1)-1)))</f>
        <v>1</v>
      </c>
      <c r="N67" s="676">
        <f t="shared" si="5"/>
        <v>50</v>
      </c>
      <c r="O67" s="677" t="str">
        <f t="shared" si="6"/>
        <v>0</v>
      </c>
      <c r="P67" s="676">
        <f t="shared" si="7"/>
        <v>1</v>
      </c>
      <c r="Q67" s="676">
        <f t="shared" si="8"/>
        <v>1</v>
      </c>
      <c r="S67" s="509">
        <v>50</v>
      </c>
      <c r="T67" s="678" t="str">
        <f t="shared" si="10"/>
        <v>0</v>
      </c>
      <c r="U67" s="679" t="str">
        <f t="shared" si="11"/>
        <v>0</v>
      </c>
      <c r="V67" s="512" t="str">
        <f>IF(56=56,IF(T67="","",IF(W67="X",""&amp;"Céréales contenant du gluten","")&amp;IF(X67="X",IF(COUNTIF(W67:W67,"X")&gt;0,", ","")&amp;"Crustacés","")&amp;IF(Y67="X",IF(COUNTIF(W67:X67,"X")&gt;0,", ","")&amp;"Œufs","")&amp;IF(Z67="X",IF(COUNTIF(W67:Y67,"X")&gt;0,", ","")&amp;"Poissons","")&amp;IF(AA67="X",IF(COUNTIF(W67:Z67,"X")&gt;0,", ","")&amp;"Arachides","")&amp;IF(AB67="X",IF(COUNTIF(W67:AA67,"X")&gt;0,", ","")&amp;"Soja","")&amp;IF(AC67="X",IF(COUNTIF(W67:AB67,"X")&gt;0,", ","")&amp;"Lait","")&amp;IF(AD67="X",IF(COUNTIF(W67:AC67,"X")&gt;0,", ","")&amp;"Fruits à coque","")&amp;IF(AE67="X",IF(COUNTIF(W67:AD67,"X")&gt;0,", ","")&amp;"Céleri","")&amp;IF(AF67="X",IF(COUNTIF(W67:AE67,"X")&gt;0,", ","")&amp;"Moutarde","")&amp;IF(AG67="X",IF(COUNTIF(W67:AF67,"X")&gt;0,", ","")&amp;"Sésame","")&amp;IF(AH67="X",IF(COUNTIF(W67:AG67,"X")&gt;0,", ","")&amp;"Sulfites","")&amp;IF(AI67="X",IF(COUNTIF(W67:AH67,"X")&gt;0,", ","")&amp;"Lupin","")&amp;IF(AJ67="X",IF(COUNTIF(W67:AI67,"X")&gt;0,", ","")&amp;"Mollusques","")),"")</f>
        <v/>
      </c>
      <c r="W67" s="513" t="str">
        <f>IF(56=56,IF(T67="","",AX67),"")</f>
        <v/>
      </c>
      <c r="X67" s="513" t="str">
        <f>IF(56=56,IF(T67="","",BA67),"")</f>
        <v/>
      </c>
      <c r="Y67" s="513" t="str">
        <f>IF(56=56,IF(T67="","",BE67),"")</f>
        <v/>
      </c>
      <c r="Z67" s="513" t="str">
        <f>IF(56=56,IF(T67="","",IF(ISNUMBER(SEARCH(" colin ",AS67)),"X",BR67)),"")</f>
        <v/>
      </c>
      <c r="AA67" s="513" t="str">
        <f>IF(56=56,IF(T67="","",BT67),"")</f>
        <v/>
      </c>
      <c r="AB67" s="513" t="str">
        <f>IF(56=56,IF(T67="","",BX67),"")</f>
        <v/>
      </c>
      <c r="AC67" s="513" t="str">
        <f>IF(56=56,IF(T67="","",CE67),"")</f>
        <v/>
      </c>
      <c r="AD67" s="513" t="str">
        <f>IF(56=56,IF(T67="","",CI67),"")</f>
        <v/>
      </c>
      <c r="AE67" s="513" t="str">
        <f>IF(56=56,IF(T67="","",CL67),"")</f>
        <v/>
      </c>
      <c r="AF67" s="513" t="str">
        <f>IF(56=56,IF(T67="","",CO67),"")</f>
        <v/>
      </c>
      <c r="AG67" s="513" t="str">
        <f>IF(56=56,IF(T67="","",CR67),"")</f>
        <v/>
      </c>
      <c r="AH67" s="513" t="str">
        <f>IF(56=56,IF(T67="","",CU67),"")</f>
        <v/>
      </c>
      <c r="AI67" s="513" t="str">
        <f>IF(56=56,IF(T67="","",CX67),"")</f>
        <v/>
      </c>
      <c r="AJ67" s="513" t="str">
        <f>IF(56=56,IF(T67="","",DD67),"")</f>
        <v/>
      </c>
      <c r="AK67" s="514" t="str">
        <f>IF(56=56,IF(T67="","",IF(W67="?",""&amp;"Céréales contenant du gluten","")&amp;IF(X67="?",IF(COUNTIF(W67:W67,"~?")&gt;0,", ","")&amp;"Crustacés","")&amp;IF(Y67="?",IF(COUNTIF(W67:X67,"~?")&gt;0,", ","")&amp;"Œufs","")&amp;IF(Z67="?",IF(COUNTIF(W67:Y67,"~?")&gt;0,", ","")&amp;"Poissons","")&amp;IF(AA67="?",IF(COUNTIF(W67:Z67,"~?")&gt;0,", ","")&amp;"Arachides","")&amp;IF(AB67="?",IF(COUNTIF(W67:AA67,"~?")&gt;0,", ","")&amp;"Soja","")&amp;IF(AC67="?",IF(COUNTIF(W67:AB67,"~?")&gt;0,", ","")&amp;"Lait","")&amp;IF(AD67="?",IF(COUNTIF(W67:AC67,"~?")&gt;0,", ","")&amp;"Fruits à coque","")&amp;IF(AE67="?",IF(COUNTIF(W67:AD67,"~?")&gt;0,", ","")&amp;"Céleri","")&amp;IF(AF67="?",IF(COUNTIF(W67:AE67,"~?")&gt;0,", ","")&amp;"Moutarde","")&amp;IF(AG67="?",IF(COUNTIF(W67:AF67,"~?")&gt;0,", ","")&amp;"Sésame","")&amp;IF(AH67="?",IF(COUNTIF(W67:AG67,"~?")&gt;0,", ","")&amp;"Sulfites","")&amp;IF(AI67="?",IF(COUNTIF(W67:AH67,"~?")&gt;0,", ","")&amp;"Lupin","")&amp;IF(AJ67="?",IF(COUNTIF(W67:AI67,"~?")&gt;0,", ","")&amp;"Mollusques","")),"")</f>
        <v/>
      </c>
      <c r="AM67" s="493" t="str">
        <f>IF(56=56,IF(T67="","",T67),"")</f>
        <v>0</v>
      </c>
      <c r="AN67" s="493" t="str">
        <f>IF(56=56,LOWER(CLEAN(SUBSTITUTE(SUBSTITUTE(SUBSTITUTE(SUBSTITUTE(AM67,CHAR(160)," ")," "," "),CHAR(10)," "),CHAR(13)," "))),"")</f>
        <v>0</v>
      </c>
      <c r="AO67" s="493" t="str">
        <f>IF(56=56,SUBSTITUTE(SUBSTITUTE(SUBSTITUTE(SUBSTITUTE(SUBSTITUTE(SUBSTITUTE(SUBSTITUTE(SUBSTITUTE(SUBSTITUTE(SUBSTITUTE(SUBSTITUTE(SUBSTITUTE(AN67,"œ","oe"),"æ","ae"),"à","a"),"á","a"),"â","a"),"ä","a"),"ã","a"),"ç","c"),"è","e"),"é","e"),"ê","e"),"ë","e"),"")</f>
        <v>0</v>
      </c>
      <c r="AP67" s="493" t="str">
        <f>IF(56=56,SUBSTITUTE(SUBSTITUTE(SUBSTITUTE(SUBSTITUTE(SUBSTITUTE(SUBSTITUTE(SUBSTITUTE(SUBSTITUTE(SUBSTITUTE(SUBSTITUTE(SUBSTITUTE(SUBSTITUTE(SUBSTITUTE(SUBSTITUTE(SUBSTITUTE(SUBSTITUTE(AO67,"ì","i"),"í","i"),"î","i"),"ï","i"),"ñ","n"),"ò","o"),"ó","o"),"ô","o"),"ö","o"),"õ","o"),"ù","u"),"ú","u"),"û","u"),"ü","u"),"ý","y"),"ÿ","y"),"")</f>
        <v>0</v>
      </c>
      <c r="AQ67" s="493" t="str">
        <f>IF(56=56,SUBSTITUTE(SUBSTITUTE(SUBSTITUTE(SUBSTITUTE(SUBSTITUTE(SUBSTITUTE(SUBSTITUTE(SUBSTITUTE(SUBSTITUTE(SUBSTITUTE(SUBSTITUTE(SUBSTITUTE(SUBSTITUTE(SUBSTITUTE(AP67,"’"," "),"`"," "),"–"," "),"—"," "),"-"," "),"'"," "),"/"," "),"_"," "),","," "),"."," "),"("," "),")"," "),";"," "),":"," "),"")</f>
        <v>0</v>
      </c>
      <c r="AR67" s="493" t="str">
        <f>IF(56=56,SUBSTITUTE(SUBSTITUTE(SUBSTITUTE(SUBSTITUTE(SUBSTITUTE(SUBSTITUTE(SUBSTITUTE(SUBSTITUTE(SUBSTITUTE(SUBSTITUTE(SUBSTITUTE(SUBSTITUTE(SUBSTITUTE(SUBSTITUTE(SUBSTITUTE(AQ67,"!"," "),"?"," "),"+"," "),"*"," "),"&amp;"," "),"["," "),"]"," "),"{"," "),"}"," "),"%"," "),"="," "),"\"," "),"|"," "),"&lt;"," "),"&gt;"," "),"")</f>
        <v>0</v>
      </c>
      <c r="AS67" s="493" t="str">
        <f>IF(56=56," "&amp;TRIM(SUBSTITUTE(SUBSTITUTE(SUBSTITUTE(SUBSTITUTE(SUBSTITUTE(SUBSTITUTE(AR67,CHAR(34)," "),"  "," "),"  "," "),"  "," "),"  "," "),"  "," "))&amp;" ","")</f>
        <v xml:space="preserve"> 0 </v>
      </c>
      <c r="AT67" s="493" cm="1">
        <f t="array" ref="AT67">IF(56=56,IF(AM67="","",SUMPRODUCT(--ISNUMBER(SEARCH(" "&amp;DJ13:DJ112&amp;" ",AV67)))),"")</f>
        <v>0</v>
      </c>
      <c r="AU67" s="493" cm="1">
        <f t="array" ref="AU67">IF(56=56,IF(AM67="","",SUMPRODUCT(--ISNUMBER(SEARCH(" "&amp;DJ113:DJ162&amp;" ",AV67)))),"")</f>
        <v>0</v>
      </c>
      <c r="AV67" s="493" t="str">
        <f>IF(AM67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67,"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0 </v>
      </c>
      <c r="AW67" s="493" cm="1">
        <f t="array" ref="AW67">IF(AM67="","",SUMPRODUCT(--ISNUMBER(SEARCH(" "&amp;DJ195:DJ216&amp;" ",AV67)))+--ISNUMBER(SEARCH(" "&amp;DJ2465&amp;" ",AV67)))</f>
        <v>0</v>
      </c>
      <c r="AX67" s="493" t="str" cm="1">
        <f t="array" ref="AX67">IF(56=56,IF(AM67="","",IF(SUM(AT67:AU67)+SUMPRODUCT(--ISNUMBER(SEARCH(" "&amp;DJ2429:DJ2431&amp;" ",AV67)))&gt;0,"X",IF(AW67&gt;0,"?",""))),"")</f>
        <v/>
      </c>
      <c r="AY67" s="493" cm="1">
        <f t="array" ref="AY67">IF(56=56,IF(AM67="","",SUMPRODUCT(--ISNUMBER(SEARCH(" "&amp;DJ217:DJ316&amp;" ",AS67)))),"")</f>
        <v>0</v>
      </c>
      <c r="AZ67" s="493" cm="1">
        <f t="array" ref="AZ67">IF(56=56,IF(AM67="","",SUMPRODUCT(--ISNUMBER(SEARCH(" "&amp;DJ317:DJ351&amp;" ",AS67)))),"")</f>
        <v>0</v>
      </c>
      <c r="BA67" s="493" t="str">
        <f>IF(56=56,IF(AM67="","",IF((SUM(AY67:AZ67))-(0)&gt;0,"X",IF((0)-(0)&gt;0,"?",""))),"")</f>
        <v/>
      </c>
      <c r="BB67" s="493" cm="1">
        <f t="array" ref="BB67">IF(56=56,IF(AM67="","",SUMPRODUCT(--ISNUMBER(SEARCH(" "&amp;DJ352:DJ409&amp;" ",AS67)))),"")</f>
        <v>0</v>
      </c>
      <c r="BC67" s="493" cm="1">
        <f t="array" ref="BC67">IF(56=56,IF(AM67="","",SUMPRODUCT(--ISNUMBER(SEARCH(" "&amp;DJ410:DJ437&amp;" ",BD67)))+SUMPRODUCT(--ISNUMBER(SEARCH(" "&amp;DJ2451:DJ2464&amp;" ",BD67)))),"")</f>
        <v>0</v>
      </c>
      <c r="BD67" s="493" t="str">
        <f>IF(56=56,IF(AM67="","",SUBSTITUTE(SUBSTITUTE(SUBSTITUTE(SUBSTITUTE(SUBSTITUTE(SUBSTITUTE(SUBSTITUTE(SUBSTITUTE(SUBSTITUTE(SUBSTITUTE(SUBSTITUTE(SUBSTITUTE(SUBSTITUTE(SUBSTITUTE(AS67," "&amp;DJ2466&amp;" "," ")," "&amp;DJ444&amp;" "," ")," "&amp;DJ442&amp;" "," ")," "&amp;DJ2449&amp;" "," ")," "&amp;DJ2450&amp;" "," ")," "&amp;DJ439&amp;" "," ")," "&amp;DJ443&amp;" "," ")," "&amp;DJ445&amp;" "," ")," "&amp;DJ440&amp;" "," ")," "&amp;DJ438&amp;" "," ")," "&amp;DJ1378&amp;" "," ")," "&amp;DJ446&amp;" "," ")," "&amp;DJ1377&amp;" "," ")," "&amp;DJ441&amp;" "," ")),"")</f>
        <v xml:space="preserve"> 0 </v>
      </c>
      <c r="BE67" s="493" t="str">
        <f>IF(56=56,IF(AM67="","",IF(BB67&gt;0,"X",IF(BC67&gt;0,"?",""))),"")</f>
        <v/>
      </c>
      <c r="BF67" s="493" cm="1">
        <f t="array" ref="BF67">IF(56=56,IF(AM67="","",SUMPRODUCT(--ISNUMBER(SEARCH(" "&amp;DJ447:DJ546&amp;" ",BP67)))),"")</f>
        <v>0</v>
      </c>
      <c r="BG67" s="493" cm="1">
        <f t="array" ref="BG67">IF(56=56,IF(AM67="","",SUMPRODUCT(--ISNUMBER(SEARCH(" "&amp;DJ547:DJ646&amp;" ",BP67)))),"")</f>
        <v>0</v>
      </c>
      <c r="BH67" s="493" cm="1">
        <f t="array" ref="BH67">IF(56=56,IF(AM67="","",SUMPRODUCT(--ISNUMBER(SEARCH(" "&amp;DJ647:DJ746&amp;" ",BP67)))),"")</f>
        <v>0</v>
      </c>
      <c r="BI67" s="493" cm="1">
        <f t="array" ref="BI67">IF(56=56,IF(AM67="","",SUMPRODUCT(--ISNUMBER(SEARCH(" "&amp;DJ747:DJ846&amp;" ",BP67)))),"")</f>
        <v>0</v>
      </c>
      <c r="BJ67" s="493" cm="1">
        <f t="array" ref="BJ67">IF(56=56,IF(AM67="","",SUMPRODUCT(--ISNUMBER(SEARCH(" "&amp;DJ847:DJ946&amp;" ",BP67)))),"")</f>
        <v>0</v>
      </c>
      <c r="BK67" s="493" cm="1">
        <f t="array" ref="BK67">IF(56=56,IF(AM67="","",SUMPRODUCT(--ISNUMBER(SEARCH(" "&amp;DJ947:DJ1046&amp;" ",BP67)))),"")</f>
        <v>0</v>
      </c>
      <c r="BL67" s="493" cm="1">
        <f t="array" ref="BL67">IF(56=56,IF(AM67="","",SUMPRODUCT(--ISNUMBER(SEARCH(" "&amp;DJ1047:DJ1146&amp;" ",BP67)))),"")</f>
        <v>0</v>
      </c>
      <c r="BM67" s="493" cm="1">
        <f t="array" ref="BM67">IF(56=56,IF(AM67="","",SUMPRODUCT(--ISNUMBER(SEARCH(" "&amp;DJ1147:DJ1246&amp;" ",BP67)))),"")</f>
        <v>0</v>
      </c>
      <c r="BN67" s="493" cm="1">
        <f t="array" ref="BN67">IF(56=56,IF(AM67="","",SUMPRODUCT(--ISNUMBER(SEARCH(" "&amp;DJ1247:DJ1346&amp;" ",BP67)))),"")</f>
        <v>0</v>
      </c>
      <c r="BO67" s="493" cm="1">
        <f t="array" ref="BO67">IF(56=56,IF(AM67="","",SUMPRODUCT(--ISNUMBER(SEARCH(" "&amp;DJ1347:DJ1374&amp;" ",BP67)))),"")</f>
        <v>0</v>
      </c>
      <c r="BP67" s="493" t="str">
        <f>IF(56=56,IF(AM67="","",SUBSTITUTE(SUBSTITUTE(SUBSTITUTE(SUBSTITUTE(SUBSTITUTE(SUBSTITUTE(SUBSTITUTE(SUBSTITUTE(SUBSTITUTE(AS67," "&amp;DJ1376&amp;" "," ")," "&amp;DJ1375&amp;" "," ")," "&amp;DJ1381&amp;" "," ")," "&amp;DJ1382&amp;" "," ")," "&amp;DJ1378&amp;" "," ")," "&amp;DJ1380&amp;" "," ")," "&amp;DJ1377&amp;" "," ")," "&amp;DJ1379&amp;" "," ")," "&amp;DJ1383&amp;" "," ")),"")</f>
        <v xml:space="preserve"> 0 </v>
      </c>
      <c r="BQ67" s="493" cm="1">
        <f t="array" ref="BQ67">IF(56=56,IF(AM67="","",SUMPRODUCT(--ISNUMBER(SEARCH(" "&amp;DJ1384:DJ1394&amp;" ",BP67)))),"")</f>
        <v>0</v>
      </c>
      <c r="BR67" s="493" t="str" cm="1">
        <f t="array" ref="BR67">IF(56=56,IF(AM67="","",IF(SUM(BF67:BO67)+SUMPRODUCT(--ISNUMBER(SEARCH(" "&amp;DJ2432:DJ2433&amp;" ",BP67)))&gt;0,"X",IF(BQ67&gt;0,"?",""))),"")</f>
        <v/>
      </c>
      <c r="BS67" s="493" cm="1">
        <f t="array" ref="BS67">IF(56=56,IF(AM67="","",SUMPRODUCT(--ISNUMBER(SEARCH(" "&amp;DJ1395:DJ1415&amp;" ",AS67)))),"")</f>
        <v>0</v>
      </c>
      <c r="BT67" s="493" t="str">
        <f>IF(56=56,IF(AM67="","",IF((BS67)-(0)&gt;0,"X",IF((0)-(0)&gt;0,"?",""))),"")</f>
        <v/>
      </c>
      <c r="BU67" s="493" cm="1">
        <f t="array" ref="BU67">IF(56=56,IF(AM67="","",SUMPRODUCT(--ISNUMBER(SEARCH(" "&amp;DJ1416:DJ1453&amp;" ",BV67)))),"")</f>
        <v>0</v>
      </c>
      <c r="BV67" s="493" t="str">
        <f>IF(56=56,IF(AM67="","",SUBSTITUTE(SUBSTITUTE(AS67," "&amp;DJ1454&amp;" "," ")," "&amp;DJ1455&amp;" "," ")),"")</f>
        <v xml:space="preserve"> 0 </v>
      </c>
      <c r="BW67" s="493" cm="1">
        <f t="array" ref="BW67">IF(56=56,IF(AM67="","",SUMPRODUCT(--ISNUMBER(SEARCH(" "&amp;DJ1456:DJ1466&amp;" ",BV67)))),"")</f>
        <v>0</v>
      </c>
      <c r="BX67" s="493" t="str">
        <f>IF(56=56,IF(AM67="","",IF(BU67&gt;0,"X",IF(BW67&gt;0,"?",""))),"")</f>
        <v/>
      </c>
      <c r="BY67" s="493" cm="1">
        <f t="array" ref="BY67">IF(56=56,IF(AM67="","",SUMPRODUCT(--ISNUMBER(SEARCH(" "&amp;DJ1467:DJ1566&amp;" ",CB67)))),"")</f>
        <v>0</v>
      </c>
      <c r="BZ67" s="493" cm="1">
        <f t="array" ref="BZ67">IF(56=56,IF(AM67="","",SUMPRODUCT(--ISNUMBER(SEARCH(" "&amp;DJ1567:DJ1666&amp;" ",CB67)))),"")</f>
        <v>0</v>
      </c>
      <c r="CA67" s="493" cm="1">
        <f t="array" ref="CA67">IF(56=56,IF(AM67="","",SUMPRODUCT(--ISNUMBER(SEARCH(" "&amp;DJ1667:DJ1750&amp;" ",CB67)))),"")</f>
        <v>0</v>
      </c>
      <c r="CB67" s="493" t="str">
        <f>IF(56=56,IF(AM67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67,"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0 </v>
      </c>
      <c r="CC67" s="493" cm="1">
        <f t="array" ref="CC67">IF(56=56,IF(AM67="","",SUMPRODUCT(--ISNUMBER(SEARCH(" "&amp;DJ1801:DJ1880&amp;" ",CD67)))+SUMPRODUCT(--ISNUMBER(SEARCH(" "&amp;DJ2451:DJ2464&amp;" ",CD67)))),"")</f>
        <v>0</v>
      </c>
      <c r="CD67" s="493" t="str">
        <f>IF(56=56,IF(AM67="","",SUBSTITUTE(SUBSTITUTE(SUBSTITUTE(SUBSTITUTE(SUBSTITUTE(SUBSTITUTE(SUBSTITUTE(SUBSTITUTE(SUBSTITUTE(SUBSTITUTE(SUBSTITUTE(SUBSTITUTE(SUBSTITUTE(CB67," "&amp;DJ1887&amp;" "," ")," "&amp;DJ1885&amp;" "," ")," "&amp;DJ2449&amp;" "," ")," "&amp;DJ2450&amp;" "," ")," "&amp;DJ1882&amp;" "," ")," "&amp;DJ1886&amp;" "," ")," "&amp;DJ1888&amp;" "," ")," "&amp;DJ1883&amp;" "," ")," "&amp;DJ1881&amp;" "," ")," "&amp;DJ1378&amp;" "," ")," "&amp;DJ1889&amp;" "," ")," "&amp;DJ1377&amp;" "," ")," "&amp;DJ1884&amp;" "," ")),"")</f>
        <v xml:space="preserve"> 0 </v>
      </c>
      <c r="CE67" s="493" t="str" cm="1">
        <f t="array" ref="CE67">IF(56=56,IF(AM67="","",IF(SUM(BY67:CA67)+SUMPRODUCT(--ISNUMBER(SEARCH(" "&amp;DJ2434:DJ2435&amp;" ",CB67)))&gt;0,"X",IF(CC67&gt;0,"?",""))),"")</f>
        <v/>
      </c>
      <c r="CF67" s="493" cm="1">
        <f t="array" ref="CF67">IF(56=56,IF(AM67="","",SUMPRODUCT(--ISNUMBER(SEARCH(" "&amp;DJ1890:DJ1947&amp;" ",CG67)))),"")</f>
        <v>0</v>
      </c>
      <c r="CG67" s="493" t="str">
        <f>IF(56=56,IF(AM67="","",SUBSTITUTE(SUBSTITUTE(SUBSTITUTE(SUBSTITUTE(SUBSTITUTE(SUBSTITUTE(SUBSTITUTE(SUBSTITUTE(SUBSTITUTE(SUBSTITUTE(SUBSTITUTE(SUBSTITUTE(SUBSTITUTE(SUBSTITUTE(SUBSTITUTE(SUBSTITUTE(SUBSTITUTE(SUBSTITUTE(SUBSTITUTE(SUBSTITUTE(SUBSTITUTE(SUBSTITUTE(SUBSTITUTE(AS67,"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0 </v>
      </c>
      <c r="CH67" s="493" cm="1">
        <f t="array" ref="CH67">IF(56=56,IF(AM67="","",SUMPRODUCT(--ISNUMBER(SEARCH(" "&amp;DJ1971:DJ1987&amp;" ",CG67)))),"")</f>
        <v>0</v>
      </c>
      <c r="CI67" s="493" t="str">
        <f>IF(56=56,IF(AM67="","",IF(CF67&gt;0,"X",IF(CH67&gt;0,"?",""))),"")</f>
        <v/>
      </c>
      <c r="CJ67" s="493" cm="1">
        <f t="array" ref="CJ67">IF(56=56,IF(AM67="","",SUMPRODUCT(--ISNUMBER(SEARCH(" "&amp;DJ1988:DJ2001&amp;" ",AS67)))),"")</f>
        <v>0</v>
      </c>
      <c r="CK67" s="493" cm="1">
        <f t="array" ref="CK67">IF(56=56,IF(AM67="","",SUMPRODUCT(--ISNUMBER(SEARCH(" "&amp;DJ2002:DJ2016&amp;" ",AS67)))),"")</f>
        <v>0</v>
      </c>
      <c r="CL67" s="493" t="str">
        <f>IF(56=56,IF(AM67="","",IF((CJ67)-(0)&gt;0,"X",IF((CK67)-(0)&gt;0,"?",""))),"")</f>
        <v/>
      </c>
      <c r="CM67" s="493" cm="1">
        <f t="array" ref="CM67">IF(56=56,IF(AM67="","",SUMPRODUCT(--ISNUMBER(SEARCH(" "&amp;DJ2017:DJ2034&amp;" ",AS67)))),"")</f>
        <v>0</v>
      </c>
      <c r="CN67" s="493" cm="1">
        <f t="array" ref="CN67">IF(56=56,IF(AM67="","",SUMPRODUCT(--ISNUMBER(SEARCH(" "&amp;DJ2035:DJ2049&amp;" ",AS67)))),"")</f>
        <v>0</v>
      </c>
      <c r="CO67" s="493" t="str">
        <f>IF(56=56,IF(AM67="","",IF((CM67)-(0)&gt;0,"X",IF((CN67)-(0)&gt;0,"?",""))),"")</f>
        <v/>
      </c>
      <c r="CP67" s="493" cm="1">
        <f t="array" ref="CP67">IF(56=56,IF(AM67="","",SUMPRODUCT(--ISNUMBER(SEARCH(" "&amp;DJ2050:DJ2068&amp;" ",AS67)))),"")</f>
        <v>0</v>
      </c>
      <c r="CQ67" s="493" cm="1">
        <f t="array" ref="CQ67">IF(56=56,IF(AM67="","",SUMPRODUCT(--ISNUMBER(SEARCH(" "&amp;DJ2069:DJ2083&amp;" ",AS67)))),"")</f>
        <v>0</v>
      </c>
      <c r="CR67" s="493" t="str">
        <f>IF(56=56,IF(AM67="","",IF((CP67)-(0)&gt;0,"X",IF((CQ67)-(0)&gt;0,"?",""))),"")</f>
        <v/>
      </c>
      <c r="CS67" s="493" cm="1">
        <f t="array" ref="CS67">IF(56=56,IF(AM67="","",SUMPRODUCT(--ISNUMBER(SEARCH(" "&amp;DJ2084:DJ2104&amp;" ",AS67)))),"")</f>
        <v>0</v>
      </c>
      <c r="CT67" s="493" cm="1">
        <f t="array" ref="CT67">IF(56=56,IF(AM67="","",SUMPRODUCT(--ISNUMBER(SEARCH(" "&amp;DJ2105:DJ2144&amp;" ",SUBSTITUTE(SUBSTITUTE(AS67," "&amp;DJ1378&amp;" "," ")," "&amp;DJ1377&amp;" "," "))))+--ISNUMBER(SEARCH("poiré",AN67))),"")</f>
        <v>0</v>
      </c>
      <c r="CU67" s="493" t="str">
        <f>IF(56=56,IF(AM67="","",IF(OR(CS67&gt;0,ISNUMBER(SEARCH(" vinaigre de vin ",AS67)),ISNUMBER(SEARCH(" vinaigre au vin ",AS67))),"X",IF(CT67&gt;0,"?",""))),"")</f>
        <v/>
      </c>
      <c r="CV67" s="493" cm="1">
        <f t="array" ref="CV67">IF(56=56,IF(AM67="","",SUMPRODUCT(--ISNUMBER(SEARCH(" "&amp;DJ2145:DJ2157&amp;" ",AS67)))),"")</f>
        <v>0</v>
      </c>
      <c r="CW67" s="493" cm="1">
        <f t="array" ref="CW67">IF(56=56,IF(AM67="","",SUMPRODUCT(--ISNUMBER(SEARCH(" "&amp;DJ2158:DJ2163&amp;" ",AS67)))),"")</f>
        <v>0</v>
      </c>
      <c r="CX67" s="493" t="str">
        <f>IF(56=56,IF(AM67="","",IF((CV67)-(0)&gt;0,"X",IF((CW67)-(0)&gt;0,"?",""))),"")</f>
        <v/>
      </c>
      <c r="CY67" s="493" cm="1">
        <f t="array" ref="CY67">IF(56=56,IF(AM67="","",SUMPRODUCT(--ISNUMBER(SEARCH(" "&amp;DJ2164:DJ2263&amp;" ",DB67)))),"")</f>
        <v>0</v>
      </c>
      <c r="CZ67" s="493" cm="1">
        <f t="array" ref="CZ67">IF(56=56,IF(AM67="","",SUMPRODUCT(--ISNUMBER(SEARCH(" "&amp;DJ2264:DJ2363&amp;" ",DB67)))),"")</f>
        <v>0</v>
      </c>
      <c r="DA67" s="493" cm="1">
        <f t="array" ref="DA67">IF(56=56,IF(AM67="","",SUMPRODUCT(--ISNUMBER(SEARCH(" "&amp;DJ2364:DJ2406&amp;" ",DB67)))),"")</f>
        <v>0</v>
      </c>
      <c r="DB67" s="493" t="str">
        <f>IF(56=56,IF(AM67="","",SUBSTITUTE(SUBSTITUTE(SUBSTITUTE(SUBSTITUTE(SUBSTITUTE(SUBSTITUTE(SUBSTITUTE(SUBSTITUTE(SUBSTITUTE(SUBSTITUTE(SUBSTITUTE(SUBSTITUTE(SUBSTITUTE(SUBSTITUTE(SUBSTITUTE(SUBSTITUTE(AS67," "&amp;DJ2412&amp;" "," ")," "&amp;DJ2411&amp;" "," ")," "&amp;DJ2410&amp;" "," ")," "&amp;DJ2417&amp;" "," ")," "&amp;DJ2409&amp;" "," ")," "&amp;DJ2421&amp;" "," ")," "&amp;DJ2408&amp;" "," ")," "&amp;DJ2413&amp;" "," ")," "&amp;DJ2416&amp;" "," ")," "&amp;DJ2407&amp;" "," ")," "&amp;DJ2415&amp;" "," ")," "&amp;DJ2422&amp;" "," ")," "&amp;DJ2419&amp;" "," ")," "&amp;DJ2414&amp;" "," ")," "&amp;DJ2418&amp;" "," ")," "&amp;DJ2420&amp;" "," ")),"")</f>
        <v xml:space="preserve"> 0 </v>
      </c>
      <c r="DC67" s="493" cm="1">
        <f t="array" ref="DC67">IF(56=56,IF(AM67="","",SUMPRODUCT(--ISNUMBER(SEARCH(" "&amp;DJ2423:DJ2427&amp;" ",DB67)))),"")</f>
        <v>0</v>
      </c>
      <c r="DD67" s="493" t="str">
        <f>IF(56=56,IF(AM67="","",IF(SUM(CY67:DA67)&gt;0,"X",IF(DC67&gt;0,"?",""))),"")</f>
        <v/>
      </c>
      <c r="DE67" s="494"/>
      <c r="DF67" s="496" t="s">
        <v>1243</v>
      </c>
      <c r="DG67" s="496" t="s">
        <v>1083</v>
      </c>
      <c r="DH67" s="496" t="s">
        <v>689</v>
      </c>
      <c r="DI67" s="496" t="s">
        <v>1244</v>
      </c>
      <c r="DJ67" s="496" t="s">
        <v>1244</v>
      </c>
      <c r="DK67" s="496" t="s">
        <v>1085</v>
      </c>
      <c r="DL67" s="496" t="s">
        <v>1086</v>
      </c>
      <c r="DM67" s="496" t="s">
        <v>1087</v>
      </c>
      <c r="DN67" s="497" t="s">
        <v>1088</v>
      </c>
      <c r="DP67" s="543">
        <v>1</v>
      </c>
    </row>
    <row r="68" spans="2:120" ht="30" customHeight="1">
      <c r="B68" s="663" t="str">
        <f t="shared" si="0"/>
        <v/>
      </c>
      <c r="C68" s="663" t="str">
        <f t="shared" si="1"/>
        <v/>
      </c>
      <c r="D68" s="663" t="str">
        <f>IF(UPPER(TRIM(N11))="X",C68,B68)</f>
        <v/>
      </c>
      <c r="E68" s="663" cm="1">
        <f t="array" ref="E68">IF(H67&lt;&gt;"",E67,IF(E67="","",IFERROR(MATCH(TRUE(),INDEX(INDEX(K:K,E67+1):K203&lt;&gt;"",0),0)+E67,"")))</f>
        <v>209</v>
      </c>
      <c r="F68" s="663" cm="1">
        <f t="array" ref="F68">IF(E68="","",IF(H67&lt;&gt;"",H67,INDEX(D:D,E68)))</f>
        <v>0</v>
      </c>
      <c r="G68" s="663" t="str">
        <f t="shared" si="2"/>
        <v>0</v>
      </c>
      <c r="H68" s="673" t="str">
        <f t="shared" si="3"/>
        <v/>
      </c>
      <c r="I68" s="680" t="str">
        <f>IF(AND(F68&lt;&gt;"",N10&gt;0,M68&gt;N10),"Mot &gt; limite","")</f>
        <v/>
      </c>
      <c r="J68" s="674" t="str">
        <f>IF(K68="","",COUNTIF(K18:K68,"&lt;&gt;"))</f>
        <v/>
      </c>
      <c r="K68" s="675"/>
      <c r="L68" s="674" t="str">
        <f t="shared" si="4"/>
        <v/>
      </c>
      <c r="M68" s="643">
        <f>IF(OR(F68="",N10="",N10&lt;=0),"",IF(LEN(F68)&lt;=N10,LEN(F68),IFERROR(FIND("♦",SUBSTITUTE(LEFT(F68,N10)," ","♦",LEN(LEFT(F68,N10))-LEN(SUBSTITUTE(LEFT(F68,N10)," ","")))),FIND(" ",F68&amp;" ",N10+1)-1)))</f>
        <v>1</v>
      </c>
      <c r="N68" s="676">
        <f t="shared" si="5"/>
        <v>51</v>
      </c>
      <c r="O68" s="677" t="str">
        <f t="shared" si="6"/>
        <v>0</v>
      </c>
      <c r="P68" s="676">
        <f t="shared" si="7"/>
        <v>1</v>
      </c>
      <c r="Q68" s="676">
        <f t="shared" si="8"/>
        <v>1</v>
      </c>
      <c r="S68" s="509">
        <v>51</v>
      </c>
      <c r="T68" s="678" t="str">
        <f t="shared" si="10"/>
        <v>0</v>
      </c>
      <c r="U68" s="679" t="str">
        <f t="shared" si="11"/>
        <v>0</v>
      </c>
      <c r="V68" s="512" t="str">
        <f>IF(57=57,IF(T68="","",IF(W68="X",""&amp;"Céréales contenant du gluten","")&amp;IF(X68="X",IF(COUNTIF(W68:W68,"X")&gt;0,", ","")&amp;"Crustacés","")&amp;IF(Y68="X",IF(COUNTIF(W68:X68,"X")&gt;0,", ","")&amp;"Œufs","")&amp;IF(Z68="X",IF(COUNTIF(W68:Y68,"X")&gt;0,", ","")&amp;"Poissons","")&amp;IF(AA68="X",IF(COUNTIF(W68:Z68,"X")&gt;0,", ","")&amp;"Arachides","")&amp;IF(AB68="X",IF(COUNTIF(W68:AA68,"X")&gt;0,", ","")&amp;"Soja","")&amp;IF(AC68="X",IF(COUNTIF(W68:AB68,"X")&gt;0,", ","")&amp;"Lait","")&amp;IF(AD68="X",IF(COUNTIF(W68:AC68,"X")&gt;0,", ","")&amp;"Fruits à coque","")&amp;IF(AE68="X",IF(COUNTIF(W68:AD68,"X")&gt;0,", ","")&amp;"Céleri","")&amp;IF(AF68="X",IF(COUNTIF(W68:AE68,"X")&gt;0,", ","")&amp;"Moutarde","")&amp;IF(AG68="X",IF(COUNTIF(W68:AF68,"X")&gt;0,", ","")&amp;"Sésame","")&amp;IF(AH68="X",IF(COUNTIF(W68:AG68,"X")&gt;0,", ","")&amp;"Sulfites","")&amp;IF(AI68="X",IF(COUNTIF(W68:AH68,"X")&gt;0,", ","")&amp;"Lupin","")&amp;IF(AJ68="X",IF(COUNTIF(W68:AI68,"X")&gt;0,", ","")&amp;"Mollusques","")),"")</f>
        <v/>
      </c>
      <c r="W68" s="513" t="str">
        <f>IF(57=57,IF(T68="","",AX68),"")</f>
        <v/>
      </c>
      <c r="X68" s="513" t="str">
        <f>IF(57=57,IF(T68="","",BA68),"")</f>
        <v/>
      </c>
      <c r="Y68" s="513" t="str">
        <f>IF(57=57,IF(T68="","",BE68),"")</f>
        <v/>
      </c>
      <c r="Z68" s="513" t="str">
        <f>IF(57=57,IF(T68="","",IF(ISNUMBER(SEARCH(" colin ",AS68)),"X",BR68)),"")</f>
        <v/>
      </c>
      <c r="AA68" s="513" t="str">
        <f>IF(57=57,IF(T68="","",BT68),"")</f>
        <v/>
      </c>
      <c r="AB68" s="513" t="str">
        <f>IF(57=57,IF(T68="","",BX68),"")</f>
        <v/>
      </c>
      <c r="AC68" s="513" t="str">
        <f>IF(57=57,IF(T68="","",CE68),"")</f>
        <v/>
      </c>
      <c r="AD68" s="513" t="str">
        <f>IF(57=57,IF(T68="","",CI68),"")</f>
        <v/>
      </c>
      <c r="AE68" s="513" t="str">
        <f>IF(57=57,IF(T68="","",CL68),"")</f>
        <v/>
      </c>
      <c r="AF68" s="513" t="str">
        <f>IF(57=57,IF(T68="","",CO68),"")</f>
        <v/>
      </c>
      <c r="AG68" s="513" t="str">
        <f>IF(57=57,IF(T68="","",CR68),"")</f>
        <v/>
      </c>
      <c r="AH68" s="513" t="str">
        <f>IF(57=57,IF(T68="","",CU68),"")</f>
        <v/>
      </c>
      <c r="AI68" s="513" t="str">
        <f>IF(57=57,IF(T68="","",CX68),"")</f>
        <v/>
      </c>
      <c r="AJ68" s="513" t="str">
        <f>IF(57=57,IF(T68="","",DD68),"")</f>
        <v/>
      </c>
      <c r="AK68" s="514" t="str">
        <f>IF(57=57,IF(T68="","",IF(W68="?",""&amp;"Céréales contenant du gluten","")&amp;IF(X68="?",IF(COUNTIF(W68:W68,"~?")&gt;0,", ","")&amp;"Crustacés","")&amp;IF(Y68="?",IF(COUNTIF(W68:X68,"~?")&gt;0,", ","")&amp;"Œufs","")&amp;IF(Z68="?",IF(COUNTIF(W68:Y68,"~?")&gt;0,", ","")&amp;"Poissons","")&amp;IF(AA68="?",IF(COUNTIF(W68:Z68,"~?")&gt;0,", ","")&amp;"Arachides","")&amp;IF(AB68="?",IF(COUNTIF(W68:AA68,"~?")&gt;0,", ","")&amp;"Soja","")&amp;IF(AC68="?",IF(COUNTIF(W68:AB68,"~?")&gt;0,", ","")&amp;"Lait","")&amp;IF(AD68="?",IF(COUNTIF(W68:AC68,"~?")&gt;0,", ","")&amp;"Fruits à coque","")&amp;IF(AE68="?",IF(COUNTIF(W68:AD68,"~?")&gt;0,", ","")&amp;"Céleri","")&amp;IF(AF68="?",IF(COUNTIF(W68:AE68,"~?")&gt;0,", ","")&amp;"Moutarde","")&amp;IF(AG68="?",IF(COUNTIF(W68:AF68,"~?")&gt;0,", ","")&amp;"Sésame","")&amp;IF(AH68="?",IF(COUNTIF(W68:AG68,"~?")&gt;0,", ","")&amp;"Sulfites","")&amp;IF(AI68="?",IF(COUNTIF(W68:AH68,"~?")&gt;0,", ","")&amp;"Lupin","")&amp;IF(AJ68="?",IF(COUNTIF(W68:AI68,"~?")&gt;0,", ","")&amp;"Mollusques","")),"")</f>
        <v/>
      </c>
      <c r="AM68" s="493" t="str">
        <f>IF(57=57,IF(T68="","",T68),"")</f>
        <v>0</v>
      </c>
      <c r="AN68" s="493" t="str">
        <f>IF(57=57,LOWER(CLEAN(SUBSTITUTE(SUBSTITUTE(SUBSTITUTE(SUBSTITUTE(AM68,CHAR(160)," ")," "," "),CHAR(10)," "),CHAR(13)," "))),"")</f>
        <v>0</v>
      </c>
      <c r="AO68" s="493" t="str">
        <f>IF(57=57,SUBSTITUTE(SUBSTITUTE(SUBSTITUTE(SUBSTITUTE(SUBSTITUTE(SUBSTITUTE(SUBSTITUTE(SUBSTITUTE(SUBSTITUTE(SUBSTITUTE(SUBSTITUTE(SUBSTITUTE(AN68,"œ","oe"),"æ","ae"),"à","a"),"á","a"),"â","a"),"ä","a"),"ã","a"),"ç","c"),"è","e"),"é","e"),"ê","e"),"ë","e"),"")</f>
        <v>0</v>
      </c>
      <c r="AP68" s="493" t="str">
        <f>IF(57=57,SUBSTITUTE(SUBSTITUTE(SUBSTITUTE(SUBSTITUTE(SUBSTITUTE(SUBSTITUTE(SUBSTITUTE(SUBSTITUTE(SUBSTITUTE(SUBSTITUTE(SUBSTITUTE(SUBSTITUTE(SUBSTITUTE(SUBSTITUTE(SUBSTITUTE(SUBSTITUTE(AO68,"ì","i"),"í","i"),"î","i"),"ï","i"),"ñ","n"),"ò","o"),"ó","o"),"ô","o"),"ö","o"),"õ","o"),"ù","u"),"ú","u"),"û","u"),"ü","u"),"ý","y"),"ÿ","y"),"")</f>
        <v>0</v>
      </c>
      <c r="AQ68" s="493" t="str">
        <f>IF(57=57,SUBSTITUTE(SUBSTITUTE(SUBSTITUTE(SUBSTITUTE(SUBSTITUTE(SUBSTITUTE(SUBSTITUTE(SUBSTITUTE(SUBSTITUTE(SUBSTITUTE(SUBSTITUTE(SUBSTITUTE(SUBSTITUTE(SUBSTITUTE(AP68,"’"," "),"`"," "),"–"," "),"—"," "),"-"," "),"'"," "),"/"," "),"_"," "),","," "),"."," "),"("," "),")"," "),";"," "),":"," "),"")</f>
        <v>0</v>
      </c>
      <c r="AR68" s="493" t="str">
        <f>IF(57=57,SUBSTITUTE(SUBSTITUTE(SUBSTITUTE(SUBSTITUTE(SUBSTITUTE(SUBSTITUTE(SUBSTITUTE(SUBSTITUTE(SUBSTITUTE(SUBSTITUTE(SUBSTITUTE(SUBSTITUTE(SUBSTITUTE(SUBSTITUTE(SUBSTITUTE(AQ68,"!"," "),"?"," "),"+"," "),"*"," "),"&amp;"," "),"["," "),"]"," "),"{"," "),"}"," "),"%"," "),"="," "),"\"," "),"|"," "),"&lt;"," "),"&gt;"," "),"")</f>
        <v>0</v>
      </c>
      <c r="AS68" s="493" t="str">
        <f>IF(57=57," "&amp;TRIM(SUBSTITUTE(SUBSTITUTE(SUBSTITUTE(SUBSTITUTE(SUBSTITUTE(SUBSTITUTE(AR68,CHAR(34)," "),"  "," "),"  "," "),"  "," "),"  "," "),"  "," "))&amp;" ","")</f>
        <v xml:space="preserve"> 0 </v>
      </c>
      <c r="AT68" s="493" cm="1">
        <f t="array" ref="AT68">IF(57=57,IF(AM68="","",SUMPRODUCT(--ISNUMBER(SEARCH(" "&amp;DJ13:DJ112&amp;" ",AV68)))),"")</f>
        <v>0</v>
      </c>
      <c r="AU68" s="493" cm="1">
        <f t="array" ref="AU68">IF(57=57,IF(AM68="","",SUMPRODUCT(--ISNUMBER(SEARCH(" "&amp;DJ113:DJ162&amp;" ",AV68)))),"")</f>
        <v>0</v>
      </c>
      <c r="AV68" s="493" t="str">
        <f>IF(AM68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68,"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0 </v>
      </c>
      <c r="AW68" s="493" cm="1">
        <f t="array" ref="AW68">IF(AM68="","",SUMPRODUCT(--ISNUMBER(SEARCH(" "&amp;DJ195:DJ216&amp;" ",AV68)))+--ISNUMBER(SEARCH(" "&amp;DJ2465&amp;" ",AV68)))</f>
        <v>0</v>
      </c>
      <c r="AX68" s="493" t="str" cm="1">
        <f t="array" ref="AX68">IF(57=57,IF(AM68="","",IF(SUM(AT68:AU68)+SUMPRODUCT(--ISNUMBER(SEARCH(" "&amp;DJ2429:DJ2431&amp;" ",AV68)))&gt;0,"X",IF(AW68&gt;0,"?",""))),"")</f>
        <v/>
      </c>
      <c r="AY68" s="493" cm="1">
        <f t="array" ref="AY68">IF(57=57,IF(AM68="","",SUMPRODUCT(--ISNUMBER(SEARCH(" "&amp;DJ217:DJ316&amp;" ",AS68)))),"")</f>
        <v>0</v>
      </c>
      <c r="AZ68" s="493" cm="1">
        <f t="array" ref="AZ68">IF(57=57,IF(AM68="","",SUMPRODUCT(--ISNUMBER(SEARCH(" "&amp;DJ317:DJ351&amp;" ",AS68)))),"")</f>
        <v>0</v>
      </c>
      <c r="BA68" s="493" t="str">
        <f>IF(57=57,IF(AM68="","",IF((SUM(AY68:AZ68))-(0)&gt;0,"X",IF((0)-(0)&gt;0,"?",""))),"")</f>
        <v/>
      </c>
      <c r="BB68" s="493" cm="1">
        <f t="array" ref="BB68">IF(57=57,IF(AM68="","",SUMPRODUCT(--ISNUMBER(SEARCH(" "&amp;DJ352:DJ409&amp;" ",AS68)))),"")</f>
        <v>0</v>
      </c>
      <c r="BC68" s="493" cm="1">
        <f t="array" ref="BC68">IF(57=57,IF(AM68="","",SUMPRODUCT(--ISNUMBER(SEARCH(" "&amp;DJ410:DJ437&amp;" ",BD68)))+SUMPRODUCT(--ISNUMBER(SEARCH(" "&amp;DJ2451:DJ2464&amp;" ",BD68)))),"")</f>
        <v>0</v>
      </c>
      <c r="BD68" s="493" t="str">
        <f>IF(57=57,IF(AM68="","",SUBSTITUTE(SUBSTITUTE(SUBSTITUTE(SUBSTITUTE(SUBSTITUTE(SUBSTITUTE(SUBSTITUTE(SUBSTITUTE(SUBSTITUTE(SUBSTITUTE(SUBSTITUTE(SUBSTITUTE(SUBSTITUTE(SUBSTITUTE(AS68," "&amp;DJ2466&amp;" "," ")," "&amp;DJ444&amp;" "," ")," "&amp;DJ442&amp;" "," ")," "&amp;DJ2449&amp;" "," ")," "&amp;DJ2450&amp;" "," ")," "&amp;DJ439&amp;" "," ")," "&amp;DJ443&amp;" "," ")," "&amp;DJ445&amp;" "," ")," "&amp;DJ440&amp;" "," ")," "&amp;DJ438&amp;" "," ")," "&amp;DJ1378&amp;" "," ")," "&amp;DJ446&amp;" "," ")," "&amp;DJ1377&amp;" "," ")," "&amp;DJ441&amp;" "," ")),"")</f>
        <v xml:space="preserve"> 0 </v>
      </c>
      <c r="BE68" s="493" t="str">
        <f>IF(57=57,IF(AM68="","",IF(BB68&gt;0,"X",IF(BC68&gt;0,"?",""))),"")</f>
        <v/>
      </c>
      <c r="BF68" s="493" cm="1">
        <f t="array" ref="BF68">IF(57=57,IF(AM68="","",SUMPRODUCT(--ISNUMBER(SEARCH(" "&amp;DJ447:DJ546&amp;" ",BP68)))),"")</f>
        <v>0</v>
      </c>
      <c r="BG68" s="493" cm="1">
        <f t="array" ref="BG68">IF(57=57,IF(AM68="","",SUMPRODUCT(--ISNUMBER(SEARCH(" "&amp;DJ547:DJ646&amp;" ",BP68)))),"")</f>
        <v>0</v>
      </c>
      <c r="BH68" s="493" cm="1">
        <f t="array" ref="BH68">IF(57=57,IF(AM68="","",SUMPRODUCT(--ISNUMBER(SEARCH(" "&amp;DJ647:DJ746&amp;" ",BP68)))),"")</f>
        <v>0</v>
      </c>
      <c r="BI68" s="493" cm="1">
        <f t="array" ref="BI68">IF(57=57,IF(AM68="","",SUMPRODUCT(--ISNUMBER(SEARCH(" "&amp;DJ747:DJ846&amp;" ",BP68)))),"")</f>
        <v>0</v>
      </c>
      <c r="BJ68" s="493" cm="1">
        <f t="array" ref="BJ68">IF(57=57,IF(AM68="","",SUMPRODUCT(--ISNUMBER(SEARCH(" "&amp;DJ847:DJ946&amp;" ",BP68)))),"")</f>
        <v>0</v>
      </c>
      <c r="BK68" s="493" cm="1">
        <f t="array" ref="BK68">IF(57=57,IF(AM68="","",SUMPRODUCT(--ISNUMBER(SEARCH(" "&amp;DJ947:DJ1046&amp;" ",BP68)))),"")</f>
        <v>0</v>
      </c>
      <c r="BL68" s="493" cm="1">
        <f t="array" ref="BL68">IF(57=57,IF(AM68="","",SUMPRODUCT(--ISNUMBER(SEARCH(" "&amp;DJ1047:DJ1146&amp;" ",BP68)))),"")</f>
        <v>0</v>
      </c>
      <c r="BM68" s="493" cm="1">
        <f t="array" ref="BM68">IF(57=57,IF(AM68="","",SUMPRODUCT(--ISNUMBER(SEARCH(" "&amp;DJ1147:DJ1246&amp;" ",BP68)))),"")</f>
        <v>0</v>
      </c>
      <c r="BN68" s="493" cm="1">
        <f t="array" ref="BN68">IF(57=57,IF(AM68="","",SUMPRODUCT(--ISNUMBER(SEARCH(" "&amp;DJ1247:DJ1346&amp;" ",BP68)))),"")</f>
        <v>0</v>
      </c>
      <c r="BO68" s="493" cm="1">
        <f t="array" ref="BO68">IF(57=57,IF(AM68="","",SUMPRODUCT(--ISNUMBER(SEARCH(" "&amp;DJ1347:DJ1374&amp;" ",BP68)))),"")</f>
        <v>0</v>
      </c>
      <c r="BP68" s="493" t="str">
        <f>IF(57=57,IF(AM68="","",SUBSTITUTE(SUBSTITUTE(SUBSTITUTE(SUBSTITUTE(SUBSTITUTE(SUBSTITUTE(SUBSTITUTE(SUBSTITUTE(SUBSTITUTE(AS68," "&amp;DJ1376&amp;" "," ")," "&amp;DJ1375&amp;" "," ")," "&amp;DJ1381&amp;" "," ")," "&amp;DJ1382&amp;" "," ")," "&amp;DJ1378&amp;" "," ")," "&amp;DJ1380&amp;" "," ")," "&amp;DJ1377&amp;" "," ")," "&amp;DJ1379&amp;" "," ")," "&amp;DJ1383&amp;" "," ")),"")</f>
        <v xml:space="preserve"> 0 </v>
      </c>
      <c r="BQ68" s="493" cm="1">
        <f t="array" ref="BQ68">IF(57=57,IF(AM68="","",SUMPRODUCT(--ISNUMBER(SEARCH(" "&amp;DJ1384:DJ1394&amp;" ",BP68)))),"")</f>
        <v>0</v>
      </c>
      <c r="BR68" s="493" t="str" cm="1">
        <f t="array" ref="BR68">IF(57=57,IF(AM68="","",IF(SUM(BF68:BO68)+SUMPRODUCT(--ISNUMBER(SEARCH(" "&amp;DJ2432:DJ2433&amp;" ",BP68)))&gt;0,"X",IF(BQ68&gt;0,"?",""))),"")</f>
        <v/>
      </c>
      <c r="BS68" s="493" cm="1">
        <f t="array" ref="BS68">IF(57=57,IF(AM68="","",SUMPRODUCT(--ISNUMBER(SEARCH(" "&amp;DJ1395:DJ1415&amp;" ",AS68)))),"")</f>
        <v>0</v>
      </c>
      <c r="BT68" s="493" t="str">
        <f>IF(57=57,IF(AM68="","",IF((BS68)-(0)&gt;0,"X",IF((0)-(0)&gt;0,"?",""))),"")</f>
        <v/>
      </c>
      <c r="BU68" s="493" cm="1">
        <f t="array" ref="BU68">IF(57=57,IF(AM68="","",SUMPRODUCT(--ISNUMBER(SEARCH(" "&amp;DJ1416:DJ1453&amp;" ",BV68)))),"")</f>
        <v>0</v>
      </c>
      <c r="BV68" s="493" t="str">
        <f>IF(57=57,IF(AM68="","",SUBSTITUTE(SUBSTITUTE(AS68," "&amp;DJ1454&amp;" "," ")," "&amp;DJ1455&amp;" "," ")),"")</f>
        <v xml:space="preserve"> 0 </v>
      </c>
      <c r="BW68" s="493" cm="1">
        <f t="array" ref="BW68">IF(57=57,IF(AM68="","",SUMPRODUCT(--ISNUMBER(SEARCH(" "&amp;DJ1456:DJ1466&amp;" ",BV68)))),"")</f>
        <v>0</v>
      </c>
      <c r="BX68" s="493" t="str">
        <f>IF(57=57,IF(AM68="","",IF(BU68&gt;0,"X",IF(BW68&gt;0,"?",""))),"")</f>
        <v/>
      </c>
      <c r="BY68" s="493" cm="1">
        <f t="array" ref="BY68">IF(57=57,IF(AM68="","",SUMPRODUCT(--ISNUMBER(SEARCH(" "&amp;DJ1467:DJ1566&amp;" ",CB68)))),"")</f>
        <v>0</v>
      </c>
      <c r="BZ68" s="493" cm="1">
        <f t="array" ref="BZ68">IF(57=57,IF(AM68="","",SUMPRODUCT(--ISNUMBER(SEARCH(" "&amp;DJ1567:DJ1666&amp;" ",CB68)))),"")</f>
        <v>0</v>
      </c>
      <c r="CA68" s="493" cm="1">
        <f t="array" ref="CA68">IF(57=57,IF(AM68="","",SUMPRODUCT(--ISNUMBER(SEARCH(" "&amp;DJ1667:DJ1750&amp;" ",CB68)))),"")</f>
        <v>0</v>
      </c>
      <c r="CB68" s="493" t="str">
        <f>IF(57=57,IF(AM68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68,"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0 </v>
      </c>
      <c r="CC68" s="493" cm="1">
        <f t="array" ref="CC68">IF(57=57,IF(AM68="","",SUMPRODUCT(--ISNUMBER(SEARCH(" "&amp;DJ1801:DJ1880&amp;" ",CD68)))+SUMPRODUCT(--ISNUMBER(SEARCH(" "&amp;DJ2451:DJ2464&amp;" ",CD68)))),"")</f>
        <v>0</v>
      </c>
      <c r="CD68" s="493" t="str">
        <f>IF(57=57,IF(AM68="","",SUBSTITUTE(SUBSTITUTE(SUBSTITUTE(SUBSTITUTE(SUBSTITUTE(SUBSTITUTE(SUBSTITUTE(SUBSTITUTE(SUBSTITUTE(SUBSTITUTE(SUBSTITUTE(SUBSTITUTE(SUBSTITUTE(CB68," "&amp;DJ1887&amp;" "," ")," "&amp;DJ1885&amp;" "," ")," "&amp;DJ2449&amp;" "," ")," "&amp;DJ2450&amp;" "," ")," "&amp;DJ1882&amp;" "," ")," "&amp;DJ1886&amp;" "," ")," "&amp;DJ1888&amp;" "," ")," "&amp;DJ1883&amp;" "," ")," "&amp;DJ1881&amp;" "," ")," "&amp;DJ1378&amp;" "," ")," "&amp;DJ1889&amp;" "," ")," "&amp;DJ1377&amp;" "," ")," "&amp;DJ1884&amp;" "," ")),"")</f>
        <v xml:space="preserve"> 0 </v>
      </c>
      <c r="CE68" s="493" t="str" cm="1">
        <f t="array" ref="CE68">IF(57=57,IF(AM68="","",IF(SUM(BY68:CA68)+SUMPRODUCT(--ISNUMBER(SEARCH(" "&amp;DJ2434:DJ2435&amp;" ",CB68)))&gt;0,"X",IF(CC68&gt;0,"?",""))),"")</f>
        <v/>
      </c>
      <c r="CF68" s="493" cm="1">
        <f t="array" ref="CF68">IF(57=57,IF(AM68="","",SUMPRODUCT(--ISNUMBER(SEARCH(" "&amp;DJ1890:DJ1947&amp;" ",CG68)))),"")</f>
        <v>0</v>
      </c>
      <c r="CG68" s="493" t="str">
        <f>IF(57=57,IF(AM68="","",SUBSTITUTE(SUBSTITUTE(SUBSTITUTE(SUBSTITUTE(SUBSTITUTE(SUBSTITUTE(SUBSTITUTE(SUBSTITUTE(SUBSTITUTE(SUBSTITUTE(SUBSTITUTE(SUBSTITUTE(SUBSTITUTE(SUBSTITUTE(SUBSTITUTE(SUBSTITUTE(SUBSTITUTE(SUBSTITUTE(SUBSTITUTE(SUBSTITUTE(SUBSTITUTE(SUBSTITUTE(SUBSTITUTE(AS68,"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0 </v>
      </c>
      <c r="CH68" s="493" cm="1">
        <f t="array" ref="CH68">IF(57=57,IF(AM68="","",SUMPRODUCT(--ISNUMBER(SEARCH(" "&amp;DJ1971:DJ1987&amp;" ",CG68)))),"")</f>
        <v>0</v>
      </c>
      <c r="CI68" s="493" t="str">
        <f>IF(57=57,IF(AM68="","",IF(CF68&gt;0,"X",IF(CH68&gt;0,"?",""))),"")</f>
        <v/>
      </c>
      <c r="CJ68" s="493" cm="1">
        <f t="array" ref="CJ68">IF(57=57,IF(AM68="","",SUMPRODUCT(--ISNUMBER(SEARCH(" "&amp;DJ1988:DJ2001&amp;" ",AS68)))),"")</f>
        <v>0</v>
      </c>
      <c r="CK68" s="493" cm="1">
        <f t="array" ref="CK68">IF(57=57,IF(AM68="","",SUMPRODUCT(--ISNUMBER(SEARCH(" "&amp;DJ2002:DJ2016&amp;" ",AS68)))),"")</f>
        <v>0</v>
      </c>
      <c r="CL68" s="493" t="str">
        <f>IF(57=57,IF(AM68="","",IF((CJ68)-(0)&gt;0,"X",IF((CK68)-(0)&gt;0,"?",""))),"")</f>
        <v/>
      </c>
      <c r="CM68" s="493" cm="1">
        <f t="array" ref="CM68">IF(57=57,IF(AM68="","",SUMPRODUCT(--ISNUMBER(SEARCH(" "&amp;DJ2017:DJ2034&amp;" ",AS68)))),"")</f>
        <v>0</v>
      </c>
      <c r="CN68" s="493" cm="1">
        <f t="array" ref="CN68">IF(57=57,IF(AM68="","",SUMPRODUCT(--ISNUMBER(SEARCH(" "&amp;DJ2035:DJ2049&amp;" ",AS68)))),"")</f>
        <v>0</v>
      </c>
      <c r="CO68" s="493" t="str">
        <f>IF(57=57,IF(AM68="","",IF((CM68)-(0)&gt;0,"X",IF((CN68)-(0)&gt;0,"?",""))),"")</f>
        <v/>
      </c>
      <c r="CP68" s="493" cm="1">
        <f t="array" ref="CP68">IF(57=57,IF(AM68="","",SUMPRODUCT(--ISNUMBER(SEARCH(" "&amp;DJ2050:DJ2068&amp;" ",AS68)))),"")</f>
        <v>0</v>
      </c>
      <c r="CQ68" s="493" cm="1">
        <f t="array" ref="CQ68">IF(57=57,IF(AM68="","",SUMPRODUCT(--ISNUMBER(SEARCH(" "&amp;DJ2069:DJ2083&amp;" ",AS68)))),"")</f>
        <v>0</v>
      </c>
      <c r="CR68" s="493" t="str">
        <f>IF(57=57,IF(AM68="","",IF((CP68)-(0)&gt;0,"X",IF((CQ68)-(0)&gt;0,"?",""))),"")</f>
        <v/>
      </c>
      <c r="CS68" s="493" cm="1">
        <f t="array" ref="CS68">IF(57=57,IF(AM68="","",SUMPRODUCT(--ISNUMBER(SEARCH(" "&amp;DJ2084:DJ2104&amp;" ",AS68)))),"")</f>
        <v>0</v>
      </c>
      <c r="CT68" s="493" cm="1">
        <f t="array" ref="CT68">IF(57=57,IF(AM68="","",SUMPRODUCT(--ISNUMBER(SEARCH(" "&amp;DJ2105:DJ2144&amp;" ",SUBSTITUTE(SUBSTITUTE(AS68," "&amp;DJ1378&amp;" "," ")," "&amp;DJ1377&amp;" "," "))))+--ISNUMBER(SEARCH("poiré",AN68))),"")</f>
        <v>0</v>
      </c>
      <c r="CU68" s="493" t="str">
        <f>IF(57=57,IF(AM68="","",IF(OR(CS68&gt;0,ISNUMBER(SEARCH(" vinaigre de vin ",AS68)),ISNUMBER(SEARCH(" vinaigre au vin ",AS68))),"X",IF(CT68&gt;0,"?",""))),"")</f>
        <v/>
      </c>
      <c r="CV68" s="493" cm="1">
        <f t="array" ref="CV68">IF(57=57,IF(AM68="","",SUMPRODUCT(--ISNUMBER(SEARCH(" "&amp;DJ2145:DJ2157&amp;" ",AS68)))),"")</f>
        <v>0</v>
      </c>
      <c r="CW68" s="493" cm="1">
        <f t="array" ref="CW68">IF(57=57,IF(AM68="","",SUMPRODUCT(--ISNUMBER(SEARCH(" "&amp;DJ2158:DJ2163&amp;" ",AS68)))),"")</f>
        <v>0</v>
      </c>
      <c r="CX68" s="493" t="str">
        <f>IF(57=57,IF(AM68="","",IF((CV68)-(0)&gt;0,"X",IF((CW68)-(0)&gt;0,"?",""))),"")</f>
        <v/>
      </c>
      <c r="CY68" s="493" cm="1">
        <f t="array" ref="CY68">IF(57=57,IF(AM68="","",SUMPRODUCT(--ISNUMBER(SEARCH(" "&amp;DJ2164:DJ2263&amp;" ",DB68)))),"")</f>
        <v>0</v>
      </c>
      <c r="CZ68" s="493" cm="1">
        <f t="array" ref="CZ68">IF(57=57,IF(AM68="","",SUMPRODUCT(--ISNUMBER(SEARCH(" "&amp;DJ2264:DJ2363&amp;" ",DB68)))),"")</f>
        <v>0</v>
      </c>
      <c r="DA68" s="493" cm="1">
        <f t="array" ref="DA68">IF(57=57,IF(AM68="","",SUMPRODUCT(--ISNUMBER(SEARCH(" "&amp;DJ2364:DJ2406&amp;" ",DB68)))),"")</f>
        <v>0</v>
      </c>
      <c r="DB68" s="493" t="str">
        <f>IF(57=57,IF(AM68="","",SUBSTITUTE(SUBSTITUTE(SUBSTITUTE(SUBSTITUTE(SUBSTITUTE(SUBSTITUTE(SUBSTITUTE(SUBSTITUTE(SUBSTITUTE(SUBSTITUTE(SUBSTITUTE(SUBSTITUTE(SUBSTITUTE(SUBSTITUTE(SUBSTITUTE(SUBSTITUTE(AS68," "&amp;DJ2412&amp;" "," ")," "&amp;DJ2411&amp;" "," ")," "&amp;DJ2410&amp;" "," ")," "&amp;DJ2417&amp;" "," ")," "&amp;DJ2409&amp;" "," ")," "&amp;DJ2421&amp;" "," ")," "&amp;DJ2408&amp;" "," ")," "&amp;DJ2413&amp;" "," ")," "&amp;DJ2416&amp;" "," ")," "&amp;DJ2407&amp;" "," ")," "&amp;DJ2415&amp;" "," ")," "&amp;DJ2422&amp;" "," ")," "&amp;DJ2419&amp;" "," ")," "&amp;DJ2414&amp;" "," ")," "&amp;DJ2418&amp;" "," ")," "&amp;DJ2420&amp;" "," ")),"")</f>
        <v xml:space="preserve"> 0 </v>
      </c>
      <c r="DC68" s="493" cm="1">
        <f t="array" ref="DC68">IF(57=57,IF(AM68="","",SUMPRODUCT(--ISNUMBER(SEARCH(" "&amp;DJ2423:DJ2427&amp;" ",DB68)))),"")</f>
        <v>0</v>
      </c>
      <c r="DD68" s="493" t="str">
        <f>IF(57=57,IF(AM68="","",IF(SUM(CY68:DA68)&gt;0,"X",IF(DC68&gt;0,"?",""))),"")</f>
        <v/>
      </c>
      <c r="DE68" s="494"/>
      <c r="DF68" s="496" t="s">
        <v>1245</v>
      </c>
      <c r="DG68" s="496" t="s">
        <v>1083</v>
      </c>
      <c r="DH68" s="496" t="s">
        <v>689</v>
      </c>
      <c r="DI68" s="496" t="s">
        <v>1246</v>
      </c>
      <c r="DJ68" s="496" t="s">
        <v>1247</v>
      </c>
      <c r="DK68" s="496" t="s">
        <v>1085</v>
      </c>
      <c r="DL68" s="496" t="s">
        <v>1086</v>
      </c>
      <c r="DM68" s="496" t="s">
        <v>1087</v>
      </c>
      <c r="DN68" s="497" t="s">
        <v>1088</v>
      </c>
      <c r="DP68" s="543">
        <v>1</v>
      </c>
    </row>
    <row r="69" spans="2:120" ht="30" customHeight="1">
      <c r="B69" s="663" t="str">
        <f t="shared" si="0"/>
        <v/>
      </c>
      <c r="C69" s="663" t="str">
        <f t="shared" si="1"/>
        <v/>
      </c>
      <c r="D69" s="663" t="str">
        <f>IF(UPPER(TRIM(N11))="X",C69,B69)</f>
        <v/>
      </c>
      <c r="E69" s="663" cm="1">
        <f t="array" ref="E69">IF(H68&lt;&gt;"",E68,IF(E68="","",IFERROR(MATCH(TRUE(),INDEX(INDEX(K:K,E68+1):K203&lt;&gt;"",0),0)+E68,"")))</f>
        <v>210</v>
      </c>
      <c r="F69" s="663" cm="1">
        <f t="array" ref="F69">IF(E69="","",IF(H68&lt;&gt;"",H68,INDEX(D:D,E69)))</f>
        <v>0</v>
      </c>
      <c r="G69" s="663" t="str">
        <f t="shared" si="2"/>
        <v>0</v>
      </c>
      <c r="H69" s="673" t="str">
        <f t="shared" si="3"/>
        <v/>
      </c>
      <c r="I69" s="680" t="str">
        <f>IF(AND(F69&lt;&gt;"",N10&gt;0,M69&gt;N10),"Mot &gt; limite","")</f>
        <v/>
      </c>
      <c r="J69" s="674" t="str">
        <f>IF(K69="","",COUNTIF(K18:K69,"&lt;&gt;"))</f>
        <v/>
      </c>
      <c r="K69" s="675"/>
      <c r="L69" s="674" t="str">
        <f t="shared" si="4"/>
        <v/>
      </c>
      <c r="M69" s="643">
        <f>IF(OR(F69="",N10="",N10&lt;=0),"",IF(LEN(F69)&lt;=N10,LEN(F69),IFERROR(FIND("♦",SUBSTITUTE(LEFT(F69,N10)," ","♦",LEN(LEFT(F69,N10))-LEN(SUBSTITUTE(LEFT(F69,N10)," ","")))),FIND(" ",F69&amp;" ",N10+1)-1)))</f>
        <v>1</v>
      </c>
      <c r="N69" s="676">
        <f t="shared" si="5"/>
        <v>52</v>
      </c>
      <c r="O69" s="677" t="str">
        <f t="shared" si="6"/>
        <v>0</v>
      </c>
      <c r="P69" s="676">
        <f t="shared" si="7"/>
        <v>1</v>
      </c>
      <c r="Q69" s="676">
        <f t="shared" si="8"/>
        <v>1</v>
      </c>
      <c r="S69" s="509">
        <v>52</v>
      </c>
      <c r="T69" s="678" t="str">
        <f t="shared" si="10"/>
        <v>0</v>
      </c>
      <c r="U69" s="679" t="str">
        <f t="shared" si="11"/>
        <v>0</v>
      </c>
      <c r="V69" s="512" t="str">
        <f>IF(58=58,IF(T69="","",IF(W69="X",""&amp;"Céréales contenant du gluten","")&amp;IF(X69="X",IF(COUNTIF(W69:W69,"X")&gt;0,", ","")&amp;"Crustacés","")&amp;IF(Y69="X",IF(COUNTIF(W69:X69,"X")&gt;0,", ","")&amp;"Œufs","")&amp;IF(Z69="X",IF(COUNTIF(W69:Y69,"X")&gt;0,", ","")&amp;"Poissons","")&amp;IF(AA69="X",IF(COUNTIF(W69:Z69,"X")&gt;0,", ","")&amp;"Arachides","")&amp;IF(AB69="X",IF(COUNTIF(W69:AA69,"X")&gt;0,", ","")&amp;"Soja","")&amp;IF(AC69="X",IF(COUNTIF(W69:AB69,"X")&gt;0,", ","")&amp;"Lait","")&amp;IF(AD69="X",IF(COUNTIF(W69:AC69,"X")&gt;0,", ","")&amp;"Fruits à coque","")&amp;IF(AE69="X",IF(COUNTIF(W69:AD69,"X")&gt;0,", ","")&amp;"Céleri","")&amp;IF(AF69="X",IF(COUNTIF(W69:AE69,"X")&gt;0,", ","")&amp;"Moutarde","")&amp;IF(AG69="X",IF(COUNTIF(W69:AF69,"X")&gt;0,", ","")&amp;"Sésame","")&amp;IF(AH69="X",IF(COUNTIF(W69:AG69,"X")&gt;0,", ","")&amp;"Sulfites","")&amp;IF(AI69="X",IF(COUNTIF(W69:AH69,"X")&gt;0,", ","")&amp;"Lupin","")&amp;IF(AJ69="X",IF(COUNTIF(W69:AI69,"X")&gt;0,", ","")&amp;"Mollusques","")),"")</f>
        <v/>
      </c>
      <c r="W69" s="513" t="str">
        <f>IF(58=58,IF(T69="","",AX69),"")</f>
        <v/>
      </c>
      <c r="X69" s="513" t="str">
        <f>IF(58=58,IF(T69="","",BA69),"")</f>
        <v/>
      </c>
      <c r="Y69" s="513" t="str">
        <f>IF(58=58,IF(T69="","",BE69),"")</f>
        <v/>
      </c>
      <c r="Z69" s="513" t="str">
        <f>IF(58=58,IF(T69="","",IF(ISNUMBER(SEARCH(" colin ",AS69)),"X",BR69)),"")</f>
        <v/>
      </c>
      <c r="AA69" s="513" t="str">
        <f>IF(58=58,IF(T69="","",BT69),"")</f>
        <v/>
      </c>
      <c r="AB69" s="513" t="str">
        <f>IF(58=58,IF(T69="","",BX69),"")</f>
        <v/>
      </c>
      <c r="AC69" s="513" t="str">
        <f>IF(58=58,IF(T69="","",CE69),"")</f>
        <v/>
      </c>
      <c r="AD69" s="513" t="str">
        <f>IF(58=58,IF(T69="","",CI69),"")</f>
        <v/>
      </c>
      <c r="AE69" s="513" t="str">
        <f>IF(58=58,IF(T69="","",CL69),"")</f>
        <v/>
      </c>
      <c r="AF69" s="513" t="str">
        <f>IF(58=58,IF(T69="","",CO69),"")</f>
        <v/>
      </c>
      <c r="AG69" s="513" t="str">
        <f>IF(58=58,IF(T69="","",CR69),"")</f>
        <v/>
      </c>
      <c r="AH69" s="513" t="str">
        <f>IF(58=58,IF(T69="","",CU69),"")</f>
        <v/>
      </c>
      <c r="AI69" s="513" t="str">
        <f>IF(58=58,IF(T69="","",CX69),"")</f>
        <v/>
      </c>
      <c r="AJ69" s="513" t="str">
        <f>IF(58=58,IF(T69="","",DD69),"")</f>
        <v/>
      </c>
      <c r="AK69" s="514" t="str">
        <f>IF(58=58,IF(T69="","",IF(W69="?",""&amp;"Céréales contenant du gluten","")&amp;IF(X69="?",IF(COUNTIF(W69:W69,"~?")&gt;0,", ","")&amp;"Crustacés","")&amp;IF(Y69="?",IF(COUNTIF(W69:X69,"~?")&gt;0,", ","")&amp;"Œufs","")&amp;IF(Z69="?",IF(COUNTIF(W69:Y69,"~?")&gt;0,", ","")&amp;"Poissons","")&amp;IF(AA69="?",IF(COUNTIF(W69:Z69,"~?")&gt;0,", ","")&amp;"Arachides","")&amp;IF(AB69="?",IF(COUNTIF(W69:AA69,"~?")&gt;0,", ","")&amp;"Soja","")&amp;IF(AC69="?",IF(COUNTIF(W69:AB69,"~?")&gt;0,", ","")&amp;"Lait","")&amp;IF(AD69="?",IF(COUNTIF(W69:AC69,"~?")&gt;0,", ","")&amp;"Fruits à coque","")&amp;IF(AE69="?",IF(COUNTIF(W69:AD69,"~?")&gt;0,", ","")&amp;"Céleri","")&amp;IF(AF69="?",IF(COUNTIF(W69:AE69,"~?")&gt;0,", ","")&amp;"Moutarde","")&amp;IF(AG69="?",IF(COUNTIF(W69:AF69,"~?")&gt;0,", ","")&amp;"Sésame","")&amp;IF(AH69="?",IF(COUNTIF(W69:AG69,"~?")&gt;0,", ","")&amp;"Sulfites","")&amp;IF(AI69="?",IF(COUNTIF(W69:AH69,"~?")&gt;0,", ","")&amp;"Lupin","")&amp;IF(AJ69="?",IF(COUNTIF(W69:AI69,"~?")&gt;0,", ","")&amp;"Mollusques","")),"")</f>
        <v/>
      </c>
      <c r="AM69" s="493" t="str">
        <f>IF(58=58,IF(T69="","",T69),"")</f>
        <v>0</v>
      </c>
      <c r="AN69" s="493" t="str">
        <f>IF(58=58,LOWER(CLEAN(SUBSTITUTE(SUBSTITUTE(SUBSTITUTE(SUBSTITUTE(AM69,CHAR(160)," ")," "," "),CHAR(10)," "),CHAR(13)," "))),"")</f>
        <v>0</v>
      </c>
      <c r="AO69" s="493" t="str">
        <f>IF(58=58,SUBSTITUTE(SUBSTITUTE(SUBSTITUTE(SUBSTITUTE(SUBSTITUTE(SUBSTITUTE(SUBSTITUTE(SUBSTITUTE(SUBSTITUTE(SUBSTITUTE(SUBSTITUTE(SUBSTITUTE(AN69,"œ","oe"),"æ","ae"),"à","a"),"á","a"),"â","a"),"ä","a"),"ã","a"),"ç","c"),"è","e"),"é","e"),"ê","e"),"ë","e"),"")</f>
        <v>0</v>
      </c>
      <c r="AP69" s="493" t="str">
        <f>IF(58=58,SUBSTITUTE(SUBSTITUTE(SUBSTITUTE(SUBSTITUTE(SUBSTITUTE(SUBSTITUTE(SUBSTITUTE(SUBSTITUTE(SUBSTITUTE(SUBSTITUTE(SUBSTITUTE(SUBSTITUTE(SUBSTITUTE(SUBSTITUTE(SUBSTITUTE(SUBSTITUTE(AO69,"ì","i"),"í","i"),"î","i"),"ï","i"),"ñ","n"),"ò","o"),"ó","o"),"ô","o"),"ö","o"),"õ","o"),"ù","u"),"ú","u"),"û","u"),"ü","u"),"ý","y"),"ÿ","y"),"")</f>
        <v>0</v>
      </c>
      <c r="AQ69" s="493" t="str">
        <f>IF(58=58,SUBSTITUTE(SUBSTITUTE(SUBSTITUTE(SUBSTITUTE(SUBSTITUTE(SUBSTITUTE(SUBSTITUTE(SUBSTITUTE(SUBSTITUTE(SUBSTITUTE(SUBSTITUTE(SUBSTITUTE(SUBSTITUTE(SUBSTITUTE(AP69,"’"," "),"`"," "),"–"," "),"—"," "),"-"," "),"'"," "),"/"," "),"_"," "),","," "),"."," "),"("," "),")"," "),";"," "),":"," "),"")</f>
        <v>0</v>
      </c>
      <c r="AR69" s="493" t="str">
        <f>IF(58=58,SUBSTITUTE(SUBSTITUTE(SUBSTITUTE(SUBSTITUTE(SUBSTITUTE(SUBSTITUTE(SUBSTITUTE(SUBSTITUTE(SUBSTITUTE(SUBSTITUTE(SUBSTITUTE(SUBSTITUTE(SUBSTITUTE(SUBSTITUTE(SUBSTITUTE(AQ69,"!"," "),"?"," "),"+"," "),"*"," "),"&amp;"," "),"["," "),"]"," "),"{"," "),"}"," "),"%"," "),"="," "),"\"," "),"|"," "),"&lt;"," "),"&gt;"," "),"")</f>
        <v>0</v>
      </c>
      <c r="AS69" s="493" t="str">
        <f>IF(58=58," "&amp;TRIM(SUBSTITUTE(SUBSTITUTE(SUBSTITUTE(SUBSTITUTE(SUBSTITUTE(SUBSTITUTE(AR69,CHAR(34)," "),"  "," "),"  "," "),"  "," "),"  "," "),"  "," "))&amp;" ","")</f>
        <v xml:space="preserve"> 0 </v>
      </c>
      <c r="AT69" s="493" cm="1">
        <f t="array" ref="AT69">IF(58=58,IF(AM69="","",SUMPRODUCT(--ISNUMBER(SEARCH(" "&amp;DJ13:DJ112&amp;" ",AV69)))),"")</f>
        <v>0</v>
      </c>
      <c r="AU69" s="493" cm="1">
        <f t="array" ref="AU69">IF(58=58,IF(AM69="","",SUMPRODUCT(--ISNUMBER(SEARCH(" "&amp;DJ113:DJ162&amp;" ",AV69)))),"")</f>
        <v>0</v>
      </c>
      <c r="AV69" s="493" t="str">
        <f>IF(AM69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69,"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0 </v>
      </c>
      <c r="AW69" s="493" cm="1">
        <f t="array" ref="AW69">IF(AM69="","",SUMPRODUCT(--ISNUMBER(SEARCH(" "&amp;DJ195:DJ216&amp;" ",AV69)))+--ISNUMBER(SEARCH(" "&amp;DJ2465&amp;" ",AV69)))</f>
        <v>0</v>
      </c>
      <c r="AX69" s="493" t="str" cm="1">
        <f t="array" ref="AX69">IF(58=58,IF(AM69="","",IF(SUM(AT69:AU69)+SUMPRODUCT(--ISNUMBER(SEARCH(" "&amp;DJ2429:DJ2431&amp;" ",AV69)))&gt;0,"X",IF(AW69&gt;0,"?",""))),"")</f>
        <v/>
      </c>
      <c r="AY69" s="493" cm="1">
        <f t="array" ref="AY69">IF(58=58,IF(AM69="","",SUMPRODUCT(--ISNUMBER(SEARCH(" "&amp;DJ217:DJ316&amp;" ",AS69)))),"")</f>
        <v>0</v>
      </c>
      <c r="AZ69" s="493" cm="1">
        <f t="array" ref="AZ69">IF(58=58,IF(AM69="","",SUMPRODUCT(--ISNUMBER(SEARCH(" "&amp;DJ317:DJ351&amp;" ",AS69)))),"")</f>
        <v>0</v>
      </c>
      <c r="BA69" s="493" t="str">
        <f>IF(58=58,IF(AM69="","",IF((SUM(AY69:AZ69))-(0)&gt;0,"X",IF((0)-(0)&gt;0,"?",""))),"")</f>
        <v/>
      </c>
      <c r="BB69" s="493" cm="1">
        <f t="array" ref="BB69">IF(58=58,IF(AM69="","",SUMPRODUCT(--ISNUMBER(SEARCH(" "&amp;DJ352:DJ409&amp;" ",AS69)))),"")</f>
        <v>0</v>
      </c>
      <c r="BC69" s="493" cm="1">
        <f t="array" ref="BC69">IF(58=58,IF(AM69="","",SUMPRODUCT(--ISNUMBER(SEARCH(" "&amp;DJ410:DJ437&amp;" ",BD69)))+SUMPRODUCT(--ISNUMBER(SEARCH(" "&amp;DJ2451:DJ2464&amp;" ",BD69)))),"")</f>
        <v>0</v>
      </c>
      <c r="BD69" s="493" t="str">
        <f>IF(58=58,IF(AM69="","",SUBSTITUTE(SUBSTITUTE(SUBSTITUTE(SUBSTITUTE(SUBSTITUTE(SUBSTITUTE(SUBSTITUTE(SUBSTITUTE(SUBSTITUTE(SUBSTITUTE(SUBSTITUTE(SUBSTITUTE(SUBSTITUTE(SUBSTITUTE(AS69," "&amp;DJ2466&amp;" "," ")," "&amp;DJ444&amp;" "," ")," "&amp;DJ442&amp;" "," ")," "&amp;DJ2449&amp;" "," ")," "&amp;DJ2450&amp;" "," ")," "&amp;DJ439&amp;" "," ")," "&amp;DJ443&amp;" "," ")," "&amp;DJ445&amp;" "," ")," "&amp;DJ440&amp;" "," ")," "&amp;DJ438&amp;" "," ")," "&amp;DJ1378&amp;" "," ")," "&amp;DJ446&amp;" "," ")," "&amp;DJ1377&amp;" "," ")," "&amp;DJ441&amp;" "," ")),"")</f>
        <v xml:space="preserve"> 0 </v>
      </c>
      <c r="BE69" s="493" t="str">
        <f>IF(58=58,IF(AM69="","",IF(BB69&gt;0,"X",IF(BC69&gt;0,"?",""))),"")</f>
        <v/>
      </c>
      <c r="BF69" s="493" cm="1">
        <f t="array" ref="BF69">IF(58=58,IF(AM69="","",SUMPRODUCT(--ISNUMBER(SEARCH(" "&amp;DJ447:DJ546&amp;" ",BP69)))),"")</f>
        <v>0</v>
      </c>
      <c r="BG69" s="493" cm="1">
        <f t="array" ref="BG69">IF(58=58,IF(AM69="","",SUMPRODUCT(--ISNUMBER(SEARCH(" "&amp;DJ547:DJ646&amp;" ",BP69)))),"")</f>
        <v>0</v>
      </c>
      <c r="BH69" s="493" cm="1">
        <f t="array" ref="BH69">IF(58=58,IF(AM69="","",SUMPRODUCT(--ISNUMBER(SEARCH(" "&amp;DJ647:DJ746&amp;" ",BP69)))),"")</f>
        <v>0</v>
      </c>
      <c r="BI69" s="493" cm="1">
        <f t="array" ref="BI69">IF(58=58,IF(AM69="","",SUMPRODUCT(--ISNUMBER(SEARCH(" "&amp;DJ747:DJ846&amp;" ",BP69)))),"")</f>
        <v>0</v>
      </c>
      <c r="BJ69" s="493" cm="1">
        <f t="array" ref="BJ69">IF(58=58,IF(AM69="","",SUMPRODUCT(--ISNUMBER(SEARCH(" "&amp;DJ847:DJ946&amp;" ",BP69)))),"")</f>
        <v>0</v>
      </c>
      <c r="BK69" s="493" cm="1">
        <f t="array" ref="BK69">IF(58=58,IF(AM69="","",SUMPRODUCT(--ISNUMBER(SEARCH(" "&amp;DJ947:DJ1046&amp;" ",BP69)))),"")</f>
        <v>0</v>
      </c>
      <c r="BL69" s="493" cm="1">
        <f t="array" ref="BL69">IF(58=58,IF(AM69="","",SUMPRODUCT(--ISNUMBER(SEARCH(" "&amp;DJ1047:DJ1146&amp;" ",BP69)))),"")</f>
        <v>0</v>
      </c>
      <c r="BM69" s="493" cm="1">
        <f t="array" ref="BM69">IF(58=58,IF(AM69="","",SUMPRODUCT(--ISNUMBER(SEARCH(" "&amp;DJ1147:DJ1246&amp;" ",BP69)))),"")</f>
        <v>0</v>
      </c>
      <c r="BN69" s="493" cm="1">
        <f t="array" ref="BN69">IF(58=58,IF(AM69="","",SUMPRODUCT(--ISNUMBER(SEARCH(" "&amp;DJ1247:DJ1346&amp;" ",BP69)))),"")</f>
        <v>0</v>
      </c>
      <c r="BO69" s="493" cm="1">
        <f t="array" ref="BO69">IF(58=58,IF(AM69="","",SUMPRODUCT(--ISNUMBER(SEARCH(" "&amp;DJ1347:DJ1374&amp;" ",BP69)))),"")</f>
        <v>0</v>
      </c>
      <c r="BP69" s="493" t="str">
        <f>IF(58=58,IF(AM69="","",SUBSTITUTE(SUBSTITUTE(SUBSTITUTE(SUBSTITUTE(SUBSTITUTE(SUBSTITUTE(SUBSTITUTE(SUBSTITUTE(SUBSTITUTE(AS69," "&amp;DJ1376&amp;" "," ")," "&amp;DJ1375&amp;" "," ")," "&amp;DJ1381&amp;" "," ")," "&amp;DJ1382&amp;" "," ")," "&amp;DJ1378&amp;" "," ")," "&amp;DJ1380&amp;" "," ")," "&amp;DJ1377&amp;" "," ")," "&amp;DJ1379&amp;" "," ")," "&amp;DJ1383&amp;" "," ")),"")</f>
        <v xml:space="preserve"> 0 </v>
      </c>
      <c r="BQ69" s="493" cm="1">
        <f t="array" ref="BQ69">IF(58=58,IF(AM69="","",SUMPRODUCT(--ISNUMBER(SEARCH(" "&amp;DJ1384:DJ1394&amp;" ",BP69)))),"")</f>
        <v>0</v>
      </c>
      <c r="BR69" s="493" t="str" cm="1">
        <f t="array" ref="BR69">IF(58=58,IF(AM69="","",IF(SUM(BF69:BO69)+SUMPRODUCT(--ISNUMBER(SEARCH(" "&amp;DJ2432:DJ2433&amp;" ",BP69)))&gt;0,"X",IF(BQ69&gt;0,"?",""))),"")</f>
        <v/>
      </c>
      <c r="BS69" s="493" cm="1">
        <f t="array" ref="BS69">IF(58=58,IF(AM69="","",SUMPRODUCT(--ISNUMBER(SEARCH(" "&amp;DJ1395:DJ1415&amp;" ",AS69)))),"")</f>
        <v>0</v>
      </c>
      <c r="BT69" s="493" t="str">
        <f>IF(58=58,IF(AM69="","",IF((BS69)-(0)&gt;0,"X",IF((0)-(0)&gt;0,"?",""))),"")</f>
        <v/>
      </c>
      <c r="BU69" s="493" cm="1">
        <f t="array" ref="BU69">IF(58=58,IF(AM69="","",SUMPRODUCT(--ISNUMBER(SEARCH(" "&amp;DJ1416:DJ1453&amp;" ",BV69)))),"")</f>
        <v>0</v>
      </c>
      <c r="BV69" s="493" t="str">
        <f>IF(58=58,IF(AM69="","",SUBSTITUTE(SUBSTITUTE(AS69," "&amp;DJ1454&amp;" "," ")," "&amp;DJ1455&amp;" "," ")),"")</f>
        <v xml:space="preserve"> 0 </v>
      </c>
      <c r="BW69" s="493" cm="1">
        <f t="array" ref="BW69">IF(58=58,IF(AM69="","",SUMPRODUCT(--ISNUMBER(SEARCH(" "&amp;DJ1456:DJ1466&amp;" ",BV69)))),"")</f>
        <v>0</v>
      </c>
      <c r="BX69" s="493" t="str">
        <f>IF(58=58,IF(AM69="","",IF(BU69&gt;0,"X",IF(BW69&gt;0,"?",""))),"")</f>
        <v/>
      </c>
      <c r="BY69" s="493" cm="1">
        <f t="array" ref="BY69">IF(58=58,IF(AM69="","",SUMPRODUCT(--ISNUMBER(SEARCH(" "&amp;DJ1467:DJ1566&amp;" ",CB69)))),"")</f>
        <v>0</v>
      </c>
      <c r="BZ69" s="493" cm="1">
        <f t="array" ref="BZ69">IF(58=58,IF(AM69="","",SUMPRODUCT(--ISNUMBER(SEARCH(" "&amp;DJ1567:DJ1666&amp;" ",CB69)))),"")</f>
        <v>0</v>
      </c>
      <c r="CA69" s="493" cm="1">
        <f t="array" ref="CA69">IF(58=58,IF(AM69="","",SUMPRODUCT(--ISNUMBER(SEARCH(" "&amp;DJ1667:DJ1750&amp;" ",CB69)))),"")</f>
        <v>0</v>
      </c>
      <c r="CB69" s="493" t="str">
        <f>IF(58=58,IF(AM69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69,"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0 </v>
      </c>
      <c r="CC69" s="493" cm="1">
        <f t="array" ref="CC69">IF(58=58,IF(AM69="","",SUMPRODUCT(--ISNUMBER(SEARCH(" "&amp;DJ1801:DJ1880&amp;" ",CD69)))+SUMPRODUCT(--ISNUMBER(SEARCH(" "&amp;DJ2451:DJ2464&amp;" ",CD69)))),"")</f>
        <v>0</v>
      </c>
      <c r="CD69" s="493" t="str">
        <f>IF(58=58,IF(AM69="","",SUBSTITUTE(SUBSTITUTE(SUBSTITUTE(SUBSTITUTE(SUBSTITUTE(SUBSTITUTE(SUBSTITUTE(SUBSTITUTE(SUBSTITUTE(SUBSTITUTE(SUBSTITUTE(SUBSTITUTE(SUBSTITUTE(CB69," "&amp;DJ1887&amp;" "," ")," "&amp;DJ1885&amp;" "," ")," "&amp;DJ2449&amp;" "," ")," "&amp;DJ2450&amp;" "," ")," "&amp;DJ1882&amp;" "," ")," "&amp;DJ1886&amp;" "," ")," "&amp;DJ1888&amp;" "," ")," "&amp;DJ1883&amp;" "," ")," "&amp;DJ1881&amp;" "," ")," "&amp;DJ1378&amp;" "," ")," "&amp;DJ1889&amp;" "," ")," "&amp;DJ1377&amp;" "," ")," "&amp;DJ1884&amp;" "," ")),"")</f>
        <v xml:space="preserve"> 0 </v>
      </c>
      <c r="CE69" s="493" t="str" cm="1">
        <f t="array" ref="CE69">IF(58=58,IF(AM69="","",IF(SUM(BY69:CA69)+SUMPRODUCT(--ISNUMBER(SEARCH(" "&amp;DJ2434:DJ2435&amp;" ",CB69)))&gt;0,"X",IF(CC69&gt;0,"?",""))),"")</f>
        <v/>
      </c>
      <c r="CF69" s="493" cm="1">
        <f t="array" ref="CF69">IF(58=58,IF(AM69="","",SUMPRODUCT(--ISNUMBER(SEARCH(" "&amp;DJ1890:DJ1947&amp;" ",CG69)))),"")</f>
        <v>0</v>
      </c>
      <c r="CG69" s="493" t="str">
        <f>IF(58=58,IF(AM69="","",SUBSTITUTE(SUBSTITUTE(SUBSTITUTE(SUBSTITUTE(SUBSTITUTE(SUBSTITUTE(SUBSTITUTE(SUBSTITUTE(SUBSTITUTE(SUBSTITUTE(SUBSTITUTE(SUBSTITUTE(SUBSTITUTE(SUBSTITUTE(SUBSTITUTE(SUBSTITUTE(SUBSTITUTE(SUBSTITUTE(SUBSTITUTE(SUBSTITUTE(SUBSTITUTE(SUBSTITUTE(SUBSTITUTE(AS69,"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0 </v>
      </c>
      <c r="CH69" s="493" cm="1">
        <f t="array" ref="CH69">IF(58=58,IF(AM69="","",SUMPRODUCT(--ISNUMBER(SEARCH(" "&amp;DJ1971:DJ1987&amp;" ",CG69)))),"")</f>
        <v>0</v>
      </c>
      <c r="CI69" s="493" t="str">
        <f>IF(58=58,IF(AM69="","",IF(CF69&gt;0,"X",IF(CH69&gt;0,"?",""))),"")</f>
        <v/>
      </c>
      <c r="CJ69" s="493" cm="1">
        <f t="array" ref="CJ69">IF(58=58,IF(AM69="","",SUMPRODUCT(--ISNUMBER(SEARCH(" "&amp;DJ1988:DJ2001&amp;" ",AS69)))),"")</f>
        <v>0</v>
      </c>
      <c r="CK69" s="493" cm="1">
        <f t="array" ref="CK69">IF(58=58,IF(AM69="","",SUMPRODUCT(--ISNUMBER(SEARCH(" "&amp;DJ2002:DJ2016&amp;" ",AS69)))),"")</f>
        <v>0</v>
      </c>
      <c r="CL69" s="493" t="str">
        <f>IF(58=58,IF(AM69="","",IF((CJ69)-(0)&gt;0,"X",IF((CK69)-(0)&gt;0,"?",""))),"")</f>
        <v/>
      </c>
      <c r="CM69" s="493" cm="1">
        <f t="array" ref="CM69">IF(58=58,IF(AM69="","",SUMPRODUCT(--ISNUMBER(SEARCH(" "&amp;DJ2017:DJ2034&amp;" ",AS69)))),"")</f>
        <v>0</v>
      </c>
      <c r="CN69" s="493" cm="1">
        <f t="array" ref="CN69">IF(58=58,IF(AM69="","",SUMPRODUCT(--ISNUMBER(SEARCH(" "&amp;DJ2035:DJ2049&amp;" ",AS69)))),"")</f>
        <v>0</v>
      </c>
      <c r="CO69" s="493" t="str">
        <f>IF(58=58,IF(AM69="","",IF((CM69)-(0)&gt;0,"X",IF((CN69)-(0)&gt;0,"?",""))),"")</f>
        <v/>
      </c>
      <c r="CP69" s="493" cm="1">
        <f t="array" ref="CP69">IF(58=58,IF(AM69="","",SUMPRODUCT(--ISNUMBER(SEARCH(" "&amp;DJ2050:DJ2068&amp;" ",AS69)))),"")</f>
        <v>0</v>
      </c>
      <c r="CQ69" s="493" cm="1">
        <f t="array" ref="CQ69">IF(58=58,IF(AM69="","",SUMPRODUCT(--ISNUMBER(SEARCH(" "&amp;DJ2069:DJ2083&amp;" ",AS69)))),"")</f>
        <v>0</v>
      </c>
      <c r="CR69" s="493" t="str">
        <f>IF(58=58,IF(AM69="","",IF((CP69)-(0)&gt;0,"X",IF((CQ69)-(0)&gt;0,"?",""))),"")</f>
        <v/>
      </c>
      <c r="CS69" s="493" cm="1">
        <f t="array" ref="CS69">IF(58=58,IF(AM69="","",SUMPRODUCT(--ISNUMBER(SEARCH(" "&amp;DJ2084:DJ2104&amp;" ",AS69)))),"")</f>
        <v>0</v>
      </c>
      <c r="CT69" s="493" cm="1">
        <f t="array" ref="CT69">IF(58=58,IF(AM69="","",SUMPRODUCT(--ISNUMBER(SEARCH(" "&amp;DJ2105:DJ2144&amp;" ",SUBSTITUTE(SUBSTITUTE(AS69," "&amp;DJ1378&amp;" "," ")," "&amp;DJ1377&amp;" "," "))))+--ISNUMBER(SEARCH("poiré",AN69))),"")</f>
        <v>0</v>
      </c>
      <c r="CU69" s="493" t="str">
        <f>IF(58=58,IF(AM69="","",IF(OR(CS69&gt;0,ISNUMBER(SEARCH(" vinaigre de vin ",AS69)),ISNUMBER(SEARCH(" vinaigre au vin ",AS69))),"X",IF(CT69&gt;0,"?",""))),"")</f>
        <v/>
      </c>
      <c r="CV69" s="493" cm="1">
        <f t="array" ref="CV69">IF(58=58,IF(AM69="","",SUMPRODUCT(--ISNUMBER(SEARCH(" "&amp;DJ2145:DJ2157&amp;" ",AS69)))),"")</f>
        <v>0</v>
      </c>
      <c r="CW69" s="493" cm="1">
        <f t="array" ref="CW69">IF(58=58,IF(AM69="","",SUMPRODUCT(--ISNUMBER(SEARCH(" "&amp;DJ2158:DJ2163&amp;" ",AS69)))),"")</f>
        <v>0</v>
      </c>
      <c r="CX69" s="493" t="str">
        <f>IF(58=58,IF(AM69="","",IF((CV69)-(0)&gt;0,"X",IF((CW69)-(0)&gt;0,"?",""))),"")</f>
        <v/>
      </c>
      <c r="CY69" s="493" cm="1">
        <f t="array" ref="CY69">IF(58=58,IF(AM69="","",SUMPRODUCT(--ISNUMBER(SEARCH(" "&amp;DJ2164:DJ2263&amp;" ",DB69)))),"")</f>
        <v>0</v>
      </c>
      <c r="CZ69" s="493" cm="1">
        <f t="array" ref="CZ69">IF(58=58,IF(AM69="","",SUMPRODUCT(--ISNUMBER(SEARCH(" "&amp;DJ2264:DJ2363&amp;" ",DB69)))),"")</f>
        <v>0</v>
      </c>
      <c r="DA69" s="493" cm="1">
        <f t="array" ref="DA69">IF(58=58,IF(AM69="","",SUMPRODUCT(--ISNUMBER(SEARCH(" "&amp;DJ2364:DJ2406&amp;" ",DB69)))),"")</f>
        <v>0</v>
      </c>
      <c r="DB69" s="493" t="str">
        <f>IF(58=58,IF(AM69="","",SUBSTITUTE(SUBSTITUTE(SUBSTITUTE(SUBSTITUTE(SUBSTITUTE(SUBSTITUTE(SUBSTITUTE(SUBSTITUTE(SUBSTITUTE(SUBSTITUTE(SUBSTITUTE(SUBSTITUTE(SUBSTITUTE(SUBSTITUTE(SUBSTITUTE(SUBSTITUTE(AS69," "&amp;DJ2412&amp;" "," ")," "&amp;DJ2411&amp;" "," ")," "&amp;DJ2410&amp;" "," ")," "&amp;DJ2417&amp;" "," ")," "&amp;DJ2409&amp;" "," ")," "&amp;DJ2421&amp;" "," ")," "&amp;DJ2408&amp;" "," ")," "&amp;DJ2413&amp;" "," ")," "&amp;DJ2416&amp;" "," ")," "&amp;DJ2407&amp;" "," ")," "&amp;DJ2415&amp;" "," ")," "&amp;DJ2422&amp;" "," ")," "&amp;DJ2419&amp;" "," ")," "&amp;DJ2414&amp;" "," ")," "&amp;DJ2418&amp;" "," ")," "&amp;DJ2420&amp;" "," ")),"")</f>
        <v xml:space="preserve"> 0 </v>
      </c>
      <c r="DC69" s="493" cm="1">
        <f t="array" ref="DC69">IF(58=58,IF(AM69="","",SUMPRODUCT(--ISNUMBER(SEARCH(" "&amp;DJ2423:DJ2427&amp;" ",DB69)))),"")</f>
        <v>0</v>
      </c>
      <c r="DD69" s="493" t="str">
        <f>IF(58=58,IF(AM69="","",IF(SUM(CY69:DA69)&gt;0,"X",IF(DC69&gt;0,"?",""))),"")</f>
        <v/>
      </c>
      <c r="DE69" s="494"/>
      <c r="DF69" s="496" t="s">
        <v>1248</v>
      </c>
      <c r="DG69" s="496" t="s">
        <v>1083</v>
      </c>
      <c r="DH69" s="496" t="s">
        <v>689</v>
      </c>
      <c r="DI69" s="496" t="s">
        <v>1249</v>
      </c>
      <c r="DJ69" s="496" t="s">
        <v>1249</v>
      </c>
      <c r="DK69" s="496" t="s">
        <v>1085</v>
      </c>
      <c r="DL69" s="496" t="s">
        <v>1086</v>
      </c>
      <c r="DM69" s="496" t="s">
        <v>1087</v>
      </c>
      <c r="DN69" s="497" t="s">
        <v>1088</v>
      </c>
      <c r="DP69" s="543">
        <v>1</v>
      </c>
    </row>
    <row r="70" spans="2:120" ht="30" customHeight="1">
      <c r="B70" s="663" t="str">
        <f t="shared" si="0"/>
        <v/>
      </c>
      <c r="C70" s="663" t="str">
        <f t="shared" si="1"/>
        <v/>
      </c>
      <c r="D70" s="663" t="str">
        <f>IF(UPPER(TRIM(N11))="X",C70,B70)</f>
        <v/>
      </c>
      <c r="E70" s="663" cm="1">
        <f t="array" ref="E70">IF(H69&lt;&gt;"",E69,IF(E69="","",IFERROR(MATCH(TRUE(),INDEX(INDEX(K:K,E69+1):K203&lt;&gt;"",0),0)+E69,"")))</f>
        <v>211</v>
      </c>
      <c r="F70" s="663" cm="1">
        <f t="array" ref="F70">IF(E70="","",IF(H69&lt;&gt;"",H69,INDEX(D:D,E70)))</f>
        <v>0</v>
      </c>
      <c r="G70" s="663" t="str">
        <f t="shared" si="2"/>
        <v>0</v>
      </c>
      <c r="H70" s="673" t="str">
        <f t="shared" si="3"/>
        <v/>
      </c>
      <c r="I70" s="680" t="str">
        <f>IF(AND(F70&lt;&gt;"",N10&gt;0,M70&gt;N10),"Mot &gt; limite","")</f>
        <v/>
      </c>
      <c r="J70" s="674" t="str">
        <f>IF(K70="","",COUNTIF(K18:K70,"&lt;&gt;"))</f>
        <v/>
      </c>
      <c r="K70" s="675"/>
      <c r="L70" s="674" t="str">
        <f t="shared" si="4"/>
        <v/>
      </c>
      <c r="M70" s="643">
        <f>IF(OR(F70="",N10="",N10&lt;=0),"",IF(LEN(F70)&lt;=N10,LEN(F70),IFERROR(FIND("♦",SUBSTITUTE(LEFT(F70,N10)," ","♦",LEN(LEFT(F70,N10))-LEN(SUBSTITUTE(LEFT(F70,N10)," ","")))),FIND(" ",F70&amp;" ",N10+1)-1)))</f>
        <v>1</v>
      </c>
      <c r="N70" s="676">
        <f t="shared" si="5"/>
        <v>53</v>
      </c>
      <c r="O70" s="677" t="str">
        <f t="shared" si="6"/>
        <v>0</v>
      </c>
      <c r="P70" s="676">
        <f t="shared" si="7"/>
        <v>1</v>
      </c>
      <c r="Q70" s="676">
        <f t="shared" si="8"/>
        <v>1</v>
      </c>
      <c r="S70" s="509">
        <v>53</v>
      </c>
      <c r="T70" s="678" t="str">
        <f t="shared" si="10"/>
        <v>0</v>
      </c>
      <c r="U70" s="679" t="str">
        <f t="shared" si="11"/>
        <v>0</v>
      </c>
      <c r="V70" s="512" t="str">
        <f>IF(59=59,IF(T70="","",IF(W70="X",""&amp;"Céréales contenant du gluten","")&amp;IF(X70="X",IF(COUNTIF(W70:W70,"X")&gt;0,", ","")&amp;"Crustacés","")&amp;IF(Y70="X",IF(COUNTIF(W70:X70,"X")&gt;0,", ","")&amp;"Œufs","")&amp;IF(Z70="X",IF(COUNTIF(W70:Y70,"X")&gt;0,", ","")&amp;"Poissons","")&amp;IF(AA70="X",IF(COUNTIF(W70:Z70,"X")&gt;0,", ","")&amp;"Arachides","")&amp;IF(AB70="X",IF(COUNTIF(W70:AA70,"X")&gt;0,", ","")&amp;"Soja","")&amp;IF(AC70="X",IF(COUNTIF(W70:AB70,"X")&gt;0,", ","")&amp;"Lait","")&amp;IF(AD70="X",IF(COUNTIF(W70:AC70,"X")&gt;0,", ","")&amp;"Fruits à coque","")&amp;IF(AE70="X",IF(COUNTIF(W70:AD70,"X")&gt;0,", ","")&amp;"Céleri","")&amp;IF(AF70="X",IF(COUNTIF(W70:AE70,"X")&gt;0,", ","")&amp;"Moutarde","")&amp;IF(AG70="X",IF(COUNTIF(W70:AF70,"X")&gt;0,", ","")&amp;"Sésame","")&amp;IF(AH70="X",IF(COUNTIF(W70:AG70,"X")&gt;0,", ","")&amp;"Sulfites","")&amp;IF(AI70="X",IF(COUNTIF(W70:AH70,"X")&gt;0,", ","")&amp;"Lupin","")&amp;IF(AJ70="X",IF(COUNTIF(W70:AI70,"X")&gt;0,", ","")&amp;"Mollusques","")),"")</f>
        <v/>
      </c>
      <c r="W70" s="513" t="str">
        <f>IF(59=59,IF(T70="","",AX70),"")</f>
        <v/>
      </c>
      <c r="X70" s="513" t="str">
        <f>IF(59=59,IF(T70="","",BA70),"")</f>
        <v/>
      </c>
      <c r="Y70" s="513" t="str">
        <f>IF(59=59,IF(T70="","",BE70),"")</f>
        <v/>
      </c>
      <c r="Z70" s="513" t="str">
        <f>IF(59=59,IF(T70="","",IF(ISNUMBER(SEARCH(" colin ",AS70)),"X",BR70)),"")</f>
        <v/>
      </c>
      <c r="AA70" s="513" t="str">
        <f>IF(59=59,IF(T70="","",BT70),"")</f>
        <v/>
      </c>
      <c r="AB70" s="513" t="str">
        <f>IF(59=59,IF(T70="","",BX70),"")</f>
        <v/>
      </c>
      <c r="AC70" s="513" t="str">
        <f>IF(59=59,IF(T70="","",CE70),"")</f>
        <v/>
      </c>
      <c r="AD70" s="513" t="str">
        <f>IF(59=59,IF(T70="","",CI70),"")</f>
        <v/>
      </c>
      <c r="AE70" s="513" t="str">
        <f>IF(59=59,IF(T70="","",CL70),"")</f>
        <v/>
      </c>
      <c r="AF70" s="513" t="str">
        <f>IF(59=59,IF(T70="","",CO70),"")</f>
        <v/>
      </c>
      <c r="AG70" s="513" t="str">
        <f>IF(59=59,IF(T70="","",CR70),"")</f>
        <v/>
      </c>
      <c r="AH70" s="513" t="str">
        <f>IF(59=59,IF(T70="","",CU70),"")</f>
        <v/>
      </c>
      <c r="AI70" s="513" t="str">
        <f>IF(59=59,IF(T70="","",CX70),"")</f>
        <v/>
      </c>
      <c r="AJ70" s="513" t="str">
        <f>IF(59=59,IF(T70="","",DD70),"")</f>
        <v/>
      </c>
      <c r="AK70" s="514" t="str">
        <f>IF(59=59,IF(T70="","",IF(W70="?",""&amp;"Céréales contenant du gluten","")&amp;IF(X70="?",IF(COUNTIF(W70:W70,"~?")&gt;0,", ","")&amp;"Crustacés","")&amp;IF(Y70="?",IF(COUNTIF(W70:X70,"~?")&gt;0,", ","")&amp;"Œufs","")&amp;IF(Z70="?",IF(COUNTIF(W70:Y70,"~?")&gt;0,", ","")&amp;"Poissons","")&amp;IF(AA70="?",IF(COUNTIF(W70:Z70,"~?")&gt;0,", ","")&amp;"Arachides","")&amp;IF(AB70="?",IF(COUNTIF(W70:AA70,"~?")&gt;0,", ","")&amp;"Soja","")&amp;IF(AC70="?",IF(COUNTIF(W70:AB70,"~?")&gt;0,", ","")&amp;"Lait","")&amp;IF(AD70="?",IF(COUNTIF(W70:AC70,"~?")&gt;0,", ","")&amp;"Fruits à coque","")&amp;IF(AE70="?",IF(COUNTIF(W70:AD70,"~?")&gt;0,", ","")&amp;"Céleri","")&amp;IF(AF70="?",IF(COUNTIF(W70:AE70,"~?")&gt;0,", ","")&amp;"Moutarde","")&amp;IF(AG70="?",IF(COUNTIF(W70:AF70,"~?")&gt;0,", ","")&amp;"Sésame","")&amp;IF(AH70="?",IF(COUNTIF(W70:AG70,"~?")&gt;0,", ","")&amp;"Sulfites","")&amp;IF(AI70="?",IF(COUNTIF(W70:AH70,"~?")&gt;0,", ","")&amp;"Lupin","")&amp;IF(AJ70="?",IF(COUNTIF(W70:AI70,"~?")&gt;0,", ","")&amp;"Mollusques","")),"")</f>
        <v/>
      </c>
      <c r="AM70" s="493" t="str">
        <f>IF(59=59,IF(T70="","",T70),"")</f>
        <v>0</v>
      </c>
      <c r="AN70" s="493" t="str">
        <f>IF(59=59,LOWER(CLEAN(SUBSTITUTE(SUBSTITUTE(SUBSTITUTE(SUBSTITUTE(AM70,CHAR(160)," ")," "," "),CHAR(10)," "),CHAR(13)," "))),"")</f>
        <v>0</v>
      </c>
      <c r="AO70" s="493" t="str">
        <f>IF(59=59,SUBSTITUTE(SUBSTITUTE(SUBSTITUTE(SUBSTITUTE(SUBSTITUTE(SUBSTITUTE(SUBSTITUTE(SUBSTITUTE(SUBSTITUTE(SUBSTITUTE(SUBSTITUTE(SUBSTITUTE(AN70,"œ","oe"),"æ","ae"),"à","a"),"á","a"),"â","a"),"ä","a"),"ã","a"),"ç","c"),"è","e"),"é","e"),"ê","e"),"ë","e"),"")</f>
        <v>0</v>
      </c>
      <c r="AP70" s="493" t="str">
        <f>IF(59=59,SUBSTITUTE(SUBSTITUTE(SUBSTITUTE(SUBSTITUTE(SUBSTITUTE(SUBSTITUTE(SUBSTITUTE(SUBSTITUTE(SUBSTITUTE(SUBSTITUTE(SUBSTITUTE(SUBSTITUTE(SUBSTITUTE(SUBSTITUTE(SUBSTITUTE(SUBSTITUTE(AO70,"ì","i"),"í","i"),"î","i"),"ï","i"),"ñ","n"),"ò","o"),"ó","o"),"ô","o"),"ö","o"),"õ","o"),"ù","u"),"ú","u"),"û","u"),"ü","u"),"ý","y"),"ÿ","y"),"")</f>
        <v>0</v>
      </c>
      <c r="AQ70" s="493" t="str">
        <f>IF(59=59,SUBSTITUTE(SUBSTITUTE(SUBSTITUTE(SUBSTITUTE(SUBSTITUTE(SUBSTITUTE(SUBSTITUTE(SUBSTITUTE(SUBSTITUTE(SUBSTITUTE(SUBSTITUTE(SUBSTITUTE(SUBSTITUTE(SUBSTITUTE(AP70,"’"," "),"`"," "),"–"," "),"—"," "),"-"," "),"'"," "),"/"," "),"_"," "),","," "),"."," "),"("," "),")"," "),";"," "),":"," "),"")</f>
        <v>0</v>
      </c>
      <c r="AR70" s="493" t="str">
        <f>IF(59=59,SUBSTITUTE(SUBSTITUTE(SUBSTITUTE(SUBSTITUTE(SUBSTITUTE(SUBSTITUTE(SUBSTITUTE(SUBSTITUTE(SUBSTITUTE(SUBSTITUTE(SUBSTITUTE(SUBSTITUTE(SUBSTITUTE(SUBSTITUTE(SUBSTITUTE(AQ70,"!"," "),"?"," "),"+"," "),"*"," "),"&amp;"," "),"["," "),"]"," "),"{"," "),"}"," "),"%"," "),"="," "),"\"," "),"|"," "),"&lt;"," "),"&gt;"," "),"")</f>
        <v>0</v>
      </c>
      <c r="AS70" s="493" t="str">
        <f>IF(59=59," "&amp;TRIM(SUBSTITUTE(SUBSTITUTE(SUBSTITUTE(SUBSTITUTE(SUBSTITUTE(SUBSTITUTE(AR70,CHAR(34)," "),"  "," "),"  "," "),"  "," "),"  "," "),"  "," "))&amp;" ","")</f>
        <v xml:space="preserve"> 0 </v>
      </c>
      <c r="AT70" s="493" cm="1">
        <f t="array" ref="AT70">IF(59=59,IF(AM70="","",SUMPRODUCT(--ISNUMBER(SEARCH(" "&amp;DJ13:DJ112&amp;" ",AV70)))),"")</f>
        <v>0</v>
      </c>
      <c r="AU70" s="493" cm="1">
        <f t="array" ref="AU70">IF(59=59,IF(AM70="","",SUMPRODUCT(--ISNUMBER(SEARCH(" "&amp;DJ113:DJ162&amp;" ",AV70)))),"")</f>
        <v>0</v>
      </c>
      <c r="AV70" s="493" t="str">
        <f>IF(AM70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70,"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0 </v>
      </c>
      <c r="AW70" s="493" cm="1">
        <f t="array" ref="AW70">IF(AM70="","",SUMPRODUCT(--ISNUMBER(SEARCH(" "&amp;DJ195:DJ216&amp;" ",AV70)))+--ISNUMBER(SEARCH(" "&amp;DJ2465&amp;" ",AV70)))</f>
        <v>0</v>
      </c>
      <c r="AX70" s="493" t="str" cm="1">
        <f t="array" ref="AX70">IF(59=59,IF(AM70="","",IF(SUM(AT70:AU70)+SUMPRODUCT(--ISNUMBER(SEARCH(" "&amp;DJ2429:DJ2431&amp;" ",AV70)))&gt;0,"X",IF(AW70&gt;0,"?",""))),"")</f>
        <v/>
      </c>
      <c r="AY70" s="493" cm="1">
        <f t="array" ref="AY70">IF(59=59,IF(AM70="","",SUMPRODUCT(--ISNUMBER(SEARCH(" "&amp;DJ217:DJ316&amp;" ",AS70)))),"")</f>
        <v>0</v>
      </c>
      <c r="AZ70" s="493" cm="1">
        <f t="array" ref="AZ70">IF(59=59,IF(AM70="","",SUMPRODUCT(--ISNUMBER(SEARCH(" "&amp;DJ317:DJ351&amp;" ",AS70)))),"")</f>
        <v>0</v>
      </c>
      <c r="BA70" s="493" t="str">
        <f>IF(59=59,IF(AM70="","",IF((SUM(AY70:AZ70))-(0)&gt;0,"X",IF((0)-(0)&gt;0,"?",""))),"")</f>
        <v/>
      </c>
      <c r="BB70" s="493" cm="1">
        <f t="array" ref="BB70">IF(59=59,IF(AM70="","",SUMPRODUCT(--ISNUMBER(SEARCH(" "&amp;DJ352:DJ409&amp;" ",AS70)))),"")</f>
        <v>0</v>
      </c>
      <c r="BC70" s="493" cm="1">
        <f t="array" ref="BC70">IF(59=59,IF(AM70="","",SUMPRODUCT(--ISNUMBER(SEARCH(" "&amp;DJ410:DJ437&amp;" ",BD70)))+SUMPRODUCT(--ISNUMBER(SEARCH(" "&amp;DJ2451:DJ2464&amp;" ",BD70)))),"")</f>
        <v>0</v>
      </c>
      <c r="BD70" s="493" t="str">
        <f>IF(59=59,IF(AM70="","",SUBSTITUTE(SUBSTITUTE(SUBSTITUTE(SUBSTITUTE(SUBSTITUTE(SUBSTITUTE(SUBSTITUTE(SUBSTITUTE(SUBSTITUTE(SUBSTITUTE(SUBSTITUTE(SUBSTITUTE(SUBSTITUTE(SUBSTITUTE(AS70," "&amp;DJ2466&amp;" "," ")," "&amp;DJ444&amp;" "," ")," "&amp;DJ442&amp;" "," ")," "&amp;DJ2449&amp;" "," ")," "&amp;DJ2450&amp;" "," ")," "&amp;DJ439&amp;" "," ")," "&amp;DJ443&amp;" "," ")," "&amp;DJ445&amp;" "," ")," "&amp;DJ440&amp;" "," ")," "&amp;DJ438&amp;" "," ")," "&amp;DJ1378&amp;" "," ")," "&amp;DJ446&amp;" "," ")," "&amp;DJ1377&amp;" "," ")," "&amp;DJ441&amp;" "," ")),"")</f>
        <v xml:space="preserve"> 0 </v>
      </c>
      <c r="BE70" s="493" t="str">
        <f>IF(59=59,IF(AM70="","",IF(BB70&gt;0,"X",IF(BC70&gt;0,"?",""))),"")</f>
        <v/>
      </c>
      <c r="BF70" s="493" cm="1">
        <f t="array" ref="BF70">IF(59=59,IF(AM70="","",SUMPRODUCT(--ISNUMBER(SEARCH(" "&amp;DJ447:DJ546&amp;" ",BP70)))),"")</f>
        <v>0</v>
      </c>
      <c r="BG70" s="493" cm="1">
        <f t="array" ref="BG70">IF(59=59,IF(AM70="","",SUMPRODUCT(--ISNUMBER(SEARCH(" "&amp;DJ547:DJ646&amp;" ",BP70)))),"")</f>
        <v>0</v>
      </c>
      <c r="BH70" s="493" cm="1">
        <f t="array" ref="BH70">IF(59=59,IF(AM70="","",SUMPRODUCT(--ISNUMBER(SEARCH(" "&amp;DJ647:DJ746&amp;" ",BP70)))),"")</f>
        <v>0</v>
      </c>
      <c r="BI70" s="493" cm="1">
        <f t="array" ref="BI70">IF(59=59,IF(AM70="","",SUMPRODUCT(--ISNUMBER(SEARCH(" "&amp;DJ747:DJ846&amp;" ",BP70)))),"")</f>
        <v>0</v>
      </c>
      <c r="BJ70" s="493" cm="1">
        <f t="array" ref="BJ70">IF(59=59,IF(AM70="","",SUMPRODUCT(--ISNUMBER(SEARCH(" "&amp;DJ847:DJ946&amp;" ",BP70)))),"")</f>
        <v>0</v>
      </c>
      <c r="BK70" s="493" cm="1">
        <f t="array" ref="BK70">IF(59=59,IF(AM70="","",SUMPRODUCT(--ISNUMBER(SEARCH(" "&amp;DJ947:DJ1046&amp;" ",BP70)))),"")</f>
        <v>0</v>
      </c>
      <c r="BL70" s="493" cm="1">
        <f t="array" ref="BL70">IF(59=59,IF(AM70="","",SUMPRODUCT(--ISNUMBER(SEARCH(" "&amp;DJ1047:DJ1146&amp;" ",BP70)))),"")</f>
        <v>0</v>
      </c>
      <c r="BM70" s="493" cm="1">
        <f t="array" ref="BM70">IF(59=59,IF(AM70="","",SUMPRODUCT(--ISNUMBER(SEARCH(" "&amp;DJ1147:DJ1246&amp;" ",BP70)))),"")</f>
        <v>0</v>
      </c>
      <c r="BN70" s="493" cm="1">
        <f t="array" ref="BN70">IF(59=59,IF(AM70="","",SUMPRODUCT(--ISNUMBER(SEARCH(" "&amp;DJ1247:DJ1346&amp;" ",BP70)))),"")</f>
        <v>0</v>
      </c>
      <c r="BO70" s="493" cm="1">
        <f t="array" ref="BO70">IF(59=59,IF(AM70="","",SUMPRODUCT(--ISNUMBER(SEARCH(" "&amp;DJ1347:DJ1374&amp;" ",BP70)))),"")</f>
        <v>0</v>
      </c>
      <c r="BP70" s="493" t="str">
        <f>IF(59=59,IF(AM70="","",SUBSTITUTE(SUBSTITUTE(SUBSTITUTE(SUBSTITUTE(SUBSTITUTE(SUBSTITUTE(SUBSTITUTE(SUBSTITUTE(SUBSTITUTE(AS70," "&amp;DJ1376&amp;" "," ")," "&amp;DJ1375&amp;" "," ")," "&amp;DJ1381&amp;" "," ")," "&amp;DJ1382&amp;" "," ")," "&amp;DJ1378&amp;" "," ")," "&amp;DJ1380&amp;" "," ")," "&amp;DJ1377&amp;" "," ")," "&amp;DJ1379&amp;" "," ")," "&amp;DJ1383&amp;" "," ")),"")</f>
        <v xml:space="preserve"> 0 </v>
      </c>
      <c r="BQ70" s="493" cm="1">
        <f t="array" ref="BQ70">IF(59=59,IF(AM70="","",SUMPRODUCT(--ISNUMBER(SEARCH(" "&amp;DJ1384:DJ1394&amp;" ",BP70)))),"")</f>
        <v>0</v>
      </c>
      <c r="BR70" s="493" t="str" cm="1">
        <f t="array" ref="BR70">IF(59=59,IF(AM70="","",IF(SUM(BF70:BO70)+SUMPRODUCT(--ISNUMBER(SEARCH(" "&amp;DJ2432:DJ2433&amp;" ",BP70)))&gt;0,"X",IF(BQ70&gt;0,"?",""))),"")</f>
        <v/>
      </c>
      <c r="BS70" s="493" cm="1">
        <f t="array" ref="BS70">IF(59=59,IF(AM70="","",SUMPRODUCT(--ISNUMBER(SEARCH(" "&amp;DJ1395:DJ1415&amp;" ",AS70)))),"")</f>
        <v>0</v>
      </c>
      <c r="BT70" s="493" t="str">
        <f>IF(59=59,IF(AM70="","",IF((BS70)-(0)&gt;0,"X",IF((0)-(0)&gt;0,"?",""))),"")</f>
        <v/>
      </c>
      <c r="BU70" s="493" cm="1">
        <f t="array" ref="BU70">IF(59=59,IF(AM70="","",SUMPRODUCT(--ISNUMBER(SEARCH(" "&amp;DJ1416:DJ1453&amp;" ",BV70)))),"")</f>
        <v>0</v>
      </c>
      <c r="BV70" s="493" t="str">
        <f>IF(59=59,IF(AM70="","",SUBSTITUTE(SUBSTITUTE(AS70," "&amp;DJ1454&amp;" "," ")," "&amp;DJ1455&amp;" "," ")),"")</f>
        <v xml:space="preserve"> 0 </v>
      </c>
      <c r="BW70" s="493" cm="1">
        <f t="array" ref="BW70">IF(59=59,IF(AM70="","",SUMPRODUCT(--ISNUMBER(SEARCH(" "&amp;DJ1456:DJ1466&amp;" ",BV70)))),"")</f>
        <v>0</v>
      </c>
      <c r="BX70" s="493" t="str">
        <f>IF(59=59,IF(AM70="","",IF(BU70&gt;0,"X",IF(BW70&gt;0,"?",""))),"")</f>
        <v/>
      </c>
      <c r="BY70" s="493" cm="1">
        <f t="array" ref="BY70">IF(59=59,IF(AM70="","",SUMPRODUCT(--ISNUMBER(SEARCH(" "&amp;DJ1467:DJ1566&amp;" ",CB70)))),"")</f>
        <v>0</v>
      </c>
      <c r="BZ70" s="493" cm="1">
        <f t="array" ref="BZ70">IF(59=59,IF(AM70="","",SUMPRODUCT(--ISNUMBER(SEARCH(" "&amp;DJ1567:DJ1666&amp;" ",CB70)))),"")</f>
        <v>0</v>
      </c>
      <c r="CA70" s="493" cm="1">
        <f t="array" ref="CA70">IF(59=59,IF(AM70="","",SUMPRODUCT(--ISNUMBER(SEARCH(" "&amp;DJ1667:DJ1750&amp;" ",CB70)))),"")</f>
        <v>0</v>
      </c>
      <c r="CB70" s="493" t="str">
        <f>IF(59=59,IF(AM70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70,"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0 </v>
      </c>
      <c r="CC70" s="493" cm="1">
        <f t="array" ref="CC70">IF(59=59,IF(AM70="","",SUMPRODUCT(--ISNUMBER(SEARCH(" "&amp;DJ1801:DJ1880&amp;" ",CD70)))+SUMPRODUCT(--ISNUMBER(SEARCH(" "&amp;DJ2451:DJ2464&amp;" ",CD70)))),"")</f>
        <v>0</v>
      </c>
      <c r="CD70" s="493" t="str">
        <f>IF(59=59,IF(AM70="","",SUBSTITUTE(SUBSTITUTE(SUBSTITUTE(SUBSTITUTE(SUBSTITUTE(SUBSTITUTE(SUBSTITUTE(SUBSTITUTE(SUBSTITUTE(SUBSTITUTE(SUBSTITUTE(SUBSTITUTE(SUBSTITUTE(CB70," "&amp;DJ1887&amp;" "," ")," "&amp;DJ1885&amp;" "," ")," "&amp;DJ2449&amp;" "," ")," "&amp;DJ2450&amp;" "," ")," "&amp;DJ1882&amp;" "," ")," "&amp;DJ1886&amp;" "," ")," "&amp;DJ1888&amp;" "," ")," "&amp;DJ1883&amp;" "," ")," "&amp;DJ1881&amp;" "," ")," "&amp;DJ1378&amp;" "," ")," "&amp;DJ1889&amp;" "," ")," "&amp;DJ1377&amp;" "," ")," "&amp;DJ1884&amp;" "," ")),"")</f>
        <v xml:space="preserve"> 0 </v>
      </c>
      <c r="CE70" s="493" t="str" cm="1">
        <f t="array" ref="CE70">IF(59=59,IF(AM70="","",IF(SUM(BY70:CA70)+SUMPRODUCT(--ISNUMBER(SEARCH(" "&amp;DJ2434:DJ2435&amp;" ",CB70)))&gt;0,"X",IF(CC70&gt;0,"?",""))),"")</f>
        <v/>
      </c>
      <c r="CF70" s="493" cm="1">
        <f t="array" ref="CF70">IF(59=59,IF(AM70="","",SUMPRODUCT(--ISNUMBER(SEARCH(" "&amp;DJ1890:DJ1947&amp;" ",CG70)))),"")</f>
        <v>0</v>
      </c>
      <c r="CG70" s="493" t="str">
        <f>IF(59=59,IF(AM70="","",SUBSTITUTE(SUBSTITUTE(SUBSTITUTE(SUBSTITUTE(SUBSTITUTE(SUBSTITUTE(SUBSTITUTE(SUBSTITUTE(SUBSTITUTE(SUBSTITUTE(SUBSTITUTE(SUBSTITUTE(SUBSTITUTE(SUBSTITUTE(SUBSTITUTE(SUBSTITUTE(SUBSTITUTE(SUBSTITUTE(SUBSTITUTE(SUBSTITUTE(SUBSTITUTE(SUBSTITUTE(SUBSTITUTE(AS70,"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0 </v>
      </c>
      <c r="CH70" s="493" cm="1">
        <f t="array" ref="CH70">IF(59=59,IF(AM70="","",SUMPRODUCT(--ISNUMBER(SEARCH(" "&amp;DJ1971:DJ1987&amp;" ",CG70)))),"")</f>
        <v>0</v>
      </c>
      <c r="CI70" s="493" t="str">
        <f>IF(59=59,IF(AM70="","",IF(CF70&gt;0,"X",IF(CH70&gt;0,"?",""))),"")</f>
        <v/>
      </c>
      <c r="CJ70" s="493" cm="1">
        <f t="array" ref="CJ70">IF(59=59,IF(AM70="","",SUMPRODUCT(--ISNUMBER(SEARCH(" "&amp;DJ1988:DJ2001&amp;" ",AS70)))),"")</f>
        <v>0</v>
      </c>
      <c r="CK70" s="493" cm="1">
        <f t="array" ref="CK70">IF(59=59,IF(AM70="","",SUMPRODUCT(--ISNUMBER(SEARCH(" "&amp;DJ2002:DJ2016&amp;" ",AS70)))),"")</f>
        <v>0</v>
      </c>
      <c r="CL70" s="493" t="str">
        <f>IF(59=59,IF(AM70="","",IF((CJ70)-(0)&gt;0,"X",IF((CK70)-(0)&gt;0,"?",""))),"")</f>
        <v/>
      </c>
      <c r="CM70" s="493" cm="1">
        <f t="array" ref="CM70">IF(59=59,IF(AM70="","",SUMPRODUCT(--ISNUMBER(SEARCH(" "&amp;DJ2017:DJ2034&amp;" ",AS70)))),"")</f>
        <v>0</v>
      </c>
      <c r="CN70" s="493" cm="1">
        <f t="array" ref="CN70">IF(59=59,IF(AM70="","",SUMPRODUCT(--ISNUMBER(SEARCH(" "&amp;DJ2035:DJ2049&amp;" ",AS70)))),"")</f>
        <v>0</v>
      </c>
      <c r="CO70" s="493" t="str">
        <f>IF(59=59,IF(AM70="","",IF((CM70)-(0)&gt;0,"X",IF((CN70)-(0)&gt;0,"?",""))),"")</f>
        <v/>
      </c>
      <c r="CP70" s="493" cm="1">
        <f t="array" ref="CP70">IF(59=59,IF(AM70="","",SUMPRODUCT(--ISNUMBER(SEARCH(" "&amp;DJ2050:DJ2068&amp;" ",AS70)))),"")</f>
        <v>0</v>
      </c>
      <c r="CQ70" s="493" cm="1">
        <f t="array" ref="CQ70">IF(59=59,IF(AM70="","",SUMPRODUCT(--ISNUMBER(SEARCH(" "&amp;DJ2069:DJ2083&amp;" ",AS70)))),"")</f>
        <v>0</v>
      </c>
      <c r="CR70" s="493" t="str">
        <f>IF(59=59,IF(AM70="","",IF((CP70)-(0)&gt;0,"X",IF((CQ70)-(0)&gt;0,"?",""))),"")</f>
        <v/>
      </c>
      <c r="CS70" s="493" cm="1">
        <f t="array" ref="CS70">IF(59=59,IF(AM70="","",SUMPRODUCT(--ISNUMBER(SEARCH(" "&amp;DJ2084:DJ2104&amp;" ",AS70)))),"")</f>
        <v>0</v>
      </c>
      <c r="CT70" s="493" cm="1">
        <f t="array" ref="CT70">IF(59=59,IF(AM70="","",SUMPRODUCT(--ISNUMBER(SEARCH(" "&amp;DJ2105:DJ2144&amp;" ",SUBSTITUTE(SUBSTITUTE(AS70," "&amp;DJ1378&amp;" "," ")," "&amp;DJ1377&amp;" "," "))))+--ISNUMBER(SEARCH("poiré",AN70))),"")</f>
        <v>0</v>
      </c>
      <c r="CU70" s="493" t="str">
        <f>IF(59=59,IF(AM70="","",IF(OR(CS70&gt;0,ISNUMBER(SEARCH(" vinaigre de vin ",AS70)),ISNUMBER(SEARCH(" vinaigre au vin ",AS70))),"X",IF(CT70&gt;0,"?",""))),"")</f>
        <v/>
      </c>
      <c r="CV70" s="493" cm="1">
        <f t="array" ref="CV70">IF(59=59,IF(AM70="","",SUMPRODUCT(--ISNUMBER(SEARCH(" "&amp;DJ2145:DJ2157&amp;" ",AS70)))),"")</f>
        <v>0</v>
      </c>
      <c r="CW70" s="493" cm="1">
        <f t="array" ref="CW70">IF(59=59,IF(AM70="","",SUMPRODUCT(--ISNUMBER(SEARCH(" "&amp;DJ2158:DJ2163&amp;" ",AS70)))),"")</f>
        <v>0</v>
      </c>
      <c r="CX70" s="493" t="str">
        <f>IF(59=59,IF(AM70="","",IF((CV70)-(0)&gt;0,"X",IF((CW70)-(0)&gt;0,"?",""))),"")</f>
        <v/>
      </c>
      <c r="CY70" s="493" cm="1">
        <f t="array" ref="CY70">IF(59=59,IF(AM70="","",SUMPRODUCT(--ISNUMBER(SEARCH(" "&amp;DJ2164:DJ2263&amp;" ",DB70)))),"")</f>
        <v>0</v>
      </c>
      <c r="CZ70" s="493" cm="1">
        <f t="array" ref="CZ70">IF(59=59,IF(AM70="","",SUMPRODUCT(--ISNUMBER(SEARCH(" "&amp;DJ2264:DJ2363&amp;" ",DB70)))),"")</f>
        <v>0</v>
      </c>
      <c r="DA70" s="493" cm="1">
        <f t="array" ref="DA70">IF(59=59,IF(AM70="","",SUMPRODUCT(--ISNUMBER(SEARCH(" "&amp;DJ2364:DJ2406&amp;" ",DB70)))),"")</f>
        <v>0</v>
      </c>
      <c r="DB70" s="493" t="str">
        <f>IF(59=59,IF(AM70="","",SUBSTITUTE(SUBSTITUTE(SUBSTITUTE(SUBSTITUTE(SUBSTITUTE(SUBSTITUTE(SUBSTITUTE(SUBSTITUTE(SUBSTITUTE(SUBSTITUTE(SUBSTITUTE(SUBSTITUTE(SUBSTITUTE(SUBSTITUTE(SUBSTITUTE(SUBSTITUTE(AS70," "&amp;DJ2412&amp;" "," ")," "&amp;DJ2411&amp;" "," ")," "&amp;DJ2410&amp;" "," ")," "&amp;DJ2417&amp;" "," ")," "&amp;DJ2409&amp;" "," ")," "&amp;DJ2421&amp;" "," ")," "&amp;DJ2408&amp;" "," ")," "&amp;DJ2413&amp;" "," ")," "&amp;DJ2416&amp;" "," ")," "&amp;DJ2407&amp;" "," ")," "&amp;DJ2415&amp;" "," ")," "&amp;DJ2422&amp;" "," ")," "&amp;DJ2419&amp;" "," ")," "&amp;DJ2414&amp;" "," ")," "&amp;DJ2418&amp;" "," ")," "&amp;DJ2420&amp;" "," ")),"")</f>
        <v xml:space="preserve"> 0 </v>
      </c>
      <c r="DC70" s="493" cm="1">
        <f t="array" ref="DC70">IF(59=59,IF(AM70="","",SUMPRODUCT(--ISNUMBER(SEARCH(" "&amp;DJ2423:DJ2427&amp;" ",DB70)))),"")</f>
        <v>0</v>
      </c>
      <c r="DD70" s="493" t="str">
        <f>IF(59=59,IF(AM70="","",IF(SUM(CY70:DA70)&gt;0,"X",IF(DC70&gt;0,"?",""))),"")</f>
        <v/>
      </c>
      <c r="DE70" s="494"/>
      <c r="DF70" s="496" t="s">
        <v>1250</v>
      </c>
      <c r="DG70" s="496" t="s">
        <v>1083</v>
      </c>
      <c r="DH70" s="496" t="s">
        <v>689</v>
      </c>
      <c r="DI70" s="496" t="s">
        <v>1251</v>
      </c>
      <c r="DJ70" s="496" t="s">
        <v>1251</v>
      </c>
      <c r="DK70" s="496" t="s">
        <v>1085</v>
      </c>
      <c r="DL70" s="496" t="s">
        <v>1086</v>
      </c>
      <c r="DM70" s="496" t="s">
        <v>1087</v>
      </c>
      <c r="DN70" s="497" t="s">
        <v>1088</v>
      </c>
      <c r="DP70" s="543">
        <v>1</v>
      </c>
    </row>
    <row r="71" spans="2:120" ht="30" customHeight="1">
      <c r="B71" s="663" t="str">
        <f t="shared" si="0"/>
        <v/>
      </c>
      <c r="C71" s="663" t="str">
        <f t="shared" si="1"/>
        <v/>
      </c>
      <c r="D71" s="663" t="str">
        <f>IF(UPPER(TRIM(N11))="X",C71,B71)</f>
        <v/>
      </c>
      <c r="E71" s="663" cm="1">
        <f t="array" ref="E71">IF(H70&lt;&gt;"",E70,IF(E70="","",IFERROR(MATCH(TRUE(),INDEX(INDEX(K:K,E70+1):K203&lt;&gt;"",0),0)+E70,"")))</f>
        <v>212</v>
      </c>
      <c r="F71" s="663" cm="1">
        <f t="array" ref="F71">IF(E71="","",IF(H70&lt;&gt;"",H70,INDEX(D:D,E71)))</f>
        <v>0</v>
      </c>
      <c r="G71" s="663" t="str">
        <f t="shared" si="2"/>
        <v>0</v>
      </c>
      <c r="H71" s="673" t="str">
        <f t="shared" si="3"/>
        <v/>
      </c>
      <c r="I71" s="680" t="str">
        <f>IF(AND(F71&lt;&gt;"",N10&gt;0,M71&gt;N10),"Mot &gt; limite","")</f>
        <v/>
      </c>
      <c r="J71" s="674" t="str">
        <f>IF(K71="","",COUNTIF(K18:K71,"&lt;&gt;"))</f>
        <v/>
      </c>
      <c r="K71" s="675"/>
      <c r="L71" s="674" t="str">
        <f t="shared" si="4"/>
        <v/>
      </c>
      <c r="M71" s="643">
        <f>IF(OR(F71="",N10="",N10&lt;=0),"",IF(LEN(F71)&lt;=N10,LEN(F71),IFERROR(FIND("♦",SUBSTITUTE(LEFT(F71,N10)," ","♦",LEN(LEFT(F71,N10))-LEN(SUBSTITUTE(LEFT(F71,N10)," ","")))),FIND(" ",F71&amp;" ",N10+1)-1)))</f>
        <v>1</v>
      </c>
      <c r="N71" s="676">
        <f t="shared" si="5"/>
        <v>54</v>
      </c>
      <c r="O71" s="677" t="str">
        <f t="shared" si="6"/>
        <v>0</v>
      </c>
      <c r="P71" s="676">
        <f t="shared" si="7"/>
        <v>1</v>
      </c>
      <c r="Q71" s="676">
        <f t="shared" si="8"/>
        <v>1</v>
      </c>
      <c r="S71" s="509">
        <v>54</v>
      </c>
      <c r="T71" s="678" t="str">
        <f t="shared" si="10"/>
        <v>0</v>
      </c>
      <c r="U71" s="679" t="str">
        <f t="shared" si="11"/>
        <v>0</v>
      </c>
      <c r="V71" s="512" t="str">
        <f>IF(60=60,IF(T71="","",IF(W71="X",""&amp;"Céréales contenant du gluten","")&amp;IF(X71="X",IF(COUNTIF(W71:W71,"X")&gt;0,", ","")&amp;"Crustacés","")&amp;IF(Y71="X",IF(COUNTIF(W71:X71,"X")&gt;0,", ","")&amp;"Œufs","")&amp;IF(Z71="X",IF(COUNTIF(W71:Y71,"X")&gt;0,", ","")&amp;"Poissons","")&amp;IF(AA71="X",IF(COUNTIF(W71:Z71,"X")&gt;0,", ","")&amp;"Arachides","")&amp;IF(AB71="X",IF(COUNTIF(W71:AA71,"X")&gt;0,", ","")&amp;"Soja","")&amp;IF(AC71="X",IF(COUNTIF(W71:AB71,"X")&gt;0,", ","")&amp;"Lait","")&amp;IF(AD71="X",IF(COUNTIF(W71:AC71,"X")&gt;0,", ","")&amp;"Fruits à coque","")&amp;IF(AE71="X",IF(COUNTIF(W71:AD71,"X")&gt;0,", ","")&amp;"Céleri","")&amp;IF(AF71="X",IF(COUNTIF(W71:AE71,"X")&gt;0,", ","")&amp;"Moutarde","")&amp;IF(AG71="X",IF(COUNTIF(W71:AF71,"X")&gt;0,", ","")&amp;"Sésame","")&amp;IF(AH71="X",IF(COUNTIF(W71:AG71,"X")&gt;0,", ","")&amp;"Sulfites","")&amp;IF(AI71="X",IF(COUNTIF(W71:AH71,"X")&gt;0,", ","")&amp;"Lupin","")&amp;IF(AJ71="X",IF(COUNTIF(W71:AI71,"X")&gt;0,", ","")&amp;"Mollusques","")),"")</f>
        <v/>
      </c>
      <c r="W71" s="513" t="str">
        <f>IF(60=60,IF(T71="","",AX71),"")</f>
        <v/>
      </c>
      <c r="X71" s="513" t="str">
        <f>IF(60=60,IF(T71="","",BA71),"")</f>
        <v/>
      </c>
      <c r="Y71" s="513" t="str">
        <f>IF(60=60,IF(T71="","",BE71),"")</f>
        <v/>
      </c>
      <c r="Z71" s="513" t="str">
        <f>IF(60=60,IF(T71="","",IF(ISNUMBER(SEARCH(" colin ",AS71)),"X",BR71)),"")</f>
        <v/>
      </c>
      <c r="AA71" s="513" t="str">
        <f>IF(60=60,IF(T71="","",BT71),"")</f>
        <v/>
      </c>
      <c r="AB71" s="513" t="str">
        <f>IF(60=60,IF(T71="","",BX71),"")</f>
        <v/>
      </c>
      <c r="AC71" s="513" t="str">
        <f>IF(60=60,IF(T71="","",CE71),"")</f>
        <v/>
      </c>
      <c r="AD71" s="513" t="str">
        <f>IF(60=60,IF(T71="","",CI71),"")</f>
        <v/>
      </c>
      <c r="AE71" s="513" t="str">
        <f>IF(60=60,IF(T71="","",CL71),"")</f>
        <v/>
      </c>
      <c r="AF71" s="513" t="str">
        <f>IF(60=60,IF(T71="","",CO71),"")</f>
        <v/>
      </c>
      <c r="AG71" s="513" t="str">
        <f>IF(60=60,IF(T71="","",CR71),"")</f>
        <v/>
      </c>
      <c r="AH71" s="513" t="str">
        <f>IF(60=60,IF(T71="","",CU71),"")</f>
        <v/>
      </c>
      <c r="AI71" s="513" t="str">
        <f>IF(60=60,IF(T71="","",CX71),"")</f>
        <v/>
      </c>
      <c r="AJ71" s="513" t="str">
        <f>IF(60=60,IF(T71="","",DD71),"")</f>
        <v/>
      </c>
      <c r="AK71" s="514" t="str">
        <f>IF(60=60,IF(T71="","",IF(W71="?",""&amp;"Céréales contenant du gluten","")&amp;IF(X71="?",IF(COUNTIF(W71:W71,"~?")&gt;0,", ","")&amp;"Crustacés","")&amp;IF(Y71="?",IF(COUNTIF(W71:X71,"~?")&gt;0,", ","")&amp;"Œufs","")&amp;IF(Z71="?",IF(COUNTIF(W71:Y71,"~?")&gt;0,", ","")&amp;"Poissons","")&amp;IF(AA71="?",IF(COUNTIF(W71:Z71,"~?")&gt;0,", ","")&amp;"Arachides","")&amp;IF(AB71="?",IF(COUNTIF(W71:AA71,"~?")&gt;0,", ","")&amp;"Soja","")&amp;IF(AC71="?",IF(COUNTIF(W71:AB71,"~?")&gt;0,", ","")&amp;"Lait","")&amp;IF(AD71="?",IF(COUNTIF(W71:AC71,"~?")&gt;0,", ","")&amp;"Fruits à coque","")&amp;IF(AE71="?",IF(COUNTIF(W71:AD71,"~?")&gt;0,", ","")&amp;"Céleri","")&amp;IF(AF71="?",IF(COUNTIF(W71:AE71,"~?")&gt;0,", ","")&amp;"Moutarde","")&amp;IF(AG71="?",IF(COUNTIF(W71:AF71,"~?")&gt;0,", ","")&amp;"Sésame","")&amp;IF(AH71="?",IF(COUNTIF(W71:AG71,"~?")&gt;0,", ","")&amp;"Sulfites","")&amp;IF(AI71="?",IF(COUNTIF(W71:AH71,"~?")&gt;0,", ","")&amp;"Lupin","")&amp;IF(AJ71="?",IF(COUNTIF(W71:AI71,"~?")&gt;0,", ","")&amp;"Mollusques","")),"")</f>
        <v/>
      </c>
      <c r="AM71" s="493" t="str">
        <f>IF(60=60,IF(T71="","",T71),"")</f>
        <v>0</v>
      </c>
      <c r="AN71" s="493" t="str">
        <f>IF(60=60,LOWER(CLEAN(SUBSTITUTE(SUBSTITUTE(SUBSTITUTE(SUBSTITUTE(AM71,CHAR(160)," ")," "," "),CHAR(10)," "),CHAR(13)," "))),"")</f>
        <v>0</v>
      </c>
      <c r="AO71" s="493" t="str">
        <f>IF(60=60,SUBSTITUTE(SUBSTITUTE(SUBSTITUTE(SUBSTITUTE(SUBSTITUTE(SUBSTITUTE(SUBSTITUTE(SUBSTITUTE(SUBSTITUTE(SUBSTITUTE(SUBSTITUTE(SUBSTITUTE(AN71,"œ","oe"),"æ","ae"),"à","a"),"á","a"),"â","a"),"ä","a"),"ã","a"),"ç","c"),"è","e"),"é","e"),"ê","e"),"ë","e"),"")</f>
        <v>0</v>
      </c>
      <c r="AP71" s="493" t="str">
        <f>IF(60=60,SUBSTITUTE(SUBSTITUTE(SUBSTITUTE(SUBSTITUTE(SUBSTITUTE(SUBSTITUTE(SUBSTITUTE(SUBSTITUTE(SUBSTITUTE(SUBSTITUTE(SUBSTITUTE(SUBSTITUTE(SUBSTITUTE(SUBSTITUTE(SUBSTITUTE(SUBSTITUTE(AO71,"ì","i"),"í","i"),"î","i"),"ï","i"),"ñ","n"),"ò","o"),"ó","o"),"ô","o"),"ö","o"),"õ","o"),"ù","u"),"ú","u"),"û","u"),"ü","u"),"ý","y"),"ÿ","y"),"")</f>
        <v>0</v>
      </c>
      <c r="AQ71" s="493" t="str">
        <f>IF(60=60,SUBSTITUTE(SUBSTITUTE(SUBSTITUTE(SUBSTITUTE(SUBSTITUTE(SUBSTITUTE(SUBSTITUTE(SUBSTITUTE(SUBSTITUTE(SUBSTITUTE(SUBSTITUTE(SUBSTITUTE(SUBSTITUTE(SUBSTITUTE(AP71,"’"," "),"`"," "),"–"," "),"—"," "),"-"," "),"'"," "),"/"," "),"_"," "),","," "),"."," "),"("," "),")"," "),";"," "),":"," "),"")</f>
        <v>0</v>
      </c>
      <c r="AR71" s="493" t="str">
        <f>IF(60=60,SUBSTITUTE(SUBSTITUTE(SUBSTITUTE(SUBSTITUTE(SUBSTITUTE(SUBSTITUTE(SUBSTITUTE(SUBSTITUTE(SUBSTITUTE(SUBSTITUTE(SUBSTITUTE(SUBSTITUTE(SUBSTITUTE(SUBSTITUTE(SUBSTITUTE(AQ71,"!"," "),"?"," "),"+"," "),"*"," "),"&amp;"," "),"["," "),"]"," "),"{"," "),"}"," "),"%"," "),"="," "),"\"," "),"|"," "),"&lt;"," "),"&gt;"," "),"")</f>
        <v>0</v>
      </c>
      <c r="AS71" s="493" t="str">
        <f>IF(60=60," "&amp;TRIM(SUBSTITUTE(SUBSTITUTE(SUBSTITUTE(SUBSTITUTE(SUBSTITUTE(SUBSTITUTE(AR71,CHAR(34)," "),"  "," "),"  "," "),"  "," "),"  "," "),"  "," "))&amp;" ","")</f>
        <v xml:space="preserve"> 0 </v>
      </c>
      <c r="AT71" s="493" cm="1">
        <f t="array" ref="AT71">IF(60=60,IF(AM71="","",SUMPRODUCT(--ISNUMBER(SEARCH(" "&amp;DJ13:DJ112&amp;" ",AV71)))),"")</f>
        <v>0</v>
      </c>
      <c r="AU71" s="493" cm="1">
        <f t="array" ref="AU71">IF(60=60,IF(AM71="","",SUMPRODUCT(--ISNUMBER(SEARCH(" "&amp;DJ113:DJ162&amp;" ",AV71)))),"")</f>
        <v>0</v>
      </c>
      <c r="AV71" s="493" t="str">
        <f>IF(AM71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71,"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0 </v>
      </c>
      <c r="AW71" s="493" cm="1">
        <f t="array" ref="AW71">IF(AM71="","",SUMPRODUCT(--ISNUMBER(SEARCH(" "&amp;DJ195:DJ216&amp;" ",AV71)))+--ISNUMBER(SEARCH(" "&amp;DJ2465&amp;" ",AV71)))</f>
        <v>0</v>
      </c>
      <c r="AX71" s="493" t="str" cm="1">
        <f t="array" ref="AX71">IF(60=60,IF(AM71="","",IF(SUM(AT71:AU71)+SUMPRODUCT(--ISNUMBER(SEARCH(" "&amp;DJ2429:DJ2431&amp;" ",AV71)))&gt;0,"X",IF(AW71&gt;0,"?",""))),"")</f>
        <v/>
      </c>
      <c r="AY71" s="493" cm="1">
        <f t="array" ref="AY71">IF(60=60,IF(AM71="","",SUMPRODUCT(--ISNUMBER(SEARCH(" "&amp;DJ217:DJ316&amp;" ",AS71)))),"")</f>
        <v>0</v>
      </c>
      <c r="AZ71" s="493" cm="1">
        <f t="array" ref="AZ71">IF(60=60,IF(AM71="","",SUMPRODUCT(--ISNUMBER(SEARCH(" "&amp;DJ317:DJ351&amp;" ",AS71)))),"")</f>
        <v>0</v>
      </c>
      <c r="BA71" s="493" t="str">
        <f>IF(60=60,IF(AM71="","",IF((SUM(AY71:AZ71))-(0)&gt;0,"X",IF((0)-(0)&gt;0,"?",""))),"")</f>
        <v/>
      </c>
      <c r="BB71" s="493" cm="1">
        <f t="array" ref="BB71">IF(60=60,IF(AM71="","",SUMPRODUCT(--ISNUMBER(SEARCH(" "&amp;DJ352:DJ409&amp;" ",AS71)))),"")</f>
        <v>0</v>
      </c>
      <c r="BC71" s="493" cm="1">
        <f t="array" ref="BC71">IF(60=60,IF(AM71="","",SUMPRODUCT(--ISNUMBER(SEARCH(" "&amp;DJ410:DJ437&amp;" ",BD71)))+SUMPRODUCT(--ISNUMBER(SEARCH(" "&amp;DJ2451:DJ2464&amp;" ",BD71)))),"")</f>
        <v>0</v>
      </c>
      <c r="BD71" s="493" t="str">
        <f>IF(60=60,IF(AM71="","",SUBSTITUTE(SUBSTITUTE(SUBSTITUTE(SUBSTITUTE(SUBSTITUTE(SUBSTITUTE(SUBSTITUTE(SUBSTITUTE(SUBSTITUTE(SUBSTITUTE(SUBSTITUTE(SUBSTITUTE(SUBSTITUTE(SUBSTITUTE(AS71," "&amp;DJ2466&amp;" "," ")," "&amp;DJ444&amp;" "," ")," "&amp;DJ442&amp;" "," ")," "&amp;DJ2449&amp;" "," ")," "&amp;DJ2450&amp;" "," ")," "&amp;DJ439&amp;" "," ")," "&amp;DJ443&amp;" "," ")," "&amp;DJ445&amp;" "," ")," "&amp;DJ440&amp;" "," ")," "&amp;DJ438&amp;" "," ")," "&amp;DJ1378&amp;" "," ")," "&amp;DJ446&amp;" "," ")," "&amp;DJ1377&amp;" "," ")," "&amp;DJ441&amp;" "," ")),"")</f>
        <v xml:space="preserve"> 0 </v>
      </c>
      <c r="BE71" s="493" t="str">
        <f>IF(60=60,IF(AM71="","",IF(BB71&gt;0,"X",IF(BC71&gt;0,"?",""))),"")</f>
        <v/>
      </c>
      <c r="BF71" s="493" cm="1">
        <f t="array" ref="BF71">IF(60=60,IF(AM71="","",SUMPRODUCT(--ISNUMBER(SEARCH(" "&amp;DJ447:DJ546&amp;" ",BP71)))),"")</f>
        <v>0</v>
      </c>
      <c r="BG71" s="493" cm="1">
        <f t="array" ref="BG71">IF(60=60,IF(AM71="","",SUMPRODUCT(--ISNUMBER(SEARCH(" "&amp;DJ547:DJ646&amp;" ",BP71)))),"")</f>
        <v>0</v>
      </c>
      <c r="BH71" s="493" cm="1">
        <f t="array" ref="BH71">IF(60=60,IF(AM71="","",SUMPRODUCT(--ISNUMBER(SEARCH(" "&amp;DJ647:DJ746&amp;" ",BP71)))),"")</f>
        <v>0</v>
      </c>
      <c r="BI71" s="493" cm="1">
        <f t="array" ref="BI71">IF(60=60,IF(AM71="","",SUMPRODUCT(--ISNUMBER(SEARCH(" "&amp;DJ747:DJ846&amp;" ",BP71)))),"")</f>
        <v>0</v>
      </c>
      <c r="BJ71" s="493" cm="1">
        <f t="array" ref="BJ71">IF(60=60,IF(AM71="","",SUMPRODUCT(--ISNUMBER(SEARCH(" "&amp;DJ847:DJ946&amp;" ",BP71)))),"")</f>
        <v>0</v>
      </c>
      <c r="BK71" s="493" cm="1">
        <f t="array" ref="BK71">IF(60=60,IF(AM71="","",SUMPRODUCT(--ISNUMBER(SEARCH(" "&amp;DJ947:DJ1046&amp;" ",BP71)))),"")</f>
        <v>0</v>
      </c>
      <c r="BL71" s="493" cm="1">
        <f t="array" ref="BL71">IF(60=60,IF(AM71="","",SUMPRODUCT(--ISNUMBER(SEARCH(" "&amp;DJ1047:DJ1146&amp;" ",BP71)))),"")</f>
        <v>0</v>
      </c>
      <c r="BM71" s="493" cm="1">
        <f t="array" ref="BM71">IF(60=60,IF(AM71="","",SUMPRODUCT(--ISNUMBER(SEARCH(" "&amp;DJ1147:DJ1246&amp;" ",BP71)))),"")</f>
        <v>0</v>
      </c>
      <c r="BN71" s="493" cm="1">
        <f t="array" ref="BN71">IF(60=60,IF(AM71="","",SUMPRODUCT(--ISNUMBER(SEARCH(" "&amp;DJ1247:DJ1346&amp;" ",BP71)))),"")</f>
        <v>0</v>
      </c>
      <c r="BO71" s="493" cm="1">
        <f t="array" ref="BO71">IF(60=60,IF(AM71="","",SUMPRODUCT(--ISNUMBER(SEARCH(" "&amp;DJ1347:DJ1374&amp;" ",BP71)))),"")</f>
        <v>0</v>
      </c>
      <c r="BP71" s="493" t="str">
        <f>IF(60=60,IF(AM71="","",SUBSTITUTE(SUBSTITUTE(SUBSTITUTE(SUBSTITUTE(SUBSTITUTE(SUBSTITUTE(SUBSTITUTE(SUBSTITUTE(SUBSTITUTE(AS71," "&amp;DJ1376&amp;" "," ")," "&amp;DJ1375&amp;" "," ")," "&amp;DJ1381&amp;" "," ")," "&amp;DJ1382&amp;" "," ")," "&amp;DJ1378&amp;" "," ")," "&amp;DJ1380&amp;" "," ")," "&amp;DJ1377&amp;" "," ")," "&amp;DJ1379&amp;" "," ")," "&amp;DJ1383&amp;" "," ")),"")</f>
        <v xml:space="preserve"> 0 </v>
      </c>
      <c r="BQ71" s="493" cm="1">
        <f t="array" ref="BQ71">IF(60=60,IF(AM71="","",SUMPRODUCT(--ISNUMBER(SEARCH(" "&amp;DJ1384:DJ1394&amp;" ",BP71)))),"")</f>
        <v>0</v>
      </c>
      <c r="BR71" s="493" t="str" cm="1">
        <f t="array" ref="BR71">IF(60=60,IF(AM71="","",IF(SUM(BF71:BO71)+SUMPRODUCT(--ISNUMBER(SEARCH(" "&amp;DJ2432:DJ2433&amp;" ",BP71)))&gt;0,"X",IF(BQ71&gt;0,"?",""))),"")</f>
        <v/>
      </c>
      <c r="BS71" s="493" cm="1">
        <f t="array" ref="BS71">IF(60=60,IF(AM71="","",SUMPRODUCT(--ISNUMBER(SEARCH(" "&amp;DJ1395:DJ1415&amp;" ",AS71)))),"")</f>
        <v>0</v>
      </c>
      <c r="BT71" s="493" t="str">
        <f>IF(60=60,IF(AM71="","",IF((BS71)-(0)&gt;0,"X",IF((0)-(0)&gt;0,"?",""))),"")</f>
        <v/>
      </c>
      <c r="BU71" s="493" cm="1">
        <f t="array" ref="BU71">IF(60=60,IF(AM71="","",SUMPRODUCT(--ISNUMBER(SEARCH(" "&amp;DJ1416:DJ1453&amp;" ",BV71)))),"")</f>
        <v>0</v>
      </c>
      <c r="BV71" s="493" t="str">
        <f>IF(60=60,IF(AM71="","",SUBSTITUTE(SUBSTITUTE(AS71," "&amp;DJ1454&amp;" "," ")," "&amp;DJ1455&amp;" "," ")),"")</f>
        <v xml:space="preserve"> 0 </v>
      </c>
      <c r="BW71" s="493" cm="1">
        <f t="array" ref="BW71">IF(60=60,IF(AM71="","",SUMPRODUCT(--ISNUMBER(SEARCH(" "&amp;DJ1456:DJ1466&amp;" ",BV71)))),"")</f>
        <v>0</v>
      </c>
      <c r="BX71" s="493" t="str">
        <f>IF(60=60,IF(AM71="","",IF(BU71&gt;0,"X",IF(BW71&gt;0,"?",""))),"")</f>
        <v/>
      </c>
      <c r="BY71" s="493" cm="1">
        <f t="array" ref="BY71">IF(60=60,IF(AM71="","",SUMPRODUCT(--ISNUMBER(SEARCH(" "&amp;DJ1467:DJ1566&amp;" ",CB71)))),"")</f>
        <v>0</v>
      </c>
      <c r="BZ71" s="493" cm="1">
        <f t="array" ref="BZ71">IF(60=60,IF(AM71="","",SUMPRODUCT(--ISNUMBER(SEARCH(" "&amp;DJ1567:DJ1666&amp;" ",CB71)))),"")</f>
        <v>0</v>
      </c>
      <c r="CA71" s="493" cm="1">
        <f t="array" ref="CA71">IF(60=60,IF(AM71="","",SUMPRODUCT(--ISNUMBER(SEARCH(" "&amp;DJ1667:DJ1750&amp;" ",CB71)))),"")</f>
        <v>0</v>
      </c>
      <c r="CB71" s="493" t="str">
        <f>IF(60=60,IF(AM71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71,"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0 </v>
      </c>
      <c r="CC71" s="493" cm="1">
        <f t="array" ref="CC71">IF(60=60,IF(AM71="","",SUMPRODUCT(--ISNUMBER(SEARCH(" "&amp;DJ1801:DJ1880&amp;" ",CD71)))+SUMPRODUCT(--ISNUMBER(SEARCH(" "&amp;DJ2451:DJ2464&amp;" ",CD71)))),"")</f>
        <v>0</v>
      </c>
      <c r="CD71" s="493" t="str">
        <f>IF(60=60,IF(AM71="","",SUBSTITUTE(SUBSTITUTE(SUBSTITUTE(SUBSTITUTE(SUBSTITUTE(SUBSTITUTE(SUBSTITUTE(SUBSTITUTE(SUBSTITUTE(SUBSTITUTE(SUBSTITUTE(SUBSTITUTE(SUBSTITUTE(CB71," "&amp;DJ1887&amp;" "," ")," "&amp;DJ1885&amp;" "," ")," "&amp;DJ2449&amp;" "," ")," "&amp;DJ2450&amp;" "," ")," "&amp;DJ1882&amp;" "," ")," "&amp;DJ1886&amp;" "," ")," "&amp;DJ1888&amp;" "," ")," "&amp;DJ1883&amp;" "," ")," "&amp;DJ1881&amp;" "," ")," "&amp;DJ1378&amp;" "," ")," "&amp;DJ1889&amp;" "," ")," "&amp;DJ1377&amp;" "," ")," "&amp;DJ1884&amp;" "," ")),"")</f>
        <v xml:space="preserve"> 0 </v>
      </c>
      <c r="CE71" s="493" t="str" cm="1">
        <f t="array" ref="CE71">IF(60=60,IF(AM71="","",IF(SUM(BY71:CA71)+SUMPRODUCT(--ISNUMBER(SEARCH(" "&amp;DJ2434:DJ2435&amp;" ",CB71)))&gt;0,"X",IF(CC71&gt;0,"?",""))),"")</f>
        <v/>
      </c>
      <c r="CF71" s="493" cm="1">
        <f t="array" ref="CF71">IF(60=60,IF(AM71="","",SUMPRODUCT(--ISNUMBER(SEARCH(" "&amp;DJ1890:DJ1947&amp;" ",CG71)))),"")</f>
        <v>0</v>
      </c>
      <c r="CG71" s="493" t="str">
        <f>IF(60=60,IF(AM71="","",SUBSTITUTE(SUBSTITUTE(SUBSTITUTE(SUBSTITUTE(SUBSTITUTE(SUBSTITUTE(SUBSTITUTE(SUBSTITUTE(SUBSTITUTE(SUBSTITUTE(SUBSTITUTE(SUBSTITUTE(SUBSTITUTE(SUBSTITUTE(SUBSTITUTE(SUBSTITUTE(SUBSTITUTE(SUBSTITUTE(SUBSTITUTE(SUBSTITUTE(SUBSTITUTE(SUBSTITUTE(SUBSTITUTE(AS71,"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0 </v>
      </c>
      <c r="CH71" s="493" cm="1">
        <f t="array" ref="CH71">IF(60=60,IF(AM71="","",SUMPRODUCT(--ISNUMBER(SEARCH(" "&amp;DJ1971:DJ1987&amp;" ",CG71)))),"")</f>
        <v>0</v>
      </c>
      <c r="CI71" s="493" t="str">
        <f>IF(60=60,IF(AM71="","",IF(CF71&gt;0,"X",IF(CH71&gt;0,"?",""))),"")</f>
        <v/>
      </c>
      <c r="CJ71" s="493" cm="1">
        <f t="array" ref="CJ71">IF(60=60,IF(AM71="","",SUMPRODUCT(--ISNUMBER(SEARCH(" "&amp;DJ1988:DJ2001&amp;" ",AS71)))),"")</f>
        <v>0</v>
      </c>
      <c r="CK71" s="493" cm="1">
        <f t="array" ref="CK71">IF(60=60,IF(AM71="","",SUMPRODUCT(--ISNUMBER(SEARCH(" "&amp;DJ2002:DJ2016&amp;" ",AS71)))),"")</f>
        <v>0</v>
      </c>
      <c r="CL71" s="493" t="str">
        <f>IF(60=60,IF(AM71="","",IF((CJ71)-(0)&gt;0,"X",IF((CK71)-(0)&gt;0,"?",""))),"")</f>
        <v/>
      </c>
      <c r="CM71" s="493" cm="1">
        <f t="array" ref="CM71">IF(60=60,IF(AM71="","",SUMPRODUCT(--ISNUMBER(SEARCH(" "&amp;DJ2017:DJ2034&amp;" ",AS71)))),"")</f>
        <v>0</v>
      </c>
      <c r="CN71" s="493" cm="1">
        <f t="array" ref="CN71">IF(60=60,IF(AM71="","",SUMPRODUCT(--ISNUMBER(SEARCH(" "&amp;DJ2035:DJ2049&amp;" ",AS71)))),"")</f>
        <v>0</v>
      </c>
      <c r="CO71" s="493" t="str">
        <f>IF(60=60,IF(AM71="","",IF((CM71)-(0)&gt;0,"X",IF((CN71)-(0)&gt;0,"?",""))),"")</f>
        <v/>
      </c>
      <c r="CP71" s="493" cm="1">
        <f t="array" ref="CP71">IF(60=60,IF(AM71="","",SUMPRODUCT(--ISNUMBER(SEARCH(" "&amp;DJ2050:DJ2068&amp;" ",AS71)))),"")</f>
        <v>0</v>
      </c>
      <c r="CQ71" s="493" cm="1">
        <f t="array" ref="CQ71">IF(60=60,IF(AM71="","",SUMPRODUCT(--ISNUMBER(SEARCH(" "&amp;DJ2069:DJ2083&amp;" ",AS71)))),"")</f>
        <v>0</v>
      </c>
      <c r="CR71" s="493" t="str">
        <f>IF(60=60,IF(AM71="","",IF((CP71)-(0)&gt;0,"X",IF((CQ71)-(0)&gt;0,"?",""))),"")</f>
        <v/>
      </c>
      <c r="CS71" s="493" cm="1">
        <f t="array" ref="CS71">IF(60=60,IF(AM71="","",SUMPRODUCT(--ISNUMBER(SEARCH(" "&amp;DJ2084:DJ2104&amp;" ",AS71)))),"")</f>
        <v>0</v>
      </c>
      <c r="CT71" s="493" cm="1">
        <f t="array" ref="CT71">IF(60=60,IF(AM71="","",SUMPRODUCT(--ISNUMBER(SEARCH(" "&amp;DJ2105:DJ2144&amp;" ",SUBSTITUTE(SUBSTITUTE(AS71," "&amp;DJ1378&amp;" "," ")," "&amp;DJ1377&amp;" "," "))))+--ISNUMBER(SEARCH("poiré",AN71))),"")</f>
        <v>0</v>
      </c>
      <c r="CU71" s="493" t="str">
        <f>IF(60=60,IF(AM71="","",IF(OR(CS71&gt;0,ISNUMBER(SEARCH(" vinaigre de vin ",AS71)),ISNUMBER(SEARCH(" vinaigre au vin ",AS71))),"X",IF(CT71&gt;0,"?",""))),"")</f>
        <v/>
      </c>
      <c r="CV71" s="493" cm="1">
        <f t="array" ref="CV71">IF(60=60,IF(AM71="","",SUMPRODUCT(--ISNUMBER(SEARCH(" "&amp;DJ2145:DJ2157&amp;" ",AS71)))),"")</f>
        <v>0</v>
      </c>
      <c r="CW71" s="493" cm="1">
        <f t="array" ref="CW71">IF(60=60,IF(AM71="","",SUMPRODUCT(--ISNUMBER(SEARCH(" "&amp;DJ2158:DJ2163&amp;" ",AS71)))),"")</f>
        <v>0</v>
      </c>
      <c r="CX71" s="493" t="str">
        <f>IF(60=60,IF(AM71="","",IF((CV71)-(0)&gt;0,"X",IF((CW71)-(0)&gt;0,"?",""))),"")</f>
        <v/>
      </c>
      <c r="CY71" s="493" cm="1">
        <f t="array" ref="CY71">IF(60=60,IF(AM71="","",SUMPRODUCT(--ISNUMBER(SEARCH(" "&amp;DJ2164:DJ2263&amp;" ",DB71)))),"")</f>
        <v>0</v>
      </c>
      <c r="CZ71" s="493" cm="1">
        <f t="array" ref="CZ71">IF(60=60,IF(AM71="","",SUMPRODUCT(--ISNUMBER(SEARCH(" "&amp;DJ2264:DJ2363&amp;" ",DB71)))),"")</f>
        <v>0</v>
      </c>
      <c r="DA71" s="493" cm="1">
        <f t="array" ref="DA71">IF(60=60,IF(AM71="","",SUMPRODUCT(--ISNUMBER(SEARCH(" "&amp;DJ2364:DJ2406&amp;" ",DB71)))),"")</f>
        <v>0</v>
      </c>
      <c r="DB71" s="493" t="str">
        <f>IF(60=60,IF(AM71="","",SUBSTITUTE(SUBSTITUTE(SUBSTITUTE(SUBSTITUTE(SUBSTITUTE(SUBSTITUTE(SUBSTITUTE(SUBSTITUTE(SUBSTITUTE(SUBSTITUTE(SUBSTITUTE(SUBSTITUTE(SUBSTITUTE(SUBSTITUTE(SUBSTITUTE(SUBSTITUTE(AS71," "&amp;DJ2412&amp;" "," ")," "&amp;DJ2411&amp;" "," ")," "&amp;DJ2410&amp;" "," ")," "&amp;DJ2417&amp;" "," ")," "&amp;DJ2409&amp;" "," ")," "&amp;DJ2421&amp;" "," ")," "&amp;DJ2408&amp;" "," ")," "&amp;DJ2413&amp;" "," ")," "&amp;DJ2416&amp;" "," ")," "&amp;DJ2407&amp;" "," ")," "&amp;DJ2415&amp;" "," ")," "&amp;DJ2422&amp;" "," ")," "&amp;DJ2419&amp;" "," ")," "&amp;DJ2414&amp;" "," ")," "&amp;DJ2418&amp;" "," ")," "&amp;DJ2420&amp;" "," ")),"")</f>
        <v xml:space="preserve"> 0 </v>
      </c>
      <c r="DC71" s="493" cm="1">
        <f t="array" ref="DC71">IF(60=60,IF(AM71="","",SUMPRODUCT(--ISNUMBER(SEARCH(" "&amp;DJ2423:DJ2427&amp;" ",DB71)))),"")</f>
        <v>0</v>
      </c>
      <c r="DD71" s="493" t="str">
        <f>IF(60=60,IF(AM71="","",IF(SUM(CY71:DA71)&gt;0,"X",IF(DC71&gt;0,"?",""))),"")</f>
        <v/>
      </c>
      <c r="DE71" s="494"/>
      <c r="DF71" s="496" t="s">
        <v>1252</v>
      </c>
      <c r="DG71" s="496" t="s">
        <v>1083</v>
      </c>
      <c r="DH71" s="496" t="s">
        <v>689</v>
      </c>
      <c r="DI71" s="496" t="s">
        <v>876</v>
      </c>
      <c r="DJ71" s="496" t="s">
        <v>876</v>
      </c>
      <c r="DK71" s="496" t="s">
        <v>1085</v>
      </c>
      <c r="DL71" s="496" t="s">
        <v>1086</v>
      </c>
      <c r="DM71" s="496" t="s">
        <v>1087</v>
      </c>
      <c r="DN71" s="497" t="s">
        <v>1088</v>
      </c>
      <c r="DP71" s="543">
        <v>1</v>
      </c>
    </row>
    <row r="72" spans="2:120" ht="30" customHeight="1">
      <c r="B72" s="663" t="str">
        <f t="shared" si="0"/>
        <v/>
      </c>
      <c r="C72" s="663" t="str">
        <f t="shared" si="1"/>
        <v/>
      </c>
      <c r="D72" s="663" t="str">
        <f>IF(UPPER(TRIM(N11))="X",C72,B72)</f>
        <v/>
      </c>
      <c r="E72" s="663" cm="1">
        <f t="array" ref="E72">IF(H71&lt;&gt;"",E71,IF(E71="","",IFERROR(MATCH(TRUE(),INDEX(INDEX(K:K,E71+1):K203&lt;&gt;"",0),0)+E71,"")))</f>
        <v>213</v>
      </c>
      <c r="F72" s="663" cm="1">
        <f t="array" ref="F72">IF(E72="","",IF(H71&lt;&gt;"",H71,INDEX(D:D,E72)))</f>
        <v>0</v>
      </c>
      <c r="G72" s="663" t="str">
        <f t="shared" si="2"/>
        <v>0</v>
      </c>
      <c r="H72" s="673" t="str">
        <f t="shared" si="3"/>
        <v/>
      </c>
      <c r="I72" s="680" t="str">
        <f>IF(AND(F72&lt;&gt;"",N10&gt;0,M72&gt;N10),"Mot &gt; limite","")</f>
        <v/>
      </c>
      <c r="J72" s="674" t="str">
        <f>IF(K72="","",COUNTIF(K18:K72,"&lt;&gt;"))</f>
        <v/>
      </c>
      <c r="K72" s="675"/>
      <c r="L72" s="674" t="str">
        <f t="shared" si="4"/>
        <v/>
      </c>
      <c r="M72" s="643">
        <f>IF(OR(F72="",N10="",N10&lt;=0),"",IF(LEN(F72)&lt;=N10,LEN(F72),IFERROR(FIND("♦",SUBSTITUTE(LEFT(F72,N10)," ","♦",LEN(LEFT(F72,N10))-LEN(SUBSTITUTE(LEFT(F72,N10)," ","")))),FIND(" ",F72&amp;" ",N10+1)-1)))</f>
        <v>1</v>
      </c>
      <c r="N72" s="676">
        <f t="shared" si="5"/>
        <v>55</v>
      </c>
      <c r="O72" s="677" t="str">
        <f t="shared" si="6"/>
        <v>0</v>
      </c>
      <c r="P72" s="676">
        <f t="shared" si="7"/>
        <v>1</v>
      </c>
      <c r="Q72" s="676">
        <f t="shared" si="8"/>
        <v>1</v>
      </c>
      <c r="S72" s="509">
        <v>55</v>
      </c>
      <c r="T72" s="678" t="str">
        <f t="shared" si="10"/>
        <v>0</v>
      </c>
      <c r="U72" s="679" t="str">
        <f t="shared" si="11"/>
        <v>0</v>
      </c>
      <c r="V72" s="512" t="str">
        <f>IF(61=61,IF(T72="","",IF(W72="X",""&amp;"Céréales contenant du gluten","")&amp;IF(X72="X",IF(COUNTIF(W72:W72,"X")&gt;0,", ","")&amp;"Crustacés","")&amp;IF(Y72="X",IF(COUNTIF(W72:X72,"X")&gt;0,", ","")&amp;"Œufs","")&amp;IF(Z72="X",IF(COUNTIF(W72:Y72,"X")&gt;0,", ","")&amp;"Poissons","")&amp;IF(AA72="X",IF(COUNTIF(W72:Z72,"X")&gt;0,", ","")&amp;"Arachides","")&amp;IF(AB72="X",IF(COUNTIF(W72:AA72,"X")&gt;0,", ","")&amp;"Soja","")&amp;IF(AC72="X",IF(COUNTIF(W72:AB72,"X")&gt;0,", ","")&amp;"Lait","")&amp;IF(AD72="X",IF(COUNTIF(W72:AC72,"X")&gt;0,", ","")&amp;"Fruits à coque","")&amp;IF(AE72="X",IF(COUNTIF(W72:AD72,"X")&gt;0,", ","")&amp;"Céleri","")&amp;IF(AF72="X",IF(COUNTIF(W72:AE72,"X")&gt;0,", ","")&amp;"Moutarde","")&amp;IF(AG72="X",IF(COUNTIF(W72:AF72,"X")&gt;0,", ","")&amp;"Sésame","")&amp;IF(AH72="X",IF(COUNTIF(W72:AG72,"X")&gt;0,", ","")&amp;"Sulfites","")&amp;IF(AI72="X",IF(COUNTIF(W72:AH72,"X")&gt;0,", ","")&amp;"Lupin","")&amp;IF(AJ72="X",IF(COUNTIF(W72:AI72,"X")&gt;0,", ","")&amp;"Mollusques","")),"")</f>
        <v/>
      </c>
      <c r="W72" s="513" t="str">
        <f>IF(61=61,IF(T72="","",AX72),"")</f>
        <v/>
      </c>
      <c r="X72" s="513" t="str">
        <f>IF(61=61,IF(T72="","",BA72),"")</f>
        <v/>
      </c>
      <c r="Y72" s="513" t="str">
        <f>IF(61=61,IF(T72="","",BE72),"")</f>
        <v/>
      </c>
      <c r="Z72" s="513" t="str">
        <f>IF(61=61,IF(T72="","",IF(ISNUMBER(SEARCH(" colin ",AS72)),"X",BR72)),"")</f>
        <v/>
      </c>
      <c r="AA72" s="513" t="str">
        <f>IF(61=61,IF(T72="","",BT72),"")</f>
        <v/>
      </c>
      <c r="AB72" s="513" t="str">
        <f>IF(61=61,IF(T72="","",BX72),"")</f>
        <v/>
      </c>
      <c r="AC72" s="513" t="str">
        <f>IF(61=61,IF(T72="","",CE72),"")</f>
        <v/>
      </c>
      <c r="AD72" s="513" t="str">
        <f>IF(61=61,IF(T72="","",CI72),"")</f>
        <v/>
      </c>
      <c r="AE72" s="513" t="str">
        <f>IF(61=61,IF(T72="","",CL72),"")</f>
        <v/>
      </c>
      <c r="AF72" s="513" t="str">
        <f>IF(61=61,IF(T72="","",CO72),"")</f>
        <v/>
      </c>
      <c r="AG72" s="513" t="str">
        <f>IF(61=61,IF(T72="","",CR72),"")</f>
        <v/>
      </c>
      <c r="AH72" s="513" t="str">
        <f>IF(61=61,IF(T72="","",CU72),"")</f>
        <v/>
      </c>
      <c r="AI72" s="513" t="str">
        <f>IF(61=61,IF(T72="","",CX72),"")</f>
        <v/>
      </c>
      <c r="AJ72" s="513" t="str">
        <f>IF(61=61,IF(T72="","",DD72),"")</f>
        <v/>
      </c>
      <c r="AK72" s="514" t="str">
        <f>IF(61=61,IF(T72="","",IF(W72="?",""&amp;"Céréales contenant du gluten","")&amp;IF(X72="?",IF(COUNTIF(W72:W72,"~?")&gt;0,", ","")&amp;"Crustacés","")&amp;IF(Y72="?",IF(COUNTIF(W72:X72,"~?")&gt;0,", ","")&amp;"Œufs","")&amp;IF(Z72="?",IF(COUNTIF(W72:Y72,"~?")&gt;0,", ","")&amp;"Poissons","")&amp;IF(AA72="?",IF(COUNTIF(W72:Z72,"~?")&gt;0,", ","")&amp;"Arachides","")&amp;IF(AB72="?",IF(COUNTIF(W72:AA72,"~?")&gt;0,", ","")&amp;"Soja","")&amp;IF(AC72="?",IF(COUNTIF(W72:AB72,"~?")&gt;0,", ","")&amp;"Lait","")&amp;IF(AD72="?",IF(COUNTIF(W72:AC72,"~?")&gt;0,", ","")&amp;"Fruits à coque","")&amp;IF(AE72="?",IF(COUNTIF(W72:AD72,"~?")&gt;0,", ","")&amp;"Céleri","")&amp;IF(AF72="?",IF(COUNTIF(W72:AE72,"~?")&gt;0,", ","")&amp;"Moutarde","")&amp;IF(AG72="?",IF(COUNTIF(W72:AF72,"~?")&gt;0,", ","")&amp;"Sésame","")&amp;IF(AH72="?",IF(COUNTIF(W72:AG72,"~?")&gt;0,", ","")&amp;"Sulfites","")&amp;IF(AI72="?",IF(COUNTIF(W72:AH72,"~?")&gt;0,", ","")&amp;"Lupin","")&amp;IF(AJ72="?",IF(COUNTIF(W72:AI72,"~?")&gt;0,", ","")&amp;"Mollusques","")),"")</f>
        <v/>
      </c>
      <c r="AM72" s="493" t="str">
        <f>IF(61=61,IF(T72="","",T72),"")</f>
        <v>0</v>
      </c>
      <c r="AN72" s="493" t="str">
        <f>IF(61=61,LOWER(CLEAN(SUBSTITUTE(SUBSTITUTE(SUBSTITUTE(SUBSTITUTE(AM72,CHAR(160)," ")," "," "),CHAR(10)," "),CHAR(13)," "))),"")</f>
        <v>0</v>
      </c>
      <c r="AO72" s="493" t="str">
        <f>IF(61=61,SUBSTITUTE(SUBSTITUTE(SUBSTITUTE(SUBSTITUTE(SUBSTITUTE(SUBSTITUTE(SUBSTITUTE(SUBSTITUTE(SUBSTITUTE(SUBSTITUTE(SUBSTITUTE(SUBSTITUTE(AN72,"œ","oe"),"æ","ae"),"à","a"),"á","a"),"â","a"),"ä","a"),"ã","a"),"ç","c"),"è","e"),"é","e"),"ê","e"),"ë","e"),"")</f>
        <v>0</v>
      </c>
      <c r="AP72" s="493" t="str">
        <f>IF(61=61,SUBSTITUTE(SUBSTITUTE(SUBSTITUTE(SUBSTITUTE(SUBSTITUTE(SUBSTITUTE(SUBSTITUTE(SUBSTITUTE(SUBSTITUTE(SUBSTITUTE(SUBSTITUTE(SUBSTITUTE(SUBSTITUTE(SUBSTITUTE(SUBSTITUTE(SUBSTITUTE(AO72,"ì","i"),"í","i"),"î","i"),"ï","i"),"ñ","n"),"ò","o"),"ó","o"),"ô","o"),"ö","o"),"õ","o"),"ù","u"),"ú","u"),"û","u"),"ü","u"),"ý","y"),"ÿ","y"),"")</f>
        <v>0</v>
      </c>
      <c r="AQ72" s="493" t="str">
        <f>IF(61=61,SUBSTITUTE(SUBSTITUTE(SUBSTITUTE(SUBSTITUTE(SUBSTITUTE(SUBSTITUTE(SUBSTITUTE(SUBSTITUTE(SUBSTITUTE(SUBSTITUTE(SUBSTITUTE(SUBSTITUTE(SUBSTITUTE(SUBSTITUTE(AP72,"’"," "),"`"," "),"–"," "),"—"," "),"-"," "),"'"," "),"/"," "),"_"," "),","," "),"."," "),"("," "),")"," "),";"," "),":"," "),"")</f>
        <v>0</v>
      </c>
      <c r="AR72" s="493" t="str">
        <f>IF(61=61,SUBSTITUTE(SUBSTITUTE(SUBSTITUTE(SUBSTITUTE(SUBSTITUTE(SUBSTITUTE(SUBSTITUTE(SUBSTITUTE(SUBSTITUTE(SUBSTITUTE(SUBSTITUTE(SUBSTITUTE(SUBSTITUTE(SUBSTITUTE(SUBSTITUTE(AQ72,"!"," "),"?"," "),"+"," "),"*"," "),"&amp;"," "),"["," "),"]"," "),"{"," "),"}"," "),"%"," "),"="," "),"\"," "),"|"," "),"&lt;"," "),"&gt;"," "),"")</f>
        <v>0</v>
      </c>
      <c r="AS72" s="493" t="str">
        <f>IF(61=61," "&amp;TRIM(SUBSTITUTE(SUBSTITUTE(SUBSTITUTE(SUBSTITUTE(SUBSTITUTE(SUBSTITUTE(AR72,CHAR(34)," "),"  "," "),"  "," "),"  "," "),"  "," "),"  "," "))&amp;" ","")</f>
        <v xml:space="preserve"> 0 </v>
      </c>
      <c r="AT72" s="493" cm="1">
        <f t="array" ref="AT72">IF(61=61,IF(AM72="","",SUMPRODUCT(--ISNUMBER(SEARCH(" "&amp;DJ13:DJ112&amp;" ",AV72)))),"")</f>
        <v>0</v>
      </c>
      <c r="AU72" s="493" cm="1">
        <f t="array" ref="AU72">IF(61=61,IF(AM72="","",SUMPRODUCT(--ISNUMBER(SEARCH(" "&amp;DJ113:DJ162&amp;" ",AV72)))),"")</f>
        <v>0</v>
      </c>
      <c r="AV72" s="493" t="str">
        <f>IF(AM72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72,"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0 </v>
      </c>
      <c r="AW72" s="493" cm="1">
        <f t="array" ref="AW72">IF(AM72="","",SUMPRODUCT(--ISNUMBER(SEARCH(" "&amp;DJ195:DJ216&amp;" ",AV72)))+--ISNUMBER(SEARCH(" "&amp;DJ2465&amp;" ",AV72)))</f>
        <v>0</v>
      </c>
      <c r="AX72" s="493" t="str" cm="1">
        <f t="array" ref="AX72">IF(61=61,IF(AM72="","",IF(SUM(AT72:AU72)+SUMPRODUCT(--ISNUMBER(SEARCH(" "&amp;DJ2429:DJ2431&amp;" ",AV72)))&gt;0,"X",IF(AW72&gt;0,"?",""))),"")</f>
        <v/>
      </c>
      <c r="AY72" s="493" cm="1">
        <f t="array" ref="AY72">IF(61=61,IF(AM72="","",SUMPRODUCT(--ISNUMBER(SEARCH(" "&amp;DJ217:DJ316&amp;" ",AS72)))),"")</f>
        <v>0</v>
      </c>
      <c r="AZ72" s="493" cm="1">
        <f t="array" ref="AZ72">IF(61=61,IF(AM72="","",SUMPRODUCT(--ISNUMBER(SEARCH(" "&amp;DJ317:DJ351&amp;" ",AS72)))),"")</f>
        <v>0</v>
      </c>
      <c r="BA72" s="493" t="str">
        <f>IF(61=61,IF(AM72="","",IF((SUM(AY72:AZ72))-(0)&gt;0,"X",IF((0)-(0)&gt;0,"?",""))),"")</f>
        <v/>
      </c>
      <c r="BB72" s="493" cm="1">
        <f t="array" ref="BB72">IF(61=61,IF(AM72="","",SUMPRODUCT(--ISNUMBER(SEARCH(" "&amp;DJ352:DJ409&amp;" ",AS72)))),"")</f>
        <v>0</v>
      </c>
      <c r="BC72" s="493" cm="1">
        <f t="array" ref="BC72">IF(61=61,IF(AM72="","",SUMPRODUCT(--ISNUMBER(SEARCH(" "&amp;DJ410:DJ437&amp;" ",BD72)))+SUMPRODUCT(--ISNUMBER(SEARCH(" "&amp;DJ2451:DJ2464&amp;" ",BD72)))),"")</f>
        <v>0</v>
      </c>
      <c r="BD72" s="493" t="str">
        <f>IF(61=61,IF(AM72="","",SUBSTITUTE(SUBSTITUTE(SUBSTITUTE(SUBSTITUTE(SUBSTITUTE(SUBSTITUTE(SUBSTITUTE(SUBSTITUTE(SUBSTITUTE(SUBSTITUTE(SUBSTITUTE(SUBSTITUTE(SUBSTITUTE(SUBSTITUTE(AS72," "&amp;DJ2466&amp;" "," ")," "&amp;DJ444&amp;" "," ")," "&amp;DJ442&amp;" "," ")," "&amp;DJ2449&amp;" "," ")," "&amp;DJ2450&amp;" "," ")," "&amp;DJ439&amp;" "," ")," "&amp;DJ443&amp;" "," ")," "&amp;DJ445&amp;" "," ")," "&amp;DJ440&amp;" "," ")," "&amp;DJ438&amp;" "," ")," "&amp;DJ1378&amp;" "," ")," "&amp;DJ446&amp;" "," ")," "&amp;DJ1377&amp;" "," ")," "&amp;DJ441&amp;" "," ")),"")</f>
        <v xml:space="preserve"> 0 </v>
      </c>
      <c r="BE72" s="493" t="str">
        <f>IF(61=61,IF(AM72="","",IF(BB72&gt;0,"X",IF(BC72&gt;0,"?",""))),"")</f>
        <v/>
      </c>
      <c r="BF72" s="493" cm="1">
        <f t="array" ref="BF72">IF(61=61,IF(AM72="","",SUMPRODUCT(--ISNUMBER(SEARCH(" "&amp;DJ447:DJ546&amp;" ",BP72)))),"")</f>
        <v>0</v>
      </c>
      <c r="BG72" s="493" cm="1">
        <f t="array" ref="BG72">IF(61=61,IF(AM72="","",SUMPRODUCT(--ISNUMBER(SEARCH(" "&amp;DJ547:DJ646&amp;" ",BP72)))),"")</f>
        <v>0</v>
      </c>
      <c r="BH72" s="493" cm="1">
        <f t="array" ref="BH72">IF(61=61,IF(AM72="","",SUMPRODUCT(--ISNUMBER(SEARCH(" "&amp;DJ647:DJ746&amp;" ",BP72)))),"")</f>
        <v>0</v>
      </c>
      <c r="BI72" s="493" cm="1">
        <f t="array" ref="BI72">IF(61=61,IF(AM72="","",SUMPRODUCT(--ISNUMBER(SEARCH(" "&amp;DJ747:DJ846&amp;" ",BP72)))),"")</f>
        <v>0</v>
      </c>
      <c r="BJ72" s="493" cm="1">
        <f t="array" ref="BJ72">IF(61=61,IF(AM72="","",SUMPRODUCT(--ISNUMBER(SEARCH(" "&amp;DJ847:DJ946&amp;" ",BP72)))),"")</f>
        <v>0</v>
      </c>
      <c r="BK72" s="493" cm="1">
        <f t="array" ref="BK72">IF(61=61,IF(AM72="","",SUMPRODUCT(--ISNUMBER(SEARCH(" "&amp;DJ947:DJ1046&amp;" ",BP72)))),"")</f>
        <v>0</v>
      </c>
      <c r="BL72" s="493" cm="1">
        <f t="array" ref="BL72">IF(61=61,IF(AM72="","",SUMPRODUCT(--ISNUMBER(SEARCH(" "&amp;DJ1047:DJ1146&amp;" ",BP72)))),"")</f>
        <v>0</v>
      </c>
      <c r="BM72" s="493" cm="1">
        <f t="array" ref="BM72">IF(61=61,IF(AM72="","",SUMPRODUCT(--ISNUMBER(SEARCH(" "&amp;DJ1147:DJ1246&amp;" ",BP72)))),"")</f>
        <v>0</v>
      </c>
      <c r="BN72" s="493" cm="1">
        <f t="array" ref="BN72">IF(61=61,IF(AM72="","",SUMPRODUCT(--ISNUMBER(SEARCH(" "&amp;DJ1247:DJ1346&amp;" ",BP72)))),"")</f>
        <v>0</v>
      </c>
      <c r="BO72" s="493" cm="1">
        <f t="array" ref="BO72">IF(61=61,IF(AM72="","",SUMPRODUCT(--ISNUMBER(SEARCH(" "&amp;DJ1347:DJ1374&amp;" ",BP72)))),"")</f>
        <v>0</v>
      </c>
      <c r="BP72" s="493" t="str">
        <f>IF(61=61,IF(AM72="","",SUBSTITUTE(SUBSTITUTE(SUBSTITUTE(SUBSTITUTE(SUBSTITUTE(SUBSTITUTE(SUBSTITUTE(SUBSTITUTE(SUBSTITUTE(AS72," "&amp;DJ1376&amp;" "," ")," "&amp;DJ1375&amp;" "," ")," "&amp;DJ1381&amp;" "," ")," "&amp;DJ1382&amp;" "," ")," "&amp;DJ1378&amp;" "," ")," "&amp;DJ1380&amp;" "," ")," "&amp;DJ1377&amp;" "," ")," "&amp;DJ1379&amp;" "," ")," "&amp;DJ1383&amp;" "," ")),"")</f>
        <v xml:space="preserve"> 0 </v>
      </c>
      <c r="BQ72" s="493" cm="1">
        <f t="array" ref="BQ72">IF(61=61,IF(AM72="","",SUMPRODUCT(--ISNUMBER(SEARCH(" "&amp;DJ1384:DJ1394&amp;" ",BP72)))),"")</f>
        <v>0</v>
      </c>
      <c r="BR72" s="493" t="str" cm="1">
        <f t="array" ref="BR72">IF(61=61,IF(AM72="","",IF(SUM(BF72:BO72)+SUMPRODUCT(--ISNUMBER(SEARCH(" "&amp;DJ2432:DJ2433&amp;" ",BP72)))&gt;0,"X",IF(BQ72&gt;0,"?",""))),"")</f>
        <v/>
      </c>
      <c r="BS72" s="493" cm="1">
        <f t="array" ref="BS72">IF(61=61,IF(AM72="","",SUMPRODUCT(--ISNUMBER(SEARCH(" "&amp;DJ1395:DJ1415&amp;" ",AS72)))),"")</f>
        <v>0</v>
      </c>
      <c r="BT72" s="493" t="str">
        <f>IF(61=61,IF(AM72="","",IF((BS72)-(0)&gt;0,"X",IF((0)-(0)&gt;0,"?",""))),"")</f>
        <v/>
      </c>
      <c r="BU72" s="493" cm="1">
        <f t="array" ref="BU72">IF(61=61,IF(AM72="","",SUMPRODUCT(--ISNUMBER(SEARCH(" "&amp;DJ1416:DJ1453&amp;" ",BV72)))),"")</f>
        <v>0</v>
      </c>
      <c r="BV72" s="493" t="str">
        <f>IF(61=61,IF(AM72="","",SUBSTITUTE(SUBSTITUTE(AS72," "&amp;DJ1454&amp;" "," ")," "&amp;DJ1455&amp;" "," ")),"")</f>
        <v xml:space="preserve"> 0 </v>
      </c>
      <c r="BW72" s="493" cm="1">
        <f t="array" ref="BW72">IF(61=61,IF(AM72="","",SUMPRODUCT(--ISNUMBER(SEARCH(" "&amp;DJ1456:DJ1466&amp;" ",BV72)))),"")</f>
        <v>0</v>
      </c>
      <c r="BX72" s="493" t="str">
        <f>IF(61=61,IF(AM72="","",IF(BU72&gt;0,"X",IF(BW72&gt;0,"?",""))),"")</f>
        <v/>
      </c>
      <c r="BY72" s="493" cm="1">
        <f t="array" ref="BY72">IF(61=61,IF(AM72="","",SUMPRODUCT(--ISNUMBER(SEARCH(" "&amp;DJ1467:DJ1566&amp;" ",CB72)))),"")</f>
        <v>0</v>
      </c>
      <c r="BZ72" s="493" cm="1">
        <f t="array" ref="BZ72">IF(61=61,IF(AM72="","",SUMPRODUCT(--ISNUMBER(SEARCH(" "&amp;DJ1567:DJ1666&amp;" ",CB72)))),"")</f>
        <v>0</v>
      </c>
      <c r="CA72" s="493" cm="1">
        <f t="array" ref="CA72">IF(61=61,IF(AM72="","",SUMPRODUCT(--ISNUMBER(SEARCH(" "&amp;DJ1667:DJ1750&amp;" ",CB72)))),"")</f>
        <v>0</v>
      </c>
      <c r="CB72" s="493" t="str">
        <f>IF(61=61,IF(AM72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72,"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0 </v>
      </c>
      <c r="CC72" s="493" cm="1">
        <f t="array" ref="CC72">IF(61=61,IF(AM72="","",SUMPRODUCT(--ISNUMBER(SEARCH(" "&amp;DJ1801:DJ1880&amp;" ",CD72)))+SUMPRODUCT(--ISNUMBER(SEARCH(" "&amp;DJ2451:DJ2464&amp;" ",CD72)))),"")</f>
        <v>0</v>
      </c>
      <c r="CD72" s="493" t="str">
        <f>IF(61=61,IF(AM72="","",SUBSTITUTE(SUBSTITUTE(SUBSTITUTE(SUBSTITUTE(SUBSTITUTE(SUBSTITUTE(SUBSTITUTE(SUBSTITUTE(SUBSTITUTE(SUBSTITUTE(SUBSTITUTE(SUBSTITUTE(SUBSTITUTE(CB72," "&amp;DJ1887&amp;" "," ")," "&amp;DJ1885&amp;" "," ")," "&amp;DJ2449&amp;" "," ")," "&amp;DJ2450&amp;" "," ")," "&amp;DJ1882&amp;" "," ")," "&amp;DJ1886&amp;" "," ")," "&amp;DJ1888&amp;" "," ")," "&amp;DJ1883&amp;" "," ")," "&amp;DJ1881&amp;" "," ")," "&amp;DJ1378&amp;" "," ")," "&amp;DJ1889&amp;" "," ")," "&amp;DJ1377&amp;" "," ")," "&amp;DJ1884&amp;" "," ")),"")</f>
        <v xml:space="preserve"> 0 </v>
      </c>
      <c r="CE72" s="493" t="str" cm="1">
        <f t="array" ref="CE72">IF(61=61,IF(AM72="","",IF(SUM(BY72:CA72)+SUMPRODUCT(--ISNUMBER(SEARCH(" "&amp;DJ2434:DJ2435&amp;" ",CB72)))&gt;0,"X",IF(CC72&gt;0,"?",""))),"")</f>
        <v/>
      </c>
      <c r="CF72" s="493" cm="1">
        <f t="array" ref="CF72">IF(61=61,IF(AM72="","",SUMPRODUCT(--ISNUMBER(SEARCH(" "&amp;DJ1890:DJ1947&amp;" ",CG72)))),"")</f>
        <v>0</v>
      </c>
      <c r="CG72" s="493" t="str">
        <f>IF(61=61,IF(AM72="","",SUBSTITUTE(SUBSTITUTE(SUBSTITUTE(SUBSTITUTE(SUBSTITUTE(SUBSTITUTE(SUBSTITUTE(SUBSTITUTE(SUBSTITUTE(SUBSTITUTE(SUBSTITUTE(SUBSTITUTE(SUBSTITUTE(SUBSTITUTE(SUBSTITUTE(SUBSTITUTE(SUBSTITUTE(SUBSTITUTE(SUBSTITUTE(SUBSTITUTE(SUBSTITUTE(SUBSTITUTE(SUBSTITUTE(AS72,"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0 </v>
      </c>
      <c r="CH72" s="493" cm="1">
        <f t="array" ref="CH72">IF(61=61,IF(AM72="","",SUMPRODUCT(--ISNUMBER(SEARCH(" "&amp;DJ1971:DJ1987&amp;" ",CG72)))),"")</f>
        <v>0</v>
      </c>
      <c r="CI72" s="493" t="str">
        <f>IF(61=61,IF(AM72="","",IF(CF72&gt;0,"X",IF(CH72&gt;0,"?",""))),"")</f>
        <v/>
      </c>
      <c r="CJ72" s="493" cm="1">
        <f t="array" ref="CJ72">IF(61=61,IF(AM72="","",SUMPRODUCT(--ISNUMBER(SEARCH(" "&amp;DJ1988:DJ2001&amp;" ",AS72)))),"")</f>
        <v>0</v>
      </c>
      <c r="CK72" s="493" cm="1">
        <f t="array" ref="CK72">IF(61=61,IF(AM72="","",SUMPRODUCT(--ISNUMBER(SEARCH(" "&amp;DJ2002:DJ2016&amp;" ",AS72)))),"")</f>
        <v>0</v>
      </c>
      <c r="CL72" s="493" t="str">
        <f>IF(61=61,IF(AM72="","",IF((CJ72)-(0)&gt;0,"X",IF((CK72)-(0)&gt;0,"?",""))),"")</f>
        <v/>
      </c>
      <c r="CM72" s="493" cm="1">
        <f t="array" ref="CM72">IF(61=61,IF(AM72="","",SUMPRODUCT(--ISNUMBER(SEARCH(" "&amp;DJ2017:DJ2034&amp;" ",AS72)))),"")</f>
        <v>0</v>
      </c>
      <c r="CN72" s="493" cm="1">
        <f t="array" ref="CN72">IF(61=61,IF(AM72="","",SUMPRODUCT(--ISNUMBER(SEARCH(" "&amp;DJ2035:DJ2049&amp;" ",AS72)))),"")</f>
        <v>0</v>
      </c>
      <c r="CO72" s="493" t="str">
        <f>IF(61=61,IF(AM72="","",IF((CM72)-(0)&gt;0,"X",IF((CN72)-(0)&gt;0,"?",""))),"")</f>
        <v/>
      </c>
      <c r="CP72" s="493" cm="1">
        <f t="array" ref="CP72">IF(61=61,IF(AM72="","",SUMPRODUCT(--ISNUMBER(SEARCH(" "&amp;DJ2050:DJ2068&amp;" ",AS72)))),"")</f>
        <v>0</v>
      </c>
      <c r="CQ72" s="493" cm="1">
        <f t="array" ref="CQ72">IF(61=61,IF(AM72="","",SUMPRODUCT(--ISNUMBER(SEARCH(" "&amp;DJ2069:DJ2083&amp;" ",AS72)))),"")</f>
        <v>0</v>
      </c>
      <c r="CR72" s="493" t="str">
        <f>IF(61=61,IF(AM72="","",IF((CP72)-(0)&gt;0,"X",IF((CQ72)-(0)&gt;0,"?",""))),"")</f>
        <v/>
      </c>
      <c r="CS72" s="493" cm="1">
        <f t="array" ref="CS72">IF(61=61,IF(AM72="","",SUMPRODUCT(--ISNUMBER(SEARCH(" "&amp;DJ2084:DJ2104&amp;" ",AS72)))),"")</f>
        <v>0</v>
      </c>
      <c r="CT72" s="493" cm="1">
        <f t="array" ref="CT72">IF(61=61,IF(AM72="","",SUMPRODUCT(--ISNUMBER(SEARCH(" "&amp;DJ2105:DJ2144&amp;" ",SUBSTITUTE(SUBSTITUTE(AS72," "&amp;DJ1378&amp;" "," ")," "&amp;DJ1377&amp;" "," "))))+--ISNUMBER(SEARCH("poiré",AN72))),"")</f>
        <v>0</v>
      </c>
      <c r="CU72" s="493" t="str">
        <f>IF(61=61,IF(AM72="","",IF(OR(CS72&gt;0,ISNUMBER(SEARCH(" vinaigre de vin ",AS72)),ISNUMBER(SEARCH(" vinaigre au vin ",AS72))),"X",IF(CT72&gt;0,"?",""))),"")</f>
        <v/>
      </c>
      <c r="CV72" s="493" cm="1">
        <f t="array" ref="CV72">IF(61=61,IF(AM72="","",SUMPRODUCT(--ISNUMBER(SEARCH(" "&amp;DJ2145:DJ2157&amp;" ",AS72)))),"")</f>
        <v>0</v>
      </c>
      <c r="CW72" s="493" cm="1">
        <f t="array" ref="CW72">IF(61=61,IF(AM72="","",SUMPRODUCT(--ISNUMBER(SEARCH(" "&amp;DJ2158:DJ2163&amp;" ",AS72)))),"")</f>
        <v>0</v>
      </c>
      <c r="CX72" s="493" t="str">
        <f>IF(61=61,IF(AM72="","",IF((CV72)-(0)&gt;0,"X",IF((CW72)-(0)&gt;0,"?",""))),"")</f>
        <v/>
      </c>
      <c r="CY72" s="493" cm="1">
        <f t="array" ref="CY72">IF(61=61,IF(AM72="","",SUMPRODUCT(--ISNUMBER(SEARCH(" "&amp;DJ2164:DJ2263&amp;" ",DB72)))),"")</f>
        <v>0</v>
      </c>
      <c r="CZ72" s="493" cm="1">
        <f t="array" ref="CZ72">IF(61=61,IF(AM72="","",SUMPRODUCT(--ISNUMBER(SEARCH(" "&amp;DJ2264:DJ2363&amp;" ",DB72)))),"")</f>
        <v>0</v>
      </c>
      <c r="DA72" s="493" cm="1">
        <f t="array" ref="DA72">IF(61=61,IF(AM72="","",SUMPRODUCT(--ISNUMBER(SEARCH(" "&amp;DJ2364:DJ2406&amp;" ",DB72)))),"")</f>
        <v>0</v>
      </c>
      <c r="DB72" s="493" t="str">
        <f>IF(61=61,IF(AM72="","",SUBSTITUTE(SUBSTITUTE(SUBSTITUTE(SUBSTITUTE(SUBSTITUTE(SUBSTITUTE(SUBSTITUTE(SUBSTITUTE(SUBSTITUTE(SUBSTITUTE(SUBSTITUTE(SUBSTITUTE(SUBSTITUTE(SUBSTITUTE(SUBSTITUTE(SUBSTITUTE(AS72," "&amp;DJ2412&amp;" "," ")," "&amp;DJ2411&amp;" "," ")," "&amp;DJ2410&amp;" "," ")," "&amp;DJ2417&amp;" "," ")," "&amp;DJ2409&amp;" "," ")," "&amp;DJ2421&amp;" "," ")," "&amp;DJ2408&amp;" "," ")," "&amp;DJ2413&amp;" "," ")," "&amp;DJ2416&amp;" "," ")," "&amp;DJ2407&amp;" "," ")," "&amp;DJ2415&amp;" "," ")," "&amp;DJ2422&amp;" "," ")," "&amp;DJ2419&amp;" "," ")," "&amp;DJ2414&amp;" "," ")," "&amp;DJ2418&amp;" "," ")," "&amp;DJ2420&amp;" "," ")),"")</f>
        <v xml:space="preserve"> 0 </v>
      </c>
      <c r="DC72" s="493" cm="1">
        <f t="array" ref="DC72">IF(61=61,IF(AM72="","",SUMPRODUCT(--ISNUMBER(SEARCH(" "&amp;DJ2423:DJ2427&amp;" ",DB72)))),"")</f>
        <v>0</v>
      </c>
      <c r="DD72" s="493" t="str">
        <f>IF(61=61,IF(AM72="","",IF(SUM(CY72:DA72)&gt;0,"X",IF(DC72&gt;0,"?",""))),"")</f>
        <v/>
      </c>
      <c r="DE72" s="494"/>
      <c r="DF72" s="496" t="s">
        <v>1253</v>
      </c>
      <c r="DG72" s="496" t="s">
        <v>1083</v>
      </c>
      <c r="DH72" s="496" t="s">
        <v>689</v>
      </c>
      <c r="DI72" s="496" t="s">
        <v>877</v>
      </c>
      <c r="DJ72" s="496" t="s">
        <v>877</v>
      </c>
      <c r="DK72" s="496" t="s">
        <v>1085</v>
      </c>
      <c r="DL72" s="496" t="s">
        <v>1086</v>
      </c>
      <c r="DM72" s="496" t="s">
        <v>1087</v>
      </c>
      <c r="DN72" s="497" t="s">
        <v>1088</v>
      </c>
      <c r="DP72" s="543">
        <v>1</v>
      </c>
    </row>
    <row r="73" spans="2:120" ht="30" customHeight="1">
      <c r="B73" s="663" t="str">
        <f t="shared" si="0"/>
        <v/>
      </c>
      <c r="C73" s="663" t="str">
        <f t="shared" si="1"/>
        <v/>
      </c>
      <c r="D73" s="663" t="str">
        <f>IF(UPPER(TRIM(N11))="X",C73,B73)</f>
        <v/>
      </c>
      <c r="E73" s="663" cm="1">
        <f t="array" ref="E73">IF(H72&lt;&gt;"",E72,IF(E72="","",IFERROR(MATCH(TRUE(),INDEX(INDEX(K:K,E72+1):K203&lt;&gt;"",0),0)+E72,"")))</f>
        <v>214</v>
      </c>
      <c r="F73" s="663" cm="1">
        <f t="array" ref="F73">IF(E73="","",IF(H72&lt;&gt;"",H72,INDEX(D:D,E73)))</f>
        <v>0</v>
      </c>
      <c r="G73" s="663" t="str">
        <f t="shared" si="2"/>
        <v>0</v>
      </c>
      <c r="H73" s="673" t="str">
        <f t="shared" si="3"/>
        <v/>
      </c>
      <c r="I73" s="680" t="str">
        <f>IF(AND(F73&lt;&gt;"",N10&gt;0,M73&gt;N10),"Mot &gt; limite","")</f>
        <v/>
      </c>
      <c r="J73" s="674" t="str">
        <f>IF(K73="","",COUNTIF(K18:K73,"&lt;&gt;"))</f>
        <v/>
      </c>
      <c r="K73" s="675"/>
      <c r="L73" s="674" t="str">
        <f t="shared" si="4"/>
        <v/>
      </c>
      <c r="M73" s="643">
        <f>IF(OR(F73="",N10="",N10&lt;=0),"",IF(LEN(F73)&lt;=N10,LEN(F73),IFERROR(FIND("♦",SUBSTITUTE(LEFT(F73,N10)," ","♦",LEN(LEFT(F73,N10))-LEN(SUBSTITUTE(LEFT(F73,N10)," ","")))),FIND(" ",F73&amp;" ",N10+1)-1)))</f>
        <v>1</v>
      </c>
      <c r="N73" s="676">
        <f t="shared" si="5"/>
        <v>56</v>
      </c>
      <c r="O73" s="677" t="str">
        <f t="shared" si="6"/>
        <v>0</v>
      </c>
      <c r="P73" s="676">
        <f t="shared" si="7"/>
        <v>1</v>
      </c>
      <c r="Q73" s="676">
        <f t="shared" si="8"/>
        <v>1</v>
      </c>
      <c r="S73" s="509">
        <v>56</v>
      </c>
      <c r="T73" s="678" t="str">
        <f t="shared" si="10"/>
        <v>0</v>
      </c>
      <c r="U73" s="679" t="str">
        <f t="shared" si="11"/>
        <v>0</v>
      </c>
      <c r="V73" s="512" t="str">
        <f>IF(62=62,IF(T73="","",IF(W73="X",""&amp;"Céréales contenant du gluten","")&amp;IF(X73="X",IF(COUNTIF(W73:W73,"X")&gt;0,", ","")&amp;"Crustacés","")&amp;IF(Y73="X",IF(COUNTIF(W73:X73,"X")&gt;0,", ","")&amp;"Œufs","")&amp;IF(Z73="X",IF(COUNTIF(W73:Y73,"X")&gt;0,", ","")&amp;"Poissons","")&amp;IF(AA73="X",IF(COUNTIF(W73:Z73,"X")&gt;0,", ","")&amp;"Arachides","")&amp;IF(AB73="X",IF(COUNTIF(W73:AA73,"X")&gt;0,", ","")&amp;"Soja","")&amp;IF(AC73="X",IF(COUNTIF(W73:AB73,"X")&gt;0,", ","")&amp;"Lait","")&amp;IF(AD73="X",IF(COUNTIF(W73:AC73,"X")&gt;0,", ","")&amp;"Fruits à coque","")&amp;IF(AE73="X",IF(COUNTIF(W73:AD73,"X")&gt;0,", ","")&amp;"Céleri","")&amp;IF(AF73="X",IF(COUNTIF(W73:AE73,"X")&gt;0,", ","")&amp;"Moutarde","")&amp;IF(AG73="X",IF(COUNTIF(W73:AF73,"X")&gt;0,", ","")&amp;"Sésame","")&amp;IF(AH73="X",IF(COUNTIF(W73:AG73,"X")&gt;0,", ","")&amp;"Sulfites","")&amp;IF(AI73="X",IF(COUNTIF(W73:AH73,"X")&gt;0,", ","")&amp;"Lupin","")&amp;IF(AJ73="X",IF(COUNTIF(W73:AI73,"X")&gt;0,", ","")&amp;"Mollusques","")),"")</f>
        <v/>
      </c>
      <c r="W73" s="513" t="str">
        <f>IF(62=62,IF(T73="","",AX73),"")</f>
        <v/>
      </c>
      <c r="X73" s="513" t="str">
        <f>IF(62=62,IF(T73="","",BA73),"")</f>
        <v/>
      </c>
      <c r="Y73" s="513" t="str">
        <f>IF(62=62,IF(T73="","",BE73),"")</f>
        <v/>
      </c>
      <c r="Z73" s="513" t="str">
        <f>IF(62=62,IF(T73="","",IF(ISNUMBER(SEARCH(" colin ",AS73)),"X",BR73)),"")</f>
        <v/>
      </c>
      <c r="AA73" s="513" t="str">
        <f>IF(62=62,IF(T73="","",BT73),"")</f>
        <v/>
      </c>
      <c r="AB73" s="513" t="str">
        <f>IF(62=62,IF(T73="","",BX73),"")</f>
        <v/>
      </c>
      <c r="AC73" s="513" t="str">
        <f>IF(62=62,IF(T73="","",CE73),"")</f>
        <v/>
      </c>
      <c r="AD73" s="513" t="str">
        <f>IF(62=62,IF(T73="","",CI73),"")</f>
        <v/>
      </c>
      <c r="AE73" s="513" t="str">
        <f>IF(62=62,IF(T73="","",CL73),"")</f>
        <v/>
      </c>
      <c r="AF73" s="513" t="str">
        <f>IF(62=62,IF(T73="","",CO73),"")</f>
        <v/>
      </c>
      <c r="AG73" s="513" t="str">
        <f>IF(62=62,IF(T73="","",CR73),"")</f>
        <v/>
      </c>
      <c r="AH73" s="513" t="str">
        <f>IF(62=62,IF(T73="","",CU73),"")</f>
        <v/>
      </c>
      <c r="AI73" s="513" t="str">
        <f>IF(62=62,IF(T73="","",CX73),"")</f>
        <v/>
      </c>
      <c r="AJ73" s="513" t="str">
        <f>IF(62=62,IF(T73="","",DD73),"")</f>
        <v/>
      </c>
      <c r="AK73" s="514" t="str">
        <f>IF(62=62,IF(T73="","",IF(W73="?",""&amp;"Céréales contenant du gluten","")&amp;IF(X73="?",IF(COUNTIF(W73:W73,"~?")&gt;0,", ","")&amp;"Crustacés","")&amp;IF(Y73="?",IF(COUNTIF(W73:X73,"~?")&gt;0,", ","")&amp;"Œufs","")&amp;IF(Z73="?",IF(COUNTIF(W73:Y73,"~?")&gt;0,", ","")&amp;"Poissons","")&amp;IF(AA73="?",IF(COUNTIF(W73:Z73,"~?")&gt;0,", ","")&amp;"Arachides","")&amp;IF(AB73="?",IF(COUNTIF(W73:AA73,"~?")&gt;0,", ","")&amp;"Soja","")&amp;IF(AC73="?",IF(COUNTIF(W73:AB73,"~?")&gt;0,", ","")&amp;"Lait","")&amp;IF(AD73="?",IF(COUNTIF(W73:AC73,"~?")&gt;0,", ","")&amp;"Fruits à coque","")&amp;IF(AE73="?",IF(COUNTIF(W73:AD73,"~?")&gt;0,", ","")&amp;"Céleri","")&amp;IF(AF73="?",IF(COUNTIF(W73:AE73,"~?")&gt;0,", ","")&amp;"Moutarde","")&amp;IF(AG73="?",IF(COUNTIF(W73:AF73,"~?")&gt;0,", ","")&amp;"Sésame","")&amp;IF(AH73="?",IF(COUNTIF(W73:AG73,"~?")&gt;0,", ","")&amp;"Sulfites","")&amp;IF(AI73="?",IF(COUNTIF(W73:AH73,"~?")&gt;0,", ","")&amp;"Lupin","")&amp;IF(AJ73="?",IF(COUNTIF(W73:AI73,"~?")&gt;0,", ","")&amp;"Mollusques","")),"")</f>
        <v/>
      </c>
      <c r="AM73" s="493" t="str">
        <f>IF(62=62,IF(T73="","",T73),"")</f>
        <v>0</v>
      </c>
      <c r="AN73" s="493" t="str">
        <f>IF(62=62,LOWER(CLEAN(SUBSTITUTE(SUBSTITUTE(SUBSTITUTE(SUBSTITUTE(AM73,CHAR(160)," ")," "," "),CHAR(10)," "),CHAR(13)," "))),"")</f>
        <v>0</v>
      </c>
      <c r="AO73" s="493" t="str">
        <f>IF(62=62,SUBSTITUTE(SUBSTITUTE(SUBSTITUTE(SUBSTITUTE(SUBSTITUTE(SUBSTITUTE(SUBSTITUTE(SUBSTITUTE(SUBSTITUTE(SUBSTITUTE(SUBSTITUTE(SUBSTITUTE(AN73,"œ","oe"),"æ","ae"),"à","a"),"á","a"),"â","a"),"ä","a"),"ã","a"),"ç","c"),"è","e"),"é","e"),"ê","e"),"ë","e"),"")</f>
        <v>0</v>
      </c>
      <c r="AP73" s="493" t="str">
        <f>IF(62=62,SUBSTITUTE(SUBSTITUTE(SUBSTITUTE(SUBSTITUTE(SUBSTITUTE(SUBSTITUTE(SUBSTITUTE(SUBSTITUTE(SUBSTITUTE(SUBSTITUTE(SUBSTITUTE(SUBSTITUTE(SUBSTITUTE(SUBSTITUTE(SUBSTITUTE(SUBSTITUTE(AO73,"ì","i"),"í","i"),"î","i"),"ï","i"),"ñ","n"),"ò","o"),"ó","o"),"ô","o"),"ö","o"),"õ","o"),"ù","u"),"ú","u"),"û","u"),"ü","u"),"ý","y"),"ÿ","y"),"")</f>
        <v>0</v>
      </c>
      <c r="AQ73" s="493" t="str">
        <f>IF(62=62,SUBSTITUTE(SUBSTITUTE(SUBSTITUTE(SUBSTITUTE(SUBSTITUTE(SUBSTITUTE(SUBSTITUTE(SUBSTITUTE(SUBSTITUTE(SUBSTITUTE(SUBSTITUTE(SUBSTITUTE(SUBSTITUTE(SUBSTITUTE(AP73,"’"," "),"`"," "),"–"," "),"—"," "),"-"," "),"'"," "),"/"," "),"_"," "),","," "),"."," "),"("," "),")"," "),";"," "),":"," "),"")</f>
        <v>0</v>
      </c>
      <c r="AR73" s="493" t="str">
        <f>IF(62=62,SUBSTITUTE(SUBSTITUTE(SUBSTITUTE(SUBSTITUTE(SUBSTITUTE(SUBSTITUTE(SUBSTITUTE(SUBSTITUTE(SUBSTITUTE(SUBSTITUTE(SUBSTITUTE(SUBSTITUTE(SUBSTITUTE(SUBSTITUTE(SUBSTITUTE(AQ73,"!"," "),"?"," "),"+"," "),"*"," "),"&amp;"," "),"["," "),"]"," "),"{"," "),"}"," "),"%"," "),"="," "),"\"," "),"|"," "),"&lt;"," "),"&gt;"," "),"")</f>
        <v>0</v>
      </c>
      <c r="AS73" s="493" t="str">
        <f>IF(62=62," "&amp;TRIM(SUBSTITUTE(SUBSTITUTE(SUBSTITUTE(SUBSTITUTE(SUBSTITUTE(SUBSTITUTE(AR73,CHAR(34)," "),"  "," "),"  "," "),"  "," "),"  "," "),"  "," "))&amp;" ","")</f>
        <v xml:space="preserve"> 0 </v>
      </c>
      <c r="AT73" s="493" cm="1">
        <f t="array" ref="AT73">IF(62=62,IF(AM73="","",SUMPRODUCT(--ISNUMBER(SEARCH(" "&amp;DJ13:DJ112&amp;" ",AV73)))),"")</f>
        <v>0</v>
      </c>
      <c r="AU73" s="493" cm="1">
        <f t="array" ref="AU73">IF(62=62,IF(AM73="","",SUMPRODUCT(--ISNUMBER(SEARCH(" "&amp;DJ113:DJ162&amp;" ",AV73)))),"")</f>
        <v>0</v>
      </c>
      <c r="AV73" s="493" t="str">
        <f>IF(AM73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73,"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0 </v>
      </c>
      <c r="AW73" s="493" cm="1">
        <f t="array" ref="AW73">IF(AM73="","",SUMPRODUCT(--ISNUMBER(SEARCH(" "&amp;DJ195:DJ216&amp;" ",AV73)))+--ISNUMBER(SEARCH(" "&amp;DJ2465&amp;" ",AV73)))</f>
        <v>0</v>
      </c>
      <c r="AX73" s="493" t="str" cm="1">
        <f t="array" ref="AX73">IF(62=62,IF(AM73="","",IF(SUM(AT73:AU73)+SUMPRODUCT(--ISNUMBER(SEARCH(" "&amp;DJ2429:DJ2431&amp;" ",AV73)))&gt;0,"X",IF(AW73&gt;0,"?",""))),"")</f>
        <v/>
      </c>
      <c r="AY73" s="493" cm="1">
        <f t="array" ref="AY73">IF(62=62,IF(AM73="","",SUMPRODUCT(--ISNUMBER(SEARCH(" "&amp;DJ217:DJ316&amp;" ",AS73)))),"")</f>
        <v>0</v>
      </c>
      <c r="AZ73" s="493" cm="1">
        <f t="array" ref="AZ73">IF(62=62,IF(AM73="","",SUMPRODUCT(--ISNUMBER(SEARCH(" "&amp;DJ317:DJ351&amp;" ",AS73)))),"")</f>
        <v>0</v>
      </c>
      <c r="BA73" s="493" t="str">
        <f>IF(62=62,IF(AM73="","",IF((SUM(AY73:AZ73))-(0)&gt;0,"X",IF((0)-(0)&gt;0,"?",""))),"")</f>
        <v/>
      </c>
      <c r="BB73" s="493" cm="1">
        <f t="array" ref="BB73">IF(62=62,IF(AM73="","",SUMPRODUCT(--ISNUMBER(SEARCH(" "&amp;DJ352:DJ409&amp;" ",AS73)))),"")</f>
        <v>0</v>
      </c>
      <c r="BC73" s="493" cm="1">
        <f t="array" ref="BC73">IF(62=62,IF(AM73="","",SUMPRODUCT(--ISNUMBER(SEARCH(" "&amp;DJ410:DJ437&amp;" ",BD73)))+SUMPRODUCT(--ISNUMBER(SEARCH(" "&amp;DJ2451:DJ2464&amp;" ",BD73)))),"")</f>
        <v>0</v>
      </c>
      <c r="BD73" s="493" t="str">
        <f>IF(62=62,IF(AM73="","",SUBSTITUTE(SUBSTITUTE(SUBSTITUTE(SUBSTITUTE(SUBSTITUTE(SUBSTITUTE(SUBSTITUTE(SUBSTITUTE(SUBSTITUTE(SUBSTITUTE(SUBSTITUTE(SUBSTITUTE(SUBSTITUTE(SUBSTITUTE(AS73," "&amp;DJ2466&amp;" "," ")," "&amp;DJ444&amp;" "," ")," "&amp;DJ442&amp;" "," ")," "&amp;DJ2449&amp;" "," ")," "&amp;DJ2450&amp;" "," ")," "&amp;DJ439&amp;" "," ")," "&amp;DJ443&amp;" "," ")," "&amp;DJ445&amp;" "," ")," "&amp;DJ440&amp;" "," ")," "&amp;DJ438&amp;" "," ")," "&amp;DJ1378&amp;" "," ")," "&amp;DJ446&amp;" "," ")," "&amp;DJ1377&amp;" "," ")," "&amp;DJ441&amp;" "," ")),"")</f>
        <v xml:space="preserve"> 0 </v>
      </c>
      <c r="BE73" s="493" t="str">
        <f>IF(62=62,IF(AM73="","",IF(BB73&gt;0,"X",IF(BC73&gt;0,"?",""))),"")</f>
        <v/>
      </c>
      <c r="BF73" s="493" cm="1">
        <f t="array" ref="BF73">IF(62=62,IF(AM73="","",SUMPRODUCT(--ISNUMBER(SEARCH(" "&amp;DJ447:DJ546&amp;" ",BP73)))),"")</f>
        <v>0</v>
      </c>
      <c r="BG73" s="493" cm="1">
        <f t="array" ref="BG73">IF(62=62,IF(AM73="","",SUMPRODUCT(--ISNUMBER(SEARCH(" "&amp;DJ547:DJ646&amp;" ",BP73)))),"")</f>
        <v>0</v>
      </c>
      <c r="BH73" s="493" cm="1">
        <f t="array" ref="BH73">IF(62=62,IF(AM73="","",SUMPRODUCT(--ISNUMBER(SEARCH(" "&amp;DJ647:DJ746&amp;" ",BP73)))),"")</f>
        <v>0</v>
      </c>
      <c r="BI73" s="493" cm="1">
        <f t="array" ref="BI73">IF(62=62,IF(AM73="","",SUMPRODUCT(--ISNUMBER(SEARCH(" "&amp;DJ747:DJ846&amp;" ",BP73)))),"")</f>
        <v>0</v>
      </c>
      <c r="BJ73" s="493" cm="1">
        <f t="array" ref="BJ73">IF(62=62,IF(AM73="","",SUMPRODUCT(--ISNUMBER(SEARCH(" "&amp;DJ847:DJ946&amp;" ",BP73)))),"")</f>
        <v>0</v>
      </c>
      <c r="BK73" s="493" cm="1">
        <f t="array" ref="BK73">IF(62=62,IF(AM73="","",SUMPRODUCT(--ISNUMBER(SEARCH(" "&amp;DJ947:DJ1046&amp;" ",BP73)))),"")</f>
        <v>0</v>
      </c>
      <c r="BL73" s="493" cm="1">
        <f t="array" ref="BL73">IF(62=62,IF(AM73="","",SUMPRODUCT(--ISNUMBER(SEARCH(" "&amp;DJ1047:DJ1146&amp;" ",BP73)))),"")</f>
        <v>0</v>
      </c>
      <c r="BM73" s="493" cm="1">
        <f t="array" ref="BM73">IF(62=62,IF(AM73="","",SUMPRODUCT(--ISNUMBER(SEARCH(" "&amp;DJ1147:DJ1246&amp;" ",BP73)))),"")</f>
        <v>0</v>
      </c>
      <c r="BN73" s="493" cm="1">
        <f t="array" ref="BN73">IF(62=62,IF(AM73="","",SUMPRODUCT(--ISNUMBER(SEARCH(" "&amp;DJ1247:DJ1346&amp;" ",BP73)))),"")</f>
        <v>0</v>
      </c>
      <c r="BO73" s="493" cm="1">
        <f t="array" ref="BO73">IF(62=62,IF(AM73="","",SUMPRODUCT(--ISNUMBER(SEARCH(" "&amp;DJ1347:DJ1374&amp;" ",BP73)))),"")</f>
        <v>0</v>
      </c>
      <c r="BP73" s="493" t="str">
        <f>IF(62=62,IF(AM73="","",SUBSTITUTE(SUBSTITUTE(SUBSTITUTE(SUBSTITUTE(SUBSTITUTE(SUBSTITUTE(SUBSTITUTE(SUBSTITUTE(SUBSTITUTE(AS73," "&amp;DJ1376&amp;" "," ")," "&amp;DJ1375&amp;" "," ")," "&amp;DJ1381&amp;" "," ")," "&amp;DJ1382&amp;" "," ")," "&amp;DJ1378&amp;" "," ")," "&amp;DJ1380&amp;" "," ")," "&amp;DJ1377&amp;" "," ")," "&amp;DJ1379&amp;" "," ")," "&amp;DJ1383&amp;" "," ")),"")</f>
        <v xml:space="preserve"> 0 </v>
      </c>
      <c r="BQ73" s="493" cm="1">
        <f t="array" ref="BQ73">IF(62=62,IF(AM73="","",SUMPRODUCT(--ISNUMBER(SEARCH(" "&amp;DJ1384:DJ1394&amp;" ",BP73)))),"")</f>
        <v>0</v>
      </c>
      <c r="BR73" s="493" t="str" cm="1">
        <f t="array" ref="BR73">IF(62=62,IF(AM73="","",IF(SUM(BF73:BO73)+SUMPRODUCT(--ISNUMBER(SEARCH(" "&amp;DJ2432:DJ2433&amp;" ",BP73)))&gt;0,"X",IF(BQ73&gt;0,"?",""))),"")</f>
        <v/>
      </c>
      <c r="BS73" s="493" cm="1">
        <f t="array" ref="BS73">IF(62=62,IF(AM73="","",SUMPRODUCT(--ISNUMBER(SEARCH(" "&amp;DJ1395:DJ1415&amp;" ",AS73)))),"")</f>
        <v>0</v>
      </c>
      <c r="BT73" s="493" t="str">
        <f>IF(62=62,IF(AM73="","",IF((BS73)-(0)&gt;0,"X",IF((0)-(0)&gt;0,"?",""))),"")</f>
        <v/>
      </c>
      <c r="BU73" s="493" cm="1">
        <f t="array" ref="BU73">IF(62=62,IF(AM73="","",SUMPRODUCT(--ISNUMBER(SEARCH(" "&amp;DJ1416:DJ1453&amp;" ",BV73)))),"")</f>
        <v>0</v>
      </c>
      <c r="BV73" s="493" t="str">
        <f>IF(62=62,IF(AM73="","",SUBSTITUTE(SUBSTITUTE(AS73," "&amp;DJ1454&amp;" "," ")," "&amp;DJ1455&amp;" "," ")),"")</f>
        <v xml:space="preserve"> 0 </v>
      </c>
      <c r="BW73" s="493" cm="1">
        <f t="array" ref="BW73">IF(62=62,IF(AM73="","",SUMPRODUCT(--ISNUMBER(SEARCH(" "&amp;DJ1456:DJ1466&amp;" ",BV73)))),"")</f>
        <v>0</v>
      </c>
      <c r="BX73" s="493" t="str">
        <f>IF(62=62,IF(AM73="","",IF(BU73&gt;0,"X",IF(BW73&gt;0,"?",""))),"")</f>
        <v/>
      </c>
      <c r="BY73" s="493" cm="1">
        <f t="array" ref="BY73">IF(62=62,IF(AM73="","",SUMPRODUCT(--ISNUMBER(SEARCH(" "&amp;DJ1467:DJ1566&amp;" ",CB73)))),"")</f>
        <v>0</v>
      </c>
      <c r="BZ73" s="493" cm="1">
        <f t="array" ref="BZ73">IF(62=62,IF(AM73="","",SUMPRODUCT(--ISNUMBER(SEARCH(" "&amp;DJ1567:DJ1666&amp;" ",CB73)))),"")</f>
        <v>0</v>
      </c>
      <c r="CA73" s="493" cm="1">
        <f t="array" ref="CA73">IF(62=62,IF(AM73="","",SUMPRODUCT(--ISNUMBER(SEARCH(" "&amp;DJ1667:DJ1750&amp;" ",CB73)))),"")</f>
        <v>0</v>
      </c>
      <c r="CB73" s="493" t="str">
        <f>IF(62=62,IF(AM73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73,"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0 </v>
      </c>
      <c r="CC73" s="493" cm="1">
        <f t="array" ref="CC73">IF(62=62,IF(AM73="","",SUMPRODUCT(--ISNUMBER(SEARCH(" "&amp;DJ1801:DJ1880&amp;" ",CD73)))+SUMPRODUCT(--ISNUMBER(SEARCH(" "&amp;DJ2451:DJ2464&amp;" ",CD73)))),"")</f>
        <v>0</v>
      </c>
      <c r="CD73" s="493" t="str">
        <f>IF(62=62,IF(AM73="","",SUBSTITUTE(SUBSTITUTE(SUBSTITUTE(SUBSTITUTE(SUBSTITUTE(SUBSTITUTE(SUBSTITUTE(SUBSTITUTE(SUBSTITUTE(SUBSTITUTE(SUBSTITUTE(SUBSTITUTE(SUBSTITUTE(CB73," "&amp;DJ1887&amp;" "," ")," "&amp;DJ1885&amp;" "," ")," "&amp;DJ2449&amp;" "," ")," "&amp;DJ2450&amp;" "," ")," "&amp;DJ1882&amp;" "," ")," "&amp;DJ1886&amp;" "," ")," "&amp;DJ1888&amp;" "," ")," "&amp;DJ1883&amp;" "," ")," "&amp;DJ1881&amp;" "," ")," "&amp;DJ1378&amp;" "," ")," "&amp;DJ1889&amp;" "," ")," "&amp;DJ1377&amp;" "," ")," "&amp;DJ1884&amp;" "," ")),"")</f>
        <v xml:space="preserve"> 0 </v>
      </c>
      <c r="CE73" s="493" t="str" cm="1">
        <f t="array" ref="CE73">IF(62=62,IF(AM73="","",IF(SUM(BY73:CA73)+SUMPRODUCT(--ISNUMBER(SEARCH(" "&amp;DJ2434:DJ2435&amp;" ",CB73)))&gt;0,"X",IF(CC73&gt;0,"?",""))),"")</f>
        <v/>
      </c>
      <c r="CF73" s="493" cm="1">
        <f t="array" ref="CF73">IF(62=62,IF(AM73="","",SUMPRODUCT(--ISNUMBER(SEARCH(" "&amp;DJ1890:DJ1947&amp;" ",CG73)))),"")</f>
        <v>0</v>
      </c>
      <c r="CG73" s="493" t="str">
        <f>IF(62=62,IF(AM73="","",SUBSTITUTE(SUBSTITUTE(SUBSTITUTE(SUBSTITUTE(SUBSTITUTE(SUBSTITUTE(SUBSTITUTE(SUBSTITUTE(SUBSTITUTE(SUBSTITUTE(SUBSTITUTE(SUBSTITUTE(SUBSTITUTE(SUBSTITUTE(SUBSTITUTE(SUBSTITUTE(SUBSTITUTE(SUBSTITUTE(SUBSTITUTE(SUBSTITUTE(SUBSTITUTE(SUBSTITUTE(SUBSTITUTE(AS73,"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0 </v>
      </c>
      <c r="CH73" s="493" cm="1">
        <f t="array" ref="CH73">IF(62=62,IF(AM73="","",SUMPRODUCT(--ISNUMBER(SEARCH(" "&amp;DJ1971:DJ1987&amp;" ",CG73)))),"")</f>
        <v>0</v>
      </c>
      <c r="CI73" s="493" t="str">
        <f>IF(62=62,IF(AM73="","",IF(CF73&gt;0,"X",IF(CH73&gt;0,"?",""))),"")</f>
        <v/>
      </c>
      <c r="CJ73" s="493" cm="1">
        <f t="array" ref="CJ73">IF(62=62,IF(AM73="","",SUMPRODUCT(--ISNUMBER(SEARCH(" "&amp;DJ1988:DJ2001&amp;" ",AS73)))),"")</f>
        <v>0</v>
      </c>
      <c r="CK73" s="493" cm="1">
        <f t="array" ref="CK73">IF(62=62,IF(AM73="","",SUMPRODUCT(--ISNUMBER(SEARCH(" "&amp;DJ2002:DJ2016&amp;" ",AS73)))),"")</f>
        <v>0</v>
      </c>
      <c r="CL73" s="493" t="str">
        <f>IF(62=62,IF(AM73="","",IF((CJ73)-(0)&gt;0,"X",IF((CK73)-(0)&gt;0,"?",""))),"")</f>
        <v/>
      </c>
      <c r="CM73" s="493" cm="1">
        <f t="array" ref="CM73">IF(62=62,IF(AM73="","",SUMPRODUCT(--ISNUMBER(SEARCH(" "&amp;DJ2017:DJ2034&amp;" ",AS73)))),"")</f>
        <v>0</v>
      </c>
      <c r="CN73" s="493" cm="1">
        <f t="array" ref="CN73">IF(62=62,IF(AM73="","",SUMPRODUCT(--ISNUMBER(SEARCH(" "&amp;DJ2035:DJ2049&amp;" ",AS73)))),"")</f>
        <v>0</v>
      </c>
      <c r="CO73" s="493" t="str">
        <f>IF(62=62,IF(AM73="","",IF((CM73)-(0)&gt;0,"X",IF((CN73)-(0)&gt;0,"?",""))),"")</f>
        <v/>
      </c>
      <c r="CP73" s="493" cm="1">
        <f t="array" ref="CP73">IF(62=62,IF(AM73="","",SUMPRODUCT(--ISNUMBER(SEARCH(" "&amp;DJ2050:DJ2068&amp;" ",AS73)))),"")</f>
        <v>0</v>
      </c>
      <c r="CQ73" s="493" cm="1">
        <f t="array" ref="CQ73">IF(62=62,IF(AM73="","",SUMPRODUCT(--ISNUMBER(SEARCH(" "&amp;DJ2069:DJ2083&amp;" ",AS73)))),"")</f>
        <v>0</v>
      </c>
      <c r="CR73" s="493" t="str">
        <f>IF(62=62,IF(AM73="","",IF((CP73)-(0)&gt;0,"X",IF((CQ73)-(0)&gt;0,"?",""))),"")</f>
        <v/>
      </c>
      <c r="CS73" s="493" cm="1">
        <f t="array" ref="CS73">IF(62=62,IF(AM73="","",SUMPRODUCT(--ISNUMBER(SEARCH(" "&amp;DJ2084:DJ2104&amp;" ",AS73)))),"")</f>
        <v>0</v>
      </c>
      <c r="CT73" s="493" cm="1">
        <f t="array" ref="CT73">IF(62=62,IF(AM73="","",SUMPRODUCT(--ISNUMBER(SEARCH(" "&amp;DJ2105:DJ2144&amp;" ",SUBSTITUTE(SUBSTITUTE(AS73," "&amp;DJ1378&amp;" "," ")," "&amp;DJ1377&amp;" "," "))))+--ISNUMBER(SEARCH("poiré",AN73))),"")</f>
        <v>0</v>
      </c>
      <c r="CU73" s="493" t="str">
        <f>IF(62=62,IF(AM73="","",IF(OR(CS73&gt;0,ISNUMBER(SEARCH(" vinaigre de vin ",AS73)),ISNUMBER(SEARCH(" vinaigre au vin ",AS73))),"X",IF(CT73&gt;0,"?",""))),"")</f>
        <v/>
      </c>
      <c r="CV73" s="493" cm="1">
        <f t="array" ref="CV73">IF(62=62,IF(AM73="","",SUMPRODUCT(--ISNUMBER(SEARCH(" "&amp;DJ2145:DJ2157&amp;" ",AS73)))),"")</f>
        <v>0</v>
      </c>
      <c r="CW73" s="493" cm="1">
        <f t="array" ref="CW73">IF(62=62,IF(AM73="","",SUMPRODUCT(--ISNUMBER(SEARCH(" "&amp;DJ2158:DJ2163&amp;" ",AS73)))),"")</f>
        <v>0</v>
      </c>
      <c r="CX73" s="493" t="str">
        <f>IF(62=62,IF(AM73="","",IF((CV73)-(0)&gt;0,"X",IF((CW73)-(0)&gt;0,"?",""))),"")</f>
        <v/>
      </c>
      <c r="CY73" s="493" cm="1">
        <f t="array" ref="CY73">IF(62=62,IF(AM73="","",SUMPRODUCT(--ISNUMBER(SEARCH(" "&amp;DJ2164:DJ2263&amp;" ",DB73)))),"")</f>
        <v>0</v>
      </c>
      <c r="CZ73" s="493" cm="1">
        <f t="array" ref="CZ73">IF(62=62,IF(AM73="","",SUMPRODUCT(--ISNUMBER(SEARCH(" "&amp;DJ2264:DJ2363&amp;" ",DB73)))),"")</f>
        <v>0</v>
      </c>
      <c r="DA73" s="493" cm="1">
        <f t="array" ref="DA73">IF(62=62,IF(AM73="","",SUMPRODUCT(--ISNUMBER(SEARCH(" "&amp;DJ2364:DJ2406&amp;" ",DB73)))),"")</f>
        <v>0</v>
      </c>
      <c r="DB73" s="493" t="str">
        <f>IF(62=62,IF(AM73="","",SUBSTITUTE(SUBSTITUTE(SUBSTITUTE(SUBSTITUTE(SUBSTITUTE(SUBSTITUTE(SUBSTITUTE(SUBSTITUTE(SUBSTITUTE(SUBSTITUTE(SUBSTITUTE(SUBSTITUTE(SUBSTITUTE(SUBSTITUTE(SUBSTITUTE(SUBSTITUTE(AS73," "&amp;DJ2412&amp;" "," ")," "&amp;DJ2411&amp;" "," ")," "&amp;DJ2410&amp;" "," ")," "&amp;DJ2417&amp;" "," ")," "&amp;DJ2409&amp;" "," ")," "&amp;DJ2421&amp;" "," ")," "&amp;DJ2408&amp;" "," ")," "&amp;DJ2413&amp;" "," ")," "&amp;DJ2416&amp;" "," ")," "&amp;DJ2407&amp;" "," ")," "&amp;DJ2415&amp;" "," ")," "&amp;DJ2422&amp;" "," ")," "&amp;DJ2419&amp;" "," ")," "&amp;DJ2414&amp;" "," ")," "&amp;DJ2418&amp;" "," ")," "&amp;DJ2420&amp;" "," ")),"")</f>
        <v xml:space="preserve"> 0 </v>
      </c>
      <c r="DC73" s="493" cm="1">
        <f t="array" ref="DC73">IF(62=62,IF(AM73="","",SUMPRODUCT(--ISNUMBER(SEARCH(" "&amp;DJ2423:DJ2427&amp;" ",DB73)))),"")</f>
        <v>0</v>
      </c>
      <c r="DD73" s="493" t="str">
        <f>IF(62=62,IF(AM73="","",IF(SUM(CY73:DA73)&gt;0,"X",IF(DC73&gt;0,"?",""))),"")</f>
        <v/>
      </c>
      <c r="DE73" s="494"/>
      <c r="DF73" s="496" t="s">
        <v>1254</v>
      </c>
      <c r="DG73" s="496" t="s">
        <v>1083</v>
      </c>
      <c r="DH73" s="496" t="s">
        <v>689</v>
      </c>
      <c r="DI73" s="496" t="s">
        <v>54</v>
      </c>
      <c r="DJ73" s="496" t="s">
        <v>54</v>
      </c>
      <c r="DK73" s="496" t="s">
        <v>1085</v>
      </c>
      <c r="DL73" s="496" t="s">
        <v>1086</v>
      </c>
      <c r="DM73" s="496" t="s">
        <v>1087</v>
      </c>
      <c r="DN73" s="497" t="s">
        <v>1088</v>
      </c>
      <c r="DP73" s="543">
        <v>1</v>
      </c>
    </row>
    <row r="74" spans="2:120" ht="30" customHeight="1">
      <c r="B74" s="663" t="str">
        <f t="shared" si="0"/>
        <v/>
      </c>
      <c r="C74" s="663" t="str">
        <f t="shared" si="1"/>
        <v/>
      </c>
      <c r="D74" s="663" t="str">
        <f>IF(UPPER(TRIM(N11))="X",C74,B74)</f>
        <v/>
      </c>
      <c r="E74" s="663" cm="1">
        <f t="array" ref="E74">IF(H73&lt;&gt;"",E73,IF(E73="","",IFERROR(MATCH(TRUE(),INDEX(INDEX(K:K,E73+1):K203&lt;&gt;"",0),0)+E73,"")))</f>
        <v>215</v>
      </c>
      <c r="F74" s="663" cm="1">
        <f t="array" ref="F74">IF(E74="","",IF(H73&lt;&gt;"",H73,INDEX(D:D,E74)))</f>
        <v>0</v>
      </c>
      <c r="G74" s="663" t="str">
        <f t="shared" si="2"/>
        <v>0</v>
      </c>
      <c r="H74" s="673" t="str">
        <f t="shared" si="3"/>
        <v/>
      </c>
      <c r="I74" s="680" t="str">
        <f>IF(AND(F74&lt;&gt;"",N10&gt;0,M74&gt;N10),"Mot &gt; limite","")</f>
        <v/>
      </c>
      <c r="J74" s="674" t="str">
        <f>IF(K74="","",COUNTIF(K18:K74,"&lt;&gt;"))</f>
        <v/>
      </c>
      <c r="K74" s="675"/>
      <c r="L74" s="674" t="str">
        <f t="shared" si="4"/>
        <v/>
      </c>
      <c r="M74" s="643">
        <f>IF(OR(F74="",N10="",N10&lt;=0),"",IF(LEN(F74)&lt;=N10,LEN(F74),IFERROR(FIND("♦",SUBSTITUTE(LEFT(F74,N10)," ","♦",LEN(LEFT(F74,N10))-LEN(SUBSTITUTE(LEFT(F74,N10)," ","")))),FIND(" ",F74&amp;" ",N10+1)-1)))</f>
        <v>1</v>
      </c>
      <c r="N74" s="676">
        <f t="shared" si="5"/>
        <v>57</v>
      </c>
      <c r="O74" s="677" t="str">
        <f t="shared" si="6"/>
        <v>0</v>
      </c>
      <c r="P74" s="676">
        <f t="shared" si="7"/>
        <v>1</v>
      </c>
      <c r="Q74" s="676">
        <f t="shared" si="8"/>
        <v>1</v>
      </c>
      <c r="S74" s="509">
        <v>57</v>
      </c>
      <c r="T74" s="678" t="str">
        <f t="shared" si="10"/>
        <v>0</v>
      </c>
      <c r="U74" s="679" t="str">
        <f t="shared" si="11"/>
        <v>0</v>
      </c>
      <c r="V74" s="512" t="str">
        <f>IF(63=63,IF(T74="","",IF(W74="X",""&amp;"Céréales contenant du gluten","")&amp;IF(X74="X",IF(COUNTIF(W74:W74,"X")&gt;0,", ","")&amp;"Crustacés","")&amp;IF(Y74="X",IF(COUNTIF(W74:X74,"X")&gt;0,", ","")&amp;"Œufs","")&amp;IF(Z74="X",IF(COUNTIF(W74:Y74,"X")&gt;0,", ","")&amp;"Poissons","")&amp;IF(AA74="X",IF(COUNTIF(W74:Z74,"X")&gt;0,", ","")&amp;"Arachides","")&amp;IF(AB74="X",IF(COUNTIF(W74:AA74,"X")&gt;0,", ","")&amp;"Soja","")&amp;IF(AC74="X",IF(COUNTIF(W74:AB74,"X")&gt;0,", ","")&amp;"Lait","")&amp;IF(AD74="X",IF(COUNTIF(W74:AC74,"X")&gt;0,", ","")&amp;"Fruits à coque","")&amp;IF(AE74="X",IF(COUNTIF(W74:AD74,"X")&gt;0,", ","")&amp;"Céleri","")&amp;IF(AF74="X",IF(COUNTIF(W74:AE74,"X")&gt;0,", ","")&amp;"Moutarde","")&amp;IF(AG74="X",IF(COUNTIF(W74:AF74,"X")&gt;0,", ","")&amp;"Sésame","")&amp;IF(AH74="X",IF(COUNTIF(W74:AG74,"X")&gt;0,", ","")&amp;"Sulfites","")&amp;IF(AI74="X",IF(COUNTIF(W74:AH74,"X")&gt;0,", ","")&amp;"Lupin","")&amp;IF(AJ74="X",IF(COUNTIF(W74:AI74,"X")&gt;0,", ","")&amp;"Mollusques","")),"")</f>
        <v/>
      </c>
      <c r="W74" s="513" t="str">
        <f>IF(63=63,IF(T74="","",AX74),"")</f>
        <v/>
      </c>
      <c r="X74" s="513" t="str">
        <f>IF(63=63,IF(T74="","",BA74),"")</f>
        <v/>
      </c>
      <c r="Y74" s="513" t="str">
        <f>IF(63=63,IF(T74="","",BE74),"")</f>
        <v/>
      </c>
      <c r="Z74" s="513" t="str">
        <f>IF(63=63,IF(T74="","",IF(ISNUMBER(SEARCH(" colin ",AS74)),"X",BR74)),"")</f>
        <v/>
      </c>
      <c r="AA74" s="513" t="str">
        <f>IF(63=63,IF(T74="","",BT74),"")</f>
        <v/>
      </c>
      <c r="AB74" s="513" t="str">
        <f>IF(63=63,IF(T74="","",BX74),"")</f>
        <v/>
      </c>
      <c r="AC74" s="513" t="str">
        <f>IF(63=63,IF(T74="","",CE74),"")</f>
        <v/>
      </c>
      <c r="AD74" s="513" t="str">
        <f>IF(63=63,IF(T74="","",CI74),"")</f>
        <v/>
      </c>
      <c r="AE74" s="513" t="str">
        <f>IF(63=63,IF(T74="","",CL74),"")</f>
        <v/>
      </c>
      <c r="AF74" s="513" t="str">
        <f>IF(63=63,IF(T74="","",CO74),"")</f>
        <v/>
      </c>
      <c r="AG74" s="513" t="str">
        <f>IF(63=63,IF(T74="","",CR74),"")</f>
        <v/>
      </c>
      <c r="AH74" s="513" t="str">
        <f>IF(63=63,IF(T74="","",CU74),"")</f>
        <v/>
      </c>
      <c r="AI74" s="513" t="str">
        <f>IF(63=63,IF(T74="","",CX74),"")</f>
        <v/>
      </c>
      <c r="AJ74" s="513" t="str">
        <f>IF(63=63,IF(T74="","",DD74),"")</f>
        <v/>
      </c>
      <c r="AK74" s="514" t="str">
        <f>IF(63=63,IF(T74="","",IF(W74="?",""&amp;"Céréales contenant du gluten","")&amp;IF(X74="?",IF(COUNTIF(W74:W74,"~?")&gt;0,", ","")&amp;"Crustacés","")&amp;IF(Y74="?",IF(COUNTIF(W74:X74,"~?")&gt;0,", ","")&amp;"Œufs","")&amp;IF(Z74="?",IF(COUNTIF(W74:Y74,"~?")&gt;0,", ","")&amp;"Poissons","")&amp;IF(AA74="?",IF(COUNTIF(W74:Z74,"~?")&gt;0,", ","")&amp;"Arachides","")&amp;IF(AB74="?",IF(COUNTIF(W74:AA74,"~?")&gt;0,", ","")&amp;"Soja","")&amp;IF(AC74="?",IF(COUNTIF(W74:AB74,"~?")&gt;0,", ","")&amp;"Lait","")&amp;IF(AD74="?",IF(COUNTIF(W74:AC74,"~?")&gt;0,", ","")&amp;"Fruits à coque","")&amp;IF(AE74="?",IF(COUNTIF(W74:AD74,"~?")&gt;0,", ","")&amp;"Céleri","")&amp;IF(AF74="?",IF(COUNTIF(W74:AE74,"~?")&gt;0,", ","")&amp;"Moutarde","")&amp;IF(AG74="?",IF(COUNTIF(W74:AF74,"~?")&gt;0,", ","")&amp;"Sésame","")&amp;IF(AH74="?",IF(COUNTIF(W74:AG74,"~?")&gt;0,", ","")&amp;"Sulfites","")&amp;IF(AI74="?",IF(COUNTIF(W74:AH74,"~?")&gt;0,", ","")&amp;"Lupin","")&amp;IF(AJ74="?",IF(COUNTIF(W74:AI74,"~?")&gt;0,", ","")&amp;"Mollusques","")),"")</f>
        <v/>
      </c>
      <c r="AM74" s="493" t="str">
        <f>IF(63=63,IF(T74="","",T74),"")</f>
        <v>0</v>
      </c>
      <c r="AN74" s="493" t="str">
        <f>IF(63=63,LOWER(CLEAN(SUBSTITUTE(SUBSTITUTE(SUBSTITUTE(SUBSTITUTE(AM74,CHAR(160)," ")," "," "),CHAR(10)," "),CHAR(13)," "))),"")</f>
        <v>0</v>
      </c>
      <c r="AO74" s="493" t="str">
        <f>IF(63=63,SUBSTITUTE(SUBSTITUTE(SUBSTITUTE(SUBSTITUTE(SUBSTITUTE(SUBSTITUTE(SUBSTITUTE(SUBSTITUTE(SUBSTITUTE(SUBSTITUTE(SUBSTITUTE(SUBSTITUTE(AN74,"œ","oe"),"æ","ae"),"à","a"),"á","a"),"â","a"),"ä","a"),"ã","a"),"ç","c"),"è","e"),"é","e"),"ê","e"),"ë","e"),"")</f>
        <v>0</v>
      </c>
      <c r="AP74" s="493" t="str">
        <f>IF(63=63,SUBSTITUTE(SUBSTITUTE(SUBSTITUTE(SUBSTITUTE(SUBSTITUTE(SUBSTITUTE(SUBSTITUTE(SUBSTITUTE(SUBSTITUTE(SUBSTITUTE(SUBSTITUTE(SUBSTITUTE(SUBSTITUTE(SUBSTITUTE(SUBSTITUTE(SUBSTITUTE(AO74,"ì","i"),"í","i"),"î","i"),"ï","i"),"ñ","n"),"ò","o"),"ó","o"),"ô","o"),"ö","o"),"õ","o"),"ù","u"),"ú","u"),"û","u"),"ü","u"),"ý","y"),"ÿ","y"),"")</f>
        <v>0</v>
      </c>
      <c r="AQ74" s="493" t="str">
        <f>IF(63=63,SUBSTITUTE(SUBSTITUTE(SUBSTITUTE(SUBSTITUTE(SUBSTITUTE(SUBSTITUTE(SUBSTITUTE(SUBSTITUTE(SUBSTITUTE(SUBSTITUTE(SUBSTITUTE(SUBSTITUTE(SUBSTITUTE(SUBSTITUTE(AP74,"’"," "),"`"," "),"–"," "),"—"," "),"-"," "),"'"," "),"/"," "),"_"," "),","," "),"."," "),"("," "),")"," "),";"," "),":"," "),"")</f>
        <v>0</v>
      </c>
      <c r="AR74" s="493" t="str">
        <f>IF(63=63,SUBSTITUTE(SUBSTITUTE(SUBSTITUTE(SUBSTITUTE(SUBSTITUTE(SUBSTITUTE(SUBSTITUTE(SUBSTITUTE(SUBSTITUTE(SUBSTITUTE(SUBSTITUTE(SUBSTITUTE(SUBSTITUTE(SUBSTITUTE(SUBSTITUTE(AQ74,"!"," "),"?"," "),"+"," "),"*"," "),"&amp;"," "),"["," "),"]"," "),"{"," "),"}"," "),"%"," "),"="," "),"\"," "),"|"," "),"&lt;"," "),"&gt;"," "),"")</f>
        <v>0</v>
      </c>
      <c r="AS74" s="493" t="str">
        <f>IF(63=63," "&amp;TRIM(SUBSTITUTE(SUBSTITUTE(SUBSTITUTE(SUBSTITUTE(SUBSTITUTE(SUBSTITUTE(AR74,CHAR(34)," "),"  "," "),"  "," "),"  "," "),"  "," "),"  "," "))&amp;" ","")</f>
        <v xml:space="preserve"> 0 </v>
      </c>
      <c r="AT74" s="493" cm="1">
        <f t="array" ref="AT74">IF(63=63,IF(AM74="","",SUMPRODUCT(--ISNUMBER(SEARCH(" "&amp;DJ13:DJ112&amp;" ",AV74)))),"")</f>
        <v>0</v>
      </c>
      <c r="AU74" s="493" cm="1">
        <f t="array" ref="AU74">IF(63=63,IF(AM74="","",SUMPRODUCT(--ISNUMBER(SEARCH(" "&amp;DJ113:DJ162&amp;" ",AV74)))),"")</f>
        <v>0</v>
      </c>
      <c r="AV74" s="493" t="str">
        <f>IF(AM74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74,"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0 </v>
      </c>
      <c r="AW74" s="493" cm="1">
        <f t="array" ref="AW74">IF(AM74="","",SUMPRODUCT(--ISNUMBER(SEARCH(" "&amp;DJ195:DJ216&amp;" ",AV74)))+--ISNUMBER(SEARCH(" "&amp;DJ2465&amp;" ",AV74)))</f>
        <v>0</v>
      </c>
      <c r="AX74" s="493" t="str" cm="1">
        <f t="array" ref="AX74">IF(63=63,IF(AM74="","",IF(SUM(AT74:AU74)+SUMPRODUCT(--ISNUMBER(SEARCH(" "&amp;DJ2429:DJ2431&amp;" ",AV74)))&gt;0,"X",IF(AW74&gt;0,"?",""))),"")</f>
        <v/>
      </c>
      <c r="AY74" s="493" cm="1">
        <f t="array" ref="AY74">IF(63=63,IF(AM74="","",SUMPRODUCT(--ISNUMBER(SEARCH(" "&amp;DJ217:DJ316&amp;" ",AS74)))),"")</f>
        <v>0</v>
      </c>
      <c r="AZ74" s="493" cm="1">
        <f t="array" ref="AZ74">IF(63=63,IF(AM74="","",SUMPRODUCT(--ISNUMBER(SEARCH(" "&amp;DJ317:DJ351&amp;" ",AS74)))),"")</f>
        <v>0</v>
      </c>
      <c r="BA74" s="493" t="str">
        <f>IF(63=63,IF(AM74="","",IF((SUM(AY74:AZ74))-(0)&gt;0,"X",IF((0)-(0)&gt;0,"?",""))),"")</f>
        <v/>
      </c>
      <c r="BB74" s="493" cm="1">
        <f t="array" ref="BB74">IF(63=63,IF(AM74="","",SUMPRODUCT(--ISNUMBER(SEARCH(" "&amp;DJ352:DJ409&amp;" ",AS74)))),"")</f>
        <v>0</v>
      </c>
      <c r="BC74" s="493" cm="1">
        <f t="array" ref="BC74">IF(63=63,IF(AM74="","",SUMPRODUCT(--ISNUMBER(SEARCH(" "&amp;DJ410:DJ437&amp;" ",BD74)))+SUMPRODUCT(--ISNUMBER(SEARCH(" "&amp;DJ2451:DJ2464&amp;" ",BD74)))),"")</f>
        <v>0</v>
      </c>
      <c r="BD74" s="493" t="str">
        <f>IF(63=63,IF(AM74="","",SUBSTITUTE(SUBSTITUTE(SUBSTITUTE(SUBSTITUTE(SUBSTITUTE(SUBSTITUTE(SUBSTITUTE(SUBSTITUTE(SUBSTITUTE(SUBSTITUTE(SUBSTITUTE(SUBSTITUTE(SUBSTITUTE(SUBSTITUTE(AS74," "&amp;DJ2466&amp;" "," ")," "&amp;DJ444&amp;" "," ")," "&amp;DJ442&amp;" "," ")," "&amp;DJ2449&amp;" "," ")," "&amp;DJ2450&amp;" "," ")," "&amp;DJ439&amp;" "," ")," "&amp;DJ443&amp;" "," ")," "&amp;DJ445&amp;" "," ")," "&amp;DJ440&amp;" "," ")," "&amp;DJ438&amp;" "," ")," "&amp;DJ1378&amp;" "," ")," "&amp;DJ446&amp;" "," ")," "&amp;DJ1377&amp;" "," ")," "&amp;DJ441&amp;" "," ")),"")</f>
        <v xml:space="preserve"> 0 </v>
      </c>
      <c r="BE74" s="493" t="str">
        <f>IF(63=63,IF(AM74="","",IF(BB74&gt;0,"X",IF(BC74&gt;0,"?",""))),"")</f>
        <v/>
      </c>
      <c r="BF74" s="493" cm="1">
        <f t="array" ref="BF74">IF(63=63,IF(AM74="","",SUMPRODUCT(--ISNUMBER(SEARCH(" "&amp;DJ447:DJ546&amp;" ",BP74)))),"")</f>
        <v>0</v>
      </c>
      <c r="BG74" s="493" cm="1">
        <f t="array" ref="BG74">IF(63=63,IF(AM74="","",SUMPRODUCT(--ISNUMBER(SEARCH(" "&amp;DJ547:DJ646&amp;" ",BP74)))),"")</f>
        <v>0</v>
      </c>
      <c r="BH74" s="493" cm="1">
        <f t="array" ref="BH74">IF(63=63,IF(AM74="","",SUMPRODUCT(--ISNUMBER(SEARCH(" "&amp;DJ647:DJ746&amp;" ",BP74)))),"")</f>
        <v>0</v>
      </c>
      <c r="BI74" s="493" cm="1">
        <f t="array" ref="BI74">IF(63=63,IF(AM74="","",SUMPRODUCT(--ISNUMBER(SEARCH(" "&amp;DJ747:DJ846&amp;" ",BP74)))),"")</f>
        <v>0</v>
      </c>
      <c r="BJ74" s="493" cm="1">
        <f t="array" ref="BJ74">IF(63=63,IF(AM74="","",SUMPRODUCT(--ISNUMBER(SEARCH(" "&amp;DJ847:DJ946&amp;" ",BP74)))),"")</f>
        <v>0</v>
      </c>
      <c r="BK74" s="493" cm="1">
        <f t="array" ref="BK74">IF(63=63,IF(AM74="","",SUMPRODUCT(--ISNUMBER(SEARCH(" "&amp;DJ947:DJ1046&amp;" ",BP74)))),"")</f>
        <v>0</v>
      </c>
      <c r="BL74" s="493" cm="1">
        <f t="array" ref="BL74">IF(63=63,IF(AM74="","",SUMPRODUCT(--ISNUMBER(SEARCH(" "&amp;DJ1047:DJ1146&amp;" ",BP74)))),"")</f>
        <v>0</v>
      </c>
      <c r="BM74" s="493" cm="1">
        <f t="array" ref="BM74">IF(63=63,IF(AM74="","",SUMPRODUCT(--ISNUMBER(SEARCH(" "&amp;DJ1147:DJ1246&amp;" ",BP74)))),"")</f>
        <v>0</v>
      </c>
      <c r="BN74" s="493" cm="1">
        <f t="array" ref="BN74">IF(63=63,IF(AM74="","",SUMPRODUCT(--ISNUMBER(SEARCH(" "&amp;DJ1247:DJ1346&amp;" ",BP74)))),"")</f>
        <v>0</v>
      </c>
      <c r="BO74" s="493" cm="1">
        <f t="array" ref="BO74">IF(63=63,IF(AM74="","",SUMPRODUCT(--ISNUMBER(SEARCH(" "&amp;DJ1347:DJ1374&amp;" ",BP74)))),"")</f>
        <v>0</v>
      </c>
      <c r="BP74" s="493" t="str">
        <f>IF(63=63,IF(AM74="","",SUBSTITUTE(SUBSTITUTE(SUBSTITUTE(SUBSTITUTE(SUBSTITUTE(SUBSTITUTE(SUBSTITUTE(SUBSTITUTE(SUBSTITUTE(AS74," "&amp;DJ1376&amp;" "," ")," "&amp;DJ1375&amp;" "," ")," "&amp;DJ1381&amp;" "," ")," "&amp;DJ1382&amp;" "," ")," "&amp;DJ1378&amp;" "," ")," "&amp;DJ1380&amp;" "," ")," "&amp;DJ1377&amp;" "," ")," "&amp;DJ1379&amp;" "," ")," "&amp;DJ1383&amp;" "," ")),"")</f>
        <v xml:space="preserve"> 0 </v>
      </c>
      <c r="BQ74" s="493" cm="1">
        <f t="array" ref="BQ74">IF(63=63,IF(AM74="","",SUMPRODUCT(--ISNUMBER(SEARCH(" "&amp;DJ1384:DJ1394&amp;" ",BP74)))),"")</f>
        <v>0</v>
      </c>
      <c r="BR74" s="493" t="str" cm="1">
        <f t="array" ref="BR74">IF(63=63,IF(AM74="","",IF(SUM(BF74:BO74)+SUMPRODUCT(--ISNUMBER(SEARCH(" "&amp;DJ2432:DJ2433&amp;" ",BP74)))&gt;0,"X",IF(BQ74&gt;0,"?",""))),"")</f>
        <v/>
      </c>
      <c r="BS74" s="493" cm="1">
        <f t="array" ref="BS74">IF(63=63,IF(AM74="","",SUMPRODUCT(--ISNUMBER(SEARCH(" "&amp;DJ1395:DJ1415&amp;" ",AS74)))),"")</f>
        <v>0</v>
      </c>
      <c r="BT74" s="493" t="str">
        <f>IF(63=63,IF(AM74="","",IF((BS74)-(0)&gt;0,"X",IF((0)-(0)&gt;0,"?",""))),"")</f>
        <v/>
      </c>
      <c r="BU74" s="493" cm="1">
        <f t="array" ref="BU74">IF(63=63,IF(AM74="","",SUMPRODUCT(--ISNUMBER(SEARCH(" "&amp;DJ1416:DJ1453&amp;" ",BV74)))),"")</f>
        <v>0</v>
      </c>
      <c r="BV74" s="493" t="str">
        <f>IF(63=63,IF(AM74="","",SUBSTITUTE(SUBSTITUTE(AS74," "&amp;DJ1454&amp;" "," ")," "&amp;DJ1455&amp;" "," ")),"")</f>
        <v xml:space="preserve"> 0 </v>
      </c>
      <c r="BW74" s="493" cm="1">
        <f t="array" ref="BW74">IF(63=63,IF(AM74="","",SUMPRODUCT(--ISNUMBER(SEARCH(" "&amp;DJ1456:DJ1466&amp;" ",BV74)))),"")</f>
        <v>0</v>
      </c>
      <c r="BX74" s="493" t="str">
        <f>IF(63=63,IF(AM74="","",IF(BU74&gt;0,"X",IF(BW74&gt;0,"?",""))),"")</f>
        <v/>
      </c>
      <c r="BY74" s="493" cm="1">
        <f t="array" ref="BY74">IF(63=63,IF(AM74="","",SUMPRODUCT(--ISNUMBER(SEARCH(" "&amp;DJ1467:DJ1566&amp;" ",CB74)))),"")</f>
        <v>0</v>
      </c>
      <c r="BZ74" s="493" cm="1">
        <f t="array" ref="BZ74">IF(63=63,IF(AM74="","",SUMPRODUCT(--ISNUMBER(SEARCH(" "&amp;DJ1567:DJ1666&amp;" ",CB74)))),"")</f>
        <v>0</v>
      </c>
      <c r="CA74" s="493" cm="1">
        <f t="array" ref="CA74">IF(63=63,IF(AM74="","",SUMPRODUCT(--ISNUMBER(SEARCH(" "&amp;DJ1667:DJ1750&amp;" ",CB74)))),"")</f>
        <v>0</v>
      </c>
      <c r="CB74" s="493" t="str">
        <f>IF(63=63,IF(AM74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74,"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0 </v>
      </c>
      <c r="CC74" s="493" cm="1">
        <f t="array" ref="CC74">IF(63=63,IF(AM74="","",SUMPRODUCT(--ISNUMBER(SEARCH(" "&amp;DJ1801:DJ1880&amp;" ",CD74)))+SUMPRODUCT(--ISNUMBER(SEARCH(" "&amp;DJ2451:DJ2464&amp;" ",CD74)))),"")</f>
        <v>0</v>
      </c>
      <c r="CD74" s="493" t="str">
        <f>IF(63=63,IF(AM74="","",SUBSTITUTE(SUBSTITUTE(SUBSTITUTE(SUBSTITUTE(SUBSTITUTE(SUBSTITUTE(SUBSTITUTE(SUBSTITUTE(SUBSTITUTE(SUBSTITUTE(SUBSTITUTE(SUBSTITUTE(SUBSTITUTE(CB74," "&amp;DJ1887&amp;" "," ")," "&amp;DJ1885&amp;" "," ")," "&amp;DJ2449&amp;" "," ")," "&amp;DJ2450&amp;" "," ")," "&amp;DJ1882&amp;" "," ")," "&amp;DJ1886&amp;" "," ")," "&amp;DJ1888&amp;" "," ")," "&amp;DJ1883&amp;" "," ")," "&amp;DJ1881&amp;" "," ")," "&amp;DJ1378&amp;" "," ")," "&amp;DJ1889&amp;" "," ")," "&amp;DJ1377&amp;" "," ")," "&amp;DJ1884&amp;" "," ")),"")</f>
        <v xml:space="preserve"> 0 </v>
      </c>
      <c r="CE74" s="493" t="str" cm="1">
        <f t="array" ref="CE74">IF(63=63,IF(AM74="","",IF(SUM(BY74:CA74)+SUMPRODUCT(--ISNUMBER(SEARCH(" "&amp;DJ2434:DJ2435&amp;" ",CB74)))&gt;0,"X",IF(CC74&gt;0,"?",""))),"")</f>
        <v/>
      </c>
      <c r="CF74" s="493" cm="1">
        <f t="array" ref="CF74">IF(63=63,IF(AM74="","",SUMPRODUCT(--ISNUMBER(SEARCH(" "&amp;DJ1890:DJ1947&amp;" ",CG74)))),"")</f>
        <v>0</v>
      </c>
      <c r="CG74" s="493" t="str">
        <f>IF(63=63,IF(AM74="","",SUBSTITUTE(SUBSTITUTE(SUBSTITUTE(SUBSTITUTE(SUBSTITUTE(SUBSTITUTE(SUBSTITUTE(SUBSTITUTE(SUBSTITUTE(SUBSTITUTE(SUBSTITUTE(SUBSTITUTE(SUBSTITUTE(SUBSTITUTE(SUBSTITUTE(SUBSTITUTE(SUBSTITUTE(SUBSTITUTE(SUBSTITUTE(SUBSTITUTE(SUBSTITUTE(SUBSTITUTE(SUBSTITUTE(AS74,"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0 </v>
      </c>
      <c r="CH74" s="493" cm="1">
        <f t="array" ref="CH74">IF(63=63,IF(AM74="","",SUMPRODUCT(--ISNUMBER(SEARCH(" "&amp;DJ1971:DJ1987&amp;" ",CG74)))),"")</f>
        <v>0</v>
      </c>
      <c r="CI74" s="493" t="str">
        <f>IF(63=63,IF(AM74="","",IF(CF74&gt;0,"X",IF(CH74&gt;0,"?",""))),"")</f>
        <v/>
      </c>
      <c r="CJ74" s="493" cm="1">
        <f t="array" ref="CJ74">IF(63=63,IF(AM74="","",SUMPRODUCT(--ISNUMBER(SEARCH(" "&amp;DJ1988:DJ2001&amp;" ",AS74)))),"")</f>
        <v>0</v>
      </c>
      <c r="CK74" s="493" cm="1">
        <f t="array" ref="CK74">IF(63=63,IF(AM74="","",SUMPRODUCT(--ISNUMBER(SEARCH(" "&amp;DJ2002:DJ2016&amp;" ",AS74)))),"")</f>
        <v>0</v>
      </c>
      <c r="CL74" s="493" t="str">
        <f>IF(63=63,IF(AM74="","",IF((CJ74)-(0)&gt;0,"X",IF((CK74)-(0)&gt;0,"?",""))),"")</f>
        <v/>
      </c>
      <c r="CM74" s="493" cm="1">
        <f t="array" ref="CM74">IF(63=63,IF(AM74="","",SUMPRODUCT(--ISNUMBER(SEARCH(" "&amp;DJ2017:DJ2034&amp;" ",AS74)))),"")</f>
        <v>0</v>
      </c>
      <c r="CN74" s="493" cm="1">
        <f t="array" ref="CN74">IF(63=63,IF(AM74="","",SUMPRODUCT(--ISNUMBER(SEARCH(" "&amp;DJ2035:DJ2049&amp;" ",AS74)))),"")</f>
        <v>0</v>
      </c>
      <c r="CO74" s="493" t="str">
        <f>IF(63=63,IF(AM74="","",IF((CM74)-(0)&gt;0,"X",IF((CN74)-(0)&gt;0,"?",""))),"")</f>
        <v/>
      </c>
      <c r="CP74" s="493" cm="1">
        <f t="array" ref="CP74">IF(63=63,IF(AM74="","",SUMPRODUCT(--ISNUMBER(SEARCH(" "&amp;DJ2050:DJ2068&amp;" ",AS74)))),"")</f>
        <v>0</v>
      </c>
      <c r="CQ74" s="493" cm="1">
        <f t="array" ref="CQ74">IF(63=63,IF(AM74="","",SUMPRODUCT(--ISNUMBER(SEARCH(" "&amp;DJ2069:DJ2083&amp;" ",AS74)))),"")</f>
        <v>0</v>
      </c>
      <c r="CR74" s="493" t="str">
        <f>IF(63=63,IF(AM74="","",IF((CP74)-(0)&gt;0,"X",IF((CQ74)-(0)&gt;0,"?",""))),"")</f>
        <v/>
      </c>
      <c r="CS74" s="493" cm="1">
        <f t="array" ref="CS74">IF(63=63,IF(AM74="","",SUMPRODUCT(--ISNUMBER(SEARCH(" "&amp;DJ2084:DJ2104&amp;" ",AS74)))),"")</f>
        <v>0</v>
      </c>
      <c r="CT74" s="493" cm="1">
        <f t="array" ref="CT74">IF(63=63,IF(AM74="","",SUMPRODUCT(--ISNUMBER(SEARCH(" "&amp;DJ2105:DJ2144&amp;" ",SUBSTITUTE(SUBSTITUTE(AS74," "&amp;DJ1378&amp;" "," ")," "&amp;DJ1377&amp;" "," "))))+--ISNUMBER(SEARCH("poiré",AN74))),"")</f>
        <v>0</v>
      </c>
      <c r="CU74" s="493" t="str">
        <f>IF(63=63,IF(AM74="","",IF(OR(CS74&gt;0,ISNUMBER(SEARCH(" vinaigre de vin ",AS74)),ISNUMBER(SEARCH(" vinaigre au vin ",AS74))),"X",IF(CT74&gt;0,"?",""))),"")</f>
        <v/>
      </c>
      <c r="CV74" s="493" cm="1">
        <f t="array" ref="CV74">IF(63=63,IF(AM74="","",SUMPRODUCT(--ISNUMBER(SEARCH(" "&amp;DJ2145:DJ2157&amp;" ",AS74)))),"")</f>
        <v>0</v>
      </c>
      <c r="CW74" s="493" cm="1">
        <f t="array" ref="CW74">IF(63=63,IF(AM74="","",SUMPRODUCT(--ISNUMBER(SEARCH(" "&amp;DJ2158:DJ2163&amp;" ",AS74)))),"")</f>
        <v>0</v>
      </c>
      <c r="CX74" s="493" t="str">
        <f>IF(63=63,IF(AM74="","",IF((CV74)-(0)&gt;0,"X",IF((CW74)-(0)&gt;0,"?",""))),"")</f>
        <v/>
      </c>
      <c r="CY74" s="493" cm="1">
        <f t="array" ref="CY74">IF(63=63,IF(AM74="","",SUMPRODUCT(--ISNUMBER(SEARCH(" "&amp;DJ2164:DJ2263&amp;" ",DB74)))),"")</f>
        <v>0</v>
      </c>
      <c r="CZ74" s="493" cm="1">
        <f t="array" ref="CZ74">IF(63=63,IF(AM74="","",SUMPRODUCT(--ISNUMBER(SEARCH(" "&amp;DJ2264:DJ2363&amp;" ",DB74)))),"")</f>
        <v>0</v>
      </c>
      <c r="DA74" s="493" cm="1">
        <f t="array" ref="DA74">IF(63=63,IF(AM74="","",SUMPRODUCT(--ISNUMBER(SEARCH(" "&amp;DJ2364:DJ2406&amp;" ",DB74)))),"")</f>
        <v>0</v>
      </c>
      <c r="DB74" s="493" t="str">
        <f>IF(63=63,IF(AM74="","",SUBSTITUTE(SUBSTITUTE(SUBSTITUTE(SUBSTITUTE(SUBSTITUTE(SUBSTITUTE(SUBSTITUTE(SUBSTITUTE(SUBSTITUTE(SUBSTITUTE(SUBSTITUTE(SUBSTITUTE(SUBSTITUTE(SUBSTITUTE(SUBSTITUTE(SUBSTITUTE(AS74," "&amp;DJ2412&amp;" "," ")," "&amp;DJ2411&amp;" "," ")," "&amp;DJ2410&amp;" "," ")," "&amp;DJ2417&amp;" "," ")," "&amp;DJ2409&amp;" "," ")," "&amp;DJ2421&amp;" "," ")," "&amp;DJ2408&amp;" "," ")," "&amp;DJ2413&amp;" "," ")," "&amp;DJ2416&amp;" "," ")," "&amp;DJ2407&amp;" "," ")," "&amp;DJ2415&amp;" "," ")," "&amp;DJ2422&amp;" "," ")," "&amp;DJ2419&amp;" "," ")," "&amp;DJ2414&amp;" "," ")," "&amp;DJ2418&amp;" "," ")," "&amp;DJ2420&amp;" "," ")),"")</f>
        <v xml:space="preserve"> 0 </v>
      </c>
      <c r="DC74" s="493" cm="1">
        <f t="array" ref="DC74">IF(63=63,IF(AM74="","",SUMPRODUCT(--ISNUMBER(SEARCH(" "&amp;DJ2423:DJ2427&amp;" ",DB74)))),"")</f>
        <v>0</v>
      </c>
      <c r="DD74" s="493" t="str">
        <f>IF(63=63,IF(AM74="","",IF(SUM(CY74:DA74)&gt;0,"X",IF(DC74&gt;0,"?",""))),"")</f>
        <v/>
      </c>
      <c r="DE74" s="494"/>
      <c r="DF74" s="496" t="s">
        <v>1255</v>
      </c>
      <c r="DG74" s="496" t="s">
        <v>1083</v>
      </c>
      <c r="DH74" s="496" t="s">
        <v>689</v>
      </c>
      <c r="DI74" s="496" t="s">
        <v>904</v>
      </c>
      <c r="DJ74" s="496" t="s">
        <v>904</v>
      </c>
      <c r="DK74" s="496" t="s">
        <v>1085</v>
      </c>
      <c r="DL74" s="496" t="s">
        <v>1086</v>
      </c>
      <c r="DM74" s="496" t="s">
        <v>1087</v>
      </c>
      <c r="DN74" s="497" t="s">
        <v>1088</v>
      </c>
      <c r="DP74" s="543">
        <v>1</v>
      </c>
    </row>
    <row r="75" spans="2:120" ht="30" customHeight="1">
      <c r="B75" s="663" t="str">
        <f t="shared" si="0"/>
        <v/>
      </c>
      <c r="C75" s="663" t="str">
        <f t="shared" si="1"/>
        <v/>
      </c>
      <c r="D75" s="663" t="str">
        <f>IF(UPPER(TRIM(N11))="X",C75,B75)</f>
        <v/>
      </c>
      <c r="E75" s="663" cm="1">
        <f t="array" ref="E75">IF(H74&lt;&gt;"",E74,IF(E74="","",IFERROR(MATCH(TRUE(),INDEX(INDEX(K:K,E74+1):K203&lt;&gt;"",0),0)+E74,"")))</f>
        <v>216</v>
      </c>
      <c r="F75" s="663" cm="1">
        <f t="array" ref="F75">IF(E75="","",IF(H74&lt;&gt;"",H74,INDEX(D:D,E75)))</f>
        <v>0</v>
      </c>
      <c r="G75" s="663" t="str">
        <f t="shared" si="2"/>
        <v>0</v>
      </c>
      <c r="H75" s="673" t="str">
        <f t="shared" si="3"/>
        <v/>
      </c>
      <c r="I75" s="680" t="str">
        <f>IF(AND(F75&lt;&gt;"",N10&gt;0,M75&gt;N10),"Mot &gt; limite","")</f>
        <v/>
      </c>
      <c r="J75" s="674" t="str">
        <f>IF(K75="","",COUNTIF(K18:K75,"&lt;&gt;"))</f>
        <v/>
      </c>
      <c r="K75" s="675"/>
      <c r="L75" s="674" t="str">
        <f t="shared" si="4"/>
        <v/>
      </c>
      <c r="M75" s="643">
        <f>IF(OR(F75="",N10="",N10&lt;=0),"",IF(LEN(F75)&lt;=N10,LEN(F75),IFERROR(FIND("♦",SUBSTITUTE(LEFT(F75,N10)," ","♦",LEN(LEFT(F75,N10))-LEN(SUBSTITUTE(LEFT(F75,N10)," ","")))),FIND(" ",F75&amp;" ",N10+1)-1)))</f>
        <v>1</v>
      </c>
      <c r="N75" s="676">
        <f t="shared" si="5"/>
        <v>58</v>
      </c>
      <c r="O75" s="677" t="str">
        <f t="shared" si="6"/>
        <v>0</v>
      </c>
      <c r="P75" s="676">
        <f t="shared" si="7"/>
        <v>1</v>
      </c>
      <c r="Q75" s="676">
        <f t="shared" si="8"/>
        <v>1</v>
      </c>
      <c r="S75" s="509">
        <v>58</v>
      </c>
      <c r="T75" s="678" t="str">
        <f t="shared" si="10"/>
        <v>0</v>
      </c>
      <c r="U75" s="679" t="str">
        <f t="shared" si="11"/>
        <v>0</v>
      </c>
      <c r="V75" s="512" t="str">
        <f>IF(64=64,IF(T75="","",IF(W75="X",""&amp;"Céréales contenant du gluten","")&amp;IF(X75="X",IF(COUNTIF(W75:W75,"X")&gt;0,", ","")&amp;"Crustacés","")&amp;IF(Y75="X",IF(COUNTIF(W75:X75,"X")&gt;0,", ","")&amp;"Œufs","")&amp;IF(Z75="X",IF(COUNTIF(W75:Y75,"X")&gt;0,", ","")&amp;"Poissons","")&amp;IF(AA75="X",IF(COUNTIF(W75:Z75,"X")&gt;0,", ","")&amp;"Arachides","")&amp;IF(AB75="X",IF(COUNTIF(W75:AA75,"X")&gt;0,", ","")&amp;"Soja","")&amp;IF(AC75="X",IF(COUNTIF(W75:AB75,"X")&gt;0,", ","")&amp;"Lait","")&amp;IF(AD75="X",IF(COUNTIF(W75:AC75,"X")&gt;0,", ","")&amp;"Fruits à coque","")&amp;IF(AE75="X",IF(COUNTIF(W75:AD75,"X")&gt;0,", ","")&amp;"Céleri","")&amp;IF(AF75="X",IF(COUNTIF(W75:AE75,"X")&gt;0,", ","")&amp;"Moutarde","")&amp;IF(AG75="X",IF(COUNTIF(W75:AF75,"X")&gt;0,", ","")&amp;"Sésame","")&amp;IF(AH75="X",IF(COUNTIF(W75:AG75,"X")&gt;0,", ","")&amp;"Sulfites","")&amp;IF(AI75="X",IF(COUNTIF(W75:AH75,"X")&gt;0,", ","")&amp;"Lupin","")&amp;IF(AJ75="X",IF(COUNTIF(W75:AI75,"X")&gt;0,", ","")&amp;"Mollusques","")),"")</f>
        <v/>
      </c>
      <c r="W75" s="513" t="str">
        <f>IF(64=64,IF(T75="","",AX75),"")</f>
        <v/>
      </c>
      <c r="X75" s="513" t="str">
        <f>IF(64=64,IF(T75="","",BA75),"")</f>
        <v/>
      </c>
      <c r="Y75" s="513" t="str">
        <f>IF(64=64,IF(T75="","",BE75),"")</f>
        <v/>
      </c>
      <c r="Z75" s="513" t="str">
        <f>IF(64=64,IF(T75="","",IF(ISNUMBER(SEARCH(" colin ",AS75)),"X",BR75)),"")</f>
        <v/>
      </c>
      <c r="AA75" s="513" t="str">
        <f>IF(64=64,IF(T75="","",BT75),"")</f>
        <v/>
      </c>
      <c r="AB75" s="513" t="str">
        <f>IF(64=64,IF(T75="","",BX75),"")</f>
        <v/>
      </c>
      <c r="AC75" s="513" t="str">
        <f>IF(64=64,IF(T75="","",CE75),"")</f>
        <v/>
      </c>
      <c r="AD75" s="513" t="str">
        <f>IF(64=64,IF(T75="","",CI75),"")</f>
        <v/>
      </c>
      <c r="AE75" s="513" t="str">
        <f>IF(64=64,IF(T75="","",CL75),"")</f>
        <v/>
      </c>
      <c r="AF75" s="513" t="str">
        <f>IF(64=64,IF(T75="","",CO75),"")</f>
        <v/>
      </c>
      <c r="AG75" s="513" t="str">
        <f>IF(64=64,IF(T75="","",CR75),"")</f>
        <v/>
      </c>
      <c r="AH75" s="513" t="str">
        <f>IF(64=64,IF(T75="","",CU75),"")</f>
        <v/>
      </c>
      <c r="AI75" s="513" t="str">
        <f>IF(64=64,IF(T75="","",CX75),"")</f>
        <v/>
      </c>
      <c r="AJ75" s="513" t="str">
        <f>IF(64=64,IF(T75="","",DD75),"")</f>
        <v/>
      </c>
      <c r="AK75" s="514" t="str">
        <f>IF(64=64,IF(T75="","",IF(W75="?",""&amp;"Céréales contenant du gluten","")&amp;IF(X75="?",IF(COUNTIF(W75:W75,"~?")&gt;0,", ","")&amp;"Crustacés","")&amp;IF(Y75="?",IF(COUNTIF(W75:X75,"~?")&gt;0,", ","")&amp;"Œufs","")&amp;IF(Z75="?",IF(COUNTIF(W75:Y75,"~?")&gt;0,", ","")&amp;"Poissons","")&amp;IF(AA75="?",IF(COUNTIF(W75:Z75,"~?")&gt;0,", ","")&amp;"Arachides","")&amp;IF(AB75="?",IF(COUNTIF(W75:AA75,"~?")&gt;0,", ","")&amp;"Soja","")&amp;IF(AC75="?",IF(COUNTIF(W75:AB75,"~?")&gt;0,", ","")&amp;"Lait","")&amp;IF(AD75="?",IF(COUNTIF(W75:AC75,"~?")&gt;0,", ","")&amp;"Fruits à coque","")&amp;IF(AE75="?",IF(COUNTIF(W75:AD75,"~?")&gt;0,", ","")&amp;"Céleri","")&amp;IF(AF75="?",IF(COUNTIF(W75:AE75,"~?")&gt;0,", ","")&amp;"Moutarde","")&amp;IF(AG75="?",IF(COUNTIF(W75:AF75,"~?")&gt;0,", ","")&amp;"Sésame","")&amp;IF(AH75="?",IF(COUNTIF(W75:AG75,"~?")&gt;0,", ","")&amp;"Sulfites","")&amp;IF(AI75="?",IF(COUNTIF(W75:AH75,"~?")&gt;0,", ","")&amp;"Lupin","")&amp;IF(AJ75="?",IF(COUNTIF(W75:AI75,"~?")&gt;0,", ","")&amp;"Mollusques","")),"")</f>
        <v/>
      </c>
      <c r="AM75" s="493" t="str">
        <f>IF(64=64,IF(T75="","",T75),"")</f>
        <v>0</v>
      </c>
      <c r="AN75" s="493" t="str">
        <f>IF(64=64,LOWER(CLEAN(SUBSTITUTE(SUBSTITUTE(SUBSTITUTE(SUBSTITUTE(AM75,CHAR(160)," ")," "," "),CHAR(10)," "),CHAR(13)," "))),"")</f>
        <v>0</v>
      </c>
      <c r="AO75" s="493" t="str">
        <f>IF(64=64,SUBSTITUTE(SUBSTITUTE(SUBSTITUTE(SUBSTITUTE(SUBSTITUTE(SUBSTITUTE(SUBSTITUTE(SUBSTITUTE(SUBSTITUTE(SUBSTITUTE(SUBSTITUTE(SUBSTITUTE(AN75,"œ","oe"),"æ","ae"),"à","a"),"á","a"),"â","a"),"ä","a"),"ã","a"),"ç","c"),"è","e"),"é","e"),"ê","e"),"ë","e"),"")</f>
        <v>0</v>
      </c>
      <c r="AP75" s="493" t="str">
        <f>IF(64=64,SUBSTITUTE(SUBSTITUTE(SUBSTITUTE(SUBSTITUTE(SUBSTITUTE(SUBSTITUTE(SUBSTITUTE(SUBSTITUTE(SUBSTITUTE(SUBSTITUTE(SUBSTITUTE(SUBSTITUTE(SUBSTITUTE(SUBSTITUTE(SUBSTITUTE(SUBSTITUTE(AO75,"ì","i"),"í","i"),"î","i"),"ï","i"),"ñ","n"),"ò","o"),"ó","o"),"ô","o"),"ö","o"),"õ","o"),"ù","u"),"ú","u"),"û","u"),"ü","u"),"ý","y"),"ÿ","y"),"")</f>
        <v>0</v>
      </c>
      <c r="AQ75" s="493" t="str">
        <f>IF(64=64,SUBSTITUTE(SUBSTITUTE(SUBSTITUTE(SUBSTITUTE(SUBSTITUTE(SUBSTITUTE(SUBSTITUTE(SUBSTITUTE(SUBSTITUTE(SUBSTITUTE(SUBSTITUTE(SUBSTITUTE(SUBSTITUTE(SUBSTITUTE(AP75,"’"," "),"`"," "),"–"," "),"—"," "),"-"," "),"'"," "),"/"," "),"_"," "),","," "),"."," "),"("," "),")"," "),";"," "),":"," "),"")</f>
        <v>0</v>
      </c>
      <c r="AR75" s="493" t="str">
        <f>IF(64=64,SUBSTITUTE(SUBSTITUTE(SUBSTITUTE(SUBSTITUTE(SUBSTITUTE(SUBSTITUTE(SUBSTITUTE(SUBSTITUTE(SUBSTITUTE(SUBSTITUTE(SUBSTITUTE(SUBSTITUTE(SUBSTITUTE(SUBSTITUTE(SUBSTITUTE(AQ75,"!"," "),"?"," "),"+"," "),"*"," "),"&amp;"," "),"["," "),"]"," "),"{"," "),"}"," "),"%"," "),"="," "),"\"," "),"|"," "),"&lt;"," "),"&gt;"," "),"")</f>
        <v>0</v>
      </c>
      <c r="AS75" s="493" t="str">
        <f>IF(64=64," "&amp;TRIM(SUBSTITUTE(SUBSTITUTE(SUBSTITUTE(SUBSTITUTE(SUBSTITUTE(SUBSTITUTE(AR75,CHAR(34)," "),"  "," "),"  "," "),"  "," "),"  "," "),"  "," "))&amp;" ","")</f>
        <v xml:space="preserve"> 0 </v>
      </c>
      <c r="AT75" s="493" cm="1">
        <f t="array" ref="AT75">IF(64=64,IF(AM75="","",SUMPRODUCT(--ISNUMBER(SEARCH(" "&amp;DJ13:DJ112&amp;" ",AV75)))),"")</f>
        <v>0</v>
      </c>
      <c r="AU75" s="493" cm="1">
        <f t="array" ref="AU75">IF(64=64,IF(AM75="","",SUMPRODUCT(--ISNUMBER(SEARCH(" "&amp;DJ113:DJ162&amp;" ",AV75)))),"")</f>
        <v>0</v>
      </c>
      <c r="AV75" s="493" t="str">
        <f>IF(AM75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75,"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0 </v>
      </c>
      <c r="AW75" s="493" cm="1">
        <f t="array" ref="AW75">IF(AM75="","",SUMPRODUCT(--ISNUMBER(SEARCH(" "&amp;DJ195:DJ216&amp;" ",AV75)))+--ISNUMBER(SEARCH(" "&amp;DJ2465&amp;" ",AV75)))</f>
        <v>0</v>
      </c>
      <c r="AX75" s="493" t="str" cm="1">
        <f t="array" ref="AX75">IF(64=64,IF(AM75="","",IF(SUM(AT75:AU75)+SUMPRODUCT(--ISNUMBER(SEARCH(" "&amp;DJ2429:DJ2431&amp;" ",AV75)))&gt;0,"X",IF(AW75&gt;0,"?",""))),"")</f>
        <v/>
      </c>
      <c r="AY75" s="493" cm="1">
        <f t="array" ref="AY75">IF(64=64,IF(AM75="","",SUMPRODUCT(--ISNUMBER(SEARCH(" "&amp;DJ217:DJ316&amp;" ",AS75)))),"")</f>
        <v>0</v>
      </c>
      <c r="AZ75" s="493" cm="1">
        <f t="array" ref="AZ75">IF(64=64,IF(AM75="","",SUMPRODUCT(--ISNUMBER(SEARCH(" "&amp;DJ317:DJ351&amp;" ",AS75)))),"")</f>
        <v>0</v>
      </c>
      <c r="BA75" s="493" t="str">
        <f>IF(64=64,IF(AM75="","",IF((SUM(AY75:AZ75))-(0)&gt;0,"X",IF((0)-(0)&gt;0,"?",""))),"")</f>
        <v/>
      </c>
      <c r="BB75" s="493" cm="1">
        <f t="array" ref="BB75">IF(64=64,IF(AM75="","",SUMPRODUCT(--ISNUMBER(SEARCH(" "&amp;DJ352:DJ409&amp;" ",AS75)))),"")</f>
        <v>0</v>
      </c>
      <c r="BC75" s="493" cm="1">
        <f t="array" ref="BC75">IF(64=64,IF(AM75="","",SUMPRODUCT(--ISNUMBER(SEARCH(" "&amp;DJ410:DJ437&amp;" ",BD75)))+SUMPRODUCT(--ISNUMBER(SEARCH(" "&amp;DJ2451:DJ2464&amp;" ",BD75)))),"")</f>
        <v>0</v>
      </c>
      <c r="BD75" s="493" t="str">
        <f>IF(64=64,IF(AM75="","",SUBSTITUTE(SUBSTITUTE(SUBSTITUTE(SUBSTITUTE(SUBSTITUTE(SUBSTITUTE(SUBSTITUTE(SUBSTITUTE(SUBSTITUTE(SUBSTITUTE(SUBSTITUTE(SUBSTITUTE(SUBSTITUTE(SUBSTITUTE(AS75," "&amp;DJ2466&amp;" "," ")," "&amp;DJ444&amp;" "," ")," "&amp;DJ442&amp;" "," ")," "&amp;DJ2449&amp;" "," ")," "&amp;DJ2450&amp;" "," ")," "&amp;DJ439&amp;" "," ")," "&amp;DJ443&amp;" "," ")," "&amp;DJ445&amp;" "," ")," "&amp;DJ440&amp;" "," ")," "&amp;DJ438&amp;" "," ")," "&amp;DJ1378&amp;" "," ")," "&amp;DJ446&amp;" "," ")," "&amp;DJ1377&amp;" "," ")," "&amp;DJ441&amp;" "," ")),"")</f>
        <v xml:space="preserve"> 0 </v>
      </c>
      <c r="BE75" s="493" t="str">
        <f>IF(64=64,IF(AM75="","",IF(BB75&gt;0,"X",IF(BC75&gt;0,"?",""))),"")</f>
        <v/>
      </c>
      <c r="BF75" s="493" cm="1">
        <f t="array" ref="BF75">IF(64=64,IF(AM75="","",SUMPRODUCT(--ISNUMBER(SEARCH(" "&amp;DJ447:DJ546&amp;" ",BP75)))),"")</f>
        <v>0</v>
      </c>
      <c r="BG75" s="493" cm="1">
        <f t="array" ref="BG75">IF(64=64,IF(AM75="","",SUMPRODUCT(--ISNUMBER(SEARCH(" "&amp;DJ547:DJ646&amp;" ",BP75)))),"")</f>
        <v>0</v>
      </c>
      <c r="BH75" s="493" cm="1">
        <f t="array" ref="BH75">IF(64=64,IF(AM75="","",SUMPRODUCT(--ISNUMBER(SEARCH(" "&amp;DJ647:DJ746&amp;" ",BP75)))),"")</f>
        <v>0</v>
      </c>
      <c r="BI75" s="493" cm="1">
        <f t="array" ref="BI75">IF(64=64,IF(AM75="","",SUMPRODUCT(--ISNUMBER(SEARCH(" "&amp;DJ747:DJ846&amp;" ",BP75)))),"")</f>
        <v>0</v>
      </c>
      <c r="BJ75" s="493" cm="1">
        <f t="array" ref="BJ75">IF(64=64,IF(AM75="","",SUMPRODUCT(--ISNUMBER(SEARCH(" "&amp;DJ847:DJ946&amp;" ",BP75)))),"")</f>
        <v>0</v>
      </c>
      <c r="BK75" s="493" cm="1">
        <f t="array" ref="BK75">IF(64=64,IF(AM75="","",SUMPRODUCT(--ISNUMBER(SEARCH(" "&amp;DJ947:DJ1046&amp;" ",BP75)))),"")</f>
        <v>0</v>
      </c>
      <c r="BL75" s="493" cm="1">
        <f t="array" ref="BL75">IF(64=64,IF(AM75="","",SUMPRODUCT(--ISNUMBER(SEARCH(" "&amp;DJ1047:DJ1146&amp;" ",BP75)))),"")</f>
        <v>0</v>
      </c>
      <c r="BM75" s="493" cm="1">
        <f t="array" ref="BM75">IF(64=64,IF(AM75="","",SUMPRODUCT(--ISNUMBER(SEARCH(" "&amp;DJ1147:DJ1246&amp;" ",BP75)))),"")</f>
        <v>0</v>
      </c>
      <c r="BN75" s="493" cm="1">
        <f t="array" ref="BN75">IF(64=64,IF(AM75="","",SUMPRODUCT(--ISNUMBER(SEARCH(" "&amp;DJ1247:DJ1346&amp;" ",BP75)))),"")</f>
        <v>0</v>
      </c>
      <c r="BO75" s="493" cm="1">
        <f t="array" ref="BO75">IF(64=64,IF(AM75="","",SUMPRODUCT(--ISNUMBER(SEARCH(" "&amp;DJ1347:DJ1374&amp;" ",BP75)))),"")</f>
        <v>0</v>
      </c>
      <c r="BP75" s="493" t="str">
        <f>IF(64=64,IF(AM75="","",SUBSTITUTE(SUBSTITUTE(SUBSTITUTE(SUBSTITUTE(SUBSTITUTE(SUBSTITUTE(SUBSTITUTE(SUBSTITUTE(SUBSTITUTE(AS75," "&amp;DJ1376&amp;" "," ")," "&amp;DJ1375&amp;" "," ")," "&amp;DJ1381&amp;" "," ")," "&amp;DJ1382&amp;" "," ")," "&amp;DJ1378&amp;" "," ")," "&amp;DJ1380&amp;" "," ")," "&amp;DJ1377&amp;" "," ")," "&amp;DJ1379&amp;" "," ")," "&amp;DJ1383&amp;" "," ")),"")</f>
        <v xml:space="preserve"> 0 </v>
      </c>
      <c r="BQ75" s="493" cm="1">
        <f t="array" ref="BQ75">IF(64=64,IF(AM75="","",SUMPRODUCT(--ISNUMBER(SEARCH(" "&amp;DJ1384:DJ1394&amp;" ",BP75)))),"")</f>
        <v>0</v>
      </c>
      <c r="BR75" s="493" t="str" cm="1">
        <f t="array" ref="BR75">IF(64=64,IF(AM75="","",IF(SUM(BF75:BO75)+SUMPRODUCT(--ISNUMBER(SEARCH(" "&amp;DJ2432:DJ2433&amp;" ",BP75)))&gt;0,"X",IF(BQ75&gt;0,"?",""))),"")</f>
        <v/>
      </c>
      <c r="BS75" s="493" cm="1">
        <f t="array" ref="BS75">IF(64=64,IF(AM75="","",SUMPRODUCT(--ISNUMBER(SEARCH(" "&amp;DJ1395:DJ1415&amp;" ",AS75)))),"")</f>
        <v>0</v>
      </c>
      <c r="BT75" s="493" t="str">
        <f>IF(64=64,IF(AM75="","",IF((BS75)-(0)&gt;0,"X",IF((0)-(0)&gt;0,"?",""))),"")</f>
        <v/>
      </c>
      <c r="BU75" s="493" cm="1">
        <f t="array" ref="BU75">IF(64=64,IF(AM75="","",SUMPRODUCT(--ISNUMBER(SEARCH(" "&amp;DJ1416:DJ1453&amp;" ",BV75)))),"")</f>
        <v>0</v>
      </c>
      <c r="BV75" s="493" t="str">
        <f>IF(64=64,IF(AM75="","",SUBSTITUTE(SUBSTITUTE(AS75," "&amp;DJ1454&amp;" "," ")," "&amp;DJ1455&amp;" "," ")),"")</f>
        <v xml:space="preserve"> 0 </v>
      </c>
      <c r="BW75" s="493" cm="1">
        <f t="array" ref="BW75">IF(64=64,IF(AM75="","",SUMPRODUCT(--ISNUMBER(SEARCH(" "&amp;DJ1456:DJ1466&amp;" ",BV75)))),"")</f>
        <v>0</v>
      </c>
      <c r="BX75" s="493" t="str">
        <f>IF(64=64,IF(AM75="","",IF(BU75&gt;0,"X",IF(BW75&gt;0,"?",""))),"")</f>
        <v/>
      </c>
      <c r="BY75" s="493" cm="1">
        <f t="array" ref="BY75">IF(64=64,IF(AM75="","",SUMPRODUCT(--ISNUMBER(SEARCH(" "&amp;DJ1467:DJ1566&amp;" ",CB75)))),"")</f>
        <v>0</v>
      </c>
      <c r="BZ75" s="493" cm="1">
        <f t="array" ref="BZ75">IF(64=64,IF(AM75="","",SUMPRODUCT(--ISNUMBER(SEARCH(" "&amp;DJ1567:DJ1666&amp;" ",CB75)))),"")</f>
        <v>0</v>
      </c>
      <c r="CA75" s="493" cm="1">
        <f t="array" ref="CA75">IF(64=64,IF(AM75="","",SUMPRODUCT(--ISNUMBER(SEARCH(" "&amp;DJ1667:DJ1750&amp;" ",CB75)))),"")</f>
        <v>0</v>
      </c>
      <c r="CB75" s="493" t="str">
        <f>IF(64=64,IF(AM75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75,"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0 </v>
      </c>
      <c r="CC75" s="493" cm="1">
        <f t="array" ref="CC75">IF(64=64,IF(AM75="","",SUMPRODUCT(--ISNUMBER(SEARCH(" "&amp;DJ1801:DJ1880&amp;" ",CD75)))+SUMPRODUCT(--ISNUMBER(SEARCH(" "&amp;DJ2451:DJ2464&amp;" ",CD75)))),"")</f>
        <v>0</v>
      </c>
      <c r="CD75" s="493" t="str">
        <f>IF(64=64,IF(AM75="","",SUBSTITUTE(SUBSTITUTE(SUBSTITUTE(SUBSTITUTE(SUBSTITUTE(SUBSTITUTE(SUBSTITUTE(SUBSTITUTE(SUBSTITUTE(SUBSTITUTE(SUBSTITUTE(SUBSTITUTE(SUBSTITUTE(CB75," "&amp;DJ1887&amp;" "," ")," "&amp;DJ1885&amp;" "," ")," "&amp;DJ2449&amp;" "," ")," "&amp;DJ2450&amp;" "," ")," "&amp;DJ1882&amp;" "," ")," "&amp;DJ1886&amp;" "," ")," "&amp;DJ1888&amp;" "," ")," "&amp;DJ1883&amp;" "," ")," "&amp;DJ1881&amp;" "," ")," "&amp;DJ1378&amp;" "," ")," "&amp;DJ1889&amp;" "," ")," "&amp;DJ1377&amp;" "," ")," "&amp;DJ1884&amp;" "," ")),"")</f>
        <v xml:space="preserve"> 0 </v>
      </c>
      <c r="CE75" s="493" t="str" cm="1">
        <f t="array" ref="CE75">IF(64=64,IF(AM75="","",IF(SUM(BY75:CA75)+SUMPRODUCT(--ISNUMBER(SEARCH(" "&amp;DJ2434:DJ2435&amp;" ",CB75)))&gt;0,"X",IF(CC75&gt;0,"?",""))),"")</f>
        <v/>
      </c>
      <c r="CF75" s="493" cm="1">
        <f t="array" ref="CF75">IF(64=64,IF(AM75="","",SUMPRODUCT(--ISNUMBER(SEARCH(" "&amp;DJ1890:DJ1947&amp;" ",CG75)))),"")</f>
        <v>0</v>
      </c>
      <c r="CG75" s="493" t="str">
        <f>IF(64=64,IF(AM75="","",SUBSTITUTE(SUBSTITUTE(SUBSTITUTE(SUBSTITUTE(SUBSTITUTE(SUBSTITUTE(SUBSTITUTE(SUBSTITUTE(SUBSTITUTE(SUBSTITUTE(SUBSTITUTE(SUBSTITUTE(SUBSTITUTE(SUBSTITUTE(SUBSTITUTE(SUBSTITUTE(SUBSTITUTE(SUBSTITUTE(SUBSTITUTE(SUBSTITUTE(SUBSTITUTE(SUBSTITUTE(SUBSTITUTE(AS75,"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0 </v>
      </c>
      <c r="CH75" s="493" cm="1">
        <f t="array" ref="CH75">IF(64=64,IF(AM75="","",SUMPRODUCT(--ISNUMBER(SEARCH(" "&amp;DJ1971:DJ1987&amp;" ",CG75)))),"")</f>
        <v>0</v>
      </c>
      <c r="CI75" s="493" t="str">
        <f>IF(64=64,IF(AM75="","",IF(CF75&gt;0,"X",IF(CH75&gt;0,"?",""))),"")</f>
        <v/>
      </c>
      <c r="CJ75" s="493" cm="1">
        <f t="array" ref="CJ75">IF(64=64,IF(AM75="","",SUMPRODUCT(--ISNUMBER(SEARCH(" "&amp;DJ1988:DJ2001&amp;" ",AS75)))),"")</f>
        <v>0</v>
      </c>
      <c r="CK75" s="493" cm="1">
        <f t="array" ref="CK75">IF(64=64,IF(AM75="","",SUMPRODUCT(--ISNUMBER(SEARCH(" "&amp;DJ2002:DJ2016&amp;" ",AS75)))),"")</f>
        <v>0</v>
      </c>
      <c r="CL75" s="493" t="str">
        <f>IF(64=64,IF(AM75="","",IF((CJ75)-(0)&gt;0,"X",IF((CK75)-(0)&gt;0,"?",""))),"")</f>
        <v/>
      </c>
      <c r="CM75" s="493" cm="1">
        <f t="array" ref="CM75">IF(64=64,IF(AM75="","",SUMPRODUCT(--ISNUMBER(SEARCH(" "&amp;DJ2017:DJ2034&amp;" ",AS75)))),"")</f>
        <v>0</v>
      </c>
      <c r="CN75" s="493" cm="1">
        <f t="array" ref="CN75">IF(64=64,IF(AM75="","",SUMPRODUCT(--ISNUMBER(SEARCH(" "&amp;DJ2035:DJ2049&amp;" ",AS75)))),"")</f>
        <v>0</v>
      </c>
      <c r="CO75" s="493" t="str">
        <f>IF(64=64,IF(AM75="","",IF((CM75)-(0)&gt;0,"X",IF((CN75)-(0)&gt;0,"?",""))),"")</f>
        <v/>
      </c>
      <c r="CP75" s="493" cm="1">
        <f t="array" ref="CP75">IF(64=64,IF(AM75="","",SUMPRODUCT(--ISNUMBER(SEARCH(" "&amp;DJ2050:DJ2068&amp;" ",AS75)))),"")</f>
        <v>0</v>
      </c>
      <c r="CQ75" s="493" cm="1">
        <f t="array" ref="CQ75">IF(64=64,IF(AM75="","",SUMPRODUCT(--ISNUMBER(SEARCH(" "&amp;DJ2069:DJ2083&amp;" ",AS75)))),"")</f>
        <v>0</v>
      </c>
      <c r="CR75" s="493" t="str">
        <f>IF(64=64,IF(AM75="","",IF((CP75)-(0)&gt;0,"X",IF((CQ75)-(0)&gt;0,"?",""))),"")</f>
        <v/>
      </c>
      <c r="CS75" s="493" cm="1">
        <f t="array" ref="CS75">IF(64=64,IF(AM75="","",SUMPRODUCT(--ISNUMBER(SEARCH(" "&amp;DJ2084:DJ2104&amp;" ",AS75)))),"")</f>
        <v>0</v>
      </c>
      <c r="CT75" s="493" cm="1">
        <f t="array" ref="CT75">IF(64=64,IF(AM75="","",SUMPRODUCT(--ISNUMBER(SEARCH(" "&amp;DJ2105:DJ2144&amp;" ",SUBSTITUTE(SUBSTITUTE(AS75," "&amp;DJ1378&amp;" "," ")," "&amp;DJ1377&amp;" "," "))))+--ISNUMBER(SEARCH("poiré",AN75))),"")</f>
        <v>0</v>
      </c>
      <c r="CU75" s="493" t="str">
        <f>IF(64=64,IF(AM75="","",IF(OR(CS75&gt;0,ISNUMBER(SEARCH(" vinaigre de vin ",AS75)),ISNUMBER(SEARCH(" vinaigre au vin ",AS75))),"X",IF(CT75&gt;0,"?",""))),"")</f>
        <v/>
      </c>
      <c r="CV75" s="493" cm="1">
        <f t="array" ref="CV75">IF(64=64,IF(AM75="","",SUMPRODUCT(--ISNUMBER(SEARCH(" "&amp;DJ2145:DJ2157&amp;" ",AS75)))),"")</f>
        <v>0</v>
      </c>
      <c r="CW75" s="493" cm="1">
        <f t="array" ref="CW75">IF(64=64,IF(AM75="","",SUMPRODUCT(--ISNUMBER(SEARCH(" "&amp;DJ2158:DJ2163&amp;" ",AS75)))),"")</f>
        <v>0</v>
      </c>
      <c r="CX75" s="493" t="str">
        <f>IF(64=64,IF(AM75="","",IF((CV75)-(0)&gt;0,"X",IF((CW75)-(0)&gt;0,"?",""))),"")</f>
        <v/>
      </c>
      <c r="CY75" s="493" cm="1">
        <f t="array" ref="CY75">IF(64=64,IF(AM75="","",SUMPRODUCT(--ISNUMBER(SEARCH(" "&amp;DJ2164:DJ2263&amp;" ",DB75)))),"")</f>
        <v>0</v>
      </c>
      <c r="CZ75" s="493" cm="1">
        <f t="array" ref="CZ75">IF(64=64,IF(AM75="","",SUMPRODUCT(--ISNUMBER(SEARCH(" "&amp;DJ2264:DJ2363&amp;" ",DB75)))),"")</f>
        <v>0</v>
      </c>
      <c r="DA75" s="493" cm="1">
        <f t="array" ref="DA75">IF(64=64,IF(AM75="","",SUMPRODUCT(--ISNUMBER(SEARCH(" "&amp;DJ2364:DJ2406&amp;" ",DB75)))),"")</f>
        <v>0</v>
      </c>
      <c r="DB75" s="493" t="str">
        <f>IF(64=64,IF(AM75="","",SUBSTITUTE(SUBSTITUTE(SUBSTITUTE(SUBSTITUTE(SUBSTITUTE(SUBSTITUTE(SUBSTITUTE(SUBSTITUTE(SUBSTITUTE(SUBSTITUTE(SUBSTITUTE(SUBSTITUTE(SUBSTITUTE(SUBSTITUTE(SUBSTITUTE(SUBSTITUTE(AS75," "&amp;DJ2412&amp;" "," ")," "&amp;DJ2411&amp;" "," ")," "&amp;DJ2410&amp;" "," ")," "&amp;DJ2417&amp;" "," ")," "&amp;DJ2409&amp;" "," ")," "&amp;DJ2421&amp;" "," ")," "&amp;DJ2408&amp;" "," ")," "&amp;DJ2413&amp;" "," ")," "&amp;DJ2416&amp;" "," ")," "&amp;DJ2407&amp;" "," ")," "&amp;DJ2415&amp;" "," ")," "&amp;DJ2422&amp;" "," ")," "&amp;DJ2419&amp;" "," ")," "&amp;DJ2414&amp;" "," ")," "&amp;DJ2418&amp;" "," ")," "&amp;DJ2420&amp;" "," ")),"")</f>
        <v xml:space="preserve"> 0 </v>
      </c>
      <c r="DC75" s="493" cm="1">
        <f t="array" ref="DC75">IF(64=64,IF(AM75="","",SUMPRODUCT(--ISNUMBER(SEARCH(" "&amp;DJ2423:DJ2427&amp;" ",DB75)))),"")</f>
        <v>0</v>
      </c>
      <c r="DD75" s="493" t="str">
        <f>IF(64=64,IF(AM75="","",IF(SUM(CY75:DA75)&gt;0,"X",IF(DC75&gt;0,"?",""))),"")</f>
        <v/>
      </c>
      <c r="DE75" s="494"/>
      <c r="DF75" s="496" t="s">
        <v>1256</v>
      </c>
      <c r="DG75" s="496" t="s">
        <v>1083</v>
      </c>
      <c r="DH75" s="496" t="s">
        <v>689</v>
      </c>
      <c r="DI75" s="496" t="s">
        <v>905</v>
      </c>
      <c r="DJ75" s="496" t="s">
        <v>905</v>
      </c>
      <c r="DK75" s="496" t="s">
        <v>1085</v>
      </c>
      <c r="DL75" s="496" t="s">
        <v>1086</v>
      </c>
      <c r="DM75" s="496" t="s">
        <v>1087</v>
      </c>
      <c r="DN75" s="497" t="s">
        <v>1088</v>
      </c>
      <c r="DP75" s="543">
        <v>1</v>
      </c>
    </row>
    <row r="76" spans="2:120" ht="30" customHeight="1">
      <c r="B76" s="663" t="str">
        <f t="shared" si="0"/>
        <v/>
      </c>
      <c r="C76" s="663" t="str">
        <f t="shared" si="1"/>
        <v/>
      </c>
      <c r="D76" s="663" t="str">
        <f>IF(UPPER(TRIM(N11))="X",C76,B76)</f>
        <v/>
      </c>
      <c r="E76" s="663" cm="1">
        <f t="array" ref="E76">IF(H75&lt;&gt;"",E75,IF(E75="","",IFERROR(MATCH(TRUE(),INDEX(INDEX(K:K,E75+1):K203&lt;&gt;"",0),0)+E75,"")))</f>
        <v>217</v>
      </c>
      <c r="F76" s="663" cm="1">
        <f t="array" ref="F76">IF(E76="","",IF(H75&lt;&gt;"",H75,INDEX(D:D,E76)))</f>
        <v>0</v>
      </c>
      <c r="G76" s="663" t="str">
        <f t="shared" si="2"/>
        <v>0</v>
      </c>
      <c r="H76" s="673" t="str">
        <f t="shared" si="3"/>
        <v/>
      </c>
      <c r="I76" s="680" t="str">
        <f>IF(AND(F76&lt;&gt;"",N10&gt;0,M76&gt;N10),"Mot &gt; limite","")</f>
        <v/>
      </c>
      <c r="J76" s="674" t="str">
        <f>IF(K76="","",COUNTIF(K18:K76,"&lt;&gt;"))</f>
        <v/>
      </c>
      <c r="K76" s="675"/>
      <c r="L76" s="674" t="str">
        <f t="shared" si="4"/>
        <v/>
      </c>
      <c r="M76" s="643">
        <f>IF(OR(F76="",N10="",N10&lt;=0),"",IF(LEN(F76)&lt;=N10,LEN(F76),IFERROR(FIND("♦",SUBSTITUTE(LEFT(F76,N10)," ","♦",LEN(LEFT(F76,N10))-LEN(SUBSTITUTE(LEFT(F76,N10)," ","")))),FIND(" ",F76&amp;" ",N10+1)-1)))</f>
        <v>1</v>
      </c>
      <c r="N76" s="676">
        <f t="shared" si="5"/>
        <v>59</v>
      </c>
      <c r="O76" s="677" t="str">
        <f t="shared" si="6"/>
        <v>0</v>
      </c>
      <c r="P76" s="676">
        <f t="shared" si="7"/>
        <v>1</v>
      </c>
      <c r="Q76" s="676">
        <f t="shared" si="8"/>
        <v>1</v>
      </c>
      <c r="S76" s="509">
        <v>59</v>
      </c>
      <c r="T76" s="678" t="str">
        <f t="shared" si="10"/>
        <v>0</v>
      </c>
      <c r="U76" s="679" t="str">
        <f t="shared" si="11"/>
        <v>0</v>
      </c>
      <c r="V76" s="512" t="str">
        <f>IF(65=65,IF(T76="","",IF(W76="X",""&amp;"Céréales contenant du gluten","")&amp;IF(X76="X",IF(COUNTIF(W76:W76,"X")&gt;0,", ","")&amp;"Crustacés","")&amp;IF(Y76="X",IF(COUNTIF(W76:X76,"X")&gt;0,", ","")&amp;"Œufs","")&amp;IF(Z76="X",IF(COUNTIF(W76:Y76,"X")&gt;0,", ","")&amp;"Poissons","")&amp;IF(AA76="X",IF(COUNTIF(W76:Z76,"X")&gt;0,", ","")&amp;"Arachides","")&amp;IF(AB76="X",IF(COUNTIF(W76:AA76,"X")&gt;0,", ","")&amp;"Soja","")&amp;IF(AC76="X",IF(COUNTIF(W76:AB76,"X")&gt;0,", ","")&amp;"Lait","")&amp;IF(AD76="X",IF(COUNTIF(W76:AC76,"X")&gt;0,", ","")&amp;"Fruits à coque","")&amp;IF(AE76="X",IF(COUNTIF(W76:AD76,"X")&gt;0,", ","")&amp;"Céleri","")&amp;IF(AF76="X",IF(COUNTIF(W76:AE76,"X")&gt;0,", ","")&amp;"Moutarde","")&amp;IF(AG76="X",IF(COUNTIF(W76:AF76,"X")&gt;0,", ","")&amp;"Sésame","")&amp;IF(AH76="X",IF(COUNTIF(W76:AG76,"X")&gt;0,", ","")&amp;"Sulfites","")&amp;IF(AI76="X",IF(COUNTIF(W76:AH76,"X")&gt;0,", ","")&amp;"Lupin","")&amp;IF(AJ76="X",IF(COUNTIF(W76:AI76,"X")&gt;0,", ","")&amp;"Mollusques","")),"")</f>
        <v/>
      </c>
      <c r="W76" s="513" t="str">
        <f>IF(65=65,IF(T76="","",AX76),"")</f>
        <v/>
      </c>
      <c r="X76" s="513" t="str">
        <f>IF(65=65,IF(T76="","",BA76),"")</f>
        <v/>
      </c>
      <c r="Y76" s="513" t="str">
        <f>IF(65=65,IF(T76="","",BE76),"")</f>
        <v/>
      </c>
      <c r="Z76" s="513" t="str">
        <f>IF(65=65,IF(T76="","",IF(ISNUMBER(SEARCH(" colin ",AS76)),"X",BR76)),"")</f>
        <v/>
      </c>
      <c r="AA76" s="513" t="str">
        <f>IF(65=65,IF(T76="","",BT76),"")</f>
        <v/>
      </c>
      <c r="AB76" s="513" t="str">
        <f>IF(65=65,IF(T76="","",BX76),"")</f>
        <v/>
      </c>
      <c r="AC76" s="513" t="str">
        <f>IF(65=65,IF(T76="","",CE76),"")</f>
        <v/>
      </c>
      <c r="AD76" s="513" t="str">
        <f>IF(65=65,IF(T76="","",CI76),"")</f>
        <v/>
      </c>
      <c r="AE76" s="513" t="str">
        <f>IF(65=65,IF(T76="","",CL76),"")</f>
        <v/>
      </c>
      <c r="AF76" s="513" t="str">
        <f>IF(65=65,IF(T76="","",CO76),"")</f>
        <v/>
      </c>
      <c r="AG76" s="513" t="str">
        <f>IF(65=65,IF(T76="","",CR76),"")</f>
        <v/>
      </c>
      <c r="AH76" s="513" t="str">
        <f>IF(65=65,IF(T76="","",CU76),"")</f>
        <v/>
      </c>
      <c r="AI76" s="513" t="str">
        <f>IF(65=65,IF(T76="","",CX76),"")</f>
        <v/>
      </c>
      <c r="AJ76" s="513" t="str">
        <f>IF(65=65,IF(T76="","",DD76),"")</f>
        <v/>
      </c>
      <c r="AK76" s="514" t="str">
        <f>IF(65=65,IF(T76="","",IF(W76="?",""&amp;"Céréales contenant du gluten","")&amp;IF(X76="?",IF(COUNTIF(W76:W76,"~?")&gt;0,", ","")&amp;"Crustacés","")&amp;IF(Y76="?",IF(COUNTIF(W76:X76,"~?")&gt;0,", ","")&amp;"Œufs","")&amp;IF(Z76="?",IF(COUNTIF(W76:Y76,"~?")&gt;0,", ","")&amp;"Poissons","")&amp;IF(AA76="?",IF(COUNTIF(W76:Z76,"~?")&gt;0,", ","")&amp;"Arachides","")&amp;IF(AB76="?",IF(COUNTIF(W76:AA76,"~?")&gt;0,", ","")&amp;"Soja","")&amp;IF(AC76="?",IF(COUNTIF(W76:AB76,"~?")&gt;0,", ","")&amp;"Lait","")&amp;IF(AD76="?",IF(COUNTIF(W76:AC76,"~?")&gt;0,", ","")&amp;"Fruits à coque","")&amp;IF(AE76="?",IF(COUNTIF(W76:AD76,"~?")&gt;0,", ","")&amp;"Céleri","")&amp;IF(AF76="?",IF(COUNTIF(W76:AE76,"~?")&gt;0,", ","")&amp;"Moutarde","")&amp;IF(AG76="?",IF(COUNTIF(W76:AF76,"~?")&gt;0,", ","")&amp;"Sésame","")&amp;IF(AH76="?",IF(COUNTIF(W76:AG76,"~?")&gt;0,", ","")&amp;"Sulfites","")&amp;IF(AI76="?",IF(COUNTIF(W76:AH76,"~?")&gt;0,", ","")&amp;"Lupin","")&amp;IF(AJ76="?",IF(COUNTIF(W76:AI76,"~?")&gt;0,", ","")&amp;"Mollusques","")),"")</f>
        <v/>
      </c>
      <c r="AM76" s="493" t="str">
        <f>IF(65=65,IF(T76="","",T76),"")</f>
        <v>0</v>
      </c>
      <c r="AN76" s="493" t="str">
        <f>IF(65=65,LOWER(CLEAN(SUBSTITUTE(SUBSTITUTE(SUBSTITUTE(SUBSTITUTE(AM76,CHAR(160)," ")," "," "),CHAR(10)," "),CHAR(13)," "))),"")</f>
        <v>0</v>
      </c>
      <c r="AO76" s="493" t="str">
        <f>IF(65=65,SUBSTITUTE(SUBSTITUTE(SUBSTITUTE(SUBSTITUTE(SUBSTITUTE(SUBSTITUTE(SUBSTITUTE(SUBSTITUTE(SUBSTITUTE(SUBSTITUTE(SUBSTITUTE(SUBSTITUTE(AN76,"œ","oe"),"æ","ae"),"à","a"),"á","a"),"â","a"),"ä","a"),"ã","a"),"ç","c"),"è","e"),"é","e"),"ê","e"),"ë","e"),"")</f>
        <v>0</v>
      </c>
      <c r="AP76" s="493" t="str">
        <f>IF(65=65,SUBSTITUTE(SUBSTITUTE(SUBSTITUTE(SUBSTITUTE(SUBSTITUTE(SUBSTITUTE(SUBSTITUTE(SUBSTITUTE(SUBSTITUTE(SUBSTITUTE(SUBSTITUTE(SUBSTITUTE(SUBSTITUTE(SUBSTITUTE(SUBSTITUTE(SUBSTITUTE(AO76,"ì","i"),"í","i"),"î","i"),"ï","i"),"ñ","n"),"ò","o"),"ó","o"),"ô","o"),"ö","o"),"õ","o"),"ù","u"),"ú","u"),"û","u"),"ü","u"),"ý","y"),"ÿ","y"),"")</f>
        <v>0</v>
      </c>
      <c r="AQ76" s="493" t="str">
        <f>IF(65=65,SUBSTITUTE(SUBSTITUTE(SUBSTITUTE(SUBSTITUTE(SUBSTITUTE(SUBSTITUTE(SUBSTITUTE(SUBSTITUTE(SUBSTITUTE(SUBSTITUTE(SUBSTITUTE(SUBSTITUTE(SUBSTITUTE(SUBSTITUTE(AP76,"’"," "),"`"," "),"–"," "),"—"," "),"-"," "),"'"," "),"/"," "),"_"," "),","," "),"."," "),"("," "),")"," "),";"," "),":"," "),"")</f>
        <v>0</v>
      </c>
      <c r="AR76" s="493" t="str">
        <f>IF(65=65,SUBSTITUTE(SUBSTITUTE(SUBSTITUTE(SUBSTITUTE(SUBSTITUTE(SUBSTITUTE(SUBSTITUTE(SUBSTITUTE(SUBSTITUTE(SUBSTITUTE(SUBSTITUTE(SUBSTITUTE(SUBSTITUTE(SUBSTITUTE(SUBSTITUTE(AQ76,"!"," "),"?"," "),"+"," "),"*"," "),"&amp;"," "),"["," "),"]"," "),"{"," "),"}"," "),"%"," "),"="," "),"\"," "),"|"," "),"&lt;"," "),"&gt;"," "),"")</f>
        <v>0</v>
      </c>
      <c r="AS76" s="493" t="str">
        <f>IF(65=65," "&amp;TRIM(SUBSTITUTE(SUBSTITUTE(SUBSTITUTE(SUBSTITUTE(SUBSTITUTE(SUBSTITUTE(AR76,CHAR(34)," "),"  "," "),"  "," "),"  "," "),"  "," "),"  "," "))&amp;" ","")</f>
        <v xml:space="preserve"> 0 </v>
      </c>
      <c r="AT76" s="493" cm="1">
        <f t="array" ref="AT76">IF(65=65,IF(AM76="","",SUMPRODUCT(--ISNUMBER(SEARCH(" "&amp;DJ13:DJ112&amp;" ",AV76)))),"")</f>
        <v>0</v>
      </c>
      <c r="AU76" s="493" cm="1">
        <f t="array" ref="AU76">IF(65=65,IF(AM76="","",SUMPRODUCT(--ISNUMBER(SEARCH(" "&amp;DJ113:DJ162&amp;" ",AV76)))),"")</f>
        <v>0</v>
      </c>
      <c r="AV76" s="493" t="str">
        <f>IF(AM76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76,"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0 </v>
      </c>
      <c r="AW76" s="493" cm="1">
        <f t="array" ref="AW76">IF(AM76="","",SUMPRODUCT(--ISNUMBER(SEARCH(" "&amp;DJ195:DJ216&amp;" ",AV76)))+--ISNUMBER(SEARCH(" "&amp;DJ2465&amp;" ",AV76)))</f>
        <v>0</v>
      </c>
      <c r="AX76" s="493" t="str" cm="1">
        <f t="array" ref="AX76">IF(65=65,IF(AM76="","",IF(SUM(AT76:AU76)+SUMPRODUCT(--ISNUMBER(SEARCH(" "&amp;DJ2429:DJ2431&amp;" ",AV76)))&gt;0,"X",IF(AW76&gt;0,"?",""))),"")</f>
        <v/>
      </c>
      <c r="AY76" s="493" cm="1">
        <f t="array" ref="AY76">IF(65=65,IF(AM76="","",SUMPRODUCT(--ISNUMBER(SEARCH(" "&amp;DJ217:DJ316&amp;" ",AS76)))),"")</f>
        <v>0</v>
      </c>
      <c r="AZ76" s="493" cm="1">
        <f t="array" ref="AZ76">IF(65=65,IF(AM76="","",SUMPRODUCT(--ISNUMBER(SEARCH(" "&amp;DJ317:DJ351&amp;" ",AS76)))),"")</f>
        <v>0</v>
      </c>
      <c r="BA76" s="493" t="str">
        <f>IF(65=65,IF(AM76="","",IF((SUM(AY76:AZ76))-(0)&gt;0,"X",IF((0)-(0)&gt;0,"?",""))),"")</f>
        <v/>
      </c>
      <c r="BB76" s="493" cm="1">
        <f t="array" ref="BB76">IF(65=65,IF(AM76="","",SUMPRODUCT(--ISNUMBER(SEARCH(" "&amp;DJ352:DJ409&amp;" ",AS76)))),"")</f>
        <v>0</v>
      </c>
      <c r="BC76" s="493" cm="1">
        <f t="array" ref="BC76">IF(65=65,IF(AM76="","",SUMPRODUCT(--ISNUMBER(SEARCH(" "&amp;DJ410:DJ437&amp;" ",BD76)))+SUMPRODUCT(--ISNUMBER(SEARCH(" "&amp;DJ2451:DJ2464&amp;" ",BD76)))),"")</f>
        <v>0</v>
      </c>
      <c r="BD76" s="493" t="str">
        <f>IF(65=65,IF(AM76="","",SUBSTITUTE(SUBSTITUTE(SUBSTITUTE(SUBSTITUTE(SUBSTITUTE(SUBSTITUTE(SUBSTITUTE(SUBSTITUTE(SUBSTITUTE(SUBSTITUTE(SUBSTITUTE(SUBSTITUTE(SUBSTITUTE(SUBSTITUTE(AS76," "&amp;DJ2466&amp;" "," ")," "&amp;DJ444&amp;" "," ")," "&amp;DJ442&amp;" "," ")," "&amp;DJ2449&amp;" "," ")," "&amp;DJ2450&amp;" "," ")," "&amp;DJ439&amp;" "," ")," "&amp;DJ443&amp;" "," ")," "&amp;DJ445&amp;" "," ")," "&amp;DJ440&amp;" "," ")," "&amp;DJ438&amp;" "," ")," "&amp;DJ1378&amp;" "," ")," "&amp;DJ446&amp;" "," ")," "&amp;DJ1377&amp;" "," ")," "&amp;DJ441&amp;" "," ")),"")</f>
        <v xml:space="preserve"> 0 </v>
      </c>
      <c r="BE76" s="493" t="str">
        <f>IF(65=65,IF(AM76="","",IF(BB76&gt;0,"X",IF(BC76&gt;0,"?",""))),"")</f>
        <v/>
      </c>
      <c r="BF76" s="493" cm="1">
        <f t="array" ref="BF76">IF(65=65,IF(AM76="","",SUMPRODUCT(--ISNUMBER(SEARCH(" "&amp;DJ447:DJ546&amp;" ",BP76)))),"")</f>
        <v>0</v>
      </c>
      <c r="BG76" s="493" cm="1">
        <f t="array" ref="BG76">IF(65=65,IF(AM76="","",SUMPRODUCT(--ISNUMBER(SEARCH(" "&amp;DJ547:DJ646&amp;" ",BP76)))),"")</f>
        <v>0</v>
      </c>
      <c r="BH76" s="493" cm="1">
        <f t="array" ref="BH76">IF(65=65,IF(AM76="","",SUMPRODUCT(--ISNUMBER(SEARCH(" "&amp;DJ647:DJ746&amp;" ",BP76)))),"")</f>
        <v>0</v>
      </c>
      <c r="BI76" s="493" cm="1">
        <f t="array" ref="BI76">IF(65=65,IF(AM76="","",SUMPRODUCT(--ISNUMBER(SEARCH(" "&amp;DJ747:DJ846&amp;" ",BP76)))),"")</f>
        <v>0</v>
      </c>
      <c r="BJ76" s="493" cm="1">
        <f t="array" ref="BJ76">IF(65=65,IF(AM76="","",SUMPRODUCT(--ISNUMBER(SEARCH(" "&amp;DJ847:DJ946&amp;" ",BP76)))),"")</f>
        <v>0</v>
      </c>
      <c r="BK76" s="493" cm="1">
        <f t="array" ref="BK76">IF(65=65,IF(AM76="","",SUMPRODUCT(--ISNUMBER(SEARCH(" "&amp;DJ947:DJ1046&amp;" ",BP76)))),"")</f>
        <v>0</v>
      </c>
      <c r="BL76" s="493" cm="1">
        <f t="array" ref="BL76">IF(65=65,IF(AM76="","",SUMPRODUCT(--ISNUMBER(SEARCH(" "&amp;DJ1047:DJ1146&amp;" ",BP76)))),"")</f>
        <v>0</v>
      </c>
      <c r="BM76" s="493" cm="1">
        <f t="array" ref="BM76">IF(65=65,IF(AM76="","",SUMPRODUCT(--ISNUMBER(SEARCH(" "&amp;DJ1147:DJ1246&amp;" ",BP76)))),"")</f>
        <v>0</v>
      </c>
      <c r="BN76" s="493" cm="1">
        <f t="array" ref="BN76">IF(65=65,IF(AM76="","",SUMPRODUCT(--ISNUMBER(SEARCH(" "&amp;DJ1247:DJ1346&amp;" ",BP76)))),"")</f>
        <v>0</v>
      </c>
      <c r="BO76" s="493" cm="1">
        <f t="array" ref="BO76">IF(65=65,IF(AM76="","",SUMPRODUCT(--ISNUMBER(SEARCH(" "&amp;DJ1347:DJ1374&amp;" ",BP76)))),"")</f>
        <v>0</v>
      </c>
      <c r="BP76" s="493" t="str">
        <f>IF(65=65,IF(AM76="","",SUBSTITUTE(SUBSTITUTE(SUBSTITUTE(SUBSTITUTE(SUBSTITUTE(SUBSTITUTE(SUBSTITUTE(SUBSTITUTE(SUBSTITUTE(AS76," "&amp;DJ1376&amp;" "," ")," "&amp;DJ1375&amp;" "," ")," "&amp;DJ1381&amp;" "," ")," "&amp;DJ1382&amp;" "," ")," "&amp;DJ1378&amp;" "," ")," "&amp;DJ1380&amp;" "," ")," "&amp;DJ1377&amp;" "," ")," "&amp;DJ1379&amp;" "," ")," "&amp;DJ1383&amp;" "," ")),"")</f>
        <v xml:space="preserve"> 0 </v>
      </c>
      <c r="BQ76" s="493" cm="1">
        <f t="array" ref="BQ76">IF(65=65,IF(AM76="","",SUMPRODUCT(--ISNUMBER(SEARCH(" "&amp;DJ1384:DJ1394&amp;" ",BP76)))),"")</f>
        <v>0</v>
      </c>
      <c r="BR76" s="493" t="str" cm="1">
        <f t="array" ref="BR76">IF(65=65,IF(AM76="","",IF(SUM(BF76:BO76)+SUMPRODUCT(--ISNUMBER(SEARCH(" "&amp;DJ2432:DJ2433&amp;" ",BP76)))&gt;0,"X",IF(BQ76&gt;0,"?",""))),"")</f>
        <v/>
      </c>
      <c r="BS76" s="493" cm="1">
        <f t="array" ref="BS76">IF(65=65,IF(AM76="","",SUMPRODUCT(--ISNUMBER(SEARCH(" "&amp;DJ1395:DJ1415&amp;" ",AS76)))),"")</f>
        <v>0</v>
      </c>
      <c r="BT76" s="493" t="str">
        <f>IF(65=65,IF(AM76="","",IF((BS76)-(0)&gt;0,"X",IF((0)-(0)&gt;0,"?",""))),"")</f>
        <v/>
      </c>
      <c r="BU76" s="493" cm="1">
        <f t="array" ref="BU76">IF(65=65,IF(AM76="","",SUMPRODUCT(--ISNUMBER(SEARCH(" "&amp;DJ1416:DJ1453&amp;" ",BV76)))),"")</f>
        <v>0</v>
      </c>
      <c r="BV76" s="493" t="str">
        <f>IF(65=65,IF(AM76="","",SUBSTITUTE(SUBSTITUTE(AS76," "&amp;DJ1454&amp;" "," ")," "&amp;DJ1455&amp;" "," ")),"")</f>
        <v xml:space="preserve"> 0 </v>
      </c>
      <c r="BW76" s="493" cm="1">
        <f t="array" ref="BW76">IF(65=65,IF(AM76="","",SUMPRODUCT(--ISNUMBER(SEARCH(" "&amp;DJ1456:DJ1466&amp;" ",BV76)))),"")</f>
        <v>0</v>
      </c>
      <c r="BX76" s="493" t="str">
        <f>IF(65=65,IF(AM76="","",IF(BU76&gt;0,"X",IF(BW76&gt;0,"?",""))),"")</f>
        <v/>
      </c>
      <c r="BY76" s="493" cm="1">
        <f t="array" ref="BY76">IF(65=65,IF(AM76="","",SUMPRODUCT(--ISNUMBER(SEARCH(" "&amp;DJ1467:DJ1566&amp;" ",CB76)))),"")</f>
        <v>0</v>
      </c>
      <c r="BZ76" s="493" cm="1">
        <f t="array" ref="BZ76">IF(65=65,IF(AM76="","",SUMPRODUCT(--ISNUMBER(SEARCH(" "&amp;DJ1567:DJ1666&amp;" ",CB76)))),"")</f>
        <v>0</v>
      </c>
      <c r="CA76" s="493" cm="1">
        <f t="array" ref="CA76">IF(65=65,IF(AM76="","",SUMPRODUCT(--ISNUMBER(SEARCH(" "&amp;DJ1667:DJ1750&amp;" ",CB76)))),"")</f>
        <v>0</v>
      </c>
      <c r="CB76" s="493" t="str">
        <f>IF(65=65,IF(AM76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76,"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0 </v>
      </c>
      <c r="CC76" s="493" cm="1">
        <f t="array" ref="CC76">IF(65=65,IF(AM76="","",SUMPRODUCT(--ISNUMBER(SEARCH(" "&amp;DJ1801:DJ1880&amp;" ",CD76)))+SUMPRODUCT(--ISNUMBER(SEARCH(" "&amp;DJ2451:DJ2464&amp;" ",CD76)))),"")</f>
        <v>0</v>
      </c>
      <c r="CD76" s="493" t="str">
        <f>IF(65=65,IF(AM76="","",SUBSTITUTE(SUBSTITUTE(SUBSTITUTE(SUBSTITUTE(SUBSTITUTE(SUBSTITUTE(SUBSTITUTE(SUBSTITUTE(SUBSTITUTE(SUBSTITUTE(SUBSTITUTE(SUBSTITUTE(SUBSTITUTE(CB76," "&amp;DJ1887&amp;" "," ")," "&amp;DJ1885&amp;" "," ")," "&amp;DJ2449&amp;" "," ")," "&amp;DJ2450&amp;" "," ")," "&amp;DJ1882&amp;" "," ")," "&amp;DJ1886&amp;" "," ")," "&amp;DJ1888&amp;" "," ")," "&amp;DJ1883&amp;" "," ")," "&amp;DJ1881&amp;" "," ")," "&amp;DJ1378&amp;" "," ")," "&amp;DJ1889&amp;" "," ")," "&amp;DJ1377&amp;" "," ")," "&amp;DJ1884&amp;" "," ")),"")</f>
        <v xml:space="preserve"> 0 </v>
      </c>
      <c r="CE76" s="493" t="str" cm="1">
        <f t="array" ref="CE76">IF(65=65,IF(AM76="","",IF(SUM(BY76:CA76)+SUMPRODUCT(--ISNUMBER(SEARCH(" "&amp;DJ2434:DJ2435&amp;" ",CB76)))&gt;0,"X",IF(CC76&gt;0,"?",""))),"")</f>
        <v/>
      </c>
      <c r="CF76" s="493" cm="1">
        <f t="array" ref="CF76">IF(65=65,IF(AM76="","",SUMPRODUCT(--ISNUMBER(SEARCH(" "&amp;DJ1890:DJ1947&amp;" ",CG76)))),"")</f>
        <v>0</v>
      </c>
      <c r="CG76" s="493" t="str">
        <f>IF(65=65,IF(AM76="","",SUBSTITUTE(SUBSTITUTE(SUBSTITUTE(SUBSTITUTE(SUBSTITUTE(SUBSTITUTE(SUBSTITUTE(SUBSTITUTE(SUBSTITUTE(SUBSTITUTE(SUBSTITUTE(SUBSTITUTE(SUBSTITUTE(SUBSTITUTE(SUBSTITUTE(SUBSTITUTE(SUBSTITUTE(SUBSTITUTE(SUBSTITUTE(SUBSTITUTE(SUBSTITUTE(SUBSTITUTE(SUBSTITUTE(AS76,"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0 </v>
      </c>
      <c r="CH76" s="493" cm="1">
        <f t="array" ref="CH76">IF(65=65,IF(AM76="","",SUMPRODUCT(--ISNUMBER(SEARCH(" "&amp;DJ1971:DJ1987&amp;" ",CG76)))),"")</f>
        <v>0</v>
      </c>
      <c r="CI76" s="493" t="str">
        <f>IF(65=65,IF(AM76="","",IF(CF76&gt;0,"X",IF(CH76&gt;0,"?",""))),"")</f>
        <v/>
      </c>
      <c r="CJ76" s="493" cm="1">
        <f t="array" ref="CJ76">IF(65=65,IF(AM76="","",SUMPRODUCT(--ISNUMBER(SEARCH(" "&amp;DJ1988:DJ2001&amp;" ",AS76)))),"")</f>
        <v>0</v>
      </c>
      <c r="CK76" s="493" cm="1">
        <f t="array" ref="CK76">IF(65=65,IF(AM76="","",SUMPRODUCT(--ISNUMBER(SEARCH(" "&amp;DJ2002:DJ2016&amp;" ",AS76)))),"")</f>
        <v>0</v>
      </c>
      <c r="CL76" s="493" t="str">
        <f>IF(65=65,IF(AM76="","",IF((CJ76)-(0)&gt;0,"X",IF((CK76)-(0)&gt;0,"?",""))),"")</f>
        <v/>
      </c>
      <c r="CM76" s="493" cm="1">
        <f t="array" ref="CM76">IF(65=65,IF(AM76="","",SUMPRODUCT(--ISNUMBER(SEARCH(" "&amp;DJ2017:DJ2034&amp;" ",AS76)))),"")</f>
        <v>0</v>
      </c>
      <c r="CN76" s="493" cm="1">
        <f t="array" ref="CN76">IF(65=65,IF(AM76="","",SUMPRODUCT(--ISNUMBER(SEARCH(" "&amp;DJ2035:DJ2049&amp;" ",AS76)))),"")</f>
        <v>0</v>
      </c>
      <c r="CO76" s="493" t="str">
        <f>IF(65=65,IF(AM76="","",IF((CM76)-(0)&gt;0,"X",IF((CN76)-(0)&gt;0,"?",""))),"")</f>
        <v/>
      </c>
      <c r="CP76" s="493" cm="1">
        <f t="array" ref="CP76">IF(65=65,IF(AM76="","",SUMPRODUCT(--ISNUMBER(SEARCH(" "&amp;DJ2050:DJ2068&amp;" ",AS76)))),"")</f>
        <v>0</v>
      </c>
      <c r="CQ76" s="493" cm="1">
        <f t="array" ref="CQ76">IF(65=65,IF(AM76="","",SUMPRODUCT(--ISNUMBER(SEARCH(" "&amp;DJ2069:DJ2083&amp;" ",AS76)))),"")</f>
        <v>0</v>
      </c>
      <c r="CR76" s="493" t="str">
        <f>IF(65=65,IF(AM76="","",IF((CP76)-(0)&gt;0,"X",IF((CQ76)-(0)&gt;0,"?",""))),"")</f>
        <v/>
      </c>
      <c r="CS76" s="493" cm="1">
        <f t="array" ref="CS76">IF(65=65,IF(AM76="","",SUMPRODUCT(--ISNUMBER(SEARCH(" "&amp;DJ2084:DJ2104&amp;" ",AS76)))),"")</f>
        <v>0</v>
      </c>
      <c r="CT76" s="493" cm="1">
        <f t="array" ref="CT76">IF(65=65,IF(AM76="","",SUMPRODUCT(--ISNUMBER(SEARCH(" "&amp;DJ2105:DJ2144&amp;" ",SUBSTITUTE(SUBSTITUTE(AS76," "&amp;DJ1378&amp;" "," ")," "&amp;DJ1377&amp;" "," "))))+--ISNUMBER(SEARCH("poiré",AN76))),"")</f>
        <v>0</v>
      </c>
      <c r="CU76" s="493" t="str">
        <f>IF(65=65,IF(AM76="","",IF(OR(CS76&gt;0,ISNUMBER(SEARCH(" vinaigre de vin ",AS76)),ISNUMBER(SEARCH(" vinaigre au vin ",AS76))),"X",IF(CT76&gt;0,"?",""))),"")</f>
        <v/>
      </c>
      <c r="CV76" s="493" cm="1">
        <f t="array" ref="CV76">IF(65=65,IF(AM76="","",SUMPRODUCT(--ISNUMBER(SEARCH(" "&amp;DJ2145:DJ2157&amp;" ",AS76)))),"")</f>
        <v>0</v>
      </c>
      <c r="CW76" s="493" cm="1">
        <f t="array" ref="CW76">IF(65=65,IF(AM76="","",SUMPRODUCT(--ISNUMBER(SEARCH(" "&amp;DJ2158:DJ2163&amp;" ",AS76)))),"")</f>
        <v>0</v>
      </c>
      <c r="CX76" s="493" t="str">
        <f>IF(65=65,IF(AM76="","",IF((CV76)-(0)&gt;0,"X",IF((CW76)-(0)&gt;0,"?",""))),"")</f>
        <v/>
      </c>
      <c r="CY76" s="493" cm="1">
        <f t="array" ref="CY76">IF(65=65,IF(AM76="","",SUMPRODUCT(--ISNUMBER(SEARCH(" "&amp;DJ2164:DJ2263&amp;" ",DB76)))),"")</f>
        <v>0</v>
      </c>
      <c r="CZ76" s="493" cm="1">
        <f t="array" ref="CZ76">IF(65=65,IF(AM76="","",SUMPRODUCT(--ISNUMBER(SEARCH(" "&amp;DJ2264:DJ2363&amp;" ",DB76)))),"")</f>
        <v>0</v>
      </c>
      <c r="DA76" s="493" cm="1">
        <f t="array" ref="DA76">IF(65=65,IF(AM76="","",SUMPRODUCT(--ISNUMBER(SEARCH(" "&amp;DJ2364:DJ2406&amp;" ",DB76)))),"")</f>
        <v>0</v>
      </c>
      <c r="DB76" s="493" t="str">
        <f>IF(65=65,IF(AM76="","",SUBSTITUTE(SUBSTITUTE(SUBSTITUTE(SUBSTITUTE(SUBSTITUTE(SUBSTITUTE(SUBSTITUTE(SUBSTITUTE(SUBSTITUTE(SUBSTITUTE(SUBSTITUTE(SUBSTITUTE(SUBSTITUTE(SUBSTITUTE(SUBSTITUTE(SUBSTITUTE(AS76," "&amp;DJ2412&amp;" "," ")," "&amp;DJ2411&amp;" "," ")," "&amp;DJ2410&amp;" "," ")," "&amp;DJ2417&amp;" "," ")," "&amp;DJ2409&amp;" "," ")," "&amp;DJ2421&amp;" "," ")," "&amp;DJ2408&amp;" "," ")," "&amp;DJ2413&amp;" "," ")," "&amp;DJ2416&amp;" "," ")," "&amp;DJ2407&amp;" "," ")," "&amp;DJ2415&amp;" "," ")," "&amp;DJ2422&amp;" "," ")," "&amp;DJ2419&amp;" "," ")," "&amp;DJ2414&amp;" "," ")," "&amp;DJ2418&amp;" "," ")," "&amp;DJ2420&amp;" "," ")),"")</f>
        <v xml:space="preserve"> 0 </v>
      </c>
      <c r="DC76" s="493" cm="1">
        <f t="array" ref="DC76">IF(65=65,IF(AM76="","",SUMPRODUCT(--ISNUMBER(SEARCH(" "&amp;DJ2423:DJ2427&amp;" ",DB76)))),"")</f>
        <v>0</v>
      </c>
      <c r="DD76" s="493" t="str">
        <f>IF(65=65,IF(AM76="","",IF(SUM(CY76:DA76)&gt;0,"X",IF(DC76&gt;0,"?",""))),"")</f>
        <v/>
      </c>
      <c r="DE76" s="494"/>
      <c r="DF76" s="496" t="s">
        <v>1257</v>
      </c>
      <c r="DG76" s="496" t="s">
        <v>1083</v>
      </c>
      <c r="DH76" s="496" t="s">
        <v>689</v>
      </c>
      <c r="DI76" s="496" t="s">
        <v>1258</v>
      </c>
      <c r="DJ76" s="496" t="s">
        <v>906</v>
      </c>
      <c r="DK76" s="496" t="s">
        <v>1085</v>
      </c>
      <c r="DL76" s="496" t="s">
        <v>1086</v>
      </c>
      <c r="DM76" s="496" t="s">
        <v>1087</v>
      </c>
      <c r="DN76" s="497" t="s">
        <v>1088</v>
      </c>
      <c r="DP76" s="543">
        <v>1</v>
      </c>
    </row>
    <row r="77" spans="2:120" ht="30" customHeight="1">
      <c r="B77" s="663" t="str">
        <f t="shared" si="0"/>
        <v/>
      </c>
      <c r="C77" s="663" t="str">
        <f t="shared" si="1"/>
        <v/>
      </c>
      <c r="D77" s="663" t="str">
        <f>IF(UPPER(TRIM(N11))="X",C77,B77)</f>
        <v/>
      </c>
      <c r="E77" s="663" cm="1">
        <f t="array" ref="E77">IF(H76&lt;&gt;"",E76,IF(E76="","",IFERROR(MATCH(TRUE(),INDEX(INDEX(K:K,E76+1):K203&lt;&gt;"",0),0)+E76,"")))</f>
        <v>218</v>
      </c>
      <c r="F77" s="663" cm="1">
        <f t="array" ref="F77">IF(E77="","",IF(H76&lt;&gt;"",H76,INDEX(D:D,E77)))</f>
        <v>0</v>
      </c>
      <c r="G77" s="663" t="str">
        <f t="shared" si="2"/>
        <v>0</v>
      </c>
      <c r="H77" s="673" t="str">
        <f t="shared" si="3"/>
        <v/>
      </c>
      <c r="I77" s="680" t="str">
        <f>IF(AND(F77&lt;&gt;"",N10&gt;0,M77&gt;N10),"Mot &gt; limite","")</f>
        <v/>
      </c>
      <c r="J77" s="674" t="str">
        <f>IF(K77="","",COUNTIF(K18:K77,"&lt;&gt;"))</f>
        <v/>
      </c>
      <c r="K77" s="675"/>
      <c r="L77" s="674" t="str">
        <f t="shared" si="4"/>
        <v/>
      </c>
      <c r="M77" s="643">
        <f>IF(OR(F77="",N10="",N10&lt;=0),"",IF(LEN(F77)&lt;=N10,LEN(F77),IFERROR(FIND("♦",SUBSTITUTE(LEFT(F77,N10)," ","♦",LEN(LEFT(F77,N10))-LEN(SUBSTITUTE(LEFT(F77,N10)," ","")))),FIND(" ",F77&amp;" ",N10+1)-1)))</f>
        <v>1</v>
      </c>
      <c r="N77" s="676">
        <f t="shared" si="5"/>
        <v>60</v>
      </c>
      <c r="O77" s="677" t="str">
        <f t="shared" si="6"/>
        <v>0</v>
      </c>
      <c r="P77" s="676">
        <f t="shared" si="7"/>
        <v>1</v>
      </c>
      <c r="Q77" s="676">
        <f t="shared" si="8"/>
        <v>1</v>
      </c>
      <c r="S77" s="515">
        <v>60</v>
      </c>
      <c r="T77" s="678" t="str">
        <f t="shared" si="10"/>
        <v>0</v>
      </c>
      <c r="U77" s="682" t="str">
        <f t="shared" si="11"/>
        <v>0</v>
      </c>
      <c r="V77" s="518" t="str">
        <f>IF(66=66,IF(T77="","",IF(W77="X",""&amp;"Céréales contenant du gluten","")&amp;IF(X77="X",IF(COUNTIF(W77:W77,"X")&gt;0,", ","")&amp;"Crustacés","")&amp;IF(Y77="X",IF(COUNTIF(W77:X77,"X")&gt;0,", ","")&amp;"Œufs","")&amp;IF(Z77="X",IF(COUNTIF(W77:Y77,"X")&gt;0,", ","")&amp;"Poissons","")&amp;IF(AA77="X",IF(COUNTIF(W77:Z77,"X")&gt;0,", ","")&amp;"Arachides","")&amp;IF(AB77="X",IF(COUNTIF(W77:AA77,"X")&gt;0,", ","")&amp;"Soja","")&amp;IF(AC77="X",IF(COUNTIF(W77:AB77,"X")&gt;0,", ","")&amp;"Lait","")&amp;IF(AD77="X",IF(COUNTIF(W77:AC77,"X")&gt;0,", ","")&amp;"Fruits à coque","")&amp;IF(AE77="X",IF(COUNTIF(W77:AD77,"X")&gt;0,", ","")&amp;"Céleri","")&amp;IF(AF77="X",IF(COUNTIF(W77:AE77,"X")&gt;0,", ","")&amp;"Moutarde","")&amp;IF(AG77="X",IF(COUNTIF(W77:AF77,"X")&gt;0,", ","")&amp;"Sésame","")&amp;IF(AH77="X",IF(COUNTIF(W77:AG77,"X")&gt;0,", ","")&amp;"Sulfites","")&amp;IF(AI77="X",IF(COUNTIF(W77:AH77,"X")&gt;0,", ","")&amp;"Lupin","")&amp;IF(AJ77="X",IF(COUNTIF(W77:AI77,"X")&gt;0,", ","")&amp;"Mollusques","")),"")</f>
        <v/>
      </c>
      <c r="W77" s="519" t="str">
        <f>IF(66=66,IF(T77="","",AX77),"")</f>
        <v/>
      </c>
      <c r="X77" s="519" t="str">
        <f>IF(66=66,IF(T77="","",BA77),"")</f>
        <v/>
      </c>
      <c r="Y77" s="519" t="str">
        <f>IF(66=66,IF(T77="","",BE77),"")</f>
        <v/>
      </c>
      <c r="Z77" s="519" t="str">
        <f>IF(66=66,IF(T77="","",IF(ISNUMBER(SEARCH(" colin ",AS77)),"X",BR77)),"")</f>
        <v/>
      </c>
      <c r="AA77" s="519" t="str">
        <f>IF(66=66,IF(T77="","",BT77),"")</f>
        <v/>
      </c>
      <c r="AB77" s="519" t="str">
        <f>IF(66=66,IF(T77="","",BX77),"")</f>
        <v/>
      </c>
      <c r="AC77" s="519" t="str">
        <f>IF(66=66,IF(T77="","",CE77),"")</f>
        <v/>
      </c>
      <c r="AD77" s="519" t="str">
        <f>IF(66=66,IF(T77="","",CI77),"")</f>
        <v/>
      </c>
      <c r="AE77" s="519" t="str">
        <f>IF(66=66,IF(T77="","",CL77),"")</f>
        <v/>
      </c>
      <c r="AF77" s="519" t="str">
        <f>IF(66=66,IF(T77="","",CO77),"")</f>
        <v/>
      </c>
      <c r="AG77" s="519" t="str">
        <f>IF(66=66,IF(T77="","",CR77),"")</f>
        <v/>
      </c>
      <c r="AH77" s="519" t="str">
        <f>IF(66=66,IF(T77="","",CU77),"")</f>
        <v/>
      </c>
      <c r="AI77" s="519" t="str">
        <f>IF(66=66,IF(T77="","",CX77),"")</f>
        <v/>
      </c>
      <c r="AJ77" s="519" t="str">
        <f>IF(66=66,IF(T77="","",DD77),"")</f>
        <v/>
      </c>
      <c r="AK77" s="520" t="str">
        <f>IF(66=66,IF(T77="","",IF(W77="?",""&amp;"Céréales contenant du gluten","")&amp;IF(X77="?",IF(COUNTIF(W77:W77,"~?")&gt;0,", ","")&amp;"Crustacés","")&amp;IF(Y77="?",IF(COUNTIF(W77:X77,"~?")&gt;0,", ","")&amp;"Œufs","")&amp;IF(Z77="?",IF(COUNTIF(W77:Y77,"~?")&gt;0,", ","")&amp;"Poissons","")&amp;IF(AA77="?",IF(COUNTIF(W77:Z77,"~?")&gt;0,", ","")&amp;"Arachides","")&amp;IF(AB77="?",IF(COUNTIF(W77:AA77,"~?")&gt;0,", ","")&amp;"Soja","")&amp;IF(AC77="?",IF(COUNTIF(W77:AB77,"~?")&gt;0,", ","")&amp;"Lait","")&amp;IF(AD77="?",IF(COUNTIF(W77:AC77,"~?")&gt;0,", ","")&amp;"Fruits à coque","")&amp;IF(AE77="?",IF(COUNTIF(W77:AD77,"~?")&gt;0,", ","")&amp;"Céleri","")&amp;IF(AF77="?",IF(COUNTIF(W77:AE77,"~?")&gt;0,", ","")&amp;"Moutarde","")&amp;IF(AG77="?",IF(COUNTIF(W77:AF77,"~?")&gt;0,", ","")&amp;"Sésame","")&amp;IF(AH77="?",IF(COUNTIF(W77:AG77,"~?")&gt;0,", ","")&amp;"Sulfites","")&amp;IF(AI77="?",IF(COUNTIF(W77:AH77,"~?")&gt;0,", ","")&amp;"Lupin","")&amp;IF(AJ77="?",IF(COUNTIF(W77:AI77,"~?")&gt;0,", ","")&amp;"Mollusques","")),"")</f>
        <v/>
      </c>
      <c r="AM77" s="493" t="str">
        <f>IF(66=66,IF(T77="","",T77),"")</f>
        <v>0</v>
      </c>
      <c r="AN77" s="493" t="str">
        <f>IF(66=66,LOWER(CLEAN(SUBSTITUTE(SUBSTITUTE(SUBSTITUTE(SUBSTITUTE(AM77,CHAR(160)," ")," "," "),CHAR(10)," "),CHAR(13)," "))),"")</f>
        <v>0</v>
      </c>
      <c r="AO77" s="493" t="str">
        <f>IF(66=66,SUBSTITUTE(SUBSTITUTE(SUBSTITUTE(SUBSTITUTE(SUBSTITUTE(SUBSTITUTE(SUBSTITUTE(SUBSTITUTE(SUBSTITUTE(SUBSTITUTE(SUBSTITUTE(SUBSTITUTE(AN77,"œ","oe"),"æ","ae"),"à","a"),"á","a"),"â","a"),"ä","a"),"ã","a"),"ç","c"),"è","e"),"é","e"),"ê","e"),"ë","e"),"")</f>
        <v>0</v>
      </c>
      <c r="AP77" s="493" t="str">
        <f>IF(66=66,SUBSTITUTE(SUBSTITUTE(SUBSTITUTE(SUBSTITUTE(SUBSTITUTE(SUBSTITUTE(SUBSTITUTE(SUBSTITUTE(SUBSTITUTE(SUBSTITUTE(SUBSTITUTE(SUBSTITUTE(SUBSTITUTE(SUBSTITUTE(SUBSTITUTE(SUBSTITUTE(AO77,"ì","i"),"í","i"),"î","i"),"ï","i"),"ñ","n"),"ò","o"),"ó","o"),"ô","o"),"ö","o"),"õ","o"),"ù","u"),"ú","u"),"û","u"),"ü","u"),"ý","y"),"ÿ","y"),"")</f>
        <v>0</v>
      </c>
      <c r="AQ77" s="493" t="str">
        <f>IF(66=66,SUBSTITUTE(SUBSTITUTE(SUBSTITUTE(SUBSTITUTE(SUBSTITUTE(SUBSTITUTE(SUBSTITUTE(SUBSTITUTE(SUBSTITUTE(SUBSTITUTE(SUBSTITUTE(SUBSTITUTE(SUBSTITUTE(SUBSTITUTE(AP77,"’"," "),"`"," "),"–"," "),"—"," "),"-"," "),"'"," "),"/"," "),"_"," "),","," "),"."," "),"("," "),")"," "),";"," "),":"," "),"")</f>
        <v>0</v>
      </c>
      <c r="AR77" s="493" t="str">
        <f>IF(66=66,SUBSTITUTE(SUBSTITUTE(SUBSTITUTE(SUBSTITUTE(SUBSTITUTE(SUBSTITUTE(SUBSTITUTE(SUBSTITUTE(SUBSTITUTE(SUBSTITUTE(SUBSTITUTE(SUBSTITUTE(SUBSTITUTE(SUBSTITUTE(SUBSTITUTE(AQ77,"!"," "),"?"," "),"+"," "),"*"," "),"&amp;"," "),"["," "),"]"," "),"{"," "),"}"," "),"%"," "),"="," "),"\"," "),"|"," "),"&lt;"," "),"&gt;"," "),"")</f>
        <v>0</v>
      </c>
      <c r="AS77" s="493" t="str">
        <f>IF(66=66," "&amp;TRIM(SUBSTITUTE(SUBSTITUTE(SUBSTITUTE(SUBSTITUTE(SUBSTITUTE(SUBSTITUTE(AR77,CHAR(34)," "),"  "," "),"  "," "),"  "," "),"  "," "),"  "," "))&amp;" ","")</f>
        <v xml:space="preserve"> 0 </v>
      </c>
      <c r="AT77" s="493" cm="1">
        <f t="array" ref="AT77">IF(66=66,IF(AM77="","",SUMPRODUCT(--ISNUMBER(SEARCH(" "&amp;DJ13:DJ112&amp;" ",AV77)))),"")</f>
        <v>0</v>
      </c>
      <c r="AU77" s="493" cm="1">
        <f t="array" ref="AU77">IF(66=66,IF(AM77="","",SUMPRODUCT(--ISNUMBER(SEARCH(" "&amp;DJ113:DJ162&amp;" ",AV77)))),"")</f>
        <v>0</v>
      </c>
      <c r="AV77" s="493" t="str">
        <f>IF(AM77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77," "&amp;DJ123&amp;" "," ")," "&amp;DJ124&amp;" "," ")," "&amp;DJ125&amp;" "," ")," "&amp;DJ126&amp;" "," ")," "&amp;DJ159&amp;" "," ")," "&amp;DJ163&amp;" "," ")," "&amp;DJ164&amp;" "," ")," "&amp;DJ165&amp;" "," ")," "&amp;DJ166&amp;" "," ")," "&amp;DJ167&amp;" "," ")," "&amp;DJ168&amp;" "," ")," "&amp;DJ169&amp;" "," ")," "&amp;DJ170&amp;" "," ")," "&amp;DJ171&amp;" "," ")," "&amp;DJ172&amp;" "," ")," "&amp;DJ173&amp;" "," ")," "&amp;DJ174&amp;" "," ")," "&amp;DJ175&amp;" "," ")," "&amp;DJ176&amp;" "," ")," "&amp;DJ177&amp;" "," ")," "&amp;DJ178&amp;" "," ")," "&amp;DJ179&amp;" "," ")," "&amp;DJ180&amp;" "," ")," "&amp;DJ181&amp;" "," ")," "&amp;DJ182&amp;" "," ")," "&amp;DJ183&amp;" "," ")," "&amp;DJ184&amp;" "," ")," "&amp;DJ185&amp;" "," ")," "&amp;DJ186&amp;" "," ")," "&amp;DJ187&amp;" "," ")," "&amp;DJ188&amp;" "," ")," "&amp;DJ189&amp;" "," ")," "&amp;DJ190&amp;" "," ")," "&amp;DJ191&amp;" "," ")," "&amp;DJ192&amp;" "," ")," "&amp;DJ193&amp;" "," ")," "&amp;DJ194&amp;" "," ")," "&amp;DJ2428&amp;" "," ")," "&amp;DJ2436&amp;" "," ")," "&amp;DJ2437&amp;" "," ")," "&amp;DJ2438&amp;" "," ")," "&amp;DJ2439&amp;" "," ")," "&amp;DJ2440&amp;" "," ")," "&amp;DJ2441&amp;" "," ")," "&amp;DJ2442&amp;" "," ")," "&amp;DJ2443&amp;" "," ")," "&amp;DJ2444&amp;" "," ")," "&amp;DJ2445&amp;" "," ")," "&amp;DJ2446&amp;" "," ")," "&amp;DJ2447&amp;" "," ")," "&amp;DJ2448&amp;" "," "))</f>
        <v xml:space="preserve"> 0 </v>
      </c>
      <c r="AW77" s="493" cm="1">
        <f t="array" ref="AW77">IF(AM77="","",SUMPRODUCT(--ISNUMBER(SEARCH(" "&amp;DJ195:DJ216&amp;" ",AV77)))+--ISNUMBER(SEARCH(" "&amp;DJ2465&amp;" ",AV77)))</f>
        <v>0</v>
      </c>
      <c r="AX77" s="493" t="str" cm="1">
        <f t="array" ref="AX77">IF(66=66,IF(AM77="","",IF(SUM(AT77:AU77)+SUMPRODUCT(--ISNUMBER(SEARCH(" "&amp;DJ2429:DJ2431&amp;" ",AV77)))&gt;0,"X",IF(AW77&gt;0,"?",""))),"")</f>
        <v/>
      </c>
      <c r="AY77" s="493" cm="1">
        <f t="array" ref="AY77">IF(66=66,IF(AM77="","",SUMPRODUCT(--ISNUMBER(SEARCH(" "&amp;DJ217:DJ316&amp;" ",AS77)))),"")</f>
        <v>0</v>
      </c>
      <c r="AZ77" s="493" cm="1">
        <f t="array" ref="AZ77">IF(66=66,IF(AM77="","",SUMPRODUCT(--ISNUMBER(SEARCH(" "&amp;DJ317:DJ351&amp;" ",AS77)))),"")</f>
        <v>0</v>
      </c>
      <c r="BA77" s="493" t="str">
        <f>IF(66=66,IF(AM77="","",IF((SUM(AY77:AZ77))-(0)&gt;0,"X",IF((0)-(0)&gt;0,"?",""))),"")</f>
        <v/>
      </c>
      <c r="BB77" s="493" cm="1">
        <f t="array" ref="BB77">IF(66=66,IF(AM77="","",SUMPRODUCT(--ISNUMBER(SEARCH(" "&amp;DJ352:DJ409&amp;" ",AS77)))),"")</f>
        <v>0</v>
      </c>
      <c r="BC77" s="493" cm="1">
        <f t="array" ref="BC77">IF(66=66,IF(AM77="","",SUMPRODUCT(--ISNUMBER(SEARCH(" "&amp;DJ410:DJ437&amp;" ",BD77)))+SUMPRODUCT(--ISNUMBER(SEARCH(" "&amp;DJ2451:DJ2464&amp;" ",BD77)))),"")</f>
        <v>0</v>
      </c>
      <c r="BD77" s="493" t="str">
        <f>IF(66=66,IF(AM77="","",SUBSTITUTE(SUBSTITUTE(SUBSTITUTE(SUBSTITUTE(SUBSTITUTE(SUBSTITUTE(SUBSTITUTE(SUBSTITUTE(SUBSTITUTE(SUBSTITUTE(SUBSTITUTE(SUBSTITUTE(SUBSTITUTE(SUBSTITUTE(AS77," "&amp;DJ2466&amp;" "," ")," "&amp;DJ444&amp;" "," ")," "&amp;DJ442&amp;" "," ")," "&amp;DJ2449&amp;" "," ")," "&amp;DJ2450&amp;" "," ")," "&amp;DJ439&amp;" "," ")," "&amp;DJ443&amp;" "," ")," "&amp;DJ445&amp;" "," ")," "&amp;DJ440&amp;" "," ")," "&amp;DJ438&amp;" "," ")," "&amp;DJ1378&amp;" "," ")," "&amp;DJ446&amp;" "," ")," "&amp;DJ1377&amp;" "," ")," "&amp;DJ441&amp;" "," ")),"")</f>
        <v xml:space="preserve"> 0 </v>
      </c>
      <c r="BE77" s="493" t="str">
        <f>IF(66=66,IF(AM77="","",IF(BB77&gt;0,"X",IF(BC77&gt;0,"?",""))),"")</f>
        <v/>
      </c>
      <c r="BF77" s="493" cm="1">
        <f t="array" ref="BF77">IF(66=66,IF(AM77="","",SUMPRODUCT(--ISNUMBER(SEARCH(" "&amp;DJ447:DJ546&amp;" ",BP77)))),"")</f>
        <v>0</v>
      </c>
      <c r="BG77" s="493" cm="1">
        <f t="array" ref="BG77">IF(66=66,IF(AM77="","",SUMPRODUCT(--ISNUMBER(SEARCH(" "&amp;DJ547:DJ646&amp;" ",BP77)))),"")</f>
        <v>0</v>
      </c>
      <c r="BH77" s="493" cm="1">
        <f t="array" ref="BH77">IF(66=66,IF(AM77="","",SUMPRODUCT(--ISNUMBER(SEARCH(" "&amp;DJ647:DJ746&amp;" ",BP77)))),"")</f>
        <v>0</v>
      </c>
      <c r="BI77" s="493" cm="1">
        <f t="array" ref="BI77">IF(66=66,IF(AM77="","",SUMPRODUCT(--ISNUMBER(SEARCH(" "&amp;DJ747:DJ846&amp;" ",BP77)))),"")</f>
        <v>0</v>
      </c>
      <c r="BJ77" s="493" cm="1">
        <f t="array" ref="BJ77">IF(66=66,IF(AM77="","",SUMPRODUCT(--ISNUMBER(SEARCH(" "&amp;DJ847:DJ946&amp;" ",BP77)))),"")</f>
        <v>0</v>
      </c>
      <c r="BK77" s="493" cm="1">
        <f t="array" ref="BK77">IF(66=66,IF(AM77="","",SUMPRODUCT(--ISNUMBER(SEARCH(" "&amp;DJ947:DJ1046&amp;" ",BP77)))),"")</f>
        <v>0</v>
      </c>
      <c r="BL77" s="493" cm="1">
        <f t="array" ref="BL77">IF(66=66,IF(AM77="","",SUMPRODUCT(--ISNUMBER(SEARCH(" "&amp;DJ1047:DJ1146&amp;" ",BP77)))),"")</f>
        <v>0</v>
      </c>
      <c r="BM77" s="493" cm="1">
        <f t="array" ref="BM77">IF(66=66,IF(AM77="","",SUMPRODUCT(--ISNUMBER(SEARCH(" "&amp;DJ1147:DJ1246&amp;" ",BP77)))),"")</f>
        <v>0</v>
      </c>
      <c r="BN77" s="493" cm="1">
        <f t="array" ref="BN77">IF(66=66,IF(AM77="","",SUMPRODUCT(--ISNUMBER(SEARCH(" "&amp;DJ1247:DJ1346&amp;" ",BP77)))),"")</f>
        <v>0</v>
      </c>
      <c r="BO77" s="493" cm="1">
        <f t="array" ref="BO77">IF(66=66,IF(AM77="","",SUMPRODUCT(--ISNUMBER(SEARCH(" "&amp;DJ1347:DJ1374&amp;" ",BP77)))),"")</f>
        <v>0</v>
      </c>
      <c r="BP77" s="493" t="str">
        <f>IF(66=66,IF(AM77="","",SUBSTITUTE(SUBSTITUTE(SUBSTITUTE(SUBSTITUTE(SUBSTITUTE(SUBSTITUTE(SUBSTITUTE(SUBSTITUTE(SUBSTITUTE(AS77," "&amp;DJ1376&amp;" "," ")," "&amp;DJ1375&amp;" "," ")," "&amp;DJ1381&amp;" "," ")," "&amp;DJ1382&amp;" "," ")," "&amp;DJ1378&amp;" "," ")," "&amp;DJ1380&amp;" "," ")," "&amp;DJ1377&amp;" "," ")," "&amp;DJ1379&amp;" "," ")," "&amp;DJ1383&amp;" "," ")),"")</f>
        <v xml:space="preserve"> 0 </v>
      </c>
      <c r="BQ77" s="493" cm="1">
        <f t="array" ref="BQ77">IF(66=66,IF(AM77="","",SUMPRODUCT(--ISNUMBER(SEARCH(" "&amp;DJ1384:DJ1394&amp;" ",BP77)))),"")</f>
        <v>0</v>
      </c>
      <c r="BR77" s="493" t="str" cm="1">
        <f t="array" ref="BR77">IF(66=66,IF(AM77="","",IF(SUM(BF77:BO77)+SUMPRODUCT(--ISNUMBER(SEARCH(" "&amp;DJ2432:DJ2433&amp;" ",BP77)))&gt;0,"X",IF(BQ77&gt;0,"?",""))),"")</f>
        <v/>
      </c>
      <c r="BS77" s="493" cm="1">
        <f t="array" ref="BS77">IF(66=66,IF(AM77="","",SUMPRODUCT(--ISNUMBER(SEARCH(" "&amp;DJ1395:DJ1415&amp;" ",AS77)))),"")</f>
        <v>0</v>
      </c>
      <c r="BT77" s="493" t="str">
        <f>IF(66=66,IF(AM77="","",IF((BS77)-(0)&gt;0,"X",IF((0)-(0)&gt;0,"?",""))),"")</f>
        <v/>
      </c>
      <c r="BU77" s="493" cm="1">
        <f t="array" ref="BU77">IF(66=66,IF(AM77="","",SUMPRODUCT(--ISNUMBER(SEARCH(" "&amp;DJ1416:DJ1453&amp;" ",BV77)))),"")</f>
        <v>0</v>
      </c>
      <c r="BV77" s="493" t="str">
        <f>IF(66=66,IF(AM77="","",SUBSTITUTE(SUBSTITUTE(AS77," "&amp;DJ1454&amp;" "," ")," "&amp;DJ1455&amp;" "," ")),"")</f>
        <v xml:space="preserve"> 0 </v>
      </c>
      <c r="BW77" s="493" cm="1">
        <f t="array" ref="BW77">IF(66=66,IF(AM77="","",SUMPRODUCT(--ISNUMBER(SEARCH(" "&amp;DJ1456:DJ1466&amp;" ",BV77)))),"")</f>
        <v>0</v>
      </c>
      <c r="BX77" s="493" t="str">
        <f>IF(66=66,IF(AM77="","",IF(BU77&gt;0,"X",IF(BW77&gt;0,"?",""))),"")</f>
        <v/>
      </c>
      <c r="BY77" s="493" cm="1">
        <f t="array" ref="BY77">IF(66=66,IF(AM77="","",SUMPRODUCT(--ISNUMBER(SEARCH(" "&amp;DJ1467:DJ1566&amp;" ",CB77)))),"")</f>
        <v>0</v>
      </c>
      <c r="BZ77" s="493" cm="1">
        <f t="array" ref="BZ77">IF(66=66,IF(AM77="","",SUMPRODUCT(--ISNUMBER(SEARCH(" "&amp;DJ1567:DJ1666&amp;" ",CB77)))),"")</f>
        <v>0</v>
      </c>
      <c r="CA77" s="493" cm="1">
        <f t="array" ref="CA77">IF(66=66,IF(AM77="","",SUMPRODUCT(--ISNUMBER(SEARCH(" "&amp;DJ1667:DJ1750&amp;" ",CB77)))),"")</f>
        <v>0</v>
      </c>
      <c r="CB77" s="493" t="str">
        <f>IF(66=66,IF(AM77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S77," "&amp;DJ2466&amp;" "," ")," "&amp;DJ1753&amp;" "," ")," "&amp;DJ1756&amp;" "," ")," "&amp;DJ1794&amp;" "," ")," "&amp;DJ1761&amp;" "," ")," "&amp;DJ1755&amp;" "," ")," "&amp;DJ1760&amp;" "," ")," "&amp;DJ1762&amp;" "," ")," "&amp;DJ1775&amp;" "," ")," "&amp;DJ1789&amp;" "," ")," "&amp;DJ1797&amp;" "," ")," "&amp;DJ1754&amp;" "," ")," "&amp;DJ1757&amp;" "," ")," "&amp;DJ1758&amp;" "," ")," "&amp;DJ1773&amp;" "," ")," "&amp;DJ1776&amp;" "," ")," "&amp;DJ1781&amp;" "," ")," "&amp;DJ1783&amp;" "," ")," "&amp;DJ1787&amp;" "," ")," "&amp;DJ1759&amp;" "," ")," "&amp;DJ1769&amp;" "," ")," "&amp;DJ1770&amp;" "," ")," "&amp;DJ1771&amp;" "," ")," "&amp;DJ1772&amp;" "," ")," "&amp;DJ1779&amp;" "," ")," "&amp;DJ1790&amp;" "," ")," "&amp;DJ1796&amp;" "," ")," "&amp;DJ1751&amp;" "," ")," "&amp;DJ1763&amp;" "," ")," "&amp;DJ1765&amp;" "," ")," "&amp;DJ1767&amp;" "," ")," "&amp;DJ1774&amp;" "," ")," "&amp;DJ1778&amp;" "," ")," "&amp;DJ1782&amp;" "," ")," "&amp;DJ1784&amp;" "," ")," "&amp;DJ1785&amp;" "," ")," "&amp;DJ1786&amp;" "," ")," "&amp;DJ1798&amp;" "," ")," "&amp;DJ1766&amp;" "," ")," "&amp;DJ1768&amp;" "," ")," "&amp;DJ1777&amp;" "," ")," "&amp;DJ1788&amp;" "," ")," "&amp;DJ1792&amp;" "," ")," "&amp;DJ1793&amp;" "," ")," "&amp;DJ1752&amp;" "," ")," "&amp;DJ1764&amp;" "," ")," "&amp;DJ1791&amp;" "," ")," "&amp;DJ1799&amp;" "," ")," "&amp;DJ1780&amp;" "," ")," "&amp;DJ1795&amp;" "," ")," "&amp;DJ1800&amp;" "," ")),"")</f>
        <v xml:space="preserve"> 0 </v>
      </c>
      <c r="CC77" s="493" cm="1">
        <f t="array" ref="CC77">IF(66=66,IF(AM77="","",SUMPRODUCT(--ISNUMBER(SEARCH(" "&amp;DJ1801:DJ1880&amp;" ",CD77)))+SUMPRODUCT(--ISNUMBER(SEARCH(" "&amp;DJ2451:DJ2464&amp;" ",CD77)))),"")</f>
        <v>0</v>
      </c>
      <c r="CD77" s="493" t="str">
        <f>IF(66=66,IF(AM77="","",SUBSTITUTE(SUBSTITUTE(SUBSTITUTE(SUBSTITUTE(SUBSTITUTE(SUBSTITUTE(SUBSTITUTE(SUBSTITUTE(SUBSTITUTE(SUBSTITUTE(SUBSTITUTE(SUBSTITUTE(SUBSTITUTE(CB77," "&amp;DJ1887&amp;" "," ")," "&amp;DJ1885&amp;" "," ")," "&amp;DJ2449&amp;" "," ")," "&amp;DJ2450&amp;" "," ")," "&amp;DJ1882&amp;" "," ")," "&amp;DJ1886&amp;" "," ")," "&amp;DJ1888&amp;" "," ")," "&amp;DJ1883&amp;" "," ")," "&amp;DJ1881&amp;" "," ")," "&amp;DJ1378&amp;" "," ")," "&amp;DJ1889&amp;" "," ")," "&amp;DJ1377&amp;" "," ")," "&amp;DJ1884&amp;" "," ")),"")</f>
        <v xml:space="preserve"> 0 </v>
      </c>
      <c r="CE77" s="493" t="str" cm="1">
        <f t="array" ref="CE77">IF(66=66,IF(AM77="","",IF(SUM(BY77:CA77)+SUMPRODUCT(--ISNUMBER(SEARCH(" "&amp;DJ2434:DJ2435&amp;" ",CB77)))&gt;0,"X",IF(CC77&gt;0,"?",""))),"")</f>
        <v/>
      </c>
      <c r="CF77" s="493" cm="1">
        <f t="array" ref="CF77">IF(66=66,IF(AM77="","",SUMPRODUCT(--ISNUMBER(SEARCH(" "&amp;DJ1890:DJ1947&amp;" ",CG77)))),"")</f>
        <v>0</v>
      </c>
      <c r="CG77" s="493" t="str">
        <f>IF(66=66,IF(AM77="","",SUBSTITUTE(SUBSTITUTE(SUBSTITUTE(SUBSTITUTE(SUBSTITUTE(SUBSTITUTE(SUBSTITUTE(SUBSTITUTE(SUBSTITUTE(SUBSTITUTE(SUBSTITUTE(SUBSTITUTE(SUBSTITUTE(SUBSTITUTE(SUBSTITUTE(SUBSTITUTE(SUBSTITUTE(SUBSTITUTE(SUBSTITUTE(SUBSTITUTE(SUBSTITUTE(SUBSTITUTE(SUBSTITUTE(AS77," "&amp;DJ1965&amp;" "," ")," "&amp;DJ1966&amp;" "," ")," "&amp;DJ1964&amp;" "," ")," "&amp;DJ1949&amp;" "," ")," "&amp;DJ1948&amp;" "," ")," "&amp;DJ1952&amp;" "," ")," "&amp;DJ1954&amp;" "," ")," "&amp;DJ1955&amp;" "," ")," "&amp;DJ1960&amp;" "," ")," "&amp;DJ1969&amp;" "," ")," "&amp;DJ1956&amp;" "," ")," "&amp;DJ1961&amp;" "," ")," "&amp;DJ1962&amp;" "," ")," "&amp;DJ1963&amp;" "," ")," "&amp;DJ1967&amp;" "," ")," "&amp;DJ1953&amp;" "," ")," "&amp;DJ1951&amp;" "," ")," "&amp;DJ1950&amp;" "," ")," "&amp;DJ1958&amp;" "," ")," "&amp;DJ1959&amp;" "," ")," "&amp;DJ1970&amp;" "," ")," "&amp;DJ1957&amp;" "," ")," "&amp;DJ1968&amp;" "," ")),"")</f>
        <v xml:space="preserve"> 0 </v>
      </c>
      <c r="CH77" s="493" cm="1">
        <f t="array" ref="CH77">IF(66=66,IF(AM77="","",SUMPRODUCT(--ISNUMBER(SEARCH(" "&amp;DJ1971:DJ1987&amp;" ",CG77)))),"")</f>
        <v>0</v>
      </c>
      <c r="CI77" s="493" t="str">
        <f>IF(66=66,IF(AM77="","",IF(CF77&gt;0,"X",IF(CH77&gt;0,"?",""))),"")</f>
        <v/>
      </c>
      <c r="CJ77" s="493" cm="1">
        <f t="array" ref="CJ77">IF(66=66,IF(AM77="","",SUMPRODUCT(--ISNUMBER(SEARCH(" "&amp;DJ1988:DJ2001&amp;" ",AS77)))),"")</f>
        <v>0</v>
      </c>
      <c r="CK77" s="493" cm="1">
        <f t="array" ref="CK77">IF(66=66,IF(AM77="","",SUMPRODUCT(--ISNUMBER(SEARCH(" "&amp;DJ2002:DJ2016&amp;" ",AS77)))),"")</f>
        <v>0</v>
      </c>
      <c r="CL77" s="493" t="str">
        <f>IF(66=66,IF(AM77="","",IF((CJ77)-(0)&gt;0,"X",IF((CK77)-(0)&gt;0,"?",""))),"")</f>
        <v/>
      </c>
      <c r="CM77" s="493" cm="1">
        <f t="array" ref="CM77">IF(66=66,IF(AM77="","",SUMPRODUCT(--ISNUMBER(SEARCH(" "&amp;DJ2017:DJ2034&amp;" ",AS77)))),"")</f>
        <v>0</v>
      </c>
      <c r="CN77" s="493" cm="1">
        <f t="array" ref="CN77">IF(66=66,IF(AM77="","",SUMPRODUCT(--ISNUMBER(SEARCH(" "&amp;DJ2035:DJ2049&amp;" ",AS77)))),"")</f>
        <v>0</v>
      </c>
      <c r="CO77" s="493" t="str">
        <f>IF(66=66,IF(AM77="","",IF((CM77)-(0)&gt;0,"X",IF((CN77)-(0)&gt;0,"?",""))),"")</f>
        <v/>
      </c>
      <c r="CP77" s="493" cm="1">
        <f t="array" ref="CP77">IF(66=66,IF(AM77="","",SUMPRODUCT(--ISNUMBER(SEARCH(" "&amp;DJ2050:DJ2068&amp;" ",AS77)))),"")</f>
        <v>0</v>
      </c>
      <c r="CQ77" s="493" cm="1">
        <f t="array" ref="CQ77">IF(66=66,IF(AM77="","",SUMPRODUCT(--ISNUMBER(SEARCH(" "&amp;DJ2069:DJ2083&amp;" ",AS77)))),"")</f>
        <v>0</v>
      </c>
      <c r="CR77" s="493" t="str">
        <f>IF(66=66,IF(AM77="","",IF((CP77)-(0)&gt;0,"X",IF((CQ77)-(0)&gt;0,"?",""))),"")</f>
        <v/>
      </c>
      <c r="CS77" s="493" cm="1">
        <f t="array" ref="CS77">IF(66=66,IF(AM77="","",SUMPRODUCT(--ISNUMBER(SEARCH(" "&amp;DJ2084:DJ2104&amp;" ",AS77)))),"")</f>
        <v>0</v>
      </c>
      <c r="CT77" s="493" cm="1">
        <f t="array" ref="CT77">IF(66=66,IF(AM77="","",SUMPRODUCT(--ISNUMBER(SEARCH(" "&amp;DJ2105:DJ2144&amp;" ",SUBSTITUTE(SUBSTITUTE(AS77," "&amp;DJ1378&amp;" "," ")," "&amp;DJ1377&amp;" "," "))))+--ISNUMBER(SEARCH("poiré",AN77))),"")</f>
        <v>0</v>
      </c>
      <c r="CU77" s="493" t="str">
        <f>IF(66=66,IF(AM77="","",IF(OR(CS77&gt;0,ISNUMBER(SEARCH(" vinaigre de vin ",AS77)),ISNUMBER(SEARCH(" vinaigre au vin ",AS77))),"X",IF(CT77&gt;0,"?",""))),"")</f>
        <v/>
      </c>
      <c r="CV77" s="493" cm="1">
        <f t="array" ref="CV77">IF(66=66,IF(AM77="","",SUMPRODUCT(--ISNUMBER(SEARCH(" "&amp;DJ2145:DJ2157&amp;" ",AS77)))),"")</f>
        <v>0</v>
      </c>
      <c r="CW77" s="493" cm="1">
        <f t="array" ref="CW77">IF(66=66,IF(AM77="","",SUMPRODUCT(--ISNUMBER(SEARCH(" "&amp;DJ2158:DJ2163&amp;" ",AS77)))),"")</f>
        <v>0</v>
      </c>
      <c r="CX77" s="493" t="str">
        <f>IF(66=66,IF(AM77="","",IF((CV77)-(0)&gt;0,"X",IF((CW77)-(0)&gt;0,"?",""))),"")</f>
        <v/>
      </c>
      <c r="CY77" s="493" cm="1">
        <f t="array" ref="CY77">IF(66=66,IF(AM77="","",SUMPRODUCT(--ISNUMBER(SEARCH(" "&amp;DJ2164:DJ2263&amp;" ",DB77)))),"")</f>
        <v>0</v>
      </c>
      <c r="CZ77" s="493" cm="1">
        <f t="array" ref="CZ77">IF(66=66,IF(AM77="","",SUMPRODUCT(--ISNUMBER(SEARCH(" "&amp;DJ2264:DJ2363&amp;" ",DB77)))),"")</f>
        <v>0</v>
      </c>
      <c r="DA77" s="493" cm="1">
        <f t="array" ref="DA77">IF(66=66,IF(AM77="","",SUMPRODUCT(--ISNUMBER(SEARCH(" "&amp;DJ2364:DJ2406&amp;" ",DB77)))),"")</f>
        <v>0</v>
      </c>
      <c r="DB77" s="493" t="str">
        <f>IF(66=66,IF(AM77="","",SUBSTITUTE(SUBSTITUTE(SUBSTITUTE(SUBSTITUTE(SUBSTITUTE(SUBSTITUTE(SUBSTITUTE(SUBSTITUTE(SUBSTITUTE(SUBSTITUTE(SUBSTITUTE(SUBSTITUTE(SUBSTITUTE(SUBSTITUTE(SUBSTITUTE(SUBSTITUTE(AS77," "&amp;DJ2412&amp;" "," ")," "&amp;DJ2411&amp;" "," ")," "&amp;DJ2410&amp;" "," ")," "&amp;DJ2417&amp;" "," ")," "&amp;DJ2409&amp;" "," ")," "&amp;DJ2421&amp;" "," ")," "&amp;DJ2408&amp;" "," ")," "&amp;DJ2413&amp;" "," ")," "&amp;DJ2416&amp;" "," ")," "&amp;DJ2407&amp;" "," ")," "&amp;DJ2415&amp;" "," ")," "&amp;DJ2422&amp;" "," ")," "&amp;DJ2419&amp;" "," ")," "&amp;DJ2414&amp;" "," ")," "&amp;DJ2418&amp;" "," ")," "&amp;DJ2420&amp;" "," ")),"")</f>
        <v xml:space="preserve"> 0 </v>
      </c>
      <c r="DC77" s="493" cm="1">
        <f t="array" ref="DC77">IF(66=66,IF(AM77="","",SUMPRODUCT(--ISNUMBER(SEARCH(" "&amp;DJ2423:DJ2427&amp;" ",DB77)))),"")</f>
        <v>0</v>
      </c>
      <c r="DD77" s="493" t="str">
        <f>IF(66=66,IF(AM77="","",IF(SUM(CY77:DA77)&gt;0,"X",IF(DC77&gt;0,"?",""))),"")</f>
        <v/>
      </c>
      <c r="DE77" s="494"/>
      <c r="DF77" s="496" t="s">
        <v>1259</v>
      </c>
      <c r="DG77" s="496" t="s">
        <v>1083</v>
      </c>
      <c r="DH77" s="496" t="s">
        <v>689</v>
      </c>
      <c r="DI77" s="496" t="s">
        <v>1260</v>
      </c>
      <c r="DJ77" s="496" t="s">
        <v>192</v>
      </c>
      <c r="DK77" s="496" t="s">
        <v>1085</v>
      </c>
      <c r="DL77" s="496" t="s">
        <v>1086</v>
      </c>
      <c r="DM77" s="496" t="s">
        <v>1087</v>
      </c>
      <c r="DN77" s="497" t="s">
        <v>1088</v>
      </c>
      <c r="DP77" s="543">
        <v>1</v>
      </c>
    </row>
    <row r="78" spans="2:120" ht="30" customHeight="1">
      <c r="B78" s="663" t="str">
        <f t="shared" si="0"/>
        <v/>
      </c>
      <c r="C78" s="663" t="str">
        <f t="shared" si="1"/>
        <v/>
      </c>
      <c r="D78" s="663" t="str">
        <f>IF(UPPER(TRIM(N11))="X",C78,B78)</f>
        <v/>
      </c>
      <c r="E78" s="663" cm="1">
        <f t="array" ref="E78">IF(H77&lt;&gt;"",E77,IF(E77="","",IFERROR(MATCH(TRUE(),INDEX(INDEX(K:K,E77+1):K203&lt;&gt;"",0),0)+E77,"")))</f>
        <v>219</v>
      </c>
      <c r="F78" s="663" cm="1">
        <f t="array" ref="F78">IF(E78="","",IF(H77&lt;&gt;"",H77,INDEX(D:D,E78)))</f>
        <v>0</v>
      </c>
      <c r="G78" s="663" t="str">
        <f t="shared" si="2"/>
        <v>0</v>
      </c>
      <c r="H78" s="673" t="str">
        <f t="shared" si="3"/>
        <v/>
      </c>
      <c r="I78" s="680" t="str">
        <f>IF(AND(F78&lt;&gt;"",N10&gt;0,M78&gt;N10),"Mot &gt; limite","")</f>
        <v/>
      </c>
      <c r="J78" s="674" t="str">
        <f>IF(K78="","",COUNTIF(K18:K78,"&lt;&gt;"))</f>
        <v/>
      </c>
      <c r="K78" s="675"/>
      <c r="L78" s="674" t="str">
        <f t="shared" si="4"/>
        <v/>
      </c>
      <c r="M78" s="643">
        <f>IF(OR(F78="",N10="",N10&lt;=0),"",IF(LEN(F78)&lt;=N10,LEN(F78),IFERROR(FIND("♦",SUBSTITUTE(LEFT(F78,N10)," ","♦",LEN(LEFT(F78,N10))-LEN(SUBSTITUTE(LEFT(F78,N10)," ","")))),FIND(" ",F78&amp;" ",N10+1)-1)))</f>
        <v>1</v>
      </c>
      <c r="N78" s="676">
        <f t="shared" si="5"/>
        <v>61</v>
      </c>
      <c r="O78" s="677" t="str">
        <f t="shared" si="6"/>
        <v>0</v>
      </c>
      <c r="P78" s="676">
        <f t="shared" si="7"/>
        <v>1</v>
      </c>
      <c r="Q78" s="676">
        <f t="shared" si="8"/>
        <v>1</v>
      </c>
      <c r="S78" s="498"/>
      <c r="T78" s="521"/>
      <c r="U78" s="522"/>
      <c r="V78" s="522"/>
      <c r="W78" s="498"/>
      <c r="X78" s="498"/>
      <c r="Y78" s="498"/>
      <c r="Z78" s="498"/>
      <c r="AA78" s="498"/>
      <c r="AB78" s="498"/>
      <c r="AC78" s="498"/>
      <c r="AD78" s="498"/>
      <c r="AE78" s="498"/>
      <c r="AF78" s="498"/>
      <c r="AG78" s="498"/>
      <c r="AH78" s="498"/>
      <c r="AI78" s="498"/>
      <c r="AJ78" s="498"/>
      <c r="AK78" s="498"/>
      <c r="DE78" s="494"/>
      <c r="DF78" s="496" t="s">
        <v>1261</v>
      </c>
      <c r="DG78" s="496" t="s">
        <v>1083</v>
      </c>
      <c r="DH78" s="496" t="s">
        <v>689</v>
      </c>
      <c r="DI78" s="496" t="s">
        <v>16</v>
      </c>
      <c r="DJ78" s="496" t="s">
        <v>16</v>
      </c>
      <c r="DK78" s="496" t="s">
        <v>1085</v>
      </c>
      <c r="DL78" s="496" t="s">
        <v>1086</v>
      </c>
      <c r="DM78" s="496" t="s">
        <v>1087</v>
      </c>
      <c r="DN78" s="497" t="s">
        <v>1088</v>
      </c>
      <c r="DP78" s="543">
        <v>1</v>
      </c>
    </row>
    <row r="79" spans="2:120" ht="30" customHeight="1">
      <c r="B79" s="663" t="str">
        <f t="shared" si="0"/>
        <v/>
      </c>
      <c r="C79" s="663" t="str">
        <f t="shared" si="1"/>
        <v/>
      </c>
      <c r="D79" s="663" t="str">
        <f>IF(UPPER(TRIM(N11))="X",C79,B79)</f>
        <v/>
      </c>
      <c r="E79" s="663" cm="1">
        <f t="array" ref="E79">IF(H78&lt;&gt;"",E78,IF(E78="","",IFERROR(MATCH(TRUE(),INDEX(INDEX(K:K,E78+1):K203&lt;&gt;"",0),0)+E78,"")))</f>
        <v>220</v>
      </c>
      <c r="F79" s="663" cm="1">
        <f t="array" ref="F79">IF(E79="","",IF(H78&lt;&gt;"",H78,INDEX(D:D,E79)))</f>
        <v>0</v>
      </c>
      <c r="G79" s="663" t="str">
        <f t="shared" si="2"/>
        <v>0</v>
      </c>
      <c r="H79" s="673" t="str">
        <f t="shared" si="3"/>
        <v/>
      </c>
      <c r="I79" s="680" t="str">
        <f>IF(AND(F79&lt;&gt;"",N10&gt;0,M79&gt;N10),"Mot &gt; limite","")</f>
        <v/>
      </c>
      <c r="J79" s="674" t="str">
        <f>IF(K79="","",COUNTIF(K18:K79,"&lt;&gt;"))</f>
        <v/>
      </c>
      <c r="K79" s="675"/>
      <c r="L79" s="674" t="str">
        <f t="shared" si="4"/>
        <v/>
      </c>
      <c r="M79" s="643">
        <f>IF(OR(F79="",N10="",N10&lt;=0),"",IF(LEN(F79)&lt;=N10,LEN(F79),IFERROR(FIND("♦",SUBSTITUTE(LEFT(F79,N10)," ","♦",LEN(LEFT(F79,N10))-LEN(SUBSTITUTE(LEFT(F79,N10)," ","")))),FIND(" ",F79&amp;" ",N10+1)-1)))</f>
        <v>1</v>
      </c>
      <c r="N79" s="676">
        <f t="shared" si="5"/>
        <v>62</v>
      </c>
      <c r="O79" s="677" t="str">
        <f t="shared" si="6"/>
        <v>0</v>
      </c>
      <c r="P79" s="676">
        <f t="shared" si="7"/>
        <v>1</v>
      </c>
      <c r="Q79" s="676">
        <f t="shared" si="8"/>
        <v>1</v>
      </c>
      <c r="S79" s="498"/>
      <c r="T79" s="521"/>
      <c r="U79" s="522"/>
      <c r="V79" s="522"/>
      <c r="W79" s="498"/>
      <c r="X79" s="498"/>
      <c r="Y79" s="498"/>
      <c r="Z79" s="498"/>
      <c r="AA79" s="498"/>
      <c r="AB79" s="498"/>
      <c r="AC79" s="498"/>
      <c r="AD79" s="498"/>
      <c r="AE79" s="498"/>
      <c r="AF79" s="498"/>
      <c r="AG79" s="498"/>
      <c r="AH79" s="498"/>
      <c r="AI79" s="498"/>
      <c r="AJ79" s="498"/>
      <c r="AK79" s="498"/>
      <c r="DE79" s="494"/>
      <c r="DF79" s="496" t="s">
        <v>1262</v>
      </c>
      <c r="DG79" s="496" t="s">
        <v>1083</v>
      </c>
      <c r="DH79" s="496" t="s">
        <v>689</v>
      </c>
      <c r="DI79" s="496" t="s">
        <v>1263</v>
      </c>
      <c r="DJ79" s="496" t="s">
        <v>1264</v>
      </c>
      <c r="DK79" s="496" t="s">
        <v>1085</v>
      </c>
      <c r="DL79" s="496" t="s">
        <v>1086</v>
      </c>
      <c r="DM79" s="496" t="s">
        <v>1087</v>
      </c>
      <c r="DN79" s="497" t="s">
        <v>1088</v>
      </c>
      <c r="DP79" s="543">
        <v>1</v>
      </c>
    </row>
    <row r="80" spans="2:120" ht="30" customHeight="1">
      <c r="B80" s="663" t="str">
        <f t="shared" si="0"/>
        <v/>
      </c>
      <c r="C80" s="663" t="str">
        <f t="shared" si="1"/>
        <v/>
      </c>
      <c r="D80" s="663" t="str">
        <f>IF(UPPER(TRIM(N11))="X",C80,B80)</f>
        <v/>
      </c>
      <c r="E80" s="663" cm="1">
        <f t="array" ref="E80">IF(H79&lt;&gt;"",E79,IF(E79="","",IFERROR(MATCH(TRUE(),INDEX(INDEX(K:K,E79+1):K203&lt;&gt;"",0),0)+E79,"")))</f>
        <v>221</v>
      </c>
      <c r="F80" s="663" cm="1">
        <f t="array" ref="F80">IF(E80="","",IF(H79&lt;&gt;"",H79,INDEX(D:D,E80)))</f>
        <v>0</v>
      </c>
      <c r="G80" s="663" t="str">
        <f t="shared" si="2"/>
        <v>0</v>
      </c>
      <c r="H80" s="673" t="str">
        <f t="shared" si="3"/>
        <v/>
      </c>
      <c r="I80" s="680" t="str">
        <f>IF(AND(F80&lt;&gt;"",N10&gt;0,M80&gt;N10),"Mot &gt; limite","")</f>
        <v/>
      </c>
      <c r="J80" s="674" t="str">
        <f>IF(K80="","",COUNTIF(K18:K80,"&lt;&gt;"))</f>
        <v/>
      </c>
      <c r="K80" s="675"/>
      <c r="L80" s="674" t="str">
        <f t="shared" si="4"/>
        <v/>
      </c>
      <c r="M80" s="643">
        <f>IF(OR(F80="",N10="",N10&lt;=0),"",IF(LEN(F80)&lt;=N10,LEN(F80),IFERROR(FIND("♦",SUBSTITUTE(LEFT(F80,N10)," ","♦",LEN(LEFT(F80,N10))-LEN(SUBSTITUTE(LEFT(F80,N10)," ","")))),FIND(" ",F80&amp;" ",N10+1)-1)))</f>
        <v>1</v>
      </c>
      <c r="N80" s="676">
        <f t="shared" si="5"/>
        <v>63</v>
      </c>
      <c r="O80" s="677" t="str">
        <f t="shared" si="6"/>
        <v>0</v>
      </c>
      <c r="P80" s="676">
        <f t="shared" si="7"/>
        <v>1</v>
      </c>
      <c r="Q80" s="676">
        <f t="shared" si="8"/>
        <v>1</v>
      </c>
      <c r="S80" s="498"/>
      <c r="T80" s="521"/>
      <c r="U80" s="522"/>
      <c r="V80" s="522"/>
      <c r="W80" s="498"/>
      <c r="X80" s="498"/>
      <c r="Y80" s="498"/>
      <c r="Z80" s="498"/>
      <c r="AA80" s="498"/>
      <c r="AB80" s="498"/>
      <c r="AC80" s="498"/>
      <c r="AD80" s="498"/>
      <c r="AE80" s="498"/>
      <c r="AF80" s="498"/>
      <c r="AG80" s="498"/>
      <c r="AH80" s="498"/>
      <c r="AI80" s="498"/>
      <c r="AJ80" s="498"/>
      <c r="AK80" s="498"/>
      <c r="DE80" s="494"/>
      <c r="DF80" s="496" t="s">
        <v>1265</v>
      </c>
      <c r="DG80" s="496" t="s">
        <v>1083</v>
      </c>
      <c r="DH80" s="496" t="s">
        <v>689</v>
      </c>
      <c r="DI80" s="496" t="s">
        <v>1266</v>
      </c>
      <c r="DJ80" s="496" t="s">
        <v>1267</v>
      </c>
      <c r="DK80" s="496" t="s">
        <v>1085</v>
      </c>
      <c r="DL80" s="496" t="s">
        <v>1086</v>
      </c>
      <c r="DM80" s="496" t="s">
        <v>1087</v>
      </c>
      <c r="DN80" s="497" t="s">
        <v>1088</v>
      </c>
      <c r="DP80" s="543">
        <v>1</v>
      </c>
    </row>
    <row r="81" spans="2:120" ht="30" customHeight="1">
      <c r="B81" s="663" t="str">
        <f t="shared" si="0"/>
        <v/>
      </c>
      <c r="C81" s="663" t="str">
        <f t="shared" si="1"/>
        <v/>
      </c>
      <c r="D81" s="663" t="str">
        <f>IF(UPPER(TRIM(N11))="X",C81,B81)</f>
        <v/>
      </c>
      <c r="E81" s="663" cm="1">
        <f t="array" ref="E81">IF(H80&lt;&gt;"",E80,IF(E80="","",IFERROR(MATCH(TRUE(),INDEX(INDEX(K:K,E80+1):K203&lt;&gt;"",0),0)+E80,"")))</f>
        <v>222</v>
      </c>
      <c r="F81" s="663" cm="1">
        <f t="array" ref="F81">IF(E81="","",IF(H80&lt;&gt;"",H80,INDEX(D:D,E81)))</f>
        <v>0</v>
      </c>
      <c r="G81" s="663" t="str">
        <f t="shared" si="2"/>
        <v>0</v>
      </c>
      <c r="H81" s="673" t="str">
        <f t="shared" si="3"/>
        <v/>
      </c>
      <c r="I81" s="680" t="str">
        <f>IF(AND(F81&lt;&gt;"",N10&gt;0,M81&gt;N10),"Mot &gt; limite","")</f>
        <v/>
      </c>
      <c r="J81" s="674" t="str">
        <f>IF(K81="","",COUNTIF(K18:K81,"&lt;&gt;"))</f>
        <v/>
      </c>
      <c r="K81" s="675"/>
      <c r="L81" s="674" t="str">
        <f t="shared" si="4"/>
        <v/>
      </c>
      <c r="M81" s="643">
        <f>IF(OR(F81="",N10="",N10&lt;=0),"",IF(LEN(F81)&lt;=N10,LEN(F81),IFERROR(FIND("♦",SUBSTITUTE(LEFT(F81,N10)," ","♦",LEN(LEFT(F81,N10))-LEN(SUBSTITUTE(LEFT(F81,N10)," ","")))),FIND(" ",F81&amp;" ",N10+1)-1)))</f>
        <v>1</v>
      </c>
      <c r="N81" s="676">
        <f t="shared" si="5"/>
        <v>64</v>
      </c>
      <c r="O81" s="677" t="str">
        <f t="shared" si="6"/>
        <v>0</v>
      </c>
      <c r="P81" s="676">
        <f t="shared" si="7"/>
        <v>1</v>
      </c>
      <c r="Q81" s="676">
        <f t="shared" si="8"/>
        <v>1</v>
      </c>
      <c r="S81" s="1243" t="s">
        <v>1268</v>
      </c>
      <c r="T81" s="1243"/>
      <c r="U81" s="1243"/>
      <c r="V81" s="1243"/>
      <c r="W81" s="1243"/>
      <c r="X81" s="1243"/>
      <c r="Y81" s="1243"/>
      <c r="Z81" s="1243"/>
      <c r="AA81" s="1243"/>
      <c r="AB81" s="1243"/>
      <c r="AC81" s="1243"/>
      <c r="AD81" s="1243"/>
      <c r="AE81" s="1243"/>
      <c r="AF81" s="1243"/>
      <c r="AG81" s="1243"/>
      <c r="AH81" s="1243"/>
      <c r="AI81" s="1243"/>
      <c r="AJ81" s="1243"/>
      <c r="AK81" s="1243"/>
      <c r="DE81" s="494"/>
      <c r="DF81" s="496" t="s">
        <v>1269</v>
      </c>
      <c r="DG81" s="496" t="s">
        <v>1083</v>
      </c>
      <c r="DH81" s="496" t="s">
        <v>689</v>
      </c>
      <c r="DI81" s="496" t="s">
        <v>92</v>
      </c>
      <c r="DJ81" s="496" t="s">
        <v>92</v>
      </c>
      <c r="DK81" s="496" t="s">
        <v>1085</v>
      </c>
      <c r="DL81" s="496" t="s">
        <v>1086</v>
      </c>
      <c r="DM81" s="496" t="s">
        <v>1087</v>
      </c>
      <c r="DN81" s="497" t="s">
        <v>1088</v>
      </c>
      <c r="DP81" s="543">
        <v>1</v>
      </c>
    </row>
    <row r="82" spans="2:120" ht="30" customHeight="1">
      <c r="B82" s="663" t="str">
        <f t="shared" ref="B82:B145" si="12">IF(TRIM(SUBSTITUTE(K82,CHAR(160),""))="","",TRIM(SUBSTITUTE(SUBSTITUTE(SUBSTITUTE(SUBSTITUTE(CLEAN(K82),CHAR(160)," "),CHAR(9)," "),CHAR(10)," "),CHAR(13)," ")))</f>
        <v/>
      </c>
      <c r="C82" s="663" t="str">
        <f t="shared" ref="C82:C145" si="13">IF(B82="","",TRIM(SUBSTITUTE(SUBSTITUTE(SUBSTITUTE(SUBSTITUTE(SUBSTITUTE(SUBSTITUTE(SUBSTITUTE(SUBSTITUTE(SUBSTITUTE(SUBSTITUTE(B82,","," "),";"," "),":"," "),"."," "),"?"," "), "!"," "),"/"," "), "("," "), ")"," "), "-"," ")))</f>
        <v/>
      </c>
      <c r="D82" s="663" t="str">
        <f>IF(UPPER(TRIM(N11))="X",C82,B82)</f>
        <v/>
      </c>
      <c r="E82" s="663" cm="1">
        <f t="array" ref="E82">IF(H81&lt;&gt;"",E81,IF(E81="","",IFERROR(MATCH(TRUE(),INDEX(INDEX(K:K,E81+1):K203&lt;&gt;"",0),0)+E81,"")))</f>
        <v>223</v>
      </c>
      <c r="F82" s="663" cm="1">
        <f t="array" ref="F82">IF(E82="","",IF(H81&lt;&gt;"",H81,INDEX(D:D,E82)))</f>
        <v>0</v>
      </c>
      <c r="G82" s="663" t="str">
        <f t="shared" ref="G82:G145" si="14">IF(OR(F82="",M82=""),"",LEFT(F82,M82))</f>
        <v>0</v>
      </c>
      <c r="H82" s="673" t="str">
        <f t="shared" ref="H82:H145" si="15">IF(OR(F82="",M82=""),"",TRIM(MID(F82,M82+1,99999)))</f>
        <v/>
      </c>
      <c r="I82" s="680" t="str">
        <f>IF(AND(F82&lt;&gt;"",N10&gt;0,M82&gt;N10),"Mot &gt; limite","")</f>
        <v/>
      </c>
      <c r="J82" s="674" t="str">
        <f>IF(K82="","",COUNTIF(K18:K82,"&lt;&gt;"))</f>
        <v/>
      </c>
      <c r="K82" s="675"/>
      <c r="L82" s="674" t="str">
        <f t="shared" ref="L82:L145" si="16">IF(TRIM(SUBSTITUTE(K82,CHAR(160),""))="","",LEN(K82))</f>
        <v/>
      </c>
      <c r="M82" s="643">
        <f>IF(OR(F82="",N10="",N10&lt;=0),"",IF(LEN(F82)&lt;=N10,LEN(F82),IFERROR(FIND("♦",SUBSTITUTE(LEFT(F82,N10)," ","♦",LEN(LEFT(F82,N10))-LEN(SUBSTITUTE(LEFT(F82,N10)," ","")))),FIND(" ",F82&amp;" ",N10+1)-1)))</f>
        <v>1</v>
      </c>
      <c r="N82" s="676">
        <f t="shared" ref="N82:N145" si="17">IF(O82="","",ROW()-17)</f>
        <v>65</v>
      </c>
      <c r="O82" s="677" t="str">
        <f t="shared" ref="O82:O145" si="18">G82</f>
        <v>0</v>
      </c>
      <c r="P82" s="676">
        <f t="shared" ref="P82:P145" si="19">IF(O82="","",LEN(TRIM(O82))-LEN(SUBSTITUTE(TRIM(O82)," ",""))+1)</f>
        <v>1</v>
      </c>
      <c r="Q82" s="676">
        <f t="shared" ref="Q82:Q145" si="20">IF(O82="","",LEN(O82))</f>
        <v>1</v>
      </c>
      <c r="S82" s="498"/>
      <c r="T82" s="521"/>
      <c r="U82" s="522"/>
      <c r="V82" s="522"/>
      <c r="W82" s="498"/>
      <c r="X82" s="498"/>
      <c r="Y82" s="498"/>
      <c r="Z82" s="498"/>
      <c r="AA82" s="498"/>
      <c r="AB82" s="498"/>
      <c r="AC82" s="498"/>
      <c r="AD82" s="498"/>
      <c r="AE82" s="498"/>
      <c r="AF82" s="498"/>
      <c r="AG82" s="498"/>
      <c r="AH82" s="498"/>
      <c r="AI82" s="498"/>
      <c r="AJ82" s="498"/>
      <c r="AK82" s="498"/>
      <c r="DE82" s="494"/>
      <c r="DF82" s="496" t="s">
        <v>1270</v>
      </c>
      <c r="DG82" s="496" t="s">
        <v>1083</v>
      </c>
      <c r="DH82" s="496" t="s">
        <v>689</v>
      </c>
      <c r="DI82" s="496" t="s">
        <v>1271</v>
      </c>
      <c r="DJ82" s="496" t="s">
        <v>1271</v>
      </c>
      <c r="DK82" s="496" t="s">
        <v>1085</v>
      </c>
      <c r="DL82" s="496" t="s">
        <v>1086</v>
      </c>
      <c r="DM82" s="496" t="s">
        <v>1087</v>
      </c>
      <c r="DN82" s="497" t="s">
        <v>1088</v>
      </c>
      <c r="DP82" s="543">
        <v>1</v>
      </c>
    </row>
    <row r="83" spans="2:120" ht="30" customHeight="1">
      <c r="B83" s="663" t="str">
        <f t="shared" si="12"/>
        <v/>
      </c>
      <c r="C83" s="663" t="str">
        <f t="shared" si="13"/>
        <v/>
      </c>
      <c r="D83" s="663" t="str">
        <f>IF(UPPER(TRIM(N11))="X",C83,B83)</f>
        <v/>
      </c>
      <c r="E83" s="663" cm="1">
        <f t="array" ref="E83">IF(H82&lt;&gt;"",E82,IF(E82="","",IFERROR(MATCH(TRUE(),INDEX(INDEX(K:K,E82+1):K203&lt;&gt;"",0),0)+E82,"")))</f>
        <v>224</v>
      </c>
      <c r="F83" s="663" cm="1">
        <f t="array" ref="F83">IF(E83="","",IF(H82&lt;&gt;"",H82,INDEX(D:D,E83)))</f>
        <v>0</v>
      </c>
      <c r="G83" s="663" t="str">
        <f t="shared" si="14"/>
        <v>0</v>
      </c>
      <c r="H83" s="673" t="str">
        <f t="shared" si="15"/>
        <v/>
      </c>
      <c r="I83" s="680" t="str">
        <f>IF(AND(F83&lt;&gt;"",N10&gt;0,M83&gt;N10),"Mot &gt; limite","")</f>
        <v/>
      </c>
      <c r="J83" s="674" t="str">
        <f>IF(K83="","",COUNTIF(K18:K83,"&lt;&gt;"))</f>
        <v/>
      </c>
      <c r="K83" s="675"/>
      <c r="L83" s="674" t="str">
        <f t="shared" si="16"/>
        <v/>
      </c>
      <c r="M83" s="643">
        <f>IF(OR(F83="",N10="",N10&lt;=0),"",IF(LEN(F83)&lt;=N10,LEN(F83),IFERROR(FIND("♦",SUBSTITUTE(LEFT(F83,N10)," ","♦",LEN(LEFT(F83,N10))-LEN(SUBSTITUTE(LEFT(F83,N10)," ","")))),FIND(" ",F83&amp;" ",N10+1)-1)))</f>
        <v>1</v>
      </c>
      <c r="N83" s="676">
        <f t="shared" si="17"/>
        <v>66</v>
      </c>
      <c r="O83" s="677" t="str">
        <f t="shared" si="18"/>
        <v>0</v>
      </c>
      <c r="P83" s="676">
        <f t="shared" si="19"/>
        <v>1</v>
      </c>
      <c r="Q83" s="676">
        <f t="shared" si="20"/>
        <v>1</v>
      </c>
      <c r="S83" s="498"/>
      <c r="T83" s="521"/>
      <c r="U83" s="546" t="s">
        <v>1272</v>
      </c>
      <c r="V83" s="522"/>
      <c r="W83" s="498"/>
      <c r="X83" s="498"/>
      <c r="Y83" s="498"/>
      <c r="Z83" s="498"/>
      <c r="AA83" s="498"/>
      <c r="AB83" s="498"/>
      <c r="AC83" s="498"/>
      <c r="AD83" s="498"/>
      <c r="AE83" s="498"/>
      <c r="AF83" s="498"/>
      <c r="AG83" s="498"/>
      <c r="AH83" s="498"/>
      <c r="AI83" s="498"/>
      <c r="AJ83" s="498"/>
      <c r="AK83" s="498"/>
      <c r="DE83" s="494"/>
      <c r="DF83" s="496" t="s">
        <v>1273</v>
      </c>
      <c r="DG83" s="496" t="s">
        <v>1083</v>
      </c>
      <c r="DH83" s="496" t="s">
        <v>689</v>
      </c>
      <c r="DI83" s="496" t="s">
        <v>1274</v>
      </c>
      <c r="DJ83" s="496" t="s">
        <v>1274</v>
      </c>
      <c r="DK83" s="496" t="s">
        <v>1085</v>
      </c>
      <c r="DL83" s="496" t="s">
        <v>1086</v>
      </c>
      <c r="DM83" s="496" t="s">
        <v>1087</v>
      </c>
      <c r="DN83" s="497" t="s">
        <v>1088</v>
      </c>
      <c r="DP83" s="543">
        <v>1</v>
      </c>
    </row>
    <row r="84" spans="2:120" ht="30" customHeight="1">
      <c r="B84" s="663" t="str">
        <f t="shared" si="12"/>
        <v/>
      </c>
      <c r="C84" s="663" t="str">
        <f t="shared" si="13"/>
        <v/>
      </c>
      <c r="D84" s="663" t="str">
        <f>IF(UPPER(TRIM(N11))="X",C84,B84)</f>
        <v/>
      </c>
      <c r="E84" s="663" cm="1">
        <f t="array" ref="E84">IF(H83&lt;&gt;"",E83,IF(E83="","",IFERROR(MATCH(TRUE(),INDEX(INDEX(K:K,E83+1):K203&lt;&gt;"",0),0)+E83,"")))</f>
        <v>225</v>
      </c>
      <c r="F84" s="663" cm="1">
        <f t="array" ref="F84">IF(E84="","",IF(H83&lt;&gt;"",H83,INDEX(D:D,E84)))</f>
        <v>0</v>
      </c>
      <c r="G84" s="663" t="str">
        <f t="shared" si="14"/>
        <v>0</v>
      </c>
      <c r="H84" s="673" t="str">
        <f t="shared" si="15"/>
        <v/>
      </c>
      <c r="I84" s="680" t="str">
        <f>IF(AND(F84&lt;&gt;"",N10&gt;0,M84&gt;N10),"Mot &gt; limite","")</f>
        <v/>
      </c>
      <c r="J84" s="674" t="str">
        <f>IF(K84="","",COUNTIF(K18:K84,"&lt;&gt;"))</f>
        <v/>
      </c>
      <c r="K84" s="675"/>
      <c r="L84" s="674" t="str">
        <f t="shared" si="16"/>
        <v/>
      </c>
      <c r="M84" s="643">
        <f>IF(OR(F84="",N10="",N10&lt;=0),"",IF(LEN(F84)&lt;=N10,LEN(F84),IFERROR(FIND("♦",SUBSTITUTE(LEFT(F84,N10)," ","♦",LEN(LEFT(F84,N10))-LEN(SUBSTITUTE(LEFT(F84,N10)," ","")))),FIND(" ",F84&amp;" ",N10+1)-1)))</f>
        <v>1</v>
      </c>
      <c r="N84" s="676">
        <f t="shared" si="17"/>
        <v>67</v>
      </c>
      <c r="O84" s="677" t="str">
        <f t="shared" si="18"/>
        <v>0</v>
      </c>
      <c r="P84" s="676">
        <f t="shared" si="19"/>
        <v>1</v>
      </c>
      <c r="Q84" s="676">
        <f t="shared" si="20"/>
        <v>1</v>
      </c>
      <c r="S84" s="498"/>
      <c r="T84" s="521"/>
      <c r="U84" s="546" t="s">
        <v>1275</v>
      </c>
      <c r="V84" s="522"/>
      <c r="W84" s="498"/>
      <c r="X84" s="498"/>
      <c r="Y84" s="498"/>
      <c r="Z84" s="498"/>
      <c r="AA84" s="498"/>
      <c r="AB84" s="498"/>
      <c r="AC84" s="498"/>
      <c r="AD84" s="498"/>
      <c r="AE84" s="498"/>
      <c r="AF84" s="498"/>
      <c r="AG84" s="498"/>
      <c r="AH84" s="498"/>
      <c r="AI84" s="498"/>
      <c r="AJ84" s="498"/>
      <c r="AK84" s="498"/>
      <c r="DE84" s="494"/>
      <c r="DF84" s="496" t="s">
        <v>1276</v>
      </c>
      <c r="DG84" s="496" t="s">
        <v>1083</v>
      </c>
      <c r="DH84" s="496" t="s">
        <v>689</v>
      </c>
      <c r="DI84" s="496" t="s">
        <v>907</v>
      </c>
      <c r="DJ84" s="496" t="s">
        <v>907</v>
      </c>
      <c r="DK84" s="496" t="s">
        <v>1085</v>
      </c>
      <c r="DL84" s="496" t="s">
        <v>1086</v>
      </c>
      <c r="DM84" s="496" t="s">
        <v>1087</v>
      </c>
      <c r="DN84" s="497" t="s">
        <v>1088</v>
      </c>
      <c r="DP84" s="543">
        <v>1</v>
      </c>
    </row>
    <row r="85" spans="2:120" ht="30" customHeight="1">
      <c r="B85" s="663" t="str">
        <f t="shared" si="12"/>
        <v/>
      </c>
      <c r="C85" s="663" t="str">
        <f t="shared" si="13"/>
        <v/>
      </c>
      <c r="D85" s="663" t="str">
        <f>IF(UPPER(TRIM(N11))="X",C85,B85)</f>
        <v/>
      </c>
      <c r="E85" s="663" cm="1">
        <f t="array" ref="E85">IF(H84&lt;&gt;"",E84,IF(E84="","",IFERROR(MATCH(TRUE(),INDEX(INDEX(K:K,E84+1):K203&lt;&gt;"",0),0)+E84,"")))</f>
        <v>226</v>
      </c>
      <c r="F85" s="663" cm="1">
        <f t="array" ref="F85">IF(E85="","",IF(H84&lt;&gt;"",H84,INDEX(D:D,E85)))</f>
        <v>0</v>
      </c>
      <c r="G85" s="663" t="str">
        <f t="shared" si="14"/>
        <v>0</v>
      </c>
      <c r="H85" s="673" t="str">
        <f t="shared" si="15"/>
        <v/>
      </c>
      <c r="I85" s="680" t="str">
        <f>IF(AND(F85&lt;&gt;"",N10&gt;0,M85&gt;N10),"Mot &gt; limite","")</f>
        <v/>
      </c>
      <c r="J85" s="674" t="str">
        <f>IF(K85="","",COUNTIF(K18:K85,"&lt;&gt;"))</f>
        <v/>
      </c>
      <c r="K85" s="675"/>
      <c r="L85" s="674" t="str">
        <f t="shared" si="16"/>
        <v/>
      </c>
      <c r="M85" s="643">
        <f>IF(OR(F85="",N10="",N10&lt;=0),"",IF(LEN(F85)&lt;=N10,LEN(F85),IFERROR(FIND("♦",SUBSTITUTE(LEFT(F85,N10)," ","♦",LEN(LEFT(F85,N10))-LEN(SUBSTITUTE(LEFT(F85,N10)," ","")))),FIND(" ",F85&amp;" ",N10+1)-1)))</f>
        <v>1</v>
      </c>
      <c r="N85" s="676">
        <f t="shared" si="17"/>
        <v>68</v>
      </c>
      <c r="O85" s="677" t="str">
        <f t="shared" si="18"/>
        <v>0</v>
      </c>
      <c r="P85" s="676">
        <f t="shared" si="19"/>
        <v>1</v>
      </c>
      <c r="Q85" s="676">
        <f t="shared" si="20"/>
        <v>1</v>
      </c>
      <c r="S85" s="498"/>
      <c r="T85" s="521"/>
      <c r="U85" s="546" t="s">
        <v>5739</v>
      </c>
      <c r="V85" s="522"/>
      <c r="W85" s="498"/>
      <c r="X85" s="498"/>
      <c r="Y85" s="498"/>
      <c r="Z85" s="498"/>
      <c r="AA85" s="498"/>
      <c r="AB85" s="498"/>
      <c r="AC85" s="498"/>
      <c r="AD85" s="498"/>
      <c r="AE85" s="498"/>
      <c r="AF85" s="498"/>
      <c r="AG85" s="498"/>
      <c r="AH85" s="498"/>
      <c r="AI85" s="498"/>
      <c r="AJ85" s="498"/>
      <c r="AK85" s="498"/>
      <c r="DE85" s="494"/>
      <c r="DF85" s="496" t="s">
        <v>1277</v>
      </c>
      <c r="DG85" s="496" t="s">
        <v>1083</v>
      </c>
      <c r="DH85" s="496" t="s">
        <v>689</v>
      </c>
      <c r="DI85" s="496" t="s">
        <v>908</v>
      </c>
      <c r="DJ85" s="496" t="s">
        <v>908</v>
      </c>
      <c r="DK85" s="496" t="s">
        <v>1085</v>
      </c>
      <c r="DL85" s="496" t="s">
        <v>1086</v>
      </c>
      <c r="DM85" s="496" t="s">
        <v>1087</v>
      </c>
      <c r="DN85" s="497" t="s">
        <v>1088</v>
      </c>
      <c r="DP85" s="543">
        <v>1</v>
      </c>
    </row>
    <row r="86" spans="2:120" ht="30" customHeight="1">
      <c r="B86" s="663" t="str">
        <f t="shared" si="12"/>
        <v/>
      </c>
      <c r="C86" s="663" t="str">
        <f t="shared" si="13"/>
        <v/>
      </c>
      <c r="D86" s="663" t="str">
        <f>IF(UPPER(TRIM(N11))="X",C86,B86)</f>
        <v/>
      </c>
      <c r="E86" s="663" cm="1">
        <f t="array" ref="E86">IF(H85&lt;&gt;"",E85,IF(E85="","",IFERROR(MATCH(TRUE(),INDEX(INDEX(K:K,E85+1):K203&lt;&gt;"",0),0)+E85,"")))</f>
        <v>227</v>
      </c>
      <c r="F86" s="663" cm="1">
        <f t="array" ref="F86">IF(E86="","",IF(H85&lt;&gt;"",H85,INDEX(D:D,E86)))</f>
        <v>0</v>
      </c>
      <c r="G86" s="663" t="str">
        <f t="shared" si="14"/>
        <v>0</v>
      </c>
      <c r="H86" s="673" t="str">
        <f t="shared" si="15"/>
        <v/>
      </c>
      <c r="I86" s="680" t="str">
        <f>IF(AND(F86&lt;&gt;"",N10&gt;0,M86&gt;N10),"Mot &gt; limite","")</f>
        <v/>
      </c>
      <c r="J86" s="674" t="str">
        <f>IF(K86="","",COUNTIF(K18:K86,"&lt;&gt;"))</f>
        <v/>
      </c>
      <c r="K86" s="675"/>
      <c r="L86" s="674" t="str">
        <f t="shared" si="16"/>
        <v/>
      </c>
      <c r="M86" s="643">
        <f>IF(OR(F86="",N10="",N10&lt;=0),"",IF(LEN(F86)&lt;=N10,LEN(F86),IFERROR(FIND("♦",SUBSTITUTE(LEFT(F86,N10)," ","♦",LEN(LEFT(F86,N10))-LEN(SUBSTITUTE(LEFT(F86,N10)," ","")))),FIND(" ",F86&amp;" ",N10+1)-1)))</f>
        <v>1</v>
      </c>
      <c r="N86" s="676">
        <f t="shared" si="17"/>
        <v>69</v>
      </c>
      <c r="O86" s="677" t="str">
        <f t="shared" si="18"/>
        <v>0</v>
      </c>
      <c r="P86" s="676">
        <f t="shared" si="19"/>
        <v>1</v>
      </c>
      <c r="Q86" s="676">
        <f t="shared" si="20"/>
        <v>1</v>
      </c>
      <c r="S86" s="498"/>
      <c r="T86" s="521"/>
      <c r="U86" s="546" t="s">
        <v>1278</v>
      </c>
      <c r="V86" s="522"/>
      <c r="W86" s="498"/>
      <c r="X86" s="498"/>
      <c r="Y86" s="498"/>
      <c r="Z86" s="498"/>
      <c r="AA86" s="498"/>
      <c r="AB86" s="498"/>
      <c r="AC86" s="498"/>
      <c r="AD86" s="498"/>
      <c r="AE86" s="498"/>
      <c r="AF86" s="498"/>
      <c r="AG86" s="498"/>
      <c r="AH86" s="498"/>
      <c r="AI86" s="498"/>
      <c r="AJ86" s="498"/>
      <c r="AK86" s="498"/>
      <c r="DE86" s="494"/>
      <c r="DF86" s="496" t="s">
        <v>1279</v>
      </c>
      <c r="DG86" s="496" t="s">
        <v>1083</v>
      </c>
      <c r="DH86" s="496" t="s">
        <v>689</v>
      </c>
      <c r="DI86" s="496" t="s">
        <v>909</v>
      </c>
      <c r="DJ86" s="496" t="s">
        <v>909</v>
      </c>
      <c r="DK86" s="496" t="s">
        <v>1085</v>
      </c>
      <c r="DL86" s="496" t="s">
        <v>1086</v>
      </c>
      <c r="DM86" s="496" t="s">
        <v>1087</v>
      </c>
      <c r="DN86" s="497" t="s">
        <v>1088</v>
      </c>
      <c r="DP86" s="543">
        <v>1</v>
      </c>
    </row>
    <row r="87" spans="2:120" ht="30" customHeight="1">
      <c r="B87" s="663" t="str">
        <f t="shared" si="12"/>
        <v/>
      </c>
      <c r="C87" s="663" t="str">
        <f t="shared" si="13"/>
        <v/>
      </c>
      <c r="D87" s="663" t="str">
        <f>IF(UPPER(TRIM(N11))="X",C87,B87)</f>
        <v/>
      </c>
      <c r="E87" s="663" cm="1">
        <f t="array" ref="E87">IF(H86&lt;&gt;"",E86,IF(E86="","",IFERROR(MATCH(TRUE(),INDEX(INDEX(K:K,E86+1):K203&lt;&gt;"",0),0)+E86,"")))</f>
        <v>228</v>
      </c>
      <c r="F87" s="663" cm="1">
        <f t="array" ref="F87">IF(E87="","",IF(H86&lt;&gt;"",H86,INDEX(D:D,E87)))</f>
        <v>0</v>
      </c>
      <c r="G87" s="663" t="str">
        <f t="shared" si="14"/>
        <v>0</v>
      </c>
      <c r="H87" s="673" t="str">
        <f t="shared" si="15"/>
        <v/>
      </c>
      <c r="I87" s="680" t="str">
        <f>IF(AND(F87&lt;&gt;"",N10&gt;0,M87&gt;N10),"Mot &gt; limite","")</f>
        <v/>
      </c>
      <c r="J87" s="674" t="str">
        <f>IF(K87="","",COUNTIF(K18:K87,"&lt;&gt;"))</f>
        <v/>
      </c>
      <c r="K87" s="675"/>
      <c r="L87" s="674" t="str">
        <f t="shared" si="16"/>
        <v/>
      </c>
      <c r="M87" s="643">
        <f>IF(OR(F87="",N10="",N10&lt;=0),"",IF(LEN(F87)&lt;=N10,LEN(F87),IFERROR(FIND("♦",SUBSTITUTE(LEFT(F87,N10)," ","♦",LEN(LEFT(F87,N10))-LEN(SUBSTITUTE(LEFT(F87,N10)," ","")))),FIND(" ",F87&amp;" ",N10+1)-1)))</f>
        <v>1</v>
      </c>
      <c r="N87" s="676">
        <f t="shared" si="17"/>
        <v>70</v>
      </c>
      <c r="O87" s="677" t="str">
        <f t="shared" si="18"/>
        <v>0</v>
      </c>
      <c r="P87" s="676">
        <f t="shared" si="19"/>
        <v>1</v>
      </c>
      <c r="Q87" s="676">
        <f t="shared" si="20"/>
        <v>1</v>
      </c>
      <c r="S87" s="498"/>
      <c r="T87" s="521"/>
      <c r="U87" s="546" t="s">
        <v>5740</v>
      </c>
      <c r="V87" s="522"/>
      <c r="W87" s="498"/>
      <c r="X87" s="498"/>
      <c r="Y87" s="498"/>
      <c r="Z87" s="498"/>
      <c r="AA87" s="498"/>
      <c r="AB87" s="498"/>
      <c r="AC87" s="498"/>
      <c r="AD87" s="498"/>
      <c r="AE87" s="498"/>
      <c r="AF87" s="498"/>
      <c r="AG87" s="498"/>
      <c r="AH87" s="498"/>
      <c r="AI87" s="498"/>
      <c r="AJ87" s="498"/>
      <c r="AK87" s="498"/>
      <c r="DE87" s="494"/>
      <c r="DF87" s="496" t="s">
        <v>1280</v>
      </c>
      <c r="DG87" s="496" t="s">
        <v>1083</v>
      </c>
      <c r="DH87" s="496" t="s">
        <v>689</v>
      </c>
      <c r="DI87" s="496" t="s">
        <v>1281</v>
      </c>
      <c r="DJ87" s="496" t="s">
        <v>1281</v>
      </c>
      <c r="DK87" s="496" t="s">
        <v>1085</v>
      </c>
      <c r="DL87" s="496" t="s">
        <v>1086</v>
      </c>
      <c r="DM87" s="496" t="s">
        <v>1087</v>
      </c>
      <c r="DN87" s="497" t="s">
        <v>1088</v>
      </c>
      <c r="DP87" s="543">
        <v>1</v>
      </c>
    </row>
    <row r="88" spans="2:120" ht="30" customHeight="1">
      <c r="B88" s="663" t="str">
        <f t="shared" si="12"/>
        <v/>
      </c>
      <c r="C88" s="663" t="str">
        <f t="shared" si="13"/>
        <v/>
      </c>
      <c r="D88" s="663" t="str">
        <f>IF(UPPER(TRIM(N11))="X",C88,B88)</f>
        <v/>
      </c>
      <c r="E88" s="663" cm="1">
        <f t="array" ref="E88">IF(H87&lt;&gt;"",E87,IF(E87="","",IFERROR(MATCH(TRUE(),INDEX(INDEX(K:K,E87+1):K203&lt;&gt;"",0),0)+E87,"")))</f>
        <v>229</v>
      </c>
      <c r="F88" s="663" cm="1">
        <f t="array" ref="F88">IF(E88="","",IF(H87&lt;&gt;"",H87,INDEX(D:D,E88)))</f>
        <v>0</v>
      </c>
      <c r="G88" s="663" t="str">
        <f t="shared" si="14"/>
        <v>0</v>
      </c>
      <c r="H88" s="673" t="str">
        <f t="shared" si="15"/>
        <v/>
      </c>
      <c r="I88" s="680" t="str">
        <f>IF(AND(F88&lt;&gt;"",N10&gt;0,M88&gt;N10),"Mot &gt; limite","")</f>
        <v/>
      </c>
      <c r="J88" s="674" t="str">
        <f>IF(K88="","",COUNTIF(K18:K88,"&lt;&gt;"))</f>
        <v/>
      </c>
      <c r="K88" s="675"/>
      <c r="L88" s="674" t="str">
        <f t="shared" si="16"/>
        <v/>
      </c>
      <c r="M88" s="643">
        <f>IF(OR(F88="",N10="",N10&lt;=0),"",IF(LEN(F88)&lt;=N10,LEN(F88),IFERROR(FIND("♦",SUBSTITUTE(LEFT(F88,N10)," ","♦",LEN(LEFT(F88,N10))-LEN(SUBSTITUTE(LEFT(F88,N10)," ","")))),FIND(" ",F88&amp;" ",N10+1)-1)))</f>
        <v>1</v>
      </c>
      <c r="N88" s="676">
        <f t="shared" si="17"/>
        <v>71</v>
      </c>
      <c r="O88" s="677" t="str">
        <f t="shared" si="18"/>
        <v>0</v>
      </c>
      <c r="P88" s="676">
        <f t="shared" si="19"/>
        <v>1</v>
      </c>
      <c r="Q88" s="676">
        <f t="shared" si="20"/>
        <v>1</v>
      </c>
      <c r="S88" s="498"/>
      <c r="T88" s="521"/>
      <c r="U88" s="546" t="s">
        <v>5741</v>
      </c>
      <c r="V88" s="522"/>
      <c r="W88" s="498"/>
      <c r="X88" s="498"/>
      <c r="Y88" s="498"/>
      <c r="Z88" s="498"/>
      <c r="AA88" s="498"/>
      <c r="AB88" s="498"/>
      <c r="AC88" s="498"/>
      <c r="AD88" s="498"/>
      <c r="AE88" s="498"/>
      <c r="AF88" s="498"/>
      <c r="AG88" s="498"/>
      <c r="AH88" s="498"/>
      <c r="AI88" s="498"/>
      <c r="AJ88" s="498"/>
      <c r="AK88" s="498"/>
      <c r="DE88" s="494"/>
      <c r="DF88" s="496" t="s">
        <v>1282</v>
      </c>
      <c r="DG88" s="496" t="s">
        <v>1083</v>
      </c>
      <c r="DH88" s="496" t="s">
        <v>689</v>
      </c>
      <c r="DI88" s="496" t="s">
        <v>159</v>
      </c>
      <c r="DJ88" s="496" t="s">
        <v>159</v>
      </c>
      <c r="DK88" s="496" t="s">
        <v>1085</v>
      </c>
      <c r="DL88" s="496" t="s">
        <v>1086</v>
      </c>
      <c r="DM88" s="496" t="s">
        <v>1087</v>
      </c>
      <c r="DN88" s="497" t="s">
        <v>1088</v>
      </c>
      <c r="DP88" s="543">
        <v>1</v>
      </c>
    </row>
    <row r="89" spans="2:120" ht="30" customHeight="1">
      <c r="B89" s="663" t="str">
        <f t="shared" si="12"/>
        <v/>
      </c>
      <c r="C89" s="663" t="str">
        <f t="shared" si="13"/>
        <v/>
      </c>
      <c r="D89" s="663" t="str">
        <f>IF(UPPER(TRIM(N11))="X",C89,B89)</f>
        <v/>
      </c>
      <c r="E89" s="663" cm="1">
        <f t="array" ref="E89">IF(H88&lt;&gt;"",E88,IF(E88="","",IFERROR(MATCH(TRUE(),INDEX(INDEX(K:K,E88+1):K203&lt;&gt;"",0),0)+E88,"")))</f>
        <v>230</v>
      </c>
      <c r="F89" s="663" cm="1">
        <f t="array" ref="F89">IF(E89="","",IF(H88&lt;&gt;"",H88,INDEX(D:D,E89)))</f>
        <v>0</v>
      </c>
      <c r="G89" s="663" t="str">
        <f t="shared" si="14"/>
        <v>0</v>
      </c>
      <c r="H89" s="673" t="str">
        <f t="shared" si="15"/>
        <v/>
      </c>
      <c r="I89" s="680" t="str">
        <f>IF(AND(F89&lt;&gt;"",N10&gt;0,M89&gt;N10),"Mot &gt; limite","")</f>
        <v/>
      </c>
      <c r="J89" s="674" t="str">
        <f>IF(K89="","",COUNTIF(K18:K89,"&lt;&gt;"))</f>
        <v/>
      </c>
      <c r="K89" s="675"/>
      <c r="L89" s="674" t="str">
        <f t="shared" si="16"/>
        <v/>
      </c>
      <c r="M89" s="643">
        <f>IF(OR(F89="",N10="",N10&lt;=0),"",IF(LEN(F89)&lt;=N10,LEN(F89),IFERROR(FIND("♦",SUBSTITUTE(LEFT(F89,N10)," ","♦",LEN(LEFT(F89,N10))-LEN(SUBSTITUTE(LEFT(F89,N10)," ","")))),FIND(" ",F89&amp;" ",N10+1)-1)))</f>
        <v>1</v>
      </c>
      <c r="N89" s="676">
        <f t="shared" si="17"/>
        <v>72</v>
      </c>
      <c r="O89" s="677" t="str">
        <f t="shared" si="18"/>
        <v>0</v>
      </c>
      <c r="P89" s="676">
        <f t="shared" si="19"/>
        <v>1</v>
      </c>
      <c r="Q89" s="676">
        <f t="shared" si="20"/>
        <v>1</v>
      </c>
      <c r="S89" s="498"/>
      <c r="T89" s="521"/>
      <c r="U89" s="522"/>
      <c r="V89" s="522"/>
      <c r="W89" s="498"/>
      <c r="X89" s="498"/>
      <c r="Y89" s="498"/>
      <c r="Z89" s="498"/>
      <c r="AA89" s="498"/>
      <c r="AB89" s="498"/>
      <c r="AC89" s="498"/>
      <c r="AD89" s="498"/>
      <c r="AE89" s="498"/>
      <c r="AF89" s="498"/>
      <c r="AG89" s="498"/>
      <c r="AH89" s="498"/>
      <c r="AI89" s="498"/>
      <c r="AJ89" s="498"/>
      <c r="AK89" s="498"/>
      <c r="DE89" s="494"/>
      <c r="DF89" s="496" t="s">
        <v>1283</v>
      </c>
      <c r="DG89" s="496" t="s">
        <v>1083</v>
      </c>
      <c r="DH89" s="496" t="s">
        <v>689</v>
      </c>
      <c r="DI89" s="496" t="s">
        <v>164</v>
      </c>
      <c r="DJ89" s="496" t="s">
        <v>164</v>
      </c>
      <c r="DK89" s="496" t="s">
        <v>1085</v>
      </c>
      <c r="DL89" s="496" t="s">
        <v>1086</v>
      </c>
      <c r="DM89" s="496" t="s">
        <v>1087</v>
      </c>
      <c r="DN89" s="497" t="s">
        <v>1088</v>
      </c>
      <c r="DP89" s="543">
        <v>1</v>
      </c>
    </row>
    <row r="90" spans="2:120" ht="30" customHeight="1">
      <c r="B90" s="663" t="str">
        <f t="shared" si="12"/>
        <v/>
      </c>
      <c r="C90" s="663" t="str">
        <f t="shared" si="13"/>
        <v/>
      </c>
      <c r="D90" s="663" t="str">
        <f>IF(UPPER(TRIM(N11))="X",C90,B90)</f>
        <v/>
      </c>
      <c r="E90" s="663" cm="1">
        <f t="array" ref="E90">IF(H89&lt;&gt;"",E89,IF(E89="","",IFERROR(MATCH(TRUE(),INDEX(INDEX(K:K,E89+1):K203&lt;&gt;"",0),0)+E89,"")))</f>
        <v>231</v>
      </c>
      <c r="F90" s="663" cm="1">
        <f t="array" ref="F90">IF(E90="","",IF(H89&lt;&gt;"",H89,INDEX(D:D,E90)))</f>
        <v>0</v>
      </c>
      <c r="G90" s="663" t="str">
        <f t="shared" si="14"/>
        <v>0</v>
      </c>
      <c r="H90" s="673" t="str">
        <f t="shared" si="15"/>
        <v/>
      </c>
      <c r="I90" s="680" t="str">
        <f>IF(AND(F90&lt;&gt;"",N10&gt;0,M90&gt;N10),"Mot &gt; limite","")</f>
        <v/>
      </c>
      <c r="J90" s="674" t="str">
        <f>IF(K90="","",COUNTIF(K18:K90,"&lt;&gt;"))</f>
        <v/>
      </c>
      <c r="K90" s="675"/>
      <c r="L90" s="674" t="str">
        <f t="shared" si="16"/>
        <v/>
      </c>
      <c r="M90" s="643">
        <f>IF(OR(F90="",N10="",N10&lt;=0),"",IF(LEN(F90)&lt;=N10,LEN(F90),IFERROR(FIND("♦",SUBSTITUTE(LEFT(F90,N10)," ","♦",LEN(LEFT(F90,N10))-LEN(SUBSTITUTE(LEFT(F90,N10)," ","")))),FIND(" ",F90&amp;" ",N10+1)-1)))</f>
        <v>1</v>
      </c>
      <c r="N90" s="676">
        <f t="shared" si="17"/>
        <v>73</v>
      </c>
      <c r="O90" s="677" t="str">
        <f t="shared" si="18"/>
        <v>0</v>
      </c>
      <c r="P90" s="676">
        <f t="shared" si="19"/>
        <v>1</v>
      </c>
      <c r="Q90" s="676">
        <f t="shared" si="20"/>
        <v>1</v>
      </c>
      <c r="S90" s="498"/>
      <c r="T90" s="521"/>
      <c r="U90" s="522"/>
      <c r="V90" s="522"/>
      <c r="W90" s="498"/>
      <c r="X90" s="498"/>
      <c r="Y90" s="498"/>
      <c r="Z90" s="498"/>
      <c r="AA90" s="498"/>
      <c r="AB90" s="498"/>
      <c r="AC90" s="498"/>
      <c r="AD90" s="498"/>
      <c r="AE90" s="498"/>
      <c r="AF90" s="498"/>
      <c r="AG90" s="498"/>
      <c r="AH90" s="498"/>
      <c r="AI90" s="498"/>
      <c r="AJ90" s="498"/>
      <c r="AK90" s="498"/>
      <c r="DE90" s="494"/>
      <c r="DF90" s="496" t="s">
        <v>1284</v>
      </c>
      <c r="DG90" s="496" t="s">
        <v>1083</v>
      </c>
      <c r="DH90" s="496" t="s">
        <v>689</v>
      </c>
      <c r="DI90" s="496" t="s">
        <v>1285</v>
      </c>
      <c r="DJ90" s="496" t="s">
        <v>5742</v>
      </c>
      <c r="DK90" s="496" t="s">
        <v>1085</v>
      </c>
      <c r="DL90" s="496" t="s">
        <v>5743</v>
      </c>
      <c r="DM90" s="496" t="s">
        <v>3961</v>
      </c>
      <c r="DN90" s="497" t="s">
        <v>1153</v>
      </c>
      <c r="DP90" s="543">
        <v>1</v>
      </c>
    </row>
    <row r="91" spans="2:120" ht="30" customHeight="1">
      <c r="B91" s="663" t="str">
        <f t="shared" si="12"/>
        <v>►&gt; &gt; &gt;</v>
      </c>
      <c r="C91" s="663" t="str">
        <f t="shared" si="13"/>
        <v>►&gt; &gt; &gt;</v>
      </c>
      <c r="D91" s="663" t="str">
        <f>IF(UPPER(TRIM(N11))="X",C91,B91)</f>
        <v>►&gt; &gt; &gt;</v>
      </c>
      <c r="E91" s="663" cm="1">
        <f t="array" ref="E91">IF(H90&lt;&gt;"",E90,IF(E90="","",IFERROR(MATCH(TRUE(),INDEX(INDEX(K:K,E90+1):K203&lt;&gt;"",0),0)+E90,"")))</f>
        <v>232</v>
      </c>
      <c r="F91" s="663" cm="1">
        <f t="array" ref="F91">IF(E91="","",IF(H90&lt;&gt;"",H90,INDEX(D:D,E91)))</f>
        <v>0</v>
      </c>
      <c r="G91" s="663" t="str">
        <f t="shared" si="14"/>
        <v>0</v>
      </c>
      <c r="H91" s="673" t="str">
        <f t="shared" si="15"/>
        <v/>
      </c>
      <c r="I91" s="680" t="str">
        <f>IF(AND(F91&lt;&gt;"",N10&gt;0,M91&gt;N10),"Mot &gt; limite","")</f>
        <v/>
      </c>
      <c r="J91" s="674">
        <f>IF(K91="","",COUNTIF(K18:K91,"&lt;&gt;"))</f>
        <v>28</v>
      </c>
      <c r="K91" s="675" t="s">
        <v>6490</v>
      </c>
      <c r="L91" s="674">
        <f t="shared" si="16"/>
        <v>6</v>
      </c>
      <c r="M91" s="643">
        <f>IF(OR(F91="",N10="",N10&lt;=0),"",IF(LEN(F91)&lt;=N10,LEN(F91),IFERROR(FIND("♦",SUBSTITUTE(LEFT(F91,N10)," ","♦",LEN(LEFT(F91,N10))-LEN(SUBSTITUTE(LEFT(F91,N10)," ","")))),FIND(" ",F91&amp;" ",N10+1)-1)))</f>
        <v>1</v>
      </c>
      <c r="N91" s="676">
        <f t="shared" si="17"/>
        <v>74</v>
      </c>
      <c r="O91" s="677" t="str">
        <f t="shared" si="18"/>
        <v>0</v>
      </c>
      <c r="P91" s="676">
        <f t="shared" si="19"/>
        <v>1</v>
      </c>
      <c r="Q91" s="676">
        <f t="shared" si="20"/>
        <v>1</v>
      </c>
      <c r="S91" s="1243" t="s">
        <v>1287</v>
      </c>
      <c r="T91" s="1243"/>
      <c r="U91" s="1243"/>
      <c r="V91" s="1243"/>
      <c r="W91" s="1243"/>
      <c r="X91" s="1243"/>
      <c r="Y91" s="1243"/>
      <c r="Z91" s="1243"/>
      <c r="AA91" s="1243"/>
      <c r="AB91" s="1243"/>
      <c r="AC91" s="1243"/>
      <c r="AD91" s="1243"/>
      <c r="AE91" s="1243"/>
      <c r="AF91" s="1243"/>
      <c r="AG91" s="1243"/>
      <c r="AH91" s="1243"/>
      <c r="AI91" s="1243"/>
      <c r="AJ91" s="1243"/>
      <c r="AK91" s="1243"/>
      <c r="DE91" s="494"/>
      <c r="DF91" s="496" t="s">
        <v>1288</v>
      </c>
      <c r="DG91" s="496" t="s">
        <v>1083</v>
      </c>
      <c r="DH91" s="496" t="s">
        <v>689</v>
      </c>
      <c r="DI91" s="496" t="s">
        <v>910</v>
      </c>
      <c r="DJ91" s="496" t="s">
        <v>910</v>
      </c>
      <c r="DK91" s="496" t="s">
        <v>1085</v>
      </c>
      <c r="DL91" s="496" t="s">
        <v>1086</v>
      </c>
      <c r="DM91" s="496" t="s">
        <v>1087</v>
      </c>
      <c r="DN91" s="497" t="s">
        <v>1088</v>
      </c>
      <c r="DP91" s="543">
        <v>1</v>
      </c>
    </row>
    <row r="92" spans="2:120" ht="30" customHeight="1">
      <c r="B92" s="663" t="str">
        <f t="shared" si="12"/>
        <v/>
      </c>
      <c r="C92" s="663" t="str">
        <f t="shared" si="13"/>
        <v/>
      </c>
      <c r="D92" s="663" t="str">
        <f>IF(UPPER(TRIM(N11))="X",C92,B92)</f>
        <v/>
      </c>
      <c r="E92" s="663" cm="1">
        <f t="array" ref="E92">IF(H91&lt;&gt;"",E91,IF(E91="","",IFERROR(MATCH(TRUE(),INDEX(INDEX(K:K,E91+1):K203&lt;&gt;"",0),0)+E91,"")))</f>
        <v>233</v>
      </c>
      <c r="F92" s="663" cm="1">
        <f t="array" ref="F92">IF(E92="","",IF(H91&lt;&gt;"",H91,INDEX(D:D,E92)))</f>
        <v>0</v>
      </c>
      <c r="G92" s="663" t="str">
        <f t="shared" si="14"/>
        <v>0</v>
      </c>
      <c r="H92" s="673" t="str">
        <f t="shared" si="15"/>
        <v/>
      </c>
      <c r="I92" s="680" t="str">
        <f>IF(AND(F92&lt;&gt;"",N10&gt;0,M92&gt;N10),"Mot &gt; limite","")</f>
        <v/>
      </c>
      <c r="J92" s="674" t="str">
        <f>IF(K92="","",COUNTIF(K18:K92,"&lt;&gt;"))</f>
        <v/>
      </c>
      <c r="K92" s="675"/>
      <c r="L92" s="674" t="str">
        <f t="shared" si="16"/>
        <v/>
      </c>
      <c r="M92" s="643">
        <f>IF(OR(F92="",N10="",N10&lt;=0),"",IF(LEN(F92)&lt;=N10,LEN(F92),IFERROR(FIND("♦",SUBSTITUTE(LEFT(F92,N10)," ","♦",LEN(LEFT(F92,N10))-LEN(SUBSTITUTE(LEFT(F92,N10)," ","")))),FIND(" ",F92&amp;" ",N10+1)-1)))</f>
        <v>1</v>
      </c>
      <c r="N92" s="676">
        <f t="shared" si="17"/>
        <v>75</v>
      </c>
      <c r="O92" s="677" t="str">
        <f t="shared" si="18"/>
        <v>0</v>
      </c>
      <c r="P92" s="676">
        <f t="shared" si="19"/>
        <v>1</v>
      </c>
      <c r="Q92" s="676">
        <f t="shared" si="20"/>
        <v>1</v>
      </c>
      <c r="S92" s="547" t="s">
        <v>1289</v>
      </c>
      <c r="T92" s="548" t="s">
        <v>1290</v>
      </c>
      <c r="U92" s="549" t="s">
        <v>1291</v>
      </c>
      <c r="V92" s="550" t="s">
        <v>1292</v>
      </c>
      <c r="W92" s="498"/>
      <c r="X92" s="498"/>
      <c r="Y92" s="498"/>
      <c r="Z92" s="498"/>
      <c r="AA92" s="498"/>
      <c r="AB92" s="498"/>
      <c r="AC92" s="498"/>
      <c r="AD92" s="498"/>
      <c r="AE92" s="498"/>
      <c r="AF92" s="498"/>
      <c r="AG92" s="498"/>
      <c r="AH92" s="498"/>
      <c r="AI92" s="498"/>
      <c r="AJ92" s="498"/>
      <c r="AK92" s="498"/>
      <c r="DE92" s="494"/>
      <c r="DF92" s="496" t="s">
        <v>1293</v>
      </c>
      <c r="DG92" s="496" t="s">
        <v>1083</v>
      </c>
      <c r="DH92" s="496" t="s">
        <v>689</v>
      </c>
      <c r="DI92" s="496" t="s">
        <v>911</v>
      </c>
      <c r="DJ92" s="496" t="s">
        <v>911</v>
      </c>
      <c r="DK92" s="496" t="s">
        <v>1085</v>
      </c>
      <c r="DL92" s="496" t="s">
        <v>1086</v>
      </c>
      <c r="DM92" s="496" t="s">
        <v>1087</v>
      </c>
      <c r="DN92" s="497" t="s">
        <v>1088</v>
      </c>
      <c r="DP92" s="543">
        <v>1</v>
      </c>
    </row>
    <row r="93" spans="2:120" ht="30" customHeight="1">
      <c r="B93" s="663" t="str">
        <f t="shared" si="12"/>
        <v/>
      </c>
      <c r="C93" s="663" t="str">
        <f t="shared" si="13"/>
        <v/>
      </c>
      <c r="D93" s="663" t="str">
        <f>IF(UPPER(TRIM(N11))="X",C93,B93)</f>
        <v/>
      </c>
      <c r="E93" s="663" cm="1">
        <f t="array" ref="E93">IF(H92&lt;&gt;"",E92,IF(E92="","",IFERROR(MATCH(TRUE(),INDEX(INDEX(K:K,E92+1):K203&lt;&gt;"",0),0)+E92,"")))</f>
        <v>234</v>
      </c>
      <c r="F93" s="663" cm="1">
        <f t="array" ref="F93">IF(E93="","",IF(H92&lt;&gt;"",H92,INDEX(D:D,E93)))</f>
        <v>0</v>
      </c>
      <c r="G93" s="663" t="str">
        <f t="shared" si="14"/>
        <v>0</v>
      </c>
      <c r="H93" s="673" t="str">
        <f t="shared" si="15"/>
        <v/>
      </c>
      <c r="I93" s="680" t="str">
        <f>IF(AND(F93&lt;&gt;"",N10&gt;0,M93&gt;N10),"Mot &gt; limite","")</f>
        <v/>
      </c>
      <c r="J93" s="674" t="str">
        <f>IF(K93="","",COUNTIF(K18:K93,"&lt;&gt;"))</f>
        <v/>
      </c>
      <c r="K93" s="675"/>
      <c r="L93" s="674" t="str">
        <f t="shared" si="16"/>
        <v/>
      </c>
      <c r="M93" s="643">
        <f>IF(OR(F93="",N10="",N10&lt;=0),"",IF(LEN(F93)&lt;=N10,LEN(F93),IFERROR(FIND("♦",SUBSTITUTE(LEFT(F93,N10)," ","♦",LEN(LEFT(F93,N10))-LEN(SUBSTITUTE(LEFT(F93,N10)," ","")))),FIND(" ",F93&amp;" ",N10+1)-1)))</f>
        <v>1</v>
      </c>
      <c r="N93" s="676">
        <f t="shared" si="17"/>
        <v>76</v>
      </c>
      <c r="O93" s="677" t="str">
        <f t="shared" si="18"/>
        <v>0</v>
      </c>
      <c r="P93" s="676">
        <f t="shared" si="19"/>
        <v>1</v>
      </c>
      <c r="Q93" s="676">
        <f t="shared" si="20"/>
        <v>1</v>
      </c>
      <c r="S93" s="523">
        <v>1</v>
      </c>
      <c r="T93" s="524" t="s">
        <v>1294</v>
      </c>
      <c r="U93" s="525" t="s">
        <v>1295</v>
      </c>
      <c r="V93" s="526" t="s">
        <v>1296</v>
      </c>
      <c r="W93" s="498"/>
      <c r="X93" s="498"/>
      <c r="Y93" s="498"/>
      <c r="Z93" s="498"/>
      <c r="AA93" s="498"/>
      <c r="AB93" s="498"/>
      <c r="AC93" s="498"/>
      <c r="AD93" s="498"/>
      <c r="AE93" s="498"/>
      <c r="AF93" s="498"/>
      <c r="AG93" s="498"/>
      <c r="AH93" s="498"/>
      <c r="AI93" s="498"/>
      <c r="AJ93" s="498"/>
      <c r="AK93" s="498"/>
      <c r="DE93" s="494"/>
      <c r="DF93" s="496" t="s">
        <v>1297</v>
      </c>
      <c r="DG93" s="496" t="s">
        <v>1083</v>
      </c>
      <c r="DH93" s="496" t="s">
        <v>689</v>
      </c>
      <c r="DI93" s="496" t="s">
        <v>912</v>
      </c>
      <c r="DJ93" s="496" t="s">
        <v>912</v>
      </c>
      <c r="DK93" s="496" t="s">
        <v>1085</v>
      </c>
      <c r="DL93" s="496" t="s">
        <v>1086</v>
      </c>
      <c r="DM93" s="496" t="s">
        <v>1087</v>
      </c>
      <c r="DN93" s="497" t="s">
        <v>1088</v>
      </c>
      <c r="DP93" s="543">
        <v>1</v>
      </c>
    </row>
    <row r="94" spans="2:120" ht="30" customHeight="1">
      <c r="B94" s="663" t="str">
        <f t="shared" si="12"/>
        <v/>
      </c>
      <c r="C94" s="663" t="str">
        <f t="shared" si="13"/>
        <v/>
      </c>
      <c r="D94" s="663" t="str">
        <f>IF(UPPER(TRIM(N11))="X",C94,B94)</f>
        <v/>
      </c>
      <c r="E94" s="663" cm="1">
        <f t="array" ref="E94">IF(H93&lt;&gt;"",E93,IF(E93="","",IFERROR(MATCH(TRUE(),INDEX(INDEX(K:K,E93+1):K203&lt;&gt;"",0),0)+E93,"")))</f>
        <v>235</v>
      </c>
      <c r="F94" s="663" cm="1">
        <f t="array" ref="F94">IF(E94="","",IF(H93&lt;&gt;"",H93,INDEX(D:D,E94)))</f>
        <v>0</v>
      </c>
      <c r="G94" s="663" t="str">
        <f t="shared" si="14"/>
        <v>0</v>
      </c>
      <c r="H94" s="673" t="str">
        <f t="shared" si="15"/>
        <v/>
      </c>
      <c r="I94" s="680" t="str">
        <f>IF(AND(F94&lt;&gt;"",N10&gt;0,M94&gt;N10),"Mot &gt; limite","")</f>
        <v/>
      </c>
      <c r="J94" s="674" t="str">
        <f>IF(K94="","",COUNTIF(K18:K94,"&lt;&gt;"))</f>
        <v/>
      </c>
      <c r="K94" s="675"/>
      <c r="L94" s="674" t="str">
        <f t="shared" si="16"/>
        <v/>
      </c>
      <c r="M94" s="643">
        <f>IF(OR(F94="",N10="",N10&lt;=0),"",IF(LEN(F94)&lt;=N10,LEN(F94),IFERROR(FIND("♦",SUBSTITUTE(LEFT(F94,N10)," ","♦",LEN(LEFT(F94,N10))-LEN(SUBSTITUTE(LEFT(F94,N10)," ","")))),FIND(" ",F94&amp;" ",N10+1)-1)))</f>
        <v>1</v>
      </c>
      <c r="N94" s="676">
        <f t="shared" si="17"/>
        <v>77</v>
      </c>
      <c r="O94" s="677" t="str">
        <f t="shared" si="18"/>
        <v>0</v>
      </c>
      <c r="P94" s="676">
        <f t="shared" si="19"/>
        <v>1</v>
      </c>
      <c r="Q94" s="676">
        <f t="shared" si="20"/>
        <v>1</v>
      </c>
      <c r="S94" s="523">
        <v>2</v>
      </c>
      <c r="T94" s="524" t="s">
        <v>1298</v>
      </c>
      <c r="U94" s="525" t="s">
        <v>1295</v>
      </c>
      <c r="V94" s="526" t="s">
        <v>1299</v>
      </c>
      <c r="W94" s="498"/>
      <c r="X94" s="498"/>
      <c r="Y94" s="498"/>
      <c r="Z94" s="498"/>
      <c r="AA94" s="498"/>
      <c r="AB94" s="498"/>
      <c r="AC94" s="498"/>
      <c r="AD94" s="498"/>
      <c r="AE94" s="498"/>
      <c r="AF94" s="498"/>
      <c r="AG94" s="498"/>
      <c r="AH94" s="498"/>
      <c r="AI94" s="498"/>
      <c r="AJ94" s="498"/>
      <c r="AK94" s="498"/>
      <c r="DE94" s="494"/>
      <c r="DF94" s="496" t="s">
        <v>1300</v>
      </c>
      <c r="DG94" s="496" t="s">
        <v>1083</v>
      </c>
      <c r="DH94" s="496" t="s">
        <v>689</v>
      </c>
      <c r="DI94" s="496" t="s">
        <v>314</v>
      </c>
      <c r="DJ94" s="496" t="s">
        <v>314</v>
      </c>
      <c r="DK94" s="496" t="s">
        <v>1085</v>
      </c>
      <c r="DL94" s="496" t="s">
        <v>1086</v>
      </c>
      <c r="DM94" s="496" t="s">
        <v>1087</v>
      </c>
      <c r="DN94" s="497" t="s">
        <v>1088</v>
      </c>
      <c r="DP94" s="543">
        <v>1</v>
      </c>
    </row>
    <row r="95" spans="2:120" ht="30" customHeight="1">
      <c r="B95" s="663" t="str">
        <f t="shared" si="12"/>
        <v/>
      </c>
      <c r="C95" s="663" t="str">
        <f t="shared" si="13"/>
        <v/>
      </c>
      <c r="D95" s="663" t="str">
        <f>IF(UPPER(TRIM(N11))="X",C95,B95)</f>
        <v/>
      </c>
      <c r="E95" s="663" cm="1">
        <f t="array" ref="E95">IF(H94&lt;&gt;"",E94,IF(E94="","",IFERROR(MATCH(TRUE(),INDEX(INDEX(K:K,E94+1):K203&lt;&gt;"",0),0)+E94,"")))</f>
        <v>236</v>
      </c>
      <c r="F95" s="663" cm="1">
        <f t="array" ref="F95">IF(E95="","",IF(H94&lt;&gt;"",H94,INDEX(D:D,E95)))</f>
        <v>0</v>
      </c>
      <c r="G95" s="663" t="str">
        <f t="shared" si="14"/>
        <v>0</v>
      </c>
      <c r="H95" s="673" t="str">
        <f t="shared" si="15"/>
        <v/>
      </c>
      <c r="I95" s="680" t="str">
        <f>IF(AND(F95&lt;&gt;"",N10&gt;0,M95&gt;N10),"Mot &gt; limite","")</f>
        <v/>
      </c>
      <c r="J95" s="674" t="str">
        <f>IF(K95="","",COUNTIF(K18:K95,"&lt;&gt;"))</f>
        <v/>
      </c>
      <c r="K95" s="675"/>
      <c r="L95" s="674" t="str">
        <f t="shared" si="16"/>
        <v/>
      </c>
      <c r="M95" s="643">
        <f>IF(OR(F95="",N10="",N10&lt;=0),"",IF(LEN(F95)&lt;=N10,LEN(F95),IFERROR(FIND("♦",SUBSTITUTE(LEFT(F95,N10)," ","♦",LEN(LEFT(F95,N10))-LEN(SUBSTITUTE(LEFT(F95,N10)," ","")))),FIND(" ",F95&amp;" ",N10+1)-1)))</f>
        <v>1</v>
      </c>
      <c r="N95" s="676">
        <f t="shared" si="17"/>
        <v>78</v>
      </c>
      <c r="O95" s="677" t="str">
        <f t="shared" si="18"/>
        <v>0</v>
      </c>
      <c r="P95" s="676">
        <f t="shared" si="19"/>
        <v>1</v>
      </c>
      <c r="Q95" s="676">
        <f t="shared" si="20"/>
        <v>1</v>
      </c>
      <c r="S95" s="523">
        <v>3</v>
      </c>
      <c r="T95" s="524" t="s">
        <v>1301</v>
      </c>
      <c r="U95" s="525" t="s">
        <v>1295</v>
      </c>
      <c r="V95" s="526" t="s">
        <v>674</v>
      </c>
      <c r="W95" s="498"/>
      <c r="X95" s="498"/>
      <c r="Y95" s="498"/>
      <c r="Z95" s="498"/>
      <c r="AA95" s="498"/>
      <c r="AB95" s="498"/>
      <c r="AC95" s="498"/>
      <c r="AD95" s="498"/>
      <c r="AE95" s="498"/>
      <c r="AF95" s="498"/>
      <c r="AG95" s="498"/>
      <c r="AH95" s="498"/>
      <c r="AI95" s="498"/>
      <c r="AJ95" s="498"/>
      <c r="AK95" s="498"/>
      <c r="DE95" s="494"/>
      <c r="DF95" s="496" t="s">
        <v>1302</v>
      </c>
      <c r="DG95" s="496" t="s">
        <v>1083</v>
      </c>
      <c r="DH95" s="496" t="s">
        <v>689</v>
      </c>
      <c r="DI95" s="496" t="s">
        <v>1303</v>
      </c>
      <c r="DJ95" s="496" t="s">
        <v>1303</v>
      </c>
      <c r="DK95" s="496" t="s">
        <v>1151</v>
      </c>
      <c r="DL95" s="496" t="s">
        <v>1152</v>
      </c>
      <c r="DM95" s="496" t="s">
        <v>1087</v>
      </c>
      <c r="DN95" s="497" t="s">
        <v>1153</v>
      </c>
      <c r="DP95" s="543">
        <v>1</v>
      </c>
    </row>
    <row r="96" spans="2:120" ht="30" customHeight="1">
      <c r="B96" s="663" t="str">
        <f t="shared" si="12"/>
        <v/>
      </c>
      <c r="C96" s="663" t="str">
        <f t="shared" si="13"/>
        <v/>
      </c>
      <c r="D96" s="663" t="str">
        <f>IF(UPPER(TRIM(N11))="X",C96,B96)</f>
        <v/>
      </c>
      <c r="E96" s="663" cm="1">
        <f t="array" ref="E96">IF(H95&lt;&gt;"",E95,IF(E95="","",IFERROR(MATCH(TRUE(),INDEX(INDEX(K:K,E95+1):K203&lt;&gt;"",0),0)+E95,"")))</f>
        <v>237</v>
      </c>
      <c r="F96" s="663" cm="1">
        <f t="array" ref="F96">IF(E96="","",IF(H95&lt;&gt;"",H95,INDEX(D:D,E96)))</f>
        <v>0</v>
      </c>
      <c r="G96" s="663" t="str">
        <f t="shared" si="14"/>
        <v>0</v>
      </c>
      <c r="H96" s="673" t="str">
        <f t="shared" si="15"/>
        <v/>
      </c>
      <c r="I96" s="680" t="str">
        <f>IF(AND(F96&lt;&gt;"",N10&gt;0,M96&gt;N10),"Mot &gt; limite","")</f>
        <v/>
      </c>
      <c r="J96" s="674" t="str">
        <f>IF(K96="","",COUNTIF(K18:K96,"&lt;&gt;"))</f>
        <v/>
      </c>
      <c r="K96" s="675"/>
      <c r="L96" s="674" t="str">
        <f t="shared" si="16"/>
        <v/>
      </c>
      <c r="M96" s="643">
        <f>IF(OR(F96="",N10="",N10&lt;=0),"",IF(LEN(F96)&lt;=N10,LEN(F96),IFERROR(FIND("♦",SUBSTITUTE(LEFT(F96,N10)," ","♦",LEN(LEFT(F96,N10))-LEN(SUBSTITUTE(LEFT(F96,N10)," ","")))),FIND(" ",F96&amp;" ",N10+1)-1)))</f>
        <v>1</v>
      </c>
      <c r="N96" s="676">
        <f t="shared" si="17"/>
        <v>79</v>
      </c>
      <c r="O96" s="677" t="str">
        <f t="shared" si="18"/>
        <v>0</v>
      </c>
      <c r="P96" s="676">
        <f t="shared" si="19"/>
        <v>1</v>
      </c>
      <c r="Q96" s="676">
        <f t="shared" si="20"/>
        <v>1</v>
      </c>
      <c r="S96" s="523">
        <v>4</v>
      </c>
      <c r="T96" s="524" t="s">
        <v>1304</v>
      </c>
      <c r="U96" s="525" t="s">
        <v>1295</v>
      </c>
      <c r="V96" s="526" t="s">
        <v>1305</v>
      </c>
      <c r="W96" s="498"/>
      <c r="X96" s="498"/>
      <c r="Y96" s="498"/>
      <c r="Z96" s="498"/>
      <c r="AA96" s="498"/>
      <c r="AB96" s="498"/>
      <c r="AC96" s="498"/>
      <c r="AD96" s="498"/>
      <c r="AE96" s="498"/>
      <c r="AF96" s="498"/>
      <c r="AG96" s="498"/>
      <c r="AH96" s="498"/>
      <c r="AI96" s="498"/>
      <c r="AJ96" s="498"/>
      <c r="AK96" s="498"/>
      <c r="DE96" s="494"/>
      <c r="DF96" s="496" t="s">
        <v>1306</v>
      </c>
      <c r="DG96" s="496" t="s">
        <v>1083</v>
      </c>
      <c r="DH96" s="496" t="s">
        <v>689</v>
      </c>
      <c r="DI96" s="496" t="s">
        <v>315</v>
      </c>
      <c r="DJ96" s="496" t="s">
        <v>315</v>
      </c>
      <c r="DK96" s="496" t="s">
        <v>1151</v>
      </c>
      <c r="DL96" s="496" t="s">
        <v>1152</v>
      </c>
      <c r="DM96" s="496" t="s">
        <v>1087</v>
      </c>
      <c r="DN96" s="497" t="s">
        <v>1153</v>
      </c>
      <c r="DP96" s="543">
        <v>1</v>
      </c>
    </row>
    <row r="97" spans="2:120" ht="30" customHeight="1">
      <c r="B97" s="663" t="str">
        <f t="shared" si="12"/>
        <v/>
      </c>
      <c r="C97" s="663" t="str">
        <f t="shared" si="13"/>
        <v/>
      </c>
      <c r="D97" s="663" t="str">
        <f>IF(UPPER(TRIM(N11))="X",C97,B97)</f>
        <v/>
      </c>
      <c r="E97" s="663" cm="1">
        <f t="array" ref="E97">IF(H96&lt;&gt;"",E96,IF(E96="","",IFERROR(MATCH(TRUE(),INDEX(INDEX(K:K,E96+1):K203&lt;&gt;"",0),0)+E96,"")))</f>
        <v>238</v>
      </c>
      <c r="F97" s="663" cm="1">
        <f t="array" ref="F97">IF(E97="","",IF(H96&lt;&gt;"",H96,INDEX(D:D,E97)))</f>
        <v>0</v>
      </c>
      <c r="G97" s="663" t="str">
        <f t="shared" si="14"/>
        <v>0</v>
      </c>
      <c r="H97" s="673" t="str">
        <f t="shared" si="15"/>
        <v/>
      </c>
      <c r="I97" s="680" t="str">
        <f>IF(AND(F97&lt;&gt;"",N10&gt;0,M97&gt;N10),"Mot &gt; limite","")</f>
        <v/>
      </c>
      <c r="J97" s="674" t="str">
        <f>IF(K97="","",COUNTIF(K18:K97,"&lt;&gt;"))</f>
        <v/>
      </c>
      <c r="K97" s="675"/>
      <c r="L97" s="674" t="str">
        <f t="shared" si="16"/>
        <v/>
      </c>
      <c r="M97" s="643">
        <f>IF(OR(F97="",N10="",N10&lt;=0),"",IF(LEN(F97)&lt;=N10,LEN(F97),IFERROR(FIND("♦",SUBSTITUTE(LEFT(F97,N10)," ","♦",LEN(LEFT(F97,N10))-LEN(SUBSTITUTE(LEFT(F97,N10)," ","")))),FIND(" ",F97&amp;" ",N10+1)-1)))</f>
        <v>1</v>
      </c>
      <c r="N97" s="676">
        <f t="shared" si="17"/>
        <v>80</v>
      </c>
      <c r="O97" s="677" t="str">
        <f t="shared" si="18"/>
        <v>0</v>
      </c>
      <c r="P97" s="676">
        <f t="shared" si="19"/>
        <v>1</v>
      </c>
      <c r="Q97" s="676">
        <f t="shared" si="20"/>
        <v>1</v>
      </c>
      <c r="S97" s="523">
        <v>5</v>
      </c>
      <c r="T97" s="524" t="s">
        <v>1307</v>
      </c>
      <c r="U97" s="525" t="s">
        <v>1295</v>
      </c>
      <c r="V97" s="526" t="s">
        <v>1308</v>
      </c>
      <c r="W97" s="498"/>
      <c r="X97" s="498"/>
      <c r="Y97" s="498"/>
      <c r="Z97" s="498"/>
      <c r="AA97" s="498"/>
      <c r="AB97" s="498"/>
      <c r="AC97" s="498"/>
      <c r="AD97" s="498"/>
      <c r="AE97" s="498"/>
      <c r="AF97" s="498"/>
      <c r="AG97" s="498"/>
      <c r="AH97" s="498"/>
      <c r="AI97" s="498"/>
      <c r="AJ97" s="498"/>
      <c r="AK97" s="498"/>
      <c r="DE97" s="494"/>
      <c r="DF97" s="496" t="s">
        <v>1309</v>
      </c>
      <c r="DG97" s="496" t="s">
        <v>1083</v>
      </c>
      <c r="DH97" s="496" t="s">
        <v>689</v>
      </c>
      <c r="DI97" s="496" t="s">
        <v>131</v>
      </c>
      <c r="DJ97" s="496" t="s">
        <v>131</v>
      </c>
      <c r="DK97" s="496" t="s">
        <v>1085</v>
      </c>
      <c r="DL97" s="496" t="s">
        <v>1086</v>
      </c>
      <c r="DM97" s="496" t="s">
        <v>1087</v>
      </c>
      <c r="DN97" s="497" t="s">
        <v>1088</v>
      </c>
      <c r="DP97" s="543">
        <v>1</v>
      </c>
    </row>
    <row r="98" spans="2:120" ht="30" customHeight="1">
      <c r="B98" s="663" t="str">
        <f t="shared" si="12"/>
        <v/>
      </c>
      <c r="C98" s="663" t="str">
        <f t="shared" si="13"/>
        <v/>
      </c>
      <c r="D98" s="663" t="str">
        <f>IF(UPPER(TRIM(N11))="X",C98,B98)</f>
        <v/>
      </c>
      <c r="E98" s="663" cm="1">
        <f t="array" ref="E98">IF(H97&lt;&gt;"",E97,IF(E97="","",IFERROR(MATCH(TRUE(),INDEX(INDEX(K:K,E97+1):K203&lt;&gt;"",0),0)+E97,"")))</f>
        <v>239</v>
      </c>
      <c r="F98" s="663" cm="1">
        <f t="array" ref="F98">IF(E98="","",IF(H97&lt;&gt;"",H97,INDEX(D:D,E98)))</f>
        <v>0</v>
      </c>
      <c r="G98" s="663" t="str">
        <f t="shared" si="14"/>
        <v>0</v>
      </c>
      <c r="H98" s="673" t="str">
        <f t="shared" si="15"/>
        <v/>
      </c>
      <c r="I98" s="680" t="str">
        <f>IF(AND(F98&lt;&gt;"",N10&gt;0,M98&gt;N10),"Mot &gt; limite","")</f>
        <v/>
      </c>
      <c r="J98" s="674" t="str">
        <f>IF(K98="","",COUNTIF(K18:K98,"&lt;&gt;"))</f>
        <v/>
      </c>
      <c r="K98" s="675"/>
      <c r="L98" s="674" t="str">
        <f t="shared" si="16"/>
        <v/>
      </c>
      <c r="M98" s="643">
        <f>IF(OR(F98="",N10="",N10&lt;=0),"",IF(LEN(F98)&lt;=N10,LEN(F98),IFERROR(FIND("♦",SUBSTITUTE(LEFT(F98,N10)," ","♦",LEN(LEFT(F98,N10))-LEN(SUBSTITUTE(LEFT(F98,N10)," ","")))),FIND(" ",F98&amp;" ",N10+1)-1)))</f>
        <v>1</v>
      </c>
      <c r="N98" s="676">
        <f t="shared" si="17"/>
        <v>81</v>
      </c>
      <c r="O98" s="677" t="str">
        <f t="shared" si="18"/>
        <v>0</v>
      </c>
      <c r="P98" s="676">
        <f t="shared" si="19"/>
        <v>1</v>
      </c>
      <c r="Q98" s="676">
        <f t="shared" si="20"/>
        <v>1</v>
      </c>
      <c r="S98" s="523">
        <v>6</v>
      </c>
      <c r="T98" s="524" t="s">
        <v>1310</v>
      </c>
      <c r="U98" s="525" t="s">
        <v>1311</v>
      </c>
      <c r="V98" s="526" t="s">
        <v>1312</v>
      </c>
      <c r="W98" s="498"/>
      <c r="X98" s="498"/>
      <c r="Y98" s="498"/>
      <c r="Z98" s="498"/>
      <c r="AA98" s="498"/>
      <c r="AB98" s="498"/>
      <c r="AC98" s="498"/>
      <c r="AD98" s="498"/>
      <c r="AE98" s="498"/>
      <c r="AF98" s="498"/>
      <c r="AG98" s="498"/>
      <c r="AH98" s="498"/>
      <c r="AI98" s="498"/>
      <c r="AJ98" s="498"/>
      <c r="AK98" s="498"/>
      <c r="DE98" s="494"/>
      <c r="DF98" s="496" t="s">
        <v>1313</v>
      </c>
      <c r="DG98" s="496" t="s">
        <v>1083</v>
      </c>
      <c r="DH98" s="496" t="s">
        <v>689</v>
      </c>
      <c r="DI98" s="496" t="s">
        <v>316</v>
      </c>
      <c r="DJ98" s="496" t="s">
        <v>316</v>
      </c>
      <c r="DK98" s="496" t="s">
        <v>1085</v>
      </c>
      <c r="DL98" s="496" t="s">
        <v>1086</v>
      </c>
      <c r="DM98" s="496" t="s">
        <v>1087</v>
      </c>
      <c r="DN98" s="497" t="s">
        <v>1088</v>
      </c>
      <c r="DP98" s="543">
        <v>1</v>
      </c>
    </row>
    <row r="99" spans="2:120" ht="30" customHeight="1">
      <c r="B99" s="663" t="str">
        <f t="shared" si="12"/>
        <v/>
      </c>
      <c r="C99" s="663" t="str">
        <f t="shared" si="13"/>
        <v/>
      </c>
      <c r="D99" s="663" t="str">
        <f>IF(UPPER(TRIM(N11))="X",C99,B99)</f>
        <v/>
      </c>
      <c r="E99" s="663" cm="1">
        <f t="array" ref="E99">IF(H98&lt;&gt;"",E98,IF(E98="","",IFERROR(MATCH(TRUE(),INDEX(INDEX(K:K,E98+1):K203&lt;&gt;"",0),0)+E98,"")))</f>
        <v>240</v>
      </c>
      <c r="F99" s="663" cm="1">
        <f t="array" ref="F99">IF(E99="","",IF(H98&lt;&gt;"",H98,INDEX(D:D,E99)))</f>
        <v>0</v>
      </c>
      <c r="G99" s="663" t="str">
        <f t="shared" si="14"/>
        <v>0</v>
      </c>
      <c r="H99" s="673" t="str">
        <f t="shared" si="15"/>
        <v/>
      </c>
      <c r="I99" s="680" t="str">
        <f>IF(AND(F99&lt;&gt;"",N10&gt;0,M99&gt;N10),"Mot &gt; limite","")</f>
        <v/>
      </c>
      <c r="J99" s="674" t="str">
        <f>IF(K99="","",COUNTIF(K18:K99,"&lt;&gt;"))</f>
        <v/>
      </c>
      <c r="K99" s="675"/>
      <c r="L99" s="674" t="str">
        <f t="shared" si="16"/>
        <v/>
      </c>
      <c r="M99" s="643">
        <f>IF(OR(F99="",N10="",N10&lt;=0),"",IF(LEN(F99)&lt;=N10,LEN(F99),IFERROR(FIND("♦",SUBSTITUTE(LEFT(F99,N10)," ","♦",LEN(LEFT(F99,N10))-LEN(SUBSTITUTE(LEFT(F99,N10)," ","")))),FIND(" ",F99&amp;" ",N10+1)-1)))</f>
        <v>1</v>
      </c>
      <c r="N99" s="676">
        <f t="shared" si="17"/>
        <v>82</v>
      </c>
      <c r="O99" s="677" t="str">
        <f t="shared" si="18"/>
        <v>0</v>
      </c>
      <c r="P99" s="676">
        <f t="shared" si="19"/>
        <v>1</v>
      </c>
      <c r="Q99" s="676">
        <f t="shared" si="20"/>
        <v>1</v>
      </c>
      <c r="S99" s="523">
        <v>7</v>
      </c>
      <c r="T99" s="524" t="s">
        <v>1314</v>
      </c>
      <c r="U99" s="525" t="s">
        <v>1315</v>
      </c>
      <c r="V99" s="526" t="s">
        <v>1316</v>
      </c>
      <c r="W99" s="498"/>
      <c r="X99" s="498"/>
      <c r="Y99" s="498"/>
      <c r="Z99" s="498"/>
      <c r="AA99" s="498"/>
      <c r="AB99" s="498"/>
      <c r="AC99" s="498"/>
      <c r="AD99" s="498"/>
      <c r="AE99" s="498"/>
      <c r="AF99" s="498"/>
      <c r="AG99" s="498"/>
      <c r="AH99" s="498"/>
      <c r="AI99" s="498"/>
      <c r="AJ99" s="498"/>
      <c r="AK99" s="498"/>
      <c r="DE99" s="494"/>
      <c r="DF99" s="496" t="s">
        <v>1317</v>
      </c>
      <c r="DG99" s="496" t="s">
        <v>1083</v>
      </c>
      <c r="DH99" s="496" t="s">
        <v>689</v>
      </c>
      <c r="DI99" s="496" t="s">
        <v>1318</v>
      </c>
      <c r="DJ99" s="496" t="s">
        <v>1319</v>
      </c>
      <c r="DK99" s="496" t="s">
        <v>1085</v>
      </c>
      <c r="DL99" s="496" t="s">
        <v>1086</v>
      </c>
      <c r="DM99" s="496" t="s">
        <v>1087</v>
      </c>
      <c r="DN99" s="497" t="s">
        <v>1088</v>
      </c>
      <c r="DP99" s="543">
        <v>1</v>
      </c>
    </row>
    <row r="100" spans="2:120" ht="30" customHeight="1">
      <c r="B100" s="663" t="str">
        <f t="shared" si="12"/>
        <v/>
      </c>
      <c r="C100" s="663" t="str">
        <f t="shared" si="13"/>
        <v/>
      </c>
      <c r="D100" s="663" t="str">
        <f>IF(UPPER(TRIM(N11))="X",C100,B100)</f>
        <v/>
      </c>
      <c r="E100" s="663" cm="1">
        <f t="array" ref="E100">IF(H99&lt;&gt;"",E99,IF(E99="","",IFERROR(MATCH(TRUE(),INDEX(INDEX(K:K,E99+1):K203&lt;&gt;"",0),0)+E99,"")))</f>
        <v>241</v>
      </c>
      <c r="F100" s="663" cm="1">
        <f t="array" ref="F100">IF(E100="","",IF(H99&lt;&gt;"",H99,INDEX(D:D,E100)))</f>
        <v>0</v>
      </c>
      <c r="G100" s="663" t="str">
        <f t="shared" si="14"/>
        <v>0</v>
      </c>
      <c r="H100" s="673" t="str">
        <f t="shared" si="15"/>
        <v/>
      </c>
      <c r="I100" s="680" t="str">
        <f>IF(AND(F100&lt;&gt;"",N10&gt;0,M100&gt;N10),"Mot &gt; limite","")</f>
        <v/>
      </c>
      <c r="J100" s="674" t="str">
        <f>IF(K100="","",COUNTIF(K18:K100,"&lt;&gt;"))</f>
        <v/>
      </c>
      <c r="K100" s="675"/>
      <c r="L100" s="674" t="str">
        <f t="shared" si="16"/>
        <v/>
      </c>
      <c r="M100" s="643">
        <f>IF(OR(F100="",N10="",N10&lt;=0),"",IF(LEN(F100)&lt;=N10,LEN(F100),IFERROR(FIND("♦",SUBSTITUTE(LEFT(F100,N10)," ","♦",LEN(LEFT(F100,N10))-LEN(SUBSTITUTE(LEFT(F100,N10)," ","")))),FIND(" ",F100&amp;" ",N10+1)-1)))</f>
        <v>1</v>
      </c>
      <c r="N100" s="676">
        <f t="shared" si="17"/>
        <v>83</v>
      </c>
      <c r="O100" s="677" t="str">
        <f t="shared" si="18"/>
        <v>0</v>
      </c>
      <c r="P100" s="676">
        <f t="shared" si="19"/>
        <v>1</v>
      </c>
      <c r="Q100" s="676">
        <f t="shared" si="20"/>
        <v>1</v>
      </c>
      <c r="S100" s="523">
        <v>8</v>
      </c>
      <c r="T100" s="524" t="s">
        <v>1320</v>
      </c>
      <c r="U100" s="525" t="s">
        <v>1321</v>
      </c>
      <c r="V100" s="526" t="s">
        <v>1322</v>
      </c>
      <c r="W100" s="498"/>
      <c r="X100" s="498"/>
      <c r="Y100" s="498"/>
      <c r="Z100" s="498"/>
      <c r="AA100" s="498"/>
      <c r="AB100" s="498"/>
      <c r="AC100" s="498"/>
      <c r="AD100" s="498"/>
      <c r="AE100" s="498"/>
      <c r="AF100" s="498"/>
      <c r="AG100" s="498"/>
      <c r="AH100" s="498"/>
      <c r="AI100" s="498"/>
      <c r="AJ100" s="498"/>
      <c r="AK100" s="498"/>
      <c r="DE100" s="494"/>
      <c r="DF100" s="496" t="s">
        <v>1323</v>
      </c>
      <c r="DG100" s="496" t="s">
        <v>1083</v>
      </c>
      <c r="DH100" s="496" t="s">
        <v>689</v>
      </c>
      <c r="DI100" s="496" t="s">
        <v>1324</v>
      </c>
      <c r="DJ100" s="496" t="s">
        <v>1324</v>
      </c>
      <c r="DK100" s="496" t="s">
        <v>1085</v>
      </c>
      <c r="DL100" s="496" t="s">
        <v>1086</v>
      </c>
      <c r="DM100" s="496" t="s">
        <v>1087</v>
      </c>
      <c r="DN100" s="497" t="s">
        <v>1088</v>
      </c>
      <c r="DP100" s="543">
        <v>1</v>
      </c>
    </row>
    <row r="101" spans="2:120" ht="30" customHeight="1">
      <c r="B101" s="663" t="str">
        <f t="shared" si="12"/>
        <v/>
      </c>
      <c r="C101" s="663" t="str">
        <f t="shared" si="13"/>
        <v/>
      </c>
      <c r="D101" s="663" t="str">
        <f>IF(UPPER(TRIM(N11))="X",C101,B101)</f>
        <v/>
      </c>
      <c r="E101" s="663" cm="1">
        <f t="array" ref="E101">IF(H100&lt;&gt;"",E100,IF(E100="","",IFERROR(MATCH(TRUE(),INDEX(INDEX(K:K,E100+1):K203&lt;&gt;"",0),0)+E100,"")))</f>
        <v>242</v>
      </c>
      <c r="F101" s="663" cm="1">
        <f t="array" ref="F101">IF(E101="","",IF(H100&lt;&gt;"",H100,INDEX(D:D,E101)))</f>
        <v>0</v>
      </c>
      <c r="G101" s="663" t="str">
        <f t="shared" si="14"/>
        <v>0</v>
      </c>
      <c r="H101" s="673" t="str">
        <f t="shared" si="15"/>
        <v/>
      </c>
      <c r="I101" s="680" t="str">
        <f>IF(AND(F101&lt;&gt;"",N10&gt;0,M101&gt;N10),"Mot &gt; limite","")</f>
        <v/>
      </c>
      <c r="J101" s="674" t="str">
        <f>IF(K101="","",COUNTIF(K18:K101,"&lt;&gt;"))</f>
        <v/>
      </c>
      <c r="K101" s="675"/>
      <c r="L101" s="674" t="str">
        <f t="shared" si="16"/>
        <v/>
      </c>
      <c r="M101" s="643">
        <f>IF(OR(F101="",N10="",N10&lt;=0),"",IF(LEN(F101)&lt;=N10,LEN(F101),IFERROR(FIND("♦",SUBSTITUTE(LEFT(F101,N10)," ","♦",LEN(LEFT(F101,N10))-LEN(SUBSTITUTE(LEFT(F101,N10)," ","")))),FIND(" ",F101&amp;" ",N10+1)-1)))</f>
        <v>1</v>
      </c>
      <c r="N101" s="676">
        <f t="shared" si="17"/>
        <v>84</v>
      </c>
      <c r="O101" s="677" t="str">
        <f t="shared" si="18"/>
        <v>0</v>
      </c>
      <c r="P101" s="676">
        <f t="shared" si="19"/>
        <v>1</v>
      </c>
      <c r="Q101" s="676">
        <f t="shared" si="20"/>
        <v>1</v>
      </c>
      <c r="S101" s="523">
        <v>9</v>
      </c>
      <c r="T101" s="524" t="s">
        <v>1325</v>
      </c>
      <c r="U101" s="525" t="s">
        <v>1326</v>
      </c>
      <c r="V101" s="526" t="s">
        <v>1327</v>
      </c>
      <c r="W101" s="498"/>
      <c r="X101" s="498"/>
      <c r="Y101" s="498"/>
      <c r="Z101" s="498"/>
      <c r="AA101" s="498"/>
      <c r="AB101" s="498"/>
      <c r="AC101" s="498"/>
      <c r="AD101" s="498"/>
      <c r="AE101" s="498"/>
      <c r="AF101" s="498"/>
      <c r="AG101" s="498"/>
      <c r="AH101" s="498"/>
      <c r="AI101" s="498"/>
      <c r="AJ101" s="498"/>
      <c r="AK101" s="498"/>
      <c r="DE101" s="494"/>
      <c r="DF101" s="496" t="s">
        <v>1328</v>
      </c>
      <c r="DG101" s="496" t="s">
        <v>1083</v>
      </c>
      <c r="DH101" s="496" t="s">
        <v>689</v>
      </c>
      <c r="DI101" s="496" t="s">
        <v>1329</v>
      </c>
      <c r="DJ101" s="496" t="s">
        <v>1330</v>
      </c>
      <c r="DK101" s="496" t="s">
        <v>1085</v>
      </c>
      <c r="DL101" s="496" t="s">
        <v>1086</v>
      </c>
      <c r="DM101" s="496" t="s">
        <v>1087</v>
      </c>
      <c r="DN101" s="497" t="s">
        <v>1088</v>
      </c>
      <c r="DP101" s="543">
        <v>1</v>
      </c>
    </row>
    <row r="102" spans="2:120" ht="30" customHeight="1">
      <c r="B102" s="663" t="str">
        <f t="shared" si="12"/>
        <v/>
      </c>
      <c r="C102" s="663" t="str">
        <f t="shared" si="13"/>
        <v/>
      </c>
      <c r="D102" s="663" t="str">
        <f>IF(UPPER(TRIM(N11))="X",C102,B102)</f>
        <v/>
      </c>
      <c r="E102" s="663" cm="1">
        <f t="array" ref="E102">IF(H101&lt;&gt;"",E101,IF(E101="","",IFERROR(MATCH(TRUE(),INDEX(INDEX(K:K,E101+1):K203&lt;&gt;"",0),0)+E101,"")))</f>
        <v>243</v>
      </c>
      <c r="F102" s="663" cm="1">
        <f t="array" ref="F102">IF(E102="","",IF(H101&lt;&gt;"",H101,INDEX(D:D,E102)))</f>
        <v>0</v>
      </c>
      <c r="G102" s="663" t="str">
        <f t="shared" si="14"/>
        <v>0</v>
      </c>
      <c r="H102" s="673" t="str">
        <f t="shared" si="15"/>
        <v/>
      </c>
      <c r="I102" s="680" t="str">
        <f>IF(AND(F102&lt;&gt;"",N10&gt;0,M102&gt;N10),"Mot &gt; limite","")</f>
        <v/>
      </c>
      <c r="J102" s="674" t="str">
        <f>IF(K102="","",COUNTIF(K18:K102,"&lt;&gt;"))</f>
        <v/>
      </c>
      <c r="K102" s="675"/>
      <c r="L102" s="674" t="str">
        <f t="shared" si="16"/>
        <v/>
      </c>
      <c r="M102" s="643">
        <f>IF(OR(F102="",N10="",N10&lt;=0),"",IF(LEN(F102)&lt;=N10,LEN(F102),IFERROR(FIND("♦",SUBSTITUTE(LEFT(F102,N10)," ","♦",LEN(LEFT(F102,N10))-LEN(SUBSTITUTE(LEFT(F102,N10)," ","")))),FIND(" ",F102&amp;" ",N10+1)-1)))</f>
        <v>1</v>
      </c>
      <c r="N102" s="676">
        <f t="shared" si="17"/>
        <v>85</v>
      </c>
      <c r="O102" s="677" t="str">
        <f t="shared" si="18"/>
        <v>0</v>
      </c>
      <c r="P102" s="676">
        <f t="shared" si="19"/>
        <v>1</v>
      </c>
      <c r="Q102" s="676">
        <f t="shared" si="20"/>
        <v>1</v>
      </c>
      <c r="S102" s="527">
        <v>10</v>
      </c>
      <c r="T102" s="528" t="s">
        <v>1331</v>
      </c>
      <c r="U102" s="529" t="s">
        <v>1332</v>
      </c>
      <c r="V102" s="530" t="s">
        <v>1333</v>
      </c>
      <c r="W102" s="498"/>
      <c r="X102" s="498"/>
      <c r="Y102" s="498"/>
      <c r="Z102" s="498"/>
      <c r="AA102" s="498"/>
      <c r="AB102" s="498"/>
      <c r="AC102" s="498"/>
      <c r="AD102" s="498"/>
      <c r="AE102" s="498"/>
      <c r="AF102" s="498"/>
      <c r="AG102" s="498"/>
      <c r="AH102" s="498"/>
      <c r="AI102" s="498"/>
      <c r="AJ102" s="498"/>
      <c r="AK102" s="498"/>
      <c r="DE102" s="494"/>
      <c r="DF102" s="496" t="s">
        <v>1334</v>
      </c>
      <c r="DG102" s="496" t="s">
        <v>1083</v>
      </c>
      <c r="DH102" s="496" t="s">
        <v>689</v>
      </c>
      <c r="DI102" s="496" t="s">
        <v>1335</v>
      </c>
      <c r="DJ102" s="496" t="s">
        <v>1335</v>
      </c>
      <c r="DK102" s="496" t="s">
        <v>1085</v>
      </c>
      <c r="DL102" s="496" t="s">
        <v>1086</v>
      </c>
      <c r="DM102" s="496" t="s">
        <v>1087</v>
      </c>
      <c r="DN102" s="497" t="s">
        <v>1088</v>
      </c>
      <c r="DP102" s="543">
        <v>1</v>
      </c>
    </row>
    <row r="103" spans="2:120" ht="30" customHeight="1">
      <c r="B103" s="663" t="str">
        <f t="shared" si="12"/>
        <v/>
      </c>
      <c r="C103" s="663" t="str">
        <f t="shared" si="13"/>
        <v/>
      </c>
      <c r="D103" s="663" t="str">
        <f>IF(UPPER(TRIM(N11))="X",C103,B103)</f>
        <v/>
      </c>
      <c r="E103" s="663" cm="1">
        <f t="array" ref="E103">IF(H102&lt;&gt;"",E102,IF(E102="","",IFERROR(MATCH(TRUE(),INDEX(INDEX(K:K,E102+1):K203&lt;&gt;"",0),0)+E102,"")))</f>
        <v>244</v>
      </c>
      <c r="F103" s="663" cm="1">
        <f t="array" ref="F103">IF(E103="","",IF(H102&lt;&gt;"",H102,INDEX(D:D,E103)))</f>
        <v>0</v>
      </c>
      <c r="G103" s="663" t="str">
        <f t="shared" si="14"/>
        <v>0</v>
      </c>
      <c r="H103" s="673" t="str">
        <f t="shared" si="15"/>
        <v/>
      </c>
      <c r="I103" s="680" t="str">
        <f>IF(AND(F103&lt;&gt;"",N10&gt;0,M103&gt;N10),"Mot &gt; limite","")</f>
        <v/>
      </c>
      <c r="J103" s="674" t="str">
        <f>IF(K103="","",COUNTIF(K18:K103,"&lt;&gt;"))</f>
        <v/>
      </c>
      <c r="K103" s="675"/>
      <c r="L103" s="674" t="str">
        <f t="shared" si="16"/>
        <v/>
      </c>
      <c r="M103" s="643">
        <f>IF(OR(F103="",N10="",N10&lt;=0),"",IF(LEN(F103)&lt;=N10,LEN(F103),IFERROR(FIND("♦",SUBSTITUTE(LEFT(F103,N10)," ","♦",LEN(LEFT(F103,N10))-LEN(SUBSTITUTE(LEFT(F103,N10)," ","")))),FIND(" ",F103&amp;" ",N10+1)-1)))</f>
        <v>1</v>
      </c>
      <c r="N103" s="676">
        <f t="shared" si="17"/>
        <v>86</v>
      </c>
      <c r="O103" s="677" t="str">
        <f t="shared" si="18"/>
        <v>0</v>
      </c>
      <c r="P103" s="676">
        <f t="shared" si="19"/>
        <v>1</v>
      </c>
      <c r="Q103" s="676">
        <f t="shared" si="20"/>
        <v>1</v>
      </c>
      <c r="S103" s="498"/>
      <c r="T103" s="521"/>
      <c r="U103" s="522"/>
      <c r="V103" s="522"/>
      <c r="W103" s="498"/>
      <c r="X103" s="498"/>
      <c r="Y103" s="498"/>
      <c r="Z103" s="498"/>
      <c r="AA103" s="498"/>
      <c r="AB103" s="498"/>
      <c r="AC103" s="498"/>
      <c r="AD103" s="498"/>
      <c r="AE103" s="498"/>
      <c r="AF103" s="498"/>
      <c r="AG103" s="498"/>
      <c r="AH103" s="498"/>
      <c r="AI103" s="498"/>
      <c r="AJ103" s="498"/>
      <c r="AK103" s="498"/>
      <c r="DE103" s="494"/>
      <c r="DF103" s="496" t="s">
        <v>1336</v>
      </c>
      <c r="DG103" s="496" t="s">
        <v>1083</v>
      </c>
      <c r="DH103" s="496" t="s">
        <v>689</v>
      </c>
      <c r="DI103" s="496" t="s">
        <v>1337</v>
      </c>
      <c r="DJ103" s="496" t="s">
        <v>1337</v>
      </c>
      <c r="DK103" s="496" t="s">
        <v>1085</v>
      </c>
      <c r="DL103" s="496" t="s">
        <v>1086</v>
      </c>
      <c r="DM103" s="496" t="s">
        <v>1087</v>
      </c>
      <c r="DN103" s="497" t="s">
        <v>1088</v>
      </c>
      <c r="DP103" s="543">
        <v>1</v>
      </c>
    </row>
    <row r="104" spans="2:120" ht="30" customHeight="1">
      <c r="B104" s="663" t="str">
        <f t="shared" si="12"/>
        <v/>
      </c>
      <c r="C104" s="663" t="str">
        <f t="shared" si="13"/>
        <v/>
      </c>
      <c r="D104" s="663" t="str">
        <f>IF(UPPER(TRIM(N11))="X",C104,B104)</f>
        <v/>
      </c>
      <c r="E104" s="663" cm="1">
        <f t="array" ref="E104">IF(H103&lt;&gt;"",E103,IF(E103="","",IFERROR(MATCH(TRUE(),INDEX(INDEX(K:K,E103+1):K203&lt;&gt;"",0),0)+E103,"")))</f>
        <v>245</v>
      </c>
      <c r="F104" s="663" cm="1">
        <f t="array" ref="F104">IF(E104="","",IF(H103&lt;&gt;"",H103,INDEX(D:D,E104)))</f>
        <v>0</v>
      </c>
      <c r="G104" s="663" t="str">
        <f t="shared" si="14"/>
        <v>0</v>
      </c>
      <c r="H104" s="673" t="str">
        <f t="shared" si="15"/>
        <v/>
      </c>
      <c r="I104" s="680" t="str">
        <f>IF(AND(F104&lt;&gt;"",N10&gt;0,M104&gt;N10),"Mot &gt; limite","")</f>
        <v/>
      </c>
      <c r="J104" s="674" t="str">
        <f>IF(K104="","",COUNTIF(K18:K104,"&lt;&gt;"))</f>
        <v/>
      </c>
      <c r="K104" s="675"/>
      <c r="L104" s="674" t="str">
        <f t="shared" si="16"/>
        <v/>
      </c>
      <c r="M104" s="643">
        <f>IF(OR(F104="",N10="",N10&lt;=0),"",IF(LEN(F104)&lt;=N10,LEN(F104),IFERROR(FIND("♦",SUBSTITUTE(LEFT(F104,N10)," ","♦",LEN(LEFT(F104,N10))-LEN(SUBSTITUTE(LEFT(F104,N10)," ","")))),FIND(" ",F104&amp;" ",N10+1)-1)))</f>
        <v>1</v>
      </c>
      <c r="N104" s="676">
        <f t="shared" si="17"/>
        <v>87</v>
      </c>
      <c r="O104" s="677" t="str">
        <f t="shared" si="18"/>
        <v>0</v>
      </c>
      <c r="P104" s="676">
        <f t="shared" si="19"/>
        <v>1</v>
      </c>
      <c r="Q104" s="676">
        <f t="shared" si="20"/>
        <v>1</v>
      </c>
      <c r="S104" s="498"/>
      <c r="T104" s="521"/>
      <c r="U104" s="522"/>
      <c r="V104" s="522"/>
      <c r="W104" s="498"/>
      <c r="X104" s="498"/>
      <c r="Y104" s="498"/>
      <c r="Z104" s="498"/>
      <c r="AA104" s="498"/>
      <c r="AB104" s="498"/>
      <c r="AC104" s="498"/>
      <c r="AD104" s="498"/>
      <c r="AE104" s="498"/>
      <c r="AF104" s="498"/>
      <c r="AG104" s="498"/>
      <c r="AH104" s="498"/>
      <c r="AI104" s="498"/>
      <c r="AJ104" s="498"/>
      <c r="AK104" s="498"/>
      <c r="DE104" s="494"/>
      <c r="DF104" s="496" t="s">
        <v>1338</v>
      </c>
      <c r="DG104" s="496" t="s">
        <v>1083</v>
      </c>
      <c r="DH104" s="496" t="s">
        <v>689</v>
      </c>
      <c r="DI104" s="496" t="s">
        <v>1339</v>
      </c>
      <c r="DJ104" s="496" t="s">
        <v>1339</v>
      </c>
      <c r="DK104" s="496" t="s">
        <v>1085</v>
      </c>
      <c r="DL104" s="496" t="s">
        <v>1086</v>
      </c>
      <c r="DM104" s="496" t="s">
        <v>1087</v>
      </c>
      <c r="DN104" s="497" t="s">
        <v>1088</v>
      </c>
      <c r="DP104" s="543">
        <v>1</v>
      </c>
    </row>
    <row r="105" spans="2:120" ht="30" customHeight="1">
      <c r="B105" s="663" t="str">
        <f t="shared" si="12"/>
        <v/>
      </c>
      <c r="C105" s="663" t="str">
        <f t="shared" si="13"/>
        <v/>
      </c>
      <c r="D105" s="663" t="str">
        <f>IF(UPPER(TRIM(N11))="X",C105,B105)</f>
        <v/>
      </c>
      <c r="E105" s="663" cm="1">
        <f t="array" ref="E105">IF(H104&lt;&gt;"",E104,IF(E104="","",IFERROR(MATCH(TRUE(),INDEX(INDEX(K:K,E104+1):K203&lt;&gt;"",0),0)+E104,"")))</f>
        <v>246</v>
      </c>
      <c r="F105" s="663" cm="1">
        <f t="array" ref="F105">IF(E105="","",IF(H104&lt;&gt;"",H104,INDEX(D:D,E105)))</f>
        <v>0</v>
      </c>
      <c r="G105" s="663" t="str">
        <f t="shared" si="14"/>
        <v>0</v>
      </c>
      <c r="H105" s="673" t="str">
        <f t="shared" si="15"/>
        <v/>
      </c>
      <c r="I105" s="680" t="str">
        <f>IF(AND(F105&lt;&gt;"",N10&gt;0,M105&gt;N10),"Mot &gt; limite","")</f>
        <v/>
      </c>
      <c r="J105" s="674" t="str">
        <f>IF(K105="","",COUNTIF(K18:K105,"&lt;&gt;"))</f>
        <v/>
      </c>
      <c r="K105" s="675"/>
      <c r="L105" s="674" t="str">
        <f t="shared" si="16"/>
        <v/>
      </c>
      <c r="M105" s="643">
        <f>IF(OR(F105="",N10="",N10&lt;=0),"",IF(LEN(F105)&lt;=N10,LEN(F105),IFERROR(FIND("♦",SUBSTITUTE(LEFT(F105,N10)," ","♦",LEN(LEFT(F105,N10))-LEN(SUBSTITUTE(LEFT(F105,N10)," ","")))),FIND(" ",F105&amp;" ",N10+1)-1)))</f>
        <v>1</v>
      </c>
      <c r="N105" s="676">
        <f t="shared" si="17"/>
        <v>88</v>
      </c>
      <c r="O105" s="677" t="str">
        <f t="shared" si="18"/>
        <v>0</v>
      </c>
      <c r="P105" s="676">
        <f t="shared" si="19"/>
        <v>1</v>
      </c>
      <c r="Q105" s="676">
        <f t="shared" si="20"/>
        <v>1</v>
      </c>
      <c r="S105" s="1243" t="s">
        <v>1340</v>
      </c>
      <c r="T105" s="1243"/>
      <c r="U105" s="1243"/>
      <c r="V105" s="1243"/>
      <c r="W105" s="1243"/>
      <c r="X105" s="1243"/>
      <c r="Y105" s="1243"/>
      <c r="Z105" s="1243"/>
      <c r="AA105" s="1243"/>
      <c r="AB105" s="1243"/>
      <c r="AC105" s="1243"/>
      <c r="AD105" s="1243"/>
      <c r="AE105" s="1243"/>
      <c r="AF105" s="1243"/>
      <c r="AG105" s="1243"/>
      <c r="AH105" s="1243"/>
      <c r="AI105" s="1243"/>
      <c r="AJ105" s="1243"/>
      <c r="AK105" s="1243"/>
      <c r="DE105" s="494"/>
      <c r="DF105" s="496" t="s">
        <v>1341</v>
      </c>
      <c r="DG105" s="496" t="s">
        <v>1083</v>
      </c>
      <c r="DH105" s="496" t="s">
        <v>689</v>
      </c>
      <c r="DI105" s="496" t="s">
        <v>1342</v>
      </c>
      <c r="DJ105" s="496" t="s">
        <v>1343</v>
      </c>
      <c r="DK105" s="496" t="s">
        <v>1085</v>
      </c>
      <c r="DL105" s="496" t="s">
        <v>1086</v>
      </c>
      <c r="DM105" s="496" t="s">
        <v>1087</v>
      </c>
      <c r="DN105" s="497" t="s">
        <v>1088</v>
      </c>
      <c r="DP105" s="543">
        <v>1</v>
      </c>
    </row>
    <row r="106" spans="2:120" ht="30" customHeight="1">
      <c r="B106" s="663" t="str">
        <f t="shared" si="12"/>
        <v/>
      </c>
      <c r="C106" s="663" t="str">
        <f t="shared" si="13"/>
        <v/>
      </c>
      <c r="D106" s="663" t="str">
        <f>IF(UPPER(TRIM(N11))="X",C106,B106)</f>
        <v/>
      </c>
      <c r="E106" s="663" cm="1">
        <f t="array" ref="E106">IF(H105&lt;&gt;"",E105,IF(E105="","",IFERROR(MATCH(TRUE(),INDEX(INDEX(K:K,E105+1):K203&lt;&gt;"",0),0)+E105,"")))</f>
        <v>247</v>
      </c>
      <c r="F106" s="663" cm="1">
        <f t="array" ref="F106">IF(E106="","",IF(H105&lt;&gt;"",H105,INDEX(D:D,E106)))</f>
        <v>0</v>
      </c>
      <c r="G106" s="663" t="str">
        <f t="shared" si="14"/>
        <v>0</v>
      </c>
      <c r="H106" s="673" t="str">
        <f t="shared" si="15"/>
        <v/>
      </c>
      <c r="I106" s="680" t="str">
        <f>IF(AND(F106&lt;&gt;"",N10&gt;0,M106&gt;N10),"Mot &gt; limite","")</f>
        <v/>
      </c>
      <c r="J106" s="674" t="str">
        <f>IF(K106="","",COUNTIF(K18:K106,"&lt;&gt;"))</f>
        <v/>
      </c>
      <c r="K106" s="675"/>
      <c r="L106" s="674" t="str">
        <f t="shared" si="16"/>
        <v/>
      </c>
      <c r="M106" s="643">
        <f>IF(OR(F106="",N10="",N10&lt;=0),"",IF(LEN(F106)&lt;=N10,LEN(F106),IFERROR(FIND("♦",SUBSTITUTE(LEFT(F106,N10)," ","♦",LEN(LEFT(F106,N10))-LEN(SUBSTITUTE(LEFT(F106,N10)," ","")))),FIND(" ",F106&amp;" ",N10+1)-1)))</f>
        <v>1</v>
      </c>
      <c r="N106" s="676">
        <f t="shared" si="17"/>
        <v>89</v>
      </c>
      <c r="O106" s="677" t="str">
        <f t="shared" si="18"/>
        <v>0</v>
      </c>
      <c r="P106" s="676">
        <f t="shared" si="19"/>
        <v>1</v>
      </c>
      <c r="Q106" s="676">
        <f t="shared" si="20"/>
        <v>1</v>
      </c>
      <c r="S106" s="498"/>
      <c r="T106" s="551" t="s">
        <v>5798</v>
      </c>
      <c r="U106" s="534"/>
      <c r="V106" s="522"/>
      <c r="W106" s="498"/>
      <c r="X106" s="498"/>
      <c r="Y106" s="498"/>
      <c r="Z106" s="498"/>
      <c r="AA106" s="498"/>
      <c r="AB106" s="498"/>
      <c r="AC106" s="498"/>
      <c r="AD106" s="498"/>
      <c r="AE106" s="498"/>
      <c r="AF106" s="498"/>
      <c r="AG106" s="498"/>
      <c r="AH106" s="498"/>
      <c r="AI106" s="498"/>
      <c r="AJ106" s="498"/>
      <c r="AK106" s="498"/>
      <c r="DE106" s="494"/>
      <c r="DF106" s="496" t="s">
        <v>1344</v>
      </c>
      <c r="DG106" s="496" t="s">
        <v>1083</v>
      </c>
      <c r="DH106" s="496" t="s">
        <v>689</v>
      </c>
      <c r="DI106" s="496" t="s">
        <v>1345</v>
      </c>
      <c r="DJ106" s="496" t="s">
        <v>1345</v>
      </c>
      <c r="DK106" s="496" t="s">
        <v>1085</v>
      </c>
      <c r="DL106" s="496" t="s">
        <v>1086</v>
      </c>
      <c r="DM106" s="496" t="s">
        <v>1087</v>
      </c>
      <c r="DN106" s="497" t="s">
        <v>1088</v>
      </c>
      <c r="DP106" s="543">
        <v>1</v>
      </c>
    </row>
    <row r="107" spans="2:120" ht="30" customHeight="1">
      <c r="B107" s="663" t="str">
        <f t="shared" si="12"/>
        <v/>
      </c>
      <c r="C107" s="663" t="str">
        <f t="shared" si="13"/>
        <v/>
      </c>
      <c r="D107" s="663" t="str">
        <f>IF(UPPER(TRIM(N11))="X",C107,B107)</f>
        <v/>
      </c>
      <c r="E107" s="663" cm="1">
        <f t="array" ref="E107">IF(H106&lt;&gt;"",E106,IF(E106="","",IFERROR(MATCH(TRUE(),INDEX(INDEX(K:K,E106+1):K203&lt;&gt;"",0),0)+E106,"")))</f>
        <v>248</v>
      </c>
      <c r="F107" s="663" cm="1">
        <f t="array" ref="F107">IF(E107="","",IF(H106&lt;&gt;"",H106,INDEX(D:D,E107)))</f>
        <v>0</v>
      </c>
      <c r="G107" s="663" t="str">
        <f t="shared" si="14"/>
        <v>0</v>
      </c>
      <c r="H107" s="673" t="str">
        <f t="shared" si="15"/>
        <v/>
      </c>
      <c r="I107" s="680" t="str">
        <f>IF(AND(F107&lt;&gt;"",N10&gt;0,M107&gt;N10),"Mot &gt; limite","")</f>
        <v/>
      </c>
      <c r="J107" s="674" t="str">
        <f>IF(K107="","",COUNTIF(K18:K107,"&lt;&gt;"))</f>
        <v/>
      </c>
      <c r="K107" s="675"/>
      <c r="L107" s="674" t="str">
        <f t="shared" si="16"/>
        <v/>
      </c>
      <c r="M107" s="643">
        <f>IF(OR(F107="",N10="",N10&lt;=0),"",IF(LEN(F107)&lt;=N10,LEN(F107),IFERROR(FIND("♦",SUBSTITUTE(LEFT(F107,N10)," ","♦",LEN(LEFT(F107,N10))-LEN(SUBSTITUTE(LEFT(F107,N10)," ","")))),FIND(" ",F107&amp;" ",N10+1)-1)))</f>
        <v>1</v>
      </c>
      <c r="N107" s="676">
        <f t="shared" si="17"/>
        <v>90</v>
      </c>
      <c r="O107" s="677" t="str">
        <f t="shared" si="18"/>
        <v>0</v>
      </c>
      <c r="P107" s="676">
        <f t="shared" si="19"/>
        <v>1</v>
      </c>
      <c r="Q107" s="676">
        <f t="shared" si="20"/>
        <v>1</v>
      </c>
      <c r="S107" s="498"/>
      <c r="T107" s="535" t="s">
        <v>5799</v>
      </c>
      <c r="U107" s="536" t="s">
        <v>5800</v>
      </c>
      <c r="V107" s="522"/>
      <c r="W107" s="498"/>
      <c r="X107" s="498"/>
      <c r="Y107" s="498"/>
      <c r="Z107" s="498"/>
      <c r="AA107" s="498"/>
      <c r="AB107" s="498"/>
      <c r="AC107" s="498"/>
      <c r="AD107" s="498"/>
      <c r="AE107" s="498"/>
      <c r="AF107" s="498"/>
      <c r="AG107" s="498"/>
      <c r="AH107" s="498"/>
      <c r="AI107" s="498"/>
      <c r="AJ107" s="498"/>
      <c r="AK107" s="498"/>
      <c r="DE107" s="494"/>
      <c r="DF107" s="496" t="s">
        <v>1346</v>
      </c>
      <c r="DG107" s="496" t="s">
        <v>1083</v>
      </c>
      <c r="DH107" s="496" t="s">
        <v>689</v>
      </c>
      <c r="DI107" s="496" t="s">
        <v>202</v>
      </c>
      <c r="DJ107" s="496" t="s">
        <v>202</v>
      </c>
      <c r="DK107" s="496" t="s">
        <v>1085</v>
      </c>
      <c r="DL107" s="496" t="s">
        <v>1086</v>
      </c>
      <c r="DM107" s="496" t="s">
        <v>1087</v>
      </c>
      <c r="DN107" s="497" t="s">
        <v>1088</v>
      </c>
      <c r="DP107" s="543">
        <v>1</v>
      </c>
    </row>
    <row r="108" spans="2:120" ht="30" customHeight="1">
      <c r="B108" s="663" t="str">
        <f t="shared" si="12"/>
        <v/>
      </c>
      <c r="C108" s="663" t="str">
        <f t="shared" si="13"/>
        <v/>
      </c>
      <c r="D108" s="663" t="str">
        <f>IF(UPPER(TRIM(N11))="X",C108,B108)</f>
        <v/>
      </c>
      <c r="E108" s="663" cm="1">
        <f t="array" ref="E108">IF(H107&lt;&gt;"",E107,IF(E107="","",IFERROR(MATCH(TRUE(),INDEX(INDEX(K:K,E107+1):K203&lt;&gt;"",0),0)+E107,"")))</f>
        <v>249</v>
      </c>
      <c r="F108" s="663" cm="1">
        <f t="array" ref="F108">IF(E108="","",IF(H107&lt;&gt;"",H107,INDEX(D:D,E108)))</f>
        <v>0</v>
      </c>
      <c r="G108" s="663" t="str">
        <f t="shared" si="14"/>
        <v>0</v>
      </c>
      <c r="H108" s="673" t="str">
        <f t="shared" si="15"/>
        <v/>
      </c>
      <c r="I108" s="680" t="str">
        <f>IF(AND(F108&lt;&gt;"",N10&gt;0,M108&gt;N10),"Mot &gt; limite","")</f>
        <v/>
      </c>
      <c r="J108" s="674" t="str">
        <f>IF(K108="","",COUNTIF(K18:K108,"&lt;&gt;"))</f>
        <v/>
      </c>
      <c r="K108" s="675"/>
      <c r="L108" s="674" t="str">
        <f t="shared" si="16"/>
        <v/>
      </c>
      <c r="M108" s="643">
        <f>IF(OR(F108="",N10="",N10&lt;=0),"",IF(LEN(F108)&lt;=N10,LEN(F108),IFERROR(FIND("♦",SUBSTITUTE(LEFT(F108,N10)," ","♦",LEN(LEFT(F108,N10))-LEN(SUBSTITUTE(LEFT(F108,N10)," ","")))),FIND(" ",F108&amp;" ",N10+1)-1)))</f>
        <v>1</v>
      </c>
      <c r="N108" s="676">
        <f t="shared" si="17"/>
        <v>91</v>
      </c>
      <c r="O108" s="677" t="str">
        <f t="shared" si="18"/>
        <v>0</v>
      </c>
      <c r="P108" s="676">
        <f t="shared" si="19"/>
        <v>1</v>
      </c>
      <c r="Q108" s="676">
        <f t="shared" si="20"/>
        <v>1</v>
      </c>
      <c r="S108" s="498"/>
      <c r="T108" s="535" t="s">
        <v>5801</v>
      </c>
      <c r="U108" s="536" t="s">
        <v>5802</v>
      </c>
      <c r="V108" s="522"/>
      <c r="W108" s="498"/>
      <c r="X108" s="498"/>
      <c r="Y108" s="498"/>
      <c r="Z108" s="498"/>
      <c r="AA108" s="498"/>
      <c r="AB108" s="498"/>
      <c r="AC108" s="498"/>
      <c r="AD108" s="498"/>
      <c r="AE108" s="498"/>
      <c r="AF108" s="498"/>
      <c r="AG108" s="498"/>
      <c r="AH108" s="498"/>
      <c r="AI108" s="498"/>
      <c r="AJ108" s="498"/>
      <c r="AK108" s="498"/>
      <c r="DE108" s="494"/>
      <c r="DF108" s="496" t="s">
        <v>1347</v>
      </c>
      <c r="DG108" s="496" t="s">
        <v>1083</v>
      </c>
      <c r="DH108" s="496" t="s">
        <v>689</v>
      </c>
      <c r="DI108" s="496" t="s">
        <v>1348</v>
      </c>
      <c r="DJ108" s="496" t="s">
        <v>1348</v>
      </c>
      <c r="DK108" s="496" t="s">
        <v>1151</v>
      </c>
      <c r="DL108" s="496" t="s">
        <v>1152</v>
      </c>
      <c r="DM108" s="496" t="s">
        <v>1087</v>
      </c>
      <c r="DN108" s="497" t="s">
        <v>1153</v>
      </c>
      <c r="DP108" s="543">
        <v>1</v>
      </c>
    </row>
    <row r="109" spans="2:120" ht="30" customHeight="1">
      <c r="B109" s="663" t="str">
        <f t="shared" si="12"/>
        <v/>
      </c>
      <c r="C109" s="663" t="str">
        <f t="shared" si="13"/>
        <v/>
      </c>
      <c r="D109" s="663" t="str">
        <f>IF(UPPER(TRIM(N11))="X",C109,B109)</f>
        <v/>
      </c>
      <c r="E109" s="663" cm="1">
        <f t="array" ref="E109">IF(H108&lt;&gt;"",E108,IF(E108="","",IFERROR(MATCH(TRUE(),INDEX(INDEX(K:K,E108+1):K203&lt;&gt;"",0),0)+E108,"")))</f>
        <v>250</v>
      </c>
      <c r="F109" s="663" cm="1">
        <f t="array" ref="F109">IF(E109="","",IF(H108&lt;&gt;"",H108,INDEX(D:D,E109)))</f>
        <v>0</v>
      </c>
      <c r="G109" s="663" t="str">
        <f t="shared" si="14"/>
        <v>0</v>
      </c>
      <c r="H109" s="673" t="str">
        <f t="shared" si="15"/>
        <v/>
      </c>
      <c r="I109" s="680" t="str">
        <f>IF(AND(F109&lt;&gt;"",N10&gt;0,M109&gt;N10),"Mot &gt; limite","")</f>
        <v/>
      </c>
      <c r="J109" s="674" t="str">
        <f>IF(K109="","",COUNTIF(K18:K109,"&lt;&gt;"))</f>
        <v/>
      </c>
      <c r="K109" s="675"/>
      <c r="L109" s="674" t="str">
        <f t="shared" si="16"/>
        <v/>
      </c>
      <c r="M109" s="643">
        <f>IF(OR(F109="",N10="",N10&lt;=0),"",IF(LEN(F109)&lt;=N10,LEN(F109),IFERROR(FIND("♦",SUBSTITUTE(LEFT(F109,N10)," ","♦",LEN(LEFT(F109,N10))-LEN(SUBSTITUTE(LEFT(F109,N10)," ","")))),FIND(" ",F109&amp;" ",N10+1)-1)))</f>
        <v>1</v>
      </c>
      <c r="N109" s="676">
        <f t="shared" si="17"/>
        <v>92</v>
      </c>
      <c r="O109" s="677" t="str">
        <f t="shared" si="18"/>
        <v>0</v>
      </c>
      <c r="P109" s="676">
        <f t="shared" si="19"/>
        <v>1</v>
      </c>
      <c r="Q109" s="676">
        <f t="shared" si="20"/>
        <v>1</v>
      </c>
      <c r="S109" s="498"/>
      <c r="T109" s="535" t="s">
        <v>5803</v>
      </c>
      <c r="U109" s="536" t="s">
        <v>5804</v>
      </c>
      <c r="V109" s="522"/>
      <c r="W109" s="498"/>
      <c r="X109" s="498"/>
      <c r="Y109" s="498"/>
      <c r="Z109" s="498"/>
      <c r="AA109" s="498"/>
      <c r="AB109" s="498"/>
      <c r="AC109" s="498"/>
      <c r="AD109" s="498"/>
      <c r="AE109" s="498"/>
      <c r="AF109" s="498"/>
      <c r="AG109" s="498"/>
      <c r="AH109" s="498"/>
      <c r="AI109" s="498"/>
      <c r="AJ109" s="498"/>
      <c r="AK109" s="498"/>
      <c r="DE109" s="494"/>
      <c r="DF109" s="496" t="s">
        <v>1349</v>
      </c>
      <c r="DG109" s="496" t="s">
        <v>1083</v>
      </c>
      <c r="DH109" s="496" t="s">
        <v>689</v>
      </c>
      <c r="DI109" s="496" t="s">
        <v>1350</v>
      </c>
      <c r="DJ109" s="496" t="s">
        <v>1071</v>
      </c>
      <c r="DK109" s="496" t="s">
        <v>1085</v>
      </c>
      <c r="DL109" s="496" t="s">
        <v>1086</v>
      </c>
      <c r="DM109" s="496" t="s">
        <v>1087</v>
      </c>
      <c r="DN109" s="497" t="s">
        <v>1088</v>
      </c>
      <c r="DP109" s="543">
        <v>1</v>
      </c>
    </row>
    <row r="110" spans="2:120" ht="30" customHeight="1">
      <c r="B110" s="663" t="str">
        <f t="shared" si="12"/>
        <v/>
      </c>
      <c r="C110" s="663" t="str">
        <f t="shared" si="13"/>
        <v/>
      </c>
      <c r="D110" s="663" t="str">
        <f>IF(UPPER(TRIM(N11))="X",C110,B110)</f>
        <v/>
      </c>
      <c r="E110" s="663" cm="1">
        <f t="array" ref="E110">IF(H109&lt;&gt;"",E109,IF(E109="","",IFERROR(MATCH(TRUE(),INDEX(INDEX(K:K,E109+1):K203&lt;&gt;"",0),0)+E109,"")))</f>
        <v>251</v>
      </c>
      <c r="F110" s="663" cm="1">
        <f t="array" ref="F110">IF(E110="","",IF(H109&lt;&gt;"",H109,INDEX(D:D,E110)))</f>
        <v>0</v>
      </c>
      <c r="G110" s="663" t="str">
        <f t="shared" si="14"/>
        <v>0</v>
      </c>
      <c r="H110" s="673" t="str">
        <f t="shared" si="15"/>
        <v/>
      </c>
      <c r="I110" s="680" t="str">
        <f>IF(AND(F110&lt;&gt;"",N10&gt;0,M110&gt;N10),"Mot &gt; limite","")</f>
        <v/>
      </c>
      <c r="J110" s="674" t="str">
        <f>IF(K110="","",COUNTIF(K18:K110,"&lt;&gt;"))</f>
        <v/>
      </c>
      <c r="K110" s="675"/>
      <c r="L110" s="674" t="str">
        <f t="shared" si="16"/>
        <v/>
      </c>
      <c r="M110" s="643">
        <f>IF(OR(F110="",N10="",N10&lt;=0),"",IF(LEN(F110)&lt;=N10,LEN(F110),IFERROR(FIND("♦",SUBSTITUTE(LEFT(F110,N10)," ","♦",LEN(LEFT(F110,N10))-LEN(SUBSTITUTE(LEFT(F110,N10)," ","")))),FIND(" ",F110&amp;" ",N10+1)-1)))</f>
        <v>1</v>
      </c>
      <c r="N110" s="676">
        <f t="shared" si="17"/>
        <v>93</v>
      </c>
      <c r="O110" s="677" t="str">
        <f t="shared" si="18"/>
        <v>0</v>
      </c>
      <c r="P110" s="676">
        <f t="shared" si="19"/>
        <v>1</v>
      </c>
      <c r="Q110" s="676">
        <f t="shared" si="20"/>
        <v>1</v>
      </c>
      <c r="S110" s="498"/>
      <c r="T110" s="535" t="s">
        <v>5805</v>
      </c>
      <c r="U110" s="536" t="s">
        <v>5806</v>
      </c>
      <c r="V110" s="522"/>
      <c r="W110" s="498"/>
      <c r="X110" s="498"/>
      <c r="Y110" s="498"/>
      <c r="Z110" s="498"/>
      <c r="AA110" s="498"/>
      <c r="AB110" s="498"/>
      <c r="AC110" s="498"/>
      <c r="AD110" s="498"/>
      <c r="AE110" s="498"/>
      <c r="AF110" s="498"/>
      <c r="AG110" s="498"/>
      <c r="AH110" s="498"/>
      <c r="AI110" s="498"/>
      <c r="AJ110" s="498"/>
      <c r="AK110" s="498"/>
      <c r="DE110" s="494"/>
      <c r="DF110" s="496" t="s">
        <v>1351</v>
      </c>
      <c r="DG110" s="496" t="s">
        <v>1083</v>
      </c>
      <c r="DH110" s="496" t="s">
        <v>689</v>
      </c>
      <c r="DI110" s="496" t="s">
        <v>1352</v>
      </c>
      <c r="DJ110" s="496" t="s">
        <v>1353</v>
      </c>
      <c r="DK110" s="496" t="s">
        <v>1085</v>
      </c>
      <c r="DL110" s="496" t="s">
        <v>1086</v>
      </c>
      <c r="DM110" s="496" t="s">
        <v>1087</v>
      </c>
      <c r="DN110" s="497" t="s">
        <v>1088</v>
      </c>
      <c r="DP110" s="543">
        <v>1</v>
      </c>
    </row>
    <row r="111" spans="2:120" ht="30" customHeight="1">
      <c r="B111" s="663" t="str">
        <f t="shared" si="12"/>
        <v/>
      </c>
      <c r="C111" s="663" t="str">
        <f t="shared" si="13"/>
        <v/>
      </c>
      <c r="D111" s="663" t="str">
        <f>IF(UPPER(TRIM(N11))="X",C111,B111)</f>
        <v/>
      </c>
      <c r="E111" s="663" cm="1">
        <f t="array" ref="E111">IF(H110&lt;&gt;"",E110,IF(E110="","",IFERROR(MATCH(TRUE(),INDEX(INDEX(K:K,E110+1):K203&lt;&gt;"",0),0)+E110,"")))</f>
        <v>252</v>
      </c>
      <c r="F111" s="663" cm="1">
        <f t="array" ref="F111">IF(E111="","",IF(H110&lt;&gt;"",H110,INDEX(D:D,E111)))</f>
        <v>0</v>
      </c>
      <c r="G111" s="663" t="str">
        <f t="shared" si="14"/>
        <v>0</v>
      </c>
      <c r="H111" s="673" t="str">
        <f t="shared" si="15"/>
        <v/>
      </c>
      <c r="I111" s="680" t="str">
        <f>IF(AND(F111&lt;&gt;"",N10&gt;0,M111&gt;N10),"Mot &gt; limite","")</f>
        <v/>
      </c>
      <c r="J111" s="674" t="str">
        <f>IF(K111="","",COUNTIF(K18:K111,"&lt;&gt;"))</f>
        <v/>
      </c>
      <c r="K111" s="675"/>
      <c r="L111" s="674" t="str">
        <f t="shared" si="16"/>
        <v/>
      </c>
      <c r="M111" s="643">
        <f>IF(OR(F111="",N10="",N10&lt;=0),"",IF(LEN(F111)&lt;=N10,LEN(F111),IFERROR(FIND("♦",SUBSTITUTE(LEFT(F111,N10)," ","♦",LEN(LEFT(F111,N10))-LEN(SUBSTITUTE(LEFT(F111,N10)," ","")))),FIND(" ",F111&amp;" ",N10+1)-1)))</f>
        <v>1</v>
      </c>
      <c r="N111" s="676">
        <f t="shared" si="17"/>
        <v>94</v>
      </c>
      <c r="O111" s="677" t="str">
        <f t="shared" si="18"/>
        <v>0</v>
      </c>
      <c r="P111" s="676">
        <f t="shared" si="19"/>
        <v>1</v>
      </c>
      <c r="Q111" s="676">
        <f t="shared" si="20"/>
        <v>1</v>
      </c>
      <c r="S111" s="498"/>
      <c r="T111" s="535" t="s">
        <v>5807</v>
      </c>
      <c r="U111" s="536" t="s">
        <v>5808</v>
      </c>
      <c r="V111" s="522"/>
      <c r="W111" s="498"/>
      <c r="X111" s="498"/>
      <c r="Y111" s="498"/>
      <c r="Z111" s="498"/>
      <c r="AA111" s="498"/>
      <c r="AB111" s="498"/>
      <c r="AC111" s="498"/>
      <c r="AD111" s="498"/>
      <c r="AE111" s="498"/>
      <c r="AF111" s="498"/>
      <c r="AG111" s="498"/>
      <c r="AH111" s="498"/>
      <c r="AI111" s="498"/>
      <c r="AJ111" s="498"/>
      <c r="AK111" s="498"/>
      <c r="DE111" s="494"/>
      <c r="DF111" s="496" t="s">
        <v>1354</v>
      </c>
      <c r="DG111" s="496" t="s">
        <v>1083</v>
      </c>
      <c r="DH111" s="496" t="s">
        <v>689</v>
      </c>
      <c r="DI111" s="496" t="s">
        <v>1355</v>
      </c>
      <c r="DJ111" s="496" t="s">
        <v>1356</v>
      </c>
      <c r="DK111" s="496" t="s">
        <v>1085</v>
      </c>
      <c r="DL111" s="496" t="s">
        <v>1086</v>
      </c>
      <c r="DM111" s="496" t="s">
        <v>1087</v>
      </c>
      <c r="DN111" s="497" t="s">
        <v>1088</v>
      </c>
      <c r="DP111" s="543">
        <v>1</v>
      </c>
    </row>
    <row r="112" spans="2:120" ht="30" customHeight="1">
      <c r="B112" s="663" t="str">
        <f t="shared" si="12"/>
        <v/>
      </c>
      <c r="C112" s="663" t="str">
        <f t="shared" si="13"/>
        <v/>
      </c>
      <c r="D112" s="663" t="str">
        <f>IF(UPPER(TRIM(N11))="X",C112,B112)</f>
        <v/>
      </c>
      <c r="E112" s="663" cm="1">
        <f t="array" ref="E112">IF(H111&lt;&gt;"",E111,IF(E111="","",IFERROR(MATCH(TRUE(),INDEX(INDEX(K:K,E111+1):K203&lt;&gt;"",0),0)+E111,"")))</f>
        <v>253</v>
      </c>
      <c r="F112" s="663" cm="1">
        <f t="array" ref="F112">IF(E112="","",IF(H111&lt;&gt;"",H111,INDEX(D:D,E112)))</f>
        <v>0</v>
      </c>
      <c r="G112" s="663" t="str">
        <f t="shared" si="14"/>
        <v>0</v>
      </c>
      <c r="H112" s="673" t="str">
        <f t="shared" si="15"/>
        <v/>
      </c>
      <c r="I112" s="680" t="str">
        <f>IF(AND(F112&lt;&gt;"",N10&gt;0,M112&gt;N10),"Mot &gt; limite","")</f>
        <v/>
      </c>
      <c r="J112" s="674" t="str">
        <f>IF(K112="","",COUNTIF(K18:K112,"&lt;&gt;"))</f>
        <v/>
      </c>
      <c r="K112" s="675"/>
      <c r="L112" s="674" t="str">
        <f t="shared" si="16"/>
        <v/>
      </c>
      <c r="M112" s="643">
        <f>IF(OR(F112="",N10="",N10&lt;=0),"",IF(LEN(F112)&lt;=N10,LEN(F112),IFERROR(FIND("♦",SUBSTITUTE(LEFT(F112,N10)," ","♦",LEN(LEFT(F112,N10))-LEN(SUBSTITUTE(LEFT(F112,N10)," ","")))),FIND(" ",F112&amp;" ",N10+1)-1)))</f>
        <v>1</v>
      </c>
      <c r="N112" s="676">
        <f t="shared" si="17"/>
        <v>95</v>
      </c>
      <c r="O112" s="677" t="str">
        <f t="shared" si="18"/>
        <v>0</v>
      </c>
      <c r="P112" s="676">
        <f t="shared" si="19"/>
        <v>1</v>
      </c>
      <c r="Q112" s="676">
        <f t="shared" si="20"/>
        <v>1</v>
      </c>
      <c r="S112" s="498"/>
      <c r="T112" s="535" t="s">
        <v>5809</v>
      </c>
      <c r="U112" s="536" t="s">
        <v>5810</v>
      </c>
      <c r="V112" s="522"/>
      <c r="W112" s="498"/>
      <c r="X112" s="498"/>
      <c r="Y112" s="498"/>
      <c r="Z112" s="498"/>
      <c r="AA112" s="498"/>
      <c r="AB112" s="498"/>
      <c r="AC112" s="498"/>
      <c r="AD112" s="498"/>
      <c r="AE112" s="498"/>
      <c r="AF112" s="498"/>
      <c r="AG112" s="498"/>
      <c r="AH112" s="498"/>
      <c r="AI112" s="498"/>
      <c r="AJ112" s="498"/>
      <c r="AK112" s="498"/>
      <c r="DE112" s="494"/>
      <c r="DF112" s="496" t="s">
        <v>1357</v>
      </c>
      <c r="DG112" s="496" t="s">
        <v>1083</v>
      </c>
      <c r="DH112" s="496" t="s">
        <v>689</v>
      </c>
      <c r="DI112" s="496" t="s">
        <v>1358</v>
      </c>
      <c r="DJ112" s="496" t="s">
        <v>1359</v>
      </c>
      <c r="DK112" s="496" t="s">
        <v>1085</v>
      </c>
      <c r="DL112" s="496" t="s">
        <v>1086</v>
      </c>
      <c r="DM112" s="496" t="s">
        <v>1087</v>
      </c>
      <c r="DN112" s="497" t="s">
        <v>1088</v>
      </c>
      <c r="DP112" s="543">
        <v>1</v>
      </c>
    </row>
    <row r="113" spans="2:120" ht="30" customHeight="1">
      <c r="B113" s="663" t="str">
        <f t="shared" si="12"/>
        <v/>
      </c>
      <c r="C113" s="663" t="str">
        <f t="shared" si="13"/>
        <v/>
      </c>
      <c r="D113" s="663" t="str">
        <f>IF(UPPER(TRIM(N11))="X",C113,B113)</f>
        <v/>
      </c>
      <c r="E113" s="663" cm="1">
        <f t="array" ref="E113">IF(H112&lt;&gt;"",E112,IF(E112="","",IFERROR(MATCH(TRUE(),INDEX(INDEX(K:K,E112+1):K203&lt;&gt;"",0),0)+E112,"")))</f>
        <v>254</v>
      </c>
      <c r="F113" s="663" cm="1">
        <f t="array" ref="F113">IF(E113="","",IF(H112&lt;&gt;"",H112,INDEX(D:D,E113)))</f>
        <v>0</v>
      </c>
      <c r="G113" s="663" t="str">
        <f t="shared" si="14"/>
        <v>0</v>
      </c>
      <c r="H113" s="673" t="str">
        <f t="shared" si="15"/>
        <v/>
      </c>
      <c r="I113" s="680" t="str">
        <f>IF(AND(F113&lt;&gt;"",N10&gt;0,M113&gt;N10),"Mot &gt; limite","")</f>
        <v/>
      </c>
      <c r="J113" s="674" t="str">
        <f>IF(K113="","",COUNTIF(K18:K113,"&lt;&gt;"))</f>
        <v/>
      </c>
      <c r="K113" s="675"/>
      <c r="L113" s="674" t="str">
        <f t="shared" si="16"/>
        <v/>
      </c>
      <c r="M113" s="643">
        <f>IF(OR(F113="",N10="",N10&lt;=0),"",IF(LEN(F113)&lt;=N10,LEN(F113),IFERROR(FIND("♦",SUBSTITUTE(LEFT(F113,N10)," ","♦",LEN(LEFT(F113,N10))-LEN(SUBSTITUTE(LEFT(F113,N10)," ","")))),FIND(" ",F113&amp;" ",N10+1)-1)))</f>
        <v>1</v>
      </c>
      <c r="N113" s="676">
        <f t="shared" si="17"/>
        <v>96</v>
      </c>
      <c r="O113" s="677" t="str">
        <f t="shared" si="18"/>
        <v>0</v>
      </c>
      <c r="P113" s="676">
        <f t="shared" si="19"/>
        <v>1</v>
      </c>
      <c r="Q113" s="676">
        <f t="shared" si="20"/>
        <v>1</v>
      </c>
      <c r="S113" s="498"/>
      <c r="T113" s="537"/>
      <c r="U113" s="538"/>
      <c r="V113" s="522"/>
      <c r="W113" s="498"/>
      <c r="X113" s="498"/>
      <c r="Y113" s="498"/>
      <c r="Z113" s="498"/>
      <c r="AA113" s="498"/>
      <c r="AB113" s="498"/>
      <c r="AC113" s="498"/>
      <c r="AD113" s="498"/>
      <c r="AE113" s="498"/>
      <c r="AF113" s="498"/>
      <c r="AG113" s="498"/>
      <c r="AH113" s="498"/>
      <c r="AI113" s="498"/>
      <c r="AJ113" s="498"/>
      <c r="AK113" s="498"/>
      <c r="DE113" s="494"/>
      <c r="DF113" s="496" t="s">
        <v>1360</v>
      </c>
      <c r="DG113" s="496" t="s">
        <v>1083</v>
      </c>
      <c r="DH113" s="496" t="s">
        <v>689</v>
      </c>
      <c r="DI113" s="496" t="s">
        <v>1361</v>
      </c>
      <c r="DJ113" s="496" t="s">
        <v>1362</v>
      </c>
      <c r="DK113" s="496" t="s">
        <v>1085</v>
      </c>
      <c r="DL113" s="496" t="s">
        <v>1086</v>
      </c>
      <c r="DM113" s="496" t="s">
        <v>1087</v>
      </c>
      <c r="DN113" s="497" t="s">
        <v>1088</v>
      </c>
      <c r="DP113" s="543">
        <v>1</v>
      </c>
    </row>
    <row r="114" spans="2:120" ht="30" customHeight="1">
      <c r="B114" s="663" t="str">
        <f t="shared" si="12"/>
        <v/>
      </c>
      <c r="C114" s="663" t="str">
        <f t="shared" si="13"/>
        <v/>
      </c>
      <c r="D114" s="663" t="str">
        <f>IF(UPPER(TRIM(N11))="X",C114,B114)</f>
        <v/>
      </c>
      <c r="E114" s="663" cm="1">
        <f t="array" ref="E114">IF(H113&lt;&gt;"",E113,IF(E113="","",IFERROR(MATCH(TRUE(),INDEX(INDEX(K:K,E113+1):K203&lt;&gt;"",0),0)+E113,"")))</f>
        <v>255</v>
      </c>
      <c r="F114" s="663" cm="1">
        <f t="array" ref="F114">IF(E114="","",IF(H113&lt;&gt;"",H113,INDEX(D:D,E114)))</f>
        <v>0</v>
      </c>
      <c r="G114" s="663" t="str">
        <f t="shared" si="14"/>
        <v>0</v>
      </c>
      <c r="H114" s="673" t="str">
        <f t="shared" si="15"/>
        <v/>
      </c>
      <c r="I114" s="680" t="str">
        <f>IF(AND(F114&lt;&gt;"",N10&gt;0,M114&gt;N10),"Mot &gt; limite","")</f>
        <v/>
      </c>
      <c r="J114" s="674" t="str">
        <f>IF(K114="","",COUNTIF(K18:K114,"&lt;&gt;"))</f>
        <v/>
      </c>
      <c r="K114" s="675"/>
      <c r="L114" s="674" t="str">
        <f t="shared" si="16"/>
        <v/>
      </c>
      <c r="M114" s="643">
        <f>IF(OR(F114="",N10="",N10&lt;=0),"",IF(LEN(F114)&lt;=N10,LEN(F114),IFERROR(FIND("♦",SUBSTITUTE(LEFT(F114,N10)," ","♦",LEN(LEFT(F114,N10))-LEN(SUBSTITUTE(LEFT(F114,N10)," ","")))),FIND(" ",F114&amp;" ",N10+1)-1)))</f>
        <v>1</v>
      </c>
      <c r="N114" s="676">
        <f t="shared" si="17"/>
        <v>97</v>
      </c>
      <c r="O114" s="677" t="str">
        <f t="shared" si="18"/>
        <v>0</v>
      </c>
      <c r="P114" s="676">
        <f t="shared" si="19"/>
        <v>1</v>
      </c>
      <c r="Q114" s="676">
        <f t="shared" si="20"/>
        <v>1</v>
      </c>
      <c r="S114" s="498"/>
      <c r="T114" s="552" t="s">
        <v>5811</v>
      </c>
      <c r="U114" s="534"/>
      <c r="V114" s="522"/>
      <c r="W114" s="498"/>
      <c r="X114" s="498"/>
      <c r="Y114" s="498"/>
      <c r="Z114" s="498"/>
      <c r="AA114" s="498"/>
      <c r="AB114" s="498"/>
      <c r="AC114" s="498"/>
      <c r="AD114" s="498"/>
      <c r="AE114" s="498"/>
      <c r="AF114" s="498"/>
      <c r="AG114" s="498"/>
      <c r="AH114" s="498"/>
      <c r="AI114" s="498"/>
      <c r="AJ114" s="498"/>
      <c r="AK114" s="498"/>
      <c r="DE114" s="494"/>
      <c r="DF114" s="496" t="s">
        <v>1363</v>
      </c>
      <c r="DG114" s="496" t="s">
        <v>1083</v>
      </c>
      <c r="DH114" s="496" t="s">
        <v>689</v>
      </c>
      <c r="DI114" s="496" t="s">
        <v>1364</v>
      </c>
      <c r="DJ114" s="496" t="s">
        <v>1365</v>
      </c>
      <c r="DK114" s="496" t="s">
        <v>1085</v>
      </c>
      <c r="DL114" s="496" t="s">
        <v>1086</v>
      </c>
      <c r="DM114" s="496" t="s">
        <v>1087</v>
      </c>
      <c r="DN114" s="497" t="s">
        <v>1088</v>
      </c>
      <c r="DP114" s="543">
        <v>1</v>
      </c>
    </row>
    <row r="115" spans="2:120" ht="30" customHeight="1">
      <c r="B115" s="663" t="str">
        <f t="shared" si="12"/>
        <v/>
      </c>
      <c r="C115" s="663" t="str">
        <f t="shared" si="13"/>
        <v/>
      </c>
      <c r="D115" s="663" t="str">
        <f>IF(UPPER(TRIM(N11))="X",C115,B115)</f>
        <v/>
      </c>
      <c r="E115" s="663" cm="1">
        <f t="array" ref="E115">IF(H114&lt;&gt;"",E114,IF(E114="","",IFERROR(MATCH(TRUE(),INDEX(INDEX(K:K,E114+1):K203&lt;&gt;"",0),0)+E114,"")))</f>
        <v>256</v>
      </c>
      <c r="F115" s="663" cm="1">
        <f t="array" ref="F115">IF(E115="","",IF(H114&lt;&gt;"",H114,INDEX(D:D,E115)))</f>
        <v>0</v>
      </c>
      <c r="G115" s="663" t="str">
        <f t="shared" si="14"/>
        <v>0</v>
      </c>
      <c r="H115" s="673" t="str">
        <f t="shared" si="15"/>
        <v/>
      </c>
      <c r="I115" s="680" t="str">
        <f>IF(AND(F115&lt;&gt;"",N10&gt;0,M115&gt;N10),"Mot &gt; limite","")</f>
        <v/>
      </c>
      <c r="J115" s="674" t="str">
        <f>IF(K115="","",COUNTIF(K18:K115,"&lt;&gt;"))</f>
        <v/>
      </c>
      <c r="K115" s="675"/>
      <c r="L115" s="674" t="str">
        <f t="shared" si="16"/>
        <v/>
      </c>
      <c r="M115" s="643">
        <f>IF(OR(F115="",N10="",N10&lt;=0),"",IF(LEN(F115)&lt;=N10,LEN(F115),IFERROR(FIND("♦",SUBSTITUTE(LEFT(F115,N10)," ","♦",LEN(LEFT(F115,N10))-LEN(SUBSTITUTE(LEFT(F115,N10)," ","")))),FIND(" ",F115&amp;" ",N10+1)-1)))</f>
        <v>1</v>
      </c>
      <c r="N115" s="676">
        <f t="shared" si="17"/>
        <v>98</v>
      </c>
      <c r="O115" s="677" t="str">
        <f t="shared" si="18"/>
        <v>0</v>
      </c>
      <c r="P115" s="676">
        <f t="shared" si="19"/>
        <v>1</v>
      </c>
      <c r="Q115" s="676">
        <f t="shared" si="20"/>
        <v>1</v>
      </c>
      <c r="S115" s="498"/>
      <c r="T115" s="535" t="s">
        <v>5812</v>
      </c>
      <c r="U115" s="536" t="s">
        <v>5813</v>
      </c>
      <c r="V115" s="522"/>
      <c r="W115" s="498"/>
      <c r="X115" s="498"/>
      <c r="Y115" s="498"/>
      <c r="Z115" s="498"/>
      <c r="AA115" s="498"/>
      <c r="AB115" s="498"/>
      <c r="AC115" s="498"/>
      <c r="AD115" s="498"/>
      <c r="AE115" s="498"/>
      <c r="AF115" s="498"/>
      <c r="AG115" s="498"/>
      <c r="AH115" s="498"/>
      <c r="AI115" s="498"/>
      <c r="AJ115" s="498"/>
      <c r="AK115" s="498"/>
      <c r="DE115" s="494"/>
      <c r="DF115" s="496" t="s">
        <v>1366</v>
      </c>
      <c r="DG115" s="496" t="s">
        <v>1083</v>
      </c>
      <c r="DH115" s="496" t="s">
        <v>689</v>
      </c>
      <c r="DI115" s="496" t="s">
        <v>1367</v>
      </c>
      <c r="DJ115" s="496" t="s">
        <v>1368</v>
      </c>
      <c r="DK115" s="496" t="s">
        <v>1085</v>
      </c>
      <c r="DL115" s="496" t="s">
        <v>1086</v>
      </c>
      <c r="DM115" s="496" t="s">
        <v>1087</v>
      </c>
      <c r="DN115" s="497" t="s">
        <v>1088</v>
      </c>
      <c r="DP115" s="543">
        <v>1</v>
      </c>
    </row>
    <row r="116" spans="2:120" ht="30" customHeight="1">
      <c r="B116" s="663" t="str">
        <f t="shared" si="12"/>
        <v/>
      </c>
      <c r="C116" s="663" t="str">
        <f t="shared" si="13"/>
        <v/>
      </c>
      <c r="D116" s="663" t="str">
        <f>IF(UPPER(TRIM(N11))="X",C116,B116)</f>
        <v/>
      </c>
      <c r="E116" s="663" cm="1">
        <f t="array" ref="E116">IF(H115&lt;&gt;"",E115,IF(E115="","",IFERROR(MATCH(TRUE(),INDEX(INDEX(K:K,E115+1):K203&lt;&gt;"",0),0)+E115,"")))</f>
        <v>257</v>
      </c>
      <c r="F116" s="663" cm="1">
        <f t="array" ref="F116">IF(E116="","",IF(H115&lt;&gt;"",H115,INDEX(D:D,E116)))</f>
        <v>0</v>
      </c>
      <c r="G116" s="663" t="str">
        <f t="shared" si="14"/>
        <v>0</v>
      </c>
      <c r="H116" s="673" t="str">
        <f t="shared" si="15"/>
        <v/>
      </c>
      <c r="I116" s="680" t="str">
        <f>IF(AND(F116&lt;&gt;"",N10&gt;0,M116&gt;N10),"Mot &gt; limite","")</f>
        <v/>
      </c>
      <c r="J116" s="674" t="str">
        <f>IF(K116="","",COUNTIF(K18:K116,"&lt;&gt;"))</f>
        <v/>
      </c>
      <c r="K116" s="675"/>
      <c r="L116" s="674" t="str">
        <f t="shared" si="16"/>
        <v/>
      </c>
      <c r="M116" s="643">
        <f>IF(OR(F116="",N10="",N10&lt;=0),"",IF(LEN(F116)&lt;=N10,LEN(F116),IFERROR(FIND("♦",SUBSTITUTE(LEFT(F116,N10)," ","♦",LEN(LEFT(F116,N10))-LEN(SUBSTITUTE(LEFT(F116,N10)," ","")))),FIND(" ",F116&amp;" ",N10+1)-1)))</f>
        <v>1</v>
      </c>
      <c r="N116" s="676">
        <f t="shared" si="17"/>
        <v>99</v>
      </c>
      <c r="O116" s="677" t="str">
        <f t="shared" si="18"/>
        <v>0</v>
      </c>
      <c r="P116" s="676">
        <f t="shared" si="19"/>
        <v>1</v>
      </c>
      <c r="Q116" s="676">
        <f t="shared" si="20"/>
        <v>1</v>
      </c>
      <c r="S116" s="498"/>
      <c r="T116" s="535" t="s">
        <v>5814</v>
      </c>
      <c r="U116" s="536" t="s">
        <v>5815</v>
      </c>
      <c r="V116" s="522"/>
      <c r="W116" s="498"/>
      <c r="X116" s="498"/>
      <c r="Y116" s="498"/>
      <c r="Z116" s="498"/>
      <c r="AA116" s="498"/>
      <c r="AB116" s="498"/>
      <c r="AC116" s="498"/>
      <c r="AD116" s="498"/>
      <c r="AE116" s="498"/>
      <c r="AF116" s="498"/>
      <c r="AG116" s="498"/>
      <c r="AH116" s="498"/>
      <c r="AI116" s="498"/>
      <c r="AJ116" s="498"/>
      <c r="AK116" s="498"/>
      <c r="DE116" s="494"/>
      <c r="DF116" s="496" t="s">
        <v>1369</v>
      </c>
      <c r="DG116" s="496" t="s">
        <v>1083</v>
      </c>
      <c r="DH116" s="496" t="s">
        <v>689</v>
      </c>
      <c r="DI116" s="496" t="s">
        <v>1370</v>
      </c>
      <c r="DJ116" s="496" t="s">
        <v>1371</v>
      </c>
      <c r="DK116" s="496" t="s">
        <v>1085</v>
      </c>
      <c r="DL116" s="496" t="s">
        <v>1086</v>
      </c>
      <c r="DM116" s="496" t="s">
        <v>1087</v>
      </c>
      <c r="DN116" s="497" t="s">
        <v>1088</v>
      </c>
      <c r="DP116" s="543">
        <v>1</v>
      </c>
    </row>
    <row r="117" spans="2:120" ht="30" customHeight="1">
      <c r="B117" s="663" t="str">
        <f t="shared" si="12"/>
        <v/>
      </c>
      <c r="C117" s="663" t="str">
        <f t="shared" si="13"/>
        <v/>
      </c>
      <c r="D117" s="663" t="str">
        <f>IF(UPPER(TRIM(N11))="X",C117,B117)</f>
        <v/>
      </c>
      <c r="E117" s="663" cm="1">
        <f t="array" ref="E117">IF(H116&lt;&gt;"",E116,IF(E116="","",IFERROR(MATCH(TRUE(),INDEX(INDEX(K:K,E116+1):K203&lt;&gt;"",0),0)+E116,"")))</f>
        <v>258</v>
      </c>
      <c r="F117" s="663" cm="1">
        <f t="array" ref="F117">IF(E117="","",IF(H116&lt;&gt;"",H116,INDEX(D:D,E117)))</f>
        <v>0</v>
      </c>
      <c r="G117" s="663" t="str">
        <f t="shared" si="14"/>
        <v>0</v>
      </c>
      <c r="H117" s="673" t="str">
        <f t="shared" si="15"/>
        <v/>
      </c>
      <c r="I117" s="680" t="str">
        <f>IF(AND(F117&lt;&gt;"",N10&gt;0,M117&gt;N10),"Mot &gt; limite","")</f>
        <v/>
      </c>
      <c r="J117" s="674" t="str">
        <f>IF(K117="","",COUNTIF(K18:K117,"&lt;&gt;"))</f>
        <v/>
      </c>
      <c r="K117" s="675"/>
      <c r="L117" s="674" t="str">
        <f t="shared" si="16"/>
        <v/>
      </c>
      <c r="M117" s="643">
        <f>IF(OR(F117="",N10="",N10&lt;=0),"",IF(LEN(F117)&lt;=N10,LEN(F117),IFERROR(FIND("♦",SUBSTITUTE(LEFT(F117,N10)," ","♦",LEN(LEFT(F117,N10))-LEN(SUBSTITUTE(LEFT(F117,N10)," ","")))),FIND(" ",F117&amp;" ",N10+1)-1)))</f>
        <v>1</v>
      </c>
      <c r="N117" s="676">
        <f t="shared" si="17"/>
        <v>100</v>
      </c>
      <c r="O117" s="677" t="str">
        <f t="shared" si="18"/>
        <v>0</v>
      </c>
      <c r="P117" s="676">
        <f t="shared" si="19"/>
        <v>1</v>
      </c>
      <c r="Q117" s="676">
        <f t="shared" si="20"/>
        <v>1</v>
      </c>
      <c r="S117" s="553"/>
      <c r="T117" s="535" t="s">
        <v>11</v>
      </c>
      <c r="U117" s="539" t="s">
        <v>5816</v>
      </c>
      <c r="V117" s="553"/>
      <c r="W117" s="553"/>
      <c r="X117" s="553"/>
      <c r="Y117" s="553"/>
      <c r="Z117" s="553"/>
      <c r="AA117" s="553"/>
      <c r="AB117" s="553"/>
      <c r="AC117" s="553"/>
      <c r="AD117" s="553"/>
      <c r="AE117" s="553"/>
      <c r="AF117" s="553"/>
      <c r="AG117" s="553"/>
      <c r="AH117" s="553"/>
      <c r="AI117" s="553"/>
      <c r="AJ117" s="553"/>
      <c r="AK117" s="553"/>
      <c r="DE117" s="494"/>
      <c r="DF117" s="496" t="s">
        <v>1372</v>
      </c>
      <c r="DG117" s="496" t="s">
        <v>1083</v>
      </c>
      <c r="DH117" s="496" t="s">
        <v>689</v>
      </c>
      <c r="DI117" s="496" t="s">
        <v>1373</v>
      </c>
      <c r="DJ117" s="496" t="s">
        <v>1374</v>
      </c>
      <c r="DK117" s="496" t="s">
        <v>1085</v>
      </c>
      <c r="DL117" s="496" t="s">
        <v>1086</v>
      </c>
      <c r="DM117" s="496" t="s">
        <v>1087</v>
      </c>
      <c r="DN117" s="497" t="s">
        <v>1088</v>
      </c>
      <c r="DP117" s="543">
        <v>1</v>
      </c>
    </row>
    <row r="118" spans="2:120" ht="30" customHeight="1">
      <c r="B118" s="663" t="str">
        <f t="shared" si="12"/>
        <v/>
      </c>
      <c r="C118" s="663" t="str">
        <f t="shared" si="13"/>
        <v/>
      </c>
      <c r="D118" s="663" t="str">
        <f>IF(UPPER(TRIM(N11))="X",C118,B118)</f>
        <v/>
      </c>
      <c r="E118" s="663" cm="1">
        <f t="array" ref="E118">IF(H117&lt;&gt;"",E117,IF(E117="","",IFERROR(MATCH(TRUE(),INDEX(INDEX(K:K,E117+1):K203&lt;&gt;"",0),0)+E117,"")))</f>
        <v>259</v>
      </c>
      <c r="F118" s="663" cm="1">
        <f t="array" ref="F118">IF(E118="","",IF(H117&lt;&gt;"",H117,INDEX(D:D,E118)))</f>
        <v>0</v>
      </c>
      <c r="G118" s="663" t="str">
        <f t="shared" si="14"/>
        <v>0</v>
      </c>
      <c r="H118" s="673" t="str">
        <f t="shared" si="15"/>
        <v/>
      </c>
      <c r="I118" s="680" t="str">
        <f>IF(AND(F118&lt;&gt;"",N10&gt;0,M118&gt;N10),"Mot &gt; limite","")</f>
        <v/>
      </c>
      <c r="J118" s="674" t="str">
        <f>IF(K118="","",COUNTIF(K18:K118,"&lt;&gt;"))</f>
        <v/>
      </c>
      <c r="K118" s="675"/>
      <c r="L118" s="674" t="str">
        <f t="shared" si="16"/>
        <v/>
      </c>
      <c r="M118" s="643">
        <f>IF(OR(F118="",N10="",N10&lt;=0),"",IF(LEN(F118)&lt;=N10,LEN(F118),IFERROR(FIND("♦",SUBSTITUTE(LEFT(F118,N10)," ","♦",LEN(LEFT(F118,N10))-LEN(SUBSTITUTE(LEFT(F118,N10)," ","")))),FIND(" ",F118&amp;" ",N10+1)-1)))</f>
        <v>1</v>
      </c>
      <c r="N118" s="676">
        <f t="shared" si="17"/>
        <v>101</v>
      </c>
      <c r="O118" s="677" t="str">
        <f t="shared" si="18"/>
        <v>0</v>
      </c>
      <c r="P118" s="676">
        <f t="shared" si="19"/>
        <v>1</v>
      </c>
      <c r="Q118" s="676">
        <f t="shared" si="20"/>
        <v>1</v>
      </c>
      <c r="S118" s="553"/>
      <c r="T118" s="535" t="s">
        <v>5817</v>
      </c>
      <c r="U118" s="539" t="s">
        <v>5818</v>
      </c>
      <c r="V118" s="553"/>
      <c r="W118" s="553"/>
      <c r="X118" s="553"/>
      <c r="Y118" s="553"/>
      <c r="Z118" s="553"/>
      <c r="AA118" s="553"/>
      <c r="AB118" s="553"/>
      <c r="AC118" s="553"/>
      <c r="AD118" s="553"/>
      <c r="AE118" s="553"/>
      <c r="AF118" s="553"/>
      <c r="AG118" s="553"/>
      <c r="AH118" s="553"/>
      <c r="AI118" s="553"/>
      <c r="AJ118" s="553"/>
      <c r="AK118" s="553"/>
      <c r="DE118" s="494"/>
      <c r="DF118" s="496" t="s">
        <v>1375</v>
      </c>
      <c r="DG118" s="496" t="s">
        <v>1083</v>
      </c>
      <c r="DH118" s="496" t="s">
        <v>689</v>
      </c>
      <c r="DI118" s="496" t="s">
        <v>1376</v>
      </c>
      <c r="DJ118" s="496" t="s">
        <v>80</v>
      </c>
      <c r="DK118" s="496" t="s">
        <v>1085</v>
      </c>
      <c r="DL118" s="496" t="s">
        <v>1086</v>
      </c>
      <c r="DM118" s="496" t="s">
        <v>1087</v>
      </c>
      <c r="DN118" s="497" t="s">
        <v>1088</v>
      </c>
      <c r="DP118" s="543">
        <v>1</v>
      </c>
    </row>
    <row r="119" spans="2:120" ht="30" customHeight="1">
      <c r="B119" s="663" t="str">
        <f t="shared" si="12"/>
        <v/>
      </c>
      <c r="C119" s="663" t="str">
        <f t="shared" si="13"/>
        <v/>
      </c>
      <c r="D119" s="663" t="str">
        <f>IF(UPPER(TRIM(N11))="X",C119,B119)</f>
        <v/>
      </c>
      <c r="E119" s="663" cm="1">
        <f t="array" ref="E119">IF(H118&lt;&gt;"",E118,IF(E118="","",IFERROR(MATCH(TRUE(),INDEX(INDEX(K:K,E118+1):K203&lt;&gt;"",0),0)+E118,"")))</f>
        <v>260</v>
      </c>
      <c r="F119" s="663" cm="1">
        <f t="array" ref="F119">IF(E119="","",IF(H118&lt;&gt;"",H118,INDEX(D:D,E119)))</f>
        <v>0</v>
      </c>
      <c r="G119" s="663" t="str">
        <f t="shared" si="14"/>
        <v>0</v>
      </c>
      <c r="H119" s="673" t="str">
        <f t="shared" si="15"/>
        <v/>
      </c>
      <c r="I119" s="680" t="str">
        <f>IF(AND(F119&lt;&gt;"",N10&gt;0,M119&gt;N10),"Mot &gt; limite","")</f>
        <v/>
      </c>
      <c r="J119" s="674" t="str">
        <f>IF(K119="","",COUNTIF(K18:K119,"&lt;&gt;"))</f>
        <v/>
      </c>
      <c r="K119" s="675"/>
      <c r="L119" s="674" t="str">
        <f t="shared" si="16"/>
        <v/>
      </c>
      <c r="M119" s="643">
        <f>IF(OR(F119="",N10="",N10&lt;=0),"",IF(LEN(F119)&lt;=N10,LEN(F119),IFERROR(FIND("♦",SUBSTITUTE(LEFT(F119,N10)," ","♦",LEN(LEFT(F119,N10))-LEN(SUBSTITUTE(LEFT(F119,N10)," ","")))),FIND(" ",F119&amp;" ",N10+1)-1)))</f>
        <v>1</v>
      </c>
      <c r="N119" s="676">
        <f t="shared" si="17"/>
        <v>102</v>
      </c>
      <c r="O119" s="677" t="str">
        <f t="shared" si="18"/>
        <v>0</v>
      </c>
      <c r="P119" s="676">
        <f t="shared" si="19"/>
        <v>1</v>
      </c>
      <c r="Q119" s="676">
        <f t="shared" si="20"/>
        <v>1</v>
      </c>
      <c r="S119" s="553"/>
      <c r="T119" s="535" t="s">
        <v>5819</v>
      </c>
      <c r="U119" s="539" t="s">
        <v>5820</v>
      </c>
      <c r="V119" s="553"/>
      <c r="W119" s="553"/>
      <c r="X119" s="553"/>
      <c r="Y119" s="553"/>
      <c r="Z119" s="553"/>
      <c r="AA119" s="553"/>
      <c r="AB119" s="553"/>
      <c r="AC119" s="553"/>
      <c r="AD119" s="553"/>
      <c r="AE119" s="553"/>
      <c r="AF119" s="553"/>
      <c r="AG119" s="553"/>
      <c r="AH119" s="553"/>
      <c r="AI119" s="553"/>
      <c r="AJ119" s="553"/>
      <c r="AK119" s="553"/>
      <c r="DE119" s="494"/>
      <c r="DF119" s="496" t="s">
        <v>1377</v>
      </c>
      <c r="DG119" s="496" t="s">
        <v>1083</v>
      </c>
      <c r="DH119" s="496" t="s">
        <v>689</v>
      </c>
      <c r="DI119" s="496" t="s">
        <v>1378</v>
      </c>
      <c r="DJ119" s="496" t="s">
        <v>1378</v>
      </c>
      <c r="DK119" s="496" t="s">
        <v>1085</v>
      </c>
      <c r="DL119" s="496" t="s">
        <v>1086</v>
      </c>
      <c r="DM119" s="496" t="s">
        <v>1087</v>
      </c>
      <c r="DN119" s="497" t="s">
        <v>1088</v>
      </c>
      <c r="DP119" s="543">
        <v>1</v>
      </c>
    </row>
    <row r="120" spans="2:120" ht="30" customHeight="1">
      <c r="B120" s="663" t="str">
        <f t="shared" si="12"/>
        <v/>
      </c>
      <c r="C120" s="663" t="str">
        <f t="shared" si="13"/>
        <v/>
      </c>
      <c r="D120" s="663" t="str">
        <f>IF(UPPER(TRIM(N11))="X",C120,B120)</f>
        <v/>
      </c>
      <c r="E120" s="663" cm="1">
        <f t="array" ref="E120">IF(H119&lt;&gt;"",E119,IF(E119="","",IFERROR(MATCH(TRUE(),INDEX(INDEX(K:K,E119+1):K203&lt;&gt;"",0),0)+E119,"")))</f>
        <v>261</v>
      </c>
      <c r="F120" s="663" cm="1">
        <f t="array" ref="F120">IF(E120="","",IF(H119&lt;&gt;"",H119,INDEX(D:D,E120)))</f>
        <v>0</v>
      </c>
      <c r="G120" s="663" t="str">
        <f t="shared" si="14"/>
        <v>0</v>
      </c>
      <c r="H120" s="673" t="str">
        <f t="shared" si="15"/>
        <v/>
      </c>
      <c r="I120" s="680" t="str">
        <f>IF(AND(F120&lt;&gt;"",N10&gt;0,M120&gt;N10),"Mot &gt; limite","")</f>
        <v/>
      </c>
      <c r="J120" s="674" t="str">
        <f>IF(K120="","",COUNTIF(K18:K120,"&lt;&gt;"))</f>
        <v/>
      </c>
      <c r="K120" s="675"/>
      <c r="L120" s="674" t="str">
        <f t="shared" si="16"/>
        <v/>
      </c>
      <c r="M120" s="643">
        <f>IF(OR(F120="",N10="",N10&lt;=0),"",IF(LEN(F120)&lt;=N10,LEN(F120),IFERROR(FIND("♦",SUBSTITUTE(LEFT(F120,N10)," ","♦",LEN(LEFT(F120,N10))-LEN(SUBSTITUTE(LEFT(F120,N10)," ","")))),FIND(" ",F120&amp;" ",N10+1)-1)))</f>
        <v>1</v>
      </c>
      <c r="N120" s="676">
        <f t="shared" si="17"/>
        <v>103</v>
      </c>
      <c r="O120" s="677" t="str">
        <f t="shared" si="18"/>
        <v>0</v>
      </c>
      <c r="P120" s="676">
        <f t="shared" si="19"/>
        <v>1</v>
      </c>
      <c r="Q120" s="676">
        <f t="shared" si="20"/>
        <v>1</v>
      </c>
      <c r="S120" s="553"/>
      <c r="T120" s="535" t="s">
        <v>13</v>
      </c>
      <c r="U120" s="539" t="s">
        <v>5821</v>
      </c>
      <c r="V120" s="553"/>
      <c r="W120" s="553"/>
      <c r="X120" s="553"/>
      <c r="Y120" s="553"/>
      <c r="Z120" s="553"/>
      <c r="AA120" s="553"/>
      <c r="AB120" s="553"/>
      <c r="AC120" s="553"/>
      <c r="AD120" s="553"/>
      <c r="AE120" s="553"/>
      <c r="AF120" s="553"/>
      <c r="AG120" s="553"/>
      <c r="AH120" s="553"/>
      <c r="AI120" s="553"/>
      <c r="AJ120" s="553"/>
      <c r="AK120" s="553"/>
      <c r="DE120" s="494"/>
      <c r="DF120" s="496" t="s">
        <v>1379</v>
      </c>
      <c r="DG120" s="496" t="s">
        <v>1083</v>
      </c>
      <c r="DH120" s="496" t="s">
        <v>689</v>
      </c>
      <c r="DI120" s="496" t="s">
        <v>915</v>
      </c>
      <c r="DJ120" s="496" t="s">
        <v>915</v>
      </c>
      <c r="DK120" s="496" t="s">
        <v>1085</v>
      </c>
      <c r="DL120" s="496" t="s">
        <v>1086</v>
      </c>
      <c r="DM120" s="496" t="s">
        <v>1087</v>
      </c>
      <c r="DN120" s="497" t="s">
        <v>1088</v>
      </c>
      <c r="DP120" s="543">
        <v>1</v>
      </c>
    </row>
    <row r="121" spans="2:120" ht="30" customHeight="1">
      <c r="B121" s="663" t="str">
        <f t="shared" si="12"/>
        <v/>
      </c>
      <c r="C121" s="663" t="str">
        <f t="shared" si="13"/>
        <v/>
      </c>
      <c r="D121" s="663" t="str">
        <f>IF(UPPER(TRIM(N11))="X",C121,B121)</f>
        <v/>
      </c>
      <c r="E121" s="663" cm="1">
        <f t="array" ref="E121">IF(H120&lt;&gt;"",E120,IF(E120="","",IFERROR(MATCH(TRUE(),INDEX(INDEX(K:K,E120+1):K203&lt;&gt;"",0),0)+E120,"")))</f>
        <v>262</v>
      </c>
      <c r="F121" s="663" cm="1">
        <f t="array" ref="F121">IF(E121="","",IF(H120&lt;&gt;"",H120,INDEX(D:D,E121)))</f>
        <v>0</v>
      </c>
      <c r="G121" s="663" t="str">
        <f t="shared" si="14"/>
        <v>0</v>
      </c>
      <c r="H121" s="673" t="str">
        <f t="shared" si="15"/>
        <v/>
      </c>
      <c r="I121" s="680" t="str">
        <f>IF(AND(F121&lt;&gt;"",N10&gt;0,M121&gt;N10),"Mot &gt; limite","")</f>
        <v/>
      </c>
      <c r="J121" s="674" t="str">
        <f>IF(K121="","",COUNTIF(K18:K121,"&lt;&gt;"))</f>
        <v/>
      </c>
      <c r="K121" s="675"/>
      <c r="L121" s="674" t="str">
        <f t="shared" si="16"/>
        <v/>
      </c>
      <c r="M121" s="643">
        <f>IF(OR(F121="",N10="",N10&lt;=0),"",IF(LEN(F121)&lt;=N10,LEN(F121),IFERROR(FIND("♦",SUBSTITUTE(LEFT(F121,N10)," ","♦",LEN(LEFT(F121,N10))-LEN(SUBSTITUTE(LEFT(F121,N10)," ","")))),FIND(" ",F121&amp;" ",N10+1)-1)))</f>
        <v>1</v>
      </c>
      <c r="N121" s="676">
        <f t="shared" si="17"/>
        <v>104</v>
      </c>
      <c r="O121" s="677" t="str">
        <f t="shared" si="18"/>
        <v>0</v>
      </c>
      <c r="P121" s="676">
        <f t="shared" si="19"/>
        <v>1</v>
      </c>
      <c r="Q121" s="676">
        <f t="shared" si="20"/>
        <v>1</v>
      </c>
      <c r="S121" s="553"/>
      <c r="T121" s="535" t="s">
        <v>5822</v>
      </c>
      <c r="U121" s="539" t="s">
        <v>5906</v>
      </c>
      <c r="V121" s="553"/>
      <c r="W121" s="553"/>
      <c r="X121" s="553"/>
      <c r="Y121" s="553"/>
      <c r="Z121" s="553"/>
      <c r="AA121" s="553"/>
      <c r="AB121" s="553"/>
      <c r="AC121" s="553"/>
      <c r="AD121" s="553"/>
      <c r="AE121" s="553"/>
      <c r="AF121" s="553"/>
      <c r="AG121" s="553"/>
      <c r="AH121" s="553"/>
      <c r="AI121" s="553"/>
      <c r="AJ121" s="553"/>
      <c r="AK121" s="553"/>
      <c r="DE121" s="494"/>
      <c r="DF121" s="496" t="s">
        <v>1380</v>
      </c>
      <c r="DG121" s="496" t="s">
        <v>1083</v>
      </c>
      <c r="DH121" s="496" t="s">
        <v>689</v>
      </c>
      <c r="DI121" s="496" t="s">
        <v>1381</v>
      </c>
      <c r="DJ121" s="496" t="s">
        <v>1381</v>
      </c>
      <c r="DK121" s="496" t="s">
        <v>1085</v>
      </c>
      <c r="DL121" s="496" t="s">
        <v>1086</v>
      </c>
      <c r="DM121" s="496" t="s">
        <v>1087</v>
      </c>
      <c r="DN121" s="497" t="s">
        <v>1088</v>
      </c>
      <c r="DP121" s="543">
        <v>1</v>
      </c>
    </row>
    <row r="122" spans="2:120" ht="30" customHeight="1">
      <c r="B122" s="663" t="str">
        <f t="shared" si="12"/>
        <v/>
      </c>
      <c r="C122" s="663" t="str">
        <f t="shared" si="13"/>
        <v/>
      </c>
      <c r="D122" s="663" t="str">
        <f>IF(UPPER(TRIM(N11))="X",C122,B122)</f>
        <v/>
      </c>
      <c r="E122" s="663" cm="1">
        <f t="array" ref="E122">IF(H121&lt;&gt;"",E121,IF(E121="","",IFERROR(MATCH(TRUE(),INDEX(INDEX(K:K,E121+1):K203&lt;&gt;"",0),0)+E121,"")))</f>
        <v>263</v>
      </c>
      <c r="F122" s="663" cm="1">
        <f t="array" ref="F122">IF(E122="","",IF(H121&lt;&gt;"",H121,INDEX(D:D,E122)))</f>
        <v>0</v>
      </c>
      <c r="G122" s="663" t="str">
        <f t="shared" si="14"/>
        <v>0</v>
      </c>
      <c r="H122" s="673" t="str">
        <f t="shared" si="15"/>
        <v/>
      </c>
      <c r="I122" s="680" t="str">
        <f>IF(AND(F122&lt;&gt;"",N10&gt;0,M122&gt;N10),"Mot &gt; limite","")</f>
        <v/>
      </c>
      <c r="J122" s="674" t="str">
        <f>IF(K122="","",COUNTIF(K18:K122,"&lt;&gt;"))</f>
        <v/>
      </c>
      <c r="K122" s="675"/>
      <c r="L122" s="674" t="str">
        <f t="shared" si="16"/>
        <v/>
      </c>
      <c r="M122" s="643">
        <f>IF(OR(F122="",N10="",N10&lt;=0),"",IF(LEN(F122)&lt;=N10,LEN(F122),IFERROR(FIND("♦",SUBSTITUTE(LEFT(F122,N10)," ","♦",LEN(LEFT(F122,N10))-LEN(SUBSTITUTE(LEFT(F122,N10)," ","")))),FIND(" ",F122&amp;" ",N10+1)-1)))</f>
        <v>1</v>
      </c>
      <c r="N122" s="676">
        <f t="shared" si="17"/>
        <v>105</v>
      </c>
      <c r="O122" s="677" t="str">
        <f t="shared" si="18"/>
        <v>0</v>
      </c>
      <c r="P122" s="676">
        <f t="shared" si="19"/>
        <v>1</v>
      </c>
      <c r="Q122" s="676">
        <f t="shared" si="20"/>
        <v>1</v>
      </c>
      <c r="S122" s="553"/>
      <c r="T122" s="535"/>
      <c r="U122" s="539" t="s">
        <v>5907</v>
      </c>
      <c r="V122" s="553"/>
      <c r="W122" s="553"/>
      <c r="X122" s="553"/>
      <c r="Y122" s="553"/>
      <c r="Z122" s="553"/>
      <c r="AA122" s="553"/>
      <c r="AB122" s="553"/>
      <c r="AC122" s="553"/>
      <c r="AD122" s="553"/>
      <c r="AE122" s="553"/>
      <c r="AF122" s="553"/>
      <c r="AG122" s="553"/>
      <c r="AH122" s="553"/>
      <c r="AI122" s="553"/>
      <c r="AJ122" s="553"/>
      <c r="AK122" s="553"/>
      <c r="DE122" s="494"/>
      <c r="DF122" s="496" t="s">
        <v>1382</v>
      </c>
      <c r="DG122" s="496" t="s">
        <v>1083</v>
      </c>
      <c r="DH122" s="496" t="s">
        <v>689</v>
      </c>
      <c r="DI122" s="496" t="s">
        <v>1383</v>
      </c>
      <c r="DJ122" s="496" t="s">
        <v>1383</v>
      </c>
      <c r="DK122" s="496" t="s">
        <v>1085</v>
      </c>
      <c r="DL122" s="496" t="s">
        <v>1086</v>
      </c>
      <c r="DM122" s="496" t="s">
        <v>1087</v>
      </c>
      <c r="DN122" s="497" t="s">
        <v>1088</v>
      </c>
      <c r="DP122" s="543">
        <v>1</v>
      </c>
    </row>
    <row r="123" spans="2:120" ht="30" customHeight="1">
      <c r="B123" s="663" t="str">
        <f t="shared" si="12"/>
        <v/>
      </c>
      <c r="C123" s="663" t="str">
        <f t="shared" si="13"/>
        <v/>
      </c>
      <c r="D123" s="663" t="str">
        <f>IF(UPPER(TRIM(N11))="X",C123,B123)</f>
        <v/>
      </c>
      <c r="E123" s="663" cm="1">
        <f t="array" ref="E123">IF(H122&lt;&gt;"",E122,IF(E122="","",IFERROR(MATCH(TRUE(),INDEX(INDEX(K:K,E122+1):K203&lt;&gt;"",0),0)+E122,"")))</f>
        <v>264</v>
      </c>
      <c r="F123" s="663" cm="1">
        <f t="array" ref="F123">IF(E123="","",IF(H122&lt;&gt;"",H122,INDEX(D:D,E123)))</f>
        <v>0</v>
      </c>
      <c r="G123" s="663" t="str">
        <f t="shared" si="14"/>
        <v>0</v>
      </c>
      <c r="H123" s="673" t="str">
        <f t="shared" si="15"/>
        <v/>
      </c>
      <c r="I123" s="680" t="str">
        <f>IF(AND(F123&lt;&gt;"",N10&gt;0,M123&gt;N10),"Mot &gt; limite","")</f>
        <v/>
      </c>
      <c r="J123" s="674" t="str">
        <f>IF(K123="","",COUNTIF(K18:K123,"&lt;&gt;"))</f>
        <v/>
      </c>
      <c r="K123" s="675"/>
      <c r="L123" s="674" t="str">
        <f t="shared" si="16"/>
        <v/>
      </c>
      <c r="M123" s="643">
        <f>IF(OR(F123="",N10="",N10&lt;=0),"",IF(LEN(F123)&lt;=N10,LEN(F123),IFERROR(FIND("♦",SUBSTITUTE(LEFT(F123,N10)," ","♦",LEN(LEFT(F123,N10))-LEN(SUBSTITUTE(LEFT(F123,N10)," ","")))),FIND(" ",F123&amp;" ",N10+1)-1)))</f>
        <v>1</v>
      </c>
      <c r="N123" s="676">
        <f t="shared" si="17"/>
        <v>106</v>
      </c>
      <c r="O123" s="677" t="str">
        <f t="shared" si="18"/>
        <v>0</v>
      </c>
      <c r="P123" s="676">
        <f t="shared" si="19"/>
        <v>1</v>
      </c>
      <c r="Q123" s="676">
        <f t="shared" si="20"/>
        <v>1</v>
      </c>
      <c r="S123" s="553"/>
      <c r="T123" s="535" t="s">
        <v>5823</v>
      </c>
      <c r="U123" s="539" t="s">
        <v>5824</v>
      </c>
      <c r="V123" s="553"/>
      <c r="W123" s="553"/>
      <c r="X123" s="553"/>
      <c r="Y123" s="553"/>
      <c r="Z123" s="553"/>
      <c r="AA123" s="553"/>
      <c r="AB123" s="553"/>
      <c r="AC123" s="553"/>
      <c r="AD123" s="553"/>
      <c r="AE123" s="553"/>
      <c r="AF123" s="553"/>
      <c r="AG123" s="553"/>
      <c r="AH123" s="553"/>
      <c r="AI123" s="553"/>
      <c r="AJ123" s="553"/>
      <c r="AK123" s="553"/>
      <c r="DE123" s="494"/>
      <c r="DF123" s="496" t="s">
        <v>1449</v>
      </c>
      <c r="DG123" s="496" t="s">
        <v>1083</v>
      </c>
      <c r="DH123" s="496" t="s">
        <v>690</v>
      </c>
      <c r="DI123" s="496" t="s">
        <v>1450</v>
      </c>
      <c r="DJ123" s="496" t="s">
        <v>1450</v>
      </c>
      <c r="DK123" s="496" t="s">
        <v>1151</v>
      </c>
      <c r="DL123" s="496" t="s">
        <v>1446</v>
      </c>
      <c r="DM123" s="496" t="s">
        <v>1087</v>
      </c>
      <c r="DN123" s="497" t="s">
        <v>1153</v>
      </c>
      <c r="DP123" s="543">
        <v>1</v>
      </c>
    </row>
    <row r="124" spans="2:120" ht="30" customHeight="1">
      <c r="B124" s="663" t="str">
        <f t="shared" si="12"/>
        <v/>
      </c>
      <c r="C124" s="663" t="str">
        <f t="shared" si="13"/>
        <v/>
      </c>
      <c r="D124" s="663" t="str">
        <f>IF(UPPER(TRIM(N11))="X",C124,B124)</f>
        <v/>
      </c>
      <c r="E124" s="663" cm="1">
        <f t="array" ref="E124">IF(H123&lt;&gt;"",E123,IF(E123="","",IFERROR(MATCH(TRUE(),INDEX(INDEX(K:K,E123+1):K203&lt;&gt;"",0),0)+E123,"")))</f>
        <v>265</v>
      </c>
      <c r="F124" s="663" cm="1">
        <f t="array" ref="F124">IF(E124="","",IF(H123&lt;&gt;"",H123,INDEX(D:D,E124)))</f>
        <v>0</v>
      </c>
      <c r="G124" s="663" t="str">
        <f t="shared" si="14"/>
        <v>0</v>
      </c>
      <c r="H124" s="673" t="str">
        <f t="shared" si="15"/>
        <v/>
      </c>
      <c r="I124" s="680" t="str">
        <f>IF(AND(F124&lt;&gt;"",N10&gt;0,M124&gt;N10),"Mot &gt; limite","")</f>
        <v/>
      </c>
      <c r="J124" s="674" t="str">
        <f>IF(K124="","",COUNTIF(K18:K124,"&lt;&gt;"))</f>
        <v/>
      </c>
      <c r="K124" s="675"/>
      <c r="L124" s="674" t="str">
        <f t="shared" si="16"/>
        <v/>
      </c>
      <c r="M124" s="643">
        <f>IF(OR(F124="",N10="",N10&lt;=0),"",IF(LEN(F124)&lt;=N10,LEN(F124),IFERROR(FIND("♦",SUBSTITUTE(LEFT(F124,N10)," ","♦",LEN(LEFT(F124,N10))-LEN(SUBSTITUTE(LEFT(F124,N10)," ","")))),FIND(" ",F124&amp;" ",N10+1)-1)))</f>
        <v>1</v>
      </c>
      <c r="N124" s="676">
        <f t="shared" si="17"/>
        <v>107</v>
      </c>
      <c r="O124" s="677" t="str">
        <f t="shared" si="18"/>
        <v>0</v>
      </c>
      <c r="P124" s="676">
        <f t="shared" si="19"/>
        <v>1</v>
      </c>
      <c r="Q124" s="676">
        <f t="shared" si="20"/>
        <v>1</v>
      </c>
      <c r="S124" s="553"/>
      <c r="T124" s="535" t="s">
        <v>5825</v>
      </c>
      <c r="U124" s="540"/>
      <c r="V124" s="553"/>
      <c r="W124" s="553"/>
      <c r="X124" s="553"/>
      <c r="Y124" s="553"/>
      <c r="Z124" s="553"/>
      <c r="AA124" s="553"/>
      <c r="AB124" s="553"/>
      <c r="AC124" s="553"/>
      <c r="AD124" s="553"/>
      <c r="AE124" s="553"/>
      <c r="AF124" s="553"/>
      <c r="AG124" s="553"/>
      <c r="AH124" s="553"/>
      <c r="AI124" s="553"/>
      <c r="AJ124" s="553"/>
      <c r="AK124" s="553"/>
      <c r="DE124" s="494"/>
      <c r="DF124" s="496" t="s">
        <v>1451</v>
      </c>
      <c r="DG124" s="496" t="s">
        <v>1083</v>
      </c>
      <c r="DH124" s="496" t="s">
        <v>690</v>
      </c>
      <c r="DI124" s="496" t="s">
        <v>1452</v>
      </c>
      <c r="DJ124" s="496" t="s">
        <v>1452</v>
      </c>
      <c r="DK124" s="496" t="s">
        <v>1085</v>
      </c>
      <c r="DL124" s="496" t="s">
        <v>1441</v>
      </c>
      <c r="DM124" s="496" t="s">
        <v>1087</v>
      </c>
      <c r="DN124" s="497" t="s">
        <v>1088</v>
      </c>
      <c r="DP124" s="543">
        <v>1</v>
      </c>
    </row>
    <row r="125" spans="2:120" ht="30" customHeight="1">
      <c r="B125" s="663" t="str">
        <f t="shared" si="12"/>
        <v/>
      </c>
      <c r="C125" s="663" t="str">
        <f t="shared" si="13"/>
        <v/>
      </c>
      <c r="D125" s="663" t="str">
        <f>IF(UPPER(TRIM(N11))="X",C125,B125)</f>
        <v/>
      </c>
      <c r="E125" s="663" cm="1">
        <f t="array" ref="E125">IF(H124&lt;&gt;"",E124,IF(E124="","",IFERROR(MATCH(TRUE(),INDEX(INDEX(K:K,E124+1):K203&lt;&gt;"",0),0)+E124,"")))</f>
        <v>266</v>
      </c>
      <c r="F125" s="663" cm="1">
        <f t="array" ref="F125">IF(E125="","",IF(H124&lt;&gt;"",H124,INDEX(D:D,E125)))</f>
        <v>0</v>
      </c>
      <c r="G125" s="663" t="str">
        <f t="shared" si="14"/>
        <v>0</v>
      </c>
      <c r="H125" s="673" t="str">
        <f t="shared" si="15"/>
        <v/>
      </c>
      <c r="I125" s="680" t="str">
        <f>IF(AND(F125&lt;&gt;"",N10&gt;0,M125&gt;N10),"Mot &gt; limite","")</f>
        <v/>
      </c>
      <c r="J125" s="674" t="str">
        <f>IF(K125="","",COUNTIF(K18:K125,"&lt;&gt;"))</f>
        <v/>
      </c>
      <c r="K125" s="675"/>
      <c r="L125" s="674" t="str">
        <f t="shared" si="16"/>
        <v/>
      </c>
      <c r="M125" s="643">
        <f>IF(OR(F125="",N10="",N10&lt;=0),"",IF(LEN(F125)&lt;=N10,LEN(F125),IFERROR(FIND("♦",SUBSTITUTE(LEFT(F125,N10)," ","♦",LEN(LEFT(F125,N10))-LEN(SUBSTITUTE(LEFT(F125,N10)," ","")))),FIND(" ",F125&amp;" ",N10+1)-1)))</f>
        <v>1</v>
      </c>
      <c r="N125" s="676">
        <f t="shared" si="17"/>
        <v>108</v>
      </c>
      <c r="O125" s="677" t="str">
        <f t="shared" si="18"/>
        <v>0</v>
      </c>
      <c r="P125" s="676">
        <f t="shared" si="19"/>
        <v>1</v>
      </c>
      <c r="Q125" s="676">
        <f t="shared" si="20"/>
        <v>1</v>
      </c>
      <c r="S125" s="553"/>
      <c r="T125" s="541" t="s">
        <v>5826</v>
      </c>
      <c r="U125" s="539" t="s">
        <v>5795</v>
      </c>
      <c r="V125" s="553"/>
      <c r="W125" s="553"/>
      <c r="X125" s="553"/>
      <c r="Y125" s="553"/>
      <c r="Z125" s="553"/>
      <c r="AA125" s="553"/>
      <c r="AB125" s="553"/>
      <c r="AC125" s="553"/>
      <c r="AD125" s="553"/>
      <c r="AE125" s="553"/>
      <c r="AF125" s="553"/>
      <c r="AG125" s="553"/>
      <c r="AH125" s="553"/>
      <c r="AI125" s="553"/>
      <c r="AJ125" s="553"/>
      <c r="AK125" s="553"/>
      <c r="DE125" s="494"/>
      <c r="DF125" s="496" t="s">
        <v>1453</v>
      </c>
      <c r="DG125" s="496" t="s">
        <v>1083</v>
      </c>
      <c r="DH125" s="496" t="s">
        <v>690</v>
      </c>
      <c r="DI125" s="496" t="s">
        <v>706</v>
      </c>
      <c r="DJ125" s="496" t="s">
        <v>706</v>
      </c>
      <c r="DK125" s="496" t="s">
        <v>1085</v>
      </c>
      <c r="DL125" s="496" t="s">
        <v>1441</v>
      </c>
      <c r="DM125" s="496" t="s">
        <v>1087</v>
      </c>
      <c r="DN125" s="497" t="s">
        <v>1088</v>
      </c>
      <c r="DP125" s="543">
        <v>1</v>
      </c>
    </row>
    <row r="126" spans="2:120" ht="30" customHeight="1">
      <c r="B126" s="663" t="str">
        <f t="shared" si="12"/>
        <v/>
      </c>
      <c r="C126" s="663" t="str">
        <f t="shared" si="13"/>
        <v/>
      </c>
      <c r="D126" s="663" t="str">
        <f>IF(UPPER(TRIM(N11))="X",C126,B126)</f>
        <v/>
      </c>
      <c r="E126" s="663" cm="1">
        <f t="array" ref="E126">IF(H125&lt;&gt;"",E125,IF(E125="","",IFERROR(MATCH(TRUE(),INDEX(INDEX(K:K,E125+1):K203&lt;&gt;"",0),0)+E125,"")))</f>
        <v>267</v>
      </c>
      <c r="F126" s="663" cm="1">
        <f t="array" ref="F126">IF(E126="","",IF(H125&lt;&gt;"",H125,INDEX(D:D,E126)))</f>
        <v>0</v>
      </c>
      <c r="G126" s="663" t="str">
        <f t="shared" si="14"/>
        <v>0</v>
      </c>
      <c r="H126" s="673" t="str">
        <f t="shared" si="15"/>
        <v/>
      </c>
      <c r="I126" s="680" t="str">
        <f>IF(AND(F126&lt;&gt;"",N10&gt;0,M126&gt;N10),"Mot &gt; limite","")</f>
        <v/>
      </c>
      <c r="J126" s="674" t="str">
        <f>IF(K126="","",COUNTIF(K18:K126,"&lt;&gt;"))</f>
        <v/>
      </c>
      <c r="K126" s="675"/>
      <c r="L126" s="674" t="str">
        <f t="shared" si="16"/>
        <v/>
      </c>
      <c r="M126" s="643">
        <f>IF(OR(F126="",N10="",N10&lt;=0),"",IF(LEN(F126)&lt;=N10,LEN(F126),IFERROR(FIND("♦",SUBSTITUTE(LEFT(F126,N10)," ","♦",LEN(LEFT(F126,N10))-LEN(SUBSTITUTE(LEFT(F126,N10)," ","")))),FIND(" ",F126&amp;" ",N10+1)-1)))</f>
        <v>1</v>
      </c>
      <c r="N126" s="676">
        <f t="shared" si="17"/>
        <v>109</v>
      </c>
      <c r="O126" s="677" t="str">
        <f t="shared" si="18"/>
        <v>0</v>
      </c>
      <c r="P126" s="676">
        <f t="shared" si="19"/>
        <v>1</v>
      </c>
      <c r="Q126" s="676">
        <f t="shared" si="20"/>
        <v>1</v>
      </c>
      <c r="S126" s="553"/>
      <c r="T126" s="535" t="s">
        <v>5827</v>
      </c>
      <c r="U126" s="539" t="s">
        <v>5828</v>
      </c>
      <c r="V126" s="553"/>
      <c r="W126" s="553"/>
      <c r="X126" s="553"/>
      <c r="Y126" s="553"/>
      <c r="Z126" s="553"/>
      <c r="AA126" s="553"/>
      <c r="AB126" s="553"/>
      <c r="AC126" s="553"/>
      <c r="AD126" s="553"/>
      <c r="AE126" s="553"/>
      <c r="AF126" s="553"/>
      <c r="AG126" s="553"/>
      <c r="AH126" s="553"/>
      <c r="AI126" s="553"/>
      <c r="AJ126" s="553"/>
      <c r="AK126" s="553"/>
      <c r="DE126" s="494"/>
      <c r="DF126" s="496" t="s">
        <v>1454</v>
      </c>
      <c r="DG126" s="496" t="s">
        <v>1083</v>
      </c>
      <c r="DH126" s="496" t="s">
        <v>690</v>
      </c>
      <c r="DI126" s="496" t="s">
        <v>1455</v>
      </c>
      <c r="DJ126" s="496" t="s">
        <v>709</v>
      </c>
      <c r="DK126" s="496" t="s">
        <v>1085</v>
      </c>
      <c r="DL126" s="496" t="s">
        <v>1441</v>
      </c>
      <c r="DM126" s="496" t="s">
        <v>1087</v>
      </c>
      <c r="DN126" s="497" t="s">
        <v>1088</v>
      </c>
      <c r="DP126" s="543">
        <v>1</v>
      </c>
    </row>
    <row r="127" spans="2:120" ht="30" customHeight="1">
      <c r="B127" s="663" t="str">
        <f t="shared" si="12"/>
        <v/>
      </c>
      <c r="C127" s="663" t="str">
        <f t="shared" si="13"/>
        <v/>
      </c>
      <c r="D127" s="663" t="str">
        <f>IF(UPPER(TRIM(N11))="X",C127,B127)</f>
        <v/>
      </c>
      <c r="E127" s="663" cm="1">
        <f t="array" ref="E127">IF(H126&lt;&gt;"",E126,IF(E126="","",IFERROR(MATCH(TRUE(),INDEX(INDEX(K:K,E126+1):K203&lt;&gt;"",0),0)+E126,"")))</f>
        <v>268</v>
      </c>
      <c r="F127" s="663" cm="1">
        <f t="array" ref="F127">IF(E127="","",IF(H126&lt;&gt;"",H126,INDEX(D:D,E127)))</f>
        <v>0</v>
      </c>
      <c r="G127" s="663" t="str">
        <f t="shared" si="14"/>
        <v>0</v>
      </c>
      <c r="H127" s="673" t="str">
        <f t="shared" si="15"/>
        <v/>
      </c>
      <c r="I127" s="680" t="str">
        <f>IF(AND(F127&lt;&gt;"",N10&gt;0,M127&gt;N10),"Mot &gt; limite","")</f>
        <v/>
      </c>
      <c r="J127" s="674" t="str">
        <f>IF(K127="","",COUNTIF(K18:K127,"&lt;&gt;"))</f>
        <v/>
      </c>
      <c r="K127" s="675"/>
      <c r="L127" s="674" t="str">
        <f t="shared" si="16"/>
        <v/>
      </c>
      <c r="M127" s="643">
        <f>IF(OR(F127="",N10="",N10&lt;=0),"",IF(LEN(F127)&lt;=N10,LEN(F127),IFERROR(FIND("♦",SUBSTITUTE(LEFT(F127,N10)," ","♦",LEN(LEFT(F127,N10))-LEN(SUBSTITUTE(LEFT(F127,N10)," ","")))),FIND(" ",F127&amp;" ",N10+1)-1)))</f>
        <v>1</v>
      </c>
      <c r="N127" s="676">
        <f t="shared" si="17"/>
        <v>110</v>
      </c>
      <c r="O127" s="677" t="str">
        <f t="shared" si="18"/>
        <v>0</v>
      </c>
      <c r="P127" s="676">
        <f t="shared" si="19"/>
        <v>1</v>
      </c>
      <c r="Q127" s="676">
        <f t="shared" si="20"/>
        <v>1</v>
      </c>
      <c r="S127" s="553"/>
      <c r="T127" s="535" t="s">
        <v>5829</v>
      </c>
      <c r="U127" s="539" t="s">
        <v>3961</v>
      </c>
      <c r="V127" s="553"/>
      <c r="W127" s="553"/>
      <c r="X127" s="553"/>
      <c r="Y127" s="553"/>
      <c r="Z127" s="553"/>
      <c r="AA127" s="553"/>
      <c r="AB127" s="553"/>
      <c r="AC127" s="553"/>
      <c r="AD127" s="553"/>
      <c r="AE127" s="553"/>
      <c r="AF127" s="553"/>
      <c r="AG127" s="553"/>
      <c r="AH127" s="553"/>
      <c r="AI127" s="553"/>
      <c r="AJ127" s="553"/>
      <c r="AK127" s="553"/>
      <c r="DE127" s="494"/>
      <c r="DF127" s="496" t="s">
        <v>1384</v>
      </c>
      <c r="DG127" s="496" t="s">
        <v>1083</v>
      </c>
      <c r="DH127" s="496" t="s">
        <v>689</v>
      </c>
      <c r="DI127" s="496" t="s">
        <v>1385</v>
      </c>
      <c r="DJ127" s="496" t="s">
        <v>1385</v>
      </c>
      <c r="DK127" s="496" t="s">
        <v>1085</v>
      </c>
      <c r="DL127" s="496" t="s">
        <v>1086</v>
      </c>
      <c r="DM127" s="496" t="s">
        <v>1087</v>
      </c>
      <c r="DN127" s="497" t="s">
        <v>1088</v>
      </c>
      <c r="DP127" s="543">
        <v>1</v>
      </c>
    </row>
    <row r="128" spans="2:120" ht="30" customHeight="1">
      <c r="B128" s="663" t="str">
        <f t="shared" si="12"/>
        <v/>
      </c>
      <c r="C128" s="663" t="str">
        <f t="shared" si="13"/>
        <v/>
      </c>
      <c r="D128" s="663" t="str">
        <f>IF(UPPER(TRIM(N11))="X",C128,B128)</f>
        <v/>
      </c>
      <c r="E128" s="663" cm="1">
        <f t="array" ref="E128">IF(H127&lt;&gt;"",E127,IF(E127="","",IFERROR(MATCH(TRUE(),INDEX(INDEX(K:K,E127+1):K203&lt;&gt;"",0),0)+E127,"")))</f>
        <v>269</v>
      </c>
      <c r="F128" s="663" cm="1">
        <f t="array" ref="F128">IF(E128="","",IF(H127&lt;&gt;"",H127,INDEX(D:D,E128)))</f>
        <v>0</v>
      </c>
      <c r="G128" s="663" t="str">
        <f t="shared" si="14"/>
        <v>0</v>
      </c>
      <c r="H128" s="673" t="str">
        <f t="shared" si="15"/>
        <v/>
      </c>
      <c r="I128" s="680" t="str">
        <f>IF(AND(F128&lt;&gt;"",N10&gt;0,M128&gt;N10),"Mot &gt; limite","")</f>
        <v/>
      </c>
      <c r="J128" s="674" t="str">
        <f>IF(K128="","",COUNTIF(K18:K128,"&lt;&gt;"))</f>
        <v/>
      </c>
      <c r="K128" s="675"/>
      <c r="L128" s="674" t="str">
        <f t="shared" si="16"/>
        <v/>
      </c>
      <c r="M128" s="643">
        <f>IF(OR(F128="",N10="",N10&lt;=0),"",IF(LEN(F128)&lt;=N10,LEN(F128),IFERROR(FIND("♦",SUBSTITUTE(LEFT(F128,N10)," ","♦",LEN(LEFT(F128,N10))-LEN(SUBSTITUTE(LEFT(F128,N10)," ","")))),FIND(" ",F128&amp;" ",N10+1)-1)))</f>
        <v>1</v>
      </c>
      <c r="N128" s="676">
        <f t="shared" si="17"/>
        <v>111</v>
      </c>
      <c r="O128" s="677" t="str">
        <f t="shared" si="18"/>
        <v>0</v>
      </c>
      <c r="P128" s="676">
        <f t="shared" si="19"/>
        <v>1</v>
      </c>
      <c r="Q128" s="676">
        <f t="shared" si="20"/>
        <v>1</v>
      </c>
      <c r="S128" s="553"/>
      <c r="T128" s="542"/>
      <c r="U128" s="539"/>
      <c r="V128" s="553"/>
      <c r="W128" s="553"/>
      <c r="X128" s="553"/>
      <c r="Y128" s="553"/>
      <c r="Z128" s="553"/>
      <c r="AA128" s="553"/>
      <c r="AB128" s="553"/>
      <c r="AC128" s="553"/>
      <c r="AD128" s="553"/>
      <c r="AE128" s="553"/>
      <c r="AF128" s="553"/>
      <c r="AG128" s="553"/>
      <c r="AH128" s="553"/>
      <c r="AI128" s="553"/>
      <c r="AJ128" s="553"/>
      <c r="AK128" s="553"/>
      <c r="DE128" s="494"/>
      <c r="DF128" s="496" t="s">
        <v>1386</v>
      </c>
      <c r="DG128" s="496" t="s">
        <v>1083</v>
      </c>
      <c r="DH128" s="496" t="s">
        <v>689</v>
      </c>
      <c r="DI128" s="496" t="s">
        <v>916</v>
      </c>
      <c r="DJ128" s="496" t="s">
        <v>916</v>
      </c>
      <c r="DK128" s="496" t="s">
        <v>1085</v>
      </c>
      <c r="DL128" s="496" t="s">
        <v>1086</v>
      </c>
      <c r="DM128" s="496" t="s">
        <v>1087</v>
      </c>
      <c r="DN128" s="497" t="s">
        <v>1088</v>
      </c>
      <c r="DP128" s="543">
        <v>1</v>
      </c>
    </row>
    <row r="129" spans="2:120" ht="30" customHeight="1">
      <c r="B129" s="663" t="str">
        <f t="shared" si="12"/>
        <v/>
      </c>
      <c r="C129" s="663" t="str">
        <f t="shared" si="13"/>
        <v/>
      </c>
      <c r="D129" s="663" t="str">
        <f>IF(UPPER(TRIM(N11))="X",C129,B129)</f>
        <v/>
      </c>
      <c r="E129" s="663" cm="1">
        <f t="array" ref="E129">IF(H128&lt;&gt;"",E128,IF(E128="","",IFERROR(MATCH(TRUE(),INDEX(INDEX(K:K,E128+1):K203&lt;&gt;"",0),0)+E128,"")))</f>
        <v>270</v>
      </c>
      <c r="F129" s="663" cm="1">
        <f t="array" ref="F129">IF(E129="","",IF(H128&lt;&gt;"",H128,INDEX(D:D,E129)))</f>
        <v>0</v>
      </c>
      <c r="G129" s="663" t="str">
        <f t="shared" si="14"/>
        <v>0</v>
      </c>
      <c r="H129" s="673" t="str">
        <f t="shared" si="15"/>
        <v/>
      </c>
      <c r="I129" s="680" t="str">
        <f>IF(AND(F129&lt;&gt;"",N10&gt;0,M129&gt;N10),"Mot &gt; limite","")</f>
        <v/>
      </c>
      <c r="J129" s="674" t="str">
        <f>IF(K129="","",COUNTIF(K18:K129,"&lt;&gt;"))</f>
        <v/>
      </c>
      <c r="K129" s="675"/>
      <c r="L129" s="674" t="str">
        <f t="shared" si="16"/>
        <v/>
      </c>
      <c r="M129" s="643">
        <f>IF(OR(F129="",N10="",N10&lt;=0),"",IF(LEN(F129)&lt;=N10,LEN(F129),IFERROR(FIND("♦",SUBSTITUTE(LEFT(F129,N10)," ","♦",LEN(LEFT(F129,N10))-LEN(SUBSTITUTE(LEFT(F129,N10)," ","")))),FIND(" ",F129&amp;" ",N10+1)-1)))</f>
        <v>1</v>
      </c>
      <c r="N129" s="676">
        <f t="shared" si="17"/>
        <v>112</v>
      </c>
      <c r="O129" s="677" t="str">
        <f t="shared" si="18"/>
        <v>0</v>
      </c>
      <c r="P129" s="676">
        <f t="shared" si="19"/>
        <v>1</v>
      </c>
      <c r="Q129" s="676">
        <f t="shared" si="20"/>
        <v>1</v>
      </c>
      <c r="S129" s="553"/>
      <c r="T129" s="554" t="s">
        <v>5830</v>
      </c>
      <c r="U129" s="540"/>
      <c r="V129" s="553"/>
      <c r="W129" s="553"/>
      <c r="X129" s="553"/>
      <c r="Y129" s="553"/>
      <c r="Z129" s="553"/>
      <c r="AA129" s="553"/>
      <c r="AB129" s="553"/>
      <c r="AC129" s="553"/>
      <c r="AD129" s="553"/>
      <c r="AE129" s="553"/>
      <c r="AF129" s="553"/>
      <c r="AG129" s="553"/>
      <c r="AH129" s="553"/>
      <c r="AI129" s="553"/>
      <c r="AJ129" s="553"/>
      <c r="AK129" s="553"/>
      <c r="DE129" s="494"/>
      <c r="DF129" s="496" t="s">
        <v>1387</v>
      </c>
      <c r="DG129" s="496" t="s">
        <v>1083</v>
      </c>
      <c r="DH129" s="496" t="s">
        <v>689</v>
      </c>
      <c r="DI129" s="496" t="s">
        <v>917</v>
      </c>
      <c r="DJ129" s="496" t="s">
        <v>917</v>
      </c>
      <c r="DK129" s="496" t="s">
        <v>1085</v>
      </c>
      <c r="DL129" s="496" t="s">
        <v>1086</v>
      </c>
      <c r="DM129" s="496" t="s">
        <v>1087</v>
      </c>
      <c r="DN129" s="497" t="s">
        <v>1088</v>
      </c>
      <c r="DP129" s="543">
        <v>1</v>
      </c>
    </row>
    <row r="130" spans="2:120" ht="30" customHeight="1">
      <c r="B130" s="663" t="str">
        <f t="shared" si="12"/>
        <v/>
      </c>
      <c r="C130" s="663" t="str">
        <f t="shared" si="13"/>
        <v/>
      </c>
      <c r="D130" s="663" t="str">
        <f>IF(UPPER(TRIM(N11))="X",C130,B130)</f>
        <v/>
      </c>
      <c r="E130" s="663" cm="1">
        <f t="array" ref="E130">IF(H129&lt;&gt;"",E129,IF(E129="","",IFERROR(MATCH(TRUE(),INDEX(INDEX(K:K,E129+1):K203&lt;&gt;"",0),0)+E129,"")))</f>
        <v>271</v>
      </c>
      <c r="F130" s="663" cm="1">
        <f t="array" ref="F130">IF(E130="","",IF(H129&lt;&gt;"",H129,INDEX(D:D,E130)))</f>
        <v>0</v>
      </c>
      <c r="G130" s="663" t="str">
        <f t="shared" si="14"/>
        <v>0</v>
      </c>
      <c r="H130" s="673" t="str">
        <f t="shared" si="15"/>
        <v/>
      </c>
      <c r="I130" s="680" t="str">
        <f>IF(AND(F130&lt;&gt;"",N10&gt;0,M130&gt;N10),"Mot &gt; limite","")</f>
        <v/>
      </c>
      <c r="J130" s="674" t="str">
        <f>IF(K130="","",COUNTIF(K18:K130,"&lt;&gt;"))</f>
        <v/>
      </c>
      <c r="K130" s="675"/>
      <c r="L130" s="674" t="str">
        <f t="shared" si="16"/>
        <v/>
      </c>
      <c r="M130" s="643">
        <f>IF(OR(F130="",N10="",N10&lt;=0),"",IF(LEN(F130)&lt;=N10,LEN(F130),IFERROR(FIND("♦",SUBSTITUTE(LEFT(F130,N10)," ","♦",LEN(LEFT(F130,N10))-LEN(SUBSTITUTE(LEFT(F130,N10)," ","")))),FIND(" ",F130&amp;" ",N10+1)-1)))</f>
        <v>1</v>
      </c>
      <c r="N130" s="676">
        <f t="shared" si="17"/>
        <v>113</v>
      </c>
      <c r="O130" s="677" t="str">
        <f t="shared" si="18"/>
        <v>0</v>
      </c>
      <c r="P130" s="676">
        <f t="shared" si="19"/>
        <v>1</v>
      </c>
      <c r="Q130" s="676">
        <f t="shared" si="20"/>
        <v>1</v>
      </c>
      <c r="S130" s="553"/>
      <c r="T130" s="535" t="s">
        <v>1160</v>
      </c>
      <c r="U130" s="539" t="s">
        <v>5831</v>
      </c>
      <c r="V130" s="553"/>
      <c r="W130" s="553"/>
      <c r="X130" s="553"/>
      <c r="Y130" s="553"/>
      <c r="Z130" s="553"/>
      <c r="AA130" s="553"/>
      <c r="AB130" s="553"/>
      <c r="AC130" s="553"/>
      <c r="AD130" s="553"/>
      <c r="AE130" s="553"/>
      <c r="AF130" s="553"/>
      <c r="AG130" s="553"/>
      <c r="AH130" s="553"/>
      <c r="AI130" s="553"/>
      <c r="AJ130" s="553"/>
      <c r="AK130" s="553"/>
      <c r="DE130" s="494"/>
      <c r="DF130" s="496" t="s">
        <v>1388</v>
      </c>
      <c r="DG130" s="496" t="s">
        <v>1083</v>
      </c>
      <c r="DH130" s="496" t="s">
        <v>689</v>
      </c>
      <c r="DI130" s="496" t="s">
        <v>1389</v>
      </c>
      <c r="DJ130" s="496" t="s">
        <v>1390</v>
      </c>
      <c r="DK130" s="496" t="s">
        <v>1085</v>
      </c>
      <c r="DL130" s="496" t="s">
        <v>1086</v>
      </c>
      <c r="DM130" s="496" t="s">
        <v>1087</v>
      </c>
      <c r="DN130" s="497" t="s">
        <v>1088</v>
      </c>
      <c r="DP130" s="543">
        <v>1</v>
      </c>
    </row>
    <row r="131" spans="2:120" ht="30" customHeight="1">
      <c r="B131" s="663" t="str">
        <f t="shared" si="12"/>
        <v/>
      </c>
      <c r="C131" s="663" t="str">
        <f t="shared" si="13"/>
        <v/>
      </c>
      <c r="D131" s="663" t="str">
        <f>IF(UPPER(TRIM(N11))="X",C131,B131)</f>
        <v/>
      </c>
      <c r="E131" s="663" cm="1">
        <f t="array" ref="E131">IF(H130&lt;&gt;"",E130,IF(E130="","",IFERROR(MATCH(TRUE(),INDEX(INDEX(K:K,E130+1):K203&lt;&gt;"",0),0)+E130,"")))</f>
        <v>272</v>
      </c>
      <c r="F131" s="663" cm="1">
        <f t="array" ref="F131">IF(E131="","",IF(H130&lt;&gt;"",H130,INDEX(D:D,E131)))</f>
        <v>0</v>
      </c>
      <c r="G131" s="663" t="str">
        <f t="shared" si="14"/>
        <v>0</v>
      </c>
      <c r="H131" s="673" t="str">
        <f t="shared" si="15"/>
        <v/>
      </c>
      <c r="I131" s="680" t="str">
        <f>IF(AND(F131&lt;&gt;"",N10&gt;0,M131&gt;N10),"Mot &gt; limite","")</f>
        <v/>
      </c>
      <c r="J131" s="674" t="str">
        <f>IF(K131="","",COUNTIF(K18:K131,"&lt;&gt;"))</f>
        <v/>
      </c>
      <c r="K131" s="675"/>
      <c r="L131" s="674" t="str">
        <f t="shared" si="16"/>
        <v/>
      </c>
      <c r="M131" s="643">
        <f>IF(OR(F131="",N10="",N10&lt;=0),"",IF(LEN(F131)&lt;=N10,LEN(F131),IFERROR(FIND("♦",SUBSTITUTE(LEFT(F131,N10)," ","♦",LEN(LEFT(F131,N10))-LEN(SUBSTITUTE(LEFT(F131,N10)," ","")))),FIND(" ",F131&amp;" ",N10+1)-1)))</f>
        <v>1</v>
      </c>
      <c r="N131" s="676">
        <f t="shared" si="17"/>
        <v>114</v>
      </c>
      <c r="O131" s="677" t="str">
        <f t="shared" si="18"/>
        <v>0</v>
      </c>
      <c r="P131" s="676">
        <f t="shared" si="19"/>
        <v>1</v>
      </c>
      <c r="Q131" s="676">
        <f t="shared" si="20"/>
        <v>1</v>
      </c>
      <c r="S131" s="553"/>
      <c r="T131" s="535" t="s">
        <v>1186</v>
      </c>
      <c r="U131" s="539" t="s">
        <v>5832</v>
      </c>
      <c r="V131" s="553"/>
      <c r="W131" s="553"/>
      <c r="X131" s="553"/>
      <c r="Y131" s="553"/>
      <c r="Z131" s="553"/>
      <c r="AA131" s="553"/>
      <c r="AB131" s="553"/>
      <c r="AC131" s="553"/>
      <c r="AD131" s="553"/>
      <c r="AE131" s="553"/>
      <c r="AF131" s="553"/>
      <c r="AG131" s="553"/>
      <c r="AH131" s="553"/>
      <c r="AI131" s="553"/>
      <c r="AJ131" s="553"/>
      <c r="AK131" s="553"/>
      <c r="DE131" s="494"/>
      <c r="DF131" s="496" t="s">
        <v>1391</v>
      </c>
      <c r="DG131" s="496" t="s">
        <v>1083</v>
      </c>
      <c r="DH131" s="496" t="s">
        <v>689</v>
      </c>
      <c r="DI131" s="496" t="s">
        <v>1392</v>
      </c>
      <c r="DJ131" s="496" t="s">
        <v>1393</v>
      </c>
      <c r="DK131" s="496" t="s">
        <v>1085</v>
      </c>
      <c r="DL131" s="496" t="s">
        <v>1086</v>
      </c>
      <c r="DM131" s="496" t="s">
        <v>1087</v>
      </c>
      <c r="DN131" s="497" t="s">
        <v>1088</v>
      </c>
      <c r="DP131" s="543">
        <v>1</v>
      </c>
    </row>
    <row r="132" spans="2:120" ht="30" customHeight="1">
      <c r="B132" s="663" t="str">
        <f t="shared" si="12"/>
        <v/>
      </c>
      <c r="C132" s="663" t="str">
        <f t="shared" si="13"/>
        <v/>
      </c>
      <c r="D132" s="663" t="str">
        <f>IF(UPPER(TRIM(N11))="X",C132,B132)</f>
        <v/>
      </c>
      <c r="E132" s="663" cm="1">
        <f t="array" ref="E132">IF(H131&lt;&gt;"",E131,IF(E131="","",IFERROR(MATCH(TRUE(),INDEX(INDEX(K:K,E131+1):K203&lt;&gt;"",0),0)+E131,"")))</f>
        <v>273</v>
      </c>
      <c r="F132" s="663" cm="1">
        <f t="array" ref="F132">IF(E132="","",IF(H131&lt;&gt;"",H131,INDEX(D:D,E132)))</f>
        <v>0</v>
      </c>
      <c r="G132" s="663" t="str">
        <f t="shared" si="14"/>
        <v>0</v>
      </c>
      <c r="H132" s="673" t="str">
        <f t="shared" si="15"/>
        <v/>
      </c>
      <c r="I132" s="680" t="str">
        <f>IF(AND(F132&lt;&gt;"",N10&gt;0,M132&gt;N10),"Mot &gt; limite","")</f>
        <v/>
      </c>
      <c r="J132" s="674" t="str">
        <f>IF(K132="","",COUNTIF(K18:K132,"&lt;&gt;"))</f>
        <v/>
      </c>
      <c r="K132" s="675"/>
      <c r="L132" s="674" t="str">
        <f t="shared" si="16"/>
        <v/>
      </c>
      <c r="M132" s="643">
        <f>IF(OR(F132="",N10="",N10&lt;=0),"",IF(LEN(F132)&lt;=N10,LEN(F132),IFERROR(FIND("♦",SUBSTITUTE(LEFT(F132,N10)," ","♦",LEN(LEFT(F132,N10))-LEN(SUBSTITUTE(LEFT(F132,N10)," ","")))),FIND(" ",F132&amp;" ",N10+1)-1)))</f>
        <v>1</v>
      </c>
      <c r="N132" s="676">
        <f t="shared" si="17"/>
        <v>115</v>
      </c>
      <c r="O132" s="677" t="str">
        <f t="shared" si="18"/>
        <v>0</v>
      </c>
      <c r="P132" s="676">
        <f t="shared" si="19"/>
        <v>1</v>
      </c>
      <c r="Q132" s="676">
        <f t="shared" si="20"/>
        <v>1</v>
      </c>
      <c r="S132" s="553"/>
      <c r="T132" s="535" t="s">
        <v>5737</v>
      </c>
      <c r="U132" s="539" t="s">
        <v>5833</v>
      </c>
      <c r="V132" s="553"/>
      <c r="W132" s="553"/>
      <c r="X132" s="553"/>
      <c r="Y132" s="553"/>
      <c r="Z132" s="553"/>
      <c r="AA132" s="553"/>
      <c r="AB132" s="553"/>
      <c r="AC132" s="553"/>
      <c r="AD132" s="553"/>
      <c r="AE132" s="553"/>
      <c r="AF132" s="553"/>
      <c r="AG132" s="553"/>
      <c r="AH132" s="553"/>
      <c r="AI132" s="553"/>
      <c r="AJ132" s="553"/>
      <c r="AK132" s="553"/>
      <c r="DE132" s="494"/>
      <c r="DF132" s="496" t="s">
        <v>1394</v>
      </c>
      <c r="DG132" s="496" t="s">
        <v>1083</v>
      </c>
      <c r="DH132" s="496" t="s">
        <v>689</v>
      </c>
      <c r="DI132" s="496" t="s">
        <v>918</v>
      </c>
      <c r="DJ132" s="496" t="s">
        <v>918</v>
      </c>
      <c r="DK132" s="496" t="s">
        <v>1085</v>
      </c>
      <c r="DL132" s="496" t="s">
        <v>1086</v>
      </c>
      <c r="DM132" s="496" t="s">
        <v>1087</v>
      </c>
      <c r="DN132" s="497" t="s">
        <v>1088</v>
      </c>
      <c r="DP132" s="543">
        <v>1</v>
      </c>
    </row>
    <row r="133" spans="2:120" ht="30" customHeight="1">
      <c r="B133" s="663" t="str">
        <f t="shared" si="12"/>
        <v/>
      </c>
      <c r="C133" s="663" t="str">
        <f t="shared" si="13"/>
        <v/>
      </c>
      <c r="D133" s="663" t="str">
        <f>IF(UPPER(TRIM(N11))="X",C133,B133)</f>
        <v/>
      </c>
      <c r="E133" s="663" cm="1">
        <f t="array" ref="E133">IF(H132&lt;&gt;"",E132,IF(E132="","",IFERROR(MATCH(TRUE(),INDEX(INDEX(K:K,E132+1):K203&lt;&gt;"",0),0)+E132,"")))</f>
        <v>274</v>
      </c>
      <c r="F133" s="663" cm="1">
        <f t="array" ref="F133">IF(E133="","",IF(H132&lt;&gt;"",H132,INDEX(D:D,E133)))</f>
        <v>0</v>
      </c>
      <c r="G133" s="663" t="str">
        <f t="shared" si="14"/>
        <v>0</v>
      </c>
      <c r="H133" s="673" t="str">
        <f t="shared" si="15"/>
        <v/>
      </c>
      <c r="I133" s="680" t="str">
        <f>IF(AND(F133&lt;&gt;"",N10&gt;0,M133&gt;N10),"Mot &gt; limite","")</f>
        <v/>
      </c>
      <c r="J133" s="674" t="str">
        <f>IF(K133="","",COUNTIF(K18:K133,"&lt;&gt;"))</f>
        <v/>
      </c>
      <c r="K133" s="675"/>
      <c r="L133" s="674" t="str">
        <f t="shared" si="16"/>
        <v/>
      </c>
      <c r="M133" s="643">
        <f>IF(OR(F133="",N10="",N10&lt;=0),"",IF(LEN(F133)&lt;=N10,LEN(F133),IFERROR(FIND("♦",SUBSTITUTE(LEFT(F133,N10)," ","♦",LEN(LEFT(F133,N10))-LEN(SUBSTITUTE(LEFT(F133,N10)," ","")))),FIND(" ",F133&amp;" ",N10+1)-1)))</f>
        <v>1</v>
      </c>
      <c r="N133" s="676">
        <f t="shared" si="17"/>
        <v>116</v>
      </c>
      <c r="O133" s="677" t="str">
        <f t="shared" si="18"/>
        <v>0</v>
      </c>
      <c r="P133" s="676">
        <f t="shared" si="19"/>
        <v>1</v>
      </c>
      <c r="Q133" s="676">
        <f t="shared" si="20"/>
        <v>1</v>
      </c>
      <c r="S133" s="553"/>
      <c r="T133" s="541" t="s">
        <v>5735</v>
      </c>
      <c r="U133" s="539" t="s">
        <v>5834</v>
      </c>
      <c r="V133" s="553"/>
      <c r="W133" s="553"/>
      <c r="X133" s="553"/>
      <c r="Y133" s="553"/>
      <c r="Z133" s="553"/>
      <c r="AA133" s="553"/>
      <c r="AB133" s="553"/>
      <c r="AC133" s="553"/>
      <c r="AD133" s="553"/>
      <c r="AE133" s="553"/>
      <c r="AF133" s="553"/>
      <c r="AG133" s="553"/>
      <c r="AH133" s="553"/>
      <c r="AI133" s="553"/>
      <c r="AJ133" s="553"/>
      <c r="AK133" s="553"/>
      <c r="DE133" s="494"/>
      <c r="DF133" s="496" t="s">
        <v>1395</v>
      </c>
      <c r="DG133" s="496" t="s">
        <v>1083</v>
      </c>
      <c r="DH133" s="496" t="s">
        <v>689</v>
      </c>
      <c r="DI133" s="496" t="s">
        <v>920</v>
      </c>
      <c r="DJ133" s="496" t="s">
        <v>920</v>
      </c>
      <c r="DK133" s="496" t="s">
        <v>1085</v>
      </c>
      <c r="DL133" s="496" t="s">
        <v>1086</v>
      </c>
      <c r="DM133" s="496" t="s">
        <v>1087</v>
      </c>
      <c r="DN133" s="497" t="s">
        <v>1088</v>
      </c>
      <c r="DP133" s="543">
        <v>1</v>
      </c>
    </row>
    <row r="134" spans="2:120" ht="30" customHeight="1">
      <c r="B134" s="663" t="str">
        <f t="shared" si="12"/>
        <v/>
      </c>
      <c r="C134" s="663" t="str">
        <f t="shared" si="13"/>
        <v/>
      </c>
      <c r="D134" s="663" t="str">
        <f>IF(UPPER(TRIM(N11))="X",C134,B134)</f>
        <v/>
      </c>
      <c r="E134" s="663" cm="1">
        <f t="array" ref="E134">IF(H133&lt;&gt;"",E133,IF(E133="","",IFERROR(MATCH(TRUE(),INDEX(INDEX(K:K,E133+1):K203&lt;&gt;"",0),0)+E133,"")))</f>
        <v>275</v>
      </c>
      <c r="F134" s="663" cm="1">
        <f t="array" ref="F134">IF(E134="","",IF(H133&lt;&gt;"",H133,INDEX(D:D,E134)))</f>
        <v>0</v>
      </c>
      <c r="G134" s="663" t="str">
        <f t="shared" si="14"/>
        <v>0</v>
      </c>
      <c r="H134" s="673" t="str">
        <f t="shared" si="15"/>
        <v/>
      </c>
      <c r="I134" s="680" t="str">
        <f>IF(AND(F134&lt;&gt;"",N10&gt;0,M134&gt;N10),"Mot &gt; limite","")</f>
        <v/>
      </c>
      <c r="J134" s="674" t="str">
        <f>IF(K134="","",COUNTIF(K18:K134,"&lt;&gt;"))</f>
        <v/>
      </c>
      <c r="K134" s="675"/>
      <c r="L134" s="674" t="str">
        <f t="shared" si="16"/>
        <v/>
      </c>
      <c r="M134" s="643">
        <f>IF(OR(F134="",N10="",N10&lt;=0),"",IF(LEN(F134)&lt;=N10,LEN(F134),IFERROR(FIND("♦",SUBSTITUTE(LEFT(F134,N10)," ","♦",LEN(LEFT(F134,N10))-LEN(SUBSTITUTE(LEFT(F134,N10)," ","")))),FIND(" ",F134&amp;" ",N10+1)-1)))</f>
        <v>1</v>
      </c>
      <c r="N134" s="676">
        <f t="shared" si="17"/>
        <v>117</v>
      </c>
      <c r="O134" s="677" t="str">
        <f t="shared" si="18"/>
        <v>0</v>
      </c>
      <c r="P134" s="676">
        <f t="shared" si="19"/>
        <v>1</v>
      </c>
      <c r="Q134" s="676">
        <f t="shared" si="20"/>
        <v>1</v>
      </c>
      <c r="S134" s="553"/>
      <c r="T134" s="535" t="s">
        <v>5736</v>
      </c>
      <c r="U134" s="539" t="s">
        <v>5908</v>
      </c>
      <c r="V134" s="553"/>
      <c r="W134" s="553"/>
      <c r="X134" s="553"/>
      <c r="Y134" s="553"/>
      <c r="Z134" s="553"/>
      <c r="AA134" s="553"/>
      <c r="AB134" s="553"/>
      <c r="AC134" s="553"/>
      <c r="AD134" s="553"/>
      <c r="AE134" s="553"/>
      <c r="AF134" s="553"/>
      <c r="AG134" s="553"/>
      <c r="AH134" s="553"/>
      <c r="AI134" s="553"/>
      <c r="AJ134" s="553"/>
      <c r="AK134" s="553"/>
      <c r="DE134" s="494"/>
      <c r="DF134" s="496" t="s">
        <v>1396</v>
      </c>
      <c r="DG134" s="496" t="s">
        <v>1083</v>
      </c>
      <c r="DH134" s="496" t="s">
        <v>689</v>
      </c>
      <c r="DI134" s="496" t="s">
        <v>921</v>
      </c>
      <c r="DJ134" s="496" t="s">
        <v>921</v>
      </c>
      <c r="DK134" s="496" t="s">
        <v>1085</v>
      </c>
      <c r="DL134" s="496" t="s">
        <v>1086</v>
      </c>
      <c r="DM134" s="496" t="s">
        <v>1087</v>
      </c>
      <c r="DN134" s="497" t="s">
        <v>1088</v>
      </c>
      <c r="DP134" s="543">
        <v>1</v>
      </c>
    </row>
    <row r="135" spans="2:120" ht="30" customHeight="1">
      <c r="B135" s="663" t="str">
        <f t="shared" si="12"/>
        <v/>
      </c>
      <c r="C135" s="663" t="str">
        <f t="shared" si="13"/>
        <v/>
      </c>
      <c r="D135" s="663" t="str">
        <f>IF(UPPER(TRIM(N11))="X",C135,B135)</f>
        <v/>
      </c>
      <c r="E135" s="663" cm="1">
        <f t="array" ref="E135">IF(H134&lt;&gt;"",E134,IF(E134="","",IFERROR(MATCH(TRUE(),INDEX(INDEX(K:K,E134+1):K203&lt;&gt;"",0),0)+E134,"")))</f>
        <v>276</v>
      </c>
      <c r="F135" s="663" cm="1">
        <f t="array" ref="F135">IF(E135="","",IF(H134&lt;&gt;"",H134,INDEX(D:D,E135)))</f>
        <v>0</v>
      </c>
      <c r="G135" s="663" t="str">
        <f t="shared" si="14"/>
        <v>0</v>
      </c>
      <c r="H135" s="673" t="str">
        <f t="shared" si="15"/>
        <v/>
      </c>
      <c r="I135" s="680" t="str">
        <f>IF(AND(F135&lt;&gt;"",N10&gt;0,M135&gt;N10),"Mot &gt; limite","")</f>
        <v/>
      </c>
      <c r="J135" s="674" t="str">
        <f>IF(K135="","",COUNTIF(K18:K135,"&lt;&gt;"))</f>
        <v/>
      </c>
      <c r="K135" s="675"/>
      <c r="L135" s="674" t="str">
        <f t="shared" si="16"/>
        <v/>
      </c>
      <c r="M135" s="643">
        <f>IF(OR(F135="",N10="",N10&lt;=0),"",IF(LEN(F135)&lt;=N10,LEN(F135),IFERROR(FIND("♦",SUBSTITUTE(LEFT(F135,N10)," ","♦",LEN(LEFT(F135,N10))-LEN(SUBSTITUTE(LEFT(F135,N10)," ","")))),FIND(" ",F135&amp;" ",N10+1)-1)))</f>
        <v>1</v>
      </c>
      <c r="N135" s="676">
        <f t="shared" si="17"/>
        <v>118</v>
      </c>
      <c r="O135" s="677" t="str">
        <f t="shared" si="18"/>
        <v>0</v>
      </c>
      <c r="P135" s="676">
        <f t="shared" si="19"/>
        <v>1</v>
      </c>
      <c r="Q135" s="676">
        <f t="shared" si="20"/>
        <v>1</v>
      </c>
      <c r="S135" s="553"/>
      <c r="T135" s="535"/>
      <c r="U135" s="539" t="s">
        <v>5909</v>
      </c>
      <c r="V135" s="553"/>
      <c r="W135" s="553"/>
      <c r="X135" s="553"/>
      <c r="Y135" s="553"/>
      <c r="Z135" s="553"/>
      <c r="AA135" s="553"/>
      <c r="AB135" s="553"/>
      <c r="AC135" s="553"/>
      <c r="AD135" s="553"/>
      <c r="AE135" s="553"/>
      <c r="AF135" s="553"/>
      <c r="AG135" s="553"/>
      <c r="AH135" s="553"/>
      <c r="AI135" s="553"/>
      <c r="AJ135" s="553"/>
      <c r="AK135" s="553"/>
      <c r="DE135" s="494"/>
      <c r="DF135" s="496" t="s">
        <v>1397</v>
      </c>
      <c r="DG135" s="496" t="s">
        <v>1083</v>
      </c>
      <c r="DH135" s="496" t="s">
        <v>689</v>
      </c>
      <c r="DI135" s="496" t="s">
        <v>922</v>
      </c>
      <c r="DJ135" s="496" t="s">
        <v>922</v>
      </c>
      <c r="DK135" s="496" t="s">
        <v>1085</v>
      </c>
      <c r="DL135" s="496" t="s">
        <v>1086</v>
      </c>
      <c r="DM135" s="496" t="s">
        <v>1087</v>
      </c>
      <c r="DN135" s="497" t="s">
        <v>1088</v>
      </c>
      <c r="DP135" s="543">
        <v>1</v>
      </c>
    </row>
    <row r="136" spans="2:120" ht="30" customHeight="1">
      <c r="B136" s="663" t="str">
        <f t="shared" si="12"/>
        <v/>
      </c>
      <c r="C136" s="663" t="str">
        <f t="shared" si="13"/>
        <v/>
      </c>
      <c r="D136" s="663" t="str">
        <f>IF(UPPER(TRIM(N11))="X",C136,B136)</f>
        <v/>
      </c>
      <c r="E136" s="663" cm="1">
        <f t="array" ref="E136">IF(H135&lt;&gt;"",E135,IF(E135="","",IFERROR(MATCH(TRUE(),INDEX(INDEX(K:K,E135+1):K203&lt;&gt;"",0),0)+E135,"")))</f>
        <v>277</v>
      </c>
      <c r="F136" s="663" cm="1">
        <f t="array" ref="F136">IF(E136="","",IF(H135&lt;&gt;"",H135,INDEX(D:D,E136)))</f>
        <v>0</v>
      </c>
      <c r="G136" s="663" t="str">
        <f t="shared" si="14"/>
        <v>0</v>
      </c>
      <c r="H136" s="673" t="str">
        <f t="shared" si="15"/>
        <v/>
      </c>
      <c r="I136" s="680" t="str">
        <f>IF(AND(F136&lt;&gt;"",N10&gt;0,M136&gt;N10),"Mot &gt; limite","")</f>
        <v/>
      </c>
      <c r="J136" s="674" t="str">
        <f>IF(K136="","",COUNTIF(K18:K136,"&lt;&gt;"))</f>
        <v/>
      </c>
      <c r="K136" s="675"/>
      <c r="L136" s="674" t="str">
        <f t="shared" si="16"/>
        <v/>
      </c>
      <c r="M136" s="643">
        <f>IF(OR(F136="",N10="",N10&lt;=0),"",IF(LEN(F136)&lt;=N10,LEN(F136),IFERROR(FIND("♦",SUBSTITUTE(LEFT(F136,N10)," ","♦",LEN(LEFT(F136,N10))-LEN(SUBSTITUTE(LEFT(F136,N10)," ","")))),FIND(" ",F136&amp;" ",N10+1)-1)))</f>
        <v>1</v>
      </c>
      <c r="N136" s="676">
        <f t="shared" si="17"/>
        <v>119</v>
      </c>
      <c r="O136" s="677" t="str">
        <f t="shared" si="18"/>
        <v>0</v>
      </c>
      <c r="P136" s="676">
        <f t="shared" si="19"/>
        <v>1</v>
      </c>
      <c r="Q136" s="676">
        <f t="shared" si="20"/>
        <v>1</v>
      </c>
      <c r="S136" s="553"/>
      <c r="T136" s="535" t="s">
        <v>5835</v>
      </c>
      <c r="U136" s="539" t="s">
        <v>5836</v>
      </c>
      <c r="V136" s="553"/>
      <c r="W136" s="553"/>
      <c r="X136" s="553"/>
      <c r="Y136" s="553"/>
      <c r="Z136" s="553"/>
      <c r="AA136" s="553"/>
      <c r="AB136" s="553"/>
      <c r="AC136" s="553"/>
      <c r="AD136" s="553"/>
      <c r="AE136" s="553"/>
      <c r="AF136" s="553"/>
      <c r="AG136" s="553"/>
      <c r="AH136" s="553"/>
      <c r="AI136" s="553"/>
      <c r="AJ136" s="553"/>
      <c r="AK136" s="553"/>
      <c r="DE136" s="494"/>
      <c r="DF136" s="496" t="s">
        <v>1398</v>
      </c>
      <c r="DG136" s="496" t="s">
        <v>1083</v>
      </c>
      <c r="DH136" s="496" t="s">
        <v>689</v>
      </c>
      <c r="DI136" s="496" t="s">
        <v>317</v>
      </c>
      <c r="DJ136" s="496" t="s">
        <v>317</v>
      </c>
      <c r="DK136" s="496" t="s">
        <v>1151</v>
      </c>
      <c r="DL136" s="496" t="s">
        <v>1152</v>
      </c>
      <c r="DM136" s="496" t="s">
        <v>1087</v>
      </c>
      <c r="DN136" s="497" t="s">
        <v>1153</v>
      </c>
      <c r="DP136" s="543">
        <v>1</v>
      </c>
    </row>
    <row r="137" spans="2:120" ht="30" customHeight="1">
      <c r="B137" s="663" t="str">
        <f t="shared" si="12"/>
        <v/>
      </c>
      <c r="C137" s="663" t="str">
        <f t="shared" si="13"/>
        <v/>
      </c>
      <c r="D137" s="663" t="str">
        <f>IF(UPPER(TRIM(N11))="X",C137,B137)</f>
        <v/>
      </c>
      <c r="E137" s="663" cm="1">
        <f t="array" ref="E137">IF(H136&lt;&gt;"",E136,IF(E136="","",IFERROR(MATCH(TRUE(),INDEX(INDEX(K:K,E136+1):K203&lt;&gt;"",0),0)+E136,"")))</f>
        <v>278</v>
      </c>
      <c r="F137" s="663" cm="1">
        <f t="array" ref="F137">IF(E137="","",IF(H136&lt;&gt;"",H136,INDEX(D:D,E137)))</f>
        <v>0</v>
      </c>
      <c r="G137" s="663" t="str">
        <f t="shared" si="14"/>
        <v>0</v>
      </c>
      <c r="H137" s="673" t="str">
        <f t="shared" si="15"/>
        <v/>
      </c>
      <c r="I137" s="680" t="str">
        <f>IF(AND(F137&lt;&gt;"",N10&gt;0,M137&gt;N10),"Mot &gt; limite","")</f>
        <v/>
      </c>
      <c r="J137" s="674" t="str">
        <f>IF(K137="","",COUNTIF(K18:K137,"&lt;&gt;"))</f>
        <v/>
      </c>
      <c r="K137" s="675"/>
      <c r="L137" s="674" t="str">
        <f t="shared" si="16"/>
        <v/>
      </c>
      <c r="M137" s="643">
        <f>IF(OR(F137="",N10="",N10&lt;=0),"",IF(LEN(F137)&lt;=N10,LEN(F137),IFERROR(FIND("♦",SUBSTITUTE(LEFT(F137,N10)," ","♦",LEN(LEFT(F137,N10))-LEN(SUBSTITUTE(LEFT(F137,N10)," ","")))),FIND(" ",F137&amp;" ",N10+1)-1)))</f>
        <v>1</v>
      </c>
      <c r="N137" s="676">
        <f t="shared" si="17"/>
        <v>120</v>
      </c>
      <c r="O137" s="677" t="str">
        <f t="shared" si="18"/>
        <v>0</v>
      </c>
      <c r="P137" s="676">
        <f t="shared" si="19"/>
        <v>1</v>
      </c>
      <c r="Q137" s="676">
        <f t="shared" si="20"/>
        <v>1</v>
      </c>
      <c r="S137" s="553"/>
      <c r="T137" s="541" t="s">
        <v>1164</v>
      </c>
      <c r="U137" s="539" t="s">
        <v>5910</v>
      </c>
      <c r="V137" s="553"/>
      <c r="W137" s="553"/>
      <c r="X137" s="553"/>
      <c r="Y137" s="553"/>
      <c r="Z137" s="553"/>
      <c r="AA137" s="553"/>
      <c r="AB137" s="553"/>
      <c r="AC137" s="553"/>
      <c r="AD137" s="553"/>
      <c r="AE137" s="553"/>
      <c r="AF137" s="553"/>
      <c r="AG137" s="553"/>
      <c r="AH137" s="553"/>
      <c r="AI137" s="553"/>
      <c r="AJ137" s="553"/>
      <c r="AK137" s="553"/>
      <c r="DE137" s="494"/>
      <c r="DF137" s="496" t="s">
        <v>1399</v>
      </c>
      <c r="DG137" s="496" t="s">
        <v>1083</v>
      </c>
      <c r="DH137" s="496" t="s">
        <v>689</v>
      </c>
      <c r="DI137" s="496" t="s">
        <v>118</v>
      </c>
      <c r="DJ137" s="496" t="s">
        <v>118</v>
      </c>
      <c r="DK137" s="496" t="s">
        <v>1085</v>
      </c>
      <c r="DL137" s="496" t="s">
        <v>1086</v>
      </c>
      <c r="DM137" s="496" t="s">
        <v>1087</v>
      </c>
      <c r="DN137" s="497" t="s">
        <v>1088</v>
      </c>
      <c r="DP137" s="543">
        <v>1</v>
      </c>
    </row>
    <row r="138" spans="2:120" ht="30" customHeight="1">
      <c r="B138" s="663" t="str">
        <f t="shared" si="12"/>
        <v/>
      </c>
      <c r="C138" s="663" t="str">
        <f t="shared" si="13"/>
        <v/>
      </c>
      <c r="D138" s="663" t="str">
        <f>IF(UPPER(TRIM(N11))="X",C138,B138)</f>
        <v/>
      </c>
      <c r="E138" s="663" cm="1">
        <f t="array" ref="E138">IF(H137&lt;&gt;"",E137,IF(E137="","",IFERROR(MATCH(TRUE(),INDEX(INDEX(K:K,E137+1):K203&lt;&gt;"",0),0)+E137,"")))</f>
        <v>279</v>
      </c>
      <c r="F138" s="663" cm="1">
        <f t="array" ref="F138">IF(E138="","",IF(H137&lt;&gt;"",H137,INDEX(D:D,E138)))</f>
        <v>0</v>
      </c>
      <c r="G138" s="663" t="str">
        <f t="shared" si="14"/>
        <v>0</v>
      </c>
      <c r="H138" s="673" t="str">
        <f t="shared" si="15"/>
        <v/>
      </c>
      <c r="I138" s="680" t="str">
        <f>IF(AND(F138&lt;&gt;"",N10&gt;0,M138&gt;N10),"Mot &gt; limite","")</f>
        <v/>
      </c>
      <c r="J138" s="674" t="str">
        <f>IF(K138="","",COUNTIF(K18:K138,"&lt;&gt;"))</f>
        <v/>
      </c>
      <c r="K138" s="675"/>
      <c r="L138" s="674" t="str">
        <f t="shared" si="16"/>
        <v/>
      </c>
      <c r="M138" s="643">
        <f>IF(OR(F138="",N10="",N10&lt;=0),"",IF(LEN(F138)&lt;=N10,LEN(F138),IFERROR(FIND("♦",SUBSTITUTE(LEFT(F138,N10)," ","♦",LEN(LEFT(F138,N10))-LEN(SUBSTITUTE(LEFT(F138,N10)," ","")))),FIND(" ",F138&amp;" ",N10+1)-1)))</f>
        <v>1</v>
      </c>
      <c r="N138" s="676">
        <f t="shared" si="17"/>
        <v>121</v>
      </c>
      <c r="O138" s="677" t="str">
        <f t="shared" si="18"/>
        <v>0</v>
      </c>
      <c r="P138" s="676">
        <f t="shared" si="19"/>
        <v>1</v>
      </c>
      <c r="Q138" s="676">
        <f t="shared" si="20"/>
        <v>1</v>
      </c>
      <c r="S138" s="553"/>
      <c r="T138" s="542"/>
      <c r="U138" s="539" t="s">
        <v>5911</v>
      </c>
      <c r="V138" s="553"/>
      <c r="W138" s="553"/>
      <c r="X138" s="553"/>
      <c r="Y138" s="553"/>
      <c r="Z138" s="553"/>
      <c r="AA138" s="553"/>
      <c r="AB138" s="553"/>
      <c r="AC138" s="553"/>
      <c r="AD138" s="553"/>
      <c r="AE138" s="553"/>
      <c r="AF138" s="553"/>
      <c r="AG138" s="553"/>
      <c r="AH138" s="553"/>
      <c r="AI138" s="553"/>
      <c r="AJ138" s="553"/>
      <c r="AK138" s="553"/>
      <c r="DE138" s="494"/>
      <c r="DF138" s="496" t="s">
        <v>1400</v>
      </c>
      <c r="DG138" s="496" t="s">
        <v>1083</v>
      </c>
      <c r="DH138" s="496" t="s">
        <v>689</v>
      </c>
      <c r="DI138" s="496" t="s">
        <v>194</v>
      </c>
      <c r="DJ138" s="496" t="s">
        <v>194</v>
      </c>
      <c r="DK138" s="496" t="s">
        <v>1085</v>
      </c>
      <c r="DL138" s="496" t="s">
        <v>1086</v>
      </c>
      <c r="DM138" s="496" t="s">
        <v>1087</v>
      </c>
      <c r="DN138" s="497" t="s">
        <v>1088</v>
      </c>
      <c r="DP138" s="543">
        <v>1</v>
      </c>
    </row>
    <row r="139" spans="2:120" ht="30" customHeight="1">
      <c r="B139" s="663" t="str">
        <f t="shared" si="12"/>
        <v/>
      </c>
      <c r="C139" s="663" t="str">
        <f t="shared" si="13"/>
        <v/>
      </c>
      <c r="D139" s="663" t="str">
        <f>IF(UPPER(TRIM(N11))="X",C139,B139)</f>
        <v/>
      </c>
      <c r="E139" s="663" cm="1">
        <f t="array" ref="E139">IF(H138&lt;&gt;"",E138,IF(E138="","",IFERROR(MATCH(TRUE(),INDEX(INDEX(K:K,E138+1):K203&lt;&gt;"",0),0)+E138,"")))</f>
        <v>280</v>
      </c>
      <c r="F139" s="663" cm="1">
        <f t="array" ref="F139">IF(E139="","",IF(H138&lt;&gt;"",H138,INDEX(D:D,E139)))</f>
        <v>0</v>
      </c>
      <c r="G139" s="663" t="str">
        <f t="shared" si="14"/>
        <v>0</v>
      </c>
      <c r="H139" s="673" t="str">
        <f t="shared" si="15"/>
        <v/>
      </c>
      <c r="I139" s="680" t="str">
        <f>IF(AND(F139&lt;&gt;"",N10&gt;0,M139&gt;N10),"Mot &gt; limite","")</f>
        <v/>
      </c>
      <c r="J139" s="674" t="str">
        <f>IF(K139="","",COUNTIF(K18:K139,"&lt;&gt;"))</f>
        <v/>
      </c>
      <c r="K139" s="675"/>
      <c r="L139" s="674" t="str">
        <f t="shared" si="16"/>
        <v/>
      </c>
      <c r="M139" s="643">
        <f>IF(OR(F139="",N10="",N10&lt;=0),"",IF(LEN(F139)&lt;=N10,LEN(F139),IFERROR(FIND("♦",SUBSTITUTE(LEFT(F139,N10)," ","♦",LEN(LEFT(F139,N10))-LEN(SUBSTITUTE(LEFT(F139,N10)," ","")))),FIND(" ",F139&amp;" ",N10+1)-1)))</f>
        <v>1</v>
      </c>
      <c r="N139" s="676">
        <f t="shared" si="17"/>
        <v>122</v>
      </c>
      <c r="O139" s="677" t="str">
        <f t="shared" si="18"/>
        <v>0</v>
      </c>
      <c r="P139" s="676">
        <f t="shared" si="19"/>
        <v>1</v>
      </c>
      <c r="Q139" s="676">
        <f t="shared" si="20"/>
        <v>1</v>
      </c>
      <c r="S139" s="553"/>
      <c r="T139" s="542"/>
      <c r="U139" s="539"/>
      <c r="V139" s="553"/>
      <c r="W139" s="553"/>
      <c r="X139" s="553"/>
      <c r="Y139" s="553"/>
      <c r="Z139" s="553"/>
      <c r="AA139" s="553"/>
      <c r="AB139" s="553"/>
      <c r="AC139" s="553"/>
      <c r="AD139" s="553"/>
      <c r="AE139" s="553"/>
      <c r="AF139" s="553"/>
      <c r="AG139" s="553"/>
      <c r="AH139" s="553"/>
      <c r="AI139" s="553"/>
      <c r="AJ139" s="553"/>
      <c r="AK139" s="553"/>
      <c r="DE139" s="494"/>
      <c r="DF139" s="496" t="s">
        <v>1401</v>
      </c>
      <c r="DG139" s="496" t="s">
        <v>1083</v>
      </c>
      <c r="DH139" s="496" t="s">
        <v>689</v>
      </c>
      <c r="DI139" s="496" t="s">
        <v>178</v>
      </c>
      <c r="DJ139" s="496" t="s">
        <v>178</v>
      </c>
      <c r="DK139" s="496" t="s">
        <v>1085</v>
      </c>
      <c r="DL139" s="496" t="s">
        <v>1086</v>
      </c>
      <c r="DM139" s="496" t="s">
        <v>1087</v>
      </c>
      <c r="DN139" s="497" t="s">
        <v>1088</v>
      </c>
      <c r="DP139" s="543">
        <v>1</v>
      </c>
    </row>
    <row r="140" spans="2:120" ht="30" customHeight="1">
      <c r="B140" s="663" t="str">
        <f t="shared" si="12"/>
        <v/>
      </c>
      <c r="C140" s="663" t="str">
        <f t="shared" si="13"/>
        <v/>
      </c>
      <c r="D140" s="663" t="str">
        <f>IF(UPPER(TRIM(N11))="X",C140,B140)</f>
        <v/>
      </c>
      <c r="E140" s="663" cm="1">
        <f t="array" ref="E140">IF(H139&lt;&gt;"",E139,IF(E139="","",IFERROR(MATCH(TRUE(),INDEX(INDEX(K:K,E139+1):K203&lt;&gt;"",0),0)+E139,"")))</f>
        <v>281</v>
      </c>
      <c r="F140" s="663" cm="1">
        <f t="array" ref="F140">IF(E140="","",IF(H139&lt;&gt;"",H139,INDEX(D:D,E140)))</f>
        <v>0</v>
      </c>
      <c r="G140" s="663" t="str">
        <f t="shared" si="14"/>
        <v>0</v>
      </c>
      <c r="H140" s="673" t="str">
        <f t="shared" si="15"/>
        <v/>
      </c>
      <c r="I140" s="680" t="str">
        <f>IF(AND(F140&lt;&gt;"",N10&gt;0,M140&gt;N10),"Mot &gt; limite","")</f>
        <v/>
      </c>
      <c r="J140" s="674" t="str">
        <f>IF(K140="","",COUNTIF(K18:K140,"&lt;&gt;"))</f>
        <v/>
      </c>
      <c r="K140" s="675"/>
      <c r="L140" s="674" t="str">
        <f t="shared" si="16"/>
        <v/>
      </c>
      <c r="M140" s="643">
        <f>IF(OR(F140="",N10="",N10&lt;=0),"",IF(LEN(F140)&lt;=N10,LEN(F140),IFERROR(FIND("♦",SUBSTITUTE(LEFT(F140,N10)," ","♦",LEN(LEFT(F140,N10))-LEN(SUBSTITUTE(LEFT(F140,N10)," ","")))),FIND(" ",F140&amp;" ",N10+1)-1)))</f>
        <v>1</v>
      </c>
      <c r="N140" s="676">
        <f t="shared" si="17"/>
        <v>123</v>
      </c>
      <c r="O140" s="677" t="str">
        <f t="shared" si="18"/>
        <v>0</v>
      </c>
      <c r="P140" s="676">
        <f t="shared" si="19"/>
        <v>1</v>
      </c>
      <c r="Q140" s="676">
        <f t="shared" si="20"/>
        <v>1</v>
      </c>
      <c r="S140" s="539"/>
      <c r="T140" s="556" t="s">
        <v>5912</v>
      </c>
      <c r="U140" s="557"/>
      <c r="V140" s="539"/>
      <c r="W140" s="539"/>
      <c r="X140" s="539"/>
      <c r="Y140" s="539"/>
      <c r="Z140" s="539"/>
      <c r="AA140" s="539"/>
      <c r="AB140" s="539"/>
      <c r="AC140" s="539"/>
      <c r="AD140" s="539"/>
      <c r="AE140" s="539"/>
      <c r="AF140" s="539"/>
      <c r="AG140" s="539"/>
      <c r="AH140" s="539"/>
      <c r="AI140" s="539"/>
      <c r="AJ140" s="539"/>
      <c r="AK140" s="539"/>
      <c r="DE140" s="494"/>
      <c r="DF140" s="496" t="s">
        <v>1402</v>
      </c>
      <c r="DG140" s="496" t="s">
        <v>1083</v>
      </c>
      <c r="DH140" s="496" t="s">
        <v>689</v>
      </c>
      <c r="DI140" s="496" t="s">
        <v>1403</v>
      </c>
      <c r="DJ140" s="496" t="s">
        <v>704</v>
      </c>
      <c r="DK140" s="496" t="s">
        <v>1085</v>
      </c>
      <c r="DL140" s="496" t="s">
        <v>1086</v>
      </c>
      <c r="DM140" s="496" t="s">
        <v>1087</v>
      </c>
      <c r="DN140" s="497" t="s">
        <v>1088</v>
      </c>
      <c r="DP140" s="543">
        <v>1</v>
      </c>
    </row>
    <row r="141" spans="2:120" ht="30" customHeight="1">
      <c r="B141" s="663" t="str">
        <f t="shared" si="12"/>
        <v/>
      </c>
      <c r="C141" s="663" t="str">
        <f t="shared" si="13"/>
        <v/>
      </c>
      <c r="D141" s="663" t="str">
        <f>IF(UPPER(TRIM(N11))="X",C141,B141)</f>
        <v/>
      </c>
      <c r="E141" s="663" cm="1">
        <f t="array" ref="E141">IF(H140&lt;&gt;"",E140,IF(E140="","",IFERROR(MATCH(TRUE(),INDEX(INDEX(K:K,E140+1):K203&lt;&gt;"",0),0)+E140,"")))</f>
        <v>282</v>
      </c>
      <c r="F141" s="663" cm="1">
        <f t="array" ref="F141">IF(E141="","",IF(H140&lt;&gt;"",H140,INDEX(D:D,E141)))</f>
        <v>0</v>
      </c>
      <c r="G141" s="663" t="str">
        <f t="shared" si="14"/>
        <v>0</v>
      </c>
      <c r="H141" s="673" t="str">
        <f t="shared" si="15"/>
        <v/>
      </c>
      <c r="I141" s="680" t="str">
        <f>IF(AND(F141&lt;&gt;"",N10&gt;0,M141&gt;N10),"Mot &gt; limite","")</f>
        <v/>
      </c>
      <c r="J141" s="674" t="str">
        <f>IF(K141="","",COUNTIF(K18:K141,"&lt;&gt;"))</f>
        <v/>
      </c>
      <c r="K141" s="675"/>
      <c r="L141" s="674" t="str">
        <f t="shared" si="16"/>
        <v/>
      </c>
      <c r="M141" s="643">
        <f>IF(OR(F141="",N10="",N10&lt;=0),"",IF(LEN(F141)&lt;=N10,LEN(F141),IFERROR(FIND("♦",SUBSTITUTE(LEFT(F141,N10)," ","♦",LEN(LEFT(F141,N10))-LEN(SUBSTITUTE(LEFT(F141,N10)," ","")))),FIND(" ",F141&amp;" ",N10+1)-1)))</f>
        <v>1</v>
      </c>
      <c r="N141" s="676">
        <f t="shared" si="17"/>
        <v>124</v>
      </c>
      <c r="O141" s="677" t="str">
        <f t="shared" si="18"/>
        <v>0</v>
      </c>
      <c r="P141" s="676">
        <f t="shared" si="19"/>
        <v>1</v>
      </c>
      <c r="Q141" s="676">
        <f t="shared" si="20"/>
        <v>1</v>
      </c>
      <c r="S141" s="539"/>
      <c r="T141" s="558" t="s">
        <v>5913</v>
      </c>
      <c r="U141" s="559" t="s">
        <v>5914</v>
      </c>
      <c r="V141" s="539"/>
      <c r="W141" s="539"/>
      <c r="X141" s="539"/>
      <c r="Y141" s="539"/>
      <c r="Z141" s="539"/>
      <c r="AA141" s="539"/>
      <c r="AB141" s="539"/>
      <c r="AC141" s="539"/>
      <c r="AD141" s="539"/>
      <c r="AE141" s="539"/>
      <c r="AF141" s="539"/>
      <c r="AG141" s="539"/>
      <c r="AH141" s="539"/>
      <c r="AI141" s="539"/>
      <c r="AJ141" s="539"/>
      <c r="AK141" s="539"/>
      <c r="DE141" s="494"/>
      <c r="DF141" s="496" t="s">
        <v>1404</v>
      </c>
      <c r="DG141" s="496" t="s">
        <v>1083</v>
      </c>
      <c r="DH141" s="496" t="s">
        <v>689</v>
      </c>
      <c r="DI141" s="496" t="s">
        <v>1405</v>
      </c>
      <c r="DJ141" s="496" t="s">
        <v>1405</v>
      </c>
      <c r="DK141" s="496" t="s">
        <v>1085</v>
      </c>
      <c r="DL141" s="496" t="s">
        <v>1086</v>
      </c>
      <c r="DM141" s="496" t="s">
        <v>1087</v>
      </c>
      <c r="DN141" s="497" t="s">
        <v>1088</v>
      </c>
      <c r="DP141" s="543">
        <v>1</v>
      </c>
    </row>
    <row r="142" spans="2:120" ht="30" customHeight="1">
      <c r="B142" s="663" t="str">
        <f t="shared" si="12"/>
        <v/>
      </c>
      <c r="C142" s="663" t="str">
        <f t="shared" si="13"/>
        <v/>
      </c>
      <c r="D142" s="663" t="str">
        <f>IF(UPPER(TRIM(N11))="X",C142,B142)</f>
        <v/>
      </c>
      <c r="E142" s="663" cm="1">
        <f t="array" ref="E142">IF(H141&lt;&gt;"",E141,IF(E141="","",IFERROR(MATCH(TRUE(),INDEX(INDEX(K:K,E141+1):K203&lt;&gt;"",0),0)+E141,"")))</f>
        <v>283</v>
      </c>
      <c r="F142" s="663" cm="1">
        <f t="array" ref="F142">IF(E142="","",IF(H141&lt;&gt;"",H141,INDEX(D:D,E142)))</f>
        <v>0</v>
      </c>
      <c r="G142" s="663" t="str">
        <f t="shared" si="14"/>
        <v>0</v>
      </c>
      <c r="H142" s="673" t="str">
        <f t="shared" si="15"/>
        <v/>
      </c>
      <c r="I142" s="680" t="str">
        <f>IF(AND(F142&lt;&gt;"",N10&gt;0,M142&gt;N10),"Mot &gt; limite","")</f>
        <v/>
      </c>
      <c r="J142" s="674" t="str">
        <f>IF(K142="","",COUNTIF(K18:K142,"&lt;&gt;"))</f>
        <v/>
      </c>
      <c r="K142" s="675"/>
      <c r="L142" s="674" t="str">
        <f t="shared" si="16"/>
        <v/>
      </c>
      <c r="M142" s="643">
        <f>IF(OR(F142="",N10="",N10&lt;=0),"",IF(LEN(F142)&lt;=N10,LEN(F142),IFERROR(FIND("♦",SUBSTITUTE(LEFT(F142,N10)," ","♦",LEN(LEFT(F142,N10))-LEN(SUBSTITUTE(LEFT(F142,N10)," ","")))),FIND(" ",F142&amp;" ",N10+1)-1)))</f>
        <v>1</v>
      </c>
      <c r="N142" s="676">
        <f t="shared" si="17"/>
        <v>125</v>
      </c>
      <c r="O142" s="677" t="str">
        <f t="shared" si="18"/>
        <v>0</v>
      </c>
      <c r="P142" s="676">
        <f t="shared" si="19"/>
        <v>1</v>
      </c>
      <c r="Q142" s="676">
        <f t="shared" si="20"/>
        <v>1</v>
      </c>
      <c r="S142" s="539"/>
      <c r="T142" s="558" t="s">
        <v>5915</v>
      </c>
      <c r="U142" s="559" t="s">
        <v>5916</v>
      </c>
      <c r="V142" s="539"/>
      <c r="W142" s="539"/>
      <c r="X142" s="539"/>
      <c r="Y142" s="539"/>
      <c r="Z142" s="539"/>
      <c r="AA142" s="539"/>
      <c r="AB142" s="539"/>
      <c r="AC142" s="539"/>
      <c r="AD142" s="539"/>
      <c r="AE142" s="539"/>
      <c r="AF142" s="539"/>
      <c r="AG142" s="539"/>
      <c r="AH142" s="539"/>
      <c r="AI142" s="539"/>
      <c r="AJ142" s="539"/>
      <c r="AK142" s="539"/>
      <c r="DE142" s="494"/>
      <c r="DF142" s="496" t="s">
        <v>1406</v>
      </c>
      <c r="DG142" s="496" t="s">
        <v>1083</v>
      </c>
      <c r="DH142" s="496" t="s">
        <v>689</v>
      </c>
      <c r="DI142" s="496" t="s">
        <v>1407</v>
      </c>
      <c r="DJ142" s="496" t="s">
        <v>1407</v>
      </c>
      <c r="DK142" s="496" t="s">
        <v>1085</v>
      </c>
      <c r="DL142" s="496" t="s">
        <v>1086</v>
      </c>
      <c r="DM142" s="496" t="s">
        <v>1087</v>
      </c>
      <c r="DN142" s="497" t="s">
        <v>1088</v>
      </c>
      <c r="DP142" s="543">
        <v>1</v>
      </c>
    </row>
    <row r="143" spans="2:120" ht="30" customHeight="1">
      <c r="B143" s="663" t="str">
        <f t="shared" si="12"/>
        <v/>
      </c>
      <c r="C143" s="663" t="str">
        <f t="shared" si="13"/>
        <v/>
      </c>
      <c r="D143" s="663" t="str">
        <f>IF(UPPER(TRIM(N11))="X",C143,B143)</f>
        <v/>
      </c>
      <c r="E143" s="663" cm="1">
        <f t="array" ref="E143">IF(H142&lt;&gt;"",E142,IF(E142="","",IFERROR(MATCH(TRUE(),INDEX(INDEX(K:K,E142+1):K203&lt;&gt;"",0),0)+E142,"")))</f>
        <v>284</v>
      </c>
      <c r="F143" s="663" cm="1">
        <f t="array" ref="F143">IF(E143="","",IF(H142&lt;&gt;"",H142,INDEX(D:D,E143)))</f>
        <v>0</v>
      </c>
      <c r="G143" s="663" t="str">
        <f t="shared" si="14"/>
        <v>0</v>
      </c>
      <c r="H143" s="673" t="str">
        <f t="shared" si="15"/>
        <v/>
      </c>
      <c r="I143" s="680" t="str">
        <f>IF(AND(F143&lt;&gt;"",N10&gt;0,M143&gt;N10),"Mot &gt; limite","")</f>
        <v/>
      </c>
      <c r="J143" s="674" t="str">
        <f>IF(K143="","",COUNTIF(K18:K143,"&lt;&gt;"))</f>
        <v/>
      </c>
      <c r="K143" s="675"/>
      <c r="L143" s="674" t="str">
        <f t="shared" si="16"/>
        <v/>
      </c>
      <c r="M143" s="643">
        <f>IF(OR(F143="",N10="",N10&lt;=0),"",IF(LEN(F143)&lt;=N10,LEN(F143),IFERROR(FIND("♦",SUBSTITUTE(LEFT(F143,N10)," ","♦",LEN(LEFT(F143,N10))-LEN(SUBSTITUTE(LEFT(F143,N10)," ","")))),FIND(" ",F143&amp;" ",N10+1)-1)))</f>
        <v>1</v>
      </c>
      <c r="N143" s="676">
        <f t="shared" si="17"/>
        <v>126</v>
      </c>
      <c r="O143" s="677" t="str">
        <f t="shared" si="18"/>
        <v>0</v>
      </c>
      <c r="P143" s="676">
        <f t="shared" si="19"/>
        <v>1</v>
      </c>
      <c r="Q143" s="676">
        <f t="shared" si="20"/>
        <v>1</v>
      </c>
      <c r="S143" s="539"/>
      <c r="T143" s="558"/>
      <c r="U143" s="559" t="s">
        <v>5917</v>
      </c>
      <c r="V143" s="539"/>
      <c r="W143" s="539"/>
      <c r="X143" s="539"/>
      <c r="Y143" s="539"/>
      <c r="Z143" s="539"/>
      <c r="AA143" s="539"/>
      <c r="AB143" s="539"/>
      <c r="AC143" s="539"/>
      <c r="AD143" s="539"/>
      <c r="AE143" s="539"/>
      <c r="AF143" s="539"/>
      <c r="AG143" s="539"/>
      <c r="AH143" s="539"/>
      <c r="AI143" s="539"/>
      <c r="AJ143" s="539"/>
      <c r="AK143" s="539"/>
      <c r="DE143" s="494"/>
      <c r="DF143" s="496" t="s">
        <v>1408</v>
      </c>
      <c r="DG143" s="496" t="s">
        <v>1083</v>
      </c>
      <c r="DH143" s="496" t="s">
        <v>689</v>
      </c>
      <c r="DI143" s="496" t="s">
        <v>1409</v>
      </c>
      <c r="DJ143" s="496" t="s">
        <v>1409</v>
      </c>
      <c r="DK143" s="496" t="s">
        <v>1085</v>
      </c>
      <c r="DL143" s="496" t="s">
        <v>1086</v>
      </c>
      <c r="DM143" s="496" t="s">
        <v>1087</v>
      </c>
      <c r="DN143" s="497" t="s">
        <v>1088</v>
      </c>
      <c r="DP143" s="543">
        <v>1</v>
      </c>
    </row>
    <row r="144" spans="2:120" ht="30" customHeight="1">
      <c r="B144" s="663" t="str">
        <f t="shared" si="12"/>
        <v/>
      </c>
      <c r="C144" s="663" t="str">
        <f t="shared" si="13"/>
        <v/>
      </c>
      <c r="D144" s="663" t="str">
        <f>IF(UPPER(TRIM(N11))="X",C144,B144)</f>
        <v/>
      </c>
      <c r="E144" s="663" cm="1">
        <f t="array" ref="E144">IF(H143&lt;&gt;"",E143,IF(E143="","",IFERROR(MATCH(TRUE(),INDEX(INDEX(K:K,E143+1):K203&lt;&gt;"",0),0)+E143,"")))</f>
        <v>285</v>
      </c>
      <c r="F144" s="663" cm="1">
        <f t="array" ref="F144">IF(E144="","",IF(H143&lt;&gt;"",H143,INDEX(D:D,E144)))</f>
        <v>0</v>
      </c>
      <c r="G144" s="663" t="str">
        <f t="shared" si="14"/>
        <v>0</v>
      </c>
      <c r="H144" s="673" t="str">
        <f t="shared" si="15"/>
        <v/>
      </c>
      <c r="I144" s="680" t="str">
        <f>IF(AND(F144&lt;&gt;"",N10&gt;0,M144&gt;N10),"Mot &gt; limite","")</f>
        <v/>
      </c>
      <c r="J144" s="674" t="str">
        <f>IF(K144="","",COUNTIF(K18:K144,"&lt;&gt;"))</f>
        <v/>
      </c>
      <c r="K144" s="675"/>
      <c r="L144" s="674" t="str">
        <f t="shared" si="16"/>
        <v/>
      </c>
      <c r="M144" s="643">
        <f>IF(OR(F144="",N10="",N10&lt;=0),"",IF(LEN(F144)&lt;=N10,LEN(F144),IFERROR(FIND("♦",SUBSTITUTE(LEFT(F144,N10)," ","♦",LEN(LEFT(F144,N10))-LEN(SUBSTITUTE(LEFT(F144,N10)," ","")))),FIND(" ",F144&amp;" ",N10+1)-1)))</f>
        <v>1</v>
      </c>
      <c r="N144" s="676">
        <f t="shared" si="17"/>
        <v>127</v>
      </c>
      <c r="O144" s="677" t="str">
        <f t="shared" si="18"/>
        <v>0</v>
      </c>
      <c r="P144" s="676">
        <f t="shared" si="19"/>
        <v>1</v>
      </c>
      <c r="Q144" s="676">
        <f t="shared" si="20"/>
        <v>1</v>
      </c>
      <c r="S144" s="539"/>
      <c r="T144" s="558" t="s">
        <v>5918</v>
      </c>
      <c r="U144" s="559" t="s">
        <v>5919</v>
      </c>
      <c r="V144" s="539"/>
      <c r="W144" s="539"/>
      <c r="X144" s="539"/>
      <c r="Y144" s="539"/>
      <c r="Z144" s="539"/>
      <c r="AA144" s="539"/>
      <c r="AB144" s="539"/>
      <c r="AC144" s="539"/>
      <c r="AD144" s="539"/>
      <c r="AE144" s="539"/>
      <c r="AF144" s="539"/>
      <c r="AG144" s="539"/>
      <c r="AH144" s="539"/>
      <c r="AI144" s="539"/>
      <c r="AJ144" s="539"/>
      <c r="AK144" s="539"/>
      <c r="DE144" s="494"/>
      <c r="DF144" s="496" t="s">
        <v>1410</v>
      </c>
      <c r="DG144" s="496" t="s">
        <v>1083</v>
      </c>
      <c r="DH144" s="496" t="s">
        <v>689</v>
      </c>
      <c r="DI144" s="496" t="s">
        <v>1411</v>
      </c>
      <c r="DJ144" s="496" t="s">
        <v>189</v>
      </c>
      <c r="DK144" s="496" t="s">
        <v>1085</v>
      </c>
      <c r="DL144" s="496" t="s">
        <v>1086</v>
      </c>
      <c r="DM144" s="496" t="s">
        <v>1087</v>
      </c>
      <c r="DN144" s="497" t="s">
        <v>1088</v>
      </c>
      <c r="DP144" s="543">
        <v>1</v>
      </c>
    </row>
    <row r="145" spans="2:120" ht="30" customHeight="1">
      <c r="B145" s="663" t="str">
        <f t="shared" si="12"/>
        <v/>
      </c>
      <c r="C145" s="663" t="str">
        <f t="shared" si="13"/>
        <v/>
      </c>
      <c r="D145" s="663" t="str">
        <f>IF(UPPER(TRIM(N11))="X",C145,B145)</f>
        <v/>
      </c>
      <c r="E145" s="663" cm="1">
        <f t="array" ref="E145">IF(H144&lt;&gt;"",E144,IF(E144="","",IFERROR(MATCH(TRUE(),INDEX(INDEX(K:K,E144+1):K203&lt;&gt;"",0),0)+E144,"")))</f>
        <v>286</v>
      </c>
      <c r="F145" s="663" cm="1">
        <f t="array" ref="F145">IF(E145="","",IF(H144&lt;&gt;"",H144,INDEX(D:D,E145)))</f>
        <v>0</v>
      </c>
      <c r="G145" s="663" t="str">
        <f t="shared" si="14"/>
        <v>0</v>
      </c>
      <c r="H145" s="673" t="str">
        <f t="shared" si="15"/>
        <v/>
      </c>
      <c r="I145" s="680" t="str">
        <f>IF(AND(F145&lt;&gt;"",N10&gt;0,M145&gt;N10),"Mot &gt; limite","")</f>
        <v/>
      </c>
      <c r="J145" s="674" t="str">
        <f>IF(K145="","",COUNTIF(K18:K145,"&lt;&gt;"))</f>
        <v/>
      </c>
      <c r="K145" s="675"/>
      <c r="L145" s="674" t="str">
        <f t="shared" si="16"/>
        <v/>
      </c>
      <c r="M145" s="643">
        <f>IF(OR(F145="",N10="",N10&lt;=0),"",IF(LEN(F145)&lt;=N10,LEN(F145),IFERROR(FIND("♦",SUBSTITUTE(LEFT(F145,N10)," ","♦",LEN(LEFT(F145,N10))-LEN(SUBSTITUTE(LEFT(F145,N10)," ","")))),FIND(" ",F145&amp;" ",N10+1)-1)))</f>
        <v>1</v>
      </c>
      <c r="N145" s="676">
        <f t="shared" si="17"/>
        <v>128</v>
      </c>
      <c r="O145" s="677" t="str">
        <f t="shared" si="18"/>
        <v>0</v>
      </c>
      <c r="P145" s="676">
        <f t="shared" si="19"/>
        <v>1</v>
      </c>
      <c r="Q145" s="676">
        <f t="shared" si="20"/>
        <v>1</v>
      </c>
      <c r="S145" s="539"/>
      <c r="T145" s="558"/>
      <c r="U145" s="559" t="s">
        <v>5920</v>
      </c>
      <c r="V145" s="539"/>
      <c r="W145" s="539"/>
      <c r="X145" s="539"/>
      <c r="Y145" s="539"/>
      <c r="Z145" s="539"/>
      <c r="AA145" s="539"/>
      <c r="AB145" s="539"/>
      <c r="AC145" s="539"/>
      <c r="AD145" s="539"/>
      <c r="AE145" s="539"/>
      <c r="AF145" s="539"/>
      <c r="AG145" s="539"/>
      <c r="AH145" s="539"/>
      <c r="AI145" s="539"/>
      <c r="AJ145" s="539"/>
      <c r="AK145" s="539"/>
      <c r="DE145" s="494"/>
      <c r="DF145" s="496" t="s">
        <v>1412</v>
      </c>
      <c r="DG145" s="496" t="s">
        <v>1083</v>
      </c>
      <c r="DH145" s="496" t="s">
        <v>689</v>
      </c>
      <c r="DI145" s="496" t="s">
        <v>927</v>
      </c>
      <c r="DJ145" s="496" t="s">
        <v>927</v>
      </c>
      <c r="DK145" s="496" t="s">
        <v>1085</v>
      </c>
      <c r="DL145" s="496" t="s">
        <v>1086</v>
      </c>
      <c r="DM145" s="496" t="s">
        <v>1087</v>
      </c>
      <c r="DN145" s="497" t="s">
        <v>1088</v>
      </c>
      <c r="DP145" s="543">
        <v>1</v>
      </c>
    </row>
    <row r="146" spans="2:120" ht="30" customHeight="1">
      <c r="B146" s="663" t="str">
        <f t="shared" ref="B146:B203" si="21">IF(TRIM(SUBSTITUTE(K146,CHAR(160),""))="","",TRIM(SUBSTITUTE(SUBSTITUTE(SUBSTITUTE(SUBSTITUTE(CLEAN(K146),CHAR(160)," "),CHAR(9)," "),CHAR(10)," "),CHAR(13)," ")))</f>
        <v/>
      </c>
      <c r="C146" s="663" t="str">
        <f t="shared" ref="C146:C203" si="22">IF(B146="","",TRIM(SUBSTITUTE(SUBSTITUTE(SUBSTITUTE(SUBSTITUTE(SUBSTITUTE(SUBSTITUTE(SUBSTITUTE(SUBSTITUTE(SUBSTITUTE(SUBSTITUTE(B146,","," "),";"," "),":"," "),"."," "),"?"," "), "!"," "),"/"," "), "("," "), ")"," "), "-"," ")))</f>
        <v/>
      </c>
      <c r="D146" s="663" t="str">
        <f>IF(UPPER(TRIM(N11))="X",C146,B146)</f>
        <v/>
      </c>
      <c r="E146" s="663" cm="1">
        <f t="array" ref="E146">IF(H145&lt;&gt;"",E145,IF(E145="","",IFERROR(MATCH(TRUE(),INDEX(INDEX(K:K,E145+1):K203&lt;&gt;"",0),0)+E145,"")))</f>
        <v>287</v>
      </c>
      <c r="F146" s="663" cm="1">
        <f t="array" ref="F146">IF(E146="","",IF(H145&lt;&gt;"",H145,INDEX(D:D,E146)))</f>
        <v>0</v>
      </c>
      <c r="G146" s="663" t="str">
        <f t="shared" ref="G146:G209" si="23">IF(OR(F146="",M146=""),"",LEFT(F146,M146))</f>
        <v>0</v>
      </c>
      <c r="H146" s="673" t="str">
        <f t="shared" ref="H146:H209" si="24">IF(OR(F146="",M146=""),"",TRIM(MID(F146,M146+1,99999)))</f>
        <v/>
      </c>
      <c r="I146" s="680" t="str">
        <f>IF(AND(F146&lt;&gt;"",N10&gt;0,M146&gt;N10),"Mot &gt; limite","")</f>
        <v/>
      </c>
      <c r="J146" s="674" t="str">
        <f>IF(K146="","",COUNTIF(K18:K146,"&lt;&gt;"))</f>
        <v/>
      </c>
      <c r="K146" s="675"/>
      <c r="L146" s="674" t="str">
        <f t="shared" ref="L146:L203" si="25">IF(TRIM(SUBSTITUTE(K146,CHAR(160),""))="","",LEN(K146))</f>
        <v/>
      </c>
      <c r="M146" s="643">
        <f>IF(OR(F146="",N10="",N10&lt;=0),"",IF(LEN(F146)&lt;=N10,LEN(F146),IFERROR(FIND("♦",SUBSTITUTE(LEFT(F146,N10)," ","♦",LEN(LEFT(F146,N10))-LEN(SUBSTITUTE(LEFT(F146,N10)," ","")))),FIND(" ",F146&amp;" ",N10+1)-1)))</f>
        <v>1</v>
      </c>
      <c r="N146" s="676">
        <f t="shared" ref="N146:N209" si="26">IF(O146="","",ROW()-17)</f>
        <v>129</v>
      </c>
      <c r="O146" s="677" t="str">
        <f t="shared" ref="O146:O209" si="27">G146</f>
        <v>0</v>
      </c>
      <c r="P146" s="676">
        <f t="shared" ref="P146:P209" si="28">IF(O146="","",LEN(TRIM(O146))-LEN(SUBSTITUTE(TRIM(O146)," ",""))+1)</f>
        <v>1</v>
      </c>
      <c r="Q146" s="676">
        <f t="shared" ref="Q146:Q209" si="29">IF(O146="","",LEN(O146))</f>
        <v>1</v>
      </c>
      <c r="S146" s="539"/>
      <c r="T146" s="560"/>
      <c r="U146" s="560"/>
      <c r="V146" s="539"/>
      <c r="W146" s="539"/>
      <c r="X146" s="539"/>
      <c r="Y146" s="539"/>
      <c r="Z146" s="539"/>
      <c r="AA146" s="539"/>
      <c r="AB146" s="539"/>
      <c r="AC146" s="539"/>
      <c r="AD146" s="539"/>
      <c r="AE146" s="539"/>
      <c r="AF146" s="539"/>
      <c r="AG146" s="539"/>
      <c r="AH146" s="539"/>
      <c r="AI146" s="539"/>
      <c r="AJ146" s="539"/>
      <c r="AK146" s="539"/>
      <c r="DE146" s="494"/>
      <c r="DF146" s="496" t="s">
        <v>1413</v>
      </c>
      <c r="DG146" s="496" t="s">
        <v>1083</v>
      </c>
      <c r="DH146" s="496" t="s">
        <v>689</v>
      </c>
      <c r="DI146" s="496" t="s">
        <v>318</v>
      </c>
      <c r="DJ146" s="496" t="s">
        <v>318</v>
      </c>
      <c r="DK146" s="496" t="s">
        <v>1151</v>
      </c>
      <c r="DL146" s="496" t="s">
        <v>1152</v>
      </c>
      <c r="DM146" s="496" t="s">
        <v>1087</v>
      </c>
      <c r="DN146" s="497" t="s">
        <v>1153</v>
      </c>
      <c r="DP146" s="543">
        <v>1</v>
      </c>
    </row>
    <row r="147" spans="2:120" ht="30" customHeight="1">
      <c r="B147" s="663" t="str">
        <f t="shared" si="21"/>
        <v/>
      </c>
      <c r="C147" s="663" t="str">
        <f t="shared" si="22"/>
        <v/>
      </c>
      <c r="D147" s="663" t="str">
        <f>IF(UPPER(TRIM(N11))="X",C147,B147)</f>
        <v/>
      </c>
      <c r="E147" s="663" cm="1">
        <f t="array" ref="E147">IF(H146&lt;&gt;"",E146,IF(E146="","",IFERROR(MATCH(TRUE(),INDEX(INDEX(K:K,E146+1):K203&lt;&gt;"",0),0)+E146,"")))</f>
        <v>288</v>
      </c>
      <c r="F147" s="663" cm="1">
        <f t="array" ref="F147">IF(E147="","",IF(H146&lt;&gt;"",H146,INDEX(D:D,E147)))</f>
        <v>0</v>
      </c>
      <c r="G147" s="663" t="str">
        <f t="shared" si="23"/>
        <v>0</v>
      </c>
      <c r="H147" s="673" t="str">
        <f t="shared" si="24"/>
        <v/>
      </c>
      <c r="I147" s="680" t="str">
        <f>IF(AND(F147&lt;&gt;"",N10&gt;0,M147&gt;N10),"Mot &gt; limite","")</f>
        <v/>
      </c>
      <c r="J147" s="674" t="str">
        <f>IF(K147="","",COUNTIF(K18:K147,"&lt;&gt;"))</f>
        <v/>
      </c>
      <c r="K147" s="675"/>
      <c r="L147" s="674" t="str">
        <f t="shared" si="25"/>
        <v/>
      </c>
      <c r="M147" s="643">
        <f>IF(OR(F147="",N10="",N10&lt;=0),"",IF(LEN(F147)&lt;=N10,LEN(F147),IFERROR(FIND("♦",SUBSTITUTE(LEFT(F147,N10)," ","♦",LEN(LEFT(F147,N10))-LEN(SUBSTITUTE(LEFT(F147,N10)," ","")))),FIND(" ",F147&amp;" ",N10+1)-1)))</f>
        <v>1</v>
      </c>
      <c r="N147" s="676">
        <f t="shared" si="26"/>
        <v>130</v>
      </c>
      <c r="O147" s="677" t="str">
        <f t="shared" si="27"/>
        <v>0</v>
      </c>
      <c r="P147" s="676">
        <f t="shared" si="28"/>
        <v>1</v>
      </c>
      <c r="Q147" s="676">
        <f t="shared" si="29"/>
        <v>1</v>
      </c>
      <c r="S147" s="539"/>
      <c r="T147" s="561" t="s">
        <v>5921</v>
      </c>
      <c r="U147" s="561" t="s">
        <v>5922</v>
      </c>
      <c r="V147" s="553"/>
      <c r="W147" s="553"/>
      <c r="X147" s="539"/>
      <c r="Y147" s="539"/>
      <c r="Z147" s="539"/>
      <c r="AA147" s="553"/>
      <c r="AB147" s="539"/>
      <c r="AC147" s="539"/>
      <c r="AD147" s="553"/>
      <c r="AE147" s="539"/>
      <c r="AF147" s="539"/>
      <c r="AG147" s="539"/>
      <c r="AH147" s="539"/>
      <c r="AI147" s="539"/>
      <c r="AJ147" s="539"/>
      <c r="AK147" s="539"/>
      <c r="DE147" s="494"/>
      <c r="DF147" s="496" t="s">
        <v>1414</v>
      </c>
      <c r="DG147" s="496" t="s">
        <v>1083</v>
      </c>
      <c r="DH147" s="496" t="s">
        <v>689</v>
      </c>
      <c r="DI147" s="496" t="s">
        <v>1415</v>
      </c>
      <c r="DJ147" s="496" t="s">
        <v>1415</v>
      </c>
      <c r="DK147" s="496" t="s">
        <v>1085</v>
      </c>
      <c r="DL147" s="496" t="s">
        <v>1086</v>
      </c>
      <c r="DM147" s="496" t="s">
        <v>1087</v>
      </c>
      <c r="DN147" s="497" t="s">
        <v>1088</v>
      </c>
      <c r="DP147" s="543">
        <v>1</v>
      </c>
    </row>
    <row r="148" spans="2:120" ht="30" customHeight="1">
      <c r="B148" s="663" t="str">
        <f t="shared" si="21"/>
        <v/>
      </c>
      <c r="C148" s="663" t="str">
        <f t="shared" si="22"/>
        <v/>
      </c>
      <c r="D148" s="663" t="str">
        <f>IF(UPPER(TRIM(N11))="X",C148,B148)</f>
        <v/>
      </c>
      <c r="E148" s="663" cm="1">
        <f t="array" ref="E148">IF(H147&lt;&gt;"",E147,IF(E147="","",IFERROR(MATCH(TRUE(),INDEX(INDEX(K:K,E147+1):K203&lt;&gt;"",0),0)+E147,"")))</f>
        <v>289</v>
      </c>
      <c r="F148" s="663" cm="1">
        <f t="array" ref="F148">IF(E148="","",IF(H147&lt;&gt;"",H147,INDEX(D:D,E148)))</f>
        <v>0</v>
      </c>
      <c r="G148" s="663" t="str">
        <f t="shared" si="23"/>
        <v>0</v>
      </c>
      <c r="H148" s="673" t="str">
        <f t="shared" si="24"/>
        <v/>
      </c>
      <c r="I148" s="680" t="str">
        <f>IF(AND(F148&lt;&gt;"",N10&gt;0,M148&gt;N10),"Mot &gt; limite","")</f>
        <v/>
      </c>
      <c r="J148" s="674" t="str">
        <f>IF(K148="","",COUNTIF(K18:K148,"&lt;&gt;"))</f>
        <v/>
      </c>
      <c r="K148" s="675"/>
      <c r="L148" s="674" t="str">
        <f t="shared" si="25"/>
        <v/>
      </c>
      <c r="M148" s="643">
        <f>IF(OR(F148="",N10="",N10&lt;=0),"",IF(LEN(F148)&lt;=N10,LEN(F148),IFERROR(FIND("♦",SUBSTITUTE(LEFT(F148,N10)," ","♦",LEN(LEFT(F148,N10))-LEN(SUBSTITUTE(LEFT(F148,N10)," ","")))),FIND(" ",F148&amp;" ",N10+1)-1)))</f>
        <v>1</v>
      </c>
      <c r="N148" s="676">
        <f t="shared" si="26"/>
        <v>131</v>
      </c>
      <c r="O148" s="677" t="str">
        <f t="shared" si="27"/>
        <v>0</v>
      </c>
      <c r="P148" s="676">
        <f t="shared" si="28"/>
        <v>1</v>
      </c>
      <c r="Q148" s="676">
        <f t="shared" si="29"/>
        <v>1</v>
      </c>
      <c r="S148" s="539"/>
      <c r="T148" s="562" t="s">
        <v>5923</v>
      </c>
      <c r="U148" s="559" t="s">
        <v>5924</v>
      </c>
      <c r="V148" s="553"/>
      <c r="W148" s="553"/>
      <c r="X148" s="539"/>
      <c r="Y148" s="539"/>
      <c r="Z148" s="539"/>
      <c r="AA148" s="553"/>
      <c r="AB148" s="539"/>
      <c r="AC148" s="539"/>
      <c r="AD148" s="553"/>
      <c r="AE148" s="539"/>
      <c r="AF148" s="539"/>
      <c r="AG148" s="539"/>
      <c r="AH148" s="539"/>
      <c r="AI148" s="539"/>
      <c r="AJ148" s="539"/>
      <c r="AK148" s="539"/>
      <c r="DE148" s="494"/>
      <c r="DF148" s="496" t="s">
        <v>1416</v>
      </c>
      <c r="DG148" s="496" t="s">
        <v>1083</v>
      </c>
      <c r="DH148" s="496" t="s">
        <v>689</v>
      </c>
      <c r="DI148" s="496" t="s">
        <v>1417</v>
      </c>
      <c r="DJ148" s="496" t="s">
        <v>1417</v>
      </c>
      <c r="DK148" s="496" t="s">
        <v>1085</v>
      </c>
      <c r="DL148" s="496" t="s">
        <v>1086</v>
      </c>
      <c r="DM148" s="496" t="s">
        <v>1087</v>
      </c>
      <c r="DN148" s="497" t="s">
        <v>1088</v>
      </c>
      <c r="DP148" s="543">
        <v>1</v>
      </c>
    </row>
    <row r="149" spans="2:120" ht="30" customHeight="1">
      <c r="B149" s="663" t="str">
        <f t="shared" si="21"/>
        <v/>
      </c>
      <c r="C149" s="663" t="str">
        <f t="shared" si="22"/>
        <v/>
      </c>
      <c r="D149" s="663" t="str">
        <f>IF(UPPER(TRIM(N11))="X",C149,B149)</f>
        <v/>
      </c>
      <c r="E149" s="663" cm="1">
        <f t="array" ref="E149">IF(H148&lt;&gt;"",E148,IF(E148="","",IFERROR(MATCH(TRUE(),INDEX(INDEX(K:K,E148+1):K203&lt;&gt;"",0),0)+E148,"")))</f>
        <v>290</v>
      </c>
      <c r="F149" s="663" cm="1">
        <f t="array" ref="F149">IF(E149="","",IF(H148&lt;&gt;"",H148,INDEX(D:D,E149)))</f>
        <v>0</v>
      </c>
      <c r="G149" s="663" t="str">
        <f t="shared" si="23"/>
        <v>0</v>
      </c>
      <c r="H149" s="673" t="str">
        <f t="shared" si="24"/>
        <v/>
      </c>
      <c r="I149" s="680" t="str">
        <f>IF(AND(F149&lt;&gt;"",N10&gt;0,M149&gt;N10),"Mot &gt; limite","")</f>
        <v/>
      </c>
      <c r="J149" s="674" t="str">
        <f>IF(K149="","",COUNTIF(K18:K149,"&lt;&gt;"))</f>
        <v/>
      </c>
      <c r="K149" s="675"/>
      <c r="L149" s="674" t="str">
        <f t="shared" si="25"/>
        <v/>
      </c>
      <c r="M149" s="643">
        <f>IF(OR(F149="",N10="",N10&lt;=0),"",IF(LEN(F149)&lt;=N10,LEN(F149),IFERROR(FIND("♦",SUBSTITUTE(LEFT(F149,N10)," ","♦",LEN(LEFT(F149,N10))-LEN(SUBSTITUTE(LEFT(F149,N10)," ","")))),FIND(" ",F149&amp;" ",N10+1)-1)))</f>
        <v>1</v>
      </c>
      <c r="N149" s="676">
        <f t="shared" si="26"/>
        <v>132</v>
      </c>
      <c r="O149" s="677" t="str">
        <f t="shared" si="27"/>
        <v>0</v>
      </c>
      <c r="P149" s="676">
        <f t="shared" si="28"/>
        <v>1</v>
      </c>
      <c r="Q149" s="676">
        <f t="shared" si="29"/>
        <v>1</v>
      </c>
      <c r="S149" s="539"/>
      <c r="T149" s="562" t="s">
        <v>5925</v>
      </c>
      <c r="U149" s="559" t="s">
        <v>5926</v>
      </c>
      <c r="V149" s="553"/>
      <c r="W149" s="553"/>
      <c r="X149" s="539"/>
      <c r="Y149" s="539"/>
      <c r="Z149" s="539"/>
      <c r="AA149" s="553"/>
      <c r="AB149" s="539"/>
      <c r="AC149" s="539"/>
      <c r="AD149" s="553"/>
      <c r="AE149" s="539"/>
      <c r="AF149" s="539"/>
      <c r="AG149" s="539"/>
      <c r="AH149" s="539"/>
      <c r="AI149" s="539"/>
      <c r="AJ149" s="539"/>
      <c r="AK149" s="539"/>
      <c r="DE149" s="494"/>
      <c r="DF149" s="496" t="s">
        <v>1418</v>
      </c>
      <c r="DG149" s="496" t="s">
        <v>1083</v>
      </c>
      <c r="DH149" s="496" t="s">
        <v>689</v>
      </c>
      <c r="DI149" s="496" t="s">
        <v>1419</v>
      </c>
      <c r="DJ149" s="496" t="s">
        <v>928</v>
      </c>
      <c r="DK149" s="496" t="s">
        <v>1085</v>
      </c>
      <c r="DL149" s="496" t="s">
        <v>1086</v>
      </c>
      <c r="DM149" s="496" t="s">
        <v>1087</v>
      </c>
      <c r="DN149" s="497" t="s">
        <v>1088</v>
      </c>
      <c r="DP149" s="543">
        <v>1</v>
      </c>
    </row>
    <row r="150" spans="2:120" ht="30" customHeight="1">
      <c r="B150" s="663" t="str">
        <f t="shared" si="21"/>
        <v/>
      </c>
      <c r="C150" s="663" t="str">
        <f t="shared" si="22"/>
        <v/>
      </c>
      <c r="D150" s="663" t="str">
        <f>IF(UPPER(TRIM(N11))="X",C150,B150)</f>
        <v/>
      </c>
      <c r="E150" s="663" cm="1">
        <f t="array" ref="E150">IF(H149&lt;&gt;"",E149,IF(E149="","",IFERROR(MATCH(TRUE(),INDEX(INDEX(K:K,E149+1):K203&lt;&gt;"",0),0)+E149,"")))</f>
        <v>291</v>
      </c>
      <c r="F150" s="663" cm="1">
        <f t="array" ref="F150">IF(E150="","",IF(H149&lt;&gt;"",H149,INDEX(D:D,E150)))</f>
        <v>0</v>
      </c>
      <c r="G150" s="663" t="str">
        <f t="shared" si="23"/>
        <v>0</v>
      </c>
      <c r="H150" s="673" t="str">
        <f t="shared" si="24"/>
        <v/>
      </c>
      <c r="I150" s="680" t="str">
        <f>IF(AND(F150&lt;&gt;"",N10&gt;0,M150&gt;N10),"Mot &gt; limite","")</f>
        <v/>
      </c>
      <c r="J150" s="674" t="str">
        <f>IF(K150="","",COUNTIF(K18:K150,"&lt;&gt;"))</f>
        <v/>
      </c>
      <c r="K150" s="675"/>
      <c r="L150" s="674" t="str">
        <f t="shared" si="25"/>
        <v/>
      </c>
      <c r="M150" s="643">
        <f>IF(OR(F150="",N10="",N10&lt;=0),"",IF(LEN(F150)&lt;=N10,LEN(F150),IFERROR(FIND("♦",SUBSTITUTE(LEFT(F150,N10)," ","♦",LEN(LEFT(F150,N10))-LEN(SUBSTITUTE(LEFT(F150,N10)," ","")))),FIND(" ",F150&amp;" ",N10+1)-1)))</f>
        <v>1</v>
      </c>
      <c r="N150" s="676">
        <f t="shared" si="26"/>
        <v>133</v>
      </c>
      <c r="O150" s="677" t="str">
        <f t="shared" si="27"/>
        <v>0</v>
      </c>
      <c r="P150" s="676">
        <f t="shared" si="28"/>
        <v>1</v>
      </c>
      <c r="Q150" s="676">
        <f t="shared" si="29"/>
        <v>1</v>
      </c>
      <c r="S150" s="539"/>
      <c r="T150" s="562" t="s">
        <v>5927</v>
      </c>
      <c r="U150" s="559" t="s">
        <v>5928</v>
      </c>
      <c r="V150" s="553"/>
      <c r="W150" s="553"/>
      <c r="X150" s="539"/>
      <c r="Y150" s="539"/>
      <c r="Z150" s="539"/>
      <c r="AA150" s="553"/>
      <c r="AB150" s="539"/>
      <c r="AC150" s="539"/>
      <c r="AD150" s="553"/>
      <c r="AE150" s="539"/>
      <c r="AF150" s="539"/>
      <c r="AG150" s="539"/>
      <c r="AH150" s="539"/>
      <c r="AI150" s="539"/>
      <c r="AJ150" s="539"/>
      <c r="AK150" s="539"/>
      <c r="DE150" s="494"/>
      <c r="DF150" s="496" t="s">
        <v>1420</v>
      </c>
      <c r="DG150" s="496" t="s">
        <v>1083</v>
      </c>
      <c r="DH150" s="496" t="s">
        <v>689</v>
      </c>
      <c r="DI150" s="496" t="s">
        <v>929</v>
      </c>
      <c r="DJ150" s="496" t="s">
        <v>929</v>
      </c>
      <c r="DK150" s="496" t="s">
        <v>1085</v>
      </c>
      <c r="DL150" s="496" t="s">
        <v>1086</v>
      </c>
      <c r="DM150" s="496" t="s">
        <v>1087</v>
      </c>
      <c r="DN150" s="497" t="s">
        <v>1088</v>
      </c>
      <c r="DP150" s="543">
        <v>1</v>
      </c>
    </row>
    <row r="151" spans="2:120" ht="30" customHeight="1">
      <c r="B151" s="663" t="str">
        <f t="shared" si="21"/>
        <v/>
      </c>
      <c r="C151" s="663" t="str">
        <f t="shared" si="22"/>
        <v/>
      </c>
      <c r="D151" s="663" t="str">
        <f>IF(UPPER(TRIM(N11))="X",C151,B151)</f>
        <v/>
      </c>
      <c r="E151" s="663" cm="1">
        <f t="array" ref="E151">IF(H150&lt;&gt;"",E150,IF(E150="","",IFERROR(MATCH(TRUE(),INDEX(INDEX(K:K,E150+1):K203&lt;&gt;"",0),0)+E150,"")))</f>
        <v>292</v>
      </c>
      <c r="F151" s="663" cm="1">
        <f t="array" ref="F151">IF(E151="","",IF(H150&lt;&gt;"",H150,INDEX(D:D,E151)))</f>
        <v>0</v>
      </c>
      <c r="G151" s="663" t="str">
        <f t="shared" si="23"/>
        <v>0</v>
      </c>
      <c r="H151" s="673" t="str">
        <f t="shared" si="24"/>
        <v/>
      </c>
      <c r="I151" s="680" t="str">
        <f>IF(AND(F151&lt;&gt;"",N10&gt;0,M151&gt;N10),"Mot &gt; limite","")</f>
        <v/>
      </c>
      <c r="J151" s="674" t="str">
        <f>IF(K151="","",COUNTIF(K18:K151,"&lt;&gt;"))</f>
        <v/>
      </c>
      <c r="K151" s="675"/>
      <c r="L151" s="674" t="str">
        <f t="shared" si="25"/>
        <v/>
      </c>
      <c r="M151" s="643">
        <f>IF(OR(F151="",N10="",N10&lt;=0),"",IF(LEN(F151)&lt;=N10,LEN(F151),IFERROR(FIND("♦",SUBSTITUTE(LEFT(F151,N10)," ","♦",LEN(LEFT(F151,N10))-LEN(SUBSTITUTE(LEFT(F151,N10)," ","")))),FIND(" ",F151&amp;" ",N10+1)-1)))</f>
        <v>1</v>
      </c>
      <c r="N151" s="676">
        <f t="shared" si="26"/>
        <v>134</v>
      </c>
      <c r="O151" s="677" t="str">
        <f t="shared" si="27"/>
        <v>0</v>
      </c>
      <c r="P151" s="676">
        <f t="shared" si="28"/>
        <v>1</v>
      </c>
      <c r="Q151" s="676">
        <f t="shared" si="29"/>
        <v>1</v>
      </c>
      <c r="S151" s="539"/>
      <c r="T151" s="562" t="s">
        <v>5929</v>
      </c>
      <c r="U151" s="559" t="s">
        <v>5930</v>
      </c>
      <c r="V151" s="553"/>
      <c r="W151" s="553"/>
      <c r="X151" s="539"/>
      <c r="Y151" s="539"/>
      <c r="Z151" s="539"/>
      <c r="AA151" s="553"/>
      <c r="AB151" s="539"/>
      <c r="AC151" s="539"/>
      <c r="AD151" s="553"/>
      <c r="AE151" s="539"/>
      <c r="AF151" s="539"/>
      <c r="AG151" s="539"/>
      <c r="AH151" s="539"/>
      <c r="AI151" s="539"/>
      <c r="AJ151" s="539"/>
      <c r="AK151" s="539"/>
      <c r="DE151" s="494"/>
      <c r="DF151" s="496" t="s">
        <v>1421</v>
      </c>
      <c r="DG151" s="496" t="s">
        <v>1083</v>
      </c>
      <c r="DH151" s="496" t="s">
        <v>689</v>
      </c>
      <c r="DI151" s="496" t="s">
        <v>930</v>
      </c>
      <c r="DJ151" s="496" t="s">
        <v>930</v>
      </c>
      <c r="DK151" s="496" t="s">
        <v>1085</v>
      </c>
      <c r="DL151" s="496" t="s">
        <v>1086</v>
      </c>
      <c r="DM151" s="496" t="s">
        <v>1087</v>
      </c>
      <c r="DN151" s="497" t="s">
        <v>1088</v>
      </c>
      <c r="DP151" s="543">
        <v>1</v>
      </c>
    </row>
    <row r="152" spans="2:120" ht="30" customHeight="1">
      <c r="B152" s="663" t="str">
        <f t="shared" si="21"/>
        <v/>
      </c>
      <c r="C152" s="663" t="str">
        <f t="shared" si="22"/>
        <v/>
      </c>
      <c r="D152" s="663" t="str">
        <f>IF(UPPER(TRIM(N11))="X",C152,B152)</f>
        <v/>
      </c>
      <c r="E152" s="663" cm="1">
        <f t="array" ref="E152">IF(H151&lt;&gt;"",E151,IF(E151="","",IFERROR(MATCH(TRUE(),INDEX(INDEX(K:K,E151+1):K203&lt;&gt;"",0),0)+E151,"")))</f>
        <v>293</v>
      </c>
      <c r="F152" s="663" cm="1">
        <f t="array" ref="F152">IF(E152="","",IF(H151&lt;&gt;"",H151,INDEX(D:D,E152)))</f>
        <v>0</v>
      </c>
      <c r="G152" s="663" t="str">
        <f t="shared" si="23"/>
        <v>0</v>
      </c>
      <c r="H152" s="673" t="str">
        <f t="shared" si="24"/>
        <v/>
      </c>
      <c r="I152" s="680" t="str">
        <f>IF(AND(F152&lt;&gt;"",N10&gt;0,M152&gt;N10),"Mot &gt; limite","")</f>
        <v/>
      </c>
      <c r="J152" s="674" t="str">
        <f>IF(K152="","",COUNTIF(K18:K152,"&lt;&gt;"))</f>
        <v/>
      </c>
      <c r="K152" s="675"/>
      <c r="L152" s="674" t="str">
        <f t="shared" si="25"/>
        <v/>
      </c>
      <c r="M152" s="643">
        <f>IF(OR(F152="",N10="",N10&lt;=0),"",IF(LEN(F152)&lt;=N10,LEN(F152),IFERROR(FIND("♦",SUBSTITUTE(LEFT(F152,N10)," ","♦",LEN(LEFT(F152,N10))-LEN(SUBSTITUTE(LEFT(F152,N10)," ","")))),FIND(" ",F152&amp;" ",N10+1)-1)))</f>
        <v>1</v>
      </c>
      <c r="N152" s="676">
        <f t="shared" si="26"/>
        <v>135</v>
      </c>
      <c r="O152" s="677" t="str">
        <f t="shared" si="27"/>
        <v>0</v>
      </c>
      <c r="P152" s="676">
        <f t="shared" si="28"/>
        <v>1</v>
      </c>
      <c r="Q152" s="676">
        <f t="shared" si="29"/>
        <v>1</v>
      </c>
      <c r="S152" s="539"/>
      <c r="T152" s="562" t="s">
        <v>5931</v>
      </c>
      <c r="U152" s="559" t="s">
        <v>5932</v>
      </c>
      <c r="V152" s="553"/>
      <c r="W152" s="553"/>
      <c r="X152" s="539"/>
      <c r="Y152" s="539"/>
      <c r="Z152" s="539"/>
      <c r="AA152" s="553"/>
      <c r="AB152" s="539"/>
      <c r="AC152" s="539"/>
      <c r="AD152" s="553"/>
      <c r="AE152" s="539"/>
      <c r="AF152" s="539"/>
      <c r="AG152" s="539"/>
      <c r="AH152" s="539"/>
      <c r="AI152" s="539"/>
      <c r="AJ152" s="539"/>
      <c r="AK152" s="539"/>
      <c r="DE152" s="494"/>
      <c r="DF152" s="496" t="s">
        <v>1422</v>
      </c>
      <c r="DG152" s="496" t="s">
        <v>1083</v>
      </c>
      <c r="DH152" s="496" t="s">
        <v>689</v>
      </c>
      <c r="DI152" s="496" t="s">
        <v>1423</v>
      </c>
      <c r="DJ152" s="496" t="s">
        <v>1423</v>
      </c>
      <c r="DK152" s="496" t="s">
        <v>1085</v>
      </c>
      <c r="DL152" s="496" t="s">
        <v>1086</v>
      </c>
      <c r="DM152" s="496" t="s">
        <v>1087</v>
      </c>
      <c r="DN152" s="497" t="s">
        <v>1088</v>
      </c>
      <c r="DP152" s="543">
        <v>1</v>
      </c>
    </row>
    <row r="153" spans="2:120" ht="30" customHeight="1">
      <c r="B153" s="663" t="str">
        <f t="shared" si="21"/>
        <v/>
      </c>
      <c r="C153" s="663" t="str">
        <f t="shared" si="22"/>
        <v/>
      </c>
      <c r="D153" s="663" t="str">
        <f>IF(UPPER(TRIM(N11))="X",C153,B153)</f>
        <v/>
      </c>
      <c r="E153" s="663" cm="1">
        <f t="array" ref="E153">IF(H152&lt;&gt;"",E152,IF(E152="","",IFERROR(MATCH(TRUE(),INDEX(INDEX(K:K,E152+1):K203&lt;&gt;"",0),0)+E152,"")))</f>
        <v>294</v>
      </c>
      <c r="F153" s="663" cm="1">
        <f t="array" ref="F153">IF(E153="","",IF(H152&lt;&gt;"",H152,INDEX(D:D,E153)))</f>
        <v>0</v>
      </c>
      <c r="G153" s="663" t="str">
        <f t="shared" si="23"/>
        <v>0</v>
      </c>
      <c r="H153" s="673" t="str">
        <f t="shared" si="24"/>
        <v/>
      </c>
      <c r="I153" s="680" t="str">
        <f>IF(AND(F153&lt;&gt;"",N10&gt;0,M153&gt;N10),"Mot &gt; limite","")</f>
        <v/>
      </c>
      <c r="J153" s="674" t="str">
        <f>IF(K153="","",COUNTIF(K18:K153,"&lt;&gt;"))</f>
        <v/>
      </c>
      <c r="K153" s="675"/>
      <c r="L153" s="674" t="str">
        <f t="shared" si="25"/>
        <v/>
      </c>
      <c r="M153" s="643">
        <f>IF(OR(F153="",N10="",N10&lt;=0),"",IF(LEN(F153)&lt;=N10,LEN(F153),IFERROR(FIND("♦",SUBSTITUTE(LEFT(F153,N10)," ","♦",LEN(LEFT(F153,N10))-LEN(SUBSTITUTE(LEFT(F153,N10)," ","")))),FIND(" ",F153&amp;" ",N10+1)-1)))</f>
        <v>1</v>
      </c>
      <c r="N153" s="676">
        <f t="shared" si="26"/>
        <v>136</v>
      </c>
      <c r="O153" s="677" t="str">
        <f t="shared" si="27"/>
        <v>0</v>
      </c>
      <c r="P153" s="676">
        <f t="shared" si="28"/>
        <v>1</v>
      </c>
      <c r="Q153" s="676">
        <f t="shared" si="29"/>
        <v>1</v>
      </c>
      <c r="S153" s="539"/>
      <c r="T153" s="562" t="s">
        <v>5933</v>
      </c>
      <c r="U153" s="559" t="s">
        <v>5934</v>
      </c>
      <c r="V153" s="553"/>
      <c r="W153" s="553"/>
      <c r="X153" s="539"/>
      <c r="Y153" s="539"/>
      <c r="Z153" s="539"/>
      <c r="AA153" s="553"/>
      <c r="AB153" s="539"/>
      <c r="AC153" s="539"/>
      <c r="AD153" s="553"/>
      <c r="AE153" s="539"/>
      <c r="AF153" s="539"/>
      <c r="AG153" s="539"/>
      <c r="AH153" s="539"/>
      <c r="AI153" s="539"/>
      <c r="AJ153" s="539"/>
      <c r="AK153" s="539"/>
      <c r="DE153" s="494"/>
      <c r="DF153" s="496" t="s">
        <v>1424</v>
      </c>
      <c r="DG153" s="496" t="s">
        <v>1083</v>
      </c>
      <c r="DH153" s="496" t="s">
        <v>689</v>
      </c>
      <c r="DI153" s="496" t="s">
        <v>932</v>
      </c>
      <c r="DJ153" s="496" t="s">
        <v>932</v>
      </c>
      <c r="DK153" s="496" t="s">
        <v>1085</v>
      </c>
      <c r="DL153" s="496" t="s">
        <v>1086</v>
      </c>
      <c r="DM153" s="496" t="s">
        <v>1087</v>
      </c>
      <c r="DN153" s="497" t="s">
        <v>1088</v>
      </c>
      <c r="DP153" s="543">
        <v>1</v>
      </c>
    </row>
    <row r="154" spans="2:120" ht="30" customHeight="1">
      <c r="B154" s="663" t="str">
        <f t="shared" si="21"/>
        <v/>
      </c>
      <c r="C154" s="663" t="str">
        <f t="shared" si="22"/>
        <v/>
      </c>
      <c r="D154" s="663" t="str">
        <f>IF(UPPER(TRIM(N11))="X",C154,B154)</f>
        <v/>
      </c>
      <c r="E154" s="663" cm="1">
        <f t="array" ref="E154">IF(H153&lt;&gt;"",E153,IF(E153="","",IFERROR(MATCH(TRUE(),INDEX(INDEX(K:K,E153+1):K203&lt;&gt;"",0),0)+E153,"")))</f>
        <v>295</v>
      </c>
      <c r="F154" s="663" cm="1">
        <f t="array" ref="F154">IF(E154="","",IF(H153&lt;&gt;"",H153,INDEX(D:D,E154)))</f>
        <v>0</v>
      </c>
      <c r="G154" s="663" t="str">
        <f t="shared" si="23"/>
        <v>0</v>
      </c>
      <c r="H154" s="673" t="str">
        <f t="shared" si="24"/>
        <v/>
      </c>
      <c r="I154" s="680" t="str">
        <f>IF(AND(F154&lt;&gt;"",N10&gt;0,M154&gt;N10),"Mot &gt; limite","")</f>
        <v/>
      </c>
      <c r="J154" s="674" t="str">
        <f>IF(K154="","",COUNTIF(K18:K154,"&lt;&gt;"))</f>
        <v/>
      </c>
      <c r="K154" s="675"/>
      <c r="L154" s="674" t="str">
        <f t="shared" si="25"/>
        <v/>
      </c>
      <c r="M154" s="643">
        <f>IF(OR(F154="",N10="",N10&lt;=0),"",IF(LEN(F154)&lt;=N10,LEN(F154),IFERROR(FIND("♦",SUBSTITUTE(LEFT(F154,N10)," ","♦",LEN(LEFT(F154,N10))-LEN(SUBSTITUTE(LEFT(F154,N10)," ","")))),FIND(" ",F154&amp;" ",N10+1)-1)))</f>
        <v>1</v>
      </c>
      <c r="N154" s="676">
        <f t="shared" si="26"/>
        <v>137</v>
      </c>
      <c r="O154" s="677" t="str">
        <f t="shared" si="27"/>
        <v>0</v>
      </c>
      <c r="P154" s="676">
        <f t="shared" si="28"/>
        <v>1</v>
      </c>
      <c r="Q154" s="676">
        <f t="shared" si="29"/>
        <v>1</v>
      </c>
      <c r="S154" s="539"/>
      <c r="T154" s="562" t="s">
        <v>5935</v>
      </c>
      <c r="U154" s="559" t="s">
        <v>5936</v>
      </c>
      <c r="V154" s="553"/>
      <c r="W154" s="553"/>
      <c r="X154" s="539"/>
      <c r="Y154" s="539"/>
      <c r="Z154" s="539"/>
      <c r="AA154" s="553"/>
      <c r="AB154" s="539"/>
      <c r="AC154" s="539"/>
      <c r="AD154" s="553"/>
      <c r="AE154" s="539"/>
      <c r="AF154" s="539"/>
      <c r="AG154" s="539"/>
      <c r="AH154" s="539"/>
      <c r="AI154" s="539"/>
      <c r="AJ154" s="539"/>
      <c r="AK154" s="539"/>
      <c r="DE154" s="494"/>
      <c r="DF154" s="496" t="s">
        <v>1425</v>
      </c>
      <c r="DG154" s="496" t="s">
        <v>1083</v>
      </c>
      <c r="DH154" s="496" t="s">
        <v>689</v>
      </c>
      <c r="DI154" s="496" t="s">
        <v>1426</v>
      </c>
      <c r="DJ154" s="496" t="s">
        <v>1427</v>
      </c>
      <c r="DK154" s="496" t="s">
        <v>1085</v>
      </c>
      <c r="DL154" s="496" t="s">
        <v>1086</v>
      </c>
      <c r="DM154" s="496" t="s">
        <v>1087</v>
      </c>
      <c r="DN154" s="497" t="s">
        <v>1088</v>
      </c>
      <c r="DP154" s="543">
        <v>1</v>
      </c>
    </row>
    <row r="155" spans="2:120" ht="30" customHeight="1">
      <c r="B155" s="663" t="str">
        <f t="shared" si="21"/>
        <v/>
      </c>
      <c r="C155" s="663" t="str">
        <f t="shared" si="22"/>
        <v/>
      </c>
      <c r="D155" s="663" t="str">
        <f>IF(UPPER(TRIM(N11))="X",C155,B155)</f>
        <v/>
      </c>
      <c r="E155" s="663" cm="1">
        <f t="array" ref="E155">IF(H154&lt;&gt;"",E154,IF(E154="","",IFERROR(MATCH(TRUE(),INDEX(INDEX(K:K,E154+1):K203&lt;&gt;"",0),0)+E154,"")))</f>
        <v>296</v>
      </c>
      <c r="F155" s="663" cm="1">
        <f t="array" ref="F155">IF(E155="","",IF(H154&lt;&gt;"",H154,INDEX(D:D,E155)))</f>
        <v>0</v>
      </c>
      <c r="G155" s="663" t="str">
        <f t="shared" si="23"/>
        <v>0</v>
      </c>
      <c r="H155" s="673" t="str">
        <f t="shared" si="24"/>
        <v/>
      </c>
      <c r="I155" s="680" t="str">
        <f>IF(AND(F155&lt;&gt;"",N10&gt;0,M155&gt;N10),"Mot &gt; limite","")</f>
        <v/>
      </c>
      <c r="J155" s="674" t="str">
        <f>IF(K155="","",COUNTIF(K18:K155,"&lt;&gt;"))</f>
        <v/>
      </c>
      <c r="K155" s="675"/>
      <c r="L155" s="674" t="str">
        <f t="shared" si="25"/>
        <v/>
      </c>
      <c r="M155" s="643">
        <f>IF(OR(F155="",N10="",N10&lt;=0),"",IF(LEN(F155)&lt;=N10,LEN(F155),IFERROR(FIND("♦",SUBSTITUTE(LEFT(F155,N10)," ","♦",LEN(LEFT(F155,N10))-LEN(SUBSTITUTE(LEFT(F155,N10)," ","")))),FIND(" ",F155&amp;" ",N10+1)-1)))</f>
        <v>1</v>
      </c>
      <c r="N155" s="676">
        <f t="shared" si="26"/>
        <v>138</v>
      </c>
      <c r="O155" s="677" t="str">
        <f t="shared" si="27"/>
        <v>0</v>
      </c>
      <c r="P155" s="676">
        <f t="shared" si="28"/>
        <v>1</v>
      </c>
      <c r="Q155" s="676">
        <f t="shared" si="29"/>
        <v>1</v>
      </c>
      <c r="S155" s="539"/>
      <c r="T155" s="562" t="s">
        <v>5937</v>
      </c>
      <c r="U155" s="559" t="s">
        <v>5938</v>
      </c>
      <c r="V155" s="553"/>
      <c r="W155" s="553"/>
      <c r="X155" s="539"/>
      <c r="Y155" s="539"/>
      <c r="Z155" s="539"/>
      <c r="AA155" s="553"/>
      <c r="AB155" s="539"/>
      <c r="AC155" s="539"/>
      <c r="AD155" s="553"/>
      <c r="AE155" s="539"/>
      <c r="AF155" s="539"/>
      <c r="AG155" s="539"/>
      <c r="AH155" s="539"/>
      <c r="AI155" s="539"/>
      <c r="AJ155" s="539"/>
      <c r="AK155" s="539"/>
      <c r="DE155" s="494"/>
      <c r="DF155" s="496" t="s">
        <v>1428</v>
      </c>
      <c r="DG155" s="496" t="s">
        <v>1083</v>
      </c>
      <c r="DH155" s="496" t="s">
        <v>689</v>
      </c>
      <c r="DI155" s="496" t="s">
        <v>933</v>
      </c>
      <c r="DJ155" s="496" t="s">
        <v>933</v>
      </c>
      <c r="DK155" s="496" t="s">
        <v>1085</v>
      </c>
      <c r="DL155" s="496" t="s">
        <v>1086</v>
      </c>
      <c r="DM155" s="496" t="s">
        <v>1087</v>
      </c>
      <c r="DN155" s="497" t="s">
        <v>1088</v>
      </c>
      <c r="DP155" s="543">
        <v>1</v>
      </c>
    </row>
    <row r="156" spans="2:120" ht="30" customHeight="1">
      <c r="B156" s="663" t="str">
        <f t="shared" si="21"/>
        <v/>
      </c>
      <c r="C156" s="663" t="str">
        <f t="shared" si="22"/>
        <v/>
      </c>
      <c r="D156" s="663" t="str">
        <f>IF(UPPER(TRIM(N11))="X",C156,B156)</f>
        <v/>
      </c>
      <c r="E156" s="663" cm="1">
        <f t="array" ref="E156">IF(H155&lt;&gt;"",E155,IF(E155="","",IFERROR(MATCH(TRUE(),INDEX(INDEX(K:K,E155+1):K203&lt;&gt;"",0),0)+E155,"")))</f>
        <v>297</v>
      </c>
      <c r="F156" s="663" cm="1">
        <f t="array" ref="F156">IF(E156="","",IF(H155&lt;&gt;"",H155,INDEX(D:D,E156)))</f>
        <v>0</v>
      </c>
      <c r="G156" s="663" t="str">
        <f t="shared" si="23"/>
        <v>0</v>
      </c>
      <c r="H156" s="673" t="str">
        <f t="shared" si="24"/>
        <v/>
      </c>
      <c r="I156" s="680" t="str">
        <f>IF(AND(F156&lt;&gt;"",N10&gt;0,M156&gt;N10),"Mot &gt; limite","")</f>
        <v/>
      </c>
      <c r="J156" s="674" t="str">
        <f>IF(K156="","",COUNTIF(K18:K156,"&lt;&gt;"))</f>
        <v/>
      </c>
      <c r="K156" s="675"/>
      <c r="L156" s="674" t="str">
        <f t="shared" si="25"/>
        <v/>
      </c>
      <c r="M156" s="643">
        <f>IF(OR(F156="",N10="",N10&lt;=0),"",IF(LEN(F156)&lt;=N10,LEN(F156),IFERROR(FIND("♦",SUBSTITUTE(LEFT(F156,N10)," ","♦",LEN(LEFT(F156,N10))-LEN(SUBSTITUTE(LEFT(F156,N10)," ","")))),FIND(" ",F156&amp;" ",N10+1)-1)))</f>
        <v>1</v>
      </c>
      <c r="N156" s="676">
        <f t="shared" si="26"/>
        <v>139</v>
      </c>
      <c r="O156" s="677" t="str">
        <f t="shared" si="27"/>
        <v>0</v>
      </c>
      <c r="P156" s="676">
        <f t="shared" si="28"/>
        <v>1</v>
      </c>
      <c r="Q156" s="676">
        <f t="shared" si="29"/>
        <v>1</v>
      </c>
      <c r="S156" s="539"/>
      <c r="T156" s="562" t="s">
        <v>5939</v>
      </c>
      <c r="U156" s="559" t="s">
        <v>5940</v>
      </c>
      <c r="V156" s="553"/>
      <c r="W156" s="553"/>
      <c r="X156" s="539"/>
      <c r="Y156" s="539"/>
      <c r="Z156" s="539"/>
      <c r="AA156" s="553"/>
      <c r="AB156" s="539"/>
      <c r="AC156" s="539"/>
      <c r="AD156" s="553"/>
      <c r="AE156" s="539"/>
      <c r="AF156" s="539"/>
      <c r="AG156" s="539"/>
      <c r="AH156" s="539"/>
      <c r="AI156" s="539"/>
      <c r="AJ156" s="539"/>
      <c r="AK156" s="539"/>
      <c r="DE156" s="494"/>
      <c r="DF156" s="496" t="s">
        <v>1429</v>
      </c>
      <c r="DG156" s="496" t="s">
        <v>1083</v>
      </c>
      <c r="DH156" s="496" t="s">
        <v>689</v>
      </c>
      <c r="DI156" s="496" t="s">
        <v>151</v>
      </c>
      <c r="DJ156" s="496" t="s">
        <v>151</v>
      </c>
      <c r="DK156" s="496" t="s">
        <v>1085</v>
      </c>
      <c r="DL156" s="496" t="s">
        <v>1086</v>
      </c>
      <c r="DM156" s="496" t="s">
        <v>1087</v>
      </c>
      <c r="DN156" s="497" t="s">
        <v>1088</v>
      </c>
      <c r="DP156" s="543">
        <v>1</v>
      </c>
    </row>
    <row r="157" spans="2:120" ht="30" customHeight="1">
      <c r="B157" s="663" t="str">
        <f t="shared" si="21"/>
        <v/>
      </c>
      <c r="C157" s="663" t="str">
        <f t="shared" si="22"/>
        <v/>
      </c>
      <c r="D157" s="663" t="str">
        <f>IF(UPPER(TRIM(N11))="X",C157,B157)</f>
        <v/>
      </c>
      <c r="E157" s="663" cm="1">
        <f t="array" ref="E157">IF(H156&lt;&gt;"",E156,IF(E156="","",IFERROR(MATCH(TRUE(),INDEX(INDEX(K:K,E156+1):K203&lt;&gt;"",0),0)+E156,"")))</f>
        <v>298</v>
      </c>
      <c r="F157" s="663" cm="1">
        <f t="array" ref="F157">IF(E157="","",IF(H156&lt;&gt;"",H156,INDEX(D:D,E157)))</f>
        <v>0</v>
      </c>
      <c r="G157" s="663" t="str">
        <f t="shared" si="23"/>
        <v>0</v>
      </c>
      <c r="H157" s="673" t="str">
        <f t="shared" si="24"/>
        <v/>
      </c>
      <c r="I157" s="680" t="str">
        <f>IF(AND(F157&lt;&gt;"",N10&gt;0,M157&gt;N10),"Mot &gt; limite","")</f>
        <v/>
      </c>
      <c r="J157" s="674" t="str">
        <f>IF(K157="","",COUNTIF(K18:K157,"&lt;&gt;"))</f>
        <v/>
      </c>
      <c r="K157" s="675"/>
      <c r="L157" s="674" t="str">
        <f t="shared" si="25"/>
        <v/>
      </c>
      <c r="M157" s="643">
        <f>IF(OR(F157="",N10="",N10&lt;=0),"",IF(LEN(F157)&lt;=N10,LEN(F157),IFERROR(FIND("♦",SUBSTITUTE(LEFT(F157,N10)," ","♦",LEN(LEFT(F157,N10))-LEN(SUBSTITUTE(LEFT(F157,N10)," ","")))),FIND(" ",F157&amp;" ",N10+1)-1)))</f>
        <v>1</v>
      </c>
      <c r="N157" s="676">
        <f t="shared" si="26"/>
        <v>140</v>
      </c>
      <c r="O157" s="677" t="str">
        <f t="shared" si="27"/>
        <v>0</v>
      </c>
      <c r="P157" s="676">
        <f t="shared" si="28"/>
        <v>1</v>
      </c>
      <c r="Q157" s="676">
        <f t="shared" si="29"/>
        <v>1</v>
      </c>
      <c r="S157" s="539"/>
      <c r="T157" s="562" t="s">
        <v>5941</v>
      </c>
      <c r="U157" s="559" t="s">
        <v>5942</v>
      </c>
      <c r="V157" s="553"/>
      <c r="W157" s="553"/>
      <c r="X157" s="539"/>
      <c r="Y157" s="539"/>
      <c r="Z157" s="539"/>
      <c r="AA157" s="553"/>
      <c r="AB157" s="539"/>
      <c r="AC157" s="539"/>
      <c r="AD157" s="553"/>
      <c r="AE157" s="539"/>
      <c r="AF157" s="539"/>
      <c r="AG157" s="539"/>
      <c r="AH157" s="539"/>
      <c r="AI157" s="539"/>
      <c r="AJ157" s="539"/>
      <c r="AK157" s="539"/>
      <c r="DE157" s="494"/>
      <c r="DF157" s="496" t="s">
        <v>1430</v>
      </c>
      <c r="DG157" s="496" t="s">
        <v>1083</v>
      </c>
      <c r="DH157" s="496" t="s">
        <v>689</v>
      </c>
      <c r="DI157" s="496" t="s">
        <v>1431</v>
      </c>
      <c r="DJ157" s="496" t="s">
        <v>1431</v>
      </c>
      <c r="DK157" s="496" t="s">
        <v>1085</v>
      </c>
      <c r="DL157" s="496" t="s">
        <v>1086</v>
      </c>
      <c r="DM157" s="496" t="s">
        <v>1087</v>
      </c>
      <c r="DN157" s="497" t="s">
        <v>1088</v>
      </c>
      <c r="DP157" s="543">
        <v>1</v>
      </c>
    </row>
    <row r="158" spans="2:120" ht="30" customHeight="1">
      <c r="B158" s="663" t="str">
        <f t="shared" si="21"/>
        <v/>
      </c>
      <c r="C158" s="663" t="str">
        <f t="shared" si="22"/>
        <v/>
      </c>
      <c r="D158" s="663" t="str">
        <f>IF(UPPER(TRIM(N11))="X",C158,B158)</f>
        <v/>
      </c>
      <c r="E158" s="663" cm="1">
        <f t="array" ref="E158">IF(H157&lt;&gt;"",E157,IF(E157="","",IFERROR(MATCH(TRUE(),INDEX(INDEX(K:K,E157+1):K203&lt;&gt;"",0),0)+E157,"")))</f>
        <v>299</v>
      </c>
      <c r="F158" s="663" cm="1">
        <f t="array" ref="F158">IF(E158="","",IF(H157&lt;&gt;"",H157,INDEX(D:D,E158)))</f>
        <v>0</v>
      </c>
      <c r="G158" s="663" t="str">
        <f t="shared" si="23"/>
        <v>0</v>
      </c>
      <c r="H158" s="673" t="str">
        <f t="shared" si="24"/>
        <v/>
      </c>
      <c r="I158" s="680" t="str">
        <f>IF(AND(F158&lt;&gt;"",N10&gt;0,M158&gt;N10),"Mot &gt; limite","")</f>
        <v/>
      </c>
      <c r="J158" s="674" t="str">
        <f>IF(K158="","",COUNTIF(K18:K158,"&lt;&gt;"))</f>
        <v/>
      </c>
      <c r="K158" s="675"/>
      <c r="L158" s="674" t="str">
        <f t="shared" si="25"/>
        <v/>
      </c>
      <c r="M158" s="643">
        <f>IF(OR(F158="",N10="",N10&lt;=0),"",IF(LEN(F158)&lt;=N10,LEN(F158),IFERROR(FIND("♦",SUBSTITUTE(LEFT(F158,N10)," ","♦",LEN(LEFT(F158,N10))-LEN(SUBSTITUTE(LEFT(F158,N10)," ","")))),FIND(" ",F158&amp;" ",N10+1)-1)))</f>
        <v>1</v>
      </c>
      <c r="N158" s="676">
        <f t="shared" si="26"/>
        <v>141</v>
      </c>
      <c r="O158" s="677" t="str">
        <f t="shared" si="27"/>
        <v>0</v>
      </c>
      <c r="P158" s="676">
        <f t="shared" si="28"/>
        <v>1</v>
      </c>
      <c r="Q158" s="676">
        <f t="shared" si="29"/>
        <v>1</v>
      </c>
      <c r="S158" s="539"/>
      <c r="T158" s="562" t="s">
        <v>5943</v>
      </c>
      <c r="U158" s="559" t="s">
        <v>5944</v>
      </c>
      <c r="V158" s="553"/>
      <c r="W158" s="553"/>
      <c r="X158" s="539"/>
      <c r="Y158" s="539"/>
      <c r="Z158" s="539"/>
      <c r="AA158" s="553"/>
      <c r="AB158" s="539"/>
      <c r="AC158" s="539"/>
      <c r="AD158" s="553"/>
      <c r="AE158" s="539"/>
      <c r="AF158" s="539"/>
      <c r="AG158" s="539"/>
      <c r="AH158" s="539"/>
      <c r="AI158" s="539"/>
      <c r="AJ158" s="539"/>
      <c r="AK158" s="539"/>
      <c r="DE158" s="494"/>
      <c r="DF158" s="496" t="s">
        <v>1432</v>
      </c>
      <c r="DG158" s="496" t="s">
        <v>1083</v>
      </c>
      <c r="DH158" s="496" t="s">
        <v>689</v>
      </c>
      <c r="DI158" s="496" t="s">
        <v>1433</v>
      </c>
      <c r="DJ158" s="496" t="s">
        <v>1433</v>
      </c>
      <c r="DK158" s="496" t="s">
        <v>1085</v>
      </c>
      <c r="DL158" s="496" t="s">
        <v>1086</v>
      </c>
      <c r="DM158" s="496" t="s">
        <v>1087</v>
      </c>
      <c r="DN158" s="497" t="s">
        <v>1088</v>
      </c>
      <c r="DP158" s="543">
        <v>1</v>
      </c>
    </row>
    <row r="159" spans="2:120" ht="30" customHeight="1">
      <c r="B159" s="663" t="str">
        <f t="shared" si="21"/>
        <v/>
      </c>
      <c r="C159" s="663" t="str">
        <f t="shared" si="22"/>
        <v/>
      </c>
      <c r="D159" s="663" t="str">
        <f>IF(UPPER(TRIM(N11))="X",C159,B159)</f>
        <v/>
      </c>
      <c r="E159" s="663" cm="1">
        <f t="array" ref="E159">IF(H158&lt;&gt;"",E158,IF(E158="","",IFERROR(MATCH(TRUE(),INDEX(INDEX(K:K,E158+1):K203&lt;&gt;"",0),0)+E158,"")))</f>
        <v>300</v>
      </c>
      <c r="F159" s="663" cm="1">
        <f t="array" ref="F159">IF(E159="","",IF(H158&lt;&gt;"",H158,INDEX(D:D,E159)))</f>
        <v>0</v>
      </c>
      <c r="G159" s="663" t="str">
        <f t="shared" si="23"/>
        <v>0</v>
      </c>
      <c r="H159" s="673" t="str">
        <f t="shared" si="24"/>
        <v/>
      </c>
      <c r="I159" s="680" t="str">
        <f>IF(AND(F159&lt;&gt;"",N10&gt;0,M159&gt;N10),"Mot &gt; limite","")</f>
        <v/>
      </c>
      <c r="J159" s="674" t="str">
        <f>IF(K159="","",COUNTIF(K18:K159,"&lt;&gt;"))</f>
        <v/>
      </c>
      <c r="K159" s="675"/>
      <c r="L159" s="674" t="str">
        <f t="shared" si="25"/>
        <v/>
      </c>
      <c r="M159" s="643">
        <f>IF(OR(F159="",N10="",N10&lt;=0),"",IF(LEN(F159)&lt;=N10,LEN(F159),IFERROR(FIND("♦",SUBSTITUTE(LEFT(F159,N10)," ","♦",LEN(LEFT(F159,N10))-LEN(SUBSTITUTE(LEFT(F159,N10)," ","")))),FIND(" ",F159&amp;" ",N10+1)-1)))</f>
        <v>1</v>
      </c>
      <c r="N159" s="676">
        <f t="shared" si="26"/>
        <v>142</v>
      </c>
      <c r="O159" s="677" t="str">
        <f t="shared" si="27"/>
        <v>0</v>
      </c>
      <c r="P159" s="676">
        <f t="shared" si="28"/>
        <v>1</v>
      </c>
      <c r="Q159" s="676">
        <f t="shared" si="29"/>
        <v>1</v>
      </c>
      <c r="S159" s="539"/>
      <c r="T159" s="562" t="s">
        <v>5945</v>
      </c>
      <c r="U159" s="559" t="s">
        <v>5946</v>
      </c>
      <c r="V159" s="553"/>
      <c r="W159" s="553"/>
      <c r="X159" s="539"/>
      <c r="Y159" s="539"/>
      <c r="Z159" s="539"/>
      <c r="AA159" s="553"/>
      <c r="AB159" s="539"/>
      <c r="AC159" s="539"/>
      <c r="AD159" s="553"/>
      <c r="AE159" s="539"/>
      <c r="AF159" s="539"/>
      <c r="AG159" s="539"/>
      <c r="AH159" s="539"/>
      <c r="AI159" s="539"/>
      <c r="AJ159" s="539"/>
      <c r="AK159" s="539"/>
      <c r="DE159" s="494"/>
      <c r="DF159" s="496" t="s">
        <v>1456</v>
      </c>
      <c r="DG159" s="496" t="s">
        <v>1083</v>
      </c>
      <c r="DH159" s="496" t="s">
        <v>690</v>
      </c>
      <c r="DI159" s="496" t="s">
        <v>707</v>
      </c>
      <c r="DJ159" s="496" t="s">
        <v>707</v>
      </c>
      <c r="DK159" s="496" t="s">
        <v>1085</v>
      </c>
      <c r="DL159" s="496" t="s">
        <v>1441</v>
      </c>
      <c r="DM159" s="496" t="s">
        <v>1087</v>
      </c>
      <c r="DN159" s="497" t="s">
        <v>1088</v>
      </c>
      <c r="DP159" s="543">
        <v>1</v>
      </c>
    </row>
    <row r="160" spans="2:120" ht="30" customHeight="1">
      <c r="B160" s="663" t="str">
        <f t="shared" si="21"/>
        <v/>
      </c>
      <c r="C160" s="663" t="str">
        <f t="shared" si="22"/>
        <v/>
      </c>
      <c r="D160" s="663" t="str">
        <f>IF(UPPER(TRIM(N11))="X",C160,B160)</f>
        <v/>
      </c>
      <c r="E160" s="663" cm="1">
        <f t="array" ref="E160">IF(H159&lt;&gt;"",E159,IF(E159="","",IFERROR(MATCH(TRUE(),INDEX(INDEX(K:K,E159+1):K203&lt;&gt;"",0),0)+E159,"")))</f>
        <v>301</v>
      </c>
      <c r="F160" s="663" cm="1">
        <f t="array" ref="F160">IF(E160="","",IF(H159&lt;&gt;"",H159,INDEX(D:D,E160)))</f>
        <v>0</v>
      </c>
      <c r="G160" s="663" t="str">
        <f t="shared" si="23"/>
        <v>0</v>
      </c>
      <c r="H160" s="673" t="str">
        <f t="shared" si="24"/>
        <v/>
      </c>
      <c r="I160" s="680" t="str">
        <f>IF(AND(F160&lt;&gt;"",N10&gt;0,M160&gt;N10),"Mot &gt; limite","")</f>
        <v/>
      </c>
      <c r="J160" s="674" t="str">
        <f>IF(K160="","",COUNTIF(K18:K160,"&lt;&gt;"))</f>
        <v/>
      </c>
      <c r="K160" s="675"/>
      <c r="L160" s="674" t="str">
        <f t="shared" si="25"/>
        <v/>
      </c>
      <c r="M160" s="643">
        <f>IF(OR(F160="",N10="",N10&lt;=0),"",IF(LEN(F160)&lt;=N10,LEN(F160),IFERROR(FIND("♦",SUBSTITUTE(LEFT(F160,N10)," ","♦",LEN(LEFT(F160,N10))-LEN(SUBSTITUTE(LEFT(F160,N10)," ","")))),FIND(" ",F160&amp;" ",N10+1)-1)))</f>
        <v>1</v>
      </c>
      <c r="N160" s="676">
        <f t="shared" si="26"/>
        <v>143</v>
      </c>
      <c r="O160" s="677" t="str">
        <f t="shared" si="27"/>
        <v>0</v>
      </c>
      <c r="P160" s="676">
        <f t="shared" si="28"/>
        <v>1</v>
      </c>
      <c r="Q160" s="676">
        <f t="shared" si="29"/>
        <v>1</v>
      </c>
      <c r="S160" s="539"/>
      <c r="T160" s="562" t="s">
        <v>5947</v>
      </c>
      <c r="U160" s="559" t="s">
        <v>5948</v>
      </c>
      <c r="V160" s="553"/>
      <c r="W160" s="553"/>
      <c r="X160" s="539"/>
      <c r="Y160" s="539"/>
      <c r="Z160" s="539"/>
      <c r="AA160" s="553"/>
      <c r="AB160" s="539"/>
      <c r="AC160" s="539"/>
      <c r="AD160" s="553"/>
      <c r="AE160" s="539"/>
      <c r="AF160" s="539"/>
      <c r="AG160" s="539"/>
      <c r="AH160" s="539"/>
      <c r="AI160" s="539"/>
      <c r="AJ160" s="539"/>
      <c r="AK160" s="539"/>
      <c r="DE160" s="494"/>
      <c r="DF160" s="496" t="s">
        <v>1434</v>
      </c>
      <c r="DG160" s="496" t="s">
        <v>1083</v>
      </c>
      <c r="DH160" s="496" t="s">
        <v>689</v>
      </c>
      <c r="DI160" s="496" t="s">
        <v>1435</v>
      </c>
      <c r="DJ160" s="496" t="s">
        <v>1435</v>
      </c>
      <c r="DK160" s="496" t="s">
        <v>1151</v>
      </c>
      <c r="DL160" s="496" t="s">
        <v>1152</v>
      </c>
      <c r="DM160" s="496" t="s">
        <v>1087</v>
      </c>
      <c r="DN160" s="497" t="s">
        <v>1153</v>
      </c>
      <c r="DP160" s="543">
        <v>1</v>
      </c>
    </row>
    <row r="161" spans="2:120" ht="30" customHeight="1">
      <c r="B161" s="663" t="str">
        <f t="shared" si="21"/>
        <v/>
      </c>
      <c r="C161" s="663" t="str">
        <f t="shared" si="22"/>
        <v/>
      </c>
      <c r="D161" s="663" t="str">
        <f>IF(UPPER(TRIM(N11))="X",C161,B161)</f>
        <v/>
      </c>
      <c r="E161" s="663" cm="1">
        <f t="array" ref="E161">IF(H160&lt;&gt;"",E160,IF(E160="","",IFERROR(MATCH(TRUE(),INDEX(INDEX(K:K,E160+1):K203&lt;&gt;"",0),0)+E160,"")))</f>
        <v>302</v>
      </c>
      <c r="F161" s="663" cm="1">
        <f t="array" ref="F161">IF(E161="","",IF(H160&lt;&gt;"",H160,INDEX(D:D,E161)))</f>
        <v>0</v>
      </c>
      <c r="G161" s="663" t="str">
        <f t="shared" si="23"/>
        <v>0</v>
      </c>
      <c r="H161" s="673" t="str">
        <f t="shared" si="24"/>
        <v/>
      </c>
      <c r="I161" s="680" t="str">
        <f>IF(AND(F161&lt;&gt;"",N10&gt;0,M161&gt;N10),"Mot &gt; limite","")</f>
        <v/>
      </c>
      <c r="J161" s="674" t="str">
        <f>IF(K161="","",COUNTIF(K18:K161,"&lt;&gt;"))</f>
        <v/>
      </c>
      <c r="K161" s="675"/>
      <c r="L161" s="674" t="str">
        <f t="shared" si="25"/>
        <v/>
      </c>
      <c r="M161" s="643">
        <f>IF(OR(F161="",N10="",N10&lt;=0),"",IF(LEN(F161)&lt;=N10,LEN(F161),IFERROR(FIND("♦",SUBSTITUTE(LEFT(F161,N10)," ","♦",LEN(LEFT(F161,N10))-LEN(SUBSTITUTE(LEFT(F161,N10)," ","")))),FIND(" ",F161&amp;" ",N10+1)-1)))</f>
        <v>1</v>
      </c>
      <c r="N161" s="676">
        <f t="shared" si="26"/>
        <v>144</v>
      </c>
      <c r="O161" s="677" t="str">
        <f t="shared" si="27"/>
        <v>0</v>
      </c>
      <c r="P161" s="676">
        <f t="shared" si="28"/>
        <v>1</v>
      </c>
      <c r="Q161" s="676">
        <f t="shared" si="29"/>
        <v>1</v>
      </c>
      <c r="S161" s="539"/>
      <c r="T161" s="562" t="s">
        <v>5949</v>
      </c>
      <c r="U161" s="559" t="s">
        <v>5950</v>
      </c>
      <c r="V161" s="553"/>
      <c r="W161" s="553"/>
      <c r="X161" s="539"/>
      <c r="Y161" s="539"/>
      <c r="Z161" s="539"/>
      <c r="AA161" s="553"/>
      <c r="AB161" s="539"/>
      <c r="AC161" s="539"/>
      <c r="AD161" s="553"/>
      <c r="AE161" s="539"/>
      <c r="AF161" s="539"/>
      <c r="AG161" s="539"/>
      <c r="AH161" s="539"/>
      <c r="AI161" s="539"/>
      <c r="AJ161" s="539"/>
      <c r="AK161" s="539"/>
      <c r="DE161" s="494"/>
      <c r="DF161" s="496" t="s">
        <v>1436</v>
      </c>
      <c r="DG161" s="496" t="s">
        <v>1083</v>
      </c>
      <c r="DH161" s="496" t="s">
        <v>689</v>
      </c>
      <c r="DI161" s="496" t="s">
        <v>319</v>
      </c>
      <c r="DJ161" s="496" t="s">
        <v>319</v>
      </c>
      <c r="DK161" s="496" t="s">
        <v>1085</v>
      </c>
      <c r="DL161" s="496" t="s">
        <v>1086</v>
      </c>
      <c r="DM161" s="496" t="s">
        <v>1087</v>
      </c>
      <c r="DN161" s="497" t="s">
        <v>1088</v>
      </c>
      <c r="DP161" s="543">
        <v>1</v>
      </c>
    </row>
    <row r="162" spans="2:120" ht="30" customHeight="1">
      <c r="B162" s="663" t="str">
        <f t="shared" si="21"/>
        <v/>
      </c>
      <c r="C162" s="663" t="str">
        <f t="shared" si="22"/>
        <v/>
      </c>
      <c r="D162" s="663" t="str">
        <f>IF(UPPER(TRIM(N11))="X",C162,B162)</f>
        <v/>
      </c>
      <c r="E162" s="663" cm="1">
        <f t="array" ref="E162">IF(H161&lt;&gt;"",E161,IF(E161="","",IFERROR(MATCH(TRUE(),INDEX(INDEX(K:K,E161+1):K203&lt;&gt;"",0),0)+E161,"")))</f>
        <v>303</v>
      </c>
      <c r="F162" s="663" cm="1">
        <f t="array" ref="F162">IF(E162="","",IF(H161&lt;&gt;"",H161,INDEX(D:D,E162)))</f>
        <v>0</v>
      </c>
      <c r="G162" s="663" t="str">
        <f t="shared" si="23"/>
        <v>0</v>
      </c>
      <c r="H162" s="673" t="str">
        <f t="shared" si="24"/>
        <v/>
      </c>
      <c r="I162" s="680" t="str">
        <f>IF(AND(F162&lt;&gt;"",N10&gt;0,M162&gt;N10),"Mot &gt; limite","")</f>
        <v/>
      </c>
      <c r="J162" s="674" t="str">
        <f>IF(K162="","",COUNTIF(K18:K162,"&lt;&gt;"))</f>
        <v/>
      </c>
      <c r="K162" s="675"/>
      <c r="L162" s="674" t="str">
        <f t="shared" si="25"/>
        <v/>
      </c>
      <c r="M162" s="643">
        <f>IF(OR(F162="",N10="",N10&lt;=0),"",IF(LEN(F162)&lt;=N10,LEN(F162),IFERROR(FIND("♦",SUBSTITUTE(LEFT(F162,N10)," ","♦",LEN(LEFT(F162,N10))-LEN(SUBSTITUTE(LEFT(F162,N10)," ","")))),FIND(" ",F162&amp;" ",N10+1)-1)))</f>
        <v>1</v>
      </c>
      <c r="N162" s="676">
        <f t="shared" si="26"/>
        <v>145</v>
      </c>
      <c r="O162" s="677" t="str">
        <f t="shared" si="27"/>
        <v>0</v>
      </c>
      <c r="P162" s="676">
        <f t="shared" si="28"/>
        <v>1</v>
      </c>
      <c r="Q162" s="676">
        <f t="shared" si="29"/>
        <v>1</v>
      </c>
      <c r="S162" s="539"/>
      <c r="T162" s="560"/>
      <c r="U162" s="560"/>
      <c r="V162" s="539"/>
      <c r="W162" s="539"/>
      <c r="X162" s="539"/>
      <c r="Y162" s="539"/>
      <c r="Z162" s="539"/>
      <c r="AA162" s="539"/>
      <c r="AB162" s="539"/>
      <c r="AC162" s="539"/>
      <c r="AD162" s="539"/>
      <c r="AE162" s="539"/>
      <c r="AF162" s="539"/>
      <c r="AG162" s="539"/>
      <c r="AH162" s="539"/>
      <c r="AI162" s="539"/>
      <c r="AJ162" s="539"/>
      <c r="AK162" s="539"/>
      <c r="DE162" s="494"/>
      <c r="DF162" s="496" t="s">
        <v>1437</v>
      </c>
      <c r="DG162" s="496" t="s">
        <v>1083</v>
      </c>
      <c r="DH162" s="496" t="s">
        <v>689</v>
      </c>
      <c r="DI162" s="496" t="s">
        <v>934</v>
      </c>
      <c r="DJ162" s="496" t="s">
        <v>934</v>
      </c>
      <c r="DK162" s="496" t="s">
        <v>1085</v>
      </c>
      <c r="DL162" s="496" t="s">
        <v>1086</v>
      </c>
      <c r="DM162" s="496" t="s">
        <v>1087</v>
      </c>
      <c r="DN162" s="497" t="s">
        <v>1088</v>
      </c>
      <c r="DP162" s="543">
        <v>1</v>
      </c>
    </row>
    <row r="163" spans="2:120" ht="30" customHeight="1">
      <c r="B163" s="663" t="str">
        <f t="shared" si="21"/>
        <v/>
      </c>
      <c r="C163" s="663" t="str">
        <f t="shared" si="22"/>
        <v/>
      </c>
      <c r="D163" s="663" t="str">
        <f>IF(UPPER(TRIM(N11))="X",C163,B163)</f>
        <v/>
      </c>
      <c r="E163" s="663" cm="1">
        <f t="array" ref="E163">IF(H162&lt;&gt;"",E162,IF(E162="","",IFERROR(MATCH(TRUE(),INDEX(INDEX(K:K,E162+1):K203&lt;&gt;"",0),0)+E162,"")))</f>
        <v>304</v>
      </c>
      <c r="F163" s="663" cm="1">
        <f t="array" ref="F163">IF(E163="","",IF(H162&lt;&gt;"",H162,INDEX(D:D,E163)))</f>
        <v>0</v>
      </c>
      <c r="G163" s="663" t="str">
        <f t="shared" si="23"/>
        <v>0</v>
      </c>
      <c r="H163" s="673" t="str">
        <f t="shared" si="24"/>
        <v/>
      </c>
      <c r="I163" s="680" t="str">
        <f>IF(AND(F163&lt;&gt;"",N10&gt;0,M163&gt;N10),"Mot &gt; limite","")</f>
        <v/>
      </c>
      <c r="J163" s="674" t="str">
        <f>IF(K163="","",COUNTIF(K18:K163,"&lt;&gt;"))</f>
        <v/>
      </c>
      <c r="K163" s="675"/>
      <c r="L163" s="674" t="str">
        <f t="shared" si="25"/>
        <v/>
      </c>
      <c r="M163" s="643">
        <f>IF(OR(F163="",N10="",N10&lt;=0),"",IF(LEN(F163)&lt;=N10,LEN(F163),IFERROR(FIND("♦",SUBSTITUTE(LEFT(F163,N10)," ","♦",LEN(LEFT(F163,N10))-LEN(SUBSTITUTE(LEFT(F163,N10)," ","")))),FIND(" ",F163&amp;" ",N10+1)-1)))</f>
        <v>1</v>
      </c>
      <c r="N163" s="676">
        <f t="shared" si="26"/>
        <v>146</v>
      </c>
      <c r="O163" s="677" t="str">
        <f t="shared" si="27"/>
        <v>0</v>
      </c>
      <c r="P163" s="676">
        <f t="shared" si="28"/>
        <v>1</v>
      </c>
      <c r="Q163" s="676">
        <f t="shared" si="29"/>
        <v>1</v>
      </c>
      <c r="S163" s="539"/>
      <c r="T163" s="561"/>
      <c r="U163" s="561" t="s">
        <v>5951</v>
      </c>
      <c r="V163" s="539"/>
      <c r="W163" s="539"/>
      <c r="X163" s="539"/>
      <c r="Y163" s="539"/>
      <c r="Z163" s="539"/>
      <c r="AA163" s="539"/>
      <c r="AB163" s="539"/>
      <c r="AC163" s="539"/>
      <c r="AD163" s="539"/>
      <c r="AE163" s="539"/>
      <c r="AF163" s="539"/>
      <c r="AG163" s="539"/>
      <c r="AH163" s="539"/>
      <c r="AI163" s="539"/>
      <c r="AJ163" s="539"/>
      <c r="AK163" s="539"/>
      <c r="DE163" s="494"/>
      <c r="DF163" s="496" t="s">
        <v>1438</v>
      </c>
      <c r="DG163" s="496" t="s">
        <v>1083</v>
      </c>
      <c r="DH163" s="496" t="s">
        <v>690</v>
      </c>
      <c r="DI163" s="496" t="s">
        <v>1439</v>
      </c>
      <c r="DJ163" s="496" t="s">
        <v>1440</v>
      </c>
      <c r="DK163" s="496" t="s">
        <v>1085</v>
      </c>
      <c r="DL163" s="496" t="s">
        <v>1441</v>
      </c>
      <c r="DM163" s="496" t="s">
        <v>1087</v>
      </c>
      <c r="DN163" s="497" t="s">
        <v>1088</v>
      </c>
      <c r="DP163" s="543">
        <v>1</v>
      </c>
    </row>
    <row r="164" spans="2:120" ht="30" customHeight="1">
      <c r="B164" s="663" t="str">
        <f t="shared" si="21"/>
        <v/>
      </c>
      <c r="C164" s="663" t="str">
        <f t="shared" si="22"/>
        <v/>
      </c>
      <c r="D164" s="663" t="str">
        <f>IF(UPPER(TRIM(N11))="X",C164,B164)</f>
        <v/>
      </c>
      <c r="E164" s="663" cm="1">
        <f t="array" ref="E164">IF(H163&lt;&gt;"",E163,IF(E163="","",IFERROR(MATCH(TRUE(),INDEX(INDEX(K:K,E163+1):K203&lt;&gt;"",0),0)+E163,"")))</f>
        <v>305</v>
      </c>
      <c r="F164" s="663" cm="1">
        <f t="array" ref="F164">IF(E164="","",IF(H163&lt;&gt;"",H163,INDEX(D:D,E164)))</f>
        <v>0</v>
      </c>
      <c r="G164" s="663" t="str">
        <f t="shared" si="23"/>
        <v>0</v>
      </c>
      <c r="H164" s="673" t="str">
        <f t="shared" si="24"/>
        <v/>
      </c>
      <c r="I164" s="680" t="str">
        <f>IF(AND(F164&lt;&gt;"",N10&gt;0,M164&gt;N10),"Mot &gt; limite","")</f>
        <v/>
      </c>
      <c r="J164" s="674" t="str">
        <f>IF(K164="","",COUNTIF(K18:K164,"&lt;&gt;"))</f>
        <v/>
      </c>
      <c r="K164" s="675"/>
      <c r="L164" s="674" t="str">
        <f t="shared" si="25"/>
        <v/>
      </c>
      <c r="M164" s="643">
        <f>IF(OR(F164="",N10="",N10&lt;=0),"",IF(LEN(F164)&lt;=N10,LEN(F164),IFERROR(FIND("♦",SUBSTITUTE(LEFT(F164,N10)," ","♦",LEN(LEFT(F164,N10))-LEN(SUBSTITUTE(LEFT(F164,N10)," ","")))),FIND(" ",F164&amp;" ",N10+1)-1)))</f>
        <v>1</v>
      </c>
      <c r="N164" s="676">
        <f t="shared" si="26"/>
        <v>147</v>
      </c>
      <c r="O164" s="677" t="str">
        <f t="shared" si="27"/>
        <v>0</v>
      </c>
      <c r="P164" s="676">
        <f t="shared" si="28"/>
        <v>1</v>
      </c>
      <c r="Q164" s="676">
        <f t="shared" si="29"/>
        <v>1</v>
      </c>
      <c r="S164" s="539"/>
      <c r="T164" s="562" t="s">
        <v>5923</v>
      </c>
      <c r="U164" s="559" t="s">
        <v>5952</v>
      </c>
      <c r="V164" s="539"/>
      <c r="W164" s="539"/>
      <c r="X164" s="539"/>
      <c r="Y164" s="539"/>
      <c r="Z164" s="539"/>
      <c r="AA164" s="539"/>
      <c r="AB164" s="539"/>
      <c r="AC164" s="539"/>
      <c r="AD164" s="539"/>
      <c r="AE164" s="539"/>
      <c r="AF164" s="539"/>
      <c r="AG164" s="539"/>
      <c r="AH164" s="539"/>
      <c r="AI164" s="539"/>
      <c r="AJ164" s="539"/>
      <c r="AK164" s="539"/>
      <c r="DE164" s="494"/>
      <c r="DF164" s="496" t="s">
        <v>1442</v>
      </c>
      <c r="DG164" s="496" t="s">
        <v>1083</v>
      </c>
      <c r="DH164" s="496" t="s">
        <v>690</v>
      </c>
      <c r="DI164" s="496" t="s">
        <v>1443</v>
      </c>
      <c r="DJ164" s="496" t="s">
        <v>1443</v>
      </c>
      <c r="DK164" s="496" t="s">
        <v>1085</v>
      </c>
      <c r="DL164" s="496" t="s">
        <v>1441</v>
      </c>
      <c r="DM164" s="496" t="s">
        <v>1087</v>
      </c>
      <c r="DN164" s="497" t="s">
        <v>1088</v>
      </c>
      <c r="DP164" s="543">
        <v>1</v>
      </c>
    </row>
    <row r="165" spans="2:120" ht="30" customHeight="1">
      <c r="B165" s="663" t="str">
        <f t="shared" si="21"/>
        <v/>
      </c>
      <c r="C165" s="663" t="str">
        <f t="shared" si="22"/>
        <v/>
      </c>
      <c r="D165" s="663" t="str">
        <f>IF(UPPER(TRIM(N11))="X",C165,B165)</f>
        <v/>
      </c>
      <c r="E165" s="663" cm="1">
        <f t="array" ref="E165">IF(H164&lt;&gt;"",E164,IF(E164="","",IFERROR(MATCH(TRUE(),INDEX(INDEX(K:K,E164+1):K203&lt;&gt;"",0),0)+E164,"")))</f>
        <v>306</v>
      </c>
      <c r="F165" s="663" cm="1">
        <f t="array" ref="F165">IF(E165="","",IF(H164&lt;&gt;"",H164,INDEX(D:D,E165)))</f>
        <v>0</v>
      </c>
      <c r="G165" s="663" t="str">
        <f t="shared" si="23"/>
        <v>0</v>
      </c>
      <c r="H165" s="673" t="str">
        <f t="shared" si="24"/>
        <v/>
      </c>
      <c r="I165" s="680" t="str">
        <f>IF(AND(F165&lt;&gt;"",N10&gt;0,M165&gt;N10),"Mot &gt; limite","")</f>
        <v/>
      </c>
      <c r="J165" s="674" t="str">
        <f>IF(K165="","",COUNTIF(K18:K165,"&lt;&gt;"))</f>
        <v/>
      </c>
      <c r="K165" s="675"/>
      <c r="L165" s="674" t="str">
        <f t="shared" si="25"/>
        <v/>
      </c>
      <c r="M165" s="643">
        <f>IF(OR(F165="",N10="",N10&lt;=0),"",IF(LEN(F165)&lt;=N10,LEN(F165),IFERROR(FIND("♦",SUBSTITUTE(LEFT(F165,N10)," ","♦",LEN(LEFT(F165,N10))-LEN(SUBSTITUTE(LEFT(F165,N10)," ","")))),FIND(" ",F165&amp;" ",N10+1)-1)))</f>
        <v>1</v>
      </c>
      <c r="N165" s="676">
        <f t="shared" si="26"/>
        <v>148</v>
      </c>
      <c r="O165" s="677" t="str">
        <f t="shared" si="27"/>
        <v>0</v>
      </c>
      <c r="P165" s="676">
        <f t="shared" si="28"/>
        <v>1</v>
      </c>
      <c r="Q165" s="676">
        <f t="shared" si="29"/>
        <v>1</v>
      </c>
      <c r="S165" s="539"/>
      <c r="T165" s="562" t="s">
        <v>5925</v>
      </c>
      <c r="U165" s="559" t="s">
        <v>5953</v>
      </c>
      <c r="V165" s="539"/>
      <c r="W165" s="539"/>
      <c r="X165" s="539"/>
      <c r="Y165" s="539"/>
      <c r="Z165" s="539"/>
      <c r="AA165" s="539"/>
      <c r="AB165" s="539"/>
      <c r="AC165" s="539"/>
      <c r="AD165" s="539"/>
      <c r="AE165" s="539"/>
      <c r="AF165" s="539"/>
      <c r="AG165" s="539"/>
      <c r="AH165" s="539"/>
      <c r="AI165" s="539"/>
      <c r="AJ165" s="539"/>
      <c r="AK165" s="539"/>
      <c r="DE165" s="494"/>
      <c r="DF165" s="496" t="s">
        <v>1444</v>
      </c>
      <c r="DG165" s="496" t="s">
        <v>1083</v>
      </c>
      <c r="DH165" s="496" t="s">
        <v>690</v>
      </c>
      <c r="DI165" s="496" t="s">
        <v>1445</v>
      </c>
      <c r="DJ165" s="496" t="s">
        <v>1445</v>
      </c>
      <c r="DK165" s="496" t="s">
        <v>1151</v>
      </c>
      <c r="DL165" s="496" t="s">
        <v>1446</v>
      </c>
      <c r="DM165" s="496" t="s">
        <v>1087</v>
      </c>
      <c r="DN165" s="497" t="s">
        <v>1153</v>
      </c>
      <c r="DP165" s="543">
        <v>1</v>
      </c>
    </row>
    <row r="166" spans="2:120" ht="30" customHeight="1">
      <c r="B166" s="663" t="str">
        <f t="shared" si="21"/>
        <v/>
      </c>
      <c r="C166" s="663" t="str">
        <f t="shared" si="22"/>
        <v/>
      </c>
      <c r="D166" s="663" t="str">
        <f>IF(UPPER(TRIM(N11))="X",C166,B166)</f>
        <v/>
      </c>
      <c r="E166" s="663" cm="1">
        <f t="array" ref="E166">IF(H165&lt;&gt;"",E165,IF(E165="","",IFERROR(MATCH(TRUE(),INDEX(INDEX(K:K,E165+1):K203&lt;&gt;"",0),0)+E165,"")))</f>
        <v>307</v>
      </c>
      <c r="F166" s="663" cm="1">
        <f t="array" ref="F166">IF(E166="","",IF(H165&lt;&gt;"",H165,INDEX(D:D,E166)))</f>
        <v>0</v>
      </c>
      <c r="G166" s="663" t="str">
        <f t="shared" si="23"/>
        <v>0</v>
      </c>
      <c r="H166" s="673" t="str">
        <f t="shared" si="24"/>
        <v/>
      </c>
      <c r="I166" s="680" t="str">
        <f>IF(AND(F166&lt;&gt;"",N10&gt;0,M166&gt;N10),"Mot &gt; limite","")</f>
        <v/>
      </c>
      <c r="J166" s="674" t="str">
        <f>IF(K166="","",COUNTIF(K18:K166,"&lt;&gt;"))</f>
        <v/>
      </c>
      <c r="K166" s="675"/>
      <c r="L166" s="674" t="str">
        <f t="shared" si="25"/>
        <v/>
      </c>
      <c r="M166" s="643">
        <f>IF(OR(F166="",N10="",N10&lt;=0),"",IF(LEN(F166)&lt;=N10,LEN(F166),IFERROR(FIND("♦",SUBSTITUTE(LEFT(F166,N10)," ","♦",LEN(LEFT(F166,N10))-LEN(SUBSTITUTE(LEFT(F166,N10)," ","")))),FIND(" ",F166&amp;" ",N10+1)-1)))</f>
        <v>1</v>
      </c>
      <c r="N166" s="676">
        <f t="shared" si="26"/>
        <v>149</v>
      </c>
      <c r="O166" s="677" t="str">
        <f t="shared" si="27"/>
        <v>0</v>
      </c>
      <c r="P166" s="676">
        <f t="shared" si="28"/>
        <v>1</v>
      </c>
      <c r="Q166" s="676">
        <f t="shared" si="29"/>
        <v>1</v>
      </c>
      <c r="S166" s="539"/>
      <c r="T166" s="562" t="s">
        <v>5927</v>
      </c>
      <c r="U166" s="559" t="s">
        <v>5954</v>
      </c>
      <c r="V166" s="539"/>
      <c r="W166" s="539"/>
      <c r="X166" s="539"/>
      <c r="Y166" s="539"/>
      <c r="Z166" s="539"/>
      <c r="AA166" s="539"/>
      <c r="AB166" s="539"/>
      <c r="AC166" s="539"/>
      <c r="AD166" s="539"/>
      <c r="AE166" s="539"/>
      <c r="AF166" s="539"/>
      <c r="AG166" s="539"/>
      <c r="AH166" s="539"/>
      <c r="AI166" s="539"/>
      <c r="AJ166" s="539"/>
      <c r="AK166" s="539"/>
      <c r="DE166" s="494"/>
      <c r="DF166" s="496" t="s">
        <v>1447</v>
      </c>
      <c r="DG166" s="496" t="s">
        <v>1083</v>
      </c>
      <c r="DH166" s="496" t="s">
        <v>690</v>
      </c>
      <c r="DI166" s="496" t="s">
        <v>1448</v>
      </c>
      <c r="DJ166" s="496" t="s">
        <v>1448</v>
      </c>
      <c r="DK166" s="496" t="s">
        <v>1151</v>
      </c>
      <c r="DL166" s="496" t="s">
        <v>1446</v>
      </c>
      <c r="DM166" s="496" t="s">
        <v>1087</v>
      </c>
      <c r="DN166" s="497" t="s">
        <v>1153</v>
      </c>
      <c r="DP166" s="543">
        <v>1</v>
      </c>
    </row>
    <row r="167" spans="2:120" ht="30" customHeight="1">
      <c r="B167" s="663" t="str">
        <f t="shared" si="21"/>
        <v/>
      </c>
      <c r="C167" s="663" t="str">
        <f t="shared" si="22"/>
        <v/>
      </c>
      <c r="D167" s="663" t="str">
        <f>IF(UPPER(TRIM(N11))="X",C167,B167)</f>
        <v/>
      </c>
      <c r="E167" s="663" cm="1">
        <f t="array" ref="E167">IF(H166&lt;&gt;"",E166,IF(E166="","",IFERROR(MATCH(TRUE(),INDEX(INDEX(K:K,E166+1):K203&lt;&gt;"",0),0)+E166,"")))</f>
        <v>308</v>
      </c>
      <c r="F167" s="663" cm="1">
        <f t="array" ref="F167">IF(E167="","",IF(H166&lt;&gt;"",H166,INDEX(D:D,E167)))</f>
        <v>0</v>
      </c>
      <c r="G167" s="663" t="str">
        <f t="shared" si="23"/>
        <v>0</v>
      </c>
      <c r="H167" s="673" t="str">
        <f t="shared" si="24"/>
        <v/>
      </c>
      <c r="I167" s="680" t="str">
        <f>IF(AND(F167&lt;&gt;"",N10&gt;0,M167&gt;N10),"Mot &gt; limite","")</f>
        <v/>
      </c>
      <c r="J167" s="674" t="str">
        <f>IF(K167="","",COUNTIF(K18:K167,"&lt;&gt;"))</f>
        <v/>
      </c>
      <c r="K167" s="675"/>
      <c r="L167" s="674" t="str">
        <f t="shared" si="25"/>
        <v/>
      </c>
      <c r="M167" s="643">
        <f>IF(OR(F167="",N10="",N10&lt;=0),"",IF(LEN(F167)&lt;=N10,LEN(F167),IFERROR(FIND("♦",SUBSTITUTE(LEFT(F167,N10)," ","♦",LEN(LEFT(F167,N10))-LEN(SUBSTITUTE(LEFT(F167,N10)," ","")))),FIND(" ",F167&amp;" ",N10+1)-1)))</f>
        <v>1</v>
      </c>
      <c r="N167" s="676">
        <f t="shared" si="26"/>
        <v>150</v>
      </c>
      <c r="O167" s="677" t="str">
        <f t="shared" si="27"/>
        <v>0</v>
      </c>
      <c r="P167" s="676">
        <f t="shared" si="28"/>
        <v>1</v>
      </c>
      <c r="Q167" s="676">
        <f t="shared" si="29"/>
        <v>1</v>
      </c>
      <c r="S167" s="539"/>
      <c r="T167" s="562" t="s">
        <v>5929</v>
      </c>
      <c r="U167" s="559" t="s">
        <v>5955</v>
      </c>
      <c r="V167" s="539"/>
      <c r="W167" s="539"/>
      <c r="X167" s="539"/>
      <c r="Y167" s="539"/>
      <c r="Z167" s="539"/>
      <c r="AA167" s="539"/>
      <c r="AB167" s="539"/>
      <c r="AC167" s="539"/>
      <c r="AD167" s="539"/>
      <c r="AE167" s="539"/>
      <c r="AF167" s="539"/>
      <c r="AG167" s="539"/>
      <c r="AH167" s="539"/>
      <c r="AI167" s="539"/>
      <c r="AJ167" s="539"/>
      <c r="AK167" s="539"/>
      <c r="DE167" s="494"/>
      <c r="DF167" s="496" t="s">
        <v>1457</v>
      </c>
      <c r="DG167" s="496" t="s">
        <v>1083</v>
      </c>
      <c r="DH167" s="496" t="s">
        <v>690</v>
      </c>
      <c r="DI167" s="496" t="s">
        <v>1458</v>
      </c>
      <c r="DJ167" s="496" t="s">
        <v>1458</v>
      </c>
      <c r="DK167" s="496" t="s">
        <v>1085</v>
      </c>
      <c r="DL167" s="496" t="s">
        <v>1441</v>
      </c>
      <c r="DM167" s="496" t="s">
        <v>1087</v>
      </c>
      <c r="DN167" s="497" t="s">
        <v>1088</v>
      </c>
      <c r="DP167" s="543">
        <v>1</v>
      </c>
    </row>
    <row r="168" spans="2:120" ht="30" customHeight="1">
      <c r="B168" s="663" t="str">
        <f t="shared" si="21"/>
        <v/>
      </c>
      <c r="C168" s="663" t="str">
        <f t="shared" si="22"/>
        <v/>
      </c>
      <c r="D168" s="663" t="str">
        <f>IF(UPPER(TRIM(N11))="X",C168,B168)</f>
        <v/>
      </c>
      <c r="E168" s="663" cm="1">
        <f t="array" ref="E168">IF(H167&lt;&gt;"",E167,IF(E167="","",IFERROR(MATCH(TRUE(),INDEX(INDEX(K:K,E167+1):K203&lt;&gt;"",0),0)+E167,"")))</f>
        <v>309</v>
      </c>
      <c r="F168" s="663" cm="1">
        <f t="array" ref="F168">IF(E168="","",IF(H167&lt;&gt;"",H167,INDEX(D:D,E168)))</f>
        <v>0</v>
      </c>
      <c r="G168" s="663" t="str">
        <f t="shared" si="23"/>
        <v>0</v>
      </c>
      <c r="H168" s="673" t="str">
        <f t="shared" si="24"/>
        <v/>
      </c>
      <c r="I168" s="680" t="str">
        <f>IF(AND(F168&lt;&gt;"",N10&gt;0,M168&gt;N10),"Mot &gt; limite","")</f>
        <v/>
      </c>
      <c r="J168" s="674" t="str">
        <f>IF(K168="","",COUNTIF(K18:K168,"&lt;&gt;"))</f>
        <v/>
      </c>
      <c r="K168" s="675"/>
      <c r="L168" s="674" t="str">
        <f t="shared" si="25"/>
        <v/>
      </c>
      <c r="M168" s="643">
        <f>IF(OR(F168="",N10="",N10&lt;=0),"",IF(LEN(F168)&lt;=N10,LEN(F168),IFERROR(FIND("♦",SUBSTITUTE(LEFT(F168,N10)," ","♦",LEN(LEFT(F168,N10))-LEN(SUBSTITUTE(LEFT(F168,N10)," ","")))),FIND(" ",F168&amp;" ",N10+1)-1)))</f>
        <v>1</v>
      </c>
      <c r="N168" s="676">
        <f t="shared" si="26"/>
        <v>151</v>
      </c>
      <c r="O168" s="677" t="str">
        <f t="shared" si="27"/>
        <v>0</v>
      </c>
      <c r="P168" s="676">
        <f t="shared" si="28"/>
        <v>1</v>
      </c>
      <c r="Q168" s="676">
        <f t="shared" si="29"/>
        <v>1</v>
      </c>
      <c r="S168" s="539"/>
      <c r="T168" s="562" t="s">
        <v>5931</v>
      </c>
      <c r="U168" s="559" t="s">
        <v>5956</v>
      </c>
      <c r="V168" s="539"/>
      <c r="W168" s="539"/>
      <c r="X168" s="539"/>
      <c r="Y168" s="539"/>
      <c r="Z168" s="539"/>
      <c r="AA168" s="539"/>
      <c r="AB168" s="539"/>
      <c r="AC168" s="539"/>
      <c r="AD168" s="539"/>
      <c r="AE168" s="539"/>
      <c r="AF168" s="539"/>
      <c r="AG168" s="539"/>
      <c r="AH168" s="539"/>
      <c r="AI168" s="539"/>
      <c r="AJ168" s="539"/>
      <c r="AK168" s="539"/>
      <c r="DE168" s="494"/>
      <c r="DF168" s="496" t="s">
        <v>1459</v>
      </c>
      <c r="DG168" s="496" t="s">
        <v>1083</v>
      </c>
      <c r="DH168" s="496" t="s">
        <v>690</v>
      </c>
      <c r="DI168" s="496" t="s">
        <v>38</v>
      </c>
      <c r="DJ168" s="496" t="s">
        <v>38</v>
      </c>
      <c r="DK168" s="496" t="s">
        <v>1085</v>
      </c>
      <c r="DL168" s="496" t="s">
        <v>1441</v>
      </c>
      <c r="DM168" s="496" t="s">
        <v>1087</v>
      </c>
      <c r="DN168" s="497" t="s">
        <v>1088</v>
      </c>
      <c r="DP168" s="543">
        <v>1</v>
      </c>
    </row>
    <row r="169" spans="2:120" ht="30" customHeight="1">
      <c r="B169" s="663" t="str">
        <f t="shared" si="21"/>
        <v/>
      </c>
      <c r="C169" s="663" t="str">
        <f t="shared" si="22"/>
        <v/>
      </c>
      <c r="D169" s="663" t="str">
        <f>IF(UPPER(TRIM(N11))="X",C169,B169)</f>
        <v/>
      </c>
      <c r="E169" s="663" cm="1">
        <f t="array" ref="E169">IF(H168&lt;&gt;"",E168,IF(E168="","",IFERROR(MATCH(TRUE(),INDEX(INDEX(K:K,E168+1):K203&lt;&gt;"",0),0)+E168,"")))</f>
        <v>310</v>
      </c>
      <c r="F169" s="663" cm="1">
        <f t="array" ref="F169">IF(E169="","",IF(H168&lt;&gt;"",H168,INDEX(D:D,E169)))</f>
        <v>0</v>
      </c>
      <c r="G169" s="663" t="str">
        <f t="shared" si="23"/>
        <v>0</v>
      </c>
      <c r="H169" s="673" t="str">
        <f t="shared" si="24"/>
        <v/>
      </c>
      <c r="I169" s="680" t="str">
        <f>IF(AND(F169&lt;&gt;"",N10&gt;0,M169&gt;N10),"Mot &gt; limite","")</f>
        <v/>
      </c>
      <c r="J169" s="674" t="str">
        <f>IF(K169="","",COUNTIF(K18:K169,"&lt;&gt;"))</f>
        <v/>
      </c>
      <c r="K169" s="675"/>
      <c r="L169" s="674" t="str">
        <f t="shared" si="25"/>
        <v/>
      </c>
      <c r="M169" s="643">
        <f>IF(OR(F169="",N10="",N10&lt;=0),"",IF(LEN(F169)&lt;=N10,LEN(F169),IFERROR(FIND("♦",SUBSTITUTE(LEFT(F169,N10)," ","♦",LEN(LEFT(F169,N10))-LEN(SUBSTITUTE(LEFT(F169,N10)," ","")))),FIND(" ",F169&amp;" ",N10+1)-1)))</f>
        <v>1</v>
      </c>
      <c r="N169" s="676">
        <f t="shared" si="26"/>
        <v>152</v>
      </c>
      <c r="O169" s="677" t="str">
        <f t="shared" si="27"/>
        <v>0</v>
      </c>
      <c r="P169" s="676">
        <f t="shared" si="28"/>
        <v>1</v>
      </c>
      <c r="Q169" s="676">
        <f t="shared" si="29"/>
        <v>1</v>
      </c>
      <c r="S169" s="539"/>
      <c r="T169" s="562" t="s">
        <v>5933</v>
      </c>
      <c r="U169" s="559" t="s">
        <v>5957</v>
      </c>
      <c r="V169" s="539"/>
      <c r="W169" s="539"/>
      <c r="X169" s="539"/>
      <c r="Y169" s="539"/>
      <c r="Z169" s="539"/>
      <c r="AA169" s="539"/>
      <c r="AB169" s="539"/>
      <c r="AC169" s="539"/>
      <c r="AD169" s="539"/>
      <c r="AE169" s="539"/>
      <c r="AF169" s="539"/>
      <c r="AG169" s="539"/>
      <c r="AH169" s="539"/>
      <c r="AI169" s="539"/>
      <c r="AJ169" s="539"/>
      <c r="AK169" s="539"/>
      <c r="DE169" s="494"/>
      <c r="DF169" s="496" t="s">
        <v>1460</v>
      </c>
      <c r="DG169" s="496" t="s">
        <v>1083</v>
      </c>
      <c r="DH169" s="496" t="s">
        <v>690</v>
      </c>
      <c r="DI169" s="496" t="s">
        <v>1461</v>
      </c>
      <c r="DJ169" s="496" t="s">
        <v>711</v>
      </c>
      <c r="DK169" s="496" t="s">
        <v>1085</v>
      </c>
      <c r="DL169" s="496" t="s">
        <v>1441</v>
      </c>
      <c r="DM169" s="496" t="s">
        <v>1087</v>
      </c>
      <c r="DN169" s="497" t="s">
        <v>1088</v>
      </c>
      <c r="DP169" s="543">
        <v>1</v>
      </c>
    </row>
    <row r="170" spans="2:120" ht="30" customHeight="1">
      <c r="B170" s="663" t="str">
        <f t="shared" si="21"/>
        <v/>
      </c>
      <c r="C170" s="663" t="str">
        <f t="shared" si="22"/>
        <v/>
      </c>
      <c r="D170" s="663" t="str">
        <f>IF(UPPER(TRIM(N11))="X",C170,B170)</f>
        <v/>
      </c>
      <c r="E170" s="663" cm="1">
        <f t="array" ref="E170">IF(H169&lt;&gt;"",E169,IF(E169="","",IFERROR(MATCH(TRUE(),INDEX(INDEX(K:K,E169+1):K203&lt;&gt;"",0),0)+E169,"")))</f>
        <v>311</v>
      </c>
      <c r="F170" s="663" cm="1">
        <f t="array" ref="F170">IF(E170="","",IF(H169&lt;&gt;"",H169,INDEX(D:D,E170)))</f>
        <v>0</v>
      </c>
      <c r="G170" s="663" t="str">
        <f t="shared" si="23"/>
        <v>0</v>
      </c>
      <c r="H170" s="673" t="str">
        <f t="shared" si="24"/>
        <v/>
      </c>
      <c r="I170" s="680" t="str">
        <f>IF(AND(F170&lt;&gt;"",N10&gt;0,M170&gt;N10),"Mot &gt; limite","")</f>
        <v/>
      </c>
      <c r="J170" s="674" t="str">
        <f>IF(K170="","",COUNTIF(K18:K170,"&lt;&gt;"))</f>
        <v/>
      </c>
      <c r="K170" s="675"/>
      <c r="L170" s="674" t="str">
        <f t="shared" si="25"/>
        <v/>
      </c>
      <c r="M170" s="643">
        <f>IF(OR(F170="",N10="",N10&lt;=0),"",IF(LEN(F170)&lt;=N10,LEN(F170),IFERROR(FIND("♦",SUBSTITUTE(LEFT(F170,N10)," ","♦",LEN(LEFT(F170,N10))-LEN(SUBSTITUTE(LEFT(F170,N10)," ","")))),FIND(" ",F170&amp;" ",N10+1)-1)))</f>
        <v>1</v>
      </c>
      <c r="N170" s="676">
        <f t="shared" si="26"/>
        <v>153</v>
      </c>
      <c r="O170" s="677" t="str">
        <f t="shared" si="27"/>
        <v>0</v>
      </c>
      <c r="P170" s="676">
        <f t="shared" si="28"/>
        <v>1</v>
      </c>
      <c r="Q170" s="676">
        <f t="shared" si="29"/>
        <v>1</v>
      </c>
      <c r="S170" s="539"/>
      <c r="T170" s="562" t="s">
        <v>5935</v>
      </c>
      <c r="U170" s="559" t="s">
        <v>5958</v>
      </c>
      <c r="V170" s="539"/>
      <c r="W170" s="539"/>
      <c r="X170" s="539"/>
      <c r="Y170" s="539"/>
      <c r="Z170" s="539"/>
      <c r="AA170" s="539"/>
      <c r="AB170" s="539"/>
      <c r="AC170" s="539"/>
      <c r="AD170" s="539"/>
      <c r="AE170" s="539"/>
      <c r="AF170" s="539"/>
      <c r="AG170" s="539"/>
      <c r="AH170" s="539"/>
      <c r="AI170" s="539"/>
      <c r="AJ170" s="539"/>
      <c r="AK170" s="539"/>
      <c r="DE170" s="494"/>
      <c r="DF170" s="496" t="s">
        <v>1462</v>
      </c>
      <c r="DG170" s="496" t="s">
        <v>1083</v>
      </c>
      <c r="DH170" s="496" t="s">
        <v>690</v>
      </c>
      <c r="DI170" s="496" t="s">
        <v>1463</v>
      </c>
      <c r="DJ170" s="496" t="s">
        <v>1463</v>
      </c>
      <c r="DK170" s="496" t="s">
        <v>1085</v>
      </c>
      <c r="DL170" s="496" t="s">
        <v>1441</v>
      </c>
      <c r="DM170" s="496" t="s">
        <v>1087</v>
      </c>
      <c r="DN170" s="497" t="s">
        <v>1088</v>
      </c>
      <c r="DP170" s="543">
        <v>1</v>
      </c>
    </row>
    <row r="171" spans="2:120" ht="30" customHeight="1">
      <c r="B171" s="663" t="str">
        <f t="shared" si="21"/>
        <v/>
      </c>
      <c r="C171" s="663" t="str">
        <f t="shared" si="22"/>
        <v/>
      </c>
      <c r="D171" s="663" t="str">
        <f>IF(UPPER(TRIM(N11))="X",C171,B171)</f>
        <v/>
      </c>
      <c r="E171" s="663" cm="1">
        <f t="array" ref="E171">IF(H170&lt;&gt;"",E170,IF(E170="","",IFERROR(MATCH(TRUE(),INDEX(INDEX(K:K,E170+1):K203&lt;&gt;"",0),0)+E170,"")))</f>
        <v>312</v>
      </c>
      <c r="F171" s="663" cm="1">
        <f t="array" ref="F171">IF(E171="","",IF(H170&lt;&gt;"",H170,INDEX(D:D,E171)))</f>
        <v>0</v>
      </c>
      <c r="G171" s="663" t="str">
        <f t="shared" si="23"/>
        <v>0</v>
      </c>
      <c r="H171" s="673" t="str">
        <f t="shared" si="24"/>
        <v/>
      </c>
      <c r="I171" s="680" t="str">
        <f>IF(AND(F171&lt;&gt;"",N10&gt;0,M171&gt;N10),"Mot &gt; limite","")</f>
        <v/>
      </c>
      <c r="J171" s="674" t="str">
        <f>IF(K171="","",COUNTIF(K18:K171,"&lt;&gt;"))</f>
        <v/>
      </c>
      <c r="K171" s="675"/>
      <c r="L171" s="674" t="str">
        <f t="shared" si="25"/>
        <v/>
      </c>
      <c r="M171" s="643">
        <f>IF(OR(F171="",N10="",N10&lt;=0),"",IF(LEN(F171)&lt;=N10,LEN(F171),IFERROR(FIND("♦",SUBSTITUTE(LEFT(F171,N10)," ","♦",LEN(LEFT(F171,N10))-LEN(SUBSTITUTE(LEFT(F171,N10)," ","")))),FIND(" ",F171&amp;" ",N10+1)-1)))</f>
        <v>1</v>
      </c>
      <c r="N171" s="676">
        <f t="shared" si="26"/>
        <v>154</v>
      </c>
      <c r="O171" s="677" t="str">
        <f t="shared" si="27"/>
        <v>0</v>
      </c>
      <c r="P171" s="676">
        <f t="shared" si="28"/>
        <v>1</v>
      </c>
      <c r="Q171" s="676">
        <f t="shared" si="29"/>
        <v>1</v>
      </c>
      <c r="S171" s="539"/>
      <c r="T171" s="562" t="s">
        <v>5937</v>
      </c>
      <c r="U171" s="559" t="s">
        <v>5959</v>
      </c>
      <c r="V171" s="539"/>
      <c r="W171" s="539"/>
      <c r="X171" s="539"/>
      <c r="Y171" s="539"/>
      <c r="Z171" s="539"/>
      <c r="AA171" s="539"/>
      <c r="AB171" s="539"/>
      <c r="AC171" s="539"/>
      <c r="AD171" s="539"/>
      <c r="AE171" s="539"/>
      <c r="AF171" s="539"/>
      <c r="AG171" s="539"/>
      <c r="AH171" s="539"/>
      <c r="AI171" s="539"/>
      <c r="AJ171" s="539"/>
      <c r="AK171" s="539"/>
      <c r="DE171" s="494"/>
      <c r="DF171" s="496" t="s">
        <v>1464</v>
      </c>
      <c r="DG171" s="496" t="s">
        <v>1083</v>
      </c>
      <c r="DH171" s="496" t="s">
        <v>690</v>
      </c>
      <c r="DI171" s="496" t="s">
        <v>708</v>
      </c>
      <c r="DJ171" s="496" t="s">
        <v>708</v>
      </c>
      <c r="DK171" s="496" t="s">
        <v>1085</v>
      </c>
      <c r="DL171" s="496" t="s">
        <v>1441</v>
      </c>
      <c r="DM171" s="496" t="s">
        <v>1087</v>
      </c>
      <c r="DN171" s="497" t="s">
        <v>1088</v>
      </c>
      <c r="DP171" s="543">
        <v>1</v>
      </c>
    </row>
    <row r="172" spans="2:120" ht="30" customHeight="1">
      <c r="B172" s="663" t="str">
        <f t="shared" si="21"/>
        <v/>
      </c>
      <c r="C172" s="663" t="str">
        <f t="shared" si="22"/>
        <v/>
      </c>
      <c r="D172" s="663" t="str">
        <f>IF(UPPER(TRIM(N11))="X",C172,B172)</f>
        <v/>
      </c>
      <c r="E172" s="663" cm="1">
        <f t="array" ref="E172">IF(H171&lt;&gt;"",E171,IF(E171="","",IFERROR(MATCH(TRUE(),INDEX(INDEX(K:K,E171+1):K203&lt;&gt;"",0),0)+E171,"")))</f>
        <v>313</v>
      </c>
      <c r="F172" s="663" cm="1">
        <f t="array" ref="F172">IF(E172="","",IF(H171&lt;&gt;"",H171,INDEX(D:D,E172)))</f>
        <v>0</v>
      </c>
      <c r="G172" s="663" t="str">
        <f t="shared" si="23"/>
        <v>0</v>
      </c>
      <c r="H172" s="673" t="str">
        <f t="shared" si="24"/>
        <v/>
      </c>
      <c r="I172" s="680" t="str">
        <f>IF(AND(F172&lt;&gt;"",N10&gt;0,M172&gt;N10),"Mot &gt; limite","")</f>
        <v/>
      </c>
      <c r="J172" s="674" t="str">
        <f>IF(K172="","",COUNTIF(K18:K172,"&lt;&gt;"))</f>
        <v/>
      </c>
      <c r="K172" s="675"/>
      <c r="L172" s="674" t="str">
        <f t="shared" si="25"/>
        <v/>
      </c>
      <c r="M172" s="643">
        <f>IF(OR(F172="",N10="",N10&lt;=0),"",IF(LEN(F172)&lt;=N10,LEN(F172),IFERROR(FIND("♦",SUBSTITUTE(LEFT(F172,N10)," ","♦",LEN(LEFT(F172,N10))-LEN(SUBSTITUTE(LEFT(F172,N10)," ","")))),FIND(" ",F172&amp;" ",N10+1)-1)))</f>
        <v>1</v>
      </c>
      <c r="N172" s="676">
        <f t="shared" si="26"/>
        <v>155</v>
      </c>
      <c r="O172" s="677" t="str">
        <f t="shared" si="27"/>
        <v>0</v>
      </c>
      <c r="P172" s="676">
        <f t="shared" si="28"/>
        <v>1</v>
      </c>
      <c r="Q172" s="676">
        <f t="shared" si="29"/>
        <v>1</v>
      </c>
      <c r="S172" s="539"/>
      <c r="T172" s="562" t="s">
        <v>5939</v>
      </c>
      <c r="U172" s="559" t="s">
        <v>5960</v>
      </c>
      <c r="V172" s="539"/>
      <c r="W172" s="539"/>
      <c r="X172" s="539"/>
      <c r="Y172" s="539"/>
      <c r="Z172" s="539"/>
      <c r="AA172" s="539"/>
      <c r="AB172" s="539"/>
      <c r="AC172" s="539"/>
      <c r="AD172" s="539"/>
      <c r="AE172" s="539"/>
      <c r="AF172" s="539"/>
      <c r="AG172" s="539"/>
      <c r="AH172" s="539"/>
      <c r="AI172" s="539"/>
      <c r="AJ172" s="539"/>
      <c r="AK172" s="539"/>
      <c r="DE172" s="494"/>
      <c r="DF172" s="496" t="s">
        <v>1465</v>
      </c>
      <c r="DG172" s="496" t="s">
        <v>1083</v>
      </c>
      <c r="DH172" s="496" t="s">
        <v>690</v>
      </c>
      <c r="DI172" s="496" t="s">
        <v>1466</v>
      </c>
      <c r="DJ172" s="496" t="s">
        <v>1466</v>
      </c>
      <c r="DK172" s="496" t="s">
        <v>1085</v>
      </c>
      <c r="DL172" s="496" t="s">
        <v>1441</v>
      </c>
      <c r="DM172" s="496" t="s">
        <v>1087</v>
      </c>
      <c r="DN172" s="497" t="s">
        <v>1088</v>
      </c>
      <c r="DP172" s="543">
        <v>1</v>
      </c>
    </row>
    <row r="173" spans="2:120" ht="30" customHeight="1">
      <c r="B173" s="663" t="str">
        <f t="shared" si="21"/>
        <v/>
      </c>
      <c r="C173" s="663" t="str">
        <f t="shared" si="22"/>
        <v/>
      </c>
      <c r="D173" s="663" t="str">
        <f>IF(UPPER(TRIM(N11))="X",C173,B173)</f>
        <v/>
      </c>
      <c r="E173" s="663" cm="1">
        <f t="array" ref="E173">IF(H172&lt;&gt;"",E172,IF(E172="","",IFERROR(MATCH(TRUE(),INDEX(INDEX(K:K,E172+1):K203&lt;&gt;"",0),0)+E172,"")))</f>
        <v>314</v>
      </c>
      <c r="F173" s="663" cm="1">
        <f t="array" ref="F173">IF(E173="","",IF(H172&lt;&gt;"",H172,INDEX(D:D,E173)))</f>
        <v>0</v>
      </c>
      <c r="G173" s="663" t="str">
        <f t="shared" si="23"/>
        <v>0</v>
      </c>
      <c r="H173" s="673" t="str">
        <f t="shared" si="24"/>
        <v/>
      </c>
      <c r="I173" s="680" t="str">
        <f>IF(AND(F173&lt;&gt;"",N10&gt;0,M173&gt;N10),"Mot &gt; limite","")</f>
        <v/>
      </c>
      <c r="J173" s="674" t="str">
        <f>IF(K173="","",COUNTIF(K18:K173,"&lt;&gt;"))</f>
        <v/>
      </c>
      <c r="K173" s="675"/>
      <c r="L173" s="674" t="str">
        <f t="shared" si="25"/>
        <v/>
      </c>
      <c r="M173" s="643">
        <f>IF(OR(F173="",N10="",N10&lt;=0),"",IF(LEN(F173)&lt;=N10,LEN(F173),IFERROR(FIND("♦",SUBSTITUTE(LEFT(F173,N10)," ","♦",LEN(LEFT(F173,N10))-LEN(SUBSTITUTE(LEFT(F173,N10)," ","")))),FIND(" ",F173&amp;" ",N10+1)-1)))</f>
        <v>1</v>
      </c>
      <c r="N173" s="676">
        <f t="shared" si="26"/>
        <v>156</v>
      </c>
      <c r="O173" s="677" t="str">
        <f t="shared" si="27"/>
        <v>0</v>
      </c>
      <c r="P173" s="676">
        <f t="shared" si="28"/>
        <v>1</v>
      </c>
      <c r="Q173" s="676">
        <f t="shared" si="29"/>
        <v>1</v>
      </c>
      <c r="S173" s="539"/>
      <c r="T173" s="562" t="s">
        <v>5941</v>
      </c>
      <c r="U173" s="559" t="s">
        <v>5961</v>
      </c>
      <c r="V173" s="539"/>
      <c r="W173" s="539"/>
      <c r="X173" s="539"/>
      <c r="Y173" s="539"/>
      <c r="Z173" s="539"/>
      <c r="AA173" s="539"/>
      <c r="AB173" s="539"/>
      <c r="AC173" s="539"/>
      <c r="AD173" s="539"/>
      <c r="AE173" s="539"/>
      <c r="AF173" s="539"/>
      <c r="AG173" s="539"/>
      <c r="AH173" s="539"/>
      <c r="AI173" s="539"/>
      <c r="AJ173" s="539"/>
      <c r="AK173" s="539"/>
      <c r="DE173" s="494"/>
      <c r="DF173" s="496" t="s">
        <v>1467</v>
      </c>
      <c r="DG173" s="496" t="s">
        <v>1083</v>
      </c>
      <c r="DH173" s="496" t="s">
        <v>690</v>
      </c>
      <c r="DI173" s="496" t="s">
        <v>712</v>
      </c>
      <c r="DJ173" s="496" t="s">
        <v>712</v>
      </c>
      <c r="DK173" s="496" t="s">
        <v>1085</v>
      </c>
      <c r="DL173" s="496" t="s">
        <v>1441</v>
      </c>
      <c r="DM173" s="496" t="s">
        <v>1087</v>
      </c>
      <c r="DN173" s="497" t="s">
        <v>1088</v>
      </c>
      <c r="DP173" s="543">
        <v>1</v>
      </c>
    </row>
    <row r="174" spans="2:120" ht="30" customHeight="1">
      <c r="B174" s="663" t="str">
        <f t="shared" si="21"/>
        <v/>
      </c>
      <c r="C174" s="663" t="str">
        <f t="shared" si="22"/>
        <v/>
      </c>
      <c r="D174" s="663" t="str">
        <f>IF(UPPER(TRIM(N11))="X",C174,B174)</f>
        <v/>
      </c>
      <c r="E174" s="663" cm="1">
        <f t="array" ref="E174">IF(H173&lt;&gt;"",E173,IF(E173="","",IFERROR(MATCH(TRUE(),INDEX(INDEX(K:K,E173+1):K203&lt;&gt;"",0),0)+E173,"")))</f>
        <v>315</v>
      </c>
      <c r="F174" s="663" cm="1">
        <f t="array" ref="F174">IF(E174="","",IF(H173&lt;&gt;"",H173,INDEX(D:D,E174)))</f>
        <v>0</v>
      </c>
      <c r="G174" s="663" t="str">
        <f t="shared" si="23"/>
        <v>0</v>
      </c>
      <c r="H174" s="673" t="str">
        <f t="shared" si="24"/>
        <v/>
      </c>
      <c r="I174" s="680" t="str">
        <f>IF(AND(F174&lt;&gt;"",N10&gt;0,M174&gt;N10),"Mot &gt; limite","")</f>
        <v/>
      </c>
      <c r="J174" s="674" t="str">
        <f>IF(K174="","",COUNTIF(K18:K174,"&lt;&gt;"))</f>
        <v/>
      </c>
      <c r="K174" s="675"/>
      <c r="L174" s="674" t="str">
        <f t="shared" si="25"/>
        <v/>
      </c>
      <c r="M174" s="643">
        <f>IF(OR(F174="",N10="",N10&lt;=0),"",IF(LEN(F174)&lt;=N10,LEN(F174),IFERROR(FIND("♦",SUBSTITUTE(LEFT(F174,N10)," ","♦",LEN(LEFT(F174,N10))-LEN(SUBSTITUTE(LEFT(F174,N10)," ","")))),FIND(" ",F174&amp;" ",N10+1)-1)))</f>
        <v>1</v>
      </c>
      <c r="N174" s="676">
        <f t="shared" si="26"/>
        <v>157</v>
      </c>
      <c r="O174" s="677" t="str">
        <f t="shared" si="27"/>
        <v>0</v>
      </c>
      <c r="P174" s="676">
        <f t="shared" si="28"/>
        <v>1</v>
      </c>
      <c r="Q174" s="676">
        <f t="shared" si="29"/>
        <v>1</v>
      </c>
      <c r="S174" s="539"/>
      <c r="T174" s="562" t="s">
        <v>5943</v>
      </c>
      <c r="U174" s="559" t="s">
        <v>5962</v>
      </c>
      <c r="V174" s="539"/>
      <c r="W174" s="539"/>
      <c r="X174" s="539"/>
      <c r="Y174" s="539"/>
      <c r="Z174" s="539"/>
      <c r="AA174" s="539"/>
      <c r="AB174" s="539"/>
      <c r="AC174" s="539"/>
      <c r="AD174" s="539"/>
      <c r="AE174" s="539"/>
      <c r="AF174" s="539"/>
      <c r="AG174" s="539"/>
      <c r="AH174" s="539"/>
      <c r="AI174" s="539"/>
      <c r="AJ174" s="539"/>
      <c r="AK174" s="539"/>
      <c r="DE174" s="494"/>
      <c r="DF174" s="496" t="s">
        <v>1468</v>
      </c>
      <c r="DG174" s="496" t="s">
        <v>1083</v>
      </c>
      <c r="DH174" s="496" t="s">
        <v>690</v>
      </c>
      <c r="DI174" s="496" t="s">
        <v>710</v>
      </c>
      <c r="DJ174" s="496" t="s">
        <v>710</v>
      </c>
      <c r="DK174" s="496" t="s">
        <v>1085</v>
      </c>
      <c r="DL174" s="496" t="s">
        <v>1441</v>
      </c>
      <c r="DM174" s="496" t="s">
        <v>1087</v>
      </c>
      <c r="DN174" s="497" t="s">
        <v>1088</v>
      </c>
      <c r="DP174" s="543">
        <v>1</v>
      </c>
    </row>
    <row r="175" spans="2:120" ht="30" customHeight="1">
      <c r="B175" s="663" t="str">
        <f t="shared" si="21"/>
        <v/>
      </c>
      <c r="C175" s="663" t="str">
        <f t="shared" si="22"/>
        <v/>
      </c>
      <c r="D175" s="663" t="str">
        <f>IF(UPPER(TRIM(N11))="X",C175,B175)</f>
        <v/>
      </c>
      <c r="E175" s="663" cm="1">
        <f t="array" ref="E175">IF(H174&lt;&gt;"",E174,IF(E174="","",IFERROR(MATCH(TRUE(),INDEX(INDEX(K:K,E174+1):K203&lt;&gt;"",0),0)+E174,"")))</f>
        <v>316</v>
      </c>
      <c r="F175" s="663" cm="1">
        <f t="array" ref="F175">IF(E175="","",IF(H174&lt;&gt;"",H174,INDEX(D:D,E175)))</f>
        <v>0</v>
      </c>
      <c r="G175" s="663" t="str">
        <f t="shared" si="23"/>
        <v>0</v>
      </c>
      <c r="H175" s="673" t="str">
        <f t="shared" si="24"/>
        <v/>
      </c>
      <c r="I175" s="680" t="str">
        <f>IF(AND(F175&lt;&gt;"",N10&gt;0,M175&gt;N10),"Mot &gt; limite","")</f>
        <v/>
      </c>
      <c r="J175" s="674" t="str">
        <f>IF(K175="","",COUNTIF(K18:K175,"&lt;&gt;"))</f>
        <v/>
      </c>
      <c r="K175" s="675"/>
      <c r="L175" s="674" t="str">
        <f t="shared" si="25"/>
        <v/>
      </c>
      <c r="M175" s="643">
        <f>IF(OR(F175="",N10="",N10&lt;=0),"",IF(LEN(F175)&lt;=N10,LEN(F175),IFERROR(FIND("♦",SUBSTITUTE(LEFT(F175,N10)," ","♦",LEN(LEFT(F175,N10))-LEN(SUBSTITUTE(LEFT(F175,N10)," ","")))),FIND(" ",F175&amp;" ",N10+1)-1)))</f>
        <v>1</v>
      </c>
      <c r="N175" s="676">
        <f t="shared" si="26"/>
        <v>158</v>
      </c>
      <c r="O175" s="677" t="str">
        <f t="shared" si="27"/>
        <v>0</v>
      </c>
      <c r="P175" s="676">
        <f t="shared" si="28"/>
        <v>1</v>
      </c>
      <c r="Q175" s="676">
        <f t="shared" si="29"/>
        <v>1</v>
      </c>
      <c r="S175" s="539"/>
      <c r="T175" s="562" t="s">
        <v>5945</v>
      </c>
      <c r="U175" s="559" t="s">
        <v>5963</v>
      </c>
      <c r="V175" s="539"/>
      <c r="W175" s="539"/>
      <c r="X175" s="539"/>
      <c r="Y175" s="539"/>
      <c r="Z175" s="539"/>
      <c r="AA175" s="539"/>
      <c r="AB175" s="539"/>
      <c r="AC175" s="539"/>
      <c r="AD175" s="539"/>
      <c r="AE175" s="539"/>
      <c r="AF175" s="539"/>
      <c r="AG175" s="539"/>
      <c r="AH175" s="539"/>
      <c r="AI175" s="539"/>
      <c r="AJ175" s="539"/>
      <c r="AK175" s="539"/>
      <c r="DE175" s="494"/>
      <c r="DF175" s="496" t="s">
        <v>1469</v>
      </c>
      <c r="DG175" s="496" t="s">
        <v>1083</v>
      </c>
      <c r="DH175" s="496" t="s">
        <v>690</v>
      </c>
      <c r="DI175" s="496" t="s">
        <v>1470</v>
      </c>
      <c r="DJ175" s="496" t="s">
        <v>1470</v>
      </c>
      <c r="DK175" s="496" t="s">
        <v>1085</v>
      </c>
      <c r="DL175" s="496" t="s">
        <v>1441</v>
      </c>
      <c r="DM175" s="496" t="s">
        <v>1087</v>
      </c>
      <c r="DN175" s="497" t="s">
        <v>1088</v>
      </c>
      <c r="DP175" s="543">
        <v>1</v>
      </c>
    </row>
    <row r="176" spans="2:120" ht="30" customHeight="1">
      <c r="B176" s="663" t="str">
        <f t="shared" si="21"/>
        <v/>
      </c>
      <c r="C176" s="663" t="str">
        <f t="shared" si="22"/>
        <v/>
      </c>
      <c r="D176" s="663" t="str">
        <f>IF(UPPER(TRIM(N11))="X",C176,B176)</f>
        <v/>
      </c>
      <c r="E176" s="663" cm="1">
        <f t="array" ref="E176">IF(H175&lt;&gt;"",E175,IF(E175="","",IFERROR(MATCH(TRUE(),INDEX(INDEX(K:K,E175+1):K203&lt;&gt;"",0),0)+E175,"")))</f>
        <v>317</v>
      </c>
      <c r="F176" s="663" cm="1">
        <f t="array" ref="F176">IF(E176="","",IF(H175&lt;&gt;"",H175,INDEX(D:D,E176)))</f>
        <v>0</v>
      </c>
      <c r="G176" s="663" t="str">
        <f t="shared" si="23"/>
        <v>0</v>
      </c>
      <c r="H176" s="673" t="str">
        <f t="shared" si="24"/>
        <v/>
      </c>
      <c r="I176" s="680" t="str">
        <f>IF(AND(F176&lt;&gt;"",N10&gt;0,M176&gt;N10),"Mot &gt; limite","")</f>
        <v/>
      </c>
      <c r="J176" s="674" t="str">
        <f>IF(K176="","",COUNTIF(K18:K176,"&lt;&gt;"))</f>
        <v/>
      </c>
      <c r="K176" s="675"/>
      <c r="L176" s="674" t="str">
        <f t="shared" si="25"/>
        <v/>
      </c>
      <c r="M176" s="643">
        <f>IF(OR(F176="",N10="",N10&lt;=0),"",IF(LEN(F176)&lt;=N10,LEN(F176),IFERROR(FIND("♦",SUBSTITUTE(LEFT(F176,N10)," ","♦",LEN(LEFT(F176,N10))-LEN(SUBSTITUTE(LEFT(F176,N10)," ","")))),FIND(" ",F176&amp;" ",N10+1)-1)))</f>
        <v>1</v>
      </c>
      <c r="N176" s="676">
        <f t="shared" si="26"/>
        <v>159</v>
      </c>
      <c r="O176" s="677" t="str">
        <f t="shared" si="27"/>
        <v>0</v>
      </c>
      <c r="P176" s="676">
        <f t="shared" si="28"/>
        <v>1</v>
      </c>
      <c r="Q176" s="676">
        <f t="shared" si="29"/>
        <v>1</v>
      </c>
      <c r="S176" s="539"/>
      <c r="T176" s="562" t="s">
        <v>5947</v>
      </c>
      <c r="U176" s="559" t="s">
        <v>5964</v>
      </c>
      <c r="V176" s="539"/>
      <c r="W176" s="539"/>
      <c r="X176" s="539"/>
      <c r="Y176" s="539"/>
      <c r="Z176" s="539"/>
      <c r="AA176" s="539"/>
      <c r="AB176" s="539"/>
      <c r="AC176" s="539"/>
      <c r="AD176" s="539"/>
      <c r="AE176" s="539"/>
      <c r="AF176" s="539"/>
      <c r="AG176" s="539"/>
      <c r="AH176" s="539"/>
      <c r="AI176" s="539"/>
      <c r="AJ176" s="539"/>
      <c r="AK176" s="539"/>
      <c r="DE176" s="494"/>
      <c r="DF176" s="496" t="s">
        <v>1471</v>
      </c>
      <c r="DG176" s="496" t="s">
        <v>1083</v>
      </c>
      <c r="DH176" s="496" t="s">
        <v>690</v>
      </c>
      <c r="DI176" s="496" t="s">
        <v>1472</v>
      </c>
      <c r="DJ176" s="496" t="s">
        <v>1472</v>
      </c>
      <c r="DK176" s="496" t="s">
        <v>1085</v>
      </c>
      <c r="DL176" s="496" t="s">
        <v>1441</v>
      </c>
      <c r="DM176" s="496" t="s">
        <v>1087</v>
      </c>
      <c r="DN176" s="497" t="s">
        <v>1088</v>
      </c>
      <c r="DP176" s="543">
        <v>1</v>
      </c>
    </row>
    <row r="177" spans="2:120" ht="30" customHeight="1">
      <c r="B177" s="663" t="str">
        <f t="shared" si="21"/>
        <v/>
      </c>
      <c r="C177" s="663" t="str">
        <f t="shared" si="22"/>
        <v/>
      </c>
      <c r="D177" s="663" t="str">
        <f>IF(UPPER(TRIM(N11))="X",C177,B177)</f>
        <v/>
      </c>
      <c r="E177" s="663" cm="1">
        <f t="array" ref="E177">IF(H176&lt;&gt;"",E176,IF(E176="","",IFERROR(MATCH(TRUE(),INDEX(INDEX(K:K,E176+1):K203&lt;&gt;"",0),0)+E176,"")))</f>
        <v>318</v>
      </c>
      <c r="F177" s="663" cm="1">
        <f t="array" ref="F177">IF(E177="","",IF(H176&lt;&gt;"",H176,INDEX(D:D,E177)))</f>
        <v>0</v>
      </c>
      <c r="G177" s="663" t="str">
        <f t="shared" si="23"/>
        <v>0</v>
      </c>
      <c r="H177" s="673" t="str">
        <f t="shared" si="24"/>
        <v/>
      </c>
      <c r="I177" s="680" t="str">
        <f>IF(AND(F177&lt;&gt;"",N10&gt;0,M177&gt;N10),"Mot &gt; limite","")</f>
        <v/>
      </c>
      <c r="J177" s="674" t="str">
        <f>IF(K177="","",COUNTIF(K18:K177,"&lt;&gt;"))</f>
        <v/>
      </c>
      <c r="K177" s="675"/>
      <c r="L177" s="674" t="str">
        <f t="shared" si="25"/>
        <v/>
      </c>
      <c r="M177" s="643">
        <f>IF(OR(F177="",N10="",N10&lt;=0),"",IF(LEN(F177)&lt;=N10,LEN(F177),IFERROR(FIND("♦",SUBSTITUTE(LEFT(F177,N10)," ","♦",LEN(LEFT(F177,N10))-LEN(SUBSTITUTE(LEFT(F177,N10)," ","")))),FIND(" ",F177&amp;" ",N10+1)-1)))</f>
        <v>1</v>
      </c>
      <c r="N177" s="676">
        <f t="shared" si="26"/>
        <v>160</v>
      </c>
      <c r="O177" s="677" t="str">
        <f t="shared" si="27"/>
        <v>0</v>
      </c>
      <c r="P177" s="676">
        <f t="shared" si="28"/>
        <v>1</v>
      </c>
      <c r="Q177" s="676">
        <f t="shared" si="29"/>
        <v>1</v>
      </c>
      <c r="S177" s="539"/>
      <c r="T177" s="562" t="s">
        <v>5949</v>
      </c>
      <c r="U177" s="559" t="s">
        <v>5965</v>
      </c>
      <c r="V177" s="539"/>
      <c r="W177" s="539"/>
      <c r="X177" s="539"/>
      <c r="Y177" s="539"/>
      <c r="Z177" s="539"/>
      <c r="AA177" s="539"/>
      <c r="AB177" s="539"/>
      <c r="AC177" s="539"/>
      <c r="AD177" s="539"/>
      <c r="AE177" s="539"/>
      <c r="AF177" s="539"/>
      <c r="AG177" s="539"/>
      <c r="AH177" s="539"/>
      <c r="AI177" s="539"/>
      <c r="AJ177" s="539"/>
      <c r="AK177" s="539"/>
      <c r="DE177" s="494"/>
      <c r="DF177" s="496" t="s">
        <v>1473</v>
      </c>
      <c r="DG177" s="496" t="s">
        <v>1083</v>
      </c>
      <c r="DH177" s="496" t="s">
        <v>690</v>
      </c>
      <c r="DI177" s="496" t="s">
        <v>1474</v>
      </c>
      <c r="DJ177" s="496" t="s">
        <v>1474</v>
      </c>
      <c r="DK177" s="496" t="s">
        <v>1085</v>
      </c>
      <c r="DL177" s="496" t="s">
        <v>1441</v>
      </c>
      <c r="DM177" s="496" t="s">
        <v>1087</v>
      </c>
      <c r="DN177" s="497" t="s">
        <v>1088</v>
      </c>
      <c r="DP177" s="543">
        <v>1</v>
      </c>
    </row>
    <row r="178" spans="2:120" ht="30" customHeight="1">
      <c r="B178" s="663" t="str">
        <f t="shared" si="21"/>
        <v/>
      </c>
      <c r="C178" s="663" t="str">
        <f t="shared" si="22"/>
        <v/>
      </c>
      <c r="D178" s="663" t="str">
        <f>IF(UPPER(TRIM(N11))="X",C178,B178)</f>
        <v/>
      </c>
      <c r="E178" s="663" cm="1">
        <f t="array" ref="E178">IF(H177&lt;&gt;"",E177,IF(E177="","",IFERROR(MATCH(TRUE(),INDEX(INDEX(K:K,E177+1):K203&lt;&gt;"",0),0)+E177,"")))</f>
        <v>319</v>
      </c>
      <c r="F178" s="663" cm="1">
        <f t="array" ref="F178">IF(E178="","",IF(H177&lt;&gt;"",H177,INDEX(D:D,E178)))</f>
        <v>0</v>
      </c>
      <c r="G178" s="663" t="str">
        <f t="shared" si="23"/>
        <v>0</v>
      </c>
      <c r="H178" s="673" t="str">
        <f t="shared" si="24"/>
        <v/>
      </c>
      <c r="I178" s="680" t="str">
        <f>IF(AND(F178&lt;&gt;"",N10&gt;0,M178&gt;N10),"Mot &gt; limite","")</f>
        <v/>
      </c>
      <c r="J178" s="674" t="str">
        <f>IF(K178="","",COUNTIF(K18:K178,"&lt;&gt;"))</f>
        <v/>
      </c>
      <c r="K178" s="675"/>
      <c r="L178" s="674" t="str">
        <f t="shared" si="25"/>
        <v/>
      </c>
      <c r="M178" s="643">
        <f>IF(OR(F178="",N10="",N10&lt;=0),"",IF(LEN(F178)&lt;=N10,LEN(F178),IFERROR(FIND("♦",SUBSTITUTE(LEFT(F178,N10)," ","♦",LEN(LEFT(F178,N10))-LEN(SUBSTITUTE(LEFT(F178,N10)," ","")))),FIND(" ",F178&amp;" ",N10+1)-1)))</f>
        <v>1</v>
      </c>
      <c r="N178" s="676">
        <f t="shared" si="26"/>
        <v>161</v>
      </c>
      <c r="O178" s="677" t="str">
        <f t="shared" si="27"/>
        <v>0</v>
      </c>
      <c r="P178" s="676">
        <f t="shared" si="28"/>
        <v>1</v>
      </c>
      <c r="Q178" s="676">
        <f t="shared" si="29"/>
        <v>1</v>
      </c>
      <c r="S178" s="539"/>
      <c r="T178" s="560"/>
      <c r="U178" s="560"/>
      <c r="V178" s="539"/>
      <c r="W178" s="539"/>
      <c r="X178" s="539"/>
      <c r="Y178" s="539"/>
      <c r="Z178" s="539"/>
      <c r="AA178" s="539"/>
      <c r="AB178" s="539"/>
      <c r="AC178" s="539"/>
      <c r="AD178" s="539"/>
      <c r="AE178" s="539"/>
      <c r="AF178" s="539"/>
      <c r="AG178" s="539"/>
      <c r="AH178" s="539"/>
      <c r="AI178" s="539"/>
      <c r="AJ178" s="539"/>
      <c r="AK178" s="539"/>
      <c r="DE178" s="494"/>
      <c r="DF178" s="496" t="s">
        <v>1475</v>
      </c>
      <c r="DG178" s="496" t="s">
        <v>1083</v>
      </c>
      <c r="DH178" s="496" t="s">
        <v>690</v>
      </c>
      <c r="DI178" s="496" t="s">
        <v>1476</v>
      </c>
      <c r="DJ178" s="496" t="s">
        <v>1476</v>
      </c>
      <c r="DK178" s="496" t="s">
        <v>1151</v>
      </c>
      <c r="DL178" s="496" t="s">
        <v>1446</v>
      </c>
      <c r="DM178" s="496" t="s">
        <v>1087</v>
      </c>
      <c r="DN178" s="497" t="s">
        <v>1153</v>
      </c>
      <c r="DP178" s="543">
        <v>1</v>
      </c>
    </row>
    <row r="179" spans="2:120" ht="30" customHeight="1">
      <c r="B179" s="663" t="str">
        <f t="shared" si="21"/>
        <v/>
      </c>
      <c r="C179" s="663" t="str">
        <f t="shared" si="22"/>
        <v/>
      </c>
      <c r="D179" s="663" t="str">
        <f>IF(UPPER(TRIM(N11))="X",C179,B179)</f>
        <v/>
      </c>
      <c r="E179" s="663" cm="1">
        <f t="array" ref="E179">IF(H178&lt;&gt;"",E178,IF(E178="","",IFERROR(MATCH(TRUE(),INDEX(INDEX(K:K,E178+1):K203&lt;&gt;"",0),0)+E178,"")))</f>
        <v>320</v>
      </c>
      <c r="F179" s="663" cm="1">
        <f t="array" ref="F179">IF(E179="","",IF(H178&lt;&gt;"",H178,INDEX(D:D,E179)))</f>
        <v>0</v>
      </c>
      <c r="G179" s="663" t="str">
        <f t="shared" si="23"/>
        <v>0</v>
      </c>
      <c r="H179" s="673" t="str">
        <f t="shared" si="24"/>
        <v/>
      </c>
      <c r="I179" s="680" t="str">
        <f>IF(AND(F179&lt;&gt;"",N10&gt;0,M179&gt;N10),"Mot &gt; limite","")</f>
        <v/>
      </c>
      <c r="J179" s="674" t="str">
        <f>IF(K179="","",COUNTIF(K18:K179,"&lt;&gt;"))</f>
        <v/>
      </c>
      <c r="K179" s="675"/>
      <c r="L179" s="674" t="str">
        <f t="shared" si="25"/>
        <v/>
      </c>
      <c r="M179" s="643">
        <f>IF(OR(F179="",N10="",N10&lt;=0),"",IF(LEN(F179)&lt;=N10,LEN(F179),IFERROR(FIND("♦",SUBSTITUTE(LEFT(F179,N10)," ","♦",LEN(LEFT(F179,N10))-LEN(SUBSTITUTE(LEFT(F179,N10)," ","")))),FIND(" ",F179&amp;" ",N10+1)-1)))</f>
        <v>1</v>
      </c>
      <c r="N179" s="676">
        <f t="shared" si="26"/>
        <v>162</v>
      </c>
      <c r="O179" s="677" t="str">
        <f t="shared" si="27"/>
        <v>0</v>
      </c>
      <c r="P179" s="676">
        <f t="shared" si="28"/>
        <v>1</v>
      </c>
      <c r="Q179" s="676">
        <f t="shared" si="29"/>
        <v>1</v>
      </c>
      <c r="S179" s="539"/>
      <c r="T179" s="563"/>
      <c r="U179" s="563" t="s">
        <v>5966</v>
      </c>
      <c r="V179" s="539"/>
      <c r="W179" s="539"/>
      <c r="X179" s="539"/>
      <c r="Y179" s="539"/>
      <c r="Z179" s="539"/>
      <c r="AA179" s="539"/>
      <c r="AB179" s="539"/>
      <c r="AC179" s="539"/>
      <c r="AD179" s="539"/>
      <c r="AE179" s="539"/>
      <c r="AF179" s="539"/>
      <c r="AG179" s="539"/>
      <c r="AH179" s="539"/>
      <c r="AI179" s="539"/>
      <c r="AJ179" s="539"/>
      <c r="AK179" s="539"/>
      <c r="DE179" s="494"/>
      <c r="DF179" s="496" t="s">
        <v>1477</v>
      </c>
      <c r="DG179" s="496" t="s">
        <v>1083</v>
      </c>
      <c r="DH179" s="496" t="s">
        <v>690</v>
      </c>
      <c r="DI179" s="496" t="s">
        <v>1478</v>
      </c>
      <c r="DJ179" s="496" t="s">
        <v>860</v>
      </c>
      <c r="DK179" s="496" t="s">
        <v>1151</v>
      </c>
      <c r="DL179" s="496" t="s">
        <v>1446</v>
      </c>
      <c r="DM179" s="496" t="s">
        <v>1087</v>
      </c>
      <c r="DN179" s="497" t="s">
        <v>1153</v>
      </c>
      <c r="DP179" s="543">
        <v>1</v>
      </c>
    </row>
    <row r="180" spans="2:120" ht="30" customHeight="1">
      <c r="B180" s="663" t="str">
        <f t="shared" si="21"/>
        <v/>
      </c>
      <c r="C180" s="663" t="str">
        <f t="shared" si="22"/>
        <v/>
      </c>
      <c r="D180" s="663" t="str">
        <f>IF(UPPER(TRIM(N11))="X",C180,B180)</f>
        <v/>
      </c>
      <c r="E180" s="663" cm="1">
        <f t="array" ref="E180">IF(H179&lt;&gt;"",E179,IF(E179="","",IFERROR(MATCH(TRUE(),INDEX(INDEX(K:K,E179+1):K203&lt;&gt;"",0),0)+E179,"")))</f>
        <v>321</v>
      </c>
      <c r="F180" s="663" cm="1">
        <f t="array" ref="F180">IF(E180="","",IF(H179&lt;&gt;"",H179,INDEX(D:D,E180)))</f>
        <v>0</v>
      </c>
      <c r="G180" s="663" t="str">
        <f t="shared" si="23"/>
        <v>0</v>
      </c>
      <c r="H180" s="673" t="str">
        <f t="shared" si="24"/>
        <v/>
      </c>
      <c r="I180" s="680" t="str">
        <f>IF(AND(F180&lt;&gt;"",N10&gt;0,M180&gt;N10),"Mot &gt; limite","")</f>
        <v/>
      </c>
      <c r="J180" s="674" t="str">
        <f>IF(K180="","",COUNTIF(K18:K180,"&lt;&gt;"))</f>
        <v/>
      </c>
      <c r="K180" s="675"/>
      <c r="L180" s="674" t="str">
        <f t="shared" si="25"/>
        <v/>
      </c>
      <c r="M180" s="643">
        <f>IF(OR(F180="",N10="",N10&lt;=0),"",IF(LEN(F180)&lt;=N10,LEN(F180),IFERROR(FIND("♦",SUBSTITUTE(LEFT(F180,N10)," ","♦",LEN(LEFT(F180,N10))-LEN(SUBSTITUTE(LEFT(F180,N10)," ","")))),FIND(" ",F180&amp;" ",N10+1)-1)))</f>
        <v>1</v>
      </c>
      <c r="N180" s="676">
        <f t="shared" si="26"/>
        <v>163</v>
      </c>
      <c r="O180" s="677" t="str">
        <f t="shared" si="27"/>
        <v>0</v>
      </c>
      <c r="P180" s="676">
        <f t="shared" si="28"/>
        <v>1</v>
      </c>
      <c r="Q180" s="676">
        <f t="shared" si="29"/>
        <v>1</v>
      </c>
      <c r="S180" s="539"/>
      <c r="T180" s="564" t="s">
        <v>5923</v>
      </c>
      <c r="U180" s="559" t="s">
        <v>5967</v>
      </c>
      <c r="V180" s="539"/>
      <c r="W180" s="539"/>
      <c r="X180" s="539"/>
      <c r="Y180" s="539"/>
      <c r="Z180" s="539"/>
      <c r="AA180" s="539"/>
      <c r="AB180" s="539"/>
      <c r="AC180" s="539"/>
      <c r="AD180" s="539"/>
      <c r="AE180" s="539"/>
      <c r="AF180" s="539"/>
      <c r="AG180" s="539"/>
      <c r="AH180" s="539"/>
      <c r="AI180" s="539"/>
      <c r="AJ180" s="539"/>
      <c r="AK180" s="539"/>
      <c r="DE180" s="494"/>
      <c r="DF180" s="496" t="s">
        <v>1479</v>
      </c>
      <c r="DG180" s="496" t="s">
        <v>1083</v>
      </c>
      <c r="DH180" s="496" t="s">
        <v>690</v>
      </c>
      <c r="DI180" s="496" t="s">
        <v>857</v>
      </c>
      <c r="DJ180" s="496" t="s">
        <v>861</v>
      </c>
      <c r="DK180" s="496" t="s">
        <v>1151</v>
      </c>
      <c r="DL180" s="496" t="s">
        <v>1446</v>
      </c>
      <c r="DM180" s="496" t="s">
        <v>1087</v>
      </c>
      <c r="DN180" s="497" t="s">
        <v>1153</v>
      </c>
      <c r="DP180" s="543">
        <v>1</v>
      </c>
    </row>
    <row r="181" spans="2:120" ht="30" customHeight="1">
      <c r="B181" s="663" t="str">
        <f t="shared" si="21"/>
        <v/>
      </c>
      <c r="C181" s="663" t="str">
        <f t="shared" si="22"/>
        <v/>
      </c>
      <c r="D181" s="663" t="str">
        <f>IF(UPPER(TRIM(N11))="X",C181,B181)</f>
        <v/>
      </c>
      <c r="E181" s="663" cm="1">
        <f t="array" ref="E181">IF(H180&lt;&gt;"",E180,IF(E180="","",IFERROR(MATCH(TRUE(),INDEX(INDEX(K:K,E180+1):K203&lt;&gt;"",0),0)+E180,"")))</f>
        <v>322</v>
      </c>
      <c r="F181" s="663" cm="1">
        <f t="array" ref="F181">IF(E181="","",IF(H180&lt;&gt;"",H180,INDEX(D:D,E181)))</f>
        <v>0</v>
      </c>
      <c r="G181" s="663" t="str">
        <f t="shared" si="23"/>
        <v>0</v>
      </c>
      <c r="H181" s="673" t="str">
        <f t="shared" si="24"/>
        <v/>
      </c>
      <c r="I181" s="680" t="str">
        <f>IF(AND(F181&lt;&gt;"",N10&gt;0,M181&gt;N10),"Mot &gt; limite","")</f>
        <v/>
      </c>
      <c r="J181" s="674" t="str">
        <f>IF(K181="","",COUNTIF(K18:K181,"&lt;&gt;"))</f>
        <v/>
      </c>
      <c r="K181" s="675"/>
      <c r="L181" s="674" t="str">
        <f t="shared" si="25"/>
        <v/>
      </c>
      <c r="M181" s="643">
        <f>IF(OR(F181="",N10="",N10&lt;=0),"",IF(LEN(F181)&lt;=N10,LEN(F181),IFERROR(FIND("♦",SUBSTITUTE(LEFT(F181,N10)," ","♦",LEN(LEFT(F181,N10))-LEN(SUBSTITUTE(LEFT(F181,N10)," ","")))),FIND(" ",F181&amp;" ",N10+1)-1)))</f>
        <v>1</v>
      </c>
      <c r="N181" s="676">
        <f t="shared" si="26"/>
        <v>164</v>
      </c>
      <c r="O181" s="677" t="str">
        <f t="shared" si="27"/>
        <v>0</v>
      </c>
      <c r="P181" s="676">
        <f t="shared" si="28"/>
        <v>1</v>
      </c>
      <c r="Q181" s="676">
        <f t="shared" si="29"/>
        <v>1</v>
      </c>
      <c r="S181" s="539"/>
      <c r="T181" s="562" t="s">
        <v>5925</v>
      </c>
      <c r="U181" s="559" t="s">
        <v>5968</v>
      </c>
      <c r="V181" s="539"/>
      <c r="W181" s="539"/>
      <c r="X181" s="539"/>
      <c r="Y181" s="539"/>
      <c r="Z181" s="539"/>
      <c r="AA181" s="539"/>
      <c r="AB181" s="539"/>
      <c r="AC181" s="539"/>
      <c r="AD181" s="539"/>
      <c r="AE181" s="539"/>
      <c r="AF181" s="539"/>
      <c r="AG181" s="539"/>
      <c r="AH181" s="539"/>
      <c r="AI181" s="539"/>
      <c r="AJ181" s="539"/>
      <c r="AK181" s="539"/>
      <c r="DE181" s="494"/>
      <c r="DF181" s="496" t="s">
        <v>1480</v>
      </c>
      <c r="DG181" s="496" t="s">
        <v>1083</v>
      </c>
      <c r="DH181" s="496" t="s">
        <v>690</v>
      </c>
      <c r="DI181" s="496" t="s">
        <v>1481</v>
      </c>
      <c r="DJ181" s="496" t="s">
        <v>863</v>
      </c>
      <c r="DK181" s="496" t="s">
        <v>1151</v>
      </c>
      <c r="DL181" s="496" t="s">
        <v>1446</v>
      </c>
      <c r="DM181" s="496" t="s">
        <v>1087</v>
      </c>
      <c r="DN181" s="497" t="s">
        <v>1153</v>
      </c>
      <c r="DP181" s="543">
        <v>1</v>
      </c>
    </row>
    <row r="182" spans="2:120" ht="30" customHeight="1">
      <c r="B182" s="663" t="str">
        <f t="shared" si="21"/>
        <v/>
      </c>
      <c r="C182" s="663" t="str">
        <f t="shared" si="22"/>
        <v/>
      </c>
      <c r="D182" s="663" t="str">
        <f>IF(UPPER(TRIM(N11))="X",C182,B182)</f>
        <v/>
      </c>
      <c r="E182" s="663" cm="1">
        <f t="array" ref="E182">IF(H181&lt;&gt;"",E181,IF(E181="","",IFERROR(MATCH(TRUE(),INDEX(INDEX(K:K,E181+1):K203&lt;&gt;"",0),0)+E181,"")))</f>
        <v>323</v>
      </c>
      <c r="F182" s="663" cm="1">
        <f t="array" ref="F182">IF(E182="","",IF(H181&lt;&gt;"",H181,INDEX(D:D,E182)))</f>
        <v>0</v>
      </c>
      <c r="G182" s="663" t="str">
        <f t="shared" si="23"/>
        <v>0</v>
      </c>
      <c r="H182" s="673" t="str">
        <f t="shared" si="24"/>
        <v/>
      </c>
      <c r="I182" s="680" t="str">
        <f>IF(AND(F182&lt;&gt;"",N10&gt;0,M182&gt;N10),"Mot &gt; limite","")</f>
        <v/>
      </c>
      <c r="J182" s="674" t="str">
        <f>IF(K182="","",COUNTIF(K18:K182,"&lt;&gt;"))</f>
        <v/>
      </c>
      <c r="K182" s="675"/>
      <c r="L182" s="674" t="str">
        <f t="shared" si="25"/>
        <v/>
      </c>
      <c r="M182" s="643">
        <f>IF(OR(F182="",N10="",N10&lt;=0),"",IF(LEN(F182)&lt;=N10,LEN(F182),IFERROR(FIND("♦",SUBSTITUTE(LEFT(F182,N10)," ","♦",LEN(LEFT(F182,N10))-LEN(SUBSTITUTE(LEFT(F182,N10)," ","")))),FIND(" ",F182&amp;" ",N10+1)-1)))</f>
        <v>1</v>
      </c>
      <c r="N182" s="676">
        <f t="shared" si="26"/>
        <v>165</v>
      </c>
      <c r="O182" s="677" t="str">
        <f t="shared" si="27"/>
        <v>0</v>
      </c>
      <c r="P182" s="676">
        <f t="shared" si="28"/>
        <v>1</v>
      </c>
      <c r="Q182" s="676">
        <f t="shared" si="29"/>
        <v>1</v>
      </c>
      <c r="S182" s="539"/>
      <c r="T182" s="562" t="s">
        <v>5927</v>
      </c>
      <c r="U182" s="559" t="s">
        <v>5969</v>
      </c>
      <c r="V182" s="539"/>
      <c r="W182" s="539"/>
      <c r="X182" s="539"/>
      <c r="Y182" s="539"/>
      <c r="Z182" s="539"/>
      <c r="AA182" s="539"/>
      <c r="AB182" s="539"/>
      <c r="AC182" s="539"/>
      <c r="AD182" s="539"/>
      <c r="AE182" s="539"/>
      <c r="AF182" s="539"/>
      <c r="AG182" s="539"/>
      <c r="AH182" s="539"/>
      <c r="AI182" s="539"/>
      <c r="AJ182" s="539"/>
      <c r="AK182" s="539"/>
      <c r="DE182" s="494"/>
      <c r="DF182" s="496" t="s">
        <v>1482</v>
      </c>
      <c r="DG182" s="496" t="s">
        <v>1083</v>
      </c>
      <c r="DH182" s="496" t="s">
        <v>690</v>
      </c>
      <c r="DI182" s="496" t="s">
        <v>1483</v>
      </c>
      <c r="DJ182" s="496" t="s">
        <v>1484</v>
      </c>
      <c r="DK182" s="496" t="s">
        <v>1151</v>
      </c>
      <c r="DL182" s="496" t="s">
        <v>1446</v>
      </c>
      <c r="DM182" s="496" t="s">
        <v>1087</v>
      </c>
      <c r="DN182" s="497" t="s">
        <v>1153</v>
      </c>
      <c r="DP182" s="543">
        <v>1</v>
      </c>
    </row>
    <row r="183" spans="2:120" ht="30" customHeight="1">
      <c r="B183" s="663" t="str">
        <f t="shared" si="21"/>
        <v/>
      </c>
      <c r="C183" s="663" t="str">
        <f t="shared" si="22"/>
        <v/>
      </c>
      <c r="D183" s="663" t="str">
        <f>IF(UPPER(TRIM(N11))="X",C183,B183)</f>
        <v/>
      </c>
      <c r="E183" s="663" cm="1">
        <f t="array" ref="E183">IF(H182&lt;&gt;"",E182,IF(E182="","",IFERROR(MATCH(TRUE(),INDEX(INDEX(K:K,E182+1):K203&lt;&gt;"",0),0)+E182,"")))</f>
        <v>324</v>
      </c>
      <c r="F183" s="663" cm="1">
        <f t="array" ref="F183">IF(E183="","",IF(H182&lt;&gt;"",H182,INDEX(D:D,E183)))</f>
        <v>0</v>
      </c>
      <c r="G183" s="663" t="str">
        <f t="shared" si="23"/>
        <v>0</v>
      </c>
      <c r="H183" s="673" t="str">
        <f t="shared" si="24"/>
        <v/>
      </c>
      <c r="I183" s="680" t="str">
        <f>IF(AND(F183&lt;&gt;"",N10&gt;0,M183&gt;N10),"Mot &gt; limite","")</f>
        <v/>
      </c>
      <c r="J183" s="674" t="str">
        <f>IF(K183="","",COUNTIF(K18:K183,"&lt;&gt;"))</f>
        <v/>
      </c>
      <c r="K183" s="675"/>
      <c r="L183" s="674" t="str">
        <f t="shared" si="25"/>
        <v/>
      </c>
      <c r="M183" s="643">
        <f>IF(OR(F183="",N10="",N10&lt;=0),"",IF(LEN(F183)&lt;=N10,LEN(F183),IFERROR(FIND("♦",SUBSTITUTE(LEFT(F183,N10)," ","♦",LEN(LEFT(F183,N10))-LEN(SUBSTITUTE(LEFT(F183,N10)," ","")))),FIND(" ",F183&amp;" ",N10+1)-1)))</f>
        <v>1</v>
      </c>
      <c r="N183" s="676">
        <f t="shared" si="26"/>
        <v>166</v>
      </c>
      <c r="O183" s="677" t="str">
        <f t="shared" si="27"/>
        <v>0</v>
      </c>
      <c r="P183" s="676">
        <f t="shared" si="28"/>
        <v>1</v>
      </c>
      <c r="Q183" s="676">
        <f t="shared" si="29"/>
        <v>1</v>
      </c>
      <c r="S183" s="539"/>
      <c r="T183" s="562" t="s">
        <v>5929</v>
      </c>
      <c r="U183" s="559" t="s">
        <v>5970</v>
      </c>
      <c r="V183" s="539"/>
      <c r="W183" s="539"/>
      <c r="X183" s="539"/>
      <c r="Y183" s="539"/>
      <c r="Z183" s="539"/>
      <c r="AA183" s="539"/>
      <c r="AB183" s="539"/>
      <c r="AC183" s="539"/>
      <c r="AD183" s="539"/>
      <c r="AE183" s="539"/>
      <c r="AF183" s="539"/>
      <c r="AG183" s="539"/>
      <c r="AH183" s="539"/>
      <c r="AI183" s="539"/>
      <c r="AJ183" s="539"/>
      <c r="AK183" s="539"/>
      <c r="DE183" s="494"/>
      <c r="DF183" s="496" t="s">
        <v>1485</v>
      </c>
      <c r="DG183" s="496" t="s">
        <v>1083</v>
      </c>
      <c r="DH183" s="496" t="s">
        <v>690</v>
      </c>
      <c r="DI183" s="496" t="s">
        <v>1486</v>
      </c>
      <c r="DJ183" s="496" t="s">
        <v>864</v>
      </c>
      <c r="DK183" s="496" t="s">
        <v>1151</v>
      </c>
      <c r="DL183" s="496" t="s">
        <v>1446</v>
      </c>
      <c r="DM183" s="496" t="s">
        <v>1087</v>
      </c>
      <c r="DN183" s="497" t="s">
        <v>1153</v>
      </c>
      <c r="DP183" s="543">
        <v>1</v>
      </c>
    </row>
    <row r="184" spans="2:120" ht="30" customHeight="1">
      <c r="B184" s="663" t="str">
        <f t="shared" si="21"/>
        <v/>
      </c>
      <c r="C184" s="663" t="str">
        <f t="shared" si="22"/>
        <v/>
      </c>
      <c r="D184" s="663" t="str">
        <f>IF(UPPER(TRIM(N11))="X",C184,B184)</f>
        <v/>
      </c>
      <c r="E184" s="663" cm="1">
        <f t="array" ref="E184">IF(H183&lt;&gt;"",E183,IF(E183="","",IFERROR(MATCH(TRUE(),INDEX(INDEX(K:K,E183+1):K203&lt;&gt;"",0),0)+E183,"")))</f>
        <v>325</v>
      </c>
      <c r="F184" s="663" cm="1">
        <f t="array" ref="F184">IF(E184="","",IF(H183&lt;&gt;"",H183,INDEX(D:D,E184)))</f>
        <v>0</v>
      </c>
      <c r="G184" s="663" t="str">
        <f t="shared" si="23"/>
        <v>0</v>
      </c>
      <c r="H184" s="673" t="str">
        <f t="shared" si="24"/>
        <v/>
      </c>
      <c r="I184" s="680" t="str">
        <f>IF(AND(F184&lt;&gt;"",N10&gt;0,M184&gt;N10),"Mot &gt; limite","")</f>
        <v/>
      </c>
      <c r="J184" s="674" t="str">
        <f>IF(K184="","",COUNTIF(K18:K184,"&lt;&gt;"))</f>
        <v/>
      </c>
      <c r="K184" s="675"/>
      <c r="L184" s="674" t="str">
        <f t="shared" si="25"/>
        <v/>
      </c>
      <c r="M184" s="643">
        <f>IF(OR(F184="",N10="",N10&lt;=0),"",IF(LEN(F184)&lt;=N10,LEN(F184),IFERROR(FIND("♦",SUBSTITUTE(LEFT(F184,N10)," ","♦",LEN(LEFT(F184,N10))-LEN(SUBSTITUTE(LEFT(F184,N10)," ","")))),FIND(" ",F184&amp;" ",N10+1)-1)))</f>
        <v>1</v>
      </c>
      <c r="N184" s="676">
        <f t="shared" si="26"/>
        <v>167</v>
      </c>
      <c r="O184" s="677" t="str">
        <f t="shared" si="27"/>
        <v>0</v>
      </c>
      <c r="P184" s="676">
        <f t="shared" si="28"/>
        <v>1</v>
      </c>
      <c r="Q184" s="676">
        <f t="shared" si="29"/>
        <v>1</v>
      </c>
      <c r="S184" s="539"/>
      <c r="T184" s="562" t="s">
        <v>5931</v>
      </c>
      <c r="U184" s="559" t="s">
        <v>5971</v>
      </c>
      <c r="V184" s="539"/>
      <c r="W184" s="539"/>
      <c r="X184" s="539"/>
      <c r="Y184" s="539"/>
      <c r="Z184" s="539"/>
      <c r="AA184" s="539"/>
      <c r="AB184" s="539"/>
      <c r="AC184" s="539"/>
      <c r="AD184" s="539"/>
      <c r="AE184" s="539"/>
      <c r="AF184" s="539"/>
      <c r="AG184" s="539"/>
      <c r="AH184" s="539"/>
      <c r="AI184" s="539"/>
      <c r="AJ184" s="539"/>
      <c r="AK184" s="539"/>
      <c r="DE184" s="494"/>
      <c r="DF184" s="496" t="s">
        <v>1487</v>
      </c>
      <c r="DG184" s="496" t="s">
        <v>1083</v>
      </c>
      <c r="DH184" s="496" t="s">
        <v>690</v>
      </c>
      <c r="DI184" s="496" t="s">
        <v>1488</v>
      </c>
      <c r="DJ184" s="496" t="s">
        <v>867</v>
      </c>
      <c r="DK184" s="496" t="s">
        <v>1151</v>
      </c>
      <c r="DL184" s="496" t="s">
        <v>1446</v>
      </c>
      <c r="DM184" s="496" t="s">
        <v>1087</v>
      </c>
      <c r="DN184" s="497" t="s">
        <v>1153</v>
      </c>
      <c r="DP184" s="543">
        <v>1</v>
      </c>
    </row>
    <row r="185" spans="2:120" ht="30" customHeight="1">
      <c r="B185" s="663" t="str">
        <f t="shared" si="21"/>
        <v/>
      </c>
      <c r="C185" s="663" t="str">
        <f t="shared" si="22"/>
        <v/>
      </c>
      <c r="D185" s="663" t="str">
        <f>IF(UPPER(TRIM(N11))="X",C185,B185)</f>
        <v/>
      </c>
      <c r="E185" s="663" cm="1">
        <f t="array" ref="E185">IF(H184&lt;&gt;"",E184,IF(E184="","",IFERROR(MATCH(TRUE(),INDEX(INDEX(K:K,E184+1):K203&lt;&gt;"",0),0)+E184,"")))</f>
        <v>326</v>
      </c>
      <c r="F185" s="663" cm="1">
        <f t="array" ref="F185">IF(E185="","",IF(H184&lt;&gt;"",H184,INDEX(D:D,E185)))</f>
        <v>0</v>
      </c>
      <c r="G185" s="663" t="str">
        <f t="shared" si="23"/>
        <v>0</v>
      </c>
      <c r="H185" s="673" t="str">
        <f t="shared" si="24"/>
        <v/>
      </c>
      <c r="I185" s="680" t="str">
        <f>IF(AND(F185&lt;&gt;"",N10&gt;0,M185&gt;N10),"Mot &gt; limite","")</f>
        <v/>
      </c>
      <c r="J185" s="674" t="str">
        <f>IF(K185="","",COUNTIF(K18:K185,"&lt;&gt;"))</f>
        <v/>
      </c>
      <c r="K185" s="675"/>
      <c r="L185" s="674" t="str">
        <f t="shared" si="25"/>
        <v/>
      </c>
      <c r="M185" s="643">
        <f>IF(OR(F185="",N10="",N10&lt;=0),"",IF(LEN(F185)&lt;=N10,LEN(F185),IFERROR(FIND("♦",SUBSTITUTE(LEFT(F185,N10)," ","♦",LEN(LEFT(F185,N10))-LEN(SUBSTITUTE(LEFT(F185,N10)," ","")))),FIND(" ",F185&amp;" ",N10+1)-1)))</f>
        <v>1</v>
      </c>
      <c r="N185" s="676">
        <f t="shared" si="26"/>
        <v>168</v>
      </c>
      <c r="O185" s="677" t="str">
        <f t="shared" si="27"/>
        <v>0</v>
      </c>
      <c r="P185" s="676">
        <f t="shared" si="28"/>
        <v>1</v>
      </c>
      <c r="Q185" s="676">
        <f t="shared" si="29"/>
        <v>1</v>
      </c>
      <c r="S185" s="539"/>
      <c r="T185" s="562" t="s">
        <v>5933</v>
      </c>
      <c r="U185" s="559" t="s">
        <v>5972</v>
      </c>
      <c r="V185" s="539"/>
      <c r="W185" s="539"/>
      <c r="X185" s="539"/>
      <c r="Y185" s="539"/>
      <c r="Z185" s="539"/>
      <c r="AA185" s="539"/>
      <c r="AB185" s="539"/>
      <c r="AC185" s="539"/>
      <c r="AD185" s="539"/>
      <c r="AE185" s="539"/>
      <c r="AF185" s="539"/>
      <c r="AG185" s="539"/>
      <c r="AH185" s="539"/>
      <c r="AI185" s="539"/>
      <c r="AJ185" s="539"/>
      <c r="AK185" s="539"/>
      <c r="DE185" s="494"/>
      <c r="DF185" s="496" t="s">
        <v>1489</v>
      </c>
      <c r="DG185" s="496" t="s">
        <v>1083</v>
      </c>
      <c r="DH185" s="496" t="s">
        <v>690</v>
      </c>
      <c r="DI185" s="496" t="s">
        <v>1490</v>
      </c>
      <c r="DJ185" s="496" t="s">
        <v>869</v>
      </c>
      <c r="DK185" s="496" t="s">
        <v>1151</v>
      </c>
      <c r="DL185" s="496" t="s">
        <v>1446</v>
      </c>
      <c r="DM185" s="496" t="s">
        <v>1087</v>
      </c>
      <c r="DN185" s="497" t="s">
        <v>1153</v>
      </c>
      <c r="DP185" s="543">
        <v>1</v>
      </c>
    </row>
    <row r="186" spans="2:120" ht="30" customHeight="1">
      <c r="B186" s="663" t="str">
        <f t="shared" si="21"/>
        <v/>
      </c>
      <c r="C186" s="663" t="str">
        <f t="shared" si="22"/>
        <v/>
      </c>
      <c r="D186" s="663" t="str">
        <f>IF(UPPER(TRIM(N11))="X",C186,B186)</f>
        <v/>
      </c>
      <c r="E186" s="663" cm="1">
        <f t="array" ref="E186">IF(H185&lt;&gt;"",E185,IF(E185="","",IFERROR(MATCH(TRUE(),INDEX(INDEX(K:K,E185+1):K203&lt;&gt;"",0),0)+E185,"")))</f>
        <v>327</v>
      </c>
      <c r="F186" s="663" cm="1">
        <f t="array" ref="F186">IF(E186="","",IF(H185&lt;&gt;"",H185,INDEX(D:D,E186)))</f>
        <v>0</v>
      </c>
      <c r="G186" s="663" t="str">
        <f t="shared" si="23"/>
        <v>0</v>
      </c>
      <c r="H186" s="673" t="str">
        <f t="shared" si="24"/>
        <v/>
      </c>
      <c r="I186" s="680" t="str">
        <f>IF(AND(F186&lt;&gt;"",N10&gt;0,M186&gt;N10),"Mot &gt; limite","")</f>
        <v/>
      </c>
      <c r="J186" s="674" t="str">
        <f>IF(K186="","",COUNTIF(K18:K186,"&lt;&gt;"))</f>
        <v/>
      </c>
      <c r="K186" s="675"/>
      <c r="L186" s="674" t="str">
        <f t="shared" si="25"/>
        <v/>
      </c>
      <c r="M186" s="643">
        <f>IF(OR(F186="",N10="",N10&lt;=0),"",IF(LEN(F186)&lt;=N10,LEN(F186),IFERROR(FIND("♦",SUBSTITUTE(LEFT(F186,N10)," ","♦",LEN(LEFT(F186,N10))-LEN(SUBSTITUTE(LEFT(F186,N10)," ","")))),FIND(" ",F186&amp;" ",N10+1)-1)))</f>
        <v>1</v>
      </c>
      <c r="N186" s="676">
        <f t="shared" si="26"/>
        <v>169</v>
      </c>
      <c r="O186" s="677" t="str">
        <f t="shared" si="27"/>
        <v>0</v>
      </c>
      <c r="P186" s="676">
        <f t="shared" si="28"/>
        <v>1</v>
      </c>
      <c r="Q186" s="676">
        <f t="shared" si="29"/>
        <v>1</v>
      </c>
      <c r="S186" s="539"/>
      <c r="T186" s="562" t="s">
        <v>5935</v>
      </c>
      <c r="U186" s="559" t="s">
        <v>5973</v>
      </c>
      <c r="V186" s="539"/>
      <c r="W186" s="539"/>
      <c r="X186" s="539"/>
      <c r="Y186" s="539"/>
      <c r="Z186" s="539"/>
      <c r="AA186" s="539"/>
      <c r="AB186" s="539"/>
      <c r="AC186" s="539"/>
      <c r="AD186" s="539"/>
      <c r="AE186" s="539"/>
      <c r="AF186" s="539"/>
      <c r="AG186" s="539"/>
      <c r="AH186" s="539"/>
      <c r="AI186" s="539"/>
      <c r="AJ186" s="539"/>
      <c r="AK186" s="539"/>
      <c r="DE186" s="494"/>
      <c r="DF186" s="496" t="s">
        <v>1491</v>
      </c>
      <c r="DG186" s="496" t="s">
        <v>1083</v>
      </c>
      <c r="DH186" s="496" t="s">
        <v>690</v>
      </c>
      <c r="DI186" s="496" t="s">
        <v>1492</v>
      </c>
      <c r="DJ186" s="496" t="s">
        <v>1492</v>
      </c>
      <c r="DK186" s="496" t="s">
        <v>1085</v>
      </c>
      <c r="DL186" s="496" t="s">
        <v>1441</v>
      </c>
      <c r="DM186" s="496" t="s">
        <v>1087</v>
      </c>
      <c r="DN186" s="497" t="s">
        <v>1088</v>
      </c>
      <c r="DP186" s="543">
        <v>1</v>
      </c>
    </row>
    <row r="187" spans="2:120" ht="30" customHeight="1">
      <c r="B187" s="663" t="str">
        <f t="shared" si="21"/>
        <v/>
      </c>
      <c r="C187" s="663" t="str">
        <f t="shared" si="22"/>
        <v/>
      </c>
      <c r="D187" s="663" t="str">
        <f>IF(UPPER(TRIM(N11))="X",C187,B187)</f>
        <v/>
      </c>
      <c r="E187" s="663" cm="1">
        <f t="array" ref="E187">IF(H186&lt;&gt;"",E186,IF(E186="","",IFERROR(MATCH(TRUE(),INDEX(INDEX(K:K,E186+1):K203&lt;&gt;"",0),0)+E186,"")))</f>
        <v>328</v>
      </c>
      <c r="F187" s="663" cm="1">
        <f t="array" ref="F187">IF(E187="","",IF(H186&lt;&gt;"",H186,INDEX(D:D,E187)))</f>
        <v>0</v>
      </c>
      <c r="G187" s="663" t="str">
        <f t="shared" si="23"/>
        <v>0</v>
      </c>
      <c r="H187" s="673" t="str">
        <f t="shared" si="24"/>
        <v/>
      </c>
      <c r="I187" s="680" t="str">
        <f>IF(AND(F187&lt;&gt;"",N10&gt;0,M187&gt;N10),"Mot &gt; limite","")</f>
        <v/>
      </c>
      <c r="J187" s="674" t="str">
        <f>IF(K187="","",COUNTIF(K18:K187,"&lt;&gt;"))</f>
        <v/>
      </c>
      <c r="K187" s="675"/>
      <c r="L187" s="674" t="str">
        <f t="shared" si="25"/>
        <v/>
      </c>
      <c r="M187" s="643">
        <f>IF(OR(F187="",N10="",N10&lt;=0),"",IF(LEN(F187)&lt;=N10,LEN(F187),IFERROR(FIND("♦",SUBSTITUTE(LEFT(F187,N10)," ","♦",LEN(LEFT(F187,N10))-LEN(SUBSTITUTE(LEFT(F187,N10)," ","")))),FIND(" ",F187&amp;" ",N10+1)-1)))</f>
        <v>1</v>
      </c>
      <c r="N187" s="676">
        <f t="shared" si="26"/>
        <v>170</v>
      </c>
      <c r="O187" s="677" t="str">
        <f t="shared" si="27"/>
        <v>0</v>
      </c>
      <c r="P187" s="676">
        <f t="shared" si="28"/>
        <v>1</v>
      </c>
      <c r="Q187" s="676">
        <f t="shared" si="29"/>
        <v>1</v>
      </c>
      <c r="S187" s="539"/>
      <c r="T187" s="562" t="s">
        <v>5937</v>
      </c>
      <c r="U187" s="559" t="s">
        <v>5974</v>
      </c>
      <c r="V187" s="539"/>
      <c r="W187" s="539"/>
      <c r="X187" s="539"/>
      <c r="Y187" s="539"/>
      <c r="Z187" s="539"/>
      <c r="AA187" s="539"/>
      <c r="AB187" s="539"/>
      <c r="AC187" s="539"/>
      <c r="AD187" s="539"/>
      <c r="AE187" s="539"/>
      <c r="AF187" s="539"/>
      <c r="AG187" s="539"/>
      <c r="AH187" s="539"/>
      <c r="AI187" s="539"/>
      <c r="AJ187" s="539"/>
      <c r="AK187" s="539"/>
      <c r="DE187" s="494"/>
      <c r="DF187" s="496" t="s">
        <v>1493</v>
      </c>
      <c r="DG187" s="496" t="s">
        <v>1083</v>
      </c>
      <c r="DH187" s="496" t="s">
        <v>690</v>
      </c>
      <c r="DI187" s="496" t="s">
        <v>1494</v>
      </c>
      <c r="DJ187" s="496" t="s">
        <v>1494</v>
      </c>
      <c r="DK187" s="496" t="s">
        <v>1151</v>
      </c>
      <c r="DL187" s="496" t="s">
        <v>1446</v>
      </c>
      <c r="DM187" s="496" t="s">
        <v>1087</v>
      </c>
      <c r="DN187" s="497" t="s">
        <v>1153</v>
      </c>
      <c r="DP187" s="543">
        <v>1</v>
      </c>
    </row>
    <row r="188" spans="2:120" ht="30" customHeight="1">
      <c r="B188" s="663" t="str">
        <f t="shared" si="21"/>
        <v/>
      </c>
      <c r="C188" s="663" t="str">
        <f t="shared" si="22"/>
        <v/>
      </c>
      <c r="D188" s="663" t="str">
        <f>IF(UPPER(TRIM(N11))="X",C188,B188)</f>
        <v/>
      </c>
      <c r="E188" s="663" cm="1">
        <f t="array" ref="E188">IF(H187&lt;&gt;"",E187,IF(E187="","",IFERROR(MATCH(TRUE(),INDEX(INDEX(K:K,E187+1):K203&lt;&gt;"",0),0)+E187,"")))</f>
        <v>329</v>
      </c>
      <c r="F188" s="663" cm="1">
        <f t="array" ref="F188">IF(E188="","",IF(H187&lt;&gt;"",H187,INDEX(D:D,E188)))</f>
        <v>0</v>
      </c>
      <c r="G188" s="663" t="str">
        <f t="shared" si="23"/>
        <v>0</v>
      </c>
      <c r="H188" s="673" t="str">
        <f t="shared" si="24"/>
        <v/>
      </c>
      <c r="I188" s="680" t="str">
        <f>IF(AND(F188&lt;&gt;"",N10&gt;0,M188&gt;N10),"Mot &gt; limite","")</f>
        <v/>
      </c>
      <c r="J188" s="674" t="str">
        <f>IF(K188="","",COUNTIF(K18:K188,"&lt;&gt;"))</f>
        <v/>
      </c>
      <c r="K188" s="675"/>
      <c r="L188" s="674" t="str">
        <f t="shared" si="25"/>
        <v/>
      </c>
      <c r="M188" s="643">
        <f>IF(OR(F188="",N10="",N10&lt;=0),"",IF(LEN(F188)&lt;=N10,LEN(F188),IFERROR(FIND("♦",SUBSTITUTE(LEFT(F188,N10)," ","♦",LEN(LEFT(F188,N10))-LEN(SUBSTITUTE(LEFT(F188,N10)," ","")))),FIND(" ",F188&amp;" ",N10+1)-1)))</f>
        <v>1</v>
      </c>
      <c r="N188" s="676">
        <f t="shared" si="26"/>
        <v>171</v>
      </c>
      <c r="O188" s="677" t="str">
        <f t="shared" si="27"/>
        <v>0</v>
      </c>
      <c r="P188" s="676">
        <f t="shared" si="28"/>
        <v>1</v>
      </c>
      <c r="Q188" s="676">
        <f t="shared" si="29"/>
        <v>1</v>
      </c>
      <c r="S188" s="539"/>
      <c r="T188" s="562" t="s">
        <v>5939</v>
      </c>
      <c r="U188" s="559" t="s">
        <v>5975</v>
      </c>
      <c r="V188" s="539"/>
      <c r="W188" s="539"/>
      <c r="X188" s="539"/>
      <c r="Y188" s="539"/>
      <c r="Z188" s="539"/>
      <c r="AA188" s="539"/>
      <c r="AB188" s="539"/>
      <c r="AC188" s="539"/>
      <c r="AD188" s="539"/>
      <c r="AE188" s="539"/>
      <c r="AF188" s="539"/>
      <c r="AG188" s="539"/>
      <c r="AH188" s="539"/>
      <c r="AI188" s="539"/>
      <c r="AJ188" s="539"/>
      <c r="AK188" s="539"/>
      <c r="DE188" s="494"/>
      <c r="DF188" s="496" t="s">
        <v>1495</v>
      </c>
      <c r="DG188" s="496" t="s">
        <v>1083</v>
      </c>
      <c r="DH188" s="496" t="s">
        <v>690</v>
      </c>
      <c r="DI188" s="496" t="s">
        <v>1496</v>
      </c>
      <c r="DJ188" s="496" t="s">
        <v>1496</v>
      </c>
      <c r="DK188" s="496" t="s">
        <v>1151</v>
      </c>
      <c r="DL188" s="496" t="s">
        <v>1446</v>
      </c>
      <c r="DM188" s="496" t="s">
        <v>1087</v>
      </c>
      <c r="DN188" s="497" t="s">
        <v>1153</v>
      </c>
      <c r="DP188" s="543">
        <v>1</v>
      </c>
    </row>
    <row r="189" spans="2:120" ht="30" customHeight="1">
      <c r="B189" s="663" t="str">
        <f t="shared" si="21"/>
        <v/>
      </c>
      <c r="C189" s="663" t="str">
        <f t="shared" si="22"/>
        <v/>
      </c>
      <c r="D189" s="663" t="str">
        <f>IF(UPPER(TRIM(N11))="X",C189,B189)</f>
        <v/>
      </c>
      <c r="E189" s="663" cm="1">
        <f t="array" ref="E189">IF(H188&lt;&gt;"",E188,IF(E188="","",IFERROR(MATCH(TRUE(),INDEX(INDEX(K:K,E188+1):K203&lt;&gt;"",0),0)+E188,"")))</f>
        <v>330</v>
      </c>
      <c r="F189" s="663" cm="1">
        <f t="array" ref="F189">IF(E189="","",IF(H188&lt;&gt;"",H188,INDEX(D:D,E189)))</f>
        <v>0</v>
      </c>
      <c r="G189" s="663" t="str">
        <f t="shared" si="23"/>
        <v>0</v>
      </c>
      <c r="H189" s="673" t="str">
        <f t="shared" si="24"/>
        <v/>
      </c>
      <c r="I189" s="680" t="str">
        <f>IF(AND(F189&lt;&gt;"",N10&gt;0,M189&gt;N10),"Mot &gt; limite","")</f>
        <v/>
      </c>
      <c r="J189" s="674" t="str">
        <f>IF(K189="","",COUNTIF(K18:K189,"&lt;&gt;"))</f>
        <v/>
      </c>
      <c r="K189" s="675"/>
      <c r="L189" s="674" t="str">
        <f t="shared" si="25"/>
        <v/>
      </c>
      <c r="M189" s="643">
        <f>IF(OR(F189="",N10="",N10&lt;=0),"",IF(LEN(F189)&lt;=N10,LEN(F189),IFERROR(FIND("♦",SUBSTITUTE(LEFT(F189,N10)," ","♦",LEN(LEFT(F189,N10))-LEN(SUBSTITUTE(LEFT(F189,N10)," ","")))),FIND(" ",F189&amp;" ",N10+1)-1)))</f>
        <v>1</v>
      </c>
      <c r="N189" s="676">
        <f t="shared" si="26"/>
        <v>172</v>
      </c>
      <c r="O189" s="677" t="str">
        <f t="shared" si="27"/>
        <v>0</v>
      </c>
      <c r="P189" s="676">
        <f t="shared" si="28"/>
        <v>1</v>
      </c>
      <c r="Q189" s="676">
        <f t="shared" si="29"/>
        <v>1</v>
      </c>
      <c r="S189" s="539"/>
      <c r="T189" s="562" t="s">
        <v>5941</v>
      </c>
      <c r="U189" s="559" t="s">
        <v>5976</v>
      </c>
      <c r="V189" s="539"/>
      <c r="W189" s="539"/>
      <c r="X189" s="539"/>
      <c r="Y189" s="539"/>
      <c r="Z189" s="539"/>
      <c r="AA189" s="539"/>
      <c r="AB189" s="539"/>
      <c r="AC189" s="539"/>
      <c r="AD189" s="539"/>
      <c r="AE189" s="539"/>
      <c r="AF189" s="539"/>
      <c r="AG189" s="539"/>
      <c r="AH189" s="539"/>
      <c r="AI189" s="539"/>
      <c r="AJ189" s="539"/>
      <c r="AK189" s="539"/>
      <c r="DE189" s="494"/>
      <c r="DF189" s="496" t="s">
        <v>1497</v>
      </c>
      <c r="DG189" s="496" t="s">
        <v>1083</v>
      </c>
      <c r="DH189" s="496" t="s">
        <v>690</v>
      </c>
      <c r="DI189" s="496" t="s">
        <v>1498</v>
      </c>
      <c r="DJ189" s="496" t="s">
        <v>1499</v>
      </c>
      <c r="DK189" s="496" t="s">
        <v>1085</v>
      </c>
      <c r="DL189" s="496" t="s">
        <v>1441</v>
      </c>
      <c r="DM189" s="496" t="s">
        <v>1087</v>
      </c>
      <c r="DN189" s="497" t="s">
        <v>1088</v>
      </c>
      <c r="DP189" s="543">
        <v>1</v>
      </c>
    </row>
    <row r="190" spans="2:120" ht="30" customHeight="1">
      <c r="B190" s="663" t="str">
        <f t="shared" si="21"/>
        <v/>
      </c>
      <c r="C190" s="663" t="str">
        <f t="shared" si="22"/>
        <v/>
      </c>
      <c r="D190" s="663" t="str">
        <f>IF(UPPER(TRIM(N11))="X",C190,B190)</f>
        <v/>
      </c>
      <c r="E190" s="663" cm="1">
        <f t="array" ref="E190">IF(H189&lt;&gt;"",E189,IF(E189="","",IFERROR(MATCH(TRUE(),INDEX(INDEX(K:K,E189+1):K203&lt;&gt;"",0),0)+E189,"")))</f>
        <v>331</v>
      </c>
      <c r="F190" s="663" cm="1">
        <f t="array" ref="F190">IF(E190="","",IF(H189&lt;&gt;"",H189,INDEX(D:D,E190)))</f>
        <v>0</v>
      </c>
      <c r="G190" s="663" t="str">
        <f t="shared" si="23"/>
        <v>0</v>
      </c>
      <c r="H190" s="673" t="str">
        <f t="shared" si="24"/>
        <v/>
      </c>
      <c r="I190" s="680" t="str">
        <f>IF(AND(F190&lt;&gt;"",N10&gt;0,M190&gt;N10),"Mot &gt; limite","")</f>
        <v/>
      </c>
      <c r="J190" s="674" t="str">
        <f>IF(K190="","",COUNTIF(K18:K190,"&lt;&gt;"))</f>
        <v/>
      </c>
      <c r="K190" s="675"/>
      <c r="L190" s="674" t="str">
        <f t="shared" si="25"/>
        <v/>
      </c>
      <c r="M190" s="643">
        <f>IF(OR(F190="",N10="",N10&lt;=0),"",IF(LEN(F190)&lt;=N10,LEN(F190),IFERROR(FIND("♦",SUBSTITUTE(LEFT(F190,N10)," ","♦",LEN(LEFT(F190,N10))-LEN(SUBSTITUTE(LEFT(F190,N10)," ","")))),FIND(" ",F190&amp;" ",N10+1)-1)))</f>
        <v>1</v>
      </c>
      <c r="N190" s="676">
        <f t="shared" si="26"/>
        <v>173</v>
      </c>
      <c r="O190" s="677" t="str">
        <f t="shared" si="27"/>
        <v>0</v>
      </c>
      <c r="P190" s="676">
        <f t="shared" si="28"/>
        <v>1</v>
      </c>
      <c r="Q190" s="676">
        <f t="shared" si="29"/>
        <v>1</v>
      </c>
      <c r="S190" s="539"/>
      <c r="T190" s="562" t="s">
        <v>5943</v>
      </c>
      <c r="U190" s="559" t="s">
        <v>5977</v>
      </c>
      <c r="V190" s="539"/>
      <c r="W190" s="539"/>
      <c r="X190" s="539"/>
      <c r="Y190" s="539"/>
      <c r="Z190" s="539"/>
      <c r="AA190" s="539"/>
      <c r="AB190" s="539"/>
      <c r="AC190" s="539"/>
      <c r="AD190" s="539"/>
      <c r="AE190" s="539"/>
      <c r="AF190" s="539"/>
      <c r="AG190" s="539"/>
      <c r="AH190" s="539"/>
      <c r="AI190" s="539"/>
      <c r="AJ190" s="539"/>
      <c r="AK190" s="539"/>
      <c r="DE190" s="494"/>
      <c r="DF190" s="496" t="s">
        <v>1500</v>
      </c>
      <c r="DG190" s="496" t="s">
        <v>1083</v>
      </c>
      <c r="DH190" s="496" t="s">
        <v>690</v>
      </c>
      <c r="DI190" s="496" t="s">
        <v>1501</v>
      </c>
      <c r="DJ190" s="496" t="s">
        <v>1501</v>
      </c>
      <c r="DK190" s="496" t="s">
        <v>1085</v>
      </c>
      <c r="DL190" s="496" t="s">
        <v>1441</v>
      </c>
      <c r="DM190" s="496" t="s">
        <v>1087</v>
      </c>
      <c r="DN190" s="497" t="s">
        <v>1088</v>
      </c>
      <c r="DP190" s="543">
        <v>1</v>
      </c>
    </row>
    <row r="191" spans="2:120" ht="30" customHeight="1">
      <c r="B191" s="663" t="str">
        <f t="shared" si="21"/>
        <v/>
      </c>
      <c r="C191" s="663" t="str">
        <f t="shared" si="22"/>
        <v/>
      </c>
      <c r="D191" s="663" t="str">
        <f>IF(UPPER(TRIM(N11))="X",C191,B191)</f>
        <v/>
      </c>
      <c r="E191" s="663" cm="1">
        <f t="array" ref="E191">IF(H190&lt;&gt;"",E190,IF(E190="","",IFERROR(MATCH(TRUE(),INDEX(INDEX(K:K,E190+1):K203&lt;&gt;"",0),0)+E190,"")))</f>
        <v>332</v>
      </c>
      <c r="F191" s="663" cm="1">
        <f t="array" ref="F191">IF(E191="","",IF(H190&lt;&gt;"",H190,INDEX(D:D,E191)))</f>
        <v>0</v>
      </c>
      <c r="G191" s="663" t="str">
        <f t="shared" si="23"/>
        <v>0</v>
      </c>
      <c r="H191" s="673" t="str">
        <f t="shared" si="24"/>
        <v/>
      </c>
      <c r="I191" s="680" t="str">
        <f>IF(AND(F191&lt;&gt;"",N10&gt;0,M191&gt;N10),"Mot &gt; limite","")</f>
        <v/>
      </c>
      <c r="J191" s="674" t="str">
        <f>IF(K191="","",COUNTIF(K18:K191,"&lt;&gt;"))</f>
        <v/>
      </c>
      <c r="K191" s="675"/>
      <c r="L191" s="674" t="str">
        <f t="shared" si="25"/>
        <v/>
      </c>
      <c r="M191" s="643">
        <f>IF(OR(F191="",N10="",N10&lt;=0),"",IF(LEN(F191)&lt;=N10,LEN(F191),IFERROR(FIND("♦",SUBSTITUTE(LEFT(F191,N10)," ","♦",LEN(LEFT(F191,N10))-LEN(SUBSTITUTE(LEFT(F191,N10)," ","")))),FIND(" ",F191&amp;" ",N10+1)-1)))</f>
        <v>1</v>
      </c>
      <c r="N191" s="676">
        <f t="shared" si="26"/>
        <v>174</v>
      </c>
      <c r="O191" s="677" t="str">
        <f t="shared" si="27"/>
        <v>0</v>
      </c>
      <c r="P191" s="676">
        <f t="shared" si="28"/>
        <v>1</v>
      </c>
      <c r="Q191" s="676">
        <f t="shared" si="29"/>
        <v>1</v>
      </c>
      <c r="S191" s="539"/>
      <c r="T191" s="562" t="s">
        <v>5945</v>
      </c>
      <c r="U191" s="559" t="s">
        <v>5978</v>
      </c>
      <c r="V191" s="539"/>
      <c r="W191" s="539"/>
      <c r="X191" s="539"/>
      <c r="Y191" s="539"/>
      <c r="Z191" s="539"/>
      <c r="AA191" s="539"/>
      <c r="AB191" s="539"/>
      <c r="AC191" s="539"/>
      <c r="AD191" s="539"/>
      <c r="AE191" s="539"/>
      <c r="AF191" s="539"/>
      <c r="AG191" s="539"/>
      <c r="AH191" s="539"/>
      <c r="AI191" s="539"/>
      <c r="AJ191" s="539"/>
      <c r="AK191" s="539"/>
      <c r="DE191" s="494"/>
      <c r="DF191" s="496" t="s">
        <v>1502</v>
      </c>
      <c r="DG191" s="496" t="s">
        <v>1083</v>
      </c>
      <c r="DH191" s="496" t="s">
        <v>690</v>
      </c>
      <c r="DI191" s="496" t="s">
        <v>1503</v>
      </c>
      <c r="DJ191" s="496" t="s">
        <v>1503</v>
      </c>
      <c r="DK191" s="496" t="s">
        <v>1085</v>
      </c>
      <c r="DL191" s="496" t="s">
        <v>1441</v>
      </c>
      <c r="DM191" s="496" t="s">
        <v>1087</v>
      </c>
      <c r="DN191" s="497" t="s">
        <v>1088</v>
      </c>
      <c r="DP191" s="543">
        <v>1</v>
      </c>
    </row>
    <row r="192" spans="2:120" ht="30" customHeight="1">
      <c r="B192" s="663" t="str">
        <f t="shared" si="21"/>
        <v/>
      </c>
      <c r="C192" s="663" t="str">
        <f t="shared" si="22"/>
        <v/>
      </c>
      <c r="D192" s="663" t="str">
        <f>IF(UPPER(TRIM(N11))="X",C192,B192)</f>
        <v/>
      </c>
      <c r="E192" s="663" cm="1">
        <f t="array" ref="E192">IF(H191&lt;&gt;"",E191,IF(E191="","",IFERROR(MATCH(TRUE(),INDEX(INDEX(K:K,E191+1):K203&lt;&gt;"",0),0)+E191,"")))</f>
        <v>333</v>
      </c>
      <c r="F192" s="663" cm="1">
        <f t="array" ref="F192">IF(E192="","",IF(H191&lt;&gt;"",H191,INDEX(D:D,E192)))</f>
        <v>0</v>
      </c>
      <c r="G192" s="663" t="str">
        <f t="shared" si="23"/>
        <v>0</v>
      </c>
      <c r="H192" s="673" t="str">
        <f t="shared" si="24"/>
        <v/>
      </c>
      <c r="I192" s="680" t="str">
        <f>IF(AND(F192&lt;&gt;"",N10&gt;0,M192&gt;N10),"Mot &gt; limite","")</f>
        <v/>
      </c>
      <c r="J192" s="674" t="str">
        <f>IF(K192="","",COUNTIF(K18:K192,"&lt;&gt;"))</f>
        <v/>
      </c>
      <c r="K192" s="675"/>
      <c r="L192" s="674" t="str">
        <f t="shared" si="25"/>
        <v/>
      </c>
      <c r="M192" s="643">
        <f>IF(OR(F192="",N10="",N10&lt;=0),"",IF(LEN(F192)&lt;=N10,LEN(F192),IFERROR(FIND("♦",SUBSTITUTE(LEFT(F192,N10)," ","♦",LEN(LEFT(F192,N10))-LEN(SUBSTITUTE(LEFT(F192,N10)," ","")))),FIND(" ",F192&amp;" ",N10+1)-1)))</f>
        <v>1</v>
      </c>
      <c r="N192" s="676">
        <f t="shared" si="26"/>
        <v>175</v>
      </c>
      <c r="O192" s="677" t="str">
        <f t="shared" si="27"/>
        <v>0</v>
      </c>
      <c r="P192" s="676">
        <f t="shared" si="28"/>
        <v>1</v>
      </c>
      <c r="Q192" s="676">
        <f t="shared" si="29"/>
        <v>1</v>
      </c>
      <c r="S192" s="539"/>
      <c r="T192" s="562" t="s">
        <v>5947</v>
      </c>
      <c r="U192" s="559" t="s">
        <v>5979</v>
      </c>
      <c r="V192" s="539"/>
      <c r="W192" s="539"/>
      <c r="X192" s="539"/>
      <c r="Y192" s="539"/>
      <c r="Z192" s="539"/>
      <c r="AA192" s="539"/>
      <c r="AB192" s="539"/>
      <c r="AC192" s="539"/>
      <c r="AD192" s="539"/>
      <c r="AE192" s="539"/>
      <c r="AF192" s="539"/>
      <c r="AG192" s="539"/>
      <c r="AH192" s="539"/>
      <c r="AI192" s="539"/>
      <c r="AJ192" s="539"/>
      <c r="AK192" s="539"/>
      <c r="DE192" s="494"/>
      <c r="DF192" s="496" t="s">
        <v>1504</v>
      </c>
      <c r="DG192" s="496" t="s">
        <v>1083</v>
      </c>
      <c r="DH192" s="496" t="s">
        <v>690</v>
      </c>
      <c r="DI192" s="496" t="s">
        <v>1505</v>
      </c>
      <c r="DJ192" s="496" t="s">
        <v>1505</v>
      </c>
      <c r="DK192" s="496" t="s">
        <v>1085</v>
      </c>
      <c r="DL192" s="496" t="s">
        <v>1441</v>
      </c>
      <c r="DM192" s="496" t="s">
        <v>1087</v>
      </c>
      <c r="DN192" s="497" t="s">
        <v>1088</v>
      </c>
      <c r="DP192" s="543">
        <v>1</v>
      </c>
    </row>
    <row r="193" spans="2:120" ht="30" customHeight="1">
      <c r="B193" s="663" t="str">
        <f t="shared" si="21"/>
        <v/>
      </c>
      <c r="C193" s="663" t="str">
        <f t="shared" si="22"/>
        <v/>
      </c>
      <c r="D193" s="663" t="str">
        <f>IF(UPPER(TRIM(N11))="X",C193,B193)</f>
        <v/>
      </c>
      <c r="E193" s="663" cm="1">
        <f t="array" ref="E193">IF(H192&lt;&gt;"",E192,IF(E192="","",IFERROR(MATCH(TRUE(),INDEX(INDEX(K:K,E192+1):K203&lt;&gt;"",0),0)+E192,"")))</f>
        <v>334</v>
      </c>
      <c r="F193" s="663" cm="1">
        <f t="array" ref="F193">IF(E193="","",IF(H192&lt;&gt;"",H192,INDEX(D:D,E193)))</f>
        <v>0</v>
      </c>
      <c r="G193" s="663" t="str">
        <f t="shared" si="23"/>
        <v>0</v>
      </c>
      <c r="H193" s="673" t="str">
        <f t="shared" si="24"/>
        <v/>
      </c>
      <c r="I193" s="680" t="str">
        <f>IF(AND(F193&lt;&gt;"",N10&gt;0,M193&gt;N10),"Mot &gt; limite","")</f>
        <v/>
      </c>
      <c r="J193" s="674" t="str">
        <f>IF(K193="","",COUNTIF(K18:K193,"&lt;&gt;"))</f>
        <v/>
      </c>
      <c r="K193" s="675"/>
      <c r="L193" s="674" t="str">
        <f t="shared" si="25"/>
        <v/>
      </c>
      <c r="M193" s="643">
        <f>IF(OR(F193="",N10="",N10&lt;=0),"",IF(LEN(F193)&lt;=N10,LEN(F193),IFERROR(FIND("♦",SUBSTITUTE(LEFT(F193,N10)," ","♦",LEN(LEFT(F193,N10))-LEN(SUBSTITUTE(LEFT(F193,N10)," ","")))),FIND(" ",F193&amp;" ",N10+1)-1)))</f>
        <v>1</v>
      </c>
      <c r="N193" s="676">
        <f t="shared" si="26"/>
        <v>176</v>
      </c>
      <c r="O193" s="677" t="str">
        <f t="shared" si="27"/>
        <v>0</v>
      </c>
      <c r="P193" s="676">
        <f t="shared" si="28"/>
        <v>1</v>
      </c>
      <c r="Q193" s="676">
        <f t="shared" si="29"/>
        <v>1</v>
      </c>
      <c r="S193" s="539"/>
      <c r="T193" s="562" t="s">
        <v>5949</v>
      </c>
      <c r="U193" s="559" t="s">
        <v>5980</v>
      </c>
      <c r="V193" s="539"/>
      <c r="W193" s="539"/>
      <c r="X193" s="539"/>
      <c r="Y193" s="539"/>
      <c r="Z193" s="539"/>
      <c r="AA193" s="539"/>
      <c r="AB193" s="539"/>
      <c r="AC193" s="539"/>
      <c r="AD193" s="539"/>
      <c r="AE193" s="539"/>
      <c r="AF193" s="539"/>
      <c r="AG193" s="539"/>
      <c r="AH193" s="539"/>
      <c r="AI193" s="539"/>
      <c r="AJ193" s="539"/>
      <c r="AK193" s="539"/>
      <c r="DE193" s="494"/>
      <c r="DF193" s="496" t="s">
        <v>1506</v>
      </c>
      <c r="DG193" s="496" t="s">
        <v>1083</v>
      </c>
      <c r="DH193" s="496" t="s">
        <v>690</v>
      </c>
      <c r="DI193" s="496" t="s">
        <v>1507</v>
      </c>
      <c r="DJ193" s="496" t="s">
        <v>1507</v>
      </c>
      <c r="DK193" s="496" t="s">
        <v>1085</v>
      </c>
      <c r="DL193" s="496" t="s">
        <v>1441</v>
      </c>
      <c r="DM193" s="496" t="s">
        <v>1087</v>
      </c>
      <c r="DN193" s="497" t="s">
        <v>1088</v>
      </c>
      <c r="DP193" s="543">
        <v>1</v>
      </c>
    </row>
    <row r="194" spans="2:120" ht="30" customHeight="1">
      <c r="B194" s="663" t="str">
        <f t="shared" si="21"/>
        <v/>
      </c>
      <c r="C194" s="663" t="str">
        <f t="shared" si="22"/>
        <v/>
      </c>
      <c r="D194" s="663" t="str">
        <f>IF(UPPER(TRIM(N11))="X",C194,B194)</f>
        <v/>
      </c>
      <c r="E194" s="663" cm="1">
        <f t="array" ref="E194">IF(H193&lt;&gt;"",E193,IF(E193="","",IFERROR(MATCH(TRUE(),INDEX(INDEX(K:K,E193+1):K203&lt;&gt;"",0),0)+E193,"")))</f>
        <v>335</v>
      </c>
      <c r="F194" s="663" cm="1">
        <f t="array" ref="F194">IF(E194="","",IF(H193&lt;&gt;"",H193,INDEX(D:D,E194)))</f>
        <v>0</v>
      </c>
      <c r="G194" s="663" t="str">
        <f t="shared" si="23"/>
        <v>0</v>
      </c>
      <c r="H194" s="673" t="str">
        <f t="shared" si="24"/>
        <v/>
      </c>
      <c r="I194" s="680" t="str">
        <f>IF(AND(F194&lt;&gt;"",N10&gt;0,M194&gt;N10),"Mot &gt; limite","")</f>
        <v/>
      </c>
      <c r="J194" s="674" t="str">
        <f>IF(K194="","",COUNTIF(K18:K194,"&lt;&gt;"))</f>
        <v/>
      </c>
      <c r="K194" s="675"/>
      <c r="L194" s="674" t="str">
        <f t="shared" si="25"/>
        <v/>
      </c>
      <c r="M194" s="643">
        <f>IF(OR(F194="",N10="",N10&lt;=0),"",IF(LEN(F194)&lt;=N10,LEN(F194),IFERROR(FIND("♦",SUBSTITUTE(LEFT(F194,N10)," ","♦",LEN(LEFT(F194,N10))-LEN(SUBSTITUTE(LEFT(F194,N10)," ","")))),FIND(" ",F194&amp;" ",N10+1)-1)))</f>
        <v>1</v>
      </c>
      <c r="N194" s="676">
        <f t="shared" si="26"/>
        <v>177</v>
      </c>
      <c r="O194" s="677" t="str">
        <f t="shared" si="27"/>
        <v>0</v>
      </c>
      <c r="P194" s="676">
        <f t="shared" si="28"/>
        <v>1</v>
      </c>
      <c r="Q194" s="676">
        <f t="shared" si="29"/>
        <v>1</v>
      </c>
      <c r="S194" s="539"/>
      <c r="T194" s="562"/>
      <c r="U194" s="559"/>
      <c r="V194" s="539"/>
      <c r="W194" s="539"/>
      <c r="X194" s="539"/>
      <c r="Y194" s="539"/>
      <c r="Z194" s="539"/>
      <c r="AA194" s="539"/>
      <c r="AB194" s="539"/>
      <c r="AC194" s="539"/>
      <c r="AD194" s="539"/>
      <c r="AE194" s="539"/>
      <c r="AF194" s="539"/>
      <c r="AG194" s="539"/>
      <c r="AH194" s="539"/>
      <c r="AI194" s="539"/>
      <c r="AJ194" s="539"/>
      <c r="AK194" s="539"/>
      <c r="DE194" s="494"/>
      <c r="DF194" s="496" t="s">
        <v>1508</v>
      </c>
      <c r="DG194" s="496" t="s">
        <v>1083</v>
      </c>
      <c r="DH194" s="496" t="s">
        <v>690</v>
      </c>
      <c r="DI194" s="496" t="s">
        <v>1509</v>
      </c>
      <c r="DJ194" s="496" t="s">
        <v>1509</v>
      </c>
      <c r="DK194" s="496" t="s">
        <v>1085</v>
      </c>
      <c r="DL194" s="496" t="s">
        <v>1441</v>
      </c>
      <c r="DM194" s="496" t="s">
        <v>1087</v>
      </c>
      <c r="DN194" s="497" t="s">
        <v>1088</v>
      </c>
      <c r="DP194" s="543">
        <v>1</v>
      </c>
    </row>
    <row r="195" spans="2:120" ht="30" customHeight="1">
      <c r="B195" s="663" t="str">
        <f t="shared" si="21"/>
        <v/>
      </c>
      <c r="C195" s="663" t="str">
        <f t="shared" si="22"/>
        <v/>
      </c>
      <c r="D195" s="663" t="str">
        <f>IF(UPPER(TRIM(N11))="X",C195,B195)</f>
        <v/>
      </c>
      <c r="E195" s="663" cm="1">
        <f t="array" ref="E195">IF(H194&lt;&gt;"",E194,IF(E194="","",IFERROR(MATCH(TRUE(),INDEX(INDEX(K:K,E194+1):K203&lt;&gt;"",0),0)+E194,"")))</f>
        <v>336</v>
      </c>
      <c r="F195" s="663" cm="1">
        <f t="array" ref="F195">IF(E195="","",IF(H194&lt;&gt;"",H194,INDEX(D:D,E195)))</f>
        <v>0</v>
      </c>
      <c r="G195" s="663" t="str">
        <f t="shared" si="23"/>
        <v>0</v>
      </c>
      <c r="H195" s="673" t="str">
        <f t="shared" si="24"/>
        <v/>
      </c>
      <c r="I195" s="680" t="str">
        <f>IF(AND(F195&lt;&gt;"",N10&gt;0,M195&gt;N10),"Mot &gt; limite","")</f>
        <v/>
      </c>
      <c r="J195" s="674" t="str">
        <f>IF(K195="","",COUNTIF(K18:K195,"&lt;&gt;"))</f>
        <v/>
      </c>
      <c r="K195" s="675"/>
      <c r="L195" s="674" t="str">
        <f t="shared" si="25"/>
        <v/>
      </c>
      <c r="M195" s="643">
        <f>IF(OR(F195="",N10="",N10&lt;=0),"",IF(LEN(F195)&lt;=N10,LEN(F195),IFERROR(FIND("♦",SUBSTITUTE(LEFT(F195,N10)," ","♦",LEN(LEFT(F195,N10))-LEN(SUBSTITUTE(LEFT(F195,N10)," ","")))),FIND(" ",F195&amp;" ",N10+1)-1)))</f>
        <v>1</v>
      </c>
      <c r="N195" s="676">
        <f t="shared" si="26"/>
        <v>178</v>
      </c>
      <c r="O195" s="677" t="str">
        <f t="shared" si="27"/>
        <v>0</v>
      </c>
      <c r="P195" s="676">
        <f t="shared" si="28"/>
        <v>1</v>
      </c>
      <c r="Q195" s="676">
        <f t="shared" si="29"/>
        <v>1</v>
      </c>
      <c r="S195" s="539"/>
      <c r="T195" s="565" t="s">
        <v>5981</v>
      </c>
      <c r="U195" s="565"/>
      <c r="V195" s="539"/>
      <c r="W195" s="539"/>
      <c r="X195" s="539"/>
      <c r="Y195" s="539"/>
      <c r="Z195" s="539"/>
      <c r="AA195" s="539"/>
      <c r="AB195" s="539"/>
      <c r="AC195" s="539"/>
      <c r="AD195" s="539"/>
      <c r="AE195" s="539"/>
      <c r="AF195" s="539"/>
      <c r="AG195" s="539"/>
      <c r="AH195" s="539"/>
      <c r="AI195" s="539"/>
      <c r="AJ195" s="539"/>
      <c r="AK195" s="539"/>
      <c r="DE195" s="494"/>
      <c r="DF195" s="496" t="s">
        <v>1510</v>
      </c>
      <c r="DG195" s="496" t="s">
        <v>1083</v>
      </c>
      <c r="DH195" s="496" t="s">
        <v>1511</v>
      </c>
      <c r="DI195" s="496" t="s">
        <v>1512</v>
      </c>
      <c r="DJ195" s="496" t="s">
        <v>1512</v>
      </c>
      <c r="DK195" s="496" t="s">
        <v>1085</v>
      </c>
      <c r="DL195" s="496" t="s">
        <v>1513</v>
      </c>
      <c r="DM195" s="496" t="s">
        <v>1087</v>
      </c>
      <c r="DN195" s="497" t="s">
        <v>1088</v>
      </c>
      <c r="DP195" s="543">
        <v>1</v>
      </c>
    </row>
    <row r="196" spans="2:120" ht="30" customHeight="1">
      <c r="B196" s="663" t="str">
        <f t="shared" si="21"/>
        <v/>
      </c>
      <c r="C196" s="663" t="str">
        <f t="shared" si="22"/>
        <v/>
      </c>
      <c r="D196" s="663" t="str">
        <f>IF(UPPER(TRIM(N11))="X",C196,B196)</f>
        <v/>
      </c>
      <c r="E196" s="663" cm="1">
        <f t="array" ref="E196">IF(H195&lt;&gt;"",E195,IF(E195="","",IFERROR(MATCH(TRUE(),INDEX(INDEX(K:K,E195+1):K203&lt;&gt;"",0),0)+E195,"")))</f>
        <v>337</v>
      </c>
      <c r="F196" s="663" cm="1">
        <f t="array" ref="F196">IF(E196="","",IF(H195&lt;&gt;"",H195,INDEX(D:D,E196)))</f>
        <v>0</v>
      </c>
      <c r="G196" s="663" t="str">
        <f t="shared" si="23"/>
        <v>0</v>
      </c>
      <c r="H196" s="673" t="str">
        <f t="shared" si="24"/>
        <v/>
      </c>
      <c r="I196" s="680" t="str">
        <f>IF(AND(F196&lt;&gt;"",N10&gt;0,M196&gt;N10),"Mot &gt; limite","")</f>
        <v/>
      </c>
      <c r="J196" s="674" t="str">
        <f>IF(K196="","",COUNTIF(K18:K196,"&lt;&gt;"))</f>
        <v/>
      </c>
      <c r="K196" s="675"/>
      <c r="L196" s="674" t="str">
        <f t="shared" si="25"/>
        <v/>
      </c>
      <c r="M196" s="643">
        <f>IF(OR(F196="",N10="",N10&lt;=0),"",IF(LEN(F196)&lt;=N10,LEN(F196),IFERROR(FIND("♦",SUBSTITUTE(LEFT(F196,N10)," ","♦",LEN(LEFT(F196,N10))-LEN(SUBSTITUTE(LEFT(F196,N10)," ","")))),FIND(" ",F196&amp;" ",N10+1)-1)))</f>
        <v>1</v>
      </c>
      <c r="N196" s="676">
        <f t="shared" si="26"/>
        <v>179</v>
      </c>
      <c r="O196" s="677" t="str">
        <f t="shared" si="27"/>
        <v>0</v>
      </c>
      <c r="P196" s="676">
        <f t="shared" si="28"/>
        <v>1</v>
      </c>
      <c r="Q196" s="676">
        <f t="shared" si="29"/>
        <v>1</v>
      </c>
      <c r="S196" s="539"/>
      <c r="T196" s="566" t="s">
        <v>5982</v>
      </c>
      <c r="U196" s="559" t="s">
        <v>5983</v>
      </c>
      <c r="V196" s="539"/>
      <c r="W196" s="539"/>
      <c r="X196" s="539"/>
      <c r="Y196" s="539"/>
      <c r="Z196" s="539"/>
      <c r="AA196" s="539"/>
      <c r="AB196" s="539"/>
      <c r="AC196" s="539"/>
      <c r="AD196" s="539"/>
      <c r="AE196" s="539"/>
      <c r="AF196" s="539"/>
      <c r="AG196" s="539"/>
      <c r="AH196" s="539"/>
      <c r="AI196" s="539"/>
      <c r="AJ196" s="539"/>
      <c r="AK196" s="539"/>
      <c r="DE196" s="494"/>
      <c r="DF196" s="496" t="s">
        <v>1514</v>
      </c>
      <c r="DG196" s="496" t="s">
        <v>1083</v>
      </c>
      <c r="DH196" s="496" t="s">
        <v>1511</v>
      </c>
      <c r="DI196" s="496" t="s">
        <v>1515</v>
      </c>
      <c r="DJ196" s="496" t="s">
        <v>1515</v>
      </c>
      <c r="DK196" s="496" t="s">
        <v>1085</v>
      </c>
      <c r="DL196" s="496" t="s">
        <v>1513</v>
      </c>
      <c r="DM196" s="496" t="s">
        <v>1087</v>
      </c>
      <c r="DN196" s="497" t="s">
        <v>1088</v>
      </c>
      <c r="DP196" s="543">
        <v>1</v>
      </c>
    </row>
    <row r="197" spans="2:120" ht="30" customHeight="1">
      <c r="B197" s="663" t="str">
        <f t="shared" si="21"/>
        <v/>
      </c>
      <c r="C197" s="663" t="str">
        <f t="shared" si="22"/>
        <v/>
      </c>
      <c r="D197" s="663" t="str">
        <f>IF(UPPER(TRIM(N11))="X",C197,B197)</f>
        <v/>
      </c>
      <c r="E197" s="663" cm="1">
        <f t="array" ref="E197">IF(H196&lt;&gt;"",E196,IF(E196="","",IFERROR(MATCH(TRUE(),INDEX(INDEX(K:K,E196+1):K203&lt;&gt;"",0),0)+E196,"")))</f>
        <v>338</v>
      </c>
      <c r="F197" s="663" cm="1">
        <f t="array" ref="F197">IF(E197="","",IF(H196&lt;&gt;"",H196,INDEX(D:D,E197)))</f>
        <v>0</v>
      </c>
      <c r="G197" s="663" t="str">
        <f t="shared" si="23"/>
        <v>0</v>
      </c>
      <c r="H197" s="673" t="str">
        <f t="shared" si="24"/>
        <v/>
      </c>
      <c r="I197" s="680" t="str">
        <f>IF(AND(F197&lt;&gt;"",N10&gt;0,M197&gt;N10),"Mot &gt; limite","")</f>
        <v/>
      </c>
      <c r="J197" s="674" t="str">
        <f>IF(K197="","",COUNTIF(K18:K197,"&lt;&gt;"))</f>
        <v/>
      </c>
      <c r="K197" s="675"/>
      <c r="L197" s="674" t="str">
        <f t="shared" si="25"/>
        <v/>
      </c>
      <c r="M197" s="643">
        <f>IF(OR(F197="",N10="",N10&lt;=0),"",IF(LEN(F197)&lt;=N10,LEN(F197),IFERROR(FIND("♦",SUBSTITUTE(LEFT(F197,N10)," ","♦",LEN(LEFT(F197,N10))-LEN(SUBSTITUTE(LEFT(F197,N10)," ","")))),FIND(" ",F197&amp;" ",N10+1)-1)))</f>
        <v>1</v>
      </c>
      <c r="N197" s="676">
        <f t="shared" si="26"/>
        <v>180</v>
      </c>
      <c r="O197" s="677" t="str">
        <f t="shared" si="27"/>
        <v>0</v>
      </c>
      <c r="P197" s="676">
        <f t="shared" si="28"/>
        <v>1</v>
      </c>
      <c r="Q197" s="676">
        <f t="shared" si="29"/>
        <v>1</v>
      </c>
      <c r="S197" s="539"/>
      <c r="T197" s="567"/>
      <c r="U197" s="559" t="s">
        <v>5984</v>
      </c>
      <c r="V197" s="539"/>
      <c r="W197" s="539"/>
      <c r="X197" s="539"/>
      <c r="Y197" s="539"/>
      <c r="Z197" s="539"/>
      <c r="AA197" s="539"/>
      <c r="AB197" s="539"/>
      <c r="AC197" s="539"/>
      <c r="AD197" s="539"/>
      <c r="AE197" s="539"/>
      <c r="AF197" s="539"/>
      <c r="AG197" s="539"/>
      <c r="AH197" s="539"/>
      <c r="AI197" s="539"/>
      <c r="AJ197" s="539"/>
      <c r="AK197" s="539"/>
      <c r="DE197" s="494"/>
      <c r="DF197" s="496" t="s">
        <v>1516</v>
      </c>
      <c r="DG197" s="496" t="s">
        <v>1083</v>
      </c>
      <c r="DH197" s="496" t="s">
        <v>1511</v>
      </c>
      <c r="DI197" s="496" t="s">
        <v>1517</v>
      </c>
      <c r="DJ197" s="496" t="s">
        <v>1517</v>
      </c>
      <c r="DK197" s="496" t="s">
        <v>1151</v>
      </c>
      <c r="DL197" s="496" t="s">
        <v>1518</v>
      </c>
      <c r="DM197" s="496" t="s">
        <v>1087</v>
      </c>
      <c r="DN197" s="497" t="s">
        <v>1153</v>
      </c>
      <c r="DP197" s="543">
        <v>1</v>
      </c>
    </row>
    <row r="198" spans="2:120" ht="30" customHeight="1">
      <c r="B198" s="663" t="str">
        <f t="shared" si="21"/>
        <v/>
      </c>
      <c r="C198" s="663" t="str">
        <f t="shared" si="22"/>
        <v/>
      </c>
      <c r="D198" s="663" t="str">
        <f>IF(UPPER(TRIM(N11))="X",C198,B198)</f>
        <v/>
      </c>
      <c r="E198" s="663" cm="1">
        <f t="array" ref="E198">IF(H197&lt;&gt;"",E197,IF(E197="","",IFERROR(MATCH(TRUE(),INDEX(INDEX(K:K,E197+1):K203&lt;&gt;"",0),0)+E197,"")))</f>
        <v>339</v>
      </c>
      <c r="F198" s="663" cm="1">
        <f t="array" ref="F198">IF(E198="","",IF(H197&lt;&gt;"",H197,INDEX(D:D,E198)))</f>
        <v>0</v>
      </c>
      <c r="G198" s="663" t="str">
        <f t="shared" si="23"/>
        <v>0</v>
      </c>
      <c r="H198" s="673" t="str">
        <f t="shared" si="24"/>
        <v/>
      </c>
      <c r="I198" s="680" t="str">
        <f>IF(AND(F198&lt;&gt;"",N10&gt;0,M198&gt;N10),"Mot &gt; limite","")</f>
        <v/>
      </c>
      <c r="J198" s="674" t="str">
        <f>IF(K198="","",COUNTIF(K18:K198,"&lt;&gt;"))</f>
        <v/>
      </c>
      <c r="K198" s="675"/>
      <c r="L198" s="674" t="str">
        <f t="shared" si="25"/>
        <v/>
      </c>
      <c r="M198" s="643">
        <f>IF(OR(F198="",N10="",N10&lt;=0),"",IF(LEN(F198)&lt;=N10,LEN(F198),IFERROR(FIND("♦",SUBSTITUTE(LEFT(F198,N10)," ","♦",LEN(LEFT(F198,N10))-LEN(SUBSTITUTE(LEFT(F198,N10)," ","")))),FIND(" ",F198&amp;" ",N10+1)-1)))</f>
        <v>1</v>
      </c>
      <c r="N198" s="676">
        <f t="shared" si="26"/>
        <v>181</v>
      </c>
      <c r="O198" s="677" t="str">
        <f t="shared" si="27"/>
        <v>0</v>
      </c>
      <c r="P198" s="676">
        <f t="shared" si="28"/>
        <v>1</v>
      </c>
      <c r="Q198" s="676">
        <f t="shared" si="29"/>
        <v>1</v>
      </c>
      <c r="S198" s="539"/>
      <c r="T198" s="566" t="s">
        <v>5985</v>
      </c>
      <c r="U198" s="559" t="s">
        <v>5986</v>
      </c>
      <c r="V198" s="539"/>
      <c r="W198" s="539"/>
      <c r="X198" s="539"/>
      <c r="Y198" s="539"/>
      <c r="Z198" s="539"/>
      <c r="AA198" s="539"/>
      <c r="AB198" s="539"/>
      <c r="AC198" s="539"/>
      <c r="AD198" s="539"/>
      <c r="AE198" s="539"/>
      <c r="AF198" s="539"/>
      <c r="AG198" s="539"/>
      <c r="AH198" s="539"/>
      <c r="AI198" s="539"/>
      <c r="AJ198" s="539"/>
      <c r="AK198" s="539"/>
      <c r="DE198" s="494"/>
      <c r="DF198" s="496" t="s">
        <v>1519</v>
      </c>
      <c r="DG198" s="496" t="s">
        <v>1083</v>
      </c>
      <c r="DH198" s="496" t="s">
        <v>1511</v>
      </c>
      <c r="DI198" s="496" t="s">
        <v>1520</v>
      </c>
      <c r="DJ198" s="496" t="s">
        <v>1520</v>
      </c>
      <c r="DK198" s="496" t="s">
        <v>1151</v>
      </c>
      <c r="DL198" s="496" t="s">
        <v>1518</v>
      </c>
      <c r="DM198" s="496" t="s">
        <v>1087</v>
      </c>
      <c r="DN198" s="497" t="s">
        <v>1153</v>
      </c>
      <c r="DP198" s="543">
        <v>1</v>
      </c>
    </row>
    <row r="199" spans="2:120" ht="30" customHeight="1">
      <c r="B199" s="663" t="str">
        <f t="shared" si="21"/>
        <v/>
      </c>
      <c r="C199" s="663" t="str">
        <f t="shared" si="22"/>
        <v/>
      </c>
      <c r="D199" s="663" t="str">
        <f>IF(UPPER(TRIM(N11))="X",C199,B199)</f>
        <v/>
      </c>
      <c r="E199" s="663" cm="1">
        <f t="array" ref="E199">IF(H198&lt;&gt;"",E198,IF(E198="","",IFERROR(MATCH(TRUE(),INDEX(INDEX(K:K,E198+1):K203&lt;&gt;"",0),0)+E198,"")))</f>
        <v>340</v>
      </c>
      <c r="F199" s="663" cm="1">
        <f t="array" ref="F199">IF(E199="","",IF(H198&lt;&gt;"",H198,INDEX(D:D,E199)))</f>
        <v>0</v>
      </c>
      <c r="G199" s="663" t="str">
        <f t="shared" si="23"/>
        <v>0</v>
      </c>
      <c r="H199" s="673" t="str">
        <f t="shared" si="24"/>
        <v/>
      </c>
      <c r="I199" s="680" t="str">
        <f>IF(AND(F199&lt;&gt;"",N10&gt;0,M199&gt;N10),"Mot &gt; limite","")</f>
        <v/>
      </c>
      <c r="J199" s="674" t="str">
        <f>IF(K199="","",COUNTIF(K18:K199,"&lt;&gt;"))</f>
        <v/>
      </c>
      <c r="K199" s="675"/>
      <c r="L199" s="674" t="str">
        <f t="shared" si="25"/>
        <v/>
      </c>
      <c r="M199" s="643">
        <f>IF(OR(F199="",N10="",N10&lt;=0),"",IF(LEN(F199)&lt;=N10,LEN(F199),IFERROR(FIND("♦",SUBSTITUTE(LEFT(F199,N10)," ","♦",LEN(LEFT(F199,N10))-LEN(SUBSTITUTE(LEFT(F199,N10)," ","")))),FIND(" ",F199&amp;" ",N10+1)-1)))</f>
        <v>1</v>
      </c>
      <c r="N199" s="676">
        <f t="shared" si="26"/>
        <v>182</v>
      </c>
      <c r="O199" s="677" t="str">
        <f t="shared" si="27"/>
        <v>0</v>
      </c>
      <c r="P199" s="676">
        <f t="shared" si="28"/>
        <v>1</v>
      </c>
      <c r="Q199" s="676">
        <f t="shared" si="29"/>
        <v>1</v>
      </c>
      <c r="S199" s="539"/>
      <c r="T199" s="559"/>
      <c r="U199" s="559" t="s">
        <v>5987</v>
      </c>
      <c r="V199" s="539"/>
      <c r="W199" s="539"/>
      <c r="X199" s="539"/>
      <c r="Y199" s="539"/>
      <c r="Z199" s="539"/>
      <c r="AA199" s="539"/>
      <c r="AB199" s="539"/>
      <c r="AC199" s="539"/>
      <c r="AD199" s="539"/>
      <c r="AE199" s="539"/>
      <c r="AF199" s="539"/>
      <c r="AG199" s="539"/>
      <c r="AH199" s="539"/>
      <c r="AI199" s="539"/>
      <c r="AJ199" s="539"/>
      <c r="AK199" s="539"/>
      <c r="DE199" s="494"/>
      <c r="DF199" s="496" t="s">
        <v>1521</v>
      </c>
      <c r="DG199" s="496" t="s">
        <v>1083</v>
      </c>
      <c r="DH199" s="496" t="s">
        <v>1511</v>
      </c>
      <c r="DI199" s="496" t="s">
        <v>1522</v>
      </c>
      <c r="DJ199" s="496" t="s">
        <v>1522</v>
      </c>
      <c r="DK199" s="496" t="s">
        <v>1085</v>
      </c>
      <c r="DL199" s="496" t="s">
        <v>1513</v>
      </c>
      <c r="DM199" s="496" t="s">
        <v>1087</v>
      </c>
      <c r="DN199" s="497" t="s">
        <v>1088</v>
      </c>
      <c r="DP199" s="543">
        <v>1</v>
      </c>
    </row>
    <row r="200" spans="2:120" ht="30" customHeight="1">
      <c r="B200" s="663" t="str">
        <f t="shared" si="21"/>
        <v/>
      </c>
      <c r="C200" s="663" t="str">
        <f t="shared" si="22"/>
        <v/>
      </c>
      <c r="D200" s="663" t="str">
        <f>IF(UPPER(TRIM(N11))="X",C200,B200)</f>
        <v/>
      </c>
      <c r="E200" s="663" cm="1">
        <f t="array" ref="E200">IF(H199&lt;&gt;"",E199,IF(E199="","",IFERROR(MATCH(TRUE(),INDEX(INDEX(K:K,E199+1):K203&lt;&gt;"",0),0)+E199,"")))</f>
        <v>341</v>
      </c>
      <c r="F200" s="663" cm="1">
        <f t="array" ref="F200">IF(E200="","",IF(H199&lt;&gt;"",H199,INDEX(D:D,E200)))</f>
        <v>0</v>
      </c>
      <c r="G200" s="663" t="str">
        <f t="shared" si="23"/>
        <v>0</v>
      </c>
      <c r="H200" s="673" t="str">
        <f t="shared" si="24"/>
        <v/>
      </c>
      <c r="I200" s="680" t="str">
        <f>IF(AND(F200&lt;&gt;"",N10&gt;0,M200&gt;N10),"Mot &gt; limite","")</f>
        <v/>
      </c>
      <c r="J200" s="674" t="str">
        <f>IF(K200="","",COUNTIF(K18:K200,"&lt;&gt;"))</f>
        <v/>
      </c>
      <c r="K200" s="675"/>
      <c r="L200" s="674" t="str">
        <f t="shared" si="25"/>
        <v/>
      </c>
      <c r="M200" s="643">
        <f>IF(OR(F200="",N10="",N10&lt;=0),"",IF(LEN(F200)&lt;=N10,LEN(F200),IFERROR(FIND("♦",SUBSTITUTE(LEFT(F200,N10)," ","♦",LEN(LEFT(F200,N10))-LEN(SUBSTITUTE(LEFT(F200,N10)," ","")))),FIND(" ",F200&amp;" ",N10+1)-1)))</f>
        <v>1</v>
      </c>
      <c r="N200" s="676">
        <f t="shared" si="26"/>
        <v>183</v>
      </c>
      <c r="O200" s="677" t="str">
        <f t="shared" si="27"/>
        <v>0</v>
      </c>
      <c r="P200" s="676">
        <f t="shared" si="28"/>
        <v>1</v>
      </c>
      <c r="Q200" s="676">
        <f t="shared" si="29"/>
        <v>1</v>
      </c>
      <c r="S200" s="539"/>
      <c r="T200" s="559"/>
      <c r="U200" s="559"/>
      <c r="V200" s="539"/>
      <c r="W200" s="539"/>
      <c r="X200" s="539"/>
      <c r="Y200" s="539"/>
      <c r="Z200" s="539"/>
      <c r="AA200" s="539"/>
      <c r="AB200" s="539"/>
      <c r="AC200" s="539"/>
      <c r="AD200" s="539"/>
      <c r="AE200" s="539"/>
      <c r="AF200" s="539"/>
      <c r="AG200" s="539"/>
      <c r="AH200" s="539"/>
      <c r="AI200" s="539"/>
      <c r="AJ200" s="539"/>
      <c r="AK200" s="539"/>
      <c r="DE200" s="494"/>
      <c r="DF200" s="496" t="s">
        <v>1523</v>
      </c>
      <c r="DG200" s="496" t="s">
        <v>1083</v>
      </c>
      <c r="DH200" s="496" t="s">
        <v>1511</v>
      </c>
      <c r="DI200" s="496" t="s">
        <v>894</v>
      </c>
      <c r="DJ200" s="496" t="s">
        <v>894</v>
      </c>
      <c r="DK200" s="496" t="s">
        <v>1085</v>
      </c>
      <c r="DL200" s="496" t="s">
        <v>1513</v>
      </c>
      <c r="DM200" s="496" t="s">
        <v>1087</v>
      </c>
      <c r="DN200" s="497" t="s">
        <v>1088</v>
      </c>
      <c r="DP200" s="543">
        <v>1</v>
      </c>
    </row>
    <row r="201" spans="2:120" ht="30" customHeight="1">
      <c r="B201" s="663" t="str">
        <f t="shared" si="21"/>
        <v/>
      </c>
      <c r="C201" s="663" t="str">
        <f t="shared" si="22"/>
        <v/>
      </c>
      <c r="D201" s="663" t="str">
        <f>IF(UPPER(TRIM(N11))="X",C201,B201)</f>
        <v/>
      </c>
      <c r="E201" s="663" cm="1">
        <f t="array" ref="E201">IF(H200&lt;&gt;"",E200,IF(E200="","",IFERROR(MATCH(TRUE(),INDEX(INDEX(K:K,E200+1):K203&lt;&gt;"",0),0)+E200,"")))</f>
        <v>342</v>
      </c>
      <c r="F201" s="663" cm="1">
        <f t="array" ref="F201">IF(E201="","",IF(H200&lt;&gt;"",H200,INDEX(D:D,E201)))</f>
        <v>0</v>
      </c>
      <c r="G201" s="663" t="str">
        <f t="shared" si="23"/>
        <v>0</v>
      </c>
      <c r="H201" s="673" t="str">
        <f t="shared" si="24"/>
        <v/>
      </c>
      <c r="I201" s="680" t="str">
        <f>IF(AND(F201&lt;&gt;"",N10&gt;0,M201&gt;N10),"Mot &gt; limite","")</f>
        <v/>
      </c>
      <c r="J201" s="674" t="str">
        <f>IF(K201="","",COUNTIF(K18:K201,"&lt;&gt;"))</f>
        <v/>
      </c>
      <c r="K201" s="675"/>
      <c r="L201" s="674" t="str">
        <f t="shared" si="25"/>
        <v/>
      </c>
      <c r="M201" s="643">
        <f>IF(OR(F201="",N10="",N10&lt;=0),"",IF(LEN(F201)&lt;=N10,LEN(F201),IFERROR(FIND("♦",SUBSTITUTE(LEFT(F201,N10)," ","♦",LEN(LEFT(F201,N10))-LEN(SUBSTITUTE(LEFT(F201,N10)," ","")))),FIND(" ",F201&amp;" ",N10+1)-1)))</f>
        <v>1</v>
      </c>
      <c r="N201" s="676">
        <f t="shared" si="26"/>
        <v>184</v>
      </c>
      <c r="O201" s="677" t="str">
        <f t="shared" si="27"/>
        <v>0</v>
      </c>
      <c r="P201" s="676">
        <f t="shared" si="28"/>
        <v>1</v>
      </c>
      <c r="Q201" s="676">
        <f t="shared" si="29"/>
        <v>1</v>
      </c>
      <c r="S201" s="539"/>
      <c r="T201" s="565" t="s">
        <v>5988</v>
      </c>
      <c r="U201" s="565"/>
      <c r="V201" s="539"/>
      <c r="W201" s="539"/>
      <c r="X201" s="539"/>
      <c r="Y201" s="539"/>
      <c r="Z201" s="539"/>
      <c r="AA201" s="539"/>
      <c r="AB201" s="539"/>
      <c r="AC201" s="539"/>
      <c r="AD201" s="539"/>
      <c r="AE201" s="539"/>
      <c r="AF201" s="539"/>
      <c r="AG201" s="539"/>
      <c r="AH201" s="539"/>
      <c r="AI201" s="539"/>
      <c r="AJ201" s="539"/>
      <c r="AK201" s="539"/>
      <c r="DE201" s="494"/>
      <c r="DF201" s="496" t="s">
        <v>1524</v>
      </c>
      <c r="DG201" s="496" t="s">
        <v>1083</v>
      </c>
      <c r="DH201" s="496" t="s">
        <v>1511</v>
      </c>
      <c r="DI201" s="496" t="s">
        <v>1525</v>
      </c>
      <c r="DJ201" s="496" t="s">
        <v>1525</v>
      </c>
      <c r="DK201" s="496" t="s">
        <v>1085</v>
      </c>
      <c r="DL201" s="496" t="s">
        <v>1513</v>
      </c>
      <c r="DM201" s="496" t="s">
        <v>1087</v>
      </c>
      <c r="DN201" s="497" t="s">
        <v>1088</v>
      </c>
      <c r="DP201" s="543">
        <v>1</v>
      </c>
    </row>
    <row r="202" spans="2:120" ht="30" customHeight="1">
      <c r="B202" s="663" t="str">
        <f t="shared" si="21"/>
        <v/>
      </c>
      <c r="C202" s="663" t="str">
        <f t="shared" si="22"/>
        <v/>
      </c>
      <c r="D202" s="663" t="str">
        <f>IF(UPPER(TRIM(N11))="X",C202,B202)</f>
        <v/>
      </c>
      <c r="E202" s="663" cm="1">
        <f t="array" ref="E202">IF(H201&lt;&gt;"",E201,IF(E201="","",IFERROR(MATCH(TRUE(),INDEX(INDEX(K:K,E201+1):K203&lt;&gt;"",0),0)+E201,"")))</f>
        <v>343</v>
      </c>
      <c r="F202" s="663" cm="1">
        <f t="array" ref="F202">IF(E202="","",IF(H201&lt;&gt;"",H201,INDEX(D:D,E202)))</f>
        <v>0</v>
      </c>
      <c r="G202" s="663" t="str">
        <f t="shared" si="23"/>
        <v>0</v>
      </c>
      <c r="H202" s="673" t="str">
        <f t="shared" si="24"/>
        <v/>
      </c>
      <c r="I202" s="680" t="str">
        <f>IF(AND(F202&lt;&gt;"",N10&gt;0,M202&gt;N10),"Mot &gt; limite","")</f>
        <v/>
      </c>
      <c r="J202" s="674" t="str">
        <f>IF(K202="","",COUNTIF(K18:K202,"&lt;&gt;"))</f>
        <v/>
      </c>
      <c r="K202" s="675"/>
      <c r="L202" s="674" t="str">
        <f t="shared" si="25"/>
        <v/>
      </c>
      <c r="M202" s="643">
        <f>IF(OR(F202="",N10="",N10&lt;=0),"",IF(LEN(F202)&lt;=N10,LEN(F202),IFERROR(FIND("♦",SUBSTITUTE(LEFT(F202,N10)," ","♦",LEN(LEFT(F202,N10))-LEN(SUBSTITUTE(LEFT(F202,N10)," ","")))),FIND(" ",F202&amp;" ",N10+1)-1)))</f>
        <v>1</v>
      </c>
      <c r="N202" s="676">
        <f t="shared" si="26"/>
        <v>185</v>
      </c>
      <c r="O202" s="677" t="str">
        <f t="shared" si="27"/>
        <v>0</v>
      </c>
      <c r="P202" s="676">
        <f t="shared" si="28"/>
        <v>1</v>
      </c>
      <c r="Q202" s="676">
        <f t="shared" si="29"/>
        <v>1</v>
      </c>
      <c r="S202" s="539"/>
      <c r="T202" s="562" t="s">
        <v>5989</v>
      </c>
      <c r="U202" s="559" t="s">
        <v>5990</v>
      </c>
      <c r="V202" s="539"/>
      <c r="W202" s="539"/>
      <c r="X202" s="539"/>
      <c r="Y202" s="539"/>
      <c r="Z202" s="539"/>
      <c r="AA202" s="539"/>
      <c r="AB202" s="539"/>
      <c r="AC202" s="539"/>
      <c r="AD202" s="539"/>
      <c r="AE202" s="539"/>
      <c r="AF202" s="539"/>
      <c r="AG202" s="539"/>
      <c r="AH202" s="539"/>
      <c r="AI202" s="539"/>
      <c r="AJ202" s="539"/>
      <c r="AK202" s="539"/>
      <c r="DE202" s="494"/>
      <c r="DF202" s="496" t="s">
        <v>1526</v>
      </c>
      <c r="DG202" s="496" t="s">
        <v>1083</v>
      </c>
      <c r="DH202" s="496" t="s">
        <v>1511</v>
      </c>
      <c r="DI202" s="496" t="s">
        <v>1527</v>
      </c>
      <c r="DJ202" s="496" t="s">
        <v>1527</v>
      </c>
      <c r="DK202" s="496" t="s">
        <v>1085</v>
      </c>
      <c r="DL202" s="496" t="s">
        <v>1513</v>
      </c>
      <c r="DM202" s="496" t="s">
        <v>1087</v>
      </c>
      <c r="DN202" s="497" t="s">
        <v>1088</v>
      </c>
      <c r="DP202" s="543">
        <v>1</v>
      </c>
    </row>
    <row r="203" spans="2:120" ht="21" customHeight="1">
      <c r="B203" s="663" t="str">
        <f t="shared" si="21"/>
        <v>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C203" s="663" t="str">
        <f t="shared" si="22"/>
        <v>Si vous récupérez du texte sur internet collez le d’abord dans la colonne 1️⃣ pour le “nettoyer” cela supprime les espaces insécables tabulations invisibles et autres “pollutions” ◄ 2️⃣ Saisissez la largeur du document dans lequel vous collerez ensuite le texte ◄ 3️⃣ saisissez un nombre de caractères par lignes ◄ 4️⃣ Si vous ne voulez pas de ponctuation saisissez un X dans la cellule Ensuite dans la colonne B copiez le texte nettoyé puis dans votre document faites Collage spécial &gt; 1 2 3 Valeurs pour ne coller que le texte sans formules</v>
      </c>
      <c r="D203" s="663" t="str">
        <f>IF(UPPER(TRIM(N11))="X",C203,B203)</f>
        <v>Si vous récupérez du texte sur internet, collez-le d’abord dans la colonne 1️⃣ pour le “nettoyer” : cela supprime les espaces insécables, tabulations invisibles et autres “pollutions”.◄ 2️⃣ Saisissez la largeur du document dans lequel vous collerez ensuite le texte. ◄ 3️⃣ saisissez un nombre de caractères par lignes ◄ 4️⃣ Si vous ne voulez pas de ponctuation saisissez un X dans la cellule - Ensuite, dans la colonne B copiez le texte nettoyé - puis dans votre document faites Collage spécial &gt; 1.2.3 Valeurs pour ne coller que le texte, sans formules.</v>
      </c>
      <c r="E203" s="663" cm="1">
        <f t="array" ref="E203">IF(H202&lt;&gt;"",E202,IF(E202="","",IFERROR(MATCH(TRUE(),INDEX(INDEX(K:K,E202+1):K203&lt;&gt;"",0),0)+E202,"")))</f>
        <v>344</v>
      </c>
      <c r="F203" s="663" cm="1">
        <f t="array" ref="F203">IF(E203="","",IF(H202&lt;&gt;"",H202,INDEX(D:D,E203)))</f>
        <v>0</v>
      </c>
      <c r="G203" s="663" t="str">
        <f t="shared" si="23"/>
        <v>0</v>
      </c>
      <c r="H203" s="673" t="str">
        <f t="shared" si="24"/>
        <v/>
      </c>
      <c r="I203" s="680" t="str">
        <f>IF(AND(F203&lt;&gt;"",N10&gt;0,M203&gt;N10),"Mot &gt; limite","")</f>
        <v/>
      </c>
      <c r="J203" s="674">
        <f>IF(K203="","",COUNTIF(K18:K203,"&lt;&gt;"))</f>
        <v>29</v>
      </c>
      <c r="K203" s="675" t="s">
        <v>6491</v>
      </c>
      <c r="L203" s="674">
        <f t="shared" si="25"/>
        <v>558</v>
      </c>
      <c r="M203" s="643">
        <f>IF(OR(F203="",N10="",N10&lt;=0),"",IF(LEN(F203)&lt;=N10,LEN(F203),IFERROR(FIND("♦",SUBSTITUTE(LEFT(F203,N10)," ","♦",LEN(LEFT(F203,N10))-LEN(SUBSTITUTE(LEFT(F203,N10)," ","")))),FIND(" ",F203&amp;" ",N10+1)-1)))</f>
        <v>1</v>
      </c>
      <c r="N203" s="676">
        <f t="shared" si="26"/>
        <v>186</v>
      </c>
      <c r="O203" s="677" t="str">
        <f t="shared" si="27"/>
        <v>0</v>
      </c>
      <c r="P203" s="676">
        <f t="shared" si="28"/>
        <v>1</v>
      </c>
      <c r="Q203" s="676">
        <f t="shared" si="29"/>
        <v>1</v>
      </c>
      <c r="S203" s="539"/>
      <c r="T203" s="562" t="s">
        <v>5991</v>
      </c>
      <c r="U203" s="559" t="s">
        <v>5992</v>
      </c>
      <c r="V203" s="539"/>
      <c r="W203" s="539"/>
      <c r="X203" s="539"/>
      <c r="Y203" s="539"/>
      <c r="Z203" s="539"/>
      <c r="AA203" s="539"/>
      <c r="AB203" s="539"/>
      <c r="AC203" s="539"/>
      <c r="AD203" s="539"/>
      <c r="AE203" s="539"/>
      <c r="AF203" s="539"/>
      <c r="AG203" s="539"/>
      <c r="AH203" s="539"/>
      <c r="AI203" s="539"/>
      <c r="AJ203" s="539"/>
      <c r="AK203" s="539"/>
      <c r="DE203" s="494"/>
      <c r="DF203" s="496" t="s">
        <v>1528</v>
      </c>
      <c r="DG203" s="496" t="s">
        <v>1083</v>
      </c>
      <c r="DH203" s="496" t="s">
        <v>1511</v>
      </c>
      <c r="DI203" s="496" t="s">
        <v>1529</v>
      </c>
      <c r="DJ203" s="496" t="s">
        <v>1529</v>
      </c>
      <c r="DK203" s="496" t="s">
        <v>1085</v>
      </c>
      <c r="DL203" s="496" t="s">
        <v>1513</v>
      </c>
      <c r="DM203" s="496" t="s">
        <v>1087</v>
      </c>
      <c r="DN203" s="497" t="s">
        <v>1088</v>
      </c>
      <c r="DP203" s="543">
        <v>1</v>
      </c>
    </row>
    <row r="204" spans="2:120">
      <c r="B204" s="683"/>
      <c r="C204" s="683"/>
      <c r="D204" s="683"/>
      <c r="E204" s="683" cm="1">
        <f t="array" ref="E204">IF(H203&lt;&gt;"",E203,IF(E203="","",IFERROR(MATCH(TRUE(),INDEX(INDEX(K:K,E203+1):K203&lt;&gt;"",0),0)+E203,"")))</f>
        <v>345</v>
      </c>
      <c r="F204" s="684" cm="1">
        <f t="array" ref="F204">IF(E204="","",IF(H203&lt;&gt;"",H203,INDEX(D:D,E204)))</f>
        <v>0</v>
      </c>
      <c r="G204" s="684" t="str">
        <f t="shared" si="23"/>
        <v>0</v>
      </c>
      <c r="H204" s="685" t="str">
        <f t="shared" si="24"/>
        <v/>
      </c>
      <c r="I204" s="683" t="str">
        <f>IF(AND(F204&lt;&gt;"",N10&gt;0,M204&gt;N10),"Mot &gt; limite","")</f>
        <v/>
      </c>
      <c r="M204" s="638">
        <f>IF(OR(F204="",N10="",N10&lt;=0),"",IF(LEN(F204)&lt;=N10,LEN(F204),IFERROR(FIND("♦",SUBSTITUTE(LEFT(F204,N10)," ","♦",LEN(LEFT(F204,N10))-LEN(SUBSTITUTE(LEFT(F204,N10)," ","")))),FIND(" ",F204&amp;" ",N10+1)-1)))</f>
        <v>1</v>
      </c>
      <c r="N204" s="686">
        <f t="shared" si="26"/>
        <v>187</v>
      </c>
      <c r="O204" s="663" t="str">
        <f t="shared" si="27"/>
        <v>0</v>
      </c>
      <c r="P204" s="686">
        <f t="shared" si="28"/>
        <v>1</v>
      </c>
      <c r="Q204" s="686">
        <f t="shared" si="29"/>
        <v>1</v>
      </c>
      <c r="S204" s="539"/>
      <c r="T204" s="562" t="s">
        <v>5993</v>
      </c>
      <c r="U204" s="559" t="s">
        <v>5994</v>
      </c>
      <c r="V204" s="539"/>
      <c r="W204" s="539"/>
      <c r="X204" s="539"/>
      <c r="Y204" s="539"/>
      <c r="Z204" s="539"/>
      <c r="AA204" s="539"/>
      <c r="AB204" s="539"/>
      <c r="AC204" s="539"/>
      <c r="AD204" s="539"/>
      <c r="AE204" s="539"/>
      <c r="AF204" s="539"/>
      <c r="AG204" s="539"/>
      <c r="AH204" s="539"/>
      <c r="AI204" s="539"/>
      <c r="AJ204" s="539"/>
      <c r="AK204" s="539"/>
      <c r="DE204" s="494"/>
      <c r="DF204" s="496" t="s">
        <v>1530</v>
      </c>
      <c r="DG204" s="496" t="s">
        <v>1083</v>
      </c>
      <c r="DH204" s="496" t="s">
        <v>1511</v>
      </c>
      <c r="DI204" s="496" t="s">
        <v>1531</v>
      </c>
      <c r="DJ204" s="496" t="s">
        <v>1531</v>
      </c>
      <c r="DK204" s="496" t="s">
        <v>1085</v>
      </c>
      <c r="DL204" s="496" t="s">
        <v>1513</v>
      </c>
      <c r="DM204" s="496" t="s">
        <v>1087</v>
      </c>
      <c r="DN204" s="497" t="s">
        <v>1088</v>
      </c>
      <c r="DP204" s="543">
        <v>1</v>
      </c>
    </row>
    <row r="205" spans="2:120">
      <c r="B205" s="683"/>
      <c r="C205" s="683"/>
      <c r="D205" s="683"/>
      <c r="E205" s="683" cm="1">
        <f t="array" ref="E205">IF(H204&lt;&gt;"",E204,IF(E204="","",IFERROR(MATCH(TRUE(),INDEX(INDEX(K:K,E204+1):K203&lt;&gt;"",0),0)+E204,"")))</f>
        <v>346</v>
      </c>
      <c r="F205" s="684" cm="1">
        <f t="array" ref="F205">IF(E205="","",IF(H204&lt;&gt;"",H204,INDEX(D:D,E205)))</f>
        <v>0</v>
      </c>
      <c r="G205" s="684" t="str">
        <f t="shared" si="23"/>
        <v>0</v>
      </c>
      <c r="H205" s="685" t="str">
        <f t="shared" si="24"/>
        <v/>
      </c>
      <c r="I205" s="683" t="str">
        <f>IF(AND(F205&lt;&gt;"",N10&gt;0,M205&gt;N10),"Mot &gt; limite","")</f>
        <v/>
      </c>
      <c r="M205" s="638">
        <f>IF(OR(F205="",N10="",N10&lt;=0),"",IF(LEN(F205)&lt;=N10,LEN(F205),IFERROR(FIND("♦",SUBSTITUTE(LEFT(F205,N10)," ","♦",LEN(LEFT(F205,N10))-LEN(SUBSTITUTE(LEFT(F205,N10)," ","")))),FIND(" ",F205&amp;" ",N10+1)-1)))</f>
        <v>1</v>
      </c>
      <c r="N205" s="686">
        <f t="shared" si="26"/>
        <v>188</v>
      </c>
      <c r="O205" s="663" t="str">
        <f t="shared" si="27"/>
        <v>0</v>
      </c>
      <c r="P205" s="686">
        <f t="shared" si="28"/>
        <v>1</v>
      </c>
      <c r="Q205" s="686">
        <f t="shared" si="29"/>
        <v>1</v>
      </c>
      <c r="S205" s="539"/>
      <c r="T205" s="562" t="s">
        <v>5995</v>
      </c>
      <c r="U205" s="559" t="s">
        <v>5996</v>
      </c>
      <c r="V205" s="539"/>
      <c r="W205" s="539"/>
      <c r="X205" s="539"/>
      <c r="Y205" s="539"/>
      <c r="Z205" s="539"/>
      <c r="AA205" s="539"/>
      <c r="AB205" s="539"/>
      <c r="AC205" s="539"/>
      <c r="AD205" s="539"/>
      <c r="AE205" s="539"/>
      <c r="AF205" s="539"/>
      <c r="AG205" s="539"/>
      <c r="AH205" s="539"/>
      <c r="AI205" s="539"/>
      <c r="AJ205" s="539"/>
      <c r="AK205" s="539"/>
      <c r="DE205" s="494"/>
      <c r="DF205" s="496" t="s">
        <v>1532</v>
      </c>
      <c r="DG205" s="496" t="s">
        <v>1083</v>
      </c>
      <c r="DH205" s="496" t="s">
        <v>1511</v>
      </c>
      <c r="DI205" s="496" t="s">
        <v>919</v>
      </c>
      <c r="DJ205" s="496" t="s">
        <v>919</v>
      </c>
      <c r="DK205" s="496" t="s">
        <v>1085</v>
      </c>
      <c r="DL205" s="496" t="s">
        <v>1513</v>
      </c>
      <c r="DM205" s="496" t="s">
        <v>1087</v>
      </c>
      <c r="DN205" s="497" t="s">
        <v>1088</v>
      </c>
      <c r="DP205" s="543">
        <v>1</v>
      </c>
    </row>
    <row r="206" spans="2:120">
      <c r="B206" s="683"/>
      <c r="C206" s="683"/>
      <c r="D206" s="683"/>
      <c r="E206" s="683" cm="1">
        <f t="array" ref="E206">IF(H205&lt;&gt;"",E205,IF(E205="","",IFERROR(MATCH(TRUE(),INDEX(INDEX(K:K,E205+1):K203&lt;&gt;"",0),0)+E205,"")))</f>
        <v>347</v>
      </c>
      <c r="F206" s="684" cm="1">
        <f t="array" ref="F206">IF(E206="","",IF(H205&lt;&gt;"",H205,INDEX(D:D,E206)))</f>
        <v>0</v>
      </c>
      <c r="G206" s="684" t="str">
        <f t="shared" si="23"/>
        <v>0</v>
      </c>
      <c r="H206" s="685" t="str">
        <f t="shared" si="24"/>
        <v/>
      </c>
      <c r="I206" s="683" t="str">
        <f>IF(AND(F206&lt;&gt;"",N10&gt;0,M206&gt;N10),"Mot &gt; limite","")</f>
        <v/>
      </c>
      <c r="M206" s="638">
        <f>IF(OR(F206="",N10="",N10&lt;=0),"",IF(LEN(F206)&lt;=N10,LEN(F206),IFERROR(FIND("♦",SUBSTITUTE(LEFT(F206,N10)," ","♦",LEN(LEFT(F206,N10))-LEN(SUBSTITUTE(LEFT(F206,N10)," ","")))),FIND(" ",F206&amp;" ",N10+1)-1)))</f>
        <v>1</v>
      </c>
      <c r="N206" s="686">
        <f t="shared" si="26"/>
        <v>189</v>
      </c>
      <c r="O206" s="663" t="str">
        <f t="shared" si="27"/>
        <v>0</v>
      </c>
      <c r="P206" s="686">
        <f t="shared" si="28"/>
        <v>1</v>
      </c>
      <c r="Q206" s="686">
        <f t="shared" si="29"/>
        <v>1</v>
      </c>
      <c r="S206" s="539"/>
      <c r="T206" s="562"/>
      <c r="U206" s="559" t="s">
        <v>5997</v>
      </c>
      <c r="V206" s="539"/>
      <c r="W206" s="539"/>
      <c r="X206" s="539"/>
      <c r="Y206" s="539"/>
      <c r="Z206" s="539"/>
      <c r="AA206" s="539"/>
      <c r="AB206" s="539"/>
      <c r="AC206" s="539"/>
      <c r="AD206" s="539"/>
      <c r="AE206" s="539"/>
      <c r="AF206" s="539"/>
      <c r="AG206" s="539"/>
      <c r="AH206" s="539"/>
      <c r="AI206" s="539"/>
      <c r="AJ206" s="539"/>
      <c r="AK206" s="539"/>
      <c r="DE206" s="494"/>
      <c r="DF206" s="496" t="s">
        <v>1533</v>
      </c>
      <c r="DG206" s="496" t="s">
        <v>1083</v>
      </c>
      <c r="DH206" s="496" t="s">
        <v>1511</v>
      </c>
      <c r="DI206" s="496" t="s">
        <v>1534</v>
      </c>
      <c r="DJ206" s="496" t="s">
        <v>1535</v>
      </c>
      <c r="DK206" s="496" t="s">
        <v>1151</v>
      </c>
      <c r="DL206" s="496" t="s">
        <v>1518</v>
      </c>
      <c r="DM206" s="496" t="s">
        <v>1087</v>
      </c>
      <c r="DN206" s="497" t="s">
        <v>1153</v>
      </c>
      <c r="DP206" s="543">
        <v>1</v>
      </c>
    </row>
    <row r="207" spans="2:120">
      <c r="B207" s="683"/>
      <c r="C207" s="683"/>
      <c r="D207" s="683"/>
      <c r="E207" s="683" cm="1">
        <f t="array" ref="E207">IF(H206&lt;&gt;"",E206,IF(E206="","",IFERROR(MATCH(TRUE(),INDEX(INDEX(K:K,E206+1):K203&lt;&gt;"",0),0)+E206,"")))</f>
        <v>348</v>
      </c>
      <c r="F207" s="684" cm="1">
        <f t="array" ref="F207">IF(E207="","",IF(H206&lt;&gt;"",H206,INDEX(D:D,E207)))</f>
        <v>0</v>
      </c>
      <c r="G207" s="684" t="str">
        <f t="shared" si="23"/>
        <v>0</v>
      </c>
      <c r="H207" s="685" t="str">
        <f t="shared" si="24"/>
        <v/>
      </c>
      <c r="I207" s="683" t="str">
        <f>IF(AND(F207&lt;&gt;"",N10&gt;0,M207&gt;N10),"Mot &gt; limite","")</f>
        <v/>
      </c>
      <c r="M207" s="638">
        <f>IF(OR(F207="",N10="",N10&lt;=0),"",IF(LEN(F207)&lt;=N10,LEN(F207),IFERROR(FIND("♦",SUBSTITUTE(LEFT(F207,N10)," ","♦",LEN(LEFT(F207,N10))-LEN(SUBSTITUTE(LEFT(F207,N10)," ","")))),FIND(" ",F207&amp;" ",N10+1)-1)))</f>
        <v>1</v>
      </c>
      <c r="N207" s="686">
        <f t="shared" si="26"/>
        <v>190</v>
      </c>
      <c r="O207" s="663" t="str">
        <f t="shared" si="27"/>
        <v>0</v>
      </c>
      <c r="P207" s="686">
        <f t="shared" si="28"/>
        <v>1</v>
      </c>
      <c r="Q207" s="686">
        <f t="shared" si="29"/>
        <v>1</v>
      </c>
      <c r="S207" s="539"/>
      <c r="T207" s="562" t="s">
        <v>5998</v>
      </c>
      <c r="U207" s="559" t="s">
        <v>5999</v>
      </c>
      <c r="V207" s="539"/>
      <c r="W207" s="539"/>
      <c r="X207" s="539"/>
      <c r="Y207" s="539"/>
      <c r="Z207" s="539"/>
      <c r="AA207" s="539"/>
      <c r="AB207" s="539"/>
      <c r="AC207" s="539"/>
      <c r="AD207" s="539"/>
      <c r="AE207" s="539"/>
      <c r="AF207" s="539"/>
      <c r="AG207" s="539"/>
      <c r="AH207" s="539"/>
      <c r="AI207" s="539"/>
      <c r="AJ207" s="539"/>
      <c r="AK207" s="539"/>
      <c r="DE207" s="494"/>
      <c r="DF207" s="496" t="s">
        <v>1536</v>
      </c>
      <c r="DG207" s="496" t="s">
        <v>1083</v>
      </c>
      <c r="DH207" s="496" t="s">
        <v>1511</v>
      </c>
      <c r="DI207" s="496" t="s">
        <v>1537</v>
      </c>
      <c r="DJ207" s="496" t="s">
        <v>1537</v>
      </c>
      <c r="DK207" s="496" t="s">
        <v>1085</v>
      </c>
      <c r="DL207" s="496" t="s">
        <v>1513</v>
      </c>
      <c r="DM207" s="496" t="s">
        <v>1087</v>
      </c>
      <c r="DN207" s="497" t="s">
        <v>1088</v>
      </c>
      <c r="DP207" s="543">
        <v>1</v>
      </c>
    </row>
    <row r="208" spans="2:120">
      <c r="B208" s="683"/>
      <c r="C208" s="683"/>
      <c r="D208" s="683"/>
      <c r="E208" s="683" cm="1">
        <f t="array" ref="E208">IF(H207&lt;&gt;"",E207,IF(E207="","",IFERROR(MATCH(TRUE(),INDEX(INDEX(K:K,E207+1):K203&lt;&gt;"",0),0)+E207,"")))</f>
        <v>349</v>
      </c>
      <c r="F208" s="684" cm="1">
        <f t="array" ref="F208">IF(E208="","",IF(H207&lt;&gt;"",H207,INDEX(D:D,E208)))</f>
        <v>0</v>
      </c>
      <c r="G208" s="684" t="str">
        <f t="shared" si="23"/>
        <v>0</v>
      </c>
      <c r="H208" s="685" t="str">
        <f t="shared" si="24"/>
        <v/>
      </c>
      <c r="I208" s="683" t="str">
        <f>IF(AND(F208&lt;&gt;"",N10&gt;0,M208&gt;N10),"Mot &gt; limite","")</f>
        <v/>
      </c>
      <c r="M208" s="638">
        <f>IF(OR(F208="",N10="",N10&lt;=0),"",IF(LEN(F208)&lt;=N10,LEN(F208),IFERROR(FIND("♦",SUBSTITUTE(LEFT(F208,N10)," ","♦",LEN(LEFT(F208,N10))-LEN(SUBSTITUTE(LEFT(F208,N10)," ","")))),FIND(" ",F208&amp;" ",N10+1)-1)))</f>
        <v>1</v>
      </c>
      <c r="N208" s="686">
        <f t="shared" si="26"/>
        <v>191</v>
      </c>
      <c r="O208" s="663" t="str">
        <f t="shared" si="27"/>
        <v>0</v>
      </c>
      <c r="P208" s="686">
        <f t="shared" si="28"/>
        <v>1</v>
      </c>
      <c r="Q208" s="686">
        <f t="shared" si="29"/>
        <v>1</v>
      </c>
      <c r="S208" s="539"/>
      <c r="T208" s="562"/>
      <c r="U208" s="559"/>
      <c r="V208" s="539"/>
      <c r="W208" s="539"/>
      <c r="X208" s="539"/>
      <c r="Y208" s="539"/>
      <c r="Z208" s="539"/>
      <c r="AA208" s="539"/>
      <c r="AB208" s="539"/>
      <c r="AC208" s="539"/>
      <c r="AD208" s="539"/>
      <c r="AE208" s="539"/>
      <c r="AF208" s="539"/>
      <c r="AG208" s="539"/>
      <c r="AH208" s="539"/>
      <c r="AI208" s="539"/>
      <c r="AJ208" s="539"/>
      <c r="AK208" s="539"/>
      <c r="DE208" s="494"/>
      <c r="DF208" s="496" t="s">
        <v>1538</v>
      </c>
      <c r="DG208" s="496" t="s">
        <v>1083</v>
      </c>
      <c r="DH208" s="496" t="s">
        <v>1511</v>
      </c>
      <c r="DI208" s="496" t="s">
        <v>1539</v>
      </c>
      <c r="DJ208" s="496" t="s">
        <v>1539</v>
      </c>
      <c r="DK208" s="496" t="s">
        <v>1085</v>
      </c>
      <c r="DL208" s="496" t="s">
        <v>1513</v>
      </c>
      <c r="DM208" s="496" t="s">
        <v>1087</v>
      </c>
      <c r="DN208" s="497" t="s">
        <v>1088</v>
      </c>
      <c r="DP208" s="543">
        <v>1</v>
      </c>
    </row>
    <row r="209" spans="2:120">
      <c r="B209" s="683"/>
      <c r="C209" s="683"/>
      <c r="D209" s="683"/>
      <c r="E209" s="683" cm="1">
        <f t="array" ref="E209">IF(H208&lt;&gt;"",E208,IF(E208="","",IFERROR(MATCH(TRUE(),INDEX(INDEX(K:K,E208+1):K203&lt;&gt;"",0),0)+E208,"")))</f>
        <v>350</v>
      </c>
      <c r="F209" s="684" cm="1">
        <f t="array" ref="F209">IF(E209="","",IF(H208&lt;&gt;"",H208,INDEX(D:D,E209)))</f>
        <v>0</v>
      </c>
      <c r="G209" s="684" t="str">
        <f t="shared" si="23"/>
        <v>0</v>
      </c>
      <c r="H209" s="685" t="str">
        <f t="shared" si="24"/>
        <v/>
      </c>
      <c r="I209" s="683" t="str">
        <f>IF(AND(F209&lt;&gt;"",N10&gt;0,M209&gt;N10),"Mot &gt; limite","")</f>
        <v/>
      </c>
      <c r="M209" s="638">
        <f>IF(OR(F209="",N10="",N10&lt;=0),"",IF(LEN(F209)&lt;=N10,LEN(F209),IFERROR(FIND("♦",SUBSTITUTE(LEFT(F209,N10)," ","♦",LEN(LEFT(F209,N10))-LEN(SUBSTITUTE(LEFT(F209,N10)," ","")))),FIND(" ",F209&amp;" ",N10+1)-1)))</f>
        <v>1</v>
      </c>
      <c r="N209" s="686">
        <f t="shared" si="26"/>
        <v>192</v>
      </c>
      <c r="O209" s="663" t="str">
        <f t="shared" si="27"/>
        <v>0</v>
      </c>
      <c r="P209" s="686">
        <f t="shared" si="28"/>
        <v>1</v>
      </c>
      <c r="Q209" s="686">
        <f t="shared" si="29"/>
        <v>1</v>
      </c>
      <c r="S209" s="539"/>
      <c r="T209" s="562" t="s">
        <v>6000</v>
      </c>
      <c r="U209" s="559" t="s">
        <v>6001</v>
      </c>
      <c r="V209" s="539"/>
      <c r="W209" s="539"/>
      <c r="X209" s="539"/>
      <c r="Y209" s="539"/>
      <c r="Z209" s="539"/>
      <c r="AA209" s="539"/>
      <c r="AB209" s="539"/>
      <c r="AC209" s="539"/>
      <c r="AD209" s="539"/>
      <c r="AE209" s="539"/>
      <c r="AF209" s="539"/>
      <c r="AG209" s="539"/>
      <c r="AH209" s="539"/>
      <c r="AI209" s="539"/>
      <c r="AJ209" s="539"/>
      <c r="AK209" s="539"/>
      <c r="DE209" s="494"/>
      <c r="DF209" s="496" t="s">
        <v>1540</v>
      </c>
      <c r="DG209" s="496" t="s">
        <v>1083</v>
      </c>
      <c r="DH209" s="496" t="s">
        <v>1511</v>
      </c>
      <c r="DI209" s="496" t="s">
        <v>211</v>
      </c>
      <c r="DJ209" s="496" t="s">
        <v>211</v>
      </c>
      <c r="DK209" s="496" t="s">
        <v>1085</v>
      </c>
      <c r="DL209" s="496" t="s">
        <v>1513</v>
      </c>
      <c r="DM209" s="496" t="s">
        <v>1087</v>
      </c>
      <c r="DN209" s="497" t="s">
        <v>1088</v>
      </c>
      <c r="DP209" s="543">
        <v>1</v>
      </c>
    </row>
    <row r="210" spans="2:120">
      <c r="B210" s="683"/>
      <c r="C210" s="683"/>
      <c r="D210" s="683"/>
      <c r="E210" s="683" cm="1">
        <f t="array" ref="E210">IF(H209&lt;&gt;"",E209,IF(E209="","",IFERROR(MATCH(TRUE(),INDEX(INDEX(K:K,E209+1):K203&lt;&gt;"",0),0)+E209,"")))</f>
        <v>351</v>
      </c>
      <c r="F210" s="684" cm="1">
        <f t="array" ref="F210">IF(E210="","",IF(H209&lt;&gt;"",H209,INDEX(D:D,E210)))</f>
        <v>0</v>
      </c>
      <c r="G210" s="684" t="str">
        <f t="shared" ref="G210:G273" si="30">IF(OR(F210="",M210=""),"",LEFT(F210,M210))</f>
        <v>0</v>
      </c>
      <c r="H210" s="685" t="str">
        <f t="shared" ref="H210:H273" si="31">IF(OR(F210="",M210=""),"",TRIM(MID(F210,M210+1,99999)))</f>
        <v/>
      </c>
      <c r="I210" s="683" t="str">
        <f>IF(AND(F210&lt;&gt;"",N10&gt;0,M210&gt;N10),"Mot &gt; limite","")</f>
        <v/>
      </c>
      <c r="M210" s="638">
        <f>IF(OR(F210="",N10="",N10&lt;=0),"",IF(LEN(F210)&lt;=N10,LEN(F210),IFERROR(FIND("♦",SUBSTITUTE(LEFT(F210,N10)," ","♦",LEN(LEFT(F210,N10))-LEN(SUBSTITUTE(LEFT(F210,N10)," ","")))),FIND(" ",F210&amp;" ",N10+1)-1)))</f>
        <v>1</v>
      </c>
      <c r="N210" s="686">
        <f t="shared" ref="N210:N273" si="32">IF(O210="","",ROW()-17)</f>
        <v>193</v>
      </c>
      <c r="O210" s="663" t="str">
        <f t="shared" ref="O210:O273" si="33">G210</f>
        <v>0</v>
      </c>
      <c r="P210" s="686">
        <f t="shared" ref="P210:P273" si="34">IF(O210="","",LEN(TRIM(O210))-LEN(SUBSTITUTE(TRIM(O210)," ",""))+1)</f>
        <v>1</v>
      </c>
      <c r="Q210" s="686">
        <f t="shared" ref="Q210:Q273" si="35">IF(O210="","",LEN(O210))</f>
        <v>1</v>
      </c>
      <c r="S210" s="539"/>
      <c r="T210" s="562" t="s">
        <v>6002</v>
      </c>
      <c r="U210" s="559" t="s">
        <v>6003</v>
      </c>
      <c r="V210" s="539"/>
      <c r="W210" s="539"/>
      <c r="X210" s="539"/>
      <c r="Y210" s="539"/>
      <c r="Z210" s="539"/>
      <c r="AA210" s="539"/>
      <c r="AB210" s="539"/>
      <c r="AC210" s="539"/>
      <c r="AD210" s="539"/>
      <c r="AE210" s="539"/>
      <c r="AF210" s="539"/>
      <c r="AG210" s="539"/>
      <c r="AH210" s="539"/>
      <c r="AI210" s="539"/>
      <c r="AJ210" s="539"/>
      <c r="AK210" s="539"/>
      <c r="DE210" s="494"/>
      <c r="DF210" s="496" t="s">
        <v>1541</v>
      </c>
      <c r="DG210" s="496" t="s">
        <v>1083</v>
      </c>
      <c r="DH210" s="496" t="s">
        <v>1511</v>
      </c>
      <c r="DI210" s="496" t="s">
        <v>1542</v>
      </c>
      <c r="DJ210" s="496" t="s">
        <v>1542</v>
      </c>
      <c r="DK210" s="496" t="s">
        <v>1085</v>
      </c>
      <c r="DL210" s="496" t="s">
        <v>1513</v>
      </c>
      <c r="DM210" s="496" t="s">
        <v>1087</v>
      </c>
      <c r="DN210" s="497" t="s">
        <v>1088</v>
      </c>
      <c r="DP210" s="543">
        <v>1</v>
      </c>
    </row>
    <row r="211" spans="2:120">
      <c r="B211" s="683"/>
      <c r="C211" s="683"/>
      <c r="D211" s="683"/>
      <c r="E211" s="683" cm="1">
        <f t="array" ref="E211">IF(H210&lt;&gt;"",E210,IF(E210="","",IFERROR(MATCH(TRUE(),INDEX(INDEX(K:K,E210+1):K203&lt;&gt;"",0),0)+E210,"")))</f>
        <v>352</v>
      </c>
      <c r="F211" s="684" cm="1">
        <f t="array" ref="F211">IF(E211="","",IF(H210&lt;&gt;"",H210,INDEX(D:D,E211)))</f>
        <v>0</v>
      </c>
      <c r="G211" s="684" t="str">
        <f t="shared" si="30"/>
        <v>0</v>
      </c>
      <c r="H211" s="685" t="str">
        <f t="shared" si="31"/>
        <v/>
      </c>
      <c r="I211" s="683" t="str">
        <f>IF(AND(F211&lt;&gt;"",N10&gt;0,M211&gt;N10),"Mot &gt; limite","")</f>
        <v/>
      </c>
      <c r="M211" s="638">
        <f>IF(OR(F211="",N10="",N10&lt;=0),"",IF(LEN(F211)&lt;=N10,LEN(F211),IFERROR(FIND("♦",SUBSTITUTE(LEFT(F211,N10)," ","♦",LEN(LEFT(F211,N10))-LEN(SUBSTITUTE(LEFT(F211,N10)," ","")))),FIND(" ",F211&amp;" ",N10+1)-1)))</f>
        <v>1</v>
      </c>
      <c r="N211" s="686">
        <f t="shared" si="32"/>
        <v>194</v>
      </c>
      <c r="O211" s="663" t="str">
        <f t="shared" si="33"/>
        <v>0</v>
      </c>
      <c r="P211" s="686">
        <f t="shared" si="34"/>
        <v>1</v>
      </c>
      <c r="Q211" s="686">
        <f t="shared" si="35"/>
        <v>1</v>
      </c>
      <c r="S211" s="539"/>
      <c r="T211" s="562"/>
      <c r="U211" s="559" t="s">
        <v>6004</v>
      </c>
      <c r="V211" s="539"/>
      <c r="W211" s="539"/>
      <c r="X211" s="539"/>
      <c r="Y211" s="539"/>
      <c r="Z211" s="539"/>
      <c r="AA211" s="539"/>
      <c r="AB211" s="539"/>
      <c r="AC211" s="539"/>
      <c r="AD211" s="539"/>
      <c r="AE211" s="539"/>
      <c r="AF211" s="539"/>
      <c r="AG211" s="539"/>
      <c r="AH211" s="539"/>
      <c r="AI211" s="539"/>
      <c r="AJ211" s="539"/>
      <c r="AK211" s="539"/>
      <c r="DE211" s="494"/>
      <c r="DF211" s="496" t="s">
        <v>1543</v>
      </c>
      <c r="DG211" s="496" t="s">
        <v>1083</v>
      </c>
      <c r="DH211" s="496" t="s">
        <v>1511</v>
      </c>
      <c r="DI211" s="496" t="s">
        <v>1544</v>
      </c>
      <c r="DJ211" s="496" t="s">
        <v>1544</v>
      </c>
      <c r="DK211" s="496" t="s">
        <v>1085</v>
      </c>
      <c r="DL211" s="496" t="s">
        <v>1513</v>
      </c>
      <c r="DM211" s="496" t="s">
        <v>1087</v>
      </c>
      <c r="DN211" s="497" t="s">
        <v>1088</v>
      </c>
      <c r="DP211" s="543">
        <v>1</v>
      </c>
    </row>
    <row r="212" spans="2:120">
      <c r="B212" s="683"/>
      <c r="C212" s="683"/>
      <c r="D212" s="683"/>
      <c r="E212" s="683" cm="1">
        <f t="array" ref="E212">IF(H211&lt;&gt;"",E211,IF(E211="","",IFERROR(MATCH(TRUE(),INDEX(INDEX(K:K,E211+1):K203&lt;&gt;"",0),0)+E211,"")))</f>
        <v>353</v>
      </c>
      <c r="F212" s="684" cm="1">
        <f t="array" ref="F212">IF(E212="","",IF(H211&lt;&gt;"",H211,INDEX(D:D,E212)))</f>
        <v>0</v>
      </c>
      <c r="G212" s="684" t="str">
        <f t="shared" si="30"/>
        <v>0</v>
      </c>
      <c r="H212" s="685" t="str">
        <f t="shared" si="31"/>
        <v/>
      </c>
      <c r="I212" s="683" t="str">
        <f>IF(AND(F212&lt;&gt;"",N10&gt;0,M212&gt;N10),"Mot &gt; limite","")</f>
        <v/>
      </c>
      <c r="M212" s="638">
        <f>IF(OR(F212="",N10="",N10&lt;=0),"",IF(LEN(F212)&lt;=N10,LEN(F212),IFERROR(FIND("♦",SUBSTITUTE(LEFT(F212,N10)," ","♦",LEN(LEFT(F212,N10))-LEN(SUBSTITUTE(LEFT(F212,N10)," ","")))),FIND(" ",F212&amp;" ",N10+1)-1)))</f>
        <v>1</v>
      </c>
      <c r="N212" s="686">
        <f t="shared" si="32"/>
        <v>195</v>
      </c>
      <c r="O212" s="663" t="str">
        <f t="shared" si="33"/>
        <v>0</v>
      </c>
      <c r="P212" s="686">
        <f t="shared" si="34"/>
        <v>1</v>
      </c>
      <c r="Q212" s="686">
        <f t="shared" si="35"/>
        <v>1</v>
      </c>
      <c r="S212" s="539"/>
      <c r="T212" s="562" t="s">
        <v>6005</v>
      </c>
      <c r="U212" s="559" t="s">
        <v>6006</v>
      </c>
      <c r="V212" s="539"/>
      <c r="W212" s="539"/>
      <c r="X212" s="539"/>
      <c r="Y212" s="539"/>
      <c r="Z212" s="539"/>
      <c r="AA212" s="539"/>
      <c r="AB212" s="539"/>
      <c r="AC212" s="539"/>
      <c r="AD212" s="539"/>
      <c r="AE212" s="539"/>
      <c r="AF212" s="539"/>
      <c r="AG212" s="539"/>
      <c r="AH212" s="539"/>
      <c r="AI212" s="539"/>
      <c r="AJ212" s="539"/>
      <c r="AK212" s="539"/>
      <c r="DE212" s="494"/>
      <c r="DF212" s="496" t="s">
        <v>1545</v>
      </c>
      <c r="DG212" s="496" t="s">
        <v>1083</v>
      </c>
      <c r="DH212" s="496" t="s">
        <v>1511</v>
      </c>
      <c r="DI212" s="496" t="s">
        <v>1546</v>
      </c>
      <c r="DJ212" s="496" t="s">
        <v>1546</v>
      </c>
      <c r="DK212" s="496" t="s">
        <v>1085</v>
      </c>
      <c r="DL212" s="496" t="s">
        <v>1513</v>
      </c>
      <c r="DM212" s="496" t="s">
        <v>1087</v>
      </c>
      <c r="DN212" s="497" t="s">
        <v>1088</v>
      </c>
      <c r="DP212" s="543">
        <v>1</v>
      </c>
    </row>
    <row r="213" spans="2:120">
      <c r="B213" s="683"/>
      <c r="C213" s="683"/>
      <c r="D213" s="683"/>
      <c r="E213" s="683" cm="1">
        <f t="array" ref="E213">IF(H212&lt;&gt;"",E212,IF(E212="","",IFERROR(MATCH(TRUE(),INDEX(INDEX(K:K,E212+1):K203&lt;&gt;"",0),0)+E212,"")))</f>
        <v>354</v>
      </c>
      <c r="F213" s="684" cm="1">
        <f t="array" ref="F213">IF(E213="","",IF(H212&lt;&gt;"",H212,INDEX(D:D,E213)))</f>
        <v>0</v>
      </c>
      <c r="G213" s="684" t="str">
        <f t="shared" si="30"/>
        <v>0</v>
      </c>
      <c r="H213" s="685" t="str">
        <f t="shared" si="31"/>
        <v/>
      </c>
      <c r="I213" s="683" t="str">
        <f>IF(AND(F213&lt;&gt;"",N10&gt;0,M213&gt;N10),"Mot &gt; limite","")</f>
        <v/>
      </c>
      <c r="M213" s="638">
        <f>IF(OR(F213="",N10="",N10&lt;=0),"",IF(LEN(F213)&lt;=N10,LEN(F213),IFERROR(FIND("♦",SUBSTITUTE(LEFT(F213,N10)," ","♦",LEN(LEFT(F213,N10))-LEN(SUBSTITUTE(LEFT(F213,N10)," ","")))),FIND(" ",F213&amp;" ",N10+1)-1)))</f>
        <v>1</v>
      </c>
      <c r="N213" s="686">
        <f t="shared" si="32"/>
        <v>196</v>
      </c>
      <c r="O213" s="663" t="str">
        <f t="shared" si="33"/>
        <v>0</v>
      </c>
      <c r="P213" s="686">
        <f t="shared" si="34"/>
        <v>1</v>
      </c>
      <c r="Q213" s="686">
        <f t="shared" si="35"/>
        <v>1</v>
      </c>
      <c r="S213" s="539"/>
      <c r="T213" s="562"/>
      <c r="U213" s="559" t="s">
        <v>6007</v>
      </c>
      <c r="V213" s="539"/>
      <c r="W213" s="539"/>
      <c r="X213" s="539"/>
      <c r="Y213" s="539"/>
      <c r="Z213" s="539"/>
      <c r="AA213" s="539"/>
      <c r="AB213" s="539"/>
      <c r="AC213" s="539"/>
      <c r="AD213" s="539"/>
      <c r="AE213" s="539"/>
      <c r="AF213" s="539"/>
      <c r="AG213" s="539"/>
      <c r="AH213" s="539"/>
      <c r="AI213" s="539"/>
      <c r="AJ213" s="539"/>
      <c r="AK213" s="539"/>
      <c r="DE213" s="494"/>
      <c r="DF213" s="496" t="s">
        <v>1547</v>
      </c>
      <c r="DG213" s="496" t="s">
        <v>1083</v>
      </c>
      <c r="DH213" s="496" t="s">
        <v>1511</v>
      </c>
      <c r="DI213" s="496" t="s">
        <v>364</v>
      </c>
      <c r="DJ213" s="496" t="s">
        <v>364</v>
      </c>
      <c r="DK213" s="496" t="s">
        <v>1085</v>
      </c>
      <c r="DL213" s="496" t="s">
        <v>1513</v>
      </c>
      <c r="DM213" s="496" t="s">
        <v>1087</v>
      </c>
      <c r="DN213" s="497" t="s">
        <v>1088</v>
      </c>
      <c r="DP213" s="543">
        <v>1</v>
      </c>
    </row>
    <row r="214" spans="2:120">
      <c r="B214" s="683"/>
      <c r="C214" s="683"/>
      <c r="D214" s="683"/>
      <c r="E214" s="683" cm="1">
        <f t="array" ref="E214">IF(H213&lt;&gt;"",E213,IF(E213="","",IFERROR(MATCH(TRUE(),INDEX(INDEX(K:K,E213+1):K203&lt;&gt;"",0),0)+E213,"")))</f>
        <v>355</v>
      </c>
      <c r="F214" s="684" cm="1">
        <f t="array" ref="F214">IF(E214="","",IF(H213&lt;&gt;"",H213,INDEX(D:D,E214)))</f>
        <v>0</v>
      </c>
      <c r="G214" s="684" t="str">
        <f t="shared" si="30"/>
        <v>0</v>
      </c>
      <c r="H214" s="685" t="str">
        <f t="shared" si="31"/>
        <v/>
      </c>
      <c r="I214" s="683" t="str">
        <f>IF(AND(F214&lt;&gt;"",N10&gt;0,M214&gt;N10),"Mot &gt; limite","")</f>
        <v/>
      </c>
      <c r="M214" s="638">
        <f>IF(OR(F214="",N10="",N10&lt;=0),"",IF(LEN(F214)&lt;=N10,LEN(F214),IFERROR(FIND("♦",SUBSTITUTE(LEFT(F214,N10)," ","♦",LEN(LEFT(F214,N10))-LEN(SUBSTITUTE(LEFT(F214,N10)," ","")))),FIND(" ",F214&amp;" ",N10+1)-1)))</f>
        <v>1</v>
      </c>
      <c r="N214" s="686">
        <f t="shared" si="32"/>
        <v>197</v>
      </c>
      <c r="O214" s="663" t="str">
        <f t="shared" si="33"/>
        <v>0</v>
      </c>
      <c r="P214" s="686">
        <f t="shared" si="34"/>
        <v>1</v>
      </c>
      <c r="Q214" s="686">
        <f t="shared" si="35"/>
        <v>1</v>
      </c>
      <c r="S214" s="539"/>
      <c r="T214" s="559"/>
      <c r="U214" s="559"/>
      <c r="V214" s="539"/>
      <c r="W214" s="539"/>
      <c r="X214" s="539"/>
      <c r="Y214" s="539"/>
      <c r="Z214" s="539"/>
      <c r="AA214" s="539"/>
      <c r="AB214" s="539"/>
      <c r="AC214" s="539"/>
      <c r="AD214" s="539"/>
      <c r="AE214" s="539"/>
      <c r="AF214" s="539"/>
      <c r="AG214" s="539"/>
      <c r="AH214" s="539"/>
      <c r="AI214" s="539"/>
      <c r="AJ214" s="539"/>
      <c r="AK214" s="539"/>
      <c r="DE214" s="494"/>
      <c r="DF214" s="496" t="s">
        <v>1548</v>
      </c>
      <c r="DG214" s="496" t="s">
        <v>1083</v>
      </c>
      <c r="DH214" s="496" t="s">
        <v>1511</v>
      </c>
      <c r="DI214" s="496" t="s">
        <v>1549</v>
      </c>
      <c r="DJ214" s="496" t="s">
        <v>1549</v>
      </c>
      <c r="DK214" s="496" t="s">
        <v>1085</v>
      </c>
      <c r="DL214" s="496" t="s">
        <v>1513</v>
      </c>
      <c r="DM214" s="496" t="s">
        <v>1087</v>
      </c>
      <c r="DN214" s="497" t="s">
        <v>1088</v>
      </c>
      <c r="DP214" s="543">
        <v>1</v>
      </c>
    </row>
    <row r="215" spans="2:120">
      <c r="B215" s="683"/>
      <c r="C215" s="683"/>
      <c r="D215" s="683"/>
      <c r="E215" s="683" cm="1">
        <f t="array" ref="E215">IF(H214&lt;&gt;"",E214,IF(E214="","",IFERROR(MATCH(TRUE(),INDEX(INDEX(K:K,E214+1):K203&lt;&gt;"",0),0)+E214,"")))</f>
        <v>356</v>
      </c>
      <c r="F215" s="684" cm="1">
        <f t="array" ref="F215">IF(E215="","",IF(H214&lt;&gt;"",H214,INDEX(D:D,E215)))</f>
        <v>0</v>
      </c>
      <c r="G215" s="684" t="str">
        <f t="shared" si="30"/>
        <v>0</v>
      </c>
      <c r="H215" s="685" t="str">
        <f t="shared" si="31"/>
        <v/>
      </c>
      <c r="I215" s="683" t="str">
        <f>IF(AND(F215&lt;&gt;"",N10&gt;0,M215&gt;N10),"Mot &gt; limite","")</f>
        <v/>
      </c>
      <c r="M215" s="638">
        <f>IF(OR(F215="",N10="",N10&lt;=0),"",IF(LEN(F215)&lt;=N10,LEN(F215),IFERROR(FIND("♦",SUBSTITUTE(LEFT(F215,N10)," ","♦",LEN(LEFT(F215,N10))-LEN(SUBSTITUTE(LEFT(F215,N10)," ","")))),FIND(" ",F215&amp;" ",N10+1)-1)))</f>
        <v>1</v>
      </c>
      <c r="N215" s="686">
        <f t="shared" si="32"/>
        <v>198</v>
      </c>
      <c r="O215" s="663" t="str">
        <f t="shared" si="33"/>
        <v>0</v>
      </c>
      <c r="P215" s="686">
        <f t="shared" si="34"/>
        <v>1</v>
      </c>
      <c r="Q215" s="686">
        <f t="shared" si="35"/>
        <v>1</v>
      </c>
      <c r="S215" s="539"/>
      <c r="T215" s="567" t="s">
        <v>6008</v>
      </c>
      <c r="U215" s="568"/>
      <c r="V215" s="539"/>
      <c r="W215" s="539"/>
      <c r="X215" s="539"/>
      <c r="Y215" s="539"/>
      <c r="Z215" s="539"/>
      <c r="AA215" s="539"/>
      <c r="AB215" s="539"/>
      <c r="AC215" s="539"/>
      <c r="AD215" s="539"/>
      <c r="AE215" s="539"/>
      <c r="AF215" s="539"/>
      <c r="AG215" s="539"/>
      <c r="AH215" s="539"/>
      <c r="AI215" s="539"/>
      <c r="AJ215" s="539"/>
      <c r="AK215" s="539"/>
      <c r="DE215" s="494"/>
      <c r="DF215" s="496" t="s">
        <v>1550</v>
      </c>
      <c r="DG215" s="496" t="s">
        <v>1083</v>
      </c>
      <c r="DH215" s="496" t="s">
        <v>1511</v>
      </c>
      <c r="DI215" s="496" t="s">
        <v>179</v>
      </c>
      <c r="DJ215" s="496" t="s">
        <v>179</v>
      </c>
      <c r="DK215" s="496" t="s">
        <v>1085</v>
      </c>
      <c r="DL215" s="496" t="s">
        <v>1513</v>
      </c>
      <c r="DM215" s="496" t="s">
        <v>1087</v>
      </c>
      <c r="DN215" s="497" t="s">
        <v>1088</v>
      </c>
      <c r="DP215" s="543">
        <v>1</v>
      </c>
    </row>
    <row r="216" spans="2:120">
      <c r="B216" s="683"/>
      <c r="C216" s="683"/>
      <c r="D216" s="683"/>
      <c r="E216" s="683" cm="1">
        <f t="array" ref="E216">IF(H215&lt;&gt;"",E215,IF(E215="","",IFERROR(MATCH(TRUE(),INDEX(INDEX(K:K,E215+1):K203&lt;&gt;"",0),0)+E215,"")))</f>
        <v>357</v>
      </c>
      <c r="F216" s="684" cm="1">
        <f t="array" ref="F216">IF(E216="","",IF(H215&lt;&gt;"",H215,INDEX(D:D,E216)))</f>
        <v>0</v>
      </c>
      <c r="G216" s="684" t="str">
        <f t="shared" si="30"/>
        <v>0</v>
      </c>
      <c r="H216" s="685" t="str">
        <f t="shared" si="31"/>
        <v/>
      </c>
      <c r="I216" s="683" t="str">
        <f>IF(AND(F216&lt;&gt;"",N10&gt;0,M216&gt;N10),"Mot &gt; limite","")</f>
        <v/>
      </c>
      <c r="M216" s="638">
        <f>IF(OR(F216="",N10="",N10&lt;=0),"",IF(LEN(F216)&lt;=N10,LEN(F216),IFERROR(FIND("♦",SUBSTITUTE(LEFT(F216,N10)," ","♦",LEN(LEFT(F216,N10))-LEN(SUBSTITUTE(LEFT(F216,N10)," ","")))),FIND(" ",F216&amp;" ",N10+1)-1)))</f>
        <v>1</v>
      </c>
      <c r="N216" s="686">
        <f t="shared" si="32"/>
        <v>199</v>
      </c>
      <c r="O216" s="663" t="str">
        <f t="shared" si="33"/>
        <v>0</v>
      </c>
      <c r="P216" s="686">
        <f t="shared" si="34"/>
        <v>1</v>
      </c>
      <c r="Q216" s="686">
        <f t="shared" si="35"/>
        <v>1</v>
      </c>
      <c r="S216" s="539"/>
      <c r="T216" s="562" t="s">
        <v>5837</v>
      </c>
      <c r="U216" s="559" t="s">
        <v>6009</v>
      </c>
      <c r="V216" s="539"/>
      <c r="W216" s="539"/>
      <c r="X216" s="539"/>
      <c r="Y216" s="539"/>
      <c r="Z216" s="539"/>
      <c r="AA216" s="539"/>
      <c r="AB216" s="539"/>
      <c r="AC216" s="539"/>
      <c r="AD216" s="539"/>
      <c r="AE216" s="539"/>
      <c r="AF216" s="539"/>
      <c r="AG216" s="539"/>
      <c r="AH216" s="539"/>
      <c r="AI216" s="539"/>
      <c r="AJ216" s="539"/>
      <c r="AK216" s="539"/>
      <c r="DE216" s="494"/>
      <c r="DF216" s="496" t="s">
        <v>1551</v>
      </c>
      <c r="DG216" s="496" t="s">
        <v>1083</v>
      </c>
      <c r="DH216" s="496" t="s">
        <v>1511</v>
      </c>
      <c r="DI216" s="496" t="s">
        <v>1552</v>
      </c>
      <c r="DJ216" s="496" t="s">
        <v>1552</v>
      </c>
      <c r="DK216" s="496" t="s">
        <v>1085</v>
      </c>
      <c r="DL216" s="496" t="s">
        <v>1513</v>
      </c>
      <c r="DM216" s="496" t="s">
        <v>1087</v>
      </c>
      <c r="DN216" s="497" t="s">
        <v>1088</v>
      </c>
      <c r="DP216" s="543">
        <v>1</v>
      </c>
    </row>
    <row r="217" spans="2:120">
      <c r="B217" s="683"/>
      <c r="C217" s="683"/>
      <c r="D217" s="683"/>
      <c r="E217" s="683" cm="1">
        <f t="array" ref="E217">IF(H216&lt;&gt;"",E216,IF(E216="","",IFERROR(MATCH(TRUE(),INDEX(INDEX(K:K,E216+1):K203&lt;&gt;"",0),0)+E216,"")))</f>
        <v>358</v>
      </c>
      <c r="F217" s="684" cm="1">
        <f t="array" ref="F217">IF(E217="","",IF(H216&lt;&gt;"",H216,INDEX(D:D,E217)))</f>
        <v>0</v>
      </c>
      <c r="G217" s="684" t="str">
        <f t="shared" si="30"/>
        <v>0</v>
      </c>
      <c r="H217" s="685" t="str">
        <f t="shared" si="31"/>
        <v/>
      </c>
      <c r="I217" s="683" t="str">
        <f>IF(AND(F217&lt;&gt;"",N10&gt;0,M217&gt;N10),"Mot &gt; limite","")</f>
        <v/>
      </c>
      <c r="M217" s="638">
        <f>IF(OR(F217="",N10="",N10&lt;=0),"",IF(LEN(F217)&lt;=N10,LEN(F217),IFERROR(FIND("♦",SUBSTITUTE(LEFT(F217,N10)," ","♦",LEN(LEFT(F217,N10))-LEN(SUBSTITUTE(LEFT(F217,N10)," ","")))),FIND(" ",F217&amp;" ",N10+1)-1)))</f>
        <v>1</v>
      </c>
      <c r="N217" s="686">
        <f t="shared" si="32"/>
        <v>200</v>
      </c>
      <c r="O217" s="663" t="str">
        <f t="shared" si="33"/>
        <v>0</v>
      </c>
      <c r="P217" s="686">
        <f t="shared" si="34"/>
        <v>1</v>
      </c>
      <c r="Q217" s="686">
        <f t="shared" si="35"/>
        <v>1</v>
      </c>
      <c r="S217" s="539"/>
      <c r="T217" s="562" t="s">
        <v>5838</v>
      </c>
      <c r="U217" s="559" t="s">
        <v>6010</v>
      </c>
      <c r="V217" s="539"/>
      <c r="W217" s="539"/>
      <c r="X217" s="539"/>
      <c r="Y217" s="539"/>
      <c r="Z217" s="539"/>
      <c r="AA217" s="539"/>
      <c r="AB217" s="539"/>
      <c r="AC217" s="539"/>
      <c r="AD217" s="539"/>
      <c r="AE217" s="539"/>
      <c r="AF217" s="539"/>
      <c r="AG217" s="539"/>
      <c r="AH217" s="539"/>
      <c r="AI217" s="539"/>
      <c r="AJ217" s="539"/>
      <c r="AK217" s="539"/>
      <c r="DE217" s="494"/>
      <c r="DF217" s="496" t="s">
        <v>1553</v>
      </c>
      <c r="DG217" s="496" t="s">
        <v>239</v>
      </c>
      <c r="DH217" s="496" t="s">
        <v>689</v>
      </c>
      <c r="DI217" s="496" t="s">
        <v>132</v>
      </c>
      <c r="DJ217" s="496" t="s">
        <v>132</v>
      </c>
      <c r="DK217" s="496" t="s">
        <v>1554</v>
      </c>
      <c r="DL217" s="496" t="s">
        <v>1555</v>
      </c>
      <c r="DM217" s="496" t="s">
        <v>1556</v>
      </c>
      <c r="DN217" s="497" t="s">
        <v>1557</v>
      </c>
      <c r="DP217" s="543">
        <v>1</v>
      </c>
    </row>
    <row r="218" spans="2:120">
      <c r="B218" s="683"/>
      <c r="C218" s="683"/>
      <c r="D218" s="683"/>
      <c r="E218" s="683" cm="1">
        <f t="array" ref="E218">IF(H217&lt;&gt;"",E217,IF(E217="","",IFERROR(MATCH(TRUE(),INDEX(INDEX(K:K,E217+1):K203&lt;&gt;"",0),0)+E217,"")))</f>
        <v>359</v>
      </c>
      <c r="F218" s="684" cm="1">
        <f t="array" ref="F218">IF(E218="","",IF(H217&lt;&gt;"",H217,INDEX(D:D,E218)))</f>
        <v>0</v>
      </c>
      <c r="G218" s="684" t="str">
        <f t="shared" si="30"/>
        <v>0</v>
      </c>
      <c r="H218" s="685" t="str">
        <f t="shared" si="31"/>
        <v/>
      </c>
      <c r="I218" s="683" t="str">
        <f>IF(AND(F218&lt;&gt;"",N10&gt;0,M218&gt;N10),"Mot &gt; limite","")</f>
        <v/>
      </c>
      <c r="M218" s="638">
        <f>IF(OR(F218="",N10="",N10&lt;=0),"",IF(LEN(F218)&lt;=N10,LEN(F218),IFERROR(FIND("♦",SUBSTITUTE(LEFT(F218,N10)," ","♦",LEN(LEFT(F218,N10))-LEN(SUBSTITUTE(LEFT(F218,N10)," ","")))),FIND(" ",F218&amp;" ",N10+1)-1)))</f>
        <v>1</v>
      </c>
      <c r="N218" s="686">
        <f t="shared" si="32"/>
        <v>201</v>
      </c>
      <c r="O218" s="663" t="str">
        <f t="shared" si="33"/>
        <v>0</v>
      </c>
      <c r="P218" s="686">
        <f t="shared" si="34"/>
        <v>1</v>
      </c>
      <c r="Q218" s="686">
        <f t="shared" si="35"/>
        <v>1</v>
      </c>
      <c r="S218" s="539"/>
      <c r="T218" s="562" t="s">
        <v>5839</v>
      </c>
      <c r="U218" s="559" t="s">
        <v>6011</v>
      </c>
      <c r="V218" s="539"/>
      <c r="W218" s="539"/>
      <c r="X218" s="539"/>
      <c r="Y218" s="539"/>
      <c r="Z218" s="539"/>
      <c r="AA218" s="539"/>
      <c r="AB218" s="539"/>
      <c r="AC218" s="539"/>
      <c r="AD218" s="539"/>
      <c r="AE218" s="539"/>
      <c r="AF218" s="539"/>
      <c r="AG218" s="539"/>
      <c r="AH218" s="539"/>
      <c r="AI218" s="539"/>
      <c r="AJ218" s="539"/>
      <c r="AK218" s="539"/>
      <c r="DE218" s="494"/>
      <c r="DF218" s="496" t="s">
        <v>1558</v>
      </c>
      <c r="DG218" s="496" t="s">
        <v>239</v>
      </c>
      <c r="DH218" s="496" t="s">
        <v>689</v>
      </c>
      <c r="DI218" s="496" t="s">
        <v>1559</v>
      </c>
      <c r="DJ218" s="496" t="s">
        <v>1560</v>
      </c>
      <c r="DK218" s="496" t="s">
        <v>1554</v>
      </c>
      <c r="DL218" s="496" t="s">
        <v>1561</v>
      </c>
      <c r="DM218" s="496" t="s">
        <v>1087</v>
      </c>
      <c r="DN218" s="497" t="s">
        <v>1088</v>
      </c>
      <c r="DP218" s="543">
        <v>1</v>
      </c>
    </row>
    <row r="219" spans="2:120">
      <c r="B219" s="683"/>
      <c r="C219" s="683"/>
      <c r="D219" s="683"/>
      <c r="E219" s="683" cm="1">
        <f t="array" ref="E219">IF(H218&lt;&gt;"",E218,IF(E218="","",IFERROR(MATCH(TRUE(),INDEX(INDEX(K:K,E218+1):K203&lt;&gt;"",0),0)+E218,"")))</f>
        <v>360</v>
      </c>
      <c r="F219" s="684" cm="1">
        <f t="array" ref="F219">IF(E219="","",IF(H218&lt;&gt;"",H218,INDEX(D:D,E219)))</f>
        <v>0</v>
      </c>
      <c r="G219" s="684" t="str">
        <f t="shared" si="30"/>
        <v>0</v>
      </c>
      <c r="H219" s="685" t="str">
        <f t="shared" si="31"/>
        <v/>
      </c>
      <c r="I219" s="683" t="str">
        <f>IF(AND(F219&lt;&gt;"",N10&gt;0,M219&gt;N10),"Mot &gt; limite","")</f>
        <v/>
      </c>
      <c r="M219" s="638">
        <f>IF(OR(F219="",N10="",N10&lt;=0),"",IF(LEN(F219)&lt;=N10,LEN(F219),IFERROR(FIND("♦",SUBSTITUTE(LEFT(F219,N10)," ","♦",LEN(LEFT(F219,N10))-LEN(SUBSTITUTE(LEFT(F219,N10)," ","")))),FIND(" ",F219&amp;" ",N10+1)-1)))</f>
        <v>1</v>
      </c>
      <c r="N219" s="686">
        <f t="shared" si="32"/>
        <v>202</v>
      </c>
      <c r="O219" s="663" t="str">
        <f t="shared" si="33"/>
        <v>0</v>
      </c>
      <c r="P219" s="686">
        <f t="shared" si="34"/>
        <v>1</v>
      </c>
      <c r="Q219" s="686">
        <f t="shared" si="35"/>
        <v>1</v>
      </c>
      <c r="S219" s="539"/>
      <c r="T219" s="562" t="s">
        <v>5840</v>
      </c>
      <c r="U219" s="559" t="s">
        <v>6012</v>
      </c>
      <c r="V219" s="539"/>
      <c r="W219" s="539"/>
      <c r="X219" s="539"/>
      <c r="Y219" s="539"/>
      <c r="Z219" s="539"/>
      <c r="AA219" s="539"/>
      <c r="AB219" s="539"/>
      <c r="AC219" s="539"/>
      <c r="AD219" s="539"/>
      <c r="AE219" s="539"/>
      <c r="AF219" s="539"/>
      <c r="AG219" s="539"/>
      <c r="AH219" s="539"/>
      <c r="AI219" s="539"/>
      <c r="AJ219" s="539"/>
      <c r="AK219" s="539"/>
      <c r="DE219" s="494"/>
      <c r="DF219" s="496" t="s">
        <v>1562</v>
      </c>
      <c r="DG219" s="496" t="s">
        <v>239</v>
      </c>
      <c r="DH219" s="496" t="s">
        <v>689</v>
      </c>
      <c r="DI219" s="496" t="s">
        <v>1563</v>
      </c>
      <c r="DJ219" s="496" t="s">
        <v>853</v>
      </c>
      <c r="DK219" s="496" t="s">
        <v>1554</v>
      </c>
      <c r="DL219" s="496" t="s">
        <v>1561</v>
      </c>
      <c r="DM219" s="496" t="s">
        <v>1087</v>
      </c>
      <c r="DN219" s="497" t="s">
        <v>1088</v>
      </c>
      <c r="DP219" s="543">
        <v>1</v>
      </c>
    </row>
    <row r="220" spans="2:120">
      <c r="B220" s="683"/>
      <c r="C220" s="683"/>
      <c r="D220" s="683"/>
      <c r="E220" s="683" cm="1">
        <f t="array" ref="E220">IF(H219&lt;&gt;"",E219,IF(E219="","",IFERROR(MATCH(TRUE(),INDEX(INDEX(K:K,E219+1):K203&lt;&gt;"",0),0)+E219,"")))</f>
        <v>361</v>
      </c>
      <c r="F220" s="684" cm="1">
        <f t="array" ref="F220">IF(E220="","",IF(H219&lt;&gt;"",H219,INDEX(D:D,E220)))</f>
        <v>0</v>
      </c>
      <c r="G220" s="684" t="str">
        <f t="shared" si="30"/>
        <v>0</v>
      </c>
      <c r="H220" s="685" t="str">
        <f t="shared" si="31"/>
        <v/>
      </c>
      <c r="I220" s="683" t="str">
        <f>IF(AND(F220&lt;&gt;"",N10&gt;0,M220&gt;N10),"Mot &gt; limite","")</f>
        <v/>
      </c>
      <c r="M220" s="638">
        <f>IF(OR(F220="",N10="",N10&lt;=0),"",IF(LEN(F220)&lt;=N10,LEN(F220),IFERROR(FIND("♦",SUBSTITUTE(LEFT(F220,N10)," ","♦",LEN(LEFT(F220,N10))-LEN(SUBSTITUTE(LEFT(F220,N10)," ","")))),FIND(" ",F220&amp;" ",N10+1)-1)))</f>
        <v>1</v>
      </c>
      <c r="N220" s="686">
        <f t="shared" si="32"/>
        <v>203</v>
      </c>
      <c r="O220" s="663" t="str">
        <f t="shared" si="33"/>
        <v>0</v>
      </c>
      <c r="P220" s="686">
        <f t="shared" si="34"/>
        <v>1</v>
      </c>
      <c r="Q220" s="686">
        <f t="shared" si="35"/>
        <v>1</v>
      </c>
      <c r="S220" s="539"/>
      <c r="T220" s="562" t="s">
        <v>5841</v>
      </c>
      <c r="U220" s="559" t="s">
        <v>6013</v>
      </c>
      <c r="V220" s="539"/>
      <c r="W220" s="539"/>
      <c r="X220" s="539"/>
      <c r="Y220" s="539"/>
      <c r="Z220" s="539"/>
      <c r="AA220" s="539"/>
      <c r="AB220" s="539"/>
      <c r="AC220" s="539"/>
      <c r="AD220" s="539"/>
      <c r="AE220" s="539"/>
      <c r="AF220" s="539"/>
      <c r="AG220" s="539"/>
      <c r="AH220" s="539"/>
      <c r="AI220" s="539"/>
      <c r="AJ220" s="539"/>
      <c r="AK220" s="539"/>
      <c r="DE220" s="494"/>
      <c r="DF220" s="496" t="s">
        <v>1564</v>
      </c>
      <c r="DG220" s="496" t="s">
        <v>239</v>
      </c>
      <c r="DH220" s="496" t="s">
        <v>689</v>
      </c>
      <c r="DI220" s="496" t="s">
        <v>854</v>
      </c>
      <c r="DJ220" s="496" t="s">
        <v>854</v>
      </c>
      <c r="DK220" s="496" t="s">
        <v>1554</v>
      </c>
      <c r="DL220" s="496" t="s">
        <v>1561</v>
      </c>
      <c r="DM220" s="496" t="s">
        <v>1087</v>
      </c>
      <c r="DN220" s="497" t="s">
        <v>1088</v>
      </c>
      <c r="DP220" s="543">
        <v>1</v>
      </c>
    </row>
    <row r="221" spans="2:120">
      <c r="B221" s="683"/>
      <c r="C221" s="683"/>
      <c r="D221" s="683"/>
      <c r="E221" s="683" cm="1">
        <f t="array" ref="E221">IF(H220&lt;&gt;"",E220,IF(E220="","",IFERROR(MATCH(TRUE(),INDEX(INDEX(K:K,E220+1):K203&lt;&gt;"",0),0)+E220,"")))</f>
        <v>362</v>
      </c>
      <c r="F221" s="684" cm="1">
        <f t="array" ref="F221">IF(E221="","",IF(H220&lt;&gt;"",H220,INDEX(D:D,E221)))</f>
        <v>0</v>
      </c>
      <c r="G221" s="684" t="str">
        <f t="shared" si="30"/>
        <v>0</v>
      </c>
      <c r="H221" s="685" t="str">
        <f t="shared" si="31"/>
        <v/>
      </c>
      <c r="I221" s="683" t="str">
        <f>IF(AND(F221&lt;&gt;"",N10&gt;0,M221&gt;N10),"Mot &gt; limite","")</f>
        <v/>
      </c>
      <c r="M221" s="638">
        <f>IF(OR(F221="",N10="",N10&lt;=0),"",IF(LEN(F221)&lt;=N10,LEN(F221),IFERROR(FIND("♦",SUBSTITUTE(LEFT(F221,N10)," ","♦",LEN(LEFT(F221,N10))-LEN(SUBSTITUTE(LEFT(F221,N10)," ","")))),FIND(" ",F221&amp;" ",N10+1)-1)))</f>
        <v>1</v>
      </c>
      <c r="N221" s="686">
        <f t="shared" si="32"/>
        <v>204</v>
      </c>
      <c r="O221" s="663" t="str">
        <f t="shared" si="33"/>
        <v>0</v>
      </c>
      <c r="P221" s="686">
        <f t="shared" si="34"/>
        <v>1</v>
      </c>
      <c r="Q221" s="686">
        <f t="shared" si="35"/>
        <v>1</v>
      </c>
      <c r="S221" s="539"/>
      <c r="T221" s="562" t="s">
        <v>5842</v>
      </c>
      <c r="U221" s="559" t="s">
        <v>6014</v>
      </c>
      <c r="V221" s="539"/>
      <c r="W221" s="539"/>
      <c r="X221" s="539"/>
      <c r="Y221" s="539"/>
      <c r="Z221" s="539"/>
      <c r="AA221" s="539"/>
      <c r="AB221" s="539"/>
      <c r="AC221" s="539"/>
      <c r="AD221" s="539"/>
      <c r="AE221" s="539"/>
      <c r="AF221" s="539"/>
      <c r="AG221" s="539"/>
      <c r="AH221" s="539"/>
      <c r="AI221" s="539"/>
      <c r="AJ221" s="539"/>
      <c r="AK221" s="539"/>
      <c r="DE221" s="494"/>
      <c r="DF221" s="496" t="s">
        <v>1565</v>
      </c>
      <c r="DG221" s="496" t="s">
        <v>239</v>
      </c>
      <c r="DH221" s="496" t="s">
        <v>689</v>
      </c>
      <c r="DI221" s="496" t="s">
        <v>1566</v>
      </c>
      <c r="DJ221" s="496" t="s">
        <v>1566</v>
      </c>
      <c r="DK221" s="496" t="s">
        <v>1554</v>
      </c>
      <c r="DL221" s="496" t="s">
        <v>1555</v>
      </c>
      <c r="DM221" s="496" t="s">
        <v>1556</v>
      </c>
      <c r="DN221" s="497" t="s">
        <v>1557</v>
      </c>
      <c r="DP221" s="543">
        <v>1</v>
      </c>
    </row>
    <row r="222" spans="2:120">
      <c r="B222" s="683"/>
      <c r="C222" s="683"/>
      <c r="D222" s="683"/>
      <c r="E222" s="683" cm="1">
        <f t="array" ref="E222">IF(H221&lt;&gt;"",E221,IF(E221="","",IFERROR(MATCH(TRUE(),INDEX(INDEX(K:K,E221+1):K203&lt;&gt;"",0),0)+E221,"")))</f>
        <v>363</v>
      </c>
      <c r="F222" s="684" cm="1">
        <f t="array" ref="F222">IF(E222="","",IF(H221&lt;&gt;"",H221,INDEX(D:D,E222)))</f>
        <v>0</v>
      </c>
      <c r="G222" s="684" t="str">
        <f t="shared" si="30"/>
        <v>0</v>
      </c>
      <c r="H222" s="685" t="str">
        <f t="shared" si="31"/>
        <v/>
      </c>
      <c r="I222" s="683" t="str">
        <f>IF(AND(F222&lt;&gt;"",N10&gt;0,M222&gt;N10),"Mot &gt; limite","")</f>
        <v/>
      </c>
      <c r="M222" s="638">
        <f>IF(OR(F222="",N10="",N10&lt;=0),"",IF(LEN(F222)&lt;=N10,LEN(F222),IFERROR(FIND("♦",SUBSTITUTE(LEFT(F222,N10)," ","♦",LEN(LEFT(F222,N10))-LEN(SUBSTITUTE(LEFT(F222,N10)," ","")))),FIND(" ",F222&amp;" ",N10+1)-1)))</f>
        <v>1</v>
      </c>
      <c r="N222" s="686">
        <f t="shared" si="32"/>
        <v>205</v>
      </c>
      <c r="O222" s="663" t="str">
        <f t="shared" si="33"/>
        <v>0</v>
      </c>
      <c r="P222" s="686">
        <f t="shared" si="34"/>
        <v>1</v>
      </c>
      <c r="Q222" s="686">
        <f t="shared" si="35"/>
        <v>1</v>
      </c>
      <c r="S222" s="539"/>
      <c r="T222" s="562"/>
      <c r="U222" s="559" t="s">
        <v>6015</v>
      </c>
      <c r="V222" s="539"/>
      <c r="W222" s="539"/>
      <c r="X222" s="539"/>
      <c r="Y222" s="539"/>
      <c r="Z222" s="539"/>
      <c r="AA222" s="539"/>
      <c r="AB222" s="539"/>
      <c r="AC222" s="539"/>
      <c r="AD222" s="539"/>
      <c r="AE222" s="539"/>
      <c r="AF222" s="539"/>
      <c r="AG222" s="539"/>
      <c r="AH222" s="539"/>
      <c r="AI222" s="539"/>
      <c r="AJ222" s="539"/>
      <c r="AK222" s="539"/>
      <c r="DE222" s="494"/>
      <c r="DF222" s="496" t="s">
        <v>1567</v>
      </c>
      <c r="DG222" s="496" t="s">
        <v>239</v>
      </c>
      <c r="DH222" s="496" t="s">
        <v>689</v>
      </c>
      <c r="DI222" s="496" t="s">
        <v>1568</v>
      </c>
      <c r="DJ222" s="496" t="s">
        <v>1568</v>
      </c>
      <c r="DK222" s="496" t="s">
        <v>1554</v>
      </c>
      <c r="DL222" s="496" t="s">
        <v>1555</v>
      </c>
      <c r="DM222" s="496" t="s">
        <v>1556</v>
      </c>
      <c r="DN222" s="497" t="s">
        <v>1557</v>
      </c>
      <c r="DP222" s="543">
        <v>1</v>
      </c>
    </row>
    <row r="223" spans="2:120">
      <c r="B223" s="683"/>
      <c r="C223" s="683"/>
      <c r="D223" s="683"/>
      <c r="E223" s="683" cm="1">
        <f t="array" ref="E223">IF(H222&lt;&gt;"",E222,IF(E222="","",IFERROR(MATCH(TRUE(),INDEX(INDEX(K:K,E222+1):K203&lt;&gt;"",0),0)+E222,"")))</f>
        <v>364</v>
      </c>
      <c r="F223" s="684" cm="1">
        <f t="array" ref="F223">IF(E223="","",IF(H222&lt;&gt;"",H222,INDEX(D:D,E223)))</f>
        <v>0</v>
      </c>
      <c r="G223" s="684" t="str">
        <f t="shared" si="30"/>
        <v>0</v>
      </c>
      <c r="H223" s="685" t="str">
        <f t="shared" si="31"/>
        <v/>
      </c>
      <c r="I223" s="683" t="str">
        <f>IF(AND(F223&lt;&gt;"",N10&gt;0,M223&gt;N10),"Mot &gt; limite","")</f>
        <v/>
      </c>
      <c r="M223" s="638">
        <f>IF(OR(F223="",N10="",N10&lt;=0),"",IF(LEN(F223)&lt;=N10,LEN(F223),IFERROR(FIND("♦",SUBSTITUTE(LEFT(F223,N10)," ","♦",LEN(LEFT(F223,N10))-LEN(SUBSTITUTE(LEFT(F223,N10)," ","")))),FIND(" ",F223&amp;" ",N10+1)-1)))</f>
        <v>1</v>
      </c>
      <c r="N223" s="686">
        <f t="shared" si="32"/>
        <v>206</v>
      </c>
      <c r="O223" s="663" t="str">
        <f t="shared" si="33"/>
        <v>0</v>
      </c>
      <c r="P223" s="686">
        <f t="shared" si="34"/>
        <v>1</v>
      </c>
      <c r="Q223" s="686">
        <f t="shared" si="35"/>
        <v>1</v>
      </c>
      <c r="S223" s="539"/>
      <c r="T223" s="562" t="s">
        <v>5843</v>
      </c>
      <c r="U223" s="559" t="s">
        <v>6016</v>
      </c>
      <c r="V223" s="539"/>
      <c r="W223" s="539"/>
      <c r="X223" s="539"/>
      <c r="Y223" s="539"/>
      <c r="Z223" s="539"/>
      <c r="AA223" s="539"/>
      <c r="AB223" s="539"/>
      <c r="AC223" s="539"/>
      <c r="AD223" s="539"/>
      <c r="AE223" s="539"/>
      <c r="AF223" s="539"/>
      <c r="AG223" s="539"/>
      <c r="AH223" s="539"/>
      <c r="AI223" s="539"/>
      <c r="AJ223" s="539"/>
      <c r="AK223" s="539"/>
      <c r="DE223" s="494"/>
      <c r="DF223" s="496" t="s">
        <v>1569</v>
      </c>
      <c r="DG223" s="496" t="s">
        <v>239</v>
      </c>
      <c r="DH223" s="496" t="s">
        <v>689</v>
      </c>
      <c r="DI223" s="496" t="s">
        <v>1570</v>
      </c>
      <c r="DJ223" s="496" t="s">
        <v>1570</v>
      </c>
      <c r="DK223" s="496" t="s">
        <v>1554</v>
      </c>
      <c r="DL223" s="496" t="s">
        <v>1555</v>
      </c>
      <c r="DM223" s="496" t="s">
        <v>1556</v>
      </c>
      <c r="DN223" s="497" t="s">
        <v>1557</v>
      </c>
      <c r="DP223" s="543">
        <v>1</v>
      </c>
    </row>
    <row r="224" spans="2:120">
      <c r="B224" s="683"/>
      <c r="C224" s="683"/>
      <c r="D224" s="683"/>
      <c r="E224" s="683" cm="1">
        <f t="array" ref="E224">IF(H223&lt;&gt;"",E223,IF(E223="","",IFERROR(MATCH(TRUE(),INDEX(INDEX(K:K,E223+1):K203&lt;&gt;"",0),0)+E223,"")))</f>
        <v>365</v>
      </c>
      <c r="F224" s="684" cm="1">
        <f t="array" ref="F224">IF(E224="","",IF(H223&lt;&gt;"",H223,INDEX(D:D,E224)))</f>
        <v>0</v>
      </c>
      <c r="G224" s="684" t="str">
        <f t="shared" si="30"/>
        <v>0</v>
      </c>
      <c r="H224" s="685" t="str">
        <f t="shared" si="31"/>
        <v/>
      </c>
      <c r="I224" s="683" t="str">
        <f>IF(AND(F224&lt;&gt;"",N10&gt;0,M224&gt;N10),"Mot &gt; limite","")</f>
        <v/>
      </c>
      <c r="M224" s="638">
        <f>IF(OR(F224="",N10="",N10&lt;=0),"",IF(LEN(F224)&lt;=N10,LEN(F224),IFERROR(FIND("♦",SUBSTITUTE(LEFT(F224,N10)," ","♦",LEN(LEFT(F224,N10))-LEN(SUBSTITUTE(LEFT(F224,N10)," ","")))),FIND(" ",F224&amp;" ",N10+1)-1)))</f>
        <v>1</v>
      </c>
      <c r="N224" s="686">
        <f t="shared" si="32"/>
        <v>207</v>
      </c>
      <c r="O224" s="663" t="str">
        <f t="shared" si="33"/>
        <v>0</v>
      </c>
      <c r="P224" s="686">
        <f t="shared" si="34"/>
        <v>1</v>
      </c>
      <c r="Q224" s="686">
        <f t="shared" si="35"/>
        <v>1</v>
      </c>
      <c r="S224" s="539"/>
      <c r="T224" s="559"/>
      <c r="U224" s="559"/>
      <c r="V224" s="539"/>
      <c r="W224" s="539"/>
      <c r="X224" s="539"/>
      <c r="Y224" s="539"/>
      <c r="Z224" s="539"/>
      <c r="AA224" s="539"/>
      <c r="AB224" s="539"/>
      <c r="AC224" s="539"/>
      <c r="AD224" s="539"/>
      <c r="AE224" s="539"/>
      <c r="AF224" s="539"/>
      <c r="AG224" s="539"/>
      <c r="AH224" s="539"/>
      <c r="AI224" s="539"/>
      <c r="AJ224" s="539"/>
      <c r="AK224" s="539"/>
      <c r="DE224" s="494"/>
      <c r="DF224" s="496" t="s">
        <v>1571</v>
      </c>
      <c r="DG224" s="496" t="s">
        <v>239</v>
      </c>
      <c r="DH224" s="496" t="s">
        <v>689</v>
      </c>
      <c r="DI224" s="496" t="s">
        <v>1572</v>
      </c>
      <c r="DJ224" s="496" t="s">
        <v>1572</v>
      </c>
      <c r="DK224" s="496" t="s">
        <v>1554</v>
      </c>
      <c r="DL224" s="496" t="s">
        <v>1555</v>
      </c>
      <c r="DM224" s="496" t="s">
        <v>1556</v>
      </c>
      <c r="DN224" s="497" t="s">
        <v>1557</v>
      </c>
      <c r="DP224" s="543">
        <v>1</v>
      </c>
    </row>
    <row r="225" spans="2:120">
      <c r="B225" s="683"/>
      <c r="C225" s="683"/>
      <c r="D225" s="683"/>
      <c r="E225" s="683" cm="1">
        <f t="array" ref="E225">IF(H224&lt;&gt;"",E224,IF(E224="","",IFERROR(MATCH(TRUE(),INDEX(INDEX(K:K,E224+1):K203&lt;&gt;"",0),0)+E224,"")))</f>
        <v>366</v>
      </c>
      <c r="F225" s="684" cm="1">
        <f t="array" ref="F225">IF(E225="","",IF(H224&lt;&gt;"",H224,INDEX(D:D,E225)))</f>
        <v>0</v>
      </c>
      <c r="G225" s="684" t="str">
        <f t="shared" si="30"/>
        <v>0</v>
      </c>
      <c r="H225" s="685" t="str">
        <f t="shared" si="31"/>
        <v/>
      </c>
      <c r="I225" s="683" t="str">
        <f>IF(AND(F225&lt;&gt;"",N10&gt;0,M225&gt;N10),"Mot &gt; limite","")</f>
        <v/>
      </c>
      <c r="M225" s="638">
        <f>IF(OR(F225="",N10="",N10&lt;=0),"",IF(LEN(F225)&lt;=N10,LEN(F225),IFERROR(FIND("♦",SUBSTITUTE(LEFT(F225,N10)," ","♦",LEN(LEFT(F225,N10))-LEN(SUBSTITUTE(LEFT(F225,N10)," ","")))),FIND(" ",F225&amp;" ",N10+1)-1)))</f>
        <v>1</v>
      </c>
      <c r="N225" s="686">
        <f t="shared" si="32"/>
        <v>208</v>
      </c>
      <c r="O225" s="663" t="str">
        <f t="shared" si="33"/>
        <v>0</v>
      </c>
      <c r="P225" s="686">
        <f t="shared" si="34"/>
        <v>1</v>
      </c>
      <c r="Q225" s="686">
        <f t="shared" si="35"/>
        <v>1</v>
      </c>
      <c r="S225" s="539"/>
      <c r="T225" s="569" t="s">
        <v>6017</v>
      </c>
      <c r="U225" s="568"/>
      <c r="V225" s="539"/>
      <c r="W225" s="539"/>
      <c r="X225" s="539"/>
      <c r="Y225" s="539"/>
      <c r="Z225" s="539"/>
      <c r="AA225" s="539"/>
      <c r="AB225" s="539"/>
      <c r="AC225" s="539"/>
      <c r="AD225" s="539"/>
      <c r="AE225" s="539"/>
      <c r="AF225" s="539"/>
      <c r="AG225" s="539"/>
      <c r="AH225" s="539"/>
      <c r="AI225" s="539"/>
      <c r="AJ225" s="539"/>
      <c r="AK225" s="539"/>
      <c r="DE225" s="494"/>
      <c r="DF225" s="496" t="s">
        <v>1573</v>
      </c>
      <c r="DG225" s="496" t="s">
        <v>239</v>
      </c>
      <c r="DH225" s="496" t="s">
        <v>689</v>
      </c>
      <c r="DI225" s="496" t="s">
        <v>1574</v>
      </c>
      <c r="DJ225" s="496" t="s">
        <v>1574</v>
      </c>
      <c r="DK225" s="496" t="s">
        <v>1554</v>
      </c>
      <c r="DL225" s="496" t="s">
        <v>1555</v>
      </c>
      <c r="DM225" s="496" t="s">
        <v>1556</v>
      </c>
      <c r="DN225" s="497" t="s">
        <v>1557</v>
      </c>
      <c r="DP225" s="543">
        <v>1</v>
      </c>
    </row>
    <row r="226" spans="2:120">
      <c r="B226" s="683"/>
      <c r="C226" s="683"/>
      <c r="D226" s="683"/>
      <c r="E226" s="683" cm="1">
        <f t="array" ref="E226">IF(H225&lt;&gt;"",E225,IF(E225="","",IFERROR(MATCH(TRUE(),INDEX(INDEX(K:K,E225+1):K203&lt;&gt;"",0),0)+E225,"")))</f>
        <v>367</v>
      </c>
      <c r="F226" s="684" cm="1">
        <f t="array" ref="F226">IF(E226="","",IF(H225&lt;&gt;"",H225,INDEX(D:D,E226)))</f>
        <v>0</v>
      </c>
      <c r="G226" s="684" t="str">
        <f t="shared" si="30"/>
        <v>0</v>
      </c>
      <c r="H226" s="685" t="str">
        <f t="shared" si="31"/>
        <v/>
      </c>
      <c r="I226" s="683" t="str">
        <f>IF(AND(F226&lt;&gt;"",N10&gt;0,M226&gt;N10),"Mot &gt; limite","")</f>
        <v/>
      </c>
      <c r="M226" s="638">
        <f>IF(OR(F226="",N10="",N10&lt;=0),"",IF(LEN(F226)&lt;=N10,LEN(F226),IFERROR(FIND("♦",SUBSTITUTE(LEFT(F226,N10)," ","♦",LEN(LEFT(F226,N10))-LEN(SUBSTITUTE(LEFT(F226,N10)," ","")))),FIND(" ",F226&amp;" ",N10+1)-1)))</f>
        <v>1</v>
      </c>
      <c r="N226" s="686">
        <f t="shared" si="32"/>
        <v>209</v>
      </c>
      <c r="O226" s="663" t="str">
        <f t="shared" si="33"/>
        <v>0</v>
      </c>
      <c r="P226" s="686">
        <f t="shared" si="34"/>
        <v>1</v>
      </c>
      <c r="Q226" s="686">
        <f t="shared" si="35"/>
        <v>1</v>
      </c>
      <c r="S226" s="539"/>
      <c r="T226" s="562" t="s">
        <v>6018</v>
      </c>
      <c r="U226" s="559" t="s">
        <v>6019</v>
      </c>
      <c r="V226" s="539"/>
      <c r="W226" s="539"/>
      <c r="X226" s="539"/>
      <c r="Y226" s="539"/>
      <c r="Z226" s="539"/>
      <c r="AA226" s="539"/>
      <c r="AB226" s="539"/>
      <c r="AC226" s="539"/>
      <c r="AD226" s="539"/>
      <c r="AE226" s="539"/>
      <c r="AF226" s="539"/>
      <c r="AG226" s="539"/>
      <c r="AH226" s="539"/>
      <c r="AI226" s="539"/>
      <c r="AJ226" s="539"/>
      <c r="AK226" s="539"/>
      <c r="DE226" s="494"/>
      <c r="DF226" s="496" t="s">
        <v>1575</v>
      </c>
      <c r="DG226" s="496" t="s">
        <v>239</v>
      </c>
      <c r="DH226" s="496" t="s">
        <v>689</v>
      </c>
      <c r="DI226" s="496" t="s">
        <v>856</v>
      </c>
      <c r="DJ226" s="496" t="s">
        <v>856</v>
      </c>
      <c r="DK226" s="496" t="s">
        <v>1554</v>
      </c>
      <c r="DL226" s="496" t="s">
        <v>1561</v>
      </c>
      <c r="DM226" s="496" t="s">
        <v>1087</v>
      </c>
      <c r="DN226" s="497" t="s">
        <v>1088</v>
      </c>
      <c r="DP226" s="543">
        <v>1</v>
      </c>
    </row>
    <row r="227" spans="2:120">
      <c r="B227" s="683"/>
      <c r="C227" s="683"/>
      <c r="D227" s="683"/>
      <c r="E227" s="683" cm="1">
        <f t="array" ref="E227">IF(H226&lt;&gt;"",E226,IF(E226="","",IFERROR(MATCH(TRUE(),INDEX(INDEX(K:K,E226+1):K203&lt;&gt;"",0),0)+E226,"")))</f>
        <v>368</v>
      </c>
      <c r="F227" s="684" cm="1">
        <f t="array" ref="F227">IF(E227="","",IF(H226&lt;&gt;"",H226,INDEX(D:D,E227)))</f>
        <v>0</v>
      </c>
      <c r="G227" s="684" t="str">
        <f t="shared" si="30"/>
        <v>0</v>
      </c>
      <c r="H227" s="685" t="str">
        <f t="shared" si="31"/>
        <v/>
      </c>
      <c r="I227" s="683" t="str">
        <f>IF(AND(F227&lt;&gt;"",N10&gt;0,M227&gt;N10),"Mot &gt; limite","")</f>
        <v/>
      </c>
      <c r="M227" s="638">
        <f>IF(OR(F227="",N10="",N10&lt;=0),"",IF(LEN(F227)&lt;=N10,LEN(F227),IFERROR(FIND("♦",SUBSTITUTE(LEFT(F227,N10)," ","♦",LEN(LEFT(F227,N10))-LEN(SUBSTITUTE(LEFT(F227,N10)," ","")))),FIND(" ",F227&amp;" ",N10+1)-1)))</f>
        <v>1</v>
      </c>
      <c r="N227" s="686">
        <f t="shared" si="32"/>
        <v>210</v>
      </c>
      <c r="O227" s="663" t="str">
        <f t="shared" si="33"/>
        <v>0</v>
      </c>
      <c r="P227" s="686">
        <f t="shared" si="34"/>
        <v>1</v>
      </c>
      <c r="Q227" s="686">
        <f t="shared" si="35"/>
        <v>1</v>
      </c>
      <c r="S227" s="539"/>
      <c r="T227" s="562" t="s">
        <v>6020</v>
      </c>
      <c r="U227" s="559" t="s">
        <v>6021</v>
      </c>
      <c r="V227" s="539"/>
      <c r="W227" s="539"/>
      <c r="X227" s="539"/>
      <c r="Y227" s="539"/>
      <c r="Z227" s="539"/>
      <c r="AA227" s="539"/>
      <c r="AB227" s="539"/>
      <c r="AC227" s="539"/>
      <c r="AD227" s="539"/>
      <c r="AE227" s="539"/>
      <c r="AF227" s="539"/>
      <c r="AG227" s="539"/>
      <c r="AH227" s="539"/>
      <c r="AI227" s="539"/>
      <c r="AJ227" s="539"/>
      <c r="AK227" s="539"/>
      <c r="DE227" s="494"/>
      <c r="DF227" s="496" t="s">
        <v>1576</v>
      </c>
      <c r="DG227" s="496" t="s">
        <v>239</v>
      </c>
      <c r="DH227" s="496" t="s">
        <v>689</v>
      </c>
      <c r="DI227" s="496" t="s">
        <v>1577</v>
      </c>
      <c r="DJ227" s="496" t="s">
        <v>1577</v>
      </c>
      <c r="DK227" s="496" t="s">
        <v>1554</v>
      </c>
      <c r="DL227" s="496" t="s">
        <v>1555</v>
      </c>
      <c r="DM227" s="496" t="s">
        <v>1556</v>
      </c>
      <c r="DN227" s="497" t="s">
        <v>1557</v>
      </c>
      <c r="DP227" s="543">
        <v>1</v>
      </c>
    </row>
    <row r="228" spans="2:120">
      <c r="B228" s="683"/>
      <c r="C228" s="683"/>
      <c r="D228" s="683"/>
      <c r="E228" s="683" cm="1">
        <f t="array" ref="E228">IF(H227&lt;&gt;"",E227,IF(E227="","",IFERROR(MATCH(TRUE(),INDEX(INDEX(K:K,E227+1):K203&lt;&gt;"",0),0)+E227,"")))</f>
        <v>369</v>
      </c>
      <c r="F228" s="684" cm="1">
        <f t="array" ref="F228">IF(E228="","",IF(H227&lt;&gt;"",H227,INDEX(D:D,E228)))</f>
        <v>0</v>
      </c>
      <c r="G228" s="684" t="str">
        <f t="shared" si="30"/>
        <v>0</v>
      </c>
      <c r="H228" s="685" t="str">
        <f t="shared" si="31"/>
        <v/>
      </c>
      <c r="I228" s="683" t="str">
        <f>IF(AND(F228&lt;&gt;"",N10&gt;0,M228&gt;N10),"Mot &gt; limite","")</f>
        <v/>
      </c>
      <c r="M228" s="638">
        <f>IF(OR(F228="",N10="",N10&lt;=0),"",IF(LEN(F228)&lt;=N10,LEN(F228),IFERROR(FIND("♦",SUBSTITUTE(LEFT(F228,N10)," ","♦",LEN(LEFT(F228,N10))-LEN(SUBSTITUTE(LEFT(F228,N10)," ","")))),FIND(" ",F228&amp;" ",N10+1)-1)))</f>
        <v>1</v>
      </c>
      <c r="N228" s="686">
        <f t="shared" si="32"/>
        <v>211</v>
      </c>
      <c r="O228" s="663" t="str">
        <f t="shared" si="33"/>
        <v>0</v>
      </c>
      <c r="P228" s="686">
        <f t="shared" si="34"/>
        <v>1</v>
      </c>
      <c r="Q228" s="686">
        <f t="shared" si="35"/>
        <v>1</v>
      </c>
      <c r="S228" s="539"/>
      <c r="T228" s="562" t="s">
        <v>6022</v>
      </c>
      <c r="U228" s="559" t="s">
        <v>6023</v>
      </c>
      <c r="V228" s="539"/>
      <c r="W228" s="539"/>
      <c r="X228" s="539"/>
      <c r="Y228" s="539"/>
      <c r="Z228" s="539"/>
      <c r="AA228" s="539"/>
      <c r="AB228" s="539"/>
      <c r="AC228" s="539"/>
      <c r="AD228" s="539"/>
      <c r="AE228" s="539"/>
      <c r="AF228" s="539"/>
      <c r="AG228" s="539"/>
      <c r="AH228" s="539"/>
      <c r="AI228" s="539"/>
      <c r="AJ228" s="539"/>
      <c r="AK228" s="539"/>
      <c r="DE228" s="494"/>
      <c r="DF228" s="496" t="s">
        <v>1578</v>
      </c>
      <c r="DG228" s="496" t="s">
        <v>239</v>
      </c>
      <c r="DH228" s="496" t="s">
        <v>689</v>
      </c>
      <c r="DI228" s="496" t="s">
        <v>1579</v>
      </c>
      <c r="DJ228" s="496" t="s">
        <v>1579</v>
      </c>
      <c r="DK228" s="496" t="s">
        <v>1554</v>
      </c>
      <c r="DL228" s="496" t="s">
        <v>1555</v>
      </c>
      <c r="DM228" s="496" t="s">
        <v>1556</v>
      </c>
      <c r="DN228" s="497" t="s">
        <v>1557</v>
      </c>
      <c r="DP228" s="543">
        <v>1</v>
      </c>
    </row>
    <row r="229" spans="2:120">
      <c r="B229" s="683"/>
      <c r="C229" s="683"/>
      <c r="D229" s="683"/>
      <c r="E229" s="683" cm="1">
        <f t="array" ref="E229">IF(H228&lt;&gt;"",E228,IF(E228="","",IFERROR(MATCH(TRUE(),INDEX(INDEX(K:K,E228+1):K203&lt;&gt;"",0),0)+E228,"")))</f>
        <v>370</v>
      </c>
      <c r="F229" s="684" cm="1">
        <f t="array" ref="F229">IF(E229="","",IF(H228&lt;&gt;"",H228,INDEX(D:D,E229)))</f>
        <v>0</v>
      </c>
      <c r="G229" s="684" t="str">
        <f t="shared" si="30"/>
        <v>0</v>
      </c>
      <c r="H229" s="685" t="str">
        <f t="shared" si="31"/>
        <v/>
      </c>
      <c r="I229" s="683" t="str">
        <f>IF(AND(F229&lt;&gt;"",N10&gt;0,M229&gt;N10),"Mot &gt; limite","")</f>
        <v/>
      </c>
      <c r="M229" s="638">
        <f>IF(OR(F229="",N10="",N10&lt;=0),"",IF(LEN(F229)&lt;=N10,LEN(F229),IFERROR(FIND("♦",SUBSTITUTE(LEFT(F229,N10)," ","♦",LEN(LEFT(F229,N10))-LEN(SUBSTITUTE(LEFT(F229,N10)," ","")))),FIND(" ",F229&amp;" ",N10+1)-1)))</f>
        <v>1</v>
      </c>
      <c r="N229" s="686">
        <f t="shared" si="32"/>
        <v>212</v>
      </c>
      <c r="O229" s="663" t="str">
        <f t="shared" si="33"/>
        <v>0</v>
      </c>
      <c r="P229" s="686">
        <f t="shared" si="34"/>
        <v>1</v>
      </c>
      <c r="Q229" s="686">
        <f t="shared" si="35"/>
        <v>1</v>
      </c>
      <c r="S229" s="539"/>
      <c r="T229" s="566" t="s">
        <v>6024</v>
      </c>
      <c r="U229" s="559" t="s">
        <v>6025</v>
      </c>
      <c r="V229" s="539"/>
      <c r="W229" s="539"/>
      <c r="X229" s="539"/>
      <c r="Y229" s="539"/>
      <c r="Z229" s="539"/>
      <c r="AA229" s="539"/>
      <c r="AB229" s="539"/>
      <c r="AC229" s="539"/>
      <c r="AD229" s="539"/>
      <c r="AE229" s="539"/>
      <c r="AF229" s="539"/>
      <c r="AG229" s="539"/>
      <c r="AH229" s="539"/>
      <c r="AI229" s="539"/>
      <c r="AJ229" s="539"/>
      <c r="AK229" s="539"/>
      <c r="DE229" s="494"/>
      <c r="DF229" s="496" t="s">
        <v>1580</v>
      </c>
      <c r="DG229" s="496" t="s">
        <v>239</v>
      </c>
      <c r="DH229" s="496" t="s">
        <v>689</v>
      </c>
      <c r="DI229" s="496" t="s">
        <v>1581</v>
      </c>
      <c r="DJ229" s="496" t="s">
        <v>1581</v>
      </c>
      <c r="DK229" s="496" t="s">
        <v>1554</v>
      </c>
      <c r="DL229" s="496" t="s">
        <v>1555</v>
      </c>
      <c r="DM229" s="496" t="s">
        <v>1556</v>
      </c>
      <c r="DN229" s="497" t="s">
        <v>1557</v>
      </c>
      <c r="DP229" s="543">
        <v>1</v>
      </c>
    </row>
    <row r="230" spans="2:120">
      <c r="B230" s="683"/>
      <c r="C230" s="683"/>
      <c r="D230" s="683"/>
      <c r="E230" s="683" cm="1">
        <f t="array" ref="E230">IF(H229&lt;&gt;"",E229,IF(E229="","",IFERROR(MATCH(TRUE(),INDEX(INDEX(K:K,E229+1):K203&lt;&gt;"",0),0)+E229,"")))</f>
        <v>371</v>
      </c>
      <c r="F230" s="684" cm="1">
        <f t="array" ref="F230">IF(E230="","",IF(H229&lt;&gt;"",H229,INDEX(D:D,E230)))</f>
        <v>0</v>
      </c>
      <c r="G230" s="684" t="str">
        <f t="shared" si="30"/>
        <v>0</v>
      </c>
      <c r="H230" s="685" t="str">
        <f t="shared" si="31"/>
        <v/>
      </c>
      <c r="I230" s="683" t="str">
        <f>IF(AND(F230&lt;&gt;"",N10&gt;0,M230&gt;N10),"Mot &gt; limite","")</f>
        <v/>
      </c>
      <c r="M230" s="638">
        <f>IF(OR(F230="",N10="",N10&lt;=0),"",IF(LEN(F230)&lt;=N10,LEN(F230),IFERROR(FIND("♦",SUBSTITUTE(LEFT(F230,N10)," ","♦",LEN(LEFT(F230,N10))-LEN(SUBSTITUTE(LEFT(F230,N10)," ","")))),FIND(" ",F230&amp;" ",N10+1)-1)))</f>
        <v>1</v>
      </c>
      <c r="N230" s="686">
        <f t="shared" si="32"/>
        <v>213</v>
      </c>
      <c r="O230" s="663" t="str">
        <f t="shared" si="33"/>
        <v>0</v>
      </c>
      <c r="P230" s="686">
        <f t="shared" si="34"/>
        <v>1</v>
      </c>
      <c r="Q230" s="686">
        <f t="shared" si="35"/>
        <v>1</v>
      </c>
      <c r="S230" s="539"/>
      <c r="T230" s="562" t="s">
        <v>6026</v>
      </c>
      <c r="U230" s="559" t="s">
        <v>6027</v>
      </c>
      <c r="V230" s="539"/>
      <c r="W230" s="539"/>
      <c r="X230" s="539"/>
      <c r="Y230" s="539"/>
      <c r="Z230" s="539"/>
      <c r="AA230" s="539"/>
      <c r="AB230" s="539"/>
      <c r="AC230" s="539"/>
      <c r="AD230" s="539"/>
      <c r="AE230" s="539"/>
      <c r="AF230" s="539"/>
      <c r="AG230" s="539"/>
      <c r="AH230" s="539"/>
      <c r="AI230" s="539"/>
      <c r="AJ230" s="539"/>
      <c r="AK230" s="539"/>
      <c r="DE230" s="494"/>
      <c r="DF230" s="496" t="s">
        <v>1582</v>
      </c>
      <c r="DG230" s="496" t="s">
        <v>239</v>
      </c>
      <c r="DH230" s="496" t="s">
        <v>689</v>
      </c>
      <c r="DI230" s="496" t="s">
        <v>1583</v>
      </c>
      <c r="DJ230" s="496" t="s">
        <v>1583</v>
      </c>
      <c r="DK230" s="496" t="s">
        <v>1554</v>
      </c>
      <c r="DL230" s="496" t="s">
        <v>1555</v>
      </c>
      <c r="DM230" s="496" t="s">
        <v>1556</v>
      </c>
      <c r="DN230" s="497" t="s">
        <v>1557</v>
      </c>
      <c r="DP230" s="543">
        <v>1</v>
      </c>
    </row>
    <row r="231" spans="2:120">
      <c r="B231" s="683"/>
      <c r="C231" s="683"/>
      <c r="D231" s="683"/>
      <c r="E231" s="683" cm="1">
        <f t="array" ref="E231">IF(H230&lt;&gt;"",E230,IF(E230="","",IFERROR(MATCH(TRUE(),INDEX(INDEX(K:K,E230+1):K203&lt;&gt;"",0),0)+E230,"")))</f>
        <v>372</v>
      </c>
      <c r="F231" s="684" cm="1">
        <f t="array" ref="F231">IF(E231="","",IF(H230&lt;&gt;"",H230,INDEX(D:D,E231)))</f>
        <v>0</v>
      </c>
      <c r="G231" s="684" t="str">
        <f t="shared" si="30"/>
        <v>0</v>
      </c>
      <c r="H231" s="685" t="str">
        <f t="shared" si="31"/>
        <v/>
      </c>
      <c r="I231" s="683" t="str">
        <f>IF(AND(F231&lt;&gt;"",N10&gt;0,M231&gt;N10),"Mot &gt; limite","")</f>
        <v/>
      </c>
      <c r="M231" s="638">
        <f>IF(OR(F231="",N10="",N10&lt;=0),"",IF(LEN(F231)&lt;=N10,LEN(F231),IFERROR(FIND("♦",SUBSTITUTE(LEFT(F231,N10)," ","♦",LEN(LEFT(F231,N10))-LEN(SUBSTITUTE(LEFT(F231,N10)," ","")))),FIND(" ",F231&amp;" ",N10+1)-1)))</f>
        <v>1</v>
      </c>
      <c r="N231" s="686">
        <f t="shared" si="32"/>
        <v>214</v>
      </c>
      <c r="O231" s="663" t="str">
        <f t="shared" si="33"/>
        <v>0</v>
      </c>
      <c r="P231" s="686">
        <f t="shared" si="34"/>
        <v>1</v>
      </c>
      <c r="Q231" s="686">
        <f t="shared" si="35"/>
        <v>1</v>
      </c>
      <c r="S231" s="539"/>
      <c r="T231" s="562" t="s">
        <v>6028</v>
      </c>
      <c r="U231" s="559" t="s">
        <v>6029</v>
      </c>
      <c r="V231" s="539"/>
      <c r="W231" s="539"/>
      <c r="X231" s="539"/>
      <c r="Y231" s="539"/>
      <c r="Z231" s="539"/>
      <c r="AA231" s="539"/>
      <c r="AB231" s="539"/>
      <c r="AC231" s="539"/>
      <c r="AD231" s="539"/>
      <c r="AE231" s="539"/>
      <c r="AF231" s="539"/>
      <c r="AG231" s="539"/>
      <c r="AH231" s="539"/>
      <c r="AI231" s="539"/>
      <c r="AJ231" s="539"/>
      <c r="AK231" s="539"/>
      <c r="DE231" s="494"/>
      <c r="DF231" s="496" t="s">
        <v>1584</v>
      </c>
      <c r="DG231" s="496" t="s">
        <v>239</v>
      </c>
      <c r="DH231" s="496" t="s">
        <v>689</v>
      </c>
      <c r="DI231" s="496" t="s">
        <v>1585</v>
      </c>
      <c r="DJ231" s="496" t="s">
        <v>1585</v>
      </c>
      <c r="DK231" s="496" t="s">
        <v>1554</v>
      </c>
      <c r="DL231" s="496" t="s">
        <v>1561</v>
      </c>
      <c r="DM231" s="496" t="s">
        <v>1087</v>
      </c>
      <c r="DN231" s="497" t="s">
        <v>1088</v>
      </c>
      <c r="DP231" s="543">
        <v>1</v>
      </c>
    </row>
    <row r="232" spans="2:120">
      <c r="B232" s="683"/>
      <c r="C232" s="683"/>
      <c r="D232" s="683"/>
      <c r="E232" s="683" cm="1">
        <f t="array" ref="E232">IF(H231&lt;&gt;"",E231,IF(E231="","",IFERROR(MATCH(TRUE(),INDEX(INDEX(K:K,E231+1):K203&lt;&gt;"",0),0)+E231,"")))</f>
        <v>373</v>
      </c>
      <c r="F232" s="684" cm="1">
        <f t="array" ref="F232">IF(E232="","",IF(H231&lt;&gt;"",H231,INDEX(D:D,E232)))</f>
        <v>0</v>
      </c>
      <c r="G232" s="684" t="str">
        <f t="shared" si="30"/>
        <v>0</v>
      </c>
      <c r="H232" s="685" t="str">
        <f t="shared" si="31"/>
        <v/>
      </c>
      <c r="I232" s="683" t="str">
        <f>IF(AND(F232&lt;&gt;"",N10&gt;0,M232&gt;N10),"Mot &gt; limite","")</f>
        <v/>
      </c>
      <c r="M232" s="638">
        <f>IF(OR(F232="",N10="",N10&lt;=0),"",IF(LEN(F232)&lt;=N10,LEN(F232),IFERROR(FIND("♦",SUBSTITUTE(LEFT(F232,N10)," ","♦",LEN(LEFT(F232,N10))-LEN(SUBSTITUTE(LEFT(F232,N10)," ","")))),FIND(" ",F232&amp;" ",N10+1)-1)))</f>
        <v>1</v>
      </c>
      <c r="N232" s="686">
        <f t="shared" si="32"/>
        <v>215</v>
      </c>
      <c r="O232" s="663" t="str">
        <f t="shared" si="33"/>
        <v>0</v>
      </c>
      <c r="P232" s="686">
        <f t="shared" si="34"/>
        <v>1</v>
      </c>
      <c r="Q232" s="686">
        <f t="shared" si="35"/>
        <v>1</v>
      </c>
      <c r="S232" s="539"/>
      <c r="T232" s="570"/>
      <c r="U232" s="559"/>
      <c r="V232" s="539"/>
      <c r="W232" s="539"/>
      <c r="X232" s="539"/>
      <c r="Y232" s="539"/>
      <c r="Z232" s="539"/>
      <c r="AA232" s="539"/>
      <c r="AB232" s="539"/>
      <c r="AC232" s="539"/>
      <c r="AD232" s="539"/>
      <c r="AE232" s="539"/>
      <c r="AF232" s="539"/>
      <c r="AG232" s="539"/>
      <c r="AH232" s="539"/>
      <c r="AI232" s="539"/>
      <c r="AJ232" s="539"/>
      <c r="AK232" s="539"/>
      <c r="DE232" s="494"/>
      <c r="DF232" s="496" t="s">
        <v>1586</v>
      </c>
      <c r="DG232" s="496" t="s">
        <v>239</v>
      </c>
      <c r="DH232" s="496" t="s">
        <v>689</v>
      </c>
      <c r="DI232" s="496" t="s">
        <v>282</v>
      </c>
      <c r="DJ232" s="496" t="s">
        <v>282</v>
      </c>
      <c r="DK232" s="496" t="s">
        <v>1151</v>
      </c>
      <c r="DL232" s="496" t="s">
        <v>1152</v>
      </c>
      <c r="DM232" s="496" t="s">
        <v>1087</v>
      </c>
      <c r="DN232" s="497" t="s">
        <v>1153</v>
      </c>
      <c r="DP232" s="543">
        <v>1</v>
      </c>
    </row>
    <row r="233" spans="2:120">
      <c r="B233" s="683"/>
      <c r="C233" s="683"/>
      <c r="D233" s="683"/>
      <c r="E233" s="683" cm="1">
        <f t="array" ref="E233">IF(H232&lt;&gt;"",E232,IF(E232="","",IFERROR(MATCH(TRUE(),INDEX(INDEX(K:K,E232+1):K203&lt;&gt;"",0),0)+E232,"")))</f>
        <v>374</v>
      </c>
      <c r="F233" s="684" cm="1">
        <f t="array" ref="F233">IF(E233="","",IF(H232&lt;&gt;"",H232,INDEX(D:D,E233)))</f>
        <v>0</v>
      </c>
      <c r="G233" s="684" t="str">
        <f t="shared" si="30"/>
        <v>0</v>
      </c>
      <c r="H233" s="685" t="str">
        <f t="shared" si="31"/>
        <v/>
      </c>
      <c r="I233" s="683" t="str">
        <f>IF(AND(F233&lt;&gt;"",N10&gt;0,M233&gt;N10),"Mot &gt; limite","")</f>
        <v/>
      </c>
      <c r="M233" s="638">
        <f>IF(OR(F233="",N10="",N10&lt;=0),"",IF(LEN(F233)&lt;=N10,LEN(F233),IFERROR(FIND("♦",SUBSTITUTE(LEFT(F233,N10)," ","♦",LEN(LEFT(F233,N10))-LEN(SUBSTITUTE(LEFT(F233,N10)," ","")))),FIND(" ",F233&amp;" ",N10+1)-1)))</f>
        <v>1</v>
      </c>
      <c r="N233" s="686">
        <f t="shared" si="32"/>
        <v>216</v>
      </c>
      <c r="O233" s="663" t="str">
        <f t="shared" si="33"/>
        <v>0</v>
      </c>
      <c r="P233" s="686">
        <f t="shared" si="34"/>
        <v>1</v>
      </c>
      <c r="Q233" s="686">
        <f t="shared" si="35"/>
        <v>1</v>
      </c>
      <c r="S233" s="539"/>
      <c r="T233" s="569" t="s">
        <v>6030</v>
      </c>
      <c r="U233" s="568"/>
      <c r="V233" s="539"/>
      <c r="W233" s="539"/>
      <c r="X233" s="539"/>
      <c r="Y233" s="539"/>
      <c r="Z233" s="539"/>
      <c r="AA233" s="539"/>
      <c r="AB233" s="539"/>
      <c r="AC233" s="539"/>
      <c r="AD233" s="539"/>
      <c r="AE233" s="539"/>
      <c r="AF233" s="539"/>
      <c r="AG233" s="539"/>
      <c r="AH233" s="539"/>
      <c r="AI233" s="539"/>
      <c r="AJ233" s="539"/>
      <c r="AK233" s="539"/>
      <c r="DE233" s="494"/>
      <c r="DF233" s="496" t="s">
        <v>1587</v>
      </c>
      <c r="DG233" s="496" t="s">
        <v>239</v>
      </c>
      <c r="DH233" s="496" t="s">
        <v>689</v>
      </c>
      <c r="DI233" s="496" t="s">
        <v>119</v>
      </c>
      <c r="DJ233" s="496" t="s">
        <v>119</v>
      </c>
      <c r="DK233" s="496" t="s">
        <v>1554</v>
      </c>
      <c r="DL233" s="496" t="s">
        <v>1555</v>
      </c>
      <c r="DM233" s="496" t="s">
        <v>1556</v>
      </c>
      <c r="DN233" s="497" t="s">
        <v>1557</v>
      </c>
      <c r="DP233" s="543">
        <v>1</v>
      </c>
    </row>
    <row r="234" spans="2:120">
      <c r="B234" s="683"/>
      <c r="C234" s="683"/>
      <c r="D234" s="683"/>
      <c r="E234" s="683" cm="1">
        <f t="array" ref="E234">IF(H233&lt;&gt;"",E233,IF(E233="","",IFERROR(MATCH(TRUE(),INDEX(INDEX(K:K,E233+1):K203&lt;&gt;"",0),0)+E233,"")))</f>
        <v>375</v>
      </c>
      <c r="F234" s="684" cm="1">
        <f t="array" ref="F234">IF(E234="","",IF(H233&lt;&gt;"",H233,INDEX(D:D,E234)))</f>
        <v>0</v>
      </c>
      <c r="G234" s="684" t="str">
        <f t="shared" si="30"/>
        <v>0</v>
      </c>
      <c r="H234" s="685" t="str">
        <f t="shared" si="31"/>
        <v/>
      </c>
      <c r="I234" s="683" t="str">
        <f>IF(AND(F234&lt;&gt;"",N10&gt;0,M234&gt;N10),"Mot &gt; limite","")</f>
        <v/>
      </c>
      <c r="M234" s="638">
        <f>IF(OR(F234="",N10="",N10&lt;=0),"",IF(LEN(F234)&lt;=N10,LEN(F234),IFERROR(FIND("♦",SUBSTITUTE(LEFT(F234,N10)," ","♦",LEN(LEFT(F234,N10))-LEN(SUBSTITUTE(LEFT(F234,N10)," ","")))),FIND(" ",F234&amp;" ",N10+1)-1)))</f>
        <v>1</v>
      </c>
      <c r="N234" s="686">
        <f t="shared" si="32"/>
        <v>217</v>
      </c>
      <c r="O234" s="663" t="str">
        <f t="shared" si="33"/>
        <v>0</v>
      </c>
      <c r="P234" s="686">
        <f t="shared" si="34"/>
        <v>1</v>
      </c>
      <c r="Q234" s="686">
        <f t="shared" si="35"/>
        <v>1</v>
      </c>
      <c r="S234" s="539"/>
      <c r="T234" s="562" t="s">
        <v>6031</v>
      </c>
      <c r="U234" s="559" t="s">
        <v>6032</v>
      </c>
      <c r="V234" s="539"/>
      <c r="W234" s="539"/>
      <c r="X234" s="539"/>
      <c r="Y234" s="539"/>
      <c r="Z234" s="539"/>
      <c r="AA234" s="539"/>
      <c r="AB234" s="539"/>
      <c r="AC234" s="539"/>
      <c r="AD234" s="539"/>
      <c r="AE234" s="539"/>
      <c r="AF234" s="539"/>
      <c r="AG234" s="539"/>
      <c r="AH234" s="539"/>
      <c r="AI234" s="539"/>
      <c r="AJ234" s="539"/>
      <c r="AK234" s="539"/>
      <c r="DE234" s="494"/>
      <c r="DF234" s="496" t="s">
        <v>1588</v>
      </c>
      <c r="DG234" s="496" t="s">
        <v>239</v>
      </c>
      <c r="DH234" s="496" t="s">
        <v>689</v>
      </c>
      <c r="DI234" s="496" t="s">
        <v>1589</v>
      </c>
      <c r="DJ234" s="496" t="s">
        <v>1589</v>
      </c>
      <c r="DK234" s="496" t="s">
        <v>1554</v>
      </c>
      <c r="DL234" s="496" t="s">
        <v>1555</v>
      </c>
      <c r="DM234" s="496" t="s">
        <v>1556</v>
      </c>
      <c r="DN234" s="497" t="s">
        <v>1557</v>
      </c>
      <c r="DP234" s="543">
        <v>1</v>
      </c>
    </row>
    <row r="235" spans="2:120">
      <c r="B235" s="683"/>
      <c r="C235" s="683"/>
      <c r="D235" s="683"/>
      <c r="E235" s="683" cm="1">
        <f t="array" ref="E235">IF(H234&lt;&gt;"",E234,IF(E234="","",IFERROR(MATCH(TRUE(),INDEX(INDEX(K:K,E234+1):K203&lt;&gt;"",0),0)+E234,"")))</f>
        <v>376</v>
      </c>
      <c r="F235" s="684" cm="1">
        <f t="array" ref="F235">IF(E235="","",IF(H234&lt;&gt;"",H234,INDEX(D:D,E235)))</f>
        <v>0</v>
      </c>
      <c r="G235" s="684" t="str">
        <f t="shared" si="30"/>
        <v>0</v>
      </c>
      <c r="H235" s="685" t="str">
        <f t="shared" si="31"/>
        <v/>
      </c>
      <c r="I235" s="683" t="str">
        <f>IF(AND(F235&lt;&gt;"",N10&gt;0,M235&gt;N10),"Mot &gt; limite","")</f>
        <v/>
      </c>
      <c r="M235" s="638">
        <f>IF(OR(F235="",N10="",N10&lt;=0),"",IF(LEN(F235)&lt;=N10,LEN(F235),IFERROR(FIND("♦",SUBSTITUTE(LEFT(F235,N10)," ","♦",LEN(LEFT(F235,N10))-LEN(SUBSTITUTE(LEFT(F235,N10)," ","")))),FIND(" ",F235&amp;" ",N10+1)-1)))</f>
        <v>1</v>
      </c>
      <c r="N235" s="686">
        <f t="shared" si="32"/>
        <v>218</v>
      </c>
      <c r="O235" s="663" t="str">
        <f t="shared" si="33"/>
        <v>0</v>
      </c>
      <c r="P235" s="686">
        <f t="shared" si="34"/>
        <v>1</v>
      </c>
      <c r="Q235" s="686">
        <f t="shared" si="35"/>
        <v>1</v>
      </c>
      <c r="S235" s="539"/>
      <c r="T235" s="562" t="s">
        <v>6033</v>
      </c>
      <c r="U235" s="559" t="s">
        <v>6034</v>
      </c>
      <c r="V235" s="539"/>
      <c r="W235" s="539"/>
      <c r="X235" s="539"/>
      <c r="Y235" s="539"/>
      <c r="Z235" s="539"/>
      <c r="AA235" s="539"/>
      <c r="AB235" s="539"/>
      <c r="AC235" s="539"/>
      <c r="AD235" s="539"/>
      <c r="AE235" s="539"/>
      <c r="AF235" s="539"/>
      <c r="AG235" s="539"/>
      <c r="AH235" s="539"/>
      <c r="AI235" s="539"/>
      <c r="AJ235" s="539"/>
      <c r="AK235" s="539"/>
      <c r="DE235" s="494"/>
      <c r="DF235" s="496" t="s">
        <v>1590</v>
      </c>
      <c r="DG235" s="496" t="s">
        <v>239</v>
      </c>
      <c r="DH235" s="496" t="s">
        <v>689</v>
      </c>
      <c r="DI235" s="496" t="s">
        <v>1591</v>
      </c>
      <c r="DJ235" s="496" t="s">
        <v>1591</v>
      </c>
      <c r="DK235" s="496" t="s">
        <v>1554</v>
      </c>
      <c r="DL235" s="496" t="s">
        <v>1555</v>
      </c>
      <c r="DM235" s="496" t="s">
        <v>1556</v>
      </c>
      <c r="DN235" s="497" t="s">
        <v>1557</v>
      </c>
      <c r="DP235" s="543">
        <v>1</v>
      </c>
    </row>
    <row r="236" spans="2:120">
      <c r="B236" s="683"/>
      <c r="C236" s="683"/>
      <c r="D236" s="683"/>
      <c r="E236" s="683" cm="1">
        <f t="array" ref="E236">IF(H235&lt;&gt;"",E235,IF(E235="","",IFERROR(MATCH(TRUE(),INDEX(INDEX(K:K,E235+1):K203&lt;&gt;"",0),0)+E235,"")))</f>
        <v>377</v>
      </c>
      <c r="F236" s="684" cm="1">
        <f t="array" ref="F236">IF(E236="","",IF(H235&lt;&gt;"",H235,INDEX(D:D,E236)))</f>
        <v>0</v>
      </c>
      <c r="G236" s="684" t="str">
        <f t="shared" si="30"/>
        <v>0</v>
      </c>
      <c r="H236" s="685" t="str">
        <f t="shared" si="31"/>
        <v/>
      </c>
      <c r="I236" s="683" t="str">
        <f>IF(AND(F236&lt;&gt;"",N10&gt;0,M236&gt;N10),"Mot &gt; limite","")</f>
        <v/>
      </c>
      <c r="M236" s="638">
        <f>IF(OR(F236="",N10="",N10&lt;=0),"",IF(LEN(F236)&lt;=N10,LEN(F236),IFERROR(FIND("♦",SUBSTITUTE(LEFT(F236,N10)," ","♦",LEN(LEFT(F236,N10))-LEN(SUBSTITUTE(LEFT(F236,N10)," ","")))),FIND(" ",F236&amp;" ",N10+1)-1)))</f>
        <v>1</v>
      </c>
      <c r="N236" s="686">
        <f t="shared" si="32"/>
        <v>219</v>
      </c>
      <c r="O236" s="663" t="str">
        <f t="shared" si="33"/>
        <v>0</v>
      </c>
      <c r="P236" s="686">
        <f t="shared" si="34"/>
        <v>1</v>
      </c>
      <c r="Q236" s="686">
        <f t="shared" si="35"/>
        <v>1</v>
      </c>
      <c r="S236" s="539"/>
      <c r="T236" s="562"/>
      <c r="U236" s="559" t="s">
        <v>6035</v>
      </c>
      <c r="V236" s="539"/>
      <c r="W236" s="539"/>
      <c r="X236" s="539"/>
      <c r="Y236" s="539"/>
      <c r="Z236" s="539"/>
      <c r="AA236" s="539"/>
      <c r="AB236" s="539"/>
      <c r="AC236" s="539"/>
      <c r="AD236" s="539"/>
      <c r="AE236" s="539"/>
      <c r="AF236" s="539"/>
      <c r="AG236" s="539"/>
      <c r="AH236" s="539"/>
      <c r="AI236" s="539"/>
      <c r="AJ236" s="539"/>
      <c r="AK236" s="539"/>
      <c r="DE236" s="494"/>
      <c r="DF236" s="496" t="s">
        <v>1592</v>
      </c>
      <c r="DG236" s="496" t="s">
        <v>239</v>
      </c>
      <c r="DH236" s="496" t="s">
        <v>689</v>
      </c>
      <c r="DI236" s="496" t="s">
        <v>1593</v>
      </c>
      <c r="DJ236" s="496" t="s">
        <v>1593</v>
      </c>
      <c r="DK236" s="496" t="s">
        <v>1554</v>
      </c>
      <c r="DL236" s="496" t="s">
        <v>1555</v>
      </c>
      <c r="DM236" s="496" t="s">
        <v>1556</v>
      </c>
      <c r="DN236" s="497" t="s">
        <v>1557</v>
      </c>
      <c r="DP236" s="543">
        <v>1</v>
      </c>
    </row>
    <row r="237" spans="2:120">
      <c r="B237" s="683"/>
      <c r="C237" s="683"/>
      <c r="D237" s="683"/>
      <c r="E237" s="683" cm="1">
        <f t="array" ref="E237">IF(H236&lt;&gt;"",E236,IF(E236="","",IFERROR(MATCH(TRUE(),INDEX(INDEX(K:K,E236+1):K203&lt;&gt;"",0),0)+E236,"")))</f>
        <v>378</v>
      </c>
      <c r="F237" s="684" cm="1">
        <f t="array" ref="F237">IF(E237="","",IF(H236&lt;&gt;"",H236,INDEX(D:D,E237)))</f>
        <v>0</v>
      </c>
      <c r="G237" s="684" t="str">
        <f t="shared" si="30"/>
        <v>0</v>
      </c>
      <c r="H237" s="685" t="str">
        <f t="shared" si="31"/>
        <v/>
      </c>
      <c r="I237" s="683" t="str">
        <f>IF(AND(F237&lt;&gt;"",N10&gt;0,M237&gt;N10),"Mot &gt; limite","")</f>
        <v/>
      </c>
      <c r="M237" s="638">
        <f>IF(OR(F237="",N10="",N10&lt;=0),"",IF(LEN(F237)&lt;=N10,LEN(F237),IFERROR(FIND("♦",SUBSTITUTE(LEFT(F237,N10)," ","♦",LEN(LEFT(F237,N10))-LEN(SUBSTITUTE(LEFT(F237,N10)," ","")))),FIND(" ",F237&amp;" ",N10+1)-1)))</f>
        <v>1</v>
      </c>
      <c r="N237" s="686">
        <f t="shared" si="32"/>
        <v>220</v>
      </c>
      <c r="O237" s="663" t="str">
        <f t="shared" si="33"/>
        <v>0</v>
      </c>
      <c r="P237" s="686">
        <f t="shared" si="34"/>
        <v>1</v>
      </c>
      <c r="Q237" s="686">
        <f t="shared" si="35"/>
        <v>1</v>
      </c>
      <c r="S237" s="539"/>
      <c r="T237" s="562" t="s">
        <v>6036</v>
      </c>
      <c r="U237" s="559" t="s">
        <v>6037</v>
      </c>
      <c r="V237" s="539"/>
      <c r="W237" s="539"/>
      <c r="X237" s="539"/>
      <c r="Y237" s="539"/>
      <c r="Z237" s="539"/>
      <c r="AA237" s="539"/>
      <c r="AB237" s="539"/>
      <c r="AC237" s="539"/>
      <c r="AD237" s="539"/>
      <c r="AE237" s="539"/>
      <c r="AF237" s="539"/>
      <c r="AG237" s="539"/>
      <c r="AH237" s="539"/>
      <c r="AI237" s="539"/>
      <c r="AJ237" s="539"/>
      <c r="AK237" s="539"/>
      <c r="DE237" s="494"/>
      <c r="DF237" s="496" t="s">
        <v>1594</v>
      </c>
      <c r="DG237" s="496" t="s">
        <v>239</v>
      </c>
      <c r="DH237" s="496" t="s">
        <v>689</v>
      </c>
      <c r="DI237" s="496" t="s">
        <v>1595</v>
      </c>
      <c r="DJ237" s="496" t="s">
        <v>1595</v>
      </c>
      <c r="DK237" s="496" t="s">
        <v>1554</v>
      </c>
      <c r="DL237" s="496" t="s">
        <v>1555</v>
      </c>
      <c r="DM237" s="496" t="s">
        <v>1556</v>
      </c>
      <c r="DN237" s="497" t="s">
        <v>1557</v>
      </c>
      <c r="DP237" s="543">
        <v>1</v>
      </c>
    </row>
    <row r="238" spans="2:120">
      <c r="B238" s="683"/>
      <c r="C238" s="683"/>
      <c r="D238" s="683"/>
      <c r="E238" s="683" cm="1">
        <f t="array" ref="E238">IF(H237&lt;&gt;"",E237,IF(E237="","",IFERROR(MATCH(TRUE(),INDEX(INDEX(K:K,E237+1):K203&lt;&gt;"",0),0)+E237,"")))</f>
        <v>379</v>
      </c>
      <c r="F238" s="684" cm="1">
        <f t="array" ref="F238">IF(E238="","",IF(H237&lt;&gt;"",H237,INDEX(D:D,E238)))</f>
        <v>0</v>
      </c>
      <c r="G238" s="684" t="str">
        <f t="shared" si="30"/>
        <v>0</v>
      </c>
      <c r="H238" s="685" t="str">
        <f t="shared" si="31"/>
        <v/>
      </c>
      <c r="I238" s="683" t="str">
        <f>IF(AND(F238&lt;&gt;"",N10&gt;0,M238&gt;N10),"Mot &gt; limite","")</f>
        <v/>
      </c>
      <c r="M238" s="638">
        <f>IF(OR(F238="",N10="",N10&lt;=0),"",IF(LEN(F238)&lt;=N10,LEN(F238),IFERROR(FIND("♦",SUBSTITUTE(LEFT(F238,N10)," ","♦",LEN(LEFT(F238,N10))-LEN(SUBSTITUTE(LEFT(F238,N10)," ","")))),FIND(" ",F238&amp;" ",N10+1)-1)))</f>
        <v>1</v>
      </c>
      <c r="N238" s="686">
        <f t="shared" si="32"/>
        <v>221</v>
      </c>
      <c r="O238" s="663" t="str">
        <f t="shared" si="33"/>
        <v>0</v>
      </c>
      <c r="P238" s="686">
        <f t="shared" si="34"/>
        <v>1</v>
      </c>
      <c r="Q238" s="686">
        <f t="shared" si="35"/>
        <v>1</v>
      </c>
      <c r="S238" s="539"/>
      <c r="T238" s="562" t="s">
        <v>6038</v>
      </c>
      <c r="U238" s="559" t="s">
        <v>6039</v>
      </c>
      <c r="V238" s="539"/>
      <c r="W238" s="539"/>
      <c r="X238" s="539"/>
      <c r="Y238" s="539"/>
      <c r="Z238" s="539"/>
      <c r="AA238" s="539"/>
      <c r="AB238" s="539"/>
      <c r="AC238" s="539"/>
      <c r="AD238" s="539"/>
      <c r="AE238" s="539"/>
      <c r="AF238" s="539"/>
      <c r="AG238" s="539"/>
      <c r="AH238" s="539"/>
      <c r="AI238" s="539"/>
      <c r="AJ238" s="539"/>
      <c r="AK238" s="539"/>
      <c r="DE238" s="494"/>
      <c r="DF238" s="496" t="s">
        <v>1596</v>
      </c>
      <c r="DG238" s="496" t="s">
        <v>239</v>
      </c>
      <c r="DH238" s="496" t="s">
        <v>689</v>
      </c>
      <c r="DI238" s="496" t="s">
        <v>1597</v>
      </c>
      <c r="DJ238" s="496" t="s">
        <v>1597</v>
      </c>
      <c r="DK238" s="496" t="s">
        <v>1554</v>
      </c>
      <c r="DL238" s="496" t="s">
        <v>1555</v>
      </c>
      <c r="DM238" s="496" t="s">
        <v>1556</v>
      </c>
      <c r="DN238" s="497" t="s">
        <v>1557</v>
      </c>
      <c r="DP238" s="543">
        <v>1</v>
      </c>
    </row>
    <row r="239" spans="2:120">
      <c r="B239" s="683"/>
      <c r="C239" s="683"/>
      <c r="D239" s="683"/>
      <c r="E239" s="683" cm="1">
        <f t="array" ref="E239">IF(H238&lt;&gt;"",E238,IF(E238="","",IFERROR(MATCH(TRUE(),INDEX(INDEX(K:K,E238+1):K203&lt;&gt;"",0),0)+E238,"")))</f>
        <v>380</v>
      </c>
      <c r="F239" s="684" cm="1">
        <f t="array" ref="F239">IF(E239="","",IF(H238&lt;&gt;"",H238,INDEX(D:D,E239)))</f>
        <v>0</v>
      </c>
      <c r="G239" s="684" t="str">
        <f t="shared" si="30"/>
        <v>0</v>
      </c>
      <c r="H239" s="685" t="str">
        <f t="shared" si="31"/>
        <v/>
      </c>
      <c r="I239" s="683" t="str">
        <f>IF(AND(F239&lt;&gt;"",N10&gt;0,M239&gt;N10),"Mot &gt; limite","")</f>
        <v/>
      </c>
      <c r="M239" s="638">
        <f>IF(OR(F239="",N10="",N10&lt;=0),"",IF(LEN(F239)&lt;=N10,LEN(F239),IFERROR(FIND("♦",SUBSTITUTE(LEFT(F239,N10)," ","♦",LEN(LEFT(F239,N10))-LEN(SUBSTITUTE(LEFT(F239,N10)," ","")))),FIND(" ",F239&amp;" ",N10+1)-1)))</f>
        <v>1</v>
      </c>
      <c r="N239" s="686">
        <f t="shared" si="32"/>
        <v>222</v>
      </c>
      <c r="O239" s="663" t="str">
        <f t="shared" si="33"/>
        <v>0</v>
      </c>
      <c r="P239" s="686">
        <f t="shared" si="34"/>
        <v>1</v>
      </c>
      <c r="Q239" s="686">
        <f t="shared" si="35"/>
        <v>1</v>
      </c>
      <c r="S239" s="539"/>
      <c r="T239" s="559"/>
      <c r="U239" s="559"/>
      <c r="V239" s="539"/>
      <c r="W239" s="539"/>
      <c r="X239" s="539"/>
      <c r="Y239" s="539"/>
      <c r="Z239" s="539"/>
      <c r="AA239" s="539"/>
      <c r="AB239" s="539"/>
      <c r="AC239" s="539"/>
      <c r="AD239" s="539"/>
      <c r="AE239" s="539"/>
      <c r="AF239" s="539"/>
      <c r="AG239" s="539"/>
      <c r="AH239" s="539"/>
      <c r="AI239" s="539"/>
      <c r="AJ239" s="539"/>
      <c r="AK239" s="539"/>
      <c r="DE239" s="494"/>
      <c r="DF239" s="496" t="s">
        <v>1598</v>
      </c>
      <c r="DG239" s="496" t="s">
        <v>239</v>
      </c>
      <c r="DH239" s="496" t="s">
        <v>689</v>
      </c>
      <c r="DI239" s="496" t="s">
        <v>1599</v>
      </c>
      <c r="DJ239" s="496" t="s">
        <v>1599</v>
      </c>
      <c r="DK239" s="496" t="s">
        <v>1554</v>
      </c>
      <c r="DL239" s="496" t="s">
        <v>1555</v>
      </c>
      <c r="DM239" s="496" t="s">
        <v>1556</v>
      </c>
      <c r="DN239" s="497" t="s">
        <v>1557</v>
      </c>
      <c r="DP239" s="543">
        <v>1</v>
      </c>
    </row>
    <row r="240" spans="2:120">
      <c r="B240" s="683"/>
      <c r="C240" s="683"/>
      <c r="D240" s="683"/>
      <c r="E240" s="683" cm="1">
        <f t="array" ref="E240">IF(H239&lt;&gt;"",E239,IF(E239="","",IFERROR(MATCH(TRUE(),INDEX(INDEX(K:K,E239+1):K203&lt;&gt;"",0),0)+E239,"")))</f>
        <v>381</v>
      </c>
      <c r="F240" s="684" cm="1">
        <f t="array" ref="F240">IF(E240="","",IF(H239&lt;&gt;"",H239,INDEX(D:D,E240)))</f>
        <v>0</v>
      </c>
      <c r="G240" s="684" t="str">
        <f t="shared" si="30"/>
        <v>0</v>
      </c>
      <c r="H240" s="685" t="str">
        <f t="shared" si="31"/>
        <v/>
      </c>
      <c r="I240" s="683" t="str">
        <f>IF(AND(F240&lt;&gt;"",N10&gt;0,M240&gt;N10),"Mot &gt; limite","")</f>
        <v/>
      </c>
      <c r="M240" s="638">
        <f>IF(OR(F240="",N10="",N10&lt;=0),"",IF(LEN(F240)&lt;=N10,LEN(F240),IFERROR(FIND("♦",SUBSTITUTE(LEFT(F240,N10)," ","♦",LEN(LEFT(F240,N10))-LEN(SUBSTITUTE(LEFT(F240,N10)," ","")))),FIND(" ",F240&amp;" ",N10+1)-1)))</f>
        <v>1</v>
      </c>
      <c r="N240" s="686">
        <f t="shared" si="32"/>
        <v>223</v>
      </c>
      <c r="O240" s="663" t="str">
        <f t="shared" si="33"/>
        <v>0</v>
      </c>
      <c r="P240" s="686">
        <f t="shared" si="34"/>
        <v>1</v>
      </c>
      <c r="Q240" s="686">
        <f t="shared" si="35"/>
        <v>1</v>
      </c>
      <c r="S240" s="539"/>
      <c r="T240" s="567" t="s">
        <v>6040</v>
      </c>
      <c r="U240" s="565"/>
      <c r="V240" s="539"/>
      <c r="W240" s="539"/>
      <c r="X240" s="539"/>
      <c r="Y240" s="539"/>
      <c r="Z240" s="539"/>
      <c r="AA240" s="539"/>
      <c r="AB240" s="539"/>
      <c r="AC240" s="539"/>
      <c r="AD240" s="539"/>
      <c r="AE240" s="539"/>
      <c r="AF240" s="539"/>
      <c r="AG240" s="539"/>
      <c r="AH240" s="539"/>
      <c r="AI240" s="539"/>
      <c r="AJ240" s="539"/>
      <c r="AK240" s="539"/>
      <c r="DE240" s="494"/>
      <c r="DF240" s="496" t="s">
        <v>1600</v>
      </c>
      <c r="DG240" s="496" t="s">
        <v>239</v>
      </c>
      <c r="DH240" s="496" t="s">
        <v>689</v>
      </c>
      <c r="DI240" s="496" t="s">
        <v>1601</v>
      </c>
      <c r="DJ240" s="496" t="s">
        <v>1601</v>
      </c>
      <c r="DK240" s="496" t="s">
        <v>1554</v>
      </c>
      <c r="DL240" s="496" t="s">
        <v>1555</v>
      </c>
      <c r="DM240" s="496" t="s">
        <v>1556</v>
      </c>
      <c r="DN240" s="497" t="s">
        <v>1557</v>
      </c>
      <c r="DP240" s="543">
        <v>1</v>
      </c>
    </row>
    <row r="241" spans="2:120">
      <c r="B241" s="683"/>
      <c r="C241" s="683"/>
      <c r="D241" s="683"/>
      <c r="E241" s="683" cm="1">
        <f t="array" ref="E241">IF(H240&lt;&gt;"",E240,IF(E240="","",IFERROR(MATCH(TRUE(),INDEX(INDEX(K:K,E240+1):K203&lt;&gt;"",0),0)+E240,"")))</f>
        <v>382</v>
      </c>
      <c r="F241" s="684" cm="1">
        <f t="array" ref="F241">IF(E241="","",IF(H240&lt;&gt;"",H240,INDEX(D:D,E241)))</f>
        <v>0</v>
      </c>
      <c r="G241" s="684" t="str">
        <f t="shared" si="30"/>
        <v>0</v>
      </c>
      <c r="H241" s="685" t="str">
        <f t="shared" si="31"/>
        <v/>
      </c>
      <c r="I241" s="683" t="str">
        <f>IF(AND(F241&lt;&gt;"",N10&gt;0,M241&gt;N10),"Mot &gt; limite","")</f>
        <v/>
      </c>
      <c r="M241" s="638">
        <f>IF(OR(F241="",N10="",N10&lt;=0),"",IF(LEN(F241)&lt;=N10,LEN(F241),IFERROR(FIND("♦",SUBSTITUTE(LEFT(F241,N10)," ","♦",LEN(LEFT(F241,N10))-LEN(SUBSTITUTE(LEFT(F241,N10)," ","")))),FIND(" ",F241&amp;" ",N10+1)-1)))</f>
        <v>1</v>
      </c>
      <c r="N241" s="686">
        <f t="shared" si="32"/>
        <v>224</v>
      </c>
      <c r="O241" s="663" t="str">
        <f t="shared" si="33"/>
        <v>0</v>
      </c>
      <c r="P241" s="686">
        <f t="shared" si="34"/>
        <v>1</v>
      </c>
      <c r="Q241" s="686">
        <f t="shared" si="35"/>
        <v>1</v>
      </c>
      <c r="S241" s="539"/>
      <c r="T241" s="562" t="s">
        <v>6041</v>
      </c>
      <c r="U241" s="559" t="s">
        <v>6042</v>
      </c>
      <c r="V241" s="539"/>
      <c r="W241" s="539"/>
      <c r="X241" s="539"/>
      <c r="Y241" s="539"/>
      <c r="Z241" s="539"/>
      <c r="AA241" s="539"/>
      <c r="AB241" s="539"/>
      <c r="AC241" s="539"/>
      <c r="AD241" s="539"/>
      <c r="AE241" s="539"/>
      <c r="AF241" s="539"/>
      <c r="AG241" s="539"/>
      <c r="AH241" s="539"/>
      <c r="AI241" s="539"/>
      <c r="AJ241" s="539"/>
      <c r="AK241" s="539"/>
      <c r="DE241" s="494"/>
      <c r="DF241" s="496" t="s">
        <v>1602</v>
      </c>
      <c r="DG241" s="496" t="s">
        <v>239</v>
      </c>
      <c r="DH241" s="496" t="s">
        <v>689</v>
      </c>
      <c r="DI241" s="496" t="s">
        <v>858</v>
      </c>
      <c r="DJ241" s="496" t="s">
        <v>858</v>
      </c>
      <c r="DK241" s="496" t="s">
        <v>1554</v>
      </c>
      <c r="DL241" s="496" t="s">
        <v>1555</v>
      </c>
      <c r="DM241" s="496" t="s">
        <v>1556</v>
      </c>
      <c r="DN241" s="497" t="s">
        <v>1557</v>
      </c>
      <c r="DP241" s="543">
        <v>1</v>
      </c>
    </row>
    <row r="242" spans="2:120">
      <c r="B242" s="683"/>
      <c r="C242" s="683"/>
      <c r="D242" s="683"/>
      <c r="E242" s="683" cm="1">
        <f t="array" ref="E242">IF(H241&lt;&gt;"",E241,IF(E241="","",IFERROR(MATCH(TRUE(),INDEX(INDEX(K:K,E241+1):K203&lt;&gt;"",0),0)+E241,"")))</f>
        <v>383</v>
      </c>
      <c r="F242" s="684" cm="1">
        <f t="array" ref="F242">IF(E242="","",IF(H241&lt;&gt;"",H241,INDEX(D:D,E242)))</f>
        <v>0</v>
      </c>
      <c r="G242" s="684" t="str">
        <f t="shared" si="30"/>
        <v>0</v>
      </c>
      <c r="H242" s="685" t="str">
        <f t="shared" si="31"/>
        <v/>
      </c>
      <c r="I242" s="683" t="str">
        <f>IF(AND(F242&lt;&gt;"",N10&gt;0,M242&gt;N10),"Mot &gt; limite","")</f>
        <v/>
      </c>
      <c r="M242" s="638">
        <f>IF(OR(F242="",N10="",N10&lt;=0),"",IF(LEN(F242)&lt;=N10,LEN(F242),IFERROR(FIND("♦",SUBSTITUTE(LEFT(F242,N10)," ","♦",LEN(LEFT(F242,N10))-LEN(SUBSTITUTE(LEFT(F242,N10)," ","")))),FIND(" ",F242&amp;" ",N10+1)-1)))</f>
        <v>1</v>
      </c>
      <c r="N242" s="686">
        <f t="shared" si="32"/>
        <v>225</v>
      </c>
      <c r="O242" s="663" t="str">
        <f t="shared" si="33"/>
        <v>0</v>
      </c>
      <c r="P242" s="686">
        <f t="shared" si="34"/>
        <v>1</v>
      </c>
      <c r="Q242" s="686">
        <f t="shared" si="35"/>
        <v>1</v>
      </c>
      <c r="S242" s="539"/>
      <c r="T242" s="562" t="s">
        <v>6043</v>
      </c>
      <c r="U242" s="559" t="s">
        <v>6044</v>
      </c>
      <c r="V242" s="539"/>
      <c r="W242" s="539"/>
      <c r="X242" s="539"/>
      <c r="Y242" s="539"/>
      <c r="Z242" s="539"/>
      <c r="AA242" s="539"/>
      <c r="AB242" s="539"/>
      <c r="AC242" s="539"/>
      <c r="AD242" s="539"/>
      <c r="AE242" s="539"/>
      <c r="AF242" s="539"/>
      <c r="AG242" s="539"/>
      <c r="AH242" s="539"/>
      <c r="AI242" s="539"/>
      <c r="AJ242" s="539"/>
      <c r="AK242" s="539"/>
      <c r="DE242" s="494"/>
      <c r="DF242" s="496" t="s">
        <v>1603</v>
      </c>
      <c r="DG242" s="496" t="s">
        <v>239</v>
      </c>
      <c r="DH242" s="496" t="s">
        <v>689</v>
      </c>
      <c r="DI242" s="496" t="s">
        <v>1604</v>
      </c>
      <c r="DJ242" s="496" t="s">
        <v>1604</v>
      </c>
      <c r="DK242" s="496" t="s">
        <v>1554</v>
      </c>
      <c r="DL242" s="496" t="s">
        <v>1555</v>
      </c>
      <c r="DM242" s="496" t="s">
        <v>1556</v>
      </c>
      <c r="DN242" s="497" t="s">
        <v>1557</v>
      </c>
      <c r="DP242" s="543">
        <v>1</v>
      </c>
    </row>
    <row r="243" spans="2:120">
      <c r="B243" s="683"/>
      <c r="C243" s="683"/>
      <c r="D243" s="683"/>
      <c r="E243" s="683" cm="1">
        <f t="array" ref="E243">IF(H242&lt;&gt;"",E242,IF(E242="","",IFERROR(MATCH(TRUE(),INDEX(INDEX(K:K,E242+1):K203&lt;&gt;"",0),0)+E242,"")))</f>
        <v>384</v>
      </c>
      <c r="F243" s="684" cm="1">
        <f t="array" ref="F243">IF(E243="","",IF(H242&lt;&gt;"",H242,INDEX(D:D,E243)))</f>
        <v>0</v>
      </c>
      <c r="G243" s="684" t="str">
        <f t="shared" si="30"/>
        <v>0</v>
      </c>
      <c r="H243" s="685" t="str">
        <f t="shared" si="31"/>
        <v/>
      </c>
      <c r="I243" s="683" t="str">
        <f>IF(AND(F243&lt;&gt;"",N10&gt;0,M243&gt;N10),"Mot &gt; limite","")</f>
        <v/>
      </c>
      <c r="M243" s="638">
        <f>IF(OR(F243="",N10="",N10&lt;=0),"",IF(LEN(F243)&lt;=N10,LEN(F243),IFERROR(FIND("♦",SUBSTITUTE(LEFT(F243,N10)," ","♦",LEN(LEFT(F243,N10))-LEN(SUBSTITUTE(LEFT(F243,N10)," ","")))),FIND(" ",F243&amp;" ",N10+1)-1)))</f>
        <v>1</v>
      </c>
      <c r="N243" s="686">
        <f t="shared" si="32"/>
        <v>226</v>
      </c>
      <c r="O243" s="663" t="str">
        <f t="shared" si="33"/>
        <v>0</v>
      </c>
      <c r="P243" s="686">
        <f t="shared" si="34"/>
        <v>1</v>
      </c>
      <c r="Q243" s="686">
        <f t="shared" si="35"/>
        <v>1</v>
      </c>
      <c r="S243" s="539"/>
      <c r="T243" s="562" t="s">
        <v>6045</v>
      </c>
      <c r="U243" s="559" t="s">
        <v>6046</v>
      </c>
      <c r="V243" s="539"/>
      <c r="W243" s="539"/>
      <c r="X243" s="539"/>
      <c r="Y243" s="539"/>
      <c r="Z243" s="539"/>
      <c r="AA243" s="539"/>
      <c r="AB243" s="539"/>
      <c r="AC243" s="539"/>
      <c r="AD243" s="539"/>
      <c r="AE243" s="539"/>
      <c r="AF243" s="539"/>
      <c r="AG243" s="539"/>
      <c r="AH243" s="539"/>
      <c r="AI243" s="539"/>
      <c r="AJ243" s="539"/>
      <c r="AK243" s="539"/>
      <c r="DE243" s="494"/>
      <c r="DF243" s="496" t="s">
        <v>1605</v>
      </c>
      <c r="DG243" s="496" t="s">
        <v>239</v>
      </c>
      <c r="DH243" s="496" t="s">
        <v>689</v>
      </c>
      <c r="DI243" s="496" t="s">
        <v>1606</v>
      </c>
      <c r="DJ243" s="496" t="s">
        <v>1606</v>
      </c>
      <c r="DK243" s="496" t="s">
        <v>1554</v>
      </c>
      <c r="DL243" s="496" t="s">
        <v>1555</v>
      </c>
      <c r="DM243" s="496" t="s">
        <v>1556</v>
      </c>
      <c r="DN243" s="497" t="s">
        <v>1557</v>
      </c>
      <c r="DP243" s="543">
        <v>1</v>
      </c>
    </row>
    <row r="244" spans="2:120">
      <c r="B244" s="683"/>
      <c r="C244" s="683"/>
      <c r="D244" s="683"/>
      <c r="E244" s="683" cm="1">
        <f t="array" ref="E244">IF(H243&lt;&gt;"",E243,IF(E243="","",IFERROR(MATCH(TRUE(),INDEX(INDEX(K:K,E243+1):K203&lt;&gt;"",0),0)+E243,"")))</f>
        <v>385</v>
      </c>
      <c r="F244" s="684" cm="1">
        <f t="array" ref="F244">IF(E244="","",IF(H243&lt;&gt;"",H243,INDEX(D:D,E244)))</f>
        <v>0</v>
      </c>
      <c r="G244" s="684" t="str">
        <f t="shared" si="30"/>
        <v>0</v>
      </c>
      <c r="H244" s="685" t="str">
        <f t="shared" si="31"/>
        <v/>
      </c>
      <c r="I244" s="683" t="str">
        <f>IF(AND(F244&lt;&gt;"",N10&gt;0,M244&gt;N10),"Mot &gt; limite","")</f>
        <v/>
      </c>
      <c r="M244" s="638">
        <f>IF(OR(F244="",N10="",N10&lt;=0),"",IF(LEN(F244)&lt;=N10,LEN(F244),IFERROR(FIND("♦",SUBSTITUTE(LEFT(F244,N10)," ","♦",LEN(LEFT(F244,N10))-LEN(SUBSTITUTE(LEFT(F244,N10)," ","")))),FIND(" ",F244&amp;" ",N10+1)-1)))</f>
        <v>1</v>
      </c>
      <c r="N244" s="686">
        <f t="shared" si="32"/>
        <v>227</v>
      </c>
      <c r="O244" s="663" t="str">
        <f t="shared" si="33"/>
        <v>0</v>
      </c>
      <c r="P244" s="686">
        <f t="shared" si="34"/>
        <v>1</v>
      </c>
      <c r="Q244" s="686">
        <f t="shared" si="35"/>
        <v>1</v>
      </c>
      <c r="S244" s="539"/>
      <c r="T244" s="562" t="s">
        <v>6047</v>
      </c>
      <c r="U244" s="559" t="s">
        <v>6048</v>
      </c>
      <c r="V244" s="539"/>
      <c r="W244" s="539"/>
      <c r="X244" s="539"/>
      <c r="Y244" s="539"/>
      <c r="Z244" s="539"/>
      <c r="AA244" s="539"/>
      <c r="AB244" s="539"/>
      <c r="AC244" s="539"/>
      <c r="AD244" s="539"/>
      <c r="AE244" s="539"/>
      <c r="AF244" s="539"/>
      <c r="AG244" s="539"/>
      <c r="AH244" s="539"/>
      <c r="AI244" s="539"/>
      <c r="AJ244" s="539"/>
      <c r="AK244" s="539"/>
      <c r="DE244" s="494"/>
      <c r="DF244" s="496" t="s">
        <v>1607</v>
      </c>
      <c r="DG244" s="496" t="s">
        <v>239</v>
      </c>
      <c r="DH244" s="496" t="s">
        <v>689</v>
      </c>
      <c r="DI244" s="496" t="s">
        <v>1608</v>
      </c>
      <c r="DJ244" s="496" t="s">
        <v>1608</v>
      </c>
      <c r="DK244" s="496" t="s">
        <v>1554</v>
      </c>
      <c r="DL244" s="496" t="s">
        <v>1555</v>
      </c>
      <c r="DM244" s="496" t="s">
        <v>1556</v>
      </c>
      <c r="DN244" s="497" t="s">
        <v>1557</v>
      </c>
      <c r="DP244" s="543">
        <v>1</v>
      </c>
    </row>
    <row r="245" spans="2:120">
      <c r="B245" s="683"/>
      <c r="C245" s="683"/>
      <c r="D245" s="683"/>
      <c r="E245" s="683" cm="1">
        <f t="array" ref="E245">IF(H244&lt;&gt;"",E244,IF(E244="","",IFERROR(MATCH(TRUE(),INDEX(INDEX(K:K,E244+1):K203&lt;&gt;"",0),0)+E244,"")))</f>
        <v>386</v>
      </c>
      <c r="F245" s="684" cm="1">
        <f t="array" ref="F245">IF(E245="","",IF(H244&lt;&gt;"",H244,INDEX(D:D,E245)))</f>
        <v>0</v>
      </c>
      <c r="G245" s="684" t="str">
        <f t="shared" si="30"/>
        <v>0</v>
      </c>
      <c r="H245" s="685" t="str">
        <f t="shared" si="31"/>
        <v/>
      </c>
      <c r="I245" s="683" t="str">
        <f>IF(AND(F245&lt;&gt;"",N10&gt;0,M245&gt;N10),"Mot &gt; limite","")</f>
        <v/>
      </c>
      <c r="M245" s="638">
        <f>IF(OR(F245="",N10="",N10&lt;=0),"",IF(LEN(F245)&lt;=N10,LEN(F245),IFERROR(FIND("♦",SUBSTITUTE(LEFT(F245,N10)," ","♦",LEN(LEFT(F245,N10))-LEN(SUBSTITUTE(LEFT(F245,N10)," ","")))),FIND(" ",F245&amp;" ",N10+1)-1)))</f>
        <v>1</v>
      </c>
      <c r="N245" s="686">
        <f t="shared" si="32"/>
        <v>228</v>
      </c>
      <c r="O245" s="663" t="str">
        <f t="shared" si="33"/>
        <v>0</v>
      </c>
      <c r="P245" s="686">
        <f t="shared" si="34"/>
        <v>1</v>
      </c>
      <c r="Q245" s="686">
        <f t="shared" si="35"/>
        <v>1</v>
      </c>
      <c r="S245" s="539"/>
      <c r="T245" s="567"/>
      <c r="U245" s="559" t="s">
        <v>6049</v>
      </c>
      <c r="V245" s="539"/>
      <c r="W245" s="539"/>
      <c r="X245" s="539"/>
      <c r="Y245" s="539"/>
      <c r="Z245" s="539"/>
      <c r="AA245" s="539"/>
      <c r="AB245" s="539"/>
      <c r="AC245" s="539"/>
      <c r="AD245" s="539"/>
      <c r="AE245" s="539"/>
      <c r="AF245" s="539"/>
      <c r="AG245" s="539"/>
      <c r="AH245" s="539"/>
      <c r="AI245" s="539"/>
      <c r="AJ245" s="539"/>
      <c r="AK245" s="539"/>
      <c r="DE245" s="494"/>
      <c r="DF245" s="496" t="s">
        <v>1609</v>
      </c>
      <c r="DG245" s="496" t="s">
        <v>239</v>
      </c>
      <c r="DH245" s="496" t="s">
        <v>689</v>
      </c>
      <c r="DI245" s="496" t="s">
        <v>1610</v>
      </c>
      <c r="DJ245" s="496" t="s">
        <v>1610</v>
      </c>
      <c r="DK245" s="496" t="s">
        <v>1554</v>
      </c>
      <c r="DL245" s="496" t="s">
        <v>1555</v>
      </c>
      <c r="DM245" s="496" t="s">
        <v>1556</v>
      </c>
      <c r="DN245" s="497" t="s">
        <v>1557</v>
      </c>
      <c r="DP245" s="543">
        <v>1</v>
      </c>
    </row>
    <row r="246" spans="2:120">
      <c r="B246" s="683"/>
      <c r="C246" s="683"/>
      <c r="D246" s="683"/>
      <c r="E246" s="683" cm="1">
        <f t="array" ref="E246">IF(H245&lt;&gt;"",E245,IF(E245="","",IFERROR(MATCH(TRUE(),INDEX(INDEX(K:K,E245+1):K203&lt;&gt;"",0),0)+E245,"")))</f>
        <v>387</v>
      </c>
      <c r="F246" s="684" cm="1">
        <f t="array" ref="F246">IF(E246="","",IF(H245&lt;&gt;"",H245,INDEX(D:D,E246)))</f>
        <v>0</v>
      </c>
      <c r="G246" s="684" t="str">
        <f t="shared" si="30"/>
        <v>0</v>
      </c>
      <c r="H246" s="685" t="str">
        <f t="shared" si="31"/>
        <v/>
      </c>
      <c r="I246" s="683" t="str">
        <f>IF(AND(F246&lt;&gt;"",N10&gt;0,M246&gt;N10),"Mot &gt; limite","")</f>
        <v/>
      </c>
      <c r="M246" s="638">
        <f>IF(OR(F246="",N10="",N10&lt;=0),"",IF(LEN(F246)&lt;=N10,LEN(F246),IFERROR(FIND("♦",SUBSTITUTE(LEFT(F246,N10)," ","♦",LEN(LEFT(F246,N10))-LEN(SUBSTITUTE(LEFT(F246,N10)," ","")))),FIND(" ",F246&amp;" ",N10+1)-1)))</f>
        <v>1</v>
      </c>
      <c r="N246" s="686">
        <f t="shared" si="32"/>
        <v>229</v>
      </c>
      <c r="O246" s="663" t="str">
        <f t="shared" si="33"/>
        <v>0</v>
      </c>
      <c r="P246" s="686">
        <f t="shared" si="34"/>
        <v>1</v>
      </c>
      <c r="Q246" s="686">
        <f t="shared" si="35"/>
        <v>1</v>
      </c>
      <c r="S246" s="539"/>
      <c r="T246" s="570"/>
      <c r="U246" s="559"/>
      <c r="V246" s="539"/>
      <c r="W246" s="539"/>
      <c r="X246" s="539"/>
      <c r="Y246" s="539"/>
      <c r="Z246" s="539"/>
      <c r="AA246" s="539"/>
      <c r="AB246" s="539"/>
      <c r="AC246" s="539"/>
      <c r="AD246" s="539"/>
      <c r="AE246" s="539"/>
      <c r="AF246" s="539"/>
      <c r="AG246" s="539"/>
      <c r="AH246" s="539"/>
      <c r="AI246" s="539"/>
      <c r="AJ246" s="539"/>
      <c r="AK246" s="539"/>
      <c r="DE246" s="494"/>
      <c r="DF246" s="496" t="s">
        <v>1611</v>
      </c>
      <c r="DG246" s="496" t="s">
        <v>239</v>
      </c>
      <c r="DH246" s="496" t="s">
        <v>689</v>
      </c>
      <c r="DI246" s="496" t="s">
        <v>859</v>
      </c>
      <c r="DJ246" s="496" t="s">
        <v>859</v>
      </c>
      <c r="DK246" s="496" t="s">
        <v>1554</v>
      </c>
      <c r="DL246" s="496" t="s">
        <v>1561</v>
      </c>
      <c r="DM246" s="496" t="s">
        <v>1087</v>
      </c>
      <c r="DN246" s="497" t="s">
        <v>1088</v>
      </c>
      <c r="DP246" s="543">
        <v>1</v>
      </c>
    </row>
    <row r="247" spans="2:120">
      <c r="B247" s="683"/>
      <c r="C247" s="683"/>
      <c r="D247" s="683"/>
      <c r="E247" s="683" cm="1">
        <f t="array" ref="E247">IF(H246&lt;&gt;"",E246,IF(E246="","",IFERROR(MATCH(TRUE(),INDEX(INDEX(K:K,E246+1):K203&lt;&gt;"",0),0)+E246,"")))</f>
        <v>388</v>
      </c>
      <c r="F247" s="684" cm="1">
        <f t="array" ref="F247">IF(E247="","",IF(H246&lt;&gt;"",H246,INDEX(D:D,E247)))</f>
        <v>0</v>
      </c>
      <c r="G247" s="684" t="str">
        <f t="shared" si="30"/>
        <v>0</v>
      </c>
      <c r="H247" s="685" t="str">
        <f t="shared" si="31"/>
        <v/>
      </c>
      <c r="I247" s="683" t="str">
        <f>IF(AND(F247&lt;&gt;"",N10&gt;0,M247&gt;N10),"Mot &gt; limite","")</f>
        <v/>
      </c>
      <c r="M247" s="638">
        <f>IF(OR(F247="",N10="",N10&lt;=0),"",IF(LEN(F247)&lt;=N10,LEN(F247),IFERROR(FIND("♦",SUBSTITUTE(LEFT(F247,N10)," ","♦",LEN(LEFT(F247,N10))-LEN(SUBSTITUTE(LEFT(F247,N10)," ","")))),FIND(" ",F247&amp;" ",N10+1)-1)))</f>
        <v>1</v>
      </c>
      <c r="N247" s="686">
        <f t="shared" si="32"/>
        <v>230</v>
      </c>
      <c r="O247" s="663" t="str">
        <f t="shared" si="33"/>
        <v>0</v>
      </c>
      <c r="P247" s="686">
        <f t="shared" si="34"/>
        <v>1</v>
      </c>
      <c r="Q247" s="686">
        <f t="shared" si="35"/>
        <v>1</v>
      </c>
      <c r="S247" s="539"/>
      <c r="T247" s="569" t="s">
        <v>6050</v>
      </c>
      <c r="U247" s="568"/>
      <c r="V247" s="539"/>
      <c r="W247" s="539"/>
      <c r="X247" s="539"/>
      <c r="Y247" s="539"/>
      <c r="Z247" s="539"/>
      <c r="AA247" s="539"/>
      <c r="AB247" s="539"/>
      <c r="AC247" s="539"/>
      <c r="AD247" s="539"/>
      <c r="AE247" s="539"/>
      <c r="AF247" s="539"/>
      <c r="AG247" s="539"/>
      <c r="AH247" s="539"/>
      <c r="AI247" s="539"/>
      <c r="AJ247" s="539"/>
      <c r="AK247" s="539"/>
      <c r="DE247" s="494"/>
      <c r="DF247" s="496" t="s">
        <v>1612</v>
      </c>
      <c r="DG247" s="496" t="s">
        <v>239</v>
      </c>
      <c r="DH247" s="496" t="s">
        <v>689</v>
      </c>
      <c r="DI247" s="496" t="s">
        <v>1613</v>
      </c>
      <c r="DJ247" s="496" t="s">
        <v>1613</v>
      </c>
      <c r="DK247" s="496" t="s">
        <v>1151</v>
      </c>
      <c r="DL247" s="496" t="s">
        <v>1152</v>
      </c>
      <c r="DM247" s="496" t="s">
        <v>1087</v>
      </c>
      <c r="DN247" s="497" t="s">
        <v>1153</v>
      </c>
      <c r="DP247" s="543">
        <v>1</v>
      </c>
    </row>
    <row r="248" spans="2:120">
      <c r="B248" s="683"/>
      <c r="C248" s="683"/>
      <c r="D248" s="683"/>
      <c r="E248" s="683" cm="1">
        <f t="array" ref="E248">IF(H247&lt;&gt;"",E247,IF(E247="","",IFERROR(MATCH(TRUE(),INDEX(INDEX(K:K,E247+1):K203&lt;&gt;"",0),0)+E247,"")))</f>
        <v>389</v>
      </c>
      <c r="F248" s="684" cm="1">
        <f t="array" ref="F248">IF(E248="","",IF(H247&lt;&gt;"",H247,INDEX(D:D,E248)))</f>
        <v>0</v>
      </c>
      <c r="G248" s="684" t="str">
        <f t="shared" si="30"/>
        <v>0</v>
      </c>
      <c r="H248" s="685" t="str">
        <f t="shared" si="31"/>
        <v/>
      </c>
      <c r="I248" s="683" t="str">
        <f>IF(AND(F248&lt;&gt;"",N10&gt;0,M248&gt;N10),"Mot &gt; limite","")</f>
        <v/>
      </c>
      <c r="M248" s="638">
        <f>IF(OR(F248="",N10="",N10&lt;=0),"",IF(LEN(F248)&lt;=N10,LEN(F248),IFERROR(FIND("♦",SUBSTITUTE(LEFT(F248,N10)," ","♦",LEN(LEFT(F248,N10))-LEN(SUBSTITUTE(LEFT(F248,N10)," ","")))),FIND(" ",F248&amp;" ",N10+1)-1)))</f>
        <v>1</v>
      </c>
      <c r="N248" s="686">
        <f t="shared" si="32"/>
        <v>231</v>
      </c>
      <c r="O248" s="663" t="str">
        <f t="shared" si="33"/>
        <v>0</v>
      </c>
      <c r="P248" s="686">
        <f t="shared" si="34"/>
        <v>1</v>
      </c>
      <c r="Q248" s="686">
        <f t="shared" si="35"/>
        <v>1</v>
      </c>
      <c r="S248" s="539"/>
      <c r="T248" s="562" t="s">
        <v>6051</v>
      </c>
      <c r="U248" s="559" t="s">
        <v>6052</v>
      </c>
      <c r="V248" s="539"/>
      <c r="W248" s="539"/>
      <c r="X248" s="539"/>
      <c r="Y248" s="539"/>
      <c r="Z248" s="539"/>
      <c r="AA248" s="539"/>
      <c r="AB248" s="539"/>
      <c r="AC248" s="539"/>
      <c r="AD248" s="539"/>
      <c r="AE248" s="539"/>
      <c r="AF248" s="539"/>
      <c r="AG248" s="539"/>
      <c r="AH248" s="539"/>
      <c r="AI248" s="539"/>
      <c r="AJ248" s="539"/>
      <c r="AK248" s="539"/>
      <c r="DE248" s="494"/>
      <c r="DF248" s="496" t="s">
        <v>1614</v>
      </c>
      <c r="DG248" s="496" t="s">
        <v>239</v>
      </c>
      <c r="DH248" s="496" t="s">
        <v>689</v>
      </c>
      <c r="DI248" s="496" t="s">
        <v>284</v>
      </c>
      <c r="DJ248" s="496" t="s">
        <v>284</v>
      </c>
      <c r="DK248" s="496" t="s">
        <v>1151</v>
      </c>
      <c r="DL248" s="496" t="s">
        <v>1152</v>
      </c>
      <c r="DM248" s="496" t="s">
        <v>1087</v>
      </c>
      <c r="DN248" s="497" t="s">
        <v>1153</v>
      </c>
      <c r="DP248" s="543">
        <v>1</v>
      </c>
    </row>
    <row r="249" spans="2:120">
      <c r="B249" s="683"/>
      <c r="C249" s="683"/>
      <c r="D249" s="683"/>
      <c r="E249" s="683" cm="1">
        <f t="array" ref="E249">IF(H248&lt;&gt;"",E248,IF(E248="","",IFERROR(MATCH(TRUE(),INDEX(INDEX(K:K,E248+1):K203&lt;&gt;"",0),0)+E248,"")))</f>
        <v>390</v>
      </c>
      <c r="F249" s="684" cm="1">
        <f t="array" ref="F249">IF(E249="","",IF(H248&lt;&gt;"",H248,INDEX(D:D,E249)))</f>
        <v>0</v>
      </c>
      <c r="G249" s="684" t="str">
        <f t="shared" si="30"/>
        <v>0</v>
      </c>
      <c r="H249" s="685" t="str">
        <f t="shared" si="31"/>
        <v/>
      </c>
      <c r="I249" s="683" t="str">
        <f>IF(AND(F249&lt;&gt;"",N10&gt;0,M249&gt;N10),"Mot &gt; limite","")</f>
        <v/>
      </c>
      <c r="M249" s="638">
        <f>IF(OR(F249="",N10="",N10&lt;=0),"",IF(LEN(F249)&lt;=N10,LEN(F249),IFERROR(FIND("♦",SUBSTITUTE(LEFT(F249,N10)," ","♦",LEN(LEFT(F249,N10))-LEN(SUBSTITUTE(LEFT(F249,N10)," ","")))),FIND(" ",F249&amp;" ",N10+1)-1)))</f>
        <v>1</v>
      </c>
      <c r="N249" s="686">
        <f t="shared" si="32"/>
        <v>232</v>
      </c>
      <c r="O249" s="663" t="str">
        <f t="shared" si="33"/>
        <v>0</v>
      </c>
      <c r="P249" s="686">
        <f t="shared" si="34"/>
        <v>1</v>
      </c>
      <c r="Q249" s="686">
        <f t="shared" si="35"/>
        <v>1</v>
      </c>
      <c r="S249" s="539"/>
      <c r="T249" s="562" t="s">
        <v>6053</v>
      </c>
      <c r="U249" s="559" t="s">
        <v>6054</v>
      </c>
      <c r="V249" s="539"/>
      <c r="W249" s="539"/>
      <c r="X249" s="539"/>
      <c r="Y249" s="539"/>
      <c r="Z249" s="539"/>
      <c r="AA249" s="539"/>
      <c r="AB249" s="539"/>
      <c r="AC249" s="539"/>
      <c r="AD249" s="539"/>
      <c r="AE249" s="539"/>
      <c r="AF249" s="539"/>
      <c r="AG249" s="539"/>
      <c r="AH249" s="539"/>
      <c r="AI249" s="539"/>
      <c r="AJ249" s="539"/>
      <c r="AK249" s="539"/>
      <c r="DE249" s="494"/>
      <c r="DF249" s="496" t="s">
        <v>1615</v>
      </c>
      <c r="DG249" s="496" t="s">
        <v>239</v>
      </c>
      <c r="DH249" s="496" t="s">
        <v>689</v>
      </c>
      <c r="DI249" s="496" t="s">
        <v>43</v>
      </c>
      <c r="DJ249" s="496" t="s">
        <v>43</v>
      </c>
      <c r="DK249" s="496" t="s">
        <v>1554</v>
      </c>
      <c r="DL249" s="496" t="s">
        <v>1555</v>
      </c>
      <c r="DM249" s="496" t="s">
        <v>1556</v>
      </c>
      <c r="DN249" s="497" t="s">
        <v>1557</v>
      </c>
      <c r="DP249" s="543">
        <v>1</v>
      </c>
    </row>
    <row r="250" spans="2:120">
      <c r="B250" s="683"/>
      <c r="C250" s="683"/>
      <c r="D250" s="683"/>
      <c r="E250" s="683" cm="1">
        <f t="array" ref="E250">IF(H249&lt;&gt;"",E249,IF(E249="","",IFERROR(MATCH(TRUE(),INDEX(INDEX(K:K,E249+1):K203&lt;&gt;"",0),0)+E249,"")))</f>
        <v>391</v>
      </c>
      <c r="F250" s="684" cm="1">
        <f t="array" ref="F250">IF(E250="","",IF(H249&lt;&gt;"",H249,INDEX(D:D,E250)))</f>
        <v>0</v>
      </c>
      <c r="G250" s="684" t="str">
        <f t="shared" si="30"/>
        <v>0</v>
      </c>
      <c r="H250" s="685" t="str">
        <f t="shared" si="31"/>
        <v/>
      </c>
      <c r="I250" s="683" t="str">
        <f>IF(AND(F250&lt;&gt;"",N10&gt;0,M250&gt;N10),"Mot &gt; limite","")</f>
        <v/>
      </c>
      <c r="M250" s="638">
        <f>IF(OR(F250="",N10="",N10&lt;=0),"",IF(LEN(F250)&lt;=N10,LEN(F250),IFERROR(FIND("♦",SUBSTITUTE(LEFT(F250,N10)," ","♦",LEN(LEFT(F250,N10))-LEN(SUBSTITUTE(LEFT(F250,N10)," ","")))),FIND(" ",F250&amp;" ",N10+1)-1)))</f>
        <v>1</v>
      </c>
      <c r="N250" s="686">
        <f t="shared" si="32"/>
        <v>233</v>
      </c>
      <c r="O250" s="663" t="str">
        <f t="shared" si="33"/>
        <v>0</v>
      </c>
      <c r="P250" s="686">
        <f t="shared" si="34"/>
        <v>1</v>
      </c>
      <c r="Q250" s="686">
        <f t="shared" si="35"/>
        <v>1</v>
      </c>
      <c r="S250" s="553"/>
      <c r="T250" s="571" t="s">
        <v>6055</v>
      </c>
      <c r="U250" s="559" t="s">
        <v>6056</v>
      </c>
      <c r="V250" s="553"/>
      <c r="W250" s="553"/>
      <c r="X250" s="553"/>
      <c r="Y250" s="553"/>
      <c r="Z250" s="553"/>
      <c r="AA250" s="553"/>
      <c r="AB250" s="553"/>
      <c r="AC250" s="553"/>
      <c r="AD250" s="553"/>
      <c r="AE250" s="553"/>
      <c r="AF250" s="553"/>
      <c r="AG250" s="553"/>
      <c r="AH250" s="553"/>
      <c r="AI250" s="553"/>
      <c r="AJ250" s="553"/>
      <c r="AK250" s="553"/>
      <c r="DE250" s="494"/>
      <c r="DF250" s="496" t="s">
        <v>1616</v>
      </c>
      <c r="DG250" s="496" t="s">
        <v>239</v>
      </c>
      <c r="DH250" s="496" t="s">
        <v>689</v>
      </c>
      <c r="DI250" s="496" t="s">
        <v>1617</v>
      </c>
      <c r="DJ250" s="496" t="s">
        <v>1617</v>
      </c>
      <c r="DK250" s="496" t="s">
        <v>1554</v>
      </c>
      <c r="DL250" s="496" t="s">
        <v>1555</v>
      </c>
      <c r="DM250" s="496" t="s">
        <v>1556</v>
      </c>
      <c r="DN250" s="497" t="s">
        <v>1557</v>
      </c>
      <c r="DP250" s="543">
        <v>1</v>
      </c>
    </row>
    <row r="251" spans="2:120">
      <c r="B251" s="683"/>
      <c r="C251" s="683"/>
      <c r="D251" s="683"/>
      <c r="E251" s="683" cm="1">
        <f t="array" ref="E251">IF(H250&lt;&gt;"",E250,IF(E250="","",IFERROR(MATCH(TRUE(),INDEX(INDEX(K:K,E250+1):K203&lt;&gt;"",0),0)+E250,"")))</f>
        <v>392</v>
      </c>
      <c r="F251" s="684" cm="1">
        <f t="array" ref="F251">IF(E251="","",IF(H250&lt;&gt;"",H250,INDEX(D:D,E251)))</f>
        <v>0</v>
      </c>
      <c r="G251" s="684" t="str">
        <f t="shared" si="30"/>
        <v>0</v>
      </c>
      <c r="H251" s="685" t="str">
        <f t="shared" si="31"/>
        <v/>
      </c>
      <c r="I251" s="683" t="str">
        <f>IF(AND(F251&lt;&gt;"",N10&gt;0,M251&gt;N10),"Mot &gt; limite","")</f>
        <v/>
      </c>
      <c r="M251" s="638">
        <f>IF(OR(F251="",N10="",N10&lt;=0),"",IF(LEN(F251)&lt;=N10,LEN(F251),IFERROR(FIND("♦",SUBSTITUTE(LEFT(F251,N10)," ","♦",LEN(LEFT(F251,N10))-LEN(SUBSTITUTE(LEFT(F251,N10)," ","")))),FIND(" ",F251&amp;" ",N10+1)-1)))</f>
        <v>1</v>
      </c>
      <c r="N251" s="686">
        <f t="shared" si="32"/>
        <v>234</v>
      </c>
      <c r="O251" s="663" t="str">
        <f t="shared" si="33"/>
        <v>0</v>
      </c>
      <c r="P251" s="686">
        <f t="shared" si="34"/>
        <v>1</v>
      </c>
      <c r="Q251" s="686">
        <f t="shared" si="35"/>
        <v>1</v>
      </c>
      <c r="S251" s="553"/>
      <c r="T251" s="571" t="s">
        <v>6057</v>
      </c>
      <c r="U251" s="559" t="s">
        <v>6058</v>
      </c>
      <c r="V251" s="553"/>
      <c r="W251" s="553"/>
      <c r="X251" s="553"/>
      <c r="Y251" s="553"/>
      <c r="Z251" s="553"/>
      <c r="AA251" s="553"/>
      <c r="AB251" s="553"/>
      <c r="AC251" s="553"/>
      <c r="AD251" s="553"/>
      <c r="AE251" s="553"/>
      <c r="AF251" s="553"/>
      <c r="AG251" s="553"/>
      <c r="AH251" s="553"/>
      <c r="AI251" s="553"/>
      <c r="AJ251" s="553"/>
      <c r="AK251" s="553"/>
      <c r="DE251" s="494"/>
      <c r="DF251" s="496" t="s">
        <v>1618</v>
      </c>
      <c r="DG251" s="496" t="s">
        <v>239</v>
      </c>
      <c r="DH251" s="496" t="s">
        <v>689</v>
      </c>
      <c r="DI251" s="496" t="s">
        <v>1619</v>
      </c>
      <c r="DJ251" s="496" t="s">
        <v>1619</v>
      </c>
      <c r="DK251" s="496" t="s">
        <v>1554</v>
      </c>
      <c r="DL251" s="496" t="s">
        <v>1555</v>
      </c>
      <c r="DM251" s="496" t="s">
        <v>1556</v>
      </c>
      <c r="DN251" s="497" t="s">
        <v>1557</v>
      </c>
      <c r="DP251" s="543">
        <v>1</v>
      </c>
    </row>
    <row r="252" spans="2:120">
      <c r="B252" s="683"/>
      <c r="C252" s="683"/>
      <c r="D252" s="683"/>
      <c r="E252" s="683" cm="1">
        <f t="array" ref="E252">IF(H251&lt;&gt;"",E251,IF(E251="","",IFERROR(MATCH(TRUE(),INDEX(INDEX(K:K,E251+1):K203&lt;&gt;"",0),0)+E251,"")))</f>
        <v>393</v>
      </c>
      <c r="F252" s="684" cm="1">
        <f t="array" ref="F252">IF(E252="","",IF(H251&lt;&gt;"",H251,INDEX(D:D,E252)))</f>
        <v>0</v>
      </c>
      <c r="G252" s="684" t="str">
        <f t="shared" si="30"/>
        <v>0</v>
      </c>
      <c r="H252" s="685" t="str">
        <f t="shared" si="31"/>
        <v/>
      </c>
      <c r="I252" s="683" t="str">
        <f>IF(AND(F252&lt;&gt;"",N10&gt;0,M252&gt;N10),"Mot &gt; limite","")</f>
        <v/>
      </c>
      <c r="M252" s="638">
        <f>IF(OR(F252="",N10="",N10&lt;=0),"",IF(LEN(F252)&lt;=N10,LEN(F252),IFERROR(FIND("♦",SUBSTITUTE(LEFT(F252,N10)," ","♦",LEN(LEFT(F252,N10))-LEN(SUBSTITUTE(LEFT(F252,N10)," ","")))),FIND(" ",F252&amp;" ",N10+1)-1)))</f>
        <v>1</v>
      </c>
      <c r="N252" s="686">
        <f t="shared" si="32"/>
        <v>235</v>
      </c>
      <c r="O252" s="663" t="str">
        <f t="shared" si="33"/>
        <v>0</v>
      </c>
      <c r="P252" s="686">
        <f t="shared" si="34"/>
        <v>1</v>
      </c>
      <c r="Q252" s="686">
        <f t="shared" si="35"/>
        <v>1</v>
      </c>
      <c r="S252" s="553"/>
      <c r="T252" s="562" t="s">
        <v>6059</v>
      </c>
      <c r="U252" s="559" t="s">
        <v>6060</v>
      </c>
      <c r="V252" s="553"/>
      <c r="W252" s="553"/>
      <c r="X252" s="553"/>
      <c r="Y252" s="553"/>
      <c r="Z252" s="553"/>
      <c r="AA252" s="553"/>
      <c r="AB252" s="553"/>
      <c r="AC252" s="553"/>
      <c r="AD252" s="553"/>
      <c r="AE252" s="553"/>
      <c r="AF252" s="553"/>
      <c r="AG252" s="553"/>
      <c r="AH252" s="553"/>
      <c r="AI252" s="553"/>
      <c r="AJ252" s="553"/>
      <c r="AK252" s="553"/>
      <c r="DE252" s="494"/>
      <c r="DF252" s="496" t="s">
        <v>1620</v>
      </c>
      <c r="DG252" s="496" t="s">
        <v>239</v>
      </c>
      <c r="DH252" s="496" t="s">
        <v>689</v>
      </c>
      <c r="DI252" s="496" t="s">
        <v>1621</v>
      </c>
      <c r="DJ252" s="496" t="s">
        <v>1621</v>
      </c>
      <c r="DK252" s="496" t="s">
        <v>1554</v>
      </c>
      <c r="DL252" s="496" t="s">
        <v>1555</v>
      </c>
      <c r="DM252" s="496" t="s">
        <v>1556</v>
      </c>
      <c r="DN252" s="497" t="s">
        <v>1557</v>
      </c>
      <c r="DP252" s="543">
        <v>1</v>
      </c>
    </row>
    <row r="253" spans="2:120">
      <c r="B253" s="683"/>
      <c r="C253" s="683"/>
      <c r="D253" s="683"/>
      <c r="E253" s="683" cm="1">
        <f t="array" ref="E253">IF(H252&lt;&gt;"",E252,IF(E252="","",IFERROR(MATCH(TRUE(),INDEX(INDEX(K:K,E252+1):K203&lt;&gt;"",0),0)+E252,"")))</f>
        <v>394</v>
      </c>
      <c r="F253" s="684" cm="1">
        <f t="array" ref="F253">IF(E253="","",IF(H252&lt;&gt;"",H252,INDEX(D:D,E253)))</f>
        <v>0</v>
      </c>
      <c r="G253" s="684" t="str">
        <f t="shared" si="30"/>
        <v>0</v>
      </c>
      <c r="H253" s="685" t="str">
        <f t="shared" si="31"/>
        <v/>
      </c>
      <c r="I253" s="683" t="str">
        <f>IF(AND(F253&lt;&gt;"",N10&gt;0,M253&gt;N10),"Mot &gt; limite","")</f>
        <v/>
      </c>
      <c r="M253" s="638">
        <f>IF(OR(F253="",N10="",N10&lt;=0),"",IF(LEN(F253)&lt;=N10,LEN(F253),IFERROR(FIND("♦",SUBSTITUTE(LEFT(F253,N10)," ","♦",LEN(LEFT(F253,N10))-LEN(SUBSTITUTE(LEFT(F253,N10)," ","")))),FIND(" ",F253&amp;" ",N10+1)-1)))</f>
        <v>1</v>
      </c>
      <c r="N253" s="686">
        <f t="shared" si="32"/>
        <v>236</v>
      </c>
      <c r="O253" s="663" t="str">
        <f t="shared" si="33"/>
        <v>0</v>
      </c>
      <c r="P253" s="686">
        <f t="shared" si="34"/>
        <v>1</v>
      </c>
      <c r="Q253" s="686">
        <f t="shared" si="35"/>
        <v>1</v>
      </c>
      <c r="S253" s="553"/>
      <c r="T253" s="571" t="s">
        <v>6061</v>
      </c>
      <c r="U253" s="559" t="s">
        <v>6062</v>
      </c>
      <c r="V253" s="553"/>
      <c r="W253" s="553"/>
      <c r="X253" s="553"/>
      <c r="Y253" s="553"/>
      <c r="Z253" s="553"/>
      <c r="AA253" s="553"/>
      <c r="AB253" s="553"/>
      <c r="AC253" s="553"/>
      <c r="AD253" s="553"/>
      <c r="AE253" s="553"/>
      <c r="AF253" s="553"/>
      <c r="AG253" s="553"/>
      <c r="AH253" s="553"/>
      <c r="AI253" s="553"/>
      <c r="AJ253" s="553"/>
      <c r="AK253" s="553"/>
      <c r="DE253" s="494"/>
      <c r="DF253" s="496" t="s">
        <v>1622</v>
      </c>
      <c r="DG253" s="496" t="s">
        <v>239</v>
      </c>
      <c r="DH253" s="496" t="s">
        <v>689</v>
      </c>
      <c r="DI253" s="496" t="s">
        <v>1623</v>
      </c>
      <c r="DJ253" s="496" t="s">
        <v>1623</v>
      </c>
      <c r="DK253" s="496" t="s">
        <v>1554</v>
      </c>
      <c r="DL253" s="496" t="s">
        <v>1555</v>
      </c>
      <c r="DM253" s="496" t="s">
        <v>1556</v>
      </c>
      <c r="DN253" s="497" t="s">
        <v>1557</v>
      </c>
      <c r="DP253" s="543">
        <v>1</v>
      </c>
    </row>
    <row r="254" spans="2:120">
      <c r="B254" s="683"/>
      <c r="C254" s="683"/>
      <c r="D254" s="683"/>
      <c r="E254" s="683" cm="1">
        <f t="array" ref="E254">IF(H253&lt;&gt;"",E253,IF(E253="","",IFERROR(MATCH(TRUE(),INDEX(INDEX(K:K,E253+1):K203&lt;&gt;"",0),0)+E253,"")))</f>
        <v>395</v>
      </c>
      <c r="F254" s="684" cm="1">
        <f t="array" ref="F254">IF(E254="","",IF(H253&lt;&gt;"",H253,INDEX(D:D,E254)))</f>
        <v>0</v>
      </c>
      <c r="G254" s="684" t="str">
        <f t="shared" si="30"/>
        <v>0</v>
      </c>
      <c r="H254" s="685" t="str">
        <f t="shared" si="31"/>
        <v/>
      </c>
      <c r="I254" s="683" t="str">
        <f>IF(AND(F254&lt;&gt;"",N10&gt;0,M254&gt;N10),"Mot &gt; limite","")</f>
        <v/>
      </c>
      <c r="M254" s="638">
        <f>IF(OR(F254="",N10="",N10&lt;=0),"",IF(LEN(F254)&lt;=N10,LEN(F254),IFERROR(FIND("♦",SUBSTITUTE(LEFT(F254,N10)," ","♦",LEN(LEFT(F254,N10))-LEN(SUBSTITUTE(LEFT(F254,N10)," ","")))),FIND(" ",F254&amp;" ",N10+1)-1)))</f>
        <v>1</v>
      </c>
      <c r="N254" s="686">
        <f t="shared" si="32"/>
        <v>237</v>
      </c>
      <c r="O254" s="663" t="str">
        <f t="shared" si="33"/>
        <v>0</v>
      </c>
      <c r="P254" s="686">
        <f t="shared" si="34"/>
        <v>1</v>
      </c>
      <c r="Q254" s="686">
        <f t="shared" si="35"/>
        <v>1</v>
      </c>
      <c r="S254" s="553"/>
      <c r="T254" s="571"/>
      <c r="U254" s="559"/>
      <c r="V254" s="553"/>
      <c r="W254" s="553"/>
      <c r="X254" s="553"/>
      <c r="Y254" s="553"/>
      <c r="Z254" s="553"/>
      <c r="AA254" s="553"/>
      <c r="AB254" s="553"/>
      <c r="AC254" s="553"/>
      <c r="AD254" s="553"/>
      <c r="AE254" s="553"/>
      <c r="AF254" s="553"/>
      <c r="AG254" s="553"/>
      <c r="AH254" s="553"/>
      <c r="AI254" s="553"/>
      <c r="AJ254" s="553"/>
      <c r="AK254" s="553"/>
      <c r="DE254" s="494"/>
      <c r="DF254" s="496" t="s">
        <v>1624</v>
      </c>
      <c r="DG254" s="496" t="s">
        <v>239</v>
      </c>
      <c r="DH254" s="496" t="s">
        <v>689</v>
      </c>
      <c r="DI254" s="496" t="s">
        <v>1625</v>
      </c>
      <c r="DJ254" s="496" t="s">
        <v>1625</v>
      </c>
      <c r="DK254" s="496" t="s">
        <v>1554</v>
      </c>
      <c r="DL254" s="496" t="s">
        <v>1555</v>
      </c>
      <c r="DM254" s="496" t="s">
        <v>1556</v>
      </c>
      <c r="DN254" s="497" t="s">
        <v>1557</v>
      </c>
      <c r="DP254" s="543">
        <v>1</v>
      </c>
    </row>
    <row r="255" spans="2:120">
      <c r="B255" s="683"/>
      <c r="C255" s="683"/>
      <c r="D255" s="683"/>
      <c r="E255" s="683" cm="1">
        <f t="array" ref="E255">IF(H254&lt;&gt;"",E254,IF(E254="","",IFERROR(MATCH(TRUE(),INDEX(INDEX(K:K,E254+1):K203&lt;&gt;"",0),0)+E254,"")))</f>
        <v>396</v>
      </c>
      <c r="F255" s="684" cm="1">
        <f t="array" ref="F255">IF(E255="","",IF(H254&lt;&gt;"",H254,INDEX(D:D,E255)))</f>
        <v>0</v>
      </c>
      <c r="G255" s="684" t="str">
        <f t="shared" si="30"/>
        <v>0</v>
      </c>
      <c r="H255" s="685" t="str">
        <f t="shared" si="31"/>
        <v/>
      </c>
      <c r="I255" s="683" t="str">
        <f>IF(AND(F255&lt;&gt;"",N10&gt;0,M255&gt;N10),"Mot &gt; limite","")</f>
        <v/>
      </c>
      <c r="M255" s="638">
        <f>IF(OR(F255="",N10="",N10&lt;=0),"",IF(LEN(F255)&lt;=N10,LEN(F255),IFERROR(FIND("♦",SUBSTITUTE(LEFT(F255,N10)," ","♦",LEN(LEFT(F255,N10))-LEN(SUBSTITUTE(LEFT(F255,N10)," ","")))),FIND(" ",F255&amp;" ",N10+1)-1)))</f>
        <v>1</v>
      </c>
      <c r="N255" s="686">
        <f t="shared" si="32"/>
        <v>238</v>
      </c>
      <c r="O255" s="663" t="str">
        <f t="shared" si="33"/>
        <v>0</v>
      </c>
      <c r="P255" s="686">
        <f t="shared" si="34"/>
        <v>1</v>
      </c>
      <c r="Q255" s="686">
        <f t="shared" si="35"/>
        <v>1</v>
      </c>
      <c r="S255" s="553"/>
      <c r="T255" s="569" t="s">
        <v>6063</v>
      </c>
      <c r="U255" s="568"/>
      <c r="V255" s="553"/>
      <c r="W255" s="553"/>
      <c r="X255" s="553"/>
      <c r="Y255" s="553"/>
      <c r="Z255" s="553"/>
      <c r="AA255" s="553"/>
      <c r="AB255" s="553"/>
      <c r="AC255" s="553"/>
      <c r="AD255" s="553"/>
      <c r="AE255" s="553"/>
      <c r="AF255" s="553"/>
      <c r="AG255" s="553"/>
      <c r="AH255" s="553"/>
      <c r="AI255" s="553"/>
      <c r="AJ255" s="553"/>
      <c r="AK255" s="553"/>
      <c r="DE255" s="494"/>
      <c r="DF255" s="496" t="s">
        <v>1626</v>
      </c>
      <c r="DG255" s="496" t="s">
        <v>239</v>
      </c>
      <c r="DH255" s="496" t="s">
        <v>689</v>
      </c>
      <c r="DI255" s="496" t="s">
        <v>1627</v>
      </c>
      <c r="DJ255" s="496" t="s">
        <v>1627</v>
      </c>
      <c r="DK255" s="496" t="s">
        <v>1554</v>
      </c>
      <c r="DL255" s="496" t="s">
        <v>1555</v>
      </c>
      <c r="DM255" s="496" t="s">
        <v>1556</v>
      </c>
      <c r="DN255" s="497" t="s">
        <v>1557</v>
      </c>
      <c r="DP255" s="543">
        <v>1</v>
      </c>
    </row>
    <row r="256" spans="2:120">
      <c r="B256" s="683"/>
      <c r="C256" s="683"/>
      <c r="D256" s="683"/>
      <c r="E256" s="683" cm="1">
        <f t="array" ref="E256">IF(H255&lt;&gt;"",E255,IF(E255="","",IFERROR(MATCH(TRUE(),INDEX(INDEX(K:K,E255+1):K203&lt;&gt;"",0),0)+E255,"")))</f>
        <v>397</v>
      </c>
      <c r="F256" s="684" cm="1">
        <f t="array" ref="F256">IF(E256="","",IF(H255&lt;&gt;"",H255,INDEX(D:D,E256)))</f>
        <v>0</v>
      </c>
      <c r="G256" s="684" t="str">
        <f t="shared" si="30"/>
        <v>0</v>
      </c>
      <c r="H256" s="685" t="str">
        <f t="shared" si="31"/>
        <v/>
      </c>
      <c r="I256" s="683" t="str">
        <f>IF(AND(F256&lt;&gt;"",N10&gt;0,M256&gt;N10),"Mot &gt; limite","")</f>
        <v/>
      </c>
      <c r="M256" s="638">
        <f>IF(OR(F256="",N10="",N10&lt;=0),"",IF(LEN(F256)&lt;=N10,LEN(F256),IFERROR(FIND("♦",SUBSTITUTE(LEFT(F256,N10)," ","♦",LEN(LEFT(F256,N10))-LEN(SUBSTITUTE(LEFT(F256,N10)," ","")))),FIND(" ",F256&amp;" ",N10+1)-1)))</f>
        <v>1</v>
      </c>
      <c r="N256" s="686">
        <f t="shared" si="32"/>
        <v>239</v>
      </c>
      <c r="O256" s="663" t="str">
        <f t="shared" si="33"/>
        <v>0</v>
      </c>
      <c r="P256" s="686">
        <f t="shared" si="34"/>
        <v>1</v>
      </c>
      <c r="Q256" s="686">
        <f t="shared" si="35"/>
        <v>1</v>
      </c>
      <c r="S256" s="553"/>
      <c r="T256" s="562" t="s">
        <v>6064</v>
      </c>
      <c r="U256" s="559" t="s">
        <v>6065</v>
      </c>
      <c r="V256" s="553"/>
      <c r="W256" s="553"/>
      <c r="X256" s="553"/>
      <c r="Y256" s="553"/>
      <c r="Z256" s="553"/>
      <c r="AA256" s="553"/>
      <c r="AB256" s="553"/>
      <c r="AC256" s="553"/>
      <c r="AD256" s="553"/>
      <c r="AE256" s="553"/>
      <c r="AF256" s="553"/>
      <c r="AG256" s="553"/>
      <c r="AH256" s="553"/>
      <c r="AI256" s="553"/>
      <c r="AJ256" s="553"/>
      <c r="AK256" s="553"/>
      <c r="DE256" s="494"/>
      <c r="DF256" s="496" t="s">
        <v>1628</v>
      </c>
      <c r="DG256" s="496" t="s">
        <v>239</v>
      </c>
      <c r="DH256" s="496" t="s">
        <v>689</v>
      </c>
      <c r="DI256" s="496" t="s">
        <v>1629</v>
      </c>
      <c r="DJ256" s="496" t="s">
        <v>1629</v>
      </c>
      <c r="DK256" s="496" t="s">
        <v>1554</v>
      </c>
      <c r="DL256" s="496" t="s">
        <v>1555</v>
      </c>
      <c r="DM256" s="496" t="s">
        <v>1556</v>
      </c>
      <c r="DN256" s="497" t="s">
        <v>1557</v>
      </c>
      <c r="DP256" s="543">
        <v>1</v>
      </c>
    </row>
    <row r="257" spans="2:120">
      <c r="B257" s="683"/>
      <c r="C257" s="683"/>
      <c r="D257" s="683"/>
      <c r="E257" s="683" cm="1">
        <f t="array" ref="E257">IF(H256&lt;&gt;"",E256,IF(E256="","",IFERROR(MATCH(TRUE(),INDEX(INDEX(K:K,E256+1):K203&lt;&gt;"",0),0)+E256,"")))</f>
        <v>398</v>
      </c>
      <c r="F257" s="684" cm="1">
        <f t="array" ref="F257">IF(E257="","",IF(H256&lt;&gt;"",H256,INDEX(D:D,E257)))</f>
        <v>0</v>
      </c>
      <c r="G257" s="684" t="str">
        <f t="shared" si="30"/>
        <v>0</v>
      </c>
      <c r="H257" s="685" t="str">
        <f t="shared" si="31"/>
        <v/>
      </c>
      <c r="I257" s="683" t="str">
        <f>IF(AND(F257&lt;&gt;"",N10&gt;0,M257&gt;N10),"Mot &gt; limite","")</f>
        <v/>
      </c>
      <c r="M257" s="638">
        <f>IF(OR(F257="",N10="",N10&lt;=0),"",IF(LEN(F257)&lt;=N10,LEN(F257),IFERROR(FIND("♦",SUBSTITUTE(LEFT(F257,N10)," ","♦",LEN(LEFT(F257,N10))-LEN(SUBSTITUTE(LEFT(F257,N10)," ","")))),FIND(" ",F257&amp;" ",N10+1)-1)))</f>
        <v>1</v>
      </c>
      <c r="N257" s="686">
        <f t="shared" si="32"/>
        <v>240</v>
      </c>
      <c r="O257" s="663" t="str">
        <f t="shared" si="33"/>
        <v>0</v>
      </c>
      <c r="P257" s="686">
        <f t="shared" si="34"/>
        <v>1</v>
      </c>
      <c r="Q257" s="686">
        <f t="shared" si="35"/>
        <v>1</v>
      </c>
      <c r="S257" s="553"/>
      <c r="T257" s="571" t="s">
        <v>6066</v>
      </c>
      <c r="U257" s="572" t="s">
        <v>6067</v>
      </c>
      <c r="V257" s="553"/>
      <c r="W257" s="553"/>
      <c r="X257" s="553"/>
      <c r="Y257" s="553"/>
      <c r="Z257" s="553"/>
      <c r="AA257" s="553"/>
      <c r="AB257" s="553"/>
      <c r="AC257" s="553"/>
      <c r="AD257" s="553"/>
      <c r="AE257" s="553"/>
      <c r="AF257" s="553"/>
      <c r="AG257" s="553"/>
      <c r="AH257" s="553"/>
      <c r="AI257" s="553"/>
      <c r="AJ257" s="553"/>
      <c r="AK257" s="553"/>
      <c r="DE257" s="494"/>
      <c r="DF257" s="496" t="s">
        <v>1630</v>
      </c>
      <c r="DG257" s="496" t="s">
        <v>239</v>
      </c>
      <c r="DH257" s="496" t="s">
        <v>689</v>
      </c>
      <c r="DI257" s="496" t="s">
        <v>1631</v>
      </c>
      <c r="DJ257" s="496" t="s">
        <v>1631</v>
      </c>
      <c r="DK257" s="496" t="s">
        <v>1554</v>
      </c>
      <c r="DL257" s="496" t="s">
        <v>1555</v>
      </c>
      <c r="DM257" s="496" t="s">
        <v>1556</v>
      </c>
      <c r="DN257" s="497" t="s">
        <v>1557</v>
      </c>
      <c r="DP257" s="543">
        <v>1</v>
      </c>
    </row>
    <row r="258" spans="2:120">
      <c r="B258" s="683"/>
      <c r="C258" s="683"/>
      <c r="D258" s="683"/>
      <c r="E258" s="683" cm="1">
        <f t="array" ref="E258">IF(H257&lt;&gt;"",E257,IF(E257="","",IFERROR(MATCH(TRUE(),INDEX(INDEX(K:K,E257+1):K203&lt;&gt;"",0),0)+E257,"")))</f>
        <v>399</v>
      </c>
      <c r="F258" s="684" cm="1">
        <f t="array" ref="F258">IF(E258="","",IF(H257&lt;&gt;"",H257,INDEX(D:D,E258)))</f>
        <v>0</v>
      </c>
      <c r="G258" s="684" t="str">
        <f t="shared" si="30"/>
        <v>0</v>
      </c>
      <c r="H258" s="685" t="str">
        <f t="shared" si="31"/>
        <v/>
      </c>
      <c r="I258" s="683" t="str">
        <f>IF(AND(F258&lt;&gt;"",N10&gt;0,M258&gt;N10),"Mot &gt; limite","")</f>
        <v/>
      </c>
      <c r="M258" s="638">
        <f>IF(OR(F258="",N10="",N10&lt;=0),"",IF(LEN(F258)&lt;=N10,LEN(F258),IFERROR(FIND("♦",SUBSTITUTE(LEFT(F258,N10)," ","♦",LEN(LEFT(F258,N10))-LEN(SUBSTITUTE(LEFT(F258,N10)," ","")))),FIND(" ",F258&amp;" ",N10+1)-1)))</f>
        <v>1</v>
      </c>
      <c r="N258" s="686">
        <f t="shared" si="32"/>
        <v>241</v>
      </c>
      <c r="O258" s="663" t="str">
        <f t="shared" si="33"/>
        <v>0</v>
      </c>
      <c r="P258" s="686">
        <f t="shared" si="34"/>
        <v>1</v>
      </c>
      <c r="Q258" s="686">
        <f t="shared" si="35"/>
        <v>1</v>
      </c>
      <c r="S258" s="553"/>
      <c r="T258" s="571" t="s">
        <v>6068</v>
      </c>
      <c r="U258" s="572" t="s">
        <v>6069</v>
      </c>
      <c r="V258" s="553"/>
      <c r="W258" s="553"/>
      <c r="X258" s="553"/>
      <c r="Y258" s="553"/>
      <c r="Z258" s="553"/>
      <c r="AA258" s="553"/>
      <c r="AB258" s="553"/>
      <c r="AC258" s="553"/>
      <c r="AD258" s="553"/>
      <c r="AE258" s="553"/>
      <c r="AF258" s="553"/>
      <c r="AG258" s="553"/>
      <c r="AH258" s="553"/>
      <c r="AI258" s="553"/>
      <c r="AJ258" s="553"/>
      <c r="AK258" s="553"/>
      <c r="DE258" s="494"/>
      <c r="DF258" s="496" t="s">
        <v>1632</v>
      </c>
      <c r="DG258" s="496" t="s">
        <v>239</v>
      </c>
      <c r="DH258" s="496" t="s">
        <v>689</v>
      </c>
      <c r="DI258" s="496" t="s">
        <v>1633</v>
      </c>
      <c r="DJ258" s="496" t="s">
        <v>1633</v>
      </c>
      <c r="DK258" s="496" t="s">
        <v>1554</v>
      </c>
      <c r="DL258" s="496" t="s">
        <v>1555</v>
      </c>
      <c r="DM258" s="496" t="s">
        <v>1556</v>
      </c>
      <c r="DN258" s="497" t="s">
        <v>1557</v>
      </c>
      <c r="DP258" s="543">
        <v>1</v>
      </c>
    </row>
    <row r="259" spans="2:120">
      <c r="B259" s="683"/>
      <c r="C259" s="683"/>
      <c r="D259" s="683"/>
      <c r="E259" s="683" cm="1">
        <f t="array" ref="E259">IF(H258&lt;&gt;"",E258,IF(E258="","",IFERROR(MATCH(TRUE(),INDEX(INDEX(K:K,E258+1):K203&lt;&gt;"",0),0)+E258,"")))</f>
        <v>400</v>
      </c>
      <c r="F259" s="684" cm="1">
        <f t="array" ref="F259">IF(E259="","",IF(H258&lt;&gt;"",H258,INDEX(D:D,E259)))</f>
        <v>0</v>
      </c>
      <c r="G259" s="684" t="str">
        <f t="shared" si="30"/>
        <v>0</v>
      </c>
      <c r="H259" s="685" t="str">
        <f t="shared" si="31"/>
        <v/>
      </c>
      <c r="I259" s="683" t="str">
        <f>IF(AND(F259&lt;&gt;"",N10&gt;0,M259&gt;N10),"Mot &gt; limite","")</f>
        <v/>
      </c>
      <c r="M259" s="638">
        <f>IF(OR(F259="",N10="",N10&lt;=0),"",IF(LEN(F259)&lt;=N10,LEN(F259),IFERROR(FIND("♦",SUBSTITUTE(LEFT(F259,N10)," ","♦",LEN(LEFT(F259,N10))-LEN(SUBSTITUTE(LEFT(F259,N10)," ","")))),FIND(" ",F259&amp;" ",N10+1)-1)))</f>
        <v>1</v>
      </c>
      <c r="N259" s="686">
        <f t="shared" si="32"/>
        <v>242</v>
      </c>
      <c r="O259" s="663" t="str">
        <f t="shared" si="33"/>
        <v>0</v>
      </c>
      <c r="P259" s="686">
        <f t="shared" si="34"/>
        <v>1</v>
      </c>
      <c r="Q259" s="686">
        <f t="shared" si="35"/>
        <v>1</v>
      </c>
      <c r="S259" s="553"/>
      <c r="T259" s="571" t="s">
        <v>6070</v>
      </c>
      <c r="U259" s="559" t="s">
        <v>6071</v>
      </c>
      <c r="V259" s="553"/>
      <c r="W259" s="553"/>
      <c r="X259" s="553"/>
      <c r="Y259" s="553"/>
      <c r="Z259" s="553"/>
      <c r="AA259" s="553"/>
      <c r="AB259" s="553"/>
      <c r="AC259" s="553"/>
      <c r="AD259" s="553"/>
      <c r="AE259" s="553"/>
      <c r="AF259" s="553"/>
      <c r="AG259" s="553"/>
      <c r="AH259" s="553"/>
      <c r="AI259" s="553"/>
      <c r="AJ259" s="553"/>
      <c r="AK259" s="553"/>
      <c r="DE259" s="494"/>
      <c r="DF259" s="496" t="s">
        <v>1634</v>
      </c>
      <c r="DG259" s="496" t="s">
        <v>239</v>
      </c>
      <c r="DH259" s="496" t="s">
        <v>689</v>
      </c>
      <c r="DI259" s="496" t="s">
        <v>862</v>
      </c>
      <c r="DJ259" s="496" t="s">
        <v>862</v>
      </c>
      <c r="DK259" s="496" t="s">
        <v>1554</v>
      </c>
      <c r="DL259" s="496" t="s">
        <v>1555</v>
      </c>
      <c r="DM259" s="496" t="s">
        <v>1556</v>
      </c>
      <c r="DN259" s="497" t="s">
        <v>1557</v>
      </c>
      <c r="DP259" s="543">
        <v>1</v>
      </c>
    </row>
    <row r="260" spans="2:120">
      <c r="B260" s="683"/>
      <c r="C260" s="683"/>
      <c r="D260" s="683"/>
      <c r="E260" s="683" cm="1">
        <f t="array" ref="E260">IF(H259&lt;&gt;"",E259,IF(E259="","",IFERROR(MATCH(TRUE(),INDEX(INDEX(K:K,E259+1):K203&lt;&gt;"",0),0)+E259,"")))</f>
        <v>401</v>
      </c>
      <c r="F260" s="684" cm="1">
        <f t="array" ref="F260">IF(E260="","",IF(H259&lt;&gt;"",H259,INDEX(D:D,E260)))</f>
        <v>0</v>
      </c>
      <c r="G260" s="684" t="str">
        <f t="shared" si="30"/>
        <v>0</v>
      </c>
      <c r="H260" s="685" t="str">
        <f t="shared" si="31"/>
        <v/>
      </c>
      <c r="I260" s="683" t="str">
        <f>IF(AND(F260&lt;&gt;"",N10&gt;0,M260&gt;N10),"Mot &gt; limite","")</f>
        <v/>
      </c>
      <c r="M260" s="638">
        <f>IF(OR(F260="",N10="",N10&lt;=0),"",IF(LEN(F260)&lt;=N10,LEN(F260),IFERROR(FIND("♦",SUBSTITUTE(LEFT(F260,N10)," ","♦",LEN(LEFT(F260,N10))-LEN(SUBSTITUTE(LEFT(F260,N10)," ","")))),FIND(" ",F260&amp;" ",N10+1)-1)))</f>
        <v>1</v>
      </c>
      <c r="N260" s="686">
        <f t="shared" si="32"/>
        <v>243</v>
      </c>
      <c r="O260" s="663" t="str">
        <f t="shared" si="33"/>
        <v>0</v>
      </c>
      <c r="P260" s="686">
        <f t="shared" si="34"/>
        <v>1</v>
      </c>
      <c r="Q260" s="686">
        <f t="shared" si="35"/>
        <v>1</v>
      </c>
      <c r="S260" s="553"/>
      <c r="T260" s="571" t="s">
        <v>6072</v>
      </c>
      <c r="U260" s="559" t="s">
        <v>6073</v>
      </c>
      <c r="V260" s="553"/>
      <c r="W260" s="553"/>
      <c r="X260" s="553"/>
      <c r="Y260" s="553"/>
      <c r="Z260" s="553"/>
      <c r="AA260" s="553"/>
      <c r="AB260" s="553"/>
      <c r="AC260" s="553"/>
      <c r="AD260" s="553"/>
      <c r="AE260" s="553"/>
      <c r="AF260" s="553"/>
      <c r="AG260" s="553"/>
      <c r="AH260" s="553"/>
      <c r="AI260" s="553"/>
      <c r="AJ260" s="553"/>
      <c r="AK260" s="553"/>
      <c r="DE260" s="494"/>
      <c r="DF260" s="496" t="s">
        <v>1635</v>
      </c>
      <c r="DG260" s="496" t="s">
        <v>239</v>
      </c>
      <c r="DH260" s="496" t="s">
        <v>689</v>
      </c>
      <c r="DI260" s="496" t="s">
        <v>1636</v>
      </c>
      <c r="DJ260" s="496" t="s">
        <v>1636</v>
      </c>
      <c r="DK260" s="496" t="s">
        <v>1554</v>
      </c>
      <c r="DL260" s="496" t="s">
        <v>1555</v>
      </c>
      <c r="DM260" s="496" t="s">
        <v>1556</v>
      </c>
      <c r="DN260" s="497" t="s">
        <v>1557</v>
      </c>
      <c r="DP260" s="543">
        <v>1</v>
      </c>
    </row>
    <row r="261" spans="2:120">
      <c r="B261" s="683"/>
      <c r="C261" s="683"/>
      <c r="D261" s="683"/>
      <c r="E261" s="683" cm="1">
        <f t="array" ref="E261">IF(H260&lt;&gt;"",E260,IF(E260="","",IFERROR(MATCH(TRUE(),INDEX(INDEX(K:K,E260+1):K203&lt;&gt;"",0),0)+E260,"")))</f>
        <v>402</v>
      </c>
      <c r="F261" s="684" cm="1">
        <f t="array" ref="F261">IF(E261="","",IF(H260&lt;&gt;"",H260,INDEX(D:D,E261)))</f>
        <v>0</v>
      </c>
      <c r="G261" s="684" t="str">
        <f t="shared" si="30"/>
        <v>0</v>
      </c>
      <c r="H261" s="685" t="str">
        <f t="shared" si="31"/>
        <v/>
      </c>
      <c r="I261" s="683" t="str">
        <f>IF(AND(F261&lt;&gt;"",N10&gt;0,M261&gt;N10),"Mot &gt; limite","")</f>
        <v/>
      </c>
      <c r="M261" s="638">
        <f>IF(OR(F261="",N10="",N10&lt;=0),"",IF(LEN(F261)&lt;=N10,LEN(F261),IFERROR(FIND("♦",SUBSTITUTE(LEFT(F261,N10)," ","♦",LEN(LEFT(F261,N10))-LEN(SUBSTITUTE(LEFT(F261,N10)," ","")))),FIND(" ",F261&amp;" ",N10+1)-1)))</f>
        <v>1</v>
      </c>
      <c r="N261" s="686">
        <f t="shared" si="32"/>
        <v>244</v>
      </c>
      <c r="O261" s="663" t="str">
        <f t="shared" si="33"/>
        <v>0</v>
      </c>
      <c r="P261" s="686">
        <f t="shared" si="34"/>
        <v>1</v>
      </c>
      <c r="Q261" s="686">
        <f t="shared" si="35"/>
        <v>1</v>
      </c>
      <c r="S261" s="553"/>
      <c r="T261" s="571"/>
      <c r="U261" s="559"/>
      <c r="V261" s="553"/>
      <c r="W261" s="553"/>
      <c r="X261" s="553"/>
      <c r="Y261" s="553"/>
      <c r="Z261" s="553"/>
      <c r="AA261" s="553"/>
      <c r="AB261" s="553"/>
      <c r="AC261" s="553"/>
      <c r="AD261" s="553"/>
      <c r="AE261" s="553"/>
      <c r="AF261" s="553"/>
      <c r="AG261" s="553"/>
      <c r="AH261" s="553"/>
      <c r="AI261" s="553"/>
      <c r="AJ261" s="553"/>
      <c r="AK261" s="553"/>
      <c r="DE261" s="494"/>
      <c r="DF261" s="496" t="s">
        <v>1637</v>
      </c>
      <c r="DG261" s="496" t="s">
        <v>239</v>
      </c>
      <c r="DH261" s="496" t="s">
        <v>689</v>
      </c>
      <c r="DI261" s="496" t="s">
        <v>1638</v>
      </c>
      <c r="DJ261" s="496" t="s">
        <v>1638</v>
      </c>
      <c r="DK261" s="496" t="s">
        <v>1554</v>
      </c>
      <c r="DL261" s="496" t="s">
        <v>1555</v>
      </c>
      <c r="DM261" s="496" t="s">
        <v>1556</v>
      </c>
      <c r="DN261" s="497" t="s">
        <v>1557</v>
      </c>
      <c r="DP261" s="543">
        <v>1</v>
      </c>
    </row>
    <row r="262" spans="2:120">
      <c r="B262" s="683"/>
      <c r="C262" s="683"/>
      <c r="D262" s="683"/>
      <c r="E262" s="683" cm="1">
        <f t="array" ref="E262">IF(H261&lt;&gt;"",E261,IF(E261="","",IFERROR(MATCH(TRUE(),INDEX(INDEX(K:K,E261+1):K203&lt;&gt;"",0),0)+E261,"")))</f>
        <v>403</v>
      </c>
      <c r="F262" s="684" cm="1">
        <f t="array" ref="F262">IF(E262="","",IF(H261&lt;&gt;"",H261,INDEX(D:D,E262)))</f>
        <v>0</v>
      </c>
      <c r="G262" s="684" t="str">
        <f t="shared" si="30"/>
        <v>0</v>
      </c>
      <c r="H262" s="685" t="str">
        <f t="shared" si="31"/>
        <v/>
      </c>
      <c r="I262" s="683" t="str">
        <f>IF(AND(F262&lt;&gt;"",N10&gt;0,M262&gt;N10),"Mot &gt; limite","")</f>
        <v/>
      </c>
      <c r="M262" s="638">
        <f>IF(OR(F262="",N10="",N10&lt;=0),"",IF(LEN(F262)&lt;=N10,LEN(F262),IFERROR(FIND("♦",SUBSTITUTE(LEFT(F262,N10)," ","♦",LEN(LEFT(F262,N10))-LEN(SUBSTITUTE(LEFT(F262,N10)," ","")))),FIND(" ",F262&amp;" ",N10+1)-1)))</f>
        <v>1</v>
      </c>
      <c r="N262" s="686">
        <f t="shared" si="32"/>
        <v>245</v>
      </c>
      <c r="O262" s="663" t="str">
        <f t="shared" si="33"/>
        <v>0</v>
      </c>
      <c r="P262" s="686">
        <f t="shared" si="34"/>
        <v>1</v>
      </c>
      <c r="Q262" s="686">
        <f t="shared" si="35"/>
        <v>1</v>
      </c>
      <c r="S262" s="553"/>
      <c r="T262" s="567" t="s">
        <v>6074</v>
      </c>
      <c r="U262" s="565"/>
      <c r="V262" s="553"/>
      <c r="W262" s="553"/>
      <c r="X262" s="553"/>
      <c r="Y262" s="553"/>
      <c r="Z262" s="553"/>
      <c r="AA262" s="553"/>
      <c r="AB262" s="553"/>
      <c r="AC262" s="553"/>
      <c r="AD262" s="553"/>
      <c r="AE262" s="553"/>
      <c r="AF262" s="553"/>
      <c r="AG262" s="553"/>
      <c r="AH262" s="553"/>
      <c r="AI262" s="553"/>
      <c r="AJ262" s="553"/>
      <c r="AK262" s="553"/>
      <c r="DE262" s="494"/>
      <c r="DF262" s="496" t="s">
        <v>1639</v>
      </c>
      <c r="DG262" s="496" t="s">
        <v>239</v>
      </c>
      <c r="DH262" s="496" t="s">
        <v>689</v>
      </c>
      <c r="DI262" s="496" t="s">
        <v>1640</v>
      </c>
      <c r="DJ262" s="496" t="s">
        <v>1640</v>
      </c>
      <c r="DK262" s="496" t="s">
        <v>1554</v>
      </c>
      <c r="DL262" s="496" t="s">
        <v>1555</v>
      </c>
      <c r="DM262" s="496" t="s">
        <v>1556</v>
      </c>
      <c r="DN262" s="497" t="s">
        <v>1557</v>
      </c>
      <c r="DP262" s="543">
        <v>1</v>
      </c>
    </row>
    <row r="263" spans="2:120">
      <c r="B263" s="683"/>
      <c r="C263" s="683"/>
      <c r="D263" s="683"/>
      <c r="E263" s="683" cm="1">
        <f t="array" ref="E263">IF(H262&lt;&gt;"",E262,IF(E262="","",IFERROR(MATCH(TRUE(),INDEX(INDEX(K:K,E262+1):K203&lt;&gt;"",0),0)+E262,"")))</f>
        <v>404</v>
      </c>
      <c r="F263" s="684" cm="1">
        <f t="array" ref="F263">IF(E263="","",IF(H262&lt;&gt;"",H262,INDEX(D:D,E263)))</f>
        <v>0</v>
      </c>
      <c r="G263" s="684" t="str">
        <f t="shared" si="30"/>
        <v>0</v>
      </c>
      <c r="H263" s="685" t="str">
        <f t="shared" si="31"/>
        <v/>
      </c>
      <c r="I263" s="683" t="str">
        <f>IF(AND(F263&lt;&gt;"",N10&gt;0,M263&gt;N10),"Mot &gt; limite","")</f>
        <v/>
      </c>
      <c r="M263" s="638">
        <f>IF(OR(F263="",N10="",N10&lt;=0),"",IF(LEN(F263)&lt;=N10,LEN(F263),IFERROR(FIND("♦",SUBSTITUTE(LEFT(F263,N10)," ","♦",LEN(LEFT(F263,N10))-LEN(SUBSTITUTE(LEFT(F263,N10)," ","")))),FIND(" ",F263&amp;" ",N10+1)-1)))</f>
        <v>1</v>
      </c>
      <c r="N263" s="686">
        <f t="shared" si="32"/>
        <v>246</v>
      </c>
      <c r="O263" s="663" t="str">
        <f t="shared" si="33"/>
        <v>0</v>
      </c>
      <c r="P263" s="686">
        <f t="shared" si="34"/>
        <v>1</v>
      </c>
      <c r="Q263" s="686">
        <f t="shared" si="35"/>
        <v>1</v>
      </c>
      <c r="S263" s="553"/>
      <c r="T263" s="571"/>
      <c r="U263" s="570" t="s">
        <v>6075</v>
      </c>
      <c r="V263" s="553"/>
      <c r="W263" s="553"/>
      <c r="X263" s="553"/>
      <c r="Y263" s="553"/>
      <c r="Z263" s="553"/>
      <c r="AA263" s="553"/>
      <c r="AB263" s="553"/>
      <c r="AC263" s="553"/>
      <c r="AD263" s="553"/>
      <c r="AE263" s="553"/>
      <c r="AF263" s="553"/>
      <c r="AG263" s="553"/>
      <c r="AH263" s="553"/>
      <c r="AI263" s="553"/>
      <c r="AJ263" s="553"/>
      <c r="AK263" s="553"/>
      <c r="DE263" s="494"/>
      <c r="DF263" s="496" t="s">
        <v>1641</v>
      </c>
      <c r="DG263" s="496" t="s">
        <v>239</v>
      </c>
      <c r="DH263" s="496" t="s">
        <v>689</v>
      </c>
      <c r="DI263" s="496" t="s">
        <v>1642</v>
      </c>
      <c r="DJ263" s="496" t="s">
        <v>1642</v>
      </c>
      <c r="DK263" s="496" t="s">
        <v>1554</v>
      </c>
      <c r="DL263" s="496" t="s">
        <v>1555</v>
      </c>
      <c r="DM263" s="496" t="s">
        <v>1556</v>
      </c>
      <c r="DN263" s="497" t="s">
        <v>1557</v>
      </c>
      <c r="DP263" s="543">
        <v>1</v>
      </c>
    </row>
    <row r="264" spans="2:120">
      <c r="B264" s="683"/>
      <c r="C264" s="683"/>
      <c r="D264" s="683"/>
      <c r="E264" s="683" cm="1">
        <f t="array" ref="E264">IF(H263&lt;&gt;"",E263,IF(E263="","",IFERROR(MATCH(TRUE(),INDEX(INDEX(K:K,E263+1):K203&lt;&gt;"",0),0)+E263,"")))</f>
        <v>405</v>
      </c>
      <c r="F264" s="684" cm="1">
        <f t="array" ref="F264">IF(E264="","",IF(H263&lt;&gt;"",H263,INDEX(D:D,E264)))</f>
        <v>0</v>
      </c>
      <c r="G264" s="684" t="str">
        <f t="shared" si="30"/>
        <v>0</v>
      </c>
      <c r="H264" s="685" t="str">
        <f t="shared" si="31"/>
        <v/>
      </c>
      <c r="I264" s="683" t="str">
        <f>IF(AND(F264&lt;&gt;"",N10&gt;0,M264&gt;N10),"Mot &gt; limite","")</f>
        <v/>
      </c>
      <c r="M264" s="638">
        <f>IF(OR(F264="",N10="",N10&lt;=0),"",IF(LEN(F264)&lt;=N10,LEN(F264),IFERROR(FIND("♦",SUBSTITUTE(LEFT(F264,N10)," ","♦",LEN(LEFT(F264,N10))-LEN(SUBSTITUTE(LEFT(F264,N10)," ","")))),FIND(" ",F264&amp;" ",N10+1)-1)))</f>
        <v>1</v>
      </c>
      <c r="N264" s="686">
        <f t="shared" si="32"/>
        <v>247</v>
      </c>
      <c r="O264" s="663" t="str">
        <f t="shared" si="33"/>
        <v>0</v>
      </c>
      <c r="P264" s="686">
        <f t="shared" si="34"/>
        <v>1</v>
      </c>
      <c r="Q264" s="686">
        <f t="shared" si="35"/>
        <v>1</v>
      </c>
      <c r="S264" s="553"/>
      <c r="T264" s="571" t="s">
        <v>825</v>
      </c>
      <c r="U264" s="570" t="s">
        <v>6076</v>
      </c>
      <c r="V264" s="553"/>
      <c r="W264" s="553"/>
      <c r="X264" s="553"/>
      <c r="Y264" s="553"/>
      <c r="Z264" s="553"/>
      <c r="AA264" s="553"/>
      <c r="AB264" s="553"/>
      <c r="AC264" s="553"/>
      <c r="AD264" s="553"/>
      <c r="AE264" s="553"/>
      <c r="AF264" s="553"/>
      <c r="AG264" s="553"/>
      <c r="AH264" s="553"/>
      <c r="AI264" s="553"/>
      <c r="AJ264" s="553"/>
      <c r="AK264" s="553"/>
      <c r="DE264" s="494"/>
      <c r="DF264" s="496" t="s">
        <v>1643</v>
      </c>
      <c r="DG264" s="496" t="s">
        <v>239</v>
      </c>
      <c r="DH264" s="496" t="s">
        <v>689</v>
      </c>
      <c r="DI264" s="496" t="s">
        <v>1644</v>
      </c>
      <c r="DJ264" s="496" t="s">
        <v>1644</v>
      </c>
      <c r="DK264" s="496" t="s">
        <v>1554</v>
      </c>
      <c r="DL264" s="496" t="s">
        <v>1555</v>
      </c>
      <c r="DM264" s="496" t="s">
        <v>1556</v>
      </c>
      <c r="DN264" s="497" t="s">
        <v>1557</v>
      </c>
      <c r="DP264" s="543">
        <v>1</v>
      </c>
    </row>
    <row r="265" spans="2:120">
      <c r="B265" s="683"/>
      <c r="C265" s="683"/>
      <c r="D265" s="683"/>
      <c r="E265" s="683" cm="1">
        <f t="array" ref="E265">IF(H264&lt;&gt;"",E264,IF(E264="","",IFERROR(MATCH(TRUE(),INDEX(INDEX(K:K,E264+1):K203&lt;&gt;"",0),0)+E264,"")))</f>
        <v>406</v>
      </c>
      <c r="F265" s="684" cm="1">
        <f t="array" ref="F265">IF(E265="","",IF(H264&lt;&gt;"",H264,INDEX(D:D,E265)))</f>
        <v>0</v>
      </c>
      <c r="G265" s="684" t="str">
        <f t="shared" si="30"/>
        <v>0</v>
      </c>
      <c r="H265" s="685" t="str">
        <f t="shared" si="31"/>
        <v/>
      </c>
      <c r="I265" s="683" t="str">
        <f>IF(AND(F265&lt;&gt;"",N10&gt;0,M265&gt;N10),"Mot &gt; limite","")</f>
        <v/>
      </c>
      <c r="M265" s="638">
        <f>IF(OR(F265="",N10="",N10&lt;=0),"",IF(LEN(F265)&lt;=N10,LEN(F265),IFERROR(FIND("♦",SUBSTITUTE(LEFT(F265,N10)," ","♦",LEN(LEFT(F265,N10))-LEN(SUBSTITUTE(LEFT(F265,N10)," ","")))),FIND(" ",F265&amp;" ",N10+1)-1)))</f>
        <v>1</v>
      </c>
      <c r="N265" s="686">
        <f t="shared" si="32"/>
        <v>248</v>
      </c>
      <c r="O265" s="663" t="str">
        <f t="shared" si="33"/>
        <v>0</v>
      </c>
      <c r="P265" s="686">
        <f t="shared" si="34"/>
        <v>1</v>
      </c>
      <c r="Q265" s="686">
        <f t="shared" si="35"/>
        <v>1</v>
      </c>
      <c r="S265" s="553"/>
      <c r="T265" s="571" t="s">
        <v>6077</v>
      </c>
      <c r="U265" s="570" t="s">
        <v>6078</v>
      </c>
      <c r="V265" s="553"/>
      <c r="W265" s="553"/>
      <c r="X265" s="553"/>
      <c r="Y265" s="553"/>
      <c r="Z265" s="553"/>
      <c r="AA265" s="553"/>
      <c r="AB265" s="553"/>
      <c r="AC265" s="553"/>
      <c r="AD265" s="553"/>
      <c r="AE265" s="553"/>
      <c r="AF265" s="553"/>
      <c r="AG265" s="553"/>
      <c r="AH265" s="553"/>
      <c r="AI265" s="553"/>
      <c r="AJ265" s="553"/>
      <c r="AK265" s="553"/>
      <c r="DE265" s="494"/>
      <c r="DF265" s="496" t="s">
        <v>1645</v>
      </c>
      <c r="DG265" s="496" t="s">
        <v>239</v>
      </c>
      <c r="DH265" s="496" t="s">
        <v>689</v>
      </c>
      <c r="DI265" s="496" t="s">
        <v>1646</v>
      </c>
      <c r="DJ265" s="496" t="s">
        <v>1646</v>
      </c>
      <c r="DK265" s="496" t="s">
        <v>1554</v>
      </c>
      <c r="DL265" s="496" t="s">
        <v>1555</v>
      </c>
      <c r="DM265" s="496" t="s">
        <v>1556</v>
      </c>
      <c r="DN265" s="497" t="s">
        <v>1557</v>
      </c>
      <c r="DP265" s="543">
        <v>1</v>
      </c>
    </row>
    <row r="266" spans="2:120">
      <c r="B266" s="683"/>
      <c r="C266" s="683"/>
      <c r="D266" s="683"/>
      <c r="E266" s="683" cm="1">
        <f t="array" ref="E266">IF(H265&lt;&gt;"",E265,IF(E265="","",IFERROR(MATCH(TRUE(),INDEX(INDEX(K:K,E265+1):K203&lt;&gt;"",0),0)+E265,"")))</f>
        <v>407</v>
      </c>
      <c r="F266" s="684" cm="1">
        <f t="array" ref="F266">IF(E266="","",IF(H265&lt;&gt;"",H265,INDEX(D:D,E266)))</f>
        <v>0</v>
      </c>
      <c r="G266" s="684" t="str">
        <f t="shared" si="30"/>
        <v>0</v>
      </c>
      <c r="H266" s="685" t="str">
        <f t="shared" si="31"/>
        <v/>
      </c>
      <c r="I266" s="683" t="str">
        <f>IF(AND(F266&lt;&gt;"",N10&gt;0,M266&gt;N10),"Mot &gt; limite","")</f>
        <v/>
      </c>
      <c r="M266" s="638">
        <f>IF(OR(F266="",N10="",N10&lt;=0),"",IF(LEN(F266)&lt;=N10,LEN(F266),IFERROR(FIND("♦",SUBSTITUTE(LEFT(F266,N10)," ","♦",LEN(LEFT(F266,N10))-LEN(SUBSTITUTE(LEFT(F266,N10)," ","")))),FIND(" ",F266&amp;" ",N10+1)-1)))</f>
        <v>1</v>
      </c>
      <c r="N266" s="686">
        <f t="shared" si="32"/>
        <v>249</v>
      </c>
      <c r="O266" s="663" t="str">
        <f t="shared" si="33"/>
        <v>0</v>
      </c>
      <c r="P266" s="686">
        <f t="shared" si="34"/>
        <v>1</v>
      </c>
      <c r="Q266" s="686">
        <f t="shared" si="35"/>
        <v>1</v>
      </c>
      <c r="S266" s="553"/>
      <c r="T266" s="571" t="s">
        <v>6079</v>
      </c>
      <c r="U266" s="573" t="s">
        <v>6080</v>
      </c>
      <c r="V266" s="553"/>
      <c r="W266" s="553"/>
      <c r="X266" s="553"/>
      <c r="Y266" s="553"/>
      <c r="Z266" s="553"/>
      <c r="AA266" s="553"/>
      <c r="AB266" s="553"/>
      <c r="AC266" s="553"/>
      <c r="AD266" s="553"/>
      <c r="AE266" s="553"/>
      <c r="AF266" s="553"/>
      <c r="AG266" s="553"/>
      <c r="AH266" s="553"/>
      <c r="AI266" s="553"/>
      <c r="AJ266" s="553"/>
      <c r="AK266" s="553"/>
      <c r="DE266" s="494"/>
      <c r="DF266" s="496" t="s">
        <v>1647</v>
      </c>
      <c r="DG266" s="496" t="s">
        <v>239</v>
      </c>
      <c r="DH266" s="496" t="s">
        <v>689</v>
      </c>
      <c r="DI266" s="496" t="s">
        <v>1648</v>
      </c>
      <c r="DJ266" s="496" t="s">
        <v>1648</v>
      </c>
      <c r="DK266" s="496" t="s">
        <v>1554</v>
      </c>
      <c r="DL266" s="496" t="s">
        <v>1555</v>
      </c>
      <c r="DM266" s="496" t="s">
        <v>1556</v>
      </c>
      <c r="DN266" s="497" t="s">
        <v>1557</v>
      </c>
      <c r="DP266" s="543">
        <v>1</v>
      </c>
    </row>
    <row r="267" spans="2:120">
      <c r="B267" s="683"/>
      <c r="C267" s="683"/>
      <c r="D267" s="683"/>
      <c r="E267" s="683" cm="1">
        <f t="array" ref="E267">IF(H266&lt;&gt;"",E266,IF(E266="","",IFERROR(MATCH(TRUE(),INDEX(INDEX(K:K,E266+1):K203&lt;&gt;"",0),0)+E266,"")))</f>
        <v>408</v>
      </c>
      <c r="F267" s="684" cm="1">
        <f t="array" ref="F267">IF(E267="","",IF(H266&lt;&gt;"",H266,INDEX(D:D,E267)))</f>
        <v>0</v>
      </c>
      <c r="G267" s="684" t="str">
        <f t="shared" si="30"/>
        <v>0</v>
      </c>
      <c r="H267" s="685" t="str">
        <f t="shared" si="31"/>
        <v/>
      </c>
      <c r="I267" s="683" t="str">
        <f>IF(AND(F267&lt;&gt;"",N10&gt;0,M267&gt;N10),"Mot &gt; limite","")</f>
        <v/>
      </c>
      <c r="M267" s="638">
        <f>IF(OR(F267="",N10="",N10&lt;=0),"",IF(LEN(F267)&lt;=N10,LEN(F267),IFERROR(FIND("♦",SUBSTITUTE(LEFT(F267,N10)," ","♦",LEN(LEFT(F267,N10))-LEN(SUBSTITUTE(LEFT(F267,N10)," ","")))),FIND(" ",F267&amp;" ",N10+1)-1)))</f>
        <v>1</v>
      </c>
      <c r="N267" s="686">
        <f t="shared" si="32"/>
        <v>250</v>
      </c>
      <c r="O267" s="663" t="str">
        <f t="shared" si="33"/>
        <v>0</v>
      </c>
      <c r="P267" s="686">
        <f t="shared" si="34"/>
        <v>1</v>
      </c>
      <c r="Q267" s="686">
        <f t="shared" si="35"/>
        <v>1</v>
      </c>
      <c r="S267" s="553"/>
      <c r="T267" s="571" t="s">
        <v>6081</v>
      </c>
      <c r="U267" s="573" t="s">
        <v>6082</v>
      </c>
      <c r="V267" s="553"/>
      <c r="W267" s="553"/>
      <c r="X267" s="553"/>
      <c r="Y267" s="553"/>
      <c r="Z267" s="553"/>
      <c r="AA267" s="553"/>
      <c r="AB267" s="553"/>
      <c r="AC267" s="553"/>
      <c r="AD267" s="553"/>
      <c r="AE267" s="553"/>
      <c r="AF267" s="553"/>
      <c r="AG267" s="553"/>
      <c r="AH267" s="553"/>
      <c r="AI267" s="553"/>
      <c r="AJ267" s="553"/>
      <c r="AK267" s="553"/>
      <c r="DE267" s="494"/>
      <c r="DF267" s="496" t="s">
        <v>1649</v>
      </c>
      <c r="DG267" s="496" t="s">
        <v>239</v>
      </c>
      <c r="DH267" s="496" t="s">
        <v>689</v>
      </c>
      <c r="DI267" s="496" t="s">
        <v>1650</v>
      </c>
      <c r="DJ267" s="496" t="s">
        <v>1650</v>
      </c>
      <c r="DK267" s="496" t="s">
        <v>1554</v>
      </c>
      <c r="DL267" s="496" t="s">
        <v>1555</v>
      </c>
      <c r="DM267" s="496" t="s">
        <v>1556</v>
      </c>
      <c r="DN267" s="497" t="s">
        <v>1557</v>
      </c>
      <c r="DP267" s="543">
        <v>1</v>
      </c>
    </row>
    <row r="268" spans="2:120">
      <c r="B268" s="683"/>
      <c r="C268" s="683"/>
      <c r="D268" s="683"/>
      <c r="E268" s="683" cm="1">
        <f t="array" ref="E268">IF(H267&lt;&gt;"",E267,IF(E267="","",IFERROR(MATCH(TRUE(),INDEX(INDEX(K:K,E267+1):K203&lt;&gt;"",0),0)+E267,"")))</f>
        <v>409</v>
      </c>
      <c r="F268" s="684" cm="1">
        <f t="array" ref="F268">IF(E268="","",IF(H267&lt;&gt;"",H267,INDEX(D:D,E268)))</f>
        <v>0</v>
      </c>
      <c r="G268" s="684" t="str">
        <f t="shared" si="30"/>
        <v>0</v>
      </c>
      <c r="H268" s="685" t="str">
        <f t="shared" si="31"/>
        <v/>
      </c>
      <c r="I268" s="683" t="str">
        <f>IF(AND(F268&lt;&gt;"",N10&gt;0,M268&gt;N10),"Mot &gt; limite","")</f>
        <v/>
      </c>
      <c r="M268" s="638">
        <f>IF(OR(F268="",N10="",N10&lt;=0),"",IF(LEN(F268)&lt;=N10,LEN(F268),IFERROR(FIND("♦",SUBSTITUTE(LEFT(F268,N10)," ","♦",LEN(LEFT(F268,N10))-LEN(SUBSTITUTE(LEFT(F268,N10)," ","")))),FIND(" ",F268&amp;" ",N10+1)-1)))</f>
        <v>1</v>
      </c>
      <c r="N268" s="686">
        <f t="shared" si="32"/>
        <v>251</v>
      </c>
      <c r="O268" s="663" t="str">
        <f t="shared" si="33"/>
        <v>0</v>
      </c>
      <c r="P268" s="686">
        <f t="shared" si="34"/>
        <v>1</v>
      </c>
      <c r="Q268" s="686">
        <f t="shared" si="35"/>
        <v>1</v>
      </c>
      <c r="S268" s="553"/>
      <c r="T268" s="571" t="s">
        <v>6045</v>
      </c>
      <c r="U268" s="573" t="s">
        <v>6083</v>
      </c>
      <c r="V268" s="553"/>
      <c r="W268" s="553"/>
      <c r="X268" s="553"/>
      <c r="Y268" s="553"/>
      <c r="Z268" s="553"/>
      <c r="AA268" s="553"/>
      <c r="AB268" s="553"/>
      <c r="AC268" s="553"/>
      <c r="AD268" s="553"/>
      <c r="AE268" s="553"/>
      <c r="AF268" s="553"/>
      <c r="AG268" s="553"/>
      <c r="AH268" s="553"/>
      <c r="AI268" s="553"/>
      <c r="AJ268" s="553"/>
      <c r="AK268" s="553"/>
      <c r="DE268" s="494"/>
      <c r="DF268" s="496" t="s">
        <v>1651</v>
      </c>
      <c r="DG268" s="496" t="s">
        <v>239</v>
      </c>
      <c r="DH268" s="496" t="s">
        <v>689</v>
      </c>
      <c r="DI268" s="496" t="s">
        <v>1652</v>
      </c>
      <c r="DJ268" s="496" t="s">
        <v>1652</v>
      </c>
      <c r="DK268" s="496" t="s">
        <v>1554</v>
      </c>
      <c r="DL268" s="496" t="s">
        <v>1555</v>
      </c>
      <c r="DM268" s="496" t="s">
        <v>1556</v>
      </c>
      <c r="DN268" s="497" t="s">
        <v>1557</v>
      </c>
      <c r="DP268" s="543">
        <v>1</v>
      </c>
    </row>
    <row r="269" spans="2:120">
      <c r="B269" s="683"/>
      <c r="C269" s="683"/>
      <c r="D269" s="683"/>
      <c r="E269" s="683" cm="1">
        <f t="array" ref="E269">IF(H268&lt;&gt;"",E268,IF(E268="","",IFERROR(MATCH(TRUE(),INDEX(INDEX(K:K,E268+1):K203&lt;&gt;"",0),0)+E268,"")))</f>
        <v>410</v>
      </c>
      <c r="F269" s="684" cm="1">
        <f t="array" ref="F269">IF(E269="","",IF(H268&lt;&gt;"",H268,INDEX(D:D,E269)))</f>
        <v>0</v>
      </c>
      <c r="G269" s="684" t="str">
        <f t="shared" si="30"/>
        <v>0</v>
      </c>
      <c r="H269" s="685" t="str">
        <f t="shared" si="31"/>
        <v/>
      </c>
      <c r="I269" s="683" t="str">
        <f>IF(AND(F269&lt;&gt;"",N10&gt;0,M269&gt;N10),"Mot &gt; limite","")</f>
        <v/>
      </c>
      <c r="M269" s="638">
        <f>IF(OR(F269="",N10="",N10&lt;=0),"",IF(LEN(F269)&lt;=N10,LEN(F269),IFERROR(FIND("♦",SUBSTITUTE(LEFT(F269,N10)," ","♦",LEN(LEFT(F269,N10))-LEN(SUBSTITUTE(LEFT(F269,N10)," ","")))),FIND(" ",F269&amp;" ",N10+1)-1)))</f>
        <v>1</v>
      </c>
      <c r="N269" s="686">
        <f t="shared" si="32"/>
        <v>252</v>
      </c>
      <c r="O269" s="663" t="str">
        <f t="shared" si="33"/>
        <v>0</v>
      </c>
      <c r="P269" s="686">
        <f t="shared" si="34"/>
        <v>1</v>
      </c>
      <c r="Q269" s="686">
        <f t="shared" si="35"/>
        <v>1</v>
      </c>
      <c r="S269" s="553"/>
      <c r="T269" s="571" t="s">
        <v>6084</v>
      </c>
      <c r="U269" s="573" t="s">
        <v>6085</v>
      </c>
      <c r="V269" s="553"/>
      <c r="W269" s="553"/>
      <c r="X269" s="553"/>
      <c r="Y269" s="553"/>
      <c r="Z269" s="553"/>
      <c r="AA269" s="553"/>
      <c r="AB269" s="553"/>
      <c r="AC269" s="553"/>
      <c r="AD269" s="553"/>
      <c r="AE269" s="553"/>
      <c r="AF269" s="553"/>
      <c r="AG269" s="553"/>
      <c r="AH269" s="553"/>
      <c r="AI269" s="553"/>
      <c r="AJ269" s="553"/>
      <c r="AK269" s="553"/>
      <c r="DE269" s="494"/>
      <c r="DF269" s="496" t="s">
        <v>1653</v>
      </c>
      <c r="DG269" s="496" t="s">
        <v>239</v>
      </c>
      <c r="DH269" s="496" t="s">
        <v>689</v>
      </c>
      <c r="DI269" s="496" t="s">
        <v>1654</v>
      </c>
      <c r="DJ269" s="496" t="s">
        <v>1654</v>
      </c>
      <c r="DK269" s="496" t="s">
        <v>1554</v>
      </c>
      <c r="DL269" s="496" t="s">
        <v>1555</v>
      </c>
      <c r="DM269" s="496" t="s">
        <v>1556</v>
      </c>
      <c r="DN269" s="497" t="s">
        <v>1557</v>
      </c>
      <c r="DP269" s="543">
        <v>1</v>
      </c>
    </row>
    <row r="270" spans="2:120">
      <c r="B270" s="683"/>
      <c r="C270" s="683"/>
      <c r="D270" s="683"/>
      <c r="E270" s="683" cm="1">
        <f t="array" ref="E270">IF(H269&lt;&gt;"",E269,IF(E269="","",IFERROR(MATCH(TRUE(),INDEX(INDEX(K:K,E269+1):K203&lt;&gt;"",0),0)+E269,"")))</f>
        <v>411</v>
      </c>
      <c r="F270" s="684" cm="1">
        <f t="array" ref="F270">IF(E270="","",IF(H269&lt;&gt;"",H269,INDEX(D:D,E270)))</f>
        <v>0</v>
      </c>
      <c r="G270" s="684" t="str">
        <f t="shared" si="30"/>
        <v>0</v>
      </c>
      <c r="H270" s="685" t="str">
        <f t="shared" si="31"/>
        <v/>
      </c>
      <c r="I270" s="683" t="str">
        <f>IF(AND(F270&lt;&gt;"",N10&gt;0,M270&gt;N10),"Mot &gt; limite","")</f>
        <v/>
      </c>
      <c r="M270" s="638">
        <f>IF(OR(F270="",N10="",N10&lt;=0),"",IF(LEN(F270)&lt;=N10,LEN(F270),IFERROR(FIND("♦",SUBSTITUTE(LEFT(F270,N10)," ","♦",LEN(LEFT(F270,N10))-LEN(SUBSTITUTE(LEFT(F270,N10)," ","")))),FIND(" ",F270&amp;" ",N10+1)-1)))</f>
        <v>1</v>
      </c>
      <c r="N270" s="686">
        <f t="shared" si="32"/>
        <v>253</v>
      </c>
      <c r="O270" s="663" t="str">
        <f t="shared" si="33"/>
        <v>0</v>
      </c>
      <c r="P270" s="686">
        <f t="shared" si="34"/>
        <v>1</v>
      </c>
      <c r="Q270" s="686">
        <f t="shared" si="35"/>
        <v>1</v>
      </c>
      <c r="S270" s="553"/>
      <c r="T270" s="574"/>
      <c r="U270" s="572"/>
      <c r="V270" s="553"/>
      <c r="W270" s="553"/>
      <c r="X270" s="553"/>
      <c r="Y270" s="553"/>
      <c r="Z270" s="553"/>
      <c r="AA270" s="553"/>
      <c r="AB270" s="553"/>
      <c r="AC270" s="553"/>
      <c r="AD270" s="553"/>
      <c r="AE270" s="553"/>
      <c r="AF270" s="553"/>
      <c r="AG270" s="553"/>
      <c r="AH270" s="553"/>
      <c r="AI270" s="553"/>
      <c r="AJ270" s="553"/>
      <c r="AK270" s="553"/>
      <c r="DE270" s="494"/>
      <c r="DF270" s="496" t="s">
        <v>1655</v>
      </c>
      <c r="DG270" s="496" t="s">
        <v>239</v>
      </c>
      <c r="DH270" s="496" t="s">
        <v>689</v>
      </c>
      <c r="DI270" s="496" t="s">
        <v>55</v>
      </c>
      <c r="DJ270" s="496" t="s">
        <v>55</v>
      </c>
      <c r="DK270" s="496" t="s">
        <v>1554</v>
      </c>
      <c r="DL270" s="496" t="s">
        <v>1561</v>
      </c>
      <c r="DM270" s="496" t="s">
        <v>1087</v>
      </c>
      <c r="DN270" s="497" t="s">
        <v>1088</v>
      </c>
      <c r="DP270" s="543">
        <v>1</v>
      </c>
    </row>
    <row r="271" spans="2:120">
      <c r="B271" s="683"/>
      <c r="C271" s="683"/>
      <c r="D271" s="683"/>
      <c r="E271" s="683" cm="1">
        <f t="array" ref="E271">IF(H270&lt;&gt;"",E270,IF(E270="","",IFERROR(MATCH(TRUE(),INDEX(INDEX(K:K,E270+1):K203&lt;&gt;"",0),0)+E270,"")))</f>
        <v>412</v>
      </c>
      <c r="F271" s="684" cm="1">
        <f t="array" ref="F271">IF(E271="","",IF(H270&lt;&gt;"",H270,INDEX(D:D,E271)))</f>
        <v>0</v>
      </c>
      <c r="G271" s="684" t="str">
        <f t="shared" si="30"/>
        <v>0</v>
      </c>
      <c r="H271" s="685" t="str">
        <f t="shared" si="31"/>
        <v/>
      </c>
      <c r="I271" s="683" t="str">
        <f>IF(AND(F271&lt;&gt;"",N10&gt;0,M271&gt;N10),"Mot &gt; limite","")</f>
        <v/>
      </c>
      <c r="M271" s="638">
        <f>IF(OR(F271="",N10="",N10&lt;=0),"",IF(LEN(F271)&lt;=N10,LEN(F271),IFERROR(FIND("♦",SUBSTITUTE(LEFT(F271,N10)," ","♦",LEN(LEFT(F271,N10))-LEN(SUBSTITUTE(LEFT(F271,N10)," ","")))),FIND(" ",F271&amp;" ",N10+1)-1)))</f>
        <v>1</v>
      </c>
      <c r="N271" s="686">
        <f t="shared" si="32"/>
        <v>254</v>
      </c>
      <c r="O271" s="663" t="str">
        <f t="shared" si="33"/>
        <v>0</v>
      </c>
      <c r="P271" s="686">
        <f t="shared" si="34"/>
        <v>1</v>
      </c>
      <c r="Q271" s="686">
        <f t="shared" si="35"/>
        <v>1</v>
      </c>
      <c r="S271" s="553"/>
      <c r="T271" s="567" t="s">
        <v>6086</v>
      </c>
      <c r="U271" s="565" t="s">
        <v>6087</v>
      </c>
      <c r="V271" s="553"/>
      <c r="W271" s="553"/>
      <c r="X271" s="553"/>
      <c r="Y271" s="553"/>
      <c r="Z271" s="553"/>
      <c r="AA271" s="553"/>
      <c r="AB271" s="553"/>
      <c r="AC271" s="553"/>
      <c r="AD271" s="553"/>
      <c r="AE271" s="553"/>
      <c r="AF271" s="553"/>
      <c r="AG271" s="553"/>
      <c r="AH271" s="553"/>
      <c r="AI271" s="553"/>
      <c r="AJ271" s="553"/>
      <c r="AK271" s="553"/>
      <c r="DE271" s="494"/>
      <c r="DF271" s="496" t="s">
        <v>1656</v>
      </c>
      <c r="DG271" s="496" t="s">
        <v>239</v>
      </c>
      <c r="DH271" s="496" t="s">
        <v>689</v>
      </c>
      <c r="DI271" s="496" t="s">
        <v>143</v>
      </c>
      <c r="DJ271" s="496" t="s">
        <v>143</v>
      </c>
      <c r="DK271" s="496" t="s">
        <v>1554</v>
      </c>
      <c r="DL271" s="496" t="s">
        <v>1555</v>
      </c>
      <c r="DM271" s="496" t="s">
        <v>1556</v>
      </c>
      <c r="DN271" s="497" t="s">
        <v>1557</v>
      </c>
      <c r="DP271" s="543">
        <v>1</v>
      </c>
    </row>
    <row r="272" spans="2:120">
      <c r="B272" s="683"/>
      <c r="C272" s="683"/>
      <c r="D272" s="683"/>
      <c r="E272" s="683" cm="1">
        <f t="array" ref="E272">IF(H271&lt;&gt;"",E271,IF(E271="","",IFERROR(MATCH(TRUE(),INDEX(INDEX(K:K,E271+1):K203&lt;&gt;"",0),0)+E271,"")))</f>
        <v>413</v>
      </c>
      <c r="F272" s="684" cm="1">
        <f t="array" ref="F272">IF(E272="","",IF(H271&lt;&gt;"",H271,INDEX(D:D,E272)))</f>
        <v>0</v>
      </c>
      <c r="G272" s="684" t="str">
        <f t="shared" si="30"/>
        <v>0</v>
      </c>
      <c r="H272" s="685" t="str">
        <f t="shared" si="31"/>
        <v/>
      </c>
      <c r="I272" s="683" t="str">
        <f>IF(AND(F272&lt;&gt;"",N10&gt;0,M272&gt;N10),"Mot &gt; limite","")</f>
        <v/>
      </c>
      <c r="M272" s="638">
        <f>IF(OR(F272="",N10="",N10&lt;=0),"",IF(LEN(F272)&lt;=N10,LEN(F272),IFERROR(FIND("♦",SUBSTITUTE(LEFT(F272,N10)," ","♦",LEN(LEFT(F272,N10))-LEN(SUBSTITUTE(LEFT(F272,N10)," ","")))),FIND(" ",F272&amp;" ",N10+1)-1)))</f>
        <v>1</v>
      </c>
      <c r="N272" s="686">
        <f t="shared" si="32"/>
        <v>255</v>
      </c>
      <c r="O272" s="663" t="str">
        <f t="shared" si="33"/>
        <v>0</v>
      </c>
      <c r="P272" s="686">
        <f t="shared" si="34"/>
        <v>1</v>
      </c>
      <c r="Q272" s="686">
        <f t="shared" si="35"/>
        <v>1</v>
      </c>
      <c r="S272" s="553"/>
      <c r="T272" s="574"/>
      <c r="U272" s="565" t="s">
        <v>6088</v>
      </c>
      <c r="V272" s="553"/>
      <c r="W272" s="553"/>
      <c r="X272" s="553"/>
      <c r="Y272" s="553"/>
      <c r="Z272" s="553"/>
      <c r="AA272" s="553"/>
      <c r="AB272" s="553"/>
      <c r="AC272" s="553"/>
      <c r="AD272" s="553"/>
      <c r="AE272" s="553"/>
      <c r="AF272" s="553"/>
      <c r="AG272" s="553"/>
      <c r="AH272" s="553"/>
      <c r="AI272" s="553"/>
      <c r="AJ272" s="553"/>
      <c r="AK272" s="553"/>
      <c r="DE272" s="494"/>
      <c r="DF272" s="496" t="s">
        <v>1657</v>
      </c>
      <c r="DG272" s="496" t="s">
        <v>239</v>
      </c>
      <c r="DH272" s="496" t="s">
        <v>689</v>
      </c>
      <c r="DI272" s="496" t="s">
        <v>1658</v>
      </c>
      <c r="DJ272" s="496" t="s">
        <v>1658</v>
      </c>
      <c r="DK272" s="496" t="s">
        <v>1554</v>
      </c>
      <c r="DL272" s="496" t="s">
        <v>1555</v>
      </c>
      <c r="DM272" s="496" t="s">
        <v>1556</v>
      </c>
      <c r="DN272" s="497" t="s">
        <v>1557</v>
      </c>
      <c r="DP272" s="543">
        <v>1</v>
      </c>
    </row>
    <row r="273" spans="2:120">
      <c r="B273" s="683"/>
      <c r="C273" s="683"/>
      <c r="D273" s="683"/>
      <c r="E273" s="683" cm="1">
        <f t="array" ref="E273">IF(H272&lt;&gt;"",E272,IF(E272="","",IFERROR(MATCH(TRUE(),INDEX(INDEX(K:K,E272+1):K203&lt;&gt;"",0),0)+E272,"")))</f>
        <v>414</v>
      </c>
      <c r="F273" s="684" cm="1">
        <f t="array" ref="F273">IF(E273="","",IF(H272&lt;&gt;"",H272,INDEX(D:D,E273)))</f>
        <v>0</v>
      </c>
      <c r="G273" s="684" t="str">
        <f t="shared" si="30"/>
        <v>0</v>
      </c>
      <c r="H273" s="685" t="str">
        <f t="shared" si="31"/>
        <v/>
      </c>
      <c r="I273" s="683" t="str">
        <f>IF(AND(F273&lt;&gt;"",N10&gt;0,M273&gt;N10),"Mot &gt; limite","")</f>
        <v/>
      </c>
      <c r="M273" s="638">
        <f>IF(OR(F273="",N10="",N10&lt;=0),"",IF(LEN(F273)&lt;=N10,LEN(F273),IFERROR(FIND("♦",SUBSTITUTE(LEFT(F273,N10)," ","♦",LEN(LEFT(F273,N10))-LEN(SUBSTITUTE(LEFT(F273,N10)," ","")))),FIND(" ",F273&amp;" ",N10+1)-1)))</f>
        <v>1</v>
      </c>
      <c r="N273" s="686">
        <f t="shared" si="32"/>
        <v>256</v>
      </c>
      <c r="O273" s="663" t="str">
        <f t="shared" si="33"/>
        <v>0</v>
      </c>
      <c r="P273" s="686">
        <f t="shared" si="34"/>
        <v>1</v>
      </c>
      <c r="Q273" s="686">
        <f t="shared" si="35"/>
        <v>1</v>
      </c>
      <c r="S273" s="553"/>
      <c r="T273" s="574"/>
      <c r="U273" s="572"/>
      <c r="V273" s="553"/>
      <c r="W273" s="553"/>
      <c r="X273" s="553"/>
      <c r="Y273" s="553"/>
      <c r="Z273" s="553"/>
      <c r="AA273" s="553"/>
      <c r="AB273" s="553"/>
      <c r="AC273" s="553"/>
      <c r="AD273" s="553"/>
      <c r="AE273" s="553"/>
      <c r="AF273" s="553"/>
      <c r="AG273" s="553"/>
      <c r="AH273" s="553"/>
      <c r="AI273" s="553"/>
      <c r="AJ273" s="553"/>
      <c r="AK273" s="553"/>
      <c r="DE273" s="494"/>
      <c r="DF273" s="496" t="s">
        <v>1659</v>
      </c>
      <c r="DG273" s="496" t="s">
        <v>239</v>
      </c>
      <c r="DH273" s="496" t="s">
        <v>689</v>
      </c>
      <c r="DI273" s="496" t="s">
        <v>1660</v>
      </c>
      <c r="DJ273" s="496" t="s">
        <v>1660</v>
      </c>
      <c r="DK273" s="496" t="s">
        <v>1554</v>
      </c>
      <c r="DL273" s="496" t="s">
        <v>1555</v>
      </c>
      <c r="DM273" s="496" t="s">
        <v>1556</v>
      </c>
      <c r="DN273" s="497" t="s">
        <v>1557</v>
      </c>
      <c r="DP273" s="543">
        <v>1</v>
      </c>
    </row>
    <row r="274" spans="2:120">
      <c r="B274" s="683"/>
      <c r="C274" s="683"/>
      <c r="D274" s="683"/>
      <c r="E274" s="683" cm="1">
        <f t="array" ref="E274">IF(H273&lt;&gt;"",E273,IF(E273="","",IFERROR(MATCH(TRUE(),INDEX(INDEX(K:K,E273+1):K203&lt;&gt;"",0),0)+E273,"")))</f>
        <v>415</v>
      </c>
      <c r="F274" s="684" cm="1">
        <f t="array" ref="F274">IF(E274="","",IF(H273&lt;&gt;"",H273,INDEX(D:D,E274)))</f>
        <v>0</v>
      </c>
      <c r="G274" s="684" t="str">
        <f t="shared" ref="G274:G337" si="36">IF(OR(F274="",M274=""),"",LEFT(F274,M274))</f>
        <v>0</v>
      </c>
      <c r="H274" s="685" t="str">
        <f t="shared" ref="H274:H337" si="37">IF(OR(F274="",M274=""),"",TRIM(MID(F274,M274+1,99999)))</f>
        <v/>
      </c>
      <c r="I274" s="683" t="str">
        <f>IF(AND(F274&lt;&gt;"",N10&gt;0,M274&gt;N10),"Mot &gt; limite","")</f>
        <v/>
      </c>
      <c r="M274" s="638">
        <f>IF(OR(F274="",N10="",N10&lt;=0),"",IF(LEN(F274)&lt;=N10,LEN(F274),IFERROR(FIND("♦",SUBSTITUTE(LEFT(F274,N10)," ","♦",LEN(LEFT(F274,N10))-LEN(SUBSTITUTE(LEFT(F274,N10)," ","")))),FIND(" ",F274&amp;" ",N10+1)-1)))</f>
        <v>1</v>
      </c>
      <c r="N274" s="686">
        <f t="shared" ref="N274:N337" si="38">IF(O274="","",ROW()-17)</f>
        <v>257</v>
      </c>
      <c r="O274" s="663" t="str">
        <f t="shared" ref="O274:O337" si="39">G274</f>
        <v>0</v>
      </c>
      <c r="P274" s="686">
        <f t="shared" ref="P274:P337" si="40">IF(O274="","",LEN(TRIM(O274))-LEN(SUBSTITUTE(TRIM(O274)," ",""))+1)</f>
        <v>1</v>
      </c>
      <c r="Q274" s="686">
        <f t="shared" ref="Q274:Q337" si="41">IF(O274="","",LEN(O274))</f>
        <v>1</v>
      </c>
      <c r="S274" s="553"/>
      <c r="T274" s="575" t="s">
        <v>6089</v>
      </c>
      <c r="U274" s="553"/>
      <c r="V274" s="553"/>
      <c r="W274" s="553"/>
      <c r="X274" s="553"/>
      <c r="Y274" s="553"/>
      <c r="Z274" s="553"/>
      <c r="AA274" s="553"/>
      <c r="AB274" s="553"/>
      <c r="AC274" s="553"/>
      <c r="AD274" s="553"/>
      <c r="AE274" s="553"/>
      <c r="AF274" s="553"/>
      <c r="AG274" s="553"/>
      <c r="AH274" s="553"/>
      <c r="AI274" s="553"/>
      <c r="AJ274" s="553"/>
      <c r="AK274" s="553"/>
      <c r="DE274" s="494"/>
      <c r="DF274" s="496" t="s">
        <v>1661</v>
      </c>
      <c r="DG274" s="496" t="s">
        <v>239</v>
      </c>
      <c r="DH274" s="496" t="s">
        <v>689</v>
      </c>
      <c r="DI274" s="496" t="s">
        <v>1662</v>
      </c>
      <c r="DJ274" s="496" t="s">
        <v>1662</v>
      </c>
      <c r="DK274" s="496" t="s">
        <v>1554</v>
      </c>
      <c r="DL274" s="496" t="s">
        <v>1555</v>
      </c>
      <c r="DM274" s="496" t="s">
        <v>1556</v>
      </c>
      <c r="DN274" s="497" t="s">
        <v>1557</v>
      </c>
      <c r="DP274" s="543">
        <v>1</v>
      </c>
    </row>
    <row r="275" spans="2:120">
      <c r="B275" s="683"/>
      <c r="C275" s="683"/>
      <c r="D275" s="683"/>
      <c r="E275" s="683" cm="1">
        <f t="array" ref="E275">IF(H274&lt;&gt;"",E274,IF(E274="","",IFERROR(MATCH(TRUE(),INDEX(INDEX(K:K,E274+1):K203&lt;&gt;"",0),0)+E274,"")))</f>
        <v>416</v>
      </c>
      <c r="F275" s="684" cm="1">
        <f t="array" ref="F275">IF(E275="","",IF(H274&lt;&gt;"",H274,INDEX(D:D,E275)))</f>
        <v>0</v>
      </c>
      <c r="G275" s="684" t="str">
        <f t="shared" si="36"/>
        <v>0</v>
      </c>
      <c r="H275" s="685" t="str">
        <f t="shared" si="37"/>
        <v/>
      </c>
      <c r="I275" s="683" t="str">
        <f>IF(AND(F275&lt;&gt;"",N10&gt;0,M275&gt;N10),"Mot &gt; limite","")</f>
        <v/>
      </c>
      <c r="M275" s="638">
        <f>IF(OR(F275="",N10="",N10&lt;=0),"",IF(LEN(F275)&lt;=N10,LEN(F275),IFERROR(FIND("♦",SUBSTITUTE(LEFT(F275,N10)," ","♦",LEN(LEFT(F275,N10))-LEN(SUBSTITUTE(LEFT(F275,N10)," ","")))),FIND(" ",F275&amp;" ",N10+1)-1)))</f>
        <v>1</v>
      </c>
      <c r="N275" s="686">
        <f t="shared" si="38"/>
        <v>258</v>
      </c>
      <c r="O275" s="663" t="str">
        <f t="shared" si="39"/>
        <v>0</v>
      </c>
      <c r="P275" s="686">
        <f t="shared" si="40"/>
        <v>1</v>
      </c>
      <c r="Q275" s="686">
        <f t="shared" si="41"/>
        <v>1</v>
      </c>
      <c r="S275" s="553"/>
      <c r="T275" s="533" t="s">
        <v>6090</v>
      </c>
      <c r="U275" s="553"/>
      <c r="V275" s="553"/>
      <c r="W275" s="553"/>
      <c r="X275" s="553"/>
      <c r="Y275" s="553"/>
      <c r="Z275" s="553"/>
      <c r="AA275" s="553"/>
      <c r="AB275" s="553"/>
      <c r="AC275" s="553"/>
      <c r="AD275" s="553"/>
      <c r="AE275" s="553"/>
      <c r="AF275" s="553"/>
      <c r="AG275" s="553"/>
      <c r="AH275" s="553"/>
      <c r="AI275" s="553"/>
      <c r="AJ275" s="553"/>
      <c r="AK275" s="553"/>
      <c r="DE275" s="494"/>
      <c r="DF275" s="496" t="s">
        <v>1663</v>
      </c>
      <c r="DG275" s="496" t="s">
        <v>239</v>
      </c>
      <c r="DH275" s="496" t="s">
        <v>689</v>
      </c>
      <c r="DI275" s="496" t="s">
        <v>1664</v>
      </c>
      <c r="DJ275" s="496" t="s">
        <v>1664</v>
      </c>
      <c r="DK275" s="496" t="s">
        <v>1554</v>
      </c>
      <c r="DL275" s="496" t="s">
        <v>1555</v>
      </c>
      <c r="DM275" s="496" t="s">
        <v>1556</v>
      </c>
      <c r="DN275" s="497" t="s">
        <v>1557</v>
      </c>
      <c r="DP275" s="543">
        <v>1</v>
      </c>
    </row>
    <row r="276" spans="2:120">
      <c r="B276" s="683"/>
      <c r="C276" s="683"/>
      <c r="D276" s="683"/>
      <c r="E276" s="683" cm="1">
        <f t="array" ref="E276">IF(H275&lt;&gt;"",E275,IF(E275="","",IFERROR(MATCH(TRUE(),INDEX(INDEX(K:K,E275+1):K203&lt;&gt;"",0),0)+E275,"")))</f>
        <v>417</v>
      </c>
      <c r="F276" s="684" cm="1">
        <f t="array" ref="F276">IF(E276="","",IF(H275&lt;&gt;"",H275,INDEX(D:D,E276)))</f>
        <v>0</v>
      </c>
      <c r="G276" s="684" t="str">
        <f t="shared" si="36"/>
        <v>0</v>
      </c>
      <c r="H276" s="685" t="str">
        <f t="shared" si="37"/>
        <v/>
      </c>
      <c r="I276" s="683" t="str">
        <f>IF(AND(F276&lt;&gt;"",N10&gt;0,M276&gt;N10),"Mot &gt; limite","")</f>
        <v/>
      </c>
      <c r="M276" s="638">
        <f>IF(OR(F276="",N10="",N10&lt;=0),"",IF(LEN(F276)&lt;=N10,LEN(F276),IFERROR(FIND("♦",SUBSTITUTE(LEFT(F276,N10)," ","♦",LEN(LEFT(F276,N10))-LEN(SUBSTITUTE(LEFT(F276,N10)," ","")))),FIND(" ",F276&amp;" ",N10+1)-1)))</f>
        <v>1</v>
      </c>
      <c r="N276" s="686">
        <f t="shared" si="38"/>
        <v>259</v>
      </c>
      <c r="O276" s="663" t="str">
        <f t="shared" si="39"/>
        <v>0</v>
      </c>
      <c r="P276" s="686">
        <f t="shared" si="40"/>
        <v>1</v>
      </c>
      <c r="Q276" s="686">
        <f t="shared" si="41"/>
        <v>1</v>
      </c>
      <c r="S276" s="553"/>
      <c r="T276" s="533" t="s">
        <v>6091</v>
      </c>
      <c r="U276" s="553"/>
      <c r="V276" s="553"/>
      <c r="W276" s="553"/>
      <c r="X276" s="553"/>
      <c r="Y276" s="553"/>
      <c r="Z276" s="553"/>
      <c r="AA276" s="553"/>
      <c r="AB276" s="553"/>
      <c r="AC276" s="553"/>
      <c r="AD276" s="553"/>
      <c r="AE276" s="553"/>
      <c r="AF276" s="553"/>
      <c r="AG276" s="553"/>
      <c r="AH276" s="553"/>
      <c r="AI276" s="553"/>
      <c r="AJ276" s="553"/>
      <c r="AK276" s="553"/>
      <c r="DE276" s="494"/>
      <c r="DF276" s="496" t="s">
        <v>1665</v>
      </c>
      <c r="DG276" s="496" t="s">
        <v>239</v>
      </c>
      <c r="DH276" s="496" t="s">
        <v>689</v>
      </c>
      <c r="DI276" s="496" t="s">
        <v>1666</v>
      </c>
      <c r="DJ276" s="496" t="s">
        <v>1666</v>
      </c>
      <c r="DK276" s="496" t="s">
        <v>1554</v>
      </c>
      <c r="DL276" s="496" t="s">
        <v>1555</v>
      </c>
      <c r="DM276" s="496" t="s">
        <v>1556</v>
      </c>
      <c r="DN276" s="497" t="s">
        <v>1557</v>
      </c>
      <c r="DP276" s="543">
        <v>1</v>
      </c>
    </row>
    <row r="277" spans="2:120">
      <c r="B277" s="683"/>
      <c r="C277" s="683"/>
      <c r="D277" s="683"/>
      <c r="E277" s="683" cm="1">
        <f t="array" ref="E277">IF(H276&lt;&gt;"",E276,IF(E276="","",IFERROR(MATCH(TRUE(),INDEX(INDEX(K:K,E276+1):K203&lt;&gt;"",0),0)+E276,"")))</f>
        <v>418</v>
      </c>
      <c r="F277" s="684" cm="1">
        <f t="array" ref="F277">IF(E277="","",IF(H276&lt;&gt;"",H276,INDEX(D:D,E277)))</f>
        <v>0</v>
      </c>
      <c r="G277" s="684" t="str">
        <f t="shared" si="36"/>
        <v>0</v>
      </c>
      <c r="H277" s="685" t="str">
        <f t="shared" si="37"/>
        <v/>
      </c>
      <c r="I277" s="683" t="str">
        <f>IF(AND(F277&lt;&gt;"",N10&gt;0,M277&gt;N10),"Mot &gt; limite","")</f>
        <v/>
      </c>
      <c r="M277" s="638">
        <f>IF(OR(F277="",N10="",N10&lt;=0),"",IF(LEN(F277)&lt;=N10,LEN(F277),IFERROR(FIND("♦",SUBSTITUTE(LEFT(F277,N10)," ","♦",LEN(LEFT(F277,N10))-LEN(SUBSTITUTE(LEFT(F277,N10)," ","")))),FIND(" ",F277&amp;" ",N10+1)-1)))</f>
        <v>1</v>
      </c>
      <c r="N277" s="686">
        <f t="shared" si="38"/>
        <v>260</v>
      </c>
      <c r="O277" s="663" t="str">
        <f t="shared" si="39"/>
        <v>0</v>
      </c>
      <c r="P277" s="686">
        <f t="shared" si="40"/>
        <v>1</v>
      </c>
      <c r="Q277" s="686">
        <f t="shared" si="41"/>
        <v>1</v>
      </c>
      <c r="S277" s="553"/>
      <c r="T277" s="533" t="s">
        <v>6092</v>
      </c>
      <c r="U277" s="553"/>
      <c r="V277" s="553"/>
      <c r="W277" s="553"/>
      <c r="X277" s="553"/>
      <c r="Y277" s="553"/>
      <c r="Z277" s="553"/>
      <c r="AA277" s="553"/>
      <c r="AB277" s="553"/>
      <c r="AC277" s="553"/>
      <c r="AD277" s="553"/>
      <c r="AE277" s="553"/>
      <c r="AF277" s="553"/>
      <c r="AG277" s="553"/>
      <c r="AH277" s="553"/>
      <c r="AI277" s="553"/>
      <c r="AJ277" s="553"/>
      <c r="AK277" s="553"/>
      <c r="DE277" s="494"/>
      <c r="DF277" s="496" t="s">
        <v>1667</v>
      </c>
      <c r="DG277" s="496" t="s">
        <v>239</v>
      </c>
      <c r="DH277" s="496" t="s">
        <v>689</v>
      </c>
      <c r="DI277" s="496" t="s">
        <v>1668</v>
      </c>
      <c r="DJ277" s="496" t="s">
        <v>1668</v>
      </c>
      <c r="DK277" s="496" t="s">
        <v>1554</v>
      </c>
      <c r="DL277" s="496" t="s">
        <v>1555</v>
      </c>
      <c r="DM277" s="496" t="s">
        <v>1556</v>
      </c>
      <c r="DN277" s="497" t="s">
        <v>1557</v>
      </c>
      <c r="DP277" s="543">
        <v>1</v>
      </c>
    </row>
    <row r="278" spans="2:120">
      <c r="B278" s="683"/>
      <c r="C278" s="683"/>
      <c r="D278" s="683"/>
      <c r="E278" s="683" cm="1">
        <f t="array" ref="E278">IF(H277&lt;&gt;"",E277,IF(E277="","",IFERROR(MATCH(TRUE(),INDEX(INDEX(K:K,E277+1):K203&lt;&gt;"",0),0)+E277,"")))</f>
        <v>419</v>
      </c>
      <c r="F278" s="684" cm="1">
        <f t="array" ref="F278">IF(E278="","",IF(H277&lt;&gt;"",H277,INDEX(D:D,E278)))</f>
        <v>0</v>
      </c>
      <c r="G278" s="684" t="str">
        <f t="shared" si="36"/>
        <v>0</v>
      </c>
      <c r="H278" s="685" t="str">
        <f t="shared" si="37"/>
        <v/>
      </c>
      <c r="I278" s="683" t="str">
        <f>IF(AND(F278&lt;&gt;"",N10&gt;0,M278&gt;N10),"Mot &gt; limite","")</f>
        <v/>
      </c>
      <c r="M278" s="638">
        <f>IF(OR(F278="",N10="",N10&lt;=0),"",IF(LEN(F278)&lt;=N10,LEN(F278),IFERROR(FIND("♦",SUBSTITUTE(LEFT(F278,N10)," ","♦",LEN(LEFT(F278,N10))-LEN(SUBSTITUTE(LEFT(F278,N10)," ","")))),FIND(" ",F278&amp;" ",N10+1)-1)))</f>
        <v>1</v>
      </c>
      <c r="N278" s="686">
        <f t="shared" si="38"/>
        <v>261</v>
      </c>
      <c r="O278" s="663" t="str">
        <f t="shared" si="39"/>
        <v>0</v>
      </c>
      <c r="P278" s="686">
        <f t="shared" si="40"/>
        <v>1</v>
      </c>
      <c r="Q278" s="686">
        <f t="shared" si="41"/>
        <v>1</v>
      </c>
      <c r="S278" s="553"/>
      <c r="T278" s="533" t="s">
        <v>6093</v>
      </c>
      <c r="U278" s="553"/>
      <c r="V278" s="553"/>
      <c r="W278" s="553"/>
      <c r="X278" s="553"/>
      <c r="Y278" s="553"/>
      <c r="Z278" s="553"/>
      <c r="AA278" s="553"/>
      <c r="AB278" s="553"/>
      <c r="AC278" s="553"/>
      <c r="AD278" s="553"/>
      <c r="AE278" s="553"/>
      <c r="AF278" s="553"/>
      <c r="AG278" s="553"/>
      <c r="AH278" s="553"/>
      <c r="AI278" s="553"/>
      <c r="AJ278" s="553"/>
      <c r="AK278" s="553"/>
      <c r="DE278" s="494"/>
      <c r="DF278" s="496" t="s">
        <v>1669</v>
      </c>
      <c r="DG278" s="496" t="s">
        <v>239</v>
      </c>
      <c r="DH278" s="496" t="s">
        <v>689</v>
      </c>
      <c r="DI278" s="496" t="s">
        <v>288</v>
      </c>
      <c r="DJ278" s="496" t="s">
        <v>152</v>
      </c>
      <c r="DK278" s="496" t="s">
        <v>1554</v>
      </c>
      <c r="DL278" s="496" t="s">
        <v>1561</v>
      </c>
      <c r="DM278" s="496" t="s">
        <v>1087</v>
      </c>
      <c r="DN278" s="497" t="s">
        <v>1088</v>
      </c>
      <c r="DP278" s="543">
        <v>1</v>
      </c>
    </row>
    <row r="279" spans="2:120">
      <c r="B279" s="683"/>
      <c r="C279" s="683"/>
      <c r="D279" s="683"/>
      <c r="E279" s="683" cm="1">
        <f t="array" ref="E279">IF(H278&lt;&gt;"",E278,IF(E278="","",IFERROR(MATCH(TRUE(),INDEX(INDEX(K:K,E278+1):K203&lt;&gt;"",0),0)+E278,"")))</f>
        <v>420</v>
      </c>
      <c r="F279" s="684" cm="1">
        <f t="array" ref="F279">IF(E279="","",IF(H278&lt;&gt;"",H278,INDEX(D:D,E279)))</f>
        <v>0</v>
      </c>
      <c r="G279" s="684" t="str">
        <f t="shared" si="36"/>
        <v>0</v>
      </c>
      <c r="H279" s="685" t="str">
        <f t="shared" si="37"/>
        <v/>
      </c>
      <c r="I279" s="683" t="str">
        <f>IF(AND(F279&lt;&gt;"",N10&gt;0,M279&gt;N10),"Mot &gt; limite","")</f>
        <v/>
      </c>
      <c r="M279" s="638">
        <f>IF(OR(F279="",N10="",N10&lt;=0),"",IF(LEN(F279)&lt;=N10,LEN(F279),IFERROR(FIND("♦",SUBSTITUTE(LEFT(F279,N10)," ","♦",LEN(LEFT(F279,N10))-LEN(SUBSTITUTE(LEFT(F279,N10)," ","")))),FIND(" ",F279&amp;" ",N10+1)-1)))</f>
        <v>1</v>
      </c>
      <c r="N279" s="686">
        <f t="shared" si="38"/>
        <v>262</v>
      </c>
      <c r="O279" s="663" t="str">
        <f t="shared" si="39"/>
        <v>0</v>
      </c>
      <c r="P279" s="686">
        <f t="shared" si="40"/>
        <v>1</v>
      </c>
      <c r="Q279" s="686">
        <f t="shared" si="41"/>
        <v>1</v>
      </c>
      <c r="S279" s="553"/>
      <c r="T279" s="533" t="s">
        <v>6094</v>
      </c>
      <c r="U279" s="553"/>
      <c r="V279" s="553"/>
      <c r="W279" s="553"/>
      <c r="X279" s="553"/>
      <c r="Y279" s="553"/>
      <c r="Z279" s="553"/>
      <c r="AA279" s="553"/>
      <c r="AB279" s="553"/>
      <c r="AC279" s="553"/>
      <c r="AD279" s="553"/>
      <c r="AE279" s="553"/>
      <c r="AF279" s="553"/>
      <c r="AG279" s="553"/>
      <c r="AH279" s="553"/>
      <c r="AI279" s="553"/>
      <c r="AJ279" s="553"/>
      <c r="AK279" s="553"/>
      <c r="DE279" s="494"/>
      <c r="DF279" s="496" t="s">
        <v>1670</v>
      </c>
      <c r="DG279" s="496" t="s">
        <v>239</v>
      </c>
      <c r="DH279" s="496" t="s">
        <v>689</v>
      </c>
      <c r="DI279" s="496" t="s">
        <v>1671</v>
      </c>
      <c r="DJ279" s="496" t="s">
        <v>1671</v>
      </c>
      <c r="DK279" s="496" t="s">
        <v>1554</v>
      </c>
      <c r="DL279" s="496" t="s">
        <v>1555</v>
      </c>
      <c r="DM279" s="496" t="s">
        <v>1556</v>
      </c>
      <c r="DN279" s="497" t="s">
        <v>1557</v>
      </c>
      <c r="DP279" s="543">
        <v>1</v>
      </c>
    </row>
    <row r="280" spans="2:120">
      <c r="B280" s="683"/>
      <c r="C280" s="683"/>
      <c r="D280" s="683"/>
      <c r="E280" s="683" cm="1">
        <f t="array" ref="E280">IF(H279&lt;&gt;"",E279,IF(E279="","",IFERROR(MATCH(TRUE(),INDEX(INDEX(K:K,E279+1):K203&lt;&gt;"",0),0)+E279,"")))</f>
        <v>421</v>
      </c>
      <c r="F280" s="684" cm="1">
        <f t="array" ref="F280">IF(E280="","",IF(H279&lt;&gt;"",H279,INDEX(D:D,E280)))</f>
        <v>0</v>
      </c>
      <c r="G280" s="684" t="str">
        <f t="shared" si="36"/>
        <v>0</v>
      </c>
      <c r="H280" s="685" t="str">
        <f t="shared" si="37"/>
        <v/>
      </c>
      <c r="I280" s="683" t="str">
        <f>IF(AND(F280&lt;&gt;"",N10&gt;0,M280&gt;N10),"Mot &gt; limite","")</f>
        <v/>
      </c>
      <c r="M280" s="638">
        <f>IF(OR(F280="",N10="",N10&lt;=0),"",IF(LEN(F280)&lt;=N10,LEN(F280),IFERROR(FIND("♦",SUBSTITUTE(LEFT(F280,N10)," ","♦",LEN(LEFT(F280,N10))-LEN(SUBSTITUTE(LEFT(F280,N10)," ","")))),FIND(" ",F280&amp;" ",N10+1)-1)))</f>
        <v>1</v>
      </c>
      <c r="N280" s="686">
        <f t="shared" si="38"/>
        <v>263</v>
      </c>
      <c r="O280" s="663" t="str">
        <f t="shared" si="39"/>
        <v>0</v>
      </c>
      <c r="P280" s="686">
        <f t="shared" si="40"/>
        <v>1</v>
      </c>
      <c r="Q280" s="686">
        <f t="shared" si="41"/>
        <v>1</v>
      </c>
      <c r="S280" s="553"/>
      <c r="T280" s="533" t="s">
        <v>6095</v>
      </c>
      <c r="U280" s="553"/>
      <c r="V280" s="553"/>
      <c r="W280" s="553"/>
      <c r="X280" s="553"/>
      <c r="Y280" s="553"/>
      <c r="Z280" s="553"/>
      <c r="AA280" s="553"/>
      <c r="AB280" s="553"/>
      <c r="AC280" s="553"/>
      <c r="AD280" s="553"/>
      <c r="AE280" s="553"/>
      <c r="AF280" s="553"/>
      <c r="AG280" s="553"/>
      <c r="AH280" s="553"/>
      <c r="AI280" s="553"/>
      <c r="AJ280" s="553"/>
      <c r="AK280" s="553"/>
      <c r="DE280" s="494"/>
      <c r="DF280" s="496" t="s">
        <v>1672</v>
      </c>
      <c r="DG280" s="496" t="s">
        <v>239</v>
      </c>
      <c r="DH280" s="496" t="s">
        <v>689</v>
      </c>
      <c r="DI280" s="496" t="s">
        <v>1673</v>
      </c>
      <c r="DJ280" s="496" t="s">
        <v>1674</v>
      </c>
      <c r="DK280" s="496" t="s">
        <v>1554</v>
      </c>
      <c r="DL280" s="496" t="s">
        <v>1561</v>
      </c>
      <c r="DM280" s="496" t="s">
        <v>1087</v>
      </c>
      <c r="DN280" s="497" t="s">
        <v>1088</v>
      </c>
      <c r="DP280" s="543">
        <v>1</v>
      </c>
    </row>
    <row r="281" spans="2:120">
      <c r="B281" s="683"/>
      <c r="C281" s="683"/>
      <c r="D281" s="683"/>
      <c r="E281" s="683" cm="1">
        <f t="array" ref="E281">IF(H280&lt;&gt;"",E280,IF(E280="","",IFERROR(MATCH(TRUE(),INDEX(INDEX(K:K,E280+1):K203&lt;&gt;"",0),0)+E280,"")))</f>
        <v>422</v>
      </c>
      <c r="F281" s="684" cm="1">
        <f t="array" ref="F281">IF(E281="","",IF(H280&lt;&gt;"",H280,INDEX(D:D,E281)))</f>
        <v>0</v>
      </c>
      <c r="G281" s="684" t="str">
        <f t="shared" si="36"/>
        <v>0</v>
      </c>
      <c r="H281" s="685" t="str">
        <f t="shared" si="37"/>
        <v/>
      </c>
      <c r="I281" s="683" t="str">
        <f>IF(AND(F281&lt;&gt;"",N10&gt;0,M281&gt;N10),"Mot &gt; limite","")</f>
        <v/>
      </c>
      <c r="M281" s="638">
        <f>IF(OR(F281="",N10="",N10&lt;=0),"",IF(LEN(F281)&lt;=N10,LEN(F281),IFERROR(FIND("♦",SUBSTITUTE(LEFT(F281,N10)," ","♦",LEN(LEFT(F281,N10))-LEN(SUBSTITUTE(LEFT(F281,N10)," ","")))),FIND(" ",F281&amp;" ",N10+1)-1)))</f>
        <v>1</v>
      </c>
      <c r="N281" s="686">
        <f t="shared" si="38"/>
        <v>264</v>
      </c>
      <c r="O281" s="663" t="str">
        <f t="shared" si="39"/>
        <v>0</v>
      </c>
      <c r="P281" s="686">
        <f t="shared" si="40"/>
        <v>1</v>
      </c>
      <c r="Q281" s="686">
        <f t="shared" si="41"/>
        <v>1</v>
      </c>
      <c r="S281" s="553"/>
      <c r="T281" s="533" t="s">
        <v>6096</v>
      </c>
      <c r="U281" s="553"/>
      <c r="V281" s="553"/>
      <c r="W281" s="553"/>
      <c r="X281" s="553"/>
      <c r="Y281" s="553"/>
      <c r="Z281" s="553"/>
      <c r="AA281" s="553"/>
      <c r="AB281" s="553"/>
      <c r="AC281" s="553"/>
      <c r="AD281" s="553"/>
      <c r="AE281" s="553"/>
      <c r="AF281" s="553"/>
      <c r="AG281" s="553"/>
      <c r="AH281" s="553"/>
      <c r="AI281" s="553"/>
      <c r="AJ281" s="553"/>
      <c r="AK281" s="553"/>
      <c r="DE281" s="494"/>
      <c r="DF281" s="496" t="s">
        <v>1675</v>
      </c>
      <c r="DG281" s="496" t="s">
        <v>239</v>
      </c>
      <c r="DH281" s="496" t="s">
        <v>689</v>
      </c>
      <c r="DI281" s="496" t="s">
        <v>1676</v>
      </c>
      <c r="DJ281" s="496" t="s">
        <v>866</v>
      </c>
      <c r="DK281" s="496" t="s">
        <v>1554</v>
      </c>
      <c r="DL281" s="496" t="s">
        <v>1561</v>
      </c>
      <c r="DM281" s="496" t="s">
        <v>1087</v>
      </c>
      <c r="DN281" s="497" t="s">
        <v>1088</v>
      </c>
      <c r="DP281" s="543">
        <v>1</v>
      </c>
    </row>
    <row r="282" spans="2:120">
      <c r="B282" s="683"/>
      <c r="C282" s="683"/>
      <c r="D282" s="683"/>
      <c r="E282" s="683" cm="1">
        <f t="array" ref="E282">IF(H281&lt;&gt;"",E281,IF(E281="","",IFERROR(MATCH(TRUE(),INDEX(INDEX(K:K,E281+1):K203&lt;&gt;"",0),0)+E281,"")))</f>
        <v>423</v>
      </c>
      <c r="F282" s="684" cm="1">
        <f t="array" ref="F282">IF(E282="","",IF(H281&lt;&gt;"",H281,INDEX(D:D,E282)))</f>
        <v>0</v>
      </c>
      <c r="G282" s="684" t="str">
        <f t="shared" si="36"/>
        <v>0</v>
      </c>
      <c r="H282" s="685" t="str">
        <f t="shared" si="37"/>
        <v/>
      </c>
      <c r="I282" s="683" t="str">
        <f>IF(AND(F282&lt;&gt;"",N10&gt;0,M282&gt;N10),"Mot &gt; limite","")</f>
        <v/>
      </c>
      <c r="M282" s="638">
        <f>IF(OR(F282="",N10="",N10&lt;=0),"",IF(LEN(F282)&lt;=N10,LEN(F282),IFERROR(FIND("♦",SUBSTITUTE(LEFT(F282,N10)," ","♦",LEN(LEFT(F282,N10))-LEN(SUBSTITUTE(LEFT(F282,N10)," ","")))),FIND(" ",F282&amp;" ",N10+1)-1)))</f>
        <v>1</v>
      </c>
      <c r="N282" s="686">
        <f t="shared" si="38"/>
        <v>265</v>
      </c>
      <c r="O282" s="663" t="str">
        <f t="shared" si="39"/>
        <v>0</v>
      </c>
      <c r="P282" s="686">
        <f t="shared" si="40"/>
        <v>1</v>
      </c>
      <c r="Q282" s="686">
        <f t="shared" si="41"/>
        <v>1</v>
      </c>
      <c r="S282" s="553"/>
      <c r="T282" s="533" t="s">
        <v>6097</v>
      </c>
      <c r="U282" s="553"/>
      <c r="V282" s="553"/>
      <c r="W282" s="553"/>
      <c r="X282" s="553"/>
      <c r="Y282" s="553"/>
      <c r="Z282" s="553"/>
      <c r="AA282" s="553"/>
      <c r="AB282" s="553"/>
      <c r="AC282" s="553"/>
      <c r="AD282" s="553"/>
      <c r="AE282" s="553"/>
      <c r="AF282" s="553"/>
      <c r="AG282" s="553"/>
      <c r="AH282" s="553"/>
      <c r="AI282" s="553"/>
      <c r="AJ282" s="553"/>
      <c r="AK282" s="553"/>
      <c r="DE282" s="494"/>
      <c r="DF282" s="496" t="s">
        <v>1677</v>
      </c>
      <c r="DG282" s="496" t="s">
        <v>239</v>
      </c>
      <c r="DH282" s="496" t="s">
        <v>689</v>
      </c>
      <c r="DI282" s="496" t="s">
        <v>868</v>
      </c>
      <c r="DJ282" s="496" t="s">
        <v>868</v>
      </c>
      <c r="DK282" s="496" t="s">
        <v>1554</v>
      </c>
      <c r="DL282" s="496" t="s">
        <v>1555</v>
      </c>
      <c r="DM282" s="496" t="s">
        <v>1556</v>
      </c>
      <c r="DN282" s="497" t="s">
        <v>1557</v>
      </c>
      <c r="DP282" s="543">
        <v>1</v>
      </c>
    </row>
    <row r="283" spans="2:120">
      <c r="B283" s="683"/>
      <c r="C283" s="683"/>
      <c r="D283" s="683"/>
      <c r="E283" s="683" cm="1">
        <f t="array" ref="E283">IF(H282&lt;&gt;"",E282,IF(E282="","",IFERROR(MATCH(TRUE(),INDEX(INDEX(K:K,E282+1):K203&lt;&gt;"",0),0)+E282,"")))</f>
        <v>424</v>
      </c>
      <c r="F283" s="684" cm="1">
        <f t="array" ref="F283">IF(E283="","",IF(H282&lt;&gt;"",H282,INDEX(D:D,E283)))</f>
        <v>0</v>
      </c>
      <c r="G283" s="684" t="str">
        <f t="shared" si="36"/>
        <v>0</v>
      </c>
      <c r="H283" s="685" t="str">
        <f t="shared" si="37"/>
        <v/>
      </c>
      <c r="I283" s="683" t="str">
        <f>IF(AND(F283&lt;&gt;"",N10&gt;0,M283&gt;N10),"Mot &gt; limite","")</f>
        <v/>
      </c>
      <c r="M283" s="638">
        <f>IF(OR(F283="",N10="",N10&lt;=0),"",IF(LEN(F283)&lt;=N10,LEN(F283),IFERROR(FIND("♦",SUBSTITUTE(LEFT(F283,N10)," ","♦",LEN(LEFT(F283,N10))-LEN(SUBSTITUTE(LEFT(F283,N10)," ","")))),FIND(" ",F283&amp;" ",N10+1)-1)))</f>
        <v>1</v>
      </c>
      <c r="N283" s="686">
        <f t="shared" si="38"/>
        <v>266</v>
      </c>
      <c r="O283" s="663" t="str">
        <f t="shared" si="39"/>
        <v>0</v>
      </c>
      <c r="P283" s="686">
        <f t="shared" si="40"/>
        <v>1</v>
      </c>
      <c r="Q283" s="686">
        <f t="shared" si="41"/>
        <v>1</v>
      </c>
      <c r="S283" s="553"/>
      <c r="T283" s="533" t="s">
        <v>6098</v>
      </c>
      <c r="U283" s="553"/>
      <c r="V283" s="553"/>
      <c r="W283" s="553"/>
      <c r="X283" s="553"/>
      <c r="Y283" s="553"/>
      <c r="Z283" s="553"/>
      <c r="AA283" s="553"/>
      <c r="AB283" s="553"/>
      <c r="AC283" s="553"/>
      <c r="AD283" s="553"/>
      <c r="AE283" s="553"/>
      <c r="AF283" s="553"/>
      <c r="AG283" s="553"/>
      <c r="AH283" s="553"/>
      <c r="AI283" s="553"/>
      <c r="AJ283" s="553"/>
      <c r="AK283" s="553"/>
      <c r="DE283" s="494"/>
      <c r="DF283" s="496" t="s">
        <v>1678</v>
      </c>
      <c r="DG283" s="496" t="s">
        <v>239</v>
      </c>
      <c r="DH283" s="496" t="s">
        <v>689</v>
      </c>
      <c r="DI283" s="496" t="s">
        <v>1679</v>
      </c>
      <c r="DJ283" s="496" t="s">
        <v>1679</v>
      </c>
      <c r="DK283" s="496" t="s">
        <v>1554</v>
      </c>
      <c r="DL283" s="496" t="s">
        <v>1555</v>
      </c>
      <c r="DM283" s="496" t="s">
        <v>1556</v>
      </c>
      <c r="DN283" s="497" t="s">
        <v>1557</v>
      </c>
      <c r="DP283" s="543">
        <v>1</v>
      </c>
    </row>
    <row r="284" spans="2:120">
      <c r="B284" s="683"/>
      <c r="C284" s="683"/>
      <c r="D284" s="683"/>
      <c r="E284" s="683" cm="1">
        <f t="array" ref="E284">IF(H283&lt;&gt;"",E283,IF(E283="","",IFERROR(MATCH(TRUE(),INDEX(INDEX(K:K,E283+1):K203&lt;&gt;"",0),0)+E283,"")))</f>
        <v>425</v>
      </c>
      <c r="F284" s="684" cm="1">
        <f t="array" ref="F284">IF(E284="","",IF(H283&lt;&gt;"",H283,INDEX(D:D,E284)))</f>
        <v>0</v>
      </c>
      <c r="G284" s="684" t="str">
        <f t="shared" si="36"/>
        <v>0</v>
      </c>
      <c r="H284" s="685" t="str">
        <f t="shared" si="37"/>
        <v/>
      </c>
      <c r="I284" s="683" t="str">
        <f>IF(AND(F284&lt;&gt;"",N10&gt;0,M284&gt;N10),"Mot &gt; limite","")</f>
        <v/>
      </c>
      <c r="M284" s="638">
        <f>IF(OR(F284="",N10="",N10&lt;=0),"",IF(LEN(F284)&lt;=N10,LEN(F284),IFERROR(FIND("♦",SUBSTITUTE(LEFT(F284,N10)," ","♦",LEN(LEFT(F284,N10))-LEN(SUBSTITUTE(LEFT(F284,N10)," ","")))),FIND(" ",F284&amp;" ",N10+1)-1)))</f>
        <v>1</v>
      </c>
      <c r="N284" s="686">
        <f t="shared" si="38"/>
        <v>267</v>
      </c>
      <c r="O284" s="663" t="str">
        <f t="shared" si="39"/>
        <v>0</v>
      </c>
      <c r="P284" s="686">
        <f t="shared" si="40"/>
        <v>1</v>
      </c>
      <c r="Q284" s="686">
        <f t="shared" si="41"/>
        <v>1</v>
      </c>
      <c r="S284" s="553"/>
      <c r="T284" s="533"/>
      <c r="U284" s="553"/>
      <c r="V284" s="553"/>
      <c r="W284" s="553"/>
      <c r="X284" s="553"/>
      <c r="Y284" s="553"/>
      <c r="Z284" s="553"/>
      <c r="AA284" s="553"/>
      <c r="AB284" s="553"/>
      <c r="AC284" s="553"/>
      <c r="AD284" s="553"/>
      <c r="AE284" s="553"/>
      <c r="AF284" s="553"/>
      <c r="AG284" s="553"/>
      <c r="AH284" s="553"/>
      <c r="AI284" s="553"/>
      <c r="AJ284" s="553"/>
      <c r="AK284" s="553"/>
      <c r="DE284" s="494"/>
      <c r="DF284" s="496" t="s">
        <v>1680</v>
      </c>
      <c r="DG284" s="496" t="s">
        <v>239</v>
      </c>
      <c r="DH284" s="496" t="s">
        <v>689</v>
      </c>
      <c r="DI284" s="496" t="s">
        <v>1681</v>
      </c>
      <c r="DJ284" s="496" t="s">
        <v>1681</v>
      </c>
      <c r="DK284" s="496" t="s">
        <v>1554</v>
      </c>
      <c r="DL284" s="496" t="s">
        <v>1555</v>
      </c>
      <c r="DM284" s="496" t="s">
        <v>1556</v>
      </c>
      <c r="DN284" s="497" t="s">
        <v>1557</v>
      </c>
      <c r="DP284" s="543">
        <v>1</v>
      </c>
    </row>
    <row r="285" spans="2:120" ht="15">
      <c r="B285" s="683"/>
      <c r="C285" s="683"/>
      <c r="D285" s="683"/>
      <c r="E285" s="683" cm="1">
        <f t="array" ref="E285">IF(H284&lt;&gt;"",E284,IF(E284="","",IFERROR(MATCH(TRUE(),INDEX(INDEX(K:K,E284+1):K203&lt;&gt;"",0),0)+E284,"")))</f>
        <v>426</v>
      </c>
      <c r="F285" s="684" cm="1">
        <f t="array" ref="F285">IF(E285="","",IF(H284&lt;&gt;"",H284,INDEX(D:D,E285)))</f>
        <v>0</v>
      </c>
      <c r="G285" s="684" t="str">
        <f t="shared" si="36"/>
        <v>0</v>
      </c>
      <c r="H285" s="685" t="str">
        <f t="shared" si="37"/>
        <v/>
      </c>
      <c r="I285" s="683" t="str">
        <f>IF(AND(F285&lt;&gt;"",N10&gt;0,M285&gt;N10),"Mot &gt; limite","")</f>
        <v/>
      </c>
      <c r="M285" s="638">
        <f>IF(OR(F285="",N10="",N10&lt;=0),"",IF(LEN(F285)&lt;=N10,LEN(F285),IFERROR(FIND("♦",SUBSTITUTE(LEFT(F285,N10)," ","♦",LEN(LEFT(F285,N10))-LEN(SUBSTITUTE(LEFT(F285,N10)," ","")))),FIND(" ",F285&amp;" ",N10+1)-1)))</f>
        <v>1</v>
      </c>
      <c r="N285" s="686">
        <f t="shared" si="38"/>
        <v>268</v>
      </c>
      <c r="O285" s="663" t="str">
        <f t="shared" si="39"/>
        <v>0</v>
      </c>
      <c r="P285" s="686">
        <f t="shared" si="40"/>
        <v>1</v>
      </c>
      <c r="Q285" s="686">
        <f t="shared" si="41"/>
        <v>1</v>
      </c>
      <c r="DE285" s="494"/>
      <c r="DF285" s="496" t="s">
        <v>1682</v>
      </c>
      <c r="DG285" s="496" t="s">
        <v>239</v>
      </c>
      <c r="DH285" s="496" t="s">
        <v>689</v>
      </c>
      <c r="DI285" s="496" t="s">
        <v>1683</v>
      </c>
      <c r="DJ285" s="496" t="s">
        <v>1683</v>
      </c>
      <c r="DK285" s="496" t="s">
        <v>1554</v>
      </c>
      <c r="DL285" s="496" t="s">
        <v>1555</v>
      </c>
      <c r="DM285" s="496" t="s">
        <v>1556</v>
      </c>
      <c r="DN285" s="497" t="s">
        <v>1557</v>
      </c>
      <c r="DP285" s="543">
        <v>1</v>
      </c>
    </row>
    <row r="286" spans="2:120" ht="15">
      <c r="B286" s="683"/>
      <c r="C286" s="683"/>
      <c r="D286" s="683"/>
      <c r="E286" s="683" cm="1">
        <f t="array" ref="E286">IF(H285&lt;&gt;"",E285,IF(E285="","",IFERROR(MATCH(TRUE(),INDEX(INDEX(K:K,E285+1):K203&lt;&gt;"",0),0)+E285,"")))</f>
        <v>427</v>
      </c>
      <c r="F286" s="684" cm="1">
        <f t="array" ref="F286">IF(E286="","",IF(H285&lt;&gt;"",H285,INDEX(D:D,E286)))</f>
        <v>0</v>
      </c>
      <c r="G286" s="684" t="str">
        <f t="shared" si="36"/>
        <v>0</v>
      </c>
      <c r="H286" s="685" t="str">
        <f t="shared" si="37"/>
        <v/>
      </c>
      <c r="I286" s="683" t="str">
        <f>IF(AND(F286&lt;&gt;"",N10&gt;0,M286&gt;N10),"Mot &gt; limite","")</f>
        <v/>
      </c>
      <c r="M286" s="638">
        <f>IF(OR(F286="",N10="",N10&lt;=0),"",IF(LEN(F286)&lt;=N10,LEN(F286),IFERROR(FIND("♦",SUBSTITUTE(LEFT(F286,N10)," ","♦",LEN(LEFT(F286,N10))-LEN(SUBSTITUTE(LEFT(F286,N10)," ","")))),FIND(" ",F286&amp;" ",N10+1)-1)))</f>
        <v>1</v>
      </c>
      <c r="N286" s="686">
        <f t="shared" si="38"/>
        <v>269</v>
      </c>
      <c r="O286" s="663" t="str">
        <f t="shared" si="39"/>
        <v>0</v>
      </c>
      <c r="P286" s="686">
        <f t="shared" si="40"/>
        <v>1</v>
      </c>
      <c r="Q286" s="686">
        <f t="shared" si="41"/>
        <v>1</v>
      </c>
      <c r="DE286" s="494"/>
      <c r="DF286" s="496" t="s">
        <v>1684</v>
      </c>
      <c r="DG286" s="496" t="s">
        <v>239</v>
      </c>
      <c r="DH286" s="496" t="s">
        <v>689</v>
      </c>
      <c r="DI286" s="496" t="s">
        <v>1685</v>
      </c>
      <c r="DJ286" s="496" t="s">
        <v>1685</v>
      </c>
      <c r="DK286" s="496" t="s">
        <v>1554</v>
      </c>
      <c r="DL286" s="496" t="s">
        <v>1561</v>
      </c>
      <c r="DM286" s="496" t="s">
        <v>1087</v>
      </c>
      <c r="DN286" s="497" t="s">
        <v>1088</v>
      </c>
      <c r="DP286" s="543">
        <v>1</v>
      </c>
    </row>
    <row r="287" spans="2:120" ht="15">
      <c r="B287" s="683"/>
      <c r="C287" s="683"/>
      <c r="D287" s="683"/>
      <c r="E287" s="683" cm="1">
        <f t="array" ref="E287">IF(H286&lt;&gt;"",E286,IF(E286="","",IFERROR(MATCH(TRUE(),INDEX(INDEX(K:K,E286+1):K203&lt;&gt;"",0),0)+E286,"")))</f>
        <v>428</v>
      </c>
      <c r="F287" s="684" cm="1">
        <f t="array" ref="F287">IF(E287="","",IF(H286&lt;&gt;"",H286,INDEX(D:D,E287)))</f>
        <v>0</v>
      </c>
      <c r="G287" s="684" t="str">
        <f t="shared" si="36"/>
        <v>0</v>
      </c>
      <c r="H287" s="685" t="str">
        <f t="shared" si="37"/>
        <v/>
      </c>
      <c r="I287" s="683" t="str">
        <f>IF(AND(F287&lt;&gt;"",N10&gt;0,M287&gt;N10),"Mot &gt; limite","")</f>
        <v/>
      </c>
      <c r="M287" s="638">
        <f>IF(OR(F287="",N10="",N10&lt;=0),"",IF(LEN(F287)&lt;=N10,LEN(F287),IFERROR(FIND("♦",SUBSTITUTE(LEFT(F287,N10)," ","♦",LEN(LEFT(F287,N10))-LEN(SUBSTITUTE(LEFT(F287,N10)," ","")))),FIND(" ",F287&amp;" ",N10+1)-1)))</f>
        <v>1</v>
      </c>
      <c r="N287" s="686">
        <f t="shared" si="38"/>
        <v>270</v>
      </c>
      <c r="O287" s="663" t="str">
        <f t="shared" si="39"/>
        <v>0</v>
      </c>
      <c r="P287" s="686">
        <f t="shared" si="40"/>
        <v>1</v>
      </c>
      <c r="Q287" s="686">
        <f t="shared" si="41"/>
        <v>1</v>
      </c>
      <c r="DE287" s="494"/>
      <c r="DF287" s="496" t="s">
        <v>1686</v>
      </c>
      <c r="DG287" s="496" t="s">
        <v>239</v>
      </c>
      <c r="DH287" s="496" t="s">
        <v>689</v>
      </c>
      <c r="DI287" s="496" t="s">
        <v>67</v>
      </c>
      <c r="DJ287" s="496" t="s">
        <v>67</v>
      </c>
      <c r="DK287" s="496" t="s">
        <v>1554</v>
      </c>
      <c r="DL287" s="496" t="s">
        <v>1561</v>
      </c>
      <c r="DM287" s="496" t="s">
        <v>1087</v>
      </c>
      <c r="DN287" s="497" t="s">
        <v>1088</v>
      </c>
      <c r="DP287" s="543">
        <v>1</v>
      </c>
    </row>
    <row r="288" spans="2:120" ht="15">
      <c r="B288" s="683"/>
      <c r="C288" s="683"/>
      <c r="D288" s="683"/>
      <c r="E288" s="683" cm="1">
        <f t="array" ref="E288">IF(H287&lt;&gt;"",E287,IF(E287="","",IFERROR(MATCH(TRUE(),INDEX(INDEX(K:K,E287+1):K203&lt;&gt;"",0),0)+E287,"")))</f>
        <v>429</v>
      </c>
      <c r="F288" s="684" cm="1">
        <f t="array" ref="F288">IF(E288="","",IF(H287&lt;&gt;"",H287,INDEX(D:D,E288)))</f>
        <v>0</v>
      </c>
      <c r="G288" s="684" t="str">
        <f t="shared" si="36"/>
        <v>0</v>
      </c>
      <c r="H288" s="685" t="str">
        <f t="shared" si="37"/>
        <v/>
      </c>
      <c r="I288" s="683" t="str">
        <f>IF(AND(F288&lt;&gt;"",N10&gt;0,M288&gt;N10),"Mot &gt; limite","")</f>
        <v/>
      </c>
      <c r="M288" s="638">
        <f>IF(OR(F288="",N10="",N10&lt;=0),"",IF(LEN(F288)&lt;=N10,LEN(F288),IFERROR(FIND("♦",SUBSTITUTE(LEFT(F288,N10)," ","♦",LEN(LEFT(F288,N10))-LEN(SUBSTITUTE(LEFT(F288,N10)," ","")))),FIND(" ",F288&amp;" ",N10+1)-1)))</f>
        <v>1</v>
      </c>
      <c r="N288" s="686">
        <f t="shared" si="38"/>
        <v>271</v>
      </c>
      <c r="O288" s="663" t="str">
        <f t="shared" si="39"/>
        <v>0</v>
      </c>
      <c r="P288" s="686">
        <f t="shared" si="40"/>
        <v>1</v>
      </c>
      <c r="Q288" s="686">
        <f t="shared" si="41"/>
        <v>1</v>
      </c>
      <c r="DE288" s="494"/>
      <c r="DF288" s="496" t="s">
        <v>1687</v>
      </c>
      <c r="DG288" s="496" t="s">
        <v>239</v>
      </c>
      <c r="DH288" s="496" t="s">
        <v>689</v>
      </c>
      <c r="DI288" s="496" t="s">
        <v>1688</v>
      </c>
      <c r="DJ288" s="496" t="s">
        <v>1688</v>
      </c>
      <c r="DK288" s="496" t="s">
        <v>1554</v>
      </c>
      <c r="DL288" s="496" t="s">
        <v>1555</v>
      </c>
      <c r="DM288" s="496" t="s">
        <v>1556</v>
      </c>
      <c r="DN288" s="497" t="s">
        <v>1557</v>
      </c>
      <c r="DP288" s="543">
        <v>1</v>
      </c>
    </row>
    <row r="289" spans="2:120" ht="15">
      <c r="B289" s="683"/>
      <c r="C289" s="683"/>
      <c r="D289" s="683"/>
      <c r="E289" s="683" cm="1">
        <f t="array" ref="E289">IF(H288&lt;&gt;"",E288,IF(E288="","",IFERROR(MATCH(TRUE(),INDEX(INDEX(K:K,E288+1):K203&lt;&gt;"",0),0)+E288,"")))</f>
        <v>430</v>
      </c>
      <c r="F289" s="684" cm="1">
        <f t="array" ref="F289">IF(E289="","",IF(H288&lt;&gt;"",H288,INDEX(D:D,E289)))</f>
        <v>0</v>
      </c>
      <c r="G289" s="684" t="str">
        <f t="shared" si="36"/>
        <v>0</v>
      </c>
      <c r="H289" s="685" t="str">
        <f t="shared" si="37"/>
        <v/>
      </c>
      <c r="I289" s="683" t="str">
        <f>IF(AND(F289&lt;&gt;"",N10&gt;0,M289&gt;N10),"Mot &gt; limite","")</f>
        <v/>
      </c>
      <c r="M289" s="638">
        <f>IF(OR(F289="",N10="",N10&lt;=0),"",IF(LEN(F289)&lt;=N10,LEN(F289),IFERROR(FIND("♦",SUBSTITUTE(LEFT(F289,N10)," ","♦",LEN(LEFT(F289,N10))-LEN(SUBSTITUTE(LEFT(F289,N10)," ","")))),FIND(" ",F289&amp;" ",N10+1)-1)))</f>
        <v>1</v>
      </c>
      <c r="N289" s="686">
        <f t="shared" si="38"/>
        <v>272</v>
      </c>
      <c r="O289" s="663" t="str">
        <f t="shared" si="39"/>
        <v>0</v>
      </c>
      <c r="P289" s="686">
        <f t="shared" si="40"/>
        <v>1</v>
      </c>
      <c r="Q289" s="686">
        <f t="shared" si="41"/>
        <v>1</v>
      </c>
      <c r="DE289" s="494"/>
      <c r="DF289" s="496" t="s">
        <v>1689</v>
      </c>
      <c r="DG289" s="496" t="s">
        <v>239</v>
      </c>
      <c r="DH289" s="496" t="s">
        <v>689</v>
      </c>
      <c r="DI289" s="496" t="s">
        <v>81</v>
      </c>
      <c r="DJ289" s="496" t="s">
        <v>81</v>
      </c>
      <c r="DK289" s="496" t="s">
        <v>1554</v>
      </c>
      <c r="DL289" s="496" t="s">
        <v>1555</v>
      </c>
      <c r="DM289" s="496" t="s">
        <v>1556</v>
      </c>
      <c r="DN289" s="497" t="s">
        <v>1557</v>
      </c>
      <c r="DP289" s="543">
        <v>1</v>
      </c>
    </row>
    <row r="290" spans="2:120" ht="15">
      <c r="B290" s="683"/>
      <c r="C290" s="683"/>
      <c r="D290" s="683"/>
      <c r="E290" s="683" cm="1">
        <f t="array" ref="E290">IF(H289&lt;&gt;"",E289,IF(E289="","",IFERROR(MATCH(TRUE(),INDEX(INDEX(K:K,E289+1):K203&lt;&gt;"",0),0)+E289,"")))</f>
        <v>431</v>
      </c>
      <c r="F290" s="684" cm="1">
        <f t="array" ref="F290">IF(E290="","",IF(H289&lt;&gt;"",H289,INDEX(D:D,E290)))</f>
        <v>0</v>
      </c>
      <c r="G290" s="684" t="str">
        <f t="shared" si="36"/>
        <v>0</v>
      </c>
      <c r="H290" s="685" t="str">
        <f t="shared" si="37"/>
        <v/>
      </c>
      <c r="I290" s="683" t="str">
        <f>IF(AND(F290&lt;&gt;"",N10&gt;0,M290&gt;N10),"Mot &gt; limite","")</f>
        <v/>
      </c>
      <c r="M290" s="638">
        <f>IF(OR(F290="",N10="",N10&lt;=0),"",IF(LEN(F290)&lt;=N10,LEN(F290),IFERROR(FIND("♦",SUBSTITUTE(LEFT(F290,N10)," ","♦",LEN(LEFT(F290,N10))-LEN(SUBSTITUTE(LEFT(F290,N10)," ","")))),FIND(" ",F290&amp;" ",N10+1)-1)))</f>
        <v>1</v>
      </c>
      <c r="N290" s="686">
        <f t="shared" si="38"/>
        <v>273</v>
      </c>
      <c r="O290" s="663" t="str">
        <f t="shared" si="39"/>
        <v>0</v>
      </c>
      <c r="P290" s="686">
        <f t="shared" si="40"/>
        <v>1</v>
      </c>
      <c r="Q290" s="686">
        <f t="shared" si="41"/>
        <v>1</v>
      </c>
      <c r="DE290" s="494"/>
      <c r="DF290" s="496" t="s">
        <v>1690</v>
      </c>
      <c r="DG290" s="496" t="s">
        <v>239</v>
      </c>
      <c r="DH290" s="496" t="s">
        <v>689</v>
      </c>
      <c r="DI290" s="496" t="s">
        <v>1691</v>
      </c>
      <c r="DJ290" s="496" t="s">
        <v>1691</v>
      </c>
      <c r="DK290" s="496" t="s">
        <v>1554</v>
      </c>
      <c r="DL290" s="496" t="s">
        <v>1555</v>
      </c>
      <c r="DM290" s="496" t="s">
        <v>1556</v>
      </c>
      <c r="DN290" s="497" t="s">
        <v>1557</v>
      </c>
      <c r="DP290" s="543">
        <v>1</v>
      </c>
    </row>
    <row r="291" spans="2:120" ht="15">
      <c r="B291" s="683"/>
      <c r="C291" s="683"/>
      <c r="D291" s="683"/>
      <c r="E291" s="683" cm="1">
        <f t="array" ref="E291">IF(H290&lt;&gt;"",E290,IF(E290="","",IFERROR(MATCH(TRUE(),INDEX(INDEX(K:K,E290+1):K203&lt;&gt;"",0),0)+E290,"")))</f>
        <v>432</v>
      </c>
      <c r="F291" s="684" cm="1">
        <f t="array" ref="F291">IF(E291="","",IF(H290&lt;&gt;"",H290,INDEX(D:D,E291)))</f>
        <v>0</v>
      </c>
      <c r="G291" s="684" t="str">
        <f t="shared" si="36"/>
        <v>0</v>
      </c>
      <c r="H291" s="685" t="str">
        <f t="shared" si="37"/>
        <v/>
      </c>
      <c r="I291" s="683" t="str">
        <f>IF(AND(F291&lt;&gt;"",N10&gt;0,M291&gt;N10),"Mot &gt; limite","")</f>
        <v/>
      </c>
      <c r="M291" s="638">
        <f>IF(OR(F291="",N10="",N10&lt;=0),"",IF(LEN(F291)&lt;=N10,LEN(F291),IFERROR(FIND("♦",SUBSTITUTE(LEFT(F291,N10)," ","♦",LEN(LEFT(F291,N10))-LEN(SUBSTITUTE(LEFT(F291,N10)," ","")))),FIND(" ",F291&amp;" ",N10+1)-1)))</f>
        <v>1</v>
      </c>
      <c r="N291" s="686">
        <f t="shared" si="38"/>
        <v>274</v>
      </c>
      <c r="O291" s="663" t="str">
        <f t="shared" si="39"/>
        <v>0</v>
      </c>
      <c r="P291" s="686">
        <f t="shared" si="40"/>
        <v>1</v>
      </c>
      <c r="Q291" s="686">
        <f t="shared" si="41"/>
        <v>1</v>
      </c>
      <c r="DE291" s="494"/>
      <c r="DF291" s="496" t="s">
        <v>1692</v>
      </c>
      <c r="DG291" s="496" t="s">
        <v>239</v>
      </c>
      <c r="DH291" s="496" t="s">
        <v>689</v>
      </c>
      <c r="DI291" s="496" t="s">
        <v>870</v>
      </c>
      <c r="DJ291" s="496" t="s">
        <v>870</v>
      </c>
      <c r="DK291" s="496" t="s">
        <v>1554</v>
      </c>
      <c r="DL291" s="496" t="s">
        <v>1555</v>
      </c>
      <c r="DM291" s="496" t="s">
        <v>1556</v>
      </c>
      <c r="DN291" s="497" t="s">
        <v>1557</v>
      </c>
      <c r="DP291" s="543">
        <v>1</v>
      </c>
    </row>
    <row r="292" spans="2:120" ht="15">
      <c r="B292" s="683"/>
      <c r="C292" s="683"/>
      <c r="D292" s="683"/>
      <c r="E292" s="683" cm="1">
        <f t="array" ref="E292">IF(H291&lt;&gt;"",E291,IF(E291="","",IFERROR(MATCH(TRUE(),INDEX(INDEX(K:K,E291+1):K203&lt;&gt;"",0),0)+E291,"")))</f>
        <v>433</v>
      </c>
      <c r="F292" s="684" cm="1">
        <f t="array" ref="F292">IF(E292="","",IF(H291&lt;&gt;"",H291,INDEX(D:D,E292)))</f>
        <v>0</v>
      </c>
      <c r="G292" s="684" t="str">
        <f t="shared" si="36"/>
        <v>0</v>
      </c>
      <c r="H292" s="685" t="str">
        <f t="shared" si="37"/>
        <v/>
      </c>
      <c r="I292" s="683" t="str">
        <f>IF(AND(F292&lt;&gt;"",N10&gt;0,M292&gt;N10),"Mot &gt; limite","")</f>
        <v/>
      </c>
      <c r="M292" s="638">
        <f>IF(OR(F292="",N10="",N10&lt;=0),"",IF(LEN(F292)&lt;=N10,LEN(F292),IFERROR(FIND("♦",SUBSTITUTE(LEFT(F292,N10)," ","♦",LEN(LEFT(F292,N10))-LEN(SUBSTITUTE(LEFT(F292,N10)," ","")))),FIND(" ",F292&amp;" ",N10+1)-1)))</f>
        <v>1</v>
      </c>
      <c r="N292" s="686">
        <f t="shared" si="38"/>
        <v>275</v>
      </c>
      <c r="O292" s="663" t="str">
        <f t="shared" si="39"/>
        <v>0</v>
      </c>
      <c r="P292" s="686">
        <f t="shared" si="40"/>
        <v>1</v>
      </c>
      <c r="Q292" s="686">
        <f t="shared" si="41"/>
        <v>1</v>
      </c>
      <c r="DE292" s="494"/>
      <c r="DF292" s="496" t="s">
        <v>1693</v>
      </c>
      <c r="DG292" s="496" t="s">
        <v>239</v>
      </c>
      <c r="DH292" s="496" t="s">
        <v>689</v>
      </c>
      <c r="DI292" s="496" t="s">
        <v>1694</v>
      </c>
      <c r="DJ292" s="496" t="s">
        <v>1694</v>
      </c>
      <c r="DK292" s="496" t="s">
        <v>1554</v>
      </c>
      <c r="DL292" s="496" t="s">
        <v>1555</v>
      </c>
      <c r="DM292" s="496" t="s">
        <v>1556</v>
      </c>
      <c r="DN292" s="497" t="s">
        <v>1557</v>
      </c>
      <c r="DP292" s="543">
        <v>1</v>
      </c>
    </row>
    <row r="293" spans="2:120" ht="15">
      <c r="B293" s="683"/>
      <c r="C293" s="683"/>
      <c r="D293" s="683"/>
      <c r="E293" s="683" cm="1">
        <f t="array" ref="E293">IF(H292&lt;&gt;"",E292,IF(E292="","",IFERROR(MATCH(TRUE(),INDEX(INDEX(K:K,E292+1):K203&lt;&gt;"",0),0)+E292,"")))</f>
        <v>434</v>
      </c>
      <c r="F293" s="684" cm="1">
        <f t="array" ref="F293">IF(E293="","",IF(H292&lt;&gt;"",H292,INDEX(D:D,E293)))</f>
        <v>0</v>
      </c>
      <c r="G293" s="684" t="str">
        <f t="shared" si="36"/>
        <v>0</v>
      </c>
      <c r="H293" s="685" t="str">
        <f t="shared" si="37"/>
        <v/>
      </c>
      <c r="I293" s="683" t="str">
        <f>IF(AND(F293&lt;&gt;"",N10&gt;0,M293&gt;N10),"Mot &gt; limite","")</f>
        <v/>
      </c>
      <c r="M293" s="638">
        <f>IF(OR(F293="",N10="",N10&lt;=0),"",IF(LEN(F293)&lt;=N10,LEN(F293),IFERROR(FIND("♦",SUBSTITUTE(LEFT(F293,N10)," ","♦",LEN(LEFT(F293,N10))-LEN(SUBSTITUTE(LEFT(F293,N10)," ","")))),FIND(" ",F293&amp;" ",N10+1)-1)))</f>
        <v>1</v>
      </c>
      <c r="N293" s="686">
        <f t="shared" si="38"/>
        <v>276</v>
      </c>
      <c r="O293" s="663" t="str">
        <f t="shared" si="39"/>
        <v>0</v>
      </c>
      <c r="P293" s="686">
        <f t="shared" si="40"/>
        <v>1</v>
      </c>
      <c r="Q293" s="686">
        <f t="shared" si="41"/>
        <v>1</v>
      </c>
      <c r="DE293" s="494"/>
      <c r="DF293" s="496" t="s">
        <v>1695</v>
      </c>
      <c r="DG293" s="496" t="s">
        <v>239</v>
      </c>
      <c r="DH293" s="496" t="s">
        <v>689</v>
      </c>
      <c r="DI293" s="496" t="s">
        <v>1696</v>
      </c>
      <c r="DJ293" s="496" t="s">
        <v>1696</v>
      </c>
      <c r="DK293" s="496" t="s">
        <v>1554</v>
      </c>
      <c r="DL293" s="496" t="s">
        <v>1561</v>
      </c>
      <c r="DM293" s="496" t="s">
        <v>1087</v>
      </c>
      <c r="DN293" s="497" t="s">
        <v>1088</v>
      </c>
      <c r="DP293" s="543">
        <v>1</v>
      </c>
    </row>
    <row r="294" spans="2:120" ht="15">
      <c r="B294" s="683"/>
      <c r="C294" s="683"/>
      <c r="D294" s="683"/>
      <c r="E294" s="683" cm="1">
        <f t="array" ref="E294">IF(H293&lt;&gt;"",E293,IF(E293="","",IFERROR(MATCH(TRUE(),INDEX(INDEX(K:K,E293+1):K203&lt;&gt;"",0),0)+E293,"")))</f>
        <v>435</v>
      </c>
      <c r="F294" s="684" cm="1">
        <f t="array" ref="F294">IF(E294="","",IF(H293&lt;&gt;"",H293,INDEX(D:D,E294)))</f>
        <v>0</v>
      </c>
      <c r="G294" s="684" t="str">
        <f t="shared" si="36"/>
        <v>0</v>
      </c>
      <c r="H294" s="685" t="str">
        <f t="shared" si="37"/>
        <v/>
      </c>
      <c r="I294" s="683" t="str">
        <f>IF(AND(F294&lt;&gt;"",N10&gt;0,M294&gt;N10),"Mot &gt; limite","")</f>
        <v/>
      </c>
      <c r="M294" s="638">
        <f>IF(OR(F294="",N10="",N10&lt;=0),"",IF(LEN(F294)&lt;=N10,LEN(F294),IFERROR(FIND("♦",SUBSTITUTE(LEFT(F294,N10)," ","♦",LEN(LEFT(F294,N10))-LEN(SUBSTITUTE(LEFT(F294,N10)," ","")))),FIND(" ",F294&amp;" ",N10+1)-1)))</f>
        <v>1</v>
      </c>
      <c r="N294" s="686">
        <f t="shared" si="38"/>
        <v>277</v>
      </c>
      <c r="O294" s="663" t="str">
        <f t="shared" si="39"/>
        <v>0</v>
      </c>
      <c r="P294" s="686">
        <f t="shared" si="40"/>
        <v>1</v>
      </c>
      <c r="Q294" s="686">
        <f t="shared" si="41"/>
        <v>1</v>
      </c>
      <c r="DE294" s="494"/>
      <c r="DF294" s="496" t="s">
        <v>1697</v>
      </c>
      <c r="DG294" s="496" t="s">
        <v>239</v>
      </c>
      <c r="DH294" s="496" t="s">
        <v>689</v>
      </c>
      <c r="DI294" s="496" t="s">
        <v>1698</v>
      </c>
      <c r="DJ294" s="496" t="s">
        <v>1698</v>
      </c>
      <c r="DK294" s="496" t="s">
        <v>1554</v>
      </c>
      <c r="DL294" s="496" t="s">
        <v>1555</v>
      </c>
      <c r="DM294" s="496" t="s">
        <v>1556</v>
      </c>
      <c r="DN294" s="497" t="s">
        <v>1557</v>
      </c>
      <c r="DP294" s="543">
        <v>1</v>
      </c>
    </row>
    <row r="295" spans="2:120" ht="15">
      <c r="B295" s="683"/>
      <c r="C295" s="683"/>
      <c r="D295" s="683"/>
      <c r="E295" s="683" cm="1">
        <f t="array" ref="E295">IF(H294&lt;&gt;"",E294,IF(E294="","",IFERROR(MATCH(TRUE(),INDEX(INDEX(K:K,E294+1):K203&lt;&gt;"",0),0)+E294,"")))</f>
        <v>436</v>
      </c>
      <c r="F295" s="684" cm="1">
        <f t="array" ref="F295">IF(E295="","",IF(H294&lt;&gt;"",H294,INDEX(D:D,E295)))</f>
        <v>0</v>
      </c>
      <c r="G295" s="684" t="str">
        <f t="shared" si="36"/>
        <v>0</v>
      </c>
      <c r="H295" s="685" t="str">
        <f t="shared" si="37"/>
        <v/>
      </c>
      <c r="I295" s="683" t="str">
        <f>IF(AND(F295&lt;&gt;"",N10&gt;0,M295&gt;N10),"Mot &gt; limite","")</f>
        <v/>
      </c>
      <c r="M295" s="638">
        <f>IF(OR(F295="",N10="",N10&lt;=0),"",IF(LEN(F295)&lt;=N10,LEN(F295),IFERROR(FIND("♦",SUBSTITUTE(LEFT(F295,N10)," ","♦",LEN(LEFT(F295,N10))-LEN(SUBSTITUTE(LEFT(F295,N10)," ","")))),FIND(" ",F295&amp;" ",N10+1)-1)))</f>
        <v>1</v>
      </c>
      <c r="N295" s="686">
        <f t="shared" si="38"/>
        <v>278</v>
      </c>
      <c r="O295" s="663" t="str">
        <f t="shared" si="39"/>
        <v>0</v>
      </c>
      <c r="P295" s="686">
        <f t="shared" si="40"/>
        <v>1</v>
      </c>
      <c r="Q295" s="686">
        <f t="shared" si="41"/>
        <v>1</v>
      </c>
      <c r="DE295" s="494"/>
      <c r="DF295" s="496" t="s">
        <v>1699</v>
      </c>
      <c r="DG295" s="496" t="s">
        <v>239</v>
      </c>
      <c r="DH295" s="496" t="s">
        <v>689</v>
      </c>
      <c r="DI295" s="496" t="s">
        <v>1700</v>
      </c>
      <c r="DJ295" s="496" t="s">
        <v>1700</v>
      </c>
      <c r="DK295" s="496" t="s">
        <v>1554</v>
      </c>
      <c r="DL295" s="496" t="s">
        <v>1555</v>
      </c>
      <c r="DM295" s="496" t="s">
        <v>1556</v>
      </c>
      <c r="DN295" s="497" t="s">
        <v>1557</v>
      </c>
      <c r="DP295" s="543">
        <v>1</v>
      </c>
    </row>
    <row r="296" spans="2:120" ht="15">
      <c r="B296" s="683"/>
      <c r="C296" s="683"/>
      <c r="D296" s="683"/>
      <c r="E296" s="683" cm="1">
        <f t="array" ref="E296">IF(H295&lt;&gt;"",E295,IF(E295="","",IFERROR(MATCH(TRUE(),INDEX(INDEX(K:K,E295+1):K203&lt;&gt;"",0),0)+E295,"")))</f>
        <v>437</v>
      </c>
      <c r="F296" s="684" cm="1">
        <f t="array" ref="F296">IF(E296="","",IF(H295&lt;&gt;"",H295,INDEX(D:D,E296)))</f>
        <v>0</v>
      </c>
      <c r="G296" s="684" t="str">
        <f t="shared" si="36"/>
        <v>0</v>
      </c>
      <c r="H296" s="685" t="str">
        <f t="shared" si="37"/>
        <v/>
      </c>
      <c r="I296" s="683" t="str">
        <f>IF(AND(F296&lt;&gt;"",N10&gt;0,M296&gt;N10),"Mot &gt; limite","")</f>
        <v/>
      </c>
      <c r="M296" s="638">
        <f>IF(OR(F296="",N10="",N10&lt;=0),"",IF(LEN(F296)&lt;=N10,LEN(F296),IFERROR(FIND("♦",SUBSTITUTE(LEFT(F296,N10)," ","♦",LEN(LEFT(F296,N10))-LEN(SUBSTITUTE(LEFT(F296,N10)," ","")))),FIND(" ",F296&amp;" ",N10+1)-1)))</f>
        <v>1</v>
      </c>
      <c r="N296" s="686">
        <f t="shared" si="38"/>
        <v>279</v>
      </c>
      <c r="O296" s="663" t="str">
        <f t="shared" si="39"/>
        <v>0</v>
      </c>
      <c r="P296" s="686">
        <f t="shared" si="40"/>
        <v>1</v>
      </c>
      <c r="Q296" s="686">
        <f t="shared" si="41"/>
        <v>1</v>
      </c>
      <c r="DE296" s="494"/>
      <c r="DF296" s="496" t="s">
        <v>1701</v>
      </c>
      <c r="DG296" s="496" t="s">
        <v>239</v>
      </c>
      <c r="DH296" s="496" t="s">
        <v>689</v>
      </c>
      <c r="DI296" s="496" t="s">
        <v>1702</v>
      </c>
      <c r="DJ296" s="496" t="s">
        <v>1703</v>
      </c>
      <c r="DK296" s="496" t="s">
        <v>1554</v>
      </c>
      <c r="DL296" s="496" t="s">
        <v>1561</v>
      </c>
      <c r="DM296" s="496" t="s">
        <v>1087</v>
      </c>
      <c r="DN296" s="497" t="s">
        <v>1088</v>
      </c>
      <c r="DP296" s="543">
        <v>1</v>
      </c>
    </row>
    <row r="297" spans="2:120" ht="15">
      <c r="B297" s="683"/>
      <c r="C297" s="683"/>
      <c r="D297" s="683"/>
      <c r="E297" s="683" cm="1">
        <f t="array" ref="E297">IF(H296&lt;&gt;"",E296,IF(E296="","",IFERROR(MATCH(TRUE(),INDEX(INDEX(K:K,E296+1):K203&lt;&gt;"",0),0)+E296,"")))</f>
        <v>438</v>
      </c>
      <c r="F297" s="684" cm="1">
        <f t="array" ref="F297">IF(E297="","",IF(H296&lt;&gt;"",H296,INDEX(D:D,E297)))</f>
        <v>0</v>
      </c>
      <c r="G297" s="684" t="str">
        <f t="shared" si="36"/>
        <v>0</v>
      </c>
      <c r="H297" s="685" t="str">
        <f t="shared" si="37"/>
        <v/>
      </c>
      <c r="I297" s="683" t="str">
        <f>IF(AND(F297&lt;&gt;"",N10&gt;0,M297&gt;N10),"Mot &gt; limite","")</f>
        <v/>
      </c>
      <c r="M297" s="638">
        <f>IF(OR(F297="",N10="",N10&lt;=0),"",IF(LEN(F297)&lt;=N10,LEN(F297),IFERROR(FIND("♦",SUBSTITUTE(LEFT(F297,N10)," ","♦",LEN(LEFT(F297,N10))-LEN(SUBSTITUTE(LEFT(F297,N10)," ","")))),FIND(" ",F297&amp;" ",N10+1)-1)))</f>
        <v>1</v>
      </c>
      <c r="N297" s="686">
        <f t="shared" si="38"/>
        <v>280</v>
      </c>
      <c r="O297" s="663" t="str">
        <f t="shared" si="39"/>
        <v>0</v>
      </c>
      <c r="P297" s="686">
        <f t="shared" si="40"/>
        <v>1</v>
      </c>
      <c r="Q297" s="686">
        <f t="shared" si="41"/>
        <v>1</v>
      </c>
      <c r="DE297" s="494"/>
      <c r="DF297" s="496" t="s">
        <v>1704</v>
      </c>
      <c r="DG297" s="496" t="s">
        <v>239</v>
      </c>
      <c r="DH297" s="496" t="s">
        <v>689</v>
      </c>
      <c r="DI297" s="496" t="s">
        <v>93</v>
      </c>
      <c r="DJ297" s="496" t="s">
        <v>93</v>
      </c>
      <c r="DK297" s="496" t="s">
        <v>1554</v>
      </c>
      <c r="DL297" s="496" t="s">
        <v>1555</v>
      </c>
      <c r="DM297" s="496" t="s">
        <v>1556</v>
      </c>
      <c r="DN297" s="497" t="s">
        <v>1557</v>
      </c>
      <c r="DP297" s="543">
        <v>1</v>
      </c>
    </row>
    <row r="298" spans="2:120" ht="15">
      <c r="B298" s="683"/>
      <c r="C298" s="683"/>
      <c r="D298" s="683"/>
      <c r="E298" s="683" cm="1">
        <f t="array" ref="E298">IF(H297&lt;&gt;"",E297,IF(E297="","",IFERROR(MATCH(TRUE(),INDEX(INDEX(K:K,E297+1):K203&lt;&gt;"",0),0)+E297,"")))</f>
        <v>439</v>
      </c>
      <c r="F298" s="684" cm="1">
        <f t="array" ref="F298">IF(E298="","",IF(H297&lt;&gt;"",H297,INDEX(D:D,E298)))</f>
        <v>0</v>
      </c>
      <c r="G298" s="684" t="str">
        <f t="shared" si="36"/>
        <v>0</v>
      </c>
      <c r="H298" s="685" t="str">
        <f t="shared" si="37"/>
        <v/>
      </c>
      <c r="I298" s="683" t="str">
        <f>IF(AND(F298&lt;&gt;"",N10&gt;0,M298&gt;N10),"Mot &gt; limite","")</f>
        <v/>
      </c>
      <c r="M298" s="638">
        <f>IF(OR(F298="",N10="",N10&lt;=0),"",IF(LEN(F298)&lt;=N10,LEN(F298),IFERROR(FIND("♦",SUBSTITUTE(LEFT(F298,N10)," ","♦",LEN(LEFT(F298,N10))-LEN(SUBSTITUTE(LEFT(F298,N10)," ","")))),FIND(" ",F298&amp;" ",N10+1)-1)))</f>
        <v>1</v>
      </c>
      <c r="N298" s="686">
        <f t="shared" si="38"/>
        <v>281</v>
      </c>
      <c r="O298" s="663" t="str">
        <f t="shared" si="39"/>
        <v>0</v>
      </c>
      <c r="P298" s="686">
        <f t="shared" si="40"/>
        <v>1</v>
      </c>
      <c r="Q298" s="686">
        <f t="shared" si="41"/>
        <v>1</v>
      </c>
      <c r="DE298" s="494"/>
      <c r="DF298" s="496" t="s">
        <v>1705</v>
      </c>
      <c r="DG298" s="496" t="s">
        <v>239</v>
      </c>
      <c r="DH298" s="496" t="s">
        <v>689</v>
      </c>
      <c r="DI298" s="496" t="s">
        <v>1706</v>
      </c>
      <c r="DJ298" s="496" t="s">
        <v>1706</v>
      </c>
      <c r="DK298" s="496" t="s">
        <v>1554</v>
      </c>
      <c r="DL298" s="496" t="s">
        <v>1555</v>
      </c>
      <c r="DM298" s="496" t="s">
        <v>1556</v>
      </c>
      <c r="DN298" s="497" t="s">
        <v>1557</v>
      </c>
      <c r="DP298" s="543">
        <v>1</v>
      </c>
    </row>
    <row r="299" spans="2:120" ht="15">
      <c r="B299" s="683"/>
      <c r="C299" s="683"/>
      <c r="D299" s="683"/>
      <c r="E299" s="683" cm="1">
        <f t="array" ref="E299">IF(H298&lt;&gt;"",E298,IF(E298="","",IFERROR(MATCH(TRUE(),INDEX(INDEX(K:K,E298+1):K203&lt;&gt;"",0),0)+E298,"")))</f>
        <v>440</v>
      </c>
      <c r="F299" s="684" cm="1">
        <f t="array" ref="F299">IF(E299="","",IF(H298&lt;&gt;"",H298,INDEX(D:D,E299)))</f>
        <v>0</v>
      </c>
      <c r="G299" s="684" t="str">
        <f t="shared" si="36"/>
        <v>0</v>
      </c>
      <c r="H299" s="685" t="str">
        <f t="shared" si="37"/>
        <v/>
      </c>
      <c r="I299" s="683" t="str">
        <f>IF(AND(F299&lt;&gt;"",N10&gt;0,M299&gt;N10),"Mot &gt; limite","")</f>
        <v/>
      </c>
      <c r="M299" s="638">
        <f>IF(OR(F299="",N10="",N10&lt;=0),"",IF(LEN(F299)&lt;=N10,LEN(F299),IFERROR(FIND("♦",SUBSTITUTE(LEFT(F299,N10)," ","♦",LEN(LEFT(F299,N10))-LEN(SUBSTITUTE(LEFT(F299,N10)," ","")))),FIND(" ",F299&amp;" ",N10+1)-1)))</f>
        <v>1</v>
      </c>
      <c r="N299" s="686">
        <f t="shared" si="38"/>
        <v>282</v>
      </c>
      <c r="O299" s="663" t="str">
        <f t="shared" si="39"/>
        <v>0</v>
      </c>
      <c r="P299" s="686">
        <f t="shared" si="40"/>
        <v>1</v>
      </c>
      <c r="Q299" s="686">
        <f t="shared" si="41"/>
        <v>1</v>
      </c>
      <c r="DE299" s="494"/>
      <c r="DF299" s="496" t="s">
        <v>1707</v>
      </c>
      <c r="DG299" s="496" t="s">
        <v>239</v>
      </c>
      <c r="DH299" s="496" t="s">
        <v>689</v>
      </c>
      <c r="DI299" s="496" t="s">
        <v>1708</v>
      </c>
      <c r="DJ299" s="496" t="s">
        <v>1708</v>
      </c>
      <c r="DK299" s="496" t="s">
        <v>1554</v>
      </c>
      <c r="DL299" s="496" t="s">
        <v>1555</v>
      </c>
      <c r="DM299" s="496" t="s">
        <v>1556</v>
      </c>
      <c r="DN299" s="497" t="s">
        <v>1557</v>
      </c>
      <c r="DP299" s="543">
        <v>1</v>
      </c>
    </row>
    <row r="300" spans="2:120" ht="15">
      <c r="B300" s="683"/>
      <c r="C300" s="683"/>
      <c r="D300" s="683"/>
      <c r="E300" s="683" cm="1">
        <f t="array" ref="E300">IF(H299&lt;&gt;"",E299,IF(E299="","",IFERROR(MATCH(TRUE(),INDEX(INDEX(K:K,E299+1):K203&lt;&gt;"",0),0)+E299,"")))</f>
        <v>441</v>
      </c>
      <c r="F300" s="684" cm="1">
        <f t="array" ref="F300">IF(E300="","",IF(H299&lt;&gt;"",H299,INDEX(D:D,E300)))</f>
        <v>0</v>
      </c>
      <c r="G300" s="684" t="str">
        <f t="shared" si="36"/>
        <v>0</v>
      </c>
      <c r="H300" s="685" t="str">
        <f t="shared" si="37"/>
        <v/>
      </c>
      <c r="I300" s="683" t="str">
        <f>IF(AND(F300&lt;&gt;"",N10&gt;0,M300&gt;N10),"Mot &gt; limite","")</f>
        <v/>
      </c>
      <c r="M300" s="638">
        <f>IF(OR(F300="",N10="",N10&lt;=0),"",IF(LEN(F300)&lt;=N10,LEN(F300),IFERROR(FIND("♦",SUBSTITUTE(LEFT(F300,N10)," ","♦",LEN(LEFT(F300,N10))-LEN(SUBSTITUTE(LEFT(F300,N10)," ","")))),FIND(" ",F300&amp;" ",N10+1)-1)))</f>
        <v>1</v>
      </c>
      <c r="N300" s="686">
        <f t="shared" si="38"/>
        <v>283</v>
      </c>
      <c r="O300" s="663" t="str">
        <f t="shared" si="39"/>
        <v>0</v>
      </c>
      <c r="P300" s="686">
        <f t="shared" si="40"/>
        <v>1</v>
      </c>
      <c r="Q300" s="686">
        <f t="shared" si="41"/>
        <v>1</v>
      </c>
      <c r="DE300" s="494"/>
      <c r="DF300" s="496" t="s">
        <v>1709</v>
      </c>
      <c r="DG300" s="496" t="s">
        <v>239</v>
      </c>
      <c r="DH300" s="496" t="s">
        <v>689</v>
      </c>
      <c r="DI300" s="496" t="s">
        <v>1710</v>
      </c>
      <c r="DJ300" s="496" t="s">
        <v>1710</v>
      </c>
      <c r="DK300" s="496" t="s">
        <v>1554</v>
      </c>
      <c r="DL300" s="496" t="s">
        <v>1555</v>
      </c>
      <c r="DM300" s="496" t="s">
        <v>1556</v>
      </c>
      <c r="DN300" s="497" t="s">
        <v>1557</v>
      </c>
      <c r="DP300" s="543">
        <v>1</v>
      </c>
    </row>
    <row r="301" spans="2:120" ht="15">
      <c r="B301" s="683"/>
      <c r="C301" s="683"/>
      <c r="D301" s="683"/>
      <c r="E301" s="683" cm="1">
        <f t="array" ref="E301">IF(H300&lt;&gt;"",E300,IF(E300="","",IFERROR(MATCH(TRUE(),INDEX(INDEX(K:K,E300+1):K203&lt;&gt;"",0),0)+E300,"")))</f>
        <v>442</v>
      </c>
      <c r="F301" s="684" cm="1">
        <f t="array" ref="F301">IF(E301="","",IF(H300&lt;&gt;"",H300,INDEX(D:D,E301)))</f>
        <v>0</v>
      </c>
      <c r="G301" s="684" t="str">
        <f t="shared" si="36"/>
        <v>0</v>
      </c>
      <c r="H301" s="685" t="str">
        <f t="shared" si="37"/>
        <v/>
      </c>
      <c r="I301" s="683" t="str">
        <f>IF(AND(F301&lt;&gt;"",N10&gt;0,M301&gt;N10),"Mot &gt; limite","")</f>
        <v/>
      </c>
      <c r="M301" s="638">
        <f>IF(OR(F301="",N10="",N10&lt;=0),"",IF(LEN(F301)&lt;=N10,LEN(F301),IFERROR(FIND("♦",SUBSTITUTE(LEFT(F301,N10)," ","♦",LEN(LEFT(F301,N10))-LEN(SUBSTITUTE(LEFT(F301,N10)," ","")))),FIND(" ",F301&amp;" ",N10+1)-1)))</f>
        <v>1</v>
      </c>
      <c r="N301" s="686">
        <f t="shared" si="38"/>
        <v>284</v>
      </c>
      <c r="O301" s="663" t="str">
        <f t="shared" si="39"/>
        <v>0</v>
      </c>
      <c r="P301" s="686">
        <f t="shared" si="40"/>
        <v>1</v>
      </c>
      <c r="Q301" s="686">
        <f t="shared" si="41"/>
        <v>1</v>
      </c>
      <c r="DE301" s="494"/>
      <c r="DF301" s="496" t="s">
        <v>1711</v>
      </c>
      <c r="DG301" s="496" t="s">
        <v>239</v>
      </c>
      <c r="DH301" s="496" t="s">
        <v>689</v>
      </c>
      <c r="DI301" s="496" t="s">
        <v>1712</v>
      </c>
      <c r="DJ301" s="496" t="s">
        <v>1712</v>
      </c>
      <c r="DK301" s="496" t="s">
        <v>1554</v>
      </c>
      <c r="DL301" s="496" t="s">
        <v>1555</v>
      </c>
      <c r="DM301" s="496" t="s">
        <v>1556</v>
      </c>
      <c r="DN301" s="497" t="s">
        <v>1557</v>
      </c>
      <c r="DP301" s="543">
        <v>1</v>
      </c>
    </row>
    <row r="302" spans="2:120" ht="15">
      <c r="B302" s="683"/>
      <c r="C302" s="683"/>
      <c r="D302" s="683"/>
      <c r="E302" s="683" cm="1">
        <f t="array" ref="E302">IF(H301&lt;&gt;"",E301,IF(E301="","",IFERROR(MATCH(TRUE(),INDEX(INDEX(K:K,E301+1):K203&lt;&gt;"",0),0)+E301,"")))</f>
        <v>443</v>
      </c>
      <c r="F302" s="684" cm="1">
        <f t="array" ref="F302">IF(E302="","",IF(H301&lt;&gt;"",H301,INDEX(D:D,E302)))</f>
        <v>0</v>
      </c>
      <c r="G302" s="684" t="str">
        <f t="shared" si="36"/>
        <v>0</v>
      </c>
      <c r="H302" s="685" t="str">
        <f t="shared" si="37"/>
        <v/>
      </c>
      <c r="I302" s="683" t="str">
        <f>IF(AND(F302&lt;&gt;"",N10&gt;0,M302&gt;N10),"Mot &gt; limite","")</f>
        <v/>
      </c>
      <c r="M302" s="638">
        <f>IF(OR(F302="",N10="",N10&lt;=0),"",IF(LEN(F302)&lt;=N10,LEN(F302),IFERROR(FIND("♦",SUBSTITUTE(LEFT(F302,N10)," ","♦",LEN(LEFT(F302,N10))-LEN(SUBSTITUTE(LEFT(F302,N10)," ","")))),FIND(" ",F302&amp;" ",N10+1)-1)))</f>
        <v>1</v>
      </c>
      <c r="N302" s="686">
        <f t="shared" si="38"/>
        <v>285</v>
      </c>
      <c r="O302" s="663" t="str">
        <f t="shared" si="39"/>
        <v>0</v>
      </c>
      <c r="P302" s="686">
        <f t="shared" si="40"/>
        <v>1</v>
      </c>
      <c r="Q302" s="686">
        <f t="shared" si="41"/>
        <v>1</v>
      </c>
      <c r="DE302" s="494"/>
      <c r="DF302" s="496" t="s">
        <v>1713</v>
      </c>
      <c r="DG302" s="496" t="s">
        <v>239</v>
      </c>
      <c r="DH302" s="496" t="s">
        <v>689</v>
      </c>
      <c r="DI302" s="496" t="s">
        <v>1714</v>
      </c>
      <c r="DJ302" s="496" t="s">
        <v>1714</v>
      </c>
      <c r="DK302" s="496" t="s">
        <v>1554</v>
      </c>
      <c r="DL302" s="496" t="s">
        <v>1555</v>
      </c>
      <c r="DM302" s="496" t="s">
        <v>1556</v>
      </c>
      <c r="DN302" s="497" t="s">
        <v>1557</v>
      </c>
      <c r="DP302" s="543">
        <v>1</v>
      </c>
    </row>
    <row r="303" spans="2:120" ht="15">
      <c r="B303" s="683"/>
      <c r="C303" s="683"/>
      <c r="D303" s="683"/>
      <c r="E303" s="683" cm="1">
        <f t="array" ref="E303">IF(H302&lt;&gt;"",E302,IF(E302="","",IFERROR(MATCH(TRUE(),INDEX(INDEX(K:K,E302+1):K203&lt;&gt;"",0),0)+E302,"")))</f>
        <v>444</v>
      </c>
      <c r="F303" s="684" cm="1">
        <f t="array" ref="F303">IF(E303="","",IF(H302&lt;&gt;"",H302,INDEX(D:D,E303)))</f>
        <v>0</v>
      </c>
      <c r="G303" s="684" t="str">
        <f t="shared" si="36"/>
        <v>0</v>
      </c>
      <c r="H303" s="685" t="str">
        <f t="shared" si="37"/>
        <v/>
      </c>
      <c r="I303" s="683" t="str">
        <f>IF(AND(F303&lt;&gt;"",N10&gt;0,M303&gt;N10),"Mot &gt; limite","")</f>
        <v/>
      </c>
      <c r="M303" s="638">
        <f>IF(OR(F303="",N10="",N10&lt;=0),"",IF(LEN(F303)&lt;=N10,LEN(F303),IFERROR(FIND("♦",SUBSTITUTE(LEFT(F303,N10)," ","♦",LEN(LEFT(F303,N10))-LEN(SUBSTITUTE(LEFT(F303,N10)," ","")))),FIND(" ",F303&amp;" ",N10+1)-1)))</f>
        <v>1</v>
      </c>
      <c r="N303" s="686">
        <f t="shared" si="38"/>
        <v>286</v>
      </c>
      <c r="O303" s="663" t="str">
        <f t="shared" si="39"/>
        <v>0</v>
      </c>
      <c r="P303" s="686">
        <f t="shared" si="40"/>
        <v>1</v>
      </c>
      <c r="Q303" s="686">
        <f t="shared" si="41"/>
        <v>1</v>
      </c>
      <c r="DE303" s="494"/>
      <c r="DF303" s="496" t="s">
        <v>1715</v>
      </c>
      <c r="DG303" s="496" t="s">
        <v>239</v>
      </c>
      <c r="DH303" s="496" t="s">
        <v>689</v>
      </c>
      <c r="DI303" s="496" t="s">
        <v>1716</v>
      </c>
      <c r="DJ303" s="496" t="s">
        <v>1716</v>
      </c>
      <c r="DK303" s="496" t="s">
        <v>1554</v>
      </c>
      <c r="DL303" s="496" t="s">
        <v>1555</v>
      </c>
      <c r="DM303" s="496" t="s">
        <v>1556</v>
      </c>
      <c r="DN303" s="497" t="s">
        <v>1557</v>
      </c>
      <c r="DP303" s="543">
        <v>1</v>
      </c>
    </row>
    <row r="304" spans="2:120" ht="15">
      <c r="B304" s="683"/>
      <c r="C304" s="683"/>
      <c r="D304" s="683"/>
      <c r="E304" s="683" cm="1">
        <f t="array" ref="E304">IF(H303&lt;&gt;"",E303,IF(E303="","",IFERROR(MATCH(TRUE(),INDEX(INDEX(K:K,E303+1):K203&lt;&gt;"",0),0)+E303,"")))</f>
        <v>445</v>
      </c>
      <c r="F304" s="684" cm="1">
        <f t="array" ref="F304">IF(E304="","",IF(H303&lt;&gt;"",H303,INDEX(D:D,E304)))</f>
        <v>0</v>
      </c>
      <c r="G304" s="684" t="str">
        <f t="shared" si="36"/>
        <v>0</v>
      </c>
      <c r="H304" s="685" t="str">
        <f t="shared" si="37"/>
        <v/>
      </c>
      <c r="I304" s="683" t="str">
        <f>IF(AND(F304&lt;&gt;"",N10&gt;0,M304&gt;N10),"Mot &gt; limite","")</f>
        <v/>
      </c>
      <c r="M304" s="638">
        <f>IF(OR(F304="",N10="",N10&lt;=0),"",IF(LEN(F304)&lt;=N10,LEN(F304),IFERROR(FIND("♦",SUBSTITUTE(LEFT(F304,N10)," ","♦",LEN(LEFT(F304,N10))-LEN(SUBSTITUTE(LEFT(F304,N10)," ","")))),FIND(" ",F304&amp;" ",N10+1)-1)))</f>
        <v>1</v>
      </c>
      <c r="N304" s="686">
        <f t="shared" si="38"/>
        <v>287</v>
      </c>
      <c r="O304" s="663" t="str">
        <f t="shared" si="39"/>
        <v>0</v>
      </c>
      <c r="P304" s="686">
        <f t="shared" si="40"/>
        <v>1</v>
      </c>
      <c r="Q304" s="686">
        <f t="shared" si="41"/>
        <v>1</v>
      </c>
      <c r="DE304" s="494"/>
      <c r="DF304" s="496" t="s">
        <v>1717</v>
      </c>
      <c r="DG304" s="496" t="s">
        <v>239</v>
      </c>
      <c r="DH304" s="496" t="s">
        <v>689</v>
      </c>
      <c r="DI304" s="496" t="s">
        <v>1718</v>
      </c>
      <c r="DJ304" s="496" t="s">
        <v>1718</v>
      </c>
      <c r="DK304" s="496" t="s">
        <v>1554</v>
      </c>
      <c r="DL304" s="496" t="s">
        <v>1555</v>
      </c>
      <c r="DM304" s="496" t="s">
        <v>1556</v>
      </c>
      <c r="DN304" s="497" t="s">
        <v>1557</v>
      </c>
      <c r="DP304" s="543">
        <v>1</v>
      </c>
    </row>
    <row r="305" spans="2:120" ht="15">
      <c r="B305" s="683"/>
      <c r="C305" s="683"/>
      <c r="D305" s="683"/>
      <c r="E305" s="683" cm="1">
        <f t="array" ref="E305">IF(H304&lt;&gt;"",E304,IF(E304="","",IFERROR(MATCH(TRUE(),INDEX(INDEX(K:K,E304+1):K203&lt;&gt;"",0),0)+E304,"")))</f>
        <v>446</v>
      </c>
      <c r="F305" s="684" cm="1">
        <f t="array" ref="F305">IF(E305="","",IF(H304&lt;&gt;"",H304,INDEX(D:D,E305)))</f>
        <v>0</v>
      </c>
      <c r="G305" s="684" t="str">
        <f t="shared" si="36"/>
        <v>0</v>
      </c>
      <c r="H305" s="685" t="str">
        <f t="shared" si="37"/>
        <v/>
      </c>
      <c r="I305" s="683" t="str">
        <f>IF(AND(F305&lt;&gt;"",N10&gt;0,M305&gt;N10),"Mot &gt; limite","")</f>
        <v/>
      </c>
      <c r="M305" s="638">
        <f>IF(OR(F305="",N10="",N10&lt;=0),"",IF(LEN(F305)&lt;=N10,LEN(F305),IFERROR(FIND("♦",SUBSTITUTE(LEFT(F305,N10)," ","♦",LEN(LEFT(F305,N10))-LEN(SUBSTITUTE(LEFT(F305,N10)," ","")))),FIND(" ",F305&amp;" ",N10+1)-1)))</f>
        <v>1</v>
      </c>
      <c r="N305" s="686">
        <f t="shared" si="38"/>
        <v>288</v>
      </c>
      <c r="O305" s="663" t="str">
        <f t="shared" si="39"/>
        <v>0</v>
      </c>
      <c r="P305" s="686">
        <f t="shared" si="40"/>
        <v>1</v>
      </c>
      <c r="Q305" s="686">
        <f t="shared" si="41"/>
        <v>1</v>
      </c>
      <c r="DE305" s="494"/>
      <c r="DF305" s="496" t="s">
        <v>1719</v>
      </c>
      <c r="DG305" s="496" t="s">
        <v>239</v>
      </c>
      <c r="DH305" s="496" t="s">
        <v>689</v>
      </c>
      <c r="DI305" s="496" t="s">
        <v>1720</v>
      </c>
      <c r="DJ305" s="496" t="s">
        <v>1720</v>
      </c>
      <c r="DK305" s="496" t="s">
        <v>1554</v>
      </c>
      <c r="DL305" s="496" t="s">
        <v>1555</v>
      </c>
      <c r="DM305" s="496" t="s">
        <v>1556</v>
      </c>
      <c r="DN305" s="497" t="s">
        <v>1557</v>
      </c>
      <c r="DP305" s="543">
        <v>1</v>
      </c>
    </row>
    <row r="306" spans="2:120" ht="15">
      <c r="B306" s="683"/>
      <c r="C306" s="683"/>
      <c r="D306" s="683"/>
      <c r="E306" s="683" cm="1">
        <f t="array" ref="E306">IF(H305&lt;&gt;"",E305,IF(E305="","",IFERROR(MATCH(TRUE(),INDEX(INDEX(K:K,E305+1):K203&lt;&gt;"",0),0)+E305,"")))</f>
        <v>447</v>
      </c>
      <c r="F306" s="684" cm="1">
        <f t="array" ref="F306">IF(E306="","",IF(H305&lt;&gt;"",H305,INDEX(D:D,E306)))</f>
        <v>0</v>
      </c>
      <c r="G306" s="684" t="str">
        <f t="shared" si="36"/>
        <v>0</v>
      </c>
      <c r="H306" s="685" t="str">
        <f t="shared" si="37"/>
        <v/>
      </c>
      <c r="I306" s="683" t="str">
        <f>IF(AND(F306&lt;&gt;"",N10&gt;0,M306&gt;N10),"Mot &gt; limite","")</f>
        <v/>
      </c>
      <c r="M306" s="638">
        <f>IF(OR(F306="",N10="",N10&lt;=0),"",IF(LEN(F306)&lt;=N10,LEN(F306),IFERROR(FIND("♦",SUBSTITUTE(LEFT(F306,N10)," ","♦",LEN(LEFT(F306,N10))-LEN(SUBSTITUTE(LEFT(F306,N10)," ","")))),FIND(" ",F306&amp;" ",N10+1)-1)))</f>
        <v>1</v>
      </c>
      <c r="N306" s="686">
        <f t="shared" si="38"/>
        <v>289</v>
      </c>
      <c r="O306" s="663" t="str">
        <f t="shared" si="39"/>
        <v>0</v>
      </c>
      <c r="P306" s="686">
        <f t="shared" si="40"/>
        <v>1</v>
      </c>
      <c r="Q306" s="686">
        <f t="shared" si="41"/>
        <v>1</v>
      </c>
      <c r="DE306" s="494"/>
      <c r="DF306" s="496" t="s">
        <v>1721</v>
      </c>
      <c r="DG306" s="496" t="s">
        <v>239</v>
      </c>
      <c r="DH306" s="496" t="s">
        <v>689</v>
      </c>
      <c r="DI306" s="496" t="s">
        <v>1722</v>
      </c>
      <c r="DJ306" s="496" t="s">
        <v>1722</v>
      </c>
      <c r="DK306" s="496" t="s">
        <v>1554</v>
      </c>
      <c r="DL306" s="496" t="s">
        <v>1555</v>
      </c>
      <c r="DM306" s="496" t="s">
        <v>1556</v>
      </c>
      <c r="DN306" s="497" t="s">
        <v>1557</v>
      </c>
      <c r="DP306" s="543">
        <v>1</v>
      </c>
    </row>
    <row r="307" spans="2:120" ht="15">
      <c r="B307" s="683"/>
      <c r="C307" s="683"/>
      <c r="D307" s="683"/>
      <c r="E307" s="683" cm="1">
        <f t="array" ref="E307">IF(H306&lt;&gt;"",E306,IF(E306="","",IFERROR(MATCH(TRUE(),INDEX(INDEX(K:K,E306+1):K203&lt;&gt;"",0),0)+E306,"")))</f>
        <v>448</v>
      </c>
      <c r="F307" s="684" cm="1">
        <f t="array" ref="F307">IF(E307="","",IF(H306&lt;&gt;"",H306,INDEX(D:D,E307)))</f>
        <v>0</v>
      </c>
      <c r="G307" s="684" t="str">
        <f t="shared" si="36"/>
        <v>0</v>
      </c>
      <c r="H307" s="685" t="str">
        <f t="shared" si="37"/>
        <v/>
      </c>
      <c r="I307" s="683" t="str">
        <f>IF(AND(F307&lt;&gt;"",N10&gt;0,M307&gt;N10),"Mot &gt; limite","")</f>
        <v/>
      </c>
      <c r="M307" s="638">
        <f>IF(OR(F307="",N10="",N10&lt;=0),"",IF(LEN(F307)&lt;=N10,LEN(F307),IFERROR(FIND("♦",SUBSTITUTE(LEFT(F307,N10)," ","♦",LEN(LEFT(F307,N10))-LEN(SUBSTITUTE(LEFT(F307,N10)," ","")))),FIND(" ",F307&amp;" ",N10+1)-1)))</f>
        <v>1</v>
      </c>
      <c r="N307" s="686">
        <f t="shared" si="38"/>
        <v>290</v>
      </c>
      <c r="O307" s="663" t="str">
        <f t="shared" si="39"/>
        <v>0</v>
      </c>
      <c r="P307" s="686">
        <f t="shared" si="40"/>
        <v>1</v>
      </c>
      <c r="Q307" s="686">
        <f t="shared" si="41"/>
        <v>1</v>
      </c>
      <c r="DE307" s="494"/>
      <c r="DF307" s="496" t="s">
        <v>1723</v>
      </c>
      <c r="DG307" s="496" t="s">
        <v>239</v>
      </c>
      <c r="DH307" s="496" t="s">
        <v>689</v>
      </c>
      <c r="DI307" s="496" t="s">
        <v>1724</v>
      </c>
      <c r="DJ307" s="496" t="s">
        <v>1724</v>
      </c>
      <c r="DK307" s="496" t="s">
        <v>1554</v>
      </c>
      <c r="DL307" s="496" t="s">
        <v>1555</v>
      </c>
      <c r="DM307" s="496" t="s">
        <v>1556</v>
      </c>
      <c r="DN307" s="497" t="s">
        <v>1557</v>
      </c>
      <c r="DP307" s="543">
        <v>1</v>
      </c>
    </row>
    <row r="308" spans="2:120" ht="15">
      <c r="B308" s="683"/>
      <c r="C308" s="683"/>
      <c r="D308" s="683"/>
      <c r="E308" s="683" cm="1">
        <f t="array" ref="E308">IF(H307&lt;&gt;"",E307,IF(E307="","",IFERROR(MATCH(TRUE(),INDEX(INDEX(K:K,E307+1):K203&lt;&gt;"",0),0)+E307,"")))</f>
        <v>449</v>
      </c>
      <c r="F308" s="684" cm="1">
        <f t="array" ref="F308">IF(E308="","",IF(H307&lt;&gt;"",H307,INDEX(D:D,E308)))</f>
        <v>0</v>
      </c>
      <c r="G308" s="684" t="str">
        <f t="shared" si="36"/>
        <v>0</v>
      </c>
      <c r="H308" s="685" t="str">
        <f t="shared" si="37"/>
        <v/>
      </c>
      <c r="I308" s="683" t="str">
        <f>IF(AND(F308&lt;&gt;"",N10&gt;0,M308&gt;N10),"Mot &gt; limite","")</f>
        <v/>
      </c>
      <c r="M308" s="638">
        <f>IF(OR(F308="",N10="",N10&lt;=0),"",IF(LEN(F308)&lt;=N10,LEN(F308),IFERROR(FIND("♦",SUBSTITUTE(LEFT(F308,N10)," ","♦",LEN(LEFT(F308,N10))-LEN(SUBSTITUTE(LEFT(F308,N10)," ","")))),FIND(" ",F308&amp;" ",N10+1)-1)))</f>
        <v>1</v>
      </c>
      <c r="N308" s="686">
        <f t="shared" si="38"/>
        <v>291</v>
      </c>
      <c r="O308" s="663" t="str">
        <f t="shared" si="39"/>
        <v>0</v>
      </c>
      <c r="P308" s="686">
        <f t="shared" si="40"/>
        <v>1</v>
      </c>
      <c r="Q308" s="686">
        <f t="shared" si="41"/>
        <v>1</v>
      </c>
      <c r="DE308" s="494"/>
      <c r="DF308" s="496" t="s">
        <v>1725</v>
      </c>
      <c r="DG308" s="496" t="s">
        <v>239</v>
      </c>
      <c r="DH308" s="496" t="s">
        <v>689</v>
      </c>
      <c r="DI308" s="496" t="s">
        <v>1726</v>
      </c>
      <c r="DJ308" s="496" t="s">
        <v>1726</v>
      </c>
      <c r="DK308" s="496" t="s">
        <v>1554</v>
      </c>
      <c r="DL308" s="496" t="s">
        <v>1555</v>
      </c>
      <c r="DM308" s="496" t="s">
        <v>1556</v>
      </c>
      <c r="DN308" s="497" t="s">
        <v>1557</v>
      </c>
      <c r="DP308" s="543">
        <v>1</v>
      </c>
    </row>
    <row r="309" spans="2:120" ht="15">
      <c r="B309" s="683"/>
      <c r="C309" s="683"/>
      <c r="D309" s="683"/>
      <c r="E309" s="683" cm="1">
        <f t="array" ref="E309">IF(H308&lt;&gt;"",E308,IF(E308="","",IFERROR(MATCH(TRUE(),INDEX(INDEX(K:K,E308+1):K203&lt;&gt;"",0),0)+E308,"")))</f>
        <v>450</v>
      </c>
      <c r="F309" s="684" cm="1">
        <f t="array" ref="F309">IF(E309="","",IF(H308&lt;&gt;"",H308,INDEX(D:D,E309)))</f>
        <v>0</v>
      </c>
      <c r="G309" s="684" t="str">
        <f t="shared" si="36"/>
        <v>0</v>
      </c>
      <c r="H309" s="685" t="str">
        <f t="shared" si="37"/>
        <v/>
      </c>
      <c r="I309" s="683" t="str">
        <f>IF(AND(F309&lt;&gt;"",N10&gt;0,M309&gt;N10),"Mot &gt; limite","")</f>
        <v/>
      </c>
      <c r="M309" s="638">
        <f>IF(OR(F309="",N10="",N10&lt;=0),"",IF(LEN(F309)&lt;=N10,LEN(F309),IFERROR(FIND("♦",SUBSTITUTE(LEFT(F309,N10)," ","♦",LEN(LEFT(F309,N10))-LEN(SUBSTITUTE(LEFT(F309,N10)," ","")))),FIND(" ",F309&amp;" ",N10+1)-1)))</f>
        <v>1</v>
      </c>
      <c r="N309" s="686">
        <f t="shared" si="38"/>
        <v>292</v>
      </c>
      <c r="O309" s="663" t="str">
        <f t="shared" si="39"/>
        <v>0</v>
      </c>
      <c r="P309" s="686">
        <f t="shared" si="40"/>
        <v>1</v>
      </c>
      <c r="Q309" s="686">
        <f t="shared" si="41"/>
        <v>1</v>
      </c>
      <c r="DE309" s="494"/>
      <c r="DF309" s="496" t="s">
        <v>1727</v>
      </c>
      <c r="DG309" s="496" t="s">
        <v>239</v>
      </c>
      <c r="DH309" s="496" t="s">
        <v>689</v>
      </c>
      <c r="DI309" s="496" t="s">
        <v>1728</v>
      </c>
      <c r="DJ309" s="496" t="s">
        <v>1728</v>
      </c>
      <c r="DK309" s="496" t="s">
        <v>1554</v>
      </c>
      <c r="DL309" s="496" t="s">
        <v>1555</v>
      </c>
      <c r="DM309" s="496" t="s">
        <v>1556</v>
      </c>
      <c r="DN309" s="497" t="s">
        <v>1557</v>
      </c>
      <c r="DP309" s="543">
        <v>1</v>
      </c>
    </row>
    <row r="310" spans="2:120" ht="15">
      <c r="B310" s="683"/>
      <c r="C310" s="683"/>
      <c r="D310" s="683"/>
      <c r="E310" s="683" cm="1">
        <f t="array" ref="E310">IF(H309&lt;&gt;"",E309,IF(E309="","",IFERROR(MATCH(TRUE(),INDEX(INDEX(K:K,E309+1):K203&lt;&gt;"",0),0)+E309,"")))</f>
        <v>451</v>
      </c>
      <c r="F310" s="684" cm="1">
        <f t="array" ref="F310">IF(E310="","",IF(H309&lt;&gt;"",H309,INDEX(D:D,E310)))</f>
        <v>0</v>
      </c>
      <c r="G310" s="684" t="str">
        <f t="shared" si="36"/>
        <v>0</v>
      </c>
      <c r="H310" s="685" t="str">
        <f t="shared" si="37"/>
        <v/>
      </c>
      <c r="I310" s="683" t="str">
        <f>IF(AND(F310&lt;&gt;"",N10&gt;0,M310&gt;N10),"Mot &gt; limite","")</f>
        <v/>
      </c>
      <c r="M310" s="638">
        <f>IF(OR(F310="",N10="",N10&lt;=0),"",IF(LEN(F310)&lt;=N10,LEN(F310),IFERROR(FIND("♦",SUBSTITUTE(LEFT(F310,N10)," ","♦",LEN(LEFT(F310,N10))-LEN(SUBSTITUTE(LEFT(F310,N10)," ","")))),FIND(" ",F310&amp;" ",N10+1)-1)))</f>
        <v>1</v>
      </c>
      <c r="N310" s="686">
        <f t="shared" si="38"/>
        <v>293</v>
      </c>
      <c r="O310" s="663" t="str">
        <f t="shared" si="39"/>
        <v>0</v>
      </c>
      <c r="P310" s="686">
        <f t="shared" si="40"/>
        <v>1</v>
      </c>
      <c r="Q310" s="686">
        <f t="shared" si="41"/>
        <v>1</v>
      </c>
      <c r="DE310" s="494"/>
      <c r="DF310" s="496" t="s">
        <v>1729</v>
      </c>
      <c r="DG310" s="496" t="s">
        <v>239</v>
      </c>
      <c r="DH310" s="496" t="s">
        <v>689</v>
      </c>
      <c r="DI310" s="496" t="s">
        <v>1730</v>
      </c>
      <c r="DJ310" s="496" t="s">
        <v>1730</v>
      </c>
      <c r="DK310" s="496" t="s">
        <v>1554</v>
      </c>
      <c r="DL310" s="496" t="s">
        <v>1555</v>
      </c>
      <c r="DM310" s="496" t="s">
        <v>1556</v>
      </c>
      <c r="DN310" s="497" t="s">
        <v>1557</v>
      </c>
      <c r="DP310" s="543">
        <v>1</v>
      </c>
    </row>
    <row r="311" spans="2:120" ht="15">
      <c r="B311" s="683"/>
      <c r="C311" s="683"/>
      <c r="D311" s="683"/>
      <c r="E311" s="683" cm="1">
        <f t="array" ref="E311">IF(H310&lt;&gt;"",E310,IF(E310="","",IFERROR(MATCH(TRUE(),INDEX(INDEX(K:K,E310+1):K203&lt;&gt;"",0),0)+E310,"")))</f>
        <v>452</v>
      </c>
      <c r="F311" s="684" cm="1">
        <f t="array" ref="F311">IF(E311="","",IF(H310&lt;&gt;"",H310,INDEX(D:D,E311)))</f>
        <v>0</v>
      </c>
      <c r="G311" s="684" t="str">
        <f t="shared" si="36"/>
        <v>0</v>
      </c>
      <c r="H311" s="685" t="str">
        <f t="shared" si="37"/>
        <v/>
      </c>
      <c r="I311" s="683" t="str">
        <f>IF(AND(F311&lt;&gt;"",N10&gt;0,M311&gt;N10),"Mot &gt; limite","")</f>
        <v/>
      </c>
      <c r="M311" s="638">
        <f>IF(OR(F311="",N10="",N10&lt;=0),"",IF(LEN(F311)&lt;=N10,LEN(F311),IFERROR(FIND("♦",SUBSTITUTE(LEFT(F311,N10)," ","♦",LEN(LEFT(F311,N10))-LEN(SUBSTITUTE(LEFT(F311,N10)," ","")))),FIND(" ",F311&amp;" ",N10+1)-1)))</f>
        <v>1</v>
      </c>
      <c r="N311" s="686">
        <f t="shared" si="38"/>
        <v>294</v>
      </c>
      <c r="O311" s="663" t="str">
        <f t="shared" si="39"/>
        <v>0</v>
      </c>
      <c r="P311" s="686">
        <f t="shared" si="40"/>
        <v>1</v>
      </c>
      <c r="Q311" s="686">
        <f t="shared" si="41"/>
        <v>1</v>
      </c>
      <c r="DE311" s="494"/>
      <c r="DF311" s="496" t="s">
        <v>1731</v>
      </c>
      <c r="DG311" s="496" t="s">
        <v>239</v>
      </c>
      <c r="DH311" s="496" t="s">
        <v>689</v>
      </c>
      <c r="DI311" s="496" t="s">
        <v>1732</v>
      </c>
      <c r="DJ311" s="496" t="s">
        <v>1732</v>
      </c>
      <c r="DK311" s="496" t="s">
        <v>1554</v>
      </c>
      <c r="DL311" s="496" t="s">
        <v>1555</v>
      </c>
      <c r="DM311" s="496" t="s">
        <v>1556</v>
      </c>
      <c r="DN311" s="497" t="s">
        <v>1557</v>
      </c>
      <c r="DP311" s="543">
        <v>1</v>
      </c>
    </row>
    <row r="312" spans="2:120" ht="15">
      <c r="B312" s="683"/>
      <c r="C312" s="683"/>
      <c r="D312" s="683"/>
      <c r="E312" s="683" cm="1">
        <f t="array" ref="E312">IF(H311&lt;&gt;"",E311,IF(E311="","",IFERROR(MATCH(TRUE(),INDEX(INDEX(K:K,E311+1):K203&lt;&gt;"",0),0)+E311,"")))</f>
        <v>453</v>
      </c>
      <c r="F312" s="684" cm="1">
        <f t="array" ref="F312">IF(E312="","",IF(H311&lt;&gt;"",H311,INDEX(D:D,E312)))</f>
        <v>0</v>
      </c>
      <c r="G312" s="684" t="str">
        <f t="shared" si="36"/>
        <v>0</v>
      </c>
      <c r="H312" s="685" t="str">
        <f t="shared" si="37"/>
        <v/>
      </c>
      <c r="I312" s="683" t="str">
        <f>IF(AND(F312&lt;&gt;"",N10&gt;0,M312&gt;N10),"Mot &gt; limite","")</f>
        <v/>
      </c>
      <c r="M312" s="638">
        <f>IF(OR(F312="",N10="",N10&lt;=0),"",IF(LEN(F312)&lt;=N10,LEN(F312),IFERROR(FIND("♦",SUBSTITUTE(LEFT(F312,N10)," ","♦",LEN(LEFT(F312,N10))-LEN(SUBSTITUTE(LEFT(F312,N10)," ","")))),FIND(" ",F312&amp;" ",N10+1)-1)))</f>
        <v>1</v>
      </c>
      <c r="N312" s="686">
        <f t="shared" si="38"/>
        <v>295</v>
      </c>
      <c r="O312" s="663" t="str">
        <f t="shared" si="39"/>
        <v>0</v>
      </c>
      <c r="P312" s="686">
        <f t="shared" si="40"/>
        <v>1</v>
      </c>
      <c r="Q312" s="686">
        <f t="shared" si="41"/>
        <v>1</v>
      </c>
      <c r="DE312" s="494"/>
      <c r="DF312" s="496" t="s">
        <v>1733</v>
      </c>
      <c r="DG312" s="496" t="s">
        <v>239</v>
      </c>
      <c r="DH312" s="496" t="s">
        <v>689</v>
      </c>
      <c r="DI312" s="496" t="s">
        <v>1734</v>
      </c>
      <c r="DJ312" s="496" t="s">
        <v>1734</v>
      </c>
      <c r="DK312" s="496" t="s">
        <v>1554</v>
      </c>
      <c r="DL312" s="496" t="s">
        <v>1555</v>
      </c>
      <c r="DM312" s="496" t="s">
        <v>1556</v>
      </c>
      <c r="DN312" s="497" t="s">
        <v>1557</v>
      </c>
      <c r="DP312" s="543">
        <v>1</v>
      </c>
    </row>
    <row r="313" spans="2:120" ht="15">
      <c r="B313" s="683"/>
      <c r="C313" s="683"/>
      <c r="D313" s="683"/>
      <c r="E313" s="683" cm="1">
        <f t="array" ref="E313">IF(H312&lt;&gt;"",E312,IF(E312="","",IFERROR(MATCH(TRUE(),INDEX(INDEX(K:K,E312+1):K203&lt;&gt;"",0),0)+E312,"")))</f>
        <v>454</v>
      </c>
      <c r="F313" s="684" cm="1">
        <f t="array" ref="F313">IF(E313="","",IF(H312&lt;&gt;"",H312,INDEX(D:D,E313)))</f>
        <v>0</v>
      </c>
      <c r="G313" s="684" t="str">
        <f t="shared" si="36"/>
        <v>0</v>
      </c>
      <c r="H313" s="685" t="str">
        <f t="shared" si="37"/>
        <v/>
      </c>
      <c r="I313" s="683" t="str">
        <f>IF(AND(F313&lt;&gt;"",N10&gt;0,M313&gt;N10),"Mot &gt; limite","")</f>
        <v/>
      </c>
      <c r="M313" s="638">
        <f>IF(OR(F313="",N10="",N10&lt;=0),"",IF(LEN(F313)&lt;=N10,LEN(F313),IFERROR(FIND("♦",SUBSTITUTE(LEFT(F313,N10)," ","♦",LEN(LEFT(F313,N10))-LEN(SUBSTITUTE(LEFT(F313,N10)," ","")))),FIND(" ",F313&amp;" ",N10+1)-1)))</f>
        <v>1</v>
      </c>
      <c r="N313" s="686">
        <f t="shared" si="38"/>
        <v>296</v>
      </c>
      <c r="O313" s="663" t="str">
        <f t="shared" si="39"/>
        <v>0</v>
      </c>
      <c r="P313" s="686">
        <f t="shared" si="40"/>
        <v>1</v>
      </c>
      <c r="Q313" s="686">
        <f t="shared" si="41"/>
        <v>1</v>
      </c>
      <c r="DE313" s="494"/>
      <c r="DF313" s="496" t="s">
        <v>1735</v>
      </c>
      <c r="DG313" s="496" t="s">
        <v>239</v>
      </c>
      <c r="DH313" s="496" t="s">
        <v>689</v>
      </c>
      <c r="DI313" s="496" t="s">
        <v>1736</v>
      </c>
      <c r="DJ313" s="496" t="s">
        <v>1736</v>
      </c>
      <c r="DK313" s="496" t="s">
        <v>1554</v>
      </c>
      <c r="DL313" s="496" t="s">
        <v>1555</v>
      </c>
      <c r="DM313" s="496" t="s">
        <v>1556</v>
      </c>
      <c r="DN313" s="497" t="s">
        <v>1557</v>
      </c>
      <c r="DP313" s="543">
        <v>1</v>
      </c>
    </row>
    <row r="314" spans="2:120" ht="15">
      <c r="B314" s="683"/>
      <c r="C314" s="683"/>
      <c r="D314" s="683"/>
      <c r="E314" s="683" cm="1">
        <f t="array" ref="E314">IF(H313&lt;&gt;"",E313,IF(E313="","",IFERROR(MATCH(TRUE(),INDEX(INDEX(K:K,E313+1):K203&lt;&gt;"",0),0)+E313,"")))</f>
        <v>455</v>
      </c>
      <c r="F314" s="684" cm="1">
        <f t="array" ref="F314">IF(E314="","",IF(H313&lt;&gt;"",H313,INDEX(D:D,E314)))</f>
        <v>0</v>
      </c>
      <c r="G314" s="684" t="str">
        <f t="shared" si="36"/>
        <v>0</v>
      </c>
      <c r="H314" s="685" t="str">
        <f t="shared" si="37"/>
        <v/>
      </c>
      <c r="I314" s="683" t="str">
        <f>IF(AND(F314&lt;&gt;"",N10&gt;0,M314&gt;N10),"Mot &gt; limite","")</f>
        <v/>
      </c>
      <c r="M314" s="638">
        <f>IF(OR(F314="",N10="",N10&lt;=0),"",IF(LEN(F314)&lt;=N10,LEN(F314),IFERROR(FIND("♦",SUBSTITUTE(LEFT(F314,N10)," ","♦",LEN(LEFT(F314,N10))-LEN(SUBSTITUTE(LEFT(F314,N10)," ","")))),FIND(" ",F314&amp;" ",N10+1)-1)))</f>
        <v>1</v>
      </c>
      <c r="N314" s="686">
        <f t="shared" si="38"/>
        <v>297</v>
      </c>
      <c r="O314" s="663" t="str">
        <f t="shared" si="39"/>
        <v>0</v>
      </c>
      <c r="P314" s="686">
        <f t="shared" si="40"/>
        <v>1</v>
      </c>
      <c r="Q314" s="686">
        <f t="shared" si="41"/>
        <v>1</v>
      </c>
      <c r="DE314" s="494"/>
      <c r="DF314" s="496" t="s">
        <v>1737</v>
      </c>
      <c r="DG314" s="496" t="s">
        <v>239</v>
      </c>
      <c r="DH314" s="496" t="s">
        <v>689</v>
      </c>
      <c r="DI314" s="496" t="s">
        <v>1738</v>
      </c>
      <c r="DJ314" s="496" t="s">
        <v>1738</v>
      </c>
      <c r="DK314" s="496" t="s">
        <v>1554</v>
      </c>
      <c r="DL314" s="496" t="s">
        <v>1555</v>
      </c>
      <c r="DM314" s="496" t="s">
        <v>1556</v>
      </c>
      <c r="DN314" s="497" t="s">
        <v>1557</v>
      </c>
      <c r="DP314" s="543">
        <v>1</v>
      </c>
    </row>
    <row r="315" spans="2:120" ht="15">
      <c r="B315" s="683"/>
      <c r="C315" s="683"/>
      <c r="D315" s="683"/>
      <c r="E315" s="683" cm="1">
        <f t="array" ref="E315">IF(H314&lt;&gt;"",E314,IF(E314="","",IFERROR(MATCH(TRUE(),INDEX(INDEX(K:K,E314+1):K203&lt;&gt;"",0),0)+E314,"")))</f>
        <v>456</v>
      </c>
      <c r="F315" s="684" cm="1">
        <f t="array" ref="F315">IF(E315="","",IF(H314&lt;&gt;"",H314,INDEX(D:D,E315)))</f>
        <v>0</v>
      </c>
      <c r="G315" s="684" t="str">
        <f t="shared" si="36"/>
        <v>0</v>
      </c>
      <c r="H315" s="685" t="str">
        <f t="shared" si="37"/>
        <v/>
      </c>
      <c r="I315" s="683" t="str">
        <f>IF(AND(F315&lt;&gt;"",N10&gt;0,M315&gt;N10),"Mot &gt; limite","")</f>
        <v/>
      </c>
      <c r="M315" s="638">
        <f>IF(OR(F315="",N10="",N10&lt;=0),"",IF(LEN(F315)&lt;=N10,LEN(F315),IFERROR(FIND("♦",SUBSTITUTE(LEFT(F315,N10)," ","♦",LEN(LEFT(F315,N10))-LEN(SUBSTITUTE(LEFT(F315,N10)," ","")))),FIND(" ",F315&amp;" ",N10+1)-1)))</f>
        <v>1</v>
      </c>
      <c r="N315" s="686">
        <f t="shared" si="38"/>
        <v>298</v>
      </c>
      <c r="O315" s="663" t="str">
        <f t="shared" si="39"/>
        <v>0</v>
      </c>
      <c r="P315" s="686">
        <f t="shared" si="40"/>
        <v>1</v>
      </c>
      <c r="Q315" s="686">
        <f t="shared" si="41"/>
        <v>1</v>
      </c>
      <c r="DE315" s="494"/>
      <c r="DF315" s="496" t="s">
        <v>1739</v>
      </c>
      <c r="DG315" s="496" t="s">
        <v>239</v>
      </c>
      <c r="DH315" s="496" t="s">
        <v>689</v>
      </c>
      <c r="DI315" s="496" t="s">
        <v>1740</v>
      </c>
      <c r="DJ315" s="496" t="s">
        <v>1740</v>
      </c>
      <c r="DK315" s="496" t="s">
        <v>1554</v>
      </c>
      <c r="DL315" s="496" t="s">
        <v>1555</v>
      </c>
      <c r="DM315" s="496" t="s">
        <v>1556</v>
      </c>
      <c r="DN315" s="497" t="s">
        <v>1557</v>
      </c>
      <c r="DP315" s="543">
        <v>1</v>
      </c>
    </row>
    <row r="316" spans="2:120" ht="15">
      <c r="B316" s="683"/>
      <c r="C316" s="683"/>
      <c r="D316" s="683"/>
      <c r="E316" s="683" cm="1">
        <f t="array" ref="E316">IF(H315&lt;&gt;"",E315,IF(E315="","",IFERROR(MATCH(TRUE(),INDEX(INDEX(K:K,E315+1):K203&lt;&gt;"",0),0)+E315,"")))</f>
        <v>457</v>
      </c>
      <c r="F316" s="684" cm="1">
        <f t="array" ref="F316">IF(E316="","",IF(H315&lt;&gt;"",H315,INDEX(D:D,E316)))</f>
        <v>0</v>
      </c>
      <c r="G316" s="684" t="str">
        <f t="shared" si="36"/>
        <v>0</v>
      </c>
      <c r="H316" s="685" t="str">
        <f t="shared" si="37"/>
        <v/>
      </c>
      <c r="I316" s="683" t="str">
        <f>IF(AND(F316&lt;&gt;"",N10&gt;0,M316&gt;N10),"Mot &gt; limite","")</f>
        <v/>
      </c>
      <c r="M316" s="638">
        <f>IF(OR(F316="",N10="",N10&lt;=0),"",IF(LEN(F316)&lt;=N10,LEN(F316),IFERROR(FIND("♦",SUBSTITUTE(LEFT(F316,N10)," ","♦",LEN(LEFT(F316,N10))-LEN(SUBSTITUTE(LEFT(F316,N10)," ","")))),FIND(" ",F316&amp;" ",N10+1)-1)))</f>
        <v>1</v>
      </c>
      <c r="N316" s="686">
        <f t="shared" si="38"/>
        <v>299</v>
      </c>
      <c r="O316" s="663" t="str">
        <f t="shared" si="39"/>
        <v>0</v>
      </c>
      <c r="P316" s="686">
        <f t="shared" si="40"/>
        <v>1</v>
      </c>
      <c r="Q316" s="686">
        <f t="shared" si="41"/>
        <v>1</v>
      </c>
      <c r="DE316" s="494"/>
      <c r="DF316" s="496" t="s">
        <v>1741</v>
      </c>
      <c r="DG316" s="496" t="s">
        <v>239</v>
      </c>
      <c r="DH316" s="496" t="s">
        <v>689</v>
      </c>
      <c r="DI316" s="496" t="s">
        <v>1742</v>
      </c>
      <c r="DJ316" s="496" t="s">
        <v>1742</v>
      </c>
      <c r="DK316" s="496" t="s">
        <v>1554</v>
      </c>
      <c r="DL316" s="496" t="s">
        <v>1555</v>
      </c>
      <c r="DM316" s="496" t="s">
        <v>1556</v>
      </c>
      <c r="DN316" s="497" t="s">
        <v>1557</v>
      </c>
      <c r="DP316" s="543">
        <v>1</v>
      </c>
    </row>
    <row r="317" spans="2:120" ht="15">
      <c r="B317" s="683"/>
      <c r="C317" s="683"/>
      <c r="D317" s="683"/>
      <c r="E317" s="683" cm="1">
        <f t="array" ref="E317">IF(H316&lt;&gt;"",E316,IF(E316="","",IFERROR(MATCH(TRUE(),INDEX(INDEX(K:K,E316+1):K203&lt;&gt;"",0),0)+E316,"")))</f>
        <v>458</v>
      </c>
      <c r="F317" s="684" cm="1">
        <f t="array" ref="F317">IF(E317="","",IF(H316&lt;&gt;"",H316,INDEX(D:D,E317)))</f>
        <v>0</v>
      </c>
      <c r="G317" s="684" t="str">
        <f t="shared" si="36"/>
        <v>0</v>
      </c>
      <c r="H317" s="685" t="str">
        <f t="shared" si="37"/>
        <v/>
      </c>
      <c r="I317" s="683" t="str">
        <f>IF(AND(F317&lt;&gt;"",N10&gt;0,M317&gt;N10),"Mot &gt; limite","")</f>
        <v/>
      </c>
      <c r="M317" s="638">
        <f>IF(OR(F317="",N10="",N10&lt;=0),"",IF(LEN(F317)&lt;=N10,LEN(F317),IFERROR(FIND("♦",SUBSTITUTE(LEFT(F317,N10)," ","♦",LEN(LEFT(F317,N10))-LEN(SUBSTITUTE(LEFT(F317,N10)," ","")))),FIND(" ",F317&amp;" ",N10+1)-1)))</f>
        <v>1</v>
      </c>
      <c r="N317" s="686">
        <f t="shared" si="38"/>
        <v>300</v>
      </c>
      <c r="O317" s="663" t="str">
        <f t="shared" si="39"/>
        <v>0</v>
      </c>
      <c r="P317" s="686">
        <f t="shared" si="40"/>
        <v>1</v>
      </c>
      <c r="Q317" s="686">
        <f t="shared" si="41"/>
        <v>1</v>
      </c>
      <c r="DE317" s="494"/>
      <c r="DF317" s="496" t="s">
        <v>1743</v>
      </c>
      <c r="DG317" s="496" t="s">
        <v>239</v>
      </c>
      <c r="DH317" s="496" t="s">
        <v>689</v>
      </c>
      <c r="DI317" s="496" t="s">
        <v>1744</v>
      </c>
      <c r="DJ317" s="496" t="s">
        <v>1744</v>
      </c>
      <c r="DK317" s="496" t="s">
        <v>1554</v>
      </c>
      <c r="DL317" s="496" t="s">
        <v>1555</v>
      </c>
      <c r="DM317" s="496" t="s">
        <v>1556</v>
      </c>
      <c r="DN317" s="497" t="s">
        <v>1557</v>
      </c>
      <c r="DP317" s="543">
        <v>1</v>
      </c>
    </row>
    <row r="318" spans="2:120" ht="15">
      <c r="B318" s="683"/>
      <c r="C318" s="683"/>
      <c r="D318" s="683"/>
      <c r="E318" s="683" cm="1">
        <f t="array" ref="E318">IF(H317&lt;&gt;"",E317,IF(E317="","",IFERROR(MATCH(TRUE(),INDEX(INDEX(K:K,E317+1):K203&lt;&gt;"",0),0)+E317,"")))</f>
        <v>459</v>
      </c>
      <c r="F318" s="684" cm="1">
        <f t="array" ref="F318">IF(E318="","",IF(H317&lt;&gt;"",H317,INDEX(D:D,E318)))</f>
        <v>0</v>
      </c>
      <c r="G318" s="684" t="str">
        <f t="shared" si="36"/>
        <v>0</v>
      </c>
      <c r="H318" s="685" t="str">
        <f t="shared" si="37"/>
        <v/>
      </c>
      <c r="I318" s="683" t="str">
        <f>IF(AND(F318&lt;&gt;"",N10&gt;0,M318&gt;N10),"Mot &gt; limite","")</f>
        <v/>
      </c>
      <c r="M318" s="638">
        <f>IF(OR(F318="",N10="",N10&lt;=0),"",IF(LEN(F318)&lt;=N10,LEN(F318),IFERROR(FIND("♦",SUBSTITUTE(LEFT(F318,N10)," ","♦",LEN(LEFT(F318,N10))-LEN(SUBSTITUTE(LEFT(F318,N10)," ","")))),FIND(" ",F318&amp;" ",N10+1)-1)))</f>
        <v>1</v>
      </c>
      <c r="N318" s="686">
        <f t="shared" si="38"/>
        <v>301</v>
      </c>
      <c r="O318" s="663" t="str">
        <f t="shared" si="39"/>
        <v>0</v>
      </c>
      <c r="P318" s="686">
        <f t="shared" si="40"/>
        <v>1</v>
      </c>
      <c r="Q318" s="686">
        <f t="shared" si="41"/>
        <v>1</v>
      </c>
      <c r="DE318" s="494"/>
      <c r="DF318" s="496" t="s">
        <v>1745</v>
      </c>
      <c r="DG318" s="496" t="s">
        <v>239</v>
      </c>
      <c r="DH318" s="496" t="s">
        <v>689</v>
      </c>
      <c r="DI318" s="496" t="s">
        <v>1746</v>
      </c>
      <c r="DJ318" s="496" t="s">
        <v>1746</v>
      </c>
      <c r="DK318" s="496" t="s">
        <v>1554</v>
      </c>
      <c r="DL318" s="496" t="s">
        <v>1555</v>
      </c>
      <c r="DM318" s="496" t="s">
        <v>1556</v>
      </c>
      <c r="DN318" s="497" t="s">
        <v>1557</v>
      </c>
      <c r="DP318" s="543">
        <v>1</v>
      </c>
    </row>
    <row r="319" spans="2:120" ht="15">
      <c r="B319" s="683"/>
      <c r="C319" s="683"/>
      <c r="D319" s="683"/>
      <c r="E319" s="683" cm="1">
        <f t="array" ref="E319">IF(H318&lt;&gt;"",E318,IF(E318="","",IFERROR(MATCH(TRUE(),INDEX(INDEX(K:K,E318+1):K203&lt;&gt;"",0),0)+E318,"")))</f>
        <v>460</v>
      </c>
      <c r="F319" s="684" cm="1">
        <f t="array" ref="F319">IF(E319="","",IF(H318&lt;&gt;"",H318,INDEX(D:D,E319)))</f>
        <v>0</v>
      </c>
      <c r="G319" s="684" t="str">
        <f t="shared" si="36"/>
        <v>0</v>
      </c>
      <c r="H319" s="685" t="str">
        <f t="shared" si="37"/>
        <v/>
      </c>
      <c r="I319" s="683" t="str">
        <f>IF(AND(F319&lt;&gt;"",N10&gt;0,M319&gt;N10),"Mot &gt; limite","")</f>
        <v/>
      </c>
      <c r="M319" s="638">
        <f>IF(OR(F319="",N10="",N10&lt;=0),"",IF(LEN(F319)&lt;=N10,LEN(F319),IFERROR(FIND("♦",SUBSTITUTE(LEFT(F319,N10)," ","♦",LEN(LEFT(F319,N10))-LEN(SUBSTITUTE(LEFT(F319,N10)," ","")))),FIND(" ",F319&amp;" ",N10+1)-1)))</f>
        <v>1</v>
      </c>
      <c r="N319" s="686">
        <f t="shared" si="38"/>
        <v>302</v>
      </c>
      <c r="O319" s="663" t="str">
        <f t="shared" si="39"/>
        <v>0</v>
      </c>
      <c r="P319" s="686">
        <f t="shared" si="40"/>
        <v>1</v>
      </c>
      <c r="Q319" s="686">
        <f t="shared" si="41"/>
        <v>1</v>
      </c>
      <c r="DE319" s="494"/>
      <c r="DF319" s="496" t="s">
        <v>1747</v>
      </c>
      <c r="DG319" s="496" t="s">
        <v>239</v>
      </c>
      <c r="DH319" s="496" t="s">
        <v>689</v>
      </c>
      <c r="DI319" s="496" t="s">
        <v>1748</v>
      </c>
      <c r="DJ319" s="496" t="s">
        <v>1748</v>
      </c>
      <c r="DK319" s="496" t="s">
        <v>1554</v>
      </c>
      <c r="DL319" s="496" t="s">
        <v>1555</v>
      </c>
      <c r="DM319" s="496" t="s">
        <v>1556</v>
      </c>
      <c r="DN319" s="497" t="s">
        <v>1557</v>
      </c>
      <c r="DP319" s="543">
        <v>1</v>
      </c>
    </row>
    <row r="320" spans="2:120" ht="15">
      <c r="B320" s="683"/>
      <c r="C320" s="683"/>
      <c r="D320" s="683"/>
      <c r="E320" s="683" cm="1">
        <f t="array" ref="E320">IF(H319&lt;&gt;"",E319,IF(E319="","",IFERROR(MATCH(TRUE(),INDEX(INDEX(K:K,E319+1):K203&lt;&gt;"",0),0)+E319,"")))</f>
        <v>461</v>
      </c>
      <c r="F320" s="684" cm="1">
        <f t="array" ref="F320">IF(E320="","",IF(H319&lt;&gt;"",H319,INDEX(D:D,E320)))</f>
        <v>0</v>
      </c>
      <c r="G320" s="684" t="str">
        <f t="shared" si="36"/>
        <v>0</v>
      </c>
      <c r="H320" s="685" t="str">
        <f t="shared" si="37"/>
        <v/>
      </c>
      <c r="I320" s="683" t="str">
        <f>IF(AND(F320&lt;&gt;"",N10&gt;0,M320&gt;N10),"Mot &gt; limite","")</f>
        <v/>
      </c>
      <c r="M320" s="638">
        <f>IF(OR(F320="",N10="",N10&lt;=0),"",IF(LEN(F320)&lt;=N10,LEN(F320),IFERROR(FIND("♦",SUBSTITUTE(LEFT(F320,N10)," ","♦",LEN(LEFT(F320,N10))-LEN(SUBSTITUTE(LEFT(F320,N10)," ","")))),FIND(" ",F320&amp;" ",N10+1)-1)))</f>
        <v>1</v>
      </c>
      <c r="N320" s="686">
        <f t="shared" si="38"/>
        <v>303</v>
      </c>
      <c r="O320" s="663" t="str">
        <f t="shared" si="39"/>
        <v>0</v>
      </c>
      <c r="P320" s="686">
        <f t="shared" si="40"/>
        <v>1</v>
      </c>
      <c r="Q320" s="686">
        <f t="shared" si="41"/>
        <v>1</v>
      </c>
      <c r="DE320" s="494"/>
      <c r="DF320" s="496" t="s">
        <v>1749</v>
      </c>
      <c r="DG320" s="496" t="s">
        <v>239</v>
      </c>
      <c r="DH320" s="496" t="s">
        <v>689</v>
      </c>
      <c r="DI320" s="496" t="s">
        <v>1750</v>
      </c>
      <c r="DJ320" s="496" t="s">
        <v>1750</v>
      </c>
      <c r="DK320" s="496" t="s">
        <v>1554</v>
      </c>
      <c r="DL320" s="496" t="s">
        <v>1555</v>
      </c>
      <c r="DM320" s="496" t="s">
        <v>1556</v>
      </c>
      <c r="DN320" s="497" t="s">
        <v>1557</v>
      </c>
      <c r="DP320" s="543">
        <v>1</v>
      </c>
    </row>
    <row r="321" spans="2:120" ht="15">
      <c r="B321" s="683"/>
      <c r="C321" s="683"/>
      <c r="D321" s="683"/>
      <c r="E321" s="683" cm="1">
        <f t="array" ref="E321">IF(H320&lt;&gt;"",E320,IF(E320="","",IFERROR(MATCH(TRUE(),INDEX(INDEX(K:K,E320+1):K203&lt;&gt;"",0),0)+E320,"")))</f>
        <v>462</v>
      </c>
      <c r="F321" s="684" cm="1">
        <f t="array" ref="F321">IF(E321="","",IF(H320&lt;&gt;"",H320,INDEX(D:D,E321)))</f>
        <v>0</v>
      </c>
      <c r="G321" s="684" t="str">
        <f t="shared" si="36"/>
        <v>0</v>
      </c>
      <c r="H321" s="685" t="str">
        <f t="shared" si="37"/>
        <v/>
      </c>
      <c r="I321" s="683" t="str">
        <f>IF(AND(F321&lt;&gt;"",N10&gt;0,M321&gt;N10),"Mot &gt; limite","")</f>
        <v/>
      </c>
      <c r="M321" s="638">
        <f>IF(OR(F321="",N10="",N10&lt;=0),"",IF(LEN(F321)&lt;=N10,LEN(F321),IFERROR(FIND("♦",SUBSTITUTE(LEFT(F321,N10)," ","♦",LEN(LEFT(F321,N10))-LEN(SUBSTITUTE(LEFT(F321,N10)," ","")))),FIND(" ",F321&amp;" ",N10+1)-1)))</f>
        <v>1</v>
      </c>
      <c r="N321" s="686">
        <f t="shared" si="38"/>
        <v>304</v>
      </c>
      <c r="O321" s="663" t="str">
        <f t="shared" si="39"/>
        <v>0</v>
      </c>
      <c r="P321" s="686">
        <f t="shared" si="40"/>
        <v>1</v>
      </c>
      <c r="Q321" s="686">
        <f t="shared" si="41"/>
        <v>1</v>
      </c>
      <c r="DE321" s="494"/>
      <c r="DF321" s="496" t="s">
        <v>1751</v>
      </c>
      <c r="DG321" s="496" t="s">
        <v>239</v>
      </c>
      <c r="DH321" s="496" t="s">
        <v>689</v>
      </c>
      <c r="DI321" s="496" t="s">
        <v>1752</v>
      </c>
      <c r="DJ321" s="496" t="s">
        <v>1752</v>
      </c>
      <c r="DK321" s="496" t="s">
        <v>1554</v>
      </c>
      <c r="DL321" s="496" t="s">
        <v>1555</v>
      </c>
      <c r="DM321" s="496" t="s">
        <v>1556</v>
      </c>
      <c r="DN321" s="497" t="s">
        <v>1557</v>
      </c>
      <c r="DP321" s="543">
        <v>1</v>
      </c>
    </row>
    <row r="322" spans="2:120" ht="15">
      <c r="B322" s="683"/>
      <c r="C322" s="683"/>
      <c r="D322" s="683"/>
      <c r="E322" s="683" cm="1">
        <f t="array" ref="E322">IF(H321&lt;&gt;"",E321,IF(E321="","",IFERROR(MATCH(TRUE(),INDEX(INDEX(K:K,E321+1):K203&lt;&gt;"",0),0)+E321,"")))</f>
        <v>463</v>
      </c>
      <c r="F322" s="684" cm="1">
        <f t="array" ref="F322">IF(E322="","",IF(H321&lt;&gt;"",H321,INDEX(D:D,E322)))</f>
        <v>0</v>
      </c>
      <c r="G322" s="684" t="str">
        <f t="shared" si="36"/>
        <v>0</v>
      </c>
      <c r="H322" s="685" t="str">
        <f t="shared" si="37"/>
        <v/>
      </c>
      <c r="I322" s="683" t="str">
        <f>IF(AND(F322&lt;&gt;"",N10&gt;0,M322&gt;N10),"Mot &gt; limite","")</f>
        <v/>
      </c>
      <c r="M322" s="638">
        <f>IF(OR(F322="",N10="",N10&lt;=0),"",IF(LEN(F322)&lt;=N10,LEN(F322),IFERROR(FIND("♦",SUBSTITUTE(LEFT(F322,N10)," ","♦",LEN(LEFT(F322,N10))-LEN(SUBSTITUTE(LEFT(F322,N10)," ","")))),FIND(" ",F322&amp;" ",N10+1)-1)))</f>
        <v>1</v>
      </c>
      <c r="N322" s="686">
        <f t="shared" si="38"/>
        <v>305</v>
      </c>
      <c r="O322" s="663" t="str">
        <f t="shared" si="39"/>
        <v>0</v>
      </c>
      <c r="P322" s="686">
        <f t="shared" si="40"/>
        <v>1</v>
      </c>
      <c r="Q322" s="686">
        <f t="shared" si="41"/>
        <v>1</v>
      </c>
      <c r="DE322" s="494"/>
      <c r="DF322" s="496" t="s">
        <v>1753</v>
      </c>
      <c r="DG322" s="496" t="s">
        <v>239</v>
      </c>
      <c r="DH322" s="496" t="s">
        <v>689</v>
      </c>
      <c r="DI322" s="496" t="s">
        <v>1754</v>
      </c>
      <c r="DJ322" s="496" t="s">
        <v>1754</v>
      </c>
      <c r="DK322" s="496" t="s">
        <v>1554</v>
      </c>
      <c r="DL322" s="496" t="s">
        <v>1555</v>
      </c>
      <c r="DM322" s="496" t="s">
        <v>1556</v>
      </c>
      <c r="DN322" s="497" t="s">
        <v>1557</v>
      </c>
      <c r="DP322" s="543">
        <v>1</v>
      </c>
    </row>
    <row r="323" spans="2:120" ht="15">
      <c r="B323" s="683"/>
      <c r="C323" s="683"/>
      <c r="D323" s="683"/>
      <c r="E323" s="683" cm="1">
        <f t="array" ref="E323">IF(H322&lt;&gt;"",E322,IF(E322="","",IFERROR(MATCH(TRUE(),INDEX(INDEX(K:K,E322+1):K203&lt;&gt;"",0),0)+E322,"")))</f>
        <v>464</v>
      </c>
      <c r="F323" s="684" cm="1">
        <f t="array" ref="F323">IF(E323="","",IF(H322&lt;&gt;"",H322,INDEX(D:D,E323)))</f>
        <v>0</v>
      </c>
      <c r="G323" s="684" t="str">
        <f t="shared" si="36"/>
        <v>0</v>
      </c>
      <c r="H323" s="685" t="str">
        <f t="shared" si="37"/>
        <v/>
      </c>
      <c r="I323" s="683" t="str">
        <f>IF(AND(F323&lt;&gt;"",N10&gt;0,M323&gt;N10),"Mot &gt; limite","")</f>
        <v/>
      </c>
      <c r="M323" s="638">
        <f>IF(OR(F323="",N10="",N10&lt;=0),"",IF(LEN(F323)&lt;=N10,LEN(F323),IFERROR(FIND("♦",SUBSTITUTE(LEFT(F323,N10)," ","♦",LEN(LEFT(F323,N10))-LEN(SUBSTITUTE(LEFT(F323,N10)," ","")))),FIND(" ",F323&amp;" ",N10+1)-1)))</f>
        <v>1</v>
      </c>
      <c r="N323" s="686">
        <f t="shared" si="38"/>
        <v>306</v>
      </c>
      <c r="O323" s="663" t="str">
        <f t="shared" si="39"/>
        <v>0</v>
      </c>
      <c r="P323" s="686">
        <f t="shared" si="40"/>
        <v>1</v>
      </c>
      <c r="Q323" s="686">
        <f t="shared" si="41"/>
        <v>1</v>
      </c>
      <c r="DE323" s="494"/>
      <c r="DF323" s="496" t="s">
        <v>1755</v>
      </c>
      <c r="DG323" s="496" t="s">
        <v>239</v>
      </c>
      <c r="DH323" s="496" t="s">
        <v>689</v>
      </c>
      <c r="DI323" s="496" t="s">
        <v>1756</v>
      </c>
      <c r="DJ323" s="496" t="s">
        <v>1756</v>
      </c>
      <c r="DK323" s="496" t="s">
        <v>1554</v>
      </c>
      <c r="DL323" s="496" t="s">
        <v>1555</v>
      </c>
      <c r="DM323" s="496" t="s">
        <v>1556</v>
      </c>
      <c r="DN323" s="497" t="s">
        <v>1557</v>
      </c>
      <c r="DP323" s="543">
        <v>1</v>
      </c>
    </row>
    <row r="324" spans="2:120" ht="15">
      <c r="B324" s="683"/>
      <c r="C324" s="683"/>
      <c r="D324" s="683"/>
      <c r="E324" s="683" cm="1">
        <f t="array" ref="E324">IF(H323&lt;&gt;"",E323,IF(E323="","",IFERROR(MATCH(TRUE(),INDEX(INDEX(K:K,E323+1):K203&lt;&gt;"",0),0)+E323,"")))</f>
        <v>465</v>
      </c>
      <c r="F324" s="684" cm="1">
        <f t="array" ref="F324">IF(E324="","",IF(H323&lt;&gt;"",H323,INDEX(D:D,E324)))</f>
        <v>0</v>
      </c>
      <c r="G324" s="684" t="str">
        <f t="shared" si="36"/>
        <v>0</v>
      </c>
      <c r="H324" s="685" t="str">
        <f t="shared" si="37"/>
        <v/>
      </c>
      <c r="I324" s="683" t="str">
        <f>IF(AND(F324&lt;&gt;"",N10&gt;0,M324&gt;N10),"Mot &gt; limite","")</f>
        <v/>
      </c>
      <c r="M324" s="638">
        <f>IF(OR(F324="",N10="",N10&lt;=0),"",IF(LEN(F324)&lt;=N10,LEN(F324),IFERROR(FIND("♦",SUBSTITUTE(LEFT(F324,N10)," ","♦",LEN(LEFT(F324,N10))-LEN(SUBSTITUTE(LEFT(F324,N10)," ","")))),FIND(" ",F324&amp;" ",N10+1)-1)))</f>
        <v>1</v>
      </c>
      <c r="N324" s="686">
        <f t="shared" si="38"/>
        <v>307</v>
      </c>
      <c r="O324" s="663" t="str">
        <f t="shared" si="39"/>
        <v>0</v>
      </c>
      <c r="P324" s="686">
        <f t="shared" si="40"/>
        <v>1</v>
      </c>
      <c r="Q324" s="686">
        <f t="shared" si="41"/>
        <v>1</v>
      </c>
      <c r="DE324" s="494"/>
      <c r="DF324" s="496" t="s">
        <v>1757</v>
      </c>
      <c r="DG324" s="496" t="s">
        <v>239</v>
      </c>
      <c r="DH324" s="496" t="s">
        <v>689</v>
      </c>
      <c r="DI324" s="496" t="s">
        <v>1758</v>
      </c>
      <c r="DJ324" s="496" t="s">
        <v>1758</v>
      </c>
      <c r="DK324" s="496" t="s">
        <v>1554</v>
      </c>
      <c r="DL324" s="496" t="s">
        <v>1555</v>
      </c>
      <c r="DM324" s="496" t="s">
        <v>1556</v>
      </c>
      <c r="DN324" s="497" t="s">
        <v>1557</v>
      </c>
      <c r="DP324" s="543">
        <v>1</v>
      </c>
    </row>
    <row r="325" spans="2:120" ht="15">
      <c r="B325" s="683"/>
      <c r="C325" s="683"/>
      <c r="D325" s="683"/>
      <c r="E325" s="683" cm="1">
        <f t="array" ref="E325">IF(H324&lt;&gt;"",E324,IF(E324="","",IFERROR(MATCH(TRUE(),INDEX(INDEX(K:K,E324+1):K203&lt;&gt;"",0),0)+E324,"")))</f>
        <v>466</v>
      </c>
      <c r="F325" s="684" cm="1">
        <f t="array" ref="F325">IF(E325="","",IF(H324&lt;&gt;"",H324,INDEX(D:D,E325)))</f>
        <v>0</v>
      </c>
      <c r="G325" s="684" t="str">
        <f t="shared" si="36"/>
        <v>0</v>
      </c>
      <c r="H325" s="685" t="str">
        <f t="shared" si="37"/>
        <v/>
      </c>
      <c r="I325" s="683" t="str">
        <f>IF(AND(F325&lt;&gt;"",N10&gt;0,M325&gt;N10),"Mot &gt; limite","")</f>
        <v/>
      </c>
      <c r="M325" s="638">
        <f>IF(OR(F325="",N10="",N10&lt;=0),"",IF(LEN(F325)&lt;=N10,LEN(F325),IFERROR(FIND("♦",SUBSTITUTE(LEFT(F325,N10)," ","♦",LEN(LEFT(F325,N10))-LEN(SUBSTITUTE(LEFT(F325,N10)," ","")))),FIND(" ",F325&amp;" ",N10+1)-1)))</f>
        <v>1</v>
      </c>
      <c r="N325" s="686">
        <f t="shared" si="38"/>
        <v>308</v>
      </c>
      <c r="O325" s="663" t="str">
        <f t="shared" si="39"/>
        <v>0</v>
      </c>
      <c r="P325" s="686">
        <f t="shared" si="40"/>
        <v>1</v>
      </c>
      <c r="Q325" s="686">
        <f t="shared" si="41"/>
        <v>1</v>
      </c>
      <c r="DE325" s="494"/>
      <c r="DF325" s="496" t="s">
        <v>1759</v>
      </c>
      <c r="DG325" s="496" t="s">
        <v>239</v>
      </c>
      <c r="DH325" s="496" t="s">
        <v>689</v>
      </c>
      <c r="DI325" s="496" t="s">
        <v>1760</v>
      </c>
      <c r="DJ325" s="496" t="s">
        <v>1760</v>
      </c>
      <c r="DK325" s="496" t="s">
        <v>1554</v>
      </c>
      <c r="DL325" s="496" t="s">
        <v>1561</v>
      </c>
      <c r="DM325" s="496" t="s">
        <v>1087</v>
      </c>
      <c r="DN325" s="497" t="s">
        <v>1088</v>
      </c>
      <c r="DP325" s="543">
        <v>1</v>
      </c>
    </row>
    <row r="326" spans="2:120" ht="15">
      <c r="B326" s="683"/>
      <c r="C326" s="683"/>
      <c r="D326" s="683"/>
      <c r="E326" s="683" cm="1">
        <f t="array" ref="E326">IF(H325&lt;&gt;"",E325,IF(E325="","",IFERROR(MATCH(TRUE(),INDEX(INDEX(K:K,E325+1):K203&lt;&gt;"",0),0)+E325,"")))</f>
        <v>467</v>
      </c>
      <c r="F326" s="684" cm="1">
        <f t="array" ref="F326">IF(E326="","",IF(H325&lt;&gt;"",H325,INDEX(D:D,E326)))</f>
        <v>0</v>
      </c>
      <c r="G326" s="684" t="str">
        <f t="shared" si="36"/>
        <v>0</v>
      </c>
      <c r="H326" s="685" t="str">
        <f t="shared" si="37"/>
        <v/>
      </c>
      <c r="I326" s="683" t="str">
        <f>IF(AND(F326&lt;&gt;"",N10&gt;0,M326&gt;N10),"Mot &gt; limite","")</f>
        <v/>
      </c>
      <c r="M326" s="638">
        <f>IF(OR(F326="",N10="",N10&lt;=0),"",IF(LEN(F326)&lt;=N10,LEN(F326),IFERROR(FIND("♦",SUBSTITUTE(LEFT(F326,N10)," ","♦",LEN(LEFT(F326,N10))-LEN(SUBSTITUTE(LEFT(F326,N10)," ","")))),FIND(" ",F326&amp;" ",N10+1)-1)))</f>
        <v>1</v>
      </c>
      <c r="N326" s="686">
        <f t="shared" si="38"/>
        <v>309</v>
      </c>
      <c r="O326" s="663" t="str">
        <f t="shared" si="39"/>
        <v>0</v>
      </c>
      <c r="P326" s="686">
        <f t="shared" si="40"/>
        <v>1</v>
      </c>
      <c r="Q326" s="686">
        <f t="shared" si="41"/>
        <v>1</v>
      </c>
      <c r="DE326" s="494"/>
      <c r="DF326" s="496" t="s">
        <v>1761</v>
      </c>
      <c r="DG326" s="496" t="s">
        <v>239</v>
      </c>
      <c r="DH326" s="496" t="s">
        <v>689</v>
      </c>
      <c r="DI326" s="496" t="s">
        <v>105</v>
      </c>
      <c r="DJ326" s="496" t="s">
        <v>105</v>
      </c>
      <c r="DK326" s="496" t="s">
        <v>1554</v>
      </c>
      <c r="DL326" s="496" t="s">
        <v>1555</v>
      </c>
      <c r="DM326" s="496" t="s">
        <v>1556</v>
      </c>
      <c r="DN326" s="497" t="s">
        <v>1557</v>
      </c>
      <c r="DP326" s="543">
        <v>1</v>
      </c>
    </row>
    <row r="327" spans="2:120" ht="15">
      <c r="B327" s="683"/>
      <c r="C327" s="683"/>
      <c r="D327" s="683"/>
      <c r="E327" s="683" cm="1">
        <f t="array" ref="E327">IF(H326&lt;&gt;"",E326,IF(E326="","",IFERROR(MATCH(TRUE(),INDEX(INDEX(K:K,E326+1):K203&lt;&gt;"",0),0)+E326,"")))</f>
        <v>468</v>
      </c>
      <c r="F327" s="684" cm="1">
        <f t="array" ref="F327">IF(E327="","",IF(H326&lt;&gt;"",H326,INDEX(D:D,E327)))</f>
        <v>0</v>
      </c>
      <c r="G327" s="684" t="str">
        <f t="shared" si="36"/>
        <v>0</v>
      </c>
      <c r="H327" s="685" t="str">
        <f t="shared" si="37"/>
        <v/>
      </c>
      <c r="I327" s="683" t="str">
        <f>IF(AND(F327&lt;&gt;"",N10&gt;0,M327&gt;N10),"Mot &gt; limite","")</f>
        <v/>
      </c>
      <c r="M327" s="638">
        <f>IF(OR(F327="",N10="",N10&lt;=0),"",IF(LEN(F327)&lt;=N10,LEN(F327),IFERROR(FIND("♦",SUBSTITUTE(LEFT(F327,N10)," ","♦",LEN(LEFT(F327,N10))-LEN(SUBSTITUTE(LEFT(F327,N10)," ","")))),FIND(" ",F327&amp;" ",N10+1)-1)))</f>
        <v>1</v>
      </c>
      <c r="N327" s="686">
        <f t="shared" si="38"/>
        <v>310</v>
      </c>
      <c r="O327" s="663" t="str">
        <f t="shared" si="39"/>
        <v>0</v>
      </c>
      <c r="P327" s="686">
        <f t="shared" si="40"/>
        <v>1</v>
      </c>
      <c r="Q327" s="686">
        <f t="shared" si="41"/>
        <v>1</v>
      </c>
      <c r="DE327" s="494"/>
      <c r="DF327" s="496" t="s">
        <v>1762</v>
      </c>
      <c r="DG327" s="496" t="s">
        <v>239</v>
      </c>
      <c r="DH327" s="496" t="s">
        <v>689</v>
      </c>
      <c r="DI327" s="496" t="s">
        <v>1763</v>
      </c>
      <c r="DJ327" s="496" t="s">
        <v>1763</v>
      </c>
      <c r="DK327" s="496" t="s">
        <v>1554</v>
      </c>
      <c r="DL327" s="496" t="s">
        <v>1555</v>
      </c>
      <c r="DM327" s="496" t="s">
        <v>1556</v>
      </c>
      <c r="DN327" s="497" t="s">
        <v>1557</v>
      </c>
      <c r="DP327" s="543">
        <v>1</v>
      </c>
    </row>
    <row r="328" spans="2:120" ht="15">
      <c r="B328" s="683"/>
      <c r="C328" s="683"/>
      <c r="D328" s="683"/>
      <c r="E328" s="683" cm="1">
        <f t="array" ref="E328">IF(H327&lt;&gt;"",E327,IF(E327="","",IFERROR(MATCH(TRUE(),INDEX(INDEX(K:K,E327+1):K203&lt;&gt;"",0),0)+E327,"")))</f>
        <v>469</v>
      </c>
      <c r="F328" s="684" cm="1">
        <f t="array" ref="F328">IF(E328="","",IF(H327&lt;&gt;"",H327,INDEX(D:D,E328)))</f>
        <v>0</v>
      </c>
      <c r="G328" s="684" t="str">
        <f t="shared" si="36"/>
        <v>0</v>
      </c>
      <c r="H328" s="685" t="str">
        <f t="shared" si="37"/>
        <v/>
      </c>
      <c r="I328" s="683" t="str">
        <f>IF(AND(F328&lt;&gt;"",N10&gt;0,M328&gt;N10),"Mot &gt; limite","")</f>
        <v/>
      </c>
      <c r="M328" s="638">
        <f>IF(OR(F328="",N10="",N10&lt;=0),"",IF(LEN(F328)&lt;=N10,LEN(F328),IFERROR(FIND("♦",SUBSTITUTE(LEFT(F328,N10)," ","♦",LEN(LEFT(F328,N10))-LEN(SUBSTITUTE(LEFT(F328,N10)," ","")))),FIND(" ",F328&amp;" ",N10+1)-1)))</f>
        <v>1</v>
      </c>
      <c r="N328" s="686">
        <f t="shared" si="38"/>
        <v>311</v>
      </c>
      <c r="O328" s="663" t="str">
        <f t="shared" si="39"/>
        <v>0</v>
      </c>
      <c r="P328" s="686">
        <f t="shared" si="40"/>
        <v>1</v>
      </c>
      <c r="Q328" s="686">
        <f t="shared" si="41"/>
        <v>1</v>
      </c>
      <c r="DE328" s="494"/>
      <c r="DF328" s="496" t="s">
        <v>1764</v>
      </c>
      <c r="DG328" s="496" t="s">
        <v>239</v>
      </c>
      <c r="DH328" s="496" t="s">
        <v>689</v>
      </c>
      <c r="DI328" s="496" t="s">
        <v>1765</v>
      </c>
      <c r="DJ328" s="496" t="s">
        <v>1765</v>
      </c>
      <c r="DK328" s="496" t="s">
        <v>1554</v>
      </c>
      <c r="DL328" s="496" t="s">
        <v>1555</v>
      </c>
      <c r="DM328" s="496" t="s">
        <v>1556</v>
      </c>
      <c r="DN328" s="497" t="s">
        <v>1557</v>
      </c>
      <c r="DP328" s="543">
        <v>1</v>
      </c>
    </row>
    <row r="329" spans="2:120" ht="15">
      <c r="B329" s="683"/>
      <c r="C329" s="683"/>
      <c r="D329" s="683"/>
      <c r="E329" s="683" cm="1">
        <f t="array" ref="E329">IF(H328&lt;&gt;"",E328,IF(E328="","",IFERROR(MATCH(TRUE(),INDEX(INDEX(K:K,E328+1):K203&lt;&gt;"",0),0)+E328,"")))</f>
        <v>470</v>
      </c>
      <c r="F329" s="684" cm="1">
        <f t="array" ref="F329">IF(E329="","",IF(H328&lt;&gt;"",H328,INDEX(D:D,E329)))</f>
        <v>0</v>
      </c>
      <c r="G329" s="684" t="str">
        <f t="shared" si="36"/>
        <v>0</v>
      </c>
      <c r="H329" s="685" t="str">
        <f t="shared" si="37"/>
        <v/>
      </c>
      <c r="I329" s="683" t="str">
        <f>IF(AND(F329&lt;&gt;"",N10&gt;0,M329&gt;N10),"Mot &gt; limite","")</f>
        <v/>
      </c>
      <c r="M329" s="638">
        <f>IF(OR(F329="",N10="",N10&lt;=0),"",IF(LEN(F329)&lt;=N10,LEN(F329),IFERROR(FIND("♦",SUBSTITUTE(LEFT(F329,N10)," ","♦",LEN(LEFT(F329,N10))-LEN(SUBSTITUTE(LEFT(F329,N10)," ","")))),FIND(" ",F329&amp;" ",N10+1)-1)))</f>
        <v>1</v>
      </c>
      <c r="N329" s="686">
        <f t="shared" si="38"/>
        <v>312</v>
      </c>
      <c r="O329" s="663" t="str">
        <f t="shared" si="39"/>
        <v>0</v>
      </c>
      <c r="P329" s="686">
        <f t="shared" si="40"/>
        <v>1</v>
      </c>
      <c r="Q329" s="686">
        <f t="shared" si="41"/>
        <v>1</v>
      </c>
      <c r="DE329" s="494"/>
      <c r="DF329" s="496" t="s">
        <v>1766</v>
      </c>
      <c r="DG329" s="496" t="s">
        <v>239</v>
      </c>
      <c r="DH329" s="496" t="s">
        <v>689</v>
      </c>
      <c r="DI329" s="496" t="s">
        <v>1767</v>
      </c>
      <c r="DJ329" s="496" t="s">
        <v>1767</v>
      </c>
      <c r="DK329" s="496" t="s">
        <v>1554</v>
      </c>
      <c r="DL329" s="496" t="s">
        <v>1555</v>
      </c>
      <c r="DM329" s="496" t="s">
        <v>1556</v>
      </c>
      <c r="DN329" s="497" t="s">
        <v>1557</v>
      </c>
      <c r="DP329" s="543">
        <v>1</v>
      </c>
    </row>
    <row r="330" spans="2:120" ht="15">
      <c r="B330" s="683"/>
      <c r="C330" s="683"/>
      <c r="D330" s="683"/>
      <c r="E330" s="683" cm="1">
        <f t="array" ref="E330">IF(H329&lt;&gt;"",E329,IF(E329="","",IFERROR(MATCH(TRUE(),INDEX(INDEX(K:K,E329+1):K203&lt;&gt;"",0),0)+E329,"")))</f>
        <v>471</v>
      </c>
      <c r="F330" s="684" cm="1">
        <f t="array" ref="F330">IF(E330="","",IF(H329&lt;&gt;"",H329,INDEX(D:D,E330)))</f>
        <v>0</v>
      </c>
      <c r="G330" s="684" t="str">
        <f t="shared" si="36"/>
        <v>0</v>
      </c>
      <c r="H330" s="685" t="str">
        <f t="shared" si="37"/>
        <v/>
      </c>
      <c r="I330" s="683" t="str">
        <f>IF(AND(F330&lt;&gt;"",N10&gt;0,M330&gt;N10),"Mot &gt; limite","")</f>
        <v/>
      </c>
      <c r="M330" s="638">
        <f>IF(OR(F330="",N10="",N10&lt;=0),"",IF(LEN(F330)&lt;=N10,LEN(F330),IFERROR(FIND("♦",SUBSTITUTE(LEFT(F330,N10)," ","♦",LEN(LEFT(F330,N10))-LEN(SUBSTITUTE(LEFT(F330,N10)," ","")))),FIND(" ",F330&amp;" ",N10+1)-1)))</f>
        <v>1</v>
      </c>
      <c r="N330" s="686">
        <f t="shared" si="38"/>
        <v>313</v>
      </c>
      <c r="O330" s="663" t="str">
        <f t="shared" si="39"/>
        <v>0</v>
      </c>
      <c r="P330" s="686">
        <f t="shared" si="40"/>
        <v>1</v>
      </c>
      <c r="Q330" s="686">
        <f t="shared" si="41"/>
        <v>1</v>
      </c>
      <c r="DE330" s="494"/>
      <c r="DF330" s="496" t="s">
        <v>1768</v>
      </c>
      <c r="DG330" s="496" t="s">
        <v>239</v>
      </c>
      <c r="DH330" s="496" t="s">
        <v>689</v>
      </c>
      <c r="DI330" s="496" t="s">
        <v>290</v>
      </c>
      <c r="DJ330" s="496" t="s">
        <v>290</v>
      </c>
      <c r="DK330" s="496" t="s">
        <v>1554</v>
      </c>
      <c r="DL330" s="496" t="s">
        <v>1561</v>
      </c>
      <c r="DM330" s="496" t="s">
        <v>1087</v>
      </c>
      <c r="DN330" s="497" t="s">
        <v>1088</v>
      </c>
      <c r="DP330" s="543">
        <v>1</v>
      </c>
    </row>
    <row r="331" spans="2:120" ht="15">
      <c r="B331" s="683"/>
      <c r="C331" s="683"/>
      <c r="D331" s="683"/>
      <c r="E331" s="683" cm="1">
        <f t="array" ref="E331">IF(H330&lt;&gt;"",E330,IF(E330="","",IFERROR(MATCH(TRUE(),INDEX(INDEX(K:K,E330+1):K203&lt;&gt;"",0),0)+E330,"")))</f>
        <v>472</v>
      </c>
      <c r="F331" s="684" cm="1">
        <f t="array" ref="F331">IF(E331="","",IF(H330&lt;&gt;"",H330,INDEX(D:D,E331)))</f>
        <v>0</v>
      </c>
      <c r="G331" s="684" t="str">
        <f t="shared" si="36"/>
        <v>0</v>
      </c>
      <c r="H331" s="685" t="str">
        <f t="shared" si="37"/>
        <v/>
      </c>
      <c r="I331" s="683" t="str">
        <f>IF(AND(F331&lt;&gt;"",N10&gt;0,M331&gt;N10),"Mot &gt; limite","")</f>
        <v/>
      </c>
      <c r="M331" s="638">
        <f>IF(OR(F331="",N10="",N10&lt;=0),"",IF(LEN(F331)&lt;=N10,LEN(F331),IFERROR(FIND("♦",SUBSTITUTE(LEFT(F331,N10)," ","♦",LEN(LEFT(F331,N10))-LEN(SUBSTITUTE(LEFT(F331,N10)," ","")))),FIND(" ",F331&amp;" ",N10+1)-1)))</f>
        <v>1</v>
      </c>
      <c r="N331" s="686">
        <f t="shared" si="38"/>
        <v>314</v>
      </c>
      <c r="O331" s="663" t="str">
        <f t="shared" si="39"/>
        <v>0</v>
      </c>
      <c r="P331" s="686">
        <f t="shared" si="40"/>
        <v>1</v>
      </c>
      <c r="Q331" s="686">
        <f t="shared" si="41"/>
        <v>1</v>
      </c>
      <c r="DE331" s="494"/>
      <c r="DF331" s="496" t="s">
        <v>1769</v>
      </c>
      <c r="DG331" s="496" t="s">
        <v>239</v>
      </c>
      <c r="DH331" s="496" t="s">
        <v>689</v>
      </c>
      <c r="DI331" s="496" t="s">
        <v>291</v>
      </c>
      <c r="DJ331" s="496" t="s">
        <v>291</v>
      </c>
      <c r="DK331" s="496" t="s">
        <v>1151</v>
      </c>
      <c r="DL331" s="496" t="s">
        <v>1152</v>
      </c>
      <c r="DM331" s="496" t="s">
        <v>1087</v>
      </c>
      <c r="DN331" s="497" t="s">
        <v>1153</v>
      </c>
      <c r="DP331" s="543">
        <v>1</v>
      </c>
    </row>
    <row r="332" spans="2:120" ht="15">
      <c r="B332" s="683"/>
      <c r="C332" s="683"/>
      <c r="D332" s="683"/>
      <c r="E332" s="683" cm="1">
        <f t="array" ref="E332">IF(H331&lt;&gt;"",E331,IF(E331="","",IFERROR(MATCH(TRUE(),INDEX(INDEX(K:K,E331+1):K203&lt;&gt;"",0),0)+E331,"")))</f>
        <v>473</v>
      </c>
      <c r="F332" s="684" cm="1">
        <f t="array" ref="F332">IF(E332="","",IF(H331&lt;&gt;"",H331,INDEX(D:D,E332)))</f>
        <v>0</v>
      </c>
      <c r="G332" s="684" t="str">
        <f t="shared" si="36"/>
        <v>0</v>
      </c>
      <c r="H332" s="685" t="str">
        <f t="shared" si="37"/>
        <v/>
      </c>
      <c r="I332" s="683" t="str">
        <f>IF(AND(F332&lt;&gt;"",N10&gt;0,M332&gt;N10),"Mot &gt; limite","")</f>
        <v/>
      </c>
      <c r="M332" s="638">
        <f>IF(OR(F332="",N10="",N10&lt;=0),"",IF(LEN(F332)&lt;=N10,LEN(F332),IFERROR(FIND("♦",SUBSTITUTE(LEFT(F332,N10)," ","♦",LEN(LEFT(F332,N10))-LEN(SUBSTITUTE(LEFT(F332,N10)," ","")))),FIND(" ",F332&amp;" ",N10+1)-1)))</f>
        <v>1</v>
      </c>
      <c r="N332" s="686">
        <f t="shared" si="38"/>
        <v>315</v>
      </c>
      <c r="O332" s="663" t="str">
        <f t="shared" si="39"/>
        <v>0</v>
      </c>
      <c r="P332" s="686">
        <f t="shared" si="40"/>
        <v>1</v>
      </c>
      <c r="Q332" s="686">
        <f t="shared" si="41"/>
        <v>1</v>
      </c>
      <c r="DE332" s="494"/>
      <c r="DF332" s="496" t="s">
        <v>1770</v>
      </c>
      <c r="DG332" s="496" t="s">
        <v>239</v>
      </c>
      <c r="DH332" s="496" t="s">
        <v>689</v>
      </c>
      <c r="DI332" s="496" t="s">
        <v>1771</v>
      </c>
      <c r="DJ332" s="496" t="s">
        <v>1771</v>
      </c>
      <c r="DK332" s="496" t="s">
        <v>1151</v>
      </c>
      <c r="DL332" s="496" t="s">
        <v>1152</v>
      </c>
      <c r="DM332" s="496" t="s">
        <v>1087</v>
      </c>
      <c r="DN332" s="497" t="s">
        <v>1153</v>
      </c>
      <c r="DP332" s="543">
        <v>1</v>
      </c>
    </row>
    <row r="333" spans="2:120" ht="15">
      <c r="B333" s="683"/>
      <c r="C333" s="683"/>
      <c r="D333" s="683"/>
      <c r="E333" s="683" cm="1">
        <f t="array" ref="E333">IF(H332&lt;&gt;"",E332,IF(E332="","",IFERROR(MATCH(TRUE(),INDEX(INDEX(K:K,E332+1):K203&lt;&gt;"",0),0)+E332,"")))</f>
        <v>474</v>
      </c>
      <c r="F333" s="684" cm="1">
        <f t="array" ref="F333">IF(E333="","",IF(H332&lt;&gt;"",H332,INDEX(D:D,E333)))</f>
        <v>0</v>
      </c>
      <c r="G333" s="684" t="str">
        <f t="shared" si="36"/>
        <v>0</v>
      </c>
      <c r="H333" s="685" t="str">
        <f t="shared" si="37"/>
        <v/>
      </c>
      <c r="I333" s="683" t="str">
        <f>IF(AND(F333&lt;&gt;"",N10&gt;0,M333&gt;N10),"Mot &gt; limite","")</f>
        <v/>
      </c>
      <c r="M333" s="638">
        <f>IF(OR(F333="",N10="",N10&lt;=0),"",IF(LEN(F333)&lt;=N10,LEN(F333),IFERROR(FIND("♦",SUBSTITUTE(LEFT(F333,N10)," ","♦",LEN(LEFT(F333,N10))-LEN(SUBSTITUTE(LEFT(F333,N10)," ","")))),FIND(" ",F333&amp;" ",N10+1)-1)))</f>
        <v>1</v>
      </c>
      <c r="N333" s="686">
        <f t="shared" si="38"/>
        <v>316</v>
      </c>
      <c r="O333" s="663" t="str">
        <f t="shared" si="39"/>
        <v>0</v>
      </c>
      <c r="P333" s="686">
        <f t="shared" si="40"/>
        <v>1</v>
      </c>
      <c r="Q333" s="686">
        <f t="shared" si="41"/>
        <v>1</v>
      </c>
      <c r="DE333" s="494"/>
      <c r="DF333" s="496" t="s">
        <v>1772</v>
      </c>
      <c r="DG333" s="496" t="s">
        <v>239</v>
      </c>
      <c r="DH333" s="496" t="s">
        <v>689</v>
      </c>
      <c r="DI333" s="496" t="s">
        <v>1773</v>
      </c>
      <c r="DJ333" s="496" t="s">
        <v>1773</v>
      </c>
      <c r="DK333" s="496" t="s">
        <v>1554</v>
      </c>
      <c r="DL333" s="496" t="s">
        <v>1555</v>
      </c>
      <c r="DM333" s="496" t="s">
        <v>1556</v>
      </c>
      <c r="DN333" s="497" t="s">
        <v>1557</v>
      </c>
      <c r="DP333" s="543">
        <v>1</v>
      </c>
    </row>
    <row r="334" spans="2:120" ht="15">
      <c r="B334" s="683"/>
      <c r="C334" s="683"/>
      <c r="D334" s="683"/>
      <c r="E334" s="683" cm="1">
        <f t="array" ref="E334">IF(H333&lt;&gt;"",E333,IF(E333="","",IFERROR(MATCH(TRUE(),INDEX(INDEX(K:K,E333+1):K203&lt;&gt;"",0),0)+E333,"")))</f>
        <v>475</v>
      </c>
      <c r="F334" s="684" cm="1">
        <f t="array" ref="F334">IF(E334="","",IF(H333&lt;&gt;"",H333,INDEX(D:D,E334)))</f>
        <v>0</v>
      </c>
      <c r="G334" s="684" t="str">
        <f t="shared" si="36"/>
        <v>0</v>
      </c>
      <c r="H334" s="685" t="str">
        <f t="shared" si="37"/>
        <v/>
      </c>
      <c r="I334" s="683" t="str">
        <f>IF(AND(F334&lt;&gt;"",N10&gt;0,M334&gt;N10),"Mot &gt; limite","")</f>
        <v/>
      </c>
      <c r="M334" s="638">
        <f>IF(OR(F334="",N10="",N10&lt;=0),"",IF(LEN(F334)&lt;=N10,LEN(F334),IFERROR(FIND("♦",SUBSTITUTE(LEFT(F334,N10)," ","♦",LEN(LEFT(F334,N10))-LEN(SUBSTITUTE(LEFT(F334,N10)," ","")))),FIND(" ",F334&amp;" ",N10+1)-1)))</f>
        <v>1</v>
      </c>
      <c r="N334" s="686">
        <f t="shared" si="38"/>
        <v>317</v>
      </c>
      <c r="O334" s="663" t="str">
        <f t="shared" si="39"/>
        <v>0</v>
      </c>
      <c r="P334" s="686">
        <f t="shared" si="40"/>
        <v>1</v>
      </c>
      <c r="Q334" s="686">
        <f t="shared" si="41"/>
        <v>1</v>
      </c>
      <c r="DE334" s="494"/>
      <c r="DF334" s="496" t="s">
        <v>1774</v>
      </c>
      <c r="DG334" s="496" t="s">
        <v>239</v>
      </c>
      <c r="DH334" s="496" t="s">
        <v>689</v>
      </c>
      <c r="DI334" s="496" t="s">
        <v>1775</v>
      </c>
      <c r="DJ334" s="496" t="s">
        <v>1775</v>
      </c>
      <c r="DK334" s="496" t="s">
        <v>1554</v>
      </c>
      <c r="DL334" s="496" t="s">
        <v>1555</v>
      </c>
      <c r="DM334" s="496" t="s">
        <v>1556</v>
      </c>
      <c r="DN334" s="497" t="s">
        <v>1557</v>
      </c>
      <c r="DP334" s="543">
        <v>1</v>
      </c>
    </row>
    <row r="335" spans="2:120" ht="15">
      <c r="B335" s="683"/>
      <c r="C335" s="683"/>
      <c r="D335" s="683"/>
      <c r="E335" s="683" cm="1">
        <f t="array" ref="E335">IF(H334&lt;&gt;"",E334,IF(E334="","",IFERROR(MATCH(TRUE(),INDEX(INDEX(K:K,E334+1):K203&lt;&gt;"",0),0)+E334,"")))</f>
        <v>476</v>
      </c>
      <c r="F335" s="684" cm="1">
        <f t="array" ref="F335">IF(E335="","",IF(H334&lt;&gt;"",H334,INDEX(D:D,E335)))</f>
        <v>0</v>
      </c>
      <c r="G335" s="684" t="str">
        <f t="shared" si="36"/>
        <v>0</v>
      </c>
      <c r="H335" s="685" t="str">
        <f t="shared" si="37"/>
        <v/>
      </c>
      <c r="I335" s="683" t="str">
        <f>IF(AND(F335&lt;&gt;"",N10&gt;0,M335&gt;N10),"Mot &gt; limite","")</f>
        <v/>
      </c>
      <c r="M335" s="638">
        <f>IF(OR(F335="",N10="",N10&lt;=0),"",IF(LEN(F335)&lt;=N10,LEN(F335),IFERROR(FIND("♦",SUBSTITUTE(LEFT(F335,N10)," ","♦",LEN(LEFT(F335,N10))-LEN(SUBSTITUTE(LEFT(F335,N10)," ","")))),FIND(" ",F335&amp;" ",N10+1)-1)))</f>
        <v>1</v>
      </c>
      <c r="N335" s="686">
        <f t="shared" si="38"/>
        <v>318</v>
      </c>
      <c r="O335" s="663" t="str">
        <f t="shared" si="39"/>
        <v>0</v>
      </c>
      <c r="P335" s="686">
        <f t="shared" si="40"/>
        <v>1</v>
      </c>
      <c r="Q335" s="686">
        <f t="shared" si="41"/>
        <v>1</v>
      </c>
      <c r="DE335" s="494"/>
      <c r="DF335" s="496" t="s">
        <v>1776</v>
      </c>
      <c r="DG335" s="496" t="s">
        <v>239</v>
      </c>
      <c r="DH335" s="496" t="s">
        <v>689</v>
      </c>
      <c r="DI335" s="496" t="s">
        <v>1777</v>
      </c>
      <c r="DJ335" s="496" t="s">
        <v>1777</v>
      </c>
      <c r="DK335" s="496" t="s">
        <v>1554</v>
      </c>
      <c r="DL335" s="496" t="s">
        <v>1555</v>
      </c>
      <c r="DM335" s="496" t="s">
        <v>1556</v>
      </c>
      <c r="DN335" s="497" t="s">
        <v>1557</v>
      </c>
      <c r="DP335" s="543">
        <v>1</v>
      </c>
    </row>
    <row r="336" spans="2:120" ht="15">
      <c r="B336" s="683"/>
      <c r="C336" s="683"/>
      <c r="D336" s="683"/>
      <c r="E336" s="683" cm="1">
        <f t="array" ref="E336">IF(H335&lt;&gt;"",E335,IF(E335="","",IFERROR(MATCH(TRUE(),INDEX(INDEX(K:K,E335+1):K203&lt;&gt;"",0),0)+E335,"")))</f>
        <v>477</v>
      </c>
      <c r="F336" s="684" cm="1">
        <f t="array" ref="F336">IF(E336="","",IF(H335&lt;&gt;"",H335,INDEX(D:D,E336)))</f>
        <v>0</v>
      </c>
      <c r="G336" s="684" t="str">
        <f t="shared" si="36"/>
        <v>0</v>
      </c>
      <c r="H336" s="685" t="str">
        <f t="shared" si="37"/>
        <v/>
      </c>
      <c r="I336" s="683" t="str">
        <f>IF(AND(F336&lt;&gt;"",N10&gt;0,M336&gt;N10),"Mot &gt; limite","")</f>
        <v/>
      </c>
      <c r="M336" s="638">
        <f>IF(OR(F336="",N10="",N10&lt;=0),"",IF(LEN(F336)&lt;=N10,LEN(F336),IFERROR(FIND("♦",SUBSTITUTE(LEFT(F336,N10)," ","♦",LEN(LEFT(F336,N10))-LEN(SUBSTITUTE(LEFT(F336,N10)," ","")))),FIND(" ",F336&amp;" ",N10+1)-1)))</f>
        <v>1</v>
      </c>
      <c r="N336" s="686">
        <f t="shared" si="38"/>
        <v>319</v>
      </c>
      <c r="O336" s="663" t="str">
        <f t="shared" si="39"/>
        <v>0</v>
      </c>
      <c r="P336" s="686">
        <f t="shared" si="40"/>
        <v>1</v>
      </c>
      <c r="Q336" s="686">
        <f t="shared" si="41"/>
        <v>1</v>
      </c>
      <c r="DE336" s="494"/>
      <c r="DF336" s="496" t="s">
        <v>1778</v>
      </c>
      <c r="DG336" s="496" t="s">
        <v>239</v>
      </c>
      <c r="DH336" s="496" t="s">
        <v>689</v>
      </c>
      <c r="DI336" s="496" t="s">
        <v>1779</v>
      </c>
      <c r="DJ336" s="496" t="s">
        <v>871</v>
      </c>
      <c r="DK336" s="496" t="s">
        <v>1554</v>
      </c>
      <c r="DL336" s="496" t="s">
        <v>1561</v>
      </c>
      <c r="DM336" s="496" t="s">
        <v>1087</v>
      </c>
      <c r="DN336" s="497" t="s">
        <v>1088</v>
      </c>
      <c r="DP336" s="543">
        <v>1</v>
      </c>
    </row>
    <row r="337" spans="2:120" ht="15">
      <c r="B337" s="683"/>
      <c r="C337" s="683"/>
      <c r="D337" s="683"/>
      <c r="E337" s="683" cm="1">
        <f t="array" ref="E337">IF(H336&lt;&gt;"",E336,IF(E336="","",IFERROR(MATCH(TRUE(),INDEX(INDEX(K:K,E336+1):K203&lt;&gt;"",0),0)+E336,"")))</f>
        <v>478</v>
      </c>
      <c r="F337" s="684" cm="1">
        <f t="array" ref="F337">IF(E337="","",IF(H336&lt;&gt;"",H336,INDEX(D:D,E337)))</f>
        <v>0</v>
      </c>
      <c r="G337" s="684" t="str">
        <f t="shared" si="36"/>
        <v>0</v>
      </c>
      <c r="H337" s="685" t="str">
        <f t="shared" si="37"/>
        <v/>
      </c>
      <c r="I337" s="683" t="str">
        <f>IF(AND(F337&lt;&gt;"",N10&gt;0,M337&gt;N10),"Mot &gt; limite","")</f>
        <v/>
      </c>
      <c r="M337" s="638">
        <f>IF(OR(F337="",N10="",N10&lt;=0),"",IF(LEN(F337)&lt;=N10,LEN(F337),IFERROR(FIND("♦",SUBSTITUTE(LEFT(F337,N10)," ","♦",LEN(LEFT(F337,N10))-LEN(SUBSTITUTE(LEFT(F337,N10)," ","")))),FIND(" ",F337&amp;" ",N10+1)-1)))</f>
        <v>1</v>
      </c>
      <c r="N337" s="686">
        <f t="shared" si="38"/>
        <v>320</v>
      </c>
      <c r="O337" s="663" t="str">
        <f t="shared" si="39"/>
        <v>0</v>
      </c>
      <c r="P337" s="686">
        <f t="shared" si="40"/>
        <v>1</v>
      </c>
      <c r="Q337" s="686">
        <f t="shared" si="41"/>
        <v>1</v>
      </c>
      <c r="DE337" s="494"/>
      <c r="DF337" s="496" t="s">
        <v>1780</v>
      </c>
      <c r="DG337" s="496" t="s">
        <v>239</v>
      </c>
      <c r="DH337" s="496" t="s">
        <v>689</v>
      </c>
      <c r="DI337" s="496" t="s">
        <v>1781</v>
      </c>
      <c r="DJ337" s="496" t="s">
        <v>1781</v>
      </c>
      <c r="DK337" s="496" t="s">
        <v>1554</v>
      </c>
      <c r="DL337" s="496" t="s">
        <v>1555</v>
      </c>
      <c r="DM337" s="496" t="s">
        <v>1556</v>
      </c>
      <c r="DN337" s="497" t="s">
        <v>1557</v>
      </c>
      <c r="DP337" s="543">
        <v>1</v>
      </c>
    </row>
    <row r="338" spans="2:120" ht="15">
      <c r="B338" s="683"/>
      <c r="C338" s="683"/>
      <c r="D338" s="683"/>
      <c r="E338" s="683" cm="1">
        <f t="array" ref="E338">IF(H337&lt;&gt;"",E337,IF(E337="","",IFERROR(MATCH(TRUE(),INDEX(INDEX(K:K,E337+1):K203&lt;&gt;"",0),0)+E337,"")))</f>
        <v>479</v>
      </c>
      <c r="F338" s="684" cm="1">
        <f t="array" ref="F338">IF(E338="","",IF(H337&lt;&gt;"",H337,INDEX(D:D,E338)))</f>
        <v>0</v>
      </c>
      <c r="G338" s="684" t="str">
        <f t="shared" ref="G338:G401" si="42">IF(OR(F338="",M338=""),"",LEFT(F338,M338))</f>
        <v>0</v>
      </c>
      <c r="H338" s="685" t="str">
        <f t="shared" ref="H338:H401" si="43">IF(OR(F338="",M338=""),"",TRIM(MID(F338,M338+1,99999)))</f>
        <v/>
      </c>
      <c r="I338" s="683" t="str">
        <f>IF(AND(F338&lt;&gt;"",N10&gt;0,M338&gt;N10),"Mot &gt; limite","")</f>
        <v/>
      </c>
      <c r="M338" s="638">
        <f>IF(OR(F338="",N10="",N10&lt;=0),"",IF(LEN(F338)&lt;=N10,LEN(F338),IFERROR(FIND("♦",SUBSTITUTE(LEFT(F338,N10)," ","♦",LEN(LEFT(F338,N10))-LEN(SUBSTITUTE(LEFT(F338,N10)," ","")))),FIND(" ",F338&amp;" ",N10+1)-1)))</f>
        <v>1</v>
      </c>
      <c r="N338" s="686">
        <f t="shared" ref="N338:N401" si="44">IF(O338="","",ROW()-17)</f>
        <v>321</v>
      </c>
      <c r="O338" s="663" t="str">
        <f t="shared" ref="O338:O401" si="45">G338</f>
        <v>0</v>
      </c>
      <c r="P338" s="686">
        <f t="shared" ref="P338:P401" si="46">IF(O338="","",LEN(TRIM(O338))-LEN(SUBSTITUTE(TRIM(O338)," ",""))+1)</f>
        <v>1</v>
      </c>
      <c r="Q338" s="686">
        <f t="shared" ref="Q338:Q401" si="47">IF(O338="","",LEN(O338))</f>
        <v>1</v>
      </c>
      <c r="DE338" s="494"/>
      <c r="DF338" s="496" t="s">
        <v>1782</v>
      </c>
      <c r="DG338" s="496" t="s">
        <v>239</v>
      </c>
      <c r="DH338" s="496" t="s">
        <v>689</v>
      </c>
      <c r="DI338" s="496" t="s">
        <v>1783</v>
      </c>
      <c r="DJ338" s="496" t="s">
        <v>1783</v>
      </c>
      <c r="DK338" s="496" t="s">
        <v>1554</v>
      </c>
      <c r="DL338" s="496" t="s">
        <v>1555</v>
      </c>
      <c r="DM338" s="496" t="s">
        <v>1556</v>
      </c>
      <c r="DN338" s="497" t="s">
        <v>1557</v>
      </c>
      <c r="DP338" s="543">
        <v>1</v>
      </c>
    </row>
    <row r="339" spans="2:120" ht="15">
      <c r="B339" s="683"/>
      <c r="C339" s="683"/>
      <c r="D339" s="683"/>
      <c r="E339" s="683" cm="1">
        <f t="array" ref="E339">IF(H338&lt;&gt;"",E338,IF(E338="","",IFERROR(MATCH(TRUE(),INDEX(INDEX(K:K,E338+1):K203&lt;&gt;"",0),0)+E338,"")))</f>
        <v>480</v>
      </c>
      <c r="F339" s="684" cm="1">
        <f t="array" ref="F339">IF(E339="","",IF(H338&lt;&gt;"",H338,INDEX(D:D,E339)))</f>
        <v>0</v>
      </c>
      <c r="G339" s="684" t="str">
        <f t="shared" si="42"/>
        <v>0</v>
      </c>
      <c r="H339" s="685" t="str">
        <f t="shared" si="43"/>
        <v/>
      </c>
      <c r="I339" s="683" t="str">
        <f>IF(AND(F339&lt;&gt;"",N10&gt;0,M339&gt;N10),"Mot &gt; limite","")</f>
        <v/>
      </c>
      <c r="M339" s="638">
        <f>IF(OR(F339="",N10="",N10&lt;=0),"",IF(LEN(F339)&lt;=N10,LEN(F339),IFERROR(FIND("♦",SUBSTITUTE(LEFT(F339,N10)," ","♦",LEN(LEFT(F339,N10))-LEN(SUBSTITUTE(LEFT(F339,N10)," ","")))),FIND(" ",F339&amp;" ",N10+1)-1)))</f>
        <v>1</v>
      </c>
      <c r="N339" s="686">
        <f t="shared" si="44"/>
        <v>322</v>
      </c>
      <c r="O339" s="663" t="str">
        <f t="shared" si="45"/>
        <v>0</v>
      </c>
      <c r="P339" s="686">
        <f t="shared" si="46"/>
        <v>1</v>
      </c>
      <c r="Q339" s="686">
        <f t="shared" si="47"/>
        <v>1</v>
      </c>
      <c r="DE339" s="494"/>
      <c r="DF339" s="496" t="s">
        <v>1784</v>
      </c>
      <c r="DG339" s="496" t="s">
        <v>239</v>
      </c>
      <c r="DH339" s="496" t="s">
        <v>689</v>
      </c>
      <c r="DI339" s="496" t="s">
        <v>872</v>
      </c>
      <c r="DJ339" s="496" t="s">
        <v>872</v>
      </c>
      <c r="DK339" s="496" t="s">
        <v>1554</v>
      </c>
      <c r="DL339" s="496" t="s">
        <v>1561</v>
      </c>
      <c r="DM339" s="496" t="s">
        <v>1087</v>
      </c>
      <c r="DN339" s="497" t="s">
        <v>1088</v>
      </c>
      <c r="DP339" s="543">
        <v>1</v>
      </c>
    </row>
    <row r="340" spans="2:120" ht="15">
      <c r="B340" s="683"/>
      <c r="C340" s="683"/>
      <c r="D340" s="683"/>
      <c r="E340" s="683" cm="1">
        <f t="array" ref="E340">IF(H339&lt;&gt;"",E339,IF(E339="","",IFERROR(MATCH(TRUE(),INDEX(INDEX(K:K,E339+1):K203&lt;&gt;"",0),0)+E339,"")))</f>
        <v>481</v>
      </c>
      <c r="F340" s="684" cm="1">
        <f t="array" ref="F340">IF(E340="","",IF(H339&lt;&gt;"",H339,INDEX(D:D,E340)))</f>
        <v>0</v>
      </c>
      <c r="G340" s="684" t="str">
        <f t="shared" si="42"/>
        <v>0</v>
      </c>
      <c r="H340" s="685" t="str">
        <f t="shared" si="43"/>
        <v/>
      </c>
      <c r="I340" s="683" t="str">
        <f>IF(AND(F340&lt;&gt;"",N10&gt;0,M340&gt;N10),"Mot &gt; limite","")</f>
        <v/>
      </c>
      <c r="M340" s="638">
        <f>IF(OR(F340="",N10="",N10&lt;=0),"",IF(LEN(F340)&lt;=N10,LEN(F340),IFERROR(FIND("♦",SUBSTITUTE(LEFT(F340,N10)," ","♦",LEN(LEFT(F340,N10))-LEN(SUBSTITUTE(LEFT(F340,N10)," ","")))),FIND(" ",F340&amp;" ",N10+1)-1)))</f>
        <v>1</v>
      </c>
      <c r="N340" s="686">
        <f t="shared" si="44"/>
        <v>323</v>
      </c>
      <c r="O340" s="663" t="str">
        <f t="shared" si="45"/>
        <v>0</v>
      </c>
      <c r="P340" s="686">
        <f t="shared" si="46"/>
        <v>1</v>
      </c>
      <c r="Q340" s="686">
        <f t="shared" si="47"/>
        <v>1</v>
      </c>
      <c r="DE340" s="494"/>
      <c r="DF340" s="496" t="s">
        <v>1785</v>
      </c>
      <c r="DG340" s="496" t="s">
        <v>239</v>
      </c>
      <c r="DH340" s="496" t="s">
        <v>689</v>
      </c>
      <c r="DI340" s="496" t="s">
        <v>292</v>
      </c>
      <c r="DJ340" s="496" t="s">
        <v>292</v>
      </c>
      <c r="DK340" s="496" t="s">
        <v>1151</v>
      </c>
      <c r="DL340" s="496" t="s">
        <v>1152</v>
      </c>
      <c r="DM340" s="496" t="s">
        <v>1087</v>
      </c>
      <c r="DN340" s="497" t="s">
        <v>1153</v>
      </c>
      <c r="DP340" s="543">
        <v>1</v>
      </c>
    </row>
    <row r="341" spans="2:120" ht="15">
      <c r="B341" s="683"/>
      <c r="C341" s="683"/>
      <c r="D341" s="683"/>
      <c r="E341" s="683" cm="1">
        <f t="array" ref="E341">IF(H340&lt;&gt;"",E340,IF(E340="","",IFERROR(MATCH(TRUE(),INDEX(INDEX(K:K,E340+1):K203&lt;&gt;"",0),0)+E340,"")))</f>
        <v>482</v>
      </c>
      <c r="F341" s="684" cm="1">
        <f t="array" ref="F341">IF(E341="","",IF(H340&lt;&gt;"",H340,INDEX(D:D,E341)))</f>
        <v>0</v>
      </c>
      <c r="G341" s="684" t="str">
        <f t="shared" si="42"/>
        <v>0</v>
      </c>
      <c r="H341" s="685" t="str">
        <f t="shared" si="43"/>
        <v/>
      </c>
      <c r="I341" s="683" t="str">
        <f>IF(AND(F341&lt;&gt;"",N10&gt;0,M341&gt;N10),"Mot &gt; limite","")</f>
        <v/>
      </c>
      <c r="M341" s="638">
        <f>IF(OR(F341="",N10="",N10&lt;=0),"",IF(LEN(F341)&lt;=N10,LEN(F341),IFERROR(FIND("♦",SUBSTITUTE(LEFT(F341,N10)," ","♦",LEN(LEFT(F341,N10))-LEN(SUBSTITUTE(LEFT(F341,N10)," ","")))),FIND(" ",F341&amp;" ",N10+1)-1)))</f>
        <v>1</v>
      </c>
      <c r="N341" s="686">
        <f t="shared" si="44"/>
        <v>324</v>
      </c>
      <c r="O341" s="663" t="str">
        <f t="shared" si="45"/>
        <v>0</v>
      </c>
      <c r="P341" s="686">
        <f t="shared" si="46"/>
        <v>1</v>
      </c>
      <c r="Q341" s="686">
        <f t="shared" si="47"/>
        <v>1</v>
      </c>
      <c r="DE341" s="494"/>
      <c r="DF341" s="496" t="s">
        <v>1786</v>
      </c>
      <c r="DG341" s="496" t="s">
        <v>239</v>
      </c>
      <c r="DH341" s="496" t="s">
        <v>689</v>
      </c>
      <c r="DI341" s="496" t="s">
        <v>1787</v>
      </c>
      <c r="DJ341" s="496" t="s">
        <v>1787</v>
      </c>
      <c r="DK341" s="496" t="s">
        <v>1151</v>
      </c>
      <c r="DL341" s="496" t="s">
        <v>1152</v>
      </c>
      <c r="DM341" s="496" t="s">
        <v>1087</v>
      </c>
      <c r="DN341" s="497" t="s">
        <v>1153</v>
      </c>
      <c r="DP341" s="543">
        <v>1</v>
      </c>
    </row>
    <row r="342" spans="2:120" ht="15">
      <c r="B342" s="683"/>
      <c r="C342" s="683"/>
      <c r="D342" s="683"/>
      <c r="E342" s="683" cm="1">
        <f t="array" ref="E342">IF(H341&lt;&gt;"",E341,IF(E341="","",IFERROR(MATCH(TRUE(),INDEX(INDEX(K:K,E341+1):K203&lt;&gt;"",0),0)+E341,"")))</f>
        <v>483</v>
      </c>
      <c r="F342" s="684" cm="1">
        <f t="array" ref="F342">IF(E342="","",IF(H341&lt;&gt;"",H341,INDEX(D:D,E342)))</f>
        <v>0</v>
      </c>
      <c r="G342" s="684" t="str">
        <f t="shared" si="42"/>
        <v>0</v>
      </c>
      <c r="H342" s="685" t="str">
        <f t="shared" si="43"/>
        <v/>
      </c>
      <c r="I342" s="683" t="str">
        <f>IF(AND(F342&lt;&gt;"",N10&gt;0,M342&gt;N10),"Mot &gt; limite","")</f>
        <v/>
      </c>
      <c r="M342" s="638">
        <f>IF(OR(F342="",N10="",N10&lt;=0),"",IF(LEN(F342)&lt;=N10,LEN(F342),IFERROR(FIND("♦",SUBSTITUTE(LEFT(F342,N10)," ","♦",LEN(LEFT(F342,N10))-LEN(SUBSTITUTE(LEFT(F342,N10)," ","")))),FIND(" ",F342&amp;" ",N10+1)-1)))</f>
        <v>1</v>
      </c>
      <c r="N342" s="686">
        <f t="shared" si="44"/>
        <v>325</v>
      </c>
      <c r="O342" s="663" t="str">
        <f t="shared" si="45"/>
        <v>0</v>
      </c>
      <c r="P342" s="686">
        <f t="shared" si="46"/>
        <v>1</v>
      </c>
      <c r="Q342" s="686">
        <f t="shared" si="47"/>
        <v>1</v>
      </c>
      <c r="DE342" s="494"/>
      <c r="DF342" s="496" t="s">
        <v>1788</v>
      </c>
      <c r="DG342" s="496" t="s">
        <v>239</v>
      </c>
      <c r="DH342" s="496" t="s">
        <v>689</v>
      </c>
      <c r="DI342" s="496" t="s">
        <v>1789</v>
      </c>
      <c r="DJ342" s="496" t="s">
        <v>1790</v>
      </c>
      <c r="DK342" s="496" t="s">
        <v>1554</v>
      </c>
      <c r="DL342" s="496" t="s">
        <v>1561</v>
      </c>
      <c r="DM342" s="496" t="s">
        <v>1087</v>
      </c>
      <c r="DN342" s="497" t="s">
        <v>1088</v>
      </c>
      <c r="DP342" s="543">
        <v>1</v>
      </c>
    </row>
    <row r="343" spans="2:120" ht="15">
      <c r="B343" s="683"/>
      <c r="C343" s="683"/>
      <c r="D343" s="683"/>
      <c r="E343" s="683" cm="1">
        <f t="array" ref="E343">IF(H342&lt;&gt;"",E342,IF(E342="","",IFERROR(MATCH(TRUE(),INDEX(INDEX(K:K,E342+1):K203&lt;&gt;"",0),0)+E342,"")))</f>
        <v>484</v>
      </c>
      <c r="F343" s="684" cm="1">
        <f t="array" ref="F343">IF(E343="","",IF(H342&lt;&gt;"",H342,INDEX(D:D,E343)))</f>
        <v>0</v>
      </c>
      <c r="G343" s="684" t="str">
        <f t="shared" si="42"/>
        <v>0</v>
      </c>
      <c r="H343" s="685" t="str">
        <f t="shared" si="43"/>
        <v/>
      </c>
      <c r="I343" s="683" t="str">
        <f>IF(AND(F343&lt;&gt;"",N10&gt;0,M343&gt;N10),"Mot &gt; limite","")</f>
        <v/>
      </c>
      <c r="M343" s="638">
        <f>IF(OR(F343="",N10="",N10&lt;=0),"",IF(LEN(F343)&lt;=N10,LEN(F343),IFERROR(FIND("♦",SUBSTITUTE(LEFT(F343,N10)," ","♦",LEN(LEFT(F343,N10))-LEN(SUBSTITUTE(LEFT(F343,N10)," ","")))),FIND(" ",F343&amp;" ",N10+1)-1)))</f>
        <v>1</v>
      </c>
      <c r="N343" s="686">
        <f t="shared" si="44"/>
        <v>326</v>
      </c>
      <c r="O343" s="663" t="str">
        <f t="shared" si="45"/>
        <v>0</v>
      </c>
      <c r="P343" s="686">
        <f t="shared" si="46"/>
        <v>1</v>
      </c>
      <c r="Q343" s="686">
        <f t="shared" si="47"/>
        <v>1</v>
      </c>
      <c r="DE343" s="494"/>
      <c r="DF343" s="496" t="s">
        <v>1791</v>
      </c>
      <c r="DG343" s="496" t="s">
        <v>239</v>
      </c>
      <c r="DH343" s="496" t="s">
        <v>689</v>
      </c>
      <c r="DI343" s="496" t="s">
        <v>873</v>
      </c>
      <c r="DJ343" s="496" t="s">
        <v>873</v>
      </c>
      <c r="DK343" s="496" t="s">
        <v>1554</v>
      </c>
      <c r="DL343" s="496" t="s">
        <v>1561</v>
      </c>
      <c r="DM343" s="496" t="s">
        <v>1087</v>
      </c>
      <c r="DN343" s="497" t="s">
        <v>1088</v>
      </c>
      <c r="DP343" s="543">
        <v>1</v>
      </c>
    </row>
    <row r="344" spans="2:120" ht="15">
      <c r="B344" s="683"/>
      <c r="C344" s="683"/>
      <c r="D344" s="683"/>
      <c r="E344" s="683" cm="1">
        <f t="array" ref="E344">IF(H343&lt;&gt;"",E343,IF(E343="","",IFERROR(MATCH(TRUE(),INDEX(INDEX(K:K,E343+1):K203&lt;&gt;"",0),0)+E343,"")))</f>
        <v>485</v>
      </c>
      <c r="F344" s="684" cm="1">
        <f t="array" ref="F344">IF(E344="","",IF(H343&lt;&gt;"",H343,INDEX(D:D,E344)))</f>
        <v>0</v>
      </c>
      <c r="G344" s="684" t="str">
        <f t="shared" si="42"/>
        <v>0</v>
      </c>
      <c r="H344" s="685" t="str">
        <f t="shared" si="43"/>
        <v/>
      </c>
      <c r="I344" s="683" t="str">
        <f>IF(AND(F344&lt;&gt;"",N10&gt;0,M344&gt;N10),"Mot &gt; limite","")</f>
        <v/>
      </c>
      <c r="M344" s="638">
        <f>IF(OR(F344="",N10="",N10&lt;=0),"",IF(LEN(F344)&lt;=N10,LEN(F344),IFERROR(FIND("♦",SUBSTITUTE(LEFT(F344,N10)," ","♦",LEN(LEFT(F344,N10))-LEN(SUBSTITUTE(LEFT(F344,N10)," ","")))),FIND(" ",F344&amp;" ",N10+1)-1)))</f>
        <v>1</v>
      </c>
      <c r="N344" s="686">
        <f t="shared" si="44"/>
        <v>327</v>
      </c>
      <c r="O344" s="663" t="str">
        <f t="shared" si="45"/>
        <v>0</v>
      </c>
      <c r="P344" s="686">
        <f t="shared" si="46"/>
        <v>1</v>
      </c>
      <c r="Q344" s="686">
        <f t="shared" si="47"/>
        <v>1</v>
      </c>
      <c r="DE344" s="494"/>
      <c r="DF344" s="496" t="s">
        <v>1792</v>
      </c>
      <c r="DG344" s="496" t="s">
        <v>239</v>
      </c>
      <c r="DH344" s="496" t="s">
        <v>689</v>
      </c>
      <c r="DI344" s="496" t="s">
        <v>874</v>
      </c>
      <c r="DJ344" s="496" t="s">
        <v>874</v>
      </c>
      <c r="DK344" s="496" t="s">
        <v>1554</v>
      </c>
      <c r="DL344" s="496" t="s">
        <v>1561</v>
      </c>
      <c r="DM344" s="496" t="s">
        <v>1087</v>
      </c>
      <c r="DN344" s="497" t="s">
        <v>1088</v>
      </c>
      <c r="DP344" s="543">
        <v>1</v>
      </c>
    </row>
    <row r="345" spans="2:120" ht="15">
      <c r="B345" s="683"/>
      <c r="C345" s="683"/>
      <c r="D345" s="683"/>
      <c r="E345" s="683" cm="1">
        <f t="array" ref="E345">IF(H344&lt;&gt;"",E344,IF(E344="","",IFERROR(MATCH(TRUE(),INDEX(INDEX(K:K,E344+1):K203&lt;&gt;"",0),0)+E344,"")))</f>
        <v>486</v>
      </c>
      <c r="F345" s="684" cm="1">
        <f t="array" ref="F345">IF(E345="","",IF(H344&lt;&gt;"",H344,INDEX(D:D,E345)))</f>
        <v>0</v>
      </c>
      <c r="G345" s="684" t="str">
        <f t="shared" si="42"/>
        <v>0</v>
      </c>
      <c r="H345" s="685" t="str">
        <f t="shared" si="43"/>
        <v/>
      </c>
      <c r="I345" s="683" t="str">
        <f>IF(AND(F345&lt;&gt;"",N10&gt;0,M345&gt;N10),"Mot &gt; limite","")</f>
        <v/>
      </c>
      <c r="M345" s="638">
        <f>IF(OR(F345="",N10="",N10&lt;=0),"",IF(LEN(F345)&lt;=N10,LEN(F345),IFERROR(FIND("♦",SUBSTITUTE(LEFT(F345,N10)," ","♦",LEN(LEFT(F345,N10))-LEN(SUBSTITUTE(LEFT(F345,N10)," ","")))),FIND(" ",F345&amp;" ",N10+1)-1)))</f>
        <v>1</v>
      </c>
      <c r="N345" s="686">
        <f t="shared" si="44"/>
        <v>328</v>
      </c>
      <c r="O345" s="663" t="str">
        <f t="shared" si="45"/>
        <v>0</v>
      </c>
      <c r="P345" s="686">
        <f t="shared" si="46"/>
        <v>1</v>
      </c>
      <c r="Q345" s="686">
        <f t="shared" si="47"/>
        <v>1</v>
      </c>
      <c r="DE345" s="494"/>
      <c r="DF345" s="496" t="s">
        <v>1793</v>
      </c>
      <c r="DG345" s="496" t="s">
        <v>239</v>
      </c>
      <c r="DH345" s="496" t="s">
        <v>689</v>
      </c>
      <c r="DI345" s="496" t="s">
        <v>293</v>
      </c>
      <c r="DJ345" s="496" t="s">
        <v>293</v>
      </c>
      <c r="DK345" s="496" t="s">
        <v>1151</v>
      </c>
      <c r="DL345" s="496" t="s">
        <v>1152</v>
      </c>
      <c r="DM345" s="496" t="s">
        <v>1087</v>
      </c>
      <c r="DN345" s="497" t="s">
        <v>1153</v>
      </c>
      <c r="DP345" s="543">
        <v>1</v>
      </c>
    </row>
    <row r="346" spans="2:120" ht="15">
      <c r="B346" s="683"/>
      <c r="C346" s="683"/>
      <c r="D346" s="683"/>
      <c r="E346" s="683" cm="1">
        <f t="array" ref="E346">IF(H345&lt;&gt;"",E345,IF(E345="","",IFERROR(MATCH(TRUE(),INDEX(INDEX(K:K,E345+1):K203&lt;&gt;"",0),0)+E345,"")))</f>
        <v>487</v>
      </c>
      <c r="F346" s="684" cm="1">
        <f t="array" ref="F346">IF(E346="","",IF(H345&lt;&gt;"",H345,INDEX(D:D,E346)))</f>
        <v>0</v>
      </c>
      <c r="G346" s="684" t="str">
        <f t="shared" si="42"/>
        <v>0</v>
      </c>
      <c r="H346" s="685" t="str">
        <f t="shared" si="43"/>
        <v/>
      </c>
      <c r="I346" s="683" t="str">
        <f>IF(AND(F346&lt;&gt;"",N10&gt;0,M346&gt;N10),"Mot &gt; limite","")</f>
        <v/>
      </c>
      <c r="M346" s="638">
        <f>IF(OR(F346="",N10="",N10&lt;=0),"",IF(LEN(F346)&lt;=N10,LEN(F346),IFERROR(FIND("♦",SUBSTITUTE(LEFT(F346,N10)," ","♦",LEN(LEFT(F346,N10))-LEN(SUBSTITUTE(LEFT(F346,N10)," ","")))),FIND(" ",F346&amp;" ",N10+1)-1)))</f>
        <v>1</v>
      </c>
      <c r="N346" s="686">
        <f t="shared" si="44"/>
        <v>329</v>
      </c>
      <c r="O346" s="663" t="str">
        <f t="shared" si="45"/>
        <v>0</v>
      </c>
      <c r="P346" s="686">
        <f t="shared" si="46"/>
        <v>1</v>
      </c>
      <c r="Q346" s="686">
        <f t="shared" si="47"/>
        <v>1</v>
      </c>
      <c r="DE346" s="494"/>
      <c r="DF346" s="496" t="s">
        <v>1794</v>
      </c>
      <c r="DG346" s="496" t="s">
        <v>239</v>
      </c>
      <c r="DH346" s="496" t="s">
        <v>689</v>
      </c>
      <c r="DI346" s="496" t="s">
        <v>1795</v>
      </c>
      <c r="DJ346" s="496" t="s">
        <v>1795</v>
      </c>
      <c r="DK346" s="496" t="s">
        <v>1554</v>
      </c>
      <c r="DL346" s="496" t="s">
        <v>1561</v>
      </c>
      <c r="DM346" s="496" t="s">
        <v>1087</v>
      </c>
      <c r="DN346" s="497" t="s">
        <v>1088</v>
      </c>
      <c r="DP346" s="543">
        <v>1</v>
      </c>
    </row>
    <row r="347" spans="2:120" ht="15">
      <c r="B347" s="683"/>
      <c r="C347" s="683"/>
      <c r="D347" s="683"/>
      <c r="E347" s="683" cm="1">
        <f t="array" ref="E347">IF(H346&lt;&gt;"",E346,IF(E346="","",IFERROR(MATCH(TRUE(),INDEX(INDEX(K:K,E346+1):K203&lt;&gt;"",0),0)+E346,"")))</f>
        <v>488</v>
      </c>
      <c r="F347" s="684" cm="1">
        <f t="array" ref="F347">IF(E347="","",IF(H346&lt;&gt;"",H346,INDEX(D:D,E347)))</f>
        <v>0</v>
      </c>
      <c r="G347" s="684" t="str">
        <f t="shared" si="42"/>
        <v>0</v>
      </c>
      <c r="H347" s="685" t="str">
        <f t="shared" si="43"/>
        <v/>
      </c>
      <c r="I347" s="683" t="str">
        <f>IF(AND(F347&lt;&gt;"",N10&gt;0,M347&gt;N10),"Mot &gt; limite","")</f>
        <v/>
      </c>
      <c r="M347" s="638">
        <f>IF(OR(F347="",N10="",N10&lt;=0),"",IF(LEN(F347)&lt;=N10,LEN(F347),IFERROR(FIND("♦",SUBSTITUTE(LEFT(F347,N10)," ","♦",LEN(LEFT(F347,N10))-LEN(SUBSTITUTE(LEFT(F347,N10)," ","")))),FIND(" ",F347&amp;" ",N10+1)-1)))</f>
        <v>1</v>
      </c>
      <c r="N347" s="686">
        <f t="shared" si="44"/>
        <v>330</v>
      </c>
      <c r="O347" s="663" t="str">
        <f t="shared" si="45"/>
        <v>0</v>
      </c>
      <c r="P347" s="686">
        <f t="shared" si="46"/>
        <v>1</v>
      </c>
      <c r="Q347" s="686">
        <f t="shared" si="47"/>
        <v>1</v>
      </c>
      <c r="DE347" s="494"/>
      <c r="DF347" s="496" t="s">
        <v>1796</v>
      </c>
      <c r="DG347" s="496" t="s">
        <v>239</v>
      </c>
      <c r="DH347" s="496" t="s">
        <v>689</v>
      </c>
      <c r="DI347" s="496" t="s">
        <v>1797</v>
      </c>
      <c r="DJ347" s="496" t="s">
        <v>1797</v>
      </c>
      <c r="DK347" s="496" t="s">
        <v>1151</v>
      </c>
      <c r="DL347" s="496" t="s">
        <v>1152</v>
      </c>
      <c r="DM347" s="496" t="s">
        <v>1087</v>
      </c>
      <c r="DN347" s="497" t="s">
        <v>1153</v>
      </c>
      <c r="DP347" s="543">
        <v>1</v>
      </c>
    </row>
    <row r="348" spans="2:120" ht="15">
      <c r="B348" s="683"/>
      <c r="C348" s="683"/>
      <c r="D348" s="683"/>
      <c r="E348" s="683" cm="1">
        <f t="array" ref="E348">IF(H347&lt;&gt;"",E347,IF(E347="","",IFERROR(MATCH(TRUE(),INDEX(INDEX(K:K,E347+1):K203&lt;&gt;"",0),0)+E347,"")))</f>
        <v>489</v>
      </c>
      <c r="F348" s="684" cm="1">
        <f t="array" ref="F348">IF(E348="","",IF(H347&lt;&gt;"",H347,INDEX(D:D,E348)))</f>
        <v>0</v>
      </c>
      <c r="G348" s="684" t="str">
        <f t="shared" si="42"/>
        <v>0</v>
      </c>
      <c r="H348" s="685" t="str">
        <f t="shared" si="43"/>
        <v/>
      </c>
      <c r="I348" s="683" t="str">
        <f>IF(AND(F348&lt;&gt;"",N10&gt;0,M348&gt;N10),"Mot &gt; limite","")</f>
        <v/>
      </c>
      <c r="M348" s="638">
        <f>IF(OR(F348="",N10="",N10&lt;=0),"",IF(LEN(F348)&lt;=N10,LEN(F348),IFERROR(FIND("♦",SUBSTITUTE(LEFT(F348,N10)," ","♦",LEN(LEFT(F348,N10))-LEN(SUBSTITUTE(LEFT(F348,N10)," ","")))),FIND(" ",F348&amp;" ",N10+1)-1)))</f>
        <v>1</v>
      </c>
      <c r="N348" s="686">
        <f t="shared" si="44"/>
        <v>331</v>
      </c>
      <c r="O348" s="663" t="str">
        <f t="shared" si="45"/>
        <v>0</v>
      </c>
      <c r="P348" s="686">
        <f t="shared" si="46"/>
        <v>1</v>
      </c>
      <c r="Q348" s="686">
        <f t="shared" si="47"/>
        <v>1</v>
      </c>
      <c r="DE348" s="494"/>
      <c r="DF348" s="496" t="s">
        <v>1798</v>
      </c>
      <c r="DG348" s="496" t="s">
        <v>239</v>
      </c>
      <c r="DH348" s="496" t="s">
        <v>689</v>
      </c>
      <c r="DI348" s="496" t="s">
        <v>1799</v>
      </c>
      <c r="DJ348" s="496" t="s">
        <v>1799</v>
      </c>
      <c r="DK348" s="496" t="s">
        <v>1554</v>
      </c>
      <c r="DL348" s="496" t="s">
        <v>1555</v>
      </c>
      <c r="DM348" s="496" t="s">
        <v>1556</v>
      </c>
      <c r="DN348" s="497" t="s">
        <v>1557</v>
      </c>
      <c r="DP348" s="543">
        <v>1</v>
      </c>
    </row>
    <row r="349" spans="2:120" ht="15">
      <c r="B349" s="683"/>
      <c r="C349" s="683"/>
      <c r="D349" s="683"/>
      <c r="E349" s="683" cm="1">
        <f t="array" ref="E349">IF(H348&lt;&gt;"",E348,IF(E348="","",IFERROR(MATCH(TRUE(),INDEX(INDEX(K:K,E348+1):K203&lt;&gt;"",0),0)+E348,"")))</f>
        <v>490</v>
      </c>
      <c r="F349" s="684" cm="1">
        <f t="array" ref="F349">IF(E349="","",IF(H348&lt;&gt;"",H348,INDEX(D:D,E349)))</f>
        <v>0</v>
      </c>
      <c r="G349" s="684" t="str">
        <f t="shared" si="42"/>
        <v>0</v>
      </c>
      <c r="H349" s="685" t="str">
        <f t="shared" si="43"/>
        <v/>
      </c>
      <c r="I349" s="683" t="str">
        <f>IF(AND(F349&lt;&gt;"",N10&gt;0,M349&gt;N10),"Mot &gt; limite","")</f>
        <v/>
      </c>
      <c r="M349" s="638">
        <f>IF(OR(F349="",N10="",N10&lt;=0),"",IF(LEN(F349)&lt;=N10,LEN(F349),IFERROR(FIND("♦",SUBSTITUTE(LEFT(F349,N10)," ","♦",LEN(LEFT(F349,N10))-LEN(SUBSTITUTE(LEFT(F349,N10)," ","")))),FIND(" ",F349&amp;" ",N10+1)-1)))</f>
        <v>1</v>
      </c>
      <c r="N349" s="686">
        <f t="shared" si="44"/>
        <v>332</v>
      </c>
      <c r="O349" s="663" t="str">
        <f t="shared" si="45"/>
        <v>0</v>
      </c>
      <c r="P349" s="686">
        <f t="shared" si="46"/>
        <v>1</v>
      </c>
      <c r="Q349" s="686">
        <f t="shared" si="47"/>
        <v>1</v>
      </c>
      <c r="DE349" s="494"/>
      <c r="DF349" s="496" t="s">
        <v>1800</v>
      </c>
      <c r="DG349" s="496" t="s">
        <v>239</v>
      </c>
      <c r="DH349" s="496" t="s">
        <v>689</v>
      </c>
      <c r="DI349" s="496" t="s">
        <v>875</v>
      </c>
      <c r="DJ349" s="496" t="s">
        <v>875</v>
      </c>
      <c r="DK349" s="496" t="s">
        <v>1554</v>
      </c>
      <c r="DL349" s="496" t="s">
        <v>1561</v>
      </c>
      <c r="DM349" s="496" t="s">
        <v>1087</v>
      </c>
      <c r="DN349" s="497" t="s">
        <v>1088</v>
      </c>
      <c r="DP349" s="543">
        <v>1</v>
      </c>
    </row>
    <row r="350" spans="2:120" ht="15">
      <c r="B350" s="683"/>
      <c r="C350" s="683"/>
      <c r="D350" s="683"/>
      <c r="E350" s="683" cm="1">
        <f t="array" ref="E350">IF(H349&lt;&gt;"",E349,IF(E349="","",IFERROR(MATCH(TRUE(),INDEX(INDEX(K:K,E349+1):K203&lt;&gt;"",0),0)+E349,"")))</f>
        <v>491</v>
      </c>
      <c r="F350" s="684" cm="1">
        <f t="array" ref="F350">IF(E350="","",IF(H349&lt;&gt;"",H349,INDEX(D:D,E350)))</f>
        <v>0</v>
      </c>
      <c r="G350" s="684" t="str">
        <f t="shared" si="42"/>
        <v>0</v>
      </c>
      <c r="H350" s="685" t="str">
        <f t="shared" si="43"/>
        <v/>
      </c>
      <c r="I350" s="683" t="str">
        <f>IF(AND(F350&lt;&gt;"",N10&gt;0,M350&gt;N10),"Mot &gt; limite","")</f>
        <v/>
      </c>
      <c r="M350" s="638">
        <f>IF(OR(F350="",N10="",N10&lt;=0),"",IF(LEN(F350)&lt;=N10,LEN(F350),IFERROR(FIND("♦",SUBSTITUTE(LEFT(F350,N10)," ","♦",LEN(LEFT(F350,N10))-LEN(SUBSTITUTE(LEFT(F350,N10)," ","")))),FIND(" ",F350&amp;" ",N10+1)-1)))</f>
        <v>1</v>
      </c>
      <c r="N350" s="686">
        <f t="shared" si="44"/>
        <v>333</v>
      </c>
      <c r="O350" s="663" t="str">
        <f t="shared" si="45"/>
        <v>0</v>
      </c>
      <c r="P350" s="686">
        <f t="shared" si="46"/>
        <v>1</v>
      </c>
      <c r="Q350" s="686">
        <f t="shared" si="47"/>
        <v>1</v>
      </c>
      <c r="DE350" s="494"/>
      <c r="DF350" s="496" t="s">
        <v>1801</v>
      </c>
      <c r="DG350" s="496" t="s">
        <v>239</v>
      </c>
      <c r="DH350" s="496" t="s">
        <v>689</v>
      </c>
      <c r="DI350" s="496" t="s">
        <v>1802</v>
      </c>
      <c r="DJ350" s="496" t="s">
        <v>1802</v>
      </c>
      <c r="DK350" s="496" t="s">
        <v>1554</v>
      </c>
      <c r="DL350" s="496" t="s">
        <v>1555</v>
      </c>
      <c r="DM350" s="496" t="s">
        <v>1556</v>
      </c>
      <c r="DN350" s="497" t="s">
        <v>1557</v>
      </c>
      <c r="DP350" s="543">
        <v>1</v>
      </c>
    </row>
    <row r="351" spans="2:120" ht="15">
      <c r="B351" s="683"/>
      <c r="C351" s="683"/>
      <c r="D351" s="683"/>
      <c r="E351" s="683" cm="1">
        <f t="array" ref="E351">IF(H350&lt;&gt;"",E350,IF(E350="","",IFERROR(MATCH(TRUE(),INDEX(INDEX(K:K,E350+1):K203&lt;&gt;"",0),0)+E350,"")))</f>
        <v>492</v>
      </c>
      <c r="F351" s="684" cm="1">
        <f t="array" ref="F351">IF(E351="","",IF(H350&lt;&gt;"",H350,INDEX(D:D,E351)))</f>
        <v>0</v>
      </c>
      <c r="G351" s="684" t="str">
        <f t="shared" si="42"/>
        <v>0</v>
      </c>
      <c r="H351" s="685" t="str">
        <f t="shared" si="43"/>
        <v/>
      </c>
      <c r="I351" s="683" t="str">
        <f>IF(AND(F351&lt;&gt;"",N10&gt;0,M351&gt;N10),"Mot &gt; limite","")</f>
        <v/>
      </c>
      <c r="M351" s="638">
        <f>IF(OR(F351="",N10="",N10&lt;=0),"",IF(LEN(F351)&lt;=N10,LEN(F351),IFERROR(FIND("♦",SUBSTITUTE(LEFT(F351,N10)," ","♦",LEN(LEFT(F351,N10))-LEN(SUBSTITUTE(LEFT(F351,N10)," ","")))),FIND(" ",F351&amp;" ",N10+1)-1)))</f>
        <v>1</v>
      </c>
      <c r="N351" s="686">
        <f t="shared" si="44"/>
        <v>334</v>
      </c>
      <c r="O351" s="663" t="str">
        <f t="shared" si="45"/>
        <v>0</v>
      </c>
      <c r="P351" s="686">
        <f t="shared" si="46"/>
        <v>1</v>
      </c>
      <c r="Q351" s="686">
        <f t="shared" si="47"/>
        <v>1</v>
      </c>
      <c r="DE351" s="494"/>
      <c r="DF351" s="496" t="s">
        <v>1803</v>
      </c>
      <c r="DG351" s="496" t="s">
        <v>239</v>
      </c>
      <c r="DH351" s="496" t="s">
        <v>689</v>
      </c>
      <c r="DI351" s="496" t="s">
        <v>1804</v>
      </c>
      <c r="DJ351" s="496" t="s">
        <v>1804</v>
      </c>
      <c r="DK351" s="496" t="s">
        <v>1554</v>
      </c>
      <c r="DL351" s="496" t="s">
        <v>1561</v>
      </c>
      <c r="DM351" s="496" t="s">
        <v>1087</v>
      </c>
      <c r="DN351" s="497" t="s">
        <v>1088</v>
      </c>
      <c r="DP351" s="543">
        <v>1</v>
      </c>
    </row>
    <row r="352" spans="2:120" ht="15">
      <c r="B352" s="683"/>
      <c r="C352" s="683"/>
      <c r="D352" s="683"/>
      <c r="E352" s="683" cm="1">
        <f t="array" ref="E352">IF(H351&lt;&gt;"",E351,IF(E351="","",IFERROR(MATCH(TRUE(),INDEX(INDEX(K:K,E351+1):K203&lt;&gt;"",0),0)+E351,"")))</f>
        <v>493</v>
      </c>
      <c r="F352" s="684" cm="1">
        <f t="array" ref="F352">IF(E352="","",IF(H351&lt;&gt;"",H351,INDEX(D:D,E352)))</f>
        <v>0</v>
      </c>
      <c r="G352" s="684" t="str">
        <f t="shared" si="42"/>
        <v>0</v>
      </c>
      <c r="H352" s="685" t="str">
        <f t="shared" si="43"/>
        <v/>
      </c>
      <c r="I352" s="683" t="str">
        <f>IF(AND(F352&lt;&gt;"",N10&gt;0,M352&gt;N10),"Mot &gt; limite","")</f>
        <v/>
      </c>
      <c r="M352" s="638">
        <f>IF(OR(F352="",N10="",N10&lt;=0),"",IF(LEN(F352)&lt;=N10,LEN(F352),IFERROR(FIND("♦",SUBSTITUTE(LEFT(F352,N10)," ","♦",LEN(LEFT(F352,N10))-LEN(SUBSTITUTE(LEFT(F352,N10)," ","")))),FIND(" ",F352&amp;" ",N10+1)-1)))</f>
        <v>1</v>
      </c>
      <c r="N352" s="686">
        <f t="shared" si="44"/>
        <v>335</v>
      </c>
      <c r="O352" s="663" t="str">
        <f t="shared" si="45"/>
        <v>0</v>
      </c>
      <c r="P352" s="686">
        <f t="shared" si="46"/>
        <v>1</v>
      </c>
      <c r="Q352" s="686">
        <f t="shared" si="47"/>
        <v>1</v>
      </c>
      <c r="DE352" s="494"/>
      <c r="DF352" s="496" t="s">
        <v>1805</v>
      </c>
      <c r="DG352" s="496" t="s">
        <v>345</v>
      </c>
      <c r="DH352" s="496" t="s">
        <v>689</v>
      </c>
      <c r="DI352" s="496" t="s">
        <v>1806</v>
      </c>
      <c r="DJ352" s="496" t="s">
        <v>1012</v>
      </c>
      <c r="DK352" s="496" t="s">
        <v>1085</v>
      </c>
      <c r="DL352" s="496" t="s">
        <v>1807</v>
      </c>
      <c r="DM352" s="496" t="s">
        <v>1087</v>
      </c>
      <c r="DN352" s="497" t="s">
        <v>1088</v>
      </c>
      <c r="DP352" s="543">
        <v>1</v>
      </c>
    </row>
    <row r="353" spans="2:120" ht="15">
      <c r="B353" s="683"/>
      <c r="C353" s="683"/>
      <c r="D353" s="683"/>
      <c r="E353" s="683" cm="1">
        <f t="array" ref="E353">IF(H352&lt;&gt;"",E352,IF(E352="","",IFERROR(MATCH(TRUE(),INDEX(INDEX(K:K,E352+1):K203&lt;&gt;"",0),0)+E352,"")))</f>
        <v>494</v>
      </c>
      <c r="F353" s="684" cm="1">
        <f t="array" ref="F353">IF(E353="","",IF(H352&lt;&gt;"",H352,INDEX(D:D,E353)))</f>
        <v>0</v>
      </c>
      <c r="G353" s="684" t="str">
        <f t="shared" si="42"/>
        <v>0</v>
      </c>
      <c r="H353" s="685" t="str">
        <f t="shared" si="43"/>
        <v/>
      </c>
      <c r="I353" s="683" t="str">
        <f>IF(AND(F353&lt;&gt;"",N10&gt;0,M353&gt;N10),"Mot &gt; limite","")</f>
        <v/>
      </c>
      <c r="M353" s="638">
        <f>IF(OR(F353="",N10="",N10&lt;=0),"",IF(LEN(F353)&lt;=N10,LEN(F353),IFERROR(FIND("♦",SUBSTITUTE(LEFT(F353,N10)," ","♦",LEN(LEFT(F353,N10))-LEN(SUBSTITUTE(LEFT(F353,N10)," ","")))),FIND(" ",F353&amp;" ",N10+1)-1)))</f>
        <v>1</v>
      </c>
      <c r="N353" s="686">
        <f t="shared" si="44"/>
        <v>336</v>
      </c>
      <c r="O353" s="663" t="str">
        <f t="shared" si="45"/>
        <v>0</v>
      </c>
      <c r="P353" s="686">
        <f t="shared" si="46"/>
        <v>1</v>
      </c>
      <c r="Q353" s="686">
        <f t="shared" si="47"/>
        <v>1</v>
      </c>
      <c r="DE353" s="494"/>
      <c r="DF353" s="496" t="s">
        <v>1808</v>
      </c>
      <c r="DG353" s="496" t="s">
        <v>345</v>
      </c>
      <c r="DH353" s="496" t="s">
        <v>689</v>
      </c>
      <c r="DI353" s="496" t="s">
        <v>120</v>
      </c>
      <c r="DJ353" s="496" t="s">
        <v>120</v>
      </c>
      <c r="DK353" s="496" t="s">
        <v>1085</v>
      </c>
      <c r="DL353" s="496" t="s">
        <v>1807</v>
      </c>
      <c r="DM353" s="496" t="s">
        <v>1087</v>
      </c>
      <c r="DN353" s="497" t="s">
        <v>1088</v>
      </c>
      <c r="DP353" s="543">
        <v>1</v>
      </c>
    </row>
    <row r="354" spans="2:120" ht="15">
      <c r="B354" s="683"/>
      <c r="C354" s="683"/>
      <c r="D354" s="683"/>
      <c r="E354" s="683" cm="1">
        <f t="array" ref="E354">IF(H353&lt;&gt;"",E353,IF(E353="","",IFERROR(MATCH(TRUE(),INDEX(INDEX(K:K,E353+1):K203&lt;&gt;"",0),0)+E353,"")))</f>
        <v>495</v>
      </c>
      <c r="F354" s="684" cm="1">
        <f t="array" ref="F354">IF(E354="","",IF(H353&lt;&gt;"",H353,INDEX(D:D,E354)))</f>
        <v>0</v>
      </c>
      <c r="G354" s="684" t="str">
        <f t="shared" si="42"/>
        <v>0</v>
      </c>
      <c r="H354" s="685" t="str">
        <f t="shared" si="43"/>
        <v/>
      </c>
      <c r="I354" s="683" t="str">
        <f>IF(AND(F354&lt;&gt;"",N10&gt;0,M354&gt;N10),"Mot &gt; limite","")</f>
        <v/>
      </c>
      <c r="M354" s="638">
        <f>IF(OR(F354="",N10="",N10&lt;=0),"",IF(LEN(F354)&lt;=N10,LEN(F354),IFERROR(FIND("♦",SUBSTITUTE(LEFT(F354,N10)," ","♦",LEN(LEFT(F354,N10))-LEN(SUBSTITUTE(LEFT(F354,N10)," ","")))),FIND(" ",F354&amp;" ",N10+1)-1)))</f>
        <v>1</v>
      </c>
      <c r="N354" s="686">
        <f t="shared" si="44"/>
        <v>337</v>
      </c>
      <c r="O354" s="663" t="str">
        <f t="shared" si="45"/>
        <v>0</v>
      </c>
      <c r="P354" s="686">
        <f t="shared" si="46"/>
        <v>1</v>
      </c>
      <c r="Q354" s="686">
        <f t="shared" si="47"/>
        <v>1</v>
      </c>
      <c r="DE354" s="494"/>
      <c r="DF354" s="496" t="s">
        <v>1809</v>
      </c>
      <c r="DG354" s="496" t="s">
        <v>345</v>
      </c>
      <c r="DH354" s="496" t="s">
        <v>689</v>
      </c>
      <c r="DI354" s="496" t="s">
        <v>1810</v>
      </c>
      <c r="DJ354" s="496" t="s">
        <v>937</v>
      </c>
      <c r="DK354" s="496" t="s">
        <v>1085</v>
      </c>
      <c r="DL354" s="496" t="s">
        <v>1807</v>
      </c>
      <c r="DM354" s="496" t="s">
        <v>1087</v>
      </c>
      <c r="DN354" s="497" t="s">
        <v>1088</v>
      </c>
      <c r="DP354" s="543">
        <v>1</v>
      </c>
    </row>
    <row r="355" spans="2:120" ht="15">
      <c r="B355" s="683"/>
      <c r="C355" s="683"/>
      <c r="D355" s="683"/>
      <c r="E355" s="683" cm="1">
        <f t="array" ref="E355">IF(H354&lt;&gt;"",E354,IF(E354="","",IFERROR(MATCH(TRUE(),INDEX(INDEX(K:K,E354+1):K203&lt;&gt;"",0),0)+E354,"")))</f>
        <v>496</v>
      </c>
      <c r="F355" s="684" cm="1">
        <f t="array" ref="F355">IF(E355="","",IF(H354&lt;&gt;"",H354,INDEX(D:D,E355)))</f>
        <v>0</v>
      </c>
      <c r="G355" s="684" t="str">
        <f t="shared" si="42"/>
        <v>0</v>
      </c>
      <c r="H355" s="685" t="str">
        <f t="shared" si="43"/>
        <v/>
      </c>
      <c r="I355" s="683" t="str">
        <f>IF(AND(F355&lt;&gt;"",N10&gt;0,M355&gt;N10),"Mot &gt; limite","")</f>
        <v/>
      </c>
      <c r="M355" s="638">
        <f>IF(OR(F355="",N10="",N10&lt;=0),"",IF(LEN(F355)&lt;=N10,LEN(F355),IFERROR(FIND("♦",SUBSTITUTE(LEFT(F355,N10)," ","♦",LEN(LEFT(F355,N10))-LEN(SUBSTITUTE(LEFT(F355,N10)," ","")))),FIND(" ",F355&amp;" ",N10+1)-1)))</f>
        <v>1</v>
      </c>
      <c r="N355" s="686">
        <f t="shared" si="44"/>
        <v>338</v>
      </c>
      <c r="O355" s="663" t="str">
        <f t="shared" si="45"/>
        <v>0</v>
      </c>
      <c r="P355" s="686">
        <f t="shared" si="46"/>
        <v>1</v>
      </c>
      <c r="Q355" s="686">
        <f t="shared" si="47"/>
        <v>1</v>
      </c>
      <c r="DE355" s="494"/>
      <c r="DF355" s="496" t="s">
        <v>1811</v>
      </c>
      <c r="DG355" s="496" t="s">
        <v>345</v>
      </c>
      <c r="DH355" s="496" t="s">
        <v>689</v>
      </c>
      <c r="DI355" s="496" t="s">
        <v>1812</v>
      </c>
      <c r="DJ355" s="496" t="s">
        <v>1813</v>
      </c>
      <c r="DK355" s="496" t="s">
        <v>1085</v>
      </c>
      <c r="DL355" s="496" t="s">
        <v>1807</v>
      </c>
      <c r="DM355" s="496" t="s">
        <v>1087</v>
      </c>
      <c r="DN355" s="497" t="s">
        <v>1088</v>
      </c>
      <c r="DP355" s="543">
        <v>1</v>
      </c>
    </row>
    <row r="356" spans="2:120" ht="15">
      <c r="B356" s="683"/>
      <c r="C356" s="683"/>
      <c r="D356" s="683"/>
      <c r="E356" s="683" cm="1">
        <f t="array" ref="E356">IF(H355&lt;&gt;"",E355,IF(E355="","",IFERROR(MATCH(TRUE(),INDEX(INDEX(K:K,E355+1):K203&lt;&gt;"",0),0)+E355,"")))</f>
        <v>497</v>
      </c>
      <c r="F356" s="684" cm="1">
        <f t="array" ref="F356">IF(E356="","",IF(H355&lt;&gt;"",H355,INDEX(D:D,E356)))</f>
        <v>0</v>
      </c>
      <c r="G356" s="684" t="str">
        <f t="shared" si="42"/>
        <v>0</v>
      </c>
      <c r="H356" s="685" t="str">
        <f t="shared" si="43"/>
        <v/>
      </c>
      <c r="I356" s="683" t="str">
        <f>IF(AND(F356&lt;&gt;"",N10&gt;0,M356&gt;N10),"Mot &gt; limite","")</f>
        <v/>
      </c>
      <c r="M356" s="638">
        <f>IF(OR(F356="",N10="",N10&lt;=0),"",IF(LEN(F356)&lt;=N10,LEN(F356),IFERROR(FIND("♦",SUBSTITUTE(LEFT(F356,N10)," ","♦",LEN(LEFT(F356,N10))-LEN(SUBSTITUTE(LEFT(F356,N10)," ","")))),FIND(" ",F356&amp;" ",N10+1)-1)))</f>
        <v>1</v>
      </c>
      <c r="N356" s="686">
        <f t="shared" si="44"/>
        <v>339</v>
      </c>
      <c r="O356" s="663" t="str">
        <f t="shared" si="45"/>
        <v>0</v>
      </c>
      <c r="P356" s="686">
        <f t="shared" si="46"/>
        <v>1</v>
      </c>
      <c r="Q356" s="686">
        <f t="shared" si="47"/>
        <v>1</v>
      </c>
      <c r="DE356" s="494"/>
      <c r="DF356" s="496" t="s">
        <v>1814</v>
      </c>
      <c r="DG356" s="496" t="s">
        <v>345</v>
      </c>
      <c r="DH356" s="496" t="s">
        <v>689</v>
      </c>
      <c r="DI356" s="496" t="s">
        <v>1815</v>
      </c>
      <c r="DJ356" s="496" t="s">
        <v>44</v>
      </c>
      <c r="DK356" s="496" t="s">
        <v>1085</v>
      </c>
      <c r="DL356" s="496" t="s">
        <v>1807</v>
      </c>
      <c r="DM356" s="496" t="s">
        <v>1087</v>
      </c>
      <c r="DN356" s="497" t="s">
        <v>1088</v>
      </c>
      <c r="DP356" s="543">
        <v>1</v>
      </c>
    </row>
    <row r="357" spans="2:120" ht="15">
      <c r="B357" s="683"/>
      <c r="C357" s="683"/>
      <c r="D357" s="683"/>
      <c r="E357" s="683" cm="1">
        <f t="array" ref="E357">IF(H356&lt;&gt;"",E356,IF(E356="","",IFERROR(MATCH(TRUE(),INDEX(INDEX(K:K,E356+1):K203&lt;&gt;"",0),0)+E356,"")))</f>
        <v>498</v>
      </c>
      <c r="F357" s="684" cm="1">
        <f t="array" ref="F357">IF(E357="","",IF(H356&lt;&gt;"",H356,INDEX(D:D,E357)))</f>
        <v>0</v>
      </c>
      <c r="G357" s="684" t="str">
        <f t="shared" si="42"/>
        <v>0</v>
      </c>
      <c r="H357" s="685" t="str">
        <f t="shared" si="43"/>
        <v/>
      </c>
      <c r="I357" s="683" t="str">
        <f>IF(AND(F357&lt;&gt;"",N10&gt;0,M357&gt;N10),"Mot &gt; limite","")</f>
        <v/>
      </c>
      <c r="M357" s="638">
        <f>IF(OR(F357="",N10="",N10&lt;=0),"",IF(LEN(F357)&lt;=N10,LEN(F357),IFERROR(FIND("♦",SUBSTITUTE(LEFT(F357,N10)," ","♦",LEN(LEFT(F357,N10))-LEN(SUBSTITUTE(LEFT(F357,N10)," ","")))),FIND(" ",F357&amp;" ",N10+1)-1)))</f>
        <v>1</v>
      </c>
      <c r="N357" s="686">
        <f t="shared" si="44"/>
        <v>340</v>
      </c>
      <c r="O357" s="663" t="str">
        <f t="shared" si="45"/>
        <v>0</v>
      </c>
      <c r="P357" s="686">
        <f t="shared" si="46"/>
        <v>1</v>
      </c>
      <c r="Q357" s="686">
        <f t="shared" si="47"/>
        <v>1</v>
      </c>
      <c r="DE357" s="494"/>
      <c r="DF357" s="496" t="s">
        <v>1816</v>
      </c>
      <c r="DG357" s="496" t="s">
        <v>345</v>
      </c>
      <c r="DH357" s="496" t="s">
        <v>689</v>
      </c>
      <c r="DI357" s="496" t="s">
        <v>1817</v>
      </c>
      <c r="DJ357" s="496" t="s">
        <v>56</v>
      </c>
      <c r="DK357" s="496" t="s">
        <v>1085</v>
      </c>
      <c r="DL357" s="496" t="s">
        <v>1807</v>
      </c>
      <c r="DM357" s="496" t="s">
        <v>1087</v>
      </c>
      <c r="DN357" s="497" t="s">
        <v>1088</v>
      </c>
      <c r="DP357" s="543">
        <v>1</v>
      </c>
    </row>
    <row r="358" spans="2:120" ht="15">
      <c r="B358" s="683"/>
      <c r="C358" s="683"/>
      <c r="D358" s="683"/>
      <c r="E358" s="683" cm="1">
        <f t="array" ref="E358">IF(H357&lt;&gt;"",E357,IF(E357="","",IFERROR(MATCH(TRUE(),INDEX(INDEX(K:K,E357+1):K203&lt;&gt;"",0),0)+E357,"")))</f>
        <v>499</v>
      </c>
      <c r="F358" s="684" cm="1">
        <f t="array" ref="F358">IF(E358="","",IF(H357&lt;&gt;"",H357,INDEX(D:D,E358)))</f>
        <v>0</v>
      </c>
      <c r="G358" s="684" t="str">
        <f t="shared" si="42"/>
        <v>0</v>
      </c>
      <c r="H358" s="685" t="str">
        <f t="shared" si="43"/>
        <v/>
      </c>
      <c r="I358" s="683" t="str">
        <f>IF(AND(F358&lt;&gt;"",N10&gt;0,M358&gt;N10),"Mot &gt; limite","")</f>
        <v/>
      </c>
      <c r="M358" s="638">
        <f>IF(OR(F358="",N10="",N10&lt;=0),"",IF(LEN(F358)&lt;=N10,LEN(F358),IFERROR(FIND("♦",SUBSTITUTE(LEFT(F358,N10)," ","♦",LEN(LEFT(F358,N10))-LEN(SUBSTITUTE(LEFT(F358,N10)," ","")))),FIND(" ",F358&amp;" ",N10+1)-1)))</f>
        <v>1</v>
      </c>
      <c r="N358" s="686">
        <f t="shared" si="44"/>
        <v>341</v>
      </c>
      <c r="O358" s="663" t="str">
        <f t="shared" si="45"/>
        <v>0</v>
      </c>
      <c r="P358" s="686">
        <f t="shared" si="46"/>
        <v>1</v>
      </c>
      <c r="Q358" s="686">
        <f t="shared" si="47"/>
        <v>1</v>
      </c>
      <c r="DE358" s="494"/>
      <c r="DF358" s="496" t="s">
        <v>1818</v>
      </c>
      <c r="DG358" s="496" t="s">
        <v>345</v>
      </c>
      <c r="DH358" s="496" t="s">
        <v>689</v>
      </c>
      <c r="DI358" s="496" t="s">
        <v>885</v>
      </c>
      <c r="DJ358" s="496" t="s">
        <v>885</v>
      </c>
      <c r="DK358" s="496" t="s">
        <v>1085</v>
      </c>
      <c r="DL358" s="496" t="s">
        <v>1807</v>
      </c>
      <c r="DM358" s="496" t="s">
        <v>1087</v>
      </c>
      <c r="DN358" s="497" t="s">
        <v>1088</v>
      </c>
      <c r="DP358" s="543">
        <v>1</v>
      </c>
    </row>
    <row r="359" spans="2:120" ht="15">
      <c r="B359" s="683"/>
      <c r="C359" s="683"/>
      <c r="D359" s="683"/>
      <c r="E359" s="683" cm="1">
        <f t="array" ref="E359">IF(H358&lt;&gt;"",E358,IF(E358="","",IFERROR(MATCH(TRUE(),INDEX(INDEX(K:K,E358+1):K203&lt;&gt;"",0),0)+E358,"")))</f>
        <v>500</v>
      </c>
      <c r="F359" s="684" cm="1">
        <f t="array" ref="F359">IF(E359="","",IF(H358&lt;&gt;"",H358,INDEX(D:D,E359)))</f>
        <v>0</v>
      </c>
      <c r="G359" s="684" t="str">
        <f t="shared" si="42"/>
        <v>0</v>
      </c>
      <c r="H359" s="685" t="str">
        <f t="shared" si="43"/>
        <v/>
      </c>
      <c r="I359" s="683" t="str">
        <f>IF(AND(F359&lt;&gt;"",N10&gt;0,M359&gt;N10),"Mot &gt; limite","")</f>
        <v/>
      </c>
      <c r="M359" s="638">
        <f>IF(OR(F359="",N10="",N10&lt;=0),"",IF(LEN(F359)&lt;=N10,LEN(F359),IFERROR(FIND("♦",SUBSTITUTE(LEFT(F359,N10)," ","♦",LEN(LEFT(F359,N10))-LEN(SUBSTITUTE(LEFT(F359,N10)," ","")))),FIND(" ",F359&amp;" ",N10+1)-1)))</f>
        <v>1</v>
      </c>
      <c r="N359" s="686">
        <f t="shared" si="44"/>
        <v>342</v>
      </c>
      <c r="O359" s="663" t="str">
        <f t="shared" si="45"/>
        <v>0</v>
      </c>
      <c r="P359" s="686">
        <f t="shared" si="46"/>
        <v>1</v>
      </c>
      <c r="Q359" s="686">
        <f t="shared" si="47"/>
        <v>1</v>
      </c>
      <c r="DE359" s="494"/>
      <c r="DF359" s="496" t="s">
        <v>1819</v>
      </c>
      <c r="DG359" s="496" t="s">
        <v>345</v>
      </c>
      <c r="DH359" s="496" t="s">
        <v>689</v>
      </c>
      <c r="DI359" s="496" t="s">
        <v>886</v>
      </c>
      <c r="DJ359" s="496" t="s">
        <v>886</v>
      </c>
      <c r="DK359" s="496" t="s">
        <v>1085</v>
      </c>
      <c r="DL359" s="496" t="s">
        <v>1807</v>
      </c>
      <c r="DM359" s="496" t="s">
        <v>1087</v>
      </c>
      <c r="DN359" s="497" t="s">
        <v>1088</v>
      </c>
      <c r="DP359" s="543">
        <v>1</v>
      </c>
    </row>
    <row r="360" spans="2:120" ht="15">
      <c r="B360" s="683"/>
      <c r="C360" s="683"/>
      <c r="D360" s="683"/>
      <c r="E360" s="683" cm="1">
        <f t="array" ref="E360">IF(H359&lt;&gt;"",E359,IF(E359="","",IFERROR(MATCH(TRUE(),INDEX(INDEX(K:K,E359+1):K203&lt;&gt;"",0),0)+E359,"")))</f>
        <v>501</v>
      </c>
      <c r="F360" s="684" cm="1">
        <f t="array" ref="F360">IF(E360="","",IF(H359&lt;&gt;"",H359,INDEX(D:D,E360)))</f>
        <v>0</v>
      </c>
      <c r="G360" s="684" t="str">
        <f t="shared" si="42"/>
        <v>0</v>
      </c>
      <c r="H360" s="685" t="str">
        <f t="shared" si="43"/>
        <v/>
      </c>
      <c r="I360" s="683" t="str">
        <f>IF(AND(F360&lt;&gt;"",N10&gt;0,M360&gt;N10),"Mot &gt; limite","")</f>
        <v/>
      </c>
      <c r="M360" s="638">
        <f>IF(OR(F360="",N10="",N10&lt;=0),"",IF(LEN(F360)&lt;=N10,LEN(F360),IFERROR(FIND("♦",SUBSTITUTE(LEFT(F360,N10)," ","♦",LEN(LEFT(F360,N10))-LEN(SUBSTITUTE(LEFT(F360,N10)," ","")))),FIND(" ",F360&amp;" ",N10+1)-1)))</f>
        <v>1</v>
      </c>
      <c r="N360" s="686">
        <f t="shared" si="44"/>
        <v>343</v>
      </c>
      <c r="O360" s="663" t="str">
        <f t="shared" si="45"/>
        <v>0</v>
      </c>
      <c r="P360" s="686">
        <f t="shared" si="46"/>
        <v>1</v>
      </c>
      <c r="Q360" s="686">
        <f t="shared" si="47"/>
        <v>1</v>
      </c>
      <c r="DE360" s="494"/>
      <c r="DF360" s="496" t="s">
        <v>1820</v>
      </c>
      <c r="DG360" s="496" t="s">
        <v>345</v>
      </c>
      <c r="DH360" s="496" t="s">
        <v>689</v>
      </c>
      <c r="DI360" s="496" t="s">
        <v>1821</v>
      </c>
      <c r="DJ360" s="496" t="s">
        <v>1821</v>
      </c>
      <c r="DK360" s="496" t="s">
        <v>1085</v>
      </c>
      <c r="DL360" s="496" t="s">
        <v>1807</v>
      </c>
      <c r="DM360" s="496" t="s">
        <v>1087</v>
      </c>
      <c r="DN360" s="497" t="s">
        <v>1088</v>
      </c>
      <c r="DP360" s="543">
        <v>1</v>
      </c>
    </row>
    <row r="361" spans="2:120" ht="15">
      <c r="B361" s="683"/>
      <c r="C361" s="683"/>
      <c r="D361" s="683"/>
      <c r="E361" s="683" cm="1">
        <f t="array" ref="E361">IF(H360&lt;&gt;"",E360,IF(E360="","",IFERROR(MATCH(TRUE(),INDEX(INDEX(K:K,E360+1):K203&lt;&gt;"",0),0)+E360,"")))</f>
        <v>502</v>
      </c>
      <c r="F361" s="684" cm="1">
        <f t="array" ref="F361">IF(E361="","",IF(H360&lt;&gt;"",H360,INDEX(D:D,E361)))</f>
        <v>0</v>
      </c>
      <c r="G361" s="684" t="str">
        <f t="shared" si="42"/>
        <v>0</v>
      </c>
      <c r="H361" s="685" t="str">
        <f t="shared" si="43"/>
        <v/>
      </c>
      <c r="I361" s="683" t="str">
        <f>IF(AND(F361&lt;&gt;"",N10&gt;0,M361&gt;N10),"Mot &gt; limite","")</f>
        <v/>
      </c>
      <c r="M361" s="638">
        <f>IF(OR(F361="",N10="",N10&lt;=0),"",IF(LEN(F361)&lt;=N10,LEN(F361),IFERROR(FIND("♦",SUBSTITUTE(LEFT(F361,N10)," ","♦",LEN(LEFT(F361,N10))-LEN(SUBSTITUTE(LEFT(F361,N10)," ","")))),FIND(" ",F361&amp;" ",N10+1)-1)))</f>
        <v>1</v>
      </c>
      <c r="N361" s="686">
        <f t="shared" si="44"/>
        <v>344</v>
      </c>
      <c r="O361" s="663" t="str">
        <f t="shared" si="45"/>
        <v>0</v>
      </c>
      <c r="P361" s="686">
        <f t="shared" si="46"/>
        <v>1</v>
      </c>
      <c r="Q361" s="686">
        <f t="shared" si="47"/>
        <v>1</v>
      </c>
      <c r="DE361" s="494"/>
      <c r="DF361" s="496" t="s">
        <v>1822</v>
      </c>
      <c r="DG361" s="496" t="s">
        <v>345</v>
      </c>
      <c r="DH361" s="496" t="s">
        <v>689</v>
      </c>
      <c r="DI361" s="496" t="s">
        <v>1823</v>
      </c>
      <c r="DJ361" s="496" t="s">
        <v>952</v>
      </c>
      <c r="DK361" s="496" t="s">
        <v>1085</v>
      </c>
      <c r="DL361" s="496" t="s">
        <v>1807</v>
      </c>
      <c r="DM361" s="496" t="s">
        <v>1087</v>
      </c>
      <c r="DN361" s="497" t="s">
        <v>1088</v>
      </c>
      <c r="DP361" s="543">
        <v>1</v>
      </c>
    </row>
    <row r="362" spans="2:120" ht="15">
      <c r="B362" s="683"/>
      <c r="C362" s="683"/>
      <c r="D362" s="683"/>
      <c r="E362" s="683" cm="1">
        <f t="array" ref="E362">IF(H361&lt;&gt;"",E361,IF(E361="","",IFERROR(MATCH(TRUE(),INDEX(INDEX(K:K,E361+1):K203&lt;&gt;"",0),0)+E361,"")))</f>
        <v>503</v>
      </c>
      <c r="F362" s="684" cm="1">
        <f t="array" ref="F362">IF(E362="","",IF(H361&lt;&gt;"",H361,INDEX(D:D,E362)))</f>
        <v>0</v>
      </c>
      <c r="G362" s="684" t="str">
        <f t="shared" si="42"/>
        <v>0</v>
      </c>
      <c r="H362" s="685" t="str">
        <f t="shared" si="43"/>
        <v/>
      </c>
      <c r="I362" s="683" t="str">
        <f>IF(AND(F362&lt;&gt;"",N10&gt;0,M362&gt;N10),"Mot &gt; limite","")</f>
        <v/>
      </c>
      <c r="M362" s="638">
        <f>IF(OR(F362="",N10="",N10&lt;=0),"",IF(LEN(F362)&lt;=N10,LEN(F362),IFERROR(FIND("♦",SUBSTITUTE(LEFT(F362,N10)," ","♦",LEN(LEFT(F362,N10))-LEN(SUBSTITUTE(LEFT(F362,N10)," ","")))),FIND(" ",F362&amp;" ",N10+1)-1)))</f>
        <v>1</v>
      </c>
      <c r="N362" s="686">
        <f t="shared" si="44"/>
        <v>345</v>
      </c>
      <c r="O362" s="663" t="str">
        <f t="shared" si="45"/>
        <v>0</v>
      </c>
      <c r="P362" s="686">
        <f t="shared" si="46"/>
        <v>1</v>
      </c>
      <c r="Q362" s="686">
        <f t="shared" si="47"/>
        <v>1</v>
      </c>
      <c r="DE362" s="494"/>
      <c r="DF362" s="496" t="s">
        <v>1824</v>
      </c>
      <c r="DG362" s="496" t="s">
        <v>345</v>
      </c>
      <c r="DH362" s="496" t="s">
        <v>689</v>
      </c>
      <c r="DI362" s="496" t="s">
        <v>1825</v>
      </c>
      <c r="DJ362" s="496" t="s">
        <v>953</v>
      </c>
      <c r="DK362" s="496" t="s">
        <v>1085</v>
      </c>
      <c r="DL362" s="496" t="s">
        <v>1807</v>
      </c>
      <c r="DM362" s="496" t="s">
        <v>1087</v>
      </c>
      <c r="DN362" s="497" t="s">
        <v>1088</v>
      </c>
      <c r="DP362" s="543">
        <v>1</v>
      </c>
    </row>
    <row r="363" spans="2:120" ht="15">
      <c r="B363" s="683"/>
      <c r="C363" s="683"/>
      <c r="D363" s="683"/>
      <c r="E363" s="683" cm="1">
        <f t="array" ref="E363">IF(H362&lt;&gt;"",E362,IF(E362="","",IFERROR(MATCH(TRUE(),INDEX(INDEX(K:K,E362+1):K203&lt;&gt;"",0),0)+E362,"")))</f>
        <v>504</v>
      </c>
      <c r="F363" s="684" cm="1">
        <f t="array" ref="F363">IF(E363="","",IF(H362&lt;&gt;"",H362,INDEX(D:D,E363)))</f>
        <v>0</v>
      </c>
      <c r="G363" s="684" t="str">
        <f t="shared" si="42"/>
        <v>0</v>
      </c>
      <c r="H363" s="685" t="str">
        <f t="shared" si="43"/>
        <v/>
      </c>
      <c r="I363" s="683" t="str">
        <f>IF(AND(F363&lt;&gt;"",N10&gt;0,M363&gt;N10),"Mot &gt; limite","")</f>
        <v/>
      </c>
      <c r="M363" s="638">
        <f>IF(OR(F363="",N10="",N10&lt;=0),"",IF(LEN(F363)&lt;=N10,LEN(F363),IFERROR(FIND("♦",SUBSTITUTE(LEFT(F363,N10)," ","♦",LEN(LEFT(F363,N10))-LEN(SUBSTITUTE(LEFT(F363,N10)," ","")))),FIND(" ",F363&amp;" ",N10+1)-1)))</f>
        <v>1</v>
      </c>
      <c r="N363" s="686">
        <f t="shared" si="44"/>
        <v>346</v>
      </c>
      <c r="O363" s="663" t="str">
        <f t="shared" si="45"/>
        <v>0</v>
      </c>
      <c r="P363" s="686">
        <f t="shared" si="46"/>
        <v>1</v>
      </c>
      <c r="Q363" s="686">
        <f t="shared" si="47"/>
        <v>1</v>
      </c>
      <c r="DE363" s="494"/>
      <c r="DF363" s="496" t="s">
        <v>1826</v>
      </c>
      <c r="DG363" s="496" t="s">
        <v>345</v>
      </c>
      <c r="DH363" s="496" t="s">
        <v>689</v>
      </c>
      <c r="DI363" s="496" t="s">
        <v>1827</v>
      </c>
      <c r="DJ363" s="496" t="s">
        <v>954</v>
      </c>
      <c r="DK363" s="496" t="s">
        <v>1085</v>
      </c>
      <c r="DL363" s="496" t="s">
        <v>1807</v>
      </c>
      <c r="DM363" s="496" t="s">
        <v>1087</v>
      </c>
      <c r="DN363" s="497" t="s">
        <v>1088</v>
      </c>
      <c r="DP363" s="543">
        <v>1</v>
      </c>
    </row>
    <row r="364" spans="2:120" ht="15">
      <c r="B364" s="683"/>
      <c r="C364" s="683"/>
      <c r="D364" s="683"/>
      <c r="E364" s="683" cm="1">
        <f t="array" ref="E364">IF(H363&lt;&gt;"",E363,IF(E363="","",IFERROR(MATCH(TRUE(),INDEX(INDEX(K:K,E363+1):K203&lt;&gt;"",0),0)+E363,"")))</f>
        <v>505</v>
      </c>
      <c r="F364" s="684" cm="1">
        <f t="array" ref="F364">IF(E364="","",IF(H363&lt;&gt;"",H363,INDEX(D:D,E364)))</f>
        <v>0</v>
      </c>
      <c r="G364" s="684" t="str">
        <f t="shared" si="42"/>
        <v>0</v>
      </c>
      <c r="H364" s="685" t="str">
        <f t="shared" si="43"/>
        <v/>
      </c>
      <c r="I364" s="683" t="str">
        <f>IF(AND(F364&lt;&gt;"",N10&gt;0,M364&gt;N10),"Mot &gt; limite","")</f>
        <v/>
      </c>
      <c r="M364" s="638">
        <f>IF(OR(F364="",N10="",N10&lt;=0),"",IF(LEN(F364)&lt;=N10,LEN(F364),IFERROR(FIND("♦",SUBSTITUTE(LEFT(F364,N10)," ","♦",LEN(LEFT(F364,N10))-LEN(SUBSTITUTE(LEFT(F364,N10)," ","")))),FIND(" ",F364&amp;" ",N10+1)-1)))</f>
        <v>1</v>
      </c>
      <c r="N364" s="686">
        <f t="shared" si="44"/>
        <v>347</v>
      </c>
      <c r="O364" s="663" t="str">
        <f t="shared" si="45"/>
        <v>0</v>
      </c>
      <c r="P364" s="686">
        <f t="shared" si="46"/>
        <v>1</v>
      </c>
      <c r="Q364" s="686">
        <f t="shared" si="47"/>
        <v>1</v>
      </c>
      <c r="DE364" s="494"/>
      <c r="DF364" s="496" t="s">
        <v>1828</v>
      </c>
      <c r="DG364" s="496" t="s">
        <v>345</v>
      </c>
      <c r="DH364" s="496" t="s">
        <v>689</v>
      </c>
      <c r="DI364" s="496" t="s">
        <v>1829</v>
      </c>
      <c r="DJ364" s="496" t="s">
        <v>1830</v>
      </c>
      <c r="DK364" s="496" t="s">
        <v>1085</v>
      </c>
      <c r="DL364" s="496" t="s">
        <v>1807</v>
      </c>
      <c r="DM364" s="496" t="s">
        <v>1087</v>
      </c>
      <c r="DN364" s="497" t="s">
        <v>1088</v>
      </c>
      <c r="DP364" s="543">
        <v>1</v>
      </c>
    </row>
    <row r="365" spans="2:120" ht="15">
      <c r="B365" s="683"/>
      <c r="C365" s="683"/>
      <c r="D365" s="683"/>
      <c r="E365" s="683" cm="1">
        <f t="array" ref="E365">IF(H364&lt;&gt;"",E364,IF(E364="","",IFERROR(MATCH(TRUE(),INDEX(INDEX(K:K,E364+1):K203&lt;&gt;"",0),0)+E364,"")))</f>
        <v>506</v>
      </c>
      <c r="F365" s="684" cm="1">
        <f t="array" ref="F365">IF(E365="","",IF(H364&lt;&gt;"",H364,INDEX(D:D,E365)))</f>
        <v>0</v>
      </c>
      <c r="G365" s="684" t="str">
        <f t="shared" si="42"/>
        <v>0</v>
      </c>
      <c r="H365" s="685" t="str">
        <f t="shared" si="43"/>
        <v/>
      </c>
      <c r="I365" s="683" t="str">
        <f>IF(AND(F365&lt;&gt;"",N10&gt;0,M365&gt;N10),"Mot &gt; limite","")</f>
        <v/>
      </c>
      <c r="M365" s="638">
        <f>IF(OR(F365="",N10="",N10&lt;=0),"",IF(LEN(F365)&lt;=N10,LEN(F365),IFERROR(FIND("♦",SUBSTITUTE(LEFT(F365,N10)," ","♦",LEN(LEFT(F365,N10))-LEN(SUBSTITUTE(LEFT(F365,N10)," ","")))),FIND(" ",F365&amp;" ",N10+1)-1)))</f>
        <v>1</v>
      </c>
      <c r="N365" s="686">
        <f t="shared" si="44"/>
        <v>348</v>
      </c>
      <c r="O365" s="663" t="str">
        <f t="shared" si="45"/>
        <v>0</v>
      </c>
      <c r="P365" s="686">
        <f t="shared" si="46"/>
        <v>1</v>
      </c>
      <c r="Q365" s="686">
        <f t="shared" si="47"/>
        <v>1</v>
      </c>
      <c r="DE365" s="494"/>
      <c r="DF365" s="496" t="s">
        <v>1831</v>
      </c>
      <c r="DG365" s="496" t="s">
        <v>345</v>
      </c>
      <c r="DH365" s="496" t="s">
        <v>689</v>
      </c>
      <c r="DI365" s="496" t="s">
        <v>1832</v>
      </c>
      <c r="DJ365" s="496" t="s">
        <v>957</v>
      </c>
      <c r="DK365" s="496" t="s">
        <v>1085</v>
      </c>
      <c r="DL365" s="496" t="s">
        <v>1807</v>
      </c>
      <c r="DM365" s="496" t="s">
        <v>1087</v>
      </c>
      <c r="DN365" s="497" t="s">
        <v>1088</v>
      </c>
      <c r="DP365" s="543">
        <v>1</v>
      </c>
    </row>
    <row r="366" spans="2:120" ht="15">
      <c r="B366" s="683"/>
      <c r="C366" s="683"/>
      <c r="D366" s="683"/>
      <c r="E366" s="683" cm="1">
        <f t="array" ref="E366">IF(H365&lt;&gt;"",E365,IF(E365="","",IFERROR(MATCH(TRUE(),INDEX(INDEX(K:K,E365+1):K203&lt;&gt;"",0),0)+E365,"")))</f>
        <v>507</v>
      </c>
      <c r="F366" s="684" cm="1">
        <f t="array" ref="F366">IF(E366="","",IF(H365&lt;&gt;"",H365,INDEX(D:D,E366)))</f>
        <v>0</v>
      </c>
      <c r="G366" s="684" t="str">
        <f t="shared" si="42"/>
        <v>0</v>
      </c>
      <c r="H366" s="685" t="str">
        <f t="shared" si="43"/>
        <v/>
      </c>
      <c r="I366" s="683" t="str">
        <f>IF(AND(F366&lt;&gt;"",N10&gt;0,M366&gt;N10),"Mot &gt; limite","")</f>
        <v/>
      </c>
      <c r="M366" s="638">
        <f>IF(OR(F366="",N10="",N10&lt;=0),"",IF(LEN(F366)&lt;=N10,LEN(F366),IFERROR(FIND("♦",SUBSTITUTE(LEFT(F366,N10)," ","♦",LEN(LEFT(F366,N10))-LEN(SUBSTITUTE(LEFT(F366,N10)," ","")))),FIND(" ",F366&amp;" ",N10+1)-1)))</f>
        <v>1</v>
      </c>
      <c r="N366" s="686">
        <f t="shared" si="44"/>
        <v>349</v>
      </c>
      <c r="O366" s="663" t="str">
        <f t="shared" si="45"/>
        <v>0</v>
      </c>
      <c r="P366" s="686">
        <f t="shared" si="46"/>
        <v>1</v>
      </c>
      <c r="Q366" s="686">
        <f t="shared" si="47"/>
        <v>1</v>
      </c>
      <c r="DE366" s="494"/>
      <c r="DF366" s="496" t="s">
        <v>1833</v>
      </c>
      <c r="DG366" s="496" t="s">
        <v>345</v>
      </c>
      <c r="DH366" s="496" t="s">
        <v>689</v>
      </c>
      <c r="DI366" s="496" t="s">
        <v>1834</v>
      </c>
      <c r="DJ366" s="496" t="s">
        <v>1835</v>
      </c>
      <c r="DK366" s="496" t="s">
        <v>1085</v>
      </c>
      <c r="DL366" s="496" t="s">
        <v>1807</v>
      </c>
      <c r="DM366" s="496" t="s">
        <v>1087</v>
      </c>
      <c r="DN366" s="497" t="s">
        <v>1088</v>
      </c>
      <c r="DP366" s="543">
        <v>1</v>
      </c>
    </row>
    <row r="367" spans="2:120" ht="15">
      <c r="B367" s="683"/>
      <c r="C367" s="683"/>
      <c r="D367" s="683"/>
      <c r="E367" s="683" cm="1">
        <f t="array" ref="E367">IF(H366&lt;&gt;"",E366,IF(E366="","",IFERROR(MATCH(TRUE(),INDEX(INDEX(K:K,E366+1):K203&lt;&gt;"",0),0)+E366,"")))</f>
        <v>508</v>
      </c>
      <c r="F367" s="684" cm="1">
        <f t="array" ref="F367">IF(E367="","",IF(H366&lt;&gt;"",H366,INDEX(D:D,E367)))</f>
        <v>0</v>
      </c>
      <c r="G367" s="684" t="str">
        <f t="shared" si="42"/>
        <v>0</v>
      </c>
      <c r="H367" s="685" t="str">
        <f t="shared" si="43"/>
        <v/>
      </c>
      <c r="I367" s="683" t="str">
        <f>IF(AND(F367&lt;&gt;"",N10&gt;0,M367&gt;N10),"Mot &gt; limite","")</f>
        <v/>
      </c>
      <c r="M367" s="638">
        <f>IF(OR(F367="",N10="",N10&lt;=0),"",IF(LEN(F367)&lt;=N10,LEN(F367),IFERROR(FIND("♦",SUBSTITUTE(LEFT(F367,N10)," ","♦",LEN(LEFT(F367,N10))-LEN(SUBSTITUTE(LEFT(F367,N10)," ","")))),FIND(" ",F367&amp;" ",N10+1)-1)))</f>
        <v>1</v>
      </c>
      <c r="N367" s="686">
        <f t="shared" si="44"/>
        <v>350</v>
      </c>
      <c r="O367" s="663" t="str">
        <f t="shared" si="45"/>
        <v>0</v>
      </c>
      <c r="P367" s="686">
        <f t="shared" si="46"/>
        <v>1</v>
      </c>
      <c r="Q367" s="686">
        <f t="shared" si="47"/>
        <v>1</v>
      </c>
      <c r="DE367" s="494"/>
      <c r="DF367" s="496" t="s">
        <v>1836</v>
      </c>
      <c r="DG367" s="496" t="s">
        <v>345</v>
      </c>
      <c r="DH367" s="496" t="s">
        <v>689</v>
      </c>
      <c r="DI367" s="496" t="s">
        <v>1837</v>
      </c>
      <c r="DJ367" s="496" t="s">
        <v>1838</v>
      </c>
      <c r="DK367" s="496" t="s">
        <v>1085</v>
      </c>
      <c r="DL367" s="496" t="s">
        <v>1807</v>
      </c>
      <c r="DM367" s="496" t="s">
        <v>1087</v>
      </c>
      <c r="DN367" s="497" t="s">
        <v>1088</v>
      </c>
      <c r="DP367" s="543">
        <v>1</v>
      </c>
    </row>
    <row r="368" spans="2:120" ht="15">
      <c r="B368" s="683"/>
      <c r="C368" s="683"/>
      <c r="D368" s="683"/>
      <c r="E368" s="683" cm="1">
        <f t="array" ref="E368">IF(H367&lt;&gt;"",E367,IF(E367="","",IFERROR(MATCH(TRUE(),INDEX(INDEX(K:K,E367+1):K203&lt;&gt;"",0),0)+E367,"")))</f>
        <v>509</v>
      </c>
      <c r="F368" s="684" cm="1">
        <f t="array" ref="F368">IF(E368="","",IF(H367&lt;&gt;"",H367,INDEX(D:D,E368)))</f>
        <v>0</v>
      </c>
      <c r="G368" s="684" t="str">
        <f t="shared" si="42"/>
        <v>0</v>
      </c>
      <c r="H368" s="685" t="str">
        <f t="shared" si="43"/>
        <v/>
      </c>
      <c r="I368" s="683" t="str">
        <f>IF(AND(F368&lt;&gt;"",N10&gt;0,M368&gt;N10),"Mot &gt; limite","")</f>
        <v/>
      </c>
      <c r="M368" s="638">
        <f>IF(OR(F368="",N10="",N10&lt;=0),"",IF(LEN(F368)&lt;=N10,LEN(F368),IFERROR(FIND("♦",SUBSTITUTE(LEFT(F368,N10)," ","♦",LEN(LEFT(F368,N10))-LEN(SUBSTITUTE(LEFT(F368,N10)," ","")))),FIND(" ",F368&amp;" ",N10+1)-1)))</f>
        <v>1</v>
      </c>
      <c r="N368" s="686">
        <f t="shared" si="44"/>
        <v>351</v>
      </c>
      <c r="O368" s="663" t="str">
        <f t="shared" si="45"/>
        <v>0</v>
      </c>
      <c r="P368" s="686">
        <f t="shared" si="46"/>
        <v>1</v>
      </c>
      <c r="Q368" s="686">
        <f t="shared" si="47"/>
        <v>1</v>
      </c>
      <c r="DE368" s="494"/>
      <c r="DF368" s="496" t="s">
        <v>1839</v>
      </c>
      <c r="DG368" s="496" t="s">
        <v>345</v>
      </c>
      <c r="DH368" s="496" t="s">
        <v>689</v>
      </c>
      <c r="DI368" s="496" t="s">
        <v>347</v>
      </c>
      <c r="DJ368" s="496" t="s">
        <v>347</v>
      </c>
      <c r="DK368" s="496" t="s">
        <v>1151</v>
      </c>
      <c r="DL368" s="496" t="s">
        <v>1152</v>
      </c>
      <c r="DM368" s="496" t="s">
        <v>1087</v>
      </c>
      <c r="DN368" s="497" t="s">
        <v>1153</v>
      </c>
      <c r="DP368" s="543">
        <v>1</v>
      </c>
    </row>
    <row r="369" spans="2:120" ht="15">
      <c r="B369" s="683"/>
      <c r="C369" s="683"/>
      <c r="D369" s="683"/>
      <c r="E369" s="683" cm="1">
        <f t="array" ref="E369">IF(H368&lt;&gt;"",E368,IF(E368="","",IFERROR(MATCH(TRUE(),INDEX(INDEX(K:K,E368+1):K203&lt;&gt;"",0),0)+E368,"")))</f>
        <v>510</v>
      </c>
      <c r="F369" s="684" cm="1">
        <f t="array" ref="F369">IF(E369="","",IF(H368&lt;&gt;"",H368,INDEX(D:D,E369)))</f>
        <v>0</v>
      </c>
      <c r="G369" s="684" t="str">
        <f t="shared" si="42"/>
        <v>0</v>
      </c>
      <c r="H369" s="685" t="str">
        <f t="shared" si="43"/>
        <v/>
      </c>
      <c r="I369" s="683" t="str">
        <f>IF(AND(F369&lt;&gt;"",N10&gt;0,M369&gt;N10),"Mot &gt; limite","")</f>
        <v/>
      </c>
      <c r="M369" s="638">
        <f>IF(OR(F369="",N10="",N10&lt;=0),"",IF(LEN(F369)&lt;=N10,LEN(F369),IFERROR(FIND("♦",SUBSTITUTE(LEFT(F369,N10)," ","♦",LEN(LEFT(F369,N10))-LEN(SUBSTITUTE(LEFT(F369,N10)," ","")))),FIND(" ",F369&amp;" ",N10+1)-1)))</f>
        <v>1</v>
      </c>
      <c r="N369" s="686">
        <f t="shared" si="44"/>
        <v>352</v>
      </c>
      <c r="O369" s="663" t="str">
        <f t="shared" si="45"/>
        <v>0</v>
      </c>
      <c r="P369" s="686">
        <f t="shared" si="46"/>
        <v>1</v>
      </c>
      <c r="Q369" s="686">
        <f t="shared" si="47"/>
        <v>1</v>
      </c>
      <c r="DE369" s="494"/>
      <c r="DF369" s="496" t="s">
        <v>1840</v>
      </c>
      <c r="DG369" s="496" t="s">
        <v>345</v>
      </c>
      <c r="DH369" s="496" t="s">
        <v>689</v>
      </c>
      <c r="DI369" s="496" t="s">
        <v>348</v>
      </c>
      <c r="DJ369" s="496" t="s">
        <v>348</v>
      </c>
      <c r="DK369" s="496" t="s">
        <v>1151</v>
      </c>
      <c r="DL369" s="496" t="s">
        <v>1152</v>
      </c>
      <c r="DM369" s="496" t="s">
        <v>1087</v>
      </c>
      <c r="DN369" s="497" t="s">
        <v>1153</v>
      </c>
      <c r="DP369" s="543">
        <v>1</v>
      </c>
    </row>
    <row r="370" spans="2:120" ht="15">
      <c r="B370" s="683"/>
      <c r="C370" s="683"/>
      <c r="D370" s="683"/>
      <c r="E370" s="683" cm="1">
        <f t="array" ref="E370">IF(H369&lt;&gt;"",E369,IF(E369="","",IFERROR(MATCH(TRUE(),INDEX(INDEX(K:K,E369+1):K203&lt;&gt;"",0),0)+E369,"")))</f>
        <v>511</v>
      </c>
      <c r="F370" s="684" cm="1">
        <f t="array" ref="F370">IF(E370="","",IF(H369&lt;&gt;"",H369,INDEX(D:D,E370)))</f>
        <v>0</v>
      </c>
      <c r="G370" s="684" t="str">
        <f t="shared" si="42"/>
        <v>0</v>
      </c>
      <c r="H370" s="685" t="str">
        <f t="shared" si="43"/>
        <v/>
      </c>
      <c r="I370" s="683" t="str">
        <f>IF(AND(F370&lt;&gt;"",N10&gt;0,M370&gt;N10),"Mot &gt; limite","")</f>
        <v/>
      </c>
      <c r="M370" s="638">
        <f>IF(OR(F370="",N10="",N10&lt;=0),"",IF(LEN(F370)&lt;=N10,LEN(F370),IFERROR(FIND("♦",SUBSTITUTE(LEFT(F370,N10)," ","♦",LEN(LEFT(F370,N10))-LEN(SUBSTITUTE(LEFT(F370,N10)," ","")))),FIND(" ",F370&amp;" ",N10+1)-1)))</f>
        <v>1</v>
      </c>
      <c r="N370" s="686">
        <f t="shared" si="44"/>
        <v>353</v>
      </c>
      <c r="O370" s="663" t="str">
        <f t="shared" si="45"/>
        <v>0</v>
      </c>
      <c r="P370" s="686">
        <f t="shared" si="46"/>
        <v>1</v>
      </c>
      <c r="Q370" s="686">
        <f t="shared" si="47"/>
        <v>1</v>
      </c>
      <c r="DE370" s="494"/>
      <c r="DF370" s="496" t="s">
        <v>1841</v>
      </c>
      <c r="DG370" s="496" t="s">
        <v>345</v>
      </c>
      <c r="DH370" s="496" t="s">
        <v>689</v>
      </c>
      <c r="DI370" s="496" t="s">
        <v>1842</v>
      </c>
      <c r="DJ370" s="496" t="s">
        <v>1842</v>
      </c>
      <c r="DK370" s="496" t="s">
        <v>1151</v>
      </c>
      <c r="DL370" s="496" t="s">
        <v>1152</v>
      </c>
      <c r="DM370" s="496" t="s">
        <v>1087</v>
      </c>
      <c r="DN370" s="497" t="s">
        <v>1153</v>
      </c>
      <c r="DP370" s="543">
        <v>1</v>
      </c>
    </row>
    <row r="371" spans="2:120" ht="15">
      <c r="B371" s="683"/>
      <c r="C371" s="683"/>
      <c r="D371" s="683"/>
      <c r="E371" s="683" cm="1">
        <f t="array" ref="E371">IF(H370&lt;&gt;"",E370,IF(E370="","",IFERROR(MATCH(TRUE(),INDEX(INDEX(K:K,E370+1):K203&lt;&gt;"",0),0)+E370,"")))</f>
        <v>512</v>
      </c>
      <c r="F371" s="684" cm="1">
        <f t="array" ref="F371">IF(E371="","",IF(H370&lt;&gt;"",H370,INDEX(D:D,E371)))</f>
        <v>0</v>
      </c>
      <c r="G371" s="684" t="str">
        <f t="shared" si="42"/>
        <v>0</v>
      </c>
      <c r="H371" s="685" t="str">
        <f t="shared" si="43"/>
        <v/>
      </c>
      <c r="I371" s="683" t="str">
        <f>IF(AND(F371&lt;&gt;"",N10&gt;0,M371&gt;N10),"Mot &gt; limite","")</f>
        <v/>
      </c>
      <c r="M371" s="638">
        <f>IF(OR(F371="",N10="",N10&lt;=0),"",IF(LEN(F371)&lt;=N10,LEN(F371),IFERROR(FIND("♦",SUBSTITUTE(LEFT(F371,N10)," ","♦",LEN(LEFT(F371,N10))-LEN(SUBSTITUTE(LEFT(F371,N10)," ","")))),FIND(" ",F371&amp;" ",N10+1)-1)))</f>
        <v>1</v>
      </c>
      <c r="N371" s="686">
        <f t="shared" si="44"/>
        <v>354</v>
      </c>
      <c r="O371" s="663" t="str">
        <f t="shared" si="45"/>
        <v>0</v>
      </c>
      <c r="P371" s="686">
        <f t="shared" si="46"/>
        <v>1</v>
      </c>
      <c r="Q371" s="686">
        <f t="shared" si="47"/>
        <v>1</v>
      </c>
      <c r="DE371" s="494"/>
      <c r="DF371" s="496" t="s">
        <v>1843</v>
      </c>
      <c r="DG371" s="496" t="s">
        <v>345</v>
      </c>
      <c r="DH371" s="496" t="s">
        <v>689</v>
      </c>
      <c r="DI371" s="496" t="s">
        <v>349</v>
      </c>
      <c r="DJ371" s="496" t="s">
        <v>349</v>
      </c>
      <c r="DK371" s="496" t="s">
        <v>1151</v>
      </c>
      <c r="DL371" s="496" t="s">
        <v>1152</v>
      </c>
      <c r="DM371" s="496" t="s">
        <v>1087</v>
      </c>
      <c r="DN371" s="497" t="s">
        <v>1153</v>
      </c>
      <c r="DP371" s="543">
        <v>1</v>
      </c>
    </row>
    <row r="372" spans="2:120" ht="15">
      <c r="B372" s="683"/>
      <c r="C372" s="683"/>
      <c r="D372" s="683"/>
      <c r="E372" s="683" cm="1">
        <f t="array" ref="E372">IF(H371&lt;&gt;"",E371,IF(E371="","",IFERROR(MATCH(TRUE(),INDEX(INDEX(K:K,E371+1):K203&lt;&gt;"",0),0)+E371,"")))</f>
        <v>513</v>
      </c>
      <c r="F372" s="684" cm="1">
        <f t="array" ref="F372">IF(E372="","",IF(H371&lt;&gt;"",H371,INDEX(D:D,E372)))</f>
        <v>0</v>
      </c>
      <c r="G372" s="684" t="str">
        <f t="shared" si="42"/>
        <v>0</v>
      </c>
      <c r="H372" s="685" t="str">
        <f t="shared" si="43"/>
        <v/>
      </c>
      <c r="I372" s="683" t="str">
        <f>IF(AND(F372&lt;&gt;"",N10&gt;0,M372&gt;N10),"Mot &gt; limite","")</f>
        <v/>
      </c>
      <c r="M372" s="638">
        <f>IF(OR(F372="",N10="",N10&lt;=0),"",IF(LEN(F372)&lt;=N10,LEN(F372),IFERROR(FIND("♦",SUBSTITUTE(LEFT(F372,N10)," ","♦",LEN(LEFT(F372,N10))-LEN(SUBSTITUTE(LEFT(F372,N10)," ","")))),FIND(" ",F372&amp;" ",N10+1)-1)))</f>
        <v>1</v>
      </c>
      <c r="N372" s="686">
        <f t="shared" si="44"/>
        <v>355</v>
      </c>
      <c r="O372" s="663" t="str">
        <f t="shared" si="45"/>
        <v>0</v>
      </c>
      <c r="P372" s="686">
        <f t="shared" si="46"/>
        <v>1</v>
      </c>
      <c r="Q372" s="686">
        <f t="shared" si="47"/>
        <v>1</v>
      </c>
      <c r="DE372" s="494"/>
      <c r="DF372" s="496" t="s">
        <v>1844</v>
      </c>
      <c r="DG372" s="496" t="s">
        <v>345</v>
      </c>
      <c r="DH372" s="496" t="s">
        <v>689</v>
      </c>
      <c r="DI372" s="496" t="s">
        <v>1845</v>
      </c>
      <c r="DJ372" s="496" t="s">
        <v>1845</v>
      </c>
      <c r="DK372" s="496" t="s">
        <v>1151</v>
      </c>
      <c r="DL372" s="496" t="s">
        <v>1152</v>
      </c>
      <c r="DM372" s="496" t="s">
        <v>1087</v>
      </c>
      <c r="DN372" s="497" t="s">
        <v>1153</v>
      </c>
      <c r="DP372" s="543">
        <v>1</v>
      </c>
    </row>
    <row r="373" spans="2:120" ht="15">
      <c r="B373" s="683"/>
      <c r="C373" s="683"/>
      <c r="D373" s="683"/>
      <c r="E373" s="683" cm="1">
        <f t="array" ref="E373">IF(H372&lt;&gt;"",E372,IF(E372="","",IFERROR(MATCH(TRUE(),INDEX(INDEX(K:K,E372+1):K203&lt;&gt;"",0),0)+E372,"")))</f>
        <v>514</v>
      </c>
      <c r="F373" s="684" cm="1">
        <f t="array" ref="F373">IF(E373="","",IF(H372&lt;&gt;"",H372,INDEX(D:D,E373)))</f>
        <v>0</v>
      </c>
      <c r="G373" s="684" t="str">
        <f t="shared" si="42"/>
        <v>0</v>
      </c>
      <c r="H373" s="685" t="str">
        <f t="shared" si="43"/>
        <v/>
      </c>
      <c r="I373" s="683" t="str">
        <f>IF(AND(F373&lt;&gt;"",N10&gt;0,M373&gt;N10),"Mot &gt; limite","")</f>
        <v/>
      </c>
      <c r="M373" s="638">
        <f>IF(OR(F373="",N10="",N10&lt;=0),"",IF(LEN(F373)&lt;=N10,LEN(F373),IFERROR(FIND("♦",SUBSTITUTE(LEFT(F373,N10)," ","♦",LEN(LEFT(F373,N10))-LEN(SUBSTITUTE(LEFT(F373,N10)," ","")))),FIND(" ",F373&amp;" ",N10+1)-1)))</f>
        <v>1</v>
      </c>
      <c r="N373" s="686">
        <f t="shared" si="44"/>
        <v>356</v>
      </c>
      <c r="O373" s="663" t="str">
        <f t="shared" si="45"/>
        <v>0</v>
      </c>
      <c r="P373" s="686">
        <f t="shared" si="46"/>
        <v>1</v>
      </c>
      <c r="Q373" s="686">
        <f t="shared" si="47"/>
        <v>1</v>
      </c>
      <c r="DE373" s="494"/>
      <c r="DF373" s="496" t="s">
        <v>1846</v>
      </c>
      <c r="DG373" s="496" t="s">
        <v>345</v>
      </c>
      <c r="DH373" s="496" t="s">
        <v>689</v>
      </c>
      <c r="DI373" s="496" t="s">
        <v>350</v>
      </c>
      <c r="DJ373" s="496" t="s">
        <v>350</v>
      </c>
      <c r="DK373" s="496" t="s">
        <v>1151</v>
      </c>
      <c r="DL373" s="496" t="s">
        <v>1152</v>
      </c>
      <c r="DM373" s="496" t="s">
        <v>1087</v>
      </c>
      <c r="DN373" s="497" t="s">
        <v>1153</v>
      </c>
      <c r="DP373" s="543">
        <v>1</v>
      </c>
    </row>
    <row r="374" spans="2:120" ht="15">
      <c r="B374" s="683"/>
      <c r="C374" s="683"/>
      <c r="D374" s="683"/>
      <c r="E374" s="683" cm="1">
        <f t="array" ref="E374">IF(H373&lt;&gt;"",E373,IF(E373="","",IFERROR(MATCH(TRUE(),INDEX(INDEX(K:K,E373+1):K203&lt;&gt;"",0),0)+E373,"")))</f>
        <v>515</v>
      </c>
      <c r="F374" s="684" cm="1">
        <f t="array" ref="F374">IF(E374="","",IF(H373&lt;&gt;"",H373,INDEX(D:D,E374)))</f>
        <v>0</v>
      </c>
      <c r="G374" s="684" t="str">
        <f t="shared" si="42"/>
        <v>0</v>
      </c>
      <c r="H374" s="685" t="str">
        <f t="shared" si="43"/>
        <v/>
      </c>
      <c r="I374" s="683" t="str">
        <f>IF(AND(F374&lt;&gt;"",N10&gt;0,M374&gt;N10),"Mot &gt; limite","")</f>
        <v/>
      </c>
      <c r="M374" s="638">
        <f>IF(OR(F374="",N10="",N10&lt;=0),"",IF(LEN(F374)&lt;=N10,LEN(F374),IFERROR(FIND("♦",SUBSTITUTE(LEFT(F374,N10)," ","♦",LEN(LEFT(F374,N10))-LEN(SUBSTITUTE(LEFT(F374,N10)," ","")))),FIND(" ",F374&amp;" ",N10+1)-1)))</f>
        <v>1</v>
      </c>
      <c r="N374" s="686">
        <f t="shared" si="44"/>
        <v>357</v>
      </c>
      <c r="O374" s="663" t="str">
        <f t="shared" si="45"/>
        <v>0</v>
      </c>
      <c r="P374" s="686">
        <f t="shared" si="46"/>
        <v>1</v>
      </c>
      <c r="Q374" s="686">
        <f t="shared" si="47"/>
        <v>1</v>
      </c>
      <c r="DE374" s="494"/>
      <c r="DF374" s="496" t="s">
        <v>1847</v>
      </c>
      <c r="DG374" s="496" t="s">
        <v>345</v>
      </c>
      <c r="DH374" s="496" t="s">
        <v>689</v>
      </c>
      <c r="DI374" s="496" t="s">
        <v>963</v>
      </c>
      <c r="DJ374" s="496" t="s">
        <v>963</v>
      </c>
      <c r="DK374" s="496" t="s">
        <v>1085</v>
      </c>
      <c r="DL374" s="496" t="s">
        <v>1807</v>
      </c>
      <c r="DM374" s="496" t="s">
        <v>1087</v>
      </c>
      <c r="DN374" s="497" t="s">
        <v>1088</v>
      </c>
      <c r="DP374" s="543">
        <v>1</v>
      </c>
    </row>
    <row r="375" spans="2:120" ht="15">
      <c r="B375" s="683"/>
      <c r="C375" s="683"/>
      <c r="D375" s="683"/>
      <c r="E375" s="683" cm="1">
        <f t="array" ref="E375">IF(H374&lt;&gt;"",E374,IF(E374="","",IFERROR(MATCH(TRUE(),INDEX(INDEX(K:K,E374+1):K203&lt;&gt;"",0),0)+E374,"")))</f>
        <v>516</v>
      </c>
      <c r="F375" s="684" cm="1">
        <f t="array" ref="F375">IF(E375="","",IF(H374&lt;&gt;"",H374,INDEX(D:D,E375)))</f>
        <v>0</v>
      </c>
      <c r="G375" s="684" t="str">
        <f t="shared" si="42"/>
        <v>0</v>
      </c>
      <c r="H375" s="685" t="str">
        <f t="shared" si="43"/>
        <v/>
      </c>
      <c r="I375" s="683" t="str">
        <f>IF(AND(F375&lt;&gt;"",N10&gt;0,M375&gt;N10),"Mot &gt; limite","")</f>
        <v/>
      </c>
      <c r="M375" s="638">
        <f>IF(OR(F375="",N10="",N10&lt;=0),"",IF(LEN(F375)&lt;=N10,LEN(F375),IFERROR(FIND("♦",SUBSTITUTE(LEFT(F375,N10)," ","♦",LEN(LEFT(F375,N10))-LEN(SUBSTITUTE(LEFT(F375,N10)," ","")))),FIND(" ",F375&amp;" ",N10+1)-1)))</f>
        <v>1</v>
      </c>
      <c r="N375" s="686">
        <f t="shared" si="44"/>
        <v>358</v>
      </c>
      <c r="O375" s="663" t="str">
        <f t="shared" si="45"/>
        <v>0</v>
      </c>
      <c r="P375" s="686">
        <f t="shared" si="46"/>
        <v>1</v>
      </c>
      <c r="Q375" s="686">
        <f t="shared" si="47"/>
        <v>1</v>
      </c>
      <c r="DE375" s="494"/>
      <c r="DF375" s="496" t="s">
        <v>1848</v>
      </c>
      <c r="DG375" s="496" t="s">
        <v>345</v>
      </c>
      <c r="DH375" s="496" t="s">
        <v>689</v>
      </c>
      <c r="DI375" s="496" t="s">
        <v>1258</v>
      </c>
      <c r="DJ375" s="496" t="s">
        <v>906</v>
      </c>
      <c r="DK375" s="496" t="s">
        <v>1085</v>
      </c>
      <c r="DL375" s="496" t="s">
        <v>1807</v>
      </c>
      <c r="DM375" s="496" t="s">
        <v>1087</v>
      </c>
      <c r="DN375" s="497" t="s">
        <v>1088</v>
      </c>
      <c r="DP375" s="543">
        <v>1</v>
      </c>
    </row>
    <row r="376" spans="2:120" ht="15">
      <c r="B376" s="683"/>
      <c r="C376" s="683"/>
      <c r="D376" s="683"/>
      <c r="E376" s="683" cm="1">
        <f t="array" ref="E376">IF(H375&lt;&gt;"",E375,IF(E375="","",IFERROR(MATCH(TRUE(),INDEX(INDEX(K:K,E375+1):K203&lt;&gt;"",0),0)+E375,"")))</f>
        <v>517</v>
      </c>
      <c r="F376" s="684" cm="1">
        <f t="array" ref="F376">IF(E376="","",IF(H375&lt;&gt;"",H375,INDEX(D:D,E376)))</f>
        <v>0</v>
      </c>
      <c r="G376" s="684" t="str">
        <f t="shared" si="42"/>
        <v>0</v>
      </c>
      <c r="H376" s="685" t="str">
        <f t="shared" si="43"/>
        <v/>
      </c>
      <c r="I376" s="683" t="str">
        <f>IF(AND(F376&lt;&gt;"",N10&gt;0,M376&gt;N10),"Mot &gt; limite","")</f>
        <v/>
      </c>
      <c r="M376" s="638">
        <f>IF(OR(F376="",N10="",N10&lt;=0),"",IF(LEN(F376)&lt;=N10,LEN(F376),IFERROR(FIND("♦",SUBSTITUTE(LEFT(F376,N10)," ","♦",LEN(LEFT(F376,N10))-LEN(SUBSTITUTE(LEFT(F376,N10)," ","")))),FIND(" ",F376&amp;" ",N10+1)-1)))</f>
        <v>1</v>
      </c>
      <c r="N376" s="686">
        <f t="shared" si="44"/>
        <v>359</v>
      </c>
      <c r="O376" s="663" t="str">
        <f t="shared" si="45"/>
        <v>0</v>
      </c>
      <c r="P376" s="686">
        <f t="shared" si="46"/>
        <v>1</v>
      </c>
      <c r="Q376" s="686">
        <f t="shared" si="47"/>
        <v>1</v>
      </c>
      <c r="DE376" s="494"/>
      <c r="DF376" s="496" t="s">
        <v>1849</v>
      </c>
      <c r="DG376" s="496" t="s">
        <v>345</v>
      </c>
      <c r="DH376" s="496" t="s">
        <v>689</v>
      </c>
      <c r="DI376" s="496" t="s">
        <v>972</v>
      </c>
      <c r="DJ376" s="496" t="s">
        <v>972</v>
      </c>
      <c r="DK376" s="496" t="s">
        <v>1085</v>
      </c>
      <c r="DL376" s="496" t="s">
        <v>1807</v>
      </c>
      <c r="DM376" s="496" t="s">
        <v>1087</v>
      </c>
      <c r="DN376" s="497" t="s">
        <v>1088</v>
      </c>
      <c r="DP376" s="543">
        <v>1</v>
      </c>
    </row>
    <row r="377" spans="2:120" ht="15">
      <c r="B377" s="683"/>
      <c r="C377" s="683"/>
      <c r="D377" s="683"/>
      <c r="E377" s="683" cm="1">
        <f t="array" ref="E377">IF(H376&lt;&gt;"",E376,IF(E376="","",IFERROR(MATCH(TRUE(),INDEX(INDEX(K:K,E376+1):K203&lt;&gt;"",0),0)+E376,"")))</f>
        <v>518</v>
      </c>
      <c r="F377" s="684" cm="1">
        <f t="array" ref="F377">IF(E377="","",IF(H376&lt;&gt;"",H376,INDEX(D:D,E377)))</f>
        <v>0</v>
      </c>
      <c r="G377" s="684" t="str">
        <f t="shared" si="42"/>
        <v>0</v>
      </c>
      <c r="H377" s="685" t="str">
        <f t="shared" si="43"/>
        <v/>
      </c>
      <c r="I377" s="683" t="str">
        <f>IF(AND(F377&lt;&gt;"",N10&gt;0,M377&gt;N10),"Mot &gt; limite","")</f>
        <v/>
      </c>
      <c r="M377" s="638">
        <f>IF(OR(F377="",N10="",N10&lt;=0),"",IF(LEN(F377)&lt;=N10,LEN(F377),IFERROR(FIND("♦",SUBSTITUTE(LEFT(F377,N10)," ","♦",LEN(LEFT(F377,N10))-LEN(SUBSTITUTE(LEFT(F377,N10)," ","")))),FIND(" ",F377&amp;" ",N10+1)-1)))</f>
        <v>1</v>
      </c>
      <c r="N377" s="686">
        <f t="shared" si="44"/>
        <v>360</v>
      </c>
      <c r="O377" s="663" t="str">
        <f t="shared" si="45"/>
        <v>0</v>
      </c>
      <c r="P377" s="686">
        <f t="shared" si="46"/>
        <v>1</v>
      </c>
      <c r="Q377" s="686">
        <f t="shared" si="47"/>
        <v>1</v>
      </c>
      <c r="DE377" s="494"/>
      <c r="DF377" s="496" t="s">
        <v>1850</v>
      </c>
      <c r="DG377" s="496" t="s">
        <v>345</v>
      </c>
      <c r="DH377" s="496" t="s">
        <v>689</v>
      </c>
      <c r="DI377" s="496" t="s">
        <v>1851</v>
      </c>
      <c r="DJ377" s="496" t="s">
        <v>973</v>
      </c>
      <c r="DK377" s="496" t="s">
        <v>1085</v>
      </c>
      <c r="DL377" s="496" t="s">
        <v>1807</v>
      </c>
      <c r="DM377" s="496" t="s">
        <v>1087</v>
      </c>
      <c r="DN377" s="497" t="s">
        <v>1088</v>
      </c>
      <c r="DP377" s="543">
        <v>1</v>
      </c>
    </row>
    <row r="378" spans="2:120" ht="15">
      <c r="B378" s="683"/>
      <c r="C378" s="683"/>
      <c r="D378" s="683"/>
      <c r="E378" s="683" cm="1">
        <f t="array" ref="E378">IF(H377&lt;&gt;"",E377,IF(E377="","",IFERROR(MATCH(TRUE(),INDEX(INDEX(K:K,E377+1):K203&lt;&gt;"",0),0)+E377,"")))</f>
        <v>519</v>
      </c>
      <c r="F378" s="684" cm="1">
        <f t="array" ref="F378">IF(E378="","",IF(H377&lt;&gt;"",H377,INDEX(D:D,E378)))</f>
        <v>0</v>
      </c>
      <c r="G378" s="684" t="str">
        <f t="shared" si="42"/>
        <v>0</v>
      </c>
      <c r="H378" s="685" t="str">
        <f t="shared" si="43"/>
        <v/>
      </c>
      <c r="I378" s="683" t="str">
        <f>IF(AND(F378&lt;&gt;"",N10&gt;0,M378&gt;N10),"Mot &gt; limite","")</f>
        <v/>
      </c>
      <c r="M378" s="638">
        <f>IF(OR(F378="",N10="",N10&lt;=0),"",IF(LEN(F378)&lt;=N10,LEN(F378),IFERROR(FIND("♦",SUBSTITUTE(LEFT(F378,N10)," ","♦",LEN(LEFT(F378,N10))-LEN(SUBSTITUTE(LEFT(F378,N10)," ","")))),FIND(" ",F378&amp;" ",N10+1)-1)))</f>
        <v>1</v>
      </c>
      <c r="N378" s="686">
        <f t="shared" si="44"/>
        <v>361</v>
      </c>
      <c r="O378" s="663" t="str">
        <f t="shared" si="45"/>
        <v>0</v>
      </c>
      <c r="P378" s="686">
        <f t="shared" si="46"/>
        <v>1</v>
      </c>
      <c r="Q378" s="686">
        <f t="shared" si="47"/>
        <v>1</v>
      </c>
      <c r="DE378" s="494"/>
      <c r="DF378" s="496" t="s">
        <v>1852</v>
      </c>
      <c r="DG378" s="496" t="s">
        <v>345</v>
      </c>
      <c r="DH378" s="496" t="s">
        <v>689</v>
      </c>
      <c r="DI378" s="496" t="s">
        <v>1853</v>
      </c>
      <c r="DJ378" s="496" t="s">
        <v>68</v>
      </c>
      <c r="DK378" s="496" t="s">
        <v>1085</v>
      </c>
      <c r="DL378" s="496" t="s">
        <v>1807</v>
      </c>
      <c r="DM378" s="496" t="s">
        <v>1087</v>
      </c>
      <c r="DN378" s="497" t="s">
        <v>1088</v>
      </c>
      <c r="DP378" s="543">
        <v>1</v>
      </c>
    </row>
    <row r="379" spans="2:120" ht="15">
      <c r="B379" s="683"/>
      <c r="C379" s="683"/>
      <c r="D379" s="683"/>
      <c r="E379" s="683" cm="1">
        <f t="array" ref="E379">IF(H378&lt;&gt;"",E378,IF(E378="","",IFERROR(MATCH(TRUE(),INDEX(INDEX(K:K,E378+1):K203&lt;&gt;"",0),0)+E378,"")))</f>
        <v>520</v>
      </c>
      <c r="F379" s="684" cm="1">
        <f t="array" ref="F379">IF(E379="","",IF(H378&lt;&gt;"",H378,INDEX(D:D,E379)))</f>
        <v>0</v>
      </c>
      <c r="G379" s="684" t="str">
        <f t="shared" si="42"/>
        <v>0</v>
      </c>
      <c r="H379" s="685" t="str">
        <f t="shared" si="43"/>
        <v/>
      </c>
      <c r="I379" s="683" t="str">
        <f>IF(AND(F379&lt;&gt;"",N10&gt;0,M379&gt;N10),"Mot &gt; limite","")</f>
        <v/>
      </c>
      <c r="M379" s="638">
        <f>IF(OR(F379="",N10="",N10&lt;=0),"",IF(LEN(F379)&lt;=N10,LEN(F379),IFERROR(FIND("♦",SUBSTITUTE(LEFT(F379,N10)," ","♦",LEN(LEFT(F379,N10))-LEN(SUBSTITUTE(LEFT(F379,N10)," ","")))),FIND(" ",F379&amp;" ",N10+1)-1)))</f>
        <v>1</v>
      </c>
      <c r="N379" s="686">
        <f t="shared" si="44"/>
        <v>362</v>
      </c>
      <c r="O379" s="663" t="str">
        <f t="shared" si="45"/>
        <v>0</v>
      </c>
      <c r="P379" s="686">
        <f t="shared" si="46"/>
        <v>1</v>
      </c>
      <c r="Q379" s="686">
        <f t="shared" si="47"/>
        <v>1</v>
      </c>
      <c r="DE379" s="494"/>
      <c r="DF379" s="496" t="s">
        <v>1854</v>
      </c>
      <c r="DG379" s="496" t="s">
        <v>345</v>
      </c>
      <c r="DH379" s="496" t="s">
        <v>689</v>
      </c>
      <c r="DI379" s="496" t="s">
        <v>1855</v>
      </c>
      <c r="DJ379" s="496" t="s">
        <v>82</v>
      </c>
      <c r="DK379" s="496" t="s">
        <v>1085</v>
      </c>
      <c r="DL379" s="496" t="s">
        <v>1807</v>
      </c>
      <c r="DM379" s="496" t="s">
        <v>1087</v>
      </c>
      <c r="DN379" s="497" t="s">
        <v>1088</v>
      </c>
      <c r="DP379" s="543">
        <v>1</v>
      </c>
    </row>
    <row r="380" spans="2:120" ht="15">
      <c r="B380" s="683"/>
      <c r="C380" s="683"/>
      <c r="D380" s="683"/>
      <c r="E380" s="683" cm="1">
        <f t="array" ref="E380">IF(H379&lt;&gt;"",E379,IF(E379="","",IFERROR(MATCH(TRUE(),INDEX(INDEX(K:K,E379+1):K203&lt;&gt;"",0),0)+E379,"")))</f>
        <v>521</v>
      </c>
      <c r="F380" s="684" cm="1">
        <f t="array" ref="F380">IF(E380="","",IF(H379&lt;&gt;"",H379,INDEX(D:D,E380)))</f>
        <v>0</v>
      </c>
      <c r="G380" s="684" t="str">
        <f t="shared" si="42"/>
        <v>0</v>
      </c>
      <c r="H380" s="685" t="str">
        <f t="shared" si="43"/>
        <v/>
      </c>
      <c r="I380" s="683" t="str">
        <f>IF(AND(F380&lt;&gt;"",N10&gt;0,M380&gt;N10),"Mot &gt; limite","")</f>
        <v/>
      </c>
      <c r="M380" s="638">
        <f>IF(OR(F380="",N10="",N10&lt;=0),"",IF(LEN(F380)&lt;=N10,LEN(F380),IFERROR(FIND("♦",SUBSTITUTE(LEFT(F380,N10)," ","♦",LEN(LEFT(F380,N10))-LEN(SUBSTITUTE(LEFT(F380,N10)," ","")))),FIND(" ",F380&amp;" ",N10+1)-1)))</f>
        <v>1</v>
      </c>
      <c r="N380" s="686">
        <f t="shared" si="44"/>
        <v>363</v>
      </c>
      <c r="O380" s="663" t="str">
        <f t="shared" si="45"/>
        <v>0</v>
      </c>
      <c r="P380" s="686">
        <f t="shared" si="46"/>
        <v>1</v>
      </c>
      <c r="Q380" s="686">
        <f t="shared" si="47"/>
        <v>1</v>
      </c>
      <c r="DE380" s="494"/>
      <c r="DF380" s="496" t="s">
        <v>1856</v>
      </c>
      <c r="DG380" s="496" t="s">
        <v>345</v>
      </c>
      <c r="DH380" s="496" t="s">
        <v>689</v>
      </c>
      <c r="DI380" s="496" t="s">
        <v>1857</v>
      </c>
      <c r="DJ380" s="496" t="s">
        <v>1858</v>
      </c>
      <c r="DK380" s="496" t="s">
        <v>1085</v>
      </c>
      <c r="DL380" s="496" t="s">
        <v>1807</v>
      </c>
      <c r="DM380" s="496" t="s">
        <v>1087</v>
      </c>
      <c r="DN380" s="497" t="s">
        <v>1088</v>
      </c>
      <c r="DP380" s="543">
        <v>1</v>
      </c>
    </row>
    <row r="381" spans="2:120" ht="15">
      <c r="B381" s="683"/>
      <c r="C381" s="683"/>
      <c r="D381" s="683"/>
      <c r="E381" s="683" cm="1">
        <f t="array" ref="E381">IF(H380&lt;&gt;"",E380,IF(E380="","",IFERROR(MATCH(TRUE(),INDEX(INDEX(K:K,E380+1):K203&lt;&gt;"",0),0)+E380,"")))</f>
        <v>522</v>
      </c>
      <c r="F381" s="684" cm="1">
        <f t="array" ref="F381">IF(E381="","",IF(H380&lt;&gt;"",H380,INDEX(D:D,E381)))</f>
        <v>0</v>
      </c>
      <c r="G381" s="684" t="str">
        <f t="shared" si="42"/>
        <v>0</v>
      </c>
      <c r="H381" s="685" t="str">
        <f t="shared" si="43"/>
        <v/>
      </c>
      <c r="I381" s="683" t="str">
        <f>IF(AND(F381&lt;&gt;"",N10&gt;0,M381&gt;N10),"Mot &gt; limite","")</f>
        <v/>
      </c>
      <c r="M381" s="638">
        <f>IF(OR(F381="",N10="",N10&lt;=0),"",IF(LEN(F381)&lt;=N10,LEN(F381),IFERROR(FIND("♦",SUBSTITUTE(LEFT(F381,N10)," ","♦",LEN(LEFT(F381,N10))-LEN(SUBSTITUTE(LEFT(F381,N10)," ","")))),FIND(" ",F381&amp;" ",N10+1)-1)))</f>
        <v>1</v>
      </c>
      <c r="N381" s="686">
        <f t="shared" si="44"/>
        <v>364</v>
      </c>
      <c r="O381" s="663" t="str">
        <f t="shared" si="45"/>
        <v>0</v>
      </c>
      <c r="P381" s="686">
        <f t="shared" si="46"/>
        <v>1</v>
      </c>
      <c r="Q381" s="686">
        <f t="shared" si="47"/>
        <v>1</v>
      </c>
      <c r="DE381" s="494"/>
      <c r="DF381" s="496" t="s">
        <v>1859</v>
      </c>
      <c r="DG381" s="496" t="s">
        <v>345</v>
      </c>
      <c r="DH381" s="496" t="s">
        <v>689</v>
      </c>
      <c r="DI381" s="496" t="s">
        <v>1860</v>
      </c>
      <c r="DJ381" s="496" t="s">
        <v>1860</v>
      </c>
      <c r="DK381" s="496" t="s">
        <v>1085</v>
      </c>
      <c r="DL381" s="496" t="s">
        <v>1807</v>
      </c>
      <c r="DM381" s="496" t="s">
        <v>1087</v>
      </c>
      <c r="DN381" s="497" t="s">
        <v>1088</v>
      </c>
      <c r="DP381" s="543">
        <v>1</v>
      </c>
    </row>
    <row r="382" spans="2:120" ht="15">
      <c r="B382" s="683"/>
      <c r="C382" s="683"/>
      <c r="D382" s="683"/>
      <c r="E382" s="683" cm="1">
        <f t="array" ref="E382">IF(H381&lt;&gt;"",E381,IF(E381="","",IFERROR(MATCH(TRUE(),INDEX(INDEX(K:K,E381+1):K203&lt;&gt;"",0),0)+E381,"")))</f>
        <v>523</v>
      </c>
      <c r="F382" s="684" cm="1">
        <f t="array" ref="F382">IF(E382="","",IF(H381&lt;&gt;"",H381,INDEX(D:D,E382)))</f>
        <v>0</v>
      </c>
      <c r="G382" s="684" t="str">
        <f t="shared" si="42"/>
        <v>0</v>
      </c>
      <c r="H382" s="685" t="str">
        <f t="shared" si="43"/>
        <v/>
      </c>
      <c r="I382" s="683" t="str">
        <f>IF(AND(F382&lt;&gt;"",N10&gt;0,M382&gt;N10),"Mot &gt; limite","")</f>
        <v/>
      </c>
      <c r="M382" s="638">
        <f>IF(OR(F382="",N10="",N10&lt;=0),"",IF(LEN(F382)&lt;=N10,LEN(F382),IFERROR(FIND("♦",SUBSTITUTE(LEFT(F382,N10)," ","♦",LEN(LEFT(F382,N10))-LEN(SUBSTITUTE(LEFT(F382,N10)," ","")))),FIND(" ",F382&amp;" ",N10+1)-1)))</f>
        <v>1</v>
      </c>
      <c r="N382" s="686">
        <f t="shared" si="44"/>
        <v>365</v>
      </c>
      <c r="O382" s="663" t="str">
        <f t="shared" si="45"/>
        <v>0</v>
      </c>
      <c r="P382" s="686">
        <f t="shared" si="46"/>
        <v>1</v>
      </c>
      <c r="Q382" s="686">
        <f t="shared" si="47"/>
        <v>1</v>
      </c>
      <c r="DE382" s="494"/>
      <c r="DF382" s="496" t="s">
        <v>1861</v>
      </c>
      <c r="DG382" s="496" t="s">
        <v>345</v>
      </c>
      <c r="DH382" s="496" t="s">
        <v>689</v>
      </c>
      <c r="DI382" s="496" t="s">
        <v>1013</v>
      </c>
      <c r="DJ382" s="496" t="s">
        <v>1013</v>
      </c>
      <c r="DK382" s="496" t="s">
        <v>1085</v>
      </c>
      <c r="DL382" s="496" t="s">
        <v>1807</v>
      </c>
      <c r="DM382" s="496" t="s">
        <v>1087</v>
      </c>
      <c r="DN382" s="497" t="s">
        <v>1088</v>
      </c>
      <c r="DP382" s="543">
        <v>1</v>
      </c>
    </row>
    <row r="383" spans="2:120" ht="15">
      <c r="B383" s="683"/>
      <c r="C383" s="683"/>
      <c r="D383" s="683"/>
      <c r="E383" s="683" cm="1">
        <f t="array" ref="E383">IF(H382&lt;&gt;"",E382,IF(E382="","",IFERROR(MATCH(TRUE(),INDEX(INDEX(K:K,E382+1):K203&lt;&gt;"",0),0)+E382,"")))</f>
        <v>524</v>
      </c>
      <c r="F383" s="684" cm="1">
        <f t="array" ref="F383">IF(E383="","",IF(H382&lt;&gt;"",H382,INDEX(D:D,E383)))</f>
        <v>0</v>
      </c>
      <c r="G383" s="684" t="str">
        <f t="shared" si="42"/>
        <v>0</v>
      </c>
      <c r="H383" s="685" t="str">
        <f t="shared" si="43"/>
        <v/>
      </c>
      <c r="I383" s="683" t="str">
        <f>IF(AND(F383&lt;&gt;"",N10&gt;0,M383&gt;N10),"Mot &gt; limite","")</f>
        <v/>
      </c>
      <c r="M383" s="638">
        <f>IF(OR(F383="",N10="",N10&lt;=0),"",IF(LEN(F383)&lt;=N10,LEN(F383),IFERROR(FIND("♦",SUBSTITUTE(LEFT(F383,N10)," ","♦",LEN(LEFT(F383,N10))-LEN(SUBSTITUTE(LEFT(F383,N10)," ","")))),FIND(" ",F383&amp;" ",N10+1)-1)))</f>
        <v>1</v>
      </c>
      <c r="N383" s="686">
        <f t="shared" si="44"/>
        <v>366</v>
      </c>
      <c r="O383" s="663" t="str">
        <f t="shared" si="45"/>
        <v>0</v>
      </c>
      <c r="P383" s="686">
        <f t="shared" si="46"/>
        <v>1</v>
      </c>
      <c r="Q383" s="686">
        <f t="shared" si="47"/>
        <v>1</v>
      </c>
      <c r="DE383" s="494"/>
      <c r="DF383" s="496" t="s">
        <v>1862</v>
      </c>
      <c r="DG383" s="496" t="s">
        <v>345</v>
      </c>
      <c r="DH383" s="496" t="s">
        <v>689</v>
      </c>
      <c r="DI383" s="496" t="s">
        <v>351</v>
      </c>
      <c r="DJ383" s="496" t="s">
        <v>351</v>
      </c>
      <c r="DK383" s="496" t="s">
        <v>1085</v>
      </c>
      <c r="DL383" s="496" t="s">
        <v>1807</v>
      </c>
      <c r="DM383" s="496" t="s">
        <v>1087</v>
      </c>
      <c r="DN383" s="497" t="s">
        <v>1088</v>
      </c>
      <c r="DP383" s="543">
        <v>1</v>
      </c>
    </row>
    <row r="384" spans="2:120" ht="15">
      <c r="B384" s="683"/>
      <c r="C384" s="683"/>
      <c r="D384" s="683"/>
      <c r="E384" s="683" cm="1">
        <f t="array" ref="E384">IF(H383&lt;&gt;"",E383,IF(E383="","",IFERROR(MATCH(TRUE(),INDEX(INDEX(K:K,E383+1):K203&lt;&gt;"",0),0)+E383,"")))</f>
        <v>525</v>
      </c>
      <c r="F384" s="684" cm="1">
        <f t="array" ref="F384">IF(E384="","",IF(H383&lt;&gt;"",H383,INDEX(D:D,E384)))</f>
        <v>0</v>
      </c>
      <c r="G384" s="684" t="str">
        <f t="shared" si="42"/>
        <v>0</v>
      </c>
      <c r="H384" s="685" t="str">
        <f t="shared" si="43"/>
        <v/>
      </c>
      <c r="I384" s="683" t="str">
        <f>IF(AND(F384&lt;&gt;"",N10&gt;0,M384&gt;N10),"Mot &gt; limite","")</f>
        <v/>
      </c>
      <c r="M384" s="638">
        <f>IF(OR(F384="",N10="",N10&lt;=0),"",IF(LEN(F384)&lt;=N10,LEN(F384),IFERROR(FIND("♦",SUBSTITUTE(LEFT(F384,N10)," ","♦",LEN(LEFT(F384,N10))-LEN(SUBSTITUTE(LEFT(F384,N10)," ","")))),FIND(" ",F384&amp;" ",N10+1)-1)))</f>
        <v>1</v>
      </c>
      <c r="N384" s="686">
        <f t="shared" si="44"/>
        <v>367</v>
      </c>
      <c r="O384" s="663" t="str">
        <f t="shared" si="45"/>
        <v>0</v>
      </c>
      <c r="P384" s="686">
        <f t="shared" si="46"/>
        <v>1</v>
      </c>
      <c r="Q384" s="686">
        <f t="shared" si="47"/>
        <v>1</v>
      </c>
      <c r="DE384" s="494"/>
      <c r="DF384" s="496" t="s">
        <v>1863</v>
      </c>
      <c r="DG384" s="496" t="s">
        <v>345</v>
      </c>
      <c r="DH384" s="496" t="s">
        <v>689</v>
      </c>
      <c r="DI384" s="496" t="s">
        <v>352</v>
      </c>
      <c r="DJ384" s="496" t="s">
        <v>352</v>
      </c>
      <c r="DK384" s="496" t="s">
        <v>1085</v>
      </c>
      <c r="DL384" s="496" t="s">
        <v>1807</v>
      </c>
      <c r="DM384" s="496" t="s">
        <v>1087</v>
      </c>
      <c r="DN384" s="497" t="s">
        <v>1088</v>
      </c>
      <c r="DP384" s="543">
        <v>1</v>
      </c>
    </row>
    <row r="385" spans="2:120" ht="15">
      <c r="B385" s="683"/>
      <c r="C385" s="683"/>
      <c r="D385" s="683"/>
      <c r="E385" s="683" cm="1">
        <f t="array" ref="E385">IF(H384&lt;&gt;"",E384,IF(E384="","",IFERROR(MATCH(TRUE(),INDEX(INDEX(K:K,E384+1):K203&lt;&gt;"",0),0)+E384,"")))</f>
        <v>526</v>
      </c>
      <c r="F385" s="684" cm="1">
        <f t="array" ref="F385">IF(E385="","",IF(H384&lt;&gt;"",H384,INDEX(D:D,E385)))</f>
        <v>0</v>
      </c>
      <c r="G385" s="684" t="str">
        <f t="shared" si="42"/>
        <v>0</v>
      </c>
      <c r="H385" s="685" t="str">
        <f t="shared" si="43"/>
        <v/>
      </c>
      <c r="I385" s="683" t="str">
        <f>IF(AND(F385&lt;&gt;"",N10&gt;0,M385&gt;N10),"Mot &gt; limite","")</f>
        <v/>
      </c>
      <c r="M385" s="638">
        <f>IF(OR(F385="",N10="",N10&lt;=0),"",IF(LEN(F385)&lt;=N10,LEN(F385),IFERROR(FIND("♦",SUBSTITUTE(LEFT(F385,N10)," ","♦",LEN(LEFT(F385,N10))-LEN(SUBSTITUTE(LEFT(F385,N10)," ","")))),FIND(" ",F385&amp;" ",N10+1)-1)))</f>
        <v>1</v>
      </c>
      <c r="N385" s="686">
        <f t="shared" si="44"/>
        <v>368</v>
      </c>
      <c r="O385" s="663" t="str">
        <f t="shared" si="45"/>
        <v>0</v>
      </c>
      <c r="P385" s="686">
        <f t="shared" si="46"/>
        <v>1</v>
      </c>
      <c r="Q385" s="686">
        <f t="shared" si="47"/>
        <v>1</v>
      </c>
      <c r="DE385" s="494"/>
      <c r="DF385" s="496" t="s">
        <v>1864</v>
      </c>
      <c r="DG385" s="496" t="s">
        <v>345</v>
      </c>
      <c r="DH385" s="496" t="s">
        <v>689</v>
      </c>
      <c r="DI385" s="496" t="s">
        <v>1865</v>
      </c>
      <c r="DJ385" s="496" t="s">
        <v>1865</v>
      </c>
      <c r="DK385" s="496" t="s">
        <v>1085</v>
      </c>
      <c r="DL385" s="496" t="s">
        <v>1807</v>
      </c>
      <c r="DM385" s="496" t="s">
        <v>1087</v>
      </c>
      <c r="DN385" s="497" t="s">
        <v>1088</v>
      </c>
      <c r="DP385" s="543">
        <v>1</v>
      </c>
    </row>
    <row r="386" spans="2:120" ht="15">
      <c r="B386" s="683"/>
      <c r="C386" s="683"/>
      <c r="D386" s="683"/>
      <c r="E386" s="683" cm="1">
        <f t="array" ref="E386">IF(H385&lt;&gt;"",E385,IF(E385="","",IFERROR(MATCH(TRUE(),INDEX(INDEX(K:K,E385+1):K203&lt;&gt;"",0),0)+E385,"")))</f>
        <v>527</v>
      </c>
      <c r="F386" s="684" cm="1">
        <f t="array" ref="F386">IF(E386="","",IF(H385&lt;&gt;"",H385,INDEX(D:D,E386)))</f>
        <v>0</v>
      </c>
      <c r="G386" s="684" t="str">
        <f t="shared" si="42"/>
        <v>0</v>
      </c>
      <c r="H386" s="685" t="str">
        <f t="shared" si="43"/>
        <v/>
      </c>
      <c r="I386" s="683" t="str">
        <f>IF(AND(F386&lt;&gt;"",N10&gt;0,M386&gt;N10),"Mot &gt; limite","")</f>
        <v/>
      </c>
      <c r="M386" s="638">
        <f>IF(OR(F386="",N10="",N10&lt;=0),"",IF(LEN(F386)&lt;=N10,LEN(F386),IFERROR(FIND("♦",SUBSTITUTE(LEFT(F386,N10)," ","♦",LEN(LEFT(F386,N10))-LEN(SUBSTITUTE(LEFT(F386,N10)," ","")))),FIND(" ",F386&amp;" ",N10+1)-1)))</f>
        <v>1</v>
      </c>
      <c r="N386" s="686">
        <f t="shared" si="44"/>
        <v>369</v>
      </c>
      <c r="O386" s="663" t="str">
        <f t="shared" si="45"/>
        <v>0</v>
      </c>
      <c r="P386" s="686">
        <f t="shared" si="46"/>
        <v>1</v>
      </c>
      <c r="Q386" s="686">
        <f t="shared" si="47"/>
        <v>1</v>
      </c>
      <c r="DE386" s="494"/>
      <c r="DF386" s="496" t="s">
        <v>1866</v>
      </c>
      <c r="DG386" s="496" t="s">
        <v>345</v>
      </c>
      <c r="DH386" s="496" t="s">
        <v>689</v>
      </c>
      <c r="DI386" s="496" t="s">
        <v>1867</v>
      </c>
      <c r="DJ386" s="496" t="s">
        <v>18</v>
      </c>
      <c r="DK386" s="496" t="s">
        <v>1085</v>
      </c>
      <c r="DL386" s="496" t="s">
        <v>1807</v>
      </c>
      <c r="DM386" s="496" t="s">
        <v>1087</v>
      </c>
      <c r="DN386" s="497" t="s">
        <v>1088</v>
      </c>
      <c r="DP386" s="543">
        <v>1</v>
      </c>
    </row>
    <row r="387" spans="2:120" ht="15">
      <c r="B387" s="683"/>
      <c r="C387" s="683"/>
      <c r="D387" s="683"/>
      <c r="E387" s="683" cm="1">
        <f t="array" ref="E387">IF(H386&lt;&gt;"",E386,IF(E386="","",IFERROR(MATCH(TRUE(),INDEX(INDEX(K:K,E386+1):K203&lt;&gt;"",0),0)+E386,"")))</f>
        <v>528</v>
      </c>
      <c r="F387" s="684" cm="1">
        <f t="array" ref="F387">IF(E387="","",IF(H386&lt;&gt;"",H386,INDEX(D:D,E387)))</f>
        <v>0</v>
      </c>
      <c r="G387" s="684" t="str">
        <f t="shared" si="42"/>
        <v>0</v>
      </c>
      <c r="H387" s="685" t="str">
        <f t="shared" si="43"/>
        <v/>
      </c>
      <c r="I387" s="683" t="str">
        <f>IF(AND(F387&lt;&gt;"",N10&gt;0,M387&gt;N10),"Mot &gt; limite","")</f>
        <v/>
      </c>
      <c r="M387" s="638">
        <f>IF(OR(F387="",N10="",N10&lt;=0),"",IF(LEN(F387)&lt;=N10,LEN(F387),IFERROR(FIND("♦",SUBSTITUTE(LEFT(F387,N10)," ","♦",LEN(LEFT(F387,N10))-LEN(SUBSTITUTE(LEFT(F387,N10)," ","")))),FIND(" ",F387&amp;" ",N10+1)-1)))</f>
        <v>1</v>
      </c>
      <c r="N387" s="686">
        <f t="shared" si="44"/>
        <v>370</v>
      </c>
      <c r="O387" s="663" t="str">
        <f t="shared" si="45"/>
        <v>0</v>
      </c>
      <c r="P387" s="686">
        <f t="shared" si="46"/>
        <v>1</v>
      </c>
      <c r="Q387" s="686">
        <f t="shared" si="47"/>
        <v>1</v>
      </c>
      <c r="DE387" s="494"/>
      <c r="DF387" s="496" t="s">
        <v>1868</v>
      </c>
      <c r="DG387" s="496" t="s">
        <v>345</v>
      </c>
      <c r="DH387" s="496" t="s">
        <v>689</v>
      </c>
      <c r="DI387" s="496" t="s">
        <v>1869</v>
      </c>
      <c r="DJ387" s="496" t="s">
        <v>1870</v>
      </c>
      <c r="DK387" s="496" t="s">
        <v>1085</v>
      </c>
      <c r="DL387" s="496" t="s">
        <v>1807</v>
      </c>
      <c r="DM387" s="496" t="s">
        <v>1087</v>
      </c>
      <c r="DN387" s="497" t="s">
        <v>1088</v>
      </c>
      <c r="DP387" s="543">
        <v>1</v>
      </c>
    </row>
    <row r="388" spans="2:120" ht="15">
      <c r="B388" s="683"/>
      <c r="C388" s="683"/>
      <c r="D388" s="683"/>
      <c r="E388" s="683" cm="1">
        <f t="array" ref="E388">IF(H387&lt;&gt;"",E387,IF(E387="","",IFERROR(MATCH(TRUE(),INDEX(INDEX(K:K,E387+1):K203&lt;&gt;"",0),0)+E387,"")))</f>
        <v>529</v>
      </c>
      <c r="F388" s="684" cm="1">
        <f t="array" ref="F388">IF(E388="","",IF(H387&lt;&gt;"",H387,INDEX(D:D,E388)))</f>
        <v>0</v>
      </c>
      <c r="G388" s="684" t="str">
        <f t="shared" si="42"/>
        <v>0</v>
      </c>
      <c r="H388" s="685" t="str">
        <f t="shared" si="43"/>
        <v/>
      </c>
      <c r="I388" s="683" t="str">
        <f>IF(AND(F388&lt;&gt;"",N10&gt;0,M388&gt;N10),"Mot &gt; limite","")</f>
        <v/>
      </c>
      <c r="M388" s="638">
        <f>IF(OR(F388="",N10="",N10&lt;=0),"",IF(LEN(F388)&lt;=N10,LEN(F388),IFERROR(FIND("♦",SUBSTITUTE(LEFT(F388,N10)," ","♦",LEN(LEFT(F388,N10))-LEN(SUBSTITUTE(LEFT(F388,N10)," ","")))),FIND(" ",F388&amp;" ",N10+1)-1)))</f>
        <v>1</v>
      </c>
      <c r="N388" s="686">
        <f t="shared" si="44"/>
        <v>371</v>
      </c>
      <c r="O388" s="663" t="str">
        <f t="shared" si="45"/>
        <v>0</v>
      </c>
      <c r="P388" s="686">
        <f t="shared" si="46"/>
        <v>1</v>
      </c>
      <c r="Q388" s="686">
        <f t="shared" si="47"/>
        <v>1</v>
      </c>
      <c r="DE388" s="494"/>
      <c r="DF388" s="496" t="s">
        <v>1871</v>
      </c>
      <c r="DG388" s="496" t="s">
        <v>345</v>
      </c>
      <c r="DH388" s="496" t="s">
        <v>689</v>
      </c>
      <c r="DI388" s="496" t="s">
        <v>1872</v>
      </c>
      <c r="DJ388" s="496" t="s">
        <v>1873</v>
      </c>
      <c r="DK388" s="496" t="s">
        <v>1085</v>
      </c>
      <c r="DL388" s="496" t="s">
        <v>1807</v>
      </c>
      <c r="DM388" s="496" t="s">
        <v>1087</v>
      </c>
      <c r="DN388" s="497" t="s">
        <v>1088</v>
      </c>
      <c r="DP388" s="543">
        <v>1</v>
      </c>
    </row>
    <row r="389" spans="2:120" ht="15">
      <c r="B389" s="683"/>
      <c r="C389" s="683"/>
      <c r="D389" s="683"/>
      <c r="E389" s="683" cm="1">
        <f t="array" ref="E389">IF(H388&lt;&gt;"",E388,IF(E388="","",IFERROR(MATCH(TRUE(),INDEX(INDEX(K:K,E388+1):K203&lt;&gt;"",0),0)+E388,"")))</f>
        <v>530</v>
      </c>
      <c r="F389" s="684" cm="1">
        <f t="array" ref="F389">IF(E389="","",IF(H388&lt;&gt;"",H388,INDEX(D:D,E389)))</f>
        <v>0</v>
      </c>
      <c r="G389" s="684" t="str">
        <f t="shared" si="42"/>
        <v>0</v>
      </c>
      <c r="H389" s="685" t="str">
        <f t="shared" si="43"/>
        <v/>
      </c>
      <c r="I389" s="683" t="str">
        <f>IF(AND(F389&lt;&gt;"",N10&gt;0,M389&gt;N10),"Mot &gt; limite","")</f>
        <v/>
      </c>
      <c r="M389" s="638">
        <f>IF(OR(F389="",N10="",N10&lt;=0),"",IF(LEN(F389)&lt;=N10,LEN(F389),IFERROR(FIND("♦",SUBSTITUTE(LEFT(F389,N10)," ","♦",LEN(LEFT(F389,N10))-LEN(SUBSTITUTE(LEFT(F389,N10)," ","")))),FIND(" ",F389&amp;" ",N10+1)-1)))</f>
        <v>1</v>
      </c>
      <c r="N389" s="686">
        <f t="shared" si="44"/>
        <v>372</v>
      </c>
      <c r="O389" s="663" t="str">
        <f t="shared" si="45"/>
        <v>0</v>
      </c>
      <c r="P389" s="686">
        <f t="shared" si="46"/>
        <v>1</v>
      </c>
      <c r="Q389" s="686">
        <f t="shared" si="47"/>
        <v>1</v>
      </c>
      <c r="DE389" s="494"/>
      <c r="DF389" s="496" t="s">
        <v>1874</v>
      </c>
      <c r="DG389" s="496" t="s">
        <v>345</v>
      </c>
      <c r="DH389" s="496" t="s">
        <v>689</v>
      </c>
      <c r="DI389" s="496" t="s">
        <v>1875</v>
      </c>
      <c r="DJ389" s="496" t="s">
        <v>1876</v>
      </c>
      <c r="DK389" s="496" t="s">
        <v>1085</v>
      </c>
      <c r="DL389" s="496" t="s">
        <v>1807</v>
      </c>
      <c r="DM389" s="496" t="s">
        <v>1087</v>
      </c>
      <c r="DN389" s="497" t="s">
        <v>1088</v>
      </c>
      <c r="DP389" s="543">
        <v>1</v>
      </c>
    </row>
    <row r="390" spans="2:120" ht="15">
      <c r="B390" s="683"/>
      <c r="C390" s="683"/>
      <c r="D390" s="683"/>
      <c r="E390" s="683" cm="1">
        <f t="array" ref="E390">IF(H389&lt;&gt;"",E389,IF(E389="","",IFERROR(MATCH(TRUE(),INDEX(INDEX(K:K,E389+1):K203&lt;&gt;"",0),0)+E389,"")))</f>
        <v>531</v>
      </c>
      <c r="F390" s="684" cm="1">
        <f t="array" ref="F390">IF(E390="","",IF(H389&lt;&gt;"",H389,INDEX(D:D,E390)))</f>
        <v>0</v>
      </c>
      <c r="G390" s="684" t="str">
        <f t="shared" si="42"/>
        <v>0</v>
      </c>
      <c r="H390" s="685" t="str">
        <f t="shared" si="43"/>
        <v/>
      </c>
      <c r="I390" s="683" t="str">
        <f>IF(AND(F390&lt;&gt;"",N10&gt;0,M390&gt;N10),"Mot &gt; limite","")</f>
        <v/>
      </c>
      <c r="M390" s="638">
        <f>IF(OR(F390="",N10="",N10&lt;=0),"",IF(LEN(F390)&lt;=N10,LEN(F390),IFERROR(FIND("♦",SUBSTITUTE(LEFT(F390,N10)," ","♦",LEN(LEFT(F390,N10))-LEN(SUBSTITUTE(LEFT(F390,N10)," ","")))),FIND(" ",F390&amp;" ",N10+1)-1)))</f>
        <v>1</v>
      </c>
      <c r="N390" s="686">
        <f t="shared" si="44"/>
        <v>373</v>
      </c>
      <c r="O390" s="663" t="str">
        <f t="shared" si="45"/>
        <v>0</v>
      </c>
      <c r="P390" s="686">
        <f t="shared" si="46"/>
        <v>1</v>
      </c>
      <c r="Q390" s="686">
        <f t="shared" si="47"/>
        <v>1</v>
      </c>
      <c r="DE390" s="494"/>
      <c r="DF390" s="496" t="s">
        <v>1877</v>
      </c>
      <c r="DG390" s="496" t="s">
        <v>345</v>
      </c>
      <c r="DH390" s="496" t="s">
        <v>689</v>
      </c>
      <c r="DI390" s="496" t="s">
        <v>1878</v>
      </c>
      <c r="DJ390" s="496" t="s">
        <v>1879</v>
      </c>
      <c r="DK390" s="496" t="s">
        <v>1085</v>
      </c>
      <c r="DL390" s="496" t="s">
        <v>1807</v>
      </c>
      <c r="DM390" s="496" t="s">
        <v>1087</v>
      </c>
      <c r="DN390" s="497" t="s">
        <v>1088</v>
      </c>
      <c r="DP390" s="543">
        <v>1</v>
      </c>
    </row>
    <row r="391" spans="2:120" ht="15">
      <c r="B391" s="683"/>
      <c r="C391" s="683"/>
      <c r="D391" s="683"/>
      <c r="E391" s="683" cm="1">
        <f t="array" ref="E391">IF(H390&lt;&gt;"",E390,IF(E390="","",IFERROR(MATCH(TRUE(),INDEX(INDEX(K:K,E390+1):K203&lt;&gt;"",0),0)+E390,"")))</f>
        <v>532</v>
      </c>
      <c r="F391" s="684" cm="1">
        <f t="array" ref="F391">IF(E391="","",IF(H390&lt;&gt;"",H390,INDEX(D:D,E391)))</f>
        <v>0</v>
      </c>
      <c r="G391" s="684" t="str">
        <f t="shared" si="42"/>
        <v>0</v>
      </c>
      <c r="H391" s="685" t="str">
        <f t="shared" si="43"/>
        <v/>
      </c>
      <c r="I391" s="683" t="str">
        <f>IF(AND(F391&lt;&gt;"",N10&gt;0,M391&gt;N10),"Mot &gt; limite","")</f>
        <v/>
      </c>
      <c r="M391" s="638">
        <f>IF(OR(F391="",N10="",N10&lt;=0),"",IF(LEN(F391)&lt;=N10,LEN(F391),IFERROR(FIND("♦",SUBSTITUTE(LEFT(F391,N10)," ","♦",LEN(LEFT(F391,N10))-LEN(SUBSTITUTE(LEFT(F391,N10)," ","")))),FIND(" ",F391&amp;" ",N10+1)-1)))</f>
        <v>1</v>
      </c>
      <c r="N391" s="686">
        <f t="shared" si="44"/>
        <v>374</v>
      </c>
      <c r="O391" s="663" t="str">
        <f t="shared" si="45"/>
        <v>0</v>
      </c>
      <c r="P391" s="686">
        <f t="shared" si="46"/>
        <v>1</v>
      </c>
      <c r="Q391" s="686">
        <f t="shared" si="47"/>
        <v>1</v>
      </c>
      <c r="DE391" s="494"/>
      <c r="DF391" s="496" t="s">
        <v>1880</v>
      </c>
      <c r="DG391" s="496" t="s">
        <v>345</v>
      </c>
      <c r="DH391" s="496" t="s">
        <v>689</v>
      </c>
      <c r="DI391" s="496" t="s">
        <v>353</v>
      </c>
      <c r="DJ391" s="496" t="s">
        <v>0</v>
      </c>
      <c r="DK391" s="496" t="s">
        <v>1085</v>
      </c>
      <c r="DL391" s="496" t="s">
        <v>1807</v>
      </c>
      <c r="DM391" s="496" t="s">
        <v>1087</v>
      </c>
      <c r="DN391" s="497" t="s">
        <v>1088</v>
      </c>
      <c r="DP391" s="543">
        <v>1</v>
      </c>
    </row>
    <row r="392" spans="2:120" ht="15">
      <c r="B392" s="683"/>
      <c r="C392" s="683"/>
      <c r="D392" s="683"/>
      <c r="E392" s="683" cm="1">
        <f t="array" ref="E392">IF(H391&lt;&gt;"",E391,IF(E391="","",IFERROR(MATCH(TRUE(),INDEX(INDEX(K:K,E391+1):K203&lt;&gt;"",0),0)+E391,"")))</f>
        <v>533</v>
      </c>
      <c r="F392" s="684" cm="1">
        <f t="array" ref="F392">IF(E392="","",IF(H391&lt;&gt;"",H391,INDEX(D:D,E392)))</f>
        <v>0</v>
      </c>
      <c r="G392" s="684" t="str">
        <f t="shared" si="42"/>
        <v>0</v>
      </c>
      <c r="H392" s="685" t="str">
        <f t="shared" si="43"/>
        <v/>
      </c>
      <c r="I392" s="683" t="str">
        <f>IF(AND(F392&lt;&gt;"",N10&gt;0,M392&gt;N10),"Mot &gt; limite","")</f>
        <v/>
      </c>
      <c r="M392" s="638">
        <f>IF(OR(F392="",N10="",N10&lt;=0),"",IF(LEN(F392)&lt;=N10,LEN(F392),IFERROR(FIND("♦",SUBSTITUTE(LEFT(F392,N10)," ","♦",LEN(LEFT(F392,N10))-LEN(SUBSTITUTE(LEFT(F392,N10)," ","")))),FIND(" ",F392&amp;" ",N10+1)-1)))</f>
        <v>1</v>
      </c>
      <c r="N392" s="686">
        <f t="shared" si="44"/>
        <v>375</v>
      </c>
      <c r="O392" s="663" t="str">
        <f t="shared" si="45"/>
        <v>0</v>
      </c>
      <c r="P392" s="686">
        <f t="shared" si="46"/>
        <v>1</v>
      </c>
      <c r="Q392" s="686">
        <f t="shared" si="47"/>
        <v>1</v>
      </c>
      <c r="DE392" s="494"/>
      <c r="DF392" s="496" t="s">
        <v>1881</v>
      </c>
      <c r="DG392" s="496" t="s">
        <v>345</v>
      </c>
      <c r="DH392" s="496" t="s">
        <v>689</v>
      </c>
      <c r="DI392" s="496" t="s">
        <v>1882</v>
      </c>
      <c r="DJ392" s="496" t="s">
        <v>1070</v>
      </c>
      <c r="DK392" s="496" t="s">
        <v>1085</v>
      </c>
      <c r="DL392" s="496" t="s">
        <v>1807</v>
      </c>
      <c r="DM392" s="496" t="s">
        <v>1087</v>
      </c>
      <c r="DN392" s="497" t="s">
        <v>1088</v>
      </c>
      <c r="DP392" s="543">
        <v>1</v>
      </c>
    </row>
    <row r="393" spans="2:120" ht="15">
      <c r="B393" s="683"/>
      <c r="C393" s="683"/>
      <c r="D393" s="683"/>
      <c r="E393" s="683" cm="1">
        <f t="array" ref="E393">IF(H392&lt;&gt;"",E392,IF(E392="","",IFERROR(MATCH(TRUE(),INDEX(INDEX(K:K,E392+1):K203&lt;&gt;"",0),0)+E392,"")))</f>
        <v>534</v>
      </c>
      <c r="F393" s="684" cm="1">
        <f t="array" ref="F393">IF(E393="","",IF(H392&lt;&gt;"",H392,INDEX(D:D,E393)))</f>
        <v>0</v>
      </c>
      <c r="G393" s="684" t="str">
        <f t="shared" si="42"/>
        <v>0</v>
      </c>
      <c r="H393" s="685" t="str">
        <f t="shared" si="43"/>
        <v/>
      </c>
      <c r="I393" s="683" t="str">
        <f>IF(AND(F393&lt;&gt;"",N10&gt;0,M393&gt;N10),"Mot &gt; limite","")</f>
        <v/>
      </c>
      <c r="M393" s="638">
        <f>IF(OR(F393="",N10="",N10&lt;=0),"",IF(LEN(F393)&lt;=N10,LEN(F393),IFERROR(FIND("♦",SUBSTITUTE(LEFT(F393,N10)," ","♦",LEN(LEFT(F393,N10))-LEN(SUBSTITUTE(LEFT(F393,N10)," ","")))),FIND(" ",F393&amp;" ",N10+1)-1)))</f>
        <v>1</v>
      </c>
      <c r="N393" s="686">
        <f t="shared" si="44"/>
        <v>376</v>
      </c>
      <c r="O393" s="663" t="str">
        <f t="shared" si="45"/>
        <v>0</v>
      </c>
      <c r="P393" s="686">
        <f t="shared" si="46"/>
        <v>1</v>
      </c>
      <c r="Q393" s="686">
        <f t="shared" si="47"/>
        <v>1</v>
      </c>
      <c r="DE393" s="494"/>
      <c r="DF393" s="496" t="s">
        <v>1883</v>
      </c>
      <c r="DG393" s="496" t="s">
        <v>345</v>
      </c>
      <c r="DH393" s="496" t="s">
        <v>689</v>
      </c>
      <c r="DI393" s="496" t="s">
        <v>354</v>
      </c>
      <c r="DJ393" s="496" t="s">
        <v>354</v>
      </c>
      <c r="DK393" s="496" t="s">
        <v>1085</v>
      </c>
      <c r="DL393" s="496" t="s">
        <v>1807</v>
      </c>
      <c r="DM393" s="496" t="s">
        <v>1087</v>
      </c>
      <c r="DN393" s="497" t="s">
        <v>1088</v>
      </c>
      <c r="DP393" s="543">
        <v>1</v>
      </c>
    </row>
    <row r="394" spans="2:120" ht="15">
      <c r="B394" s="683"/>
      <c r="C394" s="683"/>
      <c r="D394" s="683"/>
      <c r="E394" s="683" cm="1">
        <f t="array" ref="E394">IF(H393&lt;&gt;"",E393,IF(E393="","",IFERROR(MATCH(TRUE(),INDEX(INDEX(K:K,E393+1):K203&lt;&gt;"",0),0)+E393,"")))</f>
        <v>535</v>
      </c>
      <c r="F394" s="684" cm="1">
        <f t="array" ref="F394">IF(E394="","",IF(H393&lt;&gt;"",H393,INDEX(D:D,E394)))</f>
        <v>0</v>
      </c>
      <c r="G394" s="684" t="str">
        <f t="shared" si="42"/>
        <v>0</v>
      </c>
      <c r="H394" s="685" t="str">
        <f t="shared" si="43"/>
        <v/>
      </c>
      <c r="I394" s="683" t="str">
        <f>IF(AND(F394&lt;&gt;"",N10&gt;0,M394&gt;N10),"Mot &gt; limite","")</f>
        <v/>
      </c>
      <c r="M394" s="638">
        <f>IF(OR(F394="",N10="",N10&lt;=0),"",IF(LEN(F394)&lt;=N10,LEN(F394),IFERROR(FIND("♦",SUBSTITUTE(LEFT(F394,N10)," ","♦",LEN(LEFT(F394,N10))-LEN(SUBSTITUTE(LEFT(F394,N10)," ","")))),FIND(" ",F394&amp;" ",N10+1)-1)))</f>
        <v>1</v>
      </c>
      <c r="N394" s="686">
        <f t="shared" si="44"/>
        <v>377</v>
      </c>
      <c r="O394" s="663" t="str">
        <f t="shared" si="45"/>
        <v>0</v>
      </c>
      <c r="P394" s="686">
        <f t="shared" si="46"/>
        <v>1</v>
      </c>
      <c r="Q394" s="686">
        <f t="shared" si="47"/>
        <v>1</v>
      </c>
      <c r="DE394" s="494"/>
      <c r="DF394" s="496" t="s">
        <v>1884</v>
      </c>
      <c r="DG394" s="496" t="s">
        <v>345</v>
      </c>
      <c r="DH394" s="496" t="s">
        <v>689</v>
      </c>
      <c r="DI394" s="496" t="s">
        <v>133</v>
      </c>
      <c r="DJ394" s="496" t="s">
        <v>133</v>
      </c>
      <c r="DK394" s="496" t="s">
        <v>1085</v>
      </c>
      <c r="DL394" s="496" t="s">
        <v>1807</v>
      </c>
      <c r="DM394" s="496" t="s">
        <v>1087</v>
      </c>
      <c r="DN394" s="497" t="s">
        <v>1088</v>
      </c>
      <c r="DP394" s="543">
        <v>1</v>
      </c>
    </row>
    <row r="395" spans="2:120" ht="15">
      <c r="B395" s="683"/>
      <c r="C395" s="683"/>
      <c r="D395" s="683"/>
      <c r="E395" s="683" cm="1">
        <f t="array" ref="E395">IF(H394&lt;&gt;"",E394,IF(E394="","",IFERROR(MATCH(TRUE(),INDEX(INDEX(K:K,E394+1):K203&lt;&gt;"",0),0)+E394,"")))</f>
        <v>536</v>
      </c>
      <c r="F395" s="684" cm="1">
        <f t="array" ref="F395">IF(E395="","",IF(H394&lt;&gt;"",H394,INDEX(D:D,E395)))</f>
        <v>0</v>
      </c>
      <c r="G395" s="684" t="str">
        <f t="shared" si="42"/>
        <v>0</v>
      </c>
      <c r="H395" s="685" t="str">
        <f t="shared" si="43"/>
        <v/>
      </c>
      <c r="I395" s="683" t="str">
        <f>IF(AND(F395&lt;&gt;"",N10&gt;0,M395&gt;N10),"Mot &gt; limite","")</f>
        <v/>
      </c>
      <c r="M395" s="638">
        <f>IF(OR(F395="",N10="",N10&lt;=0),"",IF(LEN(F395)&lt;=N10,LEN(F395),IFERROR(FIND("♦",SUBSTITUTE(LEFT(F395,N10)," ","♦",LEN(LEFT(F395,N10))-LEN(SUBSTITUTE(LEFT(F395,N10)," ","")))),FIND(" ",F395&amp;" ",N10+1)-1)))</f>
        <v>1</v>
      </c>
      <c r="N395" s="686">
        <f t="shared" si="44"/>
        <v>378</v>
      </c>
      <c r="O395" s="663" t="str">
        <f t="shared" si="45"/>
        <v>0</v>
      </c>
      <c r="P395" s="686">
        <f t="shared" si="46"/>
        <v>1</v>
      </c>
      <c r="Q395" s="686">
        <f t="shared" si="47"/>
        <v>1</v>
      </c>
      <c r="DE395" s="494"/>
      <c r="DF395" s="496" t="s">
        <v>1885</v>
      </c>
      <c r="DG395" s="496" t="s">
        <v>345</v>
      </c>
      <c r="DH395" s="496" t="s">
        <v>689</v>
      </c>
      <c r="DI395" s="496" t="s">
        <v>1886</v>
      </c>
      <c r="DJ395" s="496" t="s">
        <v>1886</v>
      </c>
      <c r="DK395" s="496" t="s">
        <v>1085</v>
      </c>
      <c r="DL395" s="496" t="s">
        <v>1807</v>
      </c>
      <c r="DM395" s="496" t="s">
        <v>1087</v>
      </c>
      <c r="DN395" s="497" t="s">
        <v>1088</v>
      </c>
      <c r="DP395" s="543">
        <v>1</v>
      </c>
    </row>
    <row r="396" spans="2:120" ht="15">
      <c r="B396" s="683"/>
      <c r="C396" s="683"/>
      <c r="D396" s="683"/>
      <c r="E396" s="683" cm="1">
        <f t="array" ref="E396">IF(H395&lt;&gt;"",E395,IF(E395="","",IFERROR(MATCH(TRUE(),INDEX(INDEX(K:K,E395+1):K203&lt;&gt;"",0),0)+E395,"")))</f>
        <v>537</v>
      </c>
      <c r="F396" s="684" cm="1">
        <f t="array" ref="F396">IF(E396="","",IF(H395&lt;&gt;"",H395,INDEX(D:D,E396)))</f>
        <v>0</v>
      </c>
      <c r="G396" s="684" t="str">
        <f t="shared" si="42"/>
        <v>0</v>
      </c>
      <c r="H396" s="685" t="str">
        <f t="shared" si="43"/>
        <v/>
      </c>
      <c r="I396" s="683" t="str">
        <f>IF(AND(F396&lt;&gt;"",N10&gt;0,M396&gt;N10),"Mot &gt; limite","")</f>
        <v/>
      </c>
      <c r="M396" s="638">
        <f>IF(OR(F396="",N10="",N10&lt;=0),"",IF(LEN(F396)&lt;=N10,LEN(F396),IFERROR(FIND("♦",SUBSTITUTE(LEFT(F396,N10)," ","♦",LEN(LEFT(F396,N10))-LEN(SUBSTITUTE(LEFT(F396,N10)," ","")))),FIND(" ",F396&amp;" ",N10+1)-1)))</f>
        <v>1</v>
      </c>
      <c r="N396" s="686">
        <f t="shared" si="44"/>
        <v>379</v>
      </c>
      <c r="O396" s="663" t="str">
        <f t="shared" si="45"/>
        <v>0</v>
      </c>
      <c r="P396" s="686">
        <f t="shared" si="46"/>
        <v>1</v>
      </c>
      <c r="Q396" s="686">
        <f t="shared" si="47"/>
        <v>1</v>
      </c>
      <c r="DE396" s="494"/>
      <c r="DF396" s="496" t="s">
        <v>1887</v>
      </c>
      <c r="DG396" s="496" t="s">
        <v>345</v>
      </c>
      <c r="DH396" s="496" t="s">
        <v>689</v>
      </c>
      <c r="DI396" s="496" t="s">
        <v>1888</v>
      </c>
      <c r="DJ396" s="496" t="s">
        <v>1889</v>
      </c>
      <c r="DK396" s="496" t="s">
        <v>1085</v>
      </c>
      <c r="DL396" s="496" t="s">
        <v>1807</v>
      </c>
      <c r="DM396" s="496" t="s">
        <v>1087</v>
      </c>
      <c r="DN396" s="497" t="s">
        <v>1088</v>
      </c>
      <c r="DP396" s="543">
        <v>1</v>
      </c>
    </row>
    <row r="397" spans="2:120" ht="15">
      <c r="B397" s="683"/>
      <c r="C397" s="683"/>
      <c r="D397" s="683"/>
      <c r="E397" s="683" cm="1">
        <f t="array" ref="E397">IF(H396&lt;&gt;"",E396,IF(E396="","",IFERROR(MATCH(TRUE(),INDEX(INDEX(K:K,E396+1):K203&lt;&gt;"",0),0)+E396,"")))</f>
        <v>538</v>
      </c>
      <c r="F397" s="684" cm="1">
        <f t="array" ref="F397">IF(E397="","",IF(H396&lt;&gt;"",H396,INDEX(D:D,E397)))</f>
        <v>0</v>
      </c>
      <c r="G397" s="684" t="str">
        <f t="shared" si="42"/>
        <v>0</v>
      </c>
      <c r="H397" s="685" t="str">
        <f t="shared" si="43"/>
        <v/>
      </c>
      <c r="I397" s="683" t="str">
        <f>IF(AND(F397&lt;&gt;"",N10&gt;0,M397&gt;N10),"Mot &gt; limite","")</f>
        <v/>
      </c>
      <c r="M397" s="638">
        <f>IF(OR(F397="",N10="",N10&lt;=0),"",IF(LEN(F397)&lt;=N10,LEN(F397),IFERROR(FIND("♦",SUBSTITUTE(LEFT(F397,N10)," ","♦",LEN(LEFT(F397,N10))-LEN(SUBSTITUTE(LEFT(F397,N10)," ","")))),FIND(" ",F397&amp;" ",N10+1)-1)))</f>
        <v>1</v>
      </c>
      <c r="N397" s="686">
        <f t="shared" si="44"/>
        <v>380</v>
      </c>
      <c r="O397" s="663" t="str">
        <f t="shared" si="45"/>
        <v>0</v>
      </c>
      <c r="P397" s="686">
        <f t="shared" si="46"/>
        <v>1</v>
      </c>
      <c r="Q397" s="686">
        <f t="shared" si="47"/>
        <v>1</v>
      </c>
      <c r="DE397" s="494"/>
      <c r="DF397" s="496" t="s">
        <v>1890</v>
      </c>
      <c r="DG397" s="496" t="s">
        <v>345</v>
      </c>
      <c r="DH397" s="496" t="s">
        <v>689</v>
      </c>
      <c r="DI397" s="496" t="s">
        <v>144</v>
      </c>
      <c r="DJ397" s="496" t="s">
        <v>144</v>
      </c>
      <c r="DK397" s="496" t="s">
        <v>1085</v>
      </c>
      <c r="DL397" s="496" t="s">
        <v>1807</v>
      </c>
      <c r="DM397" s="496" t="s">
        <v>1087</v>
      </c>
      <c r="DN397" s="497" t="s">
        <v>1088</v>
      </c>
      <c r="DP397" s="543">
        <v>1</v>
      </c>
    </row>
    <row r="398" spans="2:120" ht="15">
      <c r="B398" s="683"/>
      <c r="C398" s="683"/>
      <c r="D398" s="683"/>
      <c r="E398" s="683" cm="1">
        <f t="array" ref="E398">IF(H397&lt;&gt;"",E397,IF(E397="","",IFERROR(MATCH(TRUE(),INDEX(INDEX(K:K,E397+1):K203&lt;&gt;"",0),0)+E397,"")))</f>
        <v>539</v>
      </c>
      <c r="F398" s="684" cm="1">
        <f t="array" ref="F398">IF(E398="","",IF(H397&lt;&gt;"",H397,INDEX(D:D,E398)))</f>
        <v>0</v>
      </c>
      <c r="G398" s="684" t="str">
        <f t="shared" si="42"/>
        <v>0</v>
      </c>
      <c r="H398" s="685" t="str">
        <f t="shared" si="43"/>
        <v/>
      </c>
      <c r="I398" s="683" t="str">
        <f>IF(AND(F398&lt;&gt;"",N10&gt;0,M398&gt;N10),"Mot &gt; limite","")</f>
        <v/>
      </c>
      <c r="M398" s="638">
        <f>IF(OR(F398="",N10="",N10&lt;=0),"",IF(LEN(F398)&lt;=N10,LEN(F398),IFERROR(FIND("♦",SUBSTITUTE(LEFT(F398,N10)," ","♦",LEN(LEFT(F398,N10))-LEN(SUBSTITUTE(LEFT(F398,N10)," ","")))),FIND(" ",F398&amp;" ",N10+1)-1)))</f>
        <v>1</v>
      </c>
      <c r="N398" s="686">
        <f t="shared" si="44"/>
        <v>381</v>
      </c>
      <c r="O398" s="663" t="str">
        <f t="shared" si="45"/>
        <v>0</v>
      </c>
      <c r="P398" s="686">
        <f t="shared" si="46"/>
        <v>1</v>
      </c>
      <c r="Q398" s="686">
        <f t="shared" si="47"/>
        <v>1</v>
      </c>
      <c r="DE398" s="494"/>
      <c r="DF398" s="496" t="s">
        <v>1891</v>
      </c>
      <c r="DG398" s="496" t="s">
        <v>345</v>
      </c>
      <c r="DH398" s="496" t="s">
        <v>689</v>
      </c>
      <c r="DI398" s="496" t="s">
        <v>153</v>
      </c>
      <c r="DJ398" s="496" t="s">
        <v>153</v>
      </c>
      <c r="DK398" s="496" t="s">
        <v>1085</v>
      </c>
      <c r="DL398" s="496" t="s">
        <v>1807</v>
      </c>
      <c r="DM398" s="496" t="s">
        <v>1087</v>
      </c>
      <c r="DN398" s="497" t="s">
        <v>1088</v>
      </c>
      <c r="DP398" s="543">
        <v>1</v>
      </c>
    </row>
    <row r="399" spans="2:120" ht="15">
      <c r="B399" s="683"/>
      <c r="C399" s="683"/>
      <c r="D399" s="683"/>
      <c r="E399" s="683" cm="1">
        <f t="array" ref="E399">IF(H398&lt;&gt;"",E398,IF(E398="","",IFERROR(MATCH(TRUE(),INDEX(INDEX(K:K,E398+1):K203&lt;&gt;"",0),0)+E398,"")))</f>
        <v>540</v>
      </c>
      <c r="F399" s="684" cm="1">
        <f t="array" ref="F399">IF(E399="","",IF(H398&lt;&gt;"",H398,INDEX(D:D,E399)))</f>
        <v>0</v>
      </c>
      <c r="G399" s="684" t="str">
        <f t="shared" si="42"/>
        <v>0</v>
      </c>
      <c r="H399" s="685" t="str">
        <f t="shared" si="43"/>
        <v/>
      </c>
      <c r="I399" s="683" t="str">
        <f>IF(AND(F399&lt;&gt;"",N10&gt;0,M399&gt;N10),"Mot &gt; limite","")</f>
        <v/>
      </c>
      <c r="M399" s="638">
        <f>IF(OR(F399="",N10="",N10&lt;=0),"",IF(LEN(F399)&lt;=N10,LEN(F399),IFERROR(FIND("♦",SUBSTITUTE(LEFT(F399,N10)," ","♦",LEN(LEFT(F399,N10))-LEN(SUBSTITUTE(LEFT(F399,N10)," ","")))),FIND(" ",F399&amp;" ",N10+1)-1)))</f>
        <v>1</v>
      </c>
      <c r="N399" s="686">
        <f t="shared" si="44"/>
        <v>382</v>
      </c>
      <c r="O399" s="663" t="str">
        <f t="shared" si="45"/>
        <v>0</v>
      </c>
      <c r="P399" s="686">
        <f t="shared" si="46"/>
        <v>1</v>
      </c>
      <c r="Q399" s="686">
        <f t="shared" si="47"/>
        <v>1</v>
      </c>
      <c r="DE399" s="494"/>
      <c r="DF399" s="496" t="s">
        <v>1892</v>
      </c>
      <c r="DG399" s="496" t="s">
        <v>345</v>
      </c>
      <c r="DH399" s="496" t="s">
        <v>689</v>
      </c>
      <c r="DI399" s="496" t="s">
        <v>1893</v>
      </c>
      <c r="DJ399" s="496" t="s">
        <v>1894</v>
      </c>
      <c r="DK399" s="496" t="s">
        <v>1085</v>
      </c>
      <c r="DL399" s="496" t="s">
        <v>1807</v>
      </c>
      <c r="DM399" s="496" t="s">
        <v>1087</v>
      </c>
      <c r="DN399" s="497" t="s">
        <v>1088</v>
      </c>
      <c r="DP399" s="543">
        <v>1</v>
      </c>
    </row>
    <row r="400" spans="2:120" ht="15">
      <c r="B400" s="683"/>
      <c r="C400" s="683"/>
      <c r="D400" s="683"/>
      <c r="E400" s="683" cm="1">
        <f t="array" ref="E400">IF(H399&lt;&gt;"",E399,IF(E399="","",IFERROR(MATCH(TRUE(),INDEX(INDEX(K:K,E399+1):K203&lt;&gt;"",0),0)+E399,"")))</f>
        <v>541</v>
      </c>
      <c r="F400" s="684" cm="1">
        <f t="array" ref="F400">IF(E400="","",IF(H399&lt;&gt;"",H399,INDEX(D:D,E400)))</f>
        <v>0</v>
      </c>
      <c r="G400" s="684" t="str">
        <f t="shared" si="42"/>
        <v>0</v>
      </c>
      <c r="H400" s="685" t="str">
        <f t="shared" si="43"/>
        <v/>
      </c>
      <c r="I400" s="683" t="str">
        <f>IF(AND(F400&lt;&gt;"",N10&gt;0,M400&gt;N10),"Mot &gt; limite","")</f>
        <v/>
      </c>
      <c r="M400" s="638">
        <f>IF(OR(F400="",N10="",N10&lt;=0),"",IF(LEN(F400)&lt;=N10,LEN(F400),IFERROR(FIND("♦",SUBSTITUTE(LEFT(F400,N10)," ","♦",LEN(LEFT(F400,N10))-LEN(SUBSTITUTE(LEFT(F400,N10)," ","")))),FIND(" ",F400&amp;" ",N10+1)-1)))</f>
        <v>1</v>
      </c>
      <c r="N400" s="686">
        <f t="shared" si="44"/>
        <v>383</v>
      </c>
      <c r="O400" s="663" t="str">
        <f t="shared" si="45"/>
        <v>0</v>
      </c>
      <c r="P400" s="686">
        <f t="shared" si="46"/>
        <v>1</v>
      </c>
      <c r="Q400" s="686">
        <f t="shared" si="47"/>
        <v>1</v>
      </c>
      <c r="DE400" s="494"/>
      <c r="DF400" s="496" t="s">
        <v>1895</v>
      </c>
      <c r="DG400" s="496" t="s">
        <v>345</v>
      </c>
      <c r="DH400" s="496" t="s">
        <v>689</v>
      </c>
      <c r="DI400" s="496" t="s">
        <v>1350</v>
      </c>
      <c r="DJ400" s="496" t="s">
        <v>1071</v>
      </c>
      <c r="DK400" s="496" t="s">
        <v>1085</v>
      </c>
      <c r="DL400" s="496" t="s">
        <v>1807</v>
      </c>
      <c r="DM400" s="496" t="s">
        <v>1087</v>
      </c>
      <c r="DN400" s="497" t="s">
        <v>1088</v>
      </c>
      <c r="DP400" s="543">
        <v>1</v>
      </c>
    </row>
    <row r="401" spans="2:120" ht="15">
      <c r="B401" s="683"/>
      <c r="C401" s="683"/>
      <c r="D401" s="683"/>
      <c r="E401" s="683" cm="1">
        <f t="array" ref="E401">IF(H400&lt;&gt;"",E400,IF(E400="","",IFERROR(MATCH(TRUE(),INDEX(INDEX(K:K,E400+1):K203&lt;&gt;"",0),0)+E400,"")))</f>
        <v>542</v>
      </c>
      <c r="F401" s="684" cm="1">
        <f t="array" ref="F401">IF(E401="","",IF(H400&lt;&gt;"",H400,INDEX(D:D,E401)))</f>
        <v>0</v>
      </c>
      <c r="G401" s="684" t="str">
        <f t="shared" si="42"/>
        <v>0</v>
      </c>
      <c r="H401" s="685" t="str">
        <f t="shared" si="43"/>
        <v/>
      </c>
      <c r="I401" s="683" t="str">
        <f>IF(AND(F401&lt;&gt;"",N10&gt;0,M401&gt;N10),"Mot &gt; limite","")</f>
        <v/>
      </c>
      <c r="M401" s="638">
        <f>IF(OR(F401="",N10="",N10&lt;=0),"",IF(LEN(F401)&lt;=N10,LEN(F401),IFERROR(FIND("♦",SUBSTITUTE(LEFT(F401,N10)," ","♦",LEN(LEFT(F401,N10))-LEN(SUBSTITUTE(LEFT(F401,N10)," ","")))),FIND(" ",F401&amp;" ",N10+1)-1)))</f>
        <v>1</v>
      </c>
      <c r="N401" s="686">
        <f t="shared" si="44"/>
        <v>384</v>
      </c>
      <c r="O401" s="663" t="str">
        <f t="shared" si="45"/>
        <v>0</v>
      </c>
      <c r="P401" s="686">
        <f t="shared" si="46"/>
        <v>1</v>
      </c>
      <c r="Q401" s="686">
        <f t="shared" si="47"/>
        <v>1</v>
      </c>
      <c r="DE401" s="494"/>
      <c r="DF401" s="496" t="s">
        <v>1896</v>
      </c>
      <c r="DG401" s="496" t="s">
        <v>345</v>
      </c>
      <c r="DH401" s="496" t="s">
        <v>689</v>
      </c>
      <c r="DI401" s="496" t="s">
        <v>1897</v>
      </c>
      <c r="DJ401" s="496" t="s">
        <v>106</v>
      </c>
      <c r="DK401" s="496" t="s">
        <v>1085</v>
      </c>
      <c r="DL401" s="496" t="s">
        <v>1807</v>
      </c>
      <c r="DM401" s="496" t="s">
        <v>1087</v>
      </c>
      <c r="DN401" s="497" t="s">
        <v>1088</v>
      </c>
      <c r="DP401" s="543">
        <v>1</v>
      </c>
    </row>
    <row r="402" spans="2:120" ht="15">
      <c r="B402" s="683"/>
      <c r="C402" s="683"/>
      <c r="D402" s="683"/>
      <c r="E402" s="683" cm="1">
        <f t="array" ref="E402">IF(H401&lt;&gt;"",E401,IF(E401="","",IFERROR(MATCH(TRUE(),INDEX(INDEX(K:K,E401+1):K203&lt;&gt;"",0),0)+E401,"")))</f>
        <v>543</v>
      </c>
      <c r="F402" s="684" cm="1">
        <f t="array" ref="F402">IF(E402="","",IF(H401&lt;&gt;"",H401,INDEX(D:D,E402)))</f>
        <v>0</v>
      </c>
      <c r="G402" s="684" t="str">
        <f t="shared" ref="G402:G465" si="48">IF(OR(F402="",M402=""),"",LEFT(F402,M402))</f>
        <v>0</v>
      </c>
      <c r="H402" s="685" t="str">
        <f t="shared" ref="H402:H465" si="49">IF(OR(F402="",M402=""),"",TRIM(MID(F402,M402+1,99999)))</f>
        <v/>
      </c>
      <c r="I402" s="683" t="str">
        <f>IF(AND(F402&lt;&gt;"",N10&gt;0,M402&gt;N10),"Mot &gt; limite","")</f>
        <v/>
      </c>
      <c r="M402" s="638">
        <f>IF(OR(F402="",N10="",N10&lt;=0),"",IF(LEN(F402)&lt;=N10,LEN(F402),IFERROR(FIND("♦",SUBSTITUTE(LEFT(F402,N10)," ","♦",LEN(LEFT(F402,N10))-LEN(SUBSTITUTE(LEFT(F402,N10)," ","")))),FIND(" ",F402&amp;" ",N10+1)-1)))</f>
        <v>1</v>
      </c>
      <c r="N402" s="686">
        <f t="shared" ref="N402:N465" si="50">IF(O402="","",ROW()-17)</f>
        <v>385</v>
      </c>
      <c r="O402" s="663" t="str">
        <f t="shared" ref="O402:O465" si="51">G402</f>
        <v>0</v>
      </c>
      <c r="P402" s="686">
        <f t="shared" ref="P402:P465" si="52">IF(O402="","",LEN(TRIM(O402))-LEN(SUBSTITUTE(TRIM(O402)," ",""))+1)</f>
        <v>1</v>
      </c>
      <c r="Q402" s="686">
        <f t="shared" ref="Q402:Q465" si="53">IF(O402="","",LEN(O402))</f>
        <v>1</v>
      </c>
      <c r="DE402" s="494"/>
      <c r="DF402" s="496" t="s">
        <v>1898</v>
      </c>
      <c r="DG402" s="496" t="s">
        <v>345</v>
      </c>
      <c r="DH402" s="496" t="s">
        <v>689</v>
      </c>
      <c r="DI402" s="496" t="s">
        <v>920</v>
      </c>
      <c r="DJ402" s="496" t="s">
        <v>920</v>
      </c>
      <c r="DK402" s="496" t="s">
        <v>1085</v>
      </c>
      <c r="DL402" s="496" t="s">
        <v>1807</v>
      </c>
      <c r="DM402" s="496" t="s">
        <v>1087</v>
      </c>
      <c r="DN402" s="497" t="s">
        <v>1088</v>
      </c>
      <c r="DP402" s="543">
        <v>1</v>
      </c>
    </row>
    <row r="403" spans="2:120" ht="15">
      <c r="B403" s="683"/>
      <c r="C403" s="683"/>
      <c r="D403" s="683"/>
      <c r="E403" s="683" cm="1">
        <f t="array" ref="E403">IF(H402&lt;&gt;"",E402,IF(E402="","",IFERROR(MATCH(TRUE(),INDEX(INDEX(K:K,E402+1):K203&lt;&gt;"",0),0)+E402,"")))</f>
        <v>544</v>
      </c>
      <c r="F403" s="684" cm="1">
        <f t="array" ref="F403">IF(E403="","",IF(H402&lt;&gt;"",H402,INDEX(D:D,E403)))</f>
        <v>0</v>
      </c>
      <c r="G403" s="684" t="str">
        <f t="shared" si="48"/>
        <v>0</v>
      </c>
      <c r="H403" s="685" t="str">
        <f t="shared" si="49"/>
        <v/>
      </c>
      <c r="I403" s="683" t="str">
        <f>IF(AND(F403&lt;&gt;"",N10&gt;0,M403&gt;N10),"Mot &gt; limite","")</f>
        <v/>
      </c>
      <c r="M403" s="638">
        <f>IF(OR(F403="",N10="",N10&lt;=0),"",IF(LEN(F403)&lt;=N10,LEN(F403),IFERROR(FIND("♦",SUBSTITUTE(LEFT(F403,N10)," ","♦",LEN(LEFT(F403,N10))-LEN(SUBSTITUTE(LEFT(F403,N10)," ","")))),FIND(" ",F403&amp;" ",N10+1)-1)))</f>
        <v>1</v>
      </c>
      <c r="N403" s="686">
        <f t="shared" si="50"/>
        <v>386</v>
      </c>
      <c r="O403" s="663" t="str">
        <f t="shared" si="51"/>
        <v>0</v>
      </c>
      <c r="P403" s="686">
        <f t="shared" si="52"/>
        <v>1</v>
      </c>
      <c r="Q403" s="686">
        <f t="shared" si="53"/>
        <v>1</v>
      </c>
      <c r="DE403" s="494"/>
      <c r="DF403" s="496" t="s">
        <v>1899</v>
      </c>
      <c r="DG403" s="496" t="s">
        <v>345</v>
      </c>
      <c r="DH403" s="496" t="s">
        <v>689</v>
      </c>
      <c r="DI403" s="496" t="s">
        <v>1900</v>
      </c>
      <c r="DJ403" s="496" t="s">
        <v>1900</v>
      </c>
      <c r="DK403" s="496" t="s">
        <v>1085</v>
      </c>
      <c r="DL403" s="496" t="s">
        <v>1807</v>
      </c>
      <c r="DM403" s="496" t="s">
        <v>1087</v>
      </c>
      <c r="DN403" s="497" t="s">
        <v>1088</v>
      </c>
      <c r="DP403" s="543">
        <v>1</v>
      </c>
    </row>
    <row r="404" spans="2:120" ht="15">
      <c r="B404" s="683"/>
      <c r="C404" s="683"/>
      <c r="D404" s="683"/>
      <c r="E404" s="683" cm="1">
        <f t="array" ref="E404">IF(H403&lt;&gt;"",E403,IF(E403="","",IFERROR(MATCH(TRUE(),INDEX(INDEX(K:K,E403+1):K203&lt;&gt;"",0),0)+E403,"")))</f>
        <v>545</v>
      </c>
      <c r="F404" s="684" cm="1">
        <f t="array" ref="F404">IF(E404="","",IF(H403&lt;&gt;"",H403,INDEX(D:D,E404)))</f>
        <v>0</v>
      </c>
      <c r="G404" s="684" t="str">
        <f t="shared" si="48"/>
        <v>0</v>
      </c>
      <c r="H404" s="685" t="str">
        <f t="shared" si="49"/>
        <v/>
      </c>
      <c r="I404" s="683" t="str">
        <f>IF(AND(F404&lt;&gt;"",N10&gt;0,M404&gt;N10),"Mot &gt; limite","")</f>
        <v/>
      </c>
      <c r="M404" s="638">
        <f>IF(OR(F404="",N10="",N10&lt;=0),"",IF(LEN(F404)&lt;=N10,LEN(F404),IFERROR(FIND("♦",SUBSTITUTE(LEFT(F404,N10)," ","♦",LEN(LEFT(F404,N10))-LEN(SUBSTITUTE(LEFT(F404,N10)," ","")))),FIND(" ",F404&amp;" ",N10+1)-1)))</f>
        <v>1</v>
      </c>
      <c r="N404" s="686">
        <f t="shared" si="50"/>
        <v>387</v>
      </c>
      <c r="O404" s="663" t="str">
        <f t="shared" si="51"/>
        <v>0</v>
      </c>
      <c r="P404" s="686">
        <f t="shared" si="52"/>
        <v>1</v>
      </c>
      <c r="Q404" s="686">
        <f t="shared" si="53"/>
        <v>1</v>
      </c>
      <c r="DE404" s="494"/>
      <c r="DF404" s="496" t="s">
        <v>1901</v>
      </c>
      <c r="DG404" s="496" t="s">
        <v>345</v>
      </c>
      <c r="DH404" s="496" t="s">
        <v>689</v>
      </c>
      <c r="DI404" s="496" t="s">
        <v>1902</v>
      </c>
      <c r="DJ404" s="496" t="s">
        <v>1902</v>
      </c>
      <c r="DK404" s="496" t="s">
        <v>1085</v>
      </c>
      <c r="DL404" s="496" t="s">
        <v>1807</v>
      </c>
      <c r="DM404" s="496" t="s">
        <v>1087</v>
      </c>
      <c r="DN404" s="497" t="s">
        <v>1088</v>
      </c>
      <c r="DP404" s="543">
        <v>1</v>
      </c>
    </row>
    <row r="405" spans="2:120" ht="15">
      <c r="B405" s="683"/>
      <c r="C405" s="683"/>
      <c r="D405" s="683"/>
      <c r="E405" s="683" cm="1">
        <f t="array" ref="E405">IF(H404&lt;&gt;"",E404,IF(E404="","",IFERROR(MATCH(TRUE(),INDEX(INDEX(K:K,E404+1):K203&lt;&gt;"",0),0)+E404,"")))</f>
        <v>546</v>
      </c>
      <c r="F405" s="684" cm="1">
        <f t="array" ref="F405">IF(E405="","",IF(H404&lt;&gt;"",H404,INDEX(D:D,E405)))</f>
        <v>0</v>
      </c>
      <c r="G405" s="684" t="str">
        <f t="shared" si="48"/>
        <v>0</v>
      </c>
      <c r="H405" s="685" t="str">
        <f t="shared" si="49"/>
        <v/>
      </c>
      <c r="I405" s="683" t="str">
        <f>IF(AND(F405&lt;&gt;"",N10&gt;0,M405&gt;N10),"Mot &gt; limite","")</f>
        <v/>
      </c>
      <c r="M405" s="638">
        <f>IF(OR(F405="",N10="",N10&lt;=0),"",IF(LEN(F405)&lt;=N10,LEN(F405),IFERROR(FIND("♦",SUBSTITUTE(LEFT(F405,N10)," ","♦",LEN(LEFT(F405,N10))-LEN(SUBSTITUTE(LEFT(F405,N10)," ","")))),FIND(" ",F405&amp;" ",N10+1)-1)))</f>
        <v>1</v>
      </c>
      <c r="N405" s="686">
        <f t="shared" si="50"/>
        <v>388</v>
      </c>
      <c r="O405" s="663" t="str">
        <f t="shared" si="51"/>
        <v>0</v>
      </c>
      <c r="P405" s="686">
        <f t="shared" si="52"/>
        <v>1</v>
      </c>
      <c r="Q405" s="686">
        <f t="shared" si="53"/>
        <v>1</v>
      </c>
      <c r="DE405" s="494"/>
      <c r="DF405" s="496" t="s">
        <v>1903</v>
      </c>
      <c r="DG405" s="496" t="s">
        <v>345</v>
      </c>
      <c r="DH405" s="496" t="s">
        <v>689</v>
      </c>
      <c r="DI405" s="496" t="s">
        <v>1014</v>
      </c>
      <c r="DJ405" s="496" t="s">
        <v>1014</v>
      </c>
      <c r="DK405" s="496" t="s">
        <v>1085</v>
      </c>
      <c r="DL405" s="496" t="s">
        <v>1807</v>
      </c>
      <c r="DM405" s="496" t="s">
        <v>1087</v>
      </c>
      <c r="DN405" s="497" t="s">
        <v>1088</v>
      </c>
      <c r="DP405" s="543">
        <v>1</v>
      </c>
    </row>
    <row r="406" spans="2:120" ht="15">
      <c r="B406" s="683"/>
      <c r="C406" s="683"/>
      <c r="D406" s="683"/>
      <c r="E406" s="683" cm="1">
        <f t="array" ref="E406">IF(H405&lt;&gt;"",E405,IF(E405="","",IFERROR(MATCH(TRUE(),INDEX(INDEX(K:K,E405+1):K203&lt;&gt;"",0),0)+E405,"")))</f>
        <v>547</v>
      </c>
      <c r="F406" s="684" cm="1">
        <f t="array" ref="F406">IF(E406="","",IF(H405&lt;&gt;"",H405,INDEX(D:D,E406)))</f>
        <v>0</v>
      </c>
      <c r="G406" s="684" t="str">
        <f t="shared" si="48"/>
        <v>0</v>
      </c>
      <c r="H406" s="685" t="str">
        <f t="shared" si="49"/>
        <v/>
      </c>
      <c r="I406" s="683" t="str">
        <f>IF(AND(F406&lt;&gt;"",N10&gt;0,M406&gt;N10),"Mot &gt; limite","")</f>
        <v/>
      </c>
      <c r="M406" s="638">
        <f>IF(OR(F406="",N10="",N10&lt;=0),"",IF(LEN(F406)&lt;=N10,LEN(F406),IFERROR(FIND("♦",SUBSTITUTE(LEFT(F406,N10)," ","♦",LEN(LEFT(F406,N10))-LEN(SUBSTITUTE(LEFT(F406,N10)," ","")))),FIND(" ",F406&amp;" ",N10+1)-1)))</f>
        <v>1</v>
      </c>
      <c r="N406" s="686">
        <f t="shared" si="50"/>
        <v>389</v>
      </c>
      <c r="O406" s="663" t="str">
        <f t="shared" si="51"/>
        <v>0</v>
      </c>
      <c r="P406" s="686">
        <f t="shared" si="52"/>
        <v>1</v>
      </c>
      <c r="Q406" s="686">
        <f t="shared" si="53"/>
        <v>1</v>
      </c>
      <c r="DE406" s="494"/>
      <c r="DF406" s="496" t="s">
        <v>1904</v>
      </c>
      <c r="DG406" s="496" t="s">
        <v>345</v>
      </c>
      <c r="DH406" s="496" t="s">
        <v>689</v>
      </c>
      <c r="DI406" s="496" t="s">
        <v>1905</v>
      </c>
      <c r="DJ406" s="496" t="s">
        <v>1906</v>
      </c>
      <c r="DK406" s="496" t="s">
        <v>1085</v>
      </c>
      <c r="DL406" s="496" t="s">
        <v>1807</v>
      </c>
      <c r="DM406" s="496" t="s">
        <v>1087</v>
      </c>
      <c r="DN406" s="497" t="s">
        <v>1088</v>
      </c>
      <c r="DP406" s="543">
        <v>1</v>
      </c>
    </row>
    <row r="407" spans="2:120" ht="15">
      <c r="B407" s="683"/>
      <c r="C407" s="683"/>
      <c r="D407" s="683"/>
      <c r="E407" s="683" cm="1">
        <f t="array" ref="E407">IF(H406&lt;&gt;"",E406,IF(E406="","",IFERROR(MATCH(TRUE(),INDEX(INDEX(K:K,E406+1):K203&lt;&gt;"",0),0)+E406,"")))</f>
        <v>548</v>
      </c>
      <c r="F407" s="684" cm="1">
        <f t="array" ref="F407">IF(E407="","",IF(H406&lt;&gt;"",H406,INDEX(D:D,E407)))</f>
        <v>0</v>
      </c>
      <c r="G407" s="684" t="str">
        <f t="shared" si="48"/>
        <v>0</v>
      </c>
      <c r="H407" s="685" t="str">
        <f t="shared" si="49"/>
        <v/>
      </c>
      <c r="I407" s="683" t="str">
        <f>IF(AND(F407&lt;&gt;"",N10&gt;0,M407&gt;N10),"Mot &gt; limite","")</f>
        <v/>
      </c>
      <c r="M407" s="638">
        <f>IF(OR(F407="",N10="",N10&lt;=0),"",IF(LEN(F407)&lt;=N10,LEN(F407),IFERROR(FIND("♦",SUBSTITUTE(LEFT(F407,N10)," ","♦",LEN(LEFT(F407,N10))-LEN(SUBSTITUTE(LEFT(F407,N10)," ","")))),FIND(" ",F407&amp;" ",N10+1)-1)))</f>
        <v>1</v>
      </c>
      <c r="N407" s="686">
        <f t="shared" si="50"/>
        <v>390</v>
      </c>
      <c r="O407" s="663" t="str">
        <f t="shared" si="51"/>
        <v>0</v>
      </c>
      <c r="P407" s="686">
        <f t="shared" si="52"/>
        <v>1</v>
      </c>
      <c r="Q407" s="686">
        <f t="shared" si="53"/>
        <v>1</v>
      </c>
      <c r="DE407" s="494"/>
      <c r="DF407" s="496" t="s">
        <v>1907</v>
      </c>
      <c r="DG407" s="496" t="s">
        <v>345</v>
      </c>
      <c r="DH407" s="496" t="s">
        <v>689</v>
      </c>
      <c r="DI407" s="496" t="s">
        <v>1016</v>
      </c>
      <c r="DJ407" s="496" t="s">
        <v>1016</v>
      </c>
      <c r="DK407" s="496" t="s">
        <v>1085</v>
      </c>
      <c r="DL407" s="496" t="s">
        <v>1807</v>
      </c>
      <c r="DM407" s="496" t="s">
        <v>1087</v>
      </c>
      <c r="DN407" s="497" t="s">
        <v>1088</v>
      </c>
      <c r="DP407" s="543">
        <v>1</v>
      </c>
    </row>
    <row r="408" spans="2:120" ht="15">
      <c r="B408" s="683"/>
      <c r="C408" s="683"/>
      <c r="D408" s="683"/>
      <c r="E408" s="683" cm="1">
        <f t="array" ref="E408">IF(H407&lt;&gt;"",E407,IF(E407="","",IFERROR(MATCH(TRUE(),INDEX(INDEX(K:K,E407+1):K203&lt;&gt;"",0),0)+E407,"")))</f>
        <v>549</v>
      </c>
      <c r="F408" s="684" cm="1">
        <f t="array" ref="F408">IF(E408="","",IF(H407&lt;&gt;"",H407,INDEX(D:D,E408)))</f>
        <v>0</v>
      </c>
      <c r="G408" s="684" t="str">
        <f t="shared" si="48"/>
        <v>0</v>
      </c>
      <c r="H408" s="685" t="str">
        <f t="shared" si="49"/>
        <v/>
      </c>
      <c r="I408" s="683" t="str">
        <f>IF(AND(F408&lt;&gt;"",N10&gt;0,M408&gt;N10),"Mot &gt; limite","")</f>
        <v/>
      </c>
      <c r="M408" s="638">
        <f>IF(OR(F408="",N10="",N10&lt;=0),"",IF(LEN(F408)&lt;=N10,LEN(F408),IFERROR(FIND("♦",SUBSTITUTE(LEFT(F408,N10)," ","♦",LEN(LEFT(F408,N10))-LEN(SUBSTITUTE(LEFT(F408,N10)," ","")))),FIND(" ",F408&amp;" ",N10+1)-1)))</f>
        <v>1</v>
      </c>
      <c r="N408" s="686">
        <f t="shared" si="50"/>
        <v>391</v>
      </c>
      <c r="O408" s="663" t="str">
        <f t="shared" si="51"/>
        <v>0</v>
      </c>
      <c r="P408" s="686">
        <f t="shared" si="52"/>
        <v>1</v>
      </c>
      <c r="Q408" s="686">
        <f t="shared" si="53"/>
        <v>1</v>
      </c>
      <c r="DE408" s="494"/>
      <c r="DF408" s="496" t="s">
        <v>1908</v>
      </c>
      <c r="DG408" s="496" t="s">
        <v>345</v>
      </c>
      <c r="DH408" s="496" t="s">
        <v>689</v>
      </c>
      <c r="DI408" s="496" t="s">
        <v>1909</v>
      </c>
      <c r="DJ408" s="496" t="s">
        <v>1910</v>
      </c>
      <c r="DK408" s="496" t="s">
        <v>1085</v>
      </c>
      <c r="DL408" s="496" t="s">
        <v>1807</v>
      </c>
      <c r="DM408" s="496" t="s">
        <v>1087</v>
      </c>
      <c r="DN408" s="497" t="s">
        <v>1088</v>
      </c>
      <c r="DP408" s="543">
        <v>1</v>
      </c>
    </row>
    <row r="409" spans="2:120" ht="15">
      <c r="B409" s="683"/>
      <c r="C409" s="683"/>
      <c r="D409" s="683"/>
      <c r="E409" s="683" cm="1">
        <f t="array" ref="E409">IF(H408&lt;&gt;"",E408,IF(E408="","",IFERROR(MATCH(TRUE(),INDEX(INDEX(K:K,E408+1):K203&lt;&gt;"",0),0)+E408,"")))</f>
        <v>550</v>
      </c>
      <c r="F409" s="684" cm="1">
        <f t="array" ref="F409">IF(E409="","",IF(H408&lt;&gt;"",H408,INDEX(D:D,E409)))</f>
        <v>0</v>
      </c>
      <c r="G409" s="684" t="str">
        <f t="shared" si="48"/>
        <v>0</v>
      </c>
      <c r="H409" s="685" t="str">
        <f t="shared" si="49"/>
        <v/>
      </c>
      <c r="I409" s="683" t="str">
        <f>IF(AND(F409&lt;&gt;"",N10&gt;0,M409&gt;N10),"Mot &gt; limite","")</f>
        <v/>
      </c>
      <c r="M409" s="638">
        <f>IF(OR(F409="",N10="",N10&lt;=0),"",IF(LEN(F409)&lt;=N10,LEN(F409),IFERROR(FIND("♦",SUBSTITUTE(LEFT(F409,N10)," ","♦",LEN(LEFT(F409,N10))-LEN(SUBSTITUTE(LEFT(F409,N10)," ","")))),FIND(" ",F409&amp;" ",N10+1)-1)))</f>
        <v>1</v>
      </c>
      <c r="N409" s="686">
        <f t="shared" si="50"/>
        <v>392</v>
      </c>
      <c r="O409" s="663" t="str">
        <f t="shared" si="51"/>
        <v>0</v>
      </c>
      <c r="P409" s="686">
        <f t="shared" si="52"/>
        <v>1</v>
      </c>
      <c r="Q409" s="686">
        <f t="shared" si="53"/>
        <v>1</v>
      </c>
      <c r="DE409" s="494"/>
      <c r="DF409" s="496" t="s">
        <v>1911</v>
      </c>
      <c r="DG409" s="496" t="s">
        <v>345</v>
      </c>
      <c r="DH409" s="496" t="s">
        <v>689</v>
      </c>
      <c r="DI409" s="496" t="s">
        <v>931</v>
      </c>
      <c r="DJ409" s="496" t="s">
        <v>931</v>
      </c>
      <c r="DK409" s="496" t="s">
        <v>1085</v>
      </c>
      <c r="DL409" s="496" t="s">
        <v>1807</v>
      </c>
      <c r="DM409" s="496" t="s">
        <v>1087</v>
      </c>
      <c r="DN409" s="497" t="s">
        <v>1088</v>
      </c>
      <c r="DP409" s="543">
        <v>1</v>
      </c>
    </row>
    <row r="410" spans="2:120" ht="15">
      <c r="B410" s="683"/>
      <c r="C410" s="683"/>
      <c r="D410" s="683"/>
      <c r="E410" s="683" cm="1">
        <f t="array" ref="E410">IF(H409&lt;&gt;"",E409,IF(E409="","",IFERROR(MATCH(TRUE(),INDEX(INDEX(K:K,E409+1):K203&lt;&gt;"",0),0)+E409,"")))</f>
        <v>551</v>
      </c>
      <c r="F410" s="684" cm="1">
        <f t="array" ref="F410">IF(E410="","",IF(H409&lt;&gt;"",H409,INDEX(D:D,E410)))</f>
        <v>0</v>
      </c>
      <c r="G410" s="684" t="str">
        <f t="shared" si="48"/>
        <v>0</v>
      </c>
      <c r="H410" s="685" t="str">
        <f t="shared" si="49"/>
        <v/>
      </c>
      <c r="I410" s="683" t="str">
        <f>IF(AND(F410&lt;&gt;"",N10&gt;0,M410&gt;N10),"Mot &gt; limite","")</f>
        <v/>
      </c>
      <c r="M410" s="638">
        <f>IF(OR(F410="",N10="",N10&lt;=0),"",IF(LEN(F410)&lt;=N10,LEN(F410),IFERROR(FIND("♦",SUBSTITUTE(LEFT(F410,N10)," ","♦",LEN(LEFT(F410,N10))-LEN(SUBSTITUTE(LEFT(F410,N10)," ","")))),FIND(" ",F410&amp;" ",N10+1)-1)))</f>
        <v>1</v>
      </c>
      <c r="N410" s="686">
        <f t="shared" si="50"/>
        <v>393</v>
      </c>
      <c r="O410" s="663" t="str">
        <f t="shared" si="51"/>
        <v>0</v>
      </c>
      <c r="P410" s="686">
        <f t="shared" si="52"/>
        <v>1</v>
      </c>
      <c r="Q410" s="686">
        <f t="shared" si="53"/>
        <v>1</v>
      </c>
      <c r="DE410" s="494"/>
      <c r="DF410" s="496" t="s">
        <v>1912</v>
      </c>
      <c r="DG410" s="496" t="s">
        <v>345</v>
      </c>
      <c r="DH410" s="496" t="s">
        <v>1511</v>
      </c>
      <c r="DI410" s="496" t="s">
        <v>1913</v>
      </c>
      <c r="DJ410" s="496" t="s">
        <v>1913</v>
      </c>
      <c r="DK410" s="496" t="s">
        <v>1085</v>
      </c>
      <c r="DL410" s="496" t="s">
        <v>1914</v>
      </c>
      <c r="DM410" s="496" t="s">
        <v>1087</v>
      </c>
      <c r="DN410" s="497" t="s">
        <v>1088</v>
      </c>
      <c r="DP410" s="543">
        <v>1</v>
      </c>
    </row>
    <row r="411" spans="2:120" ht="15">
      <c r="B411" s="683"/>
      <c r="C411" s="683"/>
      <c r="D411" s="683"/>
      <c r="E411" s="683" cm="1">
        <f t="array" ref="E411">IF(H410&lt;&gt;"",E410,IF(E410="","",IFERROR(MATCH(TRUE(),INDEX(INDEX(K:K,E410+1):K203&lt;&gt;"",0),0)+E410,"")))</f>
        <v>552</v>
      </c>
      <c r="F411" s="684" cm="1">
        <f t="array" ref="F411">IF(E411="","",IF(H410&lt;&gt;"",H410,INDEX(D:D,E411)))</f>
        <v>0</v>
      </c>
      <c r="G411" s="684" t="str">
        <f t="shared" si="48"/>
        <v>0</v>
      </c>
      <c r="H411" s="685" t="str">
        <f t="shared" si="49"/>
        <v/>
      </c>
      <c r="I411" s="683" t="str">
        <f>IF(AND(F411&lt;&gt;"",N10&gt;0,M411&gt;N10),"Mot &gt; limite","")</f>
        <v/>
      </c>
      <c r="M411" s="638">
        <f>IF(OR(F411="",N10="",N10&lt;=0),"",IF(LEN(F411)&lt;=N10,LEN(F411),IFERROR(FIND("♦",SUBSTITUTE(LEFT(F411,N10)," ","♦",LEN(LEFT(F411,N10))-LEN(SUBSTITUTE(LEFT(F411,N10)," ","")))),FIND(" ",F411&amp;" ",N10+1)-1)))</f>
        <v>1</v>
      </c>
      <c r="N411" s="686">
        <f t="shared" si="50"/>
        <v>394</v>
      </c>
      <c r="O411" s="663" t="str">
        <f t="shared" si="51"/>
        <v>0</v>
      </c>
      <c r="P411" s="686">
        <f t="shared" si="52"/>
        <v>1</v>
      </c>
      <c r="Q411" s="686">
        <f t="shared" si="53"/>
        <v>1</v>
      </c>
      <c r="DE411" s="494"/>
      <c r="DF411" s="496" t="s">
        <v>1915</v>
      </c>
      <c r="DG411" s="496" t="s">
        <v>345</v>
      </c>
      <c r="DH411" s="496" t="s">
        <v>1511</v>
      </c>
      <c r="DI411" s="496" t="s">
        <v>882</v>
      </c>
      <c r="DJ411" s="496" t="s">
        <v>882</v>
      </c>
      <c r="DK411" s="496" t="s">
        <v>1085</v>
      </c>
      <c r="DL411" s="496" t="s">
        <v>1914</v>
      </c>
      <c r="DM411" s="496" t="s">
        <v>1087</v>
      </c>
      <c r="DN411" s="497" t="s">
        <v>1088</v>
      </c>
      <c r="DP411" s="543">
        <v>1</v>
      </c>
    </row>
    <row r="412" spans="2:120" ht="15">
      <c r="B412" s="683"/>
      <c r="C412" s="683"/>
      <c r="D412" s="683"/>
      <c r="E412" s="683" cm="1">
        <f t="array" ref="E412">IF(H411&lt;&gt;"",E411,IF(E411="","",IFERROR(MATCH(TRUE(),INDEX(INDEX(K:K,E411+1):K203&lt;&gt;"",0),0)+E411,"")))</f>
        <v>553</v>
      </c>
      <c r="F412" s="684" cm="1">
        <f t="array" ref="F412">IF(E412="","",IF(H411&lt;&gt;"",H411,INDEX(D:D,E412)))</f>
        <v>0</v>
      </c>
      <c r="G412" s="684" t="str">
        <f t="shared" si="48"/>
        <v>0</v>
      </c>
      <c r="H412" s="685" t="str">
        <f t="shared" si="49"/>
        <v/>
      </c>
      <c r="I412" s="683" t="str">
        <f>IF(AND(F412&lt;&gt;"",N10&gt;0,M412&gt;N10),"Mot &gt; limite","")</f>
        <v/>
      </c>
      <c r="M412" s="638">
        <f>IF(OR(F412="",N10="",N10&lt;=0),"",IF(LEN(F412)&lt;=N10,LEN(F412),IFERROR(FIND("♦",SUBSTITUTE(LEFT(F412,N10)," ","♦",LEN(LEFT(F412,N10))-LEN(SUBSTITUTE(LEFT(F412,N10)," ","")))),FIND(" ",F412&amp;" ",N10+1)-1)))</f>
        <v>1</v>
      </c>
      <c r="N412" s="686">
        <f t="shared" si="50"/>
        <v>395</v>
      </c>
      <c r="O412" s="663" t="str">
        <f t="shared" si="51"/>
        <v>0</v>
      </c>
      <c r="P412" s="686">
        <f t="shared" si="52"/>
        <v>1</v>
      </c>
      <c r="Q412" s="686">
        <f t="shared" si="53"/>
        <v>1</v>
      </c>
      <c r="DE412" s="494"/>
      <c r="DF412" s="496" t="s">
        <v>1916</v>
      </c>
      <c r="DG412" s="496" t="s">
        <v>345</v>
      </c>
      <c r="DH412" s="496" t="s">
        <v>1511</v>
      </c>
      <c r="DI412" s="496" t="s">
        <v>1512</v>
      </c>
      <c r="DJ412" s="496" t="s">
        <v>1512</v>
      </c>
      <c r="DK412" s="496" t="s">
        <v>1085</v>
      </c>
      <c r="DL412" s="496" t="s">
        <v>1914</v>
      </c>
      <c r="DM412" s="496" t="s">
        <v>1087</v>
      </c>
      <c r="DN412" s="497" t="s">
        <v>1088</v>
      </c>
      <c r="DP412" s="543">
        <v>1</v>
      </c>
    </row>
    <row r="413" spans="2:120" ht="15">
      <c r="B413" s="683"/>
      <c r="C413" s="683"/>
      <c r="D413" s="683"/>
      <c r="E413" s="683" cm="1">
        <f t="array" ref="E413">IF(H412&lt;&gt;"",E412,IF(E412="","",IFERROR(MATCH(TRUE(),INDEX(INDEX(K:K,E412+1):K203&lt;&gt;"",0),0)+E412,"")))</f>
        <v>554</v>
      </c>
      <c r="F413" s="684" cm="1">
        <f t="array" ref="F413">IF(E413="","",IF(H412&lt;&gt;"",H412,INDEX(D:D,E413)))</f>
        <v>0</v>
      </c>
      <c r="G413" s="684" t="str">
        <f t="shared" si="48"/>
        <v>0</v>
      </c>
      <c r="H413" s="685" t="str">
        <f t="shared" si="49"/>
        <v/>
      </c>
      <c r="I413" s="683" t="str">
        <f>IF(AND(F413&lt;&gt;"",N10&gt;0,M413&gt;N10),"Mot &gt; limite","")</f>
        <v/>
      </c>
      <c r="M413" s="638">
        <f>IF(OR(F413="",N10="",N10&lt;=0),"",IF(LEN(F413)&lt;=N10,LEN(F413),IFERROR(FIND("♦",SUBSTITUTE(LEFT(F413,N10)," ","♦",LEN(LEFT(F413,N10))-LEN(SUBSTITUTE(LEFT(F413,N10)," ","")))),FIND(" ",F413&amp;" ",N10+1)-1)))</f>
        <v>1</v>
      </c>
      <c r="N413" s="686">
        <f t="shared" si="50"/>
        <v>396</v>
      </c>
      <c r="O413" s="663" t="str">
        <f t="shared" si="51"/>
        <v>0</v>
      </c>
      <c r="P413" s="686">
        <f t="shared" si="52"/>
        <v>1</v>
      </c>
      <c r="Q413" s="686">
        <f t="shared" si="53"/>
        <v>1</v>
      </c>
      <c r="DE413" s="494"/>
      <c r="DF413" s="496" t="s">
        <v>1917</v>
      </c>
      <c r="DG413" s="496" t="s">
        <v>345</v>
      </c>
      <c r="DH413" s="496" t="s">
        <v>1511</v>
      </c>
      <c r="DI413" s="496" t="s">
        <v>889</v>
      </c>
      <c r="DJ413" s="496" t="s">
        <v>889</v>
      </c>
      <c r="DK413" s="496" t="s">
        <v>1085</v>
      </c>
      <c r="DL413" s="496" t="s">
        <v>1914</v>
      </c>
      <c r="DM413" s="496" t="s">
        <v>1087</v>
      </c>
      <c r="DN413" s="497" t="s">
        <v>1088</v>
      </c>
      <c r="DP413" s="543">
        <v>1</v>
      </c>
    </row>
    <row r="414" spans="2:120" ht="15">
      <c r="B414" s="683"/>
      <c r="C414" s="683"/>
      <c r="D414" s="683"/>
      <c r="E414" s="683" cm="1">
        <f t="array" ref="E414">IF(H413&lt;&gt;"",E413,IF(E413="","",IFERROR(MATCH(TRUE(),INDEX(INDEX(K:K,E413+1):K203&lt;&gt;"",0),0)+E413,"")))</f>
        <v>555</v>
      </c>
      <c r="F414" s="684" cm="1">
        <f t="array" ref="F414">IF(E414="","",IF(H413&lt;&gt;"",H413,INDEX(D:D,E414)))</f>
        <v>0</v>
      </c>
      <c r="G414" s="684" t="str">
        <f t="shared" si="48"/>
        <v>0</v>
      </c>
      <c r="H414" s="685" t="str">
        <f t="shared" si="49"/>
        <v/>
      </c>
      <c r="I414" s="683" t="str">
        <f>IF(AND(F414&lt;&gt;"",N10&gt;0,M414&gt;N10),"Mot &gt; limite","")</f>
        <v/>
      </c>
      <c r="M414" s="638">
        <f>IF(OR(F414="",N10="",N10&lt;=0),"",IF(LEN(F414)&lt;=N10,LEN(F414),IFERROR(FIND("♦",SUBSTITUTE(LEFT(F414,N10)," ","♦",LEN(LEFT(F414,N10))-LEN(SUBSTITUTE(LEFT(F414,N10)," ","")))),FIND(" ",F414&amp;" ",N10+1)-1)))</f>
        <v>1</v>
      </c>
      <c r="N414" s="686">
        <f t="shared" si="50"/>
        <v>397</v>
      </c>
      <c r="O414" s="663" t="str">
        <f t="shared" si="51"/>
        <v>0</v>
      </c>
      <c r="P414" s="686">
        <f t="shared" si="52"/>
        <v>1</v>
      </c>
      <c r="Q414" s="686">
        <f t="shared" si="53"/>
        <v>1</v>
      </c>
      <c r="DE414" s="494"/>
      <c r="DF414" s="496" t="s">
        <v>1918</v>
      </c>
      <c r="DG414" s="496" t="s">
        <v>345</v>
      </c>
      <c r="DH414" s="496" t="s">
        <v>1511</v>
      </c>
      <c r="DI414" s="496" t="s">
        <v>1919</v>
      </c>
      <c r="DJ414" s="496" t="s">
        <v>1919</v>
      </c>
      <c r="DK414" s="496" t="s">
        <v>1085</v>
      </c>
      <c r="DL414" s="496" t="s">
        <v>1914</v>
      </c>
      <c r="DM414" s="496" t="s">
        <v>1087</v>
      </c>
      <c r="DN414" s="497" t="s">
        <v>1088</v>
      </c>
      <c r="DP414" s="543">
        <v>1</v>
      </c>
    </row>
    <row r="415" spans="2:120" ht="15">
      <c r="B415" s="683"/>
      <c r="C415" s="683"/>
      <c r="D415" s="683"/>
      <c r="E415" s="683" cm="1">
        <f t="array" ref="E415">IF(H414&lt;&gt;"",E414,IF(E414="","",IFERROR(MATCH(TRUE(),INDEX(INDEX(K:K,E414+1):K203&lt;&gt;"",0),0)+E414,"")))</f>
        <v>556</v>
      </c>
      <c r="F415" s="684" cm="1">
        <f t="array" ref="F415">IF(E415="","",IF(H414&lt;&gt;"",H414,INDEX(D:D,E415)))</f>
        <v>0</v>
      </c>
      <c r="G415" s="684" t="str">
        <f t="shared" si="48"/>
        <v>0</v>
      </c>
      <c r="H415" s="685" t="str">
        <f t="shared" si="49"/>
        <v/>
      </c>
      <c r="I415" s="683" t="str">
        <f>IF(AND(F415&lt;&gt;"",N10&gt;0,M415&gt;N10),"Mot &gt; limite","")</f>
        <v/>
      </c>
      <c r="M415" s="638">
        <f>IF(OR(F415="",N10="",N10&lt;=0),"",IF(LEN(F415)&lt;=N10,LEN(F415),IFERROR(FIND("♦",SUBSTITUTE(LEFT(F415,N10)," ","♦",LEN(LEFT(F415,N10))-LEN(SUBSTITUTE(LEFT(F415,N10)," ","")))),FIND(" ",F415&amp;" ",N10+1)-1)))</f>
        <v>1</v>
      </c>
      <c r="N415" s="686">
        <f t="shared" si="50"/>
        <v>398</v>
      </c>
      <c r="O415" s="663" t="str">
        <f t="shared" si="51"/>
        <v>0</v>
      </c>
      <c r="P415" s="686">
        <f t="shared" si="52"/>
        <v>1</v>
      </c>
      <c r="Q415" s="686">
        <f t="shared" si="53"/>
        <v>1</v>
      </c>
      <c r="DE415" s="494"/>
      <c r="DF415" s="496" t="s">
        <v>1920</v>
      </c>
      <c r="DG415" s="496" t="s">
        <v>345</v>
      </c>
      <c r="DH415" s="496" t="s">
        <v>1511</v>
      </c>
      <c r="DI415" s="496" t="s">
        <v>1517</v>
      </c>
      <c r="DJ415" s="496" t="s">
        <v>1517</v>
      </c>
      <c r="DK415" s="496" t="s">
        <v>1151</v>
      </c>
      <c r="DL415" s="496" t="s">
        <v>1518</v>
      </c>
      <c r="DM415" s="496" t="s">
        <v>1087</v>
      </c>
      <c r="DN415" s="497" t="s">
        <v>1153</v>
      </c>
      <c r="DP415" s="543">
        <v>1</v>
      </c>
    </row>
    <row r="416" spans="2:120" ht="15">
      <c r="B416" s="683"/>
      <c r="C416" s="683"/>
      <c r="D416" s="683"/>
      <c r="E416" s="683" cm="1">
        <f t="array" ref="E416">IF(H415&lt;&gt;"",E415,IF(E415="","",IFERROR(MATCH(TRUE(),INDEX(INDEX(K:K,E415+1):K203&lt;&gt;"",0),0)+E415,"")))</f>
        <v>557</v>
      </c>
      <c r="F416" s="684" cm="1">
        <f t="array" ref="F416">IF(E416="","",IF(H415&lt;&gt;"",H415,INDEX(D:D,E416)))</f>
        <v>0</v>
      </c>
      <c r="G416" s="684" t="str">
        <f t="shared" si="48"/>
        <v>0</v>
      </c>
      <c r="H416" s="685" t="str">
        <f t="shared" si="49"/>
        <v/>
      </c>
      <c r="I416" s="683" t="str">
        <f>IF(AND(F416&lt;&gt;"",N10&gt;0,M416&gt;N10),"Mot &gt; limite","")</f>
        <v/>
      </c>
      <c r="M416" s="638">
        <f>IF(OR(F416="",N10="",N10&lt;=0),"",IF(LEN(F416)&lt;=N10,LEN(F416),IFERROR(FIND("♦",SUBSTITUTE(LEFT(F416,N10)," ","♦",LEN(LEFT(F416,N10))-LEN(SUBSTITUTE(LEFT(F416,N10)," ","")))),FIND(" ",F416&amp;" ",N10+1)-1)))</f>
        <v>1</v>
      </c>
      <c r="N416" s="686">
        <f t="shared" si="50"/>
        <v>399</v>
      </c>
      <c r="O416" s="663" t="str">
        <f t="shared" si="51"/>
        <v>0</v>
      </c>
      <c r="P416" s="686">
        <f t="shared" si="52"/>
        <v>1</v>
      </c>
      <c r="Q416" s="686">
        <f t="shared" si="53"/>
        <v>1</v>
      </c>
      <c r="DE416" s="494"/>
      <c r="DF416" s="496" t="s">
        <v>1921</v>
      </c>
      <c r="DG416" s="496" t="s">
        <v>345</v>
      </c>
      <c r="DH416" s="496" t="s">
        <v>1511</v>
      </c>
      <c r="DI416" s="496" t="s">
        <v>1520</v>
      </c>
      <c r="DJ416" s="496" t="s">
        <v>1520</v>
      </c>
      <c r="DK416" s="496" t="s">
        <v>1151</v>
      </c>
      <c r="DL416" s="496" t="s">
        <v>1518</v>
      </c>
      <c r="DM416" s="496" t="s">
        <v>1087</v>
      </c>
      <c r="DN416" s="497" t="s">
        <v>1153</v>
      </c>
      <c r="DP416" s="543">
        <v>1</v>
      </c>
    </row>
    <row r="417" spans="2:120" ht="15">
      <c r="B417" s="683"/>
      <c r="C417" s="683"/>
      <c r="D417" s="683"/>
      <c r="E417" s="683" cm="1">
        <f t="array" ref="E417">IF(H416&lt;&gt;"",E416,IF(E416="","",IFERROR(MATCH(TRUE(),INDEX(INDEX(K:K,E416+1):K203&lt;&gt;"",0),0)+E416,"")))</f>
        <v>558</v>
      </c>
      <c r="F417" s="684" cm="1">
        <f t="array" ref="F417">IF(E417="","",IF(H416&lt;&gt;"",H416,INDEX(D:D,E417)))</f>
        <v>0</v>
      </c>
      <c r="G417" s="684" t="str">
        <f t="shared" si="48"/>
        <v>0</v>
      </c>
      <c r="H417" s="685" t="str">
        <f t="shared" si="49"/>
        <v/>
      </c>
      <c r="I417" s="683" t="str">
        <f>IF(AND(F417&lt;&gt;"",N10&gt;0,M417&gt;N10),"Mot &gt; limite","")</f>
        <v/>
      </c>
      <c r="M417" s="638">
        <f>IF(OR(F417="",N10="",N10&lt;=0),"",IF(LEN(F417)&lt;=N10,LEN(F417),IFERROR(FIND("♦",SUBSTITUTE(LEFT(F417,N10)," ","♦",LEN(LEFT(F417,N10))-LEN(SUBSTITUTE(LEFT(F417,N10)," ","")))),FIND(" ",F417&amp;" ",N10+1)-1)))</f>
        <v>1</v>
      </c>
      <c r="N417" s="686">
        <f t="shared" si="50"/>
        <v>400</v>
      </c>
      <c r="O417" s="663" t="str">
        <f t="shared" si="51"/>
        <v>0</v>
      </c>
      <c r="P417" s="686">
        <f t="shared" si="52"/>
        <v>1</v>
      </c>
      <c r="Q417" s="686">
        <f t="shared" si="53"/>
        <v>1</v>
      </c>
      <c r="DE417" s="494"/>
      <c r="DF417" s="496" t="s">
        <v>1922</v>
      </c>
      <c r="DG417" s="496" t="s">
        <v>345</v>
      </c>
      <c r="DH417" s="496" t="s">
        <v>1511</v>
      </c>
      <c r="DI417" s="496" t="s">
        <v>1923</v>
      </c>
      <c r="DJ417" s="496" t="s">
        <v>1923</v>
      </c>
      <c r="DK417" s="496" t="s">
        <v>1085</v>
      </c>
      <c r="DL417" s="496" t="s">
        <v>1914</v>
      </c>
      <c r="DM417" s="496" t="s">
        <v>1087</v>
      </c>
      <c r="DN417" s="497" t="s">
        <v>1088</v>
      </c>
      <c r="DP417" s="543">
        <v>1</v>
      </c>
    </row>
    <row r="418" spans="2:120" ht="15">
      <c r="B418" s="683"/>
      <c r="C418" s="683"/>
      <c r="D418" s="683"/>
      <c r="E418" s="683" cm="1">
        <f t="array" ref="E418">IF(H417&lt;&gt;"",E417,IF(E417="","",IFERROR(MATCH(TRUE(),INDEX(INDEX(K:K,E417+1):K203&lt;&gt;"",0),0)+E417,"")))</f>
        <v>559</v>
      </c>
      <c r="F418" s="684" cm="1">
        <f t="array" ref="F418">IF(E418="","",IF(H417&lt;&gt;"",H417,INDEX(D:D,E418)))</f>
        <v>0</v>
      </c>
      <c r="G418" s="684" t="str">
        <f t="shared" si="48"/>
        <v>0</v>
      </c>
      <c r="H418" s="685" t="str">
        <f t="shared" si="49"/>
        <v/>
      </c>
      <c r="I418" s="683" t="str">
        <f>IF(AND(F418&lt;&gt;"",N10&gt;0,M418&gt;N10),"Mot &gt; limite","")</f>
        <v/>
      </c>
      <c r="M418" s="638">
        <f>IF(OR(F418="",N10="",N10&lt;=0),"",IF(LEN(F418)&lt;=N10,LEN(F418),IFERROR(FIND("♦",SUBSTITUTE(LEFT(F418,N10)," ","♦",LEN(LEFT(F418,N10))-LEN(SUBSTITUTE(LEFT(F418,N10)," ","")))),FIND(" ",F418&amp;" ",N10+1)-1)))</f>
        <v>1</v>
      </c>
      <c r="N418" s="686">
        <f t="shared" si="50"/>
        <v>401</v>
      </c>
      <c r="O418" s="663" t="str">
        <f t="shared" si="51"/>
        <v>0</v>
      </c>
      <c r="P418" s="686">
        <f t="shared" si="52"/>
        <v>1</v>
      </c>
      <c r="Q418" s="686">
        <f t="shared" si="53"/>
        <v>1</v>
      </c>
      <c r="DE418" s="494"/>
      <c r="DF418" s="496" t="s">
        <v>1924</v>
      </c>
      <c r="DG418" s="496" t="s">
        <v>345</v>
      </c>
      <c r="DH418" s="496" t="s">
        <v>1511</v>
      </c>
      <c r="DI418" s="496" t="s">
        <v>894</v>
      </c>
      <c r="DJ418" s="496" t="s">
        <v>894</v>
      </c>
      <c r="DK418" s="496" t="s">
        <v>1085</v>
      </c>
      <c r="DL418" s="496" t="s">
        <v>1914</v>
      </c>
      <c r="DM418" s="496" t="s">
        <v>1087</v>
      </c>
      <c r="DN418" s="497" t="s">
        <v>1088</v>
      </c>
      <c r="DP418" s="543">
        <v>1</v>
      </c>
    </row>
    <row r="419" spans="2:120" ht="15">
      <c r="B419" s="683"/>
      <c r="C419" s="683"/>
      <c r="D419" s="683"/>
      <c r="E419" s="683" cm="1">
        <f t="array" ref="E419">IF(H418&lt;&gt;"",E418,IF(E418="","",IFERROR(MATCH(TRUE(),INDEX(INDEX(K:K,E418+1):K203&lt;&gt;"",0),0)+E418,"")))</f>
        <v>560</v>
      </c>
      <c r="F419" s="684" cm="1">
        <f t="array" ref="F419">IF(E419="","",IF(H418&lt;&gt;"",H418,INDEX(D:D,E419)))</f>
        <v>0</v>
      </c>
      <c r="G419" s="684" t="str">
        <f t="shared" si="48"/>
        <v>0</v>
      </c>
      <c r="H419" s="685" t="str">
        <f t="shared" si="49"/>
        <v/>
      </c>
      <c r="I419" s="683" t="str">
        <f>IF(AND(F419&lt;&gt;"",N10&gt;0,M419&gt;N10),"Mot &gt; limite","")</f>
        <v/>
      </c>
      <c r="M419" s="638">
        <f>IF(OR(F419="",N10="",N10&lt;=0),"",IF(LEN(F419)&lt;=N10,LEN(F419),IFERROR(FIND("♦",SUBSTITUTE(LEFT(F419,N10)," ","♦",LEN(LEFT(F419,N10))-LEN(SUBSTITUTE(LEFT(F419,N10)," ","")))),FIND(" ",F419&amp;" ",N10+1)-1)))</f>
        <v>1</v>
      </c>
      <c r="N419" s="686">
        <f t="shared" si="50"/>
        <v>402</v>
      </c>
      <c r="O419" s="663" t="str">
        <f t="shared" si="51"/>
        <v>0</v>
      </c>
      <c r="P419" s="686">
        <f t="shared" si="52"/>
        <v>1</v>
      </c>
      <c r="Q419" s="686">
        <f t="shared" si="53"/>
        <v>1</v>
      </c>
      <c r="DE419" s="494"/>
      <c r="DF419" s="496" t="s">
        <v>1925</v>
      </c>
      <c r="DG419" s="496" t="s">
        <v>345</v>
      </c>
      <c r="DH419" s="496" t="s">
        <v>1511</v>
      </c>
      <c r="DI419" s="496" t="s">
        <v>1926</v>
      </c>
      <c r="DJ419" s="496" t="s">
        <v>956</v>
      </c>
      <c r="DK419" s="496" t="s">
        <v>1085</v>
      </c>
      <c r="DL419" s="496" t="s">
        <v>1914</v>
      </c>
      <c r="DM419" s="496" t="s">
        <v>1087</v>
      </c>
      <c r="DN419" s="497" t="s">
        <v>1088</v>
      </c>
      <c r="DP419" s="543">
        <v>1</v>
      </c>
    </row>
    <row r="420" spans="2:120" ht="15">
      <c r="B420" s="683"/>
      <c r="C420" s="683"/>
      <c r="D420" s="683"/>
      <c r="E420" s="683" cm="1">
        <f t="array" ref="E420">IF(H419&lt;&gt;"",E419,IF(E419="","",IFERROR(MATCH(TRUE(),INDEX(INDEX(K:K,E419+1):K203&lt;&gt;"",0),0)+E419,"")))</f>
        <v>561</v>
      </c>
      <c r="F420" s="684" cm="1">
        <f t="array" ref="F420">IF(E420="","",IF(H419&lt;&gt;"",H419,INDEX(D:D,E420)))</f>
        <v>0</v>
      </c>
      <c r="G420" s="684" t="str">
        <f t="shared" si="48"/>
        <v>0</v>
      </c>
      <c r="H420" s="685" t="str">
        <f t="shared" si="49"/>
        <v/>
      </c>
      <c r="I420" s="683" t="str">
        <f>IF(AND(F420&lt;&gt;"",N10&gt;0,M420&gt;N10),"Mot &gt; limite","")</f>
        <v/>
      </c>
      <c r="M420" s="638">
        <f>IF(OR(F420="",N10="",N10&lt;=0),"",IF(LEN(F420)&lt;=N10,LEN(F420),IFERROR(FIND("♦",SUBSTITUTE(LEFT(F420,N10)," ","♦",LEN(LEFT(F420,N10))-LEN(SUBSTITUTE(LEFT(F420,N10)," ","")))),FIND(" ",F420&amp;" ",N10+1)-1)))</f>
        <v>1</v>
      </c>
      <c r="N420" s="686">
        <f t="shared" si="50"/>
        <v>403</v>
      </c>
      <c r="O420" s="663" t="str">
        <f t="shared" si="51"/>
        <v>0</v>
      </c>
      <c r="P420" s="686">
        <f t="shared" si="52"/>
        <v>1</v>
      </c>
      <c r="Q420" s="686">
        <f t="shared" si="53"/>
        <v>1</v>
      </c>
      <c r="DE420" s="494"/>
      <c r="DF420" s="496" t="s">
        <v>1927</v>
      </c>
      <c r="DG420" s="496" t="s">
        <v>345</v>
      </c>
      <c r="DH420" s="496" t="s">
        <v>1511</v>
      </c>
      <c r="DI420" s="496" t="s">
        <v>1928</v>
      </c>
      <c r="DJ420" s="496" t="s">
        <v>1928</v>
      </c>
      <c r="DK420" s="496" t="s">
        <v>1085</v>
      </c>
      <c r="DL420" s="496" t="s">
        <v>1914</v>
      </c>
      <c r="DM420" s="496" t="s">
        <v>1087</v>
      </c>
      <c r="DN420" s="497" t="s">
        <v>1088</v>
      </c>
      <c r="DP420" s="543">
        <v>1</v>
      </c>
    </row>
    <row r="421" spans="2:120" ht="15">
      <c r="B421" s="683"/>
      <c r="C421" s="683"/>
      <c r="D421" s="683"/>
      <c r="E421" s="683" cm="1">
        <f t="array" ref="E421">IF(H420&lt;&gt;"",E420,IF(E420="","",IFERROR(MATCH(TRUE(),INDEX(INDEX(K:K,E420+1):K203&lt;&gt;"",0),0)+E420,"")))</f>
        <v>562</v>
      </c>
      <c r="F421" s="684" cm="1">
        <f t="array" ref="F421">IF(E421="","",IF(H420&lt;&gt;"",H420,INDEX(D:D,E421)))</f>
        <v>0</v>
      </c>
      <c r="G421" s="684" t="str">
        <f t="shared" si="48"/>
        <v>0</v>
      </c>
      <c r="H421" s="685" t="str">
        <f t="shared" si="49"/>
        <v/>
      </c>
      <c r="I421" s="683" t="str">
        <f>IF(AND(F421&lt;&gt;"",N10&gt;0,M421&gt;N10),"Mot &gt; limite","")</f>
        <v/>
      </c>
      <c r="M421" s="638">
        <f>IF(OR(F421="",N10="",N10&lt;=0),"",IF(LEN(F421)&lt;=N10,LEN(F421),IFERROR(FIND("♦",SUBSTITUTE(LEFT(F421,N10)," ","♦",LEN(LEFT(F421,N10))-LEN(SUBSTITUTE(LEFT(F421,N10)," ","")))),FIND(" ",F421&amp;" ",N10+1)-1)))</f>
        <v>1</v>
      </c>
      <c r="N421" s="686">
        <f t="shared" si="50"/>
        <v>404</v>
      </c>
      <c r="O421" s="663" t="str">
        <f t="shared" si="51"/>
        <v>0</v>
      </c>
      <c r="P421" s="686">
        <f t="shared" si="52"/>
        <v>1</v>
      </c>
      <c r="Q421" s="686">
        <f t="shared" si="53"/>
        <v>1</v>
      </c>
      <c r="DE421" s="494"/>
      <c r="DF421" s="496" t="s">
        <v>1929</v>
      </c>
      <c r="DG421" s="496" t="s">
        <v>345</v>
      </c>
      <c r="DH421" s="496" t="s">
        <v>1511</v>
      </c>
      <c r="DI421" s="496" t="s">
        <v>969</v>
      </c>
      <c r="DJ421" s="496" t="s">
        <v>969</v>
      </c>
      <c r="DK421" s="496" t="s">
        <v>1085</v>
      </c>
      <c r="DL421" s="496" t="s">
        <v>1914</v>
      </c>
      <c r="DM421" s="496" t="s">
        <v>1087</v>
      </c>
      <c r="DN421" s="497" t="s">
        <v>1088</v>
      </c>
      <c r="DP421" s="543">
        <v>1</v>
      </c>
    </row>
    <row r="422" spans="2:120" ht="15">
      <c r="B422" s="683"/>
      <c r="C422" s="683"/>
      <c r="D422" s="683"/>
      <c r="E422" s="683" cm="1">
        <f t="array" ref="E422">IF(H421&lt;&gt;"",E421,IF(E421="","",IFERROR(MATCH(TRUE(),INDEX(INDEX(K:K,E421+1):K203&lt;&gt;"",0),0)+E421,"")))</f>
        <v>563</v>
      </c>
      <c r="F422" s="684" cm="1">
        <f t="array" ref="F422">IF(E422="","",IF(H421&lt;&gt;"",H421,INDEX(D:D,E422)))</f>
        <v>0</v>
      </c>
      <c r="G422" s="684" t="str">
        <f t="shared" si="48"/>
        <v>0</v>
      </c>
      <c r="H422" s="685" t="str">
        <f t="shared" si="49"/>
        <v/>
      </c>
      <c r="I422" s="683" t="str">
        <f>IF(AND(F422&lt;&gt;"",N10&gt;0,M422&gt;N10),"Mot &gt; limite","")</f>
        <v/>
      </c>
      <c r="M422" s="638">
        <f>IF(OR(F422="",N10="",N10&lt;=0),"",IF(LEN(F422)&lt;=N10,LEN(F422),IFERROR(FIND("♦",SUBSTITUTE(LEFT(F422,N10)," ","♦",LEN(LEFT(F422,N10))-LEN(SUBSTITUTE(LEFT(F422,N10)," ","")))),FIND(" ",F422&amp;" ",N10+1)-1)))</f>
        <v>1</v>
      </c>
      <c r="N422" s="686">
        <f t="shared" si="50"/>
        <v>405</v>
      </c>
      <c r="O422" s="663" t="str">
        <f t="shared" si="51"/>
        <v>0</v>
      </c>
      <c r="P422" s="686">
        <f t="shared" si="52"/>
        <v>1</v>
      </c>
      <c r="Q422" s="686">
        <f t="shared" si="53"/>
        <v>1</v>
      </c>
      <c r="DE422" s="494"/>
      <c r="DF422" s="496" t="s">
        <v>1930</v>
      </c>
      <c r="DG422" s="496" t="s">
        <v>345</v>
      </c>
      <c r="DH422" s="496" t="s">
        <v>1511</v>
      </c>
      <c r="DI422" s="496" t="s">
        <v>979</v>
      </c>
      <c r="DJ422" s="496" t="s">
        <v>979</v>
      </c>
      <c r="DK422" s="496" t="s">
        <v>1085</v>
      </c>
      <c r="DL422" s="496" t="s">
        <v>1914</v>
      </c>
      <c r="DM422" s="496" t="s">
        <v>1087</v>
      </c>
      <c r="DN422" s="497" t="s">
        <v>1088</v>
      </c>
      <c r="DP422" s="543">
        <v>1</v>
      </c>
    </row>
    <row r="423" spans="2:120" ht="15">
      <c r="B423" s="683"/>
      <c r="C423" s="683"/>
      <c r="D423" s="683"/>
      <c r="E423" s="683" cm="1">
        <f t="array" ref="E423">IF(H422&lt;&gt;"",E422,IF(E422="","",IFERROR(MATCH(TRUE(),INDEX(INDEX(K:K,E422+1):K203&lt;&gt;"",0),0)+E422,"")))</f>
        <v>564</v>
      </c>
      <c r="F423" s="684" cm="1">
        <f t="array" ref="F423">IF(E423="","",IF(H422&lt;&gt;"",H422,INDEX(D:D,E423)))</f>
        <v>0</v>
      </c>
      <c r="G423" s="684" t="str">
        <f t="shared" si="48"/>
        <v>0</v>
      </c>
      <c r="H423" s="685" t="str">
        <f t="shared" si="49"/>
        <v/>
      </c>
      <c r="I423" s="683" t="str">
        <f>IF(AND(F423&lt;&gt;"",N10&gt;0,M423&gt;N10),"Mot &gt; limite","")</f>
        <v/>
      </c>
      <c r="M423" s="638">
        <f>IF(OR(F423="",N10="",N10&lt;=0),"",IF(LEN(F423)&lt;=N10,LEN(F423),IFERROR(FIND("♦",SUBSTITUTE(LEFT(F423,N10)," ","♦",LEN(LEFT(F423,N10))-LEN(SUBSTITUTE(LEFT(F423,N10)," ","")))),FIND(" ",F423&amp;" ",N10+1)-1)))</f>
        <v>1</v>
      </c>
      <c r="N423" s="686">
        <f t="shared" si="50"/>
        <v>406</v>
      </c>
      <c r="O423" s="663" t="str">
        <f t="shared" si="51"/>
        <v>0</v>
      </c>
      <c r="P423" s="686">
        <f t="shared" si="52"/>
        <v>1</v>
      </c>
      <c r="Q423" s="686">
        <f t="shared" si="53"/>
        <v>1</v>
      </c>
      <c r="DE423" s="494"/>
      <c r="DF423" s="496" t="s">
        <v>1931</v>
      </c>
      <c r="DG423" s="496" t="s">
        <v>345</v>
      </c>
      <c r="DH423" s="496" t="s">
        <v>1511</v>
      </c>
      <c r="DI423" s="496" t="s">
        <v>1932</v>
      </c>
      <c r="DJ423" s="496" t="s">
        <v>1932</v>
      </c>
      <c r="DK423" s="496" t="s">
        <v>1085</v>
      </c>
      <c r="DL423" s="496" t="s">
        <v>1914</v>
      </c>
      <c r="DM423" s="496" t="s">
        <v>1087</v>
      </c>
      <c r="DN423" s="497" t="s">
        <v>1088</v>
      </c>
      <c r="DP423" s="543">
        <v>1</v>
      </c>
    </row>
    <row r="424" spans="2:120" ht="15">
      <c r="B424" s="683"/>
      <c r="C424" s="683"/>
      <c r="D424" s="683"/>
      <c r="E424" s="683" cm="1">
        <f t="array" ref="E424">IF(H423&lt;&gt;"",E423,IF(E423="","",IFERROR(MATCH(TRUE(),INDEX(INDEX(K:K,E423+1):K203&lt;&gt;"",0),0)+E423,"")))</f>
        <v>565</v>
      </c>
      <c r="F424" s="684" cm="1">
        <f t="array" ref="F424">IF(E424="","",IF(H423&lt;&gt;"",H423,INDEX(D:D,E424)))</f>
        <v>0</v>
      </c>
      <c r="G424" s="684" t="str">
        <f t="shared" si="48"/>
        <v>0</v>
      </c>
      <c r="H424" s="685" t="str">
        <f t="shared" si="49"/>
        <v/>
      </c>
      <c r="I424" s="683" t="str">
        <f>IF(AND(F424&lt;&gt;"",N10&gt;0,M424&gt;N10),"Mot &gt; limite","")</f>
        <v/>
      </c>
      <c r="M424" s="638">
        <f>IF(OR(F424="",N10="",N10&lt;=0),"",IF(LEN(F424)&lt;=N10,LEN(F424),IFERROR(FIND("♦",SUBSTITUTE(LEFT(F424,N10)," ","♦",LEN(LEFT(F424,N10))-LEN(SUBSTITUTE(LEFT(F424,N10)," ","")))),FIND(" ",F424&amp;" ",N10+1)-1)))</f>
        <v>1</v>
      </c>
      <c r="N424" s="686">
        <f t="shared" si="50"/>
        <v>407</v>
      </c>
      <c r="O424" s="663" t="str">
        <f t="shared" si="51"/>
        <v>0</v>
      </c>
      <c r="P424" s="686">
        <f t="shared" si="52"/>
        <v>1</v>
      </c>
      <c r="Q424" s="686">
        <f t="shared" si="53"/>
        <v>1</v>
      </c>
      <c r="DE424" s="494"/>
      <c r="DF424" s="496" t="s">
        <v>1933</v>
      </c>
      <c r="DG424" s="496" t="s">
        <v>345</v>
      </c>
      <c r="DH424" s="496" t="s">
        <v>1511</v>
      </c>
      <c r="DI424" s="496" t="s">
        <v>1934</v>
      </c>
      <c r="DJ424" s="496" t="s">
        <v>1935</v>
      </c>
      <c r="DK424" s="496" t="s">
        <v>1085</v>
      </c>
      <c r="DL424" s="496" t="s">
        <v>1914</v>
      </c>
      <c r="DM424" s="496" t="s">
        <v>1087</v>
      </c>
      <c r="DN424" s="497" t="s">
        <v>1088</v>
      </c>
      <c r="DP424" s="543">
        <v>1</v>
      </c>
    </row>
    <row r="425" spans="2:120" ht="15">
      <c r="B425" s="683"/>
      <c r="C425" s="683"/>
      <c r="D425" s="683"/>
      <c r="E425" s="683" cm="1">
        <f t="array" ref="E425">IF(H424&lt;&gt;"",E424,IF(E424="","",IFERROR(MATCH(TRUE(),INDEX(INDEX(K:K,E424+1):K203&lt;&gt;"",0),0)+E424,"")))</f>
        <v>566</v>
      </c>
      <c r="F425" s="684" cm="1">
        <f t="array" ref="F425">IF(E425="","",IF(H424&lt;&gt;"",H424,INDEX(D:D,E425)))</f>
        <v>0</v>
      </c>
      <c r="G425" s="684" t="str">
        <f t="shared" si="48"/>
        <v>0</v>
      </c>
      <c r="H425" s="685" t="str">
        <f t="shared" si="49"/>
        <v/>
      </c>
      <c r="I425" s="683" t="str">
        <f>IF(AND(F425&lt;&gt;"",N10&gt;0,M425&gt;N10),"Mot &gt; limite","")</f>
        <v/>
      </c>
      <c r="M425" s="638">
        <f>IF(OR(F425="",N10="",N10&lt;=0),"",IF(LEN(F425)&lt;=N10,LEN(F425),IFERROR(FIND("♦",SUBSTITUTE(LEFT(F425,N10)," ","♦",LEN(LEFT(F425,N10))-LEN(SUBSTITUTE(LEFT(F425,N10)," ","")))),FIND(" ",F425&amp;" ",N10+1)-1)))</f>
        <v>1</v>
      </c>
      <c r="N425" s="686">
        <f t="shared" si="50"/>
        <v>408</v>
      </c>
      <c r="O425" s="663" t="str">
        <f t="shared" si="51"/>
        <v>0</v>
      </c>
      <c r="P425" s="686">
        <f t="shared" si="52"/>
        <v>1</v>
      </c>
      <c r="Q425" s="686">
        <f t="shared" si="53"/>
        <v>1</v>
      </c>
      <c r="DE425" s="494"/>
      <c r="DF425" s="496" t="s">
        <v>1936</v>
      </c>
      <c r="DG425" s="496" t="s">
        <v>345</v>
      </c>
      <c r="DH425" s="496" t="s">
        <v>1511</v>
      </c>
      <c r="DI425" s="496" t="s">
        <v>1937</v>
      </c>
      <c r="DJ425" s="496" t="s">
        <v>1938</v>
      </c>
      <c r="DK425" s="496" t="s">
        <v>1085</v>
      </c>
      <c r="DL425" s="496" t="s">
        <v>1914</v>
      </c>
      <c r="DM425" s="496" t="s">
        <v>1087</v>
      </c>
      <c r="DN425" s="497" t="s">
        <v>1088</v>
      </c>
      <c r="DP425" s="543">
        <v>1</v>
      </c>
    </row>
    <row r="426" spans="2:120" ht="15">
      <c r="B426" s="683"/>
      <c r="C426" s="683"/>
      <c r="D426" s="683"/>
      <c r="E426" s="683" cm="1">
        <f t="array" ref="E426">IF(H425&lt;&gt;"",E425,IF(E425="","",IFERROR(MATCH(TRUE(),INDEX(INDEX(K:K,E425+1):K203&lt;&gt;"",0),0)+E425,"")))</f>
        <v>567</v>
      </c>
      <c r="F426" s="684" cm="1">
        <f t="array" ref="F426">IF(E426="","",IF(H425&lt;&gt;"",H425,INDEX(D:D,E426)))</f>
        <v>0</v>
      </c>
      <c r="G426" s="684" t="str">
        <f t="shared" si="48"/>
        <v>0</v>
      </c>
      <c r="H426" s="685" t="str">
        <f t="shared" si="49"/>
        <v/>
      </c>
      <c r="I426" s="683" t="str">
        <f>IF(AND(F426&lt;&gt;"",N10&gt;0,M426&gt;N10),"Mot &gt; limite","")</f>
        <v/>
      </c>
      <c r="M426" s="638">
        <f>IF(OR(F426="",N10="",N10&lt;=0),"",IF(LEN(F426)&lt;=N10,LEN(F426),IFERROR(FIND("♦",SUBSTITUTE(LEFT(F426,N10)," ","♦",LEN(LEFT(F426,N10))-LEN(SUBSTITUTE(LEFT(F426,N10)," ","")))),FIND(" ",F426&amp;" ",N10+1)-1)))</f>
        <v>1</v>
      </c>
      <c r="N426" s="686">
        <f t="shared" si="50"/>
        <v>409</v>
      </c>
      <c r="O426" s="663" t="str">
        <f t="shared" si="51"/>
        <v>0</v>
      </c>
      <c r="P426" s="686">
        <f t="shared" si="52"/>
        <v>1</v>
      </c>
      <c r="Q426" s="686">
        <f t="shared" si="53"/>
        <v>1</v>
      </c>
      <c r="DE426" s="494"/>
      <c r="DF426" s="496" t="s">
        <v>1939</v>
      </c>
      <c r="DG426" s="496" t="s">
        <v>345</v>
      </c>
      <c r="DH426" s="496" t="s">
        <v>1511</v>
      </c>
      <c r="DI426" s="496" t="s">
        <v>202</v>
      </c>
      <c r="DJ426" s="496" t="s">
        <v>202</v>
      </c>
      <c r="DK426" s="496" t="s">
        <v>1085</v>
      </c>
      <c r="DL426" s="496" t="s">
        <v>1914</v>
      </c>
      <c r="DM426" s="496" t="s">
        <v>1087</v>
      </c>
      <c r="DN426" s="497" t="s">
        <v>1088</v>
      </c>
      <c r="DP426" s="543">
        <v>1</v>
      </c>
    </row>
    <row r="427" spans="2:120" ht="15">
      <c r="B427" s="683"/>
      <c r="C427" s="683"/>
      <c r="D427" s="683"/>
      <c r="E427" s="683" cm="1">
        <f t="array" ref="E427">IF(H426&lt;&gt;"",E426,IF(E426="","",IFERROR(MATCH(TRUE(),INDEX(INDEX(K:K,E426+1):K203&lt;&gt;"",0),0)+E426,"")))</f>
        <v>568</v>
      </c>
      <c r="F427" s="684" cm="1">
        <f t="array" ref="F427">IF(E427="","",IF(H426&lt;&gt;"",H426,INDEX(D:D,E427)))</f>
        <v>0</v>
      </c>
      <c r="G427" s="684" t="str">
        <f t="shared" si="48"/>
        <v>0</v>
      </c>
      <c r="H427" s="685" t="str">
        <f t="shared" si="49"/>
        <v/>
      </c>
      <c r="I427" s="683" t="str">
        <f>IF(AND(F427&lt;&gt;"",N10&gt;0,M427&gt;N10),"Mot &gt; limite","")</f>
        <v/>
      </c>
      <c r="M427" s="638">
        <f>IF(OR(F427="",N10="",N10&lt;=0),"",IF(LEN(F427)&lt;=N10,LEN(F427),IFERROR(FIND("♦",SUBSTITUTE(LEFT(F427,N10)," ","♦",LEN(LEFT(F427,N10))-LEN(SUBSTITUTE(LEFT(F427,N10)," ","")))),FIND(" ",F427&amp;" ",N10+1)-1)))</f>
        <v>1</v>
      </c>
      <c r="N427" s="686">
        <f t="shared" si="50"/>
        <v>410</v>
      </c>
      <c r="O427" s="663" t="str">
        <f t="shared" si="51"/>
        <v>0</v>
      </c>
      <c r="P427" s="686">
        <f t="shared" si="52"/>
        <v>1</v>
      </c>
      <c r="Q427" s="686">
        <f t="shared" si="53"/>
        <v>1</v>
      </c>
      <c r="DE427" s="494"/>
      <c r="DF427" s="496" t="s">
        <v>1940</v>
      </c>
      <c r="DG427" s="496" t="s">
        <v>345</v>
      </c>
      <c r="DH427" s="496" t="s">
        <v>1511</v>
      </c>
      <c r="DI427" s="496" t="s">
        <v>1941</v>
      </c>
      <c r="DJ427" s="496" t="s">
        <v>913</v>
      </c>
      <c r="DK427" s="496" t="s">
        <v>1085</v>
      </c>
      <c r="DL427" s="496" t="s">
        <v>1914</v>
      </c>
      <c r="DM427" s="496" t="s">
        <v>1087</v>
      </c>
      <c r="DN427" s="497" t="s">
        <v>1088</v>
      </c>
      <c r="DP427" s="543">
        <v>1</v>
      </c>
    </row>
    <row r="428" spans="2:120" ht="15">
      <c r="B428" s="683"/>
      <c r="C428" s="683"/>
      <c r="D428" s="683"/>
      <c r="E428" s="683" cm="1">
        <f t="array" ref="E428">IF(H427&lt;&gt;"",E427,IF(E427="","",IFERROR(MATCH(TRUE(),INDEX(INDEX(K:K,E427+1):K203&lt;&gt;"",0),0)+E427,"")))</f>
        <v>569</v>
      </c>
      <c r="F428" s="684" cm="1">
        <f t="array" ref="F428">IF(E428="","",IF(H427&lt;&gt;"",H427,INDEX(D:D,E428)))</f>
        <v>0</v>
      </c>
      <c r="G428" s="684" t="str">
        <f t="shared" si="48"/>
        <v>0</v>
      </c>
      <c r="H428" s="685" t="str">
        <f t="shared" si="49"/>
        <v/>
      </c>
      <c r="I428" s="683" t="str">
        <f>IF(AND(F428&lt;&gt;"",N10&gt;0,M428&gt;N10),"Mot &gt; limite","")</f>
        <v/>
      </c>
      <c r="M428" s="638">
        <f>IF(OR(F428="",N10="",N10&lt;=0),"",IF(LEN(F428)&lt;=N10,LEN(F428),IFERROR(FIND("♦",SUBSTITUTE(LEFT(F428,N10)," ","♦",LEN(LEFT(F428,N10))-LEN(SUBSTITUTE(LEFT(F428,N10)," ","")))),FIND(" ",F428&amp;" ",N10+1)-1)))</f>
        <v>1</v>
      </c>
      <c r="N428" s="686">
        <f t="shared" si="50"/>
        <v>411</v>
      </c>
      <c r="O428" s="663" t="str">
        <f t="shared" si="51"/>
        <v>0</v>
      </c>
      <c r="P428" s="686">
        <f t="shared" si="52"/>
        <v>1</v>
      </c>
      <c r="Q428" s="686">
        <f t="shared" si="53"/>
        <v>1</v>
      </c>
      <c r="DE428" s="494"/>
      <c r="DF428" s="496" t="s">
        <v>1942</v>
      </c>
      <c r="DG428" s="496" t="s">
        <v>345</v>
      </c>
      <c r="DH428" s="496" t="s">
        <v>1511</v>
      </c>
      <c r="DI428" s="496" t="s">
        <v>1943</v>
      </c>
      <c r="DJ428" s="496" t="s">
        <v>1944</v>
      </c>
      <c r="DK428" s="496" t="s">
        <v>1085</v>
      </c>
      <c r="DL428" s="496" t="s">
        <v>1914</v>
      </c>
      <c r="DM428" s="496" t="s">
        <v>1087</v>
      </c>
      <c r="DN428" s="497" t="s">
        <v>1088</v>
      </c>
      <c r="DP428" s="543">
        <v>1</v>
      </c>
    </row>
    <row r="429" spans="2:120" ht="15">
      <c r="B429" s="683"/>
      <c r="C429" s="683"/>
      <c r="D429" s="683"/>
      <c r="E429" s="683" cm="1">
        <f t="array" ref="E429">IF(H428&lt;&gt;"",E428,IF(E428="","",IFERROR(MATCH(TRUE(),INDEX(INDEX(K:K,E428+1):K203&lt;&gt;"",0),0)+E428,"")))</f>
        <v>570</v>
      </c>
      <c r="F429" s="684" cm="1">
        <f t="array" ref="F429">IF(E429="","",IF(H428&lt;&gt;"",H428,INDEX(D:D,E429)))</f>
        <v>0</v>
      </c>
      <c r="G429" s="684" t="str">
        <f t="shared" si="48"/>
        <v>0</v>
      </c>
      <c r="H429" s="685" t="str">
        <f t="shared" si="49"/>
        <v/>
      </c>
      <c r="I429" s="683" t="str">
        <f>IF(AND(F429&lt;&gt;"",N10&gt;0,M429&gt;N10),"Mot &gt; limite","")</f>
        <v/>
      </c>
      <c r="M429" s="638">
        <f>IF(OR(F429="",N10="",N10&lt;=0),"",IF(LEN(F429)&lt;=N10,LEN(F429),IFERROR(FIND("♦",SUBSTITUTE(LEFT(F429,N10)," ","♦",LEN(LEFT(F429,N10))-LEN(SUBSTITUTE(LEFT(F429,N10)," ","")))),FIND(" ",F429&amp;" ",N10+1)-1)))</f>
        <v>1</v>
      </c>
      <c r="N429" s="686">
        <f t="shared" si="50"/>
        <v>412</v>
      </c>
      <c r="O429" s="663" t="str">
        <f t="shared" si="51"/>
        <v>0</v>
      </c>
      <c r="P429" s="686">
        <f t="shared" si="52"/>
        <v>1</v>
      </c>
      <c r="Q429" s="686">
        <f t="shared" si="53"/>
        <v>1</v>
      </c>
      <c r="DE429" s="494"/>
      <c r="DF429" s="496" t="s">
        <v>1945</v>
      </c>
      <c r="DG429" s="496" t="s">
        <v>345</v>
      </c>
      <c r="DH429" s="496" t="s">
        <v>1511</v>
      </c>
      <c r="DI429" s="496" t="s">
        <v>1946</v>
      </c>
      <c r="DJ429" s="496" t="s">
        <v>1946</v>
      </c>
      <c r="DK429" s="496" t="s">
        <v>1085</v>
      </c>
      <c r="DL429" s="496" t="s">
        <v>1914</v>
      </c>
      <c r="DM429" s="496" t="s">
        <v>1087</v>
      </c>
      <c r="DN429" s="497" t="s">
        <v>1088</v>
      </c>
      <c r="DP429" s="543">
        <v>1</v>
      </c>
    </row>
    <row r="430" spans="2:120" ht="15">
      <c r="B430" s="683"/>
      <c r="C430" s="683"/>
      <c r="D430" s="683"/>
      <c r="E430" s="683" cm="1">
        <f t="array" ref="E430">IF(H429&lt;&gt;"",E429,IF(E429="","",IFERROR(MATCH(TRUE(),INDEX(INDEX(K:K,E429+1):K203&lt;&gt;"",0),0)+E429,"")))</f>
        <v>571</v>
      </c>
      <c r="F430" s="684" cm="1">
        <f t="array" ref="F430">IF(E430="","",IF(H429&lt;&gt;"",H429,INDEX(D:D,E430)))</f>
        <v>0</v>
      </c>
      <c r="G430" s="684" t="str">
        <f t="shared" si="48"/>
        <v>0</v>
      </c>
      <c r="H430" s="685" t="str">
        <f t="shared" si="49"/>
        <v/>
      </c>
      <c r="I430" s="683" t="str">
        <f>IF(AND(F430&lt;&gt;"",N10&gt;0,M430&gt;N10),"Mot &gt; limite","")</f>
        <v/>
      </c>
      <c r="M430" s="638">
        <f>IF(OR(F430="",N10="",N10&lt;=0),"",IF(LEN(F430)&lt;=N10,LEN(F430),IFERROR(FIND("♦",SUBSTITUTE(LEFT(F430,N10)," ","♦",LEN(LEFT(F430,N10))-LEN(SUBSTITUTE(LEFT(F430,N10)," ","")))),FIND(" ",F430&amp;" ",N10+1)-1)))</f>
        <v>1</v>
      </c>
      <c r="N430" s="686">
        <f t="shared" si="50"/>
        <v>413</v>
      </c>
      <c r="O430" s="663" t="str">
        <f t="shared" si="51"/>
        <v>0</v>
      </c>
      <c r="P430" s="686">
        <f t="shared" si="52"/>
        <v>1</v>
      </c>
      <c r="Q430" s="686">
        <f t="shared" si="53"/>
        <v>1</v>
      </c>
      <c r="DE430" s="494"/>
      <c r="DF430" s="496" t="s">
        <v>1947</v>
      </c>
      <c r="DG430" s="496" t="s">
        <v>345</v>
      </c>
      <c r="DH430" s="496" t="s">
        <v>1511</v>
      </c>
      <c r="DI430" s="496" t="s">
        <v>919</v>
      </c>
      <c r="DJ430" s="496" t="s">
        <v>919</v>
      </c>
      <c r="DK430" s="496" t="s">
        <v>1085</v>
      </c>
      <c r="DL430" s="496" t="s">
        <v>1914</v>
      </c>
      <c r="DM430" s="496" t="s">
        <v>1087</v>
      </c>
      <c r="DN430" s="497" t="s">
        <v>1088</v>
      </c>
      <c r="DP430" s="543">
        <v>1</v>
      </c>
    </row>
    <row r="431" spans="2:120" ht="15">
      <c r="B431" s="683"/>
      <c r="C431" s="683"/>
      <c r="D431" s="683"/>
      <c r="E431" s="683" cm="1">
        <f t="array" ref="E431">IF(H430&lt;&gt;"",E430,IF(E430="","",IFERROR(MATCH(TRUE(),INDEX(INDEX(K:K,E430+1):K203&lt;&gt;"",0),0)+E430,"")))</f>
        <v>572</v>
      </c>
      <c r="F431" s="684" cm="1">
        <f t="array" ref="F431">IF(E431="","",IF(H430&lt;&gt;"",H430,INDEX(D:D,E431)))</f>
        <v>0</v>
      </c>
      <c r="G431" s="684" t="str">
        <f t="shared" si="48"/>
        <v>0</v>
      </c>
      <c r="H431" s="685" t="str">
        <f t="shared" si="49"/>
        <v/>
      </c>
      <c r="I431" s="683" t="str">
        <f>IF(AND(F431&lt;&gt;"",N10&gt;0,M431&gt;N10),"Mot &gt; limite","")</f>
        <v/>
      </c>
      <c r="M431" s="638">
        <f>IF(OR(F431="",N10="",N10&lt;=0),"",IF(LEN(F431)&lt;=N10,LEN(F431),IFERROR(FIND("♦",SUBSTITUTE(LEFT(F431,N10)," ","♦",LEN(LEFT(F431,N10))-LEN(SUBSTITUTE(LEFT(F431,N10)," ","")))),FIND(" ",F431&amp;" ",N10+1)-1)))</f>
        <v>1</v>
      </c>
      <c r="N431" s="686">
        <f t="shared" si="50"/>
        <v>414</v>
      </c>
      <c r="O431" s="663" t="str">
        <f t="shared" si="51"/>
        <v>0</v>
      </c>
      <c r="P431" s="686">
        <f t="shared" si="52"/>
        <v>1</v>
      </c>
      <c r="Q431" s="686">
        <f t="shared" si="53"/>
        <v>1</v>
      </c>
      <c r="DE431" s="494"/>
      <c r="DF431" s="496" t="s">
        <v>1948</v>
      </c>
      <c r="DG431" s="496" t="s">
        <v>345</v>
      </c>
      <c r="DH431" s="496" t="s">
        <v>1511</v>
      </c>
      <c r="DI431" s="496" t="s">
        <v>1949</v>
      </c>
      <c r="DJ431" s="496" t="s">
        <v>1949</v>
      </c>
      <c r="DK431" s="496" t="s">
        <v>1085</v>
      </c>
      <c r="DL431" s="496" t="s">
        <v>1914</v>
      </c>
      <c r="DM431" s="496" t="s">
        <v>1087</v>
      </c>
      <c r="DN431" s="497" t="s">
        <v>1088</v>
      </c>
      <c r="DP431" s="543">
        <v>1</v>
      </c>
    </row>
    <row r="432" spans="2:120" ht="15">
      <c r="B432" s="683"/>
      <c r="C432" s="683"/>
      <c r="D432" s="683"/>
      <c r="E432" s="683" cm="1">
        <f t="array" ref="E432">IF(H431&lt;&gt;"",E431,IF(E431="","",IFERROR(MATCH(TRUE(),INDEX(INDEX(K:K,E431+1):K203&lt;&gt;"",0),0)+E431,"")))</f>
        <v>573</v>
      </c>
      <c r="F432" s="684" cm="1">
        <f t="array" ref="F432">IF(E432="","",IF(H431&lt;&gt;"",H431,INDEX(D:D,E432)))</f>
        <v>0</v>
      </c>
      <c r="G432" s="684" t="str">
        <f t="shared" si="48"/>
        <v>0</v>
      </c>
      <c r="H432" s="685" t="str">
        <f t="shared" si="49"/>
        <v/>
      </c>
      <c r="I432" s="683" t="str">
        <f>IF(AND(F432&lt;&gt;"",N10&gt;0,M432&gt;N10),"Mot &gt; limite","")</f>
        <v/>
      </c>
      <c r="M432" s="638">
        <f>IF(OR(F432="",N10="",N10&lt;=0),"",IF(LEN(F432)&lt;=N10,LEN(F432),IFERROR(FIND("♦",SUBSTITUTE(LEFT(F432,N10)," ","♦",LEN(LEFT(F432,N10))-LEN(SUBSTITUTE(LEFT(F432,N10)," ","")))),FIND(" ",F432&amp;" ",N10+1)-1)))</f>
        <v>1</v>
      </c>
      <c r="N432" s="686">
        <f t="shared" si="50"/>
        <v>415</v>
      </c>
      <c r="O432" s="663" t="str">
        <f t="shared" si="51"/>
        <v>0</v>
      </c>
      <c r="P432" s="686">
        <f t="shared" si="52"/>
        <v>1</v>
      </c>
      <c r="Q432" s="686">
        <f t="shared" si="53"/>
        <v>1</v>
      </c>
      <c r="DE432" s="494"/>
      <c r="DF432" s="496" t="s">
        <v>1950</v>
      </c>
      <c r="DG432" s="496" t="s">
        <v>345</v>
      </c>
      <c r="DH432" s="496" t="s">
        <v>1511</v>
      </c>
      <c r="DI432" s="496" t="s">
        <v>1534</v>
      </c>
      <c r="DJ432" s="496" t="s">
        <v>1535</v>
      </c>
      <c r="DK432" s="496" t="s">
        <v>1151</v>
      </c>
      <c r="DL432" s="496" t="s">
        <v>1518</v>
      </c>
      <c r="DM432" s="496" t="s">
        <v>1087</v>
      </c>
      <c r="DN432" s="497" t="s">
        <v>1153</v>
      </c>
      <c r="DP432" s="543">
        <v>1</v>
      </c>
    </row>
    <row r="433" spans="2:120" ht="15">
      <c r="B433" s="683"/>
      <c r="C433" s="683"/>
      <c r="D433" s="683"/>
      <c r="E433" s="683" cm="1">
        <f t="array" ref="E433">IF(H432&lt;&gt;"",E432,IF(E432="","",IFERROR(MATCH(TRUE(),INDEX(INDEX(K:K,E432+1):K203&lt;&gt;"",0),0)+E432,"")))</f>
        <v>574</v>
      </c>
      <c r="F433" s="684" cm="1">
        <f t="array" ref="F433">IF(E433="","",IF(H432&lt;&gt;"",H432,INDEX(D:D,E433)))</f>
        <v>0</v>
      </c>
      <c r="G433" s="684" t="str">
        <f t="shared" si="48"/>
        <v>0</v>
      </c>
      <c r="H433" s="685" t="str">
        <f t="shared" si="49"/>
        <v/>
      </c>
      <c r="I433" s="683" t="str">
        <f>IF(AND(F433&lt;&gt;"",N10&gt;0,M433&gt;N10),"Mot &gt; limite","")</f>
        <v/>
      </c>
      <c r="M433" s="638">
        <f>IF(OR(F433="",N10="",N10&lt;=0),"",IF(LEN(F433)&lt;=N10,LEN(F433),IFERROR(FIND("♦",SUBSTITUTE(LEFT(F433,N10)," ","♦",LEN(LEFT(F433,N10))-LEN(SUBSTITUTE(LEFT(F433,N10)," ","")))),FIND(" ",F433&amp;" ",N10+1)-1)))</f>
        <v>1</v>
      </c>
      <c r="N433" s="686">
        <f t="shared" si="50"/>
        <v>416</v>
      </c>
      <c r="O433" s="663" t="str">
        <f t="shared" si="51"/>
        <v>0</v>
      </c>
      <c r="P433" s="686">
        <f t="shared" si="52"/>
        <v>1</v>
      </c>
      <c r="Q433" s="686">
        <f t="shared" si="53"/>
        <v>1</v>
      </c>
      <c r="DE433" s="494"/>
      <c r="DF433" s="496" t="s">
        <v>1951</v>
      </c>
      <c r="DG433" s="496" t="s">
        <v>345</v>
      </c>
      <c r="DH433" s="496" t="s">
        <v>1511</v>
      </c>
      <c r="DI433" s="496" t="s">
        <v>1952</v>
      </c>
      <c r="DJ433" s="496" t="s">
        <v>1952</v>
      </c>
      <c r="DK433" s="496" t="s">
        <v>1085</v>
      </c>
      <c r="DL433" s="496" t="s">
        <v>1914</v>
      </c>
      <c r="DM433" s="496" t="s">
        <v>1087</v>
      </c>
      <c r="DN433" s="497" t="s">
        <v>1088</v>
      </c>
      <c r="DP433" s="543">
        <v>1</v>
      </c>
    </row>
    <row r="434" spans="2:120" ht="15">
      <c r="B434" s="683"/>
      <c r="C434" s="683"/>
      <c r="D434" s="683"/>
      <c r="E434" s="683" cm="1">
        <f t="array" ref="E434">IF(H433&lt;&gt;"",E433,IF(E433="","",IFERROR(MATCH(TRUE(),INDEX(INDEX(K:K,E433+1):K203&lt;&gt;"",0),0)+E433,"")))</f>
        <v>575</v>
      </c>
      <c r="F434" s="684" cm="1">
        <f t="array" ref="F434">IF(E434="","",IF(H433&lt;&gt;"",H433,INDEX(D:D,E434)))</f>
        <v>0</v>
      </c>
      <c r="G434" s="684" t="str">
        <f t="shared" si="48"/>
        <v>0</v>
      </c>
      <c r="H434" s="685" t="str">
        <f t="shared" si="49"/>
        <v/>
      </c>
      <c r="I434" s="683" t="str">
        <f>IF(AND(F434&lt;&gt;"",N10&gt;0,M434&gt;N10),"Mot &gt; limite","")</f>
        <v/>
      </c>
      <c r="M434" s="638">
        <f>IF(OR(F434="",N10="",N10&lt;=0),"",IF(LEN(F434)&lt;=N10,LEN(F434),IFERROR(FIND("♦",SUBSTITUTE(LEFT(F434,N10)," ","♦",LEN(LEFT(F434,N10))-LEN(SUBSTITUTE(LEFT(F434,N10)," ","")))),FIND(" ",F434&amp;" ",N10+1)-1)))</f>
        <v>1</v>
      </c>
      <c r="N434" s="686">
        <f t="shared" si="50"/>
        <v>417</v>
      </c>
      <c r="O434" s="663" t="str">
        <f t="shared" si="51"/>
        <v>0</v>
      </c>
      <c r="P434" s="686">
        <f t="shared" si="52"/>
        <v>1</v>
      </c>
      <c r="Q434" s="686">
        <f t="shared" si="53"/>
        <v>1</v>
      </c>
      <c r="DE434" s="494"/>
      <c r="DF434" s="496" t="s">
        <v>1953</v>
      </c>
      <c r="DG434" s="496" t="s">
        <v>345</v>
      </c>
      <c r="DH434" s="496" t="s">
        <v>1511</v>
      </c>
      <c r="DI434" s="496" t="s">
        <v>1423</v>
      </c>
      <c r="DJ434" s="496" t="s">
        <v>1423</v>
      </c>
      <c r="DK434" s="496" t="s">
        <v>1085</v>
      </c>
      <c r="DL434" s="496" t="s">
        <v>1914</v>
      </c>
      <c r="DM434" s="496" t="s">
        <v>1087</v>
      </c>
      <c r="DN434" s="497" t="s">
        <v>1088</v>
      </c>
      <c r="DP434" s="543">
        <v>1</v>
      </c>
    </row>
    <row r="435" spans="2:120" ht="15">
      <c r="B435" s="683"/>
      <c r="C435" s="683"/>
      <c r="D435" s="683"/>
      <c r="E435" s="683" cm="1">
        <f t="array" ref="E435">IF(H434&lt;&gt;"",E434,IF(E434="","",IFERROR(MATCH(TRUE(),INDEX(INDEX(K:K,E434+1):K203&lt;&gt;"",0),0)+E434,"")))</f>
        <v>576</v>
      </c>
      <c r="F435" s="684" cm="1">
        <f t="array" ref="F435">IF(E435="","",IF(H434&lt;&gt;"",H434,INDEX(D:D,E435)))</f>
        <v>0</v>
      </c>
      <c r="G435" s="684" t="str">
        <f t="shared" si="48"/>
        <v>0</v>
      </c>
      <c r="H435" s="685" t="str">
        <f t="shared" si="49"/>
        <v/>
      </c>
      <c r="I435" s="683" t="str">
        <f>IF(AND(F435&lt;&gt;"",N10&gt;0,M435&gt;N10),"Mot &gt; limite","")</f>
        <v/>
      </c>
      <c r="M435" s="638">
        <f>IF(OR(F435="",N10="",N10&lt;=0),"",IF(LEN(F435)&lt;=N10,LEN(F435),IFERROR(FIND("♦",SUBSTITUTE(LEFT(F435,N10)," ","♦",LEN(LEFT(F435,N10))-LEN(SUBSTITUTE(LEFT(F435,N10)," ","")))),FIND(" ",F435&amp;" ",N10+1)-1)))</f>
        <v>1</v>
      </c>
      <c r="N435" s="686">
        <f t="shared" si="50"/>
        <v>418</v>
      </c>
      <c r="O435" s="663" t="str">
        <f t="shared" si="51"/>
        <v>0</v>
      </c>
      <c r="P435" s="686">
        <f t="shared" si="52"/>
        <v>1</v>
      </c>
      <c r="Q435" s="686">
        <f t="shared" si="53"/>
        <v>1</v>
      </c>
      <c r="DE435" s="494"/>
      <c r="DF435" s="496" t="s">
        <v>1954</v>
      </c>
      <c r="DG435" s="496" t="s">
        <v>345</v>
      </c>
      <c r="DH435" s="496" t="s">
        <v>1511</v>
      </c>
      <c r="DI435" s="496" t="s">
        <v>1955</v>
      </c>
      <c r="DJ435" s="496" t="s">
        <v>1955</v>
      </c>
      <c r="DK435" s="496" t="s">
        <v>1085</v>
      </c>
      <c r="DL435" s="496" t="s">
        <v>1914</v>
      </c>
      <c r="DM435" s="496" t="s">
        <v>1087</v>
      </c>
      <c r="DN435" s="497" t="s">
        <v>1088</v>
      </c>
      <c r="DP435" s="543">
        <v>1</v>
      </c>
    </row>
    <row r="436" spans="2:120" ht="15">
      <c r="B436" s="683"/>
      <c r="C436" s="683"/>
      <c r="D436" s="683"/>
      <c r="E436" s="683" cm="1">
        <f t="array" ref="E436">IF(H435&lt;&gt;"",E435,IF(E435="","",IFERROR(MATCH(TRUE(),INDEX(INDEX(K:K,E435+1):K203&lt;&gt;"",0),0)+E435,"")))</f>
        <v>577</v>
      </c>
      <c r="F436" s="684" cm="1">
        <f t="array" ref="F436">IF(E436="","",IF(H435&lt;&gt;"",H435,INDEX(D:D,E436)))</f>
        <v>0</v>
      </c>
      <c r="G436" s="684" t="str">
        <f t="shared" si="48"/>
        <v>0</v>
      </c>
      <c r="H436" s="685" t="str">
        <f t="shared" si="49"/>
        <v/>
      </c>
      <c r="I436" s="683" t="str">
        <f>IF(AND(F436&lt;&gt;"",N10&gt;0,M436&gt;N10),"Mot &gt; limite","")</f>
        <v/>
      </c>
      <c r="M436" s="638">
        <f>IF(OR(F436="",N10="",N10&lt;=0),"",IF(LEN(F436)&lt;=N10,LEN(F436),IFERROR(FIND("♦",SUBSTITUTE(LEFT(F436,N10)," ","♦",LEN(LEFT(F436,N10))-LEN(SUBSTITUTE(LEFT(F436,N10)," ","")))),FIND(" ",F436&amp;" ",N10+1)-1)))</f>
        <v>1</v>
      </c>
      <c r="N436" s="686">
        <f t="shared" si="50"/>
        <v>419</v>
      </c>
      <c r="O436" s="663" t="str">
        <f t="shared" si="51"/>
        <v>0</v>
      </c>
      <c r="P436" s="686">
        <f t="shared" si="52"/>
        <v>1</v>
      </c>
      <c r="Q436" s="686">
        <f t="shared" si="53"/>
        <v>1</v>
      </c>
      <c r="DE436" s="494"/>
      <c r="DF436" s="496" t="s">
        <v>1956</v>
      </c>
      <c r="DG436" s="496" t="s">
        <v>345</v>
      </c>
      <c r="DH436" s="496" t="s">
        <v>1511</v>
      </c>
      <c r="DI436" s="496" t="s">
        <v>1433</v>
      </c>
      <c r="DJ436" s="496" t="s">
        <v>1433</v>
      </c>
      <c r="DK436" s="496" t="s">
        <v>1085</v>
      </c>
      <c r="DL436" s="496" t="s">
        <v>1914</v>
      </c>
      <c r="DM436" s="496" t="s">
        <v>1087</v>
      </c>
      <c r="DN436" s="497" t="s">
        <v>1088</v>
      </c>
      <c r="DP436" s="543">
        <v>1</v>
      </c>
    </row>
    <row r="437" spans="2:120" ht="15">
      <c r="B437" s="683"/>
      <c r="C437" s="683"/>
      <c r="D437" s="683"/>
      <c r="E437" s="683" cm="1">
        <f t="array" ref="E437">IF(H436&lt;&gt;"",E436,IF(E436="","",IFERROR(MATCH(TRUE(),INDEX(INDEX(K:K,E436+1):K203&lt;&gt;"",0),0)+E436,"")))</f>
        <v>578</v>
      </c>
      <c r="F437" s="684" cm="1">
        <f t="array" ref="F437">IF(E437="","",IF(H436&lt;&gt;"",H436,INDEX(D:D,E437)))</f>
        <v>0</v>
      </c>
      <c r="G437" s="684" t="str">
        <f t="shared" si="48"/>
        <v>0</v>
      </c>
      <c r="H437" s="685" t="str">
        <f t="shared" si="49"/>
        <v/>
      </c>
      <c r="I437" s="683" t="str">
        <f>IF(AND(F437&lt;&gt;"",N10&gt;0,M437&gt;N10),"Mot &gt; limite","")</f>
        <v/>
      </c>
      <c r="M437" s="638">
        <f>IF(OR(F437="",N10="",N10&lt;=0),"",IF(LEN(F437)&lt;=N10,LEN(F437),IFERROR(FIND("♦",SUBSTITUTE(LEFT(F437,N10)," ","♦",LEN(LEFT(F437,N10))-LEN(SUBSTITUTE(LEFT(F437,N10)," ","")))),FIND(" ",F437&amp;" ",N10+1)-1)))</f>
        <v>1</v>
      </c>
      <c r="N437" s="686">
        <f t="shared" si="50"/>
        <v>420</v>
      </c>
      <c r="O437" s="663" t="str">
        <f t="shared" si="51"/>
        <v>0</v>
      </c>
      <c r="P437" s="686">
        <f t="shared" si="52"/>
        <v>1</v>
      </c>
      <c r="Q437" s="686">
        <f t="shared" si="53"/>
        <v>1</v>
      </c>
      <c r="DE437" s="494"/>
      <c r="DF437" s="496" t="s">
        <v>1957</v>
      </c>
      <c r="DG437" s="496" t="s">
        <v>345</v>
      </c>
      <c r="DH437" s="496" t="s">
        <v>1511</v>
      </c>
      <c r="DI437" s="496" t="s">
        <v>1958</v>
      </c>
      <c r="DJ437" s="496" t="s">
        <v>1958</v>
      </c>
      <c r="DK437" s="496" t="s">
        <v>1085</v>
      </c>
      <c r="DL437" s="496" t="s">
        <v>1914</v>
      </c>
      <c r="DM437" s="496" t="s">
        <v>1087</v>
      </c>
      <c r="DN437" s="497" t="s">
        <v>1088</v>
      </c>
      <c r="DP437" s="543">
        <v>1</v>
      </c>
    </row>
    <row r="438" spans="2:120" ht="15">
      <c r="B438" s="683"/>
      <c r="C438" s="683"/>
      <c r="D438" s="683"/>
      <c r="E438" s="683" cm="1">
        <f t="array" ref="E438">IF(H437&lt;&gt;"",E437,IF(E437="","",IFERROR(MATCH(TRUE(),INDEX(INDEX(K:K,E437+1):K203&lt;&gt;"",0),0)+E437,"")))</f>
        <v>579</v>
      </c>
      <c r="F438" s="684" cm="1">
        <f t="array" ref="F438">IF(E438="","",IF(H437&lt;&gt;"",H437,INDEX(D:D,E438)))</f>
        <v>0</v>
      </c>
      <c r="G438" s="684" t="str">
        <f t="shared" si="48"/>
        <v>0</v>
      </c>
      <c r="H438" s="685" t="str">
        <f t="shared" si="49"/>
        <v/>
      </c>
      <c r="I438" s="683" t="str">
        <f>IF(AND(F438&lt;&gt;"",N10&gt;0,M438&gt;N10),"Mot &gt; limite","")</f>
        <v/>
      </c>
      <c r="M438" s="638">
        <f>IF(OR(F438="",N10="",N10&lt;=0),"",IF(LEN(F438)&lt;=N10,LEN(F438),IFERROR(FIND("♦",SUBSTITUTE(LEFT(F438,N10)," ","♦",LEN(LEFT(F438,N10))-LEN(SUBSTITUTE(LEFT(F438,N10)," ","")))),FIND(" ",F438&amp;" ",N10+1)-1)))</f>
        <v>1</v>
      </c>
      <c r="N438" s="686">
        <f t="shared" si="50"/>
        <v>421</v>
      </c>
      <c r="O438" s="663" t="str">
        <f t="shared" si="51"/>
        <v>0</v>
      </c>
      <c r="P438" s="686">
        <f t="shared" si="52"/>
        <v>1</v>
      </c>
      <c r="Q438" s="686">
        <f t="shared" si="53"/>
        <v>1</v>
      </c>
      <c r="DE438" s="494"/>
      <c r="DF438" s="496" t="s">
        <v>1959</v>
      </c>
      <c r="DG438" s="496" t="s">
        <v>345</v>
      </c>
      <c r="DH438" s="496" t="s">
        <v>1960</v>
      </c>
      <c r="DI438" s="496" t="s">
        <v>1961</v>
      </c>
      <c r="DJ438" s="496" t="s">
        <v>1961</v>
      </c>
      <c r="DK438" s="496" t="s">
        <v>1151</v>
      </c>
      <c r="DL438" s="496" t="s">
        <v>1962</v>
      </c>
      <c r="DM438" s="496" t="s">
        <v>1087</v>
      </c>
      <c r="DN438" s="497" t="s">
        <v>1153</v>
      </c>
      <c r="DP438" s="543">
        <v>1</v>
      </c>
    </row>
    <row r="439" spans="2:120" ht="15">
      <c r="B439" s="683"/>
      <c r="C439" s="683"/>
      <c r="D439" s="683"/>
      <c r="E439" s="683" cm="1">
        <f t="array" ref="E439">IF(H438&lt;&gt;"",E438,IF(E438="","",IFERROR(MATCH(TRUE(),INDEX(INDEX(K:K,E438+1):K203&lt;&gt;"",0),0)+E438,"")))</f>
        <v>580</v>
      </c>
      <c r="F439" s="684" cm="1">
        <f t="array" ref="F439">IF(E439="","",IF(H438&lt;&gt;"",H438,INDEX(D:D,E439)))</f>
        <v>0</v>
      </c>
      <c r="G439" s="684" t="str">
        <f t="shared" si="48"/>
        <v>0</v>
      </c>
      <c r="H439" s="685" t="str">
        <f t="shared" si="49"/>
        <v/>
      </c>
      <c r="I439" s="683" t="str">
        <f>IF(AND(F439&lt;&gt;"",N10&gt;0,M439&gt;N10),"Mot &gt; limite","")</f>
        <v/>
      </c>
      <c r="M439" s="638">
        <f>IF(OR(F439="",N10="",N10&lt;=0),"",IF(LEN(F439)&lt;=N10,LEN(F439),IFERROR(FIND("♦",SUBSTITUTE(LEFT(F439,N10)," ","♦",LEN(LEFT(F439,N10))-LEN(SUBSTITUTE(LEFT(F439,N10)," ","")))),FIND(" ",F439&amp;" ",N10+1)-1)))</f>
        <v>1</v>
      </c>
      <c r="N439" s="686">
        <f t="shared" si="50"/>
        <v>422</v>
      </c>
      <c r="O439" s="663" t="str">
        <f t="shared" si="51"/>
        <v>0</v>
      </c>
      <c r="P439" s="686">
        <f t="shared" si="52"/>
        <v>1</v>
      </c>
      <c r="Q439" s="686">
        <f t="shared" si="53"/>
        <v>1</v>
      </c>
      <c r="DE439" s="494"/>
      <c r="DF439" s="496" t="s">
        <v>1963</v>
      </c>
      <c r="DG439" s="496" t="s">
        <v>345</v>
      </c>
      <c r="DH439" s="496" t="s">
        <v>1960</v>
      </c>
      <c r="DI439" s="496" t="s">
        <v>1964</v>
      </c>
      <c r="DJ439" s="496" t="s">
        <v>1965</v>
      </c>
      <c r="DK439" s="496" t="s">
        <v>1151</v>
      </c>
      <c r="DL439" s="496" t="s">
        <v>1962</v>
      </c>
      <c r="DM439" s="496" t="s">
        <v>1087</v>
      </c>
      <c r="DN439" s="497" t="s">
        <v>1153</v>
      </c>
      <c r="DP439" s="543">
        <v>1</v>
      </c>
    </row>
    <row r="440" spans="2:120" ht="15">
      <c r="B440" s="683"/>
      <c r="C440" s="683"/>
      <c r="D440" s="683"/>
      <c r="E440" s="683" cm="1">
        <f t="array" ref="E440">IF(H439&lt;&gt;"",E439,IF(E439="","",IFERROR(MATCH(TRUE(),INDEX(INDEX(K:K,E439+1):K203&lt;&gt;"",0),0)+E439,"")))</f>
        <v>581</v>
      </c>
      <c r="F440" s="684" cm="1">
        <f t="array" ref="F440">IF(E440="","",IF(H439&lt;&gt;"",H439,INDEX(D:D,E440)))</f>
        <v>0</v>
      </c>
      <c r="G440" s="684" t="str">
        <f t="shared" si="48"/>
        <v>0</v>
      </c>
      <c r="H440" s="685" t="str">
        <f t="shared" si="49"/>
        <v/>
      </c>
      <c r="I440" s="683" t="str">
        <f>IF(AND(F440&lt;&gt;"",N10&gt;0,M440&gt;N10),"Mot &gt; limite","")</f>
        <v/>
      </c>
      <c r="M440" s="638">
        <f>IF(OR(F440="",N10="",N10&lt;=0),"",IF(LEN(F440)&lt;=N10,LEN(F440),IFERROR(FIND("♦",SUBSTITUTE(LEFT(F440,N10)," ","♦",LEN(LEFT(F440,N10))-LEN(SUBSTITUTE(LEFT(F440,N10)," ","")))),FIND(" ",F440&amp;" ",N10+1)-1)))</f>
        <v>1</v>
      </c>
      <c r="N440" s="686">
        <f t="shared" si="50"/>
        <v>423</v>
      </c>
      <c r="O440" s="663" t="str">
        <f t="shared" si="51"/>
        <v>0</v>
      </c>
      <c r="P440" s="686">
        <f t="shared" si="52"/>
        <v>1</v>
      </c>
      <c r="Q440" s="686">
        <f t="shared" si="53"/>
        <v>1</v>
      </c>
      <c r="DE440" s="494"/>
      <c r="DF440" s="496" t="s">
        <v>1966</v>
      </c>
      <c r="DG440" s="496" t="s">
        <v>345</v>
      </c>
      <c r="DH440" s="496" t="s">
        <v>1960</v>
      </c>
      <c r="DI440" s="496" t="s">
        <v>1967</v>
      </c>
      <c r="DJ440" s="496" t="s">
        <v>1968</v>
      </c>
      <c r="DK440" s="496" t="s">
        <v>1151</v>
      </c>
      <c r="DL440" s="496" t="s">
        <v>1962</v>
      </c>
      <c r="DM440" s="496" t="s">
        <v>1087</v>
      </c>
      <c r="DN440" s="497" t="s">
        <v>1153</v>
      </c>
      <c r="DP440" s="543">
        <v>1</v>
      </c>
    </row>
    <row r="441" spans="2:120" ht="15">
      <c r="B441" s="683"/>
      <c r="C441" s="683"/>
      <c r="D441" s="683"/>
      <c r="E441" s="683" cm="1">
        <f t="array" ref="E441">IF(H440&lt;&gt;"",E440,IF(E440="","",IFERROR(MATCH(TRUE(),INDEX(INDEX(K:K,E440+1):K203&lt;&gt;"",0),0)+E440,"")))</f>
        <v>582</v>
      </c>
      <c r="F441" s="684" cm="1">
        <f t="array" ref="F441">IF(E441="","",IF(H440&lt;&gt;"",H440,INDEX(D:D,E441)))</f>
        <v>0</v>
      </c>
      <c r="G441" s="684" t="str">
        <f t="shared" si="48"/>
        <v>0</v>
      </c>
      <c r="H441" s="685" t="str">
        <f t="shared" si="49"/>
        <v/>
      </c>
      <c r="I441" s="683" t="str">
        <f>IF(AND(F441&lt;&gt;"",N10&gt;0,M441&gt;N10),"Mot &gt; limite","")</f>
        <v/>
      </c>
      <c r="M441" s="638">
        <f>IF(OR(F441="",N10="",N10&lt;=0),"",IF(LEN(F441)&lt;=N10,LEN(F441),IFERROR(FIND("♦",SUBSTITUTE(LEFT(F441,N10)," ","♦",LEN(LEFT(F441,N10))-LEN(SUBSTITUTE(LEFT(F441,N10)," ","")))),FIND(" ",F441&amp;" ",N10+1)-1)))</f>
        <v>1</v>
      </c>
      <c r="N441" s="686">
        <f t="shared" si="50"/>
        <v>424</v>
      </c>
      <c r="O441" s="663" t="str">
        <f t="shared" si="51"/>
        <v>0</v>
      </c>
      <c r="P441" s="686">
        <f t="shared" si="52"/>
        <v>1</v>
      </c>
      <c r="Q441" s="686">
        <f t="shared" si="53"/>
        <v>1</v>
      </c>
      <c r="DE441" s="494"/>
      <c r="DF441" s="496" t="s">
        <v>1969</v>
      </c>
      <c r="DG441" s="496" t="s">
        <v>345</v>
      </c>
      <c r="DH441" s="496" t="s">
        <v>1960</v>
      </c>
      <c r="DI441" s="496" t="s">
        <v>1970</v>
      </c>
      <c r="DJ441" s="496" t="s">
        <v>1971</v>
      </c>
      <c r="DK441" s="496" t="s">
        <v>1151</v>
      </c>
      <c r="DL441" s="496" t="s">
        <v>1962</v>
      </c>
      <c r="DM441" s="496" t="s">
        <v>1087</v>
      </c>
      <c r="DN441" s="497" t="s">
        <v>1153</v>
      </c>
      <c r="DP441" s="543">
        <v>1</v>
      </c>
    </row>
    <row r="442" spans="2:120" ht="15">
      <c r="B442" s="683"/>
      <c r="C442" s="683"/>
      <c r="D442" s="683"/>
      <c r="E442" s="683" cm="1">
        <f t="array" ref="E442">IF(H441&lt;&gt;"",E441,IF(E441="","",IFERROR(MATCH(TRUE(),INDEX(INDEX(K:K,E441+1):K203&lt;&gt;"",0),0)+E441,"")))</f>
        <v>583</v>
      </c>
      <c r="F442" s="684" cm="1">
        <f t="array" ref="F442">IF(E442="","",IF(H441&lt;&gt;"",H441,INDEX(D:D,E442)))</f>
        <v>0</v>
      </c>
      <c r="G442" s="684" t="str">
        <f t="shared" si="48"/>
        <v>0</v>
      </c>
      <c r="H442" s="685" t="str">
        <f t="shared" si="49"/>
        <v/>
      </c>
      <c r="I442" s="683" t="str">
        <f>IF(AND(F442&lt;&gt;"",N10&gt;0,M442&gt;N10),"Mot &gt; limite","")</f>
        <v/>
      </c>
      <c r="M442" s="638">
        <f>IF(OR(F442="",N10="",N10&lt;=0),"",IF(LEN(F442)&lt;=N10,LEN(F442),IFERROR(FIND("♦",SUBSTITUTE(LEFT(F442,N10)," ","♦",LEN(LEFT(F442,N10))-LEN(SUBSTITUTE(LEFT(F442,N10)," ","")))),FIND(" ",F442&amp;" ",N10+1)-1)))</f>
        <v>1</v>
      </c>
      <c r="N442" s="686">
        <f t="shared" si="50"/>
        <v>425</v>
      </c>
      <c r="O442" s="663" t="str">
        <f t="shared" si="51"/>
        <v>0</v>
      </c>
      <c r="P442" s="686">
        <f t="shared" si="52"/>
        <v>1</v>
      </c>
      <c r="Q442" s="686">
        <f t="shared" si="53"/>
        <v>1</v>
      </c>
      <c r="DE442" s="494"/>
      <c r="DF442" s="496" t="s">
        <v>1972</v>
      </c>
      <c r="DG442" s="496" t="s">
        <v>345</v>
      </c>
      <c r="DH442" s="496" t="s">
        <v>1960</v>
      </c>
      <c r="DI442" s="496" t="s">
        <v>1478</v>
      </c>
      <c r="DJ442" s="496" t="s">
        <v>860</v>
      </c>
      <c r="DK442" s="496" t="s">
        <v>1151</v>
      </c>
      <c r="DL442" s="496" t="s">
        <v>1962</v>
      </c>
      <c r="DM442" s="496" t="s">
        <v>1087</v>
      </c>
      <c r="DN442" s="497" t="s">
        <v>1153</v>
      </c>
      <c r="DP442" s="543">
        <v>1</v>
      </c>
    </row>
    <row r="443" spans="2:120" ht="15">
      <c r="B443" s="683"/>
      <c r="C443" s="683"/>
      <c r="D443" s="683"/>
      <c r="E443" s="683" cm="1">
        <f t="array" ref="E443">IF(H442&lt;&gt;"",E442,IF(E442="","",IFERROR(MATCH(TRUE(),INDEX(INDEX(K:K,E442+1):K203&lt;&gt;"",0),0)+E442,"")))</f>
        <v>584</v>
      </c>
      <c r="F443" s="684" cm="1">
        <f t="array" ref="F443">IF(E443="","",IF(H442&lt;&gt;"",H442,INDEX(D:D,E443)))</f>
        <v>0</v>
      </c>
      <c r="G443" s="684" t="str">
        <f t="shared" si="48"/>
        <v>0</v>
      </c>
      <c r="H443" s="685" t="str">
        <f t="shared" si="49"/>
        <v/>
      </c>
      <c r="I443" s="683" t="str">
        <f>IF(AND(F443&lt;&gt;"",N10&gt;0,M443&gt;N10),"Mot &gt; limite","")</f>
        <v/>
      </c>
      <c r="M443" s="638">
        <f>IF(OR(F443="",N10="",N10&lt;=0),"",IF(LEN(F443)&lt;=N10,LEN(F443),IFERROR(FIND("♦",SUBSTITUTE(LEFT(F443,N10)," ","♦",LEN(LEFT(F443,N10))-LEN(SUBSTITUTE(LEFT(F443,N10)," ","")))),FIND(" ",F443&amp;" ",N10+1)-1)))</f>
        <v>1</v>
      </c>
      <c r="N443" s="686">
        <f t="shared" si="50"/>
        <v>426</v>
      </c>
      <c r="O443" s="663" t="str">
        <f t="shared" si="51"/>
        <v>0</v>
      </c>
      <c r="P443" s="686">
        <f t="shared" si="52"/>
        <v>1</v>
      </c>
      <c r="Q443" s="686">
        <f t="shared" si="53"/>
        <v>1</v>
      </c>
      <c r="DE443" s="494"/>
      <c r="DF443" s="496" t="s">
        <v>1973</v>
      </c>
      <c r="DG443" s="496" t="s">
        <v>345</v>
      </c>
      <c r="DH443" s="496" t="s">
        <v>1960</v>
      </c>
      <c r="DI443" s="496" t="s">
        <v>857</v>
      </c>
      <c r="DJ443" s="496" t="s">
        <v>861</v>
      </c>
      <c r="DK443" s="496" t="s">
        <v>1151</v>
      </c>
      <c r="DL443" s="496" t="s">
        <v>1962</v>
      </c>
      <c r="DM443" s="496" t="s">
        <v>1087</v>
      </c>
      <c r="DN443" s="497" t="s">
        <v>1153</v>
      </c>
      <c r="DP443" s="543">
        <v>1</v>
      </c>
    </row>
    <row r="444" spans="2:120" ht="15">
      <c r="B444" s="683"/>
      <c r="C444" s="683"/>
      <c r="D444" s="683"/>
      <c r="E444" s="683" cm="1">
        <f t="array" ref="E444">IF(H443&lt;&gt;"",E443,IF(E443="","",IFERROR(MATCH(TRUE(),INDEX(INDEX(K:K,E443+1):K203&lt;&gt;"",0),0)+E443,"")))</f>
        <v>585</v>
      </c>
      <c r="F444" s="684" cm="1">
        <f t="array" ref="F444">IF(E444="","",IF(H443&lt;&gt;"",H443,INDEX(D:D,E444)))</f>
        <v>0</v>
      </c>
      <c r="G444" s="684" t="str">
        <f t="shared" si="48"/>
        <v>0</v>
      </c>
      <c r="H444" s="685" t="str">
        <f t="shared" si="49"/>
        <v/>
      </c>
      <c r="I444" s="683" t="str">
        <f>IF(AND(F444&lt;&gt;"",N10&gt;0,M444&gt;N10),"Mot &gt; limite","")</f>
        <v/>
      </c>
      <c r="M444" s="638">
        <f>IF(OR(F444="",N10="",N10&lt;=0),"",IF(LEN(F444)&lt;=N10,LEN(F444),IFERROR(FIND("♦",SUBSTITUTE(LEFT(F444,N10)," ","♦",LEN(LEFT(F444,N10))-LEN(SUBSTITUTE(LEFT(F444,N10)," ","")))),FIND(" ",F444&amp;" ",N10+1)-1)))</f>
        <v>1</v>
      </c>
      <c r="N444" s="686">
        <f t="shared" si="50"/>
        <v>427</v>
      </c>
      <c r="O444" s="663" t="str">
        <f t="shared" si="51"/>
        <v>0</v>
      </c>
      <c r="P444" s="686">
        <f t="shared" si="52"/>
        <v>1</v>
      </c>
      <c r="Q444" s="686">
        <f t="shared" si="53"/>
        <v>1</v>
      </c>
      <c r="DE444" s="494"/>
      <c r="DF444" s="496" t="s">
        <v>1974</v>
      </c>
      <c r="DG444" s="496" t="s">
        <v>345</v>
      </c>
      <c r="DH444" s="496" t="s">
        <v>1960</v>
      </c>
      <c r="DI444" s="496" t="s">
        <v>1486</v>
      </c>
      <c r="DJ444" s="496" t="s">
        <v>864</v>
      </c>
      <c r="DK444" s="496" t="s">
        <v>1151</v>
      </c>
      <c r="DL444" s="496" t="s">
        <v>1962</v>
      </c>
      <c r="DM444" s="496" t="s">
        <v>1087</v>
      </c>
      <c r="DN444" s="497" t="s">
        <v>1153</v>
      </c>
      <c r="DP444" s="543">
        <v>1</v>
      </c>
    </row>
    <row r="445" spans="2:120" ht="15">
      <c r="B445" s="683"/>
      <c r="C445" s="683"/>
      <c r="D445" s="683"/>
      <c r="E445" s="683" cm="1">
        <f t="array" ref="E445">IF(H444&lt;&gt;"",E444,IF(E444="","",IFERROR(MATCH(TRUE(),INDEX(INDEX(K:K,E444+1):K203&lt;&gt;"",0),0)+E444,"")))</f>
        <v>586</v>
      </c>
      <c r="F445" s="684" cm="1">
        <f t="array" ref="F445">IF(E445="","",IF(H444&lt;&gt;"",H444,INDEX(D:D,E445)))</f>
        <v>0</v>
      </c>
      <c r="G445" s="684" t="str">
        <f t="shared" si="48"/>
        <v>0</v>
      </c>
      <c r="H445" s="685" t="str">
        <f t="shared" si="49"/>
        <v/>
      </c>
      <c r="I445" s="683" t="str">
        <f>IF(AND(F445&lt;&gt;"",N10&gt;0,M445&gt;N10),"Mot &gt; limite","")</f>
        <v/>
      </c>
      <c r="M445" s="638">
        <f>IF(OR(F445="",N10="",N10&lt;=0),"",IF(LEN(F445)&lt;=N10,LEN(F445),IFERROR(FIND("♦",SUBSTITUTE(LEFT(F445,N10)," ","♦",LEN(LEFT(F445,N10))-LEN(SUBSTITUTE(LEFT(F445,N10)," ","")))),FIND(" ",F445&amp;" ",N10+1)-1)))</f>
        <v>1</v>
      </c>
      <c r="N445" s="686">
        <f t="shared" si="50"/>
        <v>428</v>
      </c>
      <c r="O445" s="663" t="str">
        <f t="shared" si="51"/>
        <v>0</v>
      </c>
      <c r="P445" s="686">
        <f t="shared" si="52"/>
        <v>1</v>
      </c>
      <c r="Q445" s="686">
        <f t="shared" si="53"/>
        <v>1</v>
      </c>
      <c r="DE445" s="494"/>
      <c r="DF445" s="496" t="s">
        <v>1975</v>
      </c>
      <c r="DG445" s="496" t="s">
        <v>345</v>
      </c>
      <c r="DH445" s="496" t="s">
        <v>1960</v>
      </c>
      <c r="DI445" s="496" t="s">
        <v>1976</v>
      </c>
      <c r="DJ445" s="496" t="s">
        <v>1976</v>
      </c>
      <c r="DK445" s="496" t="s">
        <v>1151</v>
      </c>
      <c r="DL445" s="496" t="s">
        <v>1962</v>
      </c>
      <c r="DM445" s="496" t="s">
        <v>1087</v>
      </c>
      <c r="DN445" s="497" t="s">
        <v>1153</v>
      </c>
      <c r="DP445" s="543">
        <v>1</v>
      </c>
    </row>
    <row r="446" spans="2:120" ht="15">
      <c r="B446" s="683"/>
      <c r="C446" s="683"/>
      <c r="D446" s="683"/>
      <c r="E446" s="683" cm="1">
        <f t="array" ref="E446">IF(H445&lt;&gt;"",E445,IF(E445="","",IFERROR(MATCH(TRUE(),INDEX(INDEX(K:K,E445+1):K203&lt;&gt;"",0),0)+E445,"")))</f>
        <v>587</v>
      </c>
      <c r="F446" s="684" cm="1">
        <f t="array" ref="F446">IF(E446="","",IF(H445&lt;&gt;"",H445,INDEX(D:D,E446)))</f>
        <v>0</v>
      </c>
      <c r="G446" s="684" t="str">
        <f t="shared" si="48"/>
        <v>0</v>
      </c>
      <c r="H446" s="685" t="str">
        <f t="shared" si="49"/>
        <v/>
      </c>
      <c r="I446" s="683" t="str">
        <f>IF(AND(F446&lt;&gt;"",N10&gt;0,M446&gt;N10),"Mot &gt; limite","")</f>
        <v/>
      </c>
      <c r="M446" s="638">
        <f>IF(OR(F446="",N10="",N10&lt;=0),"",IF(LEN(F446)&lt;=N10,LEN(F446),IFERROR(FIND("♦",SUBSTITUTE(LEFT(F446,N10)," ","♦",LEN(LEFT(F446,N10))-LEN(SUBSTITUTE(LEFT(F446,N10)," ","")))),FIND(" ",F446&amp;" ",N10+1)-1)))</f>
        <v>1</v>
      </c>
      <c r="N446" s="686">
        <f t="shared" si="50"/>
        <v>429</v>
      </c>
      <c r="O446" s="663" t="str">
        <f t="shared" si="51"/>
        <v>0</v>
      </c>
      <c r="P446" s="686">
        <f t="shared" si="52"/>
        <v>1</v>
      </c>
      <c r="Q446" s="686">
        <f t="shared" si="53"/>
        <v>1</v>
      </c>
      <c r="DE446" s="494"/>
      <c r="DF446" s="496" t="s">
        <v>1977</v>
      </c>
      <c r="DG446" s="496" t="s">
        <v>345</v>
      </c>
      <c r="DH446" s="496" t="s">
        <v>1960</v>
      </c>
      <c r="DI446" s="496" t="s">
        <v>1978</v>
      </c>
      <c r="DJ446" s="496" t="s">
        <v>1978</v>
      </c>
      <c r="DK446" s="496" t="s">
        <v>1151</v>
      </c>
      <c r="DL446" s="496" t="s">
        <v>1962</v>
      </c>
      <c r="DM446" s="496" t="s">
        <v>1087</v>
      </c>
      <c r="DN446" s="497" t="s">
        <v>1153</v>
      </c>
      <c r="DP446" s="543">
        <v>1</v>
      </c>
    </row>
    <row r="447" spans="2:120" ht="15">
      <c r="B447" s="683"/>
      <c r="C447" s="683"/>
      <c r="D447" s="683"/>
      <c r="E447" s="683" cm="1">
        <f t="array" ref="E447">IF(H446&lt;&gt;"",E446,IF(E446="","",IFERROR(MATCH(TRUE(),INDEX(INDEX(K:K,E446+1):K203&lt;&gt;"",0),0)+E446,"")))</f>
        <v>588</v>
      </c>
      <c r="F447" s="684" cm="1">
        <f t="array" ref="F447">IF(E447="","",IF(H446&lt;&gt;"",H446,INDEX(D:D,E447)))</f>
        <v>0</v>
      </c>
      <c r="G447" s="684" t="str">
        <f t="shared" si="48"/>
        <v>0</v>
      </c>
      <c r="H447" s="685" t="str">
        <f t="shared" si="49"/>
        <v/>
      </c>
      <c r="I447" s="683" t="str">
        <f>IF(AND(F447&lt;&gt;"",N10&gt;0,M447&gt;N10),"Mot &gt; limite","")</f>
        <v/>
      </c>
      <c r="M447" s="638">
        <f>IF(OR(F447="",N10="",N10&lt;=0),"",IF(LEN(F447)&lt;=N10,LEN(F447),IFERROR(FIND("♦",SUBSTITUTE(LEFT(F447,N10)," ","♦",LEN(LEFT(F447,N10))-LEN(SUBSTITUTE(LEFT(F447,N10)," ","")))),FIND(" ",F447&amp;" ",N10+1)-1)))</f>
        <v>1</v>
      </c>
      <c r="N447" s="686">
        <f t="shared" si="50"/>
        <v>430</v>
      </c>
      <c r="O447" s="663" t="str">
        <f t="shared" si="51"/>
        <v>0</v>
      </c>
      <c r="P447" s="686">
        <f t="shared" si="52"/>
        <v>1</v>
      </c>
      <c r="Q447" s="686">
        <f t="shared" si="53"/>
        <v>1</v>
      </c>
      <c r="DE447" s="494"/>
      <c r="DF447" s="496" t="s">
        <v>1979</v>
      </c>
      <c r="DG447" s="496" t="s">
        <v>8</v>
      </c>
      <c r="DH447" s="496" t="s">
        <v>689</v>
      </c>
      <c r="DI447" s="496" t="s">
        <v>1980</v>
      </c>
      <c r="DJ447" s="496" t="s">
        <v>1980</v>
      </c>
      <c r="DK447" s="496" t="s">
        <v>1554</v>
      </c>
      <c r="DL447" s="496" t="s">
        <v>1555</v>
      </c>
      <c r="DM447" s="496" t="s">
        <v>1981</v>
      </c>
      <c r="DN447" s="497" t="s">
        <v>1982</v>
      </c>
      <c r="DP447" s="543">
        <v>1</v>
      </c>
    </row>
    <row r="448" spans="2:120" ht="15">
      <c r="B448" s="683"/>
      <c r="C448" s="683"/>
      <c r="D448" s="683"/>
      <c r="E448" s="683" cm="1">
        <f t="array" ref="E448">IF(H447&lt;&gt;"",E447,IF(E447="","",IFERROR(MATCH(TRUE(),INDEX(INDEX(K:K,E447+1):K203&lt;&gt;"",0),0)+E447,"")))</f>
        <v>589</v>
      </c>
      <c r="F448" s="684" cm="1">
        <f t="array" ref="F448">IF(E448="","",IF(H447&lt;&gt;"",H447,INDEX(D:D,E448)))</f>
        <v>0</v>
      </c>
      <c r="G448" s="684" t="str">
        <f t="shared" si="48"/>
        <v>0</v>
      </c>
      <c r="H448" s="685" t="str">
        <f t="shared" si="49"/>
        <v/>
      </c>
      <c r="I448" s="683" t="str">
        <f>IF(AND(F448&lt;&gt;"",N10&gt;0,M448&gt;N10),"Mot &gt; limite","")</f>
        <v/>
      </c>
      <c r="M448" s="638">
        <f>IF(OR(F448="",N10="",N10&lt;=0),"",IF(LEN(F448)&lt;=N10,LEN(F448),IFERROR(FIND("♦",SUBSTITUTE(LEFT(F448,N10)," ","♦",LEN(LEFT(F448,N10))-LEN(SUBSTITUTE(LEFT(F448,N10)," ","")))),FIND(" ",F448&amp;" ",N10+1)-1)))</f>
        <v>1</v>
      </c>
      <c r="N448" s="686">
        <f t="shared" si="50"/>
        <v>431</v>
      </c>
      <c r="O448" s="663" t="str">
        <f t="shared" si="51"/>
        <v>0</v>
      </c>
      <c r="P448" s="686">
        <f t="shared" si="52"/>
        <v>1</v>
      </c>
      <c r="Q448" s="686">
        <f t="shared" si="53"/>
        <v>1</v>
      </c>
      <c r="DE448" s="494"/>
      <c r="DF448" s="496" t="s">
        <v>1983</v>
      </c>
      <c r="DG448" s="496" t="s">
        <v>8</v>
      </c>
      <c r="DH448" s="496" t="s">
        <v>689</v>
      </c>
      <c r="DI448" s="496" t="s">
        <v>1984</v>
      </c>
      <c r="DJ448" s="496" t="s">
        <v>1984</v>
      </c>
      <c r="DK448" s="496" t="s">
        <v>1554</v>
      </c>
      <c r="DL448" s="496" t="s">
        <v>1555</v>
      </c>
      <c r="DM448" s="496" t="s">
        <v>1981</v>
      </c>
      <c r="DN448" s="497" t="s">
        <v>1982</v>
      </c>
      <c r="DP448" s="543">
        <v>1</v>
      </c>
    </row>
    <row r="449" spans="2:120" ht="15">
      <c r="B449" s="683"/>
      <c r="C449" s="683"/>
      <c r="D449" s="683"/>
      <c r="E449" s="683" cm="1">
        <f t="array" ref="E449">IF(H448&lt;&gt;"",E448,IF(E448="","",IFERROR(MATCH(TRUE(),INDEX(INDEX(K:K,E448+1):K203&lt;&gt;"",0),0)+E448,"")))</f>
        <v>590</v>
      </c>
      <c r="F449" s="684" cm="1">
        <f t="array" ref="F449">IF(E449="","",IF(H448&lt;&gt;"",H448,INDEX(D:D,E449)))</f>
        <v>0</v>
      </c>
      <c r="G449" s="684" t="str">
        <f t="shared" si="48"/>
        <v>0</v>
      </c>
      <c r="H449" s="685" t="str">
        <f t="shared" si="49"/>
        <v/>
      </c>
      <c r="I449" s="683" t="str">
        <f>IF(AND(F449&lt;&gt;"",N10&gt;0,M449&gt;N10),"Mot &gt; limite","")</f>
        <v/>
      </c>
      <c r="M449" s="638">
        <f>IF(OR(F449="",N10="",N10&lt;=0),"",IF(LEN(F449)&lt;=N10,LEN(F449),IFERROR(FIND("♦",SUBSTITUTE(LEFT(F449,N10)," ","♦",LEN(LEFT(F449,N10))-LEN(SUBSTITUTE(LEFT(F449,N10)," ","")))),FIND(" ",F449&amp;" ",N10+1)-1)))</f>
        <v>1</v>
      </c>
      <c r="N449" s="686">
        <f t="shared" si="50"/>
        <v>432</v>
      </c>
      <c r="O449" s="663" t="str">
        <f t="shared" si="51"/>
        <v>0</v>
      </c>
      <c r="P449" s="686">
        <f t="shared" si="52"/>
        <v>1</v>
      </c>
      <c r="Q449" s="686">
        <f t="shared" si="53"/>
        <v>1</v>
      </c>
      <c r="DE449" s="494"/>
      <c r="DF449" s="496" t="s">
        <v>1985</v>
      </c>
      <c r="DG449" s="496" t="s">
        <v>8</v>
      </c>
      <c r="DH449" s="496" t="s">
        <v>689</v>
      </c>
      <c r="DI449" s="496" t="s">
        <v>1986</v>
      </c>
      <c r="DJ449" s="496" t="s">
        <v>1986</v>
      </c>
      <c r="DK449" s="496" t="s">
        <v>1554</v>
      </c>
      <c r="DL449" s="496" t="s">
        <v>1555</v>
      </c>
      <c r="DM449" s="496" t="s">
        <v>1981</v>
      </c>
      <c r="DN449" s="497" t="s">
        <v>1982</v>
      </c>
      <c r="DP449" s="543">
        <v>1</v>
      </c>
    </row>
    <row r="450" spans="2:120" ht="15">
      <c r="B450" s="683"/>
      <c r="C450" s="683"/>
      <c r="D450" s="683"/>
      <c r="E450" s="683" cm="1">
        <f t="array" ref="E450">IF(H449&lt;&gt;"",E449,IF(E449="","",IFERROR(MATCH(TRUE(),INDEX(INDEX(K:K,E449+1):K203&lt;&gt;"",0),0)+E449,"")))</f>
        <v>591</v>
      </c>
      <c r="F450" s="684" cm="1">
        <f t="array" ref="F450">IF(E450="","",IF(H449&lt;&gt;"",H449,INDEX(D:D,E450)))</f>
        <v>0</v>
      </c>
      <c r="G450" s="684" t="str">
        <f t="shared" si="48"/>
        <v>0</v>
      </c>
      <c r="H450" s="685" t="str">
        <f t="shared" si="49"/>
        <v/>
      </c>
      <c r="I450" s="683" t="str">
        <f>IF(AND(F450&lt;&gt;"",N10&gt;0,M450&gt;N10),"Mot &gt; limite","")</f>
        <v/>
      </c>
      <c r="M450" s="638">
        <f>IF(OR(F450="",N10="",N10&lt;=0),"",IF(LEN(F450)&lt;=N10,LEN(F450),IFERROR(FIND("♦",SUBSTITUTE(LEFT(F450,N10)," ","♦",LEN(LEFT(F450,N10))-LEN(SUBSTITUTE(LEFT(F450,N10)," ","")))),FIND(" ",F450&amp;" ",N10+1)-1)))</f>
        <v>1</v>
      </c>
      <c r="N450" s="686">
        <f t="shared" si="50"/>
        <v>433</v>
      </c>
      <c r="O450" s="663" t="str">
        <f t="shared" si="51"/>
        <v>0</v>
      </c>
      <c r="P450" s="686">
        <f t="shared" si="52"/>
        <v>1</v>
      </c>
      <c r="Q450" s="686">
        <f t="shared" si="53"/>
        <v>1</v>
      </c>
      <c r="DE450" s="494"/>
      <c r="DF450" s="496" t="s">
        <v>1987</v>
      </c>
      <c r="DG450" s="496" t="s">
        <v>8</v>
      </c>
      <c r="DH450" s="496" t="s">
        <v>689</v>
      </c>
      <c r="DI450" s="496" t="s">
        <v>1988</v>
      </c>
      <c r="DJ450" s="496" t="s">
        <v>1988</v>
      </c>
      <c r="DK450" s="496" t="s">
        <v>1554</v>
      </c>
      <c r="DL450" s="496" t="s">
        <v>1555</v>
      </c>
      <c r="DM450" s="496" t="s">
        <v>1981</v>
      </c>
      <c r="DN450" s="497" t="s">
        <v>1982</v>
      </c>
      <c r="DP450" s="543">
        <v>1</v>
      </c>
    </row>
    <row r="451" spans="2:120" ht="15">
      <c r="B451" s="683"/>
      <c r="C451" s="683"/>
      <c r="D451" s="683"/>
      <c r="E451" s="683" cm="1">
        <f t="array" ref="E451">IF(H450&lt;&gt;"",E450,IF(E450="","",IFERROR(MATCH(TRUE(),INDEX(INDEX(K:K,E450+1):K203&lt;&gt;"",0),0)+E450,"")))</f>
        <v>592</v>
      </c>
      <c r="F451" s="684" cm="1">
        <f t="array" ref="F451">IF(E451="","",IF(H450&lt;&gt;"",H450,INDEX(D:D,E451)))</f>
        <v>0</v>
      </c>
      <c r="G451" s="684" t="str">
        <f t="shared" si="48"/>
        <v>0</v>
      </c>
      <c r="H451" s="685" t="str">
        <f t="shared" si="49"/>
        <v/>
      </c>
      <c r="I451" s="683" t="str">
        <f>IF(AND(F451&lt;&gt;"",N10&gt;0,M451&gt;N10),"Mot &gt; limite","")</f>
        <v/>
      </c>
      <c r="M451" s="638">
        <f>IF(OR(F451="",N10="",N10&lt;=0),"",IF(LEN(F451)&lt;=N10,LEN(F451),IFERROR(FIND("♦",SUBSTITUTE(LEFT(F451,N10)," ","♦",LEN(LEFT(F451,N10))-LEN(SUBSTITUTE(LEFT(F451,N10)," ","")))),FIND(" ",F451&amp;" ",N10+1)-1)))</f>
        <v>1</v>
      </c>
      <c r="N451" s="686">
        <f t="shared" si="50"/>
        <v>434</v>
      </c>
      <c r="O451" s="663" t="str">
        <f t="shared" si="51"/>
        <v>0</v>
      </c>
      <c r="P451" s="686">
        <f t="shared" si="52"/>
        <v>1</v>
      </c>
      <c r="Q451" s="686">
        <f t="shared" si="53"/>
        <v>1</v>
      </c>
      <c r="DE451" s="494"/>
      <c r="DF451" s="496" t="s">
        <v>1989</v>
      </c>
      <c r="DG451" s="496" t="s">
        <v>8</v>
      </c>
      <c r="DH451" s="496" t="s">
        <v>689</v>
      </c>
      <c r="DI451" s="496" t="s">
        <v>1990</v>
      </c>
      <c r="DJ451" s="496" t="s">
        <v>1990</v>
      </c>
      <c r="DK451" s="496" t="s">
        <v>1554</v>
      </c>
      <c r="DL451" s="496" t="s">
        <v>1555</v>
      </c>
      <c r="DM451" s="496" t="s">
        <v>1981</v>
      </c>
      <c r="DN451" s="497" t="s">
        <v>1982</v>
      </c>
      <c r="DP451" s="543">
        <v>1</v>
      </c>
    </row>
    <row r="452" spans="2:120" ht="15">
      <c r="B452" s="683"/>
      <c r="C452" s="683"/>
      <c r="D452" s="683"/>
      <c r="E452" s="683" cm="1">
        <f t="array" ref="E452">IF(H451&lt;&gt;"",E451,IF(E451="","",IFERROR(MATCH(TRUE(),INDEX(INDEX(K:K,E451+1):K203&lt;&gt;"",0),0)+E451,"")))</f>
        <v>593</v>
      </c>
      <c r="F452" s="684" cm="1">
        <f t="array" ref="F452">IF(E452="","",IF(H451&lt;&gt;"",H451,INDEX(D:D,E452)))</f>
        <v>0</v>
      </c>
      <c r="G452" s="684" t="str">
        <f t="shared" si="48"/>
        <v>0</v>
      </c>
      <c r="H452" s="685" t="str">
        <f t="shared" si="49"/>
        <v/>
      </c>
      <c r="I452" s="683" t="str">
        <f>IF(AND(F452&lt;&gt;"",N10&gt;0,M452&gt;N10),"Mot &gt; limite","")</f>
        <v/>
      </c>
      <c r="M452" s="638">
        <f>IF(OR(F452="",N10="",N10&lt;=0),"",IF(LEN(F452)&lt;=N10,LEN(F452),IFERROR(FIND("♦",SUBSTITUTE(LEFT(F452,N10)," ","♦",LEN(LEFT(F452,N10))-LEN(SUBSTITUTE(LEFT(F452,N10)," ","")))),FIND(" ",F452&amp;" ",N10+1)-1)))</f>
        <v>1</v>
      </c>
      <c r="N452" s="686">
        <f t="shared" si="50"/>
        <v>435</v>
      </c>
      <c r="O452" s="663" t="str">
        <f t="shared" si="51"/>
        <v>0</v>
      </c>
      <c r="P452" s="686">
        <f t="shared" si="52"/>
        <v>1</v>
      </c>
      <c r="Q452" s="686">
        <f t="shared" si="53"/>
        <v>1</v>
      </c>
      <c r="DE452" s="494"/>
      <c r="DF452" s="496" t="s">
        <v>1991</v>
      </c>
      <c r="DG452" s="496" t="s">
        <v>8</v>
      </c>
      <c r="DH452" s="496" t="s">
        <v>689</v>
      </c>
      <c r="DI452" s="496" t="s">
        <v>1992</v>
      </c>
      <c r="DJ452" s="496" t="s">
        <v>1992</v>
      </c>
      <c r="DK452" s="496" t="s">
        <v>1554</v>
      </c>
      <c r="DL452" s="496" t="s">
        <v>1555</v>
      </c>
      <c r="DM452" s="496" t="s">
        <v>1981</v>
      </c>
      <c r="DN452" s="497" t="s">
        <v>1982</v>
      </c>
      <c r="DP452" s="543">
        <v>1</v>
      </c>
    </row>
    <row r="453" spans="2:120" ht="15">
      <c r="B453" s="683"/>
      <c r="C453" s="683"/>
      <c r="D453" s="683"/>
      <c r="E453" s="683" cm="1">
        <f t="array" ref="E453">IF(H452&lt;&gt;"",E452,IF(E452="","",IFERROR(MATCH(TRUE(),INDEX(INDEX(K:K,E452+1):K203&lt;&gt;"",0),0)+E452,"")))</f>
        <v>594</v>
      </c>
      <c r="F453" s="684" cm="1">
        <f t="array" ref="F453">IF(E453="","",IF(H452&lt;&gt;"",H452,INDEX(D:D,E453)))</f>
        <v>0</v>
      </c>
      <c r="G453" s="684" t="str">
        <f t="shared" si="48"/>
        <v>0</v>
      </c>
      <c r="H453" s="685" t="str">
        <f t="shared" si="49"/>
        <v/>
      </c>
      <c r="I453" s="683" t="str">
        <f>IF(AND(F453&lt;&gt;"",N10&gt;0,M453&gt;N10),"Mot &gt; limite","")</f>
        <v/>
      </c>
      <c r="M453" s="638">
        <f>IF(OR(F453="",N10="",N10&lt;=0),"",IF(LEN(F453)&lt;=N10,LEN(F453),IFERROR(FIND("♦",SUBSTITUTE(LEFT(F453,N10)," ","♦",LEN(LEFT(F453,N10))-LEN(SUBSTITUTE(LEFT(F453,N10)," ","")))),FIND(" ",F453&amp;" ",N10+1)-1)))</f>
        <v>1</v>
      </c>
      <c r="N453" s="686">
        <f t="shared" si="50"/>
        <v>436</v>
      </c>
      <c r="O453" s="663" t="str">
        <f t="shared" si="51"/>
        <v>0</v>
      </c>
      <c r="P453" s="686">
        <f t="shared" si="52"/>
        <v>1</v>
      </c>
      <c r="Q453" s="686">
        <f t="shared" si="53"/>
        <v>1</v>
      </c>
      <c r="DE453" s="494"/>
      <c r="DF453" s="496" t="s">
        <v>1993</v>
      </c>
      <c r="DG453" s="496" t="s">
        <v>8</v>
      </c>
      <c r="DH453" s="496" t="s">
        <v>689</v>
      </c>
      <c r="DI453" s="496" t="s">
        <v>1994</v>
      </c>
      <c r="DJ453" s="496" t="s">
        <v>1994</v>
      </c>
      <c r="DK453" s="496" t="s">
        <v>1554</v>
      </c>
      <c r="DL453" s="496" t="s">
        <v>1555</v>
      </c>
      <c r="DM453" s="496" t="s">
        <v>1981</v>
      </c>
      <c r="DN453" s="497" t="s">
        <v>1982</v>
      </c>
      <c r="DP453" s="543">
        <v>1</v>
      </c>
    </row>
    <row r="454" spans="2:120" ht="15">
      <c r="B454" s="683"/>
      <c r="C454" s="683"/>
      <c r="D454" s="683"/>
      <c r="E454" s="683" cm="1">
        <f t="array" ref="E454">IF(H453&lt;&gt;"",E453,IF(E453="","",IFERROR(MATCH(TRUE(),INDEX(INDEX(K:K,E453+1):K203&lt;&gt;"",0),0)+E453,"")))</f>
        <v>595</v>
      </c>
      <c r="F454" s="684" cm="1">
        <f t="array" ref="F454">IF(E454="","",IF(H453&lt;&gt;"",H453,INDEX(D:D,E454)))</f>
        <v>0</v>
      </c>
      <c r="G454" s="684" t="str">
        <f t="shared" si="48"/>
        <v>0</v>
      </c>
      <c r="H454" s="685" t="str">
        <f t="shared" si="49"/>
        <v/>
      </c>
      <c r="I454" s="683" t="str">
        <f>IF(AND(F454&lt;&gt;"",N10&gt;0,M454&gt;N10),"Mot &gt; limite","")</f>
        <v/>
      </c>
      <c r="M454" s="638">
        <f>IF(OR(F454="",N10="",N10&lt;=0),"",IF(LEN(F454)&lt;=N10,LEN(F454),IFERROR(FIND("♦",SUBSTITUTE(LEFT(F454,N10)," ","♦",LEN(LEFT(F454,N10))-LEN(SUBSTITUTE(LEFT(F454,N10)," ","")))),FIND(" ",F454&amp;" ",N10+1)-1)))</f>
        <v>1</v>
      </c>
      <c r="N454" s="686">
        <f t="shared" si="50"/>
        <v>437</v>
      </c>
      <c r="O454" s="663" t="str">
        <f t="shared" si="51"/>
        <v>0</v>
      </c>
      <c r="P454" s="686">
        <f t="shared" si="52"/>
        <v>1</v>
      </c>
      <c r="Q454" s="686">
        <f t="shared" si="53"/>
        <v>1</v>
      </c>
      <c r="DE454" s="494"/>
      <c r="DF454" s="496" t="s">
        <v>1995</v>
      </c>
      <c r="DG454" s="496" t="s">
        <v>8</v>
      </c>
      <c r="DH454" s="496" t="s">
        <v>689</v>
      </c>
      <c r="DI454" s="496" t="s">
        <v>1996</v>
      </c>
      <c r="DJ454" s="496" t="s">
        <v>1996</v>
      </c>
      <c r="DK454" s="496" t="s">
        <v>1554</v>
      </c>
      <c r="DL454" s="496" t="s">
        <v>1555</v>
      </c>
      <c r="DM454" s="496" t="s">
        <v>1981</v>
      </c>
      <c r="DN454" s="497" t="s">
        <v>1982</v>
      </c>
      <c r="DP454" s="543">
        <v>1</v>
      </c>
    </row>
    <row r="455" spans="2:120" ht="15">
      <c r="B455" s="683"/>
      <c r="C455" s="683"/>
      <c r="D455" s="683"/>
      <c r="E455" s="683" cm="1">
        <f t="array" ref="E455">IF(H454&lt;&gt;"",E454,IF(E454="","",IFERROR(MATCH(TRUE(),INDEX(INDEX(K:K,E454+1):K203&lt;&gt;"",0),0)+E454,"")))</f>
        <v>596</v>
      </c>
      <c r="F455" s="684" cm="1">
        <f t="array" ref="F455">IF(E455="","",IF(H454&lt;&gt;"",H454,INDEX(D:D,E455)))</f>
        <v>0</v>
      </c>
      <c r="G455" s="684" t="str">
        <f t="shared" si="48"/>
        <v>0</v>
      </c>
      <c r="H455" s="685" t="str">
        <f t="shared" si="49"/>
        <v/>
      </c>
      <c r="I455" s="683" t="str">
        <f>IF(AND(F455&lt;&gt;"",N10&gt;0,M455&gt;N10),"Mot &gt; limite","")</f>
        <v/>
      </c>
      <c r="M455" s="638">
        <f>IF(OR(F455="",N10="",N10&lt;=0),"",IF(LEN(F455)&lt;=N10,LEN(F455),IFERROR(FIND("♦",SUBSTITUTE(LEFT(F455,N10)," ","♦",LEN(LEFT(F455,N10))-LEN(SUBSTITUTE(LEFT(F455,N10)," ","")))),FIND(" ",F455&amp;" ",N10+1)-1)))</f>
        <v>1</v>
      </c>
      <c r="N455" s="686">
        <f t="shared" si="50"/>
        <v>438</v>
      </c>
      <c r="O455" s="663" t="str">
        <f t="shared" si="51"/>
        <v>0</v>
      </c>
      <c r="P455" s="686">
        <f t="shared" si="52"/>
        <v>1</v>
      </c>
      <c r="Q455" s="686">
        <f t="shared" si="53"/>
        <v>1</v>
      </c>
      <c r="DE455" s="494"/>
      <c r="DF455" s="496" t="s">
        <v>1997</v>
      </c>
      <c r="DG455" s="496" t="s">
        <v>8</v>
      </c>
      <c r="DH455" s="496" t="s">
        <v>689</v>
      </c>
      <c r="DI455" s="496" t="s">
        <v>1998</v>
      </c>
      <c r="DJ455" s="496" t="s">
        <v>1998</v>
      </c>
      <c r="DK455" s="496" t="s">
        <v>1554</v>
      </c>
      <c r="DL455" s="496" t="s">
        <v>1555</v>
      </c>
      <c r="DM455" s="496" t="s">
        <v>1981</v>
      </c>
      <c r="DN455" s="497" t="s">
        <v>1982</v>
      </c>
      <c r="DP455" s="543">
        <v>1</v>
      </c>
    </row>
    <row r="456" spans="2:120" ht="15">
      <c r="B456" s="683"/>
      <c r="C456" s="683"/>
      <c r="D456" s="683"/>
      <c r="E456" s="683" cm="1">
        <f t="array" ref="E456">IF(H455&lt;&gt;"",E455,IF(E455="","",IFERROR(MATCH(TRUE(),INDEX(INDEX(K:K,E455+1):K203&lt;&gt;"",0),0)+E455,"")))</f>
        <v>597</v>
      </c>
      <c r="F456" s="684" cm="1">
        <f t="array" ref="F456">IF(E456="","",IF(H455&lt;&gt;"",H455,INDEX(D:D,E456)))</f>
        <v>0</v>
      </c>
      <c r="G456" s="684" t="str">
        <f t="shared" si="48"/>
        <v>0</v>
      </c>
      <c r="H456" s="685" t="str">
        <f t="shared" si="49"/>
        <v/>
      </c>
      <c r="I456" s="683" t="str">
        <f>IF(AND(F456&lt;&gt;"",N10&gt;0,M456&gt;N10),"Mot &gt; limite","")</f>
        <v/>
      </c>
      <c r="M456" s="638">
        <f>IF(OR(F456="",N10="",N10&lt;=0),"",IF(LEN(F456)&lt;=N10,LEN(F456),IFERROR(FIND("♦",SUBSTITUTE(LEFT(F456,N10)," ","♦",LEN(LEFT(F456,N10))-LEN(SUBSTITUTE(LEFT(F456,N10)," ","")))),FIND(" ",F456&amp;" ",N10+1)-1)))</f>
        <v>1</v>
      </c>
      <c r="N456" s="686">
        <f t="shared" si="50"/>
        <v>439</v>
      </c>
      <c r="O456" s="663" t="str">
        <f t="shared" si="51"/>
        <v>0</v>
      </c>
      <c r="P456" s="686">
        <f t="shared" si="52"/>
        <v>1</v>
      </c>
      <c r="Q456" s="686">
        <f t="shared" si="53"/>
        <v>1</v>
      </c>
      <c r="DE456" s="494"/>
      <c r="DF456" s="496" t="s">
        <v>1999</v>
      </c>
      <c r="DG456" s="496" t="s">
        <v>8</v>
      </c>
      <c r="DH456" s="496" t="s">
        <v>689</v>
      </c>
      <c r="DI456" s="496" t="s">
        <v>2000</v>
      </c>
      <c r="DJ456" s="496" t="s">
        <v>2000</v>
      </c>
      <c r="DK456" s="496" t="s">
        <v>1554</v>
      </c>
      <c r="DL456" s="496" t="s">
        <v>1555</v>
      </c>
      <c r="DM456" s="496" t="s">
        <v>1981</v>
      </c>
      <c r="DN456" s="497" t="s">
        <v>1982</v>
      </c>
      <c r="DP456" s="543">
        <v>1</v>
      </c>
    </row>
    <row r="457" spans="2:120" ht="15">
      <c r="B457" s="683"/>
      <c r="C457" s="683"/>
      <c r="D457" s="683"/>
      <c r="E457" s="683" cm="1">
        <f t="array" ref="E457">IF(H456&lt;&gt;"",E456,IF(E456="","",IFERROR(MATCH(TRUE(),INDEX(INDEX(K:K,E456+1):K203&lt;&gt;"",0),0)+E456,"")))</f>
        <v>598</v>
      </c>
      <c r="F457" s="684" cm="1">
        <f t="array" ref="F457">IF(E457="","",IF(H456&lt;&gt;"",H456,INDEX(D:D,E457)))</f>
        <v>0</v>
      </c>
      <c r="G457" s="684" t="str">
        <f t="shared" si="48"/>
        <v>0</v>
      </c>
      <c r="H457" s="685" t="str">
        <f t="shared" si="49"/>
        <v/>
      </c>
      <c r="I457" s="683" t="str">
        <f>IF(AND(F457&lt;&gt;"",N10&gt;0,M457&gt;N10),"Mot &gt; limite","")</f>
        <v/>
      </c>
      <c r="M457" s="638">
        <f>IF(OR(F457="",N10="",N10&lt;=0),"",IF(LEN(F457)&lt;=N10,LEN(F457),IFERROR(FIND("♦",SUBSTITUTE(LEFT(F457,N10)," ","♦",LEN(LEFT(F457,N10))-LEN(SUBSTITUTE(LEFT(F457,N10)," ","")))),FIND(" ",F457&amp;" ",N10+1)-1)))</f>
        <v>1</v>
      </c>
      <c r="N457" s="686">
        <f t="shared" si="50"/>
        <v>440</v>
      </c>
      <c r="O457" s="663" t="str">
        <f t="shared" si="51"/>
        <v>0</v>
      </c>
      <c r="P457" s="686">
        <f t="shared" si="52"/>
        <v>1</v>
      </c>
      <c r="Q457" s="686">
        <f t="shared" si="53"/>
        <v>1</v>
      </c>
      <c r="DE457" s="494"/>
      <c r="DF457" s="496" t="s">
        <v>2001</v>
      </c>
      <c r="DG457" s="496" t="s">
        <v>8</v>
      </c>
      <c r="DH457" s="496" t="s">
        <v>689</v>
      </c>
      <c r="DI457" s="496" t="s">
        <v>2002</v>
      </c>
      <c r="DJ457" s="496" t="s">
        <v>2002</v>
      </c>
      <c r="DK457" s="496" t="s">
        <v>1554</v>
      </c>
      <c r="DL457" s="496" t="s">
        <v>1555</v>
      </c>
      <c r="DM457" s="496" t="s">
        <v>1981</v>
      </c>
      <c r="DN457" s="497" t="s">
        <v>1982</v>
      </c>
      <c r="DP457" s="543">
        <v>1</v>
      </c>
    </row>
    <row r="458" spans="2:120" ht="15">
      <c r="B458" s="683"/>
      <c r="C458" s="683"/>
      <c r="D458" s="683"/>
      <c r="E458" s="683" cm="1">
        <f t="array" ref="E458">IF(H457&lt;&gt;"",E457,IF(E457="","",IFERROR(MATCH(TRUE(),INDEX(INDEX(K:K,E457+1):K203&lt;&gt;"",0),0)+E457,"")))</f>
        <v>599</v>
      </c>
      <c r="F458" s="684" cm="1">
        <f t="array" ref="F458">IF(E458="","",IF(H457&lt;&gt;"",H457,INDEX(D:D,E458)))</f>
        <v>0</v>
      </c>
      <c r="G458" s="684" t="str">
        <f t="shared" si="48"/>
        <v>0</v>
      </c>
      <c r="H458" s="685" t="str">
        <f t="shared" si="49"/>
        <v/>
      </c>
      <c r="I458" s="683" t="str">
        <f>IF(AND(F458&lt;&gt;"",N10&gt;0,M458&gt;N10),"Mot &gt; limite","")</f>
        <v/>
      </c>
      <c r="M458" s="638">
        <f>IF(OR(F458="",N10="",N10&lt;=0),"",IF(LEN(F458)&lt;=N10,LEN(F458),IFERROR(FIND("♦",SUBSTITUTE(LEFT(F458,N10)," ","♦",LEN(LEFT(F458,N10))-LEN(SUBSTITUTE(LEFT(F458,N10)," ","")))),FIND(" ",F458&amp;" ",N10+1)-1)))</f>
        <v>1</v>
      </c>
      <c r="N458" s="686">
        <f t="shared" si="50"/>
        <v>441</v>
      </c>
      <c r="O458" s="663" t="str">
        <f t="shared" si="51"/>
        <v>0</v>
      </c>
      <c r="P458" s="686">
        <f t="shared" si="52"/>
        <v>1</v>
      </c>
      <c r="Q458" s="686">
        <f t="shared" si="53"/>
        <v>1</v>
      </c>
      <c r="DE458" s="494"/>
      <c r="DF458" s="496" t="s">
        <v>2003</v>
      </c>
      <c r="DG458" s="496" t="s">
        <v>8</v>
      </c>
      <c r="DH458" s="496" t="s">
        <v>689</v>
      </c>
      <c r="DI458" s="496" t="s">
        <v>2004</v>
      </c>
      <c r="DJ458" s="496" t="s">
        <v>2004</v>
      </c>
      <c r="DK458" s="496" t="s">
        <v>1554</v>
      </c>
      <c r="DL458" s="496" t="s">
        <v>1555</v>
      </c>
      <c r="DM458" s="496" t="s">
        <v>1981</v>
      </c>
      <c r="DN458" s="497" t="s">
        <v>1982</v>
      </c>
      <c r="DP458" s="543">
        <v>1</v>
      </c>
    </row>
    <row r="459" spans="2:120" ht="15">
      <c r="B459" s="683"/>
      <c r="C459" s="683"/>
      <c r="D459" s="683"/>
      <c r="E459" s="683" cm="1">
        <f t="array" ref="E459">IF(H458&lt;&gt;"",E458,IF(E458="","",IFERROR(MATCH(TRUE(),INDEX(INDEX(K:K,E458+1):K203&lt;&gt;"",0),0)+E458,"")))</f>
        <v>600</v>
      </c>
      <c r="F459" s="684" cm="1">
        <f t="array" ref="F459">IF(E459="","",IF(H458&lt;&gt;"",H458,INDEX(D:D,E459)))</f>
        <v>0</v>
      </c>
      <c r="G459" s="684" t="str">
        <f t="shared" si="48"/>
        <v>0</v>
      </c>
      <c r="H459" s="685" t="str">
        <f t="shared" si="49"/>
        <v/>
      </c>
      <c r="I459" s="683" t="str">
        <f>IF(AND(F459&lt;&gt;"",N10&gt;0,M459&gt;N10),"Mot &gt; limite","")</f>
        <v/>
      </c>
      <c r="M459" s="638">
        <f>IF(OR(F459="",N10="",N10&lt;=0),"",IF(LEN(F459)&lt;=N10,LEN(F459),IFERROR(FIND("♦",SUBSTITUTE(LEFT(F459,N10)," ","♦",LEN(LEFT(F459,N10))-LEN(SUBSTITUTE(LEFT(F459,N10)," ","")))),FIND(" ",F459&amp;" ",N10+1)-1)))</f>
        <v>1</v>
      </c>
      <c r="N459" s="686">
        <f t="shared" si="50"/>
        <v>442</v>
      </c>
      <c r="O459" s="663" t="str">
        <f t="shared" si="51"/>
        <v>0</v>
      </c>
      <c r="P459" s="686">
        <f t="shared" si="52"/>
        <v>1</v>
      </c>
      <c r="Q459" s="686">
        <f t="shared" si="53"/>
        <v>1</v>
      </c>
      <c r="DE459" s="494"/>
      <c r="DF459" s="496" t="s">
        <v>2005</v>
      </c>
      <c r="DG459" s="496" t="s">
        <v>8</v>
      </c>
      <c r="DH459" s="496" t="s">
        <v>689</v>
      </c>
      <c r="DI459" s="496" t="s">
        <v>2006</v>
      </c>
      <c r="DJ459" s="496" t="s">
        <v>2006</v>
      </c>
      <c r="DK459" s="496" t="s">
        <v>1554</v>
      </c>
      <c r="DL459" s="496" t="s">
        <v>1555</v>
      </c>
      <c r="DM459" s="496" t="s">
        <v>1981</v>
      </c>
      <c r="DN459" s="497" t="s">
        <v>1982</v>
      </c>
      <c r="DP459" s="543">
        <v>1</v>
      </c>
    </row>
    <row r="460" spans="2:120" ht="15">
      <c r="B460" s="683"/>
      <c r="C460" s="683"/>
      <c r="D460" s="683"/>
      <c r="E460" s="683" cm="1">
        <f t="array" ref="E460">IF(H459&lt;&gt;"",E459,IF(E459="","",IFERROR(MATCH(TRUE(),INDEX(INDEX(K:K,E459+1):K203&lt;&gt;"",0),0)+E459,"")))</f>
        <v>601</v>
      </c>
      <c r="F460" s="684" cm="1">
        <f t="array" ref="F460">IF(E460="","",IF(H459&lt;&gt;"",H459,INDEX(D:D,E460)))</f>
        <v>0</v>
      </c>
      <c r="G460" s="684" t="str">
        <f t="shared" si="48"/>
        <v>0</v>
      </c>
      <c r="H460" s="685" t="str">
        <f t="shared" si="49"/>
        <v/>
      </c>
      <c r="I460" s="683" t="str">
        <f>IF(AND(F460&lt;&gt;"",N10&gt;0,M460&gt;N10),"Mot &gt; limite","")</f>
        <v/>
      </c>
      <c r="M460" s="638">
        <f>IF(OR(F460="",N10="",N10&lt;=0),"",IF(LEN(F460)&lt;=N10,LEN(F460),IFERROR(FIND("♦",SUBSTITUTE(LEFT(F460,N10)," ","♦",LEN(LEFT(F460,N10))-LEN(SUBSTITUTE(LEFT(F460,N10)," ","")))),FIND(" ",F460&amp;" ",N10+1)-1)))</f>
        <v>1</v>
      </c>
      <c r="N460" s="686">
        <f t="shared" si="50"/>
        <v>443</v>
      </c>
      <c r="O460" s="663" t="str">
        <f t="shared" si="51"/>
        <v>0</v>
      </c>
      <c r="P460" s="686">
        <f t="shared" si="52"/>
        <v>1</v>
      </c>
      <c r="Q460" s="686">
        <f t="shared" si="53"/>
        <v>1</v>
      </c>
      <c r="DE460" s="494"/>
      <c r="DF460" s="496" t="s">
        <v>2007</v>
      </c>
      <c r="DG460" s="496" t="s">
        <v>8</v>
      </c>
      <c r="DH460" s="496" t="s">
        <v>689</v>
      </c>
      <c r="DI460" s="496" t="s">
        <v>2008</v>
      </c>
      <c r="DJ460" s="496" t="s">
        <v>2008</v>
      </c>
      <c r="DK460" s="496" t="s">
        <v>1554</v>
      </c>
      <c r="DL460" s="496" t="s">
        <v>1555</v>
      </c>
      <c r="DM460" s="496" t="s">
        <v>1981</v>
      </c>
      <c r="DN460" s="497" t="s">
        <v>1982</v>
      </c>
      <c r="DP460" s="543">
        <v>1</v>
      </c>
    </row>
    <row r="461" spans="2:120" ht="15">
      <c r="B461" s="683"/>
      <c r="C461" s="683"/>
      <c r="D461" s="683"/>
      <c r="E461" s="683" cm="1">
        <f t="array" ref="E461">IF(H460&lt;&gt;"",E460,IF(E460="","",IFERROR(MATCH(TRUE(),INDEX(INDEX(K:K,E460+1):K203&lt;&gt;"",0),0)+E460,"")))</f>
        <v>602</v>
      </c>
      <c r="F461" s="684" cm="1">
        <f t="array" ref="F461">IF(E461="","",IF(H460&lt;&gt;"",H460,INDEX(D:D,E461)))</f>
        <v>0</v>
      </c>
      <c r="G461" s="684" t="str">
        <f t="shared" si="48"/>
        <v>0</v>
      </c>
      <c r="H461" s="685" t="str">
        <f t="shared" si="49"/>
        <v/>
      </c>
      <c r="I461" s="683" t="str">
        <f>IF(AND(F461&lt;&gt;"",N10&gt;0,M461&gt;N10),"Mot &gt; limite","")</f>
        <v/>
      </c>
      <c r="M461" s="638">
        <f>IF(OR(F461="",N10="",N10&lt;=0),"",IF(LEN(F461)&lt;=N10,LEN(F461),IFERROR(FIND("♦",SUBSTITUTE(LEFT(F461,N10)," ","♦",LEN(LEFT(F461,N10))-LEN(SUBSTITUTE(LEFT(F461,N10)," ","")))),FIND(" ",F461&amp;" ",N10+1)-1)))</f>
        <v>1</v>
      </c>
      <c r="N461" s="686">
        <f t="shared" si="50"/>
        <v>444</v>
      </c>
      <c r="O461" s="663" t="str">
        <f t="shared" si="51"/>
        <v>0</v>
      </c>
      <c r="P461" s="686">
        <f t="shared" si="52"/>
        <v>1</v>
      </c>
      <c r="Q461" s="686">
        <f t="shared" si="53"/>
        <v>1</v>
      </c>
      <c r="DE461" s="494"/>
      <c r="DF461" s="496" t="s">
        <v>2009</v>
      </c>
      <c r="DG461" s="496" t="s">
        <v>8</v>
      </c>
      <c r="DH461" s="496" t="s">
        <v>689</v>
      </c>
      <c r="DI461" s="496" t="s">
        <v>2010</v>
      </c>
      <c r="DJ461" s="496" t="s">
        <v>2010</v>
      </c>
      <c r="DK461" s="496" t="s">
        <v>1554</v>
      </c>
      <c r="DL461" s="496" t="s">
        <v>1555</v>
      </c>
      <c r="DM461" s="496" t="s">
        <v>1981</v>
      </c>
      <c r="DN461" s="497" t="s">
        <v>1982</v>
      </c>
      <c r="DP461" s="543">
        <v>1</v>
      </c>
    </row>
    <row r="462" spans="2:120" ht="15">
      <c r="B462" s="683"/>
      <c r="C462" s="683"/>
      <c r="D462" s="683"/>
      <c r="E462" s="683" cm="1">
        <f t="array" ref="E462">IF(H461&lt;&gt;"",E461,IF(E461="","",IFERROR(MATCH(TRUE(),INDEX(INDEX(K:K,E461+1):K203&lt;&gt;"",0),0)+E461,"")))</f>
        <v>603</v>
      </c>
      <c r="F462" s="684" cm="1">
        <f t="array" ref="F462">IF(E462="","",IF(H461&lt;&gt;"",H461,INDEX(D:D,E462)))</f>
        <v>0</v>
      </c>
      <c r="G462" s="684" t="str">
        <f t="shared" si="48"/>
        <v>0</v>
      </c>
      <c r="H462" s="685" t="str">
        <f t="shared" si="49"/>
        <v/>
      </c>
      <c r="I462" s="683" t="str">
        <f>IF(AND(F462&lt;&gt;"",N10&gt;0,M462&gt;N10),"Mot &gt; limite","")</f>
        <v/>
      </c>
      <c r="M462" s="638">
        <f>IF(OR(F462="",N10="",N10&lt;=0),"",IF(LEN(F462)&lt;=N10,LEN(F462),IFERROR(FIND("♦",SUBSTITUTE(LEFT(F462,N10)," ","♦",LEN(LEFT(F462,N10))-LEN(SUBSTITUTE(LEFT(F462,N10)," ","")))),FIND(" ",F462&amp;" ",N10+1)-1)))</f>
        <v>1</v>
      </c>
      <c r="N462" s="686">
        <f t="shared" si="50"/>
        <v>445</v>
      </c>
      <c r="O462" s="663" t="str">
        <f t="shared" si="51"/>
        <v>0</v>
      </c>
      <c r="P462" s="686">
        <f t="shared" si="52"/>
        <v>1</v>
      </c>
      <c r="Q462" s="686">
        <f t="shared" si="53"/>
        <v>1</v>
      </c>
      <c r="DE462" s="494"/>
      <c r="DF462" s="496" t="s">
        <v>2011</v>
      </c>
      <c r="DG462" s="496" t="s">
        <v>8</v>
      </c>
      <c r="DH462" s="496" t="s">
        <v>689</v>
      </c>
      <c r="DI462" s="496" t="s">
        <v>2012</v>
      </c>
      <c r="DJ462" s="496" t="s">
        <v>2012</v>
      </c>
      <c r="DK462" s="496" t="s">
        <v>1554</v>
      </c>
      <c r="DL462" s="496" t="s">
        <v>1555</v>
      </c>
      <c r="DM462" s="496" t="s">
        <v>1981</v>
      </c>
      <c r="DN462" s="497" t="s">
        <v>1982</v>
      </c>
      <c r="DP462" s="543">
        <v>1</v>
      </c>
    </row>
    <row r="463" spans="2:120" ht="15">
      <c r="B463" s="683"/>
      <c r="C463" s="683"/>
      <c r="D463" s="683"/>
      <c r="E463" s="683" cm="1">
        <f t="array" ref="E463">IF(H462&lt;&gt;"",E462,IF(E462="","",IFERROR(MATCH(TRUE(),INDEX(INDEX(K:K,E462+1):K203&lt;&gt;"",0),0)+E462,"")))</f>
        <v>604</v>
      </c>
      <c r="F463" s="684" cm="1">
        <f t="array" ref="F463">IF(E463="","",IF(H462&lt;&gt;"",H462,INDEX(D:D,E463)))</f>
        <v>0</v>
      </c>
      <c r="G463" s="684" t="str">
        <f t="shared" si="48"/>
        <v>0</v>
      </c>
      <c r="H463" s="685" t="str">
        <f t="shared" si="49"/>
        <v/>
      </c>
      <c r="I463" s="683" t="str">
        <f>IF(AND(F463&lt;&gt;"",N10&gt;0,M463&gt;N10),"Mot &gt; limite","")</f>
        <v/>
      </c>
      <c r="M463" s="638">
        <f>IF(OR(F463="",N10="",N10&lt;=0),"",IF(LEN(F463)&lt;=N10,LEN(F463),IFERROR(FIND("♦",SUBSTITUTE(LEFT(F463,N10)," ","♦",LEN(LEFT(F463,N10))-LEN(SUBSTITUTE(LEFT(F463,N10)," ","")))),FIND(" ",F463&amp;" ",N10+1)-1)))</f>
        <v>1</v>
      </c>
      <c r="N463" s="686">
        <f t="shared" si="50"/>
        <v>446</v>
      </c>
      <c r="O463" s="663" t="str">
        <f t="shared" si="51"/>
        <v>0</v>
      </c>
      <c r="P463" s="686">
        <f t="shared" si="52"/>
        <v>1</v>
      </c>
      <c r="Q463" s="686">
        <f t="shared" si="53"/>
        <v>1</v>
      </c>
      <c r="DE463" s="494"/>
      <c r="DF463" s="496" t="s">
        <v>2013</v>
      </c>
      <c r="DG463" s="496" t="s">
        <v>8</v>
      </c>
      <c r="DH463" s="496" t="s">
        <v>689</v>
      </c>
      <c r="DI463" s="496" t="s">
        <v>2014</v>
      </c>
      <c r="DJ463" s="496" t="s">
        <v>2014</v>
      </c>
      <c r="DK463" s="496" t="s">
        <v>1554</v>
      </c>
      <c r="DL463" s="496" t="s">
        <v>1555</v>
      </c>
      <c r="DM463" s="496" t="s">
        <v>1981</v>
      </c>
      <c r="DN463" s="497" t="s">
        <v>1982</v>
      </c>
      <c r="DP463" s="543">
        <v>1</v>
      </c>
    </row>
    <row r="464" spans="2:120" ht="15">
      <c r="B464" s="683"/>
      <c r="C464" s="683"/>
      <c r="D464" s="683"/>
      <c r="E464" s="683" cm="1">
        <f t="array" ref="E464">IF(H463&lt;&gt;"",E463,IF(E463="","",IFERROR(MATCH(TRUE(),INDEX(INDEX(K:K,E463+1):K203&lt;&gt;"",0),0)+E463,"")))</f>
        <v>605</v>
      </c>
      <c r="F464" s="684" cm="1">
        <f t="array" ref="F464">IF(E464="","",IF(H463&lt;&gt;"",H463,INDEX(D:D,E464)))</f>
        <v>0</v>
      </c>
      <c r="G464" s="684" t="str">
        <f t="shared" si="48"/>
        <v>0</v>
      </c>
      <c r="H464" s="685" t="str">
        <f t="shared" si="49"/>
        <v/>
      </c>
      <c r="I464" s="683" t="str">
        <f>IF(AND(F464&lt;&gt;"",N10&gt;0,M464&gt;N10),"Mot &gt; limite","")</f>
        <v/>
      </c>
      <c r="M464" s="638">
        <f>IF(OR(F464="",N10="",N10&lt;=0),"",IF(LEN(F464)&lt;=N10,LEN(F464),IFERROR(FIND("♦",SUBSTITUTE(LEFT(F464,N10)," ","♦",LEN(LEFT(F464,N10))-LEN(SUBSTITUTE(LEFT(F464,N10)," ","")))),FIND(" ",F464&amp;" ",N10+1)-1)))</f>
        <v>1</v>
      </c>
      <c r="N464" s="686">
        <f t="shared" si="50"/>
        <v>447</v>
      </c>
      <c r="O464" s="663" t="str">
        <f t="shared" si="51"/>
        <v>0</v>
      </c>
      <c r="P464" s="686">
        <f t="shared" si="52"/>
        <v>1</v>
      </c>
      <c r="Q464" s="686">
        <f t="shared" si="53"/>
        <v>1</v>
      </c>
      <c r="DE464" s="494"/>
      <c r="DF464" s="496" t="s">
        <v>2015</v>
      </c>
      <c r="DG464" s="496" t="s">
        <v>8</v>
      </c>
      <c r="DH464" s="496" t="s">
        <v>689</v>
      </c>
      <c r="DI464" s="496" t="s">
        <v>2016</v>
      </c>
      <c r="DJ464" s="496" t="s">
        <v>2016</v>
      </c>
      <c r="DK464" s="496" t="s">
        <v>1554</v>
      </c>
      <c r="DL464" s="496" t="s">
        <v>1555</v>
      </c>
      <c r="DM464" s="496" t="s">
        <v>1981</v>
      </c>
      <c r="DN464" s="497" t="s">
        <v>1982</v>
      </c>
      <c r="DP464" s="543">
        <v>1</v>
      </c>
    </row>
    <row r="465" spans="2:120" ht="15">
      <c r="B465" s="683"/>
      <c r="C465" s="683"/>
      <c r="D465" s="683"/>
      <c r="E465" s="683" cm="1">
        <f t="array" ref="E465">IF(H464&lt;&gt;"",E464,IF(E464="","",IFERROR(MATCH(TRUE(),INDEX(INDEX(K:K,E464+1):K203&lt;&gt;"",0),0)+E464,"")))</f>
        <v>606</v>
      </c>
      <c r="F465" s="684" cm="1">
        <f t="array" ref="F465">IF(E465="","",IF(H464&lt;&gt;"",H464,INDEX(D:D,E465)))</f>
        <v>0</v>
      </c>
      <c r="G465" s="684" t="str">
        <f t="shared" si="48"/>
        <v>0</v>
      </c>
      <c r="H465" s="685" t="str">
        <f t="shared" si="49"/>
        <v/>
      </c>
      <c r="I465" s="683" t="str">
        <f>IF(AND(F465&lt;&gt;"",N10&gt;0,M465&gt;N10),"Mot &gt; limite","")</f>
        <v/>
      </c>
      <c r="M465" s="638">
        <f>IF(OR(F465="",N10="",N10&lt;=0),"",IF(LEN(F465)&lt;=N10,LEN(F465),IFERROR(FIND("♦",SUBSTITUTE(LEFT(F465,N10)," ","♦",LEN(LEFT(F465,N10))-LEN(SUBSTITUTE(LEFT(F465,N10)," ","")))),FIND(" ",F465&amp;" ",N10+1)-1)))</f>
        <v>1</v>
      </c>
      <c r="N465" s="686">
        <f t="shared" si="50"/>
        <v>448</v>
      </c>
      <c r="O465" s="663" t="str">
        <f t="shared" si="51"/>
        <v>0</v>
      </c>
      <c r="P465" s="686">
        <f t="shared" si="52"/>
        <v>1</v>
      </c>
      <c r="Q465" s="686">
        <f t="shared" si="53"/>
        <v>1</v>
      </c>
      <c r="DE465" s="494"/>
      <c r="DF465" s="496" t="s">
        <v>2017</v>
      </c>
      <c r="DG465" s="496" t="s">
        <v>8</v>
      </c>
      <c r="DH465" s="496" t="s">
        <v>689</v>
      </c>
      <c r="DI465" s="496" t="s">
        <v>2018</v>
      </c>
      <c r="DJ465" s="496" t="s">
        <v>2018</v>
      </c>
      <c r="DK465" s="496" t="s">
        <v>1554</v>
      </c>
      <c r="DL465" s="496" t="s">
        <v>1555</v>
      </c>
      <c r="DM465" s="496" t="s">
        <v>1981</v>
      </c>
      <c r="DN465" s="497" t="s">
        <v>1982</v>
      </c>
      <c r="DP465" s="543">
        <v>1</v>
      </c>
    </row>
    <row r="466" spans="2:120" ht="15">
      <c r="B466" s="683"/>
      <c r="C466" s="683"/>
      <c r="D466" s="683"/>
      <c r="E466" s="683" cm="1">
        <f t="array" ref="E466">IF(H465&lt;&gt;"",E465,IF(E465="","",IFERROR(MATCH(TRUE(),INDEX(INDEX(K:K,E465+1):K203&lt;&gt;"",0),0)+E465,"")))</f>
        <v>607</v>
      </c>
      <c r="F466" s="684" cm="1">
        <f t="array" ref="F466">IF(E466="","",IF(H465&lt;&gt;"",H465,INDEX(D:D,E466)))</f>
        <v>0</v>
      </c>
      <c r="G466" s="684" t="str">
        <f t="shared" ref="G466:G529" si="54">IF(OR(F466="",M466=""),"",LEFT(F466,M466))</f>
        <v>0</v>
      </c>
      <c r="H466" s="685" t="str">
        <f t="shared" ref="H466:H529" si="55">IF(OR(F466="",M466=""),"",TRIM(MID(F466,M466+1,99999)))</f>
        <v/>
      </c>
      <c r="I466" s="683" t="str">
        <f>IF(AND(F466&lt;&gt;"",N10&gt;0,M466&gt;N10),"Mot &gt; limite","")</f>
        <v/>
      </c>
      <c r="M466" s="638">
        <f>IF(OR(F466="",N10="",N10&lt;=0),"",IF(LEN(F466)&lt;=N10,LEN(F466),IFERROR(FIND("♦",SUBSTITUTE(LEFT(F466,N10)," ","♦",LEN(LEFT(F466,N10))-LEN(SUBSTITUTE(LEFT(F466,N10)," ","")))),FIND(" ",F466&amp;" ",N10+1)-1)))</f>
        <v>1</v>
      </c>
      <c r="N466" s="686">
        <f t="shared" ref="N466:N529" si="56">IF(O466="","",ROW()-17)</f>
        <v>449</v>
      </c>
      <c r="O466" s="663" t="str">
        <f t="shared" ref="O466:O529" si="57">G466</f>
        <v>0</v>
      </c>
      <c r="P466" s="686">
        <f t="shared" ref="P466:P529" si="58">IF(O466="","",LEN(TRIM(O466))-LEN(SUBSTITUTE(TRIM(O466)," ",""))+1)</f>
        <v>1</v>
      </c>
      <c r="Q466" s="686">
        <f t="shared" ref="Q466:Q529" si="59">IF(O466="","",LEN(O466))</f>
        <v>1</v>
      </c>
      <c r="DE466" s="494"/>
      <c r="DF466" s="496" t="s">
        <v>2019</v>
      </c>
      <c r="DG466" s="496" t="s">
        <v>8</v>
      </c>
      <c r="DH466" s="496" t="s">
        <v>689</v>
      </c>
      <c r="DI466" s="496" t="s">
        <v>2020</v>
      </c>
      <c r="DJ466" s="496" t="s">
        <v>2020</v>
      </c>
      <c r="DK466" s="496" t="s">
        <v>1554</v>
      </c>
      <c r="DL466" s="496" t="s">
        <v>1555</v>
      </c>
      <c r="DM466" s="496" t="s">
        <v>1981</v>
      </c>
      <c r="DN466" s="497" t="s">
        <v>1982</v>
      </c>
      <c r="DP466" s="543">
        <v>1</v>
      </c>
    </row>
    <row r="467" spans="2:120" ht="15">
      <c r="B467" s="683"/>
      <c r="C467" s="683"/>
      <c r="D467" s="683"/>
      <c r="E467" s="683" cm="1">
        <f t="array" ref="E467">IF(H466&lt;&gt;"",E466,IF(E466="","",IFERROR(MATCH(TRUE(),INDEX(INDEX(K:K,E466+1):K203&lt;&gt;"",0),0)+E466,"")))</f>
        <v>608</v>
      </c>
      <c r="F467" s="684" cm="1">
        <f t="array" ref="F467">IF(E467="","",IF(H466&lt;&gt;"",H466,INDEX(D:D,E467)))</f>
        <v>0</v>
      </c>
      <c r="G467" s="684" t="str">
        <f t="shared" si="54"/>
        <v>0</v>
      </c>
      <c r="H467" s="685" t="str">
        <f t="shared" si="55"/>
        <v/>
      </c>
      <c r="I467" s="683" t="str">
        <f>IF(AND(F467&lt;&gt;"",N10&gt;0,M467&gt;N10),"Mot &gt; limite","")</f>
        <v/>
      </c>
      <c r="M467" s="638">
        <f>IF(OR(F467="",N10="",N10&lt;=0),"",IF(LEN(F467)&lt;=N10,LEN(F467),IFERROR(FIND("♦",SUBSTITUTE(LEFT(F467,N10)," ","♦",LEN(LEFT(F467,N10))-LEN(SUBSTITUTE(LEFT(F467,N10)," ","")))),FIND(" ",F467&amp;" ",N10+1)-1)))</f>
        <v>1</v>
      </c>
      <c r="N467" s="686">
        <f t="shared" si="56"/>
        <v>450</v>
      </c>
      <c r="O467" s="663" t="str">
        <f t="shared" si="57"/>
        <v>0</v>
      </c>
      <c r="P467" s="686">
        <f t="shared" si="58"/>
        <v>1</v>
      </c>
      <c r="Q467" s="686">
        <f t="shared" si="59"/>
        <v>1</v>
      </c>
      <c r="DE467" s="494"/>
      <c r="DF467" s="496" t="s">
        <v>2021</v>
      </c>
      <c r="DG467" s="496" t="s">
        <v>8</v>
      </c>
      <c r="DH467" s="496" t="s">
        <v>689</v>
      </c>
      <c r="DI467" s="496" t="s">
        <v>2022</v>
      </c>
      <c r="DJ467" s="496" t="s">
        <v>2022</v>
      </c>
      <c r="DK467" s="496" t="s">
        <v>1554</v>
      </c>
      <c r="DL467" s="496" t="s">
        <v>1555</v>
      </c>
      <c r="DM467" s="496" t="s">
        <v>1981</v>
      </c>
      <c r="DN467" s="497" t="s">
        <v>1982</v>
      </c>
      <c r="DP467" s="543">
        <v>1</v>
      </c>
    </row>
    <row r="468" spans="2:120" ht="15">
      <c r="B468" s="683"/>
      <c r="C468" s="683"/>
      <c r="D468" s="683"/>
      <c r="E468" s="683" cm="1">
        <f t="array" ref="E468">IF(H467&lt;&gt;"",E467,IF(E467="","",IFERROR(MATCH(TRUE(),INDEX(INDEX(K:K,E467+1):K203&lt;&gt;"",0),0)+E467,"")))</f>
        <v>609</v>
      </c>
      <c r="F468" s="684" cm="1">
        <f t="array" ref="F468">IF(E468="","",IF(H467&lt;&gt;"",H467,INDEX(D:D,E468)))</f>
        <v>0</v>
      </c>
      <c r="G468" s="684" t="str">
        <f t="shared" si="54"/>
        <v>0</v>
      </c>
      <c r="H468" s="685" t="str">
        <f t="shared" si="55"/>
        <v/>
      </c>
      <c r="I468" s="683" t="str">
        <f>IF(AND(F468&lt;&gt;"",N10&gt;0,M468&gt;N10),"Mot &gt; limite","")</f>
        <v/>
      </c>
      <c r="M468" s="638">
        <f>IF(OR(F468="",N10="",N10&lt;=0),"",IF(LEN(F468)&lt;=N10,LEN(F468),IFERROR(FIND("♦",SUBSTITUTE(LEFT(F468,N10)," ","♦",LEN(LEFT(F468,N10))-LEN(SUBSTITUTE(LEFT(F468,N10)," ","")))),FIND(" ",F468&amp;" ",N10+1)-1)))</f>
        <v>1</v>
      </c>
      <c r="N468" s="686">
        <f t="shared" si="56"/>
        <v>451</v>
      </c>
      <c r="O468" s="663" t="str">
        <f t="shared" si="57"/>
        <v>0</v>
      </c>
      <c r="P468" s="686">
        <f t="shared" si="58"/>
        <v>1</v>
      </c>
      <c r="Q468" s="686">
        <f t="shared" si="59"/>
        <v>1</v>
      </c>
      <c r="DE468" s="494"/>
      <c r="DF468" s="496" t="s">
        <v>2023</v>
      </c>
      <c r="DG468" s="496" t="s">
        <v>8</v>
      </c>
      <c r="DH468" s="496" t="s">
        <v>689</v>
      </c>
      <c r="DI468" s="496" t="s">
        <v>2024</v>
      </c>
      <c r="DJ468" s="496" t="s">
        <v>2024</v>
      </c>
      <c r="DK468" s="496" t="s">
        <v>1554</v>
      </c>
      <c r="DL468" s="496" t="s">
        <v>1555</v>
      </c>
      <c r="DM468" s="496" t="s">
        <v>1981</v>
      </c>
      <c r="DN468" s="497" t="s">
        <v>1982</v>
      </c>
      <c r="DP468" s="543">
        <v>1</v>
      </c>
    </row>
    <row r="469" spans="2:120" ht="15">
      <c r="B469" s="683"/>
      <c r="C469" s="683"/>
      <c r="D469" s="683"/>
      <c r="E469" s="683" cm="1">
        <f t="array" ref="E469">IF(H468&lt;&gt;"",E468,IF(E468="","",IFERROR(MATCH(TRUE(),INDEX(INDEX(K:K,E468+1):K203&lt;&gt;"",0),0)+E468,"")))</f>
        <v>610</v>
      </c>
      <c r="F469" s="684" cm="1">
        <f t="array" ref="F469">IF(E469="","",IF(H468&lt;&gt;"",H468,INDEX(D:D,E469)))</f>
        <v>0</v>
      </c>
      <c r="G469" s="684" t="str">
        <f t="shared" si="54"/>
        <v>0</v>
      </c>
      <c r="H469" s="685" t="str">
        <f t="shared" si="55"/>
        <v/>
      </c>
      <c r="I469" s="683" t="str">
        <f>IF(AND(F469&lt;&gt;"",N10&gt;0,M469&gt;N10),"Mot &gt; limite","")</f>
        <v/>
      </c>
      <c r="M469" s="638">
        <f>IF(OR(F469="",N10="",N10&lt;=0),"",IF(LEN(F469)&lt;=N10,LEN(F469),IFERROR(FIND("♦",SUBSTITUTE(LEFT(F469,N10)," ","♦",LEN(LEFT(F469,N10))-LEN(SUBSTITUTE(LEFT(F469,N10)," ","")))),FIND(" ",F469&amp;" ",N10+1)-1)))</f>
        <v>1</v>
      </c>
      <c r="N469" s="686">
        <f t="shared" si="56"/>
        <v>452</v>
      </c>
      <c r="O469" s="663" t="str">
        <f t="shared" si="57"/>
        <v>0</v>
      </c>
      <c r="P469" s="686">
        <f t="shared" si="58"/>
        <v>1</v>
      </c>
      <c r="Q469" s="686">
        <f t="shared" si="59"/>
        <v>1</v>
      </c>
      <c r="DE469" s="494"/>
      <c r="DF469" s="496" t="s">
        <v>2025</v>
      </c>
      <c r="DG469" s="496" t="s">
        <v>8</v>
      </c>
      <c r="DH469" s="496" t="s">
        <v>689</v>
      </c>
      <c r="DI469" s="496" t="s">
        <v>2026</v>
      </c>
      <c r="DJ469" s="496" t="s">
        <v>2026</v>
      </c>
      <c r="DK469" s="496" t="s">
        <v>1554</v>
      </c>
      <c r="DL469" s="496" t="s">
        <v>1555</v>
      </c>
      <c r="DM469" s="496" t="s">
        <v>1981</v>
      </c>
      <c r="DN469" s="497" t="s">
        <v>1982</v>
      </c>
      <c r="DP469" s="543">
        <v>1</v>
      </c>
    </row>
    <row r="470" spans="2:120" ht="15">
      <c r="B470" s="683"/>
      <c r="C470" s="683"/>
      <c r="D470" s="683"/>
      <c r="E470" s="683" cm="1">
        <f t="array" ref="E470">IF(H469&lt;&gt;"",E469,IF(E469="","",IFERROR(MATCH(TRUE(),INDEX(INDEX(K:K,E469+1):K203&lt;&gt;"",0),0)+E469,"")))</f>
        <v>611</v>
      </c>
      <c r="F470" s="684" cm="1">
        <f t="array" ref="F470">IF(E470="","",IF(H469&lt;&gt;"",H469,INDEX(D:D,E470)))</f>
        <v>0</v>
      </c>
      <c r="G470" s="684" t="str">
        <f t="shared" si="54"/>
        <v>0</v>
      </c>
      <c r="H470" s="685" t="str">
        <f t="shared" si="55"/>
        <v/>
      </c>
      <c r="I470" s="683" t="str">
        <f>IF(AND(F470&lt;&gt;"",N10&gt;0,M470&gt;N10),"Mot &gt; limite","")</f>
        <v/>
      </c>
      <c r="M470" s="638">
        <f>IF(OR(F470="",N10="",N10&lt;=0),"",IF(LEN(F470)&lt;=N10,LEN(F470),IFERROR(FIND("♦",SUBSTITUTE(LEFT(F470,N10)," ","♦",LEN(LEFT(F470,N10))-LEN(SUBSTITUTE(LEFT(F470,N10)," ","")))),FIND(" ",F470&amp;" ",N10+1)-1)))</f>
        <v>1</v>
      </c>
      <c r="N470" s="686">
        <f t="shared" si="56"/>
        <v>453</v>
      </c>
      <c r="O470" s="663" t="str">
        <f t="shared" si="57"/>
        <v>0</v>
      </c>
      <c r="P470" s="686">
        <f t="shared" si="58"/>
        <v>1</v>
      </c>
      <c r="Q470" s="686">
        <f t="shared" si="59"/>
        <v>1</v>
      </c>
      <c r="DE470" s="494"/>
      <c r="DF470" s="496" t="s">
        <v>2027</v>
      </c>
      <c r="DG470" s="496" t="s">
        <v>8</v>
      </c>
      <c r="DH470" s="496" t="s">
        <v>689</v>
      </c>
      <c r="DI470" s="496" t="s">
        <v>2028</v>
      </c>
      <c r="DJ470" s="496" t="s">
        <v>2028</v>
      </c>
      <c r="DK470" s="496" t="s">
        <v>1554</v>
      </c>
      <c r="DL470" s="496" t="s">
        <v>1555</v>
      </c>
      <c r="DM470" s="496" t="s">
        <v>1981</v>
      </c>
      <c r="DN470" s="497" t="s">
        <v>1982</v>
      </c>
      <c r="DP470" s="543">
        <v>1</v>
      </c>
    </row>
    <row r="471" spans="2:120" ht="15">
      <c r="B471" s="683"/>
      <c r="C471" s="683"/>
      <c r="D471" s="683"/>
      <c r="E471" s="683" cm="1">
        <f t="array" ref="E471">IF(H470&lt;&gt;"",E470,IF(E470="","",IFERROR(MATCH(TRUE(),INDEX(INDEX(K:K,E470+1):K203&lt;&gt;"",0),0)+E470,"")))</f>
        <v>612</v>
      </c>
      <c r="F471" s="684" cm="1">
        <f t="array" ref="F471">IF(E471="","",IF(H470&lt;&gt;"",H470,INDEX(D:D,E471)))</f>
        <v>0</v>
      </c>
      <c r="G471" s="684" t="str">
        <f t="shared" si="54"/>
        <v>0</v>
      </c>
      <c r="H471" s="685" t="str">
        <f t="shared" si="55"/>
        <v/>
      </c>
      <c r="I471" s="683" t="str">
        <f>IF(AND(F471&lt;&gt;"",N10&gt;0,M471&gt;N10),"Mot &gt; limite","")</f>
        <v/>
      </c>
      <c r="M471" s="638">
        <f>IF(OR(F471="",N10="",N10&lt;=0),"",IF(LEN(F471)&lt;=N10,LEN(F471),IFERROR(FIND("♦",SUBSTITUTE(LEFT(F471,N10)," ","♦",LEN(LEFT(F471,N10))-LEN(SUBSTITUTE(LEFT(F471,N10)," ","")))),FIND(" ",F471&amp;" ",N10+1)-1)))</f>
        <v>1</v>
      </c>
      <c r="N471" s="686">
        <f t="shared" si="56"/>
        <v>454</v>
      </c>
      <c r="O471" s="663" t="str">
        <f t="shared" si="57"/>
        <v>0</v>
      </c>
      <c r="P471" s="686">
        <f t="shared" si="58"/>
        <v>1</v>
      </c>
      <c r="Q471" s="686">
        <f t="shared" si="59"/>
        <v>1</v>
      </c>
      <c r="DE471" s="494"/>
      <c r="DF471" s="496" t="s">
        <v>2029</v>
      </c>
      <c r="DG471" s="496" t="s">
        <v>8</v>
      </c>
      <c r="DH471" s="496" t="s">
        <v>689</v>
      </c>
      <c r="DI471" s="496" t="s">
        <v>2030</v>
      </c>
      <c r="DJ471" s="496" t="s">
        <v>2030</v>
      </c>
      <c r="DK471" s="496" t="s">
        <v>1554</v>
      </c>
      <c r="DL471" s="496" t="s">
        <v>1555</v>
      </c>
      <c r="DM471" s="496" t="s">
        <v>1981</v>
      </c>
      <c r="DN471" s="497" t="s">
        <v>1982</v>
      </c>
      <c r="DP471" s="543">
        <v>1</v>
      </c>
    </row>
    <row r="472" spans="2:120" ht="15">
      <c r="B472" s="683"/>
      <c r="C472" s="683"/>
      <c r="D472" s="683"/>
      <c r="E472" s="683" cm="1">
        <f t="array" ref="E472">IF(H471&lt;&gt;"",E471,IF(E471="","",IFERROR(MATCH(TRUE(),INDEX(INDEX(K:K,E471+1):K203&lt;&gt;"",0),0)+E471,"")))</f>
        <v>613</v>
      </c>
      <c r="F472" s="684" cm="1">
        <f t="array" ref="F472">IF(E472="","",IF(H471&lt;&gt;"",H471,INDEX(D:D,E472)))</f>
        <v>0</v>
      </c>
      <c r="G472" s="684" t="str">
        <f t="shared" si="54"/>
        <v>0</v>
      </c>
      <c r="H472" s="685" t="str">
        <f t="shared" si="55"/>
        <v/>
      </c>
      <c r="I472" s="683" t="str">
        <f>IF(AND(F472&lt;&gt;"",N10&gt;0,M472&gt;N10),"Mot &gt; limite","")</f>
        <v/>
      </c>
      <c r="M472" s="638">
        <f>IF(OR(F472="",N10="",N10&lt;=0),"",IF(LEN(F472)&lt;=N10,LEN(F472),IFERROR(FIND("♦",SUBSTITUTE(LEFT(F472,N10)," ","♦",LEN(LEFT(F472,N10))-LEN(SUBSTITUTE(LEFT(F472,N10)," ","")))),FIND(" ",F472&amp;" ",N10+1)-1)))</f>
        <v>1</v>
      </c>
      <c r="N472" s="686">
        <f t="shared" si="56"/>
        <v>455</v>
      </c>
      <c r="O472" s="663" t="str">
        <f t="shared" si="57"/>
        <v>0</v>
      </c>
      <c r="P472" s="686">
        <f t="shared" si="58"/>
        <v>1</v>
      </c>
      <c r="Q472" s="686">
        <f t="shared" si="59"/>
        <v>1</v>
      </c>
      <c r="DE472" s="494"/>
      <c r="DF472" s="496" t="s">
        <v>2031</v>
      </c>
      <c r="DG472" s="496" t="s">
        <v>8</v>
      </c>
      <c r="DH472" s="496" t="s">
        <v>689</v>
      </c>
      <c r="DI472" s="496" t="s">
        <v>2032</v>
      </c>
      <c r="DJ472" s="496" t="s">
        <v>2032</v>
      </c>
      <c r="DK472" s="496" t="s">
        <v>1554</v>
      </c>
      <c r="DL472" s="496" t="s">
        <v>1555</v>
      </c>
      <c r="DM472" s="496" t="s">
        <v>1981</v>
      </c>
      <c r="DN472" s="497" t="s">
        <v>1982</v>
      </c>
      <c r="DP472" s="543">
        <v>1</v>
      </c>
    </row>
    <row r="473" spans="2:120" ht="15">
      <c r="B473" s="683"/>
      <c r="C473" s="683"/>
      <c r="D473" s="683"/>
      <c r="E473" s="683" cm="1">
        <f t="array" ref="E473">IF(H472&lt;&gt;"",E472,IF(E472="","",IFERROR(MATCH(TRUE(),INDEX(INDEX(K:K,E472+1):K203&lt;&gt;"",0),0)+E472,"")))</f>
        <v>614</v>
      </c>
      <c r="F473" s="684" cm="1">
        <f t="array" ref="F473">IF(E473="","",IF(H472&lt;&gt;"",H472,INDEX(D:D,E473)))</f>
        <v>0</v>
      </c>
      <c r="G473" s="684" t="str">
        <f t="shared" si="54"/>
        <v>0</v>
      </c>
      <c r="H473" s="685" t="str">
        <f t="shared" si="55"/>
        <v/>
      </c>
      <c r="I473" s="683" t="str">
        <f>IF(AND(F473&lt;&gt;"",N10&gt;0,M473&gt;N10),"Mot &gt; limite","")</f>
        <v/>
      </c>
      <c r="M473" s="638">
        <f>IF(OR(F473="",N10="",N10&lt;=0),"",IF(LEN(F473)&lt;=N10,LEN(F473),IFERROR(FIND("♦",SUBSTITUTE(LEFT(F473,N10)," ","♦",LEN(LEFT(F473,N10))-LEN(SUBSTITUTE(LEFT(F473,N10)," ","")))),FIND(" ",F473&amp;" ",N10+1)-1)))</f>
        <v>1</v>
      </c>
      <c r="N473" s="686">
        <f t="shared" si="56"/>
        <v>456</v>
      </c>
      <c r="O473" s="663" t="str">
        <f t="shared" si="57"/>
        <v>0</v>
      </c>
      <c r="P473" s="686">
        <f t="shared" si="58"/>
        <v>1</v>
      </c>
      <c r="Q473" s="686">
        <f t="shared" si="59"/>
        <v>1</v>
      </c>
      <c r="DE473" s="494"/>
      <c r="DF473" s="496" t="s">
        <v>2033</v>
      </c>
      <c r="DG473" s="496" t="s">
        <v>8</v>
      </c>
      <c r="DH473" s="496" t="s">
        <v>689</v>
      </c>
      <c r="DI473" s="496" t="s">
        <v>2034</v>
      </c>
      <c r="DJ473" s="496" t="s">
        <v>2034</v>
      </c>
      <c r="DK473" s="496" t="s">
        <v>1554</v>
      </c>
      <c r="DL473" s="496" t="s">
        <v>1555</v>
      </c>
      <c r="DM473" s="496" t="s">
        <v>1981</v>
      </c>
      <c r="DN473" s="497" t="s">
        <v>1982</v>
      </c>
      <c r="DP473" s="543">
        <v>1</v>
      </c>
    </row>
    <row r="474" spans="2:120" ht="15">
      <c r="B474" s="683"/>
      <c r="C474" s="683"/>
      <c r="D474" s="683"/>
      <c r="E474" s="683" cm="1">
        <f t="array" ref="E474">IF(H473&lt;&gt;"",E473,IF(E473="","",IFERROR(MATCH(TRUE(),INDEX(INDEX(K:K,E473+1):K203&lt;&gt;"",0),0)+E473,"")))</f>
        <v>615</v>
      </c>
      <c r="F474" s="684" cm="1">
        <f t="array" ref="F474">IF(E474="","",IF(H473&lt;&gt;"",H473,INDEX(D:D,E474)))</f>
        <v>0</v>
      </c>
      <c r="G474" s="684" t="str">
        <f t="shared" si="54"/>
        <v>0</v>
      </c>
      <c r="H474" s="685" t="str">
        <f t="shared" si="55"/>
        <v/>
      </c>
      <c r="I474" s="683" t="str">
        <f>IF(AND(F474&lt;&gt;"",N10&gt;0,M474&gt;N10),"Mot &gt; limite","")</f>
        <v/>
      </c>
      <c r="M474" s="638">
        <f>IF(OR(F474="",N10="",N10&lt;=0),"",IF(LEN(F474)&lt;=N10,LEN(F474),IFERROR(FIND("♦",SUBSTITUTE(LEFT(F474,N10)," ","♦",LEN(LEFT(F474,N10))-LEN(SUBSTITUTE(LEFT(F474,N10)," ","")))),FIND(" ",F474&amp;" ",N10+1)-1)))</f>
        <v>1</v>
      </c>
      <c r="N474" s="686">
        <f t="shared" si="56"/>
        <v>457</v>
      </c>
      <c r="O474" s="663" t="str">
        <f t="shared" si="57"/>
        <v>0</v>
      </c>
      <c r="P474" s="686">
        <f t="shared" si="58"/>
        <v>1</v>
      </c>
      <c r="Q474" s="686">
        <f t="shared" si="59"/>
        <v>1</v>
      </c>
      <c r="DE474" s="494"/>
      <c r="DF474" s="496" t="s">
        <v>2035</v>
      </c>
      <c r="DG474" s="496" t="s">
        <v>8</v>
      </c>
      <c r="DH474" s="496" t="s">
        <v>689</v>
      </c>
      <c r="DI474" s="496" t="s">
        <v>2036</v>
      </c>
      <c r="DJ474" s="496" t="s">
        <v>2036</v>
      </c>
      <c r="DK474" s="496" t="s">
        <v>1554</v>
      </c>
      <c r="DL474" s="496" t="s">
        <v>1555</v>
      </c>
      <c r="DM474" s="496" t="s">
        <v>1981</v>
      </c>
      <c r="DN474" s="497" t="s">
        <v>1982</v>
      </c>
      <c r="DP474" s="543">
        <v>1</v>
      </c>
    </row>
    <row r="475" spans="2:120" ht="15">
      <c r="B475" s="683"/>
      <c r="C475" s="683"/>
      <c r="D475" s="683"/>
      <c r="E475" s="683" cm="1">
        <f t="array" ref="E475">IF(H474&lt;&gt;"",E474,IF(E474="","",IFERROR(MATCH(TRUE(),INDEX(INDEX(K:K,E474+1):K203&lt;&gt;"",0),0)+E474,"")))</f>
        <v>616</v>
      </c>
      <c r="F475" s="684" cm="1">
        <f t="array" ref="F475">IF(E475="","",IF(H474&lt;&gt;"",H474,INDEX(D:D,E475)))</f>
        <v>0</v>
      </c>
      <c r="G475" s="684" t="str">
        <f t="shared" si="54"/>
        <v>0</v>
      </c>
      <c r="H475" s="685" t="str">
        <f t="shared" si="55"/>
        <v/>
      </c>
      <c r="I475" s="683" t="str">
        <f>IF(AND(F475&lt;&gt;"",N10&gt;0,M475&gt;N10),"Mot &gt; limite","")</f>
        <v/>
      </c>
      <c r="M475" s="638">
        <f>IF(OR(F475="",N10="",N10&lt;=0),"",IF(LEN(F475)&lt;=N10,LEN(F475),IFERROR(FIND("♦",SUBSTITUTE(LEFT(F475,N10)," ","♦",LEN(LEFT(F475,N10))-LEN(SUBSTITUTE(LEFT(F475,N10)," ","")))),FIND(" ",F475&amp;" ",N10+1)-1)))</f>
        <v>1</v>
      </c>
      <c r="N475" s="686">
        <f t="shared" si="56"/>
        <v>458</v>
      </c>
      <c r="O475" s="663" t="str">
        <f t="shared" si="57"/>
        <v>0</v>
      </c>
      <c r="P475" s="686">
        <f t="shared" si="58"/>
        <v>1</v>
      </c>
      <c r="Q475" s="686">
        <f t="shared" si="59"/>
        <v>1</v>
      </c>
      <c r="DE475" s="494"/>
      <c r="DF475" s="496" t="s">
        <v>2037</v>
      </c>
      <c r="DG475" s="496" t="s">
        <v>8</v>
      </c>
      <c r="DH475" s="496" t="s">
        <v>689</v>
      </c>
      <c r="DI475" s="496" t="s">
        <v>2038</v>
      </c>
      <c r="DJ475" s="496" t="s">
        <v>2038</v>
      </c>
      <c r="DK475" s="496" t="s">
        <v>1554</v>
      </c>
      <c r="DL475" s="496" t="s">
        <v>1555</v>
      </c>
      <c r="DM475" s="496" t="s">
        <v>1981</v>
      </c>
      <c r="DN475" s="497" t="s">
        <v>1982</v>
      </c>
      <c r="DP475" s="543">
        <v>1</v>
      </c>
    </row>
    <row r="476" spans="2:120" ht="15">
      <c r="B476" s="683"/>
      <c r="C476" s="683"/>
      <c r="D476" s="683"/>
      <c r="E476" s="683" cm="1">
        <f t="array" ref="E476">IF(H475&lt;&gt;"",E475,IF(E475="","",IFERROR(MATCH(TRUE(),INDEX(INDEX(K:K,E475+1):K203&lt;&gt;"",0),0)+E475,"")))</f>
        <v>617</v>
      </c>
      <c r="F476" s="684" cm="1">
        <f t="array" ref="F476">IF(E476="","",IF(H475&lt;&gt;"",H475,INDEX(D:D,E476)))</f>
        <v>0</v>
      </c>
      <c r="G476" s="684" t="str">
        <f t="shared" si="54"/>
        <v>0</v>
      </c>
      <c r="H476" s="685" t="str">
        <f t="shared" si="55"/>
        <v/>
      </c>
      <c r="I476" s="683" t="str">
        <f>IF(AND(F476&lt;&gt;"",N10&gt;0,M476&gt;N10),"Mot &gt; limite","")</f>
        <v/>
      </c>
      <c r="M476" s="638">
        <f>IF(OR(F476="",N10="",N10&lt;=0),"",IF(LEN(F476)&lt;=N10,LEN(F476),IFERROR(FIND("♦",SUBSTITUTE(LEFT(F476,N10)," ","♦",LEN(LEFT(F476,N10))-LEN(SUBSTITUTE(LEFT(F476,N10)," ","")))),FIND(" ",F476&amp;" ",N10+1)-1)))</f>
        <v>1</v>
      </c>
      <c r="N476" s="686">
        <f t="shared" si="56"/>
        <v>459</v>
      </c>
      <c r="O476" s="663" t="str">
        <f t="shared" si="57"/>
        <v>0</v>
      </c>
      <c r="P476" s="686">
        <f t="shared" si="58"/>
        <v>1</v>
      </c>
      <c r="Q476" s="686">
        <f t="shared" si="59"/>
        <v>1</v>
      </c>
      <c r="DE476" s="494"/>
      <c r="DF476" s="496" t="s">
        <v>2039</v>
      </c>
      <c r="DG476" s="496" t="s">
        <v>8</v>
      </c>
      <c r="DH476" s="496" t="s">
        <v>689</v>
      </c>
      <c r="DI476" s="496" t="s">
        <v>2040</v>
      </c>
      <c r="DJ476" s="496" t="s">
        <v>2040</v>
      </c>
      <c r="DK476" s="496" t="s">
        <v>1554</v>
      </c>
      <c r="DL476" s="496" t="s">
        <v>1555</v>
      </c>
      <c r="DM476" s="496" t="s">
        <v>1981</v>
      </c>
      <c r="DN476" s="497" t="s">
        <v>1982</v>
      </c>
      <c r="DP476" s="543">
        <v>1</v>
      </c>
    </row>
    <row r="477" spans="2:120" ht="15">
      <c r="B477" s="683"/>
      <c r="C477" s="683"/>
      <c r="D477" s="683"/>
      <c r="E477" s="683" cm="1">
        <f t="array" ref="E477">IF(H476&lt;&gt;"",E476,IF(E476="","",IFERROR(MATCH(TRUE(),INDEX(INDEX(K:K,E476+1):K203&lt;&gt;"",0),0)+E476,"")))</f>
        <v>618</v>
      </c>
      <c r="F477" s="684" cm="1">
        <f t="array" ref="F477">IF(E477="","",IF(H476&lt;&gt;"",H476,INDEX(D:D,E477)))</f>
        <v>0</v>
      </c>
      <c r="G477" s="684" t="str">
        <f t="shared" si="54"/>
        <v>0</v>
      </c>
      <c r="H477" s="685" t="str">
        <f t="shared" si="55"/>
        <v/>
      </c>
      <c r="I477" s="683" t="str">
        <f>IF(AND(F477&lt;&gt;"",N10&gt;0,M477&gt;N10),"Mot &gt; limite","")</f>
        <v/>
      </c>
      <c r="M477" s="638">
        <f>IF(OR(F477="",N10="",N10&lt;=0),"",IF(LEN(F477)&lt;=N10,LEN(F477),IFERROR(FIND("♦",SUBSTITUTE(LEFT(F477,N10)," ","♦",LEN(LEFT(F477,N10))-LEN(SUBSTITUTE(LEFT(F477,N10)," ","")))),FIND(" ",F477&amp;" ",N10+1)-1)))</f>
        <v>1</v>
      </c>
      <c r="N477" s="686">
        <f t="shared" si="56"/>
        <v>460</v>
      </c>
      <c r="O477" s="663" t="str">
        <f t="shared" si="57"/>
        <v>0</v>
      </c>
      <c r="P477" s="686">
        <f t="shared" si="58"/>
        <v>1</v>
      </c>
      <c r="Q477" s="686">
        <f t="shared" si="59"/>
        <v>1</v>
      </c>
      <c r="DE477" s="494"/>
      <c r="DF477" s="496" t="s">
        <v>2041</v>
      </c>
      <c r="DG477" s="496" t="s">
        <v>8</v>
      </c>
      <c r="DH477" s="496" t="s">
        <v>689</v>
      </c>
      <c r="DI477" s="496" t="s">
        <v>2042</v>
      </c>
      <c r="DJ477" s="496" t="s">
        <v>2042</v>
      </c>
      <c r="DK477" s="496" t="s">
        <v>1554</v>
      </c>
      <c r="DL477" s="496" t="s">
        <v>1555</v>
      </c>
      <c r="DM477" s="496" t="s">
        <v>1981</v>
      </c>
      <c r="DN477" s="497" t="s">
        <v>1982</v>
      </c>
      <c r="DP477" s="543">
        <v>1</v>
      </c>
    </row>
    <row r="478" spans="2:120" ht="15">
      <c r="B478" s="683"/>
      <c r="C478" s="683"/>
      <c r="D478" s="683"/>
      <c r="E478" s="683" cm="1">
        <f t="array" ref="E478">IF(H477&lt;&gt;"",E477,IF(E477="","",IFERROR(MATCH(TRUE(),INDEX(INDEX(K:K,E477+1):K203&lt;&gt;"",0),0)+E477,"")))</f>
        <v>619</v>
      </c>
      <c r="F478" s="684" cm="1">
        <f t="array" ref="F478">IF(E478="","",IF(H477&lt;&gt;"",H477,INDEX(D:D,E478)))</f>
        <v>0</v>
      </c>
      <c r="G478" s="684" t="str">
        <f t="shared" si="54"/>
        <v>0</v>
      </c>
      <c r="H478" s="685" t="str">
        <f t="shared" si="55"/>
        <v/>
      </c>
      <c r="I478" s="683" t="str">
        <f>IF(AND(F478&lt;&gt;"",N10&gt;0,M478&gt;N10),"Mot &gt; limite","")</f>
        <v/>
      </c>
      <c r="M478" s="638">
        <f>IF(OR(F478="",N10="",N10&lt;=0),"",IF(LEN(F478)&lt;=N10,LEN(F478),IFERROR(FIND("♦",SUBSTITUTE(LEFT(F478,N10)," ","♦",LEN(LEFT(F478,N10))-LEN(SUBSTITUTE(LEFT(F478,N10)," ","")))),FIND(" ",F478&amp;" ",N10+1)-1)))</f>
        <v>1</v>
      </c>
      <c r="N478" s="686">
        <f t="shared" si="56"/>
        <v>461</v>
      </c>
      <c r="O478" s="663" t="str">
        <f t="shared" si="57"/>
        <v>0</v>
      </c>
      <c r="P478" s="686">
        <f t="shared" si="58"/>
        <v>1</v>
      </c>
      <c r="Q478" s="686">
        <f t="shared" si="59"/>
        <v>1</v>
      </c>
      <c r="DE478" s="494"/>
      <c r="DF478" s="496" t="s">
        <v>2043</v>
      </c>
      <c r="DG478" s="496" t="s">
        <v>8</v>
      </c>
      <c r="DH478" s="496" t="s">
        <v>689</v>
      </c>
      <c r="DI478" s="496" t="s">
        <v>2044</v>
      </c>
      <c r="DJ478" s="496" t="s">
        <v>2044</v>
      </c>
      <c r="DK478" s="496" t="s">
        <v>1554</v>
      </c>
      <c r="DL478" s="496" t="s">
        <v>1555</v>
      </c>
      <c r="DM478" s="496" t="s">
        <v>1981</v>
      </c>
      <c r="DN478" s="497" t="s">
        <v>1982</v>
      </c>
      <c r="DP478" s="543">
        <v>1</v>
      </c>
    </row>
    <row r="479" spans="2:120" ht="15">
      <c r="B479" s="683"/>
      <c r="C479" s="683"/>
      <c r="D479" s="683"/>
      <c r="E479" s="683" cm="1">
        <f t="array" ref="E479">IF(H478&lt;&gt;"",E478,IF(E478="","",IFERROR(MATCH(TRUE(),INDEX(INDEX(K:K,E478+1):K203&lt;&gt;"",0),0)+E478,"")))</f>
        <v>620</v>
      </c>
      <c r="F479" s="684" cm="1">
        <f t="array" ref="F479">IF(E479="","",IF(H478&lt;&gt;"",H478,INDEX(D:D,E479)))</f>
        <v>0</v>
      </c>
      <c r="G479" s="684" t="str">
        <f t="shared" si="54"/>
        <v>0</v>
      </c>
      <c r="H479" s="685" t="str">
        <f t="shared" si="55"/>
        <v/>
      </c>
      <c r="I479" s="683" t="str">
        <f>IF(AND(F479&lt;&gt;"",N10&gt;0,M479&gt;N10),"Mot &gt; limite","")</f>
        <v/>
      </c>
      <c r="M479" s="638">
        <f>IF(OR(F479="",N10="",N10&lt;=0),"",IF(LEN(F479)&lt;=N10,LEN(F479),IFERROR(FIND("♦",SUBSTITUTE(LEFT(F479,N10)," ","♦",LEN(LEFT(F479,N10))-LEN(SUBSTITUTE(LEFT(F479,N10)," ","")))),FIND(" ",F479&amp;" ",N10+1)-1)))</f>
        <v>1</v>
      </c>
      <c r="N479" s="686">
        <f t="shared" si="56"/>
        <v>462</v>
      </c>
      <c r="O479" s="663" t="str">
        <f t="shared" si="57"/>
        <v>0</v>
      </c>
      <c r="P479" s="686">
        <f t="shared" si="58"/>
        <v>1</v>
      </c>
      <c r="Q479" s="686">
        <f t="shared" si="59"/>
        <v>1</v>
      </c>
      <c r="DE479" s="494"/>
      <c r="DF479" s="496" t="s">
        <v>2045</v>
      </c>
      <c r="DG479" s="496" t="s">
        <v>8</v>
      </c>
      <c r="DH479" s="496" t="s">
        <v>689</v>
      </c>
      <c r="DI479" s="496" t="s">
        <v>2046</v>
      </c>
      <c r="DJ479" s="496" t="s">
        <v>2046</v>
      </c>
      <c r="DK479" s="496" t="s">
        <v>1554</v>
      </c>
      <c r="DL479" s="496" t="s">
        <v>1555</v>
      </c>
      <c r="DM479" s="496" t="s">
        <v>1981</v>
      </c>
      <c r="DN479" s="497" t="s">
        <v>1982</v>
      </c>
      <c r="DP479" s="543">
        <v>1</v>
      </c>
    </row>
    <row r="480" spans="2:120" ht="15">
      <c r="B480" s="683"/>
      <c r="C480" s="683"/>
      <c r="D480" s="683"/>
      <c r="E480" s="683" cm="1">
        <f t="array" ref="E480">IF(H479&lt;&gt;"",E479,IF(E479="","",IFERROR(MATCH(TRUE(),INDEX(INDEX(K:K,E479+1):K203&lt;&gt;"",0),0)+E479,"")))</f>
        <v>621</v>
      </c>
      <c r="F480" s="684" cm="1">
        <f t="array" ref="F480">IF(E480="","",IF(H479&lt;&gt;"",H479,INDEX(D:D,E480)))</f>
        <v>0</v>
      </c>
      <c r="G480" s="684" t="str">
        <f t="shared" si="54"/>
        <v>0</v>
      </c>
      <c r="H480" s="685" t="str">
        <f t="shared" si="55"/>
        <v/>
      </c>
      <c r="I480" s="683" t="str">
        <f>IF(AND(F480&lt;&gt;"",N10&gt;0,M480&gt;N10),"Mot &gt; limite","")</f>
        <v/>
      </c>
      <c r="M480" s="638">
        <f>IF(OR(F480="",N10="",N10&lt;=0),"",IF(LEN(F480)&lt;=N10,LEN(F480),IFERROR(FIND("♦",SUBSTITUTE(LEFT(F480,N10)," ","♦",LEN(LEFT(F480,N10))-LEN(SUBSTITUTE(LEFT(F480,N10)," ","")))),FIND(" ",F480&amp;" ",N10+1)-1)))</f>
        <v>1</v>
      </c>
      <c r="N480" s="686">
        <f t="shared" si="56"/>
        <v>463</v>
      </c>
      <c r="O480" s="663" t="str">
        <f t="shared" si="57"/>
        <v>0</v>
      </c>
      <c r="P480" s="686">
        <f t="shared" si="58"/>
        <v>1</v>
      </c>
      <c r="Q480" s="686">
        <f t="shared" si="59"/>
        <v>1</v>
      </c>
      <c r="DE480" s="494"/>
      <c r="DF480" s="496" t="s">
        <v>2047</v>
      </c>
      <c r="DG480" s="496" t="s">
        <v>8</v>
      </c>
      <c r="DH480" s="496" t="s">
        <v>689</v>
      </c>
      <c r="DI480" s="496" t="s">
        <v>2048</v>
      </c>
      <c r="DJ480" s="496" t="s">
        <v>2048</v>
      </c>
      <c r="DK480" s="496" t="s">
        <v>1554</v>
      </c>
      <c r="DL480" s="496" t="s">
        <v>1555</v>
      </c>
      <c r="DM480" s="496" t="s">
        <v>1981</v>
      </c>
      <c r="DN480" s="497" t="s">
        <v>1982</v>
      </c>
      <c r="DP480" s="543">
        <v>1</v>
      </c>
    </row>
    <row r="481" spans="2:120" ht="15">
      <c r="B481" s="683"/>
      <c r="C481" s="683"/>
      <c r="D481" s="683"/>
      <c r="E481" s="683" cm="1">
        <f t="array" ref="E481">IF(H480&lt;&gt;"",E480,IF(E480="","",IFERROR(MATCH(TRUE(),INDEX(INDEX(K:K,E480+1):K203&lt;&gt;"",0),0)+E480,"")))</f>
        <v>622</v>
      </c>
      <c r="F481" s="684" cm="1">
        <f t="array" ref="F481">IF(E481="","",IF(H480&lt;&gt;"",H480,INDEX(D:D,E481)))</f>
        <v>0</v>
      </c>
      <c r="G481" s="684" t="str">
        <f t="shared" si="54"/>
        <v>0</v>
      </c>
      <c r="H481" s="685" t="str">
        <f t="shared" si="55"/>
        <v/>
      </c>
      <c r="I481" s="683" t="str">
        <f>IF(AND(F481&lt;&gt;"",N10&gt;0,M481&gt;N10),"Mot &gt; limite","")</f>
        <v/>
      </c>
      <c r="M481" s="638">
        <f>IF(OR(F481="",N10="",N10&lt;=0),"",IF(LEN(F481)&lt;=N10,LEN(F481),IFERROR(FIND("♦",SUBSTITUTE(LEFT(F481,N10)," ","♦",LEN(LEFT(F481,N10))-LEN(SUBSTITUTE(LEFT(F481,N10)," ","")))),FIND(" ",F481&amp;" ",N10+1)-1)))</f>
        <v>1</v>
      </c>
      <c r="N481" s="686">
        <f t="shared" si="56"/>
        <v>464</v>
      </c>
      <c r="O481" s="663" t="str">
        <f t="shared" si="57"/>
        <v>0</v>
      </c>
      <c r="P481" s="686">
        <f t="shared" si="58"/>
        <v>1</v>
      </c>
      <c r="Q481" s="686">
        <f t="shared" si="59"/>
        <v>1</v>
      </c>
      <c r="DE481" s="494"/>
      <c r="DF481" s="496" t="s">
        <v>2049</v>
      </c>
      <c r="DG481" s="496" t="s">
        <v>8</v>
      </c>
      <c r="DH481" s="496" t="s">
        <v>689</v>
      </c>
      <c r="DI481" s="496" t="s">
        <v>2050</v>
      </c>
      <c r="DJ481" s="496" t="s">
        <v>2050</v>
      </c>
      <c r="DK481" s="496" t="s">
        <v>1554</v>
      </c>
      <c r="DL481" s="496" t="s">
        <v>1555</v>
      </c>
      <c r="DM481" s="496" t="s">
        <v>1981</v>
      </c>
      <c r="DN481" s="497" t="s">
        <v>1982</v>
      </c>
      <c r="DP481" s="543">
        <v>1</v>
      </c>
    </row>
    <row r="482" spans="2:120" ht="15">
      <c r="B482" s="683"/>
      <c r="C482" s="683"/>
      <c r="D482" s="683"/>
      <c r="E482" s="683" cm="1">
        <f t="array" ref="E482">IF(H481&lt;&gt;"",E481,IF(E481="","",IFERROR(MATCH(TRUE(),INDEX(INDEX(K:K,E481+1):K203&lt;&gt;"",0),0)+E481,"")))</f>
        <v>623</v>
      </c>
      <c r="F482" s="684" cm="1">
        <f t="array" ref="F482">IF(E482="","",IF(H481&lt;&gt;"",H481,INDEX(D:D,E482)))</f>
        <v>0</v>
      </c>
      <c r="G482" s="684" t="str">
        <f t="shared" si="54"/>
        <v>0</v>
      </c>
      <c r="H482" s="685" t="str">
        <f t="shared" si="55"/>
        <v/>
      </c>
      <c r="I482" s="683" t="str">
        <f>IF(AND(F482&lt;&gt;"",N10&gt;0,M482&gt;N10),"Mot &gt; limite","")</f>
        <v/>
      </c>
      <c r="M482" s="638">
        <f>IF(OR(F482="",N10="",N10&lt;=0),"",IF(LEN(F482)&lt;=N10,LEN(F482),IFERROR(FIND("♦",SUBSTITUTE(LEFT(F482,N10)," ","♦",LEN(LEFT(F482,N10))-LEN(SUBSTITUTE(LEFT(F482,N10)," ","")))),FIND(" ",F482&amp;" ",N10+1)-1)))</f>
        <v>1</v>
      </c>
      <c r="N482" s="686">
        <f t="shared" si="56"/>
        <v>465</v>
      </c>
      <c r="O482" s="663" t="str">
        <f t="shared" si="57"/>
        <v>0</v>
      </c>
      <c r="P482" s="686">
        <f t="shared" si="58"/>
        <v>1</v>
      </c>
      <c r="Q482" s="686">
        <f t="shared" si="59"/>
        <v>1</v>
      </c>
      <c r="DE482" s="494"/>
      <c r="DF482" s="496" t="s">
        <v>2051</v>
      </c>
      <c r="DG482" s="496" t="s">
        <v>8</v>
      </c>
      <c r="DH482" s="496" t="s">
        <v>689</v>
      </c>
      <c r="DI482" s="496" t="s">
        <v>2052</v>
      </c>
      <c r="DJ482" s="496" t="s">
        <v>2052</v>
      </c>
      <c r="DK482" s="496" t="s">
        <v>1554</v>
      </c>
      <c r="DL482" s="496" t="s">
        <v>1555</v>
      </c>
      <c r="DM482" s="496" t="s">
        <v>1981</v>
      </c>
      <c r="DN482" s="497" t="s">
        <v>1982</v>
      </c>
      <c r="DP482" s="543">
        <v>1</v>
      </c>
    </row>
    <row r="483" spans="2:120" ht="15">
      <c r="B483" s="683"/>
      <c r="C483" s="683"/>
      <c r="D483" s="683"/>
      <c r="E483" s="683" cm="1">
        <f t="array" ref="E483">IF(H482&lt;&gt;"",E482,IF(E482="","",IFERROR(MATCH(TRUE(),INDEX(INDEX(K:K,E482+1):K203&lt;&gt;"",0),0)+E482,"")))</f>
        <v>624</v>
      </c>
      <c r="F483" s="684" cm="1">
        <f t="array" ref="F483">IF(E483="","",IF(H482&lt;&gt;"",H482,INDEX(D:D,E483)))</f>
        <v>0</v>
      </c>
      <c r="G483" s="684" t="str">
        <f t="shared" si="54"/>
        <v>0</v>
      </c>
      <c r="H483" s="685" t="str">
        <f t="shared" si="55"/>
        <v/>
      </c>
      <c r="I483" s="683" t="str">
        <f>IF(AND(F483&lt;&gt;"",N10&gt;0,M483&gt;N10),"Mot &gt; limite","")</f>
        <v/>
      </c>
      <c r="M483" s="638">
        <f>IF(OR(F483="",N10="",N10&lt;=0),"",IF(LEN(F483)&lt;=N10,LEN(F483),IFERROR(FIND("♦",SUBSTITUTE(LEFT(F483,N10)," ","♦",LEN(LEFT(F483,N10))-LEN(SUBSTITUTE(LEFT(F483,N10)," ","")))),FIND(" ",F483&amp;" ",N10+1)-1)))</f>
        <v>1</v>
      </c>
      <c r="N483" s="686">
        <f t="shared" si="56"/>
        <v>466</v>
      </c>
      <c r="O483" s="663" t="str">
        <f t="shared" si="57"/>
        <v>0</v>
      </c>
      <c r="P483" s="686">
        <f t="shared" si="58"/>
        <v>1</v>
      </c>
      <c r="Q483" s="686">
        <f t="shared" si="59"/>
        <v>1</v>
      </c>
      <c r="DE483" s="494"/>
      <c r="DF483" s="496" t="s">
        <v>2053</v>
      </c>
      <c r="DG483" s="496" t="s">
        <v>8</v>
      </c>
      <c r="DH483" s="496" t="s">
        <v>689</v>
      </c>
      <c r="DI483" s="496" t="s">
        <v>2054</v>
      </c>
      <c r="DJ483" s="496" t="s">
        <v>2054</v>
      </c>
      <c r="DK483" s="496" t="s">
        <v>1554</v>
      </c>
      <c r="DL483" s="496" t="s">
        <v>1555</v>
      </c>
      <c r="DM483" s="496" t="s">
        <v>1981</v>
      </c>
      <c r="DN483" s="497" t="s">
        <v>1982</v>
      </c>
      <c r="DP483" s="543">
        <v>1</v>
      </c>
    </row>
    <row r="484" spans="2:120" ht="15">
      <c r="B484" s="683"/>
      <c r="C484" s="683"/>
      <c r="D484" s="683"/>
      <c r="E484" s="683" cm="1">
        <f t="array" ref="E484">IF(H483&lt;&gt;"",E483,IF(E483="","",IFERROR(MATCH(TRUE(),INDEX(INDEX(K:K,E483+1):K203&lt;&gt;"",0),0)+E483,"")))</f>
        <v>625</v>
      </c>
      <c r="F484" s="684" cm="1">
        <f t="array" ref="F484">IF(E484="","",IF(H483&lt;&gt;"",H483,INDEX(D:D,E484)))</f>
        <v>0</v>
      </c>
      <c r="G484" s="684" t="str">
        <f t="shared" si="54"/>
        <v>0</v>
      </c>
      <c r="H484" s="685" t="str">
        <f t="shared" si="55"/>
        <v/>
      </c>
      <c r="I484" s="683" t="str">
        <f>IF(AND(F484&lt;&gt;"",N10&gt;0,M484&gt;N10),"Mot &gt; limite","")</f>
        <v/>
      </c>
      <c r="M484" s="638">
        <f>IF(OR(F484="",N10="",N10&lt;=0),"",IF(LEN(F484)&lt;=N10,LEN(F484),IFERROR(FIND("♦",SUBSTITUTE(LEFT(F484,N10)," ","♦",LEN(LEFT(F484,N10))-LEN(SUBSTITUTE(LEFT(F484,N10)," ","")))),FIND(" ",F484&amp;" ",N10+1)-1)))</f>
        <v>1</v>
      </c>
      <c r="N484" s="686">
        <f t="shared" si="56"/>
        <v>467</v>
      </c>
      <c r="O484" s="663" t="str">
        <f t="shared" si="57"/>
        <v>0</v>
      </c>
      <c r="P484" s="686">
        <f t="shared" si="58"/>
        <v>1</v>
      </c>
      <c r="Q484" s="686">
        <f t="shared" si="59"/>
        <v>1</v>
      </c>
      <c r="DE484" s="494"/>
      <c r="DF484" s="496" t="s">
        <v>2055</v>
      </c>
      <c r="DG484" s="496" t="s">
        <v>8</v>
      </c>
      <c r="DH484" s="496" t="s">
        <v>689</v>
      </c>
      <c r="DI484" s="496" t="s">
        <v>2056</v>
      </c>
      <c r="DJ484" s="496" t="s">
        <v>2056</v>
      </c>
      <c r="DK484" s="496" t="s">
        <v>1554</v>
      </c>
      <c r="DL484" s="496" t="s">
        <v>1555</v>
      </c>
      <c r="DM484" s="496" t="s">
        <v>1981</v>
      </c>
      <c r="DN484" s="497" t="s">
        <v>1982</v>
      </c>
      <c r="DP484" s="543">
        <v>1</v>
      </c>
    </row>
    <row r="485" spans="2:120" ht="15">
      <c r="B485" s="683"/>
      <c r="C485" s="683"/>
      <c r="D485" s="683"/>
      <c r="E485" s="683" cm="1">
        <f t="array" ref="E485">IF(H484&lt;&gt;"",E484,IF(E484="","",IFERROR(MATCH(TRUE(),INDEX(INDEX(K:K,E484+1):K203&lt;&gt;"",0),0)+E484,"")))</f>
        <v>626</v>
      </c>
      <c r="F485" s="684" cm="1">
        <f t="array" ref="F485">IF(E485="","",IF(H484&lt;&gt;"",H484,INDEX(D:D,E485)))</f>
        <v>0</v>
      </c>
      <c r="G485" s="684" t="str">
        <f t="shared" si="54"/>
        <v>0</v>
      </c>
      <c r="H485" s="685" t="str">
        <f t="shared" si="55"/>
        <v/>
      </c>
      <c r="I485" s="683" t="str">
        <f>IF(AND(F485&lt;&gt;"",N10&gt;0,M485&gt;N10),"Mot &gt; limite","")</f>
        <v/>
      </c>
      <c r="M485" s="638">
        <f>IF(OR(F485="",N10="",N10&lt;=0),"",IF(LEN(F485)&lt;=N10,LEN(F485),IFERROR(FIND("♦",SUBSTITUTE(LEFT(F485,N10)," ","♦",LEN(LEFT(F485,N10))-LEN(SUBSTITUTE(LEFT(F485,N10)," ","")))),FIND(" ",F485&amp;" ",N10+1)-1)))</f>
        <v>1</v>
      </c>
      <c r="N485" s="686">
        <f t="shared" si="56"/>
        <v>468</v>
      </c>
      <c r="O485" s="663" t="str">
        <f t="shared" si="57"/>
        <v>0</v>
      </c>
      <c r="P485" s="686">
        <f t="shared" si="58"/>
        <v>1</v>
      </c>
      <c r="Q485" s="686">
        <f t="shared" si="59"/>
        <v>1</v>
      </c>
      <c r="DE485" s="494"/>
      <c r="DF485" s="496" t="s">
        <v>2057</v>
      </c>
      <c r="DG485" s="496" t="s">
        <v>8</v>
      </c>
      <c r="DH485" s="496" t="s">
        <v>689</v>
      </c>
      <c r="DI485" s="496" t="s">
        <v>2058</v>
      </c>
      <c r="DJ485" s="496" t="s">
        <v>2058</v>
      </c>
      <c r="DK485" s="496" t="s">
        <v>1554</v>
      </c>
      <c r="DL485" s="496" t="s">
        <v>1555</v>
      </c>
      <c r="DM485" s="496" t="s">
        <v>1981</v>
      </c>
      <c r="DN485" s="497" t="s">
        <v>1982</v>
      </c>
      <c r="DP485" s="543">
        <v>1</v>
      </c>
    </row>
    <row r="486" spans="2:120" ht="15">
      <c r="B486" s="683"/>
      <c r="C486" s="683"/>
      <c r="D486" s="683"/>
      <c r="E486" s="683" cm="1">
        <f t="array" ref="E486">IF(H485&lt;&gt;"",E485,IF(E485="","",IFERROR(MATCH(TRUE(),INDEX(INDEX(K:K,E485+1):K203&lt;&gt;"",0),0)+E485,"")))</f>
        <v>627</v>
      </c>
      <c r="F486" s="684" cm="1">
        <f t="array" ref="F486">IF(E486="","",IF(H485&lt;&gt;"",H485,INDEX(D:D,E486)))</f>
        <v>0</v>
      </c>
      <c r="G486" s="684" t="str">
        <f t="shared" si="54"/>
        <v>0</v>
      </c>
      <c r="H486" s="685" t="str">
        <f t="shared" si="55"/>
        <v/>
      </c>
      <c r="I486" s="683" t="str">
        <f>IF(AND(F486&lt;&gt;"",N10&gt;0,M486&gt;N10),"Mot &gt; limite","")</f>
        <v/>
      </c>
      <c r="M486" s="638">
        <f>IF(OR(F486="",N10="",N10&lt;=0),"",IF(LEN(F486)&lt;=N10,LEN(F486),IFERROR(FIND("♦",SUBSTITUTE(LEFT(F486,N10)," ","♦",LEN(LEFT(F486,N10))-LEN(SUBSTITUTE(LEFT(F486,N10)," ","")))),FIND(" ",F486&amp;" ",N10+1)-1)))</f>
        <v>1</v>
      </c>
      <c r="N486" s="686">
        <f t="shared" si="56"/>
        <v>469</v>
      </c>
      <c r="O486" s="663" t="str">
        <f t="shared" si="57"/>
        <v>0</v>
      </c>
      <c r="P486" s="686">
        <f t="shared" si="58"/>
        <v>1</v>
      </c>
      <c r="Q486" s="686">
        <f t="shared" si="59"/>
        <v>1</v>
      </c>
      <c r="DE486" s="494"/>
      <c r="DF486" s="496" t="s">
        <v>2059</v>
      </c>
      <c r="DG486" s="496" t="s">
        <v>8</v>
      </c>
      <c r="DH486" s="496" t="s">
        <v>689</v>
      </c>
      <c r="DI486" s="496" t="s">
        <v>2060</v>
      </c>
      <c r="DJ486" s="496" t="s">
        <v>2060</v>
      </c>
      <c r="DK486" s="496" t="s">
        <v>1554</v>
      </c>
      <c r="DL486" s="496" t="s">
        <v>1555</v>
      </c>
      <c r="DM486" s="496" t="s">
        <v>1981</v>
      </c>
      <c r="DN486" s="497" t="s">
        <v>1982</v>
      </c>
      <c r="DP486" s="543">
        <v>1</v>
      </c>
    </row>
    <row r="487" spans="2:120" ht="15">
      <c r="B487" s="683"/>
      <c r="C487" s="683"/>
      <c r="D487" s="683"/>
      <c r="E487" s="683" cm="1">
        <f t="array" ref="E487">IF(H486&lt;&gt;"",E486,IF(E486="","",IFERROR(MATCH(TRUE(),INDEX(INDEX(K:K,E486+1):K203&lt;&gt;"",0),0)+E486,"")))</f>
        <v>628</v>
      </c>
      <c r="F487" s="684" cm="1">
        <f t="array" ref="F487">IF(E487="","",IF(H486&lt;&gt;"",H486,INDEX(D:D,E487)))</f>
        <v>0</v>
      </c>
      <c r="G487" s="684" t="str">
        <f t="shared" si="54"/>
        <v>0</v>
      </c>
      <c r="H487" s="685" t="str">
        <f t="shared" si="55"/>
        <v/>
      </c>
      <c r="I487" s="683" t="str">
        <f>IF(AND(F487&lt;&gt;"",N10&gt;0,M487&gt;N10),"Mot &gt; limite","")</f>
        <v/>
      </c>
      <c r="M487" s="638">
        <f>IF(OR(F487="",N10="",N10&lt;=0),"",IF(LEN(F487)&lt;=N10,LEN(F487),IFERROR(FIND("♦",SUBSTITUTE(LEFT(F487,N10)," ","♦",LEN(LEFT(F487,N10))-LEN(SUBSTITUTE(LEFT(F487,N10)," ","")))),FIND(" ",F487&amp;" ",N10+1)-1)))</f>
        <v>1</v>
      </c>
      <c r="N487" s="686">
        <f t="shared" si="56"/>
        <v>470</v>
      </c>
      <c r="O487" s="663" t="str">
        <f t="shared" si="57"/>
        <v>0</v>
      </c>
      <c r="P487" s="686">
        <f t="shared" si="58"/>
        <v>1</v>
      </c>
      <c r="Q487" s="686">
        <f t="shared" si="59"/>
        <v>1</v>
      </c>
      <c r="DE487" s="494"/>
      <c r="DF487" s="496" t="s">
        <v>2061</v>
      </c>
      <c r="DG487" s="496" t="s">
        <v>8</v>
      </c>
      <c r="DH487" s="496" t="s">
        <v>689</v>
      </c>
      <c r="DI487" s="496" t="s">
        <v>2062</v>
      </c>
      <c r="DJ487" s="496" t="s">
        <v>1018</v>
      </c>
      <c r="DK487" s="496" t="s">
        <v>1085</v>
      </c>
      <c r="DL487" s="496" t="s">
        <v>2063</v>
      </c>
      <c r="DM487" s="496" t="s">
        <v>1087</v>
      </c>
      <c r="DN487" s="497" t="s">
        <v>1088</v>
      </c>
      <c r="DP487" s="543">
        <v>1</v>
      </c>
    </row>
    <row r="488" spans="2:120" ht="15">
      <c r="B488" s="683"/>
      <c r="C488" s="683"/>
      <c r="D488" s="683"/>
      <c r="E488" s="683" cm="1">
        <f t="array" ref="E488">IF(H487&lt;&gt;"",E487,IF(E487="","",IFERROR(MATCH(TRUE(),INDEX(INDEX(K:K,E487+1):K203&lt;&gt;"",0),0)+E487,"")))</f>
        <v>629</v>
      </c>
      <c r="F488" s="684" cm="1">
        <f t="array" ref="F488">IF(E488="","",IF(H487&lt;&gt;"",H487,INDEX(D:D,E488)))</f>
        <v>0</v>
      </c>
      <c r="G488" s="684" t="str">
        <f t="shared" si="54"/>
        <v>0</v>
      </c>
      <c r="H488" s="685" t="str">
        <f t="shared" si="55"/>
        <v/>
      </c>
      <c r="I488" s="683" t="str">
        <f>IF(AND(F488&lt;&gt;"",N10&gt;0,M488&gt;N10),"Mot &gt; limite","")</f>
        <v/>
      </c>
      <c r="M488" s="638">
        <f>IF(OR(F488="",N10="",N10&lt;=0),"",IF(LEN(F488)&lt;=N10,LEN(F488),IFERROR(FIND("♦",SUBSTITUTE(LEFT(F488,N10)," ","♦",LEN(LEFT(F488,N10))-LEN(SUBSTITUTE(LEFT(F488,N10)," ","")))),FIND(" ",F488&amp;" ",N10+1)-1)))</f>
        <v>1</v>
      </c>
      <c r="N488" s="686">
        <f t="shared" si="56"/>
        <v>471</v>
      </c>
      <c r="O488" s="663" t="str">
        <f t="shared" si="57"/>
        <v>0</v>
      </c>
      <c r="P488" s="686">
        <f t="shared" si="58"/>
        <v>1</v>
      </c>
      <c r="Q488" s="686">
        <f t="shared" si="59"/>
        <v>1</v>
      </c>
      <c r="DE488" s="494"/>
      <c r="DF488" s="496" t="s">
        <v>2064</v>
      </c>
      <c r="DG488" s="496" t="s">
        <v>8</v>
      </c>
      <c r="DH488" s="496" t="s">
        <v>689</v>
      </c>
      <c r="DI488" s="496" t="s">
        <v>134</v>
      </c>
      <c r="DJ488" s="496" t="s">
        <v>134</v>
      </c>
      <c r="DK488" s="496" t="s">
        <v>1554</v>
      </c>
      <c r="DL488" s="496" t="s">
        <v>1555</v>
      </c>
      <c r="DM488" s="496" t="s">
        <v>1981</v>
      </c>
      <c r="DN488" s="497" t="s">
        <v>1982</v>
      </c>
      <c r="DP488" s="543">
        <v>1</v>
      </c>
    </row>
    <row r="489" spans="2:120" ht="15">
      <c r="B489" s="683"/>
      <c r="C489" s="683"/>
      <c r="D489" s="683"/>
      <c r="E489" s="683" cm="1">
        <f t="array" ref="E489">IF(H488&lt;&gt;"",E488,IF(E488="","",IFERROR(MATCH(TRUE(),INDEX(INDEX(K:K,E488+1):K203&lt;&gt;"",0),0)+E488,"")))</f>
        <v>630</v>
      </c>
      <c r="F489" s="684" cm="1">
        <f t="array" ref="F489">IF(E489="","",IF(H488&lt;&gt;"",H488,INDEX(D:D,E489)))</f>
        <v>0</v>
      </c>
      <c r="G489" s="684" t="str">
        <f t="shared" si="54"/>
        <v>0</v>
      </c>
      <c r="H489" s="685" t="str">
        <f t="shared" si="55"/>
        <v/>
      </c>
      <c r="I489" s="683" t="str">
        <f>IF(AND(F489&lt;&gt;"",N10&gt;0,M489&gt;N10),"Mot &gt; limite","")</f>
        <v/>
      </c>
      <c r="M489" s="638">
        <f>IF(OR(F489="",N10="",N10&lt;=0),"",IF(LEN(F489)&lt;=N10,LEN(F489),IFERROR(FIND("♦",SUBSTITUTE(LEFT(F489,N10)," ","♦",LEN(LEFT(F489,N10))-LEN(SUBSTITUTE(LEFT(F489,N10)," ","")))),FIND(" ",F489&amp;" ",N10+1)-1)))</f>
        <v>1</v>
      </c>
      <c r="N489" s="686">
        <f t="shared" si="56"/>
        <v>472</v>
      </c>
      <c r="O489" s="663" t="str">
        <f t="shared" si="57"/>
        <v>0</v>
      </c>
      <c r="P489" s="686">
        <f t="shared" si="58"/>
        <v>1</v>
      </c>
      <c r="Q489" s="686">
        <f t="shared" si="59"/>
        <v>1</v>
      </c>
      <c r="DE489" s="494"/>
      <c r="DF489" s="496" t="s">
        <v>2065</v>
      </c>
      <c r="DG489" s="496" t="s">
        <v>8</v>
      </c>
      <c r="DH489" s="496" t="s">
        <v>689</v>
      </c>
      <c r="DI489" s="496" t="s">
        <v>2066</v>
      </c>
      <c r="DJ489" s="496" t="s">
        <v>2066</v>
      </c>
      <c r="DK489" s="496" t="s">
        <v>1554</v>
      </c>
      <c r="DL489" s="496" t="s">
        <v>1555</v>
      </c>
      <c r="DM489" s="496" t="s">
        <v>1981</v>
      </c>
      <c r="DN489" s="497" t="s">
        <v>1982</v>
      </c>
      <c r="DP489" s="543">
        <v>1</v>
      </c>
    </row>
    <row r="490" spans="2:120" ht="15">
      <c r="B490" s="683"/>
      <c r="C490" s="683"/>
      <c r="D490" s="683"/>
      <c r="E490" s="683" cm="1">
        <f t="array" ref="E490">IF(H489&lt;&gt;"",E489,IF(E489="","",IFERROR(MATCH(TRUE(),INDEX(INDEX(K:K,E489+1):K203&lt;&gt;"",0),0)+E489,"")))</f>
        <v>631</v>
      </c>
      <c r="F490" s="684" cm="1">
        <f t="array" ref="F490">IF(E490="","",IF(H489&lt;&gt;"",H489,INDEX(D:D,E490)))</f>
        <v>0</v>
      </c>
      <c r="G490" s="684" t="str">
        <f t="shared" si="54"/>
        <v>0</v>
      </c>
      <c r="H490" s="685" t="str">
        <f t="shared" si="55"/>
        <v/>
      </c>
      <c r="I490" s="683" t="str">
        <f>IF(AND(F490&lt;&gt;"",N10&gt;0,M490&gt;N10),"Mot &gt; limite","")</f>
        <v/>
      </c>
      <c r="M490" s="638">
        <f>IF(OR(F490="",N10="",N10&lt;=0),"",IF(LEN(F490)&lt;=N10,LEN(F490),IFERROR(FIND("♦",SUBSTITUTE(LEFT(F490,N10)," ","♦",LEN(LEFT(F490,N10))-LEN(SUBSTITUTE(LEFT(F490,N10)," ","")))),FIND(" ",F490&amp;" ",N10+1)-1)))</f>
        <v>1</v>
      </c>
      <c r="N490" s="686">
        <f t="shared" si="56"/>
        <v>473</v>
      </c>
      <c r="O490" s="663" t="str">
        <f t="shared" si="57"/>
        <v>0</v>
      </c>
      <c r="P490" s="686">
        <f t="shared" si="58"/>
        <v>1</v>
      </c>
      <c r="Q490" s="686">
        <f t="shared" si="59"/>
        <v>1</v>
      </c>
      <c r="DE490" s="494"/>
      <c r="DF490" s="496" t="s">
        <v>2067</v>
      </c>
      <c r="DG490" s="496" t="s">
        <v>8</v>
      </c>
      <c r="DH490" s="496" t="s">
        <v>689</v>
      </c>
      <c r="DI490" s="496" t="s">
        <v>2068</v>
      </c>
      <c r="DJ490" s="496" t="s">
        <v>2068</v>
      </c>
      <c r="DK490" s="496" t="s">
        <v>1554</v>
      </c>
      <c r="DL490" s="496" t="s">
        <v>1555</v>
      </c>
      <c r="DM490" s="496" t="s">
        <v>1981</v>
      </c>
      <c r="DN490" s="497" t="s">
        <v>1982</v>
      </c>
      <c r="DP490" s="543">
        <v>1</v>
      </c>
    </row>
    <row r="491" spans="2:120" ht="15">
      <c r="B491" s="683"/>
      <c r="C491" s="683"/>
      <c r="D491" s="683"/>
      <c r="E491" s="683" cm="1">
        <f t="array" ref="E491">IF(H490&lt;&gt;"",E490,IF(E490="","",IFERROR(MATCH(TRUE(),INDEX(INDEX(K:K,E490+1):K203&lt;&gt;"",0),0)+E490,"")))</f>
        <v>632</v>
      </c>
      <c r="F491" s="684" cm="1">
        <f t="array" ref="F491">IF(E491="","",IF(H490&lt;&gt;"",H490,INDEX(D:D,E491)))</f>
        <v>0</v>
      </c>
      <c r="G491" s="684" t="str">
        <f t="shared" si="54"/>
        <v>0</v>
      </c>
      <c r="H491" s="685" t="str">
        <f t="shared" si="55"/>
        <v/>
      </c>
      <c r="I491" s="683" t="str">
        <f>IF(AND(F491&lt;&gt;"",N10&gt;0,M491&gt;N10),"Mot &gt; limite","")</f>
        <v/>
      </c>
      <c r="M491" s="638">
        <f>IF(OR(F491="",N10="",N10&lt;=0),"",IF(LEN(F491)&lt;=N10,LEN(F491),IFERROR(FIND("♦",SUBSTITUTE(LEFT(F491,N10)," ","♦",LEN(LEFT(F491,N10))-LEN(SUBSTITUTE(LEFT(F491,N10)," ","")))),FIND(" ",F491&amp;" ",N10+1)-1)))</f>
        <v>1</v>
      </c>
      <c r="N491" s="686">
        <f t="shared" si="56"/>
        <v>474</v>
      </c>
      <c r="O491" s="663" t="str">
        <f t="shared" si="57"/>
        <v>0</v>
      </c>
      <c r="P491" s="686">
        <f t="shared" si="58"/>
        <v>1</v>
      </c>
      <c r="Q491" s="686">
        <f t="shared" si="59"/>
        <v>1</v>
      </c>
      <c r="DE491" s="494"/>
      <c r="DF491" s="496" t="s">
        <v>2069</v>
      </c>
      <c r="DG491" s="496" t="s">
        <v>8</v>
      </c>
      <c r="DH491" s="496" t="s">
        <v>689</v>
      </c>
      <c r="DI491" s="496" t="s">
        <v>2070</v>
      </c>
      <c r="DJ491" s="496" t="s">
        <v>2070</v>
      </c>
      <c r="DK491" s="496" t="s">
        <v>1554</v>
      </c>
      <c r="DL491" s="496" t="s">
        <v>1555</v>
      </c>
      <c r="DM491" s="496" t="s">
        <v>1981</v>
      </c>
      <c r="DN491" s="497" t="s">
        <v>1982</v>
      </c>
      <c r="DP491" s="543">
        <v>1</v>
      </c>
    </row>
    <row r="492" spans="2:120" ht="15">
      <c r="B492" s="683"/>
      <c r="C492" s="683"/>
      <c r="D492" s="683"/>
      <c r="E492" s="683" cm="1">
        <f t="array" ref="E492">IF(H491&lt;&gt;"",E491,IF(E491="","",IFERROR(MATCH(TRUE(),INDEX(INDEX(K:K,E491+1):K203&lt;&gt;"",0),0)+E491,"")))</f>
        <v>633</v>
      </c>
      <c r="F492" s="684" cm="1">
        <f t="array" ref="F492">IF(E492="","",IF(H491&lt;&gt;"",H491,INDEX(D:D,E492)))</f>
        <v>0</v>
      </c>
      <c r="G492" s="684" t="str">
        <f t="shared" si="54"/>
        <v>0</v>
      </c>
      <c r="H492" s="685" t="str">
        <f t="shared" si="55"/>
        <v/>
      </c>
      <c r="I492" s="683" t="str">
        <f>IF(AND(F492&lt;&gt;"",N10&gt;0,M492&gt;N10),"Mot &gt; limite","")</f>
        <v/>
      </c>
      <c r="M492" s="638">
        <f>IF(OR(F492="",N10="",N10&lt;=0),"",IF(LEN(F492)&lt;=N10,LEN(F492),IFERROR(FIND("♦",SUBSTITUTE(LEFT(F492,N10)," ","♦",LEN(LEFT(F492,N10))-LEN(SUBSTITUTE(LEFT(F492,N10)," ","")))),FIND(" ",F492&amp;" ",N10+1)-1)))</f>
        <v>1</v>
      </c>
      <c r="N492" s="686">
        <f t="shared" si="56"/>
        <v>475</v>
      </c>
      <c r="O492" s="663" t="str">
        <f t="shared" si="57"/>
        <v>0</v>
      </c>
      <c r="P492" s="686">
        <f t="shared" si="58"/>
        <v>1</v>
      </c>
      <c r="Q492" s="686">
        <f t="shared" si="59"/>
        <v>1</v>
      </c>
      <c r="DE492" s="494"/>
      <c r="DF492" s="496" t="s">
        <v>2071</v>
      </c>
      <c r="DG492" s="496" t="s">
        <v>8</v>
      </c>
      <c r="DH492" s="496" t="s">
        <v>689</v>
      </c>
      <c r="DI492" s="496" t="s">
        <v>2072</v>
      </c>
      <c r="DJ492" s="496" t="s">
        <v>2072</v>
      </c>
      <c r="DK492" s="496" t="s">
        <v>1554</v>
      </c>
      <c r="DL492" s="496" t="s">
        <v>1555</v>
      </c>
      <c r="DM492" s="496" t="s">
        <v>1981</v>
      </c>
      <c r="DN492" s="497" t="s">
        <v>1982</v>
      </c>
      <c r="DP492" s="543">
        <v>1</v>
      </c>
    </row>
    <row r="493" spans="2:120" ht="15">
      <c r="B493" s="683"/>
      <c r="C493" s="683"/>
      <c r="D493" s="683"/>
      <c r="E493" s="683" cm="1">
        <f t="array" ref="E493">IF(H492&lt;&gt;"",E492,IF(E492="","",IFERROR(MATCH(TRUE(),INDEX(INDEX(K:K,E492+1):K203&lt;&gt;"",0),0)+E492,"")))</f>
        <v>634</v>
      </c>
      <c r="F493" s="684" cm="1">
        <f t="array" ref="F493">IF(E493="","",IF(H492&lt;&gt;"",H492,INDEX(D:D,E493)))</f>
        <v>0</v>
      </c>
      <c r="G493" s="684" t="str">
        <f t="shared" si="54"/>
        <v>0</v>
      </c>
      <c r="H493" s="685" t="str">
        <f t="shared" si="55"/>
        <v/>
      </c>
      <c r="I493" s="683" t="str">
        <f>IF(AND(F493&lt;&gt;"",N10&gt;0,M493&gt;N10),"Mot &gt; limite","")</f>
        <v/>
      </c>
      <c r="M493" s="638">
        <f>IF(OR(F493="",N10="",N10&lt;=0),"",IF(LEN(F493)&lt;=N10,LEN(F493),IFERROR(FIND("♦",SUBSTITUTE(LEFT(F493,N10)," ","♦",LEN(LEFT(F493,N10))-LEN(SUBSTITUTE(LEFT(F493,N10)," ","")))),FIND(" ",F493&amp;" ",N10+1)-1)))</f>
        <v>1</v>
      </c>
      <c r="N493" s="686">
        <f t="shared" si="56"/>
        <v>476</v>
      </c>
      <c r="O493" s="663" t="str">
        <f t="shared" si="57"/>
        <v>0</v>
      </c>
      <c r="P493" s="686">
        <f t="shared" si="58"/>
        <v>1</v>
      </c>
      <c r="Q493" s="686">
        <f t="shared" si="59"/>
        <v>1</v>
      </c>
      <c r="DE493" s="494"/>
      <c r="DF493" s="496" t="s">
        <v>2073</v>
      </c>
      <c r="DG493" s="496" t="s">
        <v>8</v>
      </c>
      <c r="DH493" s="496" t="s">
        <v>689</v>
      </c>
      <c r="DI493" s="496" t="s">
        <v>2074</v>
      </c>
      <c r="DJ493" s="496" t="s">
        <v>2074</v>
      </c>
      <c r="DK493" s="496" t="s">
        <v>1554</v>
      </c>
      <c r="DL493" s="496" t="s">
        <v>1555</v>
      </c>
      <c r="DM493" s="496" t="s">
        <v>1981</v>
      </c>
      <c r="DN493" s="497" t="s">
        <v>1982</v>
      </c>
      <c r="DP493" s="543">
        <v>1</v>
      </c>
    </row>
    <row r="494" spans="2:120" ht="15">
      <c r="B494" s="683"/>
      <c r="C494" s="683"/>
      <c r="D494" s="683"/>
      <c r="E494" s="683" cm="1">
        <f t="array" ref="E494">IF(H493&lt;&gt;"",E493,IF(E493="","",IFERROR(MATCH(TRUE(),INDEX(INDEX(K:K,E493+1):K203&lt;&gt;"",0),0)+E493,"")))</f>
        <v>635</v>
      </c>
      <c r="F494" s="684" cm="1">
        <f t="array" ref="F494">IF(E494="","",IF(H493&lt;&gt;"",H493,INDEX(D:D,E494)))</f>
        <v>0</v>
      </c>
      <c r="G494" s="684" t="str">
        <f t="shared" si="54"/>
        <v>0</v>
      </c>
      <c r="H494" s="685" t="str">
        <f t="shared" si="55"/>
        <v/>
      </c>
      <c r="I494" s="683" t="str">
        <f>IF(AND(F494&lt;&gt;"",N10&gt;0,M494&gt;N10),"Mot &gt; limite","")</f>
        <v/>
      </c>
      <c r="M494" s="638">
        <f>IF(OR(F494="",N10="",N10&lt;=0),"",IF(LEN(F494)&lt;=N10,LEN(F494),IFERROR(FIND("♦",SUBSTITUTE(LEFT(F494,N10)," ","♦",LEN(LEFT(F494,N10))-LEN(SUBSTITUTE(LEFT(F494,N10)," ","")))),FIND(" ",F494&amp;" ",N10+1)-1)))</f>
        <v>1</v>
      </c>
      <c r="N494" s="686">
        <f t="shared" si="56"/>
        <v>477</v>
      </c>
      <c r="O494" s="663" t="str">
        <f t="shared" si="57"/>
        <v>0</v>
      </c>
      <c r="P494" s="686">
        <f t="shared" si="58"/>
        <v>1</v>
      </c>
      <c r="Q494" s="686">
        <f t="shared" si="59"/>
        <v>1</v>
      </c>
      <c r="DE494" s="494"/>
      <c r="DF494" s="496" t="s">
        <v>2075</v>
      </c>
      <c r="DG494" s="496" t="s">
        <v>8</v>
      </c>
      <c r="DH494" s="496" t="s">
        <v>689</v>
      </c>
      <c r="DI494" s="496" t="s">
        <v>2076</v>
      </c>
      <c r="DJ494" s="496" t="s">
        <v>2076</v>
      </c>
      <c r="DK494" s="496" t="s">
        <v>1554</v>
      </c>
      <c r="DL494" s="496" t="s">
        <v>1555</v>
      </c>
      <c r="DM494" s="496" t="s">
        <v>1981</v>
      </c>
      <c r="DN494" s="497" t="s">
        <v>1982</v>
      </c>
      <c r="DP494" s="543">
        <v>1</v>
      </c>
    </row>
    <row r="495" spans="2:120" ht="15">
      <c r="B495" s="683"/>
      <c r="C495" s="683"/>
      <c r="D495" s="683"/>
      <c r="E495" s="683" cm="1">
        <f t="array" ref="E495">IF(H494&lt;&gt;"",E494,IF(E494="","",IFERROR(MATCH(TRUE(),INDEX(INDEX(K:K,E494+1):K203&lt;&gt;"",0),0)+E494,"")))</f>
        <v>636</v>
      </c>
      <c r="F495" s="684" cm="1">
        <f t="array" ref="F495">IF(E495="","",IF(H494&lt;&gt;"",H494,INDEX(D:D,E495)))</f>
        <v>0</v>
      </c>
      <c r="G495" s="684" t="str">
        <f t="shared" si="54"/>
        <v>0</v>
      </c>
      <c r="H495" s="685" t="str">
        <f t="shared" si="55"/>
        <v/>
      </c>
      <c r="I495" s="683" t="str">
        <f>IF(AND(F495&lt;&gt;"",N10&gt;0,M495&gt;N10),"Mot &gt; limite","")</f>
        <v/>
      </c>
      <c r="M495" s="638">
        <f>IF(OR(F495="",N10="",N10&lt;=0),"",IF(LEN(F495)&lt;=N10,LEN(F495),IFERROR(FIND("♦",SUBSTITUTE(LEFT(F495,N10)," ","♦",LEN(LEFT(F495,N10))-LEN(SUBSTITUTE(LEFT(F495,N10)," ","")))),FIND(" ",F495&amp;" ",N10+1)-1)))</f>
        <v>1</v>
      </c>
      <c r="N495" s="686">
        <f t="shared" si="56"/>
        <v>478</v>
      </c>
      <c r="O495" s="663" t="str">
        <f t="shared" si="57"/>
        <v>0</v>
      </c>
      <c r="P495" s="686">
        <f t="shared" si="58"/>
        <v>1</v>
      </c>
      <c r="Q495" s="686">
        <f t="shared" si="59"/>
        <v>1</v>
      </c>
      <c r="DE495" s="494"/>
      <c r="DF495" s="496" t="s">
        <v>2077</v>
      </c>
      <c r="DG495" s="496" t="s">
        <v>8</v>
      </c>
      <c r="DH495" s="496" t="s">
        <v>689</v>
      </c>
      <c r="DI495" s="496" t="s">
        <v>2078</v>
      </c>
      <c r="DJ495" s="496" t="s">
        <v>2078</v>
      </c>
      <c r="DK495" s="496" t="s">
        <v>1151</v>
      </c>
      <c r="DL495" s="496" t="s">
        <v>1152</v>
      </c>
      <c r="DM495" s="496" t="s">
        <v>1087</v>
      </c>
      <c r="DN495" s="497" t="s">
        <v>1153</v>
      </c>
      <c r="DP495" s="543">
        <v>1</v>
      </c>
    </row>
    <row r="496" spans="2:120" ht="15">
      <c r="B496" s="683"/>
      <c r="C496" s="683"/>
      <c r="D496" s="683"/>
      <c r="E496" s="683" cm="1">
        <f t="array" ref="E496">IF(H495&lt;&gt;"",E495,IF(E495="","",IFERROR(MATCH(TRUE(),INDEX(INDEX(K:K,E495+1):K203&lt;&gt;"",0),0)+E495,"")))</f>
        <v>637</v>
      </c>
      <c r="F496" s="684" cm="1">
        <f t="array" ref="F496">IF(E496="","",IF(H495&lt;&gt;"",H495,INDEX(D:D,E496)))</f>
        <v>0</v>
      </c>
      <c r="G496" s="684" t="str">
        <f t="shared" si="54"/>
        <v>0</v>
      </c>
      <c r="H496" s="685" t="str">
        <f t="shared" si="55"/>
        <v/>
      </c>
      <c r="I496" s="683" t="str">
        <f>IF(AND(F496&lt;&gt;"",N10&gt;0,M496&gt;N10),"Mot &gt; limite","")</f>
        <v/>
      </c>
      <c r="M496" s="638">
        <f>IF(OR(F496="",N10="",N10&lt;=0),"",IF(LEN(F496)&lt;=N10,LEN(F496),IFERROR(FIND("♦",SUBSTITUTE(LEFT(F496,N10)," ","♦",LEN(LEFT(F496,N10))-LEN(SUBSTITUTE(LEFT(F496,N10)," ","")))),FIND(" ",F496&amp;" ",N10+1)-1)))</f>
        <v>1</v>
      </c>
      <c r="N496" s="686">
        <f t="shared" si="56"/>
        <v>479</v>
      </c>
      <c r="O496" s="663" t="str">
        <f t="shared" si="57"/>
        <v>0</v>
      </c>
      <c r="P496" s="686">
        <f t="shared" si="58"/>
        <v>1</v>
      </c>
      <c r="Q496" s="686">
        <f t="shared" si="59"/>
        <v>1</v>
      </c>
      <c r="DE496" s="494"/>
      <c r="DF496" s="496" t="s">
        <v>2079</v>
      </c>
      <c r="DG496" s="496" t="s">
        <v>8</v>
      </c>
      <c r="DH496" s="496" t="s">
        <v>689</v>
      </c>
      <c r="DI496" s="496" t="s">
        <v>355</v>
      </c>
      <c r="DJ496" s="496" t="s">
        <v>355</v>
      </c>
      <c r="DK496" s="496" t="s">
        <v>1151</v>
      </c>
      <c r="DL496" s="496" t="s">
        <v>1152</v>
      </c>
      <c r="DM496" s="496" t="s">
        <v>1087</v>
      </c>
      <c r="DN496" s="497" t="s">
        <v>1153</v>
      </c>
      <c r="DP496" s="543">
        <v>1</v>
      </c>
    </row>
    <row r="497" spans="2:120" ht="15">
      <c r="B497" s="683"/>
      <c r="C497" s="683"/>
      <c r="D497" s="683"/>
      <c r="E497" s="683" cm="1">
        <f t="array" ref="E497">IF(H496&lt;&gt;"",E496,IF(E496="","",IFERROR(MATCH(TRUE(),INDEX(INDEX(K:K,E496+1):K203&lt;&gt;"",0),0)+E496,"")))</f>
        <v>638</v>
      </c>
      <c r="F497" s="684" cm="1">
        <f t="array" ref="F497">IF(E497="","",IF(H496&lt;&gt;"",H496,INDEX(D:D,E497)))</f>
        <v>0</v>
      </c>
      <c r="G497" s="684" t="str">
        <f t="shared" si="54"/>
        <v>0</v>
      </c>
      <c r="H497" s="685" t="str">
        <f t="shared" si="55"/>
        <v/>
      </c>
      <c r="I497" s="683" t="str">
        <f>IF(AND(F497&lt;&gt;"",N10&gt;0,M497&gt;N10),"Mot &gt; limite","")</f>
        <v/>
      </c>
      <c r="M497" s="638">
        <f>IF(OR(F497="",N10="",N10&lt;=0),"",IF(LEN(F497)&lt;=N10,LEN(F497),IFERROR(FIND("♦",SUBSTITUTE(LEFT(F497,N10)," ","♦",LEN(LEFT(F497,N10))-LEN(SUBSTITUTE(LEFT(F497,N10)," ","")))),FIND(" ",F497&amp;" ",N10+1)-1)))</f>
        <v>1</v>
      </c>
      <c r="N497" s="686">
        <f t="shared" si="56"/>
        <v>480</v>
      </c>
      <c r="O497" s="663" t="str">
        <f t="shared" si="57"/>
        <v>0</v>
      </c>
      <c r="P497" s="686">
        <f t="shared" si="58"/>
        <v>1</v>
      </c>
      <c r="Q497" s="686">
        <f t="shared" si="59"/>
        <v>1</v>
      </c>
      <c r="DE497" s="494"/>
      <c r="DF497" s="496" t="s">
        <v>2080</v>
      </c>
      <c r="DG497" s="496" t="s">
        <v>8</v>
      </c>
      <c r="DH497" s="496" t="s">
        <v>689</v>
      </c>
      <c r="DI497" s="496" t="s">
        <v>2081</v>
      </c>
      <c r="DJ497" s="496" t="s">
        <v>2081</v>
      </c>
      <c r="DK497" s="496" t="s">
        <v>1554</v>
      </c>
      <c r="DL497" s="496" t="s">
        <v>1555</v>
      </c>
      <c r="DM497" s="496" t="s">
        <v>1981</v>
      </c>
      <c r="DN497" s="497" t="s">
        <v>1982</v>
      </c>
      <c r="DP497" s="543">
        <v>1</v>
      </c>
    </row>
    <row r="498" spans="2:120" ht="15">
      <c r="B498" s="683"/>
      <c r="C498" s="683"/>
      <c r="D498" s="683"/>
      <c r="E498" s="683" cm="1">
        <f t="array" ref="E498">IF(H497&lt;&gt;"",E497,IF(E497="","",IFERROR(MATCH(TRUE(),INDEX(INDEX(K:K,E497+1):K203&lt;&gt;"",0),0)+E497,"")))</f>
        <v>639</v>
      </c>
      <c r="F498" s="684" cm="1">
        <f t="array" ref="F498">IF(E498="","",IF(H497&lt;&gt;"",H497,INDEX(D:D,E498)))</f>
        <v>0</v>
      </c>
      <c r="G498" s="684" t="str">
        <f t="shared" si="54"/>
        <v>0</v>
      </c>
      <c r="H498" s="685" t="str">
        <f t="shared" si="55"/>
        <v/>
      </c>
      <c r="I498" s="683" t="str">
        <f>IF(AND(F498&lt;&gt;"",N10&gt;0,M498&gt;N10),"Mot &gt; limite","")</f>
        <v/>
      </c>
      <c r="M498" s="638">
        <f>IF(OR(F498="",N10="",N10&lt;=0),"",IF(LEN(F498)&lt;=N10,LEN(F498),IFERROR(FIND("♦",SUBSTITUTE(LEFT(F498,N10)," ","♦",LEN(LEFT(F498,N10))-LEN(SUBSTITUTE(LEFT(F498,N10)," ","")))),FIND(" ",F498&amp;" ",N10+1)-1)))</f>
        <v>1</v>
      </c>
      <c r="N498" s="686">
        <f t="shared" si="56"/>
        <v>481</v>
      </c>
      <c r="O498" s="663" t="str">
        <f t="shared" si="57"/>
        <v>0</v>
      </c>
      <c r="P498" s="686">
        <f t="shared" si="58"/>
        <v>1</v>
      </c>
      <c r="Q498" s="686">
        <f t="shared" si="59"/>
        <v>1</v>
      </c>
      <c r="DE498" s="494"/>
      <c r="DF498" s="496" t="s">
        <v>2082</v>
      </c>
      <c r="DG498" s="496" t="s">
        <v>8</v>
      </c>
      <c r="DH498" s="496" t="s">
        <v>689</v>
      </c>
      <c r="DI498" s="496" t="s">
        <v>2083</v>
      </c>
      <c r="DJ498" s="496" t="s">
        <v>2083</v>
      </c>
      <c r="DK498" s="496" t="s">
        <v>1554</v>
      </c>
      <c r="DL498" s="496" t="s">
        <v>1555</v>
      </c>
      <c r="DM498" s="496" t="s">
        <v>1981</v>
      </c>
      <c r="DN498" s="497" t="s">
        <v>1982</v>
      </c>
      <c r="DP498" s="543">
        <v>1</v>
      </c>
    </row>
    <row r="499" spans="2:120" ht="15">
      <c r="B499" s="683"/>
      <c r="C499" s="683"/>
      <c r="D499" s="683"/>
      <c r="E499" s="683" cm="1">
        <f t="array" ref="E499">IF(H498&lt;&gt;"",E498,IF(E498="","",IFERROR(MATCH(TRUE(),INDEX(INDEX(K:K,E498+1):K203&lt;&gt;"",0),0)+E498,"")))</f>
        <v>640</v>
      </c>
      <c r="F499" s="684" cm="1">
        <f t="array" ref="F499">IF(E499="","",IF(H498&lt;&gt;"",H498,INDEX(D:D,E499)))</f>
        <v>0</v>
      </c>
      <c r="G499" s="684" t="str">
        <f t="shared" si="54"/>
        <v>0</v>
      </c>
      <c r="H499" s="685" t="str">
        <f t="shared" si="55"/>
        <v/>
      </c>
      <c r="I499" s="683" t="str">
        <f>IF(AND(F499&lt;&gt;"",N10&gt;0,M499&gt;N10),"Mot &gt; limite","")</f>
        <v/>
      </c>
      <c r="M499" s="638">
        <f>IF(OR(F499="",N10="",N10&lt;=0),"",IF(LEN(F499)&lt;=N10,LEN(F499),IFERROR(FIND("♦",SUBSTITUTE(LEFT(F499,N10)," ","♦",LEN(LEFT(F499,N10))-LEN(SUBSTITUTE(LEFT(F499,N10)," ","")))),FIND(" ",F499&amp;" ",N10+1)-1)))</f>
        <v>1</v>
      </c>
      <c r="N499" s="686">
        <f t="shared" si="56"/>
        <v>482</v>
      </c>
      <c r="O499" s="663" t="str">
        <f t="shared" si="57"/>
        <v>0</v>
      </c>
      <c r="P499" s="686">
        <f t="shared" si="58"/>
        <v>1</v>
      </c>
      <c r="Q499" s="686">
        <f t="shared" si="59"/>
        <v>1</v>
      </c>
      <c r="DE499" s="494"/>
      <c r="DF499" s="496" t="s">
        <v>2084</v>
      </c>
      <c r="DG499" s="496" t="s">
        <v>8</v>
      </c>
      <c r="DH499" s="496" t="s">
        <v>689</v>
      </c>
      <c r="DI499" s="496" t="s">
        <v>1019</v>
      </c>
      <c r="DJ499" s="496" t="s">
        <v>1019</v>
      </c>
      <c r="DK499" s="496" t="s">
        <v>1554</v>
      </c>
      <c r="DL499" s="496" t="s">
        <v>1555</v>
      </c>
      <c r="DM499" s="496" t="s">
        <v>1981</v>
      </c>
      <c r="DN499" s="497" t="s">
        <v>1982</v>
      </c>
      <c r="DP499" s="543">
        <v>1</v>
      </c>
    </row>
    <row r="500" spans="2:120" ht="15">
      <c r="B500" s="683"/>
      <c r="C500" s="683"/>
      <c r="D500" s="683"/>
      <c r="E500" s="683" cm="1">
        <f t="array" ref="E500">IF(H499&lt;&gt;"",E499,IF(E499="","",IFERROR(MATCH(TRUE(),INDEX(INDEX(K:K,E499+1):K203&lt;&gt;"",0),0)+E499,"")))</f>
        <v>641</v>
      </c>
      <c r="F500" s="684" cm="1">
        <f t="array" ref="F500">IF(E500="","",IF(H499&lt;&gt;"",H499,INDEX(D:D,E500)))</f>
        <v>0</v>
      </c>
      <c r="G500" s="684" t="str">
        <f t="shared" si="54"/>
        <v>0</v>
      </c>
      <c r="H500" s="685" t="str">
        <f t="shared" si="55"/>
        <v/>
      </c>
      <c r="I500" s="683" t="str">
        <f>IF(AND(F500&lt;&gt;"",N10&gt;0,M500&gt;N10),"Mot &gt; limite","")</f>
        <v/>
      </c>
      <c r="M500" s="638">
        <f>IF(OR(F500="",N10="",N10&lt;=0),"",IF(LEN(F500)&lt;=N10,LEN(F500),IFERROR(FIND("♦",SUBSTITUTE(LEFT(F500,N10)," ","♦",LEN(LEFT(F500,N10))-LEN(SUBSTITUTE(LEFT(F500,N10)," ","")))),FIND(" ",F500&amp;" ",N10+1)-1)))</f>
        <v>1</v>
      </c>
      <c r="N500" s="686">
        <f t="shared" si="56"/>
        <v>483</v>
      </c>
      <c r="O500" s="663" t="str">
        <f t="shared" si="57"/>
        <v>0</v>
      </c>
      <c r="P500" s="686">
        <f t="shared" si="58"/>
        <v>1</v>
      </c>
      <c r="Q500" s="686">
        <f t="shared" si="59"/>
        <v>1</v>
      </c>
      <c r="DE500" s="494"/>
      <c r="DF500" s="496" t="s">
        <v>2085</v>
      </c>
      <c r="DG500" s="496" t="s">
        <v>8</v>
      </c>
      <c r="DH500" s="496" t="s">
        <v>689</v>
      </c>
      <c r="DI500" s="496" t="s">
        <v>2086</v>
      </c>
      <c r="DJ500" s="496" t="s">
        <v>2086</v>
      </c>
      <c r="DK500" s="496" t="s">
        <v>1554</v>
      </c>
      <c r="DL500" s="496" t="s">
        <v>1555</v>
      </c>
      <c r="DM500" s="496" t="s">
        <v>1981</v>
      </c>
      <c r="DN500" s="497" t="s">
        <v>1982</v>
      </c>
      <c r="DP500" s="543">
        <v>1</v>
      </c>
    </row>
    <row r="501" spans="2:120" ht="15">
      <c r="B501" s="683"/>
      <c r="C501" s="683"/>
      <c r="D501" s="683"/>
      <c r="E501" s="683" cm="1">
        <f t="array" ref="E501">IF(H500&lt;&gt;"",E500,IF(E500="","",IFERROR(MATCH(TRUE(),INDEX(INDEX(K:K,E500+1):K203&lt;&gt;"",0),0)+E500,"")))</f>
        <v>642</v>
      </c>
      <c r="F501" s="684" cm="1">
        <f t="array" ref="F501">IF(E501="","",IF(H500&lt;&gt;"",H500,INDEX(D:D,E501)))</f>
        <v>0</v>
      </c>
      <c r="G501" s="684" t="str">
        <f t="shared" si="54"/>
        <v>0</v>
      </c>
      <c r="H501" s="685" t="str">
        <f t="shared" si="55"/>
        <v/>
      </c>
      <c r="I501" s="683" t="str">
        <f>IF(AND(F501&lt;&gt;"",N10&gt;0,M501&gt;N10),"Mot &gt; limite","")</f>
        <v/>
      </c>
      <c r="M501" s="638">
        <f>IF(OR(F501="",N10="",N10&lt;=0),"",IF(LEN(F501)&lt;=N10,LEN(F501),IFERROR(FIND("♦",SUBSTITUTE(LEFT(F501,N10)," ","♦",LEN(LEFT(F501,N10))-LEN(SUBSTITUTE(LEFT(F501,N10)," ","")))),FIND(" ",F501&amp;" ",N10+1)-1)))</f>
        <v>1</v>
      </c>
      <c r="N501" s="686">
        <f t="shared" si="56"/>
        <v>484</v>
      </c>
      <c r="O501" s="663" t="str">
        <f t="shared" si="57"/>
        <v>0</v>
      </c>
      <c r="P501" s="686">
        <f t="shared" si="58"/>
        <v>1</v>
      </c>
      <c r="Q501" s="686">
        <f t="shared" si="59"/>
        <v>1</v>
      </c>
      <c r="DE501" s="494"/>
      <c r="DF501" s="496" t="s">
        <v>2087</v>
      </c>
      <c r="DG501" s="496" t="s">
        <v>8</v>
      </c>
      <c r="DH501" s="496" t="s">
        <v>689</v>
      </c>
      <c r="DI501" s="496" t="s">
        <v>2088</v>
      </c>
      <c r="DJ501" s="496" t="s">
        <v>2088</v>
      </c>
      <c r="DK501" s="496" t="s">
        <v>1554</v>
      </c>
      <c r="DL501" s="496" t="s">
        <v>1555</v>
      </c>
      <c r="DM501" s="496" t="s">
        <v>1981</v>
      </c>
      <c r="DN501" s="497" t="s">
        <v>1982</v>
      </c>
      <c r="DP501" s="543">
        <v>1</v>
      </c>
    </row>
    <row r="502" spans="2:120" ht="15">
      <c r="B502" s="683"/>
      <c r="C502" s="683"/>
      <c r="D502" s="683"/>
      <c r="E502" s="683" cm="1">
        <f t="array" ref="E502">IF(H501&lt;&gt;"",E501,IF(E501="","",IFERROR(MATCH(TRUE(),INDEX(INDEX(K:K,E501+1):K203&lt;&gt;"",0),0)+E501,"")))</f>
        <v>643</v>
      </c>
      <c r="F502" s="684" cm="1">
        <f t="array" ref="F502">IF(E502="","",IF(H501&lt;&gt;"",H501,INDEX(D:D,E502)))</f>
        <v>0</v>
      </c>
      <c r="G502" s="684" t="str">
        <f t="shared" si="54"/>
        <v>0</v>
      </c>
      <c r="H502" s="685" t="str">
        <f t="shared" si="55"/>
        <v/>
      </c>
      <c r="I502" s="683" t="str">
        <f>IF(AND(F502&lt;&gt;"",N10&gt;0,M502&gt;N10),"Mot &gt; limite","")</f>
        <v/>
      </c>
      <c r="M502" s="638">
        <f>IF(OR(F502="",N10="",N10&lt;=0),"",IF(LEN(F502)&lt;=N10,LEN(F502),IFERROR(FIND("♦",SUBSTITUTE(LEFT(F502,N10)," ","♦",LEN(LEFT(F502,N10))-LEN(SUBSTITUTE(LEFT(F502,N10)," ","")))),FIND(" ",F502&amp;" ",N10+1)-1)))</f>
        <v>1</v>
      </c>
      <c r="N502" s="686">
        <f t="shared" si="56"/>
        <v>485</v>
      </c>
      <c r="O502" s="663" t="str">
        <f t="shared" si="57"/>
        <v>0</v>
      </c>
      <c r="P502" s="686">
        <f t="shared" si="58"/>
        <v>1</v>
      </c>
      <c r="Q502" s="686">
        <f t="shared" si="59"/>
        <v>1</v>
      </c>
      <c r="DE502" s="494"/>
      <c r="DF502" s="496" t="s">
        <v>2089</v>
      </c>
      <c r="DG502" s="496" t="s">
        <v>8</v>
      </c>
      <c r="DH502" s="496" t="s">
        <v>689</v>
      </c>
      <c r="DI502" s="496" t="s">
        <v>2090</v>
      </c>
      <c r="DJ502" s="496" t="s">
        <v>2090</v>
      </c>
      <c r="DK502" s="496" t="s">
        <v>1554</v>
      </c>
      <c r="DL502" s="496" t="s">
        <v>1555</v>
      </c>
      <c r="DM502" s="496" t="s">
        <v>1981</v>
      </c>
      <c r="DN502" s="497" t="s">
        <v>1982</v>
      </c>
      <c r="DP502" s="543">
        <v>1</v>
      </c>
    </row>
    <row r="503" spans="2:120" ht="15">
      <c r="B503" s="683"/>
      <c r="C503" s="683"/>
      <c r="D503" s="683"/>
      <c r="E503" s="683" cm="1">
        <f t="array" ref="E503">IF(H502&lt;&gt;"",E502,IF(E502="","",IFERROR(MATCH(TRUE(),INDEX(INDEX(K:K,E502+1):K203&lt;&gt;"",0),0)+E502,"")))</f>
        <v>644</v>
      </c>
      <c r="F503" s="684" cm="1">
        <f t="array" ref="F503">IF(E503="","",IF(H502&lt;&gt;"",H502,INDEX(D:D,E503)))</f>
        <v>0</v>
      </c>
      <c r="G503" s="684" t="str">
        <f t="shared" si="54"/>
        <v>0</v>
      </c>
      <c r="H503" s="685" t="str">
        <f t="shared" si="55"/>
        <v/>
      </c>
      <c r="I503" s="683" t="str">
        <f>IF(AND(F503&lt;&gt;"",N10&gt;0,M503&gt;N10),"Mot &gt; limite","")</f>
        <v/>
      </c>
      <c r="M503" s="638">
        <f>IF(OR(F503="",N10="",N10&lt;=0),"",IF(LEN(F503)&lt;=N10,LEN(F503),IFERROR(FIND("♦",SUBSTITUTE(LEFT(F503,N10)," ","♦",LEN(LEFT(F503,N10))-LEN(SUBSTITUTE(LEFT(F503,N10)," ","")))),FIND(" ",F503&amp;" ",N10+1)-1)))</f>
        <v>1</v>
      </c>
      <c r="N503" s="686">
        <f t="shared" si="56"/>
        <v>486</v>
      </c>
      <c r="O503" s="663" t="str">
        <f t="shared" si="57"/>
        <v>0</v>
      </c>
      <c r="P503" s="686">
        <f t="shared" si="58"/>
        <v>1</v>
      </c>
      <c r="Q503" s="686">
        <f t="shared" si="59"/>
        <v>1</v>
      </c>
      <c r="DE503" s="494"/>
      <c r="DF503" s="496" t="s">
        <v>2091</v>
      </c>
      <c r="DG503" s="496" t="s">
        <v>8</v>
      </c>
      <c r="DH503" s="496" t="s">
        <v>689</v>
      </c>
      <c r="DI503" s="496" t="s">
        <v>2092</v>
      </c>
      <c r="DJ503" s="496" t="s">
        <v>2092</v>
      </c>
      <c r="DK503" s="496" t="s">
        <v>1554</v>
      </c>
      <c r="DL503" s="496" t="s">
        <v>1555</v>
      </c>
      <c r="DM503" s="496" t="s">
        <v>1981</v>
      </c>
      <c r="DN503" s="497" t="s">
        <v>1982</v>
      </c>
      <c r="DP503" s="543">
        <v>1</v>
      </c>
    </row>
    <row r="504" spans="2:120" ht="15">
      <c r="B504" s="683"/>
      <c r="C504" s="683"/>
      <c r="D504" s="683"/>
      <c r="E504" s="683" cm="1">
        <f t="array" ref="E504">IF(H503&lt;&gt;"",E503,IF(E503="","",IFERROR(MATCH(TRUE(),INDEX(INDEX(K:K,E503+1):K203&lt;&gt;"",0),0)+E503,"")))</f>
        <v>645</v>
      </c>
      <c r="F504" s="684" cm="1">
        <f t="array" ref="F504">IF(E504="","",IF(H503&lt;&gt;"",H503,INDEX(D:D,E504)))</f>
        <v>0</v>
      </c>
      <c r="G504" s="684" t="str">
        <f t="shared" si="54"/>
        <v>0</v>
      </c>
      <c r="H504" s="685" t="str">
        <f t="shared" si="55"/>
        <v/>
      </c>
      <c r="I504" s="683" t="str">
        <f>IF(AND(F504&lt;&gt;"",N10&gt;0,M504&gt;N10),"Mot &gt; limite","")</f>
        <v/>
      </c>
      <c r="M504" s="638">
        <f>IF(OR(F504="",N10="",N10&lt;=0),"",IF(LEN(F504)&lt;=N10,LEN(F504),IFERROR(FIND("♦",SUBSTITUTE(LEFT(F504,N10)," ","♦",LEN(LEFT(F504,N10))-LEN(SUBSTITUTE(LEFT(F504,N10)," ","")))),FIND(" ",F504&amp;" ",N10+1)-1)))</f>
        <v>1</v>
      </c>
      <c r="N504" s="686">
        <f t="shared" si="56"/>
        <v>487</v>
      </c>
      <c r="O504" s="663" t="str">
        <f t="shared" si="57"/>
        <v>0</v>
      </c>
      <c r="P504" s="686">
        <f t="shared" si="58"/>
        <v>1</v>
      </c>
      <c r="Q504" s="686">
        <f t="shared" si="59"/>
        <v>1</v>
      </c>
      <c r="DE504" s="494"/>
      <c r="DF504" s="496" t="s">
        <v>2093</v>
      </c>
      <c r="DG504" s="496" t="s">
        <v>8</v>
      </c>
      <c r="DH504" s="496" t="s">
        <v>689</v>
      </c>
      <c r="DI504" s="496" t="s">
        <v>2094</v>
      </c>
      <c r="DJ504" s="496" t="s">
        <v>2094</v>
      </c>
      <c r="DK504" s="496" t="s">
        <v>1554</v>
      </c>
      <c r="DL504" s="496" t="s">
        <v>1555</v>
      </c>
      <c r="DM504" s="496" t="s">
        <v>1981</v>
      </c>
      <c r="DN504" s="497" t="s">
        <v>1982</v>
      </c>
      <c r="DP504" s="543">
        <v>1</v>
      </c>
    </row>
    <row r="505" spans="2:120" ht="15">
      <c r="B505" s="683"/>
      <c r="C505" s="683"/>
      <c r="D505" s="683"/>
      <c r="E505" s="683" cm="1">
        <f t="array" ref="E505">IF(H504&lt;&gt;"",E504,IF(E504="","",IFERROR(MATCH(TRUE(),INDEX(INDEX(K:K,E504+1):K203&lt;&gt;"",0),0)+E504,"")))</f>
        <v>646</v>
      </c>
      <c r="F505" s="684" cm="1">
        <f t="array" ref="F505">IF(E505="","",IF(H504&lt;&gt;"",H504,INDEX(D:D,E505)))</f>
        <v>0</v>
      </c>
      <c r="G505" s="684" t="str">
        <f t="shared" si="54"/>
        <v>0</v>
      </c>
      <c r="H505" s="685" t="str">
        <f t="shared" si="55"/>
        <v/>
      </c>
      <c r="I505" s="683" t="str">
        <f>IF(AND(F505&lt;&gt;"",N10&gt;0,M505&gt;N10),"Mot &gt; limite","")</f>
        <v/>
      </c>
      <c r="M505" s="638">
        <f>IF(OR(F505="",N10="",N10&lt;=0),"",IF(LEN(F505)&lt;=N10,LEN(F505),IFERROR(FIND("♦",SUBSTITUTE(LEFT(F505,N10)," ","♦",LEN(LEFT(F505,N10))-LEN(SUBSTITUTE(LEFT(F505,N10)," ","")))),FIND(" ",F505&amp;" ",N10+1)-1)))</f>
        <v>1</v>
      </c>
      <c r="N505" s="686">
        <f t="shared" si="56"/>
        <v>488</v>
      </c>
      <c r="O505" s="663" t="str">
        <f t="shared" si="57"/>
        <v>0</v>
      </c>
      <c r="P505" s="686">
        <f t="shared" si="58"/>
        <v>1</v>
      </c>
      <c r="Q505" s="686">
        <f t="shared" si="59"/>
        <v>1</v>
      </c>
      <c r="DE505" s="494"/>
      <c r="DF505" s="496" t="s">
        <v>2095</v>
      </c>
      <c r="DG505" s="496" t="s">
        <v>8</v>
      </c>
      <c r="DH505" s="496" t="s">
        <v>689</v>
      </c>
      <c r="DI505" s="496" t="s">
        <v>2096</v>
      </c>
      <c r="DJ505" s="496" t="s">
        <v>2096</v>
      </c>
      <c r="DK505" s="496" t="s">
        <v>1554</v>
      </c>
      <c r="DL505" s="496" t="s">
        <v>1555</v>
      </c>
      <c r="DM505" s="496" t="s">
        <v>1981</v>
      </c>
      <c r="DN505" s="497" t="s">
        <v>1982</v>
      </c>
      <c r="DP505" s="543">
        <v>1</v>
      </c>
    </row>
    <row r="506" spans="2:120" ht="15">
      <c r="B506" s="683"/>
      <c r="C506" s="683"/>
      <c r="D506" s="683"/>
      <c r="E506" s="683" cm="1">
        <f t="array" ref="E506">IF(H505&lt;&gt;"",E505,IF(E505="","",IFERROR(MATCH(TRUE(),INDEX(INDEX(K:K,E505+1):K203&lt;&gt;"",0),0)+E505,"")))</f>
        <v>647</v>
      </c>
      <c r="F506" s="684" cm="1">
        <f t="array" ref="F506">IF(E506="","",IF(H505&lt;&gt;"",H505,INDEX(D:D,E506)))</f>
        <v>0</v>
      </c>
      <c r="G506" s="684" t="str">
        <f t="shared" si="54"/>
        <v>0</v>
      </c>
      <c r="H506" s="685" t="str">
        <f t="shared" si="55"/>
        <v/>
      </c>
      <c r="I506" s="683" t="str">
        <f>IF(AND(F506&lt;&gt;"",N10&gt;0,M506&gt;N10),"Mot &gt; limite","")</f>
        <v/>
      </c>
      <c r="M506" s="638">
        <f>IF(OR(F506="",N10="",N10&lt;=0),"",IF(LEN(F506)&lt;=N10,LEN(F506),IFERROR(FIND("♦",SUBSTITUTE(LEFT(F506,N10)," ","♦",LEN(LEFT(F506,N10))-LEN(SUBSTITUTE(LEFT(F506,N10)," ","")))),FIND(" ",F506&amp;" ",N10+1)-1)))</f>
        <v>1</v>
      </c>
      <c r="N506" s="686">
        <f t="shared" si="56"/>
        <v>489</v>
      </c>
      <c r="O506" s="663" t="str">
        <f t="shared" si="57"/>
        <v>0</v>
      </c>
      <c r="P506" s="686">
        <f t="shared" si="58"/>
        <v>1</v>
      </c>
      <c r="Q506" s="686">
        <f t="shared" si="59"/>
        <v>1</v>
      </c>
      <c r="DE506" s="494"/>
      <c r="DF506" s="496" t="s">
        <v>2097</v>
      </c>
      <c r="DG506" s="496" t="s">
        <v>8</v>
      </c>
      <c r="DH506" s="496" t="s">
        <v>689</v>
      </c>
      <c r="DI506" s="496" t="s">
        <v>2098</v>
      </c>
      <c r="DJ506" s="496" t="s">
        <v>2098</v>
      </c>
      <c r="DK506" s="496" t="s">
        <v>1554</v>
      </c>
      <c r="DL506" s="496" t="s">
        <v>1555</v>
      </c>
      <c r="DM506" s="496" t="s">
        <v>1981</v>
      </c>
      <c r="DN506" s="497" t="s">
        <v>1982</v>
      </c>
      <c r="DP506" s="543">
        <v>1</v>
      </c>
    </row>
    <row r="507" spans="2:120" ht="15">
      <c r="B507" s="683"/>
      <c r="C507" s="683"/>
      <c r="D507" s="683"/>
      <c r="E507" s="683" cm="1">
        <f t="array" ref="E507">IF(H506&lt;&gt;"",E506,IF(E506="","",IFERROR(MATCH(TRUE(),INDEX(INDEX(K:K,E506+1):K203&lt;&gt;"",0),0)+E506,"")))</f>
        <v>648</v>
      </c>
      <c r="F507" s="684" cm="1">
        <f t="array" ref="F507">IF(E507="","",IF(H506&lt;&gt;"",H506,INDEX(D:D,E507)))</f>
        <v>0</v>
      </c>
      <c r="G507" s="684" t="str">
        <f t="shared" si="54"/>
        <v>0</v>
      </c>
      <c r="H507" s="685" t="str">
        <f t="shared" si="55"/>
        <v/>
      </c>
      <c r="I507" s="683" t="str">
        <f>IF(AND(F507&lt;&gt;"",N10&gt;0,M507&gt;N10),"Mot &gt; limite","")</f>
        <v/>
      </c>
      <c r="M507" s="638">
        <f>IF(OR(F507="",N10="",N10&lt;=0),"",IF(LEN(F507)&lt;=N10,LEN(F507),IFERROR(FIND("♦",SUBSTITUTE(LEFT(F507,N10)," ","♦",LEN(LEFT(F507,N10))-LEN(SUBSTITUTE(LEFT(F507,N10)," ","")))),FIND(" ",F507&amp;" ",N10+1)-1)))</f>
        <v>1</v>
      </c>
      <c r="N507" s="686">
        <f t="shared" si="56"/>
        <v>490</v>
      </c>
      <c r="O507" s="663" t="str">
        <f t="shared" si="57"/>
        <v>0</v>
      </c>
      <c r="P507" s="686">
        <f t="shared" si="58"/>
        <v>1</v>
      </c>
      <c r="Q507" s="686">
        <f t="shared" si="59"/>
        <v>1</v>
      </c>
      <c r="DE507" s="494"/>
      <c r="DF507" s="496" t="s">
        <v>2099</v>
      </c>
      <c r="DG507" s="496" t="s">
        <v>8</v>
      </c>
      <c r="DH507" s="496" t="s">
        <v>689</v>
      </c>
      <c r="DI507" s="496" t="s">
        <v>2100</v>
      </c>
      <c r="DJ507" s="496" t="s">
        <v>2100</v>
      </c>
      <c r="DK507" s="496" t="s">
        <v>1554</v>
      </c>
      <c r="DL507" s="496" t="s">
        <v>1555</v>
      </c>
      <c r="DM507" s="496" t="s">
        <v>1981</v>
      </c>
      <c r="DN507" s="497" t="s">
        <v>1982</v>
      </c>
      <c r="DP507" s="543">
        <v>1</v>
      </c>
    </row>
    <row r="508" spans="2:120" ht="15">
      <c r="B508" s="683"/>
      <c r="C508" s="683"/>
      <c r="D508" s="683"/>
      <c r="E508" s="683" cm="1">
        <f t="array" ref="E508">IF(H507&lt;&gt;"",E507,IF(E507="","",IFERROR(MATCH(TRUE(),INDEX(INDEX(K:K,E507+1):K203&lt;&gt;"",0),0)+E507,"")))</f>
        <v>649</v>
      </c>
      <c r="F508" s="684" cm="1">
        <f t="array" ref="F508">IF(E508="","",IF(H507&lt;&gt;"",H507,INDEX(D:D,E508)))</f>
        <v>0</v>
      </c>
      <c r="G508" s="684" t="str">
        <f t="shared" si="54"/>
        <v>0</v>
      </c>
      <c r="H508" s="685" t="str">
        <f t="shared" si="55"/>
        <v/>
      </c>
      <c r="I508" s="683" t="str">
        <f>IF(AND(F508&lt;&gt;"",N10&gt;0,M508&gt;N10),"Mot &gt; limite","")</f>
        <v/>
      </c>
      <c r="M508" s="638">
        <f>IF(OR(F508="",N10="",N10&lt;=0),"",IF(LEN(F508)&lt;=N10,LEN(F508),IFERROR(FIND("♦",SUBSTITUTE(LEFT(F508,N10)," ","♦",LEN(LEFT(F508,N10))-LEN(SUBSTITUTE(LEFT(F508,N10)," ","")))),FIND(" ",F508&amp;" ",N10+1)-1)))</f>
        <v>1</v>
      </c>
      <c r="N508" s="686">
        <f t="shared" si="56"/>
        <v>491</v>
      </c>
      <c r="O508" s="663" t="str">
        <f t="shared" si="57"/>
        <v>0</v>
      </c>
      <c r="P508" s="686">
        <f t="shared" si="58"/>
        <v>1</v>
      </c>
      <c r="Q508" s="686">
        <f t="shared" si="59"/>
        <v>1</v>
      </c>
      <c r="DE508" s="494"/>
      <c r="DF508" s="496" t="s">
        <v>2101</v>
      </c>
      <c r="DG508" s="496" t="s">
        <v>8</v>
      </c>
      <c r="DH508" s="496" t="s">
        <v>689</v>
      </c>
      <c r="DI508" s="496" t="s">
        <v>2102</v>
      </c>
      <c r="DJ508" s="496" t="s">
        <v>2102</v>
      </c>
      <c r="DK508" s="496" t="s">
        <v>1554</v>
      </c>
      <c r="DL508" s="496" t="s">
        <v>1555</v>
      </c>
      <c r="DM508" s="496" t="s">
        <v>1981</v>
      </c>
      <c r="DN508" s="497" t="s">
        <v>1982</v>
      </c>
      <c r="DP508" s="543">
        <v>1</v>
      </c>
    </row>
    <row r="509" spans="2:120" ht="15">
      <c r="B509" s="683"/>
      <c r="C509" s="683"/>
      <c r="D509" s="683"/>
      <c r="E509" s="683" cm="1">
        <f t="array" ref="E509">IF(H508&lt;&gt;"",E508,IF(E508="","",IFERROR(MATCH(TRUE(),INDEX(INDEX(K:K,E508+1):K203&lt;&gt;"",0),0)+E508,"")))</f>
        <v>650</v>
      </c>
      <c r="F509" s="684" cm="1">
        <f t="array" ref="F509">IF(E509="","",IF(H508&lt;&gt;"",H508,INDEX(D:D,E509)))</f>
        <v>0</v>
      </c>
      <c r="G509" s="684" t="str">
        <f t="shared" si="54"/>
        <v>0</v>
      </c>
      <c r="H509" s="685" t="str">
        <f t="shared" si="55"/>
        <v/>
      </c>
      <c r="I509" s="683" t="str">
        <f>IF(AND(F509&lt;&gt;"",N10&gt;0,M509&gt;N10),"Mot &gt; limite","")</f>
        <v/>
      </c>
      <c r="M509" s="638">
        <f>IF(OR(F509="",N10="",N10&lt;=0),"",IF(LEN(F509)&lt;=N10,LEN(F509),IFERROR(FIND("♦",SUBSTITUTE(LEFT(F509,N10)," ","♦",LEN(LEFT(F509,N10))-LEN(SUBSTITUTE(LEFT(F509,N10)," ","")))),FIND(" ",F509&amp;" ",N10+1)-1)))</f>
        <v>1</v>
      </c>
      <c r="N509" s="686">
        <f t="shared" si="56"/>
        <v>492</v>
      </c>
      <c r="O509" s="663" t="str">
        <f t="shared" si="57"/>
        <v>0</v>
      </c>
      <c r="P509" s="686">
        <f t="shared" si="58"/>
        <v>1</v>
      </c>
      <c r="Q509" s="686">
        <f t="shared" si="59"/>
        <v>1</v>
      </c>
      <c r="DE509" s="494"/>
      <c r="DF509" s="496" t="s">
        <v>2103</v>
      </c>
      <c r="DG509" s="496" t="s">
        <v>8</v>
      </c>
      <c r="DH509" s="496" t="s">
        <v>689</v>
      </c>
      <c r="DI509" s="496" t="s">
        <v>2104</v>
      </c>
      <c r="DJ509" s="496" t="s">
        <v>2104</v>
      </c>
      <c r="DK509" s="496" t="s">
        <v>1554</v>
      </c>
      <c r="DL509" s="496" t="s">
        <v>1555</v>
      </c>
      <c r="DM509" s="496" t="s">
        <v>1981</v>
      </c>
      <c r="DN509" s="497" t="s">
        <v>1982</v>
      </c>
      <c r="DP509" s="543">
        <v>1</v>
      </c>
    </row>
    <row r="510" spans="2:120" ht="15">
      <c r="B510" s="683"/>
      <c r="C510" s="683"/>
      <c r="D510" s="683"/>
      <c r="E510" s="683" cm="1">
        <f t="array" ref="E510">IF(H509&lt;&gt;"",E509,IF(E509="","",IFERROR(MATCH(TRUE(),INDEX(INDEX(K:K,E509+1):K203&lt;&gt;"",0),0)+E509,"")))</f>
        <v>651</v>
      </c>
      <c r="F510" s="684" cm="1">
        <f t="array" ref="F510">IF(E510="","",IF(H509&lt;&gt;"",H509,INDEX(D:D,E510)))</f>
        <v>0</v>
      </c>
      <c r="G510" s="684" t="str">
        <f t="shared" si="54"/>
        <v>0</v>
      </c>
      <c r="H510" s="685" t="str">
        <f t="shared" si="55"/>
        <v/>
      </c>
      <c r="I510" s="683" t="str">
        <f>IF(AND(F510&lt;&gt;"",N10&gt;0,M510&gt;N10),"Mot &gt; limite","")</f>
        <v/>
      </c>
      <c r="M510" s="638">
        <f>IF(OR(F510="",N10="",N10&lt;=0),"",IF(LEN(F510)&lt;=N10,LEN(F510),IFERROR(FIND("♦",SUBSTITUTE(LEFT(F510,N10)," ","♦",LEN(LEFT(F510,N10))-LEN(SUBSTITUTE(LEFT(F510,N10)," ","")))),FIND(" ",F510&amp;" ",N10+1)-1)))</f>
        <v>1</v>
      </c>
      <c r="N510" s="686">
        <f t="shared" si="56"/>
        <v>493</v>
      </c>
      <c r="O510" s="663" t="str">
        <f t="shared" si="57"/>
        <v>0</v>
      </c>
      <c r="P510" s="686">
        <f t="shared" si="58"/>
        <v>1</v>
      </c>
      <c r="Q510" s="686">
        <f t="shared" si="59"/>
        <v>1</v>
      </c>
      <c r="DE510" s="494"/>
      <c r="DF510" s="496" t="s">
        <v>2105</v>
      </c>
      <c r="DG510" s="496" t="s">
        <v>8</v>
      </c>
      <c r="DH510" s="496" t="s">
        <v>689</v>
      </c>
      <c r="DI510" s="496" t="s">
        <v>2106</v>
      </c>
      <c r="DJ510" s="496" t="s">
        <v>2106</v>
      </c>
      <c r="DK510" s="496" t="s">
        <v>1554</v>
      </c>
      <c r="DL510" s="496" t="s">
        <v>1555</v>
      </c>
      <c r="DM510" s="496" t="s">
        <v>1981</v>
      </c>
      <c r="DN510" s="497" t="s">
        <v>1982</v>
      </c>
      <c r="DP510" s="543">
        <v>1</v>
      </c>
    </row>
    <row r="511" spans="2:120" ht="15">
      <c r="B511" s="683"/>
      <c r="C511" s="683"/>
      <c r="D511" s="683"/>
      <c r="E511" s="683" cm="1">
        <f t="array" ref="E511">IF(H510&lt;&gt;"",E510,IF(E510="","",IFERROR(MATCH(TRUE(),INDEX(INDEX(K:K,E510+1):K203&lt;&gt;"",0),0)+E510,"")))</f>
        <v>652</v>
      </c>
      <c r="F511" s="684" cm="1">
        <f t="array" ref="F511">IF(E511="","",IF(H510&lt;&gt;"",H510,INDEX(D:D,E511)))</f>
        <v>0</v>
      </c>
      <c r="G511" s="684" t="str">
        <f t="shared" si="54"/>
        <v>0</v>
      </c>
      <c r="H511" s="685" t="str">
        <f t="shared" si="55"/>
        <v/>
      </c>
      <c r="I511" s="683" t="str">
        <f>IF(AND(F511&lt;&gt;"",N10&gt;0,M511&gt;N10),"Mot &gt; limite","")</f>
        <v/>
      </c>
      <c r="M511" s="638">
        <f>IF(OR(F511="",N10="",N10&lt;=0),"",IF(LEN(F511)&lt;=N10,LEN(F511),IFERROR(FIND("♦",SUBSTITUTE(LEFT(F511,N10)," ","♦",LEN(LEFT(F511,N10))-LEN(SUBSTITUTE(LEFT(F511,N10)," ","")))),FIND(" ",F511&amp;" ",N10+1)-1)))</f>
        <v>1</v>
      </c>
      <c r="N511" s="686">
        <f t="shared" si="56"/>
        <v>494</v>
      </c>
      <c r="O511" s="663" t="str">
        <f t="shared" si="57"/>
        <v>0</v>
      </c>
      <c r="P511" s="686">
        <f t="shared" si="58"/>
        <v>1</v>
      </c>
      <c r="Q511" s="686">
        <f t="shared" si="59"/>
        <v>1</v>
      </c>
      <c r="DE511" s="494"/>
      <c r="DF511" s="496" t="s">
        <v>2107</v>
      </c>
      <c r="DG511" s="496" t="s">
        <v>8</v>
      </c>
      <c r="DH511" s="496" t="s">
        <v>689</v>
      </c>
      <c r="DI511" s="496" t="s">
        <v>2108</v>
      </c>
      <c r="DJ511" s="496" t="s">
        <v>2108</v>
      </c>
      <c r="DK511" s="496" t="s">
        <v>1554</v>
      </c>
      <c r="DL511" s="496" t="s">
        <v>1555</v>
      </c>
      <c r="DM511" s="496" t="s">
        <v>1981</v>
      </c>
      <c r="DN511" s="497" t="s">
        <v>1982</v>
      </c>
      <c r="DP511" s="543">
        <v>1</v>
      </c>
    </row>
    <row r="512" spans="2:120" ht="15">
      <c r="B512" s="683"/>
      <c r="C512" s="683"/>
      <c r="D512" s="683"/>
      <c r="E512" s="683" cm="1">
        <f t="array" ref="E512">IF(H511&lt;&gt;"",E511,IF(E511="","",IFERROR(MATCH(TRUE(),INDEX(INDEX(K:K,E511+1):K203&lt;&gt;"",0),0)+E511,"")))</f>
        <v>653</v>
      </c>
      <c r="F512" s="684" cm="1">
        <f t="array" ref="F512">IF(E512="","",IF(H511&lt;&gt;"",H511,INDEX(D:D,E512)))</f>
        <v>0</v>
      </c>
      <c r="G512" s="684" t="str">
        <f t="shared" si="54"/>
        <v>0</v>
      </c>
      <c r="H512" s="685" t="str">
        <f t="shared" si="55"/>
        <v/>
      </c>
      <c r="I512" s="683" t="str">
        <f>IF(AND(F512&lt;&gt;"",N10&gt;0,M512&gt;N10),"Mot &gt; limite","")</f>
        <v/>
      </c>
      <c r="M512" s="638">
        <f>IF(OR(F512="",N10="",N10&lt;=0),"",IF(LEN(F512)&lt;=N10,LEN(F512),IFERROR(FIND("♦",SUBSTITUTE(LEFT(F512,N10)," ","♦",LEN(LEFT(F512,N10))-LEN(SUBSTITUTE(LEFT(F512,N10)," ","")))),FIND(" ",F512&amp;" ",N10+1)-1)))</f>
        <v>1</v>
      </c>
      <c r="N512" s="686">
        <f t="shared" si="56"/>
        <v>495</v>
      </c>
      <c r="O512" s="663" t="str">
        <f t="shared" si="57"/>
        <v>0</v>
      </c>
      <c r="P512" s="686">
        <f t="shared" si="58"/>
        <v>1</v>
      </c>
      <c r="Q512" s="686">
        <f t="shared" si="59"/>
        <v>1</v>
      </c>
      <c r="DE512" s="494"/>
      <c r="DF512" s="496" t="s">
        <v>2109</v>
      </c>
      <c r="DG512" s="496" t="s">
        <v>8</v>
      </c>
      <c r="DH512" s="496" t="s">
        <v>689</v>
      </c>
      <c r="DI512" s="496" t="s">
        <v>2110</v>
      </c>
      <c r="DJ512" s="496" t="s">
        <v>2110</v>
      </c>
      <c r="DK512" s="496" t="s">
        <v>1554</v>
      </c>
      <c r="DL512" s="496" t="s">
        <v>1555</v>
      </c>
      <c r="DM512" s="496" t="s">
        <v>1981</v>
      </c>
      <c r="DN512" s="497" t="s">
        <v>1982</v>
      </c>
      <c r="DP512" s="543">
        <v>1</v>
      </c>
    </row>
    <row r="513" spans="2:120" ht="15">
      <c r="B513" s="683"/>
      <c r="C513" s="683"/>
      <c r="D513" s="683"/>
      <c r="E513" s="683" cm="1">
        <f t="array" ref="E513">IF(H512&lt;&gt;"",E512,IF(E512="","",IFERROR(MATCH(TRUE(),INDEX(INDEX(K:K,E512+1):K203&lt;&gt;"",0),0)+E512,"")))</f>
        <v>654</v>
      </c>
      <c r="F513" s="684" cm="1">
        <f t="array" ref="F513">IF(E513="","",IF(H512&lt;&gt;"",H512,INDEX(D:D,E513)))</f>
        <v>0</v>
      </c>
      <c r="G513" s="684" t="str">
        <f t="shared" si="54"/>
        <v>0</v>
      </c>
      <c r="H513" s="685" t="str">
        <f t="shared" si="55"/>
        <v/>
      </c>
      <c r="I513" s="683" t="str">
        <f>IF(AND(F513&lt;&gt;"",N10&gt;0,M513&gt;N10),"Mot &gt; limite","")</f>
        <v/>
      </c>
      <c r="M513" s="638">
        <f>IF(OR(F513="",N10="",N10&lt;=0),"",IF(LEN(F513)&lt;=N10,LEN(F513),IFERROR(FIND("♦",SUBSTITUTE(LEFT(F513,N10)," ","♦",LEN(LEFT(F513,N10))-LEN(SUBSTITUTE(LEFT(F513,N10)," ","")))),FIND(" ",F513&amp;" ",N10+1)-1)))</f>
        <v>1</v>
      </c>
      <c r="N513" s="686">
        <f t="shared" si="56"/>
        <v>496</v>
      </c>
      <c r="O513" s="663" t="str">
        <f t="shared" si="57"/>
        <v>0</v>
      </c>
      <c r="P513" s="686">
        <f t="shared" si="58"/>
        <v>1</v>
      </c>
      <c r="Q513" s="686">
        <f t="shared" si="59"/>
        <v>1</v>
      </c>
      <c r="DE513" s="494"/>
      <c r="DF513" s="496" t="s">
        <v>2111</v>
      </c>
      <c r="DG513" s="496" t="s">
        <v>8</v>
      </c>
      <c r="DH513" s="496" t="s">
        <v>689</v>
      </c>
      <c r="DI513" s="496" t="s">
        <v>2112</v>
      </c>
      <c r="DJ513" s="496" t="s">
        <v>2112</v>
      </c>
      <c r="DK513" s="496" t="s">
        <v>1554</v>
      </c>
      <c r="DL513" s="496" t="s">
        <v>1555</v>
      </c>
      <c r="DM513" s="496" t="s">
        <v>1981</v>
      </c>
      <c r="DN513" s="497" t="s">
        <v>1982</v>
      </c>
      <c r="DP513" s="543">
        <v>1</v>
      </c>
    </row>
    <row r="514" spans="2:120" ht="15">
      <c r="B514" s="683"/>
      <c r="C514" s="683"/>
      <c r="D514" s="683"/>
      <c r="E514" s="683" cm="1">
        <f t="array" ref="E514">IF(H513&lt;&gt;"",E513,IF(E513="","",IFERROR(MATCH(TRUE(),INDEX(INDEX(K:K,E513+1):K203&lt;&gt;"",0),0)+E513,"")))</f>
        <v>655</v>
      </c>
      <c r="F514" s="684" cm="1">
        <f t="array" ref="F514">IF(E514="","",IF(H513&lt;&gt;"",H513,INDEX(D:D,E514)))</f>
        <v>0</v>
      </c>
      <c r="G514" s="684" t="str">
        <f t="shared" si="54"/>
        <v>0</v>
      </c>
      <c r="H514" s="685" t="str">
        <f t="shared" si="55"/>
        <v/>
      </c>
      <c r="I514" s="683" t="str">
        <f>IF(AND(F514&lt;&gt;"",N10&gt;0,M514&gt;N10),"Mot &gt; limite","")</f>
        <v/>
      </c>
      <c r="M514" s="638">
        <f>IF(OR(F514="",N10="",N10&lt;=0),"",IF(LEN(F514)&lt;=N10,LEN(F514),IFERROR(FIND("♦",SUBSTITUTE(LEFT(F514,N10)," ","♦",LEN(LEFT(F514,N10))-LEN(SUBSTITUTE(LEFT(F514,N10)," ","")))),FIND(" ",F514&amp;" ",N10+1)-1)))</f>
        <v>1</v>
      </c>
      <c r="N514" s="686">
        <f t="shared" si="56"/>
        <v>497</v>
      </c>
      <c r="O514" s="663" t="str">
        <f t="shared" si="57"/>
        <v>0</v>
      </c>
      <c r="P514" s="686">
        <f t="shared" si="58"/>
        <v>1</v>
      </c>
      <c r="Q514" s="686">
        <f t="shared" si="59"/>
        <v>1</v>
      </c>
      <c r="DE514" s="494"/>
      <c r="DF514" s="496" t="s">
        <v>2113</v>
      </c>
      <c r="DG514" s="496" t="s">
        <v>8</v>
      </c>
      <c r="DH514" s="496" t="s">
        <v>689</v>
      </c>
      <c r="DI514" s="496" t="s">
        <v>165</v>
      </c>
      <c r="DJ514" s="496" t="s">
        <v>165</v>
      </c>
      <c r="DK514" s="496" t="s">
        <v>1554</v>
      </c>
      <c r="DL514" s="496" t="s">
        <v>1555</v>
      </c>
      <c r="DM514" s="496" t="s">
        <v>1981</v>
      </c>
      <c r="DN514" s="497" t="s">
        <v>1982</v>
      </c>
      <c r="DP514" s="543">
        <v>1</v>
      </c>
    </row>
    <row r="515" spans="2:120" ht="15">
      <c r="B515" s="683"/>
      <c r="C515" s="683"/>
      <c r="D515" s="683"/>
      <c r="E515" s="683" cm="1">
        <f t="array" ref="E515">IF(H514&lt;&gt;"",E514,IF(E514="","",IFERROR(MATCH(TRUE(),INDEX(INDEX(K:K,E514+1):K203&lt;&gt;"",0),0)+E514,"")))</f>
        <v>656</v>
      </c>
      <c r="F515" s="684" cm="1">
        <f t="array" ref="F515">IF(E515="","",IF(H514&lt;&gt;"",H514,INDEX(D:D,E515)))</f>
        <v>0</v>
      </c>
      <c r="G515" s="684" t="str">
        <f t="shared" si="54"/>
        <v>0</v>
      </c>
      <c r="H515" s="685" t="str">
        <f t="shared" si="55"/>
        <v/>
      </c>
      <c r="I515" s="683" t="str">
        <f>IF(AND(F515&lt;&gt;"",N10&gt;0,M515&gt;N10),"Mot &gt; limite","")</f>
        <v/>
      </c>
      <c r="M515" s="638">
        <f>IF(OR(F515="",N10="",N10&lt;=0),"",IF(LEN(F515)&lt;=N10,LEN(F515),IFERROR(FIND("♦",SUBSTITUTE(LEFT(F515,N10)," ","♦",LEN(LEFT(F515,N10))-LEN(SUBSTITUTE(LEFT(F515,N10)," ","")))),FIND(" ",F515&amp;" ",N10+1)-1)))</f>
        <v>1</v>
      </c>
      <c r="N515" s="686">
        <f t="shared" si="56"/>
        <v>498</v>
      </c>
      <c r="O515" s="663" t="str">
        <f t="shared" si="57"/>
        <v>0</v>
      </c>
      <c r="P515" s="686">
        <f t="shared" si="58"/>
        <v>1</v>
      </c>
      <c r="Q515" s="686">
        <f t="shared" si="59"/>
        <v>1</v>
      </c>
      <c r="DE515" s="494"/>
      <c r="DF515" s="496" t="s">
        <v>2114</v>
      </c>
      <c r="DG515" s="496" t="s">
        <v>8</v>
      </c>
      <c r="DH515" s="496" t="s">
        <v>689</v>
      </c>
      <c r="DI515" s="496" t="s">
        <v>2115</v>
      </c>
      <c r="DJ515" s="496" t="s">
        <v>2115</v>
      </c>
      <c r="DK515" s="496" t="s">
        <v>1554</v>
      </c>
      <c r="DL515" s="496" t="s">
        <v>1555</v>
      </c>
      <c r="DM515" s="496" t="s">
        <v>1981</v>
      </c>
      <c r="DN515" s="497" t="s">
        <v>1982</v>
      </c>
      <c r="DP515" s="543">
        <v>1</v>
      </c>
    </row>
    <row r="516" spans="2:120" ht="15">
      <c r="B516" s="683"/>
      <c r="C516" s="683"/>
      <c r="D516" s="683"/>
      <c r="E516" s="683" cm="1">
        <f t="array" ref="E516">IF(H515&lt;&gt;"",E515,IF(E515="","",IFERROR(MATCH(TRUE(),INDEX(INDEX(K:K,E515+1):K203&lt;&gt;"",0),0)+E515,"")))</f>
        <v>657</v>
      </c>
      <c r="F516" s="684" cm="1">
        <f t="array" ref="F516">IF(E516="","",IF(H515&lt;&gt;"",H515,INDEX(D:D,E516)))</f>
        <v>0</v>
      </c>
      <c r="G516" s="684" t="str">
        <f t="shared" si="54"/>
        <v>0</v>
      </c>
      <c r="H516" s="685" t="str">
        <f t="shared" si="55"/>
        <v/>
      </c>
      <c r="I516" s="683" t="str">
        <f>IF(AND(F516&lt;&gt;"",N10&gt;0,M516&gt;N10),"Mot &gt; limite","")</f>
        <v/>
      </c>
      <c r="M516" s="638">
        <f>IF(OR(F516="",N10="",N10&lt;=0),"",IF(LEN(F516)&lt;=N10,LEN(F516),IFERROR(FIND("♦",SUBSTITUTE(LEFT(F516,N10)," ","♦",LEN(LEFT(F516,N10))-LEN(SUBSTITUTE(LEFT(F516,N10)," ","")))),FIND(" ",F516&amp;" ",N10+1)-1)))</f>
        <v>1</v>
      </c>
      <c r="N516" s="686">
        <f t="shared" si="56"/>
        <v>499</v>
      </c>
      <c r="O516" s="663" t="str">
        <f t="shared" si="57"/>
        <v>0</v>
      </c>
      <c r="P516" s="686">
        <f t="shared" si="58"/>
        <v>1</v>
      </c>
      <c r="Q516" s="686">
        <f t="shared" si="59"/>
        <v>1</v>
      </c>
      <c r="DE516" s="494"/>
      <c r="DF516" s="496" t="s">
        <v>2116</v>
      </c>
      <c r="DG516" s="496" t="s">
        <v>8</v>
      </c>
      <c r="DH516" s="496" t="s">
        <v>689</v>
      </c>
      <c r="DI516" s="496" t="s">
        <v>2117</v>
      </c>
      <c r="DJ516" s="496" t="s">
        <v>2117</v>
      </c>
      <c r="DK516" s="496" t="s">
        <v>1554</v>
      </c>
      <c r="DL516" s="496" t="s">
        <v>1555</v>
      </c>
      <c r="DM516" s="496" t="s">
        <v>1981</v>
      </c>
      <c r="DN516" s="497" t="s">
        <v>1982</v>
      </c>
      <c r="DP516" s="543">
        <v>1</v>
      </c>
    </row>
    <row r="517" spans="2:120" ht="15">
      <c r="B517" s="683"/>
      <c r="C517" s="683"/>
      <c r="D517" s="683"/>
      <c r="E517" s="683" cm="1">
        <f t="array" ref="E517">IF(H516&lt;&gt;"",E516,IF(E516="","",IFERROR(MATCH(TRUE(),INDEX(INDEX(K:K,E516+1):K203&lt;&gt;"",0),0)+E516,"")))</f>
        <v>658</v>
      </c>
      <c r="F517" s="684" cm="1">
        <f t="array" ref="F517">IF(E517="","",IF(H516&lt;&gt;"",H516,INDEX(D:D,E517)))</f>
        <v>0</v>
      </c>
      <c r="G517" s="684" t="str">
        <f t="shared" si="54"/>
        <v>0</v>
      </c>
      <c r="H517" s="685" t="str">
        <f t="shared" si="55"/>
        <v/>
      </c>
      <c r="I517" s="683" t="str">
        <f>IF(AND(F517&lt;&gt;"",N10&gt;0,M517&gt;N10),"Mot &gt; limite","")</f>
        <v/>
      </c>
      <c r="M517" s="638">
        <f>IF(OR(F517="",N10="",N10&lt;=0),"",IF(LEN(F517)&lt;=N10,LEN(F517),IFERROR(FIND("♦",SUBSTITUTE(LEFT(F517,N10)," ","♦",LEN(LEFT(F517,N10))-LEN(SUBSTITUTE(LEFT(F517,N10)," ","")))),FIND(" ",F517&amp;" ",N10+1)-1)))</f>
        <v>1</v>
      </c>
      <c r="N517" s="686">
        <f t="shared" si="56"/>
        <v>500</v>
      </c>
      <c r="O517" s="663" t="str">
        <f t="shared" si="57"/>
        <v>0</v>
      </c>
      <c r="P517" s="686">
        <f t="shared" si="58"/>
        <v>1</v>
      </c>
      <c r="Q517" s="686">
        <f t="shared" si="59"/>
        <v>1</v>
      </c>
      <c r="DE517" s="494"/>
      <c r="DF517" s="496" t="s">
        <v>2118</v>
      </c>
      <c r="DG517" s="496" t="s">
        <v>8</v>
      </c>
      <c r="DH517" s="496" t="s">
        <v>689</v>
      </c>
      <c r="DI517" s="496" t="s">
        <v>2119</v>
      </c>
      <c r="DJ517" s="496" t="s">
        <v>2119</v>
      </c>
      <c r="DK517" s="496" t="s">
        <v>1554</v>
      </c>
      <c r="DL517" s="496" t="s">
        <v>1555</v>
      </c>
      <c r="DM517" s="496" t="s">
        <v>1981</v>
      </c>
      <c r="DN517" s="497" t="s">
        <v>1982</v>
      </c>
      <c r="DP517" s="543">
        <v>1</v>
      </c>
    </row>
    <row r="518" spans="2:120" ht="15">
      <c r="B518" s="683"/>
      <c r="C518" s="683"/>
      <c r="D518" s="683"/>
      <c r="E518" s="683" cm="1">
        <f t="array" ref="E518">IF(H517&lt;&gt;"",E517,IF(E517="","",IFERROR(MATCH(TRUE(),INDEX(INDEX(K:K,E517+1):K203&lt;&gt;"",0),0)+E517,"")))</f>
        <v>659</v>
      </c>
      <c r="F518" s="684" cm="1">
        <f t="array" ref="F518">IF(E518="","",IF(H517&lt;&gt;"",H517,INDEX(D:D,E518)))</f>
        <v>0</v>
      </c>
      <c r="G518" s="684" t="str">
        <f t="shared" si="54"/>
        <v>0</v>
      </c>
      <c r="H518" s="685" t="str">
        <f t="shared" si="55"/>
        <v/>
      </c>
      <c r="I518" s="683" t="str">
        <f>IF(AND(F518&lt;&gt;"",N10&gt;0,M518&gt;N10),"Mot &gt; limite","")</f>
        <v/>
      </c>
      <c r="M518" s="638">
        <f>IF(OR(F518="",N10="",N10&lt;=0),"",IF(LEN(F518)&lt;=N10,LEN(F518),IFERROR(FIND("♦",SUBSTITUTE(LEFT(F518,N10)," ","♦",LEN(LEFT(F518,N10))-LEN(SUBSTITUTE(LEFT(F518,N10)," ","")))),FIND(" ",F518&amp;" ",N10+1)-1)))</f>
        <v>1</v>
      </c>
      <c r="N518" s="686">
        <f t="shared" si="56"/>
        <v>501</v>
      </c>
      <c r="O518" s="663" t="str">
        <f t="shared" si="57"/>
        <v>0</v>
      </c>
      <c r="P518" s="686">
        <f t="shared" si="58"/>
        <v>1</v>
      </c>
      <c r="Q518" s="686">
        <f t="shared" si="59"/>
        <v>1</v>
      </c>
      <c r="DE518" s="494"/>
      <c r="DF518" s="496" t="s">
        <v>2120</v>
      </c>
      <c r="DG518" s="496" t="s">
        <v>8</v>
      </c>
      <c r="DH518" s="496" t="s">
        <v>689</v>
      </c>
      <c r="DI518" s="496" t="s">
        <v>2121</v>
      </c>
      <c r="DJ518" s="496" t="s">
        <v>2121</v>
      </c>
      <c r="DK518" s="496" t="s">
        <v>1554</v>
      </c>
      <c r="DL518" s="496" t="s">
        <v>1555</v>
      </c>
      <c r="DM518" s="496" t="s">
        <v>1981</v>
      </c>
      <c r="DN518" s="497" t="s">
        <v>1982</v>
      </c>
      <c r="DP518" s="543">
        <v>1</v>
      </c>
    </row>
    <row r="519" spans="2:120" ht="15">
      <c r="B519" s="683"/>
      <c r="C519" s="683"/>
      <c r="D519" s="683"/>
      <c r="E519" s="683" cm="1">
        <f t="array" ref="E519">IF(H518&lt;&gt;"",E518,IF(E518="","",IFERROR(MATCH(TRUE(),INDEX(INDEX(K:K,E518+1):K203&lt;&gt;"",0),0)+E518,"")))</f>
        <v>660</v>
      </c>
      <c r="F519" s="684" cm="1">
        <f t="array" ref="F519">IF(E519="","",IF(H518&lt;&gt;"",H518,INDEX(D:D,E519)))</f>
        <v>0</v>
      </c>
      <c r="G519" s="684" t="str">
        <f t="shared" si="54"/>
        <v>0</v>
      </c>
      <c r="H519" s="685" t="str">
        <f t="shared" si="55"/>
        <v/>
      </c>
      <c r="I519" s="683" t="str">
        <f>IF(AND(F519&lt;&gt;"",N10&gt;0,M519&gt;N10),"Mot &gt; limite","")</f>
        <v/>
      </c>
      <c r="M519" s="638">
        <f>IF(OR(F519="",N10="",N10&lt;=0),"",IF(LEN(F519)&lt;=N10,LEN(F519),IFERROR(FIND("♦",SUBSTITUTE(LEFT(F519,N10)," ","♦",LEN(LEFT(F519,N10))-LEN(SUBSTITUTE(LEFT(F519,N10)," ","")))),FIND(" ",F519&amp;" ",N10+1)-1)))</f>
        <v>1</v>
      </c>
      <c r="N519" s="686">
        <f t="shared" si="56"/>
        <v>502</v>
      </c>
      <c r="O519" s="663" t="str">
        <f t="shared" si="57"/>
        <v>0</v>
      </c>
      <c r="P519" s="686">
        <f t="shared" si="58"/>
        <v>1</v>
      </c>
      <c r="Q519" s="686">
        <f t="shared" si="59"/>
        <v>1</v>
      </c>
      <c r="DE519" s="494"/>
      <c r="DF519" s="496" t="s">
        <v>2122</v>
      </c>
      <c r="DG519" s="496" t="s">
        <v>8</v>
      </c>
      <c r="DH519" s="496" t="s">
        <v>689</v>
      </c>
      <c r="DI519" s="496" t="s">
        <v>2123</v>
      </c>
      <c r="DJ519" s="496" t="s">
        <v>2123</v>
      </c>
      <c r="DK519" s="496" t="s">
        <v>1554</v>
      </c>
      <c r="DL519" s="496" t="s">
        <v>1555</v>
      </c>
      <c r="DM519" s="496" t="s">
        <v>1981</v>
      </c>
      <c r="DN519" s="497" t="s">
        <v>1982</v>
      </c>
      <c r="DP519" s="543">
        <v>1</v>
      </c>
    </row>
    <row r="520" spans="2:120" ht="15">
      <c r="B520" s="683"/>
      <c r="C520" s="683"/>
      <c r="D520" s="683"/>
      <c r="E520" s="683" cm="1">
        <f t="array" ref="E520">IF(H519&lt;&gt;"",E519,IF(E519="","",IFERROR(MATCH(TRUE(),INDEX(INDEX(K:K,E519+1):K203&lt;&gt;"",0),0)+E519,"")))</f>
        <v>661</v>
      </c>
      <c r="F520" s="684" cm="1">
        <f t="array" ref="F520">IF(E520="","",IF(H519&lt;&gt;"",H519,INDEX(D:D,E520)))</f>
        <v>0</v>
      </c>
      <c r="G520" s="684" t="str">
        <f t="shared" si="54"/>
        <v>0</v>
      </c>
      <c r="H520" s="685" t="str">
        <f t="shared" si="55"/>
        <v/>
      </c>
      <c r="I520" s="683" t="str">
        <f>IF(AND(F520&lt;&gt;"",N10&gt;0,M520&gt;N10),"Mot &gt; limite","")</f>
        <v/>
      </c>
      <c r="M520" s="638">
        <f>IF(OR(F520="",N10="",N10&lt;=0),"",IF(LEN(F520)&lt;=N10,LEN(F520),IFERROR(FIND("♦",SUBSTITUTE(LEFT(F520,N10)," ","♦",LEN(LEFT(F520,N10))-LEN(SUBSTITUTE(LEFT(F520,N10)," ","")))),FIND(" ",F520&amp;" ",N10+1)-1)))</f>
        <v>1</v>
      </c>
      <c r="N520" s="686">
        <f t="shared" si="56"/>
        <v>503</v>
      </c>
      <c r="O520" s="663" t="str">
        <f t="shared" si="57"/>
        <v>0</v>
      </c>
      <c r="P520" s="686">
        <f t="shared" si="58"/>
        <v>1</v>
      </c>
      <c r="Q520" s="686">
        <f t="shared" si="59"/>
        <v>1</v>
      </c>
      <c r="DE520" s="494"/>
      <c r="DF520" s="496" t="s">
        <v>2124</v>
      </c>
      <c r="DG520" s="496" t="s">
        <v>8</v>
      </c>
      <c r="DH520" s="496" t="s">
        <v>689</v>
      </c>
      <c r="DI520" s="496" t="s">
        <v>2125</v>
      </c>
      <c r="DJ520" s="496" t="s">
        <v>2125</v>
      </c>
      <c r="DK520" s="496" t="s">
        <v>1554</v>
      </c>
      <c r="DL520" s="496" t="s">
        <v>1555</v>
      </c>
      <c r="DM520" s="496" t="s">
        <v>1981</v>
      </c>
      <c r="DN520" s="497" t="s">
        <v>1982</v>
      </c>
      <c r="DP520" s="543">
        <v>1</v>
      </c>
    </row>
    <row r="521" spans="2:120" ht="15">
      <c r="B521" s="683"/>
      <c r="C521" s="683"/>
      <c r="D521" s="683"/>
      <c r="E521" s="683" cm="1">
        <f t="array" ref="E521">IF(H520&lt;&gt;"",E520,IF(E520="","",IFERROR(MATCH(TRUE(),INDEX(INDEX(K:K,E520+1):K203&lt;&gt;"",0),0)+E520,"")))</f>
        <v>662</v>
      </c>
      <c r="F521" s="684" cm="1">
        <f t="array" ref="F521">IF(E521="","",IF(H520&lt;&gt;"",H520,INDEX(D:D,E521)))</f>
        <v>0</v>
      </c>
      <c r="G521" s="684" t="str">
        <f t="shared" si="54"/>
        <v>0</v>
      </c>
      <c r="H521" s="685" t="str">
        <f t="shared" si="55"/>
        <v/>
      </c>
      <c r="I521" s="683" t="str">
        <f>IF(AND(F521&lt;&gt;"",N10&gt;0,M521&gt;N10),"Mot &gt; limite","")</f>
        <v/>
      </c>
      <c r="M521" s="638">
        <f>IF(OR(F521="",N10="",N10&lt;=0),"",IF(LEN(F521)&lt;=N10,LEN(F521),IFERROR(FIND("♦",SUBSTITUTE(LEFT(F521,N10)," ","♦",LEN(LEFT(F521,N10))-LEN(SUBSTITUTE(LEFT(F521,N10)," ","")))),FIND(" ",F521&amp;" ",N10+1)-1)))</f>
        <v>1</v>
      </c>
      <c r="N521" s="686">
        <f t="shared" si="56"/>
        <v>504</v>
      </c>
      <c r="O521" s="663" t="str">
        <f t="shared" si="57"/>
        <v>0</v>
      </c>
      <c r="P521" s="686">
        <f t="shared" si="58"/>
        <v>1</v>
      </c>
      <c r="Q521" s="686">
        <f t="shared" si="59"/>
        <v>1</v>
      </c>
      <c r="DE521" s="494"/>
      <c r="DF521" s="496" t="s">
        <v>2126</v>
      </c>
      <c r="DG521" s="496" t="s">
        <v>8</v>
      </c>
      <c r="DH521" s="496" t="s">
        <v>689</v>
      </c>
      <c r="DI521" s="496" t="s">
        <v>2127</v>
      </c>
      <c r="DJ521" s="496" t="s">
        <v>2127</v>
      </c>
      <c r="DK521" s="496" t="s">
        <v>1554</v>
      </c>
      <c r="DL521" s="496" t="s">
        <v>1555</v>
      </c>
      <c r="DM521" s="496" t="s">
        <v>1981</v>
      </c>
      <c r="DN521" s="497" t="s">
        <v>1982</v>
      </c>
      <c r="DP521" s="543">
        <v>1</v>
      </c>
    </row>
    <row r="522" spans="2:120" ht="15">
      <c r="B522" s="683"/>
      <c r="C522" s="683"/>
      <c r="D522" s="683"/>
      <c r="E522" s="683" cm="1">
        <f t="array" ref="E522">IF(H521&lt;&gt;"",E521,IF(E521="","",IFERROR(MATCH(TRUE(),INDEX(INDEX(K:K,E521+1):K203&lt;&gt;"",0),0)+E521,"")))</f>
        <v>663</v>
      </c>
      <c r="F522" s="684" cm="1">
        <f t="array" ref="F522">IF(E522="","",IF(H521&lt;&gt;"",H521,INDEX(D:D,E522)))</f>
        <v>0</v>
      </c>
      <c r="G522" s="684" t="str">
        <f t="shared" si="54"/>
        <v>0</v>
      </c>
      <c r="H522" s="685" t="str">
        <f t="shared" si="55"/>
        <v/>
      </c>
      <c r="I522" s="683" t="str">
        <f>IF(AND(F522&lt;&gt;"",N10&gt;0,M522&gt;N10),"Mot &gt; limite","")</f>
        <v/>
      </c>
      <c r="M522" s="638">
        <f>IF(OR(F522="",N10="",N10&lt;=0),"",IF(LEN(F522)&lt;=N10,LEN(F522),IFERROR(FIND("♦",SUBSTITUTE(LEFT(F522,N10)," ","♦",LEN(LEFT(F522,N10))-LEN(SUBSTITUTE(LEFT(F522,N10)," ","")))),FIND(" ",F522&amp;" ",N10+1)-1)))</f>
        <v>1</v>
      </c>
      <c r="N522" s="686">
        <f t="shared" si="56"/>
        <v>505</v>
      </c>
      <c r="O522" s="663" t="str">
        <f t="shared" si="57"/>
        <v>0</v>
      </c>
      <c r="P522" s="686">
        <f t="shared" si="58"/>
        <v>1</v>
      </c>
      <c r="Q522" s="686">
        <f t="shared" si="59"/>
        <v>1</v>
      </c>
      <c r="DE522" s="494"/>
      <c r="DF522" s="496" t="s">
        <v>2128</v>
      </c>
      <c r="DG522" s="496" t="s">
        <v>8</v>
      </c>
      <c r="DH522" s="496" t="s">
        <v>689</v>
      </c>
      <c r="DI522" s="496" t="s">
        <v>2129</v>
      </c>
      <c r="DJ522" s="496" t="s">
        <v>2129</v>
      </c>
      <c r="DK522" s="496" t="s">
        <v>1554</v>
      </c>
      <c r="DL522" s="496" t="s">
        <v>1555</v>
      </c>
      <c r="DM522" s="496" t="s">
        <v>1981</v>
      </c>
      <c r="DN522" s="497" t="s">
        <v>1982</v>
      </c>
      <c r="DP522" s="543">
        <v>1</v>
      </c>
    </row>
    <row r="523" spans="2:120" ht="15">
      <c r="B523" s="683"/>
      <c r="C523" s="683"/>
      <c r="D523" s="683"/>
      <c r="E523" s="683" cm="1">
        <f t="array" ref="E523">IF(H522&lt;&gt;"",E522,IF(E522="","",IFERROR(MATCH(TRUE(),INDEX(INDEX(K:K,E522+1):K203&lt;&gt;"",0),0)+E522,"")))</f>
        <v>664</v>
      </c>
      <c r="F523" s="684" cm="1">
        <f t="array" ref="F523">IF(E523="","",IF(H522&lt;&gt;"",H522,INDEX(D:D,E523)))</f>
        <v>0</v>
      </c>
      <c r="G523" s="684" t="str">
        <f t="shared" si="54"/>
        <v>0</v>
      </c>
      <c r="H523" s="685" t="str">
        <f t="shared" si="55"/>
        <v/>
      </c>
      <c r="I523" s="683" t="str">
        <f>IF(AND(F523&lt;&gt;"",N10&gt;0,M523&gt;N10),"Mot &gt; limite","")</f>
        <v/>
      </c>
      <c r="M523" s="638">
        <f>IF(OR(F523="",N10="",N10&lt;=0),"",IF(LEN(F523)&lt;=N10,LEN(F523),IFERROR(FIND("♦",SUBSTITUTE(LEFT(F523,N10)," ","♦",LEN(LEFT(F523,N10))-LEN(SUBSTITUTE(LEFT(F523,N10)," ","")))),FIND(" ",F523&amp;" ",N10+1)-1)))</f>
        <v>1</v>
      </c>
      <c r="N523" s="686">
        <f t="shared" si="56"/>
        <v>506</v>
      </c>
      <c r="O523" s="663" t="str">
        <f t="shared" si="57"/>
        <v>0</v>
      </c>
      <c r="P523" s="686">
        <f t="shared" si="58"/>
        <v>1</v>
      </c>
      <c r="Q523" s="686">
        <f t="shared" si="59"/>
        <v>1</v>
      </c>
      <c r="DE523" s="494"/>
      <c r="DF523" s="496" t="s">
        <v>2130</v>
      </c>
      <c r="DG523" s="496" t="s">
        <v>8</v>
      </c>
      <c r="DH523" s="496" t="s">
        <v>689</v>
      </c>
      <c r="DI523" s="496" t="s">
        <v>2131</v>
      </c>
      <c r="DJ523" s="496" t="s">
        <v>2131</v>
      </c>
      <c r="DK523" s="496" t="s">
        <v>1554</v>
      </c>
      <c r="DL523" s="496" t="s">
        <v>1555</v>
      </c>
      <c r="DM523" s="496" t="s">
        <v>1981</v>
      </c>
      <c r="DN523" s="497" t="s">
        <v>1982</v>
      </c>
      <c r="DP523" s="543">
        <v>1</v>
      </c>
    </row>
    <row r="524" spans="2:120" ht="15">
      <c r="B524" s="683"/>
      <c r="C524" s="683"/>
      <c r="D524" s="683"/>
      <c r="E524" s="683" cm="1">
        <f t="array" ref="E524">IF(H523&lt;&gt;"",E523,IF(E523="","",IFERROR(MATCH(TRUE(),INDEX(INDEX(K:K,E523+1):K203&lt;&gt;"",0),0)+E523,"")))</f>
        <v>665</v>
      </c>
      <c r="F524" s="684" cm="1">
        <f t="array" ref="F524">IF(E524="","",IF(H523&lt;&gt;"",H523,INDEX(D:D,E524)))</f>
        <v>0</v>
      </c>
      <c r="G524" s="684" t="str">
        <f t="shared" si="54"/>
        <v>0</v>
      </c>
      <c r="H524" s="685" t="str">
        <f t="shared" si="55"/>
        <v/>
      </c>
      <c r="I524" s="683" t="str">
        <f>IF(AND(F524&lt;&gt;"",N10&gt;0,M524&gt;N10),"Mot &gt; limite","")</f>
        <v/>
      </c>
      <c r="M524" s="638">
        <f>IF(OR(F524="",N10="",N10&lt;=0),"",IF(LEN(F524)&lt;=N10,LEN(F524),IFERROR(FIND("♦",SUBSTITUTE(LEFT(F524,N10)," ","♦",LEN(LEFT(F524,N10))-LEN(SUBSTITUTE(LEFT(F524,N10)," ","")))),FIND(" ",F524&amp;" ",N10+1)-1)))</f>
        <v>1</v>
      </c>
      <c r="N524" s="686">
        <f t="shared" si="56"/>
        <v>507</v>
      </c>
      <c r="O524" s="663" t="str">
        <f t="shared" si="57"/>
        <v>0</v>
      </c>
      <c r="P524" s="686">
        <f t="shared" si="58"/>
        <v>1</v>
      </c>
      <c r="Q524" s="686">
        <f t="shared" si="59"/>
        <v>1</v>
      </c>
      <c r="DE524" s="494"/>
      <c r="DF524" s="496" t="s">
        <v>2132</v>
      </c>
      <c r="DG524" s="496" t="s">
        <v>8</v>
      </c>
      <c r="DH524" s="496" t="s">
        <v>689</v>
      </c>
      <c r="DI524" s="496" t="s">
        <v>2133</v>
      </c>
      <c r="DJ524" s="496" t="s">
        <v>2133</v>
      </c>
      <c r="DK524" s="496" t="s">
        <v>1554</v>
      </c>
      <c r="DL524" s="496" t="s">
        <v>1555</v>
      </c>
      <c r="DM524" s="496" t="s">
        <v>1981</v>
      </c>
      <c r="DN524" s="497" t="s">
        <v>1982</v>
      </c>
      <c r="DP524" s="543">
        <v>1</v>
      </c>
    </row>
    <row r="525" spans="2:120" ht="15">
      <c r="B525" s="683"/>
      <c r="C525" s="683"/>
      <c r="D525" s="683"/>
      <c r="E525" s="683" cm="1">
        <f t="array" ref="E525">IF(H524&lt;&gt;"",E524,IF(E524="","",IFERROR(MATCH(TRUE(),INDEX(INDEX(K:K,E524+1):K203&lt;&gt;"",0),0)+E524,"")))</f>
        <v>666</v>
      </c>
      <c r="F525" s="684" cm="1">
        <f t="array" ref="F525">IF(E525="","",IF(H524&lt;&gt;"",H524,INDEX(D:D,E525)))</f>
        <v>0</v>
      </c>
      <c r="G525" s="684" t="str">
        <f t="shared" si="54"/>
        <v>0</v>
      </c>
      <c r="H525" s="685" t="str">
        <f t="shared" si="55"/>
        <v/>
      </c>
      <c r="I525" s="683" t="str">
        <f>IF(AND(F525&lt;&gt;"",N10&gt;0,M525&gt;N10),"Mot &gt; limite","")</f>
        <v/>
      </c>
      <c r="M525" s="638">
        <f>IF(OR(F525="",N10="",N10&lt;=0),"",IF(LEN(F525)&lt;=N10,LEN(F525),IFERROR(FIND("♦",SUBSTITUTE(LEFT(F525,N10)," ","♦",LEN(LEFT(F525,N10))-LEN(SUBSTITUTE(LEFT(F525,N10)," ","")))),FIND(" ",F525&amp;" ",N10+1)-1)))</f>
        <v>1</v>
      </c>
      <c r="N525" s="686">
        <f t="shared" si="56"/>
        <v>508</v>
      </c>
      <c r="O525" s="663" t="str">
        <f t="shared" si="57"/>
        <v>0</v>
      </c>
      <c r="P525" s="686">
        <f t="shared" si="58"/>
        <v>1</v>
      </c>
      <c r="Q525" s="686">
        <f t="shared" si="59"/>
        <v>1</v>
      </c>
      <c r="DE525" s="494"/>
      <c r="DF525" s="496" t="s">
        <v>2134</v>
      </c>
      <c r="DG525" s="496" t="s">
        <v>8</v>
      </c>
      <c r="DH525" s="496" t="s">
        <v>689</v>
      </c>
      <c r="DI525" s="496" t="s">
        <v>2135</v>
      </c>
      <c r="DJ525" s="496" t="s">
        <v>2135</v>
      </c>
      <c r="DK525" s="496" t="s">
        <v>1554</v>
      </c>
      <c r="DL525" s="496" t="s">
        <v>1555</v>
      </c>
      <c r="DM525" s="496" t="s">
        <v>1981</v>
      </c>
      <c r="DN525" s="497" t="s">
        <v>1982</v>
      </c>
      <c r="DP525" s="543">
        <v>1</v>
      </c>
    </row>
    <row r="526" spans="2:120" ht="15">
      <c r="B526" s="683"/>
      <c r="C526" s="683"/>
      <c r="D526" s="683"/>
      <c r="E526" s="683" cm="1">
        <f t="array" ref="E526">IF(H525&lt;&gt;"",E525,IF(E525="","",IFERROR(MATCH(TRUE(),INDEX(INDEX(K:K,E525+1):K203&lt;&gt;"",0),0)+E525,"")))</f>
        <v>667</v>
      </c>
      <c r="F526" s="684" cm="1">
        <f t="array" ref="F526">IF(E526="","",IF(H525&lt;&gt;"",H525,INDEX(D:D,E526)))</f>
        <v>0</v>
      </c>
      <c r="G526" s="684" t="str">
        <f t="shared" si="54"/>
        <v>0</v>
      </c>
      <c r="H526" s="685" t="str">
        <f t="shared" si="55"/>
        <v/>
      </c>
      <c r="I526" s="683" t="str">
        <f>IF(AND(F526&lt;&gt;"",N10&gt;0,M526&gt;N10),"Mot &gt; limite","")</f>
        <v/>
      </c>
      <c r="M526" s="638">
        <f>IF(OR(F526="",N10="",N10&lt;=0),"",IF(LEN(F526)&lt;=N10,LEN(F526),IFERROR(FIND("♦",SUBSTITUTE(LEFT(F526,N10)," ","♦",LEN(LEFT(F526,N10))-LEN(SUBSTITUTE(LEFT(F526,N10)," ","")))),FIND(" ",F526&amp;" ",N10+1)-1)))</f>
        <v>1</v>
      </c>
      <c r="N526" s="686">
        <f t="shared" si="56"/>
        <v>509</v>
      </c>
      <c r="O526" s="663" t="str">
        <f t="shared" si="57"/>
        <v>0</v>
      </c>
      <c r="P526" s="686">
        <f t="shared" si="58"/>
        <v>1</v>
      </c>
      <c r="Q526" s="686">
        <f t="shared" si="59"/>
        <v>1</v>
      </c>
      <c r="DE526" s="494"/>
      <c r="DF526" s="496" t="s">
        <v>2136</v>
      </c>
      <c r="DG526" s="496" t="s">
        <v>8</v>
      </c>
      <c r="DH526" s="496" t="s">
        <v>689</v>
      </c>
      <c r="DI526" s="496" t="s">
        <v>2137</v>
      </c>
      <c r="DJ526" s="496" t="s">
        <v>2137</v>
      </c>
      <c r="DK526" s="496" t="s">
        <v>1554</v>
      </c>
      <c r="DL526" s="496" t="s">
        <v>1555</v>
      </c>
      <c r="DM526" s="496" t="s">
        <v>1981</v>
      </c>
      <c r="DN526" s="497" t="s">
        <v>1982</v>
      </c>
      <c r="DP526" s="543">
        <v>1</v>
      </c>
    </row>
    <row r="527" spans="2:120" ht="15">
      <c r="B527" s="683"/>
      <c r="C527" s="683"/>
      <c r="D527" s="683"/>
      <c r="E527" s="683" cm="1">
        <f t="array" ref="E527">IF(H526&lt;&gt;"",E526,IF(E526="","",IFERROR(MATCH(TRUE(),INDEX(INDEX(K:K,E526+1):K203&lt;&gt;"",0),0)+E526,"")))</f>
        <v>668</v>
      </c>
      <c r="F527" s="684" cm="1">
        <f t="array" ref="F527">IF(E527="","",IF(H526&lt;&gt;"",H526,INDEX(D:D,E527)))</f>
        <v>0</v>
      </c>
      <c r="G527" s="684" t="str">
        <f t="shared" si="54"/>
        <v>0</v>
      </c>
      <c r="H527" s="685" t="str">
        <f t="shared" si="55"/>
        <v/>
      </c>
      <c r="I527" s="683" t="str">
        <f>IF(AND(F527&lt;&gt;"",N10&gt;0,M527&gt;N10),"Mot &gt; limite","")</f>
        <v/>
      </c>
      <c r="M527" s="638">
        <f>IF(OR(F527="",N10="",N10&lt;=0),"",IF(LEN(F527)&lt;=N10,LEN(F527),IFERROR(FIND("♦",SUBSTITUTE(LEFT(F527,N10)," ","♦",LEN(LEFT(F527,N10))-LEN(SUBSTITUTE(LEFT(F527,N10)," ","")))),FIND(" ",F527&amp;" ",N10+1)-1)))</f>
        <v>1</v>
      </c>
      <c r="N527" s="686">
        <f t="shared" si="56"/>
        <v>510</v>
      </c>
      <c r="O527" s="663" t="str">
        <f t="shared" si="57"/>
        <v>0</v>
      </c>
      <c r="P527" s="686">
        <f t="shared" si="58"/>
        <v>1</v>
      </c>
      <c r="Q527" s="686">
        <f t="shared" si="59"/>
        <v>1</v>
      </c>
      <c r="DE527" s="494"/>
      <c r="DF527" s="496" t="s">
        <v>2138</v>
      </c>
      <c r="DG527" s="496" t="s">
        <v>8</v>
      </c>
      <c r="DH527" s="496" t="s">
        <v>689</v>
      </c>
      <c r="DI527" s="496" t="s">
        <v>2139</v>
      </c>
      <c r="DJ527" s="496" t="s">
        <v>2139</v>
      </c>
      <c r="DK527" s="496" t="s">
        <v>1554</v>
      </c>
      <c r="DL527" s="496" t="s">
        <v>1555</v>
      </c>
      <c r="DM527" s="496" t="s">
        <v>1981</v>
      </c>
      <c r="DN527" s="497" t="s">
        <v>1982</v>
      </c>
      <c r="DP527" s="543">
        <v>1</v>
      </c>
    </row>
    <row r="528" spans="2:120" ht="15">
      <c r="B528" s="683"/>
      <c r="C528" s="683"/>
      <c r="D528" s="683"/>
      <c r="E528" s="683" cm="1">
        <f t="array" ref="E528">IF(H527&lt;&gt;"",E527,IF(E527="","",IFERROR(MATCH(TRUE(),INDEX(INDEX(K:K,E527+1):K203&lt;&gt;"",0),0)+E527,"")))</f>
        <v>669</v>
      </c>
      <c r="F528" s="684" cm="1">
        <f t="array" ref="F528">IF(E528="","",IF(H527&lt;&gt;"",H527,INDEX(D:D,E528)))</f>
        <v>0</v>
      </c>
      <c r="G528" s="684" t="str">
        <f t="shared" si="54"/>
        <v>0</v>
      </c>
      <c r="H528" s="685" t="str">
        <f t="shared" si="55"/>
        <v/>
      </c>
      <c r="I528" s="683" t="str">
        <f>IF(AND(F528&lt;&gt;"",N10&gt;0,M528&gt;N10),"Mot &gt; limite","")</f>
        <v/>
      </c>
      <c r="M528" s="638">
        <f>IF(OR(F528="",N10="",N10&lt;=0),"",IF(LEN(F528)&lt;=N10,LEN(F528),IFERROR(FIND("♦",SUBSTITUTE(LEFT(F528,N10)," ","♦",LEN(LEFT(F528,N10))-LEN(SUBSTITUTE(LEFT(F528,N10)," ","")))),FIND(" ",F528&amp;" ",N10+1)-1)))</f>
        <v>1</v>
      </c>
      <c r="N528" s="686">
        <f t="shared" si="56"/>
        <v>511</v>
      </c>
      <c r="O528" s="663" t="str">
        <f t="shared" si="57"/>
        <v>0</v>
      </c>
      <c r="P528" s="686">
        <f t="shared" si="58"/>
        <v>1</v>
      </c>
      <c r="Q528" s="686">
        <f t="shared" si="59"/>
        <v>1</v>
      </c>
      <c r="DE528" s="494"/>
      <c r="DF528" s="496" t="s">
        <v>2140</v>
      </c>
      <c r="DG528" s="496" t="s">
        <v>8</v>
      </c>
      <c r="DH528" s="496" t="s">
        <v>689</v>
      </c>
      <c r="DI528" s="496" t="s">
        <v>2141</v>
      </c>
      <c r="DJ528" s="496" t="s">
        <v>2141</v>
      </c>
      <c r="DK528" s="496" t="s">
        <v>1554</v>
      </c>
      <c r="DL528" s="496" t="s">
        <v>1555</v>
      </c>
      <c r="DM528" s="496" t="s">
        <v>1981</v>
      </c>
      <c r="DN528" s="497" t="s">
        <v>1982</v>
      </c>
      <c r="DP528" s="543">
        <v>1</v>
      </c>
    </row>
    <row r="529" spans="2:120" ht="15">
      <c r="B529" s="683"/>
      <c r="C529" s="683"/>
      <c r="D529" s="683"/>
      <c r="E529" s="683" cm="1">
        <f t="array" ref="E529">IF(H528&lt;&gt;"",E528,IF(E528="","",IFERROR(MATCH(TRUE(),INDEX(INDEX(K:K,E528+1):K203&lt;&gt;"",0),0)+E528,"")))</f>
        <v>670</v>
      </c>
      <c r="F529" s="684" cm="1">
        <f t="array" ref="F529">IF(E529="","",IF(H528&lt;&gt;"",H528,INDEX(D:D,E529)))</f>
        <v>0</v>
      </c>
      <c r="G529" s="684" t="str">
        <f t="shared" si="54"/>
        <v>0</v>
      </c>
      <c r="H529" s="685" t="str">
        <f t="shared" si="55"/>
        <v/>
      </c>
      <c r="I529" s="683" t="str">
        <f>IF(AND(F529&lt;&gt;"",N10&gt;0,M529&gt;N10),"Mot &gt; limite","")</f>
        <v/>
      </c>
      <c r="M529" s="638">
        <f>IF(OR(F529="",N10="",N10&lt;=0),"",IF(LEN(F529)&lt;=N10,LEN(F529),IFERROR(FIND("♦",SUBSTITUTE(LEFT(F529,N10)," ","♦",LEN(LEFT(F529,N10))-LEN(SUBSTITUTE(LEFT(F529,N10)," ","")))),FIND(" ",F529&amp;" ",N10+1)-1)))</f>
        <v>1</v>
      </c>
      <c r="N529" s="686">
        <f t="shared" si="56"/>
        <v>512</v>
      </c>
      <c r="O529" s="663" t="str">
        <f t="shared" si="57"/>
        <v>0</v>
      </c>
      <c r="P529" s="686">
        <f t="shared" si="58"/>
        <v>1</v>
      </c>
      <c r="Q529" s="686">
        <f t="shared" si="59"/>
        <v>1</v>
      </c>
      <c r="DE529" s="494"/>
      <c r="DF529" s="496" t="s">
        <v>2142</v>
      </c>
      <c r="DG529" s="496" t="s">
        <v>8</v>
      </c>
      <c r="DH529" s="496" t="s">
        <v>689</v>
      </c>
      <c r="DI529" s="496" t="s">
        <v>2143</v>
      </c>
      <c r="DJ529" s="496" t="s">
        <v>2143</v>
      </c>
      <c r="DK529" s="496" t="s">
        <v>1554</v>
      </c>
      <c r="DL529" s="496" t="s">
        <v>1555</v>
      </c>
      <c r="DM529" s="496" t="s">
        <v>1981</v>
      </c>
      <c r="DN529" s="497" t="s">
        <v>1982</v>
      </c>
      <c r="DP529" s="543">
        <v>1</v>
      </c>
    </row>
    <row r="530" spans="2:120" ht="15">
      <c r="B530" s="683"/>
      <c r="C530" s="683"/>
      <c r="D530" s="683"/>
      <c r="E530" s="683" cm="1">
        <f t="array" ref="E530">IF(H529&lt;&gt;"",E529,IF(E529="","",IFERROR(MATCH(TRUE(),INDEX(INDEX(K:K,E529+1):K203&lt;&gt;"",0),0)+E529,"")))</f>
        <v>671</v>
      </c>
      <c r="F530" s="684" cm="1">
        <f t="array" ref="F530">IF(E530="","",IF(H529&lt;&gt;"",H529,INDEX(D:D,E530)))</f>
        <v>0</v>
      </c>
      <c r="G530" s="684" t="str">
        <f t="shared" ref="G530:G593" si="60">IF(OR(F530="",M530=""),"",LEFT(F530,M530))</f>
        <v>0</v>
      </c>
      <c r="H530" s="685" t="str">
        <f t="shared" ref="H530:H593" si="61">IF(OR(F530="",M530=""),"",TRIM(MID(F530,M530+1,99999)))</f>
        <v/>
      </c>
      <c r="I530" s="683" t="str">
        <f>IF(AND(F530&lt;&gt;"",N10&gt;0,M530&gt;N10),"Mot &gt; limite","")</f>
        <v/>
      </c>
      <c r="M530" s="638">
        <f>IF(OR(F530="",N10="",N10&lt;=0),"",IF(LEN(F530)&lt;=N10,LEN(F530),IFERROR(FIND("♦",SUBSTITUTE(LEFT(F530,N10)," ","♦",LEN(LEFT(F530,N10))-LEN(SUBSTITUTE(LEFT(F530,N10)," ","")))),FIND(" ",F530&amp;" ",N10+1)-1)))</f>
        <v>1</v>
      </c>
      <c r="N530" s="686">
        <f t="shared" ref="N530:N593" si="62">IF(O530="","",ROW()-17)</f>
        <v>513</v>
      </c>
      <c r="O530" s="663" t="str">
        <f t="shared" ref="O530:O593" si="63">G530</f>
        <v>0</v>
      </c>
      <c r="P530" s="686">
        <f t="shared" ref="P530:P593" si="64">IF(O530="","",LEN(TRIM(O530))-LEN(SUBSTITUTE(TRIM(O530)," ",""))+1)</f>
        <v>1</v>
      </c>
      <c r="Q530" s="686">
        <f t="shared" ref="Q530:Q593" si="65">IF(O530="","",LEN(O530))</f>
        <v>1</v>
      </c>
      <c r="DE530" s="494"/>
      <c r="DF530" s="496" t="s">
        <v>2144</v>
      </c>
      <c r="DG530" s="496" t="s">
        <v>8</v>
      </c>
      <c r="DH530" s="496" t="s">
        <v>689</v>
      </c>
      <c r="DI530" s="496" t="s">
        <v>2145</v>
      </c>
      <c r="DJ530" s="496" t="s">
        <v>2145</v>
      </c>
      <c r="DK530" s="496" t="s">
        <v>1554</v>
      </c>
      <c r="DL530" s="496" t="s">
        <v>1555</v>
      </c>
      <c r="DM530" s="496" t="s">
        <v>1981</v>
      </c>
      <c r="DN530" s="497" t="s">
        <v>1982</v>
      </c>
      <c r="DP530" s="543">
        <v>1</v>
      </c>
    </row>
    <row r="531" spans="2:120" ht="15">
      <c r="B531" s="683"/>
      <c r="C531" s="683"/>
      <c r="D531" s="683"/>
      <c r="E531" s="683" cm="1">
        <f t="array" ref="E531">IF(H530&lt;&gt;"",E530,IF(E530="","",IFERROR(MATCH(TRUE(),INDEX(INDEX(K:K,E530+1):K203&lt;&gt;"",0),0)+E530,"")))</f>
        <v>672</v>
      </c>
      <c r="F531" s="684" cm="1">
        <f t="array" ref="F531">IF(E531="","",IF(H530&lt;&gt;"",H530,INDEX(D:D,E531)))</f>
        <v>0</v>
      </c>
      <c r="G531" s="684" t="str">
        <f t="shared" si="60"/>
        <v>0</v>
      </c>
      <c r="H531" s="685" t="str">
        <f t="shared" si="61"/>
        <v/>
      </c>
      <c r="I531" s="683" t="str">
        <f>IF(AND(F531&lt;&gt;"",N10&gt;0,M531&gt;N10),"Mot &gt; limite","")</f>
        <v/>
      </c>
      <c r="M531" s="638">
        <f>IF(OR(F531="",N10="",N10&lt;=0),"",IF(LEN(F531)&lt;=N10,LEN(F531),IFERROR(FIND("♦",SUBSTITUTE(LEFT(F531,N10)," ","♦",LEN(LEFT(F531,N10))-LEN(SUBSTITUTE(LEFT(F531,N10)," ","")))),FIND(" ",F531&amp;" ",N10+1)-1)))</f>
        <v>1</v>
      </c>
      <c r="N531" s="686">
        <f t="shared" si="62"/>
        <v>514</v>
      </c>
      <c r="O531" s="663" t="str">
        <f t="shared" si="63"/>
        <v>0</v>
      </c>
      <c r="P531" s="686">
        <f t="shared" si="64"/>
        <v>1</v>
      </c>
      <c r="Q531" s="686">
        <f t="shared" si="65"/>
        <v>1</v>
      </c>
      <c r="DE531" s="494"/>
      <c r="DF531" s="496" t="s">
        <v>2146</v>
      </c>
      <c r="DG531" s="496" t="s">
        <v>8</v>
      </c>
      <c r="DH531" s="496" t="s">
        <v>689</v>
      </c>
      <c r="DI531" s="496" t="s">
        <v>2147</v>
      </c>
      <c r="DJ531" s="496" t="s">
        <v>2147</v>
      </c>
      <c r="DK531" s="496" t="s">
        <v>1554</v>
      </c>
      <c r="DL531" s="496" t="s">
        <v>1555</v>
      </c>
      <c r="DM531" s="496" t="s">
        <v>1981</v>
      </c>
      <c r="DN531" s="497" t="s">
        <v>1982</v>
      </c>
      <c r="DP531" s="543">
        <v>1</v>
      </c>
    </row>
    <row r="532" spans="2:120" ht="15">
      <c r="B532" s="683"/>
      <c r="C532" s="683"/>
      <c r="D532" s="683"/>
      <c r="E532" s="683" cm="1">
        <f t="array" ref="E532">IF(H531&lt;&gt;"",E531,IF(E531="","",IFERROR(MATCH(TRUE(),INDEX(INDEX(K:K,E531+1):K203&lt;&gt;"",0),0)+E531,"")))</f>
        <v>673</v>
      </c>
      <c r="F532" s="684" cm="1">
        <f t="array" ref="F532">IF(E532="","",IF(H531&lt;&gt;"",H531,INDEX(D:D,E532)))</f>
        <v>0</v>
      </c>
      <c r="G532" s="684" t="str">
        <f t="shared" si="60"/>
        <v>0</v>
      </c>
      <c r="H532" s="685" t="str">
        <f t="shared" si="61"/>
        <v/>
      </c>
      <c r="I532" s="683" t="str">
        <f>IF(AND(F532&lt;&gt;"",N10&gt;0,M532&gt;N10),"Mot &gt; limite","")</f>
        <v/>
      </c>
      <c r="M532" s="638">
        <f>IF(OR(F532="",N10="",N10&lt;=0),"",IF(LEN(F532)&lt;=N10,LEN(F532),IFERROR(FIND("♦",SUBSTITUTE(LEFT(F532,N10)," ","♦",LEN(LEFT(F532,N10))-LEN(SUBSTITUTE(LEFT(F532,N10)," ","")))),FIND(" ",F532&amp;" ",N10+1)-1)))</f>
        <v>1</v>
      </c>
      <c r="N532" s="686">
        <f t="shared" si="62"/>
        <v>515</v>
      </c>
      <c r="O532" s="663" t="str">
        <f t="shared" si="63"/>
        <v>0</v>
      </c>
      <c r="P532" s="686">
        <f t="shared" si="64"/>
        <v>1</v>
      </c>
      <c r="Q532" s="686">
        <f t="shared" si="65"/>
        <v>1</v>
      </c>
      <c r="DE532" s="494"/>
      <c r="DF532" s="496" t="s">
        <v>2148</v>
      </c>
      <c r="DG532" s="496" t="s">
        <v>8</v>
      </c>
      <c r="DH532" s="496" t="s">
        <v>689</v>
      </c>
      <c r="DI532" s="496" t="s">
        <v>2149</v>
      </c>
      <c r="DJ532" s="496" t="s">
        <v>2149</v>
      </c>
      <c r="DK532" s="496" t="s">
        <v>1554</v>
      </c>
      <c r="DL532" s="496" t="s">
        <v>1555</v>
      </c>
      <c r="DM532" s="496" t="s">
        <v>1981</v>
      </c>
      <c r="DN532" s="497" t="s">
        <v>1982</v>
      </c>
      <c r="DP532" s="543">
        <v>1</v>
      </c>
    </row>
    <row r="533" spans="2:120" ht="15">
      <c r="B533" s="683"/>
      <c r="C533" s="683"/>
      <c r="D533" s="683"/>
      <c r="E533" s="683" cm="1">
        <f t="array" ref="E533">IF(H532&lt;&gt;"",E532,IF(E532="","",IFERROR(MATCH(TRUE(),INDEX(INDEX(K:K,E532+1):K203&lt;&gt;"",0),0)+E532,"")))</f>
        <v>674</v>
      </c>
      <c r="F533" s="684" cm="1">
        <f t="array" ref="F533">IF(E533="","",IF(H532&lt;&gt;"",H532,INDEX(D:D,E533)))</f>
        <v>0</v>
      </c>
      <c r="G533" s="684" t="str">
        <f t="shared" si="60"/>
        <v>0</v>
      </c>
      <c r="H533" s="685" t="str">
        <f t="shared" si="61"/>
        <v/>
      </c>
      <c r="I533" s="683" t="str">
        <f>IF(AND(F533&lt;&gt;"",N10&gt;0,M533&gt;N10),"Mot &gt; limite","")</f>
        <v/>
      </c>
      <c r="M533" s="638">
        <f>IF(OR(F533="",N10="",N10&lt;=0),"",IF(LEN(F533)&lt;=N10,LEN(F533),IFERROR(FIND("♦",SUBSTITUTE(LEFT(F533,N10)," ","♦",LEN(LEFT(F533,N10))-LEN(SUBSTITUTE(LEFT(F533,N10)," ","")))),FIND(" ",F533&amp;" ",N10+1)-1)))</f>
        <v>1</v>
      </c>
      <c r="N533" s="686">
        <f t="shared" si="62"/>
        <v>516</v>
      </c>
      <c r="O533" s="663" t="str">
        <f t="shared" si="63"/>
        <v>0</v>
      </c>
      <c r="P533" s="686">
        <f t="shared" si="64"/>
        <v>1</v>
      </c>
      <c r="Q533" s="686">
        <f t="shared" si="65"/>
        <v>1</v>
      </c>
      <c r="DE533" s="494"/>
      <c r="DF533" s="496" t="s">
        <v>2150</v>
      </c>
      <c r="DG533" s="496" t="s">
        <v>8</v>
      </c>
      <c r="DH533" s="496" t="s">
        <v>689</v>
      </c>
      <c r="DI533" s="496" t="s">
        <v>2151</v>
      </c>
      <c r="DJ533" s="496" t="s">
        <v>2151</v>
      </c>
      <c r="DK533" s="496" t="s">
        <v>1554</v>
      </c>
      <c r="DL533" s="496" t="s">
        <v>1555</v>
      </c>
      <c r="DM533" s="496" t="s">
        <v>1981</v>
      </c>
      <c r="DN533" s="497" t="s">
        <v>1982</v>
      </c>
      <c r="DP533" s="543">
        <v>1</v>
      </c>
    </row>
    <row r="534" spans="2:120" ht="15">
      <c r="B534" s="683"/>
      <c r="C534" s="683"/>
      <c r="D534" s="683"/>
      <c r="E534" s="683" cm="1">
        <f t="array" ref="E534">IF(H533&lt;&gt;"",E533,IF(E533="","",IFERROR(MATCH(TRUE(),INDEX(INDEX(K:K,E533+1):K203&lt;&gt;"",0),0)+E533,"")))</f>
        <v>675</v>
      </c>
      <c r="F534" s="684" cm="1">
        <f t="array" ref="F534">IF(E534="","",IF(H533&lt;&gt;"",H533,INDEX(D:D,E534)))</f>
        <v>0</v>
      </c>
      <c r="G534" s="684" t="str">
        <f t="shared" si="60"/>
        <v>0</v>
      </c>
      <c r="H534" s="685" t="str">
        <f t="shared" si="61"/>
        <v/>
      </c>
      <c r="I534" s="683" t="str">
        <f>IF(AND(F534&lt;&gt;"",N10&gt;0,M534&gt;N10),"Mot &gt; limite","")</f>
        <v/>
      </c>
      <c r="M534" s="638">
        <f>IF(OR(F534="",N10="",N10&lt;=0),"",IF(LEN(F534)&lt;=N10,LEN(F534),IFERROR(FIND("♦",SUBSTITUTE(LEFT(F534,N10)," ","♦",LEN(LEFT(F534,N10))-LEN(SUBSTITUTE(LEFT(F534,N10)," ","")))),FIND(" ",F534&amp;" ",N10+1)-1)))</f>
        <v>1</v>
      </c>
      <c r="N534" s="686">
        <f t="shared" si="62"/>
        <v>517</v>
      </c>
      <c r="O534" s="663" t="str">
        <f t="shared" si="63"/>
        <v>0</v>
      </c>
      <c r="P534" s="686">
        <f t="shared" si="64"/>
        <v>1</v>
      </c>
      <c r="Q534" s="686">
        <f t="shared" si="65"/>
        <v>1</v>
      </c>
      <c r="DE534" s="494"/>
      <c r="DF534" s="496" t="s">
        <v>2152</v>
      </c>
      <c r="DG534" s="496" t="s">
        <v>8</v>
      </c>
      <c r="DH534" s="496" t="s">
        <v>689</v>
      </c>
      <c r="DI534" s="496" t="s">
        <v>2153</v>
      </c>
      <c r="DJ534" s="496" t="s">
        <v>2153</v>
      </c>
      <c r="DK534" s="496" t="s">
        <v>1554</v>
      </c>
      <c r="DL534" s="496" t="s">
        <v>1555</v>
      </c>
      <c r="DM534" s="496" t="s">
        <v>1981</v>
      </c>
      <c r="DN534" s="497" t="s">
        <v>1982</v>
      </c>
      <c r="DP534" s="543">
        <v>1</v>
      </c>
    </row>
    <row r="535" spans="2:120" ht="15">
      <c r="B535" s="683"/>
      <c r="C535" s="683"/>
      <c r="D535" s="683"/>
      <c r="E535" s="683" cm="1">
        <f t="array" ref="E535">IF(H534&lt;&gt;"",E534,IF(E534="","",IFERROR(MATCH(TRUE(),INDEX(INDEX(K:K,E534+1):K203&lt;&gt;"",0),0)+E534,"")))</f>
        <v>676</v>
      </c>
      <c r="F535" s="684" cm="1">
        <f t="array" ref="F535">IF(E535="","",IF(H534&lt;&gt;"",H534,INDEX(D:D,E535)))</f>
        <v>0</v>
      </c>
      <c r="G535" s="684" t="str">
        <f t="shared" si="60"/>
        <v>0</v>
      </c>
      <c r="H535" s="685" t="str">
        <f t="shared" si="61"/>
        <v/>
      </c>
      <c r="I535" s="683" t="str">
        <f>IF(AND(F535&lt;&gt;"",N10&gt;0,M535&gt;N10),"Mot &gt; limite","")</f>
        <v/>
      </c>
      <c r="M535" s="638">
        <f>IF(OR(F535="",N10="",N10&lt;=0),"",IF(LEN(F535)&lt;=N10,LEN(F535),IFERROR(FIND("♦",SUBSTITUTE(LEFT(F535,N10)," ","♦",LEN(LEFT(F535,N10))-LEN(SUBSTITUTE(LEFT(F535,N10)," ","")))),FIND(" ",F535&amp;" ",N10+1)-1)))</f>
        <v>1</v>
      </c>
      <c r="N535" s="686">
        <f t="shared" si="62"/>
        <v>518</v>
      </c>
      <c r="O535" s="663" t="str">
        <f t="shared" si="63"/>
        <v>0</v>
      </c>
      <c r="P535" s="686">
        <f t="shared" si="64"/>
        <v>1</v>
      </c>
      <c r="Q535" s="686">
        <f t="shared" si="65"/>
        <v>1</v>
      </c>
      <c r="DE535" s="494"/>
      <c r="DF535" s="496" t="s">
        <v>2154</v>
      </c>
      <c r="DG535" s="496" t="s">
        <v>8</v>
      </c>
      <c r="DH535" s="496" t="s">
        <v>689</v>
      </c>
      <c r="DI535" s="496" t="s">
        <v>2155</v>
      </c>
      <c r="DJ535" s="496" t="s">
        <v>2155</v>
      </c>
      <c r="DK535" s="496" t="s">
        <v>1554</v>
      </c>
      <c r="DL535" s="496" t="s">
        <v>1555</v>
      </c>
      <c r="DM535" s="496" t="s">
        <v>1981</v>
      </c>
      <c r="DN535" s="497" t="s">
        <v>1982</v>
      </c>
      <c r="DP535" s="543">
        <v>1</v>
      </c>
    </row>
    <row r="536" spans="2:120" ht="15">
      <c r="B536" s="683"/>
      <c r="C536" s="683"/>
      <c r="D536" s="683"/>
      <c r="E536" s="683" cm="1">
        <f t="array" ref="E536">IF(H535&lt;&gt;"",E535,IF(E535="","",IFERROR(MATCH(TRUE(),INDEX(INDEX(K:K,E535+1):K203&lt;&gt;"",0),0)+E535,"")))</f>
        <v>677</v>
      </c>
      <c r="F536" s="684" cm="1">
        <f t="array" ref="F536">IF(E536="","",IF(H535&lt;&gt;"",H535,INDEX(D:D,E536)))</f>
        <v>0</v>
      </c>
      <c r="G536" s="684" t="str">
        <f t="shared" si="60"/>
        <v>0</v>
      </c>
      <c r="H536" s="685" t="str">
        <f t="shared" si="61"/>
        <v/>
      </c>
      <c r="I536" s="683" t="str">
        <f>IF(AND(F536&lt;&gt;"",N10&gt;0,M536&gt;N10),"Mot &gt; limite","")</f>
        <v/>
      </c>
      <c r="M536" s="638">
        <f>IF(OR(F536="",N10="",N10&lt;=0),"",IF(LEN(F536)&lt;=N10,LEN(F536),IFERROR(FIND("♦",SUBSTITUTE(LEFT(F536,N10)," ","♦",LEN(LEFT(F536,N10))-LEN(SUBSTITUTE(LEFT(F536,N10)," ","")))),FIND(" ",F536&amp;" ",N10+1)-1)))</f>
        <v>1</v>
      </c>
      <c r="N536" s="686">
        <f t="shared" si="62"/>
        <v>519</v>
      </c>
      <c r="O536" s="663" t="str">
        <f t="shared" si="63"/>
        <v>0</v>
      </c>
      <c r="P536" s="686">
        <f t="shared" si="64"/>
        <v>1</v>
      </c>
      <c r="Q536" s="686">
        <f t="shared" si="65"/>
        <v>1</v>
      </c>
      <c r="DE536" s="494"/>
      <c r="DF536" s="496" t="s">
        <v>2156</v>
      </c>
      <c r="DG536" s="496" t="s">
        <v>8</v>
      </c>
      <c r="DH536" s="496" t="s">
        <v>689</v>
      </c>
      <c r="DI536" s="496" t="s">
        <v>2157</v>
      </c>
      <c r="DJ536" s="496" t="s">
        <v>2157</v>
      </c>
      <c r="DK536" s="496" t="s">
        <v>1554</v>
      </c>
      <c r="DL536" s="496" t="s">
        <v>1555</v>
      </c>
      <c r="DM536" s="496" t="s">
        <v>1981</v>
      </c>
      <c r="DN536" s="497" t="s">
        <v>1982</v>
      </c>
      <c r="DP536" s="543">
        <v>1</v>
      </c>
    </row>
    <row r="537" spans="2:120" ht="15">
      <c r="B537" s="683"/>
      <c r="C537" s="683"/>
      <c r="D537" s="683"/>
      <c r="E537" s="683" cm="1">
        <f t="array" ref="E537">IF(H536&lt;&gt;"",E536,IF(E536="","",IFERROR(MATCH(TRUE(),INDEX(INDEX(K:K,E536+1):K203&lt;&gt;"",0),0)+E536,"")))</f>
        <v>678</v>
      </c>
      <c r="F537" s="684" cm="1">
        <f t="array" ref="F537">IF(E537="","",IF(H536&lt;&gt;"",H536,INDEX(D:D,E537)))</f>
        <v>0</v>
      </c>
      <c r="G537" s="684" t="str">
        <f t="shared" si="60"/>
        <v>0</v>
      </c>
      <c r="H537" s="685" t="str">
        <f t="shared" si="61"/>
        <v/>
      </c>
      <c r="I537" s="683" t="str">
        <f>IF(AND(F537&lt;&gt;"",N10&gt;0,M537&gt;N10),"Mot &gt; limite","")</f>
        <v/>
      </c>
      <c r="M537" s="638">
        <f>IF(OR(F537="",N10="",N10&lt;=0),"",IF(LEN(F537)&lt;=N10,LEN(F537),IFERROR(FIND("♦",SUBSTITUTE(LEFT(F537,N10)," ","♦",LEN(LEFT(F537,N10))-LEN(SUBSTITUTE(LEFT(F537,N10)," ","")))),FIND(" ",F537&amp;" ",N10+1)-1)))</f>
        <v>1</v>
      </c>
      <c r="N537" s="686">
        <f t="shared" si="62"/>
        <v>520</v>
      </c>
      <c r="O537" s="663" t="str">
        <f t="shared" si="63"/>
        <v>0</v>
      </c>
      <c r="P537" s="686">
        <f t="shared" si="64"/>
        <v>1</v>
      </c>
      <c r="Q537" s="686">
        <f t="shared" si="65"/>
        <v>1</v>
      </c>
      <c r="DE537" s="494"/>
      <c r="DF537" s="496" t="s">
        <v>2158</v>
      </c>
      <c r="DG537" s="496" t="s">
        <v>8</v>
      </c>
      <c r="DH537" s="496" t="s">
        <v>689</v>
      </c>
      <c r="DI537" s="496" t="s">
        <v>2159</v>
      </c>
      <c r="DJ537" s="496" t="s">
        <v>2159</v>
      </c>
      <c r="DK537" s="496" t="s">
        <v>1554</v>
      </c>
      <c r="DL537" s="496" t="s">
        <v>1555</v>
      </c>
      <c r="DM537" s="496" t="s">
        <v>1981</v>
      </c>
      <c r="DN537" s="497" t="s">
        <v>1982</v>
      </c>
      <c r="DP537" s="543">
        <v>1</v>
      </c>
    </row>
    <row r="538" spans="2:120" ht="15">
      <c r="B538" s="683"/>
      <c r="C538" s="683"/>
      <c r="D538" s="683"/>
      <c r="E538" s="683" cm="1">
        <f t="array" ref="E538">IF(H537&lt;&gt;"",E537,IF(E537="","",IFERROR(MATCH(TRUE(),INDEX(INDEX(K:K,E537+1):K203&lt;&gt;"",0),0)+E537,"")))</f>
        <v>679</v>
      </c>
      <c r="F538" s="684" cm="1">
        <f t="array" ref="F538">IF(E538="","",IF(H537&lt;&gt;"",H537,INDEX(D:D,E538)))</f>
        <v>0</v>
      </c>
      <c r="G538" s="684" t="str">
        <f t="shared" si="60"/>
        <v>0</v>
      </c>
      <c r="H538" s="685" t="str">
        <f t="shared" si="61"/>
        <v/>
      </c>
      <c r="I538" s="683" t="str">
        <f>IF(AND(F538&lt;&gt;"",N10&gt;0,M538&gt;N10),"Mot &gt; limite","")</f>
        <v/>
      </c>
      <c r="M538" s="638">
        <f>IF(OR(F538="",N10="",N10&lt;=0),"",IF(LEN(F538)&lt;=N10,LEN(F538),IFERROR(FIND("♦",SUBSTITUTE(LEFT(F538,N10)," ","♦",LEN(LEFT(F538,N10))-LEN(SUBSTITUTE(LEFT(F538,N10)," ","")))),FIND(" ",F538&amp;" ",N10+1)-1)))</f>
        <v>1</v>
      </c>
      <c r="N538" s="686">
        <f t="shared" si="62"/>
        <v>521</v>
      </c>
      <c r="O538" s="663" t="str">
        <f t="shared" si="63"/>
        <v>0</v>
      </c>
      <c r="P538" s="686">
        <f t="shared" si="64"/>
        <v>1</v>
      </c>
      <c r="Q538" s="686">
        <f t="shared" si="65"/>
        <v>1</v>
      </c>
      <c r="DE538" s="494"/>
      <c r="DF538" s="496" t="s">
        <v>2160</v>
      </c>
      <c r="DG538" s="496" t="s">
        <v>8</v>
      </c>
      <c r="DH538" s="496" t="s">
        <v>689</v>
      </c>
      <c r="DI538" s="496" t="s">
        <v>2161</v>
      </c>
      <c r="DJ538" s="496" t="s">
        <v>2161</v>
      </c>
      <c r="DK538" s="496" t="s">
        <v>1554</v>
      </c>
      <c r="DL538" s="496" t="s">
        <v>1555</v>
      </c>
      <c r="DM538" s="496" t="s">
        <v>1981</v>
      </c>
      <c r="DN538" s="497" t="s">
        <v>1982</v>
      </c>
      <c r="DP538" s="543">
        <v>1</v>
      </c>
    </row>
    <row r="539" spans="2:120" ht="15">
      <c r="B539" s="683"/>
      <c r="C539" s="683"/>
      <c r="D539" s="683"/>
      <c r="E539" s="683" cm="1">
        <f t="array" ref="E539">IF(H538&lt;&gt;"",E538,IF(E538="","",IFERROR(MATCH(TRUE(),INDEX(INDEX(K:K,E538+1):K203&lt;&gt;"",0),0)+E538,"")))</f>
        <v>680</v>
      </c>
      <c r="F539" s="684" cm="1">
        <f t="array" ref="F539">IF(E539="","",IF(H538&lt;&gt;"",H538,INDEX(D:D,E539)))</f>
        <v>0</v>
      </c>
      <c r="G539" s="684" t="str">
        <f t="shared" si="60"/>
        <v>0</v>
      </c>
      <c r="H539" s="685" t="str">
        <f t="shared" si="61"/>
        <v/>
      </c>
      <c r="I539" s="683" t="str">
        <f>IF(AND(F539&lt;&gt;"",N10&gt;0,M539&gt;N10),"Mot &gt; limite","")</f>
        <v/>
      </c>
      <c r="M539" s="638">
        <f>IF(OR(F539="",N10="",N10&lt;=0),"",IF(LEN(F539)&lt;=N10,LEN(F539),IFERROR(FIND("♦",SUBSTITUTE(LEFT(F539,N10)," ","♦",LEN(LEFT(F539,N10))-LEN(SUBSTITUTE(LEFT(F539,N10)," ","")))),FIND(" ",F539&amp;" ",N10+1)-1)))</f>
        <v>1</v>
      </c>
      <c r="N539" s="686">
        <f t="shared" si="62"/>
        <v>522</v>
      </c>
      <c r="O539" s="663" t="str">
        <f t="shared" si="63"/>
        <v>0</v>
      </c>
      <c r="P539" s="686">
        <f t="shared" si="64"/>
        <v>1</v>
      </c>
      <c r="Q539" s="686">
        <f t="shared" si="65"/>
        <v>1</v>
      </c>
      <c r="DE539" s="494"/>
      <c r="DF539" s="496" t="s">
        <v>2162</v>
      </c>
      <c r="DG539" s="496" t="s">
        <v>8</v>
      </c>
      <c r="DH539" s="496" t="s">
        <v>689</v>
      </c>
      <c r="DI539" s="496" t="s">
        <v>2163</v>
      </c>
      <c r="DJ539" s="496" t="s">
        <v>2163</v>
      </c>
      <c r="DK539" s="496" t="s">
        <v>1554</v>
      </c>
      <c r="DL539" s="496" t="s">
        <v>1555</v>
      </c>
      <c r="DM539" s="496" t="s">
        <v>1981</v>
      </c>
      <c r="DN539" s="497" t="s">
        <v>1982</v>
      </c>
      <c r="DP539" s="543">
        <v>1</v>
      </c>
    </row>
    <row r="540" spans="2:120" ht="15">
      <c r="B540" s="683"/>
      <c r="C540" s="683"/>
      <c r="D540" s="683"/>
      <c r="E540" s="683" cm="1">
        <f t="array" ref="E540">IF(H539&lt;&gt;"",E539,IF(E539="","",IFERROR(MATCH(TRUE(),INDEX(INDEX(K:K,E539+1):K203&lt;&gt;"",0),0)+E539,"")))</f>
        <v>681</v>
      </c>
      <c r="F540" s="684" cm="1">
        <f t="array" ref="F540">IF(E540="","",IF(H539&lt;&gt;"",H539,INDEX(D:D,E540)))</f>
        <v>0</v>
      </c>
      <c r="G540" s="684" t="str">
        <f t="shared" si="60"/>
        <v>0</v>
      </c>
      <c r="H540" s="685" t="str">
        <f t="shared" si="61"/>
        <v/>
      </c>
      <c r="I540" s="683" t="str">
        <f>IF(AND(F540&lt;&gt;"",N10&gt;0,M540&gt;N10),"Mot &gt; limite","")</f>
        <v/>
      </c>
      <c r="M540" s="638">
        <f>IF(OR(F540="",N10="",N10&lt;=0),"",IF(LEN(F540)&lt;=N10,LEN(F540),IFERROR(FIND("♦",SUBSTITUTE(LEFT(F540,N10)," ","♦",LEN(LEFT(F540,N10))-LEN(SUBSTITUTE(LEFT(F540,N10)," ","")))),FIND(" ",F540&amp;" ",N10+1)-1)))</f>
        <v>1</v>
      </c>
      <c r="N540" s="686">
        <f t="shared" si="62"/>
        <v>523</v>
      </c>
      <c r="O540" s="663" t="str">
        <f t="shared" si="63"/>
        <v>0</v>
      </c>
      <c r="P540" s="686">
        <f t="shared" si="64"/>
        <v>1</v>
      </c>
      <c r="Q540" s="686">
        <f t="shared" si="65"/>
        <v>1</v>
      </c>
      <c r="DE540" s="494"/>
      <c r="DF540" s="496" t="s">
        <v>2164</v>
      </c>
      <c r="DG540" s="496" t="s">
        <v>8</v>
      </c>
      <c r="DH540" s="496" t="s">
        <v>689</v>
      </c>
      <c r="DI540" s="496" t="s">
        <v>2165</v>
      </c>
      <c r="DJ540" s="496" t="s">
        <v>2165</v>
      </c>
      <c r="DK540" s="496" t="s">
        <v>1554</v>
      </c>
      <c r="DL540" s="496" t="s">
        <v>1555</v>
      </c>
      <c r="DM540" s="496" t="s">
        <v>1981</v>
      </c>
      <c r="DN540" s="497" t="s">
        <v>1982</v>
      </c>
      <c r="DP540" s="543">
        <v>1</v>
      </c>
    </row>
    <row r="541" spans="2:120" ht="15">
      <c r="B541" s="683"/>
      <c r="C541" s="683"/>
      <c r="D541" s="683"/>
      <c r="E541" s="683" cm="1">
        <f t="array" ref="E541">IF(H540&lt;&gt;"",E540,IF(E540="","",IFERROR(MATCH(TRUE(),INDEX(INDEX(K:K,E540+1):K203&lt;&gt;"",0),0)+E540,"")))</f>
        <v>682</v>
      </c>
      <c r="F541" s="684" cm="1">
        <f t="array" ref="F541">IF(E541="","",IF(H540&lt;&gt;"",H540,INDEX(D:D,E541)))</f>
        <v>0</v>
      </c>
      <c r="G541" s="684" t="str">
        <f t="shared" si="60"/>
        <v>0</v>
      </c>
      <c r="H541" s="685" t="str">
        <f t="shared" si="61"/>
        <v/>
      </c>
      <c r="I541" s="683" t="str">
        <f>IF(AND(F541&lt;&gt;"",N10&gt;0,M541&gt;N10),"Mot &gt; limite","")</f>
        <v/>
      </c>
      <c r="M541" s="638">
        <f>IF(OR(F541="",N10="",N10&lt;=0),"",IF(LEN(F541)&lt;=N10,LEN(F541),IFERROR(FIND("♦",SUBSTITUTE(LEFT(F541,N10)," ","♦",LEN(LEFT(F541,N10))-LEN(SUBSTITUTE(LEFT(F541,N10)," ","")))),FIND(" ",F541&amp;" ",N10+1)-1)))</f>
        <v>1</v>
      </c>
      <c r="N541" s="686">
        <f t="shared" si="62"/>
        <v>524</v>
      </c>
      <c r="O541" s="663" t="str">
        <f t="shared" si="63"/>
        <v>0</v>
      </c>
      <c r="P541" s="686">
        <f t="shared" si="64"/>
        <v>1</v>
      </c>
      <c r="Q541" s="686">
        <f t="shared" si="65"/>
        <v>1</v>
      </c>
      <c r="DE541" s="494"/>
      <c r="DF541" s="496" t="s">
        <v>2166</v>
      </c>
      <c r="DG541" s="496" t="s">
        <v>8</v>
      </c>
      <c r="DH541" s="496" t="s">
        <v>689</v>
      </c>
      <c r="DI541" s="496" t="s">
        <v>2167</v>
      </c>
      <c r="DJ541" s="496" t="s">
        <v>2167</v>
      </c>
      <c r="DK541" s="496" t="s">
        <v>1554</v>
      </c>
      <c r="DL541" s="496" t="s">
        <v>1555</v>
      </c>
      <c r="DM541" s="496" t="s">
        <v>1981</v>
      </c>
      <c r="DN541" s="497" t="s">
        <v>1982</v>
      </c>
      <c r="DP541" s="543">
        <v>1</v>
      </c>
    </row>
    <row r="542" spans="2:120" ht="15">
      <c r="B542" s="683"/>
      <c r="C542" s="683"/>
      <c r="D542" s="683"/>
      <c r="E542" s="683" cm="1">
        <f t="array" ref="E542">IF(H541&lt;&gt;"",E541,IF(E541="","",IFERROR(MATCH(TRUE(),INDEX(INDEX(K:K,E541+1):K203&lt;&gt;"",0),0)+E541,"")))</f>
        <v>683</v>
      </c>
      <c r="F542" s="684" cm="1">
        <f t="array" ref="F542">IF(E542="","",IF(H541&lt;&gt;"",H541,INDEX(D:D,E542)))</f>
        <v>0</v>
      </c>
      <c r="G542" s="684" t="str">
        <f t="shared" si="60"/>
        <v>0</v>
      </c>
      <c r="H542" s="685" t="str">
        <f t="shared" si="61"/>
        <v/>
      </c>
      <c r="I542" s="683" t="str">
        <f>IF(AND(F542&lt;&gt;"",N10&gt;0,M542&gt;N10),"Mot &gt; limite","")</f>
        <v/>
      </c>
      <c r="M542" s="638">
        <f>IF(OR(F542="",N10="",N10&lt;=0),"",IF(LEN(F542)&lt;=N10,LEN(F542),IFERROR(FIND("♦",SUBSTITUTE(LEFT(F542,N10)," ","♦",LEN(LEFT(F542,N10))-LEN(SUBSTITUTE(LEFT(F542,N10)," ","")))),FIND(" ",F542&amp;" ",N10+1)-1)))</f>
        <v>1</v>
      </c>
      <c r="N542" s="686">
        <f t="shared" si="62"/>
        <v>525</v>
      </c>
      <c r="O542" s="663" t="str">
        <f t="shared" si="63"/>
        <v>0</v>
      </c>
      <c r="P542" s="686">
        <f t="shared" si="64"/>
        <v>1</v>
      </c>
      <c r="Q542" s="686">
        <f t="shared" si="65"/>
        <v>1</v>
      </c>
      <c r="DE542" s="494"/>
      <c r="DF542" s="496" t="s">
        <v>2168</v>
      </c>
      <c r="DG542" s="496" t="s">
        <v>8</v>
      </c>
      <c r="DH542" s="496" t="s">
        <v>689</v>
      </c>
      <c r="DI542" s="496" t="s">
        <v>2169</v>
      </c>
      <c r="DJ542" s="496" t="s">
        <v>2169</v>
      </c>
      <c r="DK542" s="496" t="s">
        <v>1554</v>
      </c>
      <c r="DL542" s="496" t="s">
        <v>1555</v>
      </c>
      <c r="DM542" s="496" t="s">
        <v>1981</v>
      </c>
      <c r="DN542" s="497" t="s">
        <v>1982</v>
      </c>
      <c r="DP542" s="543">
        <v>1</v>
      </c>
    </row>
    <row r="543" spans="2:120" ht="15">
      <c r="B543" s="683"/>
      <c r="C543" s="683"/>
      <c r="D543" s="683"/>
      <c r="E543" s="683" cm="1">
        <f t="array" ref="E543">IF(H542&lt;&gt;"",E542,IF(E542="","",IFERROR(MATCH(TRUE(),INDEX(INDEX(K:K,E542+1):K203&lt;&gt;"",0),0)+E542,"")))</f>
        <v>684</v>
      </c>
      <c r="F543" s="684" cm="1">
        <f t="array" ref="F543">IF(E543="","",IF(H542&lt;&gt;"",H542,INDEX(D:D,E543)))</f>
        <v>0</v>
      </c>
      <c r="G543" s="684" t="str">
        <f t="shared" si="60"/>
        <v>0</v>
      </c>
      <c r="H543" s="685" t="str">
        <f t="shared" si="61"/>
        <v/>
      </c>
      <c r="I543" s="683" t="str">
        <f>IF(AND(F543&lt;&gt;"",N10&gt;0,M543&gt;N10),"Mot &gt; limite","")</f>
        <v/>
      </c>
      <c r="M543" s="638">
        <f>IF(OR(F543="",N10="",N10&lt;=0),"",IF(LEN(F543)&lt;=N10,LEN(F543),IFERROR(FIND("♦",SUBSTITUTE(LEFT(F543,N10)," ","♦",LEN(LEFT(F543,N10))-LEN(SUBSTITUTE(LEFT(F543,N10)," ","")))),FIND(" ",F543&amp;" ",N10+1)-1)))</f>
        <v>1</v>
      </c>
      <c r="N543" s="686">
        <f t="shared" si="62"/>
        <v>526</v>
      </c>
      <c r="O543" s="663" t="str">
        <f t="shared" si="63"/>
        <v>0</v>
      </c>
      <c r="P543" s="686">
        <f t="shared" si="64"/>
        <v>1</v>
      </c>
      <c r="Q543" s="686">
        <f t="shared" si="65"/>
        <v>1</v>
      </c>
      <c r="DE543" s="494"/>
      <c r="DF543" s="496" t="s">
        <v>2170</v>
      </c>
      <c r="DG543" s="496" t="s">
        <v>8</v>
      </c>
      <c r="DH543" s="496" t="s">
        <v>689</v>
      </c>
      <c r="DI543" s="496" t="s">
        <v>2171</v>
      </c>
      <c r="DJ543" s="496" t="s">
        <v>2171</v>
      </c>
      <c r="DK543" s="496" t="s">
        <v>1554</v>
      </c>
      <c r="DL543" s="496" t="s">
        <v>1555</v>
      </c>
      <c r="DM543" s="496" t="s">
        <v>1981</v>
      </c>
      <c r="DN543" s="497" t="s">
        <v>1982</v>
      </c>
      <c r="DP543" s="543">
        <v>1</v>
      </c>
    </row>
    <row r="544" spans="2:120" ht="15">
      <c r="B544" s="683"/>
      <c r="C544" s="683"/>
      <c r="D544" s="683"/>
      <c r="E544" s="683" cm="1">
        <f t="array" ref="E544">IF(H543&lt;&gt;"",E543,IF(E543="","",IFERROR(MATCH(TRUE(),INDEX(INDEX(K:K,E543+1):K203&lt;&gt;"",0),0)+E543,"")))</f>
        <v>685</v>
      </c>
      <c r="F544" s="684" cm="1">
        <f t="array" ref="F544">IF(E544="","",IF(H543&lt;&gt;"",H543,INDEX(D:D,E544)))</f>
        <v>0</v>
      </c>
      <c r="G544" s="684" t="str">
        <f t="shared" si="60"/>
        <v>0</v>
      </c>
      <c r="H544" s="685" t="str">
        <f t="shared" si="61"/>
        <v/>
      </c>
      <c r="I544" s="683" t="str">
        <f>IF(AND(F544&lt;&gt;"",N10&gt;0,M544&gt;N10),"Mot &gt; limite","")</f>
        <v/>
      </c>
      <c r="M544" s="638">
        <f>IF(OR(F544="",N10="",N10&lt;=0),"",IF(LEN(F544)&lt;=N10,LEN(F544),IFERROR(FIND("♦",SUBSTITUTE(LEFT(F544,N10)," ","♦",LEN(LEFT(F544,N10))-LEN(SUBSTITUTE(LEFT(F544,N10)," ","")))),FIND(" ",F544&amp;" ",N10+1)-1)))</f>
        <v>1</v>
      </c>
      <c r="N544" s="686">
        <f t="shared" si="62"/>
        <v>527</v>
      </c>
      <c r="O544" s="663" t="str">
        <f t="shared" si="63"/>
        <v>0</v>
      </c>
      <c r="P544" s="686">
        <f t="shared" si="64"/>
        <v>1</v>
      </c>
      <c r="Q544" s="686">
        <f t="shared" si="65"/>
        <v>1</v>
      </c>
      <c r="DE544" s="494"/>
      <c r="DF544" s="496" t="s">
        <v>2172</v>
      </c>
      <c r="DG544" s="496" t="s">
        <v>8</v>
      </c>
      <c r="DH544" s="496" t="s">
        <v>689</v>
      </c>
      <c r="DI544" s="496" t="s">
        <v>2173</v>
      </c>
      <c r="DJ544" s="496" t="s">
        <v>2173</v>
      </c>
      <c r="DK544" s="496" t="s">
        <v>1554</v>
      </c>
      <c r="DL544" s="496" t="s">
        <v>1555</v>
      </c>
      <c r="DM544" s="496" t="s">
        <v>1981</v>
      </c>
      <c r="DN544" s="497" t="s">
        <v>1982</v>
      </c>
      <c r="DP544" s="543">
        <v>1</v>
      </c>
    </row>
    <row r="545" spans="2:120" ht="15">
      <c r="B545" s="683"/>
      <c r="C545" s="683"/>
      <c r="D545" s="683"/>
      <c r="E545" s="683" cm="1">
        <f t="array" ref="E545">IF(H544&lt;&gt;"",E544,IF(E544="","",IFERROR(MATCH(TRUE(),INDEX(INDEX(K:K,E544+1):K203&lt;&gt;"",0),0)+E544,"")))</f>
        <v>686</v>
      </c>
      <c r="F545" s="684" cm="1">
        <f t="array" ref="F545">IF(E545="","",IF(H544&lt;&gt;"",H544,INDEX(D:D,E545)))</f>
        <v>0</v>
      </c>
      <c r="G545" s="684" t="str">
        <f t="shared" si="60"/>
        <v>0</v>
      </c>
      <c r="H545" s="685" t="str">
        <f t="shared" si="61"/>
        <v/>
      </c>
      <c r="I545" s="683" t="str">
        <f>IF(AND(F545&lt;&gt;"",N10&gt;0,M545&gt;N10),"Mot &gt; limite","")</f>
        <v/>
      </c>
      <c r="M545" s="638">
        <f>IF(OR(F545="",N10="",N10&lt;=0),"",IF(LEN(F545)&lt;=N10,LEN(F545),IFERROR(FIND("♦",SUBSTITUTE(LEFT(F545,N10)," ","♦",LEN(LEFT(F545,N10))-LEN(SUBSTITUTE(LEFT(F545,N10)," ","")))),FIND(" ",F545&amp;" ",N10+1)-1)))</f>
        <v>1</v>
      </c>
      <c r="N545" s="686">
        <f t="shared" si="62"/>
        <v>528</v>
      </c>
      <c r="O545" s="663" t="str">
        <f t="shared" si="63"/>
        <v>0</v>
      </c>
      <c r="P545" s="686">
        <f t="shared" si="64"/>
        <v>1</v>
      </c>
      <c r="Q545" s="686">
        <f t="shared" si="65"/>
        <v>1</v>
      </c>
      <c r="DE545" s="494"/>
      <c r="DF545" s="496" t="s">
        <v>2174</v>
      </c>
      <c r="DG545" s="496" t="s">
        <v>8</v>
      </c>
      <c r="DH545" s="496" t="s">
        <v>689</v>
      </c>
      <c r="DI545" s="496" t="s">
        <v>2175</v>
      </c>
      <c r="DJ545" s="496" t="s">
        <v>2175</v>
      </c>
      <c r="DK545" s="496" t="s">
        <v>1554</v>
      </c>
      <c r="DL545" s="496" t="s">
        <v>1555</v>
      </c>
      <c r="DM545" s="496" t="s">
        <v>1981</v>
      </c>
      <c r="DN545" s="497" t="s">
        <v>1982</v>
      </c>
      <c r="DP545" s="543">
        <v>1</v>
      </c>
    </row>
    <row r="546" spans="2:120" ht="15">
      <c r="B546" s="683"/>
      <c r="C546" s="683"/>
      <c r="D546" s="683"/>
      <c r="E546" s="683" cm="1">
        <f t="array" ref="E546">IF(H545&lt;&gt;"",E545,IF(E545="","",IFERROR(MATCH(TRUE(),INDEX(INDEX(K:K,E545+1):K203&lt;&gt;"",0),0)+E545,"")))</f>
        <v>687</v>
      </c>
      <c r="F546" s="684" cm="1">
        <f t="array" ref="F546">IF(E546="","",IF(H545&lt;&gt;"",H545,INDEX(D:D,E546)))</f>
        <v>0</v>
      </c>
      <c r="G546" s="684" t="str">
        <f t="shared" si="60"/>
        <v>0</v>
      </c>
      <c r="H546" s="685" t="str">
        <f t="shared" si="61"/>
        <v/>
      </c>
      <c r="I546" s="683" t="str">
        <f>IF(AND(F546&lt;&gt;"",N10&gt;0,M546&gt;N10),"Mot &gt; limite","")</f>
        <v/>
      </c>
      <c r="M546" s="638">
        <f>IF(OR(F546="",N10="",N10&lt;=0),"",IF(LEN(F546)&lt;=N10,LEN(F546),IFERROR(FIND("♦",SUBSTITUTE(LEFT(F546,N10)," ","♦",LEN(LEFT(F546,N10))-LEN(SUBSTITUTE(LEFT(F546,N10)," ","")))),FIND(" ",F546&amp;" ",N10+1)-1)))</f>
        <v>1</v>
      </c>
      <c r="N546" s="686">
        <f t="shared" si="62"/>
        <v>529</v>
      </c>
      <c r="O546" s="663" t="str">
        <f t="shared" si="63"/>
        <v>0</v>
      </c>
      <c r="P546" s="686">
        <f t="shared" si="64"/>
        <v>1</v>
      </c>
      <c r="Q546" s="686">
        <f t="shared" si="65"/>
        <v>1</v>
      </c>
      <c r="DE546" s="494"/>
      <c r="DF546" s="496" t="s">
        <v>2176</v>
      </c>
      <c r="DG546" s="496" t="s">
        <v>8</v>
      </c>
      <c r="DH546" s="496" t="s">
        <v>689</v>
      </c>
      <c r="DI546" s="496" t="s">
        <v>2177</v>
      </c>
      <c r="DJ546" s="496" t="s">
        <v>2177</v>
      </c>
      <c r="DK546" s="496" t="s">
        <v>1554</v>
      </c>
      <c r="DL546" s="496" t="s">
        <v>1555</v>
      </c>
      <c r="DM546" s="496" t="s">
        <v>1981</v>
      </c>
      <c r="DN546" s="497" t="s">
        <v>1982</v>
      </c>
      <c r="DP546" s="543">
        <v>1</v>
      </c>
    </row>
    <row r="547" spans="2:120" ht="15">
      <c r="B547" s="683"/>
      <c r="C547" s="683"/>
      <c r="D547" s="683"/>
      <c r="E547" s="683" cm="1">
        <f t="array" ref="E547">IF(H546&lt;&gt;"",E546,IF(E546="","",IFERROR(MATCH(TRUE(),INDEX(INDEX(K:K,E546+1):K203&lt;&gt;"",0),0)+E546,"")))</f>
        <v>688</v>
      </c>
      <c r="F547" s="684" cm="1">
        <f t="array" ref="F547">IF(E547="","",IF(H546&lt;&gt;"",H546,INDEX(D:D,E547)))</f>
        <v>0</v>
      </c>
      <c r="G547" s="684" t="str">
        <f t="shared" si="60"/>
        <v>0</v>
      </c>
      <c r="H547" s="685" t="str">
        <f t="shared" si="61"/>
        <v/>
      </c>
      <c r="I547" s="683" t="str">
        <f>IF(AND(F547&lt;&gt;"",N10&gt;0,M547&gt;N10),"Mot &gt; limite","")</f>
        <v/>
      </c>
      <c r="M547" s="638">
        <f>IF(OR(F547="",N10="",N10&lt;=0),"",IF(LEN(F547)&lt;=N10,LEN(F547),IFERROR(FIND("♦",SUBSTITUTE(LEFT(F547,N10)," ","♦",LEN(LEFT(F547,N10))-LEN(SUBSTITUTE(LEFT(F547,N10)," ","")))),FIND(" ",F547&amp;" ",N10+1)-1)))</f>
        <v>1</v>
      </c>
      <c r="N547" s="686">
        <f t="shared" si="62"/>
        <v>530</v>
      </c>
      <c r="O547" s="663" t="str">
        <f t="shared" si="63"/>
        <v>0</v>
      </c>
      <c r="P547" s="686">
        <f t="shared" si="64"/>
        <v>1</v>
      </c>
      <c r="Q547" s="686">
        <f t="shared" si="65"/>
        <v>1</v>
      </c>
      <c r="DE547" s="494"/>
      <c r="DF547" s="496" t="s">
        <v>2178</v>
      </c>
      <c r="DG547" s="496" t="s">
        <v>8</v>
      </c>
      <c r="DH547" s="496" t="s">
        <v>689</v>
      </c>
      <c r="DI547" s="496" t="s">
        <v>2179</v>
      </c>
      <c r="DJ547" s="496" t="s">
        <v>2179</v>
      </c>
      <c r="DK547" s="496" t="s">
        <v>1554</v>
      </c>
      <c r="DL547" s="496" t="s">
        <v>1555</v>
      </c>
      <c r="DM547" s="496" t="s">
        <v>1981</v>
      </c>
      <c r="DN547" s="497" t="s">
        <v>1982</v>
      </c>
      <c r="DP547" s="543">
        <v>1</v>
      </c>
    </row>
    <row r="548" spans="2:120" ht="15">
      <c r="B548" s="683"/>
      <c r="C548" s="683"/>
      <c r="D548" s="683"/>
      <c r="E548" s="683" cm="1">
        <f t="array" ref="E548">IF(H547&lt;&gt;"",E547,IF(E547="","",IFERROR(MATCH(TRUE(),INDEX(INDEX(K:K,E547+1):K203&lt;&gt;"",0),0)+E547,"")))</f>
        <v>689</v>
      </c>
      <c r="F548" s="684" cm="1">
        <f t="array" ref="F548">IF(E548="","",IF(H547&lt;&gt;"",H547,INDEX(D:D,E548)))</f>
        <v>0</v>
      </c>
      <c r="G548" s="684" t="str">
        <f t="shared" si="60"/>
        <v>0</v>
      </c>
      <c r="H548" s="685" t="str">
        <f t="shared" si="61"/>
        <v/>
      </c>
      <c r="I548" s="683" t="str">
        <f>IF(AND(F548&lt;&gt;"",N10&gt;0,M548&gt;N10),"Mot &gt; limite","")</f>
        <v/>
      </c>
      <c r="M548" s="638">
        <f>IF(OR(F548="",N10="",N10&lt;=0),"",IF(LEN(F548)&lt;=N10,LEN(F548),IFERROR(FIND("♦",SUBSTITUTE(LEFT(F548,N10)," ","♦",LEN(LEFT(F548,N10))-LEN(SUBSTITUTE(LEFT(F548,N10)," ","")))),FIND(" ",F548&amp;" ",N10+1)-1)))</f>
        <v>1</v>
      </c>
      <c r="N548" s="686">
        <f t="shared" si="62"/>
        <v>531</v>
      </c>
      <c r="O548" s="663" t="str">
        <f t="shared" si="63"/>
        <v>0</v>
      </c>
      <c r="P548" s="686">
        <f t="shared" si="64"/>
        <v>1</v>
      </c>
      <c r="Q548" s="686">
        <f t="shared" si="65"/>
        <v>1</v>
      </c>
      <c r="DE548" s="494"/>
      <c r="DF548" s="496" t="s">
        <v>2180</v>
      </c>
      <c r="DG548" s="496" t="s">
        <v>8</v>
      </c>
      <c r="DH548" s="496" t="s">
        <v>689</v>
      </c>
      <c r="DI548" s="496" t="s">
        <v>2181</v>
      </c>
      <c r="DJ548" s="496" t="s">
        <v>2181</v>
      </c>
      <c r="DK548" s="496" t="s">
        <v>1554</v>
      </c>
      <c r="DL548" s="496" t="s">
        <v>1555</v>
      </c>
      <c r="DM548" s="496" t="s">
        <v>1981</v>
      </c>
      <c r="DN548" s="497" t="s">
        <v>1982</v>
      </c>
      <c r="DP548" s="543">
        <v>1</v>
      </c>
    </row>
    <row r="549" spans="2:120" ht="15">
      <c r="B549" s="683"/>
      <c r="C549" s="683"/>
      <c r="D549" s="683"/>
      <c r="E549" s="683" cm="1">
        <f t="array" ref="E549">IF(H548&lt;&gt;"",E548,IF(E548="","",IFERROR(MATCH(TRUE(),INDEX(INDEX(K:K,E548+1):K203&lt;&gt;"",0),0)+E548,"")))</f>
        <v>690</v>
      </c>
      <c r="F549" s="684" cm="1">
        <f t="array" ref="F549">IF(E549="","",IF(H548&lt;&gt;"",H548,INDEX(D:D,E549)))</f>
        <v>0</v>
      </c>
      <c r="G549" s="684" t="str">
        <f t="shared" si="60"/>
        <v>0</v>
      </c>
      <c r="H549" s="685" t="str">
        <f t="shared" si="61"/>
        <v/>
      </c>
      <c r="I549" s="683" t="str">
        <f>IF(AND(F549&lt;&gt;"",N10&gt;0,M549&gt;N10),"Mot &gt; limite","")</f>
        <v/>
      </c>
      <c r="M549" s="638">
        <f>IF(OR(F549="",N10="",N10&lt;=0),"",IF(LEN(F549)&lt;=N10,LEN(F549),IFERROR(FIND("♦",SUBSTITUTE(LEFT(F549,N10)," ","♦",LEN(LEFT(F549,N10))-LEN(SUBSTITUTE(LEFT(F549,N10)," ","")))),FIND(" ",F549&amp;" ",N10+1)-1)))</f>
        <v>1</v>
      </c>
      <c r="N549" s="686">
        <f t="shared" si="62"/>
        <v>532</v>
      </c>
      <c r="O549" s="663" t="str">
        <f t="shared" si="63"/>
        <v>0</v>
      </c>
      <c r="P549" s="686">
        <f t="shared" si="64"/>
        <v>1</v>
      </c>
      <c r="Q549" s="686">
        <f t="shared" si="65"/>
        <v>1</v>
      </c>
      <c r="DE549" s="494"/>
      <c r="DF549" s="496" t="s">
        <v>2182</v>
      </c>
      <c r="DG549" s="496" t="s">
        <v>8</v>
      </c>
      <c r="DH549" s="496" t="s">
        <v>689</v>
      </c>
      <c r="DI549" s="496" t="s">
        <v>2183</v>
      </c>
      <c r="DJ549" s="496" t="s">
        <v>2183</v>
      </c>
      <c r="DK549" s="496" t="s">
        <v>1554</v>
      </c>
      <c r="DL549" s="496" t="s">
        <v>1555</v>
      </c>
      <c r="DM549" s="496" t="s">
        <v>1981</v>
      </c>
      <c r="DN549" s="497" t="s">
        <v>1982</v>
      </c>
      <c r="DP549" s="543">
        <v>1</v>
      </c>
    </row>
    <row r="550" spans="2:120" ht="15">
      <c r="B550" s="683"/>
      <c r="C550" s="683"/>
      <c r="D550" s="683"/>
      <c r="E550" s="683" cm="1">
        <f t="array" ref="E550">IF(H549&lt;&gt;"",E549,IF(E549="","",IFERROR(MATCH(TRUE(),INDEX(INDEX(K:K,E549+1):K203&lt;&gt;"",0),0)+E549,"")))</f>
        <v>691</v>
      </c>
      <c r="F550" s="684" cm="1">
        <f t="array" ref="F550">IF(E550="","",IF(H549&lt;&gt;"",H549,INDEX(D:D,E550)))</f>
        <v>0</v>
      </c>
      <c r="G550" s="684" t="str">
        <f t="shared" si="60"/>
        <v>0</v>
      </c>
      <c r="H550" s="685" t="str">
        <f t="shared" si="61"/>
        <v/>
      </c>
      <c r="I550" s="683" t="str">
        <f>IF(AND(F550&lt;&gt;"",N10&gt;0,M550&gt;N10),"Mot &gt; limite","")</f>
        <v/>
      </c>
      <c r="M550" s="638">
        <f>IF(OR(F550="",N10="",N10&lt;=0),"",IF(LEN(F550)&lt;=N10,LEN(F550),IFERROR(FIND("♦",SUBSTITUTE(LEFT(F550,N10)," ","♦",LEN(LEFT(F550,N10))-LEN(SUBSTITUTE(LEFT(F550,N10)," ","")))),FIND(" ",F550&amp;" ",N10+1)-1)))</f>
        <v>1</v>
      </c>
      <c r="N550" s="686">
        <f t="shared" si="62"/>
        <v>533</v>
      </c>
      <c r="O550" s="663" t="str">
        <f t="shared" si="63"/>
        <v>0</v>
      </c>
      <c r="P550" s="686">
        <f t="shared" si="64"/>
        <v>1</v>
      </c>
      <c r="Q550" s="686">
        <f t="shared" si="65"/>
        <v>1</v>
      </c>
      <c r="DE550" s="494"/>
      <c r="DF550" s="496" t="s">
        <v>2184</v>
      </c>
      <c r="DG550" s="496" t="s">
        <v>8</v>
      </c>
      <c r="DH550" s="496" t="s">
        <v>689</v>
      </c>
      <c r="DI550" s="496" t="s">
        <v>2185</v>
      </c>
      <c r="DJ550" s="496" t="s">
        <v>2185</v>
      </c>
      <c r="DK550" s="496" t="s">
        <v>1554</v>
      </c>
      <c r="DL550" s="496" t="s">
        <v>1555</v>
      </c>
      <c r="DM550" s="496" t="s">
        <v>1981</v>
      </c>
      <c r="DN550" s="497" t="s">
        <v>1982</v>
      </c>
      <c r="DP550" s="543">
        <v>1</v>
      </c>
    </row>
    <row r="551" spans="2:120" ht="15">
      <c r="B551" s="683"/>
      <c r="C551" s="683"/>
      <c r="D551" s="683"/>
      <c r="E551" s="683" cm="1">
        <f t="array" ref="E551">IF(H550&lt;&gt;"",E550,IF(E550="","",IFERROR(MATCH(TRUE(),INDEX(INDEX(K:K,E550+1):K203&lt;&gt;"",0),0)+E550,"")))</f>
        <v>692</v>
      </c>
      <c r="F551" s="684" cm="1">
        <f t="array" ref="F551">IF(E551="","",IF(H550&lt;&gt;"",H550,INDEX(D:D,E551)))</f>
        <v>0</v>
      </c>
      <c r="G551" s="684" t="str">
        <f t="shared" si="60"/>
        <v>0</v>
      </c>
      <c r="H551" s="685" t="str">
        <f t="shared" si="61"/>
        <v/>
      </c>
      <c r="I551" s="683" t="str">
        <f>IF(AND(F551&lt;&gt;"",N10&gt;0,M551&gt;N10),"Mot &gt; limite","")</f>
        <v/>
      </c>
      <c r="M551" s="638">
        <f>IF(OR(F551="",N10="",N10&lt;=0),"",IF(LEN(F551)&lt;=N10,LEN(F551),IFERROR(FIND("♦",SUBSTITUTE(LEFT(F551,N10)," ","♦",LEN(LEFT(F551,N10))-LEN(SUBSTITUTE(LEFT(F551,N10)," ","")))),FIND(" ",F551&amp;" ",N10+1)-1)))</f>
        <v>1</v>
      </c>
      <c r="N551" s="686">
        <f t="shared" si="62"/>
        <v>534</v>
      </c>
      <c r="O551" s="663" t="str">
        <f t="shared" si="63"/>
        <v>0</v>
      </c>
      <c r="P551" s="686">
        <f t="shared" si="64"/>
        <v>1</v>
      </c>
      <c r="Q551" s="686">
        <f t="shared" si="65"/>
        <v>1</v>
      </c>
      <c r="DE551" s="494"/>
      <c r="DF551" s="496" t="s">
        <v>2186</v>
      </c>
      <c r="DG551" s="496" t="s">
        <v>8</v>
      </c>
      <c r="DH551" s="496" t="s">
        <v>689</v>
      </c>
      <c r="DI551" s="496" t="s">
        <v>2187</v>
      </c>
      <c r="DJ551" s="496" t="s">
        <v>2187</v>
      </c>
      <c r="DK551" s="496" t="s">
        <v>1554</v>
      </c>
      <c r="DL551" s="496" t="s">
        <v>1555</v>
      </c>
      <c r="DM551" s="496" t="s">
        <v>1981</v>
      </c>
      <c r="DN551" s="497" t="s">
        <v>1982</v>
      </c>
      <c r="DP551" s="543">
        <v>1</v>
      </c>
    </row>
    <row r="552" spans="2:120" ht="15">
      <c r="B552" s="683"/>
      <c r="C552" s="683"/>
      <c r="D552" s="683"/>
      <c r="E552" s="683" cm="1">
        <f t="array" ref="E552">IF(H551&lt;&gt;"",E551,IF(E551="","",IFERROR(MATCH(TRUE(),INDEX(INDEX(K:K,E551+1):K203&lt;&gt;"",0),0)+E551,"")))</f>
        <v>693</v>
      </c>
      <c r="F552" s="684" cm="1">
        <f t="array" ref="F552">IF(E552="","",IF(H551&lt;&gt;"",H551,INDEX(D:D,E552)))</f>
        <v>0</v>
      </c>
      <c r="G552" s="684" t="str">
        <f t="shared" si="60"/>
        <v>0</v>
      </c>
      <c r="H552" s="685" t="str">
        <f t="shared" si="61"/>
        <v/>
      </c>
      <c r="I552" s="683" t="str">
        <f>IF(AND(F552&lt;&gt;"",N10&gt;0,M552&gt;N10),"Mot &gt; limite","")</f>
        <v/>
      </c>
      <c r="M552" s="638">
        <f>IF(OR(F552="",N10="",N10&lt;=0),"",IF(LEN(F552)&lt;=N10,LEN(F552),IFERROR(FIND("♦",SUBSTITUTE(LEFT(F552,N10)," ","♦",LEN(LEFT(F552,N10))-LEN(SUBSTITUTE(LEFT(F552,N10)," ","")))),FIND(" ",F552&amp;" ",N10+1)-1)))</f>
        <v>1</v>
      </c>
      <c r="N552" s="686">
        <f t="shared" si="62"/>
        <v>535</v>
      </c>
      <c r="O552" s="663" t="str">
        <f t="shared" si="63"/>
        <v>0</v>
      </c>
      <c r="P552" s="686">
        <f t="shared" si="64"/>
        <v>1</v>
      </c>
      <c r="Q552" s="686">
        <f t="shared" si="65"/>
        <v>1</v>
      </c>
      <c r="DE552" s="494"/>
      <c r="DF552" s="496" t="s">
        <v>2188</v>
      </c>
      <c r="DG552" s="496" t="s">
        <v>8</v>
      </c>
      <c r="DH552" s="496" t="s">
        <v>689</v>
      </c>
      <c r="DI552" s="496" t="s">
        <v>2189</v>
      </c>
      <c r="DJ552" s="496" t="s">
        <v>2189</v>
      </c>
      <c r="DK552" s="496" t="s">
        <v>1554</v>
      </c>
      <c r="DL552" s="496" t="s">
        <v>1555</v>
      </c>
      <c r="DM552" s="496" t="s">
        <v>1981</v>
      </c>
      <c r="DN552" s="497" t="s">
        <v>1982</v>
      </c>
      <c r="DP552" s="543">
        <v>1</v>
      </c>
    </row>
    <row r="553" spans="2:120" ht="15">
      <c r="B553" s="683"/>
      <c r="C553" s="683"/>
      <c r="D553" s="683"/>
      <c r="E553" s="683" cm="1">
        <f t="array" ref="E553">IF(H552&lt;&gt;"",E552,IF(E552="","",IFERROR(MATCH(TRUE(),INDEX(INDEX(K:K,E552+1):K203&lt;&gt;"",0),0)+E552,"")))</f>
        <v>694</v>
      </c>
      <c r="F553" s="684" cm="1">
        <f t="array" ref="F553">IF(E553="","",IF(H552&lt;&gt;"",H552,INDEX(D:D,E553)))</f>
        <v>0</v>
      </c>
      <c r="G553" s="684" t="str">
        <f t="shared" si="60"/>
        <v>0</v>
      </c>
      <c r="H553" s="685" t="str">
        <f t="shared" si="61"/>
        <v/>
      </c>
      <c r="I553" s="683" t="str">
        <f>IF(AND(F553&lt;&gt;"",N10&gt;0,M553&gt;N10),"Mot &gt; limite","")</f>
        <v/>
      </c>
      <c r="M553" s="638">
        <f>IF(OR(F553="",N10="",N10&lt;=0),"",IF(LEN(F553)&lt;=N10,LEN(F553),IFERROR(FIND("♦",SUBSTITUTE(LEFT(F553,N10)," ","♦",LEN(LEFT(F553,N10))-LEN(SUBSTITUTE(LEFT(F553,N10)," ","")))),FIND(" ",F553&amp;" ",N10+1)-1)))</f>
        <v>1</v>
      </c>
      <c r="N553" s="686">
        <f t="shared" si="62"/>
        <v>536</v>
      </c>
      <c r="O553" s="663" t="str">
        <f t="shared" si="63"/>
        <v>0</v>
      </c>
      <c r="P553" s="686">
        <f t="shared" si="64"/>
        <v>1</v>
      </c>
      <c r="Q553" s="686">
        <f t="shared" si="65"/>
        <v>1</v>
      </c>
      <c r="DE553" s="494"/>
      <c r="DF553" s="496" t="s">
        <v>2190</v>
      </c>
      <c r="DG553" s="496" t="s">
        <v>8</v>
      </c>
      <c r="DH553" s="496" t="s">
        <v>689</v>
      </c>
      <c r="DI553" s="496" t="s">
        <v>2191</v>
      </c>
      <c r="DJ553" s="496" t="s">
        <v>2191</v>
      </c>
      <c r="DK553" s="496" t="s">
        <v>1554</v>
      </c>
      <c r="DL553" s="496" t="s">
        <v>1555</v>
      </c>
      <c r="DM553" s="496" t="s">
        <v>1981</v>
      </c>
      <c r="DN553" s="497" t="s">
        <v>1982</v>
      </c>
      <c r="DP553" s="543">
        <v>1</v>
      </c>
    </row>
    <row r="554" spans="2:120" ht="15">
      <c r="B554" s="683"/>
      <c r="C554" s="683"/>
      <c r="D554" s="683"/>
      <c r="E554" s="683" cm="1">
        <f t="array" ref="E554">IF(H553&lt;&gt;"",E553,IF(E553="","",IFERROR(MATCH(TRUE(),INDEX(INDEX(K:K,E553+1):K203&lt;&gt;"",0),0)+E553,"")))</f>
        <v>695</v>
      </c>
      <c r="F554" s="684" cm="1">
        <f t="array" ref="F554">IF(E554="","",IF(H553&lt;&gt;"",H553,INDEX(D:D,E554)))</f>
        <v>0</v>
      </c>
      <c r="G554" s="684" t="str">
        <f t="shared" si="60"/>
        <v>0</v>
      </c>
      <c r="H554" s="685" t="str">
        <f t="shared" si="61"/>
        <v/>
      </c>
      <c r="I554" s="683" t="str">
        <f>IF(AND(F554&lt;&gt;"",N10&gt;0,M554&gt;N10),"Mot &gt; limite","")</f>
        <v/>
      </c>
      <c r="M554" s="638">
        <f>IF(OR(F554="",N10="",N10&lt;=0),"",IF(LEN(F554)&lt;=N10,LEN(F554),IFERROR(FIND("♦",SUBSTITUTE(LEFT(F554,N10)," ","♦",LEN(LEFT(F554,N10))-LEN(SUBSTITUTE(LEFT(F554,N10)," ","")))),FIND(" ",F554&amp;" ",N10+1)-1)))</f>
        <v>1</v>
      </c>
      <c r="N554" s="686">
        <f t="shared" si="62"/>
        <v>537</v>
      </c>
      <c r="O554" s="663" t="str">
        <f t="shared" si="63"/>
        <v>0</v>
      </c>
      <c r="P554" s="686">
        <f t="shared" si="64"/>
        <v>1</v>
      </c>
      <c r="Q554" s="686">
        <f t="shared" si="65"/>
        <v>1</v>
      </c>
      <c r="DE554" s="494"/>
      <c r="DF554" s="496" t="s">
        <v>2192</v>
      </c>
      <c r="DG554" s="496" t="s">
        <v>8</v>
      </c>
      <c r="DH554" s="496" t="s">
        <v>689</v>
      </c>
      <c r="DI554" s="496" t="s">
        <v>2193</v>
      </c>
      <c r="DJ554" s="496" t="s">
        <v>2193</v>
      </c>
      <c r="DK554" s="496" t="s">
        <v>1085</v>
      </c>
      <c r="DL554" s="496" t="s">
        <v>2063</v>
      </c>
      <c r="DM554" s="496" t="s">
        <v>1087</v>
      </c>
      <c r="DN554" s="497" t="s">
        <v>1088</v>
      </c>
      <c r="DP554" s="543">
        <v>1</v>
      </c>
    </row>
    <row r="555" spans="2:120" ht="15">
      <c r="B555" s="683"/>
      <c r="C555" s="683"/>
      <c r="D555" s="683"/>
      <c r="E555" s="683" cm="1">
        <f t="array" ref="E555">IF(H554&lt;&gt;"",E554,IF(E554="","",IFERROR(MATCH(TRUE(),INDEX(INDEX(K:K,E554+1):K203&lt;&gt;"",0),0)+E554,"")))</f>
        <v>696</v>
      </c>
      <c r="F555" s="684" cm="1">
        <f t="array" ref="F555">IF(E555="","",IF(H554&lt;&gt;"",H554,INDEX(D:D,E555)))</f>
        <v>0</v>
      </c>
      <c r="G555" s="684" t="str">
        <f t="shared" si="60"/>
        <v>0</v>
      </c>
      <c r="H555" s="685" t="str">
        <f t="shared" si="61"/>
        <v/>
      </c>
      <c r="I555" s="683" t="str">
        <f>IF(AND(F555&lt;&gt;"",N10&gt;0,M555&gt;N10),"Mot &gt; limite","")</f>
        <v/>
      </c>
      <c r="M555" s="638">
        <f>IF(OR(F555="",N10="",N10&lt;=0),"",IF(LEN(F555)&lt;=N10,LEN(F555),IFERROR(FIND("♦",SUBSTITUTE(LEFT(F555,N10)," ","♦",LEN(LEFT(F555,N10))-LEN(SUBSTITUTE(LEFT(F555,N10)," ","")))),FIND(" ",F555&amp;" ",N10+1)-1)))</f>
        <v>1</v>
      </c>
      <c r="N555" s="686">
        <f t="shared" si="62"/>
        <v>538</v>
      </c>
      <c r="O555" s="663" t="str">
        <f t="shared" si="63"/>
        <v>0</v>
      </c>
      <c r="P555" s="686">
        <f t="shared" si="64"/>
        <v>1</v>
      </c>
      <c r="Q555" s="686">
        <f t="shared" si="65"/>
        <v>1</v>
      </c>
      <c r="DE555" s="494"/>
      <c r="DF555" s="496" t="s">
        <v>2194</v>
      </c>
      <c r="DG555" s="496" t="s">
        <v>8</v>
      </c>
      <c r="DH555" s="496" t="s">
        <v>689</v>
      </c>
      <c r="DI555" s="496" t="s">
        <v>855</v>
      </c>
      <c r="DJ555" s="496" t="s">
        <v>855</v>
      </c>
      <c r="DK555" s="496" t="s">
        <v>1085</v>
      </c>
      <c r="DL555" s="496" t="s">
        <v>2063</v>
      </c>
      <c r="DM555" s="496" t="s">
        <v>1087</v>
      </c>
      <c r="DN555" s="497" t="s">
        <v>1088</v>
      </c>
      <c r="DP555" s="543">
        <v>1</v>
      </c>
    </row>
    <row r="556" spans="2:120" ht="15">
      <c r="B556" s="683"/>
      <c r="C556" s="683"/>
      <c r="D556" s="683"/>
      <c r="E556" s="683" cm="1">
        <f t="array" ref="E556">IF(H555&lt;&gt;"",E555,IF(E555="","",IFERROR(MATCH(TRUE(),INDEX(INDEX(K:K,E555+1):K203&lt;&gt;"",0),0)+E555,"")))</f>
        <v>697</v>
      </c>
      <c r="F556" s="684" cm="1">
        <f t="array" ref="F556">IF(E556="","",IF(H555&lt;&gt;"",H555,INDEX(D:D,E556)))</f>
        <v>0</v>
      </c>
      <c r="G556" s="684" t="str">
        <f t="shared" si="60"/>
        <v>0</v>
      </c>
      <c r="H556" s="685" t="str">
        <f t="shared" si="61"/>
        <v/>
      </c>
      <c r="I556" s="683" t="str">
        <f>IF(AND(F556&lt;&gt;"",N10&gt;0,M556&gt;N10),"Mot &gt; limite","")</f>
        <v/>
      </c>
      <c r="M556" s="638">
        <f>IF(OR(F556="",N10="",N10&lt;=0),"",IF(LEN(F556)&lt;=N10,LEN(F556),IFERROR(FIND("♦",SUBSTITUTE(LEFT(F556,N10)," ","♦",LEN(LEFT(F556,N10))-LEN(SUBSTITUTE(LEFT(F556,N10)," ","")))),FIND(" ",F556&amp;" ",N10+1)-1)))</f>
        <v>1</v>
      </c>
      <c r="N556" s="686">
        <f t="shared" si="62"/>
        <v>539</v>
      </c>
      <c r="O556" s="663" t="str">
        <f t="shared" si="63"/>
        <v>0</v>
      </c>
      <c r="P556" s="686">
        <f t="shared" si="64"/>
        <v>1</v>
      </c>
      <c r="Q556" s="686">
        <f t="shared" si="65"/>
        <v>1</v>
      </c>
      <c r="DE556" s="494"/>
      <c r="DF556" s="496" t="s">
        <v>2195</v>
      </c>
      <c r="DG556" s="496" t="s">
        <v>8</v>
      </c>
      <c r="DH556" s="496" t="s">
        <v>689</v>
      </c>
      <c r="DI556" s="496" t="s">
        <v>2196</v>
      </c>
      <c r="DJ556" s="496" t="s">
        <v>2196</v>
      </c>
      <c r="DK556" s="496" t="s">
        <v>1085</v>
      </c>
      <c r="DL556" s="496" t="s">
        <v>2063</v>
      </c>
      <c r="DM556" s="496" t="s">
        <v>1087</v>
      </c>
      <c r="DN556" s="497" t="s">
        <v>1088</v>
      </c>
      <c r="DP556" s="543">
        <v>1</v>
      </c>
    </row>
    <row r="557" spans="2:120" ht="15">
      <c r="B557" s="683"/>
      <c r="C557" s="683"/>
      <c r="D557" s="683"/>
      <c r="E557" s="683" cm="1">
        <f t="array" ref="E557">IF(H556&lt;&gt;"",E556,IF(E556="","",IFERROR(MATCH(TRUE(),INDEX(INDEX(K:K,E556+1):K203&lt;&gt;"",0),0)+E556,"")))</f>
        <v>698</v>
      </c>
      <c r="F557" s="684" cm="1">
        <f t="array" ref="F557">IF(E557="","",IF(H556&lt;&gt;"",H556,INDEX(D:D,E557)))</f>
        <v>0</v>
      </c>
      <c r="G557" s="684" t="str">
        <f t="shared" si="60"/>
        <v>0</v>
      </c>
      <c r="H557" s="685" t="str">
        <f t="shared" si="61"/>
        <v/>
      </c>
      <c r="I557" s="683" t="str">
        <f>IF(AND(F557&lt;&gt;"",N10&gt;0,M557&gt;N10),"Mot &gt; limite","")</f>
        <v/>
      </c>
      <c r="M557" s="638">
        <f>IF(OR(F557="",N10="",N10&lt;=0),"",IF(LEN(F557)&lt;=N10,LEN(F557),IFERROR(FIND("♦",SUBSTITUTE(LEFT(F557,N10)," ","♦",LEN(LEFT(F557,N10))-LEN(SUBSTITUTE(LEFT(F557,N10)," ","")))),FIND(" ",F557&amp;" ",N10+1)-1)))</f>
        <v>1</v>
      </c>
      <c r="N557" s="686">
        <f t="shared" si="62"/>
        <v>540</v>
      </c>
      <c r="O557" s="663" t="str">
        <f t="shared" si="63"/>
        <v>0</v>
      </c>
      <c r="P557" s="686">
        <f t="shared" si="64"/>
        <v>1</v>
      </c>
      <c r="Q557" s="686">
        <f t="shared" si="65"/>
        <v>1</v>
      </c>
      <c r="DE557" s="494"/>
      <c r="DF557" s="496" t="s">
        <v>2197</v>
      </c>
      <c r="DG557" s="496" t="s">
        <v>8</v>
      </c>
      <c r="DH557" s="496" t="s">
        <v>689</v>
      </c>
      <c r="DI557" s="496" t="s">
        <v>2198</v>
      </c>
      <c r="DJ557" s="496" t="s">
        <v>2198</v>
      </c>
      <c r="DK557" s="496" t="s">
        <v>1554</v>
      </c>
      <c r="DL557" s="496" t="s">
        <v>1555</v>
      </c>
      <c r="DM557" s="496" t="s">
        <v>1981</v>
      </c>
      <c r="DN557" s="497" t="s">
        <v>1982</v>
      </c>
      <c r="DP557" s="543">
        <v>1</v>
      </c>
    </row>
    <row r="558" spans="2:120" ht="15">
      <c r="B558" s="683"/>
      <c r="C558" s="683"/>
      <c r="D558" s="683"/>
      <c r="E558" s="683" cm="1">
        <f t="array" ref="E558">IF(H557&lt;&gt;"",E557,IF(E557="","",IFERROR(MATCH(TRUE(),INDEX(INDEX(K:K,E557+1):K203&lt;&gt;"",0),0)+E557,"")))</f>
        <v>699</v>
      </c>
      <c r="F558" s="684" cm="1">
        <f t="array" ref="F558">IF(E558="","",IF(H557&lt;&gt;"",H557,INDEX(D:D,E558)))</f>
        <v>0</v>
      </c>
      <c r="G558" s="684" t="str">
        <f t="shared" si="60"/>
        <v>0</v>
      </c>
      <c r="H558" s="685" t="str">
        <f t="shared" si="61"/>
        <v/>
      </c>
      <c r="I558" s="683" t="str">
        <f>IF(AND(F558&lt;&gt;"",N10&gt;0,M558&gt;N10),"Mot &gt; limite","")</f>
        <v/>
      </c>
      <c r="M558" s="638">
        <f>IF(OR(F558="",N10="",N10&lt;=0),"",IF(LEN(F558)&lt;=N10,LEN(F558),IFERROR(FIND("♦",SUBSTITUTE(LEFT(F558,N10)," ","♦",LEN(LEFT(F558,N10))-LEN(SUBSTITUTE(LEFT(F558,N10)," ","")))),FIND(" ",F558&amp;" ",N10+1)-1)))</f>
        <v>1</v>
      </c>
      <c r="N558" s="686">
        <f t="shared" si="62"/>
        <v>541</v>
      </c>
      <c r="O558" s="663" t="str">
        <f t="shared" si="63"/>
        <v>0</v>
      </c>
      <c r="P558" s="686">
        <f t="shared" si="64"/>
        <v>1</v>
      </c>
      <c r="Q558" s="686">
        <f t="shared" si="65"/>
        <v>1</v>
      </c>
      <c r="DE558" s="494"/>
      <c r="DF558" s="496" t="s">
        <v>2199</v>
      </c>
      <c r="DG558" s="496" t="s">
        <v>8</v>
      </c>
      <c r="DH558" s="496" t="s">
        <v>689</v>
      </c>
      <c r="DI558" s="496" t="s">
        <v>2200</v>
      </c>
      <c r="DJ558" s="496" t="s">
        <v>2200</v>
      </c>
      <c r="DK558" s="496" t="s">
        <v>1554</v>
      </c>
      <c r="DL558" s="496" t="s">
        <v>1555</v>
      </c>
      <c r="DM558" s="496" t="s">
        <v>1981</v>
      </c>
      <c r="DN558" s="497" t="s">
        <v>1982</v>
      </c>
      <c r="DP558" s="543">
        <v>1</v>
      </c>
    </row>
    <row r="559" spans="2:120" ht="15">
      <c r="B559" s="683"/>
      <c r="C559" s="683"/>
      <c r="D559" s="683"/>
      <c r="E559" s="683" cm="1">
        <f t="array" ref="E559">IF(H558&lt;&gt;"",E558,IF(E558="","",IFERROR(MATCH(TRUE(),INDEX(INDEX(K:K,E558+1):K203&lt;&gt;"",0),0)+E558,"")))</f>
        <v>700</v>
      </c>
      <c r="F559" s="684" cm="1">
        <f t="array" ref="F559">IF(E559="","",IF(H558&lt;&gt;"",H558,INDEX(D:D,E559)))</f>
        <v>0</v>
      </c>
      <c r="G559" s="684" t="str">
        <f t="shared" si="60"/>
        <v>0</v>
      </c>
      <c r="H559" s="685" t="str">
        <f t="shared" si="61"/>
        <v/>
      </c>
      <c r="I559" s="683" t="str">
        <f>IF(AND(F559&lt;&gt;"",N10&gt;0,M559&gt;N10),"Mot &gt; limite","")</f>
        <v/>
      </c>
      <c r="M559" s="638">
        <f>IF(OR(F559="",N10="",N10&lt;=0),"",IF(LEN(F559)&lt;=N10,LEN(F559),IFERROR(FIND("♦",SUBSTITUTE(LEFT(F559,N10)," ","♦",LEN(LEFT(F559,N10))-LEN(SUBSTITUTE(LEFT(F559,N10)," ","")))),FIND(" ",F559&amp;" ",N10+1)-1)))</f>
        <v>1</v>
      </c>
      <c r="N559" s="686">
        <f t="shared" si="62"/>
        <v>542</v>
      </c>
      <c r="O559" s="663" t="str">
        <f t="shared" si="63"/>
        <v>0</v>
      </c>
      <c r="P559" s="686">
        <f t="shared" si="64"/>
        <v>1</v>
      </c>
      <c r="Q559" s="686">
        <f t="shared" si="65"/>
        <v>1</v>
      </c>
      <c r="DE559" s="494"/>
      <c r="DF559" s="496" t="s">
        <v>2201</v>
      </c>
      <c r="DG559" s="496" t="s">
        <v>8</v>
      </c>
      <c r="DH559" s="496" t="s">
        <v>689</v>
      </c>
      <c r="DI559" s="496" t="s">
        <v>2202</v>
      </c>
      <c r="DJ559" s="496" t="s">
        <v>2202</v>
      </c>
      <c r="DK559" s="496" t="s">
        <v>1554</v>
      </c>
      <c r="DL559" s="496" t="s">
        <v>1555</v>
      </c>
      <c r="DM559" s="496" t="s">
        <v>1981</v>
      </c>
      <c r="DN559" s="497" t="s">
        <v>1982</v>
      </c>
      <c r="DP559" s="543">
        <v>1</v>
      </c>
    </row>
    <row r="560" spans="2:120" ht="15">
      <c r="B560" s="683"/>
      <c r="C560" s="683"/>
      <c r="D560" s="683"/>
      <c r="E560" s="683" cm="1">
        <f t="array" ref="E560">IF(H559&lt;&gt;"",E559,IF(E559="","",IFERROR(MATCH(TRUE(),INDEX(INDEX(K:K,E559+1):K203&lt;&gt;"",0),0)+E559,"")))</f>
        <v>701</v>
      </c>
      <c r="F560" s="684" cm="1">
        <f t="array" ref="F560">IF(E560="","",IF(H559&lt;&gt;"",H559,INDEX(D:D,E560)))</f>
        <v>0</v>
      </c>
      <c r="G560" s="684" t="str">
        <f t="shared" si="60"/>
        <v>0</v>
      </c>
      <c r="H560" s="685" t="str">
        <f t="shared" si="61"/>
        <v/>
      </c>
      <c r="I560" s="683" t="str">
        <f>IF(AND(F560&lt;&gt;"",N10&gt;0,M560&gt;N10),"Mot &gt; limite","")</f>
        <v/>
      </c>
      <c r="M560" s="638">
        <f>IF(OR(F560="",N10="",N10&lt;=0),"",IF(LEN(F560)&lt;=N10,LEN(F560),IFERROR(FIND("♦",SUBSTITUTE(LEFT(F560,N10)," ","♦",LEN(LEFT(F560,N10))-LEN(SUBSTITUTE(LEFT(F560,N10)," ","")))),FIND(" ",F560&amp;" ",N10+1)-1)))</f>
        <v>1</v>
      </c>
      <c r="N560" s="686">
        <f t="shared" si="62"/>
        <v>543</v>
      </c>
      <c r="O560" s="663" t="str">
        <f t="shared" si="63"/>
        <v>0</v>
      </c>
      <c r="P560" s="686">
        <f t="shared" si="64"/>
        <v>1</v>
      </c>
      <c r="Q560" s="686">
        <f t="shared" si="65"/>
        <v>1</v>
      </c>
      <c r="DE560" s="494"/>
      <c r="DF560" s="496" t="s">
        <v>2203</v>
      </c>
      <c r="DG560" s="496" t="s">
        <v>8</v>
      </c>
      <c r="DH560" s="496" t="s">
        <v>689</v>
      </c>
      <c r="DI560" s="496" t="s">
        <v>2204</v>
      </c>
      <c r="DJ560" s="496" t="s">
        <v>2204</v>
      </c>
      <c r="DK560" s="496" t="s">
        <v>1554</v>
      </c>
      <c r="DL560" s="496" t="s">
        <v>1555</v>
      </c>
      <c r="DM560" s="496" t="s">
        <v>1981</v>
      </c>
      <c r="DN560" s="497" t="s">
        <v>1982</v>
      </c>
      <c r="DP560" s="543">
        <v>1</v>
      </c>
    </row>
    <row r="561" spans="2:120" ht="15">
      <c r="B561" s="683"/>
      <c r="C561" s="683"/>
      <c r="D561" s="683"/>
      <c r="E561" s="683" cm="1">
        <f t="array" ref="E561">IF(H560&lt;&gt;"",E560,IF(E560="","",IFERROR(MATCH(TRUE(),INDEX(INDEX(K:K,E560+1):K203&lt;&gt;"",0),0)+E560,"")))</f>
        <v>702</v>
      </c>
      <c r="F561" s="684" cm="1">
        <f t="array" ref="F561">IF(E561="","",IF(H560&lt;&gt;"",H560,INDEX(D:D,E561)))</f>
        <v>0</v>
      </c>
      <c r="G561" s="684" t="str">
        <f t="shared" si="60"/>
        <v>0</v>
      </c>
      <c r="H561" s="685" t="str">
        <f t="shared" si="61"/>
        <v/>
      </c>
      <c r="I561" s="683" t="str">
        <f>IF(AND(F561&lt;&gt;"",N10&gt;0,M561&gt;N10),"Mot &gt; limite","")</f>
        <v/>
      </c>
      <c r="M561" s="638">
        <f>IF(OR(F561="",N10="",N10&lt;=0),"",IF(LEN(F561)&lt;=N10,LEN(F561),IFERROR(FIND("♦",SUBSTITUTE(LEFT(F561,N10)," ","♦",LEN(LEFT(F561,N10))-LEN(SUBSTITUTE(LEFT(F561,N10)," ","")))),FIND(" ",F561&amp;" ",N10+1)-1)))</f>
        <v>1</v>
      </c>
      <c r="N561" s="686">
        <f t="shared" si="62"/>
        <v>544</v>
      </c>
      <c r="O561" s="663" t="str">
        <f t="shared" si="63"/>
        <v>0</v>
      </c>
      <c r="P561" s="686">
        <f t="shared" si="64"/>
        <v>1</v>
      </c>
      <c r="Q561" s="686">
        <f t="shared" si="65"/>
        <v>1</v>
      </c>
      <c r="DE561" s="494"/>
      <c r="DF561" s="496" t="s">
        <v>2205</v>
      </c>
      <c r="DG561" s="496" t="s">
        <v>8</v>
      </c>
      <c r="DH561" s="496" t="s">
        <v>689</v>
      </c>
      <c r="DI561" s="496" t="s">
        <v>2206</v>
      </c>
      <c r="DJ561" s="496" t="s">
        <v>2206</v>
      </c>
      <c r="DK561" s="496" t="s">
        <v>1554</v>
      </c>
      <c r="DL561" s="496" t="s">
        <v>1555</v>
      </c>
      <c r="DM561" s="496" t="s">
        <v>1981</v>
      </c>
      <c r="DN561" s="497" t="s">
        <v>1982</v>
      </c>
      <c r="DP561" s="543">
        <v>1</v>
      </c>
    </row>
    <row r="562" spans="2:120" ht="15">
      <c r="B562" s="683"/>
      <c r="C562" s="683"/>
      <c r="D562" s="683"/>
      <c r="E562" s="683" cm="1">
        <f t="array" ref="E562">IF(H561&lt;&gt;"",E561,IF(E561="","",IFERROR(MATCH(TRUE(),INDEX(INDEX(K:K,E561+1):K203&lt;&gt;"",0),0)+E561,"")))</f>
        <v>703</v>
      </c>
      <c r="F562" s="684" cm="1">
        <f t="array" ref="F562">IF(E562="","",IF(H561&lt;&gt;"",H561,INDEX(D:D,E562)))</f>
        <v>0</v>
      </c>
      <c r="G562" s="684" t="str">
        <f t="shared" si="60"/>
        <v>0</v>
      </c>
      <c r="H562" s="685" t="str">
        <f t="shared" si="61"/>
        <v/>
      </c>
      <c r="I562" s="683" t="str">
        <f>IF(AND(F562&lt;&gt;"",N10&gt;0,M562&gt;N10),"Mot &gt; limite","")</f>
        <v/>
      </c>
      <c r="M562" s="638">
        <f>IF(OR(F562="",N10="",N10&lt;=0),"",IF(LEN(F562)&lt;=N10,LEN(F562),IFERROR(FIND("♦",SUBSTITUTE(LEFT(F562,N10)," ","♦",LEN(LEFT(F562,N10))-LEN(SUBSTITUTE(LEFT(F562,N10)," ","")))),FIND(" ",F562&amp;" ",N10+1)-1)))</f>
        <v>1</v>
      </c>
      <c r="N562" s="686">
        <f t="shared" si="62"/>
        <v>545</v>
      </c>
      <c r="O562" s="663" t="str">
        <f t="shared" si="63"/>
        <v>0</v>
      </c>
      <c r="P562" s="686">
        <f t="shared" si="64"/>
        <v>1</v>
      </c>
      <c r="Q562" s="686">
        <f t="shared" si="65"/>
        <v>1</v>
      </c>
      <c r="DE562" s="494"/>
      <c r="DF562" s="496" t="s">
        <v>2207</v>
      </c>
      <c r="DG562" s="496" t="s">
        <v>8</v>
      </c>
      <c r="DH562" s="496" t="s">
        <v>689</v>
      </c>
      <c r="DI562" s="496" t="s">
        <v>2208</v>
      </c>
      <c r="DJ562" s="496" t="s">
        <v>2208</v>
      </c>
      <c r="DK562" s="496" t="s">
        <v>1085</v>
      </c>
      <c r="DL562" s="496" t="s">
        <v>2063</v>
      </c>
      <c r="DM562" s="496" t="s">
        <v>1087</v>
      </c>
      <c r="DN562" s="497" t="s">
        <v>1088</v>
      </c>
      <c r="DP562" s="543">
        <v>1</v>
      </c>
    </row>
    <row r="563" spans="2:120" ht="15">
      <c r="B563" s="683"/>
      <c r="C563" s="683"/>
      <c r="D563" s="683"/>
      <c r="E563" s="683" cm="1">
        <f t="array" ref="E563">IF(H562&lt;&gt;"",E562,IF(E562="","",IFERROR(MATCH(TRUE(),INDEX(INDEX(K:K,E562+1):K203&lt;&gt;"",0),0)+E562,"")))</f>
        <v>704</v>
      </c>
      <c r="F563" s="684" cm="1">
        <f t="array" ref="F563">IF(E563="","",IF(H562&lt;&gt;"",H562,INDEX(D:D,E563)))</f>
        <v>0</v>
      </c>
      <c r="G563" s="684" t="str">
        <f t="shared" si="60"/>
        <v>0</v>
      </c>
      <c r="H563" s="685" t="str">
        <f t="shared" si="61"/>
        <v/>
      </c>
      <c r="I563" s="683" t="str">
        <f>IF(AND(F563&lt;&gt;"",N10&gt;0,M563&gt;N10),"Mot &gt; limite","")</f>
        <v/>
      </c>
      <c r="M563" s="638">
        <f>IF(OR(F563="",N10="",N10&lt;=0),"",IF(LEN(F563)&lt;=N10,LEN(F563),IFERROR(FIND("♦",SUBSTITUTE(LEFT(F563,N10)," ","♦",LEN(LEFT(F563,N10))-LEN(SUBSTITUTE(LEFT(F563,N10)," ","")))),FIND(" ",F563&amp;" ",N10+1)-1)))</f>
        <v>1</v>
      </c>
      <c r="N563" s="686">
        <f t="shared" si="62"/>
        <v>546</v>
      </c>
      <c r="O563" s="663" t="str">
        <f t="shared" si="63"/>
        <v>0</v>
      </c>
      <c r="P563" s="686">
        <f t="shared" si="64"/>
        <v>1</v>
      </c>
      <c r="Q563" s="686">
        <f t="shared" si="65"/>
        <v>1</v>
      </c>
      <c r="DE563" s="494"/>
      <c r="DF563" s="496" t="s">
        <v>2209</v>
      </c>
      <c r="DG563" s="496" t="s">
        <v>8</v>
      </c>
      <c r="DH563" s="496" t="s">
        <v>689</v>
      </c>
      <c r="DI563" s="496" t="s">
        <v>942</v>
      </c>
      <c r="DJ563" s="496" t="s">
        <v>942</v>
      </c>
      <c r="DK563" s="496" t="s">
        <v>1085</v>
      </c>
      <c r="DL563" s="496" t="s">
        <v>2063</v>
      </c>
      <c r="DM563" s="496" t="s">
        <v>1087</v>
      </c>
      <c r="DN563" s="497" t="s">
        <v>1088</v>
      </c>
      <c r="DP563" s="543">
        <v>1</v>
      </c>
    </row>
    <row r="564" spans="2:120" ht="15">
      <c r="B564" s="683"/>
      <c r="C564" s="683"/>
      <c r="D564" s="683"/>
      <c r="E564" s="683" cm="1">
        <f t="array" ref="E564">IF(H563&lt;&gt;"",E563,IF(E563="","",IFERROR(MATCH(TRUE(),INDEX(INDEX(K:K,E563+1):K203&lt;&gt;"",0),0)+E563,"")))</f>
        <v>705</v>
      </c>
      <c r="F564" s="684" cm="1">
        <f t="array" ref="F564">IF(E564="","",IF(H563&lt;&gt;"",H563,INDEX(D:D,E564)))</f>
        <v>0</v>
      </c>
      <c r="G564" s="684" t="str">
        <f t="shared" si="60"/>
        <v>0</v>
      </c>
      <c r="H564" s="685" t="str">
        <f t="shared" si="61"/>
        <v/>
      </c>
      <c r="I564" s="683" t="str">
        <f>IF(AND(F564&lt;&gt;"",N10&gt;0,M564&gt;N10),"Mot &gt; limite","")</f>
        <v/>
      </c>
      <c r="M564" s="638">
        <f>IF(OR(F564="",N10="",N10&lt;=0),"",IF(LEN(F564)&lt;=N10,LEN(F564),IFERROR(FIND("♦",SUBSTITUTE(LEFT(F564,N10)," ","♦",LEN(LEFT(F564,N10))-LEN(SUBSTITUTE(LEFT(F564,N10)," ","")))),FIND(" ",F564&amp;" ",N10+1)-1)))</f>
        <v>1</v>
      </c>
      <c r="N564" s="686">
        <f t="shared" si="62"/>
        <v>547</v>
      </c>
      <c r="O564" s="663" t="str">
        <f t="shared" si="63"/>
        <v>0</v>
      </c>
      <c r="P564" s="686">
        <f t="shared" si="64"/>
        <v>1</v>
      </c>
      <c r="Q564" s="686">
        <f t="shared" si="65"/>
        <v>1</v>
      </c>
      <c r="DE564" s="494"/>
      <c r="DF564" s="496" t="s">
        <v>2210</v>
      </c>
      <c r="DG564" s="496" t="s">
        <v>8</v>
      </c>
      <c r="DH564" s="496" t="s">
        <v>689</v>
      </c>
      <c r="DI564" s="496" t="s">
        <v>2211</v>
      </c>
      <c r="DJ564" s="496" t="s">
        <v>2211</v>
      </c>
      <c r="DK564" s="496" t="s">
        <v>1554</v>
      </c>
      <c r="DL564" s="496" t="s">
        <v>1555</v>
      </c>
      <c r="DM564" s="496" t="s">
        <v>1981</v>
      </c>
      <c r="DN564" s="497" t="s">
        <v>1982</v>
      </c>
      <c r="DP564" s="543">
        <v>1</v>
      </c>
    </row>
    <row r="565" spans="2:120" ht="15">
      <c r="B565" s="683"/>
      <c r="C565" s="683"/>
      <c r="D565" s="683"/>
      <c r="E565" s="683" cm="1">
        <f t="array" ref="E565">IF(H564&lt;&gt;"",E564,IF(E564="","",IFERROR(MATCH(TRUE(),INDEX(INDEX(K:K,E564+1):K203&lt;&gt;"",0),0)+E564,"")))</f>
        <v>706</v>
      </c>
      <c r="F565" s="684" cm="1">
        <f t="array" ref="F565">IF(E565="","",IF(H564&lt;&gt;"",H564,INDEX(D:D,E565)))</f>
        <v>0</v>
      </c>
      <c r="G565" s="684" t="str">
        <f t="shared" si="60"/>
        <v>0</v>
      </c>
      <c r="H565" s="685" t="str">
        <f t="shared" si="61"/>
        <v/>
      </c>
      <c r="I565" s="683" t="str">
        <f>IF(AND(F565&lt;&gt;"",N10&gt;0,M565&gt;N10),"Mot &gt; limite","")</f>
        <v/>
      </c>
      <c r="M565" s="638">
        <f>IF(OR(F565="",N10="",N10&lt;=0),"",IF(LEN(F565)&lt;=N10,LEN(F565),IFERROR(FIND("♦",SUBSTITUTE(LEFT(F565,N10)," ","♦",LEN(LEFT(F565,N10))-LEN(SUBSTITUTE(LEFT(F565,N10)," ","")))),FIND(" ",F565&amp;" ",N10+1)-1)))</f>
        <v>1</v>
      </c>
      <c r="N565" s="686">
        <f t="shared" si="62"/>
        <v>548</v>
      </c>
      <c r="O565" s="663" t="str">
        <f t="shared" si="63"/>
        <v>0</v>
      </c>
      <c r="P565" s="686">
        <f t="shared" si="64"/>
        <v>1</v>
      </c>
      <c r="Q565" s="686">
        <f t="shared" si="65"/>
        <v>1</v>
      </c>
      <c r="DE565" s="494"/>
      <c r="DF565" s="496" t="s">
        <v>2212</v>
      </c>
      <c r="DG565" s="496" t="s">
        <v>8</v>
      </c>
      <c r="DH565" s="496" t="s">
        <v>689</v>
      </c>
      <c r="DI565" s="496" t="s">
        <v>2213</v>
      </c>
      <c r="DJ565" s="496" t="s">
        <v>2213</v>
      </c>
      <c r="DK565" s="496" t="s">
        <v>1554</v>
      </c>
      <c r="DL565" s="496" t="s">
        <v>1555</v>
      </c>
      <c r="DM565" s="496" t="s">
        <v>1981</v>
      </c>
      <c r="DN565" s="497" t="s">
        <v>1982</v>
      </c>
      <c r="DP565" s="543">
        <v>1</v>
      </c>
    </row>
    <row r="566" spans="2:120" ht="15">
      <c r="B566" s="683"/>
      <c r="C566" s="683"/>
      <c r="D566" s="683"/>
      <c r="E566" s="683" cm="1">
        <f t="array" ref="E566">IF(H565&lt;&gt;"",E565,IF(E565="","",IFERROR(MATCH(TRUE(),INDEX(INDEX(K:K,E565+1):K203&lt;&gt;"",0),0)+E565,"")))</f>
        <v>707</v>
      </c>
      <c r="F566" s="684" cm="1">
        <f t="array" ref="F566">IF(E566="","",IF(H565&lt;&gt;"",H565,INDEX(D:D,E566)))</f>
        <v>0</v>
      </c>
      <c r="G566" s="684" t="str">
        <f t="shared" si="60"/>
        <v>0</v>
      </c>
      <c r="H566" s="685" t="str">
        <f t="shared" si="61"/>
        <v/>
      </c>
      <c r="I566" s="683" t="str">
        <f>IF(AND(F566&lt;&gt;"",N10&gt;0,M566&gt;N10),"Mot &gt; limite","")</f>
        <v/>
      </c>
      <c r="M566" s="638">
        <f>IF(OR(F566="",N10="",N10&lt;=0),"",IF(LEN(F566)&lt;=N10,LEN(F566),IFERROR(FIND("♦",SUBSTITUTE(LEFT(F566,N10)," ","♦",LEN(LEFT(F566,N10))-LEN(SUBSTITUTE(LEFT(F566,N10)," ","")))),FIND(" ",F566&amp;" ",N10+1)-1)))</f>
        <v>1</v>
      </c>
      <c r="N566" s="686">
        <f t="shared" si="62"/>
        <v>549</v>
      </c>
      <c r="O566" s="663" t="str">
        <f t="shared" si="63"/>
        <v>0</v>
      </c>
      <c r="P566" s="686">
        <f t="shared" si="64"/>
        <v>1</v>
      </c>
      <c r="Q566" s="686">
        <f t="shared" si="65"/>
        <v>1</v>
      </c>
      <c r="DE566" s="494"/>
      <c r="DF566" s="496" t="s">
        <v>2214</v>
      </c>
      <c r="DG566" s="496" t="s">
        <v>8</v>
      </c>
      <c r="DH566" s="496" t="s">
        <v>689</v>
      </c>
      <c r="DI566" s="496" t="s">
        <v>1020</v>
      </c>
      <c r="DJ566" s="496" t="s">
        <v>1020</v>
      </c>
      <c r="DK566" s="496" t="s">
        <v>1554</v>
      </c>
      <c r="DL566" s="496" t="s">
        <v>1555</v>
      </c>
      <c r="DM566" s="496" t="s">
        <v>1981</v>
      </c>
      <c r="DN566" s="497" t="s">
        <v>1982</v>
      </c>
      <c r="DP566" s="543">
        <v>1</v>
      </c>
    </row>
    <row r="567" spans="2:120" ht="15">
      <c r="B567" s="683"/>
      <c r="C567" s="683"/>
      <c r="D567" s="683"/>
      <c r="E567" s="683" cm="1">
        <f t="array" ref="E567">IF(H566&lt;&gt;"",E566,IF(E566="","",IFERROR(MATCH(TRUE(),INDEX(INDEX(K:K,E566+1):K203&lt;&gt;"",0),0)+E566,"")))</f>
        <v>708</v>
      </c>
      <c r="F567" s="684" cm="1">
        <f t="array" ref="F567">IF(E567="","",IF(H566&lt;&gt;"",H566,INDEX(D:D,E567)))</f>
        <v>0</v>
      </c>
      <c r="G567" s="684" t="str">
        <f t="shared" si="60"/>
        <v>0</v>
      </c>
      <c r="H567" s="685" t="str">
        <f t="shared" si="61"/>
        <v/>
      </c>
      <c r="I567" s="683" t="str">
        <f>IF(AND(F567&lt;&gt;"",N10&gt;0,M567&gt;N10),"Mot &gt; limite","")</f>
        <v/>
      </c>
      <c r="M567" s="638">
        <f>IF(OR(F567="",N10="",N10&lt;=0),"",IF(LEN(F567)&lt;=N10,LEN(F567),IFERROR(FIND("♦",SUBSTITUTE(LEFT(F567,N10)," ","♦",LEN(LEFT(F567,N10))-LEN(SUBSTITUTE(LEFT(F567,N10)," ","")))),FIND(" ",F567&amp;" ",N10+1)-1)))</f>
        <v>1</v>
      </c>
      <c r="N567" s="686">
        <f t="shared" si="62"/>
        <v>550</v>
      </c>
      <c r="O567" s="663" t="str">
        <f t="shared" si="63"/>
        <v>0</v>
      </c>
      <c r="P567" s="686">
        <f t="shared" si="64"/>
        <v>1</v>
      </c>
      <c r="Q567" s="686">
        <f t="shared" si="65"/>
        <v>1</v>
      </c>
      <c r="DE567" s="494"/>
      <c r="DF567" s="496" t="s">
        <v>2215</v>
      </c>
      <c r="DG567" s="496" t="s">
        <v>8</v>
      </c>
      <c r="DH567" s="496" t="s">
        <v>689</v>
      </c>
      <c r="DI567" s="496" t="s">
        <v>2216</v>
      </c>
      <c r="DJ567" s="496" t="s">
        <v>2216</v>
      </c>
      <c r="DK567" s="496" t="s">
        <v>1554</v>
      </c>
      <c r="DL567" s="496" t="s">
        <v>1555</v>
      </c>
      <c r="DM567" s="496" t="s">
        <v>1981</v>
      </c>
      <c r="DN567" s="497" t="s">
        <v>1982</v>
      </c>
      <c r="DP567" s="543">
        <v>1</v>
      </c>
    </row>
    <row r="568" spans="2:120" ht="15">
      <c r="B568" s="683"/>
      <c r="C568" s="683"/>
      <c r="D568" s="683"/>
      <c r="E568" s="683" cm="1">
        <f t="array" ref="E568">IF(H567&lt;&gt;"",E567,IF(E567="","",IFERROR(MATCH(TRUE(),INDEX(INDEX(K:K,E567+1):K203&lt;&gt;"",0),0)+E567,"")))</f>
        <v>709</v>
      </c>
      <c r="F568" s="684" cm="1">
        <f t="array" ref="F568">IF(E568="","",IF(H567&lt;&gt;"",H567,INDEX(D:D,E568)))</f>
        <v>0</v>
      </c>
      <c r="G568" s="684" t="str">
        <f t="shared" si="60"/>
        <v>0</v>
      </c>
      <c r="H568" s="685" t="str">
        <f t="shared" si="61"/>
        <v/>
      </c>
      <c r="I568" s="683" t="str">
        <f>IF(AND(F568&lt;&gt;"",N10&gt;0,M568&gt;N10),"Mot &gt; limite","")</f>
        <v/>
      </c>
      <c r="M568" s="638">
        <f>IF(OR(F568="",N10="",N10&lt;=0),"",IF(LEN(F568)&lt;=N10,LEN(F568),IFERROR(FIND("♦",SUBSTITUTE(LEFT(F568,N10)," ","♦",LEN(LEFT(F568,N10))-LEN(SUBSTITUTE(LEFT(F568,N10)," ","")))),FIND(" ",F568&amp;" ",N10+1)-1)))</f>
        <v>1</v>
      </c>
      <c r="N568" s="686">
        <f t="shared" si="62"/>
        <v>551</v>
      </c>
      <c r="O568" s="663" t="str">
        <f t="shared" si="63"/>
        <v>0</v>
      </c>
      <c r="P568" s="686">
        <f t="shared" si="64"/>
        <v>1</v>
      </c>
      <c r="Q568" s="686">
        <f t="shared" si="65"/>
        <v>1</v>
      </c>
      <c r="DE568" s="494"/>
      <c r="DF568" s="496" t="s">
        <v>2217</v>
      </c>
      <c r="DG568" s="496" t="s">
        <v>8</v>
      </c>
      <c r="DH568" s="496" t="s">
        <v>689</v>
      </c>
      <c r="DI568" s="496" t="s">
        <v>2218</v>
      </c>
      <c r="DJ568" s="496" t="s">
        <v>2218</v>
      </c>
      <c r="DK568" s="496" t="s">
        <v>1554</v>
      </c>
      <c r="DL568" s="496" t="s">
        <v>1555</v>
      </c>
      <c r="DM568" s="496" t="s">
        <v>1981</v>
      </c>
      <c r="DN568" s="497" t="s">
        <v>1982</v>
      </c>
      <c r="DP568" s="543">
        <v>1</v>
      </c>
    </row>
    <row r="569" spans="2:120" ht="15">
      <c r="B569" s="683"/>
      <c r="C569" s="683"/>
      <c r="D569" s="683"/>
      <c r="E569" s="683" cm="1">
        <f t="array" ref="E569">IF(H568&lt;&gt;"",E568,IF(E568="","",IFERROR(MATCH(TRUE(),INDEX(INDEX(K:K,E568+1):K203&lt;&gt;"",0),0)+E568,"")))</f>
        <v>710</v>
      </c>
      <c r="F569" s="684" cm="1">
        <f t="array" ref="F569">IF(E569="","",IF(H568&lt;&gt;"",H568,INDEX(D:D,E569)))</f>
        <v>0</v>
      </c>
      <c r="G569" s="684" t="str">
        <f t="shared" si="60"/>
        <v>0</v>
      </c>
      <c r="H569" s="685" t="str">
        <f t="shared" si="61"/>
        <v/>
      </c>
      <c r="I569" s="683" t="str">
        <f>IF(AND(F569&lt;&gt;"",N10&gt;0,M569&gt;N10),"Mot &gt; limite","")</f>
        <v/>
      </c>
      <c r="M569" s="638">
        <f>IF(OR(F569="",N10="",N10&lt;=0),"",IF(LEN(F569)&lt;=N10,LEN(F569),IFERROR(FIND("♦",SUBSTITUTE(LEFT(F569,N10)," ","♦",LEN(LEFT(F569,N10))-LEN(SUBSTITUTE(LEFT(F569,N10)," ","")))),FIND(" ",F569&amp;" ",N10+1)-1)))</f>
        <v>1</v>
      </c>
      <c r="N569" s="686">
        <f t="shared" si="62"/>
        <v>552</v>
      </c>
      <c r="O569" s="663" t="str">
        <f t="shared" si="63"/>
        <v>0</v>
      </c>
      <c r="P569" s="686">
        <f t="shared" si="64"/>
        <v>1</v>
      </c>
      <c r="Q569" s="686">
        <f t="shared" si="65"/>
        <v>1</v>
      </c>
      <c r="DE569" s="494"/>
      <c r="DF569" s="496" t="s">
        <v>2219</v>
      </c>
      <c r="DG569" s="496" t="s">
        <v>8</v>
      </c>
      <c r="DH569" s="496" t="s">
        <v>689</v>
      </c>
      <c r="DI569" s="496" t="s">
        <v>69</v>
      </c>
      <c r="DJ569" s="496" t="s">
        <v>69</v>
      </c>
      <c r="DK569" s="496" t="s">
        <v>1554</v>
      </c>
      <c r="DL569" s="496" t="s">
        <v>1555</v>
      </c>
      <c r="DM569" s="496" t="s">
        <v>1981</v>
      </c>
      <c r="DN569" s="497" t="s">
        <v>1982</v>
      </c>
      <c r="DP569" s="543">
        <v>1</v>
      </c>
    </row>
    <row r="570" spans="2:120" ht="15">
      <c r="B570" s="683"/>
      <c r="C570" s="683"/>
      <c r="D570" s="683"/>
      <c r="E570" s="683" cm="1">
        <f t="array" ref="E570">IF(H569&lt;&gt;"",E569,IF(E569="","",IFERROR(MATCH(TRUE(),INDEX(INDEX(K:K,E569+1):K203&lt;&gt;"",0),0)+E569,"")))</f>
        <v>711</v>
      </c>
      <c r="F570" s="684" cm="1">
        <f t="array" ref="F570">IF(E570="","",IF(H569&lt;&gt;"",H569,INDEX(D:D,E570)))</f>
        <v>0</v>
      </c>
      <c r="G570" s="684" t="str">
        <f t="shared" si="60"/>
        <v>0</v>
      </c>
      <c r="H570" s="685" t="str">
        <f t="shared" si="61"/>
        <v/>
      </c>
      <c r="I570" s="683" t="str">
        <f>IF(AND(F570&lt;&gt;"",N10&gt;0,M570&gt;N10),"Mot &gt; limite","")</f>
        <v/>
      </c>
      <c r="M570" s="638">
        <f>IF(OR(F570="",N10="",N10&lt;=0),"",IF(LEN(F570)&lt;=N10,LEN(F570),IFERROR(FIND("♦",SUBSTITUTE(LEFT(F570,N10)," ","♦",LEN(LEFT(F570,N10))-LEN(SUBSTITUTE(LEFT(F570,N10)," ","")))),FIND(" ",F570&amp;" ",N10+1)-1)))</f>
        <v>1</v>
      </c>
      <c r="N570" s="686">
        <f t="shared" si="62"/>
        <v>553</v>
      </c>
      <c r="O570" s="663" t="str">
        <f t="shared" si="63"/>
        <v>0</v>
      </c>
      <c r="P570" s="686">
        <f t="shared" si="64"/>
        <v>1</v>
      </c>
      <c r="Q570" s="686">
        <f t="shared" si="65"/>
        <v>1</v>
      </c>
      <c r="DE570" s="494"/>
      <c r="DF570" s="496" t="s">
        <v>2220</v>
      </c>
      <c r="DG570" s="496" t="s">
        <v>8</v>
      </c>
      <c r="DH570" s="496" t="s">
        <v>689</v>
      </c>
      <c r="DI570" s="496" t="s">
        <v>2221</v>
      </c>
      <c r="DJ570" s="496" t="s">
        <v>2221</v>
      </c>
      <c r="DK570" s="496" t="s">
        <v>1554</v>
      </c>
      <c r="DL570" s="496" t="s">
        <v>1555</v>
      </c>
      <c r="DM570" s="496" t="s">
        <v>1981</v>
      </c>
      <c r="DN570" s="497" t="s">
        <v>1982</v>
      </c>
      <c r="DP570" s="543">
        <v>1</v>
      </c>
    </row>
    <row r="571" spans="2:120" ht="15">
      <c r="B571" s="683"/>
      <c r="C571" s="683"/>
      <c r="D571" s="683"/>
      <c r="E571" s="683" cm="1">
        <f t="array" ref="E571">IF(H570&lt;&gt;"",E570,IF(E570="","",IFERROR(MATCH(TRUE(),INDEX(INDEX(K:K,E570+1):K203&lt;&gt;"",0),0)+E570,"")))</f>
        <v>712</v>
      </c>
      <c r="F571" s="684" cm="1">
        <f t="array" ref="F571">IF(E571="","",IF(H570&lt;&gt;"",H570,INDEX(D:D,E571)))</f>
        <v>0</v>
      </c>
      <c r="G571" s="684" t="str">
        <f t="shared" si="60"/>
        <v>0</v>
      </c>
      <c r="H571" s="685" t="str">
        <f t="shared" si="61"/>
        <v/>
      </c>
      <c r="I571" s="683" t="str">
        <f>IF(AND(F571&lt;&gt;"",N10&gt;0,M571&gt;N10),"Mot &gt; limite","")</f>
        <v/>
      </c>
      <c r="M571" s="638">
        <f>IF(OR(F571="",N10="",N10&lt;=0),"",IF(LEN(F571)&lt;=N10,LEN(F571),IFERROR(FIND("♦",SUBSTITUTE(LEFT(F571,N10)," ","♦",LEN(LEFT(F571,N10))-LEN(SUBSTITUTE(LEFT(F571,N10)," ","")))),FIND(" ",F571&amp;" ",N10+1)-1)))</f>
        <v>1</v>
      </c>
      <c r="N571" s="686">
        <f t="shared" si="62"/>
        <v>554</v>
      </c>
      <c r="O571" s="663" t="str">
        <f t="shared" si="63"/>
        <v>0</v>
      </c>
      <c r="P571" s="686">
        <f t="shared" si="64"/>
        <v>1</v>
      </c>
      <c r="Q571" s="686">
        <f t="shared" si="65"/>
        <v>1</v>
      </c>
      <c r="DE571" s="494"/>
      <c r="DF571" s="496" t="s">
        <v>2222</v>
      </c>
      <c r="DG571" s="496" t="s">
        <v>8</v>
      </c>
      <c r="DH571" s="496" t="s">
        <v>689</v>
      </c>
      <c r="DI571" s="496" t="s">
        <v>2223</v>
      </c>
      <c r="DJ571" s="496" t="s">
        <v>2223</v>
      </c>
      <c r="DK571" s="496" t="s">
        <v>1554</v>
      </c>
      <c r="DL571" s="496" t="s">
        <v>1555</v>
      </c>
      <c r="DM571" s="496" t="s">
        <v>1981</v>
      </c>
      <c r="DN571" s="497" t="s">
        <v>1982</v>
      </c>
      <c r="DP571" s="543">
        <v>1</v>
      </c>
    </row>
    <row r="572" spans="2:120" ht="15">
      <c r="B572" s="683"/>
      <c r="C572" s="683"/>
      <c r="D572" s="683"/>
      <c r="E572" s="683" cm="1">
        <f t="array" ref="E572">IF(H571&lt;&gt;"",E571,IF(E571="","",IFERROR(MATCH(TRUE(),INDEX(INDEX(K:K,E571+1):K203&lt;&gt;"",0),0)+E571,"")))</f>
        <v>713</v>
      </c>
      <c r="F572" s="684" cm="1">
        <f t="array" ref="F572">IF(E572="","",IF(H571&lt;&gt;"",H571,INDEX(D:D,E572)))</f>
        <v>0</v>
      </c>
      <c r="G572" s="684" t="str">
        <f t="shared" si="60"/>
        <v>0</v>
      </c>
      <c r="H572" s="685" t="str">
        <f t="shared" si="61"/>
        <v/>
      </c>
      <c r="I572" s="683" t="str">
        <f>IF(AND(F572&lt;&gt;"",N10&gt;0,M572&gt;N10),"Mot &gt; limite","")</f>
        <v/>
      </c>
      <c r="M572" s="638">
        <f>IF(OR(F572="",N10="",N10&lt;=0),"",IF(LEN(F572)&lt;=N10,LEN(F572),IFERROR(FIND("♦",SUBSTITUTE(LEFT(F572,N10)," ","♦",LEN(LEFT(F572,N10))-LEN(SUBSTITUTE(LEFT(F572,N10)," ","")))),FIND(" ",F572&amp;" ",N10+1)-1)))</f>
        <v>1</v>
      </c>
      <c r="N572" s="686">
        <f t="shared" si="62"/>
        <v>555</v>
      </c>
      <c r="O572" s="663" t="str">
        <f t="shared" si="63"/>
        <v>0</v>
      </c>
      <c r="P572" s="686">
        <f t="shared" si="64"/>
        <v>1</v>
      </c>
      <c r="Q572" s="686">
        <f t="shared" si="65"/>
        <v>1</v>
      </c>
      <c r="DE572" s="494"/>
      <c r="DF572" s="496" t="s">
        <v>2224</v>
      </c>
      <c r="DG572" s="496" t="s">
        <v>8</v>
      </c>
      <c r="DH572" s="496" t="s">
        <v>689</v>
      </c>
      <c r="DI572" s="496" t="s">
        <v>2225</v>
      </c>
      <c r="DJ572" s="496" t="s">
        <v>2225</v>
      </c>
      <c r="DK572" s="496" t="s">
        <v>1554</v>
      </c>
      <c r="DL572" s="496" t="s">
        <v>1555</v>
      </c>
      <c r="DM572" s="496" t="s">
        <v>1981</v>
      </c>
      <c r="DN572" s="497" t="s">
        <v>1982</v>
      </c>
      <c r="DP572" s="543">
        <v>1</v>
      </c>
    </row>
    <row r="573" spans="2:120" ht="15">
      <c r="B573" s="683"/>
      <c r="C573" s="683"/>
      <c r="D573" s="683"/>
      <c r="E573" s="683" cm="1">
        <f t="array" ref="E573">IF(H572&lt;&gt;"",E572,IF(E572="","",IFERROR(MATCH(TRUE(),INDEX(INDEX(K:K,E572+1):K203&lt;&gt;"",0),0)+E572,"")))</f>
        <v>714</v>
      </c>
      <c r="F573" s="684" cm="1">
        <f t="array" ref="F573">IF(E573="","",IF(H572&lt;&gt;"",H572,INDEX(D:D,E573)))</f>
        <v>0</v>
      </c>
      <c r="G573" s="684" t="str">
        <f t="shared" si="60"/>
        <v>0</v>
      </c>
      <c r="H573" s="685" t="str">
        <f t="shared" si="61"/>
        <v/>
      </c>
      <c r="I573" s="683" t="str">
        <f>IF(AND(F573&lt;&gt;"",N10&gt;0,M573&gt;N10),"Mot &gt; limite","")</f>
        <v/>
      </c>
      <c r="M573" s="638">
        <f>IF(OR(F573="",N10="",N10&lt;=0),"",IF(LEN(F573)&lt;=N10,LEN(F573),IFERROR(FIND("♦",SUBSTITUTE(LEFT(F573,N10)," ","♦",LEN(LEFT(F573,N10))-LEN(SUBSTITUTE(LEFT(F573,N10)," ","")))),FIND(" ",F573&amp;" ",N10+1)-1)))</f>
        <v>1</v>
      </c>
      <c r="N573" s="686">
        <f t="shared" si="62"/>
        <v>556</v>
      </c>
      <c r="O573" s="663" t="str">
        <f t="shared" si="63"/>
        <v>0</v>
      </c>
      <c r="P573" s="686">
        <f t="shared" si="64"/>
        <v>1</v>
      </c>
      <c r="Q573" s="686">
        <f t="shared" si="65"/>
        <v>1</v>
      </c>
      <c r="DE573" s="494"/>
      <c r="DF573" s="496" t="s">
        <v>2226</v>
      </c>
      <c r="DG573" s="496" t="s">
        <v>8</v>
      </c>
      <c r="DH573" s="496" t="s">
        <v>689</v>
      </c>
      <c r="DI573" s="496" t="s">
        <v>2227</v>
      </c>
      <c r="DJ573" s="496" t="s">
        <v>2227</v>
      </c>
      <c r="DK573" s="496" t="s">
        <v>1554</v>
      </c>
      <c r="DL573" s="496" t="s">
        <v>1555</v>
      </c>
      <c r="DM573" s="496" t="s">
        <v>1981</v>
      </c>
      <c r="DN573" s="497" t="s">
        <v>1982</v>
      </c>
      <c r="DP573" s="543">
        <v>1</v>
      </c>
    </row>
    <row r="574" spans="2:120" ht="15">
      <c r="B574" s="683"/>
      <c r="C574" s="683"/>
      <c r="D574" s="683"/>
      <c r="E574" s="683" cm="1">
        <f t="array" ref="E574">IF(H573&lt;&gt;"",E573,IF(E573="","",IFERROR(MATCH(TRUE(),INDEX(INDEX(K:K,E573+1):K203&lt;&gt;"",0),0)+E573,"")))</f>
        <v>715</v>
      </c>
      <c r="F574" s="684" cm="1">
        <f t="array" ref="F574">IF(E574="","",IF(H573&lt;&gt;"",H573,INDEX(D:D,E574)))</f>
        <v>0</v>
      </c>
      <c r="G574" s="684" t="str">
        <f t="shared" si="60"/>
        <v>0</v>
      </c>
      <c r="H574" s="685" t="str">
        <f t="shared" si="61"/>
        <v/>
      </c>
      <c r="I574" s="683" t="str">
        <f>IF(AND(F574&lt;&gt;"",N10&gt;0,M574&gt;N10),"Mot &gt; limite","")</f>
        <v/>
      </c>
      <c r="M574" s="638">
        <f>IF(OR(F574="",N10="",N10&lt;=0),"",IF(LEN(F574)&lt;=N10,LEN(F574),IFERROR(FIND("♦",SUBSTITUTE(LEFT(F574,N10)," ","♦",LEN(LEFT(F574,N10))-LEN(SUBSTITUTE(LEFT(F574,N10)," ","")))),FIND(" ",F574&amp;" ",N10+1)-1)))</f>
        <v>1</v>
      </c>
      <c r="N574" s="686">
        <f t="shared" si="62"/>
        <v>557</v>
      </c>
      <c r="O574" s="663" t="str">
        <f t="shared" si="63"/>
        <v>0</v>
      </c>
      <c r="P574" s="686">
        <f t="shared" si="64"/>
        <v>1</v>
      </c>
      <c r="Q574" s="686">
        <f t="shared" si="65"/>
        <v>1</v>
      </c>
      <c r="DE574" s="494"/>
      <c r="DF574" s="496" t="s">
        <v>2228</v>
      </c>
      <c r="DG574" s="496" t="s">
        <v>8</v>
      </c>
      <c r="DH574" s="496" t="s">
        <v>689</v>
      </c>
      <c r="DI574" s="496" t="s">
        <v>2229</v>
      </c>
      <c r="DJ574" s="496" t="s">
        <v>2229</v>
      </c>
      <c r="DK574" s="496" t="s">
        <v>1554</v>
      </c>
      <c r="DL574" s="496" t="s">
        <v>1555</v>
      </c>
      <c r="DM574" s="496" t="s">
        <v>1981</v>
      </c>
      <c r="DN574" s="497" t="s">
        <v>1982</v>
      </c>
      <c r="DP574" s="543">
        <v>1</v>
      </c>
    </row>
    <row r="575" spans="2:120" ht="15">
      <c r="B575" s="683"/>
      <c r="C575" s="683"/>
      <c r="D575" s="683"/>
      <c r="E575" s="683" cm="1">
        <f t="array" ref="E575">IF(H574&lt;&gt;"",E574,IF(E574="","",IFERROR(MATCH(TRUE(),INDEX(INDEX(K:K,E574+1):K203&lt;&gt;"",0),0)+E574,"")))</f>
        <v>716</v>
      </c>
      <c r="F575" s="684" cm="1">
        <f t="array" ref="F575">IF(E575="","",IF(H574&lt;&gt;"",H574,INDEX(D:D,E575)))</f>
        <v>0</v>
      </c>
      <c r="G575" s="684" t="str">
        <f t="shared" si="60"/>
        <v>0</v>
      </c>
      <c r="H575" s="685" t="str">
        <f t="shared" si="61"/>
        <v/>
      </c>
      <c r="I575" s="683" t="str">
        <f>IF(AND(F575&lt;&gt;"",N10&gt;0,M575&gt;N10),"Mot &gt; limite","")</f>
        <v/>
      </c>
      <c r="M575" s="638">
        <f>IF(OR(F575="",N10="",N10&lt;=0),"",IF(LEN(F575)&lt;=N10,LEN(F575),IFERROR(FIND("♦",SUBSTITUTE(LEFT(F575,N10)," ","♦",LEN(LEFT(F575,N10))-LEN(SUBSTITUTE(LEFT(F575,N10)," ","")))),FIND(" ",F575&amp;" ",N10+1)-1)))</f>
        <v>1</v>
      </c>
      <c r="N575" s="686">
        <f t="shared" si="62"/>
        <v>558</v>
      </c>
      <c r="O575" s="663" t="str">
        <f t="shared" si="63"/>
        <v>0</v>
      </c>
      <c r="P575" s="686">
        <f t="shared" si="64"/>
        <v>1</v>
      </c>
      <c r="Q575" s="686">
        <f t="shared" si="65"/>
        <v>1</v>
      </c>
      <c r="DE575" s="494"/>
      <c r="DF575" s="496" t="s">
        <v>2230</v>
      </c>
      <c r="DG575" s="496" t="s">
        <v>8</v>
      </c>
      <c r="DH575" s="496" t="s">
        <v>689</v>
      </c>
      <c r="DI575" s="496" t="s">
        <v>2231</v>
      </c>
      <c r="DJ575" s="496" t="s">
        <v>2231</v>
      </c>
      <c r="DK575" s="496" t="s">
        <v>1554</v>
      </c>
      <c r="DL575" s="496" t="s">
        <v>1555</v>
      </c>
      <c r="DM575" s="496" t="s">
        <v>1981</v>
      </c>
      <c r="DN575" s="497" t="s">
        <v>1982</v>
      </c>
      <c r="DP575" s="543">
        <v>1</v>
      </c>
    </row>
    <row r="576" spans="2:120" ht="15">
      <c r="B576" s="683"/>
      <c r="C576" s="683"/>
      <c r="D576" s="683"/>
      <c r="E576" s="683" cm="1">
        <f t="array" ref="E576">IF(H575&lt;&gt;"",E575,IF(E575="","",IFERROR(MATCH(TRUE(),INDEX(INDEX(K:K,E575+1):K203&lt;&gt;"",0),0)+E575,"")))</f>
        <v>717</v>
      </c>
      <c r="F576" s="684" cm="1">
        <f t="array" ref="F576">IF(E576="","",IF(H575&lt;&gt;"",H575,INDEX(D:D,E576)))</f>
        <v>0</v>
      </c>
      <c r="G576" s="684" t="str">
        <f t="shared" si="60"/>
        <v>0</v>
      </c>
      <c r="H576" s="685" t="str">
        <f t="shared" si="61"/>
        <v/>
      </c>
      <c r="I576" s="683" t="str">
        <f>IF(AND(F576&lt;&gt;"",N10&gt;0,M576&gt;N10),"Mot &gt; limite","")</f>
        <v/>
      </c>
      <c r="M576" s="638">
        <f>IF(OR(F576="",N10="",N10&lt;=0),"",IF(LEN(F576)&lt;=N10,LEN(F576),IFERROR(FIND("♦",SUBSTITUTE(LEFT(F576,N10)," ","♦",LEN(LEFT(F576,N10))-LEN(SUBSTITUTE(LEFT(F576,N10)," ","")))),FIND(" ",F576&amp;" ",N10+1)-1)))</f>
        <v>1</v>
      </c>
      <c r="N576" s="686">
        <f t="shared" si="62"/>
        <v>559</v>
      </c>
      <c r="O576" s="663" t="str">
        <f t="shared" si="63"/>
        <v>0</v>
      </c>
      <c r="P576" s="686">
        <f t="shared" si="64"/>
        <v>1</v>
      </c>
      <c r="Q576" s="686">
        <f t="shared" si="65"/>
        <v>1</v>
      </c>
      <c r="DE576" s="494"/>
      <c r="DF576" s="496" t="s">
        <v>2232</v>
      </c>
      <c r="DG576" s="496" t="s">
        <v>8</v>
      </c>
      <c r="DH576" s="496" t="s">
        <v>689</v>
      </c>
      <c r="DI576" s="496" t="s">
        <v>2233</v>
      </c>
      <c r="DJ576" s="496" t="s">
        <v>2233</v>
      </c>
      <c r="DK576" s="496" t="s">
        <v>1554</v>
      </c>
      <c r="DL576" s="496" t="s">
        <v>1555</v>
      </c>
      <c r="DM576" s="496" t="s">
        <v>1981</v>
      </c>
      <c r="DN576" s="497" t="s">
        <v>1982</v>
      </c>
      <c r="DP576" s="543">
        <v>1</v>
      </c>
    </row>
    <row r="577" spans="2:120" ht="15">
      <c r="B577" s="683"/>
      <c r="C577" s="683"/>
      <c r="D577" s="683"/>
      <c r="E577" s="683" cm="1">
        <f t="array" ref="E577">IF(H576&lt;&gt;"",E576,IF(E576="","",IFERROR(MATCH(TRUE(),INDEX(INDEX(K:K,E576+1):K203&lt;&gt;"",0),0)+E576,"")))</f>
        <v>718</v>
      </c>
      <c r="F577" s="684" cm="1">
        <f t="array" ref="F577">IF(E577="","",IF(H576&lt;&gt;"",H576,INDEX(D:D,E577)))</f>
        <v>0</v>
      </c>
      <c r="G577" s="684" t="str">
        <f t="shared" si="60"/>
        <v>0</v>
      </c>
      <c r="H577" s="685" t="str">
        <f t="shared" si="61"/>
        <v/>
      </c>
      <c r="I577" s="683" t="str">
        <f>IF(AND(F577&lt;&gt;"",N10&gt;0,M577&gt;N10),"Mot &gt; limite","")</f>
        <v/>
      </c>
      <c r="M577" s="638">
        <f>IF(OR(F577="",N10="",N10&lt;=0),"",IF(LEN(F577)&lt;=N10,LEN(F577),IFERROR(FIND("♦",SUBSTITUTE(LEFT(F577,N10)," ","♦",LEN(LEFT(F577,N10))-LEN(SUBSTITUTE(LEFT(F577,N10)," ","")))),FIND(" ",F577&amp;" ",N10+1)-1)))</f>
        <v>1</v>
      </c>
      <c r="N577" s="686">
        <f t="shared" si="62"/>
        <v>560</v>
      </c>
      <c r="O577" s="663" t="str">
        <f t="shared" si="63"/>
        <v>0</v>
      </c>
      <c r="P577" s="686">
        <f t="shared" si="64"/>
        <v>1</v>
      </c>
      <c r="Q577" s="686">
        <f t="shared" si="65"/>
        <v>1</v>
      </c>
      <c r="DE577" s="494"/>
      <c r="DF577" s="496" t="s">
        <v>2234</v>
      </c>
      <c r="DG577" s="496" t="s">
        <v>8</v>
      </c>
      <c r="DH577" s="496" t="s">
        <v>689</v>
      </c>
      <c r="DI577" s="496" t="s">
        <v>2235</v>
      </c>
      <c r="DJ577" s="496" t="s">
        <v>2235</v>
      </c>
      <c r="DK577" s="496" t="s">
        <v>1554</v>
      </c>
      <c r="DL577" s="496" t="s">
        <v>1555</v>
      </c>
      <c r="DM577" s="496" t="s">
        <v>1981</v>
      </c>
      <c r="DN577" s="497" t="s">
        <v>1982</v>
      </c>
      <c r="DP577" s="543">
        <v>1</v>
      </c>
    </row>
    <row r="578" spans="2:120" ht="15">
      <c r="B578" s="683"/>
      <c r="C578" s="683"/>
      <c r="D578" s="683"/>
      <c r="E578" s="683" cm="1">
        <f t="array" ref="E578">IF(H577&lt;&gt;"",E577,IF(E577="","",IFERROR(MATCH(TRUE(),INDEX(INDEX(K:K,E577+1):K203&lt;&gt;"",0),0)+E577,"")))</f>
        <v>719</v>
      </c>
      <c r="F578" s="684" cm="1">
        <f t="array" ref="F578">IF(E578="","",IF(H577&lt;&gt;"",H577,INDEX(D:D,E578)))</f>
        <v>0</v>
      </c>
      <c r="G578" s="684" t="str">
        <f t="shared" si="60"/>
        <v>0</v>
      </c>
      <c r="H578" s="685" t="str">
        <f t="shared" si="61"/>
        <v/>
      </c>
      <c r="I578" s="683" t="str">
        <f>IF(AND(F578&lt;&gt;"",N10&gt;0,M578&gt;N10),"Mot &gt; limite","")</f>
        <v/>
      </c>
      <c r="M578" s="638">
        <f>IF(OR(F578="",N10="",N10&lt;=0),"",IF(LEN(F578)&lt;=N10,LEN(F578),IFERROR(FIND("♦",SUBSTITUTE(LEFT(F578,N10)," ","♦",LEN(LEFT(F578,N10))-LEN(SUBSTITUTE(LEFT(F578,N10)," ","")))),FIND(" ",F578&amp;" ",N10+1)-1)))</f>
        <v>1</v>
      </c>
      <c r="N578" s="686">
        <f t="shared" si="62"/>
        <v>561</v>
      </c>
      <c r="O578" s="663" t="str">
        <f t="shared" si="63"/>
        <v>0</v>
      </c>
      <c r="P578" s="686">
        <f t="shared" si="64"/>
        <v>1</v>
      </c>
      <c r="Q578" s="686">
        <f t="shared" si="65"/>
        <v>1</v>
      </c>
      <c r="DE578" s="494"/>
      <c r="DF578" s="496" t="s">
        <v>2236</v>
      </c>
      <c r="DG578" s="496" t="s">
        <v>8</v>
      </c>
      <c r="DH578" s="496" t="s">
        <v>689</v>
      </c>
      <c r="DI578" s="496" t="s">
        <v>2237</v>
      </c>
      <c r="DJ578" s="496" t="s">
        <v>2237</v>
      </c>
      <c r="DK578" s="496" t="s">
        <v>1554</v>
      </c>
      <c r="DL578" s="496" t="s">
        <v>1555</v>
      </c>
      <c r="DM578" s="496" t="s">
        <v>1981</v>
      </c>
      <c r="DN578" s="497" t="s">
        <v>1982</v>
      </c>
      <c r="DP578" s="543">
        <v>1</v>
      </c>
    </row>
    <row r="579" spans="2:120" ht="15">
      <c r="B579" s="683"/>
      <c r="C579" s="683"/>
      <c r="D579" s="683"/>
      <c r="E579" s="683" cm="1">
        <f t="array" ref="E579">IF(H578&lt;&gt;"",E578,IF(E578="","",IFERROR(MATCH(TRUE(),INDEX(INDEX(K:K,E578+1):K203&lt;&gt;"",0),0)+E578,"")))</f>
        <v>720</v>
      </c>
      <c r="F579" s="684" cm="1">
        <f t="array" ref="F579">IF(E579="","",IF(H578&lt;&gt;"",H578,INDEX(D:D,E579)))</f>
        <v>0</v>
      </c>
      <c r="G579" s="684" t="str">
        <f t="shared" si="60"/>
        <v>0</v>
      </c>
      <c r="H579" s="685" t="str">
        <f t="shared" si="61"/>
        <v/>
      </c>
      <c r="I579" s="683" t="str">
        <f>IF(AND(F579&lt;&gt;"",N10&gt;0,M579&gt;N10),"Mot &gt; limite","")</f>
        <v/>
      </c>
      <c r="M579" s="638">
        <f>IF(OR(F579="",N10="",N10&lt;=0),"",IF(LEN(F579)&lt;=N10,LEN(F579),IFERROR(FIND("♦",SUBSTITUTE(LEFT(F579,N10)," ","♦",LEN(LEFT(F579,N10))-LEN(SUBSTITUTE(LEFT(F579,N10)," ","")))),FIND(" ",F579&amp;" ",N10+1)-1)))</f>
        <v>1</v>
      </c>
      <c r="N579" s="686">
        <f t="shared" si="62"/>
        <v>562</v>
      </c>
      <c r="O579" s="663" t="str">
        <f t="shared" si="63"/>
        <v>0</v>
      </c>
      <c r="P579" s="686">
        <f t="shared" si="64"/>
        <v>1</v>
      </c>
      <c r="Q579" s="686">
        <f t="shared" si="65"/>
        <v>1</v>
      </c>
      <c r="DE579" s="494"/>
      <c r="DF579" s="496" t="s">
        <v>2238</v>
      </c>
      <c r="DG579" s="496" t="s">
        <v>8</v>
      </c>
      <c r="DH579" s="496" t="s">
        <v>689</v>
      </c>
      <c r="DI579" s="496" t="s">
        <v>2239</v>
      </c>
      <c r="DJ579" s="496" t="s">
        <v>2239</v>
      </c>
      <c r="DK579" s="496" t="s">
        <v>1554</v>
      </c>
      <c r="DL579" s="496" t="s">
        <v>1555</v>
      </c>
      <c r="DM579" s="496" t="s">
        <v>1981</v>
      </c>
      <c r="DN579" s="497" t="s">
        <v>1982</v>
      </c>
      <c r="DP579" s="543">
        <v>1</v>
      </c>
    </row>
    <row r="580" spans="2:120" ht="15">
      <c r="B580" s="683"/>
      <c r="C580" s="683"/>
      <c r="D580" s="683"/>
      <c r="E580" s="683" cm="1">
        <f t="array" ref="E580">IF(H579&lt;&gt;"",E579,IF(E579="","",IFERROR(MATCH(TRUE(),INDEX(INDEX(K:K,E579+1):K203&lt;&gt;"",0),0)+E579,"")))</f>
        <v>721</v>
      </c>
      <c r="F580" s="684" cm="1">
        <f t="array" ref="F580">IF(E580="","",IF(H579&lt;&gt;"",H579,INDEX(D:D,E580)))</f>
        <v>0</v>
      </c>
      <c r="G580" s="684" t="str">
        <f t="shared" si="60"/>
        <v>0</v>
      </c>
      <c r="H580" s="685" t="str">
        <f t="shared" si="61"/>
        <v/>
      </c>
      <c r="I580" s="683" t="str">
        <f>IF(AND(F580&lt;&gt;"",N10&gt;0,M580&gt;N10),"Mot &gt; limite","")</f>
        <v/>
      </c>
      <c r="M580" s="638">
        <f>IF(OR(F580="",N10="",N10&lt;=0),"",IF(LEN(F580)&lt;=N10,LEN(F580),IFERROR(FIND("♦",SUBSTITUTE(LEFT(F580,N10)," ","♦",LEN(LEFT(F580,N10))-LEN(SUBSTITUTE(LEFT(F580,N10)," ","")))),FIND(" ",F580&amp;" ",N10+1)-1)))</f>
        <v>1</v>
      </c>
      <c r="N580" s="686">
        <f t="shared" si="62"/>
        <v>563</v>
      </c>
      <c r="O580" s="663" t="str">
        <f t="shared" si="63"/>
        <v>0</v>
      </c>
      <c r="P580" s="686">
        <f t="shared" si="64"/>
        <v>1</v>
      </c>
      <c r="Q580" s="686">
        <f t="shared" si="65"/>
        <v>1</v>
      </c>
      <c r="DE580" s="494"/>
      <c r="DF580" s="496" t="s">
        <v>2240</v>
      </c>
      <c r="DG580" s="496" t="s">
        <v>8</v>
      </c>
      <c r="DH580" s="496" t="s">
        <v>689</v>
      </c>
      <c r="DI580" s="496" t="s">
        <v>2241</v>
      </c>
      <c r="DJ580" s="496" t="s">
        <v>2241</v>
      </c>
      <c r="DK580" s="496" t="s">
        <v>1554</v>
      </c>
      <c r="DL580" s="496" t="s">
        <v>1555</v>
      </c>
      <c r="DM580" s="496" t="s">
        <v>1981</v>
      </c>
      <c r="DN580" s="497" t="s">
        <v>1982</v>
      </c>
      <c r="DP580" s="543">
        <v>1</v>
      </c>
    </row>
    <row r="581" spans="2:120" ht="15">
      <c r="B581" s="683"/>
      <c r="C581" s="683"/>
      <c r="D581" s="683"/>
      <c r="E581" s="683" cm="1">
        <f t="array" ref="E581">IF(H580&lt;&gt;"",E580,IF(E580="","",IFERROR(MATCH(TRUE(),INDEX(INDEX(K:K,E580+1):K203&lt;&gt;"",0),0)+E580,"")))</f>
        <v>722</v>
      </c>
      <c r="F581" s="684" cm="1">
        <f t="array" ref="F581">IF(E581="","",IF(H580&lt;&gt;"",H580,INDEX(D:D,E581)))</f>
        <v>0</v>
      </c>
      <c r="G581" s="684" t="str">
        <f t="shared" si="60"/>
        <v>0</v>
      </c>
      <c r="H581" s="685" t="str">
        <f t="shared" si="61"/>
        <v/>
      </c>
      <c r="I581" s="683" t="str">
        <f>IF(AND(F581&lt;&gt;"",N10&gt;0,M581&gt;N10),"Mot &gt; limite","")</f>
        <v/>
      </c>
      <c r="M581" s="638">
        <f>IF(OR(F581="",N10="",N10&lt;=0),"",IF(LEN(F581)&lt;=N10,LEN(F581),IFERROR(FIND("♦",SUBSTITUTE(LEFT(F581,N10)," ","♦",LEN(LEFT(F581,N10))-LEN(SUBSTITUTE(LEFT(F581,N10)," ","")))),FIND(" ",F581&amp;" ",N10+1)-1)))</f>
        <v>1</v>
      </c>
      <c r="N581" s="686">
        <f t="shared" si="62"/>
        <v>564</v>
      </c>
      <c r="O581" s="663" t="str">
        <f t="shared" si="63"/>
        <v>0</v>
      </c>
      <c r="P581" s="686">
        <f t="shared" si="64"/>
        <v>1</v>
      </c>
      <c r="Q581" s="686">
        <f t="shared" si="65"/>
        <v>1</v>
      </c>
      <c r="DE581" s="494"/>
      <c r="DF581" s="496" t="s">
        <v>2242</v>
      </c>
      <c r="DG581" s="496" t="s">
        <v>8</v>
      </c>
      <c r="DH581" s="496" t="s">
        <v>689</v>
      </c>
      <c r="DI581" s="496" t="s">
        <v>2243</v>
      </c>
      <c r="DJ581" s="496" t="s">
        <v>2243</v>
      </c>
      <c r="DK581" s="496" t="s">
        <v>1554</v>
      </c>
      <c r="DL581" s="496" t="s">
        <v>1555</v>
      </c>
      <c r="DM581" s="496" t="s">
        <v>1981</v>
      </c>
      <c r="DN581" s="497" t="s">
        <v>1982</v>
      </c>
      <c r="DP581" s="543">
        <v>1</v>
      </c>
    </row>
    <row r="582" spans="2:120" ht="15">
      <c r="B582" s="683"/>
      <c r="C582" s="683"/>
      <c r="D582" s="683"/>
      <c r="E582" s="683" cm="1">
        <f t="array" ref="E582">IF(H581&lt;&gt;"",E581,IF(E581="","",IFERROR(MATCH(TRUE(),INDEX(INDEX(K:K,E581+1):K203&lt;&gt;"",0),0)+E581,"")))</f>
        <v>723</v>
      </c>
      <c r="F582" s="684" cm="1">
        <f t="array" ref="F582">IF(E582="","",IF(H581&lt;&gt;"",H581,INDEX(D:D,E582)))</f>
        <v>0</v>
      </c>
      <c r="G582" s="684" t="str">
        <f t="shared" si="60"/>
        <v>0</v>
      </c>
      <c r="H582" s="685" t="str">
        <f t="shared" si="61"/>
        <v/>
      </c>
      <c r="I582" s="683" t="str">
        <f>IF(AND(F582&lt;&gt;"",N10&gt;0,M582&gt;N10),"Mot &gt; limite","")</f>
        <v/>
      </c>
      <c r="M582" s="638">
        <f>IF(OR(F582="",N10="",N10&lt;=0),"",IF(LEN(F582)&lt;=N10,LEN(F582),IFERROR(FIND("♦",SUBSTITUTE(LEFT(F582,N10)," ","♦",LEN(LEFT(F582,N10))-LEN(SUBSTITUTE(LEFT(F582,N10)," ","")))),FIND(" ",F582&amp;" ",N10+1)-1)))</f>
        <v>1</v>
      </c>
      <c r="N582" s="686">
        <f t="shared" si="62"/>
        <v>565</v>
      </c>
      <c r="O582" s="663" t="str">
        <f t="shared" si="63"/>
        <v>0</v>
      </c>
      <c r="P582" s="686">
        <f t="shared" si="64"/>
        <v>1</v>
      </c>
      <c r="Q582" s="686">
        <f t="shared" si="65"/>
        <v>1</v>
      </c>
      <c r="DE582" s="494"/>
      <c r="DF582" s="496" t="s">
        <v>2244</v>
      </c>
      <c r="DG582" s="496" t="s">
        <v>8</v>
      </c>
      <c r="DH582" s="496" t="s">
        <v>689</v>
      </c>
      <c r="DI582" s="496" t="s">
        <v>2245</v>
      </c>
      <c r="DJ582" s="496" t="s">
        <v>2245</v>
      </c>
      <c r="DK582" s="496" t="s">
        <v>1554</v>
      </c>
      <c r="DL582" s="496" t="s">
        <v>1555</v>
      </c>
      <c r="DM582" s="496" t="s">
        <v>1981</v>
      </c>
      <c r="DN582" s="497" t="s">
        <v>1982</v>
      </c>
      <c r="DP582" s="543">
        <v>1</v>
      </c>
    </row>
    <row r="583" spans="2:120" ht="15">
      <c r="B583" s="683"/>
      <c r="C583" s="683"/>
      <c r="D583" s="683"/>
      <c r="E583" s="683" cm="1">
        <f t="array" ref="E583">IF(H582&lt;&gt;"",E582,IF(E582="","",IFERROR(MATCH(TRUE(),INDEX(INDEX(K:K,E582+1):K203&lt;&gt;"",0),0)+E582,"")))</f>
        <v>724</v>
      </c>
      <c r="F583" s="684" cm="1">
        <f t="array" ref="F583">IF(E583="","",IF(H582&lt;&gt;"",H582,INDEX(D:D,E583)))</f>
        <v>0</v>
      </c>
      <c r="G583" s="684" t="str">
        <f t="shared" si="60"/>
        <v>0</v>
      </c>
      <c r="H583" s="685" t="str">
        <f t="shared" si="61"/>
        <v/>
      </c>
      <c r="I583" s="683" t="str">
        <f>IF(AND(F583&lt;&gt;"",N10&gt;0,M583&gt;N10),"Mot &gt; limite","")</f>
        <v/>
      </c>
      <c r="M583" s="638">
        <f>IF(OR(F583="",N10="",N10&lt;=0),"",IF(LEN(F583)&lt;=N10,LEN(F583),IFERROR(FIND("♦",SUBSTITUTE(LEFT(F583,N10)," ","♦",LEN(LEFT(F583,N10))-LEN(SUBSTITUTE(LEFT(F583,N10)," ","")))),FIND(" ",F583&amp;" ",N10+1)-1)))</f>
        <v>1</v>
      </c>
      <c r="N583" s="686">
        <f t="shared" si="62"/>
        <v>566</v>
      </c>
      <c r="O583" s="663" t="str">
        <f t="shared" si="63"/>
        <v>0</v>
      </c>
      <c r="P583" s="686">
        <f t="shared" si="64"/>
        <v>1</v>
      </c>
      <c r="Q583" s="686">
        <f t="shared" si="65"/>
        <v>1</v>
      </c>
      <c r="DE583" s="494"/>
      <c r="DF583" s="496" t="s">
        <v>2246</v>
      </c>
      <c r="DG583" s="496" t="s">
        <v>8</v>
      </c>
      <c r="DH583" s="496" t="s">
        <v>689</v>
      </c>
      <c r="DI583" s="496" t="s">
        <v>2247</v>
      </c>
      <c r="DJ583" s="496" t="s">
        <v>2247</v>
      </c>
      <c r="DK583" s="496" t="s">
        <v>1554</v>
      </c>
      <c r="DL583" s="496" t="s">
        <v>1555</v>
      </c>
      <c r="DM583" s="496" t="s">
        <v>1981</v>
      </c>
      <c r="DN583" s="497" t="s">
        <v>1982</v>
      </c>
      <c r="DP583" s="543">
        <v>1</v>
      </c>
    </row>
    <row r="584" spans="2:120" ht="15">
      <c r="B584" s="683"/>
      <c r="C584" s="683"/>
      <c r="D584" s="683"/>
      <c r="E584" s="683" cm="1">
        <f t="array" ref="E584">IF(H583&lt;&gt;"",E583,IF(E583="","",IFERROR(MATCH(TRUE(),INDEX(INDEX(K:K,E583+1):K203&lt;&gt;"",0),0)+E583,"")))</f>
        <v>725</v>
      </c>
      <c r="F584" s="684" cm="1">
        <f t="array" ref="F584">IF(E584="","",IF(H583&lt;&gt;"",H583,INDEX(D:D,E584)))</f>
        <v>0</v>
      </c>
      <c r="G584" s="684" t="str">
        <f t="shared" si="60"/>
        <v>0</v>
      </c>
      <c r="H584" s="685" t="str">
        <f t="shared" si="61"/>
        <v/>
      </c>
      <c r="I584" s="683" t="str">
        <f>IF(AND(F584&lt;&gt;"",N10&gt;0,M584&gt;N10),"Mot &gt; limite","")</f>
        <v/>
      </c>
      <c r="M584" s="638">
        <f>IF(OR(F584="",N10="",N10&lt;=0),"",IF(LEN(F584)&lt;=N10,LEN(F584),IFERROR(FIND("♦",SUBSTITUTE(LEFT(F584,N10)," ","♦",LEN(LEFT(F584,N10))-LEN(SUBSTITUTE(LEFT(F584,N10)," ","")))),FIND(" ",F584&amp;" ",N10+1)-1)))</f>
        <v>1</v>
      </c>
      <c r="N584" s="686">
        <f t="shared" si="62"/>
        <v>567</v>
      </c>
      <c r="O584" s="663" t="str">
        <f t="shared" si="63"/>
        <v>0</v>
      </c>
      <c r="P584" s="686">
        <f t="shared" si="64"/>
        <v>1</v>
      </c>
      <c r="Q584" s="686">
        <f t="shared" si="65"/>
        <v>1</v>
      </c>
      <c r="DE584" s="494"/>
      <c r="DF584" s="496" t="s">
        <v>2248</v>
      </c>
      <c r="DG584" s="496" t="s">
        <v>8</v>
      </c>
      <c r="DH584" s="496" t="s">
        <v>689</v>
      </c>
      <c r="DI584" s="496" t="s">
        <v>2249</v>
      </c>
      <c r="DJ584" s="496" t="s">
        <v>2249</v>
      </c>
      <c r="DK584" s="496" t="s">
        <v>1554</v>
      </c>
      <c r="DL584" s="496" t="s">
        <v>1555</v>
      </c>
      <c r="DM584" s="496" t="s">
        <v>1981</v>
      </c>
      <c r="DN584" s="497" t="s">
        <v>1982</v>
      </c>
      <c r="DP584" s="543">
        <v>1</v>
      </c>
    </row>
    <row r="585" spans="2:120" ht="15">
      <c r="B585" s="683"/>
      <c r="C585" s="683"/>
      <c r="D585" s="683"/>
      <c r="E585" s="683" cm="1">
        <f t="array" ref="E585">IF(H584&lt;&gt;"",E584,IF(E584="","",IFERROR(MATCH(TRUE(),INDEX(INDEX(K:K,E584+1):K203&lt;&gt;"",0),0)+E584,"")))</f>
        <v>726</v>
      </c>
      <c r="F585" s="684" cm="1">
        <f t="array" ref="F585">IF(E585="","",IF(H584&lt;&gt;"",H584,INDEX(D:D,E585)))</f>
        <v>0</v>
      </c>
      <c r="G585" s="684" t="str">
        <f t="shared" si="60"/>
        <v>0</v>
      </c>
      <c r="H585" s="685" t="str">
        <f t="shared" si="61"/>
        <v/>
      </c>
      <c r="I585" s="683" t="str">
        <f>IF(AND(F585&lt;&gt;"",N10&gt;0,M585&gt;N10),"Mot &gt; limite","")</f>
        <v/>
      </c>
      <c r="M585" s="638">
        <f>IF(OR(F585="",N10="",N10&lt;=0),"",IF(LEN(F585)&lt;=N10,LEN(F585),IFERROR(FIND("♦",SUBSTITUTE(LEFT(F585,N10)," ","♦",LEN(LEFT(F585,N10))-LEN(SUBSTITUTE(LEFT(F585,N10)," ","")))),FIND(" ",F585&amp;" ",N10+1)-1)))</f>
        <v>1</v>
      </c>
      <c r="N585" s="686">
        <f t="shared" si="62"/>
        <v>568</v>
      </c>
      <c r="O585" s="663" t="str">
        <f t="shared" si="63"/>
        <v>0</v>
      </c>
      <c r="P585" s="686">
        <f t="shared" si="64"/>
        <v>1</v>
      </c>
      <c r="Q585" s="686">
        <f t="shared" si="65"/>
        <v>1</v>
      </c>
      <c r="DE585" s="494"/>
      <c r="DF585" s="496" t="s">
        <v>2250</v>
      </c>
      <c r="DG585" s="496" t="s">
        <v>8</v>
      </c>
      <c r="DH585" s="496" t="s">
        <v>689</v>
      </c>
      <c r="DI585" s="496" t="s">
        <v>2251</v>
      </c>
      <c r="DJ585" s="496" t="s">
        <v>2251</v>
      </c>
      <c r="DK585" s="496" t="s">
        <v>1554</v>
      </c>
      <c r="DL585" s="496" t="s">
        <v>1555</v>
      </c>
      <c r="DM585" s="496" t="s">
        <v>1981</v>
      </c>
      <c r="DN585" s="497" t="s">
        <v>1982</v>
      </c>
      <c r="DP585" s="543">
        <v>1</v>
      </c>
    </row>
    <row r="586" spans="2:120" ht="15">
      <c r="B586" s="683"/>
      <c r="C586" s="683"/>
      <c r="D586" s="683"/>
      <c r="E586" s="683" cm="1">
        <f t="array" ref="E586">IF(H585&lt;&gt;"",E585,IF(E585="","",IFERROR(MATCH(TRUE(),INDEX(INDEX(K:K,E585+1):K203&lt;&gt;"",0),0)+E585,"")))</f>
        <v>727</v>
      </c>
      <c r="F586" s="684" cm="1">
        <f t="array" ref="F586">IF(E586="","",IF(H585&lt;&gt;"",H585,INDEX(D:D,E586)))</f>
        <v>0</v>
      </c>
      <c r="G586" s="684" t="str">
        <f t="shared" si="60"/>
        <v>0</v>
      </c>
      <c r="H586" s="685" t="str">
        <f t="shared" si="61"/>
        <v/>
      </c>
      <c r="I586" s="683" t="str">
        <f>IF(AND(F586&lt;&gt;"",N10&gt;0,M586&gt;N10),"Mot &gt; limite","")</f>
        <v/>
      </c>
      <c r="M586" s="638">
        <f>IF(OR(F586="",N10="",N10&lt;=0),"",IF(LEN(F586)&lt;=N10,LEN(F586),IFERROR(FIND("♦",SUBSTITUTE(LEFT(F586,N10)," ","♦",LEN(LEFT(F586,N10))-LEN(SUBSTITUTE(LEFT(F586,N10)," ","")))),FIND(" ",F586&amp;" ",N10+1)-1)))</f>
        <v>1</v>
      </c>
      <c r="N586" s="686">
        <f t="shared" si="62"/>
        <v>569</v>
      </c>
      <c r="O586" s="663" t="str">
        <f t="shared" si="63"/>
        <v>0</v>
      </c>
      <c r="P586" s="686">
        <f t="shared" si="64"/>
        <v>1</v>
      </c>
      <c r="Q586" s="686">
        <f t="shared" si="65"/>
        <v>1</v>
      </c>
      <c r="DE586" s="494"/>
      <c r="DF586" s="496" t="s">
        <v>2252</v>
      </c>
      <c r="DG586" s="496" t="s">
        <v>8</v>
      </c>
      <c r="DH586" s="496" t="s">
        <v>689</v>
      </c>
      <c r="DI586" s="496" t="s">
        <v>2253</v>
      </c>
      <c r="DJ586" s="496" t="s">
        <v>2253</v>
      </c>
      <c r="DK586" s="496" t="s">
        <v>1554</v>
      </c>
      <c r="DL586" s="496" t="s">
        <v>1555</v>
      </c>
      <c r="DM586" s="496" t="s">
        <v>1981</v>
      </c>
      <c r="DN586" s="497" t="s">
        <v>1982</v>
      </c>
      <c r="DP586" s="543">
        <v>1</v>
      </c>
    </row>
    <row r="587" spans="2:120" ht="15">
      <c r="B587" s="683"/>
      <c r="C587" s="683"/>
      <c r="D587" s="683"/>
      <c r="E587" s="683" cm="1">
        <f t="array" ref="E587">IF(H586&lt;&gt;"",E586,IF(E586="","",IFERROR(MATCH(TRUE(),INDEX(INDEX(K:K,E586+1):K203&lt;&gt;"",0),0)+E586,"")))</f>
        <v>728</v>
      </c>
      <c r="F587" s="684" cm="1">
        <f t="array" ref="F587">IF(E587="","",IF(H586&lt;&gt;"",H586,INDEX(D:D,E587)))</f>
        <v>0</v>
      </c>
      <c r="G587" s="684" t="str">
        <f t="shared" si="60"/>
        <v>0</v>
      </c>
      <c r="H587" s="685" t="str">
        <f t="shared" si="61"/>
        <v/>
      </c>
      <c r="I587" s="683" t="str">
        <f>IF(AND(F587&lt;&gt;"",N10&gt;0,M587&gt;N10),"Mot &gt; limite","")</f>
        <v/>
      </c>
      <c r="M587" s="638">
        <f>IF(OR(F587="",N10="",N10&lt;=0),"",IF(LEN(F587)&lt;=N10,LEN(F587),IFERROR(FIND("♦",SUBSTITUTE(LEFT(F587,N10)," ","♦",LEN(LEFT(F587,N10))-LEN(SUBSTITUTE(LEFT(F587,N10)," ","")))),FIND(" ",F587&amp;" ",N10+1)-1)))</f>
        <v>1</v>
      </c>
      <c r="N587" s="686">
        <f t="shared" si="62"/>
        <v>570</v>
      </c>
      <c r="O587" s="663" t="str">
        <f t="shared" si="63"/>
        <v>0</v>
      </c>
      <c r="P587" s="686">
        <f t="shared" si="64"/>
        <v>1</v>
      </c>
      <c r="Q587" s="686">
        <f t="shared" si="65"/>
        <v>1</v>
      </c>
      <c r="DE587" s="494"/>
      <c r="DF587" s="496" t="s">
        <v>2254</v>
      </c>
      <c r="DG587" s="496" t="s">
        <v>8</v>
      </c>
      <c r="DH587" s="496" t="s">
        <v>689</v>
      </c>
      <c r="DI587" s="496" t="s">
        <v>2255</v>
      </c>
      <c r="DJ587" s="496" t="s">
        <v>2255</v>
      </c>
      <c r="DK587" s="496" t="s">
        <v>1554</v>
      </c>
      <c r="DL587" s="496" t="s">
        <v>1555</v>
      </c>
      <c r="DM587" s="496" t="s">
        <v>1981</v>
      </c>
      <c r="DN587" s="497" t="s">
        <v>1982</v>
      </c>
      <c r="DP587" s="543">
        <v>1</v>
      </c>
    </row>
    <row r="588" spans="2:120" ht="15">
      <c r="B588" s="683"/>
      <c r="C588" s="683"/>
      <c r="D588" s="683"/>
      <c r="E588" s="683" cm="1">
        <f t="array" ref="E588">IF(H587&lt;&gt;"",E587,IF(E587="","",IFERROR(MATCH(TRUE(),INDEX(INDEX(K:K,E587+1):K203&lt;&gt;"",0),0)+E587,"")))</f>
        <v>729</v>
      </c>
      <c r="F588" s="684" cm="1">
        <f t="array" ref="F588">IF(E588="","",IF(H587&lt;&gt;"",H587,INDEX(D:D,E588)))</f>
        <v>0</v>
      </c>
      <c r="G588" s="684" t="str">
        <f t="shared" si="60"/>
        <v>0</v>
      </c>
      <c r="H588" s="685" t="str">
        <f t="shared" si="61"/>
        <v/>
      </c>
      <c r="I588" s="683" t="str">
        <f>IF(AND(F588&lt;&gt;"",N10&gt;0,M588&gt;N10),"Mot &gt; limite","")</f>
        <v/>
      </c>
      <c r="M588" s="638">
        <f>IF(OR(F588="",N10="",N10&lt;=0),"",IF(LEN(F588)&lt;=N10,LEN(F588),IFERROR(FIND("♦",SUBSTITUTE(LEFT(F588,N10)," ","♦",LEN(LEFT(F588,N10))-LEN(SUBSTITUTE(LEFT(F588,N10)," ","")))),FIND(" ",F588&amp;" ",N10+1)-1)))</f>
        <v>1</v>
      </c>
      <c r="N588" s="686">
        <f t="shared" si="62"/>
        <v>571</v>
      </c>
      <c r="O588" s="663" t="str">
        <f t="shared" si="63"/>
        <v>0</v>
      </c>
      <c r="P588" s="686">
        <f t="shared" si="64"/>
        <v>1</v>
      </c>
      <c r="Q588" s="686">
        <f t="shared" si="65"/>
        <v>1</v>
      </c>
      <c r="DE588" s="494"/>
      <c r="DF588" s="496" t="s">
        <v>2256</v>
      </c>
      <c r="DG588" s="496" t="s">
        <v>8</v>
      </c>
      <c r="DH588" s="496" t="s">
        <v>689</v>
      </c>
      <c r="DI588" s="496" t="s">
        <v>2257</v>
      </c>
      <c r="DJ588" s="496" t="s">
        <v>2257</v>
      </c>
      <c r="DK588" s="496" t="s">
        <v>1554</v>
      </c>
      <c r="DL588" s="496" t="s">
        <v>1555</v>
      </c>
      <c r="DM588" s="496" t="s">
        <v>1981</v>
      </c>
      <c r="DN588" s="497" t="s">
        <v>1982</v>
      </c>
      <c r="DP588" s="543">
        <v>1</v>
      </c>
    </row>
    <row r="589" spans="2:120" ht="15">
      <c r="B589" s="683"/>
      <c r="C589" s="683"/>
      <c r="D589" s="683"/>
      <c r="E589" s="683" cm="1">
        <f t="array" ref="E589">IF(H588&lt;&gt;"",E588,IF(E588="","",IFERROR(MATCH(TRUE(),INDEX(INDEX(K:K,E588+1):K203&lt;&gt;"",0),0)+E588,"")))</f>
        <v>730</v>
      </c>
      <c r="F589" s="684" cm="1">
        <f t="array" ref="F589">IF(E589="","",IF(H588&lt;&gt;"",H588,INDEX(D:D,E589)))</f>
        <v>0</v>
      </c>
      <c r="G589" s="684" t="str">
        <f t="shared" si="60"/>
        <v>0</v>
      </c>
      <c r="H589" s="685" t="str">
        <f t="shared" si="61"/>
        <v/>
      </c>
      <c r="I589" s="683" t="str">
        <f>IF(AND(F589&lt;&gt;"",N10&gt;0,M589&gt;N10),"Mot &gt; limite","")</f>
        <v/>
      </c>
      <c r="M589" s="638">
        <f>IF(OR(F589="",N10="",N10&lt;=0),"",IF(LEN(F589)&lt;=N10,LEN(F589),IFERROR(FIND("♦",SUBSTITUTE(LEFT(F589,N10)," ","♦",LEN(LEFT(F589,N10))-LEN(SUBSTITUTE(LEFT(F589,N10)," ","")))),FIND(" ",F589&amp;" ",N10+1)-1)))</f>
        <v>1</v>
      </c>
      <c r="N589" s="686">
        <f t="shared" si="62"/>
        <v>572</v>
      </c>
      <c r="O589" s="663" t="str">
        <f t="shared" si="63"/>
        <v>0</v>
      </c>
      <c r="P589" s="686">
        <f t="shared" si="64"/>
        <v>1</v>
      </c>
      <c r="Q589" s="686">
        <f t="shared" si="65"/>
        <v>1</v>
      </c>
      <c r="DE589" s="494"/>
      <c r="DF589" s="496" t="s">
        <v>2258</v>
      </c>
      <c r="DG589" s="496" t="s">
        <v>8</v>
      </c>
      <c r="DH589" s="496" t="s">
        <v>689</v>
      </c>
      <c r="DI589" s="496" t="s">
        <v>2259</v>
      </c>
      <c r="DJ589" s="496" t="s">
        <v>2259</v>
      </c>
      <c r="DK589" s="496" t="s">
        <v>1554</v>
      </c>
      <c r="DL589" s="496" t="s">
        <v>1555</v>
      </c>
      <c r="DM589" s="496" t="s">
        <v>1981</v>
      </c>
      <c r="DN589" s="497" t="s">
        <v>1982</v>
      </c>
      <c r="DP589" s="543">
        <v>1</v>
      </c>
    </row>
    <row r="590" spans="2:120" ht="15">
      <c r="B590" s="683"/>
      <c r="C590" s="683"/>
      <c r="D590" s="683"/>
      <c r="E590" s="683" cm="1">
        <f t="array" ref="E590">IF(H589&lt;&gt;"",E589,IF(E589="","",IFERROR(MATCH(TRUE(),INDEX(INDEX(K:K,E589+1):K203&lt;&gt;"",0),0)+E589,"")))</f>
        <v>731</v>
      </c>
      <c r="F590" s="684" cm="1">
        <f t="array" ref="F590">IF(E590="","",IF(H589&lt;&gt;"",H589,INDEX(D:D,E590)))</f>
        <v>0</v>
      </c>
      <c r="G590" s="684" t="str">
        <f t="shared" si="60"/>
        <v>0</v>
      </c>
      <c r="H590" s="685" t="str">
        <f t="shared" si="61"/>
        <v/>
      </c>
      <c r="I590" s="683" t="str">
        <f>IF(AND(F590&lt;&gt;"",N10&gt;0,M590&gt;N10),"Mot &gt; limite","")</f>
        <v/>
      </c>
      <c r="M590" s="638">
        <f>IF(OR(F590="",N10="",N10&lt;=0),"",IF(LEN(F590)&lt;=N10,LEN(F590),IFERROR(FIND("♦",SUBSTITUTE(LEFT(F590,N10)," ","♦",LEN(LEFT(F590,N10))-LEN(SUBSTITUTE(LEFT(F590,N10)," ","")))),FIND(" ",F590&amp;" ",N10+1)-1)))</f>
        <v>1</v>
      </c>
      <c r="N590" s="686">
        <f t="shared" si="62"/>
        <v>573</v>
      </c>
      <c r="O590" s="663" t="str">
        <f t="shared" si="63"/>
        <v>0</v>
      </c>
      <c r="P590" s="686">
        <f t="shared" si="64"/>
        <v>1</v>
      </c>
      <c r="Q590" s="686">
        <f t="shared" si="65"/>
        <v>1</v>
      </c>
      <c r="DE590" s="494"/>
      <c r="DF590" s="496" t="s">
        <v>2260</v>
      </c>
      <c r="DG590" s="496" t="s">
        <v>8</v>
      </c>
      <c r="DH590" s="496" t="s">
        <v>689</v>
      </c>
      <c r="DI590" s="496" t="s">
        <v>2261</v>
      </c>
      <c r="DJ590" s="496" t="s">
        <v>2261</v>
      </c>
      <c r="DK590" s="496" t="s">
        <v>1554</v>
      </c>
      <c r="DL590" s="496" t="s">
        <v>1555</v>
      </c>
      <c r="DM590" s="496" t="s">
        <v>1981</v>
      </c>
      <c r="DN590" s="497" t="s">
        <v>1982</v>
      </c>
      <c r="DP590" s="543">
        <v>1</v>
      </c>
    </row>
    <row r="591" spans="2:120" ht="15">
      <c r="B591" s="683"/>
      <c r="C591" s="683"/>
      <c r="D591" s="683"/>
      <c r="E591" s="683" cm="1">
        <f t="array" ref="E591">IF(H590&lt;&gt;"",E590,IF(E590="","",IFERROR(MATCH(TRUE(),INDEX(INDEX(K:K,E590+1):K203&lt;&gt;"",0),0)+E590,"")))</f>
        <v>732</v>
      </c>
      <c r="F591" s="684" cm="1">
        <f t="array" ref="F591">IF(E591="","",IF(H590&lt;&gt;"",H590,INDEX(D:D,E591)))</f>
        <v>0</v>
      </c>
      <c r="G591" s="684" t="str">
        <f t="shared" si="60"/>
        <v>0</v>
      </c>
      <c r="H591" s="685" t="str">
        <f t="shared" si="61"/>
        <v/>
      </c>
      <c r="I591" s="683" t="str">
        <f>IF(AND(F591&lt;&gt;"",N10&gt;0,M591&gt;N10),"Mot &gt; limite","")</f>
        <v/>
      </c>
      <c r="M591" s="638">
        <f>IF(OR(F591="",N10="",N10&lt;=0),"",IF(LEN(F591)&lt;=N10,LEN(F591),IFERROR(FIND("♦",SUBSTITUTE(LEFT(F591,N10)," ","♦",LEN(LEFT(F591,N10))-LEN(SUBSTITUTE(LEFT(F591,N10)," ","")))),FIND(" ",F591&amp;" ",N10+1)-1)))</f>
        <v>1</v>
      </c>
      <c r="N591" s="686">
        <f t="shared" si="62"/>
        <v>574</v>
      </c>
      <c r="O591" s="663" t="str">
        <f t="shared" si="63"/>
        <v>0</v>
      </c>
      <c r="P591" s="686">
        <f t="shared" si="64"/>
        <v>1</v>
      </c>
      <c r="Q591" s="686">
        <f t="shared" si="65"/>
        <v>1</v>
      </c>
      <c r="DE591" s="494"/>
      <c r="DF591" s="496" t="s">
        <v>2262</v>
      </c>
      <c r="DG591" s="496" t="s">
        <v>8</v>
      </c>
      <c r="DH591" s="496" t="s">
        <v>689</v>
      </c>
      <c r="DI591" s="496" t="s">
        <v>2263</v>
      </c>
      <c r="DJ591" s="496" t="s">
        <v>2263</v>
      </c>
      <c r="DK591" s="496" t="s">
        <v>1554</v>
      </c>
      <c r="DL591" s="496" t="s">
        <v>1555</v>
      </c>
      <c r="DM591" s="496" t="s">
        <v>1981</v>
      </c>
      <c r="DN591" s="497" t="s">
        <v>1982</v>
      </c>
      <c r="DP591" s="543">
        <v>1</v>
      </c>
    </row>
    <row r="592" spans="2:120" ht="15">
      <c r="B592" s="683"/>
      <c r="C592" s="683"/>
      <c r="D592" s="683"/>
      <c r="E592" s="683" cm="1">
        <f t="array" ref="E592">IF(H591&lt;&gt;"",E591,IF(E591="","",IFERROR(MATCH(TRUE(),INDEX(INDEX(K:K,E591+1):K203&lt;&gt;"",0),0)+E591,"")))</f>
        <v>733</v>
      </c>
      <c r="F592" s="684" cm="1">
        <f t="array" ref="F592">IF(E592="","",IF(H591&lt;&gt;"",H591,INDEX(D:D,E592)))</f>
        <v>0</v>
      </c>
      <c r="G592" s="684" t="str">
        <f t="shared" si="60"/>
        <v>0</v>
      </c>
      <c r="H592" s="685" t="str">
        <f t="shared" si="61"/>
        <v/>
      </c>
      <c r="I592" s="683" t="str">
        <f>IF(AND(F592&lt;&gt;"",N10&gt;0,M592&gt;N10),"Mot &gt; limite","")</f>
        <v/>
      </c>
      <c r="M592" s="638">
        <f>IF(OR(F592="",N10="",N10&lt;=0),"",IF(LEN(F592)&lt;=N10,LEN(F592),IFERROR(FIND("♦",SUBSTITUTE(LEFT(F592,N10)," ","♦",LEN(LEFT(F592,N10))-LEN(SUBSTITUTE(LEFT(F592,N10)," ","")))),FIND(" ",F592&amp;" ",N10+1)-1)))</f>
        <v>1</v>
      </c>
      <c r="N592" s="686">
        <f t="shared" si="62"/>
        <v>575</v>
      </c>
      <c r="O592" s="663" t="str">
        <f t="shared" si="63"/>
        <v>0</v>
      </c>
      <c r="P592" s="686">
        <f t="shared" si="64"/>
        <v>1</v>
      </c>
      <c r="Q592" s="686">
        <f t="shared" si="65"/>
        <v>1</v>
      </c>
      <c r="DE592" s="494"/>
      <c r="DF592" s="496" t="s">
        <v>2264</v>
      </c>
      <c r="DG592" s="496" t="s">
        <v>8</v>
      </c>
      <c r="DH592" s="496" t="s">
        <v>689</v>
      </c>
      <c r="DI592" s="496" t="s">
        <v>2265</v>
      </c>
      <c r="DJ592" s="496" t="s">
        <v>2265</v>
      </c>
      <c r="DK592" s="496" t="s">
        <v>1554</v>
      </c>
      <c r="DL592" s="496" t="s">
        <v>1555</v>
      </c>
      <c r="DM592" s="496" t="s">
        <v>1981</v>
      </c>
      <c r="DN592" s="497" t="s">
        <v>1982</v>
      </c>
      <c r="DP592" s="543">
        <v>1</v>
      </c>
    </row>
    <row r="593" spans="2:120" ht="15">
      <c r="B593" s="683"/>
      <c r="C593" s="683"/>
      <c r="D593" s="683"/>
      <c r="E593" s="683" cm="1">
        <f t="array" ref="E593">IF(H592&lt;&gt;"",E592,IF(E592="","",IFERROR(MATCH(TRUE(),INDEX(INDEX(K:K,E592+1):K203&lt;&gt;"",0),0)+E592,"")))</f>
        <v>734</v>
      </c>
      <c r="F593" s="684" cm="1">
        <f t="array" ref="F593">IF(E593="","",IF(H592&lt;&gt;"",H592,INDEX(D:D,E593)))</f>
        <v>0</v>
      </c>
      <c r="G593" s="684" t="str">
        <f t="shared" si="60"/>
        <v>0</v>
      </c>
      <c r="H593" s="685" t="str">
        <f t="shared" si="61"/>
        <v/>
      </c>
      <c r="I593" s="683" t="str">
        <f>IF(AND(F593&lt;&gt;"",N10&gt;0,M593&gt;N10),"Mot &gt; limite","")</f>
        <v/>
      </c>
      <c r="M593" s="638">
        <f>IF(OR(F593="",N10="",N10&lt;=0),"",IF(LEN(F593)&lt;=N10,LEN(F593),IFERROR(FIND("♦",SUBSTITUTE(LEFT(F593,N10)," ","♦",LEN(LEFT(F593,N10))-LEN(SUBSTITUTE(LEFT(F593,N10)," ","")))),FIND(" ",F593&amp;" ",N10+1)-1)))</f>
        <v>1</v>
      </c>
      <c r="N593" s="686">
        <f t="shared" si="62"/>
        <v>576</v>
      </c>
      <c r="O593" s="663" t="str">
        <f t="shared" si="63"/>
        <v>0</v>
      </c>
      <c r="P593" s="686">
        <f t="shared" si="64"/>
        <v>1</v>
      </c>
      <c r="Q593" s="686">
        <f t="shared" si="65"/>
        <v>1</v>
      </c>
      <c r="DE593" s="494"/>
      <c r="DF593" s="496" t="s">
        <v>2266</v>
      </c>
      <c r="DG593" s="496" t="s">
        <v>8</v>
      </c>
      <c r="DH593" s="496" t="s">
        <v>689</v>
      </c>
      <c r="DI593" s="496" t="s">
        <v>2267</v>
      </c>
      <c r="DJ593" s="496" t="s">
        <v>2267</v>
      </c>
      <c r="DK593" s="496" t="s">
        <v>1554</v>
      </c>
      <c r="DL593" s="496" t="s">
        <v>1555</v>
      </c>
      <c r="DM593" s="496" t="s">
        <v>1981</v>
      </c>
      <c r="DN593" s="497" t="s">
        <v>1982</v>
      </c>
      <c r="DP593" s="543">
        <v>1</v>
      </c>
    </row>
    <row r="594" spans="2:120" ht="15">
      <c r="B594" s="683"/>
      <c r="C594" s="683"/>
      <c r="D594" s="683"/>
      <c r="E594" s="683" cm="1">
        <f t="array" ref="E594">IF(H593&lt;&gt;"",E593,IF(E593="","",IFERROR(MATCH(TRUE(),INDEX(INDEX(K:K,E593+1):K203&lt;&gt;"",0),0)+E593,"")))</f>
        <v>735</v>
      </c>
      <c r="F594" s="684" cm="1">
        <f t="array" ref="F594">IF(E594="","",IF(H593&lt;&gt;"",H593,INDEX(D:D,E594)))</f>
        <v>0</v>
      </c>
      <c r="G594" s="684" t="str">
        <f t="shared" ref="G594:G657" si="66">IF(OR(F594="",M594=""),"",LEFT(F594,M594))</f>
        <v>0</v>
      </c>
      <c r="H594" s="685" t="str">
        <f t="shared" ref="H594:H657" si="67">IF(OR(F594="",M594=""),"",TRIM(MID(F594,M594+1,99999)))</f>
        <v/>
      </c>
      <c r="I594" s="683" t="str">
        <f>IF(AND(F594&lt;&gt;"",N10&gt;0,M594&gt;N10),"Mot &gt; limite","")</f>
        <v/>
      </c>
      <c r="M594" s="638">
        <f>IF(OR(F594="",N10="",N10&lt;=0),"",IF(LEN(F594)&lt;=N10,LEN(F594),IFERROR(FIND("♦",SUBSTITUTE(LEFT(F594,N10)," ","♦",LEN(LEFT(F594,N10))-LEN(SUBSTITUTE(LEFT(F594,N10)," ","")))),FIND(" ",F594&amp;" ",N10+1)-1)))</f>
        <v>1</v>
      </c>
      <c r="N594" s="686">
        <f t="shared" ref="N594:N657" si="68">IF(O594="","",ROW()-17)</f>
        <v>577</v>
      </c>
      <c r="O594" s="663" t="str">
        <f t="shared" ref="O594:O657" si="69">G594</f>
        <v>0</v>
      </c>
      <c r="P594" s="686">
        <f t="shared" ref="P594:P657" si="70">IF(O594="","",LEN(TRIM(O594))-LEN(SUBSTITUTE(TRIM(O594)," ",""))+1)</f>
        <v>1</v>
      </c>
      <c r="Q594" s="686">
        <f t="shared" ref="Q594:Q657" si="71">IF(O594="","",LEN(O594))</f>
        <v>1</v>
      </c>
      <c r="DE594" s="494"/>
      <c r="DF594" s="496" t="s">
        <v>2268</v>
      </c>
      <c r="DG594" s="496" t="s">
        <v>8</v>
      </c>
      <c r="DH594" s="496" t="s">
        <v>689</v>
      </c>
      <c r="DI594" s="496" t="s">
        <v>2269</v>
      </c>
      <c r="DJ594" s="496" t="s">
        <v>2269</v>
      </c>
      <c r="DK594" s="496" t="s">
        <v>1554</v>
      </c>
      <c r="DL594" s="496" t="s">
        <v>1555</v>
      </c>
      <c r="DM594" s="496" t="s">
        <v>1981</v>
      </c>
      <c r="DN594" s="497" t="s">
        <v>1982</v>
      </c>
      <c r="DP594" s="543">
        <v>1</v>
      </c>
    </row>
    <row r="595" spans="2:120" ht="15">
      <c r="B595" s="683"/>
      <c r="C595" s="683"/>
      <c r="D595" s="683"/>
      <c r="E595" s="683" cm="1">
        <f t="array" ref="E595">IF(H594&lt;&gt;"",E594,IF(E594="","",IFERROR(MATCH(TRUE(),INDEX(INDEX(K:K,E594+1):K203&lt;&gt;"",0),0)+E594,"")))</f>
        <v>736</v>
      </c>
      <c r="F595" s="684" cm="1">
        <f t="array" ref="F595">IF(E595="","",IF(H594&lt;&gt;"",H594,INDEX(D:D,E595)))</f>
        <v>0</v>
      </c>
      <c r="G595" s="684" t="str">
        <f t="shared" si="66"/>
        <v>0</v>
      </c>
      <c r="H595" s="685" t="str">
        <f t="shared" si="67"/>
        <v/>
      </c>
      <c r="I595" s="683" t="str">
        <f>IF(AND(F595&lt;&gt;"",N10&gt;0,M595&gt;N10),"Mot &gt; limite","")</f>
        <v/>
      </c>
      <c r="M595" s="638">
        <f>IF(OR(F595="",N10="",N10&lt;=0),"",IF(LEN(F595)&lt;=N10,LEN(F595),IFERROR(FIND("♦",SUBSTITUTE(LEFT(F595,N10)," ","♦",LEN(LEFT(F595,N10))-LEN(SUBSTITUTE(LEFT(F595,N10)," ","")))),FIND(" ",F595&amp;" ",N10+1)-1)))</f>
        <v>1</v>
      </c>
      <c r="N595" s="686">
        <f t="shared" si="68"/>
        <v>578</v>
      </c>
      <c r="O595" s="663" t="str">
        <f t="shared" si="69"/>
        <v>0</v>
      </c>
      <c r="P595" s="686">
        <f t="shared" si="70"/>
        <v>1</v>
      </c>
      <c r="Q595" s="686">
        <f t="shared" si="71"/>
        <v>1</v>
      </c>
      <c r="DE595" s="494"/>
      <c r="DF595" s="496" t="s">
        <v>2270</v>
      </c>
      <c r="DG595" s="496" t="s">
        <v>8</v>
      </c>
      <c r="DH595" s="496" t="s">
        <v>689</v>
      </c>
      <c r="DI595" s="496" t="s">
        <v>2271</v>
      </c>
      <c r="DJ595" s="496" t="s">
        <v>2271</v>
      </c>
      <c r="DK595" s="496" t="s">
        <v>1554</v>
      </c>
      <c r="DL595" s="496" t="s">
        <v>1555</v>
      </c>
      <c r="DM595" s="496" t="s">
        <v>1981</v>
      </c>
      <c r="DN595" s="497" t="s">
        <v>1982</v>
      </c>
      <c r="DP595" s="543">
        <v>1</v>
      </c>
    </row>
    <row r="596" spans="2:120" ht="15">
      <c r="B596" s="683"/>
      <c r="C596" s="683"/>
      <c r="D596" s="683"/>
      <c r="E596" s="683" cm="1">
        <f t="array" ref="E596">IF(H595&lt;&gt;"",E595,IF(E595="","",IFERROR(MATCH(TRUE(),INDEX(INDEX(K:K,E595+1):K203&lt;&gt;"",0),0)+E595,"")))</f>
        <v>737</v>
      </c>
      <c r="F596" s="684" cm="1">
        <f t="array" ref="F596">IF(E596="","",IF(H595&lt;&gt;"",H595,INDEX(D:D,E596)))</f>
        <v>0</v>
      </c>
      <c r="G596" s="684" t="str">
        <f t="shared" si="66"/>
        <v>0</v>
      </c>
      <c r="H596" s="685" t="str">
        <f t="shared" si="67"/>
        <v/>
      </c>
      <c r="I596" s="683" t="str">
        <f>IF(AND(F596&lt;&gt;"",N10&gt;0,M596&gt;N10),"Mot &gt; limite","")</f>
        <v/>
      </c>
      <c r="M596" s="638">
        <f>IF(OR(F596="",N10="",N10&lt;=0),"",IF(LEN(F596)&lt;=N10,LEN(F596),IFERROR(FIND("♦",SUBSTITUTE(LEFT(F596,N10)," ","♦",LEN(LEFT(F596,N10))-LEN(SUBSTITUTE(LEFT(F596,N10)," ","")))),FIND(" ",F596&amp;" ",N10+1)-1)))</f>
        <v>1</v>
      </c>
      <c r="N596" s="686">
        <f t="shared" si="68"/>
        <v>579</v>
      </c>
      <c r="O596" s="663" t="str">
        <f t="shared" si="69"/>
        <v>0</v>
      </c>
      <c r="P596" s="686">
        <f t="shared" si="70"/>
        <v>1</v>
      </c>
      <c r="Q596" s="686">
        <f t="shared" si="71"/>
        <v>1</v>
      </c>
      <c r="DE596" s="494"/>
      <c r="DF596" s="496" t="s">
        <v>2272</v>
      </c>
      <c r="DG596" s="496" t="s">
        <v>8</v>
      </c>
      <c r="DH596" s="496" t="s">
        <v>689</v>
      </c>
      <c r="DI596" s="496" t="s">
        <v>2273</v>
      </c>
      <c r="DJ596" s="496" t="s">
        <v>2273</v>
      </c>
      <c r="DK596" s="496" t="s">
        <v>1554</v>
      </c>
      <c r="DL596" s="496" t="s">
        <v>1555</v>
      </c>
      <c r="DM596" s="496" t="s">
        <v>1981</v>
      </c>
      <c r="DN596" s="497" t="s">
        <v>1982</v>
      </c>
      <c r="DP596" s="543">
        <v>1</v>
      </c>
    </row>
    <row r="597" spans="2:120" ht="15">
      <c r="B597" s="683"/>
      <c r="C597" s="683"/>
      <c r="D597" s="683"/>
      <c r="E597" s="683" cm="1">
        <f t="array" ref="E597">IF(H596&lt;&gt;"",E596,IF(E596="","",IFERROR(MATCH(TRUE(),INDEX(INDEX(K:K,E596+1):K203&lt;&gt;"",0),0)+E596,"")))</f>
        <v>738</v>
      </c>
      <c r="F597" s="684" cm="1">
        <f t="array" ref="F597">IF(E597="","",IF(H596&lt;&gt;"",H596,INDEX(D:D,E597)))</f>
        <v>0</v>
      </c>
      <c r="G597" s="684" t="str">
        <f t="shared" si="66"/>
        <v>0</v>
      </c>
      <c r="H597" s="685" t="str">
        <f t="shared" si="67"/>
        <v/>
      </c>
      <c r="I597" s="683" t="str">
        <f>IF(AND(F597&lt;&gt;"",N10&gt;0,M597&gt;N10),"Mot &gt; limite","")</f>
        <v/>
      </c>
      <c r="M597" s="638">
        <f>IF(OR(F597="",N10="",N10&lt;=0),"",IF(LEN(F597)&lt;=N10,LEN(F597),IFERROR(FIND("♦",SUBSTITUTE(LEFT(F597,N10)," ","♦",LEN(LEFT(F597,N10))-LEN(SUBSTITUTE(LEFT(F597,N10)," ","")))),FIND(" ",F597&amp;" ",N10+1)-1)))</f>
        <v>1</v>
      </c>
      <c r="N597" s="686">
        <f t="shared" si="68"/>
        <v>580</v>
      </c>
      <c r="O597" s="663" t="str">
        <f t="shared" si="69"/>
        <v>0</v>
      </c>
      <c r="P597" s="686">
        <f t="shared" si="70"/>
        <v>1</v>
      </c>
      <c r="Q597" s="686">
        <f t="shared" si="71"/>
        <v>1</v>
      </c>
      <c r="DE597" s="494"/>
      <c r="DF597" s="496" t="s">
        <v>2274</v>
      </c>
      <c r="DG597" s="496" t="s">
        <v>8</v>
      </c>
      <c r="DH597" s="496" t="s">
        <v>689</v>
      </c>
      <c r="DI597" s="496" t="s">
        <v>2275</v>
      </c>
      <c r="DJ597" s="496" t="s">
        <v>2275</v>
      </c>
      <c r="DK597" s="496" t="s">
        <v>1554</v>
      </c>
      <c r="DL597" s="496" t="s">
        <v>1555</v>
      </c>
      <c r="DM597" s="496" t="s">
        <v>1981</v>
      </c>
      <c r="DN597" s="497" t="s">
        <v>1982</v>
      </c>
      <c r="DP597" s="543">
        <v>1</v>
      </c>
    </row>
    <row r="598" spans="2:120" ht="15">
      <c r="B598" s="683"/>
      <c r="C598" s="683"/>
      <c r="D598" s="683"/>
      <c r="E598" s="683" cm="1">
        <f t="array" ref="E598">IF(H597&lt;&gt;"",E597,IF(E597="","",IFERROR(MATCH(TRUE(),INDEX(INDEX(K:K,E597+1):K203&lt;&gt;"",0),0)+E597,"")))</f>
        <v>739</v>
      </c>
      <c r="F598" s="684" cm="1">
        <f t="array" ref="F598">IF(E598="","",IF(H597&lt;&gt;"",H597,INDEX(D:D,E598)))</f>
        <v>0</v>
      </c>
      <c r="G598" s="684" t="str">
        <f t="shared" si="66"/>
        <v>0</v>
      </c>
      <c r="H598" s="685" t="str">
        <f t="shared" si="67"/>
        <v/>
      </c>
      <c r="I598" s="683" t="str">
        <f>IF(AND(F598&lt;&gt;"",N10&gt;0,M598&gt;N10),"Mot &gt; limite","")</f>
        <v/>
      </c>
      <c r="M598" s="638">
        <f>IF(OR(F598="",N10="",N10&lt;=0),"",IF(LEN(F598)&lt;=N10,LEN(F598),IFERROR(FIND("♦",SUBSTITUTE(LEFT(F598,N10)," ","♦",LEN(LEFT(F598,N10))-LEN(SUBSTITUTE(LEFT(F598,N10)," ","")))),FIND(" ",F598&amp;" ",N10+1)-1)))</f>
        <v>1</v>
      </c>
      <c r="N598" s="686">
        <f t="shared" si="68"/>
        <v>581</v>
      </c>
      <c r="O598" s="663" t="str">
        <f t="shared" si="69"/>
        <v>0</v>
      </c>
      <c r="P598" s="686">
        <f t="shared" si="70"/>
        <v>1</v>
      </c>
      <c r="Q598" s="686">
        <f t="shared" si="71"/>
        <v>1</v>
      </c>
      <c r="DE598" s="494"/>
      <c r="DF598" s="496" t="s">
        <v>2276</v>
      </c>
      <c r="DG598" s="496" t="s">
        <v>8</v>
      </c>
      <c r="DH598" s="496" t="s">
        <v>689</v>
      </c>
      <c r="DI598" s="496" t="s">
        <v>2277</v>
      </c>
      <c r="DJ598" s="496" t="s">
        <v>2277</v>
      </c>
      <c r="DK598" s="496" t="s">
        <v>1554</v>
      </c>
      <c r="DL598" s="496" t="s">
        <v>1555</v>
      </c>
      <c r="DM598" s="496" t="s">
        <v>1981</v>
      </c>
      <c r="DN598" s="497" t="s">
        <v>1982</v>
      </c>
      <c r="DP598" s="543">
        <v>1</v>
      </c>
    </row>
    <row r="599" spans="2:120" ht="15">
      <c r="B599" s="683"/>
      <c r="C599" s="683"/>
      <c r="D599" s="683"/>
      <c r="E599" s="683" cm="1">
        <f t="array" ref="E599">IF(H598&lt;&gt;"",E598,IF(E598="","",IFERROR(MATCH(TRUE(),INDEX(INDEX(K:K,E598+1):K203&lt;&gt;"",0),0)+E598,"")))</f>
        <v>740</v>
      </c>
      <c r="F599" s="684" cm="1">
        <f t="array" ref="F599">IF(E599="","",IF(H598&lt;&gt;"",H598,INDEX(D:D,E599)))</f>
        <v>0</v>
      </c>
      <c r="G599" s="684" t="str">
        <f t="shared" si="66"/>
        <v>0</v>
      </c>
      <c r="H599" s="685" t="str">
        <f t="shared" si="67"/>
        <v/>
      </c>
      <c r="I599" s="683" t="str">
        <f>IF(AND(F599&lt;&gt;"",N10&gt;0,M599&gt;N10),"Mot &gt; limite","")</f>
        <v/>
      </c>
      <c r="M599" s="638">
        <f>IF(OR(F599="",N10="",N10&lt;=0),"",IF(LEN(F599)&lt;=N10,LEN(F599),IFERROR(FIND("♦",SUBSTITUTE(LEFT(F599,N10)," ","♦",LEN(LEFT(F599,N10))-LEN(SUBSTITUTE(LEFT(F599,N10)," ","")))),FIND(" ",F599&amp;" ",N10+1)-1)))</f>
        <v>1</v>
      </c>
      <c r="N599" s="686">
        <f t="shared" si="68"/>
        <v>582</v>
      </c>
      <c r="O599" s="663" t="str">
        <f t="shared" si="69"/>
        <v>0</v>
      </c>
      <c r="P599" s="686">
        <f t="shared" si="70"/>
        <v>1</v>
      </c>
      <c r="Q599" s="686">
        <f t="shared" si="71"/>
        <v>1</v>
      </c>
      <c r="DE599" s="494"/>
      <c r="DF599" s="496" t="s">
        <v>2278</v>
      </c>
      <c r="DG599" s="496" t="s">
        <v>8</v>
      </c>
      <c r="DH599" s="496" t="s">
        <v>689</v>
      </c>
      <c r="DI599" s="496" t="s">
        <v>1021</v>
      </c>
      <c r="DJ599" s="496" t="s">
        <v>1021</v>
      </c>
      <c r="DK599" s="496" t="s">
        <v>1554</v>
      </c>
      <c r="DL599" s="496" t="s">
        <v>1555</v>
      </c>
      <c r="DM599" s="496" t="s">
        <v>1981</v>
      </c>
      <c r="DN599" s="497" t="s">
        <v>1982</v>
      </c>
      <c r="DP599" s="543">
        <v>1</v>
      </c>
    </row>
    <row r="600" spans="2:120" ht="15">
      <c r="B600" s="683"/>
      <c r="C600" s="683"/>
      <c r="D600" s="683"/>
      <c r="E600" s="683" cm="1">
        <f t="array" ref="E600">IF(H599&lt;&gt;"",E599,IF(E599="","",IFERROR(MATCH(TRUE(),INDEX(INDEX(K:K,E599+1):K203&lt;&gt;"",0),0)+E599,"")))</f>
        <v>741</v>
      </c>
      <c r="F600" s="684" cm="1">
        <f t="array" ref="F600">IF(E600="","",IF(H599&lt;&gt;"",H599,INDEX(D:D,E600)))</f>
        <v>0</v>
      </c>
      <c r="G600" s="684" t="str">
        <f t="shared" si="66"/>
        <v>0</v>
      </c>
      <c r="H600" s="685" t="str">
        <f t="shared" si="67"/>
        <v/>
      </c>
      <c r="I600" s="683" t="str">
        <f>IF(AND(F600&lt;&gt;"",N10&gt;0,M600&gt;N10),"Mot &gt; limite","")</f>
        <v/>
      </c>
      <c r="M600" s="638">
        <f>IF(OR(F600="",N10="",N10&lt;=0),"",IF(LEN(F600)&lt;=N10,LEN(F600),IFERROR(FIND("♦",SUBSTITUTE(LEFT(F600,N10)," ","♦",LEN(LEFT(F600,N10))-LEN(SUBSTITUTE(LEFT(F600,N10)," ","")))),FIND(" ",F600&amp;" ",N10+1)-1)))</f>
        <v>1</v>
      </c>
      <c r="N600" s="686">
        <f t="shared" si="68"/>
        <v>583</v>
      </c>
      <c r="O600" s="663" t="str">
        <f t="shared" si="69"/>
        <v>0</v>
      </c>
      <c r="P600" s="686">
        <f t="shared" si="70"/>
        <v>1</v>
      </c>
      <c r="Q600" s="686">
        <f t="shared" si="71"/>
        <v>1</v>
      </c>
      <c r="DE600" s="494"/>
      <c r="DF600" s="496" t="s">
        <v>2279</v>
      </c>
      <c r="DG600" s="496" t="s">
        <v>8</v>
      </c>
      <c r="DH600" s="496" t="s">
        <v>689</v>
      </c>
      <c r="DI600" s="496" t="s">
        <v>2280</v>
      </c>
      <c r="DJ600" s="496" t="s">
        <v>2280</v>
      </c>
      <c r="DK600" s="496" t="s">
        <v>1554</v>
      </c>
      <c r="DL600" s="496" t="s">
        <v>1555</v>
      </c>
      <c r="DM600" s="496" t="s">
        <v>1981</v>
      </c>
      <c r="DN600" s="497" t="s">
        <v>1982</v>
      </c>
      <c r="DP600" s="543">
        <v>1</v>
      </c>
    </row>
    <row r="601" spans="2:120" ht="15">
      <c r="B601" s="683"/>
      <c r="C601" s="683"/>
      <c r="D601" s="683"/>
      <c r="E601" s="683" cm="1">
        <f t="array" ref="E601">IF(H600&lt;&gt;"",E600,IF(E600="","",IFERROR(MATCH(TRUE(),INDEX(INDEX(K:K,E600+1):K203&lt;&gt;"",0),0)+E600,"")))</f>
        <v>742</v>
      </c>
      <c r="F601" s="684" cm="1">
        <f t="array" ref="F601">IF(E601="","",IF(H600&lt;&gt;"",H600,INDEX(D:D,E601)))</f>
        <v>0</v>
      </c>
      <c r="G601" s="684" t="str">
        <f t="shared" si="66"/>
        <v>0</v>
      </c>
      <c r="H601" s="685" t="str">
        <f t="shared" si="67"/>
        <v/>
      </c>
      <c r="I601" s="683" t="str">
        <f>IF(AND(F601&lt;&gt;"",N10&gt;0,M601&gt;N10),"Mot &gt; limite","")</f>
        <v/>
      </c>
      <c r="M601" s="638">
        <f>IF(OR(F601="",N10="",N10&lt;=0),"",IF(LEN(F601)&lt;=N10,LEN(F601),IFERROR(FIND("♦",SUBSTITUTE(LEFT(F601,N10)," ","♦",LEN(LEFT(F601,N10))-LEN(SUBSTITUTE(LEFT(F601,N10)," ","")))),FIND(" ",F601&amp;" ",N10+1)-1)))</f>
        <v>1</v>
      </c>
      <c r="N601" s="686">
        <f t="shared" si="68"/>
        <v>584</v>
      </c>
      <c r="O601" s="663" t="str">
        <f t="shared" si="69"/>
        <v>0</v>
      </c>
      <c r="P601" s="686">
        <f t="shared" si="70"/>
        <v>1</v>
      </c>
      <c r="Q601" s="686">
        <f t="shared" si="71"/>
        <v>1</v>
      </c>
      <c r="DE601" s="494"/>
      <c r="DF601" s="496" t="s">
        <v>2281</v>
      </c>
      <c r="DG601" s="496" t="s">
        <v>8</v>
      </c>
      <c r="DH601" s="496" t="s">
        <v>689</v>
      </c>
      <c r="DI601" s="496" t="s">
        <v>2282</v>
      </c>
      <c r="DJ601" s="496" t="s">
        <v>2282</v>
      </c>
      <c r="DK601" s="496" t="s">
        <v>1554</v>
      </c>
      <c r="DL601" s="496" t="s">
        <v>1555</v>
      </c>
      <c r="DM601" s="496" t="s">
        <v>1981</v>
      </c>
      <c r="DN601" s="497" t="s">
        <v>1982</v>
      </c>
      <c r="DP601" s="543">
        <v>1</v>
      </c>
    </row>
    <row r="602" spans="2:120" ht="15">
      <c r="B602" s="683"/>
      <c r="C602" s="683"/>
      <c r="D602" s="683"/>
      <c r="E602" s="683" cm="1">
        <f t="array" ref="E602">IF(H601&lt;&gt;"",E601,IF(E601="","",IFERROR(MATCH(TRUE(),INDEX(INDEX(K:K,E601+1):K203&lt;&gt;"",0),0)+E601,"")))</f>
        <v>743</v>
      </c>
      <c r="F602" s="684" cm="1">
        <f t="array" ref="F602">IF(E602="","",IF(H601&lt;&gt;"",H601,INDEX(D:D,E602)))</f>
        <v>0</v>
      </c>
      <c r="G602" s="684" t="str">
        <f t="shared" si="66"/>
        <v>0</v>
      </c>
      <c r="H602" s="685" t="str">
        <f t="shared" si="67"/>
        <v/>
      </c>
      <c r="I602" s="683" t="str">
        <f>IF(AND(F602&lt;&gt;"",N10&gt;0,M602&gt;N10),"Mot &gt; limite","")</f>
        <v/>
      </c>
      <c r="M602" s="638">
        <f>IF(OR(F602="",N10="",N10&lt;=0),"",IF(LEN(F602)&lt;=N10,LEN(F602),IFERROR(FIND("♦",SUBSTITUTE(LEFT(F602,N10)," ","♦",LEN(LEFT(F602,N10))-LEN(SUBSTITUTE(LEFT(F602,N10)," ","")))),FIND(" ",F602&amp;" ",N10+1)-1)))</f>
        <v>1</v>
      </c>
      <c r="N602" s="686">
        <f t="shared" si="68"/>
        <v>585</v>
      </c>
      <c r="O602" s="663" t="str">
        <f t="shared" si="69"/>
        <v>0</v>
      </c>
      <c r="P602" s="686">
        <f t="shared" si="70"/>
        <v>1</v>
      </c>
      <c r="Q602" s="686">
        <f t="shared" si="71"/>
        <v>1</v>
      </c>
      <c r="DE602" s="494"/>
      <c r="DF602" s="496" t="s">
        <v>2283</v>
      </c>
      <c r="DG602" s="496" t="s">
        <v>8</v>
      </c>
      <c r="DH602" s="496" t="s">
        <v>689</v>
      </c>
      <c r="DI602" s="496" t="s">
        <v>2284</v>
      </c>
      <c r="DJ602" s="496" t="s">
        <v>2284</v>
      </c>
      <c r="DK602" s="496" t="s">
        <v>1554</v>
      </c>
      <c r="DL602" s="496" t="s">
        <v>1555</v>
      </c>
      <c r="DM602" s="496" t="s">
        <v>1981</v>
      </c>
      <c r="DN602" s="497" t="s">
        <v>1982</v>
      </c>
      <c r="DP602" s="543">
        <v>1</v>
      </c>
    </row>
    <row r="603" spans="2:120" ht="15">
      <c r="B603" s="683"/>
      <c r="C603" s="683"/>
      <c r="D603" s="683"/>
      <c r="E603" s="683" cm="1">
        <f t="array" ref="E603">IF(H602&lt;&gt;"",E602,IF(E602="","",IFERROR(MATCH(TRUE(),INDEX(INDEX(K:K,E602+1):K203&lt;&gt;"",0),0)+E602,"")))</f>
        <v>744</v>
      </c>
      <c r="F603" s="684" cm="1">
        <f t="array" ref="F603">IF(E603="","",IF(H602&lt;&gt;"",H602,INDEX(D:D,E603)))</f>
        <v>0</v>
      </c>
      <c r="G603" s="684" t="str">
        <f t="shared" si="66"/>
        <v>0</v>
      </c>
      <c r="H603" s="685" t="str">
        <f t="shared" si="67"/>
        <v/>
      </c>
      <c r="I603" s="683" t="str">
        <f>IF(AND(F603&lt;&gt;"",N10&gt;0,M603&gt;N10),"Mot &gt; limite","")</f>
        <v/>
      </c>
      <c r="M603" s="638">
        <f>IF(OR(F603="",N10="",N10&lt;=0),"",IF(LEN(F603)&lt;=N10,LEN(F603),IFERROR(FIND("♦",SUBSTITUTE(LEFT(F603,N10)," ","♦",LEN(LEFT(F603,N10))-LEN(SUBSTITUTE(LEFT(F603,N10)," ","")))),FIND(" ",F603&amp;" ",N10+1)-1)))</f>
        <v>1</v>
      </c>
      <c r="N603" s="686">
        <f t="shared" si="68"/>
        <v>586</v>
      </c>
      <c r="O603" s="663" t="str">
        <f t="shared" si="69"/>
        <v>0</v>
      </c>
      <c r="P603" s="686">
        <f t="shared" si="70"/>
        <v>1</v>
      </c>
      <c r="Q603" s="686">
        <f t="shared" si="71"/>
        <v>1</v>
      </c>
      <c r="DE603" s="494"/>
      <c r="DF603" s="496" t="s">
        <v>2285</v>
      </c>
      <c r="DG603" s="496" t="s">
        <v>8</v>
      </c>
      <c r="DH603" s="496" t="s">
        <v>689</v>
      </c>
      <c r="DI603" s="496" t="s">
        <v>2286</v>
      </c>
      <c r="DJ603" s="496" t="s">
        <v>2286</v>
      </c>
      <c r="DK603" s="496" t="s">
        <v>1554</v>
      </c>
      <c r="DL603" s="496" t="s">
        <v>1555</v>
      </c>
      <c r="DM603" s="496" t="s">
        <v>1981</v>
      </c>
      <c r="DN603" s="497" t="s">
        <v>1982</v>
      </c>
      <c r="DP603" s="543">
        <v>1</v>
      </c>
    </row>
    <row r="604" spans="2:120" ht="15">
      <c r="B604" s="683"/>
      <c r="C604" s="683"/>
      <c r="D604" s="683"/>
      <c r="E604" s="683" cm="1">
        <f t="array" ref="E604">IF(H603&lt;&gt;"",E603,IF(E603="","",IFERROR(MATCH(TRUE(),INDEX(INDEX(K:K,E603+1):K203&lt;&gt;"",0),0)+E603,"")))</f>
        <v>745</v>
      </c>
      <c r="F604" s="684" cm="1">
        <f t="array" ref="F604">IF(E604="","",IF(H603&lt;&gt;"",H603,INDEX(D:D,E604)))</f>
        <v>0</v>
      </c>
      <c r="G604" s="684" t="str">
        <f t="shared" si="66"/>
        <v>0</v>
      </c>
      <c r="H604" s="685" t="str">
        <f t="shared" si="67"/>
        <v/>
      </c>
      <c r="I604" s="683" t="str">
        <f>IF(AND(F604&lt;&gt;"",N10&gt;0,M604&gt;N10),"Mot &gt; limite","")</f>
        <v/>
      </c>
      <c r="M604" s="638">
        <f>IF(OR(F604="",N10="",N10&lt;=0),"",IF(LEN(F604)&lt;=N10,LEN(F604),IFERROR(FIND("♦",SUBSTITUTE(LEFT(F604,N10)," ","♦",LEN(LEFT(F604,N10))-LEN(SUBSTITUTE(LEFT(F604,N10)," ","")))),FIND(" ",F604&amp;" ",N10+1)-1)))</f>
        <v>1</v>
      </c>
      <c r="N604" s="686">
        <f t="shared" si="68"/>
        <v>587</v>
      </c>
      <c r="O604" s="663" t="str">
        <f t="shared" si="69"/>
        <v>0</v>
      </c>
      <c r="P604" s="686">
        <f t="shared" si="70"/>
        <v>1</v>
      </c>
      <c r="Q604" s="686">
        <f t="shared" si="71"/>
        <v>1</v>
      </c>
      <c r="DE604" s="494"/>
      <c r="DF604" s="496" t="s">
        <v>2287</v>
      </c>
      <c r="DG604" s="496" t="s">
        <v>8</v>
      </c>
      <c r="DH604" s="496" t="s">
        <v>689</v>
      </c>
      <c r="DI604" s="496" t="s">
        <v>1022</v>
      </c>
      <c r="DJ604" s="496" t="s">
        <v>1022</v>
      </c>
      <c r="DK604" s="496" t="s">
        <v>1085</v>
      </c>
      <c r="DL604" s="496" t="s">
        <v>2063</v>
      </c>
      <c r="DM604" s="496" t="s">
        <v>1087</v>
      </c>
      <c r="DN604" s="497" t="s">
        <v>1088</v>
      </c>
      <c r="DP604" s="543">
        <v>1</v>
      </c>
    </row>
    <row r="605" spans="2:120" ht="15">
      <c r="B605" s="683"/>
      <c r="C605" s="683"/>
      <c r="D605" s="683"/>
      <c r="E605" s="683" cm="1">
        <f t="array" ref="E605">IF(H604&lt;&gt;"",E604,IF(E604="","",IFERROR(MATCH(TRUE(),INDEX(INDEX(K:K,E604+1):K203&lt;&gt;"",0),0)+E604,"")))</f>
        <v>746</v>
      </c>
      <c r="F605" s="684" cm="1">
        <f t="array" ref="F605">IF(E605="","",IF(H604&lt;&gt;"",H604,INDEX(D:D,E605)))</f>
        <v>0</v>
      </c>
      <c r="G605" s="684" t="str">
        <f t="shared" si="66"/>
        <v>0</v>
      </c>
      <c r="H605" s="685" t="str">
        <f t="shared" si="67"/>
        <v/>
      </c>
      <c r="I605" s="683" t="str">
        <f>IF(AND(F605&lt;&gt;"",N10&gt;0,M605&gt;N10),"Mot &gt; limite","")</f>
        <v/>
      </c>
      <c r="M605" s="638">
        <f>IF(OR(F605="",N10="",N10&lt;=0),"",IF(LEN(F605)&lt;=N10,LEN(F605),IFERROR(FIND("♦",SUBSTITUTE(LEFT(F605,N10)," ","♦",LEN(LEFT(F605,N10))-LEN(SUBSTITUTE(LEFT(F605,N10)," ","")))),FIND(" ",F605&amp;" ",N10+1)-1)))</f>
        <v>1</v>
      </c>
      <c r="N605" s="686">
        <f t="shared" si="68"/>
        <v>588</v>
      </c>
      <c r="O605" s="663" t="str">
        <f t="shared" si="69"/>
        <v>0</v>
      </c>
      <c r="P605" s="686">
        <f t="shared" si="70"/>
        <v>1</v>
      </c>
      <c r="Q605" s="686">
        <f t="shared" si="71"/>
        <v>1</v>
      </c>
      <c r="DE605" s="494"/>
      <c r="DF605" s="496" t="s">
        <v>2288</v>
      </c>
      <c r="DG605" s="496" t="s">
        <v>8</v>
      </c>
      <c r="DH605" s="496" t="s">
        <v>689</v>
      </c>
      <c r="DI605" s="496" t="s">
        <v>2289</v>
      </c>
      <c r="DJ605" s="496" t="s">
        <v>2289</v>
      </c>
      <c r="DK605" s="496" t="s">
        <v>1554</v>
      </c>
      <c r="DL605" s="496" t="s">
        <v>1555</v>
      </c>
      <c r="DM605" s="496" t="s">
        <v>1981</v>
      </c>
      <c r="DN605" s="497" t="s">
        <v>1982</v>
      </c>
      <c r="DP605" s="543">
        <v>1</v>
      </c>
    </row>
    <row r="606" spans="2:120" ht="15">
      <c r="B606" s="683"/>
      <c r="C606" s="683"/>
      <c r="D606" s="683"/>
      <c r="E606" s="683" cm="1">
        <f t="array" ref="E606">IF(H605&lt;&gt;"",E605,IF(E605="","",IFERROR(MATCH(TRUE(),INDEX(INDEX(K:K,E605+1):K203&lt;&gt;"",0),0)+E605,"")))</f>
        <v>747</v>
      </c>
      <c r="F606" s="684" cm="1">
        <f t="array" ref="F606">IF(E606="","",IF(H605&lt;&gt;"",H605,INDEX(D:D,E606)))</f>
        <v>0</v>
      </c>
      <c r="G606" s="684" t="str">
        <f t="shared" si="66"/>
        <v>0</v>
      </c>
      <c r="H606" s="685" t="str">
        <f t="shared" si="67"/>
        <v/>
      </c>
      <c r="I606" s="683" t="str">
        <f>IF(AND(F606&lt;&gt;"",N10&gt;0,M606&gt;N10),"Mot &gt; limite","")</f>
        <v/>
      </c>
      <c r="M606" s="638">
        <f>IF(OR(F606="",N10="",N10&lt;=0),"",IF(LEN(F606)&lt;=N10,LEN(F606),IFERROR(FIND("♦",SUBSTITUTE(LEFT(F606,N10)," ","♦",LEN(LEFT(F606,N10))-LEN(SUBSTITUTE(LEFT(F606,N10)," ","")))),FIND(" ",F606&amp;" ",N10+1)-1)))</f>
        <v>1</v>
      </c>
      <c r="N606" s="686">
        <f t="shared" si="68"/>
        <v>589</v>
      </c>
      <c r="O606" s="663" t="str">
        <f t="shared" si="69"/>
        <v>0</v>
      </c>
      <c r="P606" s="686">
        <f t="shared" si="70"/>
        <v>1</v>
      </c>
      <c r="Q606" s="686">
        <f t="shared" si="71"/>
        <v>1</v>
      </c>
      <c r="DE606" s="494"/>
      <c r="DF606" s="496" t="s">
        <v>2290</v>
      </c>
      <c r="DG606" s="496" t="s">
        <v>8</v>
      </c>
      <c r="DH606" s="496" t="s">
        <v>689</v>
      </c>
      <c r="DI606" s="496" t="s">
        <v>2291</v>
      </c>
      <c r="DJ606" s="496" t="s">
        <v>2291</v>
      </c>
      <c r="DK606" s="496" t="s">
        <v>1554</v>
      </c>
      <c r="DL606" s="496" t="s">
        <v>1555</v>
      </c>
      <c r="DM606" s="496" t="s">
        <v>1981</v>
      </c>
      <c r="DN606" s="497" t="s">
        <v>1982</v>
      </c>
      <c r="DP606" s="543">
        <v>1</v>
      </c>
    </row>
    <row r="607" spans="2:120" ht="15">
      <c r="B607" s="683"/>
      <c r="C607" s="683"/>
      <c r="D607" s="683"/>
      <c r="E607" s="683" cm="1">
        <f t="array" ref="E607">IF(H606&lt;&gt;"",E606,IF(E606="","",IFERROR(MATCH(TRUE(),INDEX(INDEX(K:K,E606+1):K203&lt;&gt;"",0),0)+E606,"")))</f>
        <v>748</v>
      </c>
      <c r="F607" s="684" cm="1">
        <f t="array" ref="F607">IF(E607="","",IF(H606&lt;&gt;"",H606,INDEX(D:D,E607)))</f>
        <v>0</v>
      </c>
      <c r="G607" s="684" t="str">
        <f t="shared" si="66"/>
        <v>0</v>
      </c>
      <c r="H607" s="685" t="str">
        <f t="shared" si="67"/>
        <v/>
      </c>
      <c r="I607" s="683" t="str">
        <f>IF(AND(F607&lt;&gt;"",N10&gt;0,M607&gt;N10),"Mot &gt; limite","")</f>
        <v/>
      </c>
      <c r="M607" s="638">
        <f>IF(OR(F607="",N10="",N10&lt;=0),"",IF(LEN(F607)&lt;=N10,LEN(F607),IFERROR(FIND("♦",SUBSTITUTE(LEFT(F607,N10)," ","♦",LEN(LEFT(F607,N10))-LEN(SUBSTITUTE(LEFT(F607,N10)," ","")))),FIND(" ",F607&amp;" ",N10+1)-1)))</f>
        <v>1</v>
      </c>
      <c r="N607" s="686">
        <f t="shared" si="68"/>
        <v>590</v>
      </c>
      <c r="O607" s="663" t="str">
        <f t="shared" si="69"/>
        <v>0</v>
      </c>
      <c r="P607" s="686">
        <f t="shared" si="70"/>
        <v>1</v>
      </c>
      <c r="Q607" s="686">
        <f t="shared" si="71"/>
        <v>1</v>
      </c>
      <c r="DE607" s="494"/>
      <c r="DF607" s="496" t="s">
        <v>2292</v>
      </c>
      <c r="DG607" s="496" t="s">
        <v>8</v>
      </c>
      <c r="DH607" s="496" t="s">
        <v>689</v>
      </c>
      <c r="DI607" s="496" t="s">
        <v>2293</v>
      </c>
      <c r="DJ607" s="496" t="s">
        <v>2293</v>
      </c>
      <c r="DK607" s="496" t="s">
        <v>1554</v>
      </c>
      <c r="DL607" s="496" t="s">
        <v>1555</v>
      </c>
      <c r="DM607" s="496" t="s">
        <v>1981</v>
      </c>
      <c r="DN607" s="497" t="s">
        <v>1982</v>
      </c>
      <c r="DP607" s="543">
        <v>1</v>
      </c>
    </row>
    <row r="608" spans="2:120" ht="15">
      <c r="B608" s="683"/>
      <c r="C608" s="683"/>
      <c r="D608" s="683"/>
      <c r="E608" s="683" cm="1">
        <f t="array" ref="E608">IF(H607&lt;&gt;"",E607,IF(E607="","",IFERROR(MATCH(TRUE(),INDEX(INDEX(K:K,E607+1):K203&lt;&gt;"",0),0)+E607,"")))</f>
        <v>749</v>
      </c>
      <c r="F608" s="684" cm="1">
        <f t="array" ref="F608">IF(E608="","",IF(H607&lt;&gt;"",H607,INDEX(D:D,E608)))</f>
        <v>0</v>
      </c>
      <c r="G608" s="684" t="str">
        <f t="shared" si="66"/>
        <v>0</v>
      </c>
      <c r="H608" s="685" t="str">
        <f t="shared" si="67"/>
        <v/>
      </c>
      <c r="I608" s="683" t="str">
        <f>IF(AND(F608&lt;&gt;"",N10&gt;0,M608&gt;N10),"Mot &gt; limite","")</f>
        <v/>
      </c>
      <c r="M608" s="638">
        <f>IF(OR(F608="",N10="",N10&lt;=0),"",IF(LEN(F608)&lt;=N10,LEN(F608),IFERROR(FIND("♦",SUBSTITUTE(LEFT(F608,N10)," ","♦",LEN(LEFT(F608,N10))-LEN(SUBSTITUTE(LEFT(F608,N10)," ","")))),FIND(" ",F608&amp;" ",N10+1)-1)))</f>
        <v>1</v>
      </c>
      <c r="N608" s="686">
        <f t="shared" si="68"/>
        <v>591</v>
      </c>
      <c r="O608" s="663" t="str">
        <f t="shared" si="69"/>
        <v>0</v>
      </c>
      <c r="P608" s="686">
        <f t="shared" si="70"/>
        <v>1</v>
      </c>
      <c r="Q608" s="686">
        <f t="shared" si="71"/>
        <v>1</v>
      </c>
      <c r="DE608" s="494"/>
      <c r="DF608" s="496" t="s">
        <v>2294</v>
      </c>
      <c r="DG608" s="496" t="s">
        <v>8</v>
      </c>
      <c r="DH608" s="496" t="s">
        <v>689</v>
      </c>
      <c r="DI608" s="496" t="s">
        <v>2295</v>
      </c>
      <c r="DJ608" s="496" t="s">
        <v>2295</v>
      </c>
      <c r="DK608" s="496" t="s">
        <v>1554</v>
      </c>
      <c r="DL608" s="496" t="s">
        <v>1555</v>
      </c>
      <c r="DM608" s="496" t="s">
        <v>1981</v>
      </c>
      <c r="DN608" s="497" t="s">
        <v>1982</v>
      </c>
      <c r="DP608" s="543">
        <v>1</v>
      </c>
    </row>
    <row r="609" spans="2:120" ht="15">
      <c r="B609" s="683"/>
      <c r="C609" s="683"/>
      <c r="D609" s="683"/>
      <c r="E609" s="683" cm="1">
        <f t="array" ref="E609">IF(H608&lt;&gt;"",E608,IF(E608="","",IFERROR(MATCH(TRUE(),INDEX(INDEX(K:K,E608+1):K203&lt;&gt;"",0),0)+E608,"")))</f>
        <v>750</v>
      </c>
      <c r="F609" s="684" cm="1">
        <f t="array" ref="F609">IF(E609="","",IF(H608&lt;&gt;"",H608,INDEX(D:D,E609)))</f>
        <v>0</v>
      </c>
      <c r="G609" s="684" t="str">
        <f t="shared" si="66"/>
        <v>0</v>
      </c>
      <c r="H609" s="685" t="str">
        <f t="shared" si="67"/>
        <v/>
      </c>
      <c r="I609" s="683" t="str">
        <f>IF(AND(F609&lt;&gt;"",N10&gt;0,M609&gt;N10),"Mot &gt; limite","")</f>
        <v/>
      </c>
      <c r="M609" s="638">
        <f>IF(OR(F609="",N10="",N10&lt;=0),"",IF(LEN(F609)&lt;=N10,LEN(F609),IFERROR(FIND("♦",SUBSTITUTE(LEFT(F609,N10)," ","♦",LEN(LEFT(F609,N10))-LEN(SUBSTITUTE(LEFT(F609,N10)," ","")))),FIND(" ",F609&amp;" ",N10+1)-1)))</f>
        <v>1</v>
      </c>
      <c r="N609" s="686">
        <f t="shared" si="68"/>
        <v>592</v>
      </c>
      <c r="O609" s="663" t="str">
        <f t="shared" si="69"/>
        <v>0</v>
      </c>
      <c r="P609" s="686">
        <f t="shared" si="70"/>
        <v>1</v>
      </c>
      <c r="Q609" s="686">
        <f t="shared" si="71"/>
        <v>1</v>
      </c>
      <c r="DE609" s="494"/>
      <c r="DF609" s="496" t="s">
        <v>2296</v>
      </c>
      <c r="DG609" s="496" t="s">
        <v>8</v>
      </c>
      <c r="DH609" s="496" t="s">
        <v>689</v>
      </c>
      <c r="DI609" s="496" t="s">
        <v>2297</v>
      </c>
      <c r="DJ609" s="496" t="s">
        <v>2297</v>
      </c>
      <c r="DK609" s="496" t="s">
        <v>1554</v>
      </c>
      <c r="DL609" s="496" t="s">
        <v>1555</v>
      </c>
      <c r="DM609" s="496" t="s">
        <v>1981</v>
      </c>
      <c r="DN609" s="497" t="s">
        <v>1982</v>
      </c>
      <c r="DP609" s="543">
        <v>1</v>
      </c>
    </row>
    <row r="610" spans="2:120" ht="15">
      <c r="B610" s="683"/>
      <c r="C610" s="683"/>
      <c r="D610" s="683"/>
      <c r="E610" s="683" cm="1">
        <f t="array" ref="E610">IF(H609&lt;&gt;"",E609,IF(E609="","",IFERROR(MATCH(TRUE(),INDEX(INDEX(K:K,E609+1):K203&lt;&gt;"",0),0)+E609,"")))</f>
        <v>751</v>
      </c>
      <c r="F610" s="684" cm="1">
        <f t="array" ref="F610">IF(E610="","",IF(H609&lt;&gt;"",H609,INDEX(D:D,E610)))</f>
        <v>0</v>
      </c>
      <c r="G610" s="684" t="str">
        <f t="shared" si="66"/>
        <v>0</v>
      </c>
      <c r="H610" s="685" t="str">
        <f t="shared" si="67"/>
        <v/>
      </c>
      <c r="I610" s="683" t="str">
        <f>IF(AND(F610&lt;&gt;"",N10&gt;0,M610&gt;N10),"Mot &gt; limite","")</f>
        <v/>
      </c>
      <c r="M610" s="638">
        <f>IF(OR(F610="",N10="",N10&lt;=0),"",IF(LEN(F610)&lt;=N10,LEN(F610),IFERROR(FIND("♦",SUBSTITUTE(LEFT(F610,N10)," ","♦",LEN(LEFT(F610,N10))-LEN(SUBSTITUTE(LEFT(F610,N10)," ","")))),FIND(" ",F610&amp;" ",N10+1)-1)))</f>
        <v>1</v>
      </c>
      <c r="N610" s="686">
        <f t="shared" si="68"/>
        <v>593</v>
      </c>
      <c r="O610" s="663" t="str">
        <f t="shared" si="69"/>
        <v>0</v>
      </c>
      <c r="P610" s="686">
        <f t="shared" si="70"/>
        <v>1</v>
      </c>
      <c r="Q610" s="686">
        <f t="shared" si="71"/>
        <v>1</v>
      </c>
      <c r="DE610" s="494"/>
      <c r="DF610" s="496" t="s">
        <v>2298</v>
      </c>
      <c r="DG610" s="496" t="s">
        <v>8</v>
      </c>
      <c r="DH610" s="496" t="s">
        <v>689</v>
      </c>
      <c r="DI610" s="496" t="s">
        <v>2299</v>
      </c>
      <c r="DJ610" s="496" t="s">
        <v>2299</v>
      </c>
      <c r="DK610" s="496" t="s">
        <v>1554</v>
      </c>
      <c r="DL610" s="496" t="s">
        <v>1555</v>
      </c>
      <c r="DM610" s="496" t="s">
        <v>1981</v>
      </c>
      <c r="DN610" s="497" t="s">
        <v>1982</v>
      </c>
      <c r="DP610" s="543">
        <v>1</v>
      </c>
    </row>
    <row r="611" spans="2:120" ht="15">
      <c r="B611" s="683"/>
      <c r="C611" s="683"/>
      <c r="D611" s="683"/>
      <c r="E611" s="683" cm="1">
        <f t="array" ref="E611">IF(H610&lt;&gt;"",E610,IF(E610="","",IFERROR(MATCH(TRUE(),INDEX(INDEX(K:K,E610+1):K203&lt;&gt;"",0),0)+E610,"")))</f>
        <v>752</v>
      </c>
      <c r="F611" s="684" cm="1">
        <f t="array" ref="F611">IF(E611="","",IF(H610&lt;&gt;"",H610,INDEX(D:D,E611)))</f>
        <v>0</v>
      </c>
      <c r="G611" s="684" t="str">
        <f t="shared" si="66"/>
        <v>0</v>
      </c>
      <c r="H611" s="685" t="str">
        <f t="shared" si="67"/>
        <v/>
      </c>
      <c r="I611" s="683" t="str">
        <f>IF(AND(F611&lt;&gt;"",N10&gt;0,M611&gt;N10),"Mot &gt; limite","")</f>
        <v/>
      </c>
      <c r="M611" s="638">
        <f>IF(OR(F611="",N10="",N10&lt;=0),"",IF(LEN(F611)&lt;=N10,LEN(F611),IFERROR(FIND("♦",SUBSTITUTE(LEFT(F611,N10)," ","♦",LEN(LEFT(F611,N10))-LEN(SUBSTITUTE(LEFT(F611,N10)," ","")))),FIND(" ",F611&amp;" ",N10+1)-1)))</f>
        <v>1</v>
      </c>
      <c r="N611" s="686">
        <f t="shared" si="68"/>
        <v>594</v>
      </c>
      <c r="O611" s="663" t="str">
        <f t="shared" si="69"/>
        <v>0</v>
      </c>
      <c r="P611" s="686">
        <f t="shared" si="70"/>
        <v>1</v>
      </c>
      <c r="Q611" s="686">
        <f t="shared" si="71"/>
        <v>1</v>
      </c>
      <c r="DE611" s="494"/>
      <c r="DF611" s="496" t="s">
        <v>2300</v>
      </c>
      <c r="DG611" s="496" t="s">
        <v>8</v>
      </c>
      <c r="DH611" s="496" t="s">
        <v>689</v>
      </c>
      <c r="DI611" s="496" t="s">
        <v>2301</v>
      </c>
      <c r="DJ611" s="496" t="s">
        <v>2301</v>
      </c>
      <c r="DK611" s="496" t="s">
        <v>1554</v>
      </c>
      <c r="DL611" s="496" t="s">
        <v>1555</v>
      </c>
      <c r="DM611" s="496" t="s">
        <v>1981</v>
      </c>
      <c r="DN611" s="497" t="s">
        <v>1982</v>
      </c>
      <c r="DP611" s="543">
        <v>1</v>
      </c>
    </row>
    <row r="612" spans="2:120" ht="15">
      <c r="B612" s="683"/>
      <c r="C612" s="683"/>
      <c r="D612" s="683"/>
      <c r="E612" s="683" cm="1">
        <f t="array" ref="E612">IF(H611&lt;&gt;"",E611,IF(E611="","",IFERROR(MATCH(TRUE(),INDEX(INDEX(K:K,E611+1):K203&lt;&gt;"",0),0)+E611,"")))</f>
        <v>753</v>
      </c>
      <c r="F612" s="684" cm="1">
        <f t="array" ref="F612">IF(E612="","",IF(H611&lt;&gt;"",H611,INDEX(D:D,E612)))</f>
        <v>0</v>
      </c>
      <c r="G612" s="684" t="str">
        <f t="shared" si="66"/>
        <v>0</v>
      </c>
      <c r="H612" s="685" t="str">
        <f t="shared" si="67"/>
        <v/>
      </c>
      <c r="I612" s="683" t="str">
        <f>IF(AND(F612&lt;&gt;"",N10&gt;0,M612&gt;N10),"Mot &gt; limite","")</f>
        <v/>
      </c>
      <c r="M612" s="638">
        <f>IF(OR(F612="",N10="",N10&lt;=0),"",IF(LEN(F612)&lt;=N10,LEN(F612),IFERROR(FIND("♦",SUBSTITUTE(LEFT(F612,N10)," ","♦",LEN(LEFT(F612,N10))-LEN(SUBSTITUTE(LEFT(F612,N10)," ","")))),FIND(" ",F612&amp;" ",N10+1)-1)))</f>
        <v>1</v>
      </c>
      <c r="N612" s="686">
        <f t="shared" si="68"/>
        <v>595</v>
      </c>
      <c r="O612" s="663" t="str">
        <f t="shared" si="69"/>
        <v>0</v>
      </c>
      <c r="P612" s="686">
        <f t="shared" si="70"/>
        <v>1</v>
      </c>
      <c r="Q612" s="686">
        <f t="shared" si="71"/>
        <v>1</v>
      </c>
      <c r="DE612" s="494"/>
      <c r="DF612" s="496" t="s">
        <v>2302</v>
      </c>
      <c r="DG612" s="496" t="s">
        <v>8</v>
      </c>
      <c r="DH612" s="496" t="s">
        <v>689</v>
      </c>
      <c r="DI612" s="496" t="s">
        <v>2303</v>
      </c>
      <c r="DJ612" s="496" t="s">
        <v>2303</v>
      </c>
      <c r="DK612" s="496" t="s">
        <v>1554</v>
      </c>
      <c r="DL612" s="496" t="s">
        <v>1555</v>
      </c>
      <c r="DM612" s="496" t="s">
        <v>1981</v>
      </c>
      <c r="DN612" s="497" t="s">
        <v>1982</v>
      </c>
      <c r="DP612" s="543">
        <v>1</v>
      </c>
    </row>
    <row r="613" spans="2:120" ht="15">
      <c r="B613" s="683"/>
      <c r="C613" s="683"/>
      <c r="D613" s="683"/>
      <c r="E613" s="683" cm="1">
        <f t="array" ref="E613">IF(H612&lt;&gt;"",E612,IF(E612="","",IFERROR(MATCH(TRUE(),INDEX(INDEX(K:K,E612+1):K203&lt;&gt;"",0),0)+E612,"")))</f>
        <v>754</v>
      </c>
      <c r="F613" s="684" cm="1">
        <f t="array" ref="F613">IF(E613="","",IF(H612&lt;&gt;"",H612,INDEX(D:D,E613)))</f>
        <v>0</v>
      </c>
      <c r="G613" s="684" t="str">
        <f t="shared" si="66"/>
        <v>0</v>
      </c>
      <c r="H613" s="685" t="str">
        <f t="shared" si="67"/>
        <v/>
      </c>
      <c r="I613" s="683" t="str">
        <f>IF(AND(F613&lt;&gt;"",N10&gt;0,M613&gt;N10),"Mot &gt; limite","")</f>
        <v/>
      </c>
      <c r="M613" s="638">
        <f>IF(OR(F613="",N10="",N10&lt;=0),"",IF(LEN(F613)&lt;=N10,LEN(F613),IFERROR(FIND("♦",SUBSTITUTE(LEFT(F613,N10)," ","♦",LEN(LEFT(F613,N10))-LEN(SUBSTITUTE(LEFT(F613,N10)," ","")))),FIND(" ",F613&amp;" ",N10+1)-1)))</f>
        <v>1</v>
      </c>
      <c r="N613" s="686">
        <f t="shared" si="68"/>
        <v>596</v>
      </c>
      <c r="O613" s="663" t="str">
        <f t="shared" si="69"/>
        <v>0</v>
      </c>
      <c r="P613" s="686">
        <f t="shared" si="70"/>
        <v>1</v>
      </c>
      <c r="Q613" s="686">
        <f t="shared" si="71"/>
        <v>1</v>
      </c>
      <c r="DE613" s="494"/>
      <c r="DF613" s="496" t="s">
        <v>2304</v>
      </c>
      <c r="DG613" s="496" t="s">
        <v>8</v>
      </c>
      <c r="DH613" s="496" t="s">
        <v>689</v>
      </c>
      <c r="DI613" s="496" t="s">
        <v>2305</v>
      </c>
      <c r="DJ613" s="496" t="s">
        <v>2305</v>
      </c>
      <c r="DK613" s="496" t="s">
        <v>1554</v>
      </c>
      <c r="DL613" s="496" t="s">
        <v>1555</v>
      </c>
      <c r="DM613" s="496" t="s">
        <v>1981</v>
      </c>
      <c r="DN613" s="497" t="s">
        <v>1982</v>
      </c>
      <c r="DP613" s="543">
        <v>1</v>
      </c>
    </row>
    <row r="614" spans="2:120" ht="15">
      <c r="B614" s="683"/>
      <c r="C614" s="683"/>
      <c r="D614" s="683"/>
      <c r="E614" s="683" cm="1">
        <f t="array" ref="E614">IF(H613&lt;&gt;"",E613,IF(E613="","",IFERROR(MATCH(TRUE(),INDEX(INDEX(K:K,E613+1):K203&lt;&gt;"",0),0)+E613,"")))</f>
        <v>755</v>
      </c>
      <c r="F614" s="684" cm="1">
        <f t="array" ref="F614">IF(E614="","",IF(H613&lt;&gt;"",H613,INDEX(D:D,E614)))</f>
        <v>0</v>
      </c>
      <c r="G614" s="684" t="str">
        <f t="shared" si="66"/>
        <v>0</v>
      </c>
      <c r="H614" s="685" t="str">
        <f t="shared" si="67"/>
        <v/>
      </c>
      <c r="I614" s="683" t="str">
        <f>IF(AND(F614&lt;&gt;"",N10&gt;0,M614&gt;N10),"Mot &gt; limite","")</f>
        <v/>
      </c>
      <c r="M614" s="638">
        <f>IF(OR(F614="",N10="",N10&lt;=0),"",IF(LEN(F614)&lt;=N10,LEN(F614),IFERROR(FIND("♦",SUBSTITUTE(LEFT(F614,N10)," ","♦",LEN(LEFT(F614,N10))-LEN(SUBSTITUTE(LEFT(F614,N10)," ","")))),FIND(" ",F614&amp;" ",N10+1)-1)))</f>
        <v>1</v>
      </c>
      <c r="N614" s="686">
        <f t="shared" si="68"/>
        <v>597</v>
      </c>
      <c r="O614" s="663" t="str">
        <f t="shared" si="69"/>
        <v>0</v>
      </c>
      <c r="P614" s="686">
        <f t="shared" si="70"/>
        <v>1</v>
      </c>
      <c r="Q614" s="686">
        <f t="shared" si="71"/>
        <v>1</v>
      </c>
      <c r="DE614" s="494"/>
      <c r="DF614" s="496" t="s">
        <v>2306</v>
      </c>
      <c r="DG614" s="496" t="s">
        <v>8</v>
      </c>
      <c r="DH614" s="496" t="s">
        <v>689</v>
      </c>
      <c r="DI614" s="496" t="s">
        <v>2307</v>
      </c>
      <c r="DJ614" s="496" t="s">
        <v>2307</v>
      </c>
      <c r="DK614" s="496" t="s">
        <v>1554</v>
      </c>
      <c r="DL614" s="496" t="s">
        <v>1555</v>
      </c>
      <c r="DM614" s="496" t="s">
        <v>1981</v>
      </c>
      <c r="DN614" s="497" t="s">
        <v>1982</v>
      </c>
      <c r="DP614" s="543">
        <v>1</v>
      </c>
    </row>
    <row r="615" spans="2:120" ht="15">
      <c r="B615" s="683"/>
      <c r="C615" s="683"/>
      <c r="D615" s="683"/>
      <c r="E615" s="683" cm="1">
        <f t="array" ref="E615">IF(H614&lt;&gt;"",E614,IF(E614="","",IFERROR(MATCH(TRUE(),INDEX(INDEX(K:K,E614+1):K203&lt;&gt;"",0),0)+E614,"")))</f>
        <v>756</v>
      </c>
      <c r="F615" s="684" cm="1">
        <f t="array" ref="F615">IF(E615="","",IF(H614&lt;&gt;"",H614,INDEX(D:D,E615)))</f>
        <v>0</v>
      </c>
      <c r="G615" s="684" t="str">
        <f t="shared" si="66"/>
        <v>0</v>
      </c>
      <c r="H615" s="685" t="str">
        <f t="shared" si="67"/>
        <v/>
      </c>
      <c r="I615" s="683" t="str">
        <f>IF(AND(F615&lt;&gt;"",N10&gt;0,M615&gt;N10),"Mot &gt; limite","")</f>
        <v/>
      </c>
      <c r="M615" s="638">
        <f>IF(OR(F615="",N10="",N10&lt;=0),"",IF(LEN(F615)&lt;=N10,LEN(F615),IFERROR(FIND("♦",SUBSTITUTE(LEFT(F615,N10)," ","♦",LEN(LEFT(F615,N10))-LEN(SUBSTITUTE(LEFT(F615,N10)," ","")))),FIND(" ",F615&amp;" ",N10+1)-1)))</f>
        <v>1</v>
      </c>
      <c r="N615" s="686">
        <f t="shared" si="68"/>
        <v>598</v>
      </c>
      <c r="O615" s="663" t="str">
        <f t="shared" si="69"/>
        <v>0</v>
      </c>
      <c r="P615" s="686">
        <f t="shared" si="70"/>
        <v>1</v>
      </c>
      <c r="Q615" s="686">
        <f t="shared" si="71"/>
        <v>1</v>
      </c>
      <c r="DE615" s="494"/>
      <c r="DF615" s="496" t="s">
        <v>2308</v>
      </c>
      <c r="DG615" s="496" t="s">
        <v>8</v>
      </c>
      <c r="DH615" s="496" t="s">
        <v>689</v>
      </c>
      <c r="DI615" s="496" t="s">
        <v>2309</v>
      </c>
      <c r="DJ615" s="496" t="s">
        <v>2309</v>
      </c>
      <c r="DK615" s="496" t="s">
        <v>1554</v>
      </c>
      <c r="DL615" s="496" t="s">
        <v>1555</v>
      </c>
      <c r="DM615" s="496" t="s">
        <v>1981</v>
      </c>
      <c r="DN615" s="497" t="s">
        <v>1982</v>
      </c>
      <c r="DP615" s="543">
        <v>1</v>
      </c>
    </row>
    <row r="616" spans="2:120" ht="15">
      <c r="B616" s="683"/>
      <c r="C616" s="683"/>
      <c r="D616" s="683"/>
      <c r="E616" s="683" cm="1">
        <f t="array" ref="E616">IF(H615&lt;&gt;"",E615,IF(E615="","",IFERROR(MATCH(TRUE(),INDEX(INDEX(K:K,E615+1):K203&lt;&gt;"",0),0)+E615,"")))</f>
        <v>757</v>
      </c>
      <c r="F616" s="684" cm="1">
        <f t="array" ref="F616">IF(E616="","",IF(H615&lt;&gt;"",H615,INDEX(D:D,E616)))</f>
        <v>0</v>
      </c>
      <c r="G616" s="684" t="str">
        <f t="shared" si="66"/>
        <v>0</v>
      </c>
      <c r="H616" s="685" t="str">
        <f t="shared" si="67"/>
        <v/>
      </c>
      <c r="I616" s="683" t="str">
        <f>IF(AND(F616&lt;&gt;"",N10&gt;0,M616&gt;N10),"Mot &gt; limite","")</f>
        <v/>
      </c>
      <c r="M616" s="638">
        <f>IF(OR(F616="",N10="",N10&lt;=0),"",IF(LEN(F616)&lt;=N10,LEN(F616),IFERROR(FIND("♦",SUBSTITUTE(LEFT(F616,N10)," ","♦",LEN(LEFT(F616,N10))-LEN(SUBSTITUTE(LEFT(F616,N10)," ","")))),FIND(" ",F616&amp;" ",N10+1)-1)))</f>
        <v>1</v>
      </c>
      <c r="N616" s="686">
        <f t="shared" si="68"/>
        <v>599</v>
      </c>
      <c r="O616" s="663" t="str">
        <f t="shared" si="69"/>
        <v>0</v>
      </c>
      <c r="P616" s="686">
        <f t="shared" si="70"/>
        <v>1</v>
      </c>
      <c r="Q616" s="686">
        <f t="shared" si="71"/>
        <v>1</v>
      </c>
      <c r="DE616" s="494"/>
      <c r="DF616" s="496" t="s">
        <v>2310</v>
      </c>
      <c r="DG616" s="496" t="s">
        <v>8</v>
      </c>
      <c r="DH616" s="496" t="s">
        <v>689</v>
      </c>
      <c r="DI616" s="496" t="s">
        <v>2311</v>
      </c>
      <c r="DJ616" s="496" t="s">
        <v>2311</v>
      </c>
      <c r="DK616" s="496" t="s">
        <v>1554</v>
      </c>
      <c r="DL616" s="496" t="s">
        <v>1555</v>
      </c>
      <c r="DM616" s="496" t="s">
        <v>1981</v>
      </c>
      <c r="DN616" s="497" t="s">
        <v>1982</v>
      </c>
      <c r="DP616" s="543">
        <v>1</v>
      </c>
    </row>
    <row r="617" spans="2:120" ht="15">
      <c r="B617" s="683"/>
      <c r="C617" s="683"/>
      <c r="D617" s="683"/>
      <c r="E617" s="683" cm="1">
        <f t="array" ref="E617">IF(H616&lt;&gt;"",E616,IF(E616="","",IFERROR(MATCH(TRUE(),INDEX(INDEX(K:K,E616+1):K203&lt;&gt;"",0),0)+E616,"")))</f>
        <v>758</v>
      </c>
      <c r="F617" s="684" cm="1">
        <f t="array" ref="F617">IF(E617="","",IF(H616&lt;&gt;"",H616,INDEX(D:D,E617)))</f>
        <v>0</v>
      </c>
      <c r="G617" s="684" t="str">
        <f t="shared" si="66"/>
        <v>0</v>
      </c>
      <c r="H617" s="685" t="str">
        <f t="shared" si="67"/>
        <v/>
      </c>
      <c r="I617" s="683" t="str">
        <f>IF(AND(F617&lt;&gt;"",N10&gt;0,M617&gt;N10),"Mot &gt; limite","")</f>
        <v/>
      </c>
      <c r="M617" s="638">
        <f>IF(OR(F617="",N10="",N10&lt;=0),"",IF(LEN(F617)&lt;=N10,LEN(F617),IFERROR(FIND("♦",SUBSTITUTE(LEFT(F617,N10)," ","♦",LEN(LEFT(F617,N10))-LEN(SUBSTITUTE(LEFT(F617,N10)," ","")))),FIND(" ",F617&amp;" ",N10+1)-1)))</f>
        <v>1</v>
      </c>
      <c r="N617" s="686">
        <f t="shared" si="68"/>
        <v>600</v>
      </c>
      <c r="O617" s="663" t="str">
        <f t="shared" si="69"/>
        <v>0</v>
      </c>
      <c r="P617" s="686">
        <f t="shared" si="70"/>
        <v>1</v>
      </c>
      <c r="Q617" s="686">
        <f t="shared" si="71"/>
        <v>1</v>
      </c>
      <c r="DE617" s="494"/>
      <c r="DF617" s="496" t="s">
        <v>2312</v>
      </c>
      <c r="DG617" s="496" t="s">
        <v>8</v>
      </c>
      <c r="DH617" s="496" t="s">
        <v>689</v>
      </c>
      <c r="DI617" s="496" t="s">
        <v>2313</v>
      </c>
      <c r="DJ617" s="496" t="s">
        <v>2313</v>
      </c>
      <c r="DK617" s="496" t="s">
        <v>1554</v>
      </c>
      <c r="DL617" s="496" t="s">
        <v>1555</v>
      </c>
      <c r="DM617" s="496" t="s">
        <v>1981</v>
      </c>
      <c r="DN617" s="497" t="s">
        <v>1982</v>
      </c>
      <c r="DP617" s="543">
        <v>1</v>
      </c>
    </row>
    <row r="618" spans="2:120" ht="15">
      <c r="B618" s="683"/>
      <c r="C618" s="683"/>
      <c r="D618" s="683"/>
      <c r="E618" s="683" cm="1">
        <f t="array" ref="E618">IF(H617&lt;&gt;"",E617,IF(E617="","",IFERROR(MATCH(TRUE(),INDEX(INDEX(K:K,E617+1):K203&lt;&gt;"",0),0)+E617,"")))</f>
        <v>759</v>
      </c>
      <c r="F618" s="684" cm="1">
        <f t="array" ref="F618">IF(E618="","",IF(H617&lt;&gt;"",H617,INDEX(D:D,E618)))</f>
        <v>0</v>
      </c>
      <c r="G618" s="684" t="str">
        <f t="shared" si="66"/>
        <v>0</v>
      </c>
      <c r="H618" s="685" t="str">
        <f t="shared" si="67"/>
        <v/>
      </c>
      <c r="I618" s="683" t="str">
        <f>IF(AND(F618&lt;&gt;"",N10&gt;0,M618&gt;N10),"Mot &gt; limite","")</f>
        <v/>
      </c>
      <c r="M618" s="638">
        <f>IF(OR(F618="",N10="",N10&lt;=0),"",IF(LEN(F618)&lt;=N10,LEN(F618),IFERROR(FIND("♦",SUBSTITUTE(LEFT(F618,N10)," ","♦",LEN(LEFT(F618,N10))-LEN(SUBSTITUTE(LEFT(F618,N10)," ","")))),FIND(" ",F618&amp;" ",N10+1)-1)))</f>
        <v>1</v>
      </c>
      <c r="N618" s="686">
        <f t="shared" si="68"/>
        <v>601</v>
      </c>
      <c r="O618" s="663" t="str">
        <f t="shared" si="69"/>
        <v>0</v>
      </c>
      <c r="P618" s="686">
        <f t="shared" si="70"/>
        <v>1</v>
      </c>
      <c r="Q618" s="686">
        <f t="shared" si="71"/>
        <v>1</v>
      </c>
      <c r="DE618" s="494"/>
      <c r="DF618" s="496" t="s">
        <v>2314</v>
      </c>
      <c r="DG618" s="496" t="s">
        <v>8</v>
      </c>
      <c r="DH618" s="496" t="s">
        <v>689</v>
      </c>
      <c r="DI618" s="496" t="s">
        <v>2315</v>
      </c>
      <c r="DJ618" s="496" t="s">
        <v>2315</v>
      </c>
      <c r="DK618" s="496" t="s">
        <v>1554</v>
      </c>
      <c r="DL618" s="496" t="s">
        <v>1555</v>
      </c>
      <c r="DM618" s="496" t="s">
        <v>1981</v>
      </c>
      <c r="DN618" s="497" t="s">
        <v>1982</v>
      </c>
      <c r="DP618" s="543">
        <v>1</v>
      </c>
    </row>
    <row r="619" spans="2:120" ht="15">
      <c r="B619" s="683"/>
      <c r="C619" s="683"/>
      <c r="D619" s="683"/>
      <c r="E619" s="683" cm="1">
        <f t="array" ref="E619">IF(H618&lt;&gt;"",E618,IF(E618="","",IFERROR(MATCH(TRUE(),INDEX(INDEX(K:K,E618+1):K203&lt;&gt;"",0),0)+E618,"")))</f>
        <v>760</v>
      </c>
      <c r="F619" s="684" cm="1">
        <f t="array" ref="F619">IF(E619="","",IF(H618&lt;&gt;"",H618,INDEX(D:D,E619)))</f>
        <v>0</v>
      </c>
      <c r="G619" s="684" t="str">
        <f t="shared" si="66"/>
        <v>0</v>
      </c>
      <c r="H619" s="685" t="str">
        <f t="shared" si="67"/>
        <v/>
      </c>
      <c r="I619" s="683" t="str">
        <f>IF(AND(F619&lt;&gt;"",N10&gt;0,M619&gt;N10),"Mot &gt; limite","")</f>
        <v/>
      </c>
      <c r="M619" s="638">
        <f>IF(OR(F619="",N10="",N10&lt;=0),"",IF(LEN(F619)&lt;=N10,LEN(F619),IFERROR(FIND("♦",SUBSTITUTE(LEFT(F619,N10)," ","♦",LEN(LEFT(F619,N10))-LEN(SUBSTITUTE(LEFT(F619,N10)," ","")))),FIND(" ",F619&amp;" ",N10+1)-1)))</f>
        <v>1</v>
      </c>
      <c r="N619" s="686">
        <f t="shared" si="68"/>
        <v>602</v>
      </c>
      <c r="O619" s="663" t="str">
        <f t="shared" si="69"/>
        <v>0</v>
      </c>
      <c r="P619" s="686">
        <f t="shared" si="70"/>
        <v>1</v>
      </c>
      <c r="Q619" s="686">
        <f t="shared" si="71"/>
        <v>1</v>
      </c>
      <c r="DE619" s="494"/>
      <c r="DF619" s="496" t="s">
        <v>2316</v>
      </c>
      <c r="DG619" s="496" t="s">
        <v>8</v>
      </c>
      <c r="DH619" s="496" t="s">
        <v>689</v>
      </c>
      <c r="DI619" s="496" t="s">
        <v>2317</v>
      </c>
      <c r="DJ619" s="496" t="s">
        <v>2317</v>
      </c>
      <c r="DK619" s="496" t="s">
        <v>1554</v>
      </c>
      <c r="DL619" s="496" t="s">
        <v>1555</v>
      </c>
      <c r="DM619" s="496" t="s">
        <v>1981</v>
      </c>
      <c r="DN619" s="497" t="s">
        <v>1982</v>
      </c>
      <c r="DP619" s="543">
        <v>1</v>
      </c>
    </row>
    <row r="620" spans="2:120" ht="15">
      <c r="B620" s="683"/>
      <c r="C620" s="683"/>
      <c r="D620" s="683"/>
      <c r="E620" s="683" cm="1">
        <f t="array" ref="E620">IF(H619&lt;&gt;"",E619,IF(E619="","",IFERROR(MATCH(TRUE(),INDEX(INDEX(K:K,E619+1):K203&lt;&gt;"",0),0)+E619,"")))</f>
        <v>761</v>
      </c>
      <c r="F620" s="684" cm="1">
        <f t="array" ref="F620">IF(E620="","",IF(H619&lt;&gt;"",H619,INDEX(D:D,E620)))</f>
        <v>0</v>
      </c>
      <c r="G620" s="684" t="str">
        <f t="shared" si="66"/>
        <v>0</v>
      </c>
      <c r="H620" s="685" t="str">
        <f t="shared" si="67"/>
        <v/>
      </c>
      <c r="I620" s="683" t="str">
        <f>IF(AND(F620&lt;&gt;"",N10&gt;0,M620&gt;N10),"Mot &gt; limite","")</f>
        <v/>
      </c>
      <c r="M620" s="638">
        <f>IF(OR(F620="",N10="",N10&lt;=0),"",IF(LEN(F620)&lt;=N10,LEN(F620),IFERROR(FIND("♦",SUBSTITUTE(LEFT(F620,N10)," ","♦",LEN(LEFT(F620,N10))-LEN(SUBSTITUTE(LEFT(F620,N10)," ","")))),FIND(" ",F620&amp;" ",N10+1)-1)))</f>
        <v>1</v>
      </c>
      <c r="N620" s="686">
        <f t="shared" si="68"/>
        <v>603</v>
      </c>
      <c r="O620" s="663" t="str">
        <f t="shared" si="69"/>
        <v>0</v>
      </c>
      <c r="P620" s="686">
        <f t="shared" si="70"/>
        <v>1</v>
      </c>
      <c r="Q620" s="686">
        <f t="shared" si="71"/>
        <v>1</v>
      </c>
      <c r="DE620" s="494"/>
      <c r="DF620" s="496" t="s">
        <v>2318</v>
      </c>
      <c r="DG620" s="496" t="s">
        <v>8</v>
      </c>
      <c r="DH620" s="496" t="s">
        <v>689</v>
      </c>
      <c r="DI620" s="496" t="s">
        <v>2319</v>
      </c>
      <c r="DJ620" s="496" t="s">
        <v>2319</v>
      </c>
      <c r="DK620" s="496" t="s">
        <v>1554</v>
      </c>
      <c r="DL620" s="496" t="s">
        <v>1555</v>
      </c>
      <c r="DM620" s="496" t="s">
        <v>1981</v>
      </c>
      <c r="DN620" s="497" t="s">
        <v>1982</v>
      </c>
      <c r="DP620" s="543">
        <v>1</v>
      </c>
    </row>
    <row r="621" spans="2:120" ht="15">
      <c r="B621" s="683"/>
      <c r="C621" s="683"/>
      <c r="D621" s="683"/>
      <c r="E621" s="683" cm="1">
        <f t="array" ref="E621">IF(H620&lt;&gt;"",E620,IF(E620="","",IFERROR(MATCH(TRUE(),INDEX(INDEX(K:K,E620+1):K203&lt;&gt;"",0),0)+E620,"")))</f>
        <v>762</v>
      </c>
      <c r="F621" s="684" cm="1">
        <f t="array" ref="F621">IF(E621="","",IF(H620&lt;&gt;"",H620,INDEX(D:D,E621)))</f>
        <v>0</v>
      </c>
      <c r="G621" s="684" t="str">
        <f t="shared" si="66"/>
        <v>0</v>
      </c>
      <c r="H621" s="685" t="str">
        <f t="shared" si="67"/>
        <v/>
      </c>
      <c r="I621" s="683" t="str">
        <f>IF(AND(F621&lt;&gt;"",N10&gt;0,M621&gt;N10),"Mot &gt; limite","")</f>
        <v/>
      </c>
      <c r="M621" s="638">
        <f>IF(OR(F621="",N10="",N10&lt;=0),"",IF(LEN(F621)&lt;=N10,LEN(F621),IFERROR(FIND("♦",SUBSTITUTE(LEFT(F621,N10)," ","♦",LEN(LEFT(F621,N10))-LEN(SUBSTITUTE(LEFT(F621,N10)," ","")))),FIND(" ",F621&amp;" ",N10+1)-1)))</f>
        <v>1</v>
      </c>
      <c r="N621" s="686">
        <f t="shared" si="68"/>
        <v>604</v>
      </c>
      <c r="O621" s="663" t="str">
        <f t="shared" si="69"/>
        <v>0</v>
      </c>
      <c r="P621" s="686">
        <f t="shared" si="70"/>
        <v>1</v>
      </c>
      <c r="Q621" s="686">
        <f t="shared" si="71"/>
        <v>1</v>
      </c>
      <c r="DE621" s="494"/>
      <c r="DF621" s="496" t="s">
        <v>2320</v>
      </c>
      <c r="DG621" s="496" t="s">
        <v>8</v>
      </c>
      <c r="DH621" s="496" t="s">
        <v>689</v>
      </c>
      <c r="DI621" s="496" t="s">
        <v>356</v>
      </c>
      <c r="DJ621" s="496" t="s">
        <v>356</v>
      </c>
      <c r="DK621" s="496" t="s">
        <v>1151</v>
      </c>
      <c r="DL621" s="496" t="s">
        <v>1152</v>
      </c>
      <c r="DM621" s="496" t="s">
        <v>1087</v>
      </c>
      <c r="DN621" s="497" t="s">
        <v>1153</v>
      </c>
      <c r="DP621" s="543">
        <v>1</v>
      </c>
    </row>
    <row r="622" spans="2:120" ht="15">
      <c r="B622" s="683"/>
      <c r="C622" s="683"/>
      <c r="D622" s="683"/>
      <c r="E622" s="683" cm="1">
        <f t="array" ref="E622">IF(H621&lt;&gt;"",E621,IF(E621="","",IFERROR(MATCH(TRUE(),INDEX(INDEX(K:K,E621+1):K203&lt;&gt;"",0),0)+E621,"")))</f>
        <v>763</v>
      </c>
      <c r="F622" s="684" cm="1">
        <f t="array" ref="F622">IF(E622="","",IF(H621&lt;&gt;"",H621,INDEX(D:D,E622)))</f>
        <v>0</v>
      </c>
      <c r="G622" s="684" t="str">
        <f t="shared" si="66"/>
        <v>0</v>
      </c>
      <c r="H622" s="685" t="str">
        <f t="shared" si="67"/>
        <v/>
      </c>
      <c r="I622" s="683" t="str">
        <f>IF(AND(F622&lt;&gt;"",N10&gt;0,M622&gt;N10),"Mot &gt; limite","")</f>
        <v/>
      </c>
      <c r="M622" s="638">
        <f>IF(OR(F622="",N10="",N10&lt;=0),"",IF(LEN(F622)&lt;=N10,LEN(F622),IFERROR(FIND("♦",SUBSTITUTE(LEFT(F622,N10)," ","♦",LEN(LEFT(F622,N10))-LEN(SUBSTITUTE(LEFT(F622,N10)," ","")))),FIND(" ",F622&amp;" ",N10+1)-1)))</f>
        <v>1</v>
      </c>
      <c r="N622" s="686">
        <f t="shared" si="68"/>
        <v>605</v>
      </c>
      <c r="O622" s="663" t="str">
        <f t="shared" si="69"/>
        <v>0</v>
      </c>
      <c r="P622" s="686">
        <f t="shared" si="70"/>
        <v>1</v>
      </c>
      <c r="Q622" s="686">
        <f t="shared" si="71"/>
        <v>1</v>
      </c>
      <c r="DE622" s="494"/>
      <c r="DF622" s="496" t="s">
        <v>2321</v>
      </c>
      <c r="DG622" s="496" t="s">
        <v>8</v>
      </c>
      <c r="DH622" s="496" t="s">
        <v>689</v>
      </c>
      <c r="DI622" s="496" t="s">
        <v>2322</v>
      </c>
      <c r="DJ622" s="496" t="s">
        <v>2322</v>
      </c>
      <c r="DK622" s="496" t="s">
        <v>1554</v>
      </c>
      <c r="DL622" s="496" t="s">
        <v>1555</v>
      </c>
      <c r="DM622" s="496" t="s">
        <v>1981</v>
      </c>
      <c r="DN622" s="497" t="s">
        <v>1982</v>
      </c>
      <c r="DP622" s="543">
        <v>1</v>
      </c>
    </row>
    <row r="623" spans="2:120" ht="15">
      <c r="B623" s="683"/>
      <c r="C623" s="683"/>
      <c r="D623" s="683"/>
      <c r="E623" s="683" cm="1">
        <f t="array" ref="E623">IF(H622&lt;&gt;"",E622,IF(E622="","",IFERROR(MATCH(TRUE(),INDEX(INDEX(K:K,E622+1):K203&lt;&gt;"",0),0)+E622,"")))</f>
        <v>764</v>
      </c>
      <c r="F623" s="684" cm="1">
        <f t="array" ref="F623">IF(E623="","",IF(H622&lt;&gt;"",H622,INDEX(D:D,E623)))</f>
        <v>0</v>
      </c>
      <c r="G623" s="684" t="str">
        <f t="shared" si="66"/>
        <v>0</v>
      </c>
      <c r="H623" s="685" t="str">
        <f t="shared" si="67"/>
        <v/>
      </c>
      <c r="I623" s="683" t="str">
        <f>IF(AND(F623&lt;&gt;"",N10&gt;0,M623&gt;N10),"Mot &gt; limite","")</f>
        <v/>
      </c>
      <c r="M623" s="638">
        <f>IF(OR(F623="",N10="",N10&lt;=0),"",IF(LEN(F623)&lt;=N10,LEN(F623),IFERROR(FIND("♦",SUBSTITUTE(LEFT(F623,N10)," ","♦",LEN(LEFT(F623,N10))-LEN(SUBSTITUTE(LEFT(F623,N10)," ","")))),FIND(" ",F623&amp;" ",N10+1)-1)))</f>
        <v>1</v>
      </c>
      <c r="N623" s="686">
        <f t="shared" si="68"/>
        <v>606</v>
      </c>
      <c r="O623" s="663" t="str">
        <f t="shared" si="69"/>
        <v>0</v>
      </c>
      <c r="P623" s="686">
        <f t="shared" si="70"/>
        <v>1</v>
      </c>
      <c r="Q623" s="686">
        <f t="shared" si="71"/>
        <v>1</v>
      </c>
      <c r="DE623" s="494"/>
      <c r="DF623" s="496" t="s">
        <v>2323</v>
      </c>
      <c r="DG623" s="496" t="s">
        <v>8</v>
      </c>
      <c r="DH623" s="496" t="s">
        <v>689</v>
      </c>
      <c r="DI623" s="496" t="s">
        <v>2324</v>
      </c>
      <c r="DJ623" s="496" t="s">
        <v>2324</v>
      </c>
      <c r="DK623" s="496" t="s">
        <v>1554</v>
      </c>
      <c r="DL623" s="496" t="s">
        <v>1555</v>
      </c>
      <c r="DM623" s="496" t="s">
        <v>1981</v>
      </c>
      <c r="DN623" s="497" t="s">
        <v>1982</v>
      </c>
      <c r="DP623" s="543">
        <v>1</v>
      </c>
    </row>
    <row r="624" spans="2:120" ht="15">
      <c r="B624" s="683"/>
      <c r="C624" s="683"/>
      <c r="D624" s="683"/>
      <c r="E624" s="683" cm="1">
        <f t="array" ref="E624">IF(H623&lt;&gt;"",E623,IF(E623="","",IFERROR(MATCH(TRUE(),INDEX(INDEX(K:K,E623+1):K203&lt;&gt;"",0),0)+E623,"")))</f>
        <v>765</v>
      </c>
      <c r="F624" s="684" cm="1">
        <f t="array" ref="F624">IF(E624="","",IF(H623&lt;&gt;"",H623,INDEX(D:D,E624)))</f>
        <v>0</v>
      </c>
      <c r="G624" s="684" t="str">
        <f t="shared" si="66"/>
        <v>0</v>
      </c>
      <c r="H624" s="685" t="str">
        <f t="shared" si="67"/>
        <v/>
      </c>
      <c r="I624" s="683" t="str">
        <f>IF(AND(F624&lt;&gt;"",N10&gt;0,M624&gt;N10),"Mot &gt; limite","")</f>
        <v/>
      </c>
      <c r="M624" s="638">
        <f>IF(OR(F624="",N10="",N10&lt;=0),"",IF(LEN(F624)&lt;=N10,LEN(F624),IFERROR(FIND("♦",SUBSTITUTE(LEFT(F624,N10)," ","♦",LEN(LEFT(F624,N10))-LEN(SUBSTITUTE(LEFT(F624,N10)," ","")))),FIND(" ",F624&amp;" ",N10+1)-1)))</f>
        <v>1</v>
      </c>
      <c r="N624" s="686">
        <f t="shared" si="68"/>
        <v>607</v>
      </c>
      <c r="O624" s="663" t="str">
        <f t="shared" si="69"/>
        <v>0</v>
      </c>
      <c r="P624" s="686">
        <f t="shared" si="70"/>
        <v>1</v>
      </c>
      <c r="Q624" s="686">
        <f t="shared" si="71"/>
        <v>1</v>
      </c>
      <c r="DE624" s="494"/>
      <c r="DF624" s="496" t="s">
        <v>2325</v>
      </c>
      <c r="DG624" s="496" t="s">
        <v>8</v>
      </c>
      <c r="DH624" s="496" t="s">
        <v>689</v>
      </c>
      <c r="DI624" s="496" t="s">
        <v>2326</v>
      </c>
      <c r="DJ624" s="496" t="s">
        <v>2326</v>
      </c>
      <c r="DK624" s="496" t="s">
        <v>1554</v>
      </c>
      <c r="DL624" s="496" t="s">
        <v>1555</v>
      </c>
      <c r="DM624" s="496" t="s">
        <v>1981</v>
      </c>
      <c r="DN624" s="497" t="s">
        <v>1982</v>
      </c>
      <c r="DP624" s="543">
        <v>1</v>
      </c>
    </row>
    <row r="625" spans="2:120" ht="15">
      <c r="B625" s="683"/>
      <c r="C625" s="683"/>
      <c r="D625" s="683"/>
      <c r="E625" s="683" cm="1">
        <f t="array" ref="E625">IF(H624&lt;&gt;"",E624,IF(E624="","",IFERROR(MATCH(TRUE(),INDEX(INDEX(K:K,E624+1):K203&lt;&gt;"",0),0)+E624,"")))</f>
        <v>766</v>
      </c>
      <c r="F625" s="684" cm="1">
        <f t="array" ref="F625">IF(E625="","",IF(H624&lt;&gt;"",H624,INDEX(D:D,E625)))</f>
        <v>0</v>
      </c>
      <c r="G625" s="684" t="str">
        <f t="shared" si="66"/>
        <v>0</v>
      </c>
      <c r="H625" s="685" t="str">
        <f t="shared" si="67"/>
        <v/>
      </c>
      <c r="I625" s="683" t="str">
        <f>IF(AND(F625&lt;&gt;"",N10&gt;0,M625&gt;N10),"Mot &gt; limite","")</f>
        <v/>
      </c>
      <c r="M625" s="638">
        <f>IF(OR(F625="",N10="",N10&lt;=0),"",IF(LEN(F625)&lt;=N10,LEN(F625),IFERROR(FIND("♦",SUBSTITUTE(LEFT(F625,N10)," ","♦",LEN(LEFT(F625,N10))-LEN(SUBSTITUTE(LEFT(F625,N10)," ","")))),FIND(" ",F625&amp;" ",N10+1)-1)))</f>
        <v>1</v>
      </c>
      <c r="N625" s="686">
        <f t="shared" si="68"/>
        <v>608</v>
      </c>
      <c r="O625" s="663" t="str">
        <f t="shared" si="69"/>
        <v>0</v>
      </c>
      <c r="P625" s="686">
        <f t="shared" si="70"/>
        <v>1</v>
      </c>
      <c r="Q625" s="686">
        <f t="shared" si="71"/>
        <v>1</v>
      </c>
      <c r="DE625" s="494"/>
      <c r="DF625" s="496" t="s">
        <v>2327</v>
      </c>
      <c r="DG625" s="496" t="s">
        <v>8</v>
      </c>
      <c r="DH625" s="496" t="s">
        <v>689</v>
      </c>
      <c r="DI625" s="496" t="s">
        <v>2328</v>
      </c>
      <c r="DJ625" s="496" t="s">
        <v>2328</v>
      </c>
      <c r="DK625" s="496" t="s">
        <v>1554</v>
      </c>
      <c r="DL625" s="496" t="s">
        <v>1555</v>
      </c>
      <c r="DM625" s="496" t="s">
        <v>1981</v>
      </c>
      <c r="DN625" s="497" t="s">
        <v>1982</v>
      </c>
      <c r="DP625" s="543">
        <v>1</v>
      </c>
    </row>
    <row r="626" spans="2:120" ht="15">
      <c r="B626" s="683"/>
      <c r="C626" s="683"/>
      <c r="D626" s="683"/>
      <c r="E626" s="683" cm="1">
        <f t="array" ref="E626">IF(H625&lt;&gt;"",E625,IF(E625="","",IFERROR(MATCH(TRUE(),INDEX(INDEX(K:K,E625+1):K203&lt;&gt;"",0),0)+E625,"")))</f>
        <v>767</v>
      </c>
      <c r="F626" s="684" cm="1">
        <f t="array" ref="F626">IF(E626="","",IF(H625&lt;&gt;"",H625,INDEX(D:D,E626)))</f>
        <v>0</v>
      </c>
      <c r="G626" s="684" t="str">
        <f t="shared" si="66"/>
        <v>0</v>
      </c>
      <c r="H626" s="685" t="str">
        <f t="shared" si="67"/>
        <v/>
      </c>
      <c r="I626" s="683" t="str">
        <f>IF(AND(F626&lt;&gt;"",N10&gt;0,M626&gt;N10),"Mot &gt; limite","")</f>
        <v/>
      </c>
      <c r="M626" s="638">
        <f>IF(OR(F626="",N10="",N10&lt;=0),"",IF(LEN(F626)&lt;=N10,LEN(F626),IFERROR(FIND("♦",SUBSTITUTE(LEFT(F626,N10)," ","♦",LEN(LEFT(F626,N10))-LEN(SUBSTITUTE(LEFT(F626,N10)," ","")))),FIND(" ",F626&amp;" ",N10+1)-1)))</f>
        <v>1</v>
      </c>
      <c r="N626" s="686">
        <f t="shared" si="68"/>
        <v>609</v>
      </c>
      <c r="O626" s="663" t="str">
        <f t="shared" si="69"/>
        <v>0</v>
      </c>
      <c r="P626" s="686">
        <f t="shared" si="70"/>
        <v>1</v>
      </c>
      <c r="Q626" s="686">
        <f t="shared" si="71"/>
        <v>1</v>
      </c>
      <c r="DE626" s="494"/>
      <c r="DF626" s="496" t="s">
        <v>2329</v>
      </c>
      <c r="DG626" s="496" t="s">
        <v>8</v>
      </c>
      <c r="DH626" s="496" t="s">
        <v>689</v>
      </c>
      <c r="DI626" s="496" t="s">
        <v>2330</v>
      </c>
      <c r="DJ626" s="496" t="s">
        <v>2330</v>
      </c>
      <c r="DK626" s="496" t="s">
        <v>1554</v>
      </c>
      <c r="DL626" s="496" t="s">
        <v>1555</v>
      </c>
      <c r="DM626" s="496" t="s">
        <v>1981</v>
      </c>
      <c r="DN626" s="497" t="s">
        <v>1982</v>
      </c>
      <c r="DP626" s="543">
        <v>1</v>
      </c>
    </row>
    <row r="627" spans="2:120" ht="15">
      <c r="B627" s="683"/>
      <c r="C627" s="683"/>
      <c r="D627" s="683"/>
      <c r="E627" s="683" cm="1">
        <f t="array" ref="E627">IF(H626&lt;&gt;"",E626,IF(E626="","",IFERROR(MATCH(TRUE(),INDEX(INDEX(K:K,E626+1):K203&lt;&gt;"",0),0)+E626,"")))</f>
        <v>768</v>
      </c>
      <c r="F627" s="684" cm="1">
        <f t="array" ref="F627">IF(E627="","",IF(H626&lt;&gt;"",H626,INDEX(D:D,E627)))</f>
        <v>0</v>
      </c>
      <c r="G627" s="684" t="str">
        <f t="shared" si="66"/>
        <v>0</v>
      </c>
      <c r="H627" s="685" t="str">
        <f t="shared" si="67"/>
        <v/>
      </c>
      <c r="I627" s="683" t="str">
        <f>IF(AND(F627&lt;&gt;"",N10&gt;0,M627&gt;N10),"Mot &gt; limite","")</f>
        <v/>
      </c>
      <c r="M627" s="638">
        <f>IF(OR(F627="",N10="",N10&lt;=0),"",IF(LEN(F627)&lt;=N10,LEN(F627),IFERROR(FIND("♦",SUBSTITUTE(LEFT(F627,N10)," ","♦",LEN(LEFT(F627,N10))-LEN(SUBSTITUTE(LEFT(F627,N10)," ","")))),FIND(" ",F627&amp;" ",N10+1)-1)))</f>
        <v>1</v>
      </c>
      <c r="N627" s="686">
        <f t="shared" si="68"/>
        <v>610</v>
      </c>
      <c r="O627" s="663" t="str">
        <f t="shared" si="69"/>
        <v>0</v>
      </c>
      <c r="P627" s="686">
        <f t="shared" si="70"/>
        <v>1</v>
      </c>
      <c r="Q627" s="686">
        <f t="shared" si="71"/>
        <v>1</v>
      </c>
      <c r="DE627" s="494"/>
      <c r="DF627" s="496" t="s">
        <v>2331</v>
      </c>
      <c r="DG627" s="496" t="s">
        <v>8</v>
      </c>
      <c r="DH627" s="496" t="s">
        <v>689</v>
      </c>
      <c r="DI627" s="496" t="s">
        <v>2332</v>
      </c>
      <c r="DJ627" s="496" t="s">
        <v>2332</v>
      </c>
      <c r="DK627" s="496" t="s">
        <v>1554</v>
      </c>
      <c r="DL627" s="496" t="s">
        <v>1555</v>
      </c>
      <c r="DM627" s="496" t="s">
        <v>1981</v>
      </c>
      <c r="DN627" s="497" t="s">
        <v>1982</v>
      </c>
      <c r="DP627" s="543">
        <v>1</v>
      </c>
    </row>
    <row r="628" spans="2:120" ht="15">
      <c r="B628" s="683"/>
      <c r="C628" s="683"/>
      <c r="D628" s="683"/>
      <c r="E628" s="683" cm="1">
        <f t="array" ref="E628">IF(H627&lt;&gt;"",E627,IF(E627="","",IFERROR(MATCH(TRUE(),INDEX(INDEX(K:K,E627+1):K203&lt;&gt;"",0),0)+E627,"")))</f>
        <v>769</v>
      </c>
      <c r="F628" s="684" cm="1">
        <f t="array" ref="F628">IF(E628="","",IF(H627&lt;&gt;"",H627,INDEX(D:D,E628)))</f>
        <v>0</v>
      </c>
      <c r="G628" s="684" t="str">
        <f t="shared" si="66"/>
        <v>0</v>
      </c>
      <c r="H628" s="685" t="str">
        <f t="shared" si="67"/>
        <v/>
      </c>
      <c r="I628" s="683" t="str">
        <f>IF(AND(F628&lt;&gt;"",N10&gt;0,M628&gt;N10),"Mot &gt; limite","")</f>
        <v/>
      </c>
      <c r="M628" s="638">
        <f>IF(OR(F628="",N10="",N10&lt;=0),"",IF(LEN(F628)&lt;=N10,LEN(F628),IFERROR(FIND("♦",SUBSTITUTE(LEFT(F628,N10)," ","♦",LEN(LEFT(F628,N10))-LEN(SUBSTITUTE(LEFT(F628,N10)," ","")))),FIND(" ",F628&amp;" ",N10+1)-1)))</f>
        <v>1</v>
      </c>
      <c r="N628" s="686">
        <f t="shared" si="68"/>
        <v>611</v>
      </c>
      <c r="O628" s="663" t="str">
        <f t="shared" si="69"/>
        <v>0</v>
      </c>
      <c r="P628" s="686">
        <f t="shared" si="70"/>
        <v>1</v>
      </c>
      <c r="Q628" s="686">
        <f t="shared" si="71"/>
        <v>1</v>
      </c>
      <c r="DE628" s="494"/>
      <c r="DF628" s="496" t="s">
        <v>2333</v>
      </c>
      <c r="DG628" s="496" t="s">
        <v>8</v>
      </c>
      <c r="DH628" s="496" t="s">
        <v>689</v>
      </c>
      <c r="DI628" s="496" t="s">
        <v>1023</v>
      </c>
      <c r="DJ628" s="496" t="s">
        <v>1023</v>
      </c>
      <c r="DK628" s="496" t="s">
        <v>1554</v>
      </c>
      <c r="DL628" s="496" t="s">
        <v>1555</v>
      </c>
      <c r="DM628" s="496" t="s">
        <v>1981</v>
      </c>
      <c r="DN628" s="497" t="s">
        <v>1982</v>
      </c>
      <c r="DP628" s="543">
        <v>1</v>
      </c>
    </row>
    <row r="629" spans="2:120" ht="15">
      <c r="B629" s="683"/>
      <c r="C629" s="683"/>
      <c r="D629" s="683"/>
      <c r="E629" s="683" cm="1">
        <f t="array" ref="E629">IF(H628&lt;&gt;"",E628,IF(E628="","",IFERROR(MATCH(TRUE(),INDEX(INDEX(K:K,E628+1):K203&lt;&gt;"",0),0)+E628,"")))</f>
        <v>770</v>
      </c>
      <c r="F629" s="684" cm="1">
        <f t="array" ref="F629">IF(E629="","",IF(H628&lt;&gt;"",H628,INDEX(D:D,E629)))</f>
        <v>0</v>
      </c>
      <c r="G629" s="684" t="str">
        <f t="shared" si="66"/>
        <v>0</v>
      </c>
      <c r="H629" s="685" t="str">
        <f t="shared" si="67"/>
        <v/>
      </c>
      <c r="I629" s="683" t="str">
        <f>IF(AND(F629&lt;&gt;"",N10&gt;0,M629&gt;N10),"Mot &gt; limite","")</f>
        <v/>
      </c>
      <c r="M629" s="638">
        <f>IF(OR(F629="",N10="",N10&lt;=0),"",IF(LEN(F629)&lt;=N10,LEN(F629),IFERROR(FIND("♦",SUBSTITUTE(LEFT(F629,N10)," ","♦",LEN(LEFT(F629,N10))-LEN(SUBSTITUTE(LEFT(F629,N10)," ","")))),FIND(" ",F629&amp;" ",N10+1)-1)))</f>
        <v>1</v>
      </c>
      <c r="N629" s="686">
        <f t="shared" si="68"/>
        <v>612</v>
      </c>
      <c r="O629" s="663" t="str">
        <f t="shared" si="69"/>
        <v>0</v>
      </c>
      <c r="P629" s="686">
        <f t="shared" si="70"/>
        <v>1</v>
      </c>
      <c r="Q629" s="686">
        <f t="shared" si="71"/>
        <v>1</v>
      </c>
      <c r="DE629" s="494"/>
      <c r="DF629" s="496" t="s">
        <v>2334</v>
      </c>
      <c r="DG629" s="496" t="s">
        <v>8</v>
      </c>
      <c r="DH629" s="496" t="s">
        <v>689</v>
      </c>
      <c r="DI629" s="496" t="s">
        <v>2335</v>
      </c>
      <c r="DJ629" s="496" t="s">
        <v>2335</v>
      </c>
      <c r="DK629" s="496" t="s">
        <v>1554</v>
      </c>
      <c r="DL629" s="496" t="s">
        <v>1555</v>
      </c>
      <c r="DM629" s="496" t="s">
        <v>1981</v>
      </c>
      <c r="DN629" s="497" t="s">
        <v>1982</v>
      </c>
      <c r="DP629" s="543">
        <v>1</v>
      </c>
    </row>
    <row r="630" spans="2:120" ht="25.5">
      <c r="B630" s="683"/>
      <c r="C630" s="683"/>
      <c r="D630" s="683"/>
      <c r="E630" s="683" cm="1">
        <f t="array" ref="E630">IF(H629&lt;&gt;"",E629,IF(E629="","",IFERROR(MATCH(TRUE(),INDEX(INDEX(K:K,E629+1):K203&lt;&gt;"",0),0)+E629,"")))</f>
        <v>771</v>
      </c>
      <c r="F630" s="684" cm="1">
        <f t="array" ref="F630">IF(E630="","",IF(H629&lt;&gt;"",H629,INDEX(D:D,E630)))</f>
        <v>0</v>
      </c>
      <c r="G630" s="684" t="str">
        <f t="shared" si="66"/>
        <v>0</v>
      </c>
      <c r="H630" s="685" t="str">
        <f t="shared" si="67"/>
        <v/>
      </c>
      <c r="I630" s="683" t="str">
        <f>IF(AND(F630&lt;&gt;"",N10&gt;0,M630&gt;N10),"Mot &gt; limite","")</f>
        <v/>
      </c>
      <c r="M630" s="638">
        <f>IF(OR(F630="",N10="",N10&lt;=0),"",IF(LEN(F630)&lt;=N10,LEN(F630),IFERROR(FIND("♦",SUBSTITUTE(LEFT(F630,N10)," ","♦",LEN(LEFT(F630,N10))-LEN(SUBSTITUTE(LEFT(F630,N10)," ","")))),FIND(" ",F630&amp;" ",N10+1)-1)))</f>
        <v>1</v>
      </c>
      <c r="N630" s="686">
        <f t="shared" si="68"/>
        <v>613</v>
      </c>
      <c r="O630" s="663" t="str">
        <f t="shared" si="69"/>
        <v>0</v>
      </c>
      <c r="P630" s="686">
        <f t="shared" si="70"/>
        <v>1</v>
      </c>
      <c r="Q630" s="686">
        <f t="shared" si="71"/>
        <v>1</v>
      </c>
      <c r="DE630" s="494"/>
      <c r="DF630" s="496" t="s">
        <v>2336</v>
      </c>
      <c r="DG630" s="496" t="s">
        <v>8</v>
      </c>
      <c r="DH630" s="496" t="s">
        <v>689</v>
      </c>
      <c r="DI630" s="496" t="s">
        <v>83</v>
      </c>
      <c r="DJ630" s="496" t="s">
        <v>83</v>
      </c>
      <c r="DK630" s="496" t="s">
        <v>1554</v>
      </c>
      <c r="DL630" s="496" t="s">
        <v>5895</v>
      </c>
      <c r="DM630" s="496" t="s">
        <v>1981</v>
      </c>
      <c r="DN630" s="497" t="s">
        <v>1982</v>
      </c>
      <c r="DP630" s="543">
        <v>1</v>
      </c>
    </row>
    <row r="631" spans="2:120" ht="15">
      <c r="B631" s="683"/>
      <c r="C631" s="683"/>
      <c r="D631" s="683"/>
      <c r="E631" s="683" cm="1">
        <f t="array" ref="E631">IF(H630&lt;&gt;"",E630,IF(E630="","",IFERROR(MATCH(TRUE(),INDEX(INDEX(K:K,E630+1):K203&lt;&gt;"",0),0)+E630,"")))</f>
        <v>772</v>
      </c>
      <c r="F631" s="684" cm="1">
        <f t="array" ref="F631">IF(E631="","",IF(H630&lt;&gt;"",H630,INDEX(D:D,E631)))</f>
        <v>0</v>
      </c>
      <c r="G631" s="684" t="str">
        <f t="shared" si="66"/>
        <v>0</v>
      </c>
      <c r="H631" s="685" t="str">
        <f t="shared" si="67"/>
        <v/>
      </c>
      <c r="I631" s="683" t="str">
        <f>IF(AND(F631&lt;&gt;"",N10&gt;0,M631&gt;N10),"Mot &gt; limite","")</f>
        <v/>
      </c>
      <c r="M631" s="638">
        <f>IF(OR(F631="",N10="",N10&lt;=0),"",IF(LEN(F631)&lt;=N10,LEN(F631),IFERROR(FIND("♦",SUBSTITUTE(LEFT(F631,N10)," ","♦",LEN(LEFT(F631,N10))-LEN(SUBSTITUTE(LEFT(F631,N10)," ","")))),FIND(" ",F631&amp;" ",N10+1)-1)))</f>
        <v>1</v>
      </c>
      <c r="N631" s="686">
        <f t="shared" si="68"/>
        <v>614</v>
      </c>
      <c r="O631" s="663" t="str">
        <f t="shared" si="69"/>
        <v>0</v>
      </c>
      <c r="P631" s="686">
        <f t="shared" si="70"/>
        <v>1</v>
      </c>
      <c r="Q631" s="686">
        <f t="shared" si="71"/>
        <v>1</v>
      </c>
      <c r="DE631" s="494"/>
      <c r="DF631" s="496" t="s">
        <v>2337</v>
      </c>
      <c r="DG631" s="496" t="s">
        <v>8</v>
      </c>
      <c r="DH631" s="496" t="s">
        <v>689</v>
      </c>
      <c r="DI631" s="496" t="s">
        <v>2338</v>
      </c>
      <c r="DJ631" s="496" t="s">
        <v>2338</v>
      </c>
      <c r="DK631" s="496" t="s">
        <v>1554</v>
      </c>
      <c r="DL631" s="496" t="s">
        <v>1555</v>
      </c>
      <c r="DM631" s="496" t="s">
        <v>1981</v>
      </c>
      <c r="DN631" s="497" t="s">
        <v>1982</v>
      </c>
      <c r="DP631" s="543">
        <v>1</v>
      </c>
    </row>
    <row r="632" spans="2:120" ht="15">
      <c r="B632" s="683"/>
      <c r="C632" s="683"/>
      <c r="D632" s="683"/>
      <c r="E632" s="683" cm="1">
        <f t="array" ref="E632">IF(H631&lt;&gt;"",E631,IF(E631="","",IFERROR(MATCH(TRUE(),INDEX(INDEX(K:K,E631+1):K203&lt;&gt;"",0),0)+E631,"")))</f>
        <v>773</v>
      </c>
      <c r="F632" s="684" cm="1">
        <f t="array" ref="F632">IF(E632="","",IF(H631&lt;&gt;"",H631,INDEX(D:D,E632)))</f>
        <v>0</v>
      </c>
      <c r="G632" s="684" t="str">
        <f t="shared" si="66"/>
        <v>0</v>
      </c>
      <c r="H632" s="685" t="str">
        <f t="shared" si="67"/>
        <v/>
      </c>
      <c r="I632" s="683" t="str">
        <f>IF(AND(F632&lt;&gt;"",N10&gt;0,M632&gt;N10),"Mot &gt; limite","")</f>
        <v/>
      </c>
      <c r="M632" s="638">
        <f>IF(OR(F632="",N10="",N10&lt;=0),"",IF(LEN(F632)&lt;=N10,LEN(F632),IFERROR(FIND("♦",SUBSTITUTE(LEFT(F632,N10)," ","♦",LEN(LEFT(F632,N10))-LEN(SUBSTITUTE(LEFT(F632,N10)," ","")))),FIND(" ",F632&amp;" ",N10+1)-1)))</f>
        <v>1</v>
      </c>
      <c r="N632" s="686">
        <f t="shared" si="68"/>
        <v>615</v>
      </c>
      <c r="O632" s="663" t="str">
        <f t="shared" si="69"/>
        <v>0</v>
      </c>
      <c r="P632" s="686">
        <f t="shared" si="70"/>
        <v>1</v>
      </c>
      <c r="Q632" s="686">
        <f t="shared" si="71"/>
        <v>1</v>
      </c>
      <c r="DE632" s="494"/>
      <c r="DF632" s="496" t="s">
        <v>2339</v>
      </c>
      <c r="DG632" s="496" t="s">
        <v>8</v>
      </c>
      <c r="DH632" s="496" t="s">
        <v>689</v>
      </c>
      <c r="DI632" s="496" t="s">
        <v>2340</v>
      </c>
      <c r="DJ632" s="496" t="s">
        <v>2340</v>
      </c>
      <c r="DK632" s="496" t="s">
        <v>1554</v>
      </c>
      <c r="DL632" s="496" t="s">
        <v>1555</v>
      </c>
      <c r="DM632" s="496" t="s">
        <v>1981</v>
      </c>
      <c r="DN632" s="497" t="s">
        <v>1982</v>
      </c>
      <c r="DP632" s="543">
        <v>1</v>
      </c>
    </row>
    <row r="633" spans="2:120" ht="15">
      <c r="B633" s="683"/>
      <c r="C633" s="683"/>
      <c r="D633" s="683"/>
      <c r="E633" s="683" cm="1">
        <f t="array" ref="E633">IF(H632&lt;&gt;"",E632,IF(E632="","",IFERROR(MATCH(TRUE(),INDEX(INDEX(K:K,E632+1):K203&lt;&gt;"",0),0)+E632,"")))</f>
        <v>774</v>
      </c>
      <c r="F633" s="684" cm="1">
        <f t="array" ref="F633">IF(E633="","",IF(H632&lt;&gt;"",H632,INDEX(D:D,E633)))</f>
        <v>0</v>
      </c>
      <c r="G633" s="684" t="str">
        <f t="shared" si="66"/>
        <v>0</v>
      </c>
      <c r="H633" s="685" t="str">
        <f t="shared" si="67"/>
        <v/>
      </c>
      <c r="I633" s="683" t="str">
        <f>IF(AND(F633&lt;&gt;"",N10&gt;0,M633&gt;N10),"Mot &gt; limite","")</f>
        <v/>
      </c>
      <c r="M633" s="638">
        <f>IF(OR(F633="",N10="",N10&lt;=0),"",IF(LEN(F633)&lt;=N10,LEN(F633),IFERROR(FIND("♦",SUBSTITUTE(LEFT(F633,N10)," ","♦",LEN(LEFT(F633,N10))-LEN(SUBSTITUTE(LEFT(F633,N10)," ","")))),FIND(" ",F633&amp;" ",N10+1)-1)))</f>
        <v>1</v>
      </c>
      <c r="N633" s="686">
        <f t="shared" si="68"/>
        <v>616</v>
      </c>
      <c r="O633" s="663" t="str">
        <f t="shared" si="69"/>
        <v>0</v>
      </c>
      <c r="P633" s="686">
        <f t="shared" si="70"/>
        <v>1</v>
      </c>
      <c r="Q633" s="686">
        <f t="shared" si="71"/>
        <v>1</v>
      </c>
      <c r="DE633" s="494"/>
      <c r="DF633" s="496" t="s">
        <v>2341</v>
      </c>
      <c r="DG633" s="496" t="s">
        <v>8</v>
      </c>
      <c r="DH633" s="496" t="s">
        <v>689</v>
      </c>
      <c r="DI633" s="496" t="s">
        <v>2342</v>
      </c>
      <c r="DJ633" s="496" t="s">
        <v>2342</v>
      </c>
      <c r="DK633" s="496" t="s">
        <v>1554</v>
      </c>
      <c r="DL633" s="496" t="s">
        <v>1555</v>
      </c>
      <c r="DM633" s="496" t="s">
        <v>1981</v>
      </c>
      <c r="DN633" s="497" t="s">
        <v>1982</v>
      </c>
      <c r="DP633" s="543">
        <v>1</v>
      </c>
    </row>
    <row r="634" spans="2:120" ht="15">
      <c r="B634" s="683"/>
      <c r="C634" s="683"/>
      <c r="D634" s="683"/>
      <c r="E634" s="683" cm="1">
        <f t="array" ref="E634">IF(H633&lt;&gt;"",E633,IF(E633="","",IFERROR(MATCH(TRUE(),INDEX(INDEX(K:K,E633+1):K203&lt;&gt;"",0),0)+E633,"")))</f>
        <v>775</v>
      </c>
      <c r="F634" s="684" cm="1">
        <f t="array" ref="F634">IF(E634="","",IF(H633&lt;&gt;"",H633,INDEX(D:D,E634)))</f>
        <v>0</v>
      </c>
      <c r="G634" s="684" t="str">
        <f t="shared" si="66"/>
        <v>0</v>
      </c>
      <c r="H634" s="685" t="str">
        <f t="shared" si="67"/>
        <v/>
      </c>
      <c r="I634" s="683" t="str">
        <f>IF(AND(F634&lt;&gt;"",N10&gt;0,M634&gt;N10),"Mot &gt; limite","")</f>
        <v/>
      </c>
      <c r="M634" s="638">
        <f>IF(OR(F634="",N10="",N10&lt;=0),"",IF(LEN(F634)&lt;=N10,LEN(F634),IFERROR(FIND("♦",SUBSTITUTE(LEFT(F634,N10)," ","♦",LEN(LEFT(F634,N10))-LEN(SUBSTITUTE(LEFT(F634,N10)," ","")))),FIND(" ",F634&amp;" ",N10+1)-1)))</f>
        <v>1</v>
      </c>
      <c r="N634" s="686">
        <f t="shared" si="68"/>
        <v>617</v>
      </c>
      <c r="O634" s="663" t="str">
        <f t="shared" si="69"/>
        <v>0</v>
      </c>
      <c r="P634" s="686">
        <f t="shared" si="70"/>
        <v>1</v>
      </c>
      <c r="Q634" s="686">
        <f t="shared" si="71"/>
        <v>1</v>
      </c>
      <c r="DE634" s="494"/>
      <c r="DF634" s="496" t="s">
        <v>2343</v>
      </c>
      <c r="DG634" s="496" t="s">
        <v>8</v>
      </c>
      <c r="DH634" s="496" t="s">
        <v>689</v>
      </c>
      <c r="DI634" s="496" t="s">
        <v>2344</v>
      </c>
      <c r="DJ634" s="496" t="s">
        <v>2344</v>
      </c>
      <c r="DK634" s="496" t="s">
        <v>1554</v>
      </c>
      <c r="DL634" s="496" t="s">
        <v>1555</v>
      </c>
      <c r="DM634" s="496" t="s">
        <v>1981</v>
      </c>
      <c r="DN634" s="497" t="s">
        <v>1982</v>
      </c>
      <c r="DP634" s="543">
        <v>1</v>
      </c>
    </row>
    <row r="635" spans="2:120" ht="15">
      <c r="B635" s="683"/>
      <c r="C635" s="683"/>
      <c r="D635" s="683"/>
      <c r="E635" s="683" cm="1">
        <f t="array" ref="E635">IF(H634&lt;&gt;"",E634,IF(E634="","",IFERROR(MATCH(TRUE(),INDEX(INDEX(K:K,E634+1):K203&lt;&gt;"",0),0)+E634,"")))</f>
        <v>776</v>
      </c>
      <c r="F635" s="684" cm="1">
        <f t="array" ref="F635">IF(E635="","",IF(H634&lt;&gt;"",H634,INDEX(D:D,E635)))</f>
        <v>0</v>
      </c>
      <c r="G635" s="684" t="str">
        <f t="shared" si="66"/>
        <v>0</v>
      </c>
      <c r="H635" s="685" t="str">
        <f t="shared" si="67"/>
        <v/>
      </c>
      <c r="I635" s="683" t="str">
        <f>IF(AND(F635&lt;&gt;"",N10&gt;0,M635&gt;N10),"Mot &gt; limite","")</f>
        <v/>
      </c>
      <c r="M635" s="638">
        <f>IF(OR(F635="",N10="",N10&lt;=0),"",IF(LEN(F635)&lt;=N10,LEN(F635),IFERROR(FIND("♦",SUBSTITUTE(LEFT(F635,N10)," ","♦",LEN(LEFT(F635,N10))-LEN(SUBSTITUTE(LEFT(F635,N10)," ","")))),FIND(" ",F635&amp;" ",N10+1)-1)))</f>
        <v>1</v>
      </c>
      <c r="N635" s="686">
        <f t="shared" si="68"/>
        <v>618</v>
      </c>
      <c r="O635" s="663" t="str">
        <f t="shared" si="69"/>
        <v>0</v>
      </c>
      <c r="P635" s="686">
        <f t="shared" si="70"/>
        <v>1</v>
      </c>
      <c r="Q635" s="686">
        <f t="shared" si="71"/>
        <v>1</v>
      </c>
      <c r="DE635" s="494"/>
      <c r="DF635" s="496" t="s">
        <v>2345</v>
      </c>
      <c r="DG635" s="496" t="s">
        <v>8</v>
      </c>
      <c r="DH635" s="496" t="s">
        <v>689</v>
      </c>
      <c r="DI635" s="496" t="s">
        <v>2346</v>
      </c>
      <c r="DJ635" s="496" t="s">
        <v>2346</v>
      </c>
      <c r="DK635" s="496" t="s">
        <v>1554</v>
      </c>
      <c r="DL635" s="496" t="s">
        <v>1555</v>
      </c>
      <c r="DM635" s="496" t="s">
        <v>1981</v>
      </c>
      <c r="DN635" s="497" t="s">
        <v>1982</v>
      </c>
      <c r="DP635" s="543">
        <v>1</v>
      </c>
    </row>
    <row r="636" spans="2:120" ht="15">
      <c r="B636" s="683"/>
      <c r="C636" s="683"/>
      <c r="D636" s="683"/>
      <c r="E636" s="683" cm="1">
        <f t="array" ref="E636">IF(H635&lt;&gt;"",E635,IF(E635="","",IFERROR(MATCH(TRUE(),INDEX(INDEX(K:K,E635+1):K203&lt;&gt;"",0),0)+E635,"")))</f>
        <v>777</v>
      </c>
      <c r="F636" s="684" cm="1">
        <f t="array" ref="F636">IF(E636="","",IF(H635&lt;&gt;"",H635,INDEX(D:D,E636)))</f>
        <v>0</v>
      </c>
      <c r="G636" s="684" t="str">
        <f t="shared" si="66"/>
        <v>0</v>
      </c>
      <c r="H636" s="685" t="str">
        <f t="shared" si="67"/>
        <v/>
      </c>
      <c r="I636" s="683" t="str">
        <f>IF(AND(F636&lt;&gt;"",N10&gt;0,M636&gt;N10),"Mot &gt; limite","")</f>
        <v/>
      </c>
      <c r="M636" s="638">
        <f>IF(OR(F636="",N10="",N10&lt;=0),"",IF(LEN(F636)&lt;=N10,LEN(F636),IFERROR(FIND("♦",SUBSTITUTE(LEFT(F636,N10)," ","♦",LEN(LEFT(F636,N10))-LEN(SUBSTITUTE(LEFT(F636,N10)," ","")))),FIND(" ",F636&amp;" ",N10+1)-1)))</f>
        <v>1</v>
      </c>
      <c r="N636" s="686">
        <f t="shared" si="68"/>
        <v>619</v>
      </c>
      <c r="O636" s="663" t="str">
        <f t="shared" si="69"/>
        <v>0</v>
      </c>
      <c r="P636" s="686">
        <f t="shared" si="70"/>
        <v>1</v>
      </c>
      <c r="Q636" s="686">
        <f t="shared" si="71"/>
        <v>1</v>
      </c>
      <c r="DE636" s="494"/>
      <c r="DF636" s="496" t="s">
        <v>2347</v>
      </c>
      <c r="DG636" s="496" t="s">
        <v>8</v>
      </c>
      <c r="DH636" s="496" t="s">
        <v>689</v>
      </c>
      <c r="DI636" s="496" t="s">
        <v>2348</v>
      </c>
      <c r="DJ636" s="496" t="s">
        <v>2348</v>
      </c>
      <c r="DK636" s="496" t="s">
        <v>1554</v>
      </c>
      <c r="DL636" s="496" t="s">
        <v>1555</v>
      </c>
      <c r="DM636" s="496" t="s">
        <v>1981</v>
      </c>
      <c r="DN636" s="497" t="s">
        <v>1982</v>
      </c>
      <c r="DP636" s="543">
        <v>1</v>
      </c>
    </row>
    <row r="637" spans="2:120" ht="15">
      <c r="B637" s="683"/>
      <c r="C637" s="683"/>
      <c r="D637" s="683"/>
      <c r="E637" s="683" cm="1">
        <f t="array" ref="E637">IF(H636&lt;&gt;"",E636,IF(E636="","",IFERROR(MATCH(TRUE(),INDEX(INDEX(K:K,E636+1):K203&lt;&gt;"",0),0)+E636,"")))</f>
        <v>778</v>
      </c>
      <c r="F637" s="684" cm="1">
        <f t="array" ref="F637">IF(E637="","",IF(H636&lt;&gt;"",H636,INDEX(D:D,E637)))</f>
        <v>0</v>
      </c>
      <c r="G637" s="684" t="str">
        <f t="shared" si="66"/>
        <v>0</v>
      </c>
      <c r="H637" s="685" t="str">
        <f t="shared" si="67"/>
        <v/>
      </c>
      <c r="I637" s="683" t="str">
        <f>IF(AND(F637&lt;&gt;"",N10&gt;0,M637&gt;N10),"Mot &gt; limite","")</f>
        <v/>
      </c>
      <c r="M637" s="638">
        <f>IF(OR(F637="",N10="",N10&lt;=0),"",IF(LEN(F637)&lt;=N10,LEN(F637),IFERROR(FIND("♦",SUBSTITUTE(LEFT(F637,N10)," ","♦",LEN(LEFT(F637,N10))-LEN(SUBSTITUTE(LEFT(F637,N10)," ","")))),FIND(" ",F637&amp;" ",N10+1)-1)))</f>
        <v>1</v>
      </c>
      <c r="N637" s="686">
        <f t="shared" si="68"/>
        <v>620</v>
      </c>
      <c r="O637" s="663" t="str">
        <f t="shared" si="69"/>
        <v>0</v>
      </c>
      <c r="P637" s="686">
        <f t="shared" si="70"/>
        <v>1</v>
      </c>
      <c r="Q637" s="686">
        <f t="shared" si="71"/>
        <v>1</v>
      </c>
      <c r="DE637" s="494"/>
      <c r="DF637" s="496" t="s">
        <v>2349</v>
      </c>
      <c r="DG637" s="496" t="s">
        <v>8</v>
      </c>
      <c r="DH637" s="496" t="s">
        <v>689</v>
      </c>
      <c r="DI637" s="496" t="s">
        <v>2350</v>
      </c>
      <c r="DJ637" s="496" t="s">
        <v>2350</v>
      </c>
      <c r="DK637" s="496" t="s">
        <v>1554</v>
      </c>
      <c r="DL637" s="496" t="s">
        <v>1555</v>
      </c>
      <c r="DM637" s="496" t="s">
        <v>1981</v>
      </c>
      <c r="DN637" s="497" t="s">
        <v>1982</v>
      </c>
      <c r="DP637" s="543">
        <v>1</v>
      </c>
    </row>
    <row r="638" spans="2:120" ht="15">
      <c r="B638" s="683"/>
      <c r="C638" s="683"/>
      <c r="D638" s="683"/>
      <c r="E638" s="683" cm="1">
        <f t="array" ref="E638">IF(H637&lt;&gt;"",E637,IF(E637="","",IFERROR(MATCH(TRUE(),INDEX(INDEX(K:K,E637+1):K203&lt;&gt;"",0),0)+E637,"")))</f>
        <v>779</v>
      </c>
      <c r="F638" s="684" cm="1">
        <f t="array" ref="F638">IF(E638="","",IF(H637&lt;&gt;"",H637,INDEX(D:D,E638)))</f>
        <v>0</v>
      </c>
      <c r="G638" s="684" t="str">
        <f t="shared" si="66"/>
        <v>0</v>
      </c>
      <c r="H638" s="685" t="str">
        <f t="shared" si="67"/>
        <v/>
      </c>
      <c r="I638" s="683" t="str">
        <f>IF(AND(F638&lt;&gt;"",N10&gt;0,M638&gt;N10),"Mot &gt; limite","")</f>
        <v/>
      </c>
      <c r="M638" s="638">
        <f>IF(OR(F638="",N10="",N10&lt;=0),"",IF(LEN(F638)&lt;=N10,LEN(F638),IFERROR(FIND("♦",SUBSTITUTE(LEFT(F638,N10)," ","♦",LEN(LEFT(F638,N10))-LEN(SUBSTITUTE(LEFT(F638,N10)," ","")))),FIND(" ",F638&amp;" ",N10+1)-1)))</f>
        <v>1</v>
      </c>
      <c r="N638" s="686">
        <f t="shared" si="68"/>
        <v>621</v>
      </c>
      <c r="O638" s="663" t="str">
        <f t="shared" si="69"/>
        <v>0</v>
      </c>
      <c r="P638" s="686">
        <f t="shared" si="70"/>
        <v>1</v>
      </c>
      <c r="Q638" s="686">
        <f t="shared" si="71"/>
        <v>1</v>
      </c>
      <c r="DE638" s="494"/>
      <c r="DF638" s="496" t="s">
        <v>2351</v>
      </c>
      <c r="DG638" s="496" t="s">
        <v>8</v>
      </c>
      <c r="DH638" s="496" t="s">
        <v>689</v>
      </c>
      <c r="DI638" s="496" t="s">
        <v>2352</v>
      </c>
      <c r="DJ638" s="496" t="s">
        <v>2352</v>
      </c>
      <c r="DK638" s="496" t="s">
        <v>1554</v>
      </c>
      <c r="DL638" s="496" t="s">
        <v>1555</v>
      </c>
      <c r="DM638" s="496" t="s">
        <v>1981</v>
      </c>
      <c r="DN638" s="497" t="s">
        <v>1982</v>
      </c>
      <c r="DP638" s="543">
        <v>1</v>
      </c>
    </row>
    <row r="639" spans="2:120" ht="15">
      <c r="B639" s="683"/>
      <c r="C639" s="683"/>
      <c r="D639" s="683"/>
      <c r="E639" s="683" cm="1">
        <f t="array" ref="E639">IF(H638&lt;&gt;"",E638,IF(E638="","",IFERROR(MATCH(TRUE(),INDEX(INDEX(K:K,E638+1):K203&lt;&gt;"",0),0)+E638,"")))</f>
        <v>780</v>
      </c>
      <c r="F639" s="684" cm="1">
        <f t="array" ref="F639">IF(E639="","",IF(H638&lt;&gt;"",H638,INDEX(D:D,E639)))</f>
        <v>0</v>
      </c>
      <c r="G639" s="684" t="str">
        <f t="shared" si="66"/>
        <v>0</v>
      </c>
      <c r="H639" s="685" t="str">
        <f t="shared" si="67"/>
        <v/>
      </c>
      <c r="I639" s="683" t="str">
        <f>IF(AND(F639&lt;&gt;"",N10&gt;0,M639&gt;N10),"Mot &gt; limite","")</f>
        <v/>
      </c>
      <c r="M639" s="638">
        <f>IF(OR(F639="",N10="",N10&lt;=0),"",IF(LEN(F639)&lt;=N10,LEN(F639),IFERROR(FIND("♦",SUBSTITUTE(LEFT(F639,N10)," ","♦",LEN(LEFT(F639,N10))-LEN(SUBSTITUTE(LEFT(F639,N10)," ","")))),FIND(" ",F639&amp;" ",N10+1)-1)))</f>
        <v>1</v>
      </c>
      <c r="N639" s="686">
        <f t="shared" si="68"/>
        <v>622</v>
      </c>
      <c r="O639" s="663" t="str">
        <f t="shared" si="69"/>
        <v>0</v>
      </c>
      <c r="P639" s="686">
        <f t="shared" si="70"/>
        <v>1</v>
      </c>
      <c r="Q639" s="686">
        <f t="shared" si="71"/>
        <v>1</v>
      </c>
      <c r="DE639" s="494"/>
      <c r="DF639" s="496" t="s">
        <v>2353</v>
      </c>
      <c r="DG639" s="496" t="s">
        <v>8</v>
      </c>
      <c r="DH639" s="496" t="s">
        <v>689</v>
      </c>
      <c r="DI639" s="496" t="s">
        <v>2354</v>
      </c>
      <c r="DJ639" s="496" t="s">
        <v>2354</v>
      </c>
      <c r="DK639" s="496" t="s">
        <v>1554</v>
      </c>
      <c r="DL639" s="496" t="s">
        <v>1555</v>
      </c>
      <c r="DM639" s="496" t="s">
        <v>1981</v>
      </c>
      <c r="DN639" s="497" t="s">
        <v>1982</v>
      </c>
      <c r="DP639" s="543">
        <v>1</v>
      </c>
    </row>
    <row r="640" spans="2:120" ht="15">
      <c r="B640" s="683"/>
      <c r="C640" s="683"/>
      <c r="D640" s="683"/>
      <c r="E640" s="683" cm="1">
        <f t="array" ref="E640">IF(H639&lt;&gt;"",E639,IF(E639="","",IFERROR(MATCH(TRUE(),INDEX(INDEX(K:K,E639+1):K203&lt;&gt;"",0),0)+E639,"")))</f>
        <v>781</v>
      </c>
      <c r="F640" s="684" cm="1">
        <f t="array" ref="F640">IF(E640="","",IF(H639&lt;&gt;"",H639,INDEX(D:D,E640)))</f>
        <v>0</v>
      </c>
      <c r="G640" s="684" t="str">
        <f t="shared" si="66"/>
        <v>0</v>
      </c>
      <c r="H640" s="685" t="str">
        <f t="shared" si="67"/>
        <v/>
      </c>
      <c r="I640" s="683" t="str">
        <f>IF(AND(F640&lt;&gt;"",N10&gt;0,M640&gt;N10),"Mot &gt; limite","")</f>
        <v/>
      </c>
      <c r="M640" s="638">
        <f>IF(OR(F640="",N10="",N10&lt;=0),"",IF(LEN(F640)&lt;=N10,LEN(F640),IFERROR(FIND("♦",SUBSTITUTE(LEFT(F640,N10)," ","♦",LEN(LEFT(F640,N10))-LEN(SUBSTITUTE(LEFT(F640,N10)," ","")))),FIND(" ",F640&amp;" ",N10+1)-1)))</f>
        <v>1</v>
      </c>
      <c r="N640" s="686">
        <f t="shared" si="68"/>
        <v>623</v>
      </c>
      <c r="O640" s="663" t="str">
        <f t="shared" si="69"/>
        <v>0</v>
      </c>
      <c r="P640" s="686">
        <f t="shared" si="70"/>
        <v>1</v>
      </c>
      <c r="Q640" s="686">
        <f t="shared" si="71"/>
        <v>1</v>
      </c>
      <c r="DE640" s="494"/>
      <c r="DF640" s="496" t="s">
        <v>2355</v>
      </c>
      <c r="DG640" s="496" t="s">
        <v>8</v>
      </c>
      <c r="DH640" s="496" t="s">
        <v>689</v>
      </c>
      <c r="DI640" s="496" t="s">
        <v>2356</v>
      </c>
      <c r="DJ640" s="496" t="s">
        <v>2356</v>
      </c>
      <c r="DK640" s="496" t="s">
        <v>1554</v>
      </c>
      <c r="DL640" s="496" t="s">
        <v>1555</v>
      </c>
      <c r="DM640" s="496" t="s">
        <v>1981</v>
      </c>
      <c r="DN640" s="497" t="s">
        <v>1982</v>
      </c>
      <c r="DP640" s="543">
        <v>1</v>
      </c>
    </row>
    <row r="641" spans="2:120" ht="15">
      <c r="B641" s="683"/>
      <c r="C641" s="683"/>
      <c r="D641" s="683"/>
      <c r="E641" s="683" cm="1">
        <f t="array" ref="E641">IF(H640&lt;&gt;"",E640,IF(E640="","",IFERROR(MATCH(TRUE(),INDEX(INDEX(K:K,E640+1):K203&lt;&gt;"",0),0)+E640,"")))</f>
        <v>782</v>
      </c>
      <c r="F641" s="684" cm="1">
        <f t="array" ref="F641">IF(E641="","",IF(H640&lt;&gt;"",H640,INDEX(D:D,E641)))</f>
        <v>0</v>
      </c>
      <c r="G641" s="684" t="str">
        <f t="shared" si="66"/>
        <v>0</v>
      </c>
      <c r="H641" s="685" t="str">
        <f t="shared" si="67"/>
        <v/>
      </c>
      <c r="I641" s="683" t="str">
        <f>IF(AND(F641&lt;&gt;"",N10&gt;0,M641&gt;N10),"Mot &gt; limite","")</f>
        <v/>
      </c>
      <c r="M641" s="638">
        <f>IF(OR(F641="",N10="",N10&lt;=0),"",IF(LEN(F641)&lt;=N10,LEN(F641),IFERROR(FIND("♦",SUBSTITUTE(LEFT(F641,N10)," ","♦",LEN(LEFT(F641,N10))-LEN(SUBSTITUTE(LEFT(F641,N10)," ","")))),FIND(" ",F641&amp;" ",N10+1)-1)))</f>
        <v>1</v>
      </c>
      <c r="N641" s="686">
        <f t="shared" si="68"/>
        <v>624</v>
      </c>
      <c r="O641" s="663" t="str">
        <f t="shared" si="69"/>
        <v>0</v>
      </c>
      <c r="P641" s="686">
        <f t="shared" si="70"/>
        <v>1</v>
      </c>
      <c r="Q641" s="686">
        <f t="shared" si="71"/>
        <v>1</v>
      </c>
      <c r="DE641" s="494"/>
      <c r="DF641" s="496" t="s">
        <v>2357</v>
      </c>
      <c r="DG641" s="496" t="s">
        <v>8</v>
      </c>
      <c r="DH641" s="496" t="s">
        <v>689</v>
      </c>
      <c r="DI641" s="496" t="s">
        <v>2358</v>
      </c>
      <c r="DJ641" s="496" t="s">
        <v>2358</v>
      </c>
      <c r="DK641" s="496" t="s">
        <v>1554</v>
      </c>
      <c r="DL641" s="496" t="s">
        <v>1555</v>
      </c>
      <c r="DM641" s="496" t="s">
        <v>1981</v>
      </c>
      <c r="DN641" s="497" t="s">
        <v>1982</v>
      </c>
      <c r="DP641" s="543">
        <v>1</v>
      </c>
    </row>
    <row r="642" spans="2:120" ht="15">
      <c r="B642" s="683"/>
      <c r="C642" s="683"/>
      <c r="D642" s="683"/>
      <c r="E642" s="683" cm="1">
        <f t="array" ref="E642">IF(H641&lt;&gt;"",E641,IF(E641="","",IFERROR(MATCH(TRUE(),INDEX(INDEX(K:K,E641+1):K203&lt;&gt;"",0),0)+E641,"")))</f>
        <v>783</v>
      </c>
      <c r="F642" s="684" cm="1">
        <f t="array" ref="F642">IF(E642="","",IF(H641&lt;&gt;"",H641,INDEX(D:D,E642)))</f>
        <v>0</v>
      </c>
      <c r="G642" s="684" t="str">
        <f t="shared" si="66"/>
        <v>0</v>
      </c>
      <c r="H642" s="685" t="str">
        <f t="shared" si="67"/>
        <v/>
      </c>
      <c r="I642" s="683" t="str">
        <f>IF(AND(F642&lt;&gt;"",N10&gt;0,M642&gt;N10),"Mot &gt; limite","")</f>
        <v/>
      </c>
      <c r="M642" s="638">
        <f>IF(OR(F642="",N10="",N10&lt;=0),"",IF(LEN(F642)&lt;=N10,LEN(F642),IFERROR(FIND("♦",SUBSTITUTE(LEFT(F642,N10)," ","♦",LEN(LEFT(F642,N10))-LEN(SUBSTITUTE(LEFT(F642,N10)," ","")))),FIND(" ",F642&amp;" ",N10+1)-1)))</f>
        <v>1</v>
      </c>
      <c r="N642" s="686">
        <f t="shared" si="68"/>
        <v>625</v>
      </c>
      <c r="O642" s="663" t="str">
        <f t="shared" si="69"/>
        <v>0</v>
      </c>
      <c r="P642" s="686">
        <f t="shared" si="70"/>
        <v>1</v>
      </c>
      <c r="Q642" s="686">
        <f t="shared" si="71"/>
        <v>1</v>
      </c>
      <c r="DE642" s="494"/>
      <c r="DF642" s="496" t="s">
        <v>2359</v>
      </c>
      <c r="DG642" s="496" t="s">
        <v>8</v>
      </c>
      <c r="DH642" s="496" t="s">
        <v>689</v>
      </c>
      <c r="DI642" s="496" t="s">
        <v>2360</v>
      </c>
      <c r="DJ642" s="496" t="s">
        <v>2360</v>
      </c>
      <c r="DK642" s="496" t="s">
        <v>1554</v>
      </c>
      <c r="DL642" s="496" t="s">
        <v>1555</v>
      </c>
      <c r="DM642" s="496" t="s">
        <v>1981</v>
      </c>
      <c r="DN642" s="497" t="s">
        <v>1982</v>
      </c>
      <c r="DP642" s="543">
        <v>1</v>
      </c>
    </row>
    <row r="643" spans="2:120" ht="15">
      <c r="B643" s="683"/>
      <c r="C643" s="683"/>
      <c r="D643" s="683"/>
      <c r="E643" s="683" cm="1">
        <f t="array" ref="E643">IF(H642&lt;&gt;"",E642,IF(E642="","",IFERROR(MATCH(TRUE(),INDEX(INDEX(K:K,E642+1):K203&lt;&gt;"",0),0)+E642,"")))</f>
        <v>784</v>
      </c>
      <c r="F643" s="684" cm="1">
        <f t="array" ref="F643">IF(E643="","",IF(H642&lt;&gt;"",H642,INDEX(D:D,E643)))</f>
        <v>0</v>
      </c>
      <c r="G643" s="684" t="str">
        <f t="shared" si="66"/>
        <v>0</v>
      </c>
      <c r="H643" s="685" t="str">
        <f t="shared" si="67"/>
        <v/>
      </c>
      <c r="I643" s="683" t="str">
        <f>IF(AND(F643&lt;&gt;"",N10&gt;0,M643&gt;N10),"Mot &gt; limite","")</f>
        <v/>
      </c>
      <c r="M643" s="638">
        <f>IF(OR(F643="",N10="",N10&lt;=0),"",IF(LEN(F643)&lt;=N10,LEN(F643),IFERROR(FIND("♦",SUBSTITUTE(LEFT(F643,N10)," ","♦",LEN(LEFT(F643,N10))-LEN(SUBSTITUTE(LEFT(F643,N10)," ","")))),FIND(" ",F643&amp;" ",N10+1)-1)))</f>
        <v>1</v>
      </c>
      <c r="N643" s="686">
        <f t="shared" si="68"/>
        <v>626</v>
      </c>
      <c r="O643" s="663" t="str">
        <f t="shared" si="69"/>
        <v>0</v>
      </c>
      <c r="P643" s="686">
        <f t="shared" si="70"/>
        <v>1</v>
      </c>
      <c r="Q643" s="686">
        <f t="shared" si="71"/>
        <v>1</v>
      </c>
      <c r="DE643" s="494"/>
      <c r="DF643" s="496" t="s">
        <v>2361</v>
      </c>
      <c r="DG643" s="496" t="s">
        <v>8</v>
      </c>
      <c r="DH643" s="496" t="s">
        <v>689</v>
      </c>
      <c r="DI643" s="496" t="s">
        <v>2362</v>
      </c>
      <c r="DJ643" s="496" t="s">
        <v>2362</v>
      </c>
      <c r="DK643" s="496" t="s">
        <v>1554</v>
      </c>
      <c r="DL643" s="496" t="s">
        <v>1555</v>
      </c>
      <c r="DM643" s="496" t="s">
        <v>1981</v>
      </c>
      <c r="DN643" s="497" t="s">
        <v>1982</v>
      </c>
      <c r="DP643" s="543">
        <v>1</v>
      </c>
    </row>
    <row r="644" spans="2:120" ht="15">
      <c r="B644" s="683"/>
      <c r="C644" s="683"/>
      <c r="D644" s="683"/>
      <c r="E644" s="683" cm="1">
        <f t="array" ref="E644">IF(H643&lt;&gt;"",E643,IF(E643="","",IFERROR(MATCH(TRUE(),INDEX(INDEX(K:K,E643+1):K203&lt;&gt;"",0),0)+E643,"")))</f>
        <v>785</v>
      </c>
      <c r="F644" s="684" cm="1">
        <f t="array" ref="F644">IF(E644="","",IF(H643&lt;&gt;"",H643,INDEX(D:D,E644)))</f>
        <v>0</v>
      </c>
      <c r="G644" s="684" t="str">
        <f t="shared" si="66"/>
        <v>0</v>
      </c>
      <c r="H644" s="685" t="str">
        <f t="shared" si="67"/>
        <v/>
      </c>
      <c r="I644" s="683" t="str">
        <f>IF(AND(F644&lt;&gt;"",N10&gt;0,M644&gt;N10),"Mot &gt; limite","")</f>
        <v/>
      </c>
      <c r="M644" s="638">
        <f>IF(OR(F644="",N10="",N10&lt;=0),"",IF(LEN(F644)&lt;=N10,LEN(F644),IFERROR(FIND("♦",SUBSTITUTE(LEFT(F644,N10)," ","♦",LEN(LEFT(F644,N10))-LEN(SUBSTITUTE(LEFT(F644,N10)," ","")))),FIND(" ",F644&amp;" ",N10+1)-1)))</f>
        <v>1</v>
      </c>
      <c r="N644" s="686">
        <f t="shared" si="68"/>
        <v>627</v>
      </c>
      <c r="O644" s="663" t="str">
        <f t="shared" si="69"/>
        <v>0</v>
      </c>
      <c r="P644" s="686">
        <f t="shared" si="70"/>
        <v>1</v>
      </c>
      <c r="Q644" s="686">
        <f t="shared" si="71"/>
        <v>1</v>
      </c>
      <c r="DE644" s="494"/>
      <c r="DF644" s="496" t="s">
        <v>2363</v>
      </c>
      <c r="DG644" s="496" t="s">
        <v>8</v>
      </c>
      <c r="DH644" s="496" t="s">
        <v>689</v>
      </c>
      <c r="DI644" s="496" t="s">
        <v>2364</v>
      </c>
      <c r="DJ644" s="496" t="s">
        <v>2364</v>
      </c>
      <c r="DK644" s="496" t="s">
        <v>1554</v>
      </c>
      <c r="DL644" s="496" t="s">
        <v>1555</v>
      </c>
      <c r="DM644" s="496" t="s">
        <v>1981</v>
      </c>
      <c r="DN644" s="497" t="s">
        <v>1982</v>
      </c>
      <c r="DP644" s="543">
        <v>1</v>
      </c>
    </row>
    <row r="645" spans="2:120" ht="15">
      <c r="B645" s="683"/>
      <c r="C645" s="683"/>
      <c r="D645" s="683"/>
      <c r="E645" s="683" cm="1">
        <f t="array" ref="E645">IF(H644&lt;&gt;"",E644,IF(E644="","",IFERROR(MATCH(TRUE(),INDEX(INDEX(K:K,E644+1):K203&lt;&gt;"",0),0)+E644,"")))</f>
        <v>786</v>
      </c>
      <c r="F645" s="684" cm="1">
        <f t="array" ref="F645">IF(E645="","",IF(H644&lt;&gt;"",H644,INDEX(D:D,E645)))</f>
        <v>0</v>
      </c>
      <c r="G645" s="684" t="str">
        <f t="shared" si="66"/>
        <v>0</v>
      </c>
      <c r="H645" s="685" t="str">
        <f t="shared" si="67"/>
        <v/>
      </c>
      <c r="I645" s="683" t="str">
        <f>IF(AND(F645&lt;&gt;"",N10&gt;0,M645&gt;N10),"Mot &gt; limite","")</f>
        <v/>
      </c>
      <c r="M645" s="638">
        <f>IF(OR(F645="",N10="",N10&lt;=0),"",IF(LEN(F645)&lt;=N10,LEN(F645),IFERROR(FIND("♦",SUBSTITUTE(LEFT(F645,N10)," ","♦",LEN(LEFT(F645,N10))-LEN(SUBSTITUTE(LEFT(F645,N10)," ","")))),FIND(" ",F645&amp;" ",N10+1)-1)))</f>
        <v>1</v>
      </c>
      <c r="N645" s="686">
        <f t="shared" si="68"/>
        <v>628</v>
      </c>
      <c r="O645" s="663" t="str">
        <f t="shared" si="69"/>
        <v>0</v>
      </c>
      <c r="P645" s="686">
        <f t="shared" si="70"/>
        <v>1</v>
      </c>
      <c r="Q645" s="686">
        <f t="shared" si="71"/>
        <v>1</v>
      </c>
      <c r="DE645" s="494"/>
      <c r="DF645" s="496" t="s">
        <v>2365</v>
      </c>
      <c r="DG645" s="496" t="s">
        <v>8</v>
      </c>
      <c r="DH645" s="496" t="s">
        <v>689</v>
      </c>
      <c r="DI645" s="496" t="s">
        <v>2366</v>
      </c>
      <c r="DJ645" s="496" t="s">
        <v>2366</v>
      </c>
      <c r="DK645" s="496" t="s">
        <v>1554</v>
      </c>
      <c r="DL645" s="496" t="s">
        <v>1555</v>
      </c>
      <c r="DM645" s="496" t="s">
        <v>1981</v>
      </c>
      <c r="DN645" s="497" t="s">
        <v>1982</v>
      </c>
      <c r="DP645" s="543">
        <v>1</v>
      </c>
    </row>
    <row r="646" spans="2:120" ht="15">
      <c r="B646" s="683"/>
      <c r="C646" s="683"/>
      <c r="D646" s="683"/>
      <c r="E646" s="683" cm="1">
        <f t="array" ref="E646">IF(H645&lt;&gt;"",E645,IF(E645="","",IFERROR(MATCH(TRUE(),INDEX(INDEX(K:K,E645+1):K203&lt;&gt;"",0),0)+E645,"")))</f>
        <v>787</v>
      </c>
      <c r="F646" s="684" cm="1">
        <f t="array" ref="F646">IF(E646="","",IF(H645&lt;&gt;"",H645,INDEX(D:D,E646)))</f>
        <v>0</v>
      </c>
      <c r="G646" s="684" t="str">
        <f t="shared" si="66"/>
        <v>0</v>
      </c>
      <c r="H646" s="685" t="str">
        <f t="shared" si="67"/>
        <v/>
      </c>
      <c r="I646" s="683" t="str">
        <f>IF(AND(F646&lt;&gt;"",N10&gt;0,M646&gt;N10),"Mot &gt; limite","")</f>
        <v/>
      </c>
      <c r="M646" s="638">
        <f>IF(OR(F646="",N10="",N10&lt;=0),"",IF(LEN(F646)&lt;=N10,LEN(F646),IFERROR(FIND("♦",SUBSTITUTE(LEFT(F646,N10)," ","♦",LEN(LEFT(F646,N10))-LEN(SUBSTITUTE(LEFT(F646,N10)," ","")))),FIND(" ",F646&amp;" ",N10+1)-1)))</f>
        <v>1</v>
      </c>
      <c r="N646" s="686">
        <f t="shared" si="68"/>
        <v>629</v>
      </c>
      <c r="O646" s="663" t="str">
        <f t="shared" si="69"/>
        <v>0</v>
      </c>
      <c r="P646" s="686">
        <f t="shared" si="70"/>
        <v>1</v>
      </c>
      <c r="Q646" s="686">
        <f t="shared" si="71"/>
        <v>1</v>
      </c>
      <c r="DE646" s="494"/>
      <c r="DF646" s="496" t="s">
        <v>2367</v>
      </c>
      <c r="DG646" s="496" t="s">
        <v>8</v>
      </c>
      <c r="DH646" s="496" t="s">
        <v>689</v>
      </c>
      <c r="DI646" s="496" t="s">
        <v>2368</v>
      </c>
      <c r="DJ646" s="496" t="s">
        <v>2368</v>
      </c>
      <c r="DK646" s="496" t="s">
        <v>1554</v>
      </c>
      <c r="DL646" s="496" t="s">
        <v>1555</v>
      </c>
      <c r="DM646" s="496" t="s">
        <v>1981</v>
      </c>
      <c r="DN646" s="497" t="s">
        <v>1982</v>
      </c>
      <c r="DP646" s="543">
        <v>1</v>
      </c>
    </row>
    <row r="647" spans="2:120" ht="15">
      <c r="B647" s="683"/>
      <c r="C647" s="683"/>
      <c r="D647" s="683"/>
      <c r="E647" s="683" cm="1">
        <f t="array" ref="E647">IF(H646&lt;&gt;"",E646,IF(E646="","",IFERROR(MATCH(TRUE(),INDEX(INDEX(K:K,E646+1):K203&lt;&gt;"",0),0)+E646,"")))</f>
        <v>788</v>
      </c>
      <c r="F647" s="684" cm="1">
        <f t="array" ref="F647">IF(E647="","",IF(H646&lt;&gt;"",H646,INDEX(D:D,E647)))</f>
        <v>0</v>
      </c>
      <c r="G647" s="684" t="str">
        <f t="shared" si="66"/>
        <v>0</v>
      </c>
      <c r="H647" s="685" t="str">
        <f t="shared" si="67"/>
        <v/>
      </c>
      <c r="I647" s="683" t="str">
        <f>IF(AND(F647&lt;&gt;"",N10&gt;0,M647&gt;N10),"Mot &gt; limite","")</f>
        <v/>
      </c>
      <c r="M647" s="638">
        <f>IF(OR(F647="",N10="",N10&lt;=0),"",IF(LEN(F647)&lt;=N10,LEN(F647),IFERROR(FIND("♦",SUBSTITUTE(LEFT(F647,N10)," ","♦",LEN(LEFT(F647,N10))-LEN(SUBSTITUTE(LEFT(F647,N10)," ","")))),FIND(" ",F647&amp;" ",N10+1)-1)))</f>
        <v>1</v>
      </c>
      <c r="N647" s="686">
        <f t="shared" si="68"/>
        <v>630</v>
      </c>
      <c r="O647" s="663" t="str">
        <f t="shared" si="69"/>
        <v>0</v>
      </c>
      <c r="P647" s="686">
        <f t="shared" si="70"/>
        <v>1</v>
      </c>
      <c r="Q647" s="686">
        <f t="shared" si="71"/>
        <v>1</v>
      </c>
      <c r="DE647" s="494"/>
      <c r="DF647" s="496" t="s">
        <v>2369</v>
      </c>
      <c r="DG647" s="496" t="s">
        <v>8</v>
      </c>
      <c r="DH647" s="496" t="s">
        <v>689</v>
      </c>
      <c r="DI647" s="496" t="s">
        <v>2370</v>
      </c>
      <c r="DJ647" s="496" t="s">
        <v>2370</v>
      </c>
      <c r="DK647" s="496" t="s">
        <v>1554</v>
      </c>
      <c r="DL647" s="496" t="s">
        <v>1555</v>
      </c>
      <c r="DM647" s="496" t="s">
        <v>1981</v>
      </c>
      <c r="DN647" s="497" t="s">
        <v>1982</v>
      </c>
      <c r="DP647" s="543">
        <v>1</v>
      </c>
    </row>
    <row r="648" spans="2:120" ht="15">
      <c r="B648" s="683"/>
      <c r="C648" s="683"/>
      <c r="D648" s="683"/>
      <c r="E648" s="683" cm="1">
        <f t="array" ref="E648">IF(H647&lt;&gt;"",E647,IF(E647="","",IFERROR(MATCH(TRUE(),INDEX(INDEX(K:K,E647+1):K203&lt;&gt;"",0),0)+E647,"")))</f>
        <v>789</v>
      </c>
      <c r="F648" s="684" cm="1">
        <f t="array" ref="F648">IF(E648="","",IF(H647&lt;&gt;"",H647,INDEX(D:D,E648)))</f>
        <v>0</v>
      </c>
      <c r="G648" s="684" t="str">
        <f t="shared" si="66"/>
        <v>0</v>
      </c>
      <c r="H648" s="685" t="str">
        <f t="shared" si="67"/>
        <v/>
      </c>
      <c r="I648" s="683" t="str">
        <f>IF(AND(F648&lt;&gt;"",N10&gt;0,M648&gt;N10),"Mot &gt; limite","")</f>
        <v/>
      </c>
      <c r="M648" s="638">
        <f>IF(OR(F648="",N10="",N10&lt;=0),"",IF(LEN(F648)&lt;=N10,LEN(F648),IFERROR(FIND("♦",SUBSTITUTE(LEFT(F648,N10)," ","♦",LEN(LEFT(F648,N10))-LEN(SUBSTITUTE(LEFT(F648,N10)," ","")))),FIND(" ",F648&amp;" ",N10+1)-1)))</f>
        <v>1</v>
      </c>
      <c r="N648" s="686">
        <f t="shared" si="68"/>
        <v>631</v>
      </c>
      <c r="O648" s="663" t="str">
        <f t="shared" si="69"/>
        <v>0</v>
      </c>
      <c r="P648" s="686">
        <f t="shared" si="70"/>
        <v>1</v>
      </c>
      <c r="Q648" s="686">
        <f t="shared" si="71"/>
        <v>1</v>
      </c>
      <c r="DE648" s="494"/>
      <c r="DF648" s="496" t="s">
        <v>2371</v>
      </c>
      <c r="DG648" s="496" t="s">
        <v>8</v>
      </c>
      <c r="DH648" s="496" t="s">
        <v>689</v>
      </c>
      <c r="DI648" s="496" t="s">
        <v>2372</v>
      </c>
      <c r="DJ648" s="496" t="s">
        <v>2372</v>
      </c>
      <c r="DK648" s="496" t="s">
        <v>1554</v>
      </c>
      <c r="DL648" s="496" t="s">
        <v>1555</v>
      </c>
      <c r="DM648" s="496" t="s">
        <v>1981</v>
      </c>
      <c r="DN648" s="497" t="s">
        <v>1982</v>
      </c>
      <c r="DP648" s="543">
        <v>1</v>
      </c>
    </row>
    <row r="649" spans="2:120" ht="15">
      <c r="B649" s="683"/>
      <c r="C649" s="683"/>
      <c r="D649" s="683"/>
      <c r="E649" s="683" cm="1">
        <f t="array" ref="E649">IF(H648&lt;&gt;"",E648,IF(E648="","",IFERROR(MATCH(TRUE(),INDEX(INDEX(K:K,E648+1):K203&lt;&gt;"",0),0)+E648,"")))</f>
        <v>790</v>
      </c>
      <c r="F649" s="684" cm="1">
        <f t="array" ref="F649">IF(E649="","",IF(H648&lt;&gt;"",H648,INDEX(D:D,E649)))</f>
        <v>0</v>
      </c>
      <c r="G649" s="684" t="str">
        <f t="shared" si="66"/>
        <v>0</v>
      </c>
      <c r="H649" s="685" t="str">
        <f t="shared" si="67"/>
        <v/>
      </c>
      <c r="I649" s="683" t="str">
        <f>IF(AND(F649&lt;&gt;"",N10&gt;0,M649&gt;N10),"Mot &gt; limite","")</f>
        <v/>
      </c>
      <c r="M649" s="638">
        <f>IF(OR(F649="",N10="",N10&lt;=0),"",IF(LEN(F649)&lt;=N10,LEN(F649),IFERROR(FIND("♦",SUBSTITUTE(LEFT(F649,N10)," ","♦",LEN(LEFT(F649,N10))-LEN(SUBSTITUTE(LEFT(F649,N10)," ","")))),FIND(" ",F649&amp;" ",N10+1)-1)))</f>
        <v>1</v>
      </c>
      <c r="N649" s="686">
        <f t="shared" si="68"/>
        <v>632</v>
      </c>
      <c r="O649" s="663" t="str">
        <f t="shared" si="69"/>
        <v>0</v>
      </c>
      <c r="P649" s="686">
        <f t="shared" si="70"/>
        <v>1</v>
      </c>
      <c r="Q649" s="686">
        <f t="shared" si="71"/>
        <v>1</v>
      </c>
      <c r="DE649" s="494"/>
      <c r="DF649" s="496" t="s">
        <v>2373</v>
      </c>
      <c r="DG649" s="496" t="s">
        <v>8</v>
      </c>
      <c r="DH649" s="496" t="s">
        <v>689</v>
      </c>
      <c r="DI649" s="496" t="s">
        <v>2374</v>
      </c>
      <c r="DJ649" s="496" t="s">
        <v>2374</v>
      </c>
      <c r="DK649" s="496" t="s">
        <v>1554</v>
      </c>
      <c r="DL649" s="496" t="s">
        <v>1555</v>
      </c>
      <c r="DM649" s="496" t="s">
        <v>1981</v>
      </c>
      <c r="DN649" s="497" t="s">
        <v>1982</v>
      </c>
      <c r="DP649" s="543">
        <v>1</v>
      </c>
    </row>
    <row r="650" spans="2:120" ht="15">
      <c r="B650" s="683"/>
      <c r="C650" s="683"/>
      <c r="D650" s="683"/>
      <c r="E650" s="683" cm="1">
        <f t="array" ref="E650">IF(H649&lt;&gt;"",E649,IF(E649="","",IFERROR(MATCH(TRUE(),INDEX(INDEX(K:K,E649+1):K203&lt;&gt;"",0),0)+E649,"")))</f>
        <v>791</v>
      </c>
      <c r="F650" s="684" cm="1">
        <f t="array" ref="F650">IF(E650="","",IF(H649&lt;&gt;"",H649,INDEX(D:D,E650)))</f>
        <v>0</v>
      </c>
      <c r="G650" s="684" t="str">
        <f t="shared" si="66"/>
        <v>0</v>
      </c>
      <c r="H650" s="685" t="str">
        <f t="shared" si="67"/>
        <v/>
      </c>
      <c r="I650" s="683" t="str">
        <f>IF(AND(F650&lt;&gt;"",N10&gt;0,M650&gt;N10),"Mot &gt; limite","")</f>
        <v/>
      </c>
      <c r="M650" s="638">
        <f>IF(OR(F650="",N10="",N10&lt;=0),"",IF(LEN(F650)&lt;=N10,LEN(F650),IFERROR(FIND("♦",SUBSTITUTE(LEFT(F650,N10)," ","♦",LEN(LEFT(F650,N10))-LEN(SUBSTITUTE(LEFT(F650,N10)," ","")))),FIND(" ",F650&amp;" ",N10+1)-1)))</f>
        <v>1</v>
      </c>
      <c r="N650" s="686">
        <f t="shared" si="68"/>
        <v>633</v>
      </c>
      <c r="O650" s="663" t="str">
        <f t="shared" si="69"/>
        <v>0</v>
      </c>
      <c r="P650" s="686">
        <f t="shared" si="70"/>
        <v>1</v>
      </c>
      <c r="Q650" s="686">
        <f t="shared" si="71"/>
        <v>1</v>
      </c>
      <c r="DE650" s="494"/>
      <c r="DF650" s="496" t="s">
        <v>2375</v>
      </c>
      <c r="DG650" s="496" t="s">
        <v>8</v>
      </c>
      <c r="DH650" s="496" t="s">
        <v>689</v>
      </c>
      <c r="DI650" s="496" t="s">
        <v>2376</v>
      </c>
      <c r="DJ650" s="496" t="s">
        <v>2376</v>
      </c>
      <c r="DK650" s="496" t="s">
        <v>1554</v>
      </c>
      <c r="DL650" s="496" t="s">
        <v>1555</v>
      </c>
      <c r="DM650" s="496" t="s">
        <v>1981</v>
      </c>
      <c r="DN650" s="497" t="s">
        <v>1982</v>
      </c>
      <c r="DP650" s="543">
        <v>1</v>
      </c>
    </row>
    <row r="651" spans="2:120" ht="15">
      <c r="B651" s="683"/>
      <c r="C651" s="683"/>
      <c r="D651" s="683"/>
      <c r="E651" s="683" cm="1">
        <f t="array" ref="E651">IF(H650&lt;&gt;"",E650,IF(E650="","",IFERROR(MATCH(TRUE(),INDEX(INDEX(K:K,E650+1):K203&lt;&gt;"",0),0)+E650,"")))</f>
        <v>792</v>
      </c>
      <c r="F651" s="684" cm="1">
        <f t="array" ref="F651">IF(E651="","",IF(H650&lt;&gt;"",H650,INDEX(D:D,E651)))</f>
        <v>0</v>
      </c>
      <c r="G651" s="684" t="str">
        <f t="shared" si="66"/>
        <v>0</v>
      </c>
      <c r="H651" s="685" t="str">
        <f t="shared" si="67"/>
        <v/>
      </c>
      <c r="I651" s="683" t="str">
        <f>IF(AND(F651&lt;&gt;"",N10&gt;0,M651&gt;N10),"Mot &gt; limite","")</f>
        <v/>
      </c>
      <c r="M651" s="638">
        <f>IF(OR(F651="",N10="",N10&lt;=0),"",IF(LEN(F651)&lt;=N10,LEN(F651),IFERROR(FIND("♦",SUBSTITUTE(LEFT(F651,N10)," ","♦",LEN(LEFT(F651,N10))-LEN(SUBSTITUTE(LEFT(F651,N10)," ","")))),FIND(" ",F651&amp;" ",N10+1)-1)))</f>
        <v>1</v>
      </c>
      <c r="N651" s="686">
        <f t="shared" si="68"/>
        <v>634</v>
      </c>
      <c r="O651" s="663" t="str">
        <f t="shared" si="69"/>
        <v>0</v>
      </c>
      <c r="P651" s="686">
        <f t="shared" si="70"/>
        <v>1</v>
      </c>
      <c r="Q651" s="686">
        <f t="shared" si="71"/>
        <v>1</v>
      </c>
      <c r="DE651" s="494"/>
      <c r="DF651" s="496" t="s">
        <v>2377</v>
      </c>
      <c r="DG651" s="496" t="s">
        <v>8</v>
      </c>
      <c r="DH651" s="496" t="s">
        <v>689</v>
      </c>
      <c r="DI651" s="496" t="s">
        <v>2378</v>
      </c>
      <c r="DJ651" s="496" t="s">
        <v>2378</v>
      </c>
      <c r="DK651" s="496" t="s">
        <v>1554</v>
      </c>
      <c r="DL651" s="496" t="s">
        <v>1555</v>
      </c>
      <c r="DM651" s="496" t="s">
        <v>1981</v>
      </c>
      <c r="DN651" s="497" t="s">
        <v>1982</v>
      </c>
      <c r="DP651" s="543">
        <v>1</v>
      </c>
    </row>
    <row r="652" spans="2:120" ht="15">
      <c r="B652" s="683"/>
      <c r="C652" s="683"/>
      <c r="D652" s="683"/>
      <c r="E652" s="683" cm="1">
        <f t="array" ref="E652">IF(H651&lt;&gt;"",E651,IF(E651="","",IFERROR(MATCH(TRUE(),INDEX(INDEX(K:K,E651+1):K203&lt;&gt;"",0),0)+E651,"")))</f>
        <v>793</v>
      </c>
      <c r="F652" s="684" cm="1">
        <f t="array" ref="F652">IF(E652="","",IF(H651&lt;&gt;"",H651,INDEX(D:D,E652)))</f>
        <v>0</v>
      </c>
      <c r="G652" s="684" t="str">
        <f t="shared" si="66"/>
        <v>0</v>
      </c>
      <c r="H652" s="685" t="str">
        <f t="shared" si="67"/>
        <v/>
      </c>
      <c r="I652" s="683" t="str">
        <f>IF(AND(F652&lt;&gt;"",N10&gt;0,M652&gt;N10),"Mot &gt; limite","")</f>
        <v/>
      </c>
      <c r="M652" s="638">
        <f>IF(OR(F652="",N10="",N10&lt;=0),"",IF(LEN(F652)&lt;=N10,LEN(F652),IFERROR(FIND("♦",SUBSTITUTE(LEFT(F652,N10)," ","♦",LEN(LEFT(F652,N10))-LEN(SUBSTITUTE(LEFT(F652,N10)," ","")))),FIND(" ",F652&amp;" ",N10+1)-1)))</f>
        <v>1</v>
      </c>
      <c r="N652" s="686">
        <f t="shared" si="68"/>
        <v>635</v>
      </c>
      <c r="O652" s="663" t="str">
        <f t="shared" si="69"/>
        <v>0</v>
      </c>
      <c r="P652" s="686">
        <f t="shared" si="70"/>
        <v>1</v>
      </c>
      <c r="Q652" s="686">
        <f t="shared" si="71"/>
        <v>1</v>
      </c>
      <c r="DE652" s="494"/>
      <c r="DF652" s="496" t="s">
        <v>2379</v>
      </c>
      <c r="DG652" s="496" t="s">
        <v>8</v>
      </c>
      <c r="DH652" s="496" t="s">
        <v>689</v>
      </c>
      <c r="DI652" s="496" t="s">
        <v>2380</v>
      </c>
      <c r="DJ652" s="496" t="s">
        <v>2380</v>
      </c>
      <c r="DK652" s="496" t="s">
        <v>1554</v>
      </c>
      <c r="DL652" s="496" t="s">
        <v>1555</v>
      </c>
      <c r="DM652" s="496" t="s">
        <v>1981</v>
      </c>
      <c r="DN652" s="497" t="s">
        <v>1982</v>
      </c>
      <c r="DP652" s="543">
        <v>1</v>
      </c>
    </row>
    <row r="653" spans="2:120" ht="15">
      <c r="B653" s="683"/>
      <c r="C653" s="683"/>
      <c r="D653" s="683"/>
      <c r="E653" s="683" cm="1">
        <f t="array" ref="E653">IF(H652&lt;&gt;"",E652,IF(E652="","",IFERROR(MATCH(TRUE(),INDEX(INDEX(K:K,E652+1):K203&lt;&gt;"",0),0)+E652,"")))</f>
        <v>794</v>
      </c>
      <c r="F653" s="684" cm="1">
        <f t="array" ref="F653">IF(E653="","",IF(H652&lt;&gt;"",H652,INDEX(D:D,E653)))</f>
        <v>0</v>
      </c>
      <c r="G653" s="684" t="str">
        <f t="shared" si="66"/>
        <v>0</v>
      </c>
      <c r="H653" s="685" t="str">
        <f t="shared" si="67"/>
        <v/>
      </c>
      <c r="I653" s="683" t="str">
        <f>IF(AND(F653&lt;&gt;"",N10&gt;0,M653&gt;N10),"Mot &gt; limite","")</f>
        <v/>
      </c>
      <c r="M653" s="638">
        <f>IF(OR(F653="",N10="",N10&lt;=0),"",IF(LEN(F653)&lt;=N10,LEN(F653),IFERROR(FIND("♦",SUBSTITUTE(LEFT(F653,N10)," ","♦",LEN(LEFT(F653,N10))-LEN(SUBSTITUTE(LEFT(F653,N10)," ","")))),FIND(" ",F653&amp;" ",N10+1)-1)))</f>
        <v>1</v>
      </c>
      <c r="N653" s="686">
        <f t="shared" si="68"/>
        <v>636</v>
      </c>
      <c r="O653" s="663" t="str">
        <f t="shared" si="69"/>
        <v>0</v>
      </c>
      <c r="P653" s="686">
        <f t="shared" si="70"/>
        <v>1</v>
      </c>
      <c r="Q653" s="686">
        <f t="shared" si="71"/>
        <v>1</v>
      </c>
      <c r="DE653" s="494"/>
      <c r="DF653" s="496" t="s">
        <v>2381</v>
      </c>
      <c r="DG653" s="496" t="s">
        <v>8</v>
      </c>
      <c r="DH653" s="496" t="s">
        <v>689</v>
      </c>
      <c r="DI653" s="496" t="s">
        <v>2382</v>
      </c>
      <c r="DJ653" s="496" t="s">
        <v>2382</v>
      </c>
      <c r="DK653" s="496" t="s">
        <v>1554</v>
      </c>
      <c r="DL653" s="496" t="s">
        <v>1555</v>
      </c>
      <c r="DM653" s="496" t="s">
        <v>1981</v>
      </c>
      <c r="DN653" s="497" t="s">
        <v>1982</v>
      </c>
      <c r="DP653" s="543">
        <v>1</v>
      </c>
    </row>
    <row r="654" spans="2:120" ht="15">
      <c r="B654" s="683"/>
      <c r="C654" s="683"/>
      <c r="D654" s="683"/>
      <c r="E654" s="683" cm="1">
        <f t="array" ref="E654">IF(H653&lt;&gt;"",E653,IF(E653="","",IFERROR(MATCH(TRUE(),INDEX(INDEX(K:K,E653+1):K203&lt;&gt;"",0),0)+E653,"")))</f>
        <v>795</v>
      </c>
      <c r="F654" s="684" cm="1">
        <f t="array" ref="F654">IF(E654="","",IF(H653&lt;&gt;"",H653,INDEX(D:D,E654)))</f>
        <v>0</v>
      </c>
      <c r="G654" s="684" t="str">
        <f t="shared" si="66"/>
        <v>0</v>
      </c>
      <c r="H654" s="685" t="str">
        <f t="shared" si="67"/>
        <v/>
      </c>
      <c r="I654" s="683" t="str">
        <f>IF(AND(F654&lt;&gt;"",N10&gt;0,M654&gt;N10),"Mot &gt; limite","")</f>
        <v/>
      </c>
      <c r="M654" s="638">
        <f>IF(OR(F654="",N10="",N10&lt;=0),"",IF(LEN(F654)&lt;=N10,LEN(F654),IFERROR(FIND("♦",SUBSTITUTE(LEFT(F654,N10)," ","♦",LEN(LEFT(F654,N10))-LEN(SUBSTITUTE(LEFT(F654,N10)," ","")))),FIND(" ",F654&amp;" ",N10+1)-1)))</f>
        <v>1</v>
      </c>
      <c r="N654" s="686">
        <f t="shared" si="68"/>
        <v>637</v>
      </c>
      <c r="O654" s="663" t="str">
        <f t="shared" si="69"/>
        <v>0</v>
      </c>
      <c r="P654" s="686">
        <f t="shared" si="70"/>
        <v>1</v>
      </c>
      <c r="Q654" s="686">
        <f t="shared" si="71"/>
        <v>1</v>
      </c>
      <c r="DE654" s="494"/>
      <c r="DF654" s="496" t="s">
        <v>2383</v>
      </c>
      <c r="DG654" s="496" t="s">
        <v>8</v>
      </c>
      <c r="DH654" s="496" t="s">
        <v>689</v>
      </c>
      <c r="DI654" s="496" t="s">
        <v>2384</v>
      </c>
      <c r="DJ654" s="496" t="s">
        <v>2384</v>
      </c>
      <c r="DK654" s="496" t="s">
        <v>1554</v>
      </c>
      <c r="DL654" s="496" t="s">
        <v>1555</v>
      </c>
      <c r="DM654" s="496" t="s">
        <v>1981</v>
      </c>
      <c r="DN654" s="497" t="s">
        <v>1982</v>
      </c>
      <c r="DP654" s="543">
        <v>1</v>
      </c>
    </row>
    <row r="655" spans="2:120" ht="15">
      <c r="B655" s="683"/>
      <c r="C655" s="683"/>
      <c r="D655" s="683"/>
      <c r="E655" s="683" cm="1">
        <f t="array" ref="E655">IF(H654&lt;&gt;"",E654,IF(E654="","",IFERROR(MATCH(TRUE(),INDEX(INDEX(K:K,E654+1):K203&lt;&gt;"",0),0)+E654,"")))</f>
        <v>796</v>
      </c>
      <c r="F655" s="684" cm="1">
        <f t="array" ref="F655">IF(E655="","",IF(H654&lt;&gt;"",H654,INDEX(D:D,E655)))</f>
        <v>0</v>
      </c>
      <c r="G655" s="684" t="str">
        <f t="shared" si="66"/>
        <v>0</v>
      </c>
      <c r="H655" s="685" t="str">
        <f t="shared" si="67"/>
        <v/>
      </c>
      <c r="I655" s="683" t="str">
        <f>IF(AND(F655&lt;&gt;"",N10&gt;0,M655&gt;N10),"Mot &gt; limite","")</f>
        <v/>
      </c>
      <c r="M655" s="638">
        <f>IF(OR(F655="",N10="",N10&lt;=0),"",IF(LEN(F655)&lt;=N10,LEN(F655),IFERROR(FIND("♦",SUBSTITUTE(LEFT(F655,N10)," ","♦",LEN(LEFT(F655,N10))-LEN(SUBSTITUTE(LEFT(F655,N10)," ","")))),FIND(" ",F655&amp;" ",N10+1)-1)))</f>
        <v>1</v>
      </c>
      <c r="N655" s="686">
        <f t="shared" si="68"/>
        <v>638</v>
      </c>
      <c r="O655" s="663" t="str">
        <f t="shared" si="69"/>
        <v>0</v>
      </c>
      <c r="P655" s="686">
        <f t="shared" si="70"/>
        <v>1</v>
      </c>
      <c r="Q655" s="686">
        <f t="shared" si="71"/>
        <v>1</v>
      </c>
      <c r="DE655" s="494"/>
      <c r="DF655" s="496" t="s">
        <v>2385</v>
      </c>
      <c r="DG655" s="496" t="s">
        <v>8</v>
      </c>
      <c r="DH655" s="496" t="s">
        <v>689</v>
      </c>
      <c r="DI655" s="496" t="s">
        <v>2386</v>
      </c>
      <c r="DJ655" s="496" t="s">
        <v>2386</v>
      </c>
      <c r="DK655" s="496" t="s">
        <v>1554</v>
      </c>
      <c r="DL655" s="496" t="s">
        <v>1555</v>
      </c>
      <c r="DM655" s="496" t="s">
        <v>1981</v>
      </c>
      <c r="DN655" s="497" t="s">
        <v>1982</v>
      </c>
      <c r="DP655" s="543">
        <v>1</v>
      </c>
    </row>
    <row r="656" spans="2:120" ht="15">
      <c r="B656" s="683"/>
      <c r="C656" s="683"/>
      <c r="D656" s="683"/>
      <c r="E656" s="683" cm="1">
        <f t="array" ref="E656">IF(H655&lt;&gt;"",E655,IF(E655="","",IFERROR(MATCH(TRUE(),INDEX(INDEX(K:K,E655+1):K203&lt;&gt;"",0),0)+E655,"")))</f>
        <v>797</v>
      </c>
      <c r="F656" s="684" cm="1">
        <f t="array" ref="F656">IF(E656="","",IF(H655&lt;&gt;"",H655,INDEX(D:D,E656)))</f>
        <v>0</v>
      </c>
      <c r="G656" s="684" t="str">
        <f t="shared" si="66"/>
        <v>0</v>
      </c>
      <c r="H656" s="685" t="str">
        <f t="shared" si="67"/>
        <v/>
      </c>
      <c r="I656" s="683" t="str">
        <f>IF(AND(F656&lt;&gt;"",N10&gt;0,M656&gt;N10),"Mot &gt; limite","")</f>
        <v/>
      </c>
      <c r="M656" s="638">
        <f>IF(OR(F656="",N10="",N10&lt;=0),"",IF(LEN(F656)&lt;=N10,LEN(F656),IFERROR(FIND("♦",SUBSTITUTE(LEFT(F656,N10)," ","♦",LEN(LEFT(F656,N10))-LEN(SUBSTITUTE(LEFT(F656,N10)," ","")))),FIND(" ",F656&amp;" ",N10+1)-1)))</f>
        <v>1</v>
      </c>
      <c r="N656" s="686">
        <f t="shared" si="68"/>
        <v>639</v>
      </c>
      <c r="O656" s="663" t="str">
        <f t="shared" si="69"/>
        <v>0</v>
      </c>
      <c r="P656" s="686">
        <f t="shared" si="70"/>
        <v>1</v>
      </c>
      <c r="Q656" s="686">
        <f t="shared" si="71"/>
        <v>1</v>
      </c>
      <c r="DE656" s="494"/>
      <c r="DF656" s="496" t="s">
        <v>2387</v>
      </c>
      <c r="DG656" s="496" t="s">
        <v>8</v>
      </c>
      <c r="DH656" s="496" t="s">
        <v>689</v>
      </c>
      <c r="DI656" s="496" t="s">
        <v>2388</v>
      </c>
      <c r="DJ656" s="496" t="s">
        <v>2388</v>
      </c>
      <c r="DK656" s="496" t="s">
        <v>1554</v>
      </c>
      <c r="DL656" s="496" t="s">
        <v>1555</v>
      </c>
      <c r="DM656" s="496" t="s">
        <v>1981</v>
      </c>
      <c r="DN656" s="497" t="s">
        <v>1982</v>
      </c>
      <c r="DP656" s="543">
        <v>1</v>
      </c>
    </row>
    <row r="657" spans="2:120" ht="15">
      <c r="B657" s="683"/>
      <c r="C657" s="683"/>
      <c r="D657" s="683"/>
      <c r="E657" s="683" cm="1">
        <f t="array" ref="E657">IF(H656&lt;&gt;"",E656,IF(E656="","",IFERROR(MATCH(TRUE(),INDEX(INDEX(K:K,E656+1):K203&lt;&gt;"",0),0)+E656,"")))</f>
        <v>798</v>
      </c>
      <c r="F657" s="684" cm="1">
        <f t="array" ref="F657">IF(E657="","",IF(H656&lt;&gt;"",H656,INDEX(D:D,E657)))</f>
        <v>0</v>
      </c>
      <c r="G657" s="684" t="str">
        <f t="shared" si="66"/>
        <v>0</v>
      </c>
      <c r="H657" s="685" t="str">
        <f t="shared" si="67"/>
        <v/>
      </c>
      <c r="I657" s="683" t="str">
        <f>IF(AND(F657&lt;&gt;"",N10&gt;0,M657&gt;N10),"Mot &gt; limite","")</f>
        <v/>
      </c>
      <c r="M657" s="638">
        <f>IF(OR(F657="",N10="",N10&lt;=0),"",IF(LEN(F657)&lt;=N10,LEN(F657),IFERROR(FIND("♦",SUBSTITUTE(LEFT(F657,N10)," ","♦",LEN(LEFT(F657,N10))-LEN(SUBSTITUTE(LEFT(F657,N10)," ","")))),FIND(" ",F657&amp;" ",N10+1)-1)))</f>
        <v>1</v>
      </c>
      <c r="N657" s="686">
        <f t="shared" si="68"/>
        <v>640</v>
      </c>
      <c r="O657" s="663" t="str">
        <f t="shared" si="69"/>
        <v>0</v>
      </c>
      <c r="P657" s="686">
        <f t="shared" si="70"/>
        <v>1</v>
      </c>
      <c r="Q657" s="686">
        <f t="shared" si="71"/>
        <v>1</v>
      </c>
      <c r="DE657" s="494"/>
      <c r="DF657" s="496" t="s">
        <v>2389</v>
      </c>
      <c r="DG657" s="496" t="s">
        <v>8</v>
      </c>
      <c r="DH657" s="496" t="s">
        <v>689</v>
      </c>
      <c r="DI657" s="496" t="s">
        <v>2390</v>
      </c>
      <c r="DJ657" s="496" t="s">
        <v>2390</v>
      </c>
      <c r="DK657" s="496" t="s">
        <v>1554</v>
      </c>
      <c r="DL657" s="496" t="s">
        <v>1555</v>
      </c>
      <c r="DM657" s="496" t="s">
        <v>1981</v>
      </c>
      <c r="DN657" s="497" t="s">
        <v>1982</v>
      </c>
      <c r="DP657" s="543">
        <v>1</v>
      </c>
    </row>
    <row r="658" spans="2:120" ht="15">
      <c r="B658" s="683"/>
      <c r="C658" s="683"/>
      <c r="D658" s="683"/>
      <c r="E658" s="683" cm="1">
        <f t="array" ref="E658">IF(H657&lt;&gt;"",E657,IF(E657="","",IFERROR(MATCH(TRUE(),INDEX(INDEX(K:K,E657+1):K203&lt;&gt;"",0),0)+E657,"")))</f>
        <v>799</v>
      </c>
      <c r="F658" s="684" cm="1">
        <f t="array" ref="F658">IF(E658="","",IF(H657&lt;&gt;"",H657,INDEX(D:D,E658)))</f>
        <v>0</v>
      </c>
      <c r="G658" s="684" t="str">
        <f t="shared" ref="G658:G721" si="72">IF(OR(F658="",M658=""),"",LEFT(F658,M658))</f>
        <v>0</v>
      </c>
      <c r="H658" s="685" t="str">
        <f t="shared" ref="H658:H721" si="73">IF(OR(F658="",M658=""),"",TRIM(MID(F658,M658+1,99999)))</f>
        <v/>
      </c>
      <c r="I658" s="683" t="str">
        <f>IF(AND(F658&lt;&gt;"",N10&gt;0,M658&gt;N10),"Mot &gt; limite","")</f>
        <v/>
      </c>
      <c r="M658" s="638">
        <f>IF(OR(F658="",N10="",N10&lt;=0),"",IF(LEN(F658)&lt;=N10,LEN(F658),IFERROR(FIND("♦",SUBSTITUTE(LEFT(F658,N10)," ","♦",LEN(LEFT(F658,N10))-LEN(SUBSTITUTE(LEFT(F658,N10)," ","")))),FIND(" ",F658&amp;" ",N10+1)-1)))</f>
        <v>1</v>
      </c>
      <c r="N658" s="686">
        <f t="shared" ref="N658:N721" si="74">IF(O658="","",ROW()-17)</f>
        <v>641</v>
      </c>
      <c r="O658" s="663" t="str">
        <f t="shared" ref="O658:O721" si="75">G658</f>
        <v>0</v>
      </c>
      <c r="P658" s="686">
        <f t="shared" ref="P658:P721" si="76">IF(O658="","",LEN(TRIM(O658))-LEN(SUBSTITUTE(TRIM(O658)," ",""))+1)</f>
        <v>1</v>
      </c>
      <c r="Q658" s="686">
        <f t="shared" ref="Q658:Q721" si="77">IF(O658="","",LEN(O658))</f>
        <v>1</v>
      </c>
      <c r="DE658" s="494"/>
      <c r="DF658" s="496" t="s">
        <v>2391</v>
      </c>
      <c r="DG658" s="496" t="s">
        <v>8</v>
      </c>
      <c r="DH658" s="496" t="s">
        <v>689</v>
      </c>
      <c r="DI658" s="496" t="s">
        <v>2392</v>
      </c>
      <c r="DJ658" s="496" t="s">
        <v>2392</v>
      </c>
      <c r="DK658" s="496" t="s">
        <v>1554</v>
      </c>
      <c r="DL658" s="496" t="s">
        <v>1555</v>
      </c>
      <c r="DM658" s="496" t="s">
        <v>1981</v>
      </c>
      <c r="DN658" s="497" t="s">
        <v>1982</v>
      </c>
      <c r="DP658" s="543">
        <v>1</v>
      </c>
    </row>
    <row r="659" spans="2:120" ht="15">
      <c r="B659" s="683"/>
      <c r="C659" s="683"/>
      <c r="D659" s="683"/>
      <c r="E659" s="683" cm="1">
        <f t="array" ref="E659">IF(H658&lt;&gt;"",E658,IF(E658="","",IFERROR(MATCH(TRUE(),INDEX(INDEX(K:K,E658+1):K203&lt;&gt;"",0),0)+E658,"")))</f>
        <v>800</v>
      </c>
      <c r="F659" s="684" cm="1">
        <f t="array" ref="F659">IF(E659="","",IF(H658&lt;&gt;"",H658,INDEX(D:D,E659)))</f>
        <v>0</v>
      </c>
      <c r="G659" s="684" t="str">
        <f t="shared" si="72"/>
        <v>0</v>
      </c>
      <c r="H659" s="685" t="str">
        <f t="shared" si="73"/>
        <v/>
      </c>
      <c r="I659" s="683" t="str">
        <f>IF(AND(F659&lt;&gt;"",N10&gt;0,M659&gt;N10),"Mot &gt; limite","")</f>
        <v/>
      </c>
      <c r="M659" s="638">
        <f>IF(OR(F659="",N10="",N10&lt;=0),"",IF(LEN(F659)&lt;=N10,LEN(F659),IFERROR(FIND("♦",SUBSTITUTE(LEFT(F659,N10)," ","♦",LEN(LEFT(F659,N10))-LEN(SUBSTITUTE(LEFT(F659,N10)," ","")))),FIND(" ",F659&amp;" ",N10+1)-1)))</f>
        <v>1</v>
      </c>
      <c r="N659" s="686">
        <f t="shared" si="74"/>
        <v>642</v>
      </c>
      <c r="O659" s="663" t="str">
        <f t="shared" si="75"/>
        <v>0</v>
      </c>
      <c r="P659" s="686">
        <f t="shared" si="76"/>
        <v>1</v>
      </c>
      <c r="Q659" s="686">
        <f t="shared" si="77"/>
        <v>1</v>
      </c>
      <c r="DE659" s="494"/>
      <c r="DF659" s="496" t="s">
        <v>2393</v>
      </c>
      <c r="DG659" s="496" t="s">
        <v>8</v>
      </c>
      <c r="DH659" s="496" t="s">
        <v>689</v>
      </c>
      <c r="DI659" s="496" t="s">
        <v>2394</v>
      </c>
      <c r="DJ659" s="496" t="s">
        <v>2394</v>
      </c>
      <c r="DK659" s="496" t="s">
        <v>1554</v>
      </c>
      <c r="DL659" s="496" t="s">
        <v>1555</v>
      </c>
      <c r="DM659" s="496" t="s">
        <v>1981</v>
      </c>
      <c r="DN659" s="497" t="s">
        <v>1982</v>
      </c>
      <c r="DP659" s="543">
        <v>1</v>
      </c>
    </row>
    <row r="660" spans="2:120" ht="15">
      <c r="B660" s="683"/>
      <c r="C660" s="683"/>
      <c r="D660" s="683"/>
      <c r="E660" s="683" cm="1">
        <f t="array" ref="E660">IF(H659&lt;&gt;"",E659,IF(E659="","",IFERROR(MATCH(TRUE(),INDEX(INDEX(K:K,E659+1):K203&lt;&gt;"",0),0)+E659,"")))</f>
        <v>801</v>
      </c>
      <c r="F660" s="684" cm="1">
        <f t="array" ref="F660">IF(E660="","",IF(H659&lt;&gt;"",H659,INDEX(D:D,E660)))</f>
        <v>0</v>
      </c>
      <c r="G660" s="684" t="str">
        <f t="shared" si="72"/>
        <v>0</v>
      </c>
      <c r="H660" s="685" t="str">
        <f t="shared" si="73"/>
        <v/>
      </c>
      <c r="I660" s="683" t="str">
        <f>IF(AND(F660&lt;&gt;"",N10&gt;0,M660&gt;N10),"Mot &gt; limite","")</f>
        <v/>
      </c>
      <c r="M660" s="638">
        <f>IF(OR(F660="",N10="",N10&lt;=0),"",IF(LEN(F660)&lt;=N10,LEN(F660),IFERROR(FIND("♦",SUBSTITUTE(LEFT(F660,N10)," ","♦",LEN(LEFT(F660,N10))-LEN(SUBSTITUTE(LEFT(F660,N10)," ","")))),FIND(" ",F660&amp;" ",N10+1)-1)))</f>
        <v>1</v>
      </c>
      <c r="N660" s="686">
        <f t="shared" si="74"/>
        <v>643</v>
      </c>
      <c r="O660" s="663" t="str">
        <f t="shared" si="75"/>
        <v>0</v>
      </c>
      <c r="P660" s="686">
        <f t="shared" si="76"/>
        <v>1</v>
      </c>
      <c r="Q660" s="686">
        <f t="shared" si="77"/>
        <v>1</v>
      </c>
      <c r="DE660" s="494"/>
      <c r="DF660" s="496" t="s">
        <v>2395</v>
      </c>
      <c r="DG660" s="496" t="s">
        <v>8</v>
      </c>
      <c r="DH660" s="496" t="s">
        <v>689</v>
      </c>
      <c r="DI660" s="496" t="s">
        <v>2396</v>
      </c>
      <c r="DJ660" s="496" t="s">
        <v>2396</v>
      </c>
      <c r="DK660" s="496" t="s">
        <v>1554</v>
      </c>
      <c r="DL660" s="496" t="s">
        <v>1555</v>
      </c>
      <c r="DM660" s="496" t="s">
        <v>1981</v>
      </c>
      <c r="DN660" s="497" t="s">
        <v>1982</v>
      </c>
      <c r="DP660" s="543">
        <v>1</v>
      </c>
    </row>
    <row r="661" spans="2:120" ht="15">
      <c r="B661" s="683"/>
      <c r="C661" s="683"/>
      <c r="D661" s="683"/>
      <c r="E661" s="683" cm="1">
        <f t="array" ref="E661">IF(H660&lt;&gt;"",E660,IF(E660="","",IFERROR(MATCH(TRUE(),INDEX(INDEX(K:K,E660+1):K203&lt;&gt;"",0),0)+E660,"")))</f>
        <v>802</v>
      </c>
      <c r="F661" s="684" cm="1">
        <f t="array" ref="F661">IF(E661="","",IF(H660&lt;&gt;"",H660,INDEX(D:D,E661)))</f>
        <v>0</v>
      </c>
      <c r="G661" s="684" t="str">
        <f t="shared" si="72"/>
        <v>0</v>
      </c>
      <c r="H661" s="685" t="str">
        <f t="shared" si="73"/>
        <v/>
      </c>
      <c r="I661" s="683" t="str">
        <f>IF(AND(F661&lt;&gt;"",N10&gt;0,M661&gt;N10),"Mot &gt; limite","")</f>
        <v/>
      </c>
      <c r="M661" s="638">
        <f>IF(OR(F661="",N10="",N10&lt;=0),"",IF(LEN(F661)&lt;=N10,LEN(F661),IFERROR(FIND("♦",SUBSTITUTE(LEFT(F661,N10)," ","♦",LEN(LEFT(F661,N10))-LEN(SUBSTITUTE(LEFT(F661,N10)," ","")))),FIND(" ",F661&amp;" ",N10+1)-1)))</f>
        <v>1</v>
      </c>
      <c r="N661" s="686">
        <f t="shared" si="74"/>
        <v>644</v>
      </c>
      <c r="O661" s="663" t="str">
        <f t="shared" si="75"/>
        <v>0</v>
      </c>
      <c r="P661" s="686">
        <f t="shared" si="76"/>
        <v>1</v>
      </c>
      <c r="Q661" s="686">
        <f t="shared" si="77"/>
        <v>1</v>
      </c>
      <c r="DE661" s="494"/>
      <c r="DF661" s="496" t="s">
        <v>2397</v>
      </c>
      <c r="DG661" s="496" t="s">
        <v>8</v>
      </c>
      <c r="DH661" s="496" t="s">
        <v>689</v>
      </c>
      <c r="DI661" s="496" t="s">
        <v>2398</v>
      </c>
      <c r="DJ661" s="496" t="s">
        <v>2398</v>
      </c>
      <c r="DK661" s="496" t="s">
        <v>1554</v>
      </c>
      <c r="DL661" s="496" t="s">
        <v>1555</v>
      </c>
      <c r="DM661" s="496" t="s">
        <v>1981</v>
      </c>
      <c r="DN661" s="497" t="s">
        <v>1982</v>
      </c>
      <c r="DP661" s="543">
        <v>1</v>
      </c>
    </row>
    <row r="662" spans="2:120" ht="15">
      <c r="B662" s="683"/>
      <c r="C662" s="683"/>
      <c r="D662" s="683"/>
      <c r="E662" s="683" cm="1">
        <f t="array" ref="E662">IF(H661&lt;&gt;"",E661,IF(E661="","",IFERROR(MATCH(TRUE(),INDEX(INDEX(K:K,E661+1):K203&lt;&gt;"",0),0)+E661,"")))</f>
        <v>803</v>
      </c>
      <c r="F662" s="684" cm="1">
        <f t="array" ref="F662">IF(E662="","",IF(H661&lt;&gt;"",H661,INDEX(D:D,E662)))</f>
        <v>0</v>
      </c>
      <c r="G662" s="684" t="str">
        <f t="shared" si="72"/>
        <v>0</v>
      </c>
      <c r="H662" s="685" t="str">
        <f t="shared" si="73"/>
        <v/>
      </c>
      <c r="I662" s="683" t="str">
        <f>IF(AND(F662&lt;&gt;"",N10&gt;0,M662&gt;N10),"Mot &gt; limite","")</f>
        <v/>
      </c>
      <c r="M662" s="638">
        <f>IF(OR(F662="",N10="",N10&lt;=0),"",IF(LEN(F662)&lt;=N10,LEN(F662),IFERROR(FIND("♦",SUBSTITUTE(LEFT(F662,N10)," ","♦",LEN(LEFT(F662,N10))-LEN(SUBSTITUTE(LEFT(F662,N10)," ","")))),FIND(" ",F662&amp;" ",N10+1)-1)))</f>
        <v>1</v>
      </c>
      <c r="N662" s="686">
        <f t="shared" si="74"/>
        <v>645</v>
      </c>
      <c r="O662" s="663" t="str">
        <f t="shared" si="75"/>
        <v>0</v>
      </c>
      <c r="P662" s="686">
        <f t="shared" si="76"/>
        <v>1</v>
      </c>
      <c r="Q662" s="686">
        <f t="shared" si="77"/>
        <v>1</v>
      </c>
      <c r="DE662" s="494"/>
      <c r="DF662" s="496" t="s">
        <v>2399</v>
      </c>
      <c r="DG662" s="496" t="s">
        <v>8</v>
      </c>
      <c r="DH662" s="496" t="s">
        <v>689</v>
      </c>
      <c r="DI662" s="496" t="s">
        <v>2400</v>
      </c>
      <c r="DJ662" s="496" t="s">
        <v>2400</v>
      </c>
      <c r="DK662" s="496" t="s">
        <v>1554</v>
      </c>
      <c r="DL662" s="496" t="s">
        <v>1555</v>
      </c>
      <c r="DM662" s="496" t="s">
        <v>1981</v>
      </c>
      <c r="DN662" s="497" t="s">
        <v>1982</v>
      </c>
      <c r="DP662" s="543">
        <v>1</v>
      </c>
    </row>
    <row r="663" spans="2:120" ht="15">
      <c r="B663" s="683"/>
      <c r="C663" s="683"/>
      <c r="D663" s="683"/>
      <c r="E663" s="683" cm="1">
        <f t="array" ref="E663">IF(H662&lt;&gt;"",E662,IF(E662="","",IFERROR(MATCH(TRUE(),INDEX(INDEX(K:K,E662+1):K203&lt;&gt;"",0),0)+E662,"")))</f>
        <v>804</v>
      </c>
      <c r="F663" s="684" cm="1">
        <f t="array" ref="F663">IF(E663="","",IF(H662&lt;&gt;"",H662,INDEX(D:D,E663)))</f>
        <v>0</v>
      </c>
      <c r="G663" s="684" t="str">
        <f t="shared" si="72"/>
        <v>0</v>
      </c>
      <c r="H663" s="685" t="str">
        <f t="shared" si="73"/>
        <v/>
      </c>
      <c r="I663" s="683" t="str">
        <f>IF(AND(F663&lt;&gt;"",N10&gt;0,M663&gt;N10),"Mot &gt; limite","")</f>
        <v/>
      </c>
      <c r="M663" s="638">
        <f>IF(OR(F663="",N10="",N10&lt;=0),"",IF(LEN(F663)&lt;=N10,LEN(F663),IFERROR(FIND("♦",SUBSTITUTE(LEFT(F663,N10)," ","♦",LEN(LEFT(F663,N10))-LEN(SUBSTITUTE(LEFT(F663,N10)," ","")))),FIND(" ",F663&amp;" ",N10+1)-1)))</f>
        <v>1</v>
      </c>
      <c r="N663" s="686">
        <f t="shared" si="74"/>
        <v>646</v>
      </c>
      <c r="O663" s="663" t="str">
        <f t="shared" si="75"/>
        <v>0</v>
      </c>
      <c r="P663" s="686">
        <f t="shared" si="76"/>
        <v>1</v>
      </c>
      <c r="Q663" s="686">
        <f t="shared" si="77"/>
        <v>1</v>
      </c>
      <c r="DE663" s="494"/>
      <c r="DF663" s="496" t="s">
        <v>2401</v>
      </c>
      <c r="DG663" s="496" t="s">
        <v>8</v>
      </c>
      <c r="DH663" s="496" t="s">
        <v>689</v>
      </c>
      <c r="DI663" s="496" t="s">
        <v>2402</v>
      </c>
      <c r="DJ663" s="496" t="s">
        <v>2402</v>
      </c>
      <c r="DK663" s="496" t="s">
        <v>1554</v>
      </c>
      <c r="DL663" s="496" t="s">
        <v>1555</v>
      </c>
      <c r="DM663" s="496" t="s">
        <v>1981</v>
      </c>
      <c r="DN663" s="497" t="s">
        <v>1982</v>
      </c>
      <c r="DP663" s="543">
        <v>1</v>
      </c>
    </row>
    <row r="664" spans="2:120" ht="15">
      <c r="B664" s="683"/>
      <c r="C664" s="683"/>
      <c r="D664" s="683"/>
      <c r="E664" s="683" cm="1">
        <f t="array" ref="E664">IF(H663&lt;&gt;"",E663,IF(E663="","",IFERROR(MATCH(TRUE(),INDEX(INDEX(K:K,E663+1):K203&lt;&gt;"",0),0)+E663,"")))</f>
        <v>805</v>
      </c>
      <c r="F664" s="684" cm="1">
        <f t="array" ref="F664">IF(E664="","",IF(H663&lt;&gt;"",H663,INDEX(D:D,E664)))</f>
        <v>0</v>
      </c>
      <c r="G664" s="684" t="str">
        <f t="shared" si="72"/>
        <v>0</v>
      </c>
      <c r="H664" s="685" t="str">
        <f t="shared" si="73"/>
        <v/>
      </c>
      <c r="I664" s="683" t="str">
        <f>IF(AND(F664&lt;&gt;"",N10&gt;0,M664&gt;N10),"Mot &gt; limite","")</f>
        <v/>
      </c>
      <c r="M664" s="638">
        <f>IF(OR(F664="",N10="",N10&lt;=0),"",IF(LEN(F664)&lt;=N10,LEN(F664),IFERROR(FIND("♦",SUBSTITUTE(LEFT(F664,N10)," ","♦",LEN(LEFT(F664,N10))-LEN(SUBSTITUTE(LEFT(F664,N10)," ","")))),FIND(" ",F664&amp;" ",N10+1)-1)))</f>
        <v>1</v>
      </c>
      <c r="N664" s="686">
        <f t="shared" si="74"/>
        <v>647</v>
      </c>
      <c r="O664" s="663" t="str">
        <f t="shared" si="75"/>
        <v>0</v>
      </c>
      <c r="P664" s="686">
        <f t="shared" si="76"/>
        <v>1</v>
      </c>
      <c r="Q664" s="686">
        <f t="shared" si="77"/>
        <v>1</v>
      </c>
      <c r="DE664" s="494"/>
      <c r="DF664" s="496" t="s">
        <v>2403</v>
      </c>
      <c r="DG664" s="496" t="s">
        <v>8</v>
      </c>
      <c r="DH664" s="496" t="s">
        <v>689</v>
      </c>
      <c r="DI664" s="496" t="s">
        <v>2404</v>
      </c>
      <c r="DJ664" s="496" t="s">
        <v>2404</v>
      </c>
      <c r="DK664" s="496" t="s">
        <v>1554</v>
      </c>
      <c r="DL664" s="496" t="s">
        <v>1555</v>
      </c>
      <c r="DM664" s="496" t="s">
        <v>1981</v>
      </c>
      <c r="DN664" s="497" t="s">
        <v>1982</v>
      </c>
      <c r="DP664" s="543">
        <v>1</v>
      </c>
    </row>
    <row r="665" spans="2:120" ht="15">
      <c r="B665" s="683"/>
      <c r="C665" s="683"/>
      <c r="D665" s="683"/>
      <c r="E665" s="683" cm="1">
        <f t="array" ref="E665">IF(H664&lt;&gt;"",E664,IF(E664="","",IFERROR(MATCH(TRUE(),INDEX(INDEX(K:K,E664+1):K203&lt;&gt;"",0),0)+E664,"")))</f>
        <v>806</v>
      </c>
      <c r="F665" s="684" cm="1">
        <f t="array" ref="F665">IF(E665="","",IF(H664&lt;&gt;"",H664,INDEX(D:D,E665)))</f>
        <v>0</v>
      </c>
      <c r="G665" s="684" t="str">
        <f t="shared" si="72"/>
        <v>0</v>
      </c>
      <c r="H665" s="685" t="str">
        <f t="shared" si="73"/>
        <v/>
      </c>
      <c r="I665" s="683" t="str">
        <f>IF(AND(F665&lt;&gt;"",N10&gt;0,M665&gt;N10),"Mot &gt; limite","")</f>
        <v/>
      </c>
      <c r="M665" s="638">
        <f>IF(OR(F665="",N10="",N10&lt;=0),"",IF(LEN(F665)&lt;=N10,LEN(F665),IFERROR(FIND("♦",SUBSTITUTE(LEFT(F665,N10)," ","♦",LEN(LEFT(F665,N10))-LEN(SUBSTITUTE(LEFT(F665,N10)," ","")))),FIND(" ",F665&amp;" ",N10+1)-1)))</f>
        <v>1</v>
      </c>
      <c r="N665" s="686">
        <f t="shared" si="74"/>
        <v>648</v>
      </c>
      <c r="O665" s="663" t="str">
        <f t="shared" si="75"/>
        <v>0</v>
      </c>
      <c r="P665" s="686">
        <f t="shared" si="76"/>
        <v>1</v>
      </c>
      <c r="Q665" s="686">
        <f t="shared" si="77"/>
        <v>1</v>
      </c>
      <c r="DE665" s="494"/>
      <c r="DF665" s="496" t="s">
        <v>2405</v>
      </c>
      <c r="DG665" s="496" t="s">
        <v>8</v>
      </c>
      <c r="DH665" s="496" t="s">
        <v>689</v>
      </c>
      <c r="DI665" s="496" t="s">
        <v>2406</v>
      </c>
      <c r="DJ665" s="496" t="s">
        <v>2406</v>
      </c>
      <c r="DK665" s="496" t="s">
        <v>1554</v>
      </c>
      <c r="DL665" s="496" t="s">
        <v>1555</v>
      </c>
      <c r="DM665" s="496" t="s">
        <v>1981</v>
      </c>
      <c r="DN665" s="497" t="s">
        <v>1982</v>
      </c>
      <c r="DP665" s="543">
        <v>1</v>
      </c>
    </row>
    <row r="666" spans="2:120" ht="15">
      <c r="B666" s="683"/>
      <c r="C666" s="683"/>
      <c r="D666" s="683"/>
      <c r="E666" s="683" cm="1">
        <f t="array" ref="E666">IF(H665&lt;&gt;"",E665,IF(E665="","",IFERROR(MATCH(TRUE(),INDEX(INDEX(K:K,E665+1):K203&lt;&gt;"",0),0)+E665,"")))</f>
        <v>807</v>
      </c>
      <c r="F666" s="684" cm="1">
        <f t="array" ref="F666">IF(E666="","",IF(H665&lt;&gt;"",H665,INDEX(D:D,E666)))</f>
        <v>0</v>
      </c>
      <c r="G666" s="684" t="str">
        <f t="shared" si="72"/>
        <v>0</v>
      </c>
      <c r="H666" s="685" t="str">
        <f t="shared" si="73"/>
        <v/>
      </c>
      <c r="I666" s="683" t="str">
        <f>IF(AND(F666&lt;&gt;"",N10&gt;0,M666&gt;N10),"Mot &gt; limite","")</f>
        <v/>
      </c>
      <c r="M666" s="638">
        <f>IF(OR(F666="",N10="",N10&lt;=0),"",IF(LEN(F666)&lt;=N10,LEN(F666),IFERROR(FIND("♦",SUBSTITUTE(LEFT(F666,N10)," ","♦",LEN(LEFT(F666,N10))-LEN(SUBSTITUTE(LEFT(F666,N10)," ","")))),FIND(" ",F666&amp;" ",N10+1)-1)))</f>
        <v>1</v>
      </c>
      <c r="N666" s="686">
        <f t="shared" si="74"/>
        <v>649</v>
      </c>
      <c r="O666" s="663" t="str">
        <f t="shared" si="75"/>
        <v>0</v>
      </c>
      <c r="P666" s="686">
        <f t="shared" si="76"/>
        <v>1</v>
      </c>
      <c r="Q666" s="686">
        <f t="shared" si="77"/>
        <v>1</v>
      </c>
      <c r="DE666" s="494"/>
      <c r="DF666" s="496" t="s">
        <v>2407</v>
      </c>
      <c r="DG666" s="496" t="s">
        <v>8</v>
      </c>
      <c r="DH666" s="496" t="s">
        <v>689</v>
      </c>
      <c r="DI666" s="496" t="s">
        <v>2408</v>
      </c>
      <c r="DJ666" s="496" t="s">
        <v>2408</v>
      </c>
      <c r="DK666" s="496" t="s">
        <v>1554</v>
      </c>
      <c r="DL666" s="496" t="s">
        <v>1555</v>
      </c>
      <c r="DM666" s="496" t="s">
        <v>1981</v>
      </c>
      <c r="DN666" s="497" t="s">
        <v>1982</v>
      </c>
      <c r="DP666" s="543">
        <v>1</v>
      </c>
    </row>
    <row r="667" spans="2:120" ht="15">
      <c r="B667" s="683"/>
      <c r="C667" s="683"/>
      <c r="D667" s="683"/>
      <c r="E667" s="683" cm="1">
        <f t="array" ref="E667">IF(H666&lt;&gt;"",E666,IF(E666="","",IFERROR(MATCH(TRUE(),INDEX(INDEX(K:K,E666+1):K203&lt;&gt;"",0),0)+E666,"")))</f>
        <v>808</v>
      </c>
      <c r="F667" s="684" cm="1">
        <f t="array" ref="F667">IF(E667="","",IF(H666&lt;&gt;"",H666,INDEX(D:D,E667)))</f>
        <v>0</v>
      </c>
      <c r="G667" s="684" t="str">
        <f t="shared" si="72"/>
        <v>0</v>
      </c>
      <c r="H667" s="685" t="str">
        <f t="shared" si="73"/>
        <v/>
      </c>
      <c r="I667" s="683" t="str">
        <f>IF(AND(F667&lt;&gt;"",N10&gt;0,M667&gt;N10),"Mot &gt; limite","")</f>
        <v/>
      </c>
      <c r="M667" s="638">
        <f>IF(OR(F667="",N10="",N10&lt;=0),"",IF(LEN(F667)&lt;=N10,LEN(F667),IFERROR(FIND("♦",SUBSTITUTE(LEFT(F667,N10)," ","♦",LEN(LEFT(F667,N10))-LEN(SUBSTITUTE(LEFT(F667,N10)," ","")))),FIND(" ",F667&amp;" ",N10+1)-1)))</f>
        <v>1</v>
      </c>
      <c r="N667" s="686">
        <f t="shared" si="74"/>
        <v>650</v>
      </c>
      <c r="O667" s="663" t="str">
        <f t="shared" si="75"/>
        <v>0</v>
      </c>
      <c r="P667" s="686">
        <f t="shared" si="76"/>
        <v>1</v>
      </c>
      <c r="Q667" s="686">
        <f t="shared" si="77"/>
        <v>1</v>
      </c>
      <c r="DE667" s="494"/>
      <c r="DF667" s="496" t="s">
        <v>2409</v>
      </c>
      <c r="DG667" s="496" t="s">
        <v>8</v>
      </c>
      <c r="DH667" s="496" t="s">
        <v>689</v>
      </c>
      <c r="DI667" s="496" t="s">
        <v>2410</v>
      </c>
      <c r="DJ667" s="496" t="s">
        <v>2410</v>
      </c>
      <c r="DK667" s="496" t="s">
        <v>1554</v>
      </c>
      <c r="DL667" s="496" t="s">
        <v>1555</v>
      </c>
      <c r="DM667" s="496" t="s">
        <v>1981</v>
      </c>
      <c r="DN667" s="497" t="s">
        <v>1982</v>
      </c>
      <c r="DP667" s="543">
        <v>1</v>
      </c>
    </row>
    <row r="668" spans="2:120" ht="15">
      <c r="B668" s="683"/>
      <c r="C668" s="683"/>
      <c r="D668" s="683"/>
      <c r="E668" s="683" cm="1">
        <f t="array" ref="E668">IF(H667&lt;&gt;"",E667,IF(E667="","",IFERROR(MATCH(TRUE(),INDEX(INDEX(K:K,E667+1):K203&lt;&gt;"",0),0)+E667,"")))</f>
        <v>809</v>
      </c>
      <c r="F668" s="684" cm="1">
        <f t="array" ref="F668">IF(E668="","",IF(H667&lt;&gt;"",H667,INDEX(D:D,E668)))</f>
        <v>0</v>
      </c>
      <c r="G668" s="684" t="str">
        <f t="shared" si="72"/>
        <v>0</v>
      </c>
      <c r="H668" s="685" t="str">
        <f t="shared" si="73"/>
        <v/>
      </c>
      <c r="I668" s="683" t="str">
        <f>IF(AND(F668&lt;&gt;"",N10&gt;0,M668&gt;N10),"Mot &gt; limite","")</f>
        <v/>
      </c>
      <c r="M668" s="638">
        <f>IF(OR(F668="",N10="",N10&lt;=0),"",IF(LEN(F668)&lt;=N10,LEN(F668),IFERROR(FIND("♦",SUBSTITUTE(LEFT(F668,N10)," ","♦",LEN(LEFT(F668,N10))-LEN(SUBSTITUTE(LEFT(F668,N10)," ","")))),FIND(" ",F668&amp;" ",N10+1)-1)))</f>
        <v>1</v>
      </c>
      <c r="N668" s="686">
        <f t="shared" si="74"/>
        <v>651</v>
      </c>
      <c r="O668" s="663" t="str">
        <f t="shared" si="75"/>
        <v>0</v>
      </c>
      <c r="P668" s="686">
        <f t="shared" si="76"/>
        <v>1</v>
      </c>
      <c r="Q668" s="686">
        <f t="shared" si="77"/>
        <v>1</v>
      </c>
      <c r="DE668" s="494"/>
      <c r="DF668" s="496" t="s">
        <v>2411</v>
      </c>
      <c r="DG668" s="496" t="s">
        <v>8</v>
      </c>
      <c r="DH668" s="496" t="s">
        <v>689</v>
      </c>
      <c r="DI668" s="496" t="s">
        <v>2412</v>
      </c>
      <c r="DJ668" s="496" t="s">
        <v>2412</v>
      </c>
      <c r="DK668" s="496" t="s">
        <v>1554</v>
      </c>
      <c r="DL668" s="496" t="s">
        <v>1555</v>
      </c>
      <c r="DM668" s="496" t="s">
        <v>1981</v>
      </c>
      <c r="DN668" s="497" t="s">
        <v>1982</v>
      </c>
      <c r="DP668" s="543">
        <v>1</v>
      </c>
    </row>
    <row r="669" spans="2:120" ht="15">
      <c r="B669" s="683"/>
      <c r="C669" s="683"/>
      <c r="D669" s="683"/>
      <c r="E669" s="683" cm="1">
        <f t="array" ref="E669">IF(H668&lt;&gt;"",E668,IF(E668="","",IFERROR(MATCH(TRUE(),INDEX(INDEX(K:K,E668+1):K203&lt;&gt;"",0),0)+E668,"")))</f>
        <v>810</v>
      </c>
      <c r="F669" s="684" cm="1">
        <f t="array" ref="F669">IF(E669="","",IF(H668&lt;&gt;"",H668,INDEX(D:D,E669)))</f>
        <v>0</v>
      </c>
      <c r="G669" s="684" t="str">
        <f t="shared" si="72"/>
        <v>0</v>
      </c>
      <c r="H669" s="685" t="str">
        <f t="shared" si="73"/>
        <v/>
      </c>
      <c r="I669" s="683" t="str">
        <f>IF(AND(F669&lt;&gt;"",N10&gt;0,M669&gt;N10),"Mot &gt; limite","")</f>
        <v/>
      </c>
      <c r="M669" s="638">
        <f>IF(OR(F669="",N10="",N10&lt;=0),"",IF(LEN(F669)&lt;=N10,LEN(F669),IFERROR(FIND("♦",SUBSTITUTE(LEFT(F669,N10)," ","♦",LEN(LEFT(F669,N10))-LEN(SUBSTITUTE(LEFT(F669,N10)," ","")))),FIND(" ",F669&amp;" ",N10+1)-1)))</f>
        <v>1</v>
      </c>
      <c r="N669" s="686">
        <f t="shared" si="74"/>
        <v>652</v>
      </c>
      <c r="O669" s="663" t="str">
        <f t="shared" si="75"/>
        <v>0</v>
      </c>
      <c r="P669" s="686">
        <f t="shared" si="76"/>
        <v>1</v>
      </c>
      <c r="Q669" s="686">
        <f t="shared" si="77"/>
        <v>1</v>
      </c>
      <c r="DE669" s="494"/>
      <c r="DF669" s="496" t="s">
        <v>2413</v>
      </c>
      <c r="DG669" s="496" t="s">
        <v>8</v>
      </c>
      <c r="DH669" s="496" t="s">
        <v>689</v>
      </c>
      <c r="DI669" s="496" t="s">
        <v>2414</v>
      </c>
      <c r="DJ669" s="496" t="s">
        <v>2414</v>
      </c>
      <c r="DK669" s="496" t="s">
        <v>1554</v>
      </c>
      <c r="DL669" s="496" t="s">
        <v>1555</v>
      </c>
      <c r="DM669" s="496" t="s">
        <v>1981</v>
      </c>
      <c r="DN669" s="497" t="s">
        <v>1982</v>
      </c>
      <c r="DP669" s="543">
        <v>1</v>
      </c>
    </row>
    <row r="670" spans="2:120" ht="15">
      <c r="B670" s="683"/>
      <c r="C670" s="683"/>
      <c r="D670" s="683"/>
      <c r="E670" s="683" cm="1">
        <f t="array" ref="E670">IF(H669&lt;&gt;"",E669,IF(E669="","",IFERROR(MATCH(TRUE(),INDEX(INDEX(K:K,E669+1):K203&lt;&gt;"",0),0)+E669,"")))</f>
        <v>811</v>
      </c>
      <c r="F670" s="684" cm="1">
        <f t="array" ref="F670">IF(E670="","",IF(H669&lt;&gt;"",H669,INDEX(D:D,E670)))</f>
        <v>0</v>
      </c>
      <c r="G670" s="684" t="str">
        <f t="shared" si="72"/>
        <v>0</v>
      </c>
      <c r="H670" s="685" t="str">
        <f t="shared" si="73"/>
        <v/>
      </c>
      <c r="I670" s="683" t="str">
        <f>IF(AND(F670&lt;&gt;"",N10&gt;0,M670&gt;N10),"Mot &gt; limite","")</f>
        <v/>
      </c>
      <c r="M670" s="638">
        <f>IF(OR(F670="",N10="",N10&lt;=0),"",IF(LEN(F670)&lt;=N10,LEN(F670),IFERROR(FIND("♦",SUBSTITUTE(LEFT(F670,N10)," ","♦",LEN(LEFT(F670,N10))-LEN(SUBSTITUTE(LEFT(F670,N10)," ","")))),FIND(" ",F670&amp;" ",N10+1)-1)))</f>
        <v>1</v>
      </c>
      <c r="N670" s="686">
        <f t="shared" si="74"/>
        <v>653</v>
      </c>
      <c r="O670" s="663" t="str">
        <f t="shared" si="75"/>
        <v>0</v>
      </c>
      <c r="P670" s="686">
        <f t="shared" si="76"/>
        <v>1</v>
      </c>
      <c r="Q670" s="686">
        <f t="shared" si="77"/>
        <v>1</v>
      </c>
      <c r="DE670" s="494"/>
      <c r="DF670" s="496" t="s">
        <v>2415</v>
      </c>
      <c r="DG670" s="496" t="s">
        <v>8</v>
      </c>
      <c r="DH670" s="496" t="s">
        <v>689</v>
      </c>
      <c r="DI670" s="496" t="s">
        <v>2416</v>
      </c>
      <c r="DJ670" s="496" t="s">
        <v>2416</v>
      </c>
      <c r="DK670" s="496" t="s">
        <v>1554</v>
      </c>
      <c r="DL670" s="496" t="s">
        <v>1555</v>
      </c>
      <c r="DM670" s="496" t="s">
        <v>1981</v>
      </c>
      <c r="DN670" s="497" t="s">
        <v>1982</v>
      </c>
      <c r="DP670" s="543">
        <v>1</v>
      </c>
    </row>
    <row r="671" spans="2:120" ht="15">
      <c r="B671" s="683"/>
      <c r="C671" s="683"/>
      <c r="D671" s="683"/>
      <c r="E671" s="683" cm="1">
        <f t="array" ref="E671">IF(H670&lt;&gt;"",E670,IF(E670="","",IFERROR(MATCH(TRUE(),INDEX(INDEX(K:K,E670+1):K203&lt;&gt;"",0),0)+E670,"")))</f>
        <v>812</v>
      </c>
      <c r="F671" s="684" cm="1">
        <f t="array" ref="F671">IF(E671="","",IF(H670&lt;&gt;"",H670,INDEX(D:D,E671)))</f>
        <v>0</v>
      </c>
      <c r="G671" s="684" t="str">
        <f t="shared" si="72"/>
        <v>0</v>
      </c>
      <c r="H671" s="685" t="str">
        <f t="shared" si="73"/>
        <v/>
      </c>
      <c r="I671" s="683" t="str">
        <f>IF(AND(F671&lt;&gt;"",N10&gt;0,M671&gt;N10),"Mot &gt; limite","")</f>
        <v/>
      </c>
      <c r="M671" s="638">
        <f>IF(OR(F671="",N10="",N10&lt;=0),"",IF(LEN(F671)&lt;=N10,LEN(F671),IFERROR(FIND("♦",SUBSTITUTE(LEFT(F671,N10)," ","♦",LEN(LEFT(F671,N10))-LEN(SUBSTITUTE(LEFT(F671,N10)," ","")))),FIND(" ",F671&amp;" ",N10+1)-1)))</f>
        <v>1</v>
      </c>
      <c r="N671" s="686">
        <f t="shared" si="74"/>
        <v>654</v>
      </c>
      <c r="O671" s="663" t="str">
        <f t="shared" si="75"/>
        <v>0</v>
      </c>
      <c r="P671" s="686">
        <f t="shared" si="76"/>
        <v>1</v>
      </c>
      <c r="Q671" s="686">
        <f t="shared" si="77"/>
        <v>1</v>
      </c>
      <c r="DE671" s="494"/>
      <c r="DF671" s="496" t="s">
        <v>2417</v>
      </c>
      <c r="DG671" s="496" t="s">
        <v>8</v>
      </c>
      <c r="DH671" s="496" t="s">
        <v>689</v>
      </c>
      <c r="DI671" s="496" t="s">
        <v>2418</v>
      </c>
      <c r="DJ671" s="496" t="s">
        <v>2418</v>
      </c>
      <c r="DK671" s="496" t="s">
        <v>1554</v>
      </c>
      <c r="DL671" s="496" t="s">
        <v>1555</v>
      </c>
      <c r="DM671" s="496" t="s">
        <v>1981</v>
      </c>
      <c r="DN671" s="497" t="s">
        <v>1982</v>
      </c>
      <c r="DP671" s="543">
        <v>1</v>
      </c>
    </row>
    <row r="672" spans="2:120" ht="15">
      <c r="B672" s="683"/>
      <c r="C672" s="683"/>
      <c r="D672" s="683"/>
      <c r="E672" s="683" cm="1">
        <f t="array" ref="E672">IF(H671&lt;&gt;"",E671,IF(E671="","",IFERROR(MATCH(TRUE(),INDEX(INDEX(K:K,E671+1):K203&lt;&gt;"",0),0)+E671,"")))</f>
        <v>813</v>
      </c>
      <c r="F672" s="684" cm="1">
        <f t="array" ref="F672">IF(E672="","",IF(H671&lt;&gt;"",H671,INDEX(D:D,E672)))</f>
        <v>0</v>
      </c>
      <c r="G672" s="684" t="str">
        <f t="shared" si="72"/>
        <v>0</v>
      </c>
      <c r="H672" s="685" t="str">
        <f t="shared" si="73"/>
        <v/>
      </c>
      <c r="I672" s="683" t="str">
        <f>IF(AND(F672&lt;&gt;"",N10&gt;0,M672&gt;N10),"Mot &gt; limite","")</f>
        <v/>
      </c>
      <c r="M672" s="638">
        <f>IF(OR(F672="",N10="",N10&lt;=0),"",IF(LEN(F672)&lt;=N10,LEN(F672),IFERROR(FIND("♦",SUBSTITUTE(LEFT(F672,N10)," ","♦",LEN(LEFT(F672,N10))-LEN(SUBSTITUTE(LEFT(F672,N10)," ","")))),FIND(" ",F672&amp;" ",N10+1)-1)))</f>
        <v>1</v>
      </c>
      <c r="N672" s="686">
        <f t="shared" si="74"/>
        <v>655</v>
      </c>
      <c r="O672" s="663" t="str">
        <f t="shared" si="75"/>
        <v>0</v>
      </c>
      <c r="P672" s="686">
        <f t="shared" si="76"/>
        <v>1</v>
      </c>
      <c r="Q672" s="686">
        <f t="shared" si="77"/>
        <v>1</v>
      </c>
      <c r="DE672" s="494"/>
      <c r="DF672" s="496" t="s">
        <v>2419</v>
      </c>
      <c r="DG672" s="496" t="s">
        <v>8</v>
      </c>
      <c r="DH672" s="496" t="s">
        <v>689</v>
      </c>
      <c r="DI672" s="496" t="s">
        <v>2420</v>
      </c>
      <c r="DJ672" s="496" t="s">
        <v>2420</v>
      </c>
      <c r="DK672" s="496" t="s">
        <v>1554</v>
      </c>
      <c r="DL672" s="496" t="s">
        <v>1555</v>
      </c>
      <c r="DM672" s="496" t="s">
        <v>1981</v>
      </c>
      <c r="DN672" s="497" t="s">
        <v>1982</v>
      </c>
      <c r="DP672" s="543">
        <v>1</v>
      </c>
    </row>
    <row r="673" spans="2:120" ht="15">
      <c r="B673" s="683"/>
      <c r="C673" s="683"/>
      <c r="D673" s="683"/>
      <c r="E673" s="683" cm="1">
        <f t="array" ref="E673">IF(H672&lt;&gt;"",E672,IF(E672="","",IFERROR(MATCH(TRUE(),INDEX(INDEX(K:K,E672+1):K203&lt;&gt;"",0),0)+E672,"")))</f>
        <v>814</v>
      </c>
      <c r="F673" s="684" cm="1">
        <f t="array" ref="F673">IF(E673="","",IF(H672&lt;&gt;"",H672,INDEX(D:D,E673)))</f>
        <v>0</v>
      </c>
      <c r="G673" s="684" t="str">
        <f t="shared" si="72"/>
        <v>0</v>
      </c>
      <c r="H673" s="685" t="str">
        <f t="shared" si="73"/>
        <v/>
      </c>
      <c r="I673" s="683" t="str">
        <f>IF(AND(F673&lt;&gt;"",N10&gt;0,M673&gt;N10),"Mot &gt; limite","")</f>
        <v/>
      </c>
      <c r="M673" s="638">
        <f>IF(OR(F673="",N10="",N10&lt;=0),"",IF(LEN(F673)&lt;=N10,LEN(F673),IFERROR(FIND("♦",SUBSTITUTE(LEFT(F673,N10)," ","♦",LEN(LEFT(F673,N10))-LEN(SUBSTITUTE(LEFT(F673,N10)," ","")))),FIND(" ",F673&amp;" ",N10+1)-1)))</f>
        <v>1</v>
      </c>
      <c r="N673" s="686">
        <f t="shared" si="74"/>
        <v>656</v>
      </c>
      <c r="O673" s="663" t="str">
        <f t="shared" si="75"/>
        <v>0</v>
      </c>
      <c r="P673" s="686">
        <f t="shared" si="76"/>
        <v>1</v>
      </c>
      <c r="Q673" s="686">
        <f t="shared" si="77"/>
        <v>1</v>
      </c>
      <c r="DE673" s="494"/>
      <c r="DF673" s="496" t="s">
        <v>2421</v>
      </c>
      <c r="DG673" s="496" t="s">
        <v>8</v>
      </c>
      <c r="DH673" s="496" t="s">
        <v>689</v>
      </c>
      <c r="DI673" s="496" t="s">
        <v>1024</v>
      </c>
      <c r="DJ673" s="496" t="s">
        <v>1024</v>
      </c>
      <c r="DK673" s="496" t="s">
        <v>1554</v>
      </c>
      <c r="DL673" s="496" t="s">
        <v>1555</v>
      </c>
      <c r="DM673" s="496" t="s">
        <v>1981</v>
      </c>
      <c r="DN673" s="497" t="s">
        <v>1982</v>
      </c>
      <c r="DP673" s="543">
        <v>1</v>
      </c>
    </row>
    <row r="674" spans="2:120" ht="15">
      <c r="B674" s="683"/>
      <c r="C674" s="683"/>
      <c r="D674" s="683"/>
      <c r="E674" s="683" cm="1">
        <f t="array" ref="E674">IF(H673&lt;&gt;"",E673,IF(E673="","",IFERROR(MATCH(TRUE(),INDEX(INDEX(K:K,E673+1):K203&lt;&gt;"",0),0)+E673,"")))</f>
        <v>815</v>
      </c>
      <c r="F674" s="684" cm="1">
        <f t="array" ref="F674">IF(E674="","",IF(H673&lt;&gt;"",H673,INDEX(D:D,E674)))</f>
        <v>0</v>
      </c>
      <c r="G674" s="684" t="str">
        <f t="shared" si="72"/>
        <v>0</v>
      </c>
      <c r="H674" s="685" t="str">
        <f t="shared" si="73"/>
        <v/>
      </c>
      <c r="I674" s="683" t="str">
        <f>IF(AND(F674&lt;&gt;"",N10&gt;0,M674&gt;N10),"Mot &gt; limite","")</f>
        <v/>
      </c>
      <c r="M674" s="638">
        <f>IF(OR(F674="",N10="",N10&lt;=0),"",IF(LEN(F674)&lt;=N10,LEN(F674),IFERROR(FIND("♦",SUBSTITUTE(LEFT(F674,N10)," ","♦",LEN(LEFT(F674,N10))-LEN(SUBSTITUTE(LEFT(F674,N10)," ","")))),FIND(" ",F674&amp;" ",N10+1)-1)))</f>
        <v>1</v>
      </c>
      <c r="N674" s="686">
        <f t="shared" si="74"/>
        <v>657</v>
      </c>
      <c r="O674" s="663" t="str">
        <f t="shared" si="75"/>
        <v>0</v>
      </c>
      <c r="P674" s="686">
        <f t="shared" si="76"/>
        <v>1</v>
      </c>
      <c r="Q674" s="686">
        <f t="shared" si="77"/>
        <v>1</v>
      </c>
      <c r="DE674" s="494"/>
      <c r="DF674" s="496" t="s">
        <v>2422</v>
      </c>
      <c r="DG674" s="496" t="s">
        <v>8</v>
      </c>
      <c r="DH674" s="496" t="s">
        <v>689</v>
      </c>
      <c r="DI674" s="496" t="s">
        <v>2423</v>
      </c>
      <c r="DJ674" s="496" t="s">
        <v>2423</v>
      </c>
      <c r="DK674" s="496" t="s">
        <v>1554</v>
      </c>
      <c r="DL674" s="496" t="s">
        <v>1555</v>
      </c>
      <c r="DM674" s="496" t="s">
        <v>1981</v>
      </c>
      <c r="DN674" s="497" t="s">
        <v>1982</v>
      </c>
      <c r="DP674" s="543">
        <v>1</v>
      </c>
    </row>
    <row r="675" spans="2:120" ht="15">
      <c r="B675" s="683"/>
      <c r="C675" s="683"/>
      <c r="D675" s="683"/>
      <c r="E675" s="683" cm="1">
        <f t="array" ref="E675">IF(H674&lt;&gt;"",E674,IF(E674="","",IFERROR(MATCH(TRUE(),INDEX(INDEX(K:K,E674+1):K203&lt;&gt;"",0),0)+E674,"")))</f>
        <v>816</v>
      </c>
      <c r="F675" s="684" cm="1">
        <f t="array" ref="F675">IF(E675="","",IF(H674&lt;&gt;"",H674,INDEX(D:D,E675)))</f>
        <v>0</v>
      </c>
      <c r="G675" s="684" t="str">
        <f t="shared" si="72"/>
        <v>0</v>
      </c>
      <c r="H675" s="685" t="str">
        <f t="shared" si="73"/>
        <v/>
      </c>
      <c r="I675" s="683" t="str">
        <f>IF(AND(F675&lt;&gt;"",N10&gt;0,M675&gt;N10),"Mot &gt; limite","")</f>
        <v/>
      </c>
      <c r="M675" s="638">
        <f>IF(OR(F675="",N10="",N10&lt;=0),"",IF(LEN(F675)&lt;=N10,LEN(F675),IFERROR(FIND("♦",SUBSTITUTE(LEFT(F675,N10)," ","♦",LEN(LEFT(F675,N10))-LEN(SUBSTITUTE(LEFT(F675,N10)," ","")))),FIND(" ",F675&amp;" ",N10+1)-1)))</f>
        <v>1</v>
      </c>
      <c r="N675" s="686">
        <f t="shared" si="74"/>
        <v>658</v>
      </c>
      <c r="O675" s="663" t="str">
        <f t="shared" si="75"/>
        <v>0</v>
      </c>
      <c r="P675" s="686">
        <f t="shared" si="76"/>
        <v>1</v>
      </c>
      <c r="Q675" s="686">
        <f t="shared" si="77"/>
        <v>1</v>
      </c>
      <c r="DE675" s="494"/>
      <c r="DF675" s="496" t="s">
        <v>2424</v>
      </c>
      <c r="DG675" s="496" t="s">
        <v>8</v>
      </c>
      <c r="DH675" s="496" t="s">
        <v>689</v>
      </c>
      <c r="DI675" s="496" t="s">
        <v>2425</v>
      </c>
      <c r="DJ675" s="496" t="s">
        <v>2425</v>
      </c>
      <c r="DK675" s="496" t="s">
        <v>1554</v>
      </c>
      <c r="DL675" s="496" t="s">
        <v>1555</v>
      </c>
      <c r="DM675" s="496" t="s">
        <v>1981</v>
      </c>
      <c r="DN675" s="497" t="s">
        <v>1982</v>
      </c>
      <c r="DP675" s="543">
        <v>1</v>
      </c>
    </row>
    <row r="676" spans="2:120" ht="15">
      <c r="B676" s="683"/>
      <c r="C676" s="683"/>
      <c r="D676" s="683"/>
      <c r="E676" s="683" cm="1">
        <f t="array" ref="E676">IF(H675&lt;&gt;"",E675,IF(E675="","",IFERROR(MATCH(TRUE(),INDEX(INDEX(K:K,E675+1):K203&lt;&gt;"",0),0)+E675,"")))</f>
        <v>817</v>
      </c>
      <c r="F676" s="684" cm="1">
        <f t="array" ref="F676">IF(E676="","",IF(H675&lt;&gt;"",H675,INDEX(D:D,E676)))</f>
        <v>0</v>
      </c>
      <c r="G676" s="684" t="str">
        <f t="shared" si="72"/>
        <v>0</v>
      </c>
      <c r="H676" s="685" t="str">
        <f t="shared" si="73"/>
        <v/>
      </c>
      <c r="I676" s="683" t="str">
        <f>IF(AND(F676&lt;&gt;"",N10&gt;0,M676&gt;N10),"Mot &gt; limite","")</f>
        <v/>
      </c>
      <c r="M676" s="638">
        <f>IF(OR(F676="",N10="",N10&lt;=0),"",IF(LEN(F676)&lt;=N10,LEN(F676),IFERROR(FIND("♦",SUBSTITUTE(LEFT(F676,N10)," ","♦",LEN(LEFT(F676,N10))-LEN(SUBSTITUTE(LEFT(F676,N10)," ","")))),FIND(" ",F676&amp;" ",N10+1)-1)))</f>
        <v>1</v>
      </c>
      <c r="N676" s="686">
        <f t="shared" si="74"/>
        <v>659</v>
      </c>
      <c r="O676" s="663" t="str">
        <f t="shared" si="75"/>
        <v>0</v>
      </c>
      <c r="P676" s="686">
        <f t="shared" si="76"/>
        <v>1</v>
      </c>
      <c r="Q676" s="686">
        <f t="shared" si="77"/>
        <v>1</v>
      </c>
      <c r="DE676" s="494"/>
      <c r="DF676" s="496" t="s">
        <v>2426</v>
      </c>
      <c r="DG676" s="496" t="s">
        <v>8</v>
      </c>
      <c r="DH676" s="496" t="s">
        <v>689</v>
      </c>
      <c r="DI676" s="496" t="s">
        <v>2427</v>
      </c>
      <c r="DJ676" s="496" t="s">
        <v>2427</v>
      </c>
      <c r="DK676" s="496" t="s">
        <v>1554</v>
      </c>
      <c r="DL676" s="496" t="s">
        <v>1555</v>
      </c>
      <c r="DM676" s="496" t="s">
        <v>1981</v>
      </c>
      <c r="DN676" s="497" t="s">
        <v>1982</v>
      </c>
      <c r="DP676" s="543">
        <v>1</v>
      </c>
    </row>
    <row r="677" spans="2:120" ht="15">
      <c r="B677" s="683"/>
      <c r="C677" s="683"/>
      <c r="D677" s="683"/>
      <c r="E677" s="683" cm="1">
        <f t="array" ref="E677">IF(H676&lt;&gt;"",E676,IF(E676="","",IFERROR(MATCH(TRUE(),INDEX(INDEX(K:K,E676+1):K203&lt;&gt;"",0),0)+E676,"")))</f>
        <v>818</v>
      </c>
      <c r="F677" s="684" cm="1">
        <f t="array" ref="F677">IF(E677="","",IF(H676&lt;&gt;"",H676,INDEX(D:D,E677)))</f>
        <v>0</v>
      </c>
      <c r="G677" s="684" t="str">
        <f t="shared" si="72"/>
        <v>0</v>
      </c>
      <c r="H677" s="685" t="str">
        <f t="shared" si="73"/>
        <v/>
      </c>
      <c r="I677" s="683" t="str">
        <f>IF(AND(F677&lt;&gt;"",N10&gt;0,M677&gt;N10),"Mot &gt; limite","")</f>
        <v/>
      </c>
      <c r="M677" s="638">
        <f>IF(OR(F677="",N10="",N10&lt;=0),"",IF(LEN(F677)&lt;=N10,LEN(F677),IFERROR(FIND("♦",SUBSTITUTE(LEFT(F677,N10)," ","♦",LEN(LEFT(F677,N10))-LEN(SUBSTITUTE(LEFT(F677,N10)," ","")))),FIND(" ",F677&amp;" ",N10+1)-1)))</f>
        <v>1</v>
      </c>
      <c r="N677" s="686">
        <f t="shared" si="74"/>
        <v>660</v>
      </c>
      <c r="O677" s="663" t="str">
        <f t="shared" si="75"/>
        <v>0</v>
      </c>
      <c r="P677" s="686">
        <f t="shared" si="76"/>
        <v>1</v>
      </c>
      <c r="Q677" s="686">
        <f t="shared" si="77"/>
        <v>1</v>
      </c>
      <c r="DE677" s="494"/>
      <c r="DF677" s="496" t="s">
        <v>2428</v>
      </c>
      <c r="DG677" s="496" t="s">
        <v>8</v>
      </c>
      <c r="DH677" s="496" t="s">
        <v>689</v>
      </c>
      <c r="DI677" s="496" t="s">
        <v>2429</v>
      </c>
      <c r="DJ677" s="496" t="s">
        <v>2429</v>
      </c>
      <c r="DK677" s="496" t="s">
        <v>1554</v>
      </c>
      <c r="DL677" s="496" t="s">
        <v>1555</v>
      </c>
      <c r="DM677" s="496" t="s">
        <v>1981</v>
      </c>
      <c r="DN677" s="497" t="s">
        <v>1982</v>
      </c>
      <c r="DP677" s="543">
        <v>1</v>
      </c>
    </row>
    <row r="678" spans="2:120" ht="15">
      <c r="B678" s="683"/>
      <c r="C678" s="683"/>
      <c r="D678" s="683"/>
      <c r="E678" s="683" cm="1">
        <f t="array" ref="E678">IF(H677&lt;&gt;"",E677,IF(E677="","",IFERROR(MATCH(TRUE(),INDEX(INDEX(K:K,E677+1):K203&lt;&gt;"",0),0)+E677,"")))</f>
        <v>819</v>
      </c>
      <c r="F678" s="684" cm="1">
        <f t="array" ref="F678">IF(E678="","",IF(H677&lt;&gt;"",H677,INDEX(D:D,E678)))</f>
        <v>0</v>
      </c>
      <c r="G678" s="684" t="str">
        <f t="shared" si="72"/>
        <v>0</v>
      </c>
      <c r="H678" s="685" t="str">
        <f t="shared" si="73"/>
        <v/>
      </c>
      <c r="I678" s="683" t="str">
        <f>IF(AND(F678&lt;&gt;"",N10&gt;0,M678&gt;N10),"Mot &gt; limite","")</f>
        <v/>
      </c>
      <c r="M678" s="638">
        <f>IF(OR(F678="",N10="",N10&lt;=0),"",IF(LEN(F678)&lt;=N10,LEN(F678),IFERROR(FIND("♦",SUBSTITUTE(LEFT(F678,N10)," ","♦",LEN(LEFT(F678,N10))-LEN(SUBSTITUTE(LEFT(F678,N10)," ","")))),FIND(" ",F678&amp;" ",N10+1)-1)))</f>
        <v>1</v>
      </c>
      <c r="N678" s="686">
        <f t="shared" si="74"/>
        <v>661</v>
      </c>
      <c r="O678" s="663" t="str">
        <f t="shared" si="75"/>
        <v>0</v>
      </c>
      <c r="P678" s="686">
        <f t="shared" si="76"/>
        <v>1</v>
      </c>
      <c r="Q678" s="686">
        <f t="shared" si="77"/>
        <v>1</v>
      </c>
      <c r="DE678" s="494"/>
      <c r="DF678" s="496" t="s">
        <v>2430</v>
      </c>
      <c r="DG678" s="496" t="s">
        <v>8</v>
      </c>
      <c r="DH678" s="496" t="s">
        <v>689</v>
      </c>
      <c r="DI678" s="496" t="s">
        <v>2431</v>
      </c>
      <c r="DJ678" s="496" t="s">
        <v>2431</v>
      </c>
      <c r="DK678" s="496" t="s">
        <v>1554</v>
      </c>
      <c r="DL678" s="496" t="s">
        <v>1555</v>
      </c>
      <c r="DM678" s="496" t="s">
        <v>1981</v>
      </c>
      <c r="DN678" s="497" t="s">
        <v>1982</v>
      </c>
      <c r="DP678" s="543">
        <v>1</v>
      </c>
    </row>
    <row r="679" spans="2:120" ht="15">
      <c r="B679" s="683"/>
      <c r="C679" s="683"/>
      <c r="D679" s="683"/>
      <c r="E679" s="683" cm="1">
        <f t="array" ref="E679">IF(H678&lt;&gt;"",E678,IF(E678="","",IFERROR(MATCH(TRUE(),INDEX(INDEX(K:K,E678+1):K203&lt;&gt;"",0),0)+E678,"")))</f>
        <v>820</v>
      </c>
      <c r="F679" s="684" cm="1">
        <f t="array" ref="F679">IF(E679="","",IF(H678&lt;&gt;"",H678,INDEX(D:D,E679)))</f>
        <v>0</v>
      </c>
      <c r="G679" s="684" t="str">
        <f t="shared" si="72"/>
        <v>0</v>
      </c>
      <c r="H679" s="685" t="str">
        <f t="shared" si="73"/>
        <v/>
      </c>
      <c r="I679" s="683" t="str">
        <f>IF(AND(F679&lt;&gt;"",N10&gt;0,M679&gt;N10),"Mot &gt; limite","")</f>
        <v/>
      </c>
      <c r="M679" s="638">
        <f>IF(OR(F679="",N10="",N10&lt;=0),"",IF(LEN(F679)&lt;=N10,LEN(F679),IFERROR(FIND("♦",SUBSTITUTE(LEFT(F679,N10)," ","♦",LEN(LEFT(F679,N10))-LEN(SUBSTITUTE(LEFT(F679,N10)," ","")))),FIND(" ",F679&amp;" ",N10+1)-1)))</f>
        <v>1</v>
      </c>
      <c r="N679" s="686">
        <f t="shared" si="74"/>
        <v>662</v>
      </c>
      <c r="O679" s="663" t="str">
        <f t="shared" si="75"/>
        <v>0</v>
      </c>
      <c r="P679" s="686">
        <f t="shared" si="76"/>
        <v>1</v>
      </c>
      <c r="Q679" s="686">
        <f t="shared" si="77"/>
        <v>1</v>
      </c>
      <c r="DE679" s="494"/>
      <c r="DF679" s="496" t="s">
        <v>2432</v>
      </c>
      <c r="DG679" s="496" t="s">
        <v>8</v>
      </c>
      <c r="DH679" s="496" t="s">
        <v>689</v>
      </c>
      <c r="DI679" s="496" t="s">
        <v>2433</v>
      </c>
      <c r="DJ679" s="496" t="s">
        <v>2433</v>
      </c>
      <c r="DK679" s="496" t="s">
        <v>1554</v>
      </c>
      <c r="DL679" s="496" t="s">
        <v>1555</v>
      </c>
      <c r="DM679" s="496" t="s">
        <v>1981</v>
      </c>
      <c r="DN679" s="497" t="s">
        <v>1982</v>
      </c>
      <c r="DP679" s="543">
        <v>1</v>
      </c>
    </row>
    <row r="680" spans="2:120" ht="15">
      <c r="B680" s="683"/>
      <c r="C680" s="683"/>
      <c r="D680" s="683"/>
      <c r="E680" s="683" cm="1">
        <f t="array" ref="E680">IF(H679&lt;&gt;"",E679,IF(E679="","",IFERROR(MATCH(TRUE(),INDEX(INDEX(K:K,E679+1):K203&lt;&gt;"",0),0)+E679,"")))</f>
        <v>821</v>
      </c>
      <c r="F680" s="684" cm="1">
        <f t="array" ref="F680">IF(E680="","",IF(H679&lt;&gt;"",H679,INDEX(D:D,E680)))</f>
        <v>0</v>
      </c>
      <c r="G680" s="684" t="str">
        <f t="shared" si="72"/>
        <v>0</v>
      </c>
      <c r="H680" s="685" t="str">
        <f t="shared" si="73"/>
        <v/>
      </c>
      <c r="I680" s="683" t="str">
        <f>IF(AND(F680&lt;&gt;"",N10&gt;0,M680&gt;N10),"Mot &gt; limite","")</f>
        <v/>
      </c>
      <c r="M680" s="638">
        <f>IF(OR(F680="",N10="",N10&lt;=0),"",IF(LEN(F680)&lt;=N10,LEN(F680),IFERROR(FIND("♦",SUBSTITUTE(LEFT(F680,N10)," ","♦",LEN(LEFT(F680,N10))-LEN(SUBSTITUTE(LEFT(F680,N10)," ","")))),FIND(" ",F680&amp;" ",N10+1)-1)))</f>
        <v>1</v>
      </c>
      <c r="N680" s="686">
        <f t="shared" si="74"/>
        <v>663</v>
      </c>
      <c r="O680" s="663" t="str">
        <f t="shared" si="75"/>
        <v>0</v>
      </c>
      <c r="P680" s="686">
        <f t="shared" si="76"/>
        <v>1</v>
      </c>
      <c r="Q680" s="686">
        <f t="shared" si="77"/>
        <v>1</v>
      </c>
      <c r="DE680" s="494"/>
      <c r="DF680" s="496" t="s">
        <v>2434</v>
      </c>
      <c r="DG680" s="496" t="s">
        <v>8</v>
      </c>
      <c r="DH680" s="496" t="s">
        <v>689</v>
      </c>
      <c r="DI680" s="496" t="s">
        <v>2435</v>
      </c>
      <c r="DJ680" s="496" t="s">
        <v>2435</v>
      </c>
      <c r="DK680" s="496" t="s">
        <v>1554</v>
      </c>
      <c r="DL680" s="496" t="s">
        <v>1555</v>
      </c>
      <c r="DM680" s="496" t="s">
        <v>1981</v>
      </c>
      <c r="DN680" s="497" t="s">
        <v>1982</v>
      </c>
      <c r="DP680" s="543">
        <v>1</v>
      </c>
    </row>
    <row r="681" spans="2:120" ht="15">
      <c r="B681" s="683"/>
      <c r="C681" s="683"/>
      <c r="D681" s="683"/>
      <c r="E681" s="683" cm="1">
        <f t="array" ref="E681">IF(H680&lt;&gt;"",E680,IF(E680="","",IFERROR(MATCH(TRUE(),INDEX(INDEX(K:K,E680+1):K203&lt;&gt;"",0),0)+E680,"")))</f>
        <v>822</v>
      </c>
      <c r="F681" s="684" cm="1">
        <f t="array" ref="F681">IF(E681="","",IF(H680&lt;&gt;"",H680,INDEX(D:D,E681)))</f>
        <v>0</v>
      </c>
      <c r="G681" s="684" t="str">
        <f t="shared" si="72"/>
        <v>0</v>
      </c>
      <c r="H681" s="685" t="str">
        <f t="shared" si="73"/>
        <v/>
      </c>
      <c r="I681" s="683" t="str">
        <f>IF(AND(F681&lt;&gt;"",N10&gt;0,M681&gt;N10),"Mot &gt; limite","")</f>
        <v/>
      </c>
      <c r="M681" s="638">
        <f>IF(OR(F681="",N10="",N10&lt;=0),"",IF(LEN(F681)&lt;=N10,LEN(F681),IFERROR(FIND("♦",SUBSTITUTE(LEFT(F681,N10)," ","♦",LEN(LEFT(F681,N10))-LEN(SUBSTITUTE(LEFT(F681,N10)," ","")))),FIND(" ",F681&amp;" ",N10+1)-1)))</f>
        <v>1</v>
      </c>
      <c r="N681" s="686">
        <f t="shared" si="74"/>
        <v>664</v>
      </c>
      <c r="O681" s="663" t="str">
        <f t="shared" si="75"/>
        <v>0</v>
      </c>
      <c r="P681" s="686">
        <f t="shared" si="76"/>
        <v>1</v>
      </c>
      <c r="Q681" s="686">
        <f t="shared" si="77"/>
        <v>1</v>
      </c>
      <c r="DE681" s="494"/>
      <c r="DF681" s="496" t="s">
        <v>2436</v>
      </c>
      <c r="DG681" s="496" t="s">
        <v>8</v>
      </c>
      <c r="DH681" s="496" t="s">
        <v>689</v>
      </c>
      <c r="DI681" s="496" t="s">
        <v>2437</v>
      </c>
      <c r="DJ681" s="496" t="s">
        <v>2437</v>
      </c>
      <c r="DK681" s="496" t="s">
        <v>1554</v>
      </c>
      <c r="DL681" s="496" t="s">
        <v>1555</v>
      </c>
      <c r="DM681" s="496" t="s">
        <v>1981</v>
      </c>
      <c r="DN681" s="497" t="s">
        <v>1982</v>
      </c>
      <c r="DP681" s="543">
        <v>1</v>
      </c>
    </row>
    <row r="682" spans="2:120" ht="15">
      <c r="B682" s="683"/>
      <c r="C682" s="683"/>
      <c r="D682" s="683"/>
      <c r="E682" s="683" cm="1">
        <f t="array" ref="E682">IF(H681&lt;&gt;"",E681,IF(E681="","",IFERROR(MATCH(TRUE(),INDEX(INDEX(K:K,E681+1):K203&lt;&gt;"",0),0)+E681,"")))</f>
        <v>823</v>
      </c>
      <c r="F682" s="684" cm="1">
        <f t="array" ref="F682">IF(E682="","",IF(H681&lt;&gt;"",H681,INDEX(D:D,E682)))</f>
        <v>0</v>
      </c>
      <c r="G682" s="684" t="str">
        <f t="shared" si="72"/>
        <v>0</v>
      </c>
      <c r="H682" s="685" t="str">
        <f t="shared" si="73"/>
        <v/>
      </c>
      <c r="I682" s="683" t="str">
        <f>IF(AND(F682&lt;&gt;"",N10&gt;0,M682&gt;N10),"Mot &gt; limite","")</f>
        <v/>
      </c>
      <c r="M682" s="638">
        <f>IF(OR(F682="",N10="",N10&lt;=0),"",IF(LEN(F682)&lt;=N10,LEN(F682),IFERROR(FIND("♦",SUBSTITUTE(LEFT(F682,N10)," ","♦",LEN(LEFT(F682,N10))-LEN(SUBSTITUTE(LEFT(F682,N10)," ","")))),FIND(" ",F682&amp;" ",N10+1)-1)))</f>
        <v>1</v>
      </c>
      <c r="N682" s="686">
        <f t="shared" si="74"/>
        <v>665</v>
      </c>
      <c r="O682" s="663" t="str">
        <f t="shared" si="75"/>
        <v>0</v>
      </c>
      <c r="P682" s="686">
        <f t="shared" si="76"/>
        <v>1</v>
      </c>
      <c r="Q682" s="686">
        <f t="shared" si="77"/>
        <v>1</v>
      </c>
      <c r="DE682" s="494"/>
      <c r="DF682" s="496" t="s">
        <v>2438</v>
      </c>
      <c r="DG682" s="496" t="s">
        <v>8</v>
      </c>
      <c r="DH682" s="496" t="s">
        <v>689</v>
      </c>
      <c r="DI682" s="496" t="s">
        <v>2439</v>
      </c>
      <c r="DJ682" s="496" t="s">
        <v>2439</v>
      </c>
      <c r="DK682" s="496" t="s">
        <v>1554</v>
      </c>
      <c r="DL682" s="496" t="s">
        <v>1555</v>
      </c>
      <c r="DM682" s="496" t="s">
        <v>1981</v>
      </c>
      <c r="DN682" s="497" t="s">
        <v>1982</v>
      </c>
      <c r="DP682" s="543">
        <v>1</v>
      </c>
    </row>
    <row r="683" spans="2:120" ht="15">
      <c r="B683" s="683"/>
      <c r="C683" s="683"/>
      <c r="D683" s="683"/>
      <c r="E683" s="683" cm="1">
        <f t="array" ref="E683">IF(H682&lt;&gt;"",E682,IF(E682="","",IFERROR(MATCH(TRUE(),INDEX(INDEX(K:K,E682+1):K203&lt;&gt;"",0),0)+E682,"")))</f>
        <v>824</v>
      </c>
      <c r="F683" s="684" cm="1">
        <f t="array" ref="F683">IF(E683="","",IF(H682&lt;&gt;"",H682,INDEX(D:D,E683)))</f>
        <v>0</v>
      </c>
      <c r="G683" s="684" t="str">
        <f t="shared" si="72"/>
        <v>0</v>
      </c>
      <c r="H683" s="685" t="str">
        <f t="shared" si="73"/>
        <v/>
      </c>
      <c r="I683" s="683" t="str">
        <f>IF(AND(F683&lt;&gt;"",N10&gt;0,M683&gt;N10),"Mot &gt; limite","")</f>
        <v/>
      </c>
      <c r="M683" s="638">
        <f>IF(OR(F683="",N10="",N10&lt;=0),"",IF(LEN(F683)&lt;=N10,LEN(F683),IFERROR(FIND("♦",SUBSTITUTE(LEFT(F683,N10)," ","♦",LEN(LEFT(F683,N10))-LEN(SUBSTITUTE(LEFT(F683,N10)," ","")))),FIND(" ",F683&amp;" ",N10+1)-1)))</f>
        <v>1</v>
      </c>
      <c r="N683" s="686">
        <f t="shared" si="74"/>
        <v>666</v>
      </c>
      <c r="O683" s="663" t="str">
        <f t="shared" si="75"/>
        <v>0</v>
      </c>
      <c r="P683" s="686">
        <f t="shared" si="76"/>
        <v>1</v>
      </c>
      <c r="Q683" s="686">
        <f t="shared" si="77"/>
        <v>1</v>
      </c>
      <c r="DE683" s="494"/>
      <c r="DF683" s="496" t="s">
        <v>2440</v>
      </c>
      <c r="DG683" s="496" t="s">
        <v>8</v>
      </c>
      <c r="DH683" s="496" t="s">
        <v>689</v>
      </c>
      <c r="DI683" s="496" t="s">
        <v>2441</v>
      </c>
      <c r="DJ683" s="496" t="s">
        <v>2441</v>
      </c>
      <c r="DK683" s="496" t="s">
        <v>1554</v>
      </c>
      <c r="DL683" s="496" t="s">
        <v>1555</v>
      </c>
      <c r="DM683" s="496" t="s">
        <v>1981</v>
      </c>
      <c r="DN683" s="497" t="s">
        <v>1982</v>
      </c>
      <c r="DP683" s="543">
        <v>1</v>
      </c>
    </row>
    <row r="684" spans="2:120" ht="15">
      <c r="B684" s="683"/>
      <c r="C684" s="683"/>
      <c r="D684" s="683"/>
      <c r="E684" s="683" cm="1">
        <f t="array" ref="E684">IF(H683&lt;&gt;"",E683,IF(E683="","",IFERROR(MATCH(TRUE(),INDEX(INDEX(K:K,E683+1):K203&lt;&gt;"",0),0)+E683,"")))</f>
        <v>825</v>
      </c>
      <c r="F684" s="684" cm="1">
        <f t="array" ref="F684">IF(E684="","",IF(H683&lt;&gt;"",H683,INDEX(D:D,E684)))</f>
        <v>0</v>
      </c>
      <c r="G684" s="684" t="str">
        <f t="shared" si="72"/>
        <v>0</v>
      </c>
      <c r="H684" s="685" t="str">
        <f t="shared" si="73"/>
        <v/>
      </c>
      <c r="I684" s="683" t="str">
        <f>IF(AND(F684&lt;&gt;"",N10&gt;0,M684&gt;N10),"Mot &gt; limite","")</f>
        <v/>
      </c>
      <c r="M684" s="638">
        <f>IF(OR(F684="",N10="",N10&lt;=0),"",IF(LEN(F684)&lt;=N10,LEN(F684),IFERROR(FIND("♦",SUBSTITUTE(LEFT(F684,N10)," ","♦",LEN(LEFT(F684,N10))-LEN(SUBSTITUTE(LEFT(F684,N10)," ","")))),FIND(" ",F684&amp;" ",N10+1)-1)))</f>
        <v>1</v>
      </c>
      <c r="N684" s="686">
        <f t="shared" si="74"/>
        <v>667</v>
      </c>
      <c r="O684" s="663" t="str">
        <f t="shared" si="75"/>
        <v>0</v>
      </c>
      <c r="P684" s="686">
        <f t="shared" si="76"/>
        <v>1</v>
      </c>
      <c r="Q684" s="686">
        <f t="shared" si="77"/>
        <v>1</v>
      </c>
      <c r="DE684" s="494"/>
      <c r="DF684" s="496" t="s">
        <v>2442</v>
      </c>
      <c r="DG684" s="496" t="s">
        <v>8</v>
      </c>
      <c r="DH684" s="496" t="s">
        <v>689</v>
      </c>
      <c r="DI684" s="496" t="s">
        <v>2443</v>
      </c>
      <c r="DJ684" s="496" t="s">
        <v>2443</v>
      </c>
      <c r="DK684" s="496" t="s">
        <v>1554</v>
      </c>
      <c r="DL684" s="496" t="s">
        <v>1555</v>
      </c>
      <c r="DM684" s="496" t="s">
        <v>1981</v>
      </c>
      <c r="DN684" s="497" t="s">
        <v>1982</v>
      </c>
      <c r="DP684" s="543">
        <v>1</v>
      </c>
    </row>
    <row r="685" spans="2:120" ht="15">
      <c r="B685" s="683"/>
      <c r="C685" s="683"/>
      <c r="D685" s="683"/>
      <c r="E685" s="683" cm="1">
        <f t="array" ref="E685">IF(H684&lt;&gt;"",E684,IF(E684="","",IFERROR(MATCH(TRUE(),INDEX(INDEX(K:K,E684+1):K203&lt;&gt;"",0),0)+E684,"")))</f>
        <v>826</v>
      </c>
      <c r="F685" s="684" cm="1">
        <f t="array" ref="F685">IF(E685="","",IF(H684&lt;&gt;"",H684,INDEX(D:D,E685)))</f>
        <v>0</v>
      </c>
      <c r="G685" s="684" t="str">
        <f t="shared" si="72"/>
        <v>0</v>
      </c>
      <c r="H685" s="685" t="str">
        <f t="shared" si="73"/>
        <v/>
      </c>
      <c r="I685" s="683" t="str">
        <f>IF(AND(F685&lt;&gt;"",N10&gt;0,M685&gt;N10),"Mot &gt; limite","")</f>
        <v/>
      </c>
      <c r="M685" s="638">
        <f>IF(OR(F685="",N10="",N10&lt;=0),"",IF(LEN(F685)&lt;=N10,LEN(F685),IFERROR(FIND("♦",SUBSTITUTE(LEFT(F685,N10)," ","♦",LEN(LEFT(F685,N10))-LEN(SUBSTITUTE(LEFT(F685,N10)," ","")))),FIND(" ",F685&amp;" ",N10+1)-1)))</f>
        <v>1</v>
      </c>
      <c r="N685" s="686">
        <f t="shared" si="74"/>
        <v>668</v>
      </c>
      <c r="O685" s="663" t="str">
        <f t="shared" si="75"/>
        <v>0</v>
      </c>
      <c r="P685" s="686">
        <f t="shared" si="76"/>
        <v>1</v>
      </c>
      <c r="Q685" s="686">
        <f t="shared" si="77"/>
        <v>1</v>
      </c>
      <c r="DE685" s="494"/>
      <c r="DF685" s="496" t="s">
        <v>2444</v>
      </c>
      <c r="DG685" s="496" t="s">
        <v>8</v>
      </c>
      <c r="DH685" s="496" t="s">
        <v>689</v>
      </c>
      <c r="DI685" s="496" t="s">
        <v>2445</v>
      </c>
      <c r="DJ685" s="496" t="s">
        <v>2445</v>
      </c>
      <c r="DK685" s="496" t="s">
        <v>1554</v>
      </c>
      <c r="DL685" s="496" t="s">
        <v>1555</v>
      </c>
      <c r="DM685" s="496" t="s">
        <v>1981</v>
      </c>
      <c r="DN685" s="497" t="s">
        <v>1982</v>
      </c>
      <c r="DP685" s="543">
        <v>1</v>
      </c>
    </row>
    <row r="686" spans="2:120" ht="15">
      <c r="B686" s="683"/>
      <c r="C686" s="683"/>
      <c r="D686" s="683"/>
      <c r="E686" s="683" cm="1">
        <f t="array" ref="E686">IF(H685&lt;&gt;"",E685,IF(E685="","",IFERROR(MATCH(TRUE(),INDEX(INDEX(K:K,E685+1):K203&lt;&gt;"",0),0)+E685,"")))</f>
        <v>827</v>
      </c>
      <c r="F686" s="684" cm="1">
        <f t="array" ref="F686">IF(E686="","",IF(H685&lt;&gt;"",H685,INDEX(D:D,E686)))</f>
        <v>0</v>
      </c>
      <c r="G686" s="684" t="str">
        <f t="shared" si="72"/>
        <v>0</v>
      </c>
      <c r="H686" s="685" t="str">
        <f t="shared" si="73"/>
        <v/>
      </c>
      <c r="I686" s="683" t="str">
        <f>IF(AND(F686&lt;&gt;"",N10&gt;0,M686&gt;N10),"Mot &gt; limite","")</f>
        <v/>
      </c>
      <c r="M686" s="638">
        <f>IF(OR(F686="",N10="",N10&lt;=0),"",IF(LEN(F686)&lt;=N10,LEN(F686),IFERROR(FIND("♦",SUBSTITUTE(LEFT(F686,N10)," ","♦",LEN(LEFT(F686,N10))-LEN(SUBSTITUTE(LEFT(F686,N10)," ","")))),FIND(" ",F686&amp;" ",N10+1)-1)))</f>
        <v>1</v>
      </c>
      <c r="N686" s="686">
        <f t="shared" si="74"/>
        <v>669</v>
      </c>
      <c r="O686" s="663" t="str">
        <f t="shared" si="75"/>
        <v>0</v>
      </c>
      <c r="P686" s="686">
        <f t="shared" si="76"/>
        <v>1</v>
      </c>
      <c r="Q686" s="686">
        <f t="shared" si="77"/>
        <v>1</v>
      </c>
      <c r="DE686" s="494"/>
      <c r="DF686" s="496" t="s">
        <v>2446</v>
      </c>
      <c r="DG686" s="496" t="s">
        <v>8</v>
      </c>
      <c r="DH686" s="496" t="s">
        <v>689</v>
      </c>
      <c r="DI686" s="496" t="s">
        <v>2447</v>
      </c>
      <c r="DJ686" s="496" t="s">
        <v>2447</v>
      </c>
      <c r="DK686" s="496" t="s">
        <v>1554</v>
      </c>
      <c r="DL686" s="496" t="s">
        <v>1555</v>
      </c>
      <c r="DM686" s="496" t="s">
        <v>1981</v>
      </c>
      <c r="DN686" s="497" t="s">
        <v>1982</v>
      </c>
      <c r="DP686" s="543">
        <v>1</v>
      </c>
    </row>
    <row r="687" spans="2:120" ht="15">
      <c r="B687" s="683"/>
      <c r="C687" s="683"/>
      <c r="D687" s="683"/>
      <c r="E687" s="683" cm="1">
        <f t="array" ref="E687">IF(H686&lt;&gt;"",E686,IF(E686="","",IFERROR(MATCH(TRUE(),INDEX(INDEX(K:K,E686+1):K203&lt;&gt;"",0),0)+E686,"")))</f>
        <v>828</v>
      </c>
      <c r="F687" s="684" cm="1">
        <f t="array" ref="F687">IF(E687="","",IF(H686&lt;&gt;"",H686,INDEX(D:D,E687)))</f>
        <v>0</v>
      </c>
      <c r="G687" s="684" t="str">
        <f t="shared" si="72"/>
        <v>0</v>
      </c>
      <c r="H687" s="685" t="str">
        <f t="shared" si="73"/>
        <v/>
      </c>
      <c r="I687" s="683" t="str">
        <f>IF(AND(F687&lt;&gt;"",N10&gt;0,M687&gt;N10),"Mot &gt; limite","")</f>
        <v/>
      </c>
      <c r="M687" s="638">
        <f>IF(OR(F687="",N10="",N10&lt;=0),"",IF(LEN(F687)&lt;=N10,LEN(F687),IFERROR(FIND("♦",SUBSTITUTE(LEFT(F687,N10)," ","♦",LEN(LEFT(F687,N10))-LEN(SUBSTITUTE(LEFT(F687,N10)," ","")))),FIND(" ",F687&amp;" ",N10+1)-1)))</f>
        <v>1</v>
      </c>
      <c r="N687" s="686">
        <f t="shared" si="74"/>
        <v>670</v>
      </c>
      <c r="O687" s="663" t="str">
        <f t="shared" si="75"/>
        <v>0</v>
      </c>
      <c r="P687" s="686">
        <f t="shared" si="76"/>
        <v>1</v>
      </c>
      <c r="Q687" s="686">
        <f t="shared" si="77"/>
        <v>1</v>
      </c>
      <c r="DE687" s="494"/>
      <c r="DF687" s="496" t="s">
        <v>2448</v>
      </c>
      <c r="DG687" s="496" t="s">
        <v>8</v>
      </c>
      <c r="DH687" s="496" t="s">
        <v>689</v>
      </c>
      <c r="DI687" s="496" t="s">
        <v>2449</v>
      </c>
      <c r="DJ687" s="496" t="s">
        <v>2449</v>
      </c>
      <c r="DK687" s="496" t="s">
        <v>1554</v>
      </c>
      <c r="DL687" s="496" t="s">
        <v>1555</v>
      </c>
      <c r="DM687" s="496" t="s">
        <v>1981</v>
      </c>
      <c r="DN687" s="497" t="s">
        <v>1982</v>
      </c>
      <c r="DP687" s="543">
        <v>1</v>
      </c>
    </row>
    <row r="688" spans="2:120" ht="15">
      <c r="B688" s="683"/>
      <c r="C688" s="683"/>
      <c r="D688" s="683"/>
      <c r="E688" s="683" cm="1">
        <f t="array" ref="E688">IF(H687&lt;&gt;"",E687,IF(E687="","",IFERROR(MATCH(TRUE(),INDEX(INDEX(K:K,E687+1):K203&lt;&gt;"",0),0)+E687,"")))</f>
        <v>829</v>
      </c>
      <c r="F688" s="684" cm="1">
        <f t="array" ref="F688">IF(E688="","",IF(H687&lt;&gt;"",H687,INDEX(D:D,E688)))</f>
        <v>0</v>
      </c>
      <c r="G688" s="684" t="str">
        <f t="shared" si="72"/>
        <v>0</v>
      </c>
      <c r="H688" s="685" t="str">
        <f t="shared" si="73"/>
        <v/>
      </c>
      <c r="I688" s="683" t="str">
        <f>IF(AND(F688&lt;&gt;"",N10&gt;0,M688&gt;N10),"Mot &gt; limite","")</f>
        <v/>
      </c>
      <c r="M688" s="638">
        <f>IF(OR(F688="",N10="",N10&lt;=0),"",IF(LEN(F688)&lt;=N10,LEN(F688),IFERROR(FIND("♦",SUBSTITUTE(LEFT(F688,N10)," ","♦",LEN(LEFT(F688,N10))-LEN(SUBSTITUTE(LEFT(F688,N10)," ","")))),FIND(" ",F688&amp;" ",N10+1)-1)))</f>
        <v>1</v>
      </c>
      <c r="N688" s="686">
        <f t="shared" si="74"/>
        <v>671</v>
      </c>
      <c r="O688" s="663" t="str">
        <f t="shared" si="75"/>
        <v>0</v>
      </c>
      <c r="P688" s="686">
        <f t="shared" si="76"/>
        <v>1</v>
      </c>
      <c r="Q688" s="686">
        <f t="shared" si="77"/>
        <v>1</v>
      </c>
      <c r="DE688" s="494"/>
      <c r="DF688" s="496" t="s">
        <v>2450</v>
      </c>
      <c r="DG688" s="496" t="s">
        <v>8</v>
      </c>
      <c r="DH688" s="496" t="s">
        <v>689</v>
      </c>
      <c r="DI688" s="496" t="s">
        <v>2451</v>
      </c>
      <c r="DJ688" s="496" t="s">
        <v>2451</v>
      </c>
      <c r="DK688" s="496" t="s">
        <v>1554</v>
      </c>
      <c r="DL688" s="496" t="s">
        <v>1555</v>
      </c>
      <c r="DM688" s="496" t="s">
        <v>1981</v>
      </c>
      <c r="DN688" s="497" t="s">
        <v>1982</v>
      </c>
      <c r="DP688" s="543">
        <v>1</v>
      </c>
    </row>
    <row r="689" spans="2:120" ht="15">
      <c r="B689" s="683"/>
      <c r="C689" s="683"/>
      <c r="D689" s="683"/>
      <c r="E689" s="683" cm="1">
        <f t="array" ref="E689">IF(H688&lt;&gt;"",E688,IF(E688="","",IFERROR(MATCH(TRUE(),INDEX(INDEX(K:K,E688+1):K203&lt;&gt;"",0),0)+E688,"")))</f>
        <v>830</v>
      </c>
      <c r="F689" s="684" cm="1">
        <f t="array" ref="F689">IF(E689="","",IF(H688&lt;&gt;"",H688,INDEX(D:D,E689)))</f>
        <v>0</v>
      </c>
      <c r="G689" s="684" t="str">
        <f t="shared" si="72"/>
        <v>0</v>
      </c>
      <c r="H689" s="685" t="str">
        <f t="shared" si="73"/>
        <v/>
      </c>
      <c r="I689" s="683" t="str">
        <f>IF(AND(F689&lt;&gt;"",N10&gt;0,M689&gt;N10),"Mot &gt; limite","")</f>
        <v/>
      </c>
      <c r="M689" s="638">
        <f>IF(OR(F689="",N10="",N10&lt;=0),"",IF(LEN(F689)&lt;=N10,LEN(F689),IFERROR(FIND("♦",SUBSTITUTE(LEFT(F689,N10)," ","♦",LEN(LEFT(F689,N10))-LEN(SUBSTITUTE(LEFT(F689,N10)," ","")))),FIND(" ",F689&amp;" ",N10+1)-1)))</f>
        <v>1</v>
      </c>
      <c r="N689" s="686">
        <f t="shared" si="74"/>
        <v>672</v>
      </c>
      <c r="O689" s="663" t="str">
        <f t="shared" si="75"/>
        <v>0</v>
      </c>
      <c r="P689" s="686">
        <f t="shared" si="76"/>
        <v>1</v>
      </c>
      <c r="Q689" s="686">
        <f t="shared" si="77"/>
        <v>1</v>
      </c>
      <c r="DE689" s="494"/>
      <c r="DF689" s="496" t="s">
        <v>2452</v>
      </c>
      <c r="DG689" s="496" t="s">
        <v>8</v>
      </c>
      <c r="DH689" s="496" t="s">
        <v>689</v>
      </c>
      <c r="DI689" s="496" t="s">
        <v>2453</v>
      </c>
      <c r="DJ689" s="496" t="s">
        <v>2453</v>
      </c>
      <c r="DK689" s="496" t="s">
        <v>1554</v>
      </c>
      <c r="DL689" s="496" t="s">
        <v>1555</v>
      </c>
      <c r="DM689" s="496" t="s">
        <v>1981</v>
      </c>
      <c r="DN689" s="497" t="s">
        <v>1982</v>
      </c>
      <c r="DP689" s="543">
        <v>1</v>
      </c>
    </row>
    <row r="690" spans="2:120" ht="15">
      <c r="B690" s="683"/>
      <c r="C690" s="683"/>
      <c r="D690" s="683"/>
      <c r="E690" s="683" cm="1">
        <f t="array" ref="E690">IF(H689&lt;&gt;"",E689,IF(E689="","",IFERROR(MATCH(TRUE(),INDEX(INDEX(K:K,E689+1):K203&lt;&gt;"",0),0)+E689,"")))</f>
        <v>831</v>
      </c>
      <c r="F690" s="684" cm="1">
        <f t="array" ref="F690">IF(E690="","",IF(H689&lt;&gt;"",H689,INDEX(D:D,E690)))</f>
        <v>0</v>
      </c>
      <c r="G690" s="684" t="str">
        <f t="shared" si="72"/>
        <v>0</v>
      </c>
      <c r="H690" s="685" t="str">
        <f t="shared" si="73"/>
        <v/>
      </c>
      <c r="I690" s="683" t="str">
        <f>IF(AND(F690&lt;&gt;"",N10&gt;0,M690&gt;N10),"Mot &gt; limite","")</f>
        <v/>
      </c>
      <c r="M690" s="638">
        <f>IF(OR(F690="",N10="",N10&lt;=0),"",IF(LEN(F690)&lt;=N10,LEN(F690),IFERROR(FIND("♦",SUBSTITUTE(LEFT(F690,N10)," ","♦",LEN(LEFT(F690,N10))-LEN(SUBSTITUTE(LEFT(F690,N10)," ","")))),FIND(" ",F690&amp;" ",N10+1)-1)))</f>
        <v>1</v>
      </c>
      <c r="N690" s="686">
        <f t="shared" si="74"/>
        <v>673</v>
      </c>
      <c r="O690" s="663" t="str">
        <f t="shared" si="75"/>
        <v>0</v>
      </c>
      <c r="P690" s="686">
        <f t="shared" si="76"/>
        <v>1</v>
      </c>
      <c r="Q690" s="686">
        <f t="shared" si="77"/>
        <v>1</v>
      </c>
      <c r="DE690" s="494"/>
      <c r="DF690" s="496" t="s">
        <v>2454</v>
      </c>
      <c r="DG690" s="496" t="s">
        <v>8</v>
      </c>
      <c r="DH690" s="496" t="s">
        <v>689</v>
      </c>
      <c r="DI690" s="496" t="s">
        <v>2455</v>
      </c>
      <c r="DJ690" s="496" t="s">
        <v>2455</v>
      </c>
      <c r="DK690" s="496" t="s">
        <v>1554</v>
      </c>
      <c r="DL690" s="496" t="s">
        <v>1555</v>
      </c>
      <c r="DM690" s="496" t="s">
        <v>1981</v>
      </c>
      <c r="DN690" s="497" t="s">
        <v>1982</v>
      </c>
      <c r="DP690" s="543">
        <v>1</v>
      </c>
    </row>
    <row r="691" spans="2:120" ht="15">
      <c r="B691" s="683"/>
      <c r="C691" s="683"/>
      <c r="D691" s="683"/>
      <c r="E691" s="683" cm="1">
        <f t="array" ref="E691">IF(H690&lt;&gt;"",E690,IF(E690="","",IFERROR(MATCH(TRUE(),INDEX(INDEX(K:K,E690+1):K203&lt;&gt;"",0),0)+E690,"")))</f>
        <v>832</v>
      </c>
      <c r="F691" s="684" cm="1">
        <f t="array" ref="F691">IF(E691="","",IF(H690&lt;&gt;"",H690,INDEX(D:D,E691)))</f>
        <v>0</v>
      </c>
      <c r="G691" s="684" t="str">
        <f t="shared" si="72"/>
        <v>0</v>
      </c>
      <c r="H691" s="685" t="str">
        <f t="shared" si="73"/>
        <v/>
      </c>
      <c r="I691" s="683" t="str">
        <f>IF(AND(F691&lt;&gt;"",N10&gt;0,M691&gt;N10),"Mot &gt; limite","")</f>
        <v/>
      </c>
      <c r="M691" s="638">
        <f>IF(OR(F691="",N10="",N10&lt;=0),"",IF(LEN(F691)&lt;=N10,LEN(F691),IFERROR(FIND("♦",SUBSTITUTE(LEFT(F691,N10)," ","♦",LEN(LEFT(F691,N10))-LEN(SUBSTITUTE(LEFT(F691,N10)," ","")))),FIND(" ",F691&amp;" ",N10+1)-1)))</f>
        <v>1</v>
      </c>
      <c r="N691" s="686">
        <f t="shared" si="74"/>
        <v>674</v>
      </c>
      <c r="O691" s="663" t="str">
        <f t="shared" si="75"/>
        <v>0</v>
      </c>
      <c r="P691" s="686">
        <f t="shared" si="76"/>
        <v>1</v>
      </c>
      <c r="Q691" s="686">
        <f t="shared" si="77"/>
        <v>1</v>
      </c>
      <c r="DE691" s="494"/>
      <c r="DF691" s="496" t="s">
        <v>2456</v>
      </c>
      <c r="DG691" s="496" t="s">
        <v>8</v>
      </c>
      <c r="DH691" s="496" t="s">
        <v>689</v>
      </c>
      <c r="DI691" s="496" t="s">
        <v>2457</v>
      </c>
      <c r="DJ691" s="496" t="s">
        <v>2457</v>
      </c>
      <c r="DK691" s="496" t="s">
        <v>1554</v>
      </c>
      <c r="DL691" s="496" t="s">
        <v>1555</v>
      </c>
      <c r="DM691" s="496" t="s">
        <v>1981</v>
      </c>
      <c r="DN691" s="497" t="s">
        <v>1982</v>
      </c>
      <c r="DP691" s="543">
        <v>1</v>
      </c>
    </row>
    <row r="692" spans="2:120" ht="15">
      <c r="B692" s="683"/>
      <c r="C692" s="683"/>
      <c r="D692" s="683"/>
      <c r="E692" s="683" cm="1">
        <f t="array" ref="E692">IF(H691&lt;&gt;"",E691,IF(E691="","",IFERROR(MATCH(TRUE(),INDEX(INDEX(K:K,E691+1):K203&lt;&gt;"",0),0)+E691,"")))</f>
        <v>833</v>
      </c>
      <c r="F692" s="684" cm="1">
        <f t="array" ref="F692">IF(E692="","",IF(H691&lt;&gt;"",H691,INDEX(D:D,E692)))</f>
        <v>0</v>
      </c>
      <c r="G692" s="684" t="str">
        <f t="shared" si="72"/>
        <v>0</v>
      </c>
      <c r="H692" s="685" t="str">
        <f t="shared" si="73"/>
        <v/>
      </c>
      <c r="I692" s="683" t="str">
        <f>IF(AND(F692&lt;&gt;"",N10&gt;0,M692&gt;N10),"Mot &gt; limite","")</f>
        <v/>
      </c>
      <c r="M692" s="638">
        <f>IF(OR(F692="",N10="",N10&lt;=0),"",IF(LEN(F692)&lt;=N10,LEN(F692),IFERROR(FIND("♦",SUBSTITUTE(LEFT(F692,N10)," ","♦",LEN(LEFT(F692,N10))-LEN(SUBSTITUTE(LEFT(F692,N10)," ","")))),FIND(" ",F692&amp;" ",N10+1)-1)))</f>
        <v>1</v>
      </c>
      <c r="N692" s="686">
        <f t="shared" si="74"/>
        <v>675</v>
      </c>
      <c r="O692" s="663" t="str">
        <f t="shared" si="75"/>
        <v>0</v>
      </c>
      <c r="P692" s="686">
        <f t="shared" si="76"/>
        <v>1</v>
      </c>
      <c r="Q692" s="686">
        <f t="shared" si="77"/>
        <v>1</v>
      </c>
      <c r="DE692" s="494"/>
      <c r="DF692" s="496" t="s">
        <v>2458</v>
      </c>
      <c r="DG692" s="496" t="s">
        <v>8</v>
      </c>
      <c r="DH692" s="496" t="s">
        <v>689</v>
      </c>
      <c r="DI692" s="496" t="s">
        <v>2459</v>
      </c>
      <c r="DJ692" s="496" t="s">
        <v>2459</v>
      </c>
      <c r="DK692" s="496" t="s">
        <v>1554</v>
      </c>
      <c r="DL692" s="496" t="s">
        <v>1555</v>
      </c>
      <c r="DM692" s="496" t="s">
        <v>1981</v>
      </c>
      <c r="DN692" s="497" t="s">
        <v>1982</v>
      </c>
      <c r="DP692" s="543">
        <v>1</v>
      </c>
    </row>
    <row r="693" spans="2:120" ht="15">
      <c r="B693" s="683"/>
      <c r="C693" s="683"/>
      <c r="D693" s="683"/>
      <c r="E693" s="683" cm="1">
        <f t="array" ref="E693">IF(H692&lt;&gt;"",E692,IF(E692="","",IFERROR(MATCH(TRUE(),INDEX(INDEX(K:K,E692+1):K203&lt;&gt;"",0),0)+E692,"")))</f>
        <v>834</v>
      </c>
      <c r="F693" s="684" cm="1">
        <f t="array" ref="F693">IF(E693="","",IF(H692&lt;&gt;"",H692,INDEX(D:D,E693)))</f>
        <v>0</v>
      </c>
      <c r="G693" s="684" t="str">
        <f t="shared" si="72"/>
        <v>0</v>
      </c>
      <c r="H693" s="685" t="str">
        <f t="shared" si="73"/>
        <v/>
      </c>
      <c r="I693" s="683" t="str">
        <f>IF(AND(F693&lt;&gt;"",N10&gt;0,M693&gt;N10),"Mot &gt; limite","")</f>
        <v/>
      </c>
      <c r="M693" s="638">
        <f>IF(OR(F693="",N10="",N10&lt;=0),"",IF(LEN(F693)&lt;=N10,LEN(F693),IFERROR(FIND("♦",SUBSTITUTE(LEFT(F693,N10)," ","♦",LEN(LEFT(F693,N10))-LEN(SUBSTITUTE(LEFT(F693,N10)," ","")))),FIND(" ",F693&amp;" ",N10+1)-1)))</f>
        <v>1</v>
      </c>
      <c r="N693" s="686">
        <f t="shared" si="74"/>
        <v>676</v>
      </c>
      <c r="O693" s="663" t="str">
        <f t="shared" si="75"/>
        <v>0</v>
      </c>
      <c r="P693" s="686">
        <f t="shared" si="76"/>
        <v>1</v>
      </c>
      <c r="Q693" s="686">
        <f t="shared" si="77"/>
        <v>1</v>
      </c>
      <c r="DE693" s="494"/>
      <c r="DF693" s="496" t="s">
        <v>2460</v>
      </c>
      <c r="DG693" s="496" t="s">
        <v>8</v>
      </c>
      <c r="DH693" s="496" t="s">
        <v>689</v>
      </c>
      <c r="DI693" s="496" t="s">
        <v>2461</v>
      </c>
      <c r="DJ693" s="496" t="s">
        <v>2461</v>
      </c>
      <c r="DK693" s="496" t="s">
        <v>1554</v>
      </c>
      <c r="DL693" s="496" t="s">
        <v>1555</v>
      </c>
      <c r="DM693" s="496" t="s">
        <v>1981</v>
      </c>
      <c r="DN693" s="497" t="s">
        <v>1982</v>
      </c>
      <c r="DP693" s="543">
        <v>1</v>
      </c>
    </row>
    <row r="694" spans="2:120" ht="15">
      <c r="B694" s="683"/>
      <c r="C694" s="683"/>
      <c r="D694" s="683"/>
      <c r="E694" s="683" cm="1">
        <f t="array" ref="E694">IF(H693&lt;&gt;"",E693,IF(E693="","",IFERROR(MATCH(TRUE(),INDEX(INDEX(K:K,E693+1):K203&lt;&gt;"",0),0)+E693,"")))</f>
        <v>835</v>
      </c>
      <c r="F694" s="684" cm="1">
        <f t="array" ref="F694">IF(E694="","",IF(H693&lt;&gt;"",H693,INDEX(D:D,E694)))</f>
        <v>0</v>
      </c>
      <c r="G694" s="684" t="str">
        <f t="shared" si="72"/>
        <v>0</v>
      </c>
      <c r="H694" s="685" t="str">
        <f t="shared" si="73"/>
        <v/>
      </c>
      <c r="I694" s="683" t="str">
        <f>IF(AND(F694&lt;&gt;"",N10&gt;0,M694&gt;N10),"Mot &gt; limite","")</f>
        <v/>
      </c>
      <c r="M694" s="638">
        <f>IF(OR(F694="",N10="",N10&lt;=0),"",IF(LEN(F694)&lt;=N10,LEN(F694),IFERROR(FIND("♦",SUBSTITUTE(LEFT(F694,N10)," ","♦",LEN(LEFT(F694,N10))-LEN(SUBSTITUTE(LEFT(F694,N10)," ","")))),FIND(" ",F694&amp;" ",N10+1)-1)))</f>
        <v>1</v>
      </c>
      <c r="N694" s="686">
        <f t="shared" si="74"/>
        <v>677</v>
      </c>
      <c r="O694" s="663" t="str">
        <f t="shared" si="75"/>
        <v>0</v>
      </c>
      <c r="P694" s="686">
        <f t="shared" si="76"/>
        <v>1</v>
      </c>
      <c r="Q694" s="686">
        <f t="shared" si="77"/>
        <v>1</v>
      </c>
      <c r="DE694" s="494"/>
      <c r="DF694" s="496" t="s">
        <v>2462</v>
      </c>
      <c r="DG694" s="496" t="s">
        <v>8</v>
      </c>
      <c r="DH694" s="496" t="s">
        <v>689</v>
      </c>
      <c r="DI694" s="496" t="s">
        <v>2463</v>
      </c>
      <c r="DJ694" s="496" t="s">
        <v>2463</v>
      </c>
      <c r="DK694" s="496" t="s">
        <v>1554</v>
      </c>
      <c r="DL694" s="496" t="s">
        <v>1555</v>
      </c>
      <c r="DM694" s="496" t="s">
        <v>1981</v>
      </c>
      <c r="DN694" s="497" t="s">
        <v>1982</v>
      </c>
      <c r="DP694" s="543">
        <v>1</v>
      </c>
    </row>
    <row r="695" spans="2:120" ht="15">
      <c r="B695" s="683"/>
      <c r="C695" s="683"/>
      <c r="D695" s="683"/>
      <c r="E695" s="683" cm="1">
        <f t="array" ref="E695">IF(H694&lt;&gt;"",E694,IF(E694="","",IFERROR(MATCH(TRUE(),INDEX(INDEX(K:K,E694+1):K203&lt;&gt;"",0),0)+E694,"")))</f>
        <v>836</v>
      </c>
      <c r="F695" s="684" cm="1">
        <f t="array" ref="F695">IF(E695="","",IF(H694&lt;&gt;"",H694,INDEX(D:D,E695)))</f>
        <v>0</v>
      </c>
      <c r="G695" s="684" t="str">
        <f t="shared" si="72"/>
        <v>0</v>
      </c>
      <c r="H695" s="685" t="str">
        <f t="shared" si="73"/>
        <v/>
      </c>
      <c r="I695" s="683" t="str">
        <f>IF(AND(F695&lt;&gt;"",N10&gt;0,M695&gt;N10),"Mot &gt; limite","")</f>
        <v/>
      </c>
      <c r="M695" s="638">
        <f>IF(OR(F695="",N10="",N10&lt;=0),"",IF(LEN(F695)&lt;=N10,LEN(F695),IFERROR(FIND("♦",SUBSTITUTE(LEFT(F695,N10)," ","♦",LEN(LEFT(F695,N10))-LEN(SUBSTITUTE(LEFT(F695,N10)," ","")))),FIND(" ",F695&amp;" ",N10+1)-1)))</f>
        <v>1</v>
      </c>
      <c r="N695" s="686">
        <f t="shared" si="74"/>
        <v>678</v>
      </c>
      <c r="O695" s="663" t="str">
        <f t="shared" si="75"/>
        <v>0</v>
      </c>
      <c r="P695" s="686">
        <f t="shared" si="76"/>
        <v>1</v>
      </c>
      <c r="Q695" s="686">
        <f t="shared" si="77"/>
        <v>1</v>
      </c>
      <c r="DE695" s="494"/>
      <c r="DF695" s="496" t="s">
        <v>2464</v>
      </c>
      <c r="DG695" s="496" t="s">
        <v>8</v>
      </c>
      <c r="DH695" s="496" t="s">
        <v>689</v>
      </c>
      <c r="DI695" s="496" t="s">
        <v>171</v>
      </c>
      <c r="DJ695" s="496" t="s">
        <v>171</v>
      </c>
      <c r="DK695" s="496" t="s">
        <v>1554</v>
      </c>
      <c r="DL695" s="496" t="s">
        <v>1555</v>
      </c>
      <c r="DM695" s="496" t="s">
        <v>1981</v>
      </c>
      <c r="DN695" s="497" t="s">
        <v>1982</v>
      </c>
      <c r="DP695" s="543">
        <v>1</v>
      </c>
    </row>
    <row r="696" spans="2:120" ht="15">
      <c r="B696" s="683"/>
      <c r="C696" s="683"/>
      <c r="D696" s="683"/>
      <c r="E696" s="683" cm="1">
        <f t="array" ref="E696">IF(H695&lt;&gt;"",E695,IF(E695="","",IFERROR(MATCH(TRUE(),INDEX(INDEX(K:K,E695+1):K203&lt;&gt;"",0),0)+E695,"")))</f>
        <v>837</v>
      </c>
      <c r="F696" s="684" cm="1">
        <f t="array" ref="F696">IF(E696="","",IF(H695&lt;&gt;"",H695,INDEX(D:D,E696)))</f>
        <v>0</v>
      </c>
      <c r="G696" s="684" t="str">
        <f t="shared" si="72"/>
        <v>0</v>
      </c>
      <c r="H696" s="685" t="str">
        <f t="shared" si="73"/>
        <v/>
      </c>
      <c r="I696" s="683" t="str">
        <f>IF(AND(F696&lt;&gt;"",N10&gt;0,M696&gt;N10),"Mot &gt; limite","")</f>
        <v/>
      </c>
      <c r="M696" s="638">
        <f>IF(OR(F696="",N10="",N10&lt;=0),"",IF(LEN(F696)&lt;=N10,LEN(F696),IFERROR(FIND("♦",SUBSTITUTE(LEFT(F696,N10)," ","♦",LEN(LEFT(F696,N10))-LEN(SUBSTITUTE(LEFT(F696,N10)," ","")))),FIND(" ",F696&amp;" ",N10+1)-1)))</f>
        <v>1</v>
      </c>
      <c r="N696" s="686">
        <f t="shared" si="74"/>
        <v>679</v>
      </c>
      <c r="O696" s="663" t="str">
        <f t="shared" si="75"/>
        <v>0</v>
      </c>
      <c r="P696" s="686">
        <f t="shared" si="76"/>
        <v>1</v>
      </c>
      <c r="Q696" s="686">
        <f t="shared" si="77"/>
        <v>1</v>
      </c>
      <c r="DE696" s="494"/>
      <c r="DF696" s="496" t="s">
        <v>2465</v>
      </c>
      <c r="DG696" s="496" t="s">
        <v>8</v>
      </c>
      <c r="DH696" s="496" t="s">
        <v>689</v>
      </c>
      <c r="DI696" s="496" t="s">
        <v>2466</v>
      </c>
      <c r="DJ696" s="496" t="s">
        <v>2466</v>
      </c>
      <c r="DK696" s="496" t="s">
        <v>1554</v>
      </c>
      <c r="DL696" s="496" t="s">
        <v>1555</v>
      </c>
      <c r="DM696" s="496" t="s">
        <v>1981</v>
      </c>
      <c r="DN696" s="497" t="s">
        <v>1982</v>
      </c>
      <c r="DP696" s="543">
        <v>1</v>
      </c>
    </row>
    <row r="697" spans="2:120" ht="15">
      <c r="B697" s="683"/>
      <c r="C697" s="683"/>
      <c r="D697" s="683"/>
      <c r="E697" s="683" cm="1">
        <f t="array" ref="E697">IF(H696&lt;&gt;"",E696,IF(E696="","",IFERROR(MATCH(TRUE(),INDEX(INDEX(K:K,E696+1):K203&lt;&gt;"",0),0)+E696,"")))</f>
        <v>838</v>
      </c>
      <c r="F697" s="684" cm="1">
        <f t="array" ref="F697">IF(E697="","",IF(H696&lt;&gt;"",H696,INDEX(D:D,E697)))</f>
        <v>0</v>
      </c>
      <c r="G697" s="684" t="str">
        <f t="shared" si="72"/>
        <v>0</v>
      </c>
      <c r="H697" s="685" t="str">
        <f t="shared" si="73"/>
        <v/>
      </c>
      <c r="I697" s="683" t="str">
        <f>IF(AND(F697&lt;&gt;"",N10&gt;0,M697&gt;N10),"Mot &gt; limite","")</f>
        <v/>
      </c>
      <c r="M697" s="638">
        <f>IF(OR(F697="",N10="",N10&lt;=0),"",IF(LEN(F697)&lt;=N10,LEN(F697),IFERROR(FIND("♦",SUBSTITUTE(LEFT(F697,N10)," ","♦",LEN(LEFT(F697,N10))-LEN(SUBSTITUTE(LEFT(F697,N10)," ","")))),FIND(" ",F697&amp;" ",N10+1)-1)))</f>
        <v>1</v>
      </c>
      <c r="N697" s="686">
        <f t="shared" si="74"/>
        <v>680</v>
      </c>
      <c r="O697" s="663" t="str">
        <f t="shared" si="75"/>
        <v>0</v>
      </c>
      <c r="P697" s="686">
        <f t="shared" si="76"/>
        <v>1</v>
      </c>
      <c r="Q697" s="686">
        <f t="shared" si="77"/>
        <v>1</v>
      </c>
      <c r="DE697" s="494"/>
      <c r="DF697" s="496" t="s">
        <v>2467</v>
      </c>
      <c r="DG697" s="496" t="s">
        <v>8</v>
      </c>
      <c r="DH697" s="496" t="s">
        <v>689</v>
      </c>
      <c r="DI697" s="496" t="s">
        <v>2468</v>
      </c>
      <c r="DJ697" s="496" t="s">
        <v>2468</v>
      </c>
      <c r="DK697" s="496" t="s">
        <v>1554</v>
      </c>
      <c r="DL697" s="496" t="s">
        <v>1555</v>
      </c>
      <c r="DM697" s="496" t="s">
        <v>1981</v>
      </c>
      <c r="DN697" s="497" t="s">
        <v>1982</v>
      </c>
      <c r="DP697" s="543">
        <v>1</v>
      </c>
    </row>
    <row r="698" spans="2:120" ht="15">
      <c r="B698" s="683"/>
      <c r="C698" s="683"/>
      <c r="D698" s="683"/>
      <c r="E698" s="683" cm="1">
        <f t="array" ref="E698">IF(H697&lt;&gt;"",E697,IF(E697="","",IFERROR(MATCH(TRUE(),INDEX(INDEX(K:K,E697+1):K203&lt;&gt;"",0),0)+E697,"")))</f>
        <v>839</v>
      </c>
      <c r="F698" s="684" cm="1">
        <f t="array" ref="F698">IF(E698="","",IF(H697&lt;&gt;"",H697,INDEX(D:D,E698)))</f>
        <v>0</v>
      </c>
      <c r="G698" s="684" t="str">
        <f t="shared" si="72"/>
        <v>0</v>
      </c>
      <c r="H698" s="685" t="str">
        <f t="shared" si="73"/>
        <v/>
      </c>
      <c r="I698" s="683" t="str">
        <f>IF(AND(F698&lt;&gt;"",N10&gt;0,M698&gt;N10),"Mot &gt; limite","")</f>
        <v/>
      </c>
      <c r="M698" s="638">
        <f>IF(OR(F698="",N10="",N10&lt;=0),"",IF(LEN(F698)&lt;=N10,LEN(F698),IFERROR(FIND("♦",SUBSTITUTE(LEFT(F698,N10)," ","♦",LEN(LEFT(F698,N10))-LEN(SUBSTITUTE(LEFT(F698,N10)," ","")))),FIND(" ",F698&amp;" ",N10+1)-1)))</f>
        <v>1</v>
      </c>
      <c r="N698" s="686">
        <f t="shared" si="74"/>
        <v>681</v>
      </c>
      <c r="O698" s="663" t="str">
        <f t="shared" si="75"/>
        <v>0</v>
      </c>
      <c r="P698" s="686">
        <f t="shared" si="76"/>
        <v>1</v>
      </c>
      <c r="Q698" s="686">
        <f t="shared" si="77"/>
        <v>1</v>
      </c>
      <c r="DE698" s="494"/>
      <c r="DF698" s="496" t="s">
        <v>2469</v>
      </c>
      <c r="DG698" s="496" t="s">
        <v>8</v>
      </c>
      <c r="DH698" s="496" t="s">
        <v>689</v>
      </c>
      <c r="DI698" s="496" t="s">
        <v>2470</v>
      </c>
      <c r="DJ698" s="496" t="s">
        <v>2470</v>
      </c>
      <c r="DK698" s="496" t="s">
        <v>1554</v>
      </c>
      <c r="DL698" s="496" t="s">
        <v>1555</v>
      </c>
      <c r="DM698" s="496" t="s">
        <v>1981</v>
      </c>
      <c r="DN698" s="497" t="s">
        <v>1982</v>
      </c>
      <c r="DP698" s="543">
        <v>1</v>
      </c>
    </row>
    <row r="699" spans="2:120" ht="15">
      <c r="B699" s="683"/>
      <c r="C699" s="683"/>
      <c r="D699" s="683"/>
      <c r="E699" s="683" cm="1">
        <f t="array" ref="E699">IF(H698&lt;&gt;"",E698,IF(E698="","",IFERROR(MATCH(TRUE(),INDEX(INDEX(K:K,E698+1):K203&lt;&gt;"",0),0)+E698,"")))</f>
        <v>840</v>
      </c>
      <c r="F699" s="684" cm="1">
        <f t="array" ref="F699">IF(E699="","",IF(H698&lt;&gt;"",H698,INDEX(D:D,E699)))</f>
        <v>0</v>
      </c>
      <c r="G699" s="684" t="str">
        <f t="shared" si="72"/>
        <v>0</v>
      </c>
      <c r="H699" s="685" t="str">
        <f t="shared" si="73"/>
        <v/>
      </c>
      <c r="I699" s="683" t="str">
        <f>IF(AND(F699&lt;&gt;"",N10&gt;0,M699&gt;N10),"Mot &gt; limite","")</f>
        <v/>
      </c>
      <c r="M699" s="638">
        <f>IF(OR(F699="",N10="",N10&lt;=0),"",IF(LEN(F699)&lt;=N10,LEN(F699),IFERROR(FIND("♦",SUBSTITUTE(LEFT(F699,N10)," ","♦",LEN(LEFT(F699,N10))-LEN(SUBSTITUTE(LEFT(F699,N10)," ","")))),FIND(" ",F699&amp;" ",N10+1)-1)))</f>
        <v>1</v>
      </c>
      <c r="N699" s="686">
        <f t="shared" si="74"/>
        <v>682</v>
      </c>
      <c r="O699" s="663" t="str">
        <f t="shared" si="75"/>
        <v>0</v>
      </c>
      <c r="P699" s="686">
        <f t="shared" si="76"/>
        <v>1</v>
      </c>
      <c r="Q699" s="686">
        <f t="shared" si="77"/>
        <v>1</v>
      </c>
      <c r="DE699" s="494"/>
      <c r="DF699" s="496" t="s">
        <v>2471</v>
      </c>
      <c r="DG699" s="496" t="s">
        <v>8</v>
      </c>
      <c r="DH699" s="496" t="s">
        <v>689</v>
      </c>
      <c r="DI699" s="496" t="s">
        <v>2472</v>
      </c>
      <c r="DJ699" s="496" t="s">
        <v>2472</v>
      </c>
      <c r="DK699" s="496" t="s">
        <v>1554</v>
      </c>
      <c r="DL699" s="496" t="s">
        <v>1555</v>
      </c>
      <c r="DM699" s="496" t="s">
        <v>1981</v>
      </c>
      <c r="DN699" s="497" t="s">
        <v>1982</v>
      </c>
      <c r="DP699" s="543">
        <v>1</v>
      </c>
    </row>
    <row r="700" spans="2:120" ht="15">
      <c r="B700" s="683"/>
      <c r="C700" s="683"/>
      <c r="D700" s="683"/>
      <c r="E700" s="683" cm="1">
        <f t="array" ref="E700">IF(H699&lt;&gt;"",E699,IF(E699="","",IFERROR(MATCH(TRUE(),INDEX(INDEX(K:K,E699+1):K203&lt;&gt;"",0),0)+E699,"")))</f>
        <v>841</v>
      </c>
      <c r="F700" s="684" cm="1">
        <f t="array" ref="F700">IF(E700="","",IF(H699&lt;&gt;"",H699,INDEX(D:D,E700)))</f>
        <v>0</v>
      </c>
      <c r="G700" s="684" t="str">
        <f t="shared" si="72"/>
        <v>0</v>
      </c>
      <c r="H700" s="685" t="str">
        <f t="shared" si="73"/>
        <v/>
      </c>
      <c r="I700" s="683" t="str">
        <f>IF(AND(F700&lt;&gt;"",N10&gt;0,M700&gt;N10),"Mot &gt; limite","")</f>
        <v/>
      </c>
      <c r="M700" s="638">
        <f>IF(OR(F700="",N10="",N10&lt;=0),"",IF(LEN(F700)&lt;=N10,LEN(F700),IFERROR(FIND("♦",SUBSTITUTE(LEFT(F700,N10)," ","♦",LEN(LEFT(F700,N10))-LEN(SUBSTITUTE(LEFT(F700,N10)," ","")))),FIND(" ",F700&amp;" ",N10+1)-1)))</f>
        <v>1</v>
      </c>
      <c r="N700" s="686">
        <f t="shared" si="74"/>
        <v>683</v>
      </c>
      <c r="O700" s="663" t="str">
        <f t="shared" si="75"/>
        <v>0</v>
      </c>
      <c r="P700" s="686">
        <f t="shared" si="76"/>
        <v>1</v>
      </c>
      <c r="Q700" s="686">
        <f t="shared" si="77"/>
        <v>1</v>
      </c>
      <c r="DE700" s="494"/>
      <c r="DF700" s="496" t="s">
        <v>2473</v>
      </c>
      <c r="DG700" s="496" t="s">
        <v>8</v>
      </c>
      <c r="DH700" s="496" t="s">
        <v>689</v>
      </c>
      <c r="DI700" s="496" t="s">
        <v>2474</v>
      </c>
      <c r="DJ700" s="496" t="s">
        <v>2474</v>
      </c>
      <c r="DK700" s="496" t="s">
        <v>1554</v>
      </c>
      <c r="DL700" s="496" t="s">
        <v>1555</v>
      </c>
      <c r="DM700" s="496" t="s">
        <v>1981</v>
      </c>
      <c r="DN700" s="497" t="s">
        <v>1982</v>
      </c>
      <c r="DP700" s="543">
        <v>1</v>
      </c>
    </row>
    <row r="701" spans="2:120" ht="15">
      <c r="B701" s="683"/>
      <c r="C701" s="683"/>
      <c r="D701" s="683"/>
      <c r="E701" s="683" cm="1">
        <f t="array" ref="E701">IF(H700&lt;&gt;"",E700,IF(E700="","",IFERROR(MATCH(TRUE(),INDEX(INDEX(K:K,E700+1):K203&lt;&gt;"",0),0)+E700,"")))</f>
        <v>842</v>
      </c>
      <c r="F701" s="684" cm="1">
        <f t="array" ref="F701">IF(E701="","",IF(H700&lt;&gt;"",H700,INDEX(D:D,E701)))</f>
        <v>0</v>
      </c>
      <c r="G701" s="684" t="str">
        <f t="shared" si="72"/>
        <v>0</v>
      </c>
      <c r="H701" s="685" t="str">
        <f t="shared" si="73"/>
        <v/>
      </c>
      <c r="I701" s="683" t="str">
        <f>IF(AND(F701&lt;&gt;"",N10&gt;0,M701&gt;N10),"Mot &gt; limite","")</f>
        <v/>
      </c>
      <c r="M701" s="638">
        <f>IF(OR(F701="",N10="",N10&lt;=0),"",IF(LEN(F701)&lt;=N10,LEN(F701),IFERROR(FIND("♦",SUBSTITUTE(LEFT(F701,N10)," ","♦",LEN(LEFT(F701,N10))-LEN(SUBSTITUTE(LEFT(F701,N10)," ","")))),FIND(" ",F701&amp;" ",N10+1)-1)))</f>
        <v>1</v>
      </c>
      <c r="N701" s="686">
        <f t="shared" si="74"/>
        <v>684</v>
      </c>
      <c r="O701" s="663" t="str">
        <f t="shared" si="75"/>
        <v>0</v>
      </c>
      <c r="P701" s="686">
        <f t="shared" si="76"/>
        <v>1</v>
      </c>
      <c r="Q701" s="686">
        <f t="shared" si="77"/>
        <v>1</v>
      </c>
      <c r="DE701" s="494"/>
      <c r="DF701" s="496" t="s">
        <v>2475</v>
      </c>
      <c r="DG701" s="496" t="s">
        <v>8</v>
      </c>
      <c r="DH701" s="496" t="s">
        <v>689</v>
      </c>
      <c r="DI701" s="496" t="s">
        <v>2476</v>
      </c>
      <c r="DJ701" s="496" t="s">
        <v>2476</v>
      </c>
      <c r="DK701" s="496" t="s">
        <v>1554</v>
      </c>
      <c r="DL701" s="496" t="s">
        <v>1555</v>
      </c>
      <c r="DM701" s="496" t="s">
        <v>1981</v>
      </c>
      <c r="DN701" s="497" t="s">
        <v>1982</v>
      </c>
      <c r="DP701" s="543">
        <v>1</v>
      </c>
    </row>
    <row r="702" spans="2:120" ht="15">
      <c r="B702" s="683"/>
      <c r="C702" s="683"/>
      <c r="D702" s="683"/>
      <c r="E702" s="683" cm="1">
        <f t="array" ref="E702">IF(H701&lt;&gt;"",E701,IF(E701="","",IFERROR(MATCH(TRUE(),INDEX(INDEX(K:K,E701+1):K203&lt;&gt;"",0),0)+E701,"")))</f>
        <v>843</v>
      </c>
      <c r="F702" s="684" cm="1">
        <f t="array" ref="F702">IF(E702="","",IF(H701&lt;&gt;"",H701,INDEX(D:D,E702)))</f>
        <v>0</v>
      </c>
      <c r="G702" s="684" t="str">
        <f t="shared" si="72"/>
        <v>0</v>
      </c>
      <c r="H702" s="685" t="str">
        <f t="shared" si="73"/>
        <v/>
      </c>
      <c r="I702" s="683" t="str">
        <f>IF(AND(F702&lt;&gt;"",N10&gt;0,M702&gt;N10),"Mot &gt; limite","")</f>
        <v/>
      </c>
      <c r="M702" s="638">
        <f>IF(OR(F702="",N10="",N10&lt;=0),"",IF(LEN(F702)&lt;=N10,LEN(F702),IFERROR(FIND("♦",SUBSTITUTE(LEFT(F702,N10)," ","♦",LEN(LEFT(F702,N10))-LEN(SUBSTITUTE(LEFT(F702,N10)," ","")))),FIND(" ",F702&amp;" ",N10+1)-1)))</f>
        <v>1</v>
      </c>
      <c r="N702" s="686">
        <f t="shared" si="74"/>
        <v>685</v>
      </c>
      <c r="O702" s="663" t="str">
        <f t="shared" si="75"/>
        <v>0</v>
      </c>
      <c r="P702" s="686">
        <f t="shared" si="76"/>
        <v>1</v>
      </c>
      <c r="Q702" s="686">
        <f t="shared" si="77"/>
        <v>1</v>
      </c>
      <c r="DE702" s="494"/>
      <c r="DF702" s="496" t="s">
        <v>2477</v>
      </c>
      <c r="DG702" s="496" t="s">
        <v>8</v>
      </c>
      <c r="DH702" s="496" t="s">
        <v>689</v>
      </c>
      <c r="DI702" s="496" t="s">
        <v>2478</v>
      </c>
      <c r="DJ702" s="496" t="s">
        <v>2478</v>
      </c>
      <c r="DK702" s="496" t="s">
        <v>1554</v>
      </c>
      <c r="DL702" s="496" t="s">
        <v>1555</v>
      </c>
      <c r="DM702" s="496" t="s">
        <v>1981</v>
      </c>
      <c r="DN702" s="497" t="s">
        <v>1982</v>
      </c>
      <c r="DP702" s="543">
        <v>1</v>
      </c>
    </row>
    <row r="703" spans="2:120" ht="15">
      <c r="B703" s="683"/>
      <c r="C703" s="683"/>
      <c r="D703" s="683"/>
      <c r="E703" s="683" cm="1">
        <f t="array" ref="E703">IF(H702&lt;&gt;"",E702,IF(E702="","",IFERROR(MATCH(TRUE(),INDEX(INDEX(K:K,E702+1):K203&lt;&gt;"",0),0)+E702,"")))</f>
        <v>844</v>
      </c>
      <c r="F703" s="684" cm="1">
        <f t="array" ref="F703">IF(E703="","",IF(H702&lt;&gt;"",H702,INDEX(D:D,E703)))</f>
        <v>0</v>
      </c>
      <c r="G703" s="684" t="str">
        <f t="shared" si="72"/>
        <v>0</v>
      </c>
      <c r="H703" s="685" t="str">
        <f t="shared" si="73"/>
        <v/>
      </c>
      <c r="I703" s="683" t="str">
        <f>IF(AND(F703&lt;&gt;"",N10&gt;0,M703&gt;N10),"Mot &gt; limite","")</f>
        <v/>
      </c>
      <c r="M703" s="638">
        <f>IF(OR(F703="",N10="",N10&lt;=0),"",IF(LEN(F703)&lt;=N10,LEN(F703),IFERROR(FIND("♦",SUBSTITUTE(LEFT(F703,N10)," ","♦",LEN(LEFT(F703,N10))-LEN(SUBSTITUTE(LEFT(F703,N10)," ","")))),FIND(" ",F703&amp;" ",N10+1)-1)))</f>
        <v>1</v>
      </c>
      <c r="N703" s="686">
        <f t="shared" si="74"/>
        <v>686</v>
      </c>
      <c r="O703" s="663" t="str">
        <f t="shared" si="75"/>
        <v>0</v>
      </c>
      <c r="P703" s="686">
        <f t="shared" si="76"/>
        <v>1</v>
      </c>
      <c r="Q703" s="686">
        <f t="shared" si="77"/>
        <v>1</v>
      </c>
      <c r="DE703" s="494"/>
      <c r="DF703" s="496" t="s">
        <v>2479</v>
      </c>
      <c r="DG703" s="496" t="s">
        <v>8</v>
      </c>
      <c r="DH703" s="496" t="s">
        <v>689</v>
      </c>
      <c r="DI703" s="496" t="s">
        <v>1025</v>
      </c>
      <c r="DJ703" s="496" t="s">
        <v>1025</v>
      </c>
      <c r="DK703" s="496" t="s">
        <v>1554</v>
      </c>
      <c r="DL703" s="496" t="s">
        <v>1555</v>
      </c>
      <c r="DM703" s="496" t="s">
        <v>1981</v>
      </c>
      <c r="DN703" s="497" t="s">
        <v>1982</v>
      </c>
      <c r="DP703" s="543">
        <v>1</v>
      </c>
    </row>
    <row r="704" spans="2:120" ht="15">
      <c r="B704" s="683"/>
      <c r="C704" s="683"/>
      <c r="D704" s="683"/>
      <c r="E704" s="683" cm="1">
        <f t="array" ref="E704">IF(H703&lt;&gt;"",E703,IF(E703="","",IFERROR(MATCH(TRUE(),INDEX(INDEX(K:K,E703+1):K203&lt;&gt;"",0),0)+E703,"")))</f>
        <v>845</v>
      </c>
      <c r="F704" s="684" cm="1">
        <f t="array" ref="F704">IF(E704="","",IF(H703&lt;&gt;"",H703,INDEX(D:D,E704)))</f>
        <v>0</v>
      </c>
      <c r="G704" s="684" t="str">
        <f t="shared" si="72"/>
        <v>0</v>
      </c>
      <c r="H704" s="685" t="str">
        <f t="shared" si="73"/>
        <v/>
      </c>
      <c r="I704" s="683" t="str">
        <f>IF(AND(F704&lt;&gt;"",N10&gt;0,M704&gt;N10),"Mot &gt; limite","")</f>
        <v/>
      </c>
      <c r="M704" s="638">
        <f>IF(OR(F704="",N10="",N10&lt;=0),"",IF(LEN(F704)&lt;=N10,LEN(F704),IFERROR(FIND("♦",SUBSTITUTE(LEFT(F704,N10)," ","♦",LEN(LEFT(F704,N10))-LEN(SUBSTITUTE(LEFT(F704,N10)," ","")))),FIND(" ",F704&amp;" ",N10+1)-1)))</f>
        <v>1</v>
      </c>
      <c r="N704" s="686">
        <f t="shared" si="74"/>
        <v>687</v>
      </c>
      <c r="O704" s="663" t="str">
        <f t="shared" si="75"/>
        <v>0</v>
      </c>
      <c r="P704" s="686">
        <f t="shared" si="76"/>
        <v>1</v>
      </c>
      <c r="Q704" s="686">
        <f t="shared" si="77"/>
        <v>1</v>
      </c>
      <c r="DE704" s="494"/>
      <c r="DF704" s="496" t="s">
        <v>2480</v>
      </c>
      <c r="DG704" s="496" t="s">
        <v>8</v>
      </c>
      <c r="DH704" s="496" t="s">
        <v>689</v>
      </c>
      <c r="DI704" s="496" t="s">
        <v>2481</v>
      </c>
      <c r="DJ704" s="496" t="s">
        <v>2481</v>
      </c>
      <c r="DK704" s="496" t="s">
        <v>1554</v>
      </c>
      <c r="DL704" s="496" t="s">
        <v>1555</v>
      </c>
      <c r="DM704" s="496" t="s">
        <v>1981</v>
      </c>
      <c r="DN704" s="497" t="s">
        <v>1982</v>
      </c>
      <c r="DP704" s="543">
        <v>1</v>
      </c>
    </row>
    <row r="705" spans="2:120" ht="15">
      <c r="B705" s="683"/>
      <c r="C705" s="683"/>
      <c r="D705" s="683"/>
      <c r="E705" s="683" cm="1">
        <f t="array" ref="E705">IF(H704&lt;&gt;"",E704,IF(E704="","",IFERROR(MATCH(TRUE(),INDEX(INDEX(K:K,E704+1):K203&lt;&gt;"",0),0)+E704,"")))</f>
        <v>846</v>
      </c>
      <c r="F705" s="684" cm="1">
        <f t="array" ref="F705">IF(E705="","",IF(H704&lt;&gt;"",H704,INDEX(D:D,E705)))</f>
        <v>0</v>
      </c>
      <c r="G705" s="684" t="str">
        <f t="shared" si="72"/>
        <v>0</v>
      </c>
      <c r="H705" s="685" t="str">
        <f t="shared" si="73"/>
        <v/>
      </c>
      <c r="I705" s="683" t="str">
        <f>IF(AND(F705&lt;&gt;"",N10&gt;0,M705&gt;N10),"Mot &gt; limite","")</f>
        <v/>
      </c>
      <c r="M705" s="638">
        <f>IF(OR(F705="",N10="",N10&lt;=0),"",IF(LEN(F705)&lt;=N10,LEN(F705),IFERROR(FIND("♦",SUBSTITUTE(LEFT(F705,N10)," ","♦",LEN(LEFT(F705,N10))-LEN(SUBSTITUTE(LEFT(F705,N10)," ","")))),FIND(" ",F705&amp;" ",N10+1)-1)))</f>
        <v>1</v>
      </c>
      <c r="N705" s="686">
        <f t="shared" si="74"/>
        <v>688</v>
      </c>
      <c r="O705" s="663" t="str">
        <f t="shared" si="75"/>
        <v>0</v>
      </c>
      <c r="P705" s="686">
        <f t="shared" si="76"/>
        <v>1</v>
      </c>
      <c r="Q705" s="686">
        <f t="shared" si="77"/>
        <v>1</v>
      </c>
      <c r="DE705" s="494"/>
      <c r="DF705" s="496" t="s">
        <v>2482</v>
      </c>
      <c r="DG705" s="496" t="s">
        <v>8</v>
      </c>
      <c r="DH705" s="496" t="s">
        <v>689</v>
      </c>
      <c r="DI705" s="496" t="s">
        <v>2483</v>
      </c>
      <c r="DJ705" s="496" t="s">
        <v>2483</v>
      </c>
      <c r="DK705" s="496" t="s">
        <v>1554</v>
      </c>
      <c r="DL705" s="496" t="s">
        <v>1555</v>
      </c>
      <c r="DM705" s="496" t="s">
        <v>1981</v>
      </c>
      <c r="DN705" s="497" t="s">
        <v>1982</v>
      </c>
      <c r="DP705" s="543">
        <v>1</v>
      </c>
    </row>
    <row r="706" spans="2:120" ht="15">
      <c r="B706" s="683"/>
      <c r="C706" s="683"/>
      <c r="D706" s="683"/>
      <c r="E706" s="683" cm="1">
        <f t="array" ref="E706">IF(H705&lt;&gt;"",E705,IF(E705="","",IFERROR(MATCH(TRUE(),INDEX(INDEX(K:K,E705+1):K203&lt;&gt;"",0),0)+E705,"")))</f>
        <v>847</v>
      </c>
      <c r="F706" s="684" cm="1">
        <f t="array" ref="F706">IF(E706="","",IF(H705&lt;&gt;"",H705,INDEX(D:D,E706)))</f>
        <v>0</v>
      </c>
      <c r="G706" s="684" t="str">
        <f t="shared" si="72"/>
        <v>0</v>
      </c>
      <c r="H706" s="685" t="str">
        <f t="shared" si="73"/>
        <v/>
      </c>
      <c r="I706" s="683" t="str">
        <f>IF(AND(F706&lt;&gt;"",N10&gt;0,M706&gt;N10),"Mot &gt; limite","")</f>
        <v/>
      </c>
      <c r="M706" s="638">
        <f>IF(OR(F706="",N10="",N10&lt;=0),"",IF(LEN(F706)&lt;=N10,LEN(F706),IFERROR(FIND("♦",SUBSTITUTE(LEFT(F706,N10)," ","♦",LEN(LEFT(F706,N10))-LEN(SUBSTITUTE(LEFT(F706,N10)," ","")))),FIND(" ",F706&amp;" ",N10+1)-1)))</f>
        <v>1</v>
      </c>
      <c r="N706" s="686">
        <f t="shared" si="74"/>
        <v>689</v>
      </c>
      <c r="O706" s="663" t="str">
        <f t="shared" si="75"/>
        <v>0</v>
      </c>
      <c r="P706" s="686">
        <f t="shared" si="76"/>
        <v>1</v>
      </c>
      <c r="Q706" s="686">
        <f t="shared" si="77"/>
        <v>1</v>
      </c>
      <c r="DE706" s="494"/>
      <c r="DF706" s="496" t="s">
        <v>2484</v>
      </c>
      <c r="DG706" s="496" t="s">
        <v>8</v>
      </c>
      <c r="DH706" s="496" t="s">
        <v>689</v>
      </c>
      <c r="DI706" s="496" t="s">
        <v>2485</v>
      </c>
      <c r="DJ706" s="496" t="s">
        <v>2485</v>
      </c>
      <c r="DK706" s="496" t="s">
        <v>1554</v>
      </c>
      <c r="DL706" s="496" t="s">
        <v>1555</v>
      </c>
      <c r="DM706" s="496" t="s">
        <v>1981</v>
      </c>
      <c r="DN706" s="497" t="s">
        <v>1982</v>
      </c>
      <c r="DP706" s="543">
        <v>1</v>
      </c>
    </row>
    <row r="707" spans="2:120" ht="15">
      <c r="B707" s="683"/>
      <c r="C707" s="683"/>
      <c r="D707" s="683"/>
      <c r="E707" s="683" cm="1">
        <f t="array" ref="E707">IF(H706&lt;&gt;"",E706,IF(E706="","",IFERROR(MATCH(TRUE(),INDEX(INDEX(K:K,E706+1):K203&lt;&gt;"",0),0)+E706,"")))</f>
        <v>848</v>
      </c>
      <c r="F707" s="684" cm="1">
        <f t="array" ref="F707">IF(E707="","",IF(H706&lt;&gt;"",H706,INDEX(D:D,E707)))</f>
        <v>0</v>
      </c>
      <c r="G707" s="684" t="str">
        <f t="shared" si="72"/>
        <v>0</v>
      </c>
      <c r="H707" s="685" t="str">
        <f t="shared" si="73"/>
        <v/>
      </c>
      <c r="I707" s="683" t="str">
        <f>IF(AND(F707&lt;&gt;"",N10&gt;0,M707&gt;N10),"Mot &gt; limite","")</f>
        <v/>
      </c>
      <c r="M707" s="638">
        <f>IF(OR(F707="",N10="",N10&lt;=0),"",IF(LEN(F707)&lt;=N10,LEN(F707),IFERROR(FIND("♦",SUBSTITUTE(LEFT(F707,N10)," ","♦",LEN(LEFT(F707,N10))-LEN(SUBSTITUTE(LEFT(F707,N10)," ","")))),FIND(" ",F707&amp;" ",N10+1)-1)))</f>
        <v>1</v>
      </c>
      <c r="N707" s="686">
        <f t="shared" si="74"/>
        <v>690</v>
      </c>
      <c r="O707" s="663" t="str">
        <f t="shared" si="75"/>
        <v>0</v>
      </c>
      <c r="P707" s="686">
        <f t="shared" si="76"/>
        <v>1</v>
      </c>
      <c r="Q707" s="686">
        <f t="shared" si="77"/>
        <v>1</v>
      </c>
      <c r="DE707" s="494"/>
      <c r="DF707" s="496" t="s">
        <v>2486</v>
      </c>
      <c r="DG707" s="496" t="s">
        <v>8</v>
      </c>
      <c r="DH707" s="496" t="s">
        <v>689</v>
      </c>
      <c r="DI707" s="496" t="s">
        <v>2487</v>
      </c>
      <c r="DJ707" s="496" t="s">
        <v>2487</v>
      </c>
      <c r="DK707" s="496" t="s">
        <v>1554</v>
      </c>
      <c r="DL707" s="496" t="s">
        <v>1555</v>
      </c>
      <c r="DM707" s="496" t="s">
        <v>1981</v>
      </c>
      <c r="DN707" s="497" t="s">
        <v>1982</v>
      </c>
      <c r="DP707" s="543">
        <v>1</v>
      </c>
    </row>
    <row r="708" spans="2:120" ht="15">
      <c r="B708" s="683"/>
      <c r="C708" s="683"/>
      <c r="D708" s="683"/>
      <c r="E708" s="683" cm="1">
        <f t="array" ref="E708">IF(H707&lt;&gt;"",E707,IF(E707="","",IFERROR(MATCH(TRUE(),INDEX(INDEX(K:K,E707+1):K203&lt;&gt;"",0),0)+E707,"")))</f>
        <v>849</v>
      </c>
      <c r="F708" s="684" cm="1">
        <f t="array" ref="F708">IF(E708="","",IF(H707&lt;&gt;"",H707,INDEX(D:D,E708)))</f>
        <v>0</v>
      </c>
      <c r="G708" s="684" t="str">
        <f t="shared" si="72"/>
        <v>0</v>
      </c>
      <c r="H708" s="685" t="str">
        <f t="shared" si="73"/>
        <v/>
      </c>
      <c r="I708" s="683" t="str">
        <f>IF(AND(F708&lt;&gt;"",N10&gt;0,M708&gt;N10),"Mot &gt; limite","")</f>
        <v/>
      </c>
      <c r="M708" s="638">
        <f>IF(OR(F708="",N10="",N10&lt;=0),"",IF(LEN(F708)&lt;=N10,LEN(F708),IFERROR(FIND("♦",SUBSTITUTE(LEFT(F708,N10)," ","♦",LEN(LEFT(F708,N10))-LEN(SUBSTITUTE(LEFT(F708,N10)," ","")))),FIND(" ",F708&amp;" ",N10+1)-1)))</f>
        <v>1</v>
      </c>
      <c r="N708" s="686">
        <f t="shared" si="74"/>
        <v>691</v>
      </c>
      <c r="O708" s="663" t="str">
        <f t="shared" si="75"/>
        <v>0</v>
      </c>
      <c r="P708" s="686">
        <f t="shared" si="76"/>
        <v>1</v>
      </c>
      <c r="Q708" s="686">
        <f t="shared" si="77"/>
        <v>1</v>
      </c>
      <c r="DE708" s="494"/>
      <c r="DF708" s="496" t="s">
        <v>2488</v>
      </c>
      <c r="DG708" s="496" t="s">
        <v>8</v>
      </c>
      <c r="DH708" s="496" t="s">
        <v>689</v>
      </c>
      <c r="DI708" s="496" t="s">
        <v>2489</v>
      </c>
      <c r="DJ708" s="496" t="s">
        <v>2489</v>
      </c>
      <c r="DK708" s="496" t="s">
        <v>1554</v>
      </c>
      <c r="DL708" s="496" t="s">
        <v>1555</v>
      </c>
      <c r="DM708" s="496" t="s">
        <v>1981</v>
      </c>
      <c r="DN708" s="497" t="s">
        <v>1982</v>
      </c>
      <c r="DP708" s="543">
        <v>1</v>
      </c>
    </row>
    <row r="709" spans="2:120" ht="15">
      <c r="B709" s="683"/>
      <c r="C709" s="683"/>
      <c r="D709" s="683"/>
      <c r="E709" s="683" cm="1">
        <f t="array" ref="E709">IF(H708&lt;&gt;"",E708,IF(E708="","",IFERROR(MATCH(TRUE(),INDEX(INDEX(K:K,E708+1):K203&lt;&gt;"",0),0)+E708,"")))</f>
        <v>850</v>
      </c>
      <c r="F709" s="684" cm="1">
        <f t="array" ref="F709">IF(E709="","",IF(H708&lt;&gt;"",H708,INDEX(D:D,E709)))</f>
        <v>0</v>
      </c>
      <c r="G709" s="684" t="str">
        <f t="shared" si="72"/>
        <v>0</v>
      </c>
      <c r="H709" s="685" t="str">
        <f t="shared" si="73"/>
        <v/>
      </c>
      <c r="I709" s="683" t="str">
        <f>IF(AND(F709&lt;&gt;"",N10&gt;0,M709&gt;N10),"Mot &gt; limite","")</f>
        <v/>
      </c>
      <c r="M709" s="638">
        <f>IF(OR(F709="",N10="",N10&lt;=0),"",IF(LEN(F709)&lt;=N10,LEN(F709),IFERROR(FIND("♦",SUBSTITUTE(LEFT(F709,N10)," ","♦",LEN(LEFT(F709,N10))-LEN(SUBSTITUTE(LEFT(F709,N10)," ","")))),FIND(" ",F709&amp;" ",N10+1)-1)))</f>
        <v>1</v>
      </c>
      <c r="N709" s="686">
        <f t="shared" si="74"/>
        <v>692</v>
      </c>
      <c r="O709" s="663" t="str">
        <f t="shared" si="75"/>
        <v>0</v>
      </c>
      <c r="P709" s="686">
        <f t="shared" si="76"/>
        <v>1</v>
      </c>
      <c r="Q709" s="686">
        <f t="shared" si="77"/>
        <v>1</v>
      </c>
      <c r="DE709" s="494"/>
      <c r="DF709" s="496" t="s">
        <v>2490</v>
      </c>
      <c r="DG709" s="496" t="s">
        <v>8</v>
      </c>
      <c r="DH709" s="496" t="s">
        <v>689</v>
      </c>
      <c r="DI709" s="496" t="s">
        <v>2491</v>
      </c>
      <c r="DJ709" s="496" t="s">
        <v>2491</v>
      </c>
      <c r="DK709" s="496" t="s">
        <v>1554</v>
      </c>
      <c r="DL709" s="496" t="s">
        <v>1555</v>
      </c>
      <c r="DM709" s="496" t="s">
        <v>1981</v>
      </c>
      <c r="DN709" s="497" t="s">
        <v>1982</v>
      </c>
      <c r="DP709" s="543">
        <v>1</v>
      </c>
    </row>
    <row r="710" spans="2:120" ht="15">
      <c r="B710" s="683"/>
      <c r="C710" s="683"/>
      <c r="D710" s="683"/>
      <c r="E710" s="683" cm="1">
        <f t="array" ref="E710">IF(H709&lt;&gt;"",E709,IF(E709="","",IFERROR(MATCH(TRUE(),INDEX(INDEX(K:K,E709+1):K203&lt;&gt;"",0),0)+E709,"")))</f>
        <v>851</v>
      </c>
      <c r="F710" s="684" cm="1">
        <f t="array" ref="F710">IF(E710="","",IF(H709&lt;&gt;"",H709,INDEX(D:D,E710)))</f>
        <v>0</v>
      </c>
      <c r="G710" s="684" t="str">
        <f t="shared" si="72"/>
        <v>0</v>
      </c>
      <c r="H710" s="685" t="str">
        <f t="shared" si="73"/>
        <v/>
      </c>
      <c r="I710" s="683" t="str">
        <f>IF(AND(F710&lt;&gt;"",N10&gt;0,M710&gt;N10),"Mot &gt; limite","")</f>
        <v/>
      </c>
      <c r="M710" s="638">
        <f>IF(OR(F710="",N10="",N10&lt;=0),"",IF(LEN(F710)&lt;=N10,LEN(F710),IFERROR(FIND("♦",SUBSTITUTE(LEFT(F710,N10)," ","♦",LEN(LEFT(F710,N10))-LEN(SUBSTITUTE(LEFT(F710,N10)," ","")))),FIND(" ",F710&amp;" ",N10+1)-1)))</f>
        <v>1</v>
      </c>
      <c r="N710" s="686">
        <f t="shared" si="74"/>
        <v>693</v>
      </c>
      <c r="O710" s="663" t="str">
        <f t="shared" si="75"/>
        <v>0</v>
      </c>
      <c r="P710" s="686">
        <f t="shared" si="76"/>
        <v>1</v>
      </c>
      <c r="Q710" s="686">
        <f t="shared" si="77"/>
        <v>1</v>
      </c>
      <c r="DE710" s="494"/>
      <c r="DF710" s="496" t="s">
        <v>2492</v>
      </c>
      <c r="DG710" s="496" t="s">
        <v>8</v>
      </c>
      <c r="DH710" s="496" t="s">
        <v>689</v>
      </c>
      <c r="DI710" s="496" t="s">
        <v>2493</v>
      </c>
      <c r="DJ710" s="496" t="s">
        <v>2493</v>
      </c>
      <c r="DK710" s="496" t="s">
        <v>1554</v>
      </c>
      <c r="DL710" s="496" t="s">
        <v>1555</v>
      </c>
      <c r="DM710" s="496" t="s">
        <v>1981</v>
      </c>
      <c r="DN710" s="497" t="s">
        <v>1982</v>
      </c>
      <c r="DP710" s="543">
        <v>1</v>
      </c>
    </row>
    <row r="711" spans="2:120" ht="15">
      <c r="B711" s="683"/>
      <c r="C711" s="683"/>
      <c r="D711" s="683"/>
      <c r="E711" s="683" cm="1">
        <f t="array" ref="E711">IF(H710&lt;&gt;"",E710,IF(E710="","",IFERROR(MATCH(TRUE(),INDEX(INDEX(K:K,E710+1):K203&lt;&gt;"",0),0)+E710,"")))</f>
        <v>852</v>
      </c>
      <c r="F711" s="684" cm="1">
        <f t="array" ref="F711">IF(E711="","",IF(H710&lt;&gt;"",H710,INDEX(D:D,E711)))</f>
        <v>0</v>
      </c>
      <c r="G711" s="684" t="str">
        <f t="shared" si="72"/>
        <v>0</v>
      </c>
      <c r="H711" s="685" t="str">
        <f t="shared" si="73"/>
        <v/>
      </c>
      <c r="I711" s="683" t="str">
        <f>IF(AND(F711&lt;&gt;"",N10&gt;0,M711&gt;N10),"Mot &gt; limite","")</f>
        <v/>
      </c>
      <c r="M711" s="638">
        <f>IF(OR(F711="",N10="",N10&lt;=0),"",IF(LEN(F711)&lt;=N10,LEN(F711),IFERROR(FIND("♦",SUBSTITUTE(LEFT(F711,N10)," ","♦",LEN(LEFT(F711,N10))-LEN(SUBSTITUTE(LEFT(F711,N10)," ","")))),FIND(" ",F711&amp;" ",N10+1)-1)))</f>
        <v>1</v>
      </c>
      <c r="N711" s="686">
        <f t="shared" si="74"/>
        <v>694</v>
      </c>
      <c r="O711" s="663" t="str">
        <f t="shared" si="75"/>
        <v>0</v>
      </c>
      <c r="P711" s="686">
        <f t="shared" si="76"/>
        <v>1</v>
      </c>
      <c r="Q711" s="686">
        <f t="shared" si="77"/>
        <v>1</v>
      </c>
      <c r="DE711" s="494"/>
      <c r="DF711" s="496" t="s">
        <v>2494</v>
      </c>
      <c r="DG711" s="496" t="s">
        <v>8</v>
      </c>
      <c r="DH711" s="496" t="s">
        <v>689</v>
      </c>
      <c r="DI711" s="496" t="s">
        <v>2495</v>
      </c>
      <c r="DJ711" s="496" t="s">
        <v>2495</v>
      </c>
      <c r="DK711" s="496" t="s">
        <v>1554</v>
      </c>
      <c r="DL711" s="496" t="s">
        <v>1555</v>
      </c>
      <c r="DM711" s="496" t="s">
        <v>1981</v>
      </c>
      <c r="DN711" s="497" t="s">
        <v>1982</v>
      </c>
      <c r="DP711" s="543">
        <v>1</v>
      </c>
    </row>
    <row r="712" spans="2:120" ht="15">
      <c r="B712" s="683"/>
      <c r="C712" s="683"/>
      <c r="D712" s="683"/>
      <c r="E712" s="683" cm="1">
        <f t="array" ref="E712">IF(H711&lt;&gt;"",E711,IF(E711="","",IFERROR(MATCH(TRUE(),INDEX(INDEX(K:K,E711+1):K203&lt;&gt;"",0),0)+E711,"")))</f>
        <v>853</v>
      </c>
      <c r="F712" s="684" cm="1">
        <f t="array" ref="F712">IF(E712="","",IF(H711&lt;&gt;"",H711,INDEX(D:D,E712)))</f>
        <v>0</v>
      </c>
      <c r="G712" s="684" t="str">
        <f t="shared" si="72"/>
        <v>0</v>
      </c>
      <c r="H712" s="685" t="str">
        <f t="shared" si="73"/>
        <v/>
      </c>
      <c r="I712" s="683" t="str">
        <f>IF(AND(F712&lt;&gt;"",N10&gt;0,M712&gt;N10),"Mot &gt; limite","")</f>
        <v/>
      </c>
      <c r="M712" s="638">
        <f>IF(OR(F712="",N10="",N10&lt;=0),"",IF(LEN(F712)&lt;=N10,LEN(F712),IFERROR(FIND("♦",SUBSTITUTE(LEFT(F712,N10)," ","♦",LEN(LEFT(F712,N10))-LEN(SUBSTITUTE(LEFT(F712,N10)," ","")))),FIND(" ",F712&amp;" ",N10+1)-1)))</f>
        <v>1</v>
      </c>
      <c r="N712" s="686">
        <f t="shared" si="74"/>
        <v>695</v>
      </c>
      <c r="O712" s="663" t="str">
        <f t="shared" si="75"/>
        <v>0</v>
      </c>
      <c r="P712" s="686">
        <f t="shared" si="76"/>
        <v>1</v>
      </c>
      <c r="Q712" s="686">
        <f t="shared" si="77"/>
        <v>1</v>
      </c>
      <c r="DE712" s="494"/>
      <c r="DF712" s="496" t="s">
        <v>2496</v>
      </c>
      <c r="DG712" s="496" t="s">
        <v>8</v>
      </c>
      <c r="DH712" s="496" t="s">
        <v>689</v>
      </c>
      <c r="DI712" s="496" t="s">
        <v>1026</v>
      </c>
      <c r="DJ712" s="496" t="s">
        <v>1026</v>
      </c>
      <c r="DK712" s="496" t="s">
        <v>1554</v>
      </c>
      <c r="DL712" s="496" t="s">
        <v>1555</v>
      </c>
      <c r="DM712" s="496" t="s">
        <v>1981</v>
      </c>
      <c r="DN712" s="497" t="s">
        <v>1982</v>
      </c>
      <c r="DP712" s="543">
        <v>1</v>
      </c>
    </row>
    <row r="713" spans="2:120" ht="15">
      <c r="B713" s="683"/>
      <c r="C713" s="683"/>
      <c r="D713" s="683"/>
      <c r="E713" s="683" cm="1">
        <f t="array" ref="E713">IF(H712&lt;&gt;"",E712,IF(E712="","",IFERROR(MATCH(TRUE(),INDEX(INDEX(K:K,E712+1):K203&lt;&gt;"",0),0)+E712,"")))</f>
        <v>854</v>
      </c>
      <c r="F713" s="684" cm="1">
        <f t="array" ref="F713">IF(E713="","",IF(H712&lt;&gt;"",H712,INDEX(D:D,E713)))</f>
        <v>0</v>
      </c>
      <c r="G713" s="684" t="str">
        <f t="shared" si="72"/>
        <v>0</v>
      </c>
      <c r="H713" s="685" t="str">
        <f t="shared" si="73"/>
        <v/>
      </c>
      <c r="I713" s="683" t="str">
        <f>IF(AND(F713&lt;&gt;"",N10&gt;0,M713&gt;N10),"Mot &gt; limite","")</f>
        <v/>
      </c>
      <c r="M713" s="638">
        <f>IF(OR(F713="",N10="",N10&lt;=0),"",IF(LEN(F713)&lt;=N10,LEN(F713),IFERROR(FIND("♦",SUBSTITUTE(LEFT(F713,N10)," ","♦",LEN(LEFT(F713,N10))-LEN(SUBSTITUTE(LEFT(F713,N10)," ","")))),FIND(" ",F713&amp;" ",N10+1)-1)))</f>
        <v>1</v>
      </c>
      <c r="N713" s="686">
        <f t="shared" si="74"/>
        <v>696</v>
      </c>
      <c r="O713" s="663" t="str">
        <f t="shared" si="75"/>
        <v>0</v>
      </c>
      <c r="P713" s="686">
        <f t="shared" si="76"/>
        <v>1</v>
      </c>
      <c r="Q713" s="686">
        <f t="shared" si="77"/>
        <v>1</v>
      </c>
      <c r="DE713" s="494"/>
      <c r="DF713" s="496" t="s">
        <v>2497</v>
      </c>
      <c r="DG713" s="496" t="s">
        <v>8</v>
      </c>
      <c r="DH713" s="496" t="s">
        <v>689</v>
      </c>
      <c r="DI713" s="496" t="s">
        <v>2498</v>
      </c>
      <c r="DJ713" s="496" t="s">
        <v>2498</v>
      </c>
      <c r="DK713" s="496" t="s">
        <v>1554</v>
      </c>
      <c r="DL713" s="496" t="s">
        <v>1555</v>
      </c>
      <c r="DM713" s="496" t="s">
        <v>1981</v>
      </c>
      <c r="DN713" s="497" t="s">
        <v>1982</v>
      </c>
      <c r="DP713" s="543">
        <v>1</v>
      </c>
    </row>
    <row r="714" spans="2:120" ht="15">
      <c r="B714" s="683"/>
      <c r="C714" s="683"/>
      <c r="D714" s="683"/>
      <c r="E714" s="683" cm="1">
        <f t="array" ref="E714">IF(H713&lt;&gt;"",E713,IF(E713="","",IFERROR(MATCH(TRUE(),INDEX(INDEX(K:K,E713+1):K203&lt;&gt;"",0),0)+E713,"")))</f>
        <v>855</v>
      </c>
      <c r="F714" s="684" cm="1">
        <f t="array" ref="F714">IF(E714="","",IF(H713&lt;&gt;"",H713,INDEX(D:D,E714)))</f>
        <v>0</v>
      </c>
      <c r="G714" s="684" t="str">
        <f t="shared" si="72"/>
        <v>0</v>
      </c>
      <c r="H714" s="685" t="str">
        <f t="shared" si="73"/>
        <v/>
      </c>
      <c r="I714" s="683" t="str">
        <f>IF(AND(F714&lt;&gt;"",N10&gt;0,M714&gt;N10),"Mot &gt; limite","")</f>
        <v/>
      </c>
      <c r="M714" s="638">
        <f>IF(OR(F714="",N10="",N10&lt;=0),"",IF(LEN(F714)&lt;=N10,LEN(F714),IFERROR(FIND("♦",SUBSTITUTE(LEFT(F714,N10)," ","♦",LEN(LEFT(F714,N10))-LEN(SUBSTITUTE(LEFT(F714,N10)," ","")))),FIND(" ",F714&amp;" ",N10+1)-1)))</f>
        <v>1</v>
      </c>
      <c r="N714" s="686">
        <f t="shared" si="74"/>
        <v>697</v>
      </c>
      <c r="O714" s="663" t="str">
        <f t="shared" si="75"/>
        <v>0</v>
      </c>
      <c r="P714" s="686">
        <f t="shared" si="76"/>
        <v>1</v>
      </c>
      <c r="Q714" s="686">
        <f t="shared" si="77"/>
        <v>1</v>
      </c>
      <c r="DE714" s="494"/>
      <c r="DF714" s="496" t="s">
        <v>2499</v>
      </c>
      <c r="DG714" s="496" t="s">
        <v>8</v>
      </c>
      <c r="DH714" s="496" t="s">
        <v>689</v>
      </c>
      <c r="DI714" s="496" t="s">
        <v>2500</v>
      </c>
      <c r="DJ714" s="496" t="s">
        <v>2500</v>
      </c>
      <c r="DK714" s="496" t="s">
        <v>1554</v>
      </c>
      <c r="DL714" s="496" t="s">
        <v>1555</v>
      </c>
      <c r="DM714" s="496" t="s">
        <v>1981</v>
      </c>
      <c r="DN714" s="497" t="s">
        <v>1982</v>
      </c>
      <c r="DP714" s="543">
        <v>1</v>
      </c>
    </row>
    <row r="715" spans="2:120" ht="15">
      <c r="B715" s="683"/>
      <c r="C715" s="683"/>
      <c r="D715" s="683"/>
      <c r="E715" s="683" cm="1">
        <f t="array" ref="E715">IF(H714&lt;&gt;"",E714,IF(E714="","",IFERROR(MATCH(TRUE(),INDEX(INDEX(K:K,E714+1):K203&lt;&gt;"",0),0)+E714,"")))</f>
        <v>856</v>
      </c>
      <c r="F715" s="684" cm="1">
        <f t="array" ref="F715">IF(E715="","",IF(H714&lt;&gt;"",H714,INDEX(D:D,E715)))</f>
        <v>0</v>
      </c>
      <c r="G715" s="684" t="str">
        <f t="shared" si="72"/>
        <v>0</v>
      </c>
      <c r="H715" s="685" t="str">
        <f t="shared" si="73"/>
        <v/>
      </c>
      <c r="I715" s="683" t="str">
        <f>IF(AND(F715&lt;&gt;"",N10&gt;0,M715&gt;N10),"Mot &gt; limite","")</f>
        <v/>
      </c>
      <c r="M715" s="638">
        <f>IF(OR(F715="",N10="",N10&lt;=0),"",IF(LEN(F715)&lt;=N10,LEN(F715),IFERROR(FIND("♦",SUBSTITUTE(LEFT(F715,N10)," ","♦",LEN(LEFT(F715,N10))-LEN(SUBSTITUTE(LEFT(F715,N10)," ","")))),FIND(" ",F715&amp;" ",N10+1)-1)))</f>
        <v>1</v>
      </c>
      <c r="N715" s="686">
        <f t="shared" si="74"/>
        <v>698</v>
      </c>
      <c r="O715" s="663" t="str">
        <f t="shared" si="75"/>
        <v>0</v>
      </c>
      <c r="P715" s="686">
        <f t="shared" si="76"/>
        <v>1</v>
      </c>
      <c r="Q715" s="686">
        <f t="shared" si="77"/>
        <v>1</v>
      </c>
      <c r="DE715" s="494"/>
      <c r="DF715" s="496" t="s">
        <v>2501</v>
      </c>
      <c r="DG715" s="496" t="s">
        <v>8</v>
      </c>
      <c r="DH715" s="496" t="s">
        <v>689</v>
      </c>
      <c r="DI715" s="496" t="s">
        <v>2502</v>
      </c>
      <c r="DJ715" s="496" t="s">
        <v>2502</v>
      </c>
      <c r="DK715" s="496" t="s">
        <v>1554</v>
      </c>
      <c r="DL715" s="496" t="s">
        <v>1555</v>
      </c>
      <c r="DM715" s="496" t="s">
        <v>1981</v>
      </c>
      <c r="DN715" s="497" t="s">
        <v>1982</v>
      </c>
      <c r="DP715" s="543">
        <v>1</v>
      </c>
    </row>
    <row r="716" spans="2:120" ht="15">
      <c r="B716" s="683"/>
      <c r="C716" s="683"/>
      <c r="D716" s="683"/>
      <c r="E716" s="683" cm="1">
        <f t="array" ref="E716">IF(H715&lt;&gt;"",E715,IF(E715="","",IFERROR(MATCH(TRUE(),INDEX(INDEX(K:K,E715+1):K203&lt;&gt;"",0),0)+E715,"")))</f>
        <v>857</v>
      </c>
      <c r="F716" s="684" cm="1">
        <f t="array" ref="F716">IF(E716="","",IF(H715&lt;&gt;"",H715,INDEX(D:D,E716)))</f>
        <v>0</v>
      </c>
      <c r="G716" s="684" t="str">
        <f t="shared" si="72"/>
        <v>0</v>
      </c>
      <c r="H716" s="685" t="str">
        <f t="shared" si="73"/>
        <v/>
      </c>
      <c r="I716" s="683" t="str">
        <f>IF(AND(F716&lt;&gt;"",N10&gt;0,M716&gt;N10),"Mot &gt; limite","")</f>
        <v/>
      </c>
      <c r="M716" s="638">
        <f>IF(OR(F716="",N10="",N10&lt;=0),"",IF(LEN(F716)&lt;=N10,LEN(F716),IFERROR(FIND("♦",SUBSTITUTE(LEFT(F716,N10)," ","♦",LEN(LEFT(F716,N10))-LEN(SUBSTITUTE(LEFT(F716,N10)," ","")))),FIND(" ",F716&amp;" ",N10+1)-1)))</f>
        <v>1</v>
      </c>
      <c r="N716" s="686">
        <f t="shared" si="74"/>
        <v>699</v>
      </c>
      <c r="O716" s="663" t="str">
        <f t="shared" si="75"/>
        <v>0</v>
      </c>
      <c r="P716" s="686">
        <f t="shared" si="76"/>
        <v>1</v>
      </c>
      <c r="Q716" s="686">
        <f t="shared" si="77"/>
        <v>1</v>
      </c>
      <c r="DE716" s="494"/>
      <c r="DF716" s="496" t="s">
        <v>2503</v>
      </c>
      <c r="DG716" s="496" t="s">
        <v>8</v>
      </c>
      <c r="DH716" s="496" t="s">
        <v>689</v>
      </c>
      <c r="DI716" s="496" t="s">
        <v>2504</v>
      </c>
      <c r="DJ716" s="496" t="s">
        <v>2504</v>
      </c>
      <c r="DK716" s="496" t="s">
        <v>1554</v>
      </c>
      <c r="DL716" s="496" t="s">
        <v>1555</v>
      </c>
      <c r="DM716" s="496" t="s">
        <v>1981</v>
      </c>
      <c r="DN716" s="497" t="s">
        <v>1982</v>
      </c>
      <c r="DP716" s="543">
        <v>1</v>
      </c>
    </row>
    <row r="717" spans="2:120" ht="15">
      <c r="B717" s="683"/>
      <c r="C717" s="683"/>
      <c r="D717" s="683"/>
      <c r="E717" s="683" cm="1">
        <f t="array" ref="E717">IF(H716&lt;&gt;"",E716,IF(E716="","",IFERROR(MATCH(TRUE(),INDEX(INDEX(K:K,E716+1):K203&lt;&gt;"",0),0)+E716,"")))</f>
        <v>858</v>
      </c>
      <c r="F717" s="684" cm="1">
        <f t="array" ref="F717">IF(E717="","",IF(H716&lt;&gt;"",H716,INDEX(D:D,E717)))</f>
        <v>0</v>
      </c>
      <c r="G717" s="684" t="str">
        <f t="shared" si="72"/>
        <v>0</v>
      </c>
      <c r="H717" s="685" t="str">
        <f t="shared" si="73"/>
        <v/>
      </c>
      <c r="I717" s="683" t="str">
        <f>IF(AND(F717&lt;&gt;"",N10&gt;0,M717&gt;N10),"Mot &gt; limite","")</f>
        <v/>
      </c>
      <c r="M717" s="638">
        <f>IF(OR(F717="",N10="",N10&lt;=0),"",IF(LEN(F717)&lt;=N10,LEN(F717),IFERROR(FIND("♦",SUBSTITUTE(LEFT(F717,N10)," ","♦",LEN(LEFT(F717,N10))-LEN(SUBSTITUTE(LEFT(F717,N10)," ","")))),FIND(" ",F717&amp;" ",N10+1)-1)))</f>
        <v>1</v>
      </c>
      <c r="N717" s="686">
        <f t="shared" si="74"/>
        <v>700</v>
      </c>
      <c r="O717" s="663" t="str">
        <f t="shared" si="75"/>
        <v>0</v>
      </c>
      <c r="P717" s="686">
        <f t="shared" si="76"/>
        <v>1</v>
      </c>
      <c r="Q717" s="686">
        <f t="shared" si="77"/>
        <v>1</v>
      </c>
      <c r="DE717" s="494"/>
      <c r="DF717" s="496" t="s">
        <v>2505</v>
      </c>
      <c r="DG717" s="496" t="s">
        <v>8</v>
      </c>
      <c r="DH717" s="496" t="s">
        <v>689</v>
      </c>
      <c r="DI717" s="496" t="s">
        <v>2506</v>
      </c>
      <c r="DJ717" s="496" t="s">
        <v>2506</v>
      </c>
      <c r="DK717" s="496" t="s">
        <v>1554</v>
      </c>
      <c r="DL717" s="496" t="s">
        <v>1555</v>
      </c>
      <c r="DM717" s="496" t="s">
        <v>1981</v>
      </c>
      <c r="DN717" s="497" t="s">
        <v>1982</v>
      </c>
      <c r="DP717" s="543">
        <v>1</v>
      </c>
    </row>
    <row r="718" spans="2:120" ht="15">
      <c r="B718" s="683"/>
      <c r="C718" s="683"/>
      <c r="D718" s="683"/>
      <c r="E718" s="683" cm="1">
        <f t="array" ref="E718">IF(H717&lt;&gt;"",E717,IF(E717="","",IFERROR(MATCH(TRUE(),INDEX(INDEX(K:K,E717+1):K203&lt;&gt;"",0),0)+E717,"")))</f>
        <v>859</v>
      </c>
      <c r="F718" s="684" cm="1">
        <f t="array" ref="F718">IF(E718="","",IF(H717&lt;&gt;"",H717,INDEX(D:D,E718)))</f>
        <v>0</v>
      </c>
      <c r="G718" s="684" t="str">
        <f t="shared" si="72"/>
        <v>0</v>
      </c>
      <c r="H718" s="685" t="str">
        <f t="shared" si="73"/>
        <v/>
      </c>
      <c r="I718" s="683" t="str">
        <f>IF(AND(F718&lt;&gt;"",N10&gt;0,M718&gt;N10),"Mot &gt; limite","")</f>
        <v/>
      </c>
      <c r="M718" s="638">
        <f>IF(OR(F718="",N10="",N10&lt;=0),"",IF(LEN(F718)&lt;=N10,LEN(F718),IFERROR(FIND("♦",SUBSTITUTE(LEFT(F718,N10)," ","♦",LEN(LEFT(F718,N10))-LEN(SUBSTITUTE(LEFT(F718,N10)," ","")))),FIND(" ",F718&amp;" ",N10+1)-1)))</f>
        <v>1</v>
      </c>
      <c r="N718" s="686">
        <f t="shared" si="74"/>
        <v>701</v>
      </c>
      <c r="O718" s="663" t="str">
        <f t="shared" si="75"/>
        <v>0</v>
      </c>
      <c r="P718" s="686">
        <f t="shared" si="76"/>
        <v>1</v>
      </c>
      <c r="Q718" s="686">
        <f t="shared" si="77"/>
        <v>1</v>
      </c>
      <c r="DE718" s="494"/>
      <c r="DF718" s="496" t="s">
        <v>2507</v>
      </c>
      <c r="DG718" s="496" t="s">
        <v>8</v>
      </c>
      <c r="DH718" s="496" t="s">
        <v>689</v>
      </c>
      <c r="DI718" s="496" t="s">
        <v>2508</v>
      </c>
      <c r="DJ718" s="496" t="s">
        <v>2508</v>
      </c>
      <c r="DK718" s="496" t="s">
        <v>1554</v>
      </c>
      <c r="DL718" s="496" t="s">
        <v>1555</v>
      </c>
      <c r="DM718" s="496" t="s">
        <v>1981</v>
      </c>
      <c r="DN718" s="497" t="s">
        <v>1982</v>
      </c>
      <c r="DP718" s="543">
        <v>1</v>
      </c>
    </row>
    <row r="719" spans="2:120" ht="15">
      <c r="B719" s="683"/>
      <c r="C719" s="683"/>
      <c r="D719" s="683"/>
      <c r="E719" s="683" cm="1">
        <f t="array" ref="E719">IF(H718&lt;&gt;"",E718,IF(E718="","",IFERROR(MATCH(TRUE(),INDEX(INDEX(K:K,E718+1):K203&lt;&gt;"",0),0)+E718,"")))</f>
        <v>860</v>
      </c>
      <c r="F719" s="684" cm="1">
        <f t="array" ref="F719">IF(E719="","",IF(H718&lt;&gt;"",H718,INDEX(D:D,E719)))</f>
        <v>0</v>
      </c>
      <c r="G719" s="684" t="str">
        <f t="shared" si="72"/>
        <v>0</v>
      </c>
      <c r="H719" s="685" t="str">
        <f t="shared" si="73"/>
        <v/>
      </c>
      <c r="I719" s="683" t="str">
        <f>IF(AND(F719&lt;&gt;"",N10&gt;0,M719&gt;N10),"Mot &gt; limite","")</f>
        <v/>
      </c>
      <c r="M719" s="638">
        <f>IF(OR(F719="",N10="",N10&lt;=0),"",IF(LEN(F719)&lt;=N10,LEN(F719),IFERROR(FIND("♦",SUBSTITUTE(LEFT(F719,N10)," ","♦",LEN(LEFT(F719,N10))-LEN(SUBSTITUTE(LEFT(F719,N10)," ","")))),FIND(" ",F719&amp;" ",N10+1)-1)))</f>
        <v>1</v>
      </c>
      <c r="N719" s="686">
        <f t="shared" si="74"/>
        <v>702</v>
      </c>
      <c r="O719" s="663" t="str">
        <f t="shared" si="75"/>
        <v>0</v>
      </c>
      <c r="P719" s="686">
        <f t="shared" si="76"/>
        <v>1</v>
      </c>
      <c r="Q719" s="686">
        <f t="shared" si="77"/>
        <v>1</v>
      </c>
      <c r="DE719" s="494"/>
      <c r="DF719" s="496" t="s">
        <v>2509</v>
      </c>
      <c r="DG719" s="496" t="s">
        <v>8</v>
      </c>
      <c r="DH719" s="496" t="s">
        <v>689</v>
      </c>
      <c r="DI719" s="496" t="s">
        <v>2510</v>
      </c>
      <c r="DJ719" s="496" t="s">
        <v>2510</v>
      </c>
      <c r="DK719" s="496" t="s">
        <v>1554</v>
      </c>
      <c r="DL719" s="496" t="s">
        <v>1555</v>
      </c>
      <c r="DM719" s="496" t="s">
        <v>1981</v>
      </c>
      <c r="DN719" s="497" t="s">
        <v>1982</v>
      </c>
      <c r="DP719" s="543">
        <v>1</v>
      </c>
    </row>
    <row r="720" spans="2:120" ht="15">
      <c r="B720" s="683"/>
      <c r="C720" s="683"/>
      <c r="D720" s="683"/>
      <c r="E720" s="683" cm="1">
        <f t="array" ref="E720">IF(H719&lt;&gt;"",E719,IF(E719="","",IFERROR(MATCH(TRUE(),INDEX(INDEX(K:K,E719+1):K203&lt;&gt;"",0),0)+E719,"")))</f>
        <v>861</v>
      </c>
      <c r="F720" s="684" cm="1">
        <f t="array" ref="F720">IF(E720="","",IF(H719&lt;&gt;"",H719,INDEX(D:D,E720)))</f>
        <v>0</v>
      </c>
      <c r="G720" s="684" t="str">
        <f t="shared" si="72"/>
        <v>0</v>
      </c>
      <c r="H720" s="685" t="str">
        <f t="shared" si="73"/>
        <v/>
      </c>
      <c r="I720" s="683" t="str">
        <f>IF(AND(F720&lt;&gt;"",N10&gt;0,M720&gt;N10),"Mot &gt; limite","")</f>
        <v/>
      </c>
      <c r="M720" s="638">
        <f>IF(OR(F720="",N10="",N10&lt;=0),"",IF(LEN(F720)&lt;=N10,LEN(F720),IFERROR(FIND("♦",SUBSTITUTE(LEFT(F720,N10)," ","♦",LEN(LEFT(F720,N10))-LEN(SUBSTITUTE(LEFT(F720,N10)," ","")))),FIND(" ",F720&amp;" ",N10+1)-1)))</f>
        <v>1</v>
      </c>
      <c r="N720" s="686">
        <f t="shared" si="74"/>
        <v>703</v>
      </c>
      <c r="O720" s="663" t="str">
        <f t="shared" si="75"/>
        <v>0</v>
      </c>
      <c r="P720" s="686">
        <f t="shared" si="76"/>
        <v>1</v>
      </c>
      <c r="Q720" s="686">
        <f t="shared" si="77"/>
        <v>1</v>
      </c>
      <c r="DE720" s="494"/>
      <c r="DF720" s="496" t="s">
        <v>2511</v>
      </c>
      <c r="DG720" s="496" t="s">
        <v>8</v>
      </c>
      <c r="DH720" s="496" t="s">
        <v>689</v>
      </c>
      <c r="DI720" s="496" t="s">
        <v>2512</v>
      </c>
      <c r="DJ720" s="496" t="s">
        <v>2512</v>
      </c>
      <c r="DK720" s="496" t="s">
        <v>1554</v>
      </c>
      <c r="DL720" s="496" t="s">
        <v>1555</v>
      </c>
      <c r="DM720" s="496" t="s">
        <v>1981</v>
      </c>
      <c r="DN720" s="497" t="s">
        <v>1982</v>
      </c>
      <c r="DP720" s="543">
        <v>1</v>
      </c>
    </row>
    <row r="721" spans="2:120" ht="15">
      <c r="B721" s="683"/>
      <c r="C721" s="683"/>
      <c r="D721" s="683"/>
      <c r="E721" s="683" cm="1">
        <f t="array" ref="E721">IF(H720&lt;&gt;"",E720,IF(E720="","",IFERROR(MATCH(TRUE(),INDEX(INDEX(K:K,E720+1):K203&lt;&gt;"",0),0)+E720,"")))</f>
        <v>862</v>
      </c>
      <c r="F721" s="684" cm="1">
        <f t="array" ref="F721">IF(E721="","",IF(H720&lt;&gt;"",H720,INDEX(D:D,E721)))</f>
        <v>0</v>
      </c>
      <c r="G721" s="684" t="str">
        <f t="shared" si="72"/>
        <v>0</v>
      </c>
      <c r="H721" s="685" t="str">
        <f t="shared" si="73"/>
        <v/>
      </c>
      <c r="I721" s="683" t="str">
        <f>IF(AND(F721&lt;&gt;"",N10&gt;0,M721&gt;N10),"Mot &gt; limite","")</f>
        <v/>
      </c>
      <c r="M721" s="638">
        <f>IF(OR(F721="",N10="",N10&lt;=0),"",IF(LEN(F721)&lt;=N10,LEN(F721),IFERROR(FIND("♦",SUBSTITUTE(LEFT(F721,N10)," ","♦",LEN(LEFT(F721,N10))-LEN(SUBSTITUTE(LEFT(F721,N10)," ","")))),FIND(" ",F721&amp;" ",N10+1)-1)))</f>
        <v>1</v>
      </c>
      <c r="N721" s="686">
        <f t="shared" si="74"/>
        <v>704</v>
      </c>
      <c r="O721" s="663" t="str">
        <f t="shared" si="75"/>
        <v>0</v>
      </c>
      <c r="P721" s="686">
        <f t="shared" si="76"/>
        <v>1</v>
      </c>
      <c r="Q721" s="686">
        <f t="shared" si="77"/>
        <v>1</v>
      </c>
      <c r="DE721" s="494"/>
      <c r="DF721" s="496" t="s">
        <v>2513</v>
      </c>
      <c r="DG721" s="496" t="s">
        <v>8</v>
      </c>
      <c r="DH721" s="496" t="s">
        <v>689</v>
      </c>
      <c r="DI721" s="496" t="s">
        <v>2514</v>
      </c>
      <c r="DJ721" s="496" t="s">
        <v>2514</v>
      </c>
      <c r="DK721" s="496" t="s">
        <v>1554</v>
      </c>
      <c r="DL721" s="496" t="s">
        <v>1555</v>
      </c>
      <c r="DM721" s="496" t="s">
        <v>1981</v>
      </c>
      <c r="DN721" s="497" t="s">
        <v>1982</v>
      </c>
      <c r="DP721" s="543">
        <v>1</v>
      </c>
    </row>
    <row r="722" spans="2:120" ht="15">
      <c r="B722" s="683"/>
      <c r="C722" s="683"/>
      <c r="D722" s="683"/>
      <c r="E722" s="683" cm="1">
        <f t="array" ref="E722">IF(H721&lt;&gt;"",E721,IF(E721="","",IFERROR(MATCH(TRUE(),INDEX(INDEX(K:K,E721+1):K203&lt;&gt;"",0),0)+E721,"")))</f>
        <v>863</v>
      </c>
      <c r="F722" s="684" cm="1">
        <f t="array" ref="F722">IF(E722="","",IF(H721&lt;&gt;"",H721,INDEX(D:D,E722)))</f>
        <v>0</v>
      </c>
      <c r="G722" s="684" t="str">
        <f t="shared" ref="G722:G785" si="78">IF(OR(F722="",M722=""),"",LEFT(F722,M722))</f>
        <v>0</v>
      </c>
      <c r="H722" s="685" t="str">
        <f t="shared" ref="H722:H785" si="79">IF(OR(F722="",M722=""),"",TRIM(MID(F722,M722+1,99999)))</f>
        <v/>
      </c>
      <c r="I722" s="683" t="str">
        <f>IF(AND(F722&lt;&gt;"",N10&gt;0,M722&gt;N10),"Mot &gt; limite","")</f>
        <v/>
      </c>
      <c r="M722" s="638">
        <f>IF(OR(F722="",N10="",N10&lt;=0),"",IF(LEN(F722)&lt;=N10,LEN(F722),IFERROR(FIND("♦",SUBSTITUTE(LEFT(F722,N10)," ","♦",LEN(LEFT(F722,N10))-LEN(SUBSTITUTE(LEFT(F722,N10)," ","")))),FIND(" ",F722&amp;" ",N10+1)-1)))</f>
        <v>1</v>
      </c>
      <c r="N722" s="686">
        <f t="shared" ref="N722:N785" si="80">IF(O722="","",ROW()-17)</f>
        <v>705</v>
      </c>
      <c r="O722" s="663" t="str">
        <f t="shared" ref="O722:O785" si="81">G722</f>
        <v>0</v>
      </c>
      <c r="P722" s="686">
        <f t="shared" ref="P722:P785" si="82">IF(O722="","",LEN(TRIM(O722))-LEN(SUBSTITUTE(TRIM(O722)," ",""))+1)</f>
        <v>1</v>
      </c>
      <c r="Q722" s="686">
        <f t="shared" ref="Q722:Q785" si="83">IF(O722="","",LEN(O722))</f>
        <v>1</v>
      </c>
      <c r="DE722" s="494"/>
      <c r="DF722" s="496" t="s">
        <v>2515</v>
      </c>
      <c r="DG722" s="496" t="s">
        <v>8</v>
      </c>
      <c r="DH722" s="496" t="s">
        <v>689</v>
      </c>
      <c r="DI722" s="496" t="s">
        <v>2516</v>
      </c>
      <c r="DJ722" s="496" t="s">
        <v>2516</v>
      </c>
      <c r="DK722" s="496" t="s">
        <v>1554</v>
      </c>
      <c r="DL722" s="496" t="s">
        <v>1555</v>
      </c>
      <c r="DM722" s="496" t="s">
        <v>1981</v>
      </c>
      <c r="DN722" s="497" t="s">
        <v>1982</v>
      </c>
      <c r="DP722" s="543">
        <v>1</v>
      </c>
    </row>
    <row r="723" spans="2:120" ht="15">
      <c r="B723" s="683"/>
      <c r="C723" s="683"/>
      <c r="D723" s="683"/>
      <c r="E723" s="683" cm="1">
        <f t="array" ref="E723">IF(H722&lt;&gt;"",E722,IF(E722="","",IFERROR(MATCH(TRUE(),INDEX(INDEX(K:K,E722+1):K203&lt;&gt;"",0),0)+E722,"")))</f>
        <v>864</v>
      </c>
      <c r="F723" s="684" cm="1">
        <f t="array" ref="F723">IF(E723="","",IF(H722&lt;&gt;"",H722,INDEX(D:D,E723)))</f>
        <v>0</v>
      </c>
      <c r="G723" s="684" t="str">
        <f t="shared" si="78"/>
        <v>0</v>
      </c>
      <c r="H723" s="685" t="str">
        <f t="shared" si="79"/>
        <v/>
      </c>
      <c r="I723" s="683" t="str">
        <f>IF(AND(F723&lt;&gt;"",N10&gt;0,M723&gt;N10),"Mot &gt; limite","")</f>
        <v/>
      </c>
      <c r="M723" s="638">
        <f>IF(OR(F723="",N10="",N10&lt;=0),"",IF(LEN(F723)&lt;=N10,LEN(F723),IFERROR(FIND("♦",SUBSTITUTE(LEFT(F723,N10)," ","♦",LEN(LEFT(F723,N10))-LEN(SUBSTITUTE(LEFT(F723,N10)," ","")))),FIND(" ",F723&amp;" ",N10+1)-1)))</f>
        <v>1</v>
      </c>
      <c r="N723" s="686">
        <f t="shared" si="80"/>
        <v>706</v>
      </c>
      <c r="O723" s="663" t="str">
        <f t="shared" si="81"/>
        <v>0</v>
      </c>
      <c r="P723" s="686">
        <f t="shared" si="82"/>
        <v>1</v>
      </c>
      <c r="Q723" s="686">
        <f t="shared" si="83"/>
        <v>1</v>
      </c>
      <c r="DE723" s="494"/>
      <c r="DF723" s="496" t="s">
        <v>2517</v>
      </c>
      <c r="DG723" s="496" t="s">
        <v>8</v>
      </c>
      <c r="DH723" s="496" t="s">
        <v>689</v>
      </c>
      <c r="DI723" s="496" t="s">
        <v>2518</v>
      </c>
      <c r="DJ723" s="496" t="s">
        <v>2518</v>
      </c>
      <c r="DK723" s="496" t="s">
        <v>1554</v>
      </c>
      <c r="DL723" s="496" t="s">
        <v>1555</v>
      </c>
      <c r="DM723" s="496" t="s">
        <v>1981</v>
      </c>
      <c r="DN723" s="497" t="s">
        <v>1982</v>
      </c>
      <c r="DP723" s="543">
        <v>1</v>
      </c>
    </row>
    <row r="724" spans="2:120" ht="15">
      <c r="B724" s="683"/>
      <c r="C724" s="683"/>
      <c r="D724" s="683"/>
      <c r="E724" s="683" cm="1">
        <f t="array" ref="E724">IF(H723&lt;&gt;"",E723,IF(E723="","",IFERROR(MATCH(TRUE(),INDEX(INDEX(K:K,E723+1):K203&lt;&gt;"",0),0)+E723,"")))</f>
        <v>865</v>
      </c>
      <c r="F724" s="684" cm="1">
        <f t="array" ref="F724">IF(E724="","",IF(H723&lt;&gt;"",H723,INDEX(D:D,E724)))</f>
        <v>0</v>
      </c>
      <c r="G724" s="684" t="str">
        <f t="shared" si="78"/>
        <v>0</v>
      </c>
      <c r="H724" s="685" t="str">
        <f t="shared" si="79"/>
        <v/>
      </c>
      <c r="I724" s="683" t="str">
        <f>IF(AND(F724&lt;&gt;"",N10&gt;0,M724&gt;N10),"Mot &gt; limite","")</f>
        <v/>
      </c>
      <c r="M724" s="638">
        <f>IF(OR(F724="",N10="",N10&lt;=0),"",IF(LEN(F724)&lt;=N10,LEN(F724),IFERROR(FIND("♦",SUBSTITUTE(LEFT(F724,N10)," ","♦",LEN(LEFT(F724,N10))-LEN(SUBSTITUTE(LEFT(F724,N10)," ","")))),FIND(" ",F724&amp;" ",N10+1)-1)))</f>
        <v>1</v>
      </c>
      <c r="N724" s="686">
        <f t="shared" si="80"/>
        <v>707</v>
      </c>
      <c r="O724" s="663" t="str">
        <f t="shared" si="81"/>
        <v>0</v>
      </c>
      <c r="P724" s="686">
        <f t="shared" si="82"/>
        <v>1</v>
      </c>
      <c r="Q724" s="686">
        <f t="shared" si="83"/>
        <v>1</v>
      </c>
      <c r="DE724" s="494"/>
      <c r="DF724" s="496" t="s">
        <v>2519</v>
      </c>
      <c r="DG724" s="496" t="s">
        <v>8</v>
      </c>
      <c r="DH724" s="496" t="s">
        <v>689</v>
      </c>
      <c r="DI724" s="496" t="s">
        <v>2520</v>
      </c>
      <c r="DJ724" s="496" t="s">
        <v>2520</v>
      </c>
      <c r="DK724" s="496" t="s">
        <v>1554</v>
      </c>
      <c r="DL724" s="496" t="s">
        <v>1555</v>
      </c>
      <c r="DM724" s="496" t="s">
        <v>1981</v>
      </c>
      <c r="DN724" s="497" t="s">
        <v>1982</v>
      </c>
      <c r="DP724" s="543">
        <v>1</v>
      </c>
    </row>
    <row r="725" spans="2:120" ht="15">
      <c r="B725" s="683"/>
      <c r="C725" s="683"/>
      <c r="D725" s="683"/>
      <c r="E725" s="683" cm="1">
        <f t="array" ref="E725">IF(H724&lt;&gt;"",E724,IF(E724="","",IFERROR(MATCH(TRUE(),INDEX(INDEX(K:K,E724+1):K203&lt;&gt;"",0),0)+E724,"")))</f>
        <v>866</v>
      </c>
      <c r="F725" s="684" cm="1">
        <f t="array" ref="F725">IF(E725="","",IF(H724&lt;&gt;"",H724,INDEX(D:D,E725)))</f>
        <v>0</v>
      </c>
      <c r="G725" s="684" t="str">
        <f t="shared" si="78"/>
        <v>0</v>
      </c>
      <c r="H725" s="685" t="str">
        <f t="shared" si="79"/>
        <v/>
      </c>
      <c r="I725" s="683" t="str">
        <f>IF(AND(F725&lt;&gt;"",N10&gt;0,M725&gt;N10),"Mot &gt; limite","")</f>
        <v/>
      </c>
      <c r="M725" s="638">
        <f>IF(OR(F725="",N10="",N10&lt;=0),"",IF(LEN(F725)&lt;=N10,LEN(F725),IFERROR(FIND("♦",SUBSTITUTE(LEFT(F725,N10)," ","♦",LEN(LEFT(F725,N10))-LEN(SUBSTITUTE(LEFT(F725,N10)," ","")))),FIND(" ",F725&amp;" ",N10+1)-1)))</f>
        <v>1</v>
      </c>
      <c r="N725" s="686">
        <f t="shared" si="80"/>
        <v>708</v>
      </c>
      <c r="O725" s="663" t="str">
        <f t="shared" si="81"/>
        <v>0</v>
      </c>
      <c r="P725" s="686">
        <f t="shared" si="82"/>
        <v>1</v>
      </c>
      <c r="Q725" s="686">
        <f t="shared" si="83"/>
        <v>1</v>
      </c>
      <c r="DE725" s="494"/>
      <c r="DF725" s="496" t="s">
        <v>2521</v>
      </c>
      <c r="DG725" s="496" t="s">
        <v>8</v>
      </c>
      <c r="DH725" s="496" t="s">
        <v>689</v>
      </c>
      <c r="DI725" s="496" t="s">
        <v>2522</v>
      </c>
      <c r="DJ725" s="496" t="s">
        <v>2522</v>
      </c>
      <c r="DK725" s="496" t="s">
        <v>1554</v>
      </c>
      <c r="DL725" s="496" t="s">
        <v>1555</v>
      </c>
      <c r="DM725" s="496" t="s">
        <v>1981</v>
      </c>
      <c r="DN725" s="497" t="s">
        <v>1982</v>
      </c>
      <c r="DP725" s="543">
        <v>1</v>
      </c>
    </row>
    <row r="726" spans="2:120" ht="15">
      <c r="B726" s="683"/>
      <c r="C726" s="683"/>
      <c r="D726" s="683"/>
      <c r="E726" s="683" cm="1">
        <f t="array" ref="E726">IF(H725&lt;&gt;"",E725,IF(E725="","",IFERROR(MATCH(TRUE(),INDEX(INDEX(K:K,E725+1):K203&lt;&gt;"",0),0)+E725,"")))</f>
        <v>867</v>
      </c>
      <c r="F726" s="684" cm="1">
        <f t="array" ref="F726">IF(E726="","",IF(H725&lt;&gt;"",H725,INDEX(D:D,E726)))</f>
        <v>0</v>
      </c>
      <c r="G726" s="684" t="str">
        <f t="shared" si="78"/>
        <v>0</v>
      </c>
      <c r="H726" s="685" t="str">
        <f t="shared" si="79"/>
        <v/>
      </c>
      <c r="I726" s="683" t="str">
        <f>IF(AND(F726&lt;&gt;"",N10&gt;0,M726&gt;N10),"Mot &gt; limite","")</f>
        <v/>
      </c>
      <c r="M726" s="638">
        <f>IF(OR(F726="",N10="",N10&lt;=0),"",IF(LEN(F726)&lt;=N10,LEN(F726),IFERROR(FIND("♦",SUBSTITUTE(LEFT(F726,N10)," ","♦",LEN(LEFT(F726,N10))-LEN(SUBSTITUTE(LEFT(F726,N10)," ","")))),FIND(" ",F726&amp;" ",N10+1)-1)))</f>
        <v>1</v>
      </c>
      <c r="N726" s="686">
        <f t="shared" si="80"/>
        <v>709</v>
      </c>
      <c r="O726" s="663" t="str">
        <f t="shared" si="81"/>
        <v>0</v>
      </c>
      <c r="P726" s="686">
        <f t="shared" si="82"/>
        <v>1</v>
      </c>
      <c r="Q726" s="686">
        <f t="shared" si="83"/>
        <v>1</v>
      </c>
      <c r="DE726" s="494"/>
      <c r="DF726" s="496" t="s">
        <v>2523</v>
      </c>
      <c r="DG726" s="496" t="s">
        <v>8</v>
      </c>
      <c r="DH726" s="496" t="s">
        <v>689</v>
      </c>
      <c r="DI726" s="496" t="s">
        <v>1027</v>
      </c>
      <c r="DJ726" s="496" t="s">
        <v>1027</v>
      </c>
      <c r="DK726" s="496" t="s">
        <v>1554</v>
      </c>
      <c r="DL726" s="496" t="s">
        <v>1555</v>
      </c>
      <c r="DM726" s="496" t="s">
        <v>1981</v>
      </c>
      <c r="DN726" s="497" t="s">
        <v>1982</v>
      </c>
      <c r="DP726" s="543">
        <v>1</v>
      </c>
    </row>
    <row r="727" spans="2:120" ht="15">
      <c r="B727" s="683"/>
      <c r="C727" s="683"/>
      <c r="D727" s="683"/>
      <c r="E727" s="683" cm="1">
        <f t="array" ref="E727">IF(H726&lt;&gt;"",E726,IF(E726="","",IFERROR(MATCH(TRUE(),INDEX(INDEX(K:K,E726+1):K203&lt;&gt;"",0),0)+E726,"")))</f>
        <v>868</v>
      </c>
      <c r="F727" s="684" cm="1">
        <f t="array" ref="F727">IF(E727="","",IF(H726&lt;&gt;"",H726,INDEX(D:D,E727)))</f>
        <v>0</v>
      </c>
      <c r="G727" s="684" t="str">
        <f t="shared" si="78"/>
        <v>0</v>
      </c>
      <c r="H727" s="685" t="str">
        <f t="shared" si="79"/>
        <v/>
      </c>
      <c r="I727" s="683" t="str">
        <f>IF(AND(F727&lt;&gt;"",N10&gt;0,M727&gt;N10),"Mot &gt; limite","")</f>
        <v/>
      </c>
      <c r="M727" s="638">
        <f>IF(OR(F727="",N10="",N10&lt;=0),"",IF(LEN(F727)&lt;=N10,LEN(F727),IFERROR(FIND("♦",SUBSTITUTE(LEFT(F727,N10)," ","♦",LEN(LEFT(F727,N10))-LEN(SUBSTITUTE(LEFT(F727,N10)," ","")))),FIND(" ",F727&amp;" ",N10+1)-1)))</f>
        <v>1</v>
      </c>
      <c r="N727" s="686">
        <f t="shared" si="80"/>
        <v>710</v>
      </c>
      <c r="O727" s="663" t="str">
        <f t="shared" si="81"/>
        <v>0</v>
      </c>
      <c r="P727" s="686">
        <f t="shared" si="82"/>
        <v>1</v>
      </c>
      <c r="Q727" s="686">
        <f t="shared" si="83"/>
        <v>1</v>
      </c>
      <c r="DE727" s="494"/>
      <c r="DF727" s="496" t="s">
        <v>2524</v>
      </c>
      <c r="DG727" s="496" t="s">
        <v>8</v>
      </c>
      <c r="DH727" s="496" t="s">
        <v>689</v>
      </c>
      <c r="DI727" s="496" t="s">
        <v>2525</v>
      </c>
      <c r="DJ727" s="496" t="s">
        <v>2525</v>
      </c>
      <c r="DK727" s="496" t="s">
        <v>1554</v>
      </c>
      <c r="DL727" s="496" t="s">
        <v>1555</v>
      </c>
      <c r="DM727" s="496" t="s">
        <v>1981</v>
      </c>
      <c r="DN727" s="497" t="s">
        <v>1982</v>
      </c>
      <c r="DP727" s="543">
        <v>1</v>
      </c>
    </row>
    <row r="728" spans="2:120" ht="15">
      <c r="B728" s="683"/>
      <c r="C728" s="683"/>
      <c r="D728" s="683"/>
      <c r="E728" s="683" cm="1">
        <f t="array" ref="E728">IF(H727&lt;&gt;"",E727,IF(E727="","",IFERROR(MATCH(TRUE(),INDEX(INDEX(K:K,E727+1):K203&lt;&gt;"",0),0)+E727,"")))</f>
        <v>869</v>
      </c>
      <c r="F728" s="684" cm="1">
        <f t="array" ref="F728">IF(E728="","",IF(H727&lt;&gt;"",H727,INDEX(D:D,E728)))</f>
        <v>0</v>
      </c>
      <c r="G728" s="684" t="str">
        <f t="shared" si="78"/>
        <v>0</v>
      </c>
      <c r="H728" s="685" t="str">
        <f t="shared" si="79"/>
        <v/>
      </c>
      <c r="I728" s="683" t="str">
        <f>IF(AND(F728&lt;&gt;"",N10&gt;0,M728&gt;N10),"Mot &gt; limite","")</f>
        <v/>
      </c>
      <c r="M728" s="638">
        <f>IF(OR(F728="",N10="",N10&lt;=0),"",IF(LEN(F728)&lt;=N10,LEN(F728),IFERROR(FIND("♦",SUBSTITUTE(LEFT(F728,N10)," ","♦",LEN(LEFT(F728,N10))-LEN(SUBSTITUTE(LEFT(F728,N10)," ","")))),FIND(" ",F728&amp;" ",N10+1)-1)))</f>
        <v>1</v>
      </c>
      <c r="N728" s="686">
        <f t="shared" si="80"/>
        <v>711</v>
      </c>
      <c r="O728" s="663" t="str">
        <f t="shared" si="81"/>
        <v>0</v>
      </c>
      <c r="P728" s="686">
        <f t="shared" si="82"/>
        <v>1</v>
      </c>
      <c r="Q728" s="686">
        <f t="shared" si="83"/>
        <v>1</v>
      </c>
      <c r="DE728" s="494"/>
      <c r="DF728" s="496" t="s">
        <v>2526</v>
      </c>
      <c r="DG728" s="496" t="s">
        <v>8</v>
      </c>
      <c r="DH728" s="496" t="s">
        <v>689</v>
      </c>
      <c r="DI728" s="496" t="s">
        <v>2527</v>
      </c>
      <c r="DJ728" s="496" t="s">
        <v>2527</v>
      </c>
      <c r="DK728" s="496" t="s">
        <v>1554</v>
      </c>
      <c r="DL728" s="496" t="s">
        <v>1555</v>
      </c>
      <c r="DM728" s="496" t="s">
        <v>1981</v>
      </c>
      <c r="DN728" s="497" t="s">
        <v>1982</v>
      </c>
      <c r="DP728" s="543">
        <v>1</v>
      </c>
    </row>
    <row r="729" spans="2:120" ht="15">
      <c r="B729" s="683"/>
      <c r="C729" s="683"/>
      <c r="D729" s="683"/>
      <c r="E729" s="683" cm="1">
        <f t="array" ref="E729">IF(H728&lt;&gt;"",E728,IF(E728="","",IFERROR(MATCH(TRUE(),INDEX(INDEX(K:K,E728+1):K203&lt;&gt;"",0),0)+E728,"")))</f>
        <v>870</v>
      </c>
      <c r="F729" s="684" cm="1">
        <f t="array" ref="F729">IF(E729="","",IF(H728&lt;&gt;"",H728,INDEX(D:D,E729)))</f>
        <v>0</v>
      </c>
      <c r="G729" s="684" t="str">
        <f t="shared" si="78"/>
        <v>0</v>
      </c>
      <c r="H729" s="685" t="str">
        <f t="shared" si="79"/>
        <v/>
      </c>
      <c r="I729" s="683" t="str">
        <f>IF(AND(F729&lt;&gt;"",N10&gt;0,M729&gt;N10),"Mot &gt; limite","")</f>
        <v/>
      </c>
      <c r="M729" s="638">
        <f>IF(OR(F729="",N10="",N10&lt;=0),"",IF(LEN(F729)&lt;=N10,LEN(F729),IFERROR(FIND("♦",SUBSTITUTE(LEFT(F729,N10)," ","♦",LEN(LEFT(F729,N10))-LEN(SUBSTITUTE(LEFT(F729,N10)," ","")))),FIND(" ",F729&amp;" ",N10+1)-1)))</f>
        <v>1</v>
      </c>
      <c r="N729" s="686">
        <f t="shared" si="80"/>
        <v>712</v>
      </c>
      <c r="O729" s="663" t="str">
        <f t="shared" si="81"/>
        <v>0</v>
      </c>
      <c r="P729" s="686">
        <f t="shared" si="82"/>
        <v>1</v>
      </c>
      <c r="Q729" s="686">
        <f t="shared" si="83"/>
        <v>1</v>
      </c>
      <c r="DE729" s="494"/>
      <c r="DF729" s="496" t="s">
        <v>2528</v>
      </c>
      <c r="DG729" s="496" t="s">
        <v>8</v>
      </c>
      <c r="DH729" s="496" t="s">
        <v>689</v>
      </c>
      <c r="DI729" s="496" t="s">
        <v>2529</v>
      </c>
      <c r="DJ729" s="496" t="s">
        <v>2529</v>
      </c>
      <c r="DK729" s="496" t="s">
        <v>1554</v>
      </c>
      <c r="DL729" s="496" t="s">
        <v>1555</v>
      </c>
      <c r="DM729" s="496" t="s">
        <v>1981</v>
      </c>
      <c r="DN729" s="497" t="s">
        <v>1982</v>
      </c>
      <c r="DP729" s="543">
        <v>1</v>
      </c>
    </row>
    <row r="730" spans="2:120" ht="15">
      <c r="B730" s="683"/>
      <c r="C730" s="683"/>
      <c r="D730" s="683"/>
      <c r="E730" s="683" cm="1">
        <f t="array" ref="E730">IF(H729&lt;&gt;"",E729,IF(E729="","",IFERROR(MATCH(TRUE(),INDEX(INDEX(K:K,E729+1):K203&lt;&gt;"",0),0)+E729,"")))</f>
        <v>871</v>
      </c>
      <c r="F730" s="684" cm="1">
        <f t="array" ref="F730">IF(E730="","",IF(H729&lt;&gt;"",H729,INDEX(D:D,E730)))</f>
        <v>0</v>
      </c>
      <c r="G730" s="684" t="str">
        <f t="shared" si="78"/>
        <v>0</v>
      </c>
      <c r="H730" s="685" t="str">
        <f t="shared" si="79"/>
        <v/>
      </c>
      <c r="I730" s="683" t="str">
        <f>IF(AND(F730&lt;&gt;"",N10&gt;0,M730&gt;N10),"Mot &gt; limite","")</f>
        <v/>
      </c>
      <c r="M730" s="638">
        <f>IF(OR(F730="",N10="",N10&lt;=0),"",IF(LEN(F730)&lt;=N10,LEN(F730),IFERROR(FIND("♦",SUBSTITUTE(LEFT(F730,N10)," ","♦",LEN(LEFT(F730,N10))-LEN(SUBSTITUTE(LEFT(F730,N10)," ","")))),FIND(" ",F730&amp;" ",N10+1)-1)))</f>
        <v>1</v>
      </c>
      <c r="N730" s="686">
        <f t="shared" si="80"/>
        <v>713</v>
      </c>
      <c r="O730" s="663" t="str">
        <f t="shared" si="81"/>
        <v>0</v>
      </c>
      <c r="P730" s="686">
        <f t="shared" si="82"/>
        <v>1</v>
      </c>
      <c r="Q730" s="686">
        <f t="shared" si="83"/>
        <v>1</v>
      </c>
      <c r="DE730" s="494"/>
      <c r="DF730" s="496" t="s">
        <v>2530</v>
      </c>
      <c r="DG730" s="496" t="s">
        <v>8</v>
      </c>
      <c r="DH730" s="496" t="s">
        <v>689</v>
      </c>
      <c r="DI730" s="496" t="s">
        <v>2531</v>
      </c>
      <c r="DJ730" s="496" t="s">
        <v>2531</v>
      </c>
      <c r="DK730" s="496" t="s">
        <v>1554</v>
      </c>
      <c r="DL730" s="496" t="s">
        <v>1555</v>
      </c>
      <c r="DM730" s="496" t="s">
        <v>1981</v>
      </c>
      <c r="DN730" s="497" t="s">
        <v>1982</v>
      </c>
      <c r="DP730" s="543">
        <v>1</v>
      </c>
    </row>
    <row r="731" spans="2:120" ht="15">
      <c r="B731" s="683"/>
      <c r="C731" s="683"/>
      <c r="D731" s="683"/>
      <c r="E731" s="683" cm="1">
        <f t="array" ref="E731">IF(H730&lt;&gt;"",E730,IF(E730="","",IFERROR(MATCH(TRUE(),INDEX(INDEX(K:K,E730+1):K203&lt;&gt;"",0),0)+E730,"")))</f>
        <v>872</v>
      </c>
      <c r="F731" s="684" cm="1">
        <f t="array" ref="F731">IF(E731="","",IF(H730&lt;&gt;"",H730,INDEX(D:D,E731)))</f>
        <v>0</v>
      </c>
      <c r="G731" s="684" t="str">
        <f t="shared" si="78"/>
        <v>0</v>
      </c>
      <c r="H731" s="685" t="str">
        <f t="shared" si="79"/>
        <v/>
      </c>
      <c r="I731" s="683" t="str">
        <f>IF(AND(F731&lt;&gt;"",N10&gt;0,M731&gt;N10),"Mot &gt; limite","")</f>
        <v/>
      </c>
      <c r="M731" s="638">
        <f>IF(OR(F731="",N10="",N10&lt;=0),"",IF(LEN(F731)&lt;=N10,LEN(F731),IFERROR(FIND("♦",SUBSTITUTE(LEFT(F731,N10)," ","♦",LEN(LEFT(F731,N10))-LEN(SUBSTITUTE(LEFT(F731,N10)," ","")))),FIND(" ",F731&amp;" ",N10+1)-1)))</f>
        <v>1</v>
      </c>
      <c r="N731" s="686">
        <f t="shared" si="80"/>
        <v>714</v>
      </c>
      <c r="O731" s="663" t="str">
        <f t="shared" si="81"/>
        <v>0</v>
      </c>
      <c r="P731" s="686">
        <f t="shared" si="82"/>
        <v>1</v>
      </c>
      <c r="Q731" s="686">
        <f t="shared" si="83"/>
        <v>1</v>
      </c>
      <c r="DE731" s="494"/>
      <c r="DF731" s="496" t="s">
        <v>2532</v>
      </c>
      <c r="DG731" s="496" t="s">
        <v>8</v>
      </c>
      <c r="DH731" s="496" t="s">
        <v>689</v>
      </c>
      <c r="DI731" s="496" t="s">
        <v>2533</v>
      </c>
      <c r="DJ731" s="496" t="s">
        <v>2533</v>
      </c>
      <c r="DK731" s="496" t="s">
        <v>1554</v>
      </c>
      <c r="DL731" s="496" t="s">
        <v>1555</v>
      </c>
      <c r="DM731" s="496" t="s">
        <v>1981</v>
      </c>
      <c r="DN731" s="497" t="s">
        <v>1982</v>
      </c>
      <c r="DP731" s="543">
        <v>1</v>
      </c>
    </row>
    <row r="732" spans="2:120" ht="15">
      <c r="B732" s="683"/>
      <c r="C732" s="683"/>
      <c r="D732" s="683"/>
      <c r="E732" s="683" cm="1">
        <f t="array" ref="E732">IF(H731&lt;&gt;"",E731,IF(E731="","",IFERROR(MATCH(TRUE(),INDEX(INDEX(K:K,E731+1):K203&lt;&gt;"",0),0)+E731,"")))</f>
        <v>873</v>
      </c>
      <c r="F732" s="684" cm="1">
        <f t="array" ref="F732">IF(E732="","",IF(H731&lt;&gt;"",H731,INDEX(D:D,E732)))</f>
        <v>0</v>
      </c>
      <c r="G732" s="684" t="str">
        <f t="shared" si="78"/>
        <v>0</v>
      </c>
      <c r="H732" s="685" t="str">
        <f t="shared" si="79"/>
        <v/>
      </c>
      <c r="I732" s="683" t="str">
        <f>IF(AND(F732&lt;&gt;"",N10&gt;0,M732&gt;N10),"Mot &gt; limite","")</f>
        <v/>
      </c>
      <c r="M732" s="638">
        <f>IF(OR(F732="",N10="",N10&lt;=0),"",IF(LEN(F732)&lt;=N10,LEN(F732),IFERROR(FIND("♦",SUBSTITUTE(LEFT(F732,N10)," ","♦",LEN(LEFT(F732,N10))-LEN(SUBSTITUTE(LEFT(F732,N10)," ","")))),FIND(" ",F732&amp;" ",N10+1)-1)))</f>
        <v>1</v>
      </c>
      <c r="N732" s="686">
        <f t="shared" si="80"/>
        <v>715</v>
      </c>
      <c r="O732" s="663" t="str">
        <f t="shared" si="81"/>
        <v>0</v>
      </c>
      <c r="P732" s="686">
        <f t="shared" si="82"/>
        <v>1</v>
      </c>
      <c r="Q732" s="686">
        <f t="shared" si="83"/>
        <v>1</v>
      </c>
      <c r="DE732" s="494"/>
      <c r="DF732" s="496" t="s">
        <v>2534</v>
      </c>
      <c r="DG732" s="496" t="s">
        <v>8</v>
      </c>
      <c r="DH732" s="496" t="s">
        <v>689</v>
      </c>
      <c r="DI732" s="496" t="s">
        <v>2535</v>
      </c>
      <c r="DJ732" s="496" t="s">
        <v>2535</v>
      </c>
      <c r="DK732" s="496" t="s">
        <v>1554</v>
      </c>
      <c r="DL732" s="496" t="s">
        <v>1555</v>
      </c>
      <c r="DM732" s="496" t="s">
        <v>1981</v>
      </c>
      <c r="DN732" s="497" t="s">
        <v>1982</v>
      </c>
      <c r="DP732" s="543">
        <v>1</v>
      </c>
    </row>
    <row r="733" spans="2:120" ht="15">
      <c r="B733" s="683"/>
      <c r="C733" s="683"/>
      <c r="D733" s="683"/>
      <c r="E733" s="683" cm="1">
        <f t="array" ref="E733">IF(H732&lt;&gt;"",E732,IF(E732="","",IFERROR(MATCH(TRUE(),INDEX(INDEX(K:K,E732+1):K203&lt;&gt;"",0),0)+E732,"")))</f>
        <v>874</v>
      </c>
      <c r="F733" s="684" cm="1">
        <f t="array" ref="F733">IF(E733="","",IF(H732&lt;&gt;"",H732,INDEX(D:D,E733)))</f>
        <v>0</v>
      </c>
      <c r="G733" s="684" t="str">
        <f t="shared" si="78"/>
        <v>0</v>
      </c>
      <c r="H733" s="685" t="str">
        <f t="shared" si="79"/>
        <v/>
      </c>
      <c r="I733" s="683" t="str">
        <f>IF(AND(F733&lt;&gt;"",N10&gt;0,M733&gt;N10),"Mot &gt; limite","")</f>
        <v/>
      </c>
      <c r="M733" s="638">
        <f>IF(OR(F733="",N10="",N10&lt;=0),"",IF(LEN(F733)&lt;=N10,LEN(F733),IFERROR(FIND("♦",SUBSTITUTE(LEFT(F733,N10)," ","♦",LEN(LEFT(F733,N10))-LEN(SUBSTITUTE(LEFT(F733,N10)," ","")))),FIND(" ",F733&amp;" ",N10+1)-1)))</f>
        <v>1</v>
      </c>
      <c r="N733" s="686">
        <f t="shared" si="80"/>
        <v>716</v>
      </c>
      <c r="O733" s="663" t="str">
        <f t="shared" si="81"/>
        <v>0</v>
      </c>
      <c r="P733" s="686">
        <f t="shared" si="82"/>
        <v>1</v>
      </c>
      <c r="Q733" s="686">
        <f t="shared" si="83"/>
        <v>1</v>
      </c>
      <c r="DE733" s="494"/>
      <c r="DF733" s="496" t="s">
        <v>2536</v>
      </c>
      <c r="DG733" s="496" t="s">
        <v>8</v>
      </c>
      <c r="DH733" s="496" t="s">
        <v>689</v>
      </c>
      <c r="DI733" s="496" t="s">
        <v>2537</v>
      </c>
      <c r="DJ733" s="496" t="s">
        <v>2537</v>
      </c>
      <c r="DK733" s="496" t="s">
        <v>1554</v>
      </c>
      <c r="DL733" s="496" t="s">
        <v>1555</v>
      </c>
      <c r="DM733" s="496" t="s">
        <v>1981</v>
      </c>
      <c r="DN733" s="497" t="s">
        <v>1982</v>
      </c>
      <c r="DP733" s="543">
        <v>1</v>
      </c>
    </row>
    <row r="734" spans="2:120" ht="15">
      <c r="B734" s="683"/>
      <c r="C734" s="683"/>
      <c r="D734" s="683"/>
      <c r="E734" s="683" cm="1">
        <f t="array" ref="E734">IF(H733&lt;&gt;"",E733,IF(E733="","",IFERROR(MATCH(TRUE(),INDEX(INDEX(K:K,E733+1):K203&lt;&gt;"",0),0)+E733,"")))</f>
        <v>875</v>
      </c>
      <c r="F734" s="684" cm="1">
        <f t="array" ref="F734">IF(E734="","",IF(H733&lt;&gt;"",H733,INDEX(D:D,E734)))</f>
        <v>0</v>
      </c>
      <c r="G734" s="684" t="str">
        <f t="shared" si="78"/>
        <v>0</v>
      </c>
      <c r="H734" s="685" t="str">
        <f t="shared" si="79"/>
        <v/>
      </c>
      <c r="I734" s="683" t="str">
        <f>IF(AND(F734&lt;&gt;"",N10&gt;0,M734&gt;N10),"Mot &gt; limite","")</f>
        <v/>
      </c>
      <c r="M734" s="638">
        <f>IF(OR(F734="",N10="",N10&lt;=0),"",IF(LEN(F734)&lt;=N10,LEN(F734),IFERROR(FIND("♦",SUBSTITUTE(LEFT(F734,N10)," ","♦",LEN(LEFT(F734,N10))-LEN(SUBSTITUTE(LEFT(F734,N10)," ","")))),FIND(" ",F734&amp;" ",N10+1)-1)))</f>
        <v>1</v>
      </c>
      <c r="N734" s="686">
        <f t="shared" si="80"/>
        <v>717</v>
      </c>
      <c r="O734" s="663" t="str">
        <f t="shared" si="81"/>
        <v>0</v>
      </c>
      <c r="P734" s="686">
        <f t="shared" si="82"/>
        <v>1</v>
      </c>
      <c r="Q734" s="686">
        <f t="shared" si="83"/>
        <v>1</v>
      </c>
      <c r="DE734" s="494"/>
      <c r="DF734" s="496" t="s">
        <v>2538</v>
      </c>
      <c r="DG734" s="496" t="s">
        <v>8</v>
      </c>
      <c r="DH734" s="496" t="s">
        <v>689</v>
      </c>
      <c r="DI734" s="496" t="s">
        <v>2539</v>
      </c>
      <c r="DJ734" s="496" t="s">
        <v>2539</v>
      </c>
      <c r="DK734" s="496" t="s">
        <v>1554</v>
      </c>
      <c r="DL734" s="496" t="s">
        <v>1555</v>
      </c>
      <c r="DM734" s="496" t="s">
        <v>1981</v>
      </c>
      <c r="DN734" s="497" t="s">
        <v>1982</v>
      </c>
      <c r="DP734" s="543">
        <v>1</v>
      </c>
    </row>
    <row r="735" spans="2:120" ht="15">
      <c r="B735" s="683"/>
      <c r="C735" s="683"/>
      <c r="D735" s="683"/>
      <c r="E735" s="683" cm="1">
        <f t="array" ref="E735">IF(H734&lt;&gt;"",E734,IF(E734="","",IFERROR(MATCH(TRUE(),INDEX(INDEX(K:K,E734+1):K203&lt;&gt;"",0),0)+E734,"")))</f>
        <v>876</v>
      </c>
      <c r="F735" s="684" cm="1">
        <f t="array" ref="F735">IF(E735="","",IF(H734&lt;&gt;"",H734,INDEX(D:D,E735)))</f>
        <v>0</v>
      </c>
      <c r="G735" s="684" t="str">
        <f t="shared" si="78"/>
        <v>0</v>
      </c>
      <c r="H735" s="685" t="str">
        <f t="shared" si="79"/>
        <v/>
      </c>
      <c r="I735" s="683" t="str">
        <f>IF(AND(F735&lt;&gt;"",N10&gt;0,M735&gt;N10),"Mot &gt; limite","")</f>
        <v/>
      </c>
      <c r="M735" s="638">
        <f>IF(OR(F735="",N10="",N10&lt;=0),"",IF(LEN(F735)&lt;=N10,LEN(F735),IFERROR(FIND("♦",SUBSTITUTE(LEFT(F735,N10)," ","♦",LEN(LEFT(F735,N10))-LEN(SUBSTITUTE(LEFT(F735,N10)," ","")))),FIND(" ",F735&amp;" ",N10+1)-1)))</f>
        <v>1</v>
      </c>
      <c r="N735" s="686">
        <f t="shared" si="80"/>
        <v>718</v>
      </c>
      <c r="O735" s="663" t="str">
        <f t="shared" si="81"/>
        <v>0</v>
      </c>
      <c r="P735" s="686">
        <f t="shared" si="82"/>
        <v>1</v>
      </c>
      <c r="Q735" s="686">
        <f t="shared" si="83"/>
        <v>1</v>
      </c>
      <c r="DE735" s="494"/>
      <c r="DF735" s="496" t="s">
        <v>2540</v>
      </c>
      <c r="DG735" s="496" t="s">
        <v>8</v>
      </c>
      <c r="DH735" s="496" t="s">
        <v>689</v>
      </c>
      <c r="DI735" s="496" t="s">
        <v>2541</v>
      </c>
      <c r="DJ735" s="496" t="s">
        <v>2541</v>
      </c>
      <c r="DK735" s="496" t="s">
        <v>1554</v>
      </c>
      <c r="DL735" s="496" t="s">
        <v>1555</v>
      </c>
      <c r="DM735" s="496" t="s">
        <v>1981</v>
      </c>
      <c r="DN735" s="497" t="s">
        <v>1982</v>
      </c>
      <c r="DP735" s="543">
        <v>1</v>
      </c>
    </row>
    <row r="736" spans="2:120" ht="15">
      <c r="B736" s="683"/>
      <c r="C736" s="683"/>
      <c r="D736" s="683"/>
      <c r="E736" s="683" cm="1">
        <f t="array" ref="E736">IF(H735&lt;&gt;"",E735,IF(E735="","",IFERROR(MATCH(TRUE(),INDEX(INDEX(K:K,E735+1):K203&lt;&gt;"",0),0)+E735,"")))</f>
        <v>877</v>
      </c>
      <c r="F736" s="684" cm="1">
        <f t="array" ref="F736">IF(E736="","",IF(H735&lt;&gt;"",H735,INDEX(D:D,E736)))</f>
        <v>0</v>
      </c>
      <c r="G736" s="684" t="str">
        <f t="shared" si="78"/>
        <v>0</v>
      </c>
      <c r="H736" s="685" t="str">
        <f t="shared" si="79"/>
        <v/>
      </c>
      <c r="I736" s="683" t="str">
        <f>IF(AND(F736&lt;&gt;"",N10&gt;0,M736&gt;N10),"Mot &gt; limite","")</f>
        <v/>
      </c>
      <c r="M736" s="638">
        <f>IF(OR(F736="",N10="",N10&lt;=0),"",IF(LEN(F736)&lt;=N10,LEN(F736),IFERROR(FIND("♦",SUBSTITUTE(LEFT(F736,N10)," ","♦",LEN(LEFT(F736,N10))-LEN(SUBSTITUTE(LEFT(F736,N10)," ","")))),FIND(" ",F736&amp;" ",N10+1)-1)))</f>
        <v>1</v>
      </c>
      <c r="N736" s="686">
        <f t="shared" si="80"/>
        <v>719</v>
      </c>
      <c r="O736" s="663" t="str">
        <f t="shared" si="81"/>
        <v>0</v>
      </c>
      <c r="P736" s="686">
        <f t="shared" si="82"/>
        <v>1</v>
      </c>
      <c r="Q736" s="686">
        <f t="shared" si="83"/>
        <v>1</v>
      </c>
      <c r="DE736" s="494"/>
      <c r="DF736" s="496" t="s">
        <v>2542</v>
      </c>
      <c r="DG736" s="496" t="s">
        <v>8</v>
      </c>
      <c r="DH736" s="496" t="s">
        <v>689</v>
      </c>
      <c r="DI736" s="496" t="s">
        <v>2543</v>
      </c>
      <c r="DJ736" s="496" t="s">
        <v>2543</v>
      </c>
      <c r="DK736" s="496" t="s">
        <v>1554</v>
      </c>
      <c r="DL736" s="496" t="s">
        <v>1555</v>
      </c>
      <c r="DM736" s="496" t="s">
        <v>1981</v>
      </c>
      <c r="DN736" s="497" t="s">
        <v>1982</v>
      </c>
      <c r="DP736" s="543">
        <v>1</v>
      </c>
    </row>
    <row r="737" spans="2:120" ht="15">
      <c r="B737" s="683"/>
      <c r="C737" s="683"/>
      <c r="D737" s="683"/>
      <c r="E737" s="683" cm="1">
        <f t="array" ref="E737">IF(H736&lt;&gt;"",E736,IF(E736="","",IFERROR(MATCH(TRUE(),INDEX(INDEX(K:K,E736+1):K203&lt;&gt;"",0),0)+E736,"")))</f>
        <v>878</v>
      </c>
      <c r="F737" s="684" cm="1">
        <f t="array" ref="F737">IF(E737="","",IF(H736&lt;&gt;"",H736,INDEX(D:D,E737)))</f>
        <v>0</v>
      </c>
      <c r="G737" s="684" t="str">
        <f t="shared" si="78"/>
        <v>0</v>
      </c>
      <c r="H737" s="685" t="str">
        <f t="shared" si="79"/>
        <v/>
      </c>
      <c r="I737" s="683" t="str">
        <f>IF(AND(F737&lt;&gt;"",N10&gt;0,M737&gt;N10),"Mot &gt; limite","")</f>
        <v/>
      </c>
      <c r="M737" s="638">
        <f>IF(OR(F737="",N10="",N10&lt;=0),"",IF(LEN(F737)&lt;=N10,LEN(F737),IFERROR(FIND("♦",SUBSTITUTE(LEFT(F737,N10)," ","♦",LEN(LEFT(F737,N10))-LEN(SUBSTITUTE(LEFT(F737,N10)," ","")))),FIND(" ",F737&amp;" ",N10+1)-1)))</f>
        <v>1</v>
      </c>
      <c r="N737" s="686">
        <f t="shared" si="80"/>
        <v>720</v>
      </c>
      <c r="O737" s="663" t="str">
        <f t="shared" si="81"/>
        <v>0</v>
      </c>
      <c r="P737" s="686">
        <f t="shared" si="82"/>
        <v>1</v>
      </c>
      <c r="Q737" s="686">
        <f t="shared" si="83"/>
        <v>1</v>
      </c>
      <c r="DE737" s="494"/>
      <c r="DF737" s="496" t="s">
        <v>2544</v>
      </c>
      <c r="DG737" s="496" t="s">
        <v>8</v>
      </c>
      <c r="DH737" s="496" t="s">
        <v>689</v>
      </c>
      <c r="DI737" s="496" t="s">
        <v>2545</v>
      </c>
      <c r="DJ737" s="496" t="s">
        <v>2545</v>
      </c>
      <c r="DK737" s="496" t="s">
        <v>1554</v>
      </c>
      <c r="DL737" s="496" t="s">
        <v>1555</v>
      </c>
      <c r="DM737" s="496" t="s">
        <v>1981</v>
      </c>
      <c r="DN737" s="497" t="s">
        <v>1982</v>
      </c>
      <c r="DP737" s="543">
        <v>1</v>
      </c>
    </row>
    <row r="738" spans="2:120" ht="15">
      <c r="B738" s="683"/>
      <c r="C738" s="683"/>
      <c r="D738" s="683"/>
      <c r="E738" s="683" cm="1">
        <f t="array" ref="E738">IF(H737&lt;&gt;"",E737,IF(E737="","",IFERROR(MATCH(TRUE(),INDEX(INDEX(K:K,E737+1):K203&lt;&gt;"",0),0)+E737,"")))</f>
        <v>879</v>
      </c>
      <c r="F738" s="684" cm="1">
        <f t="array" ref="F738">IF(E738="","",IF(H737&lt;&gt;"",H737,INDEX(D:D,E738)))</f>
        <v>0</v>
      </c>
      <c r="G738" s="684" t="str">
        <f t="shared" si="78"/>
        <v>0</v>
      </c>
      <c r="H738" s="685" t="str">
        <f t="shared" si="79"/>
        <v/>
      </c>
      <c r="I738" s="683" t="str">
        <f>IF(AND(F738&lt;&gt;"",N10&gt;0,M738&gt;N10),"Mot &gt; limite","")</f>
        <v/>
      </c>
      <c r="M738" s="638">
        <f>IF(OR(F738="",N10="",N10&lt;=0),"",IF(LEN(F738)&lt;=N10,LEN(F738),IFERROR(FIND("♦",SUBSTITUTE(LEFT(F738,N10)," ","♦",LEN(LEFT(F738,N10))-LEN(SUBSTITUTE(LEFT(F738,N10)," ","")))),FIND(" ",F738&amp;" ",N10+1)-1)))</f>
        <v>1</v>
      </c>
      <c r="N738" s="686">
        <f t="shared" si="80"/>
        <v>721</v>
      </c>
      <c r="O738" s="663" t="str">
        <f t="shared" si="81"/>
        <v>0</v>
      </c>
      <c r="P738" s="686">
        <f t="shared" si="82"/>
        <v>1</v>
      </c>
      <c r="Q738" s="686">
        <f t="shared" si="83"/>
        <v>1</v>
      </c>
      <c r="DE738" s="494"/>
      <c r="DF738" s="496" t="s">
        <v>2546</v>
      </c>
      <c r="DG738" s="496" t="s">
        <v>8</v>
      </c>
      <c r="DH738" s="496" t="s">
        <v>689</v>
      </c>
      <c r="DI738" s="496" t="s">
        <v>2547</v>
      </c>
      <c r="DJ738" s="496" t="s">
        <v>2547</v>
      </c>
      <c r="DK738" s="496" t="s">
        <v>1554</v>
      </c>
      <c r="DL738" s="496" t="s">
        <v>1555</v>
      </c>
      <c r="DM738" s="496" t="s">
        <v>1981</v>
      </c>
      <c r="DN738" s="497" t="s">
        <v>1982</v>
      </c>
      <c r="DP738" s="543">
        <v>1</v>
      </c>
    </row>
    <row r="739" spans="2:120" ht="15">
      <c r="B739" s="683"/>
      <c r="C739" s="683"/>
      <c r="D739" s="683"/>
      <c r="E739" s="683" cm="1">
        <f t="array" ref="E739">IF(H738&lt;&gt;"",E738,IF(E738="","",IFERROR(MATCH(TRUE(),INDEX(INDEX(K:K,E738+1):K203&lt;&gt;"",0),0)+E738,"")))</f>
        <v>880</v>
      </c>
      <c r="F739" s="684" cm="1">
        <f t="array" ref="F739">IF(E739="","",IF(H738&lt;&gt;"",H738,INDEX(D:D,E739)))</f>
        <v>0</v>
      </c>
      <c r="G739" s="684" t="str">
        <f t="shared" si="78"/>
        <v>0</v>
      </c>
      <c r="H739" s="685" t="str">
        <f t="shared" si="79"/>
        <v/>
      </c>
      <c r="I739" s="683" t="str">
        <f>IF(AND(F739&lt;&gt;"",N10&gt;0,M739&gt;N10),"Mot &gt; limite","")</f>
        <v/>
      </c>
      <c r="M739" s="638">
        <f>IF(OR(F739="",N10="",N10&lt;=0),"",IF(LEN(F739)&lt;=N10,LEN(F739),IFERROR(FIND("♦",SUBSTITUTE(LEFT(F739,N10)," ","♦",LEN(LEFT(F739,N10))-LEN(SUBSTITUTE(LEFT(F739,N10)," ","")))),FIND(" ",F739&amp;" ",N10+1)-1)))</f>
        <v>1</v>
      </c>
      <c r="N739" s="686">
        <f t="shared" si="80"/>
        <v>722</v>
      </c>
      <c r="O739" s="663" t="str">
        <f t="shared" si="81"/>
        <v>0</v>
      </c>
      <c r="P739" s="686">
        <f t="shared" si="82"/>
        <v>1</v>
      </c>
      <c r="Q739" s="686">
        <f t="shared" si="83"/>
        <v>1</v>
      </c>
      <c r="DE739" s="494"/>
      <c r="DF739" s="496" t="s">
        <v>2548</v>
      </c>
      <c r="DG739" s="496" t="s">
        <v>8</v>
      </c>
      <c r="DH739" s="496" t="s">
        <v>689</v>
      </c>
      <c r="DI739" s="496" t="s">
        <v>2549</v>
      </c>
      <c r="DJ739" s="496" t="s">
        <v>2549</v>
      </c>
      <c r="DK739" s="496" t="s">
        <v>1554</v>
      </c>
      <c r="DL739" s="496" t="s">
        <v>1555</v>
      </c>
      <c r="DM739" s="496" t="s">
        <v>1981</v>
      </c>
      <c r="DN739" s="497" t="s">
        <v>1982</v>
      </c>
      <c r="DP739" s="543">
        <v>1</v>
      </c>
    </row>
    <row r="740" spans="2:120" ht="15">
      <c r="B740" s="683"/>
      <c r="C740" s="683"/>
      <c r="D740" s="683"/>
      <c r="E740" s="683" cm="1">
        <f t="array" ref="E740">IF(H739&lt;&gt;"",E739,IF(E739="","",IFERROR(MATCH(TRUE(),INDEX(INDEX(K:K,E739+1):K203&lt;&gt;"",0),0)+E739,"")))</f>
        <v>881</v>
      </c>
      <c r="F740" s="684" cm="1">
        <f t="array" ref="F740">IF(E740="","",IF(H739&lt;&gt;"",H739,INDEX(D:D,E740)))</f>
        <v>0</v>
      </c>
      <c r="G740" s="684" t="str">
        <f t="shared" si="78"/>
        <v>0</v>
      </c>
      <c r="H740" s="685" t="str">
        <f t="shared" si="79"/>
        <v/>
      </c>
      <c r="I740" s="683" t="str">
        <f>IF(AND(F740&lt;&gt;"",N10&gt;0,M740&gt;N10),"Mot &gt; limite","")</f>
        <v/>
      </c>
      <c r="M740" s="638">
        <f>IF(OR(F740="",N10="",N10&lt;=0),"",IF(LEN(F740)&lt;=N10,LEN(F740),IFERROR(FIND("♦",SUBSTITUTE(LEFT(F740,N10)," ","♦",LEN(LEFT(F740,N10))-LEN(SUBSTITUTE(LEFT(F740,N10)," ","")))),FIND(" ",F740&amp;" ",N10+1)-1)))</f>
        <v>1</v>
      </c>
      <c r="N740" s="686">
        <f t="shared" si="80"/>
        <v>723</v>
      </c>
      <c r="O740" s="663" t="str">
        <f t="shared" si="81"/>
        <v>0</v>
      </c>
      <c r="P740" s="686">
        <f t="shared" si="82"/>
        <v>1</v>
      </c>
      <c r="Q740" s="686">
        <f t="shared" si="83"/>
        <v>1</v>
      </c>
      <c r="DE740" s="494"/>
      <c r="DF740" s="496" t="s">
        <v>2550</v>
      </c>
      <c r="DG740" s="496" t="s">
        <v>8</v>
      </c>
      <c r="DH740" s="496" t="s">
        <v>689</v>
      </c>
      <c r="DI740" s="496" t="s">
        <v>2551</v>
      </c>
      <c r="DJ740" s="496" t="s">
        <v>2551</v>
      </c>
      <c r="DK740" s="496" t="s">
        <v>1085</v>
      </c>
      <c r="DL740" s="496" t="s">
        <v>2063</v>
      </c>
      <c r="DM740" s="496" t="s">
        <v>1087</v>
      </c>
      <c r="DN740" s="497" t="s">
        <v>1088</v>
      </c>
      <c r="DP740" s="543">
        <v>1</v>
      </c>
    </row>
    <row r="741" spans="2:120" ht="15">
      <c r="B741" s="683"/>
      <c r="C741" s="683"/>
      <c r="D741" s="683"/>
      <c r="E741" s="683" cm="1">
        <f t="array" ref="E741">IF(H740&lt;&gt;"",E740,IF(E740="","",IFERROR(MATCH(TRUE(),INDEX(INDEX(K:K,E740+1):K203&lt;&gt;"",0),0)+E740,"")))</f>
        <v>882</v>
      </c>
      <c r="F741" s="684" cm="1">
        <f t="array" ref="F741">IF(E741="","",IF(H740&lt;&gt;"",H740,INDEX(D:D,E741)))</f>
        <v>0</v>
      </c>
      <c r="G741" s="684" t="str">
        <f t="shared" si="78"/>
        <v>0</v>
      </c>
      <c r="H741" s="685" t="str">
        <f t="shared" si="79"/>
        <v/>
      </c>
      <c r="I741" s="683" t="str">
        <f>IF(AND(F741&lt;&gt;"",N10&gt;0,M741&gt;N10),"Mot &gt; limite","")</f>
        <v/>
      </c>
      <c r="M741" s="638">
        <f>IF(OR(F741="",N10="",N10&lt;=0),"",IF(LEN(F741)&lt;=N10,LEN(F741),IFERROR(FIND("♦",SUBSTITUTE(LEFT(F741,N10)," ","♦",LEN(LEFT(F741,N10))-LEN(SUBSTITUTE(LEFT(F741,N10)," ","")))),FIND(" ",F741&amp;" ",N10+1)-1)))</f>
        <v>1</v>
      </c>
      <c r="N741" s="686">
        <f t="shared" si="80"/>
        <v>724</v>
      </c>
      <c r="O741" s="663" t="str">
        <f t="shared" si="81"/>
        <v>0</v>
      </c>
      <c r="P741" s="686">
        <f t="shared" si="82"/>
        <v>1</v>
      </c>
      <c r="Q741" s="686">
        <f t="shared" si="83"/>
        <v>1</v>
      </c>
      <c r="DE741" s="494"/>
      <c r="DF741" s="496" t="s">
        <v>2552</v>
      </c>
      <c r="DG741" s="496" t="s">
        <v>8</v>
      </c>
      <c r="DH741" s="496" t="s">
        <v>689</v>
      </c>
      <c r="DI741" s="496" t="s">
        <v>2553</v>
      </c>
      <c r="DJ741" s="496" t="s">
        <v>2553</v>
      </c>
      <c r="DK741" s="496" t="s">
        <v>1554</v>
      </c>
      <c r="DL741" s="496" t="s">
        <v>1555</v>
      </c>
      <c r="DM741" s="496" t="s">
        <v>1981</v>
      </c>
      <c r="DN741" s="497" t="s">
        <v>1982</v>
      </c>
      <c r="DP741" s="543">
        <v>1</v>
      </c>
    </row>
    <row r="742" spans="2:120" ht="15">
      <c r="B742" s="683"/>
      <c r="C742" s="683"/>
      <c r="D742" s="683"/>
      <c r="E742" s="683" cm="1">
        <f t="array" ref="E742">IF(H741&lt;&gt;"",E741,IF(E741="","",IFERROR(MATCH(TRUE(),INDEX(INDEX(K:K,E741+1):K203&lt;&gt;"",0),0)+E741,"")))</f>
        <v>883</v>
      </c>
      <c r="F742" s="684" cm="1">
        <f t="array" ref="F742">IF(E742="","",IF(H741&lt;&gt;"",H741,INDEX(D:D,E742)))</f>
        <v>0</v>
      </c>
      <c r="G742" s="684" t="str">
        <f t="shared" si="78"/>
        <v>0</v>
      </c>
      <c r="H742" s="685" t="str">
        <f t="shared" si="79"/>
        <v/>
      </c>
      <c r="I742" s="683" t="str">
        <f>IF(AND(F742&lt;&gt;"",N10&gt;0,M742&gt;N10),"Mot &gt; limite","")</f>
        <v/>
      </c>
      <c r="M742" s="638">
        <f>IF(OR(F742="",N10="",N10&lt;=0),"",IF(LEN(F742)&lt;=N10,LEN(F742),IFERROR(FIND("♦",SUBSTITUTE(LEFT(F742,N10)," ","♦",LEN(LEFT(F742,N10))-LEN(SUBSTITUTE(LEFT(F742,N10)," ","")))),FIND(" ",F742&amp;" ",N10+1)-1)))</f>
        <v>1</v>
      </c>
      <c r="N742" s="686">
        <f t="shared" si="80"/>
        <v>725</v>
      </c>
      <c r="O742" s="663" t="str">
        <f t="shared" si="81"/>
        <v>0</v>
      </c>
      <c r="P742" s="686">
        <f t="shared" si="82"/>
        <v>1</v>
      </c>
      <c r="Q742" s="686">
        <f t="shared" si="83"/>
        <v>1</v>
      </c>
      <c r="DE742" s="494"/>
      <c r="DF742" s="496" t="s">
        <v>2554</v>
      </c>
      <c r="DG742" s="496" t="s">
        <v>8</v>
      </c>
      <c r="DH742" s="496" t="s">
        <v>689</v>
      </c>
      <c r="DI742" s="496" t="s">
        <v>2555</v>
      </c>
      <c r="DJ742" s="496" t="s">
        <v>2555</v>
      </c>
      <c r="DK742" s="496" t="s">
        <v>1554</v>
      </c>
      <c r="DL742" s="496" t="s">
        <v>1555</v>
      </c>
      <c r="DM742" s="496" t="s">
        <v>1981</v>
      </c>
      <c r="DN742" s="497" t="s">
        <v>1982</v>
      </c>
      <c r="DP742" s="543">
        <v>1</v>
      </c>
    </row>
    <row r="743" spans="2:120" ht="15">
      <c r="B743" s="683"/>
      <c r="C743" s="683"/>
      <c r="D743" s="683"/>
      <c r="E743" s="683" cm="1">
        <f t="array" ref="E743">IF(H742&lt;&gt;"",E742,IF(E742="","",IFERROR(MATCH(TRUE(),INDEX(INDEX(K:K,E742+1):K203&lt;&gt;"",0),0)+E742,"")))</f>
        <v>884</v>
      </c>
      <c r="F743" s="684" cm="1">
        <f t="array" ref="F743">IF(E743="","",IF(H742&lt;&gt;"",H742,INDEX(D:D,E743)))</f>
        <v>0</v>
      </c>
      <c r="G743" s="684" t="str">
        <f t="shared" si="78"/>
        <v>0</v>
      </c>
      <c r="H743" s="685" t="str">
        <f t="shared" si="79"/>
        <v/>
      </c>
      <c r="I743" s="683" t="str">
        <f>IF(AND(F743&lt;&gt;"",N10&gt;0,M743&gt;N10),"Mot &gt; limite","")</f>
        <v/>
      </c>
      <c r="M743" s="638">
        <f>IF(OR(F743="",N10="",N10&lt;=0),"",IF(LEN(F743)&lt;=N10,LEN(F743),IFERROR(FIND("♦",SUBSTITUTE(LEFT(F743,N10)," ","♦",LEN(LEFT(F743,N10))-LEN(SUBSTITUTE(LEFT(F743,N10)," ","")))),FIND(" ",F743&amp;" ",N10+1)-1)))</f>
        <v>1</v>
      </c>
      <c r="N743" s="686">
        <f t="shared" si="80"/>
        <v>726</v>
      </c>
      <c r="O743" s="663" t="str">
        <f t="shared" si="81"/>
        <v>0</v>
      </c>
      <c r="P743" s="686">
        <f t="shared" si="82"/>
        <v>1</v>
      </c>
      <c r="Q743" s="686">
        <f t="shared" si="83"/>
        <v>1</v>
      </c>
      <c r="DE743" s="494"/>
      <c r="DF743" s="496" t="s">
        <v>2556</v>
      </c>
      <c r="DG743" s="496" t="s">
        <v>8</v>
      </c>
      <c r="DH743" s="496" t="s">
        <v>689</v>
      </c>
      <c r="DI743" s="496" t="s">
        <v>2557</v>
      </c>
      <c r="DJ743" s="496" t="s">
        <v>2557</v>
      </c>
      <c r="DK743" s="496" t="s">
        <v>1554</v>
      </c>
      <c r="DL743" s="496" t="s">
        <v>1555</v>
      </c>
      <c r="DM743" s="496" t="s">
        <v>1981</v>
      </c>
      <c r="DN743" s="497" t="s">
        <v>1982</v>
      </c>
      <c r="DP743" s="543">
        <v>1</v>
      </c>
    </row>
    <row r="744" spans="2:120" ht="15">
      <c r="B744" s="683"/>
      <c r="C744" s="683"/>
      <c r="D744" s="683"/>
      <c r="E744" s="683" cm="1">
        <f t="array" ref="E744">IF(H743&lt;&gt;"",E743,IF(E743="","",IFERROR(MATCH(TRUE(),INDEX(INDEX(K:K,E743+1):K203&lt;&gt;"",0),0)+E743,"")))</f>
        <v>885</v>
      </c>
      <c r="F744" s="684" cm="1">
        <f t="array" ref="F744">IF(E744="","",IF(H743&lt;&gt;"",H743,INDEX(D:D,E744)))</f>
        <v>0</v>
      </c>
      <c r="G744" s="684" t="str">
        <f t="shared" si="78"/>
        <v>0</v>
      </c>
      <c r="H744" s="685" t="str">
        <f t="shared" si="79"/>
        <v/>
      </c>
      <c r="I744" s="683" t="str">
        <f>IF(AND(F744&lt;&gt;"",N10&gt;0,M744&gt;N10),"Mot &gt; limite","")</f>
        <v/>
      </c>
      <c r="M744" s="638">
        <f>IF(OR(F744="",N10="",N10&lt;=0),"",IF(LEN(F744)&lt;=N10,LEN(F744),IFERROR(FIND("♦",SUBSTITUTE(LEFT(F744,N10)," ","♦",LEN(LEFT(F744,N10))-LEN(SUBSTITUTE(LEFT(F744,N10)," ","")))),FIND(" ",F744&amp;" ",N10+1)-1)))</f>
        <v>1</v>
      </c>
      <c r="N744" s="686">
        <f t="shared" si="80"/>
        <v>727</v>
      </c>
      <c r="O744" s="663" t="str">
        <f t="shared" si="81"/>
        <v>0</v>
      </c>
      <c r="P744" s="686">
        <f t="shared" si="82"/>
        <v>1</v>
      </c>
      <c r="Q744" s="686">
        <f t="shared" si="83"/>
        <v>1</v>
      </c>
      <c r="DE744" s="494"/>
      <c r="DF744" s="496" t="s">
        <v>2558</v>
      </c>
      <c r="DG744" s="496" t="s">
        <v>8</v>
      </c>
      <c r="DH744" s="496" t="s">
        <v>689</v>
      </c>
      <c r="DI744" s="496" t="s">
        <v>2559</v>
      </c>
      <c r="DJ744" s="496" t="s">
        <v>2559</v>
      </c>
      <c r="DK744" s="496" t="s">
        <v>1554</v>
      </c>
      <c r="DL744" s="496" t="s">
        <v>1555</v>
      </c>
      <c r="DM744" s="496" t="s">
        <v>1981</v>
      </c>
      <c r="DN744" s="497" t="s">
        <v>1982</v>
      </c>
      <c r="DP744" s="543">
        <v>1</v>
      </c>
    </row>
    <row r="745" spans="2:120" ht="15">
      <c r="B745" s="683"/>
      <c r="C745" s="683"/>
      <c r="D745" s="683"/>
      <c r="E745" s="683" cm="1">
        <f t="array" ref="E745">IF(H744&lt;&gt;"",E744,IF(E744="","",IFERROR(MATCH(TRUE(),INDEX(INDEX(K:K,E744+1):K203&lt;&gt;"",0),0)+E744,"")))</f>
        <v>886</v>
      </c>
      <c r="F745" s="684" cm="1">
        <f t="array" ref="F745">IF(E745="","",IF(H744&lt;&gt;"",H744,INDEX(D:D,E745)))</f>
        <v>0</v>
      </c>
      <c r="G745" s="684" t="str">
        <f t="shared" si="78"/>
        <v>0</v>
      </c>
      <c r="H745" s="685" t="str">
        <f t="shared" si="79"/>
        <v/>
      </c>
      <c r="I745" s="683" t="str">
        <f>IF(AND(F745&lt;&gt;"",N10&gt;0,M745&gt;N10),"Mot &gt; limite","")</f>
        <v/>
      </c>
      <c r="M745" s="638">
        <f>IF(OR(F745="",N10="",N10&lt;=0),"",IF(LEN(F745)&lt;=N10,LEN(F745),IFERROR(FIND("♦",SUBSTITUTE(LEFT(F745,N10)," ","♦",LEN(LEFT(F745,N10))-LEN(SUBSTITUTE(LEFT(F745,N10)," ","")))),FIND(" ",F745&amp;" ",N10+1)-1)))</f>
        <v>1</v>
      </c>
      <c r="N745" s="686">
        <f t="shared" si="80"/>
        <v>728</v>
      </c>
      <c r="O745" s="663" t="str">
        <f t="shared" si="81"/>
        <v>0</v>
      </c>
      <c r="P745" s="686">
        <f t="shared" si="82"/>
        <v>1</v>
      </c>
      <c r="Q745" s="686">
        <f t="shared" si="83"/>
        <v>1</v>
      </c>
      <c r="DE745" s="494"/>
      <c r="DF745" s="496" t="s">
        <v>2560</v>
      </c>
      <c r="DG745" s="496" t="s">
        <v>8</v>
      </c>
      <c r="DH745" s="496" t="s">
        <v>689</v>
      </c>
      <c r="DI745" s="496" t="s">
        <v>2561</v>
      </c>
      <c r="DJ745" s="496" t="s">
        <v>2561</v>
      </c>
      <c r="DK745" s="496" t="s">
        <v>1554</v>
      </c>
      <c r="DL745" s="496" t="s">
        <v>1555</v>
      </c>
      <c r="DM745" s="496" t="s">
        <v>1981</v>
      </c>
      <c r="DN745" s="497" t="s">
        <v>1982</v>
      </c>
      <c r="DP745" s="543">
        <v>1</v>
      </c>
    </row>
    <row r="746" spans="2:120" ht="15">
      <c r="B746" s="683"/>
      <c r="C746" s="683"/>
      <c r="D746" s="683"/>
      <c r="E746" s="683" cm="1">
        <f t="array" ref="E746">IF(H745&lt;&gt;"",E745,IF(E745="","",IFERROR(MATCH(TRUE(),INDEX(INDEX(K:K,E745+1):K203&lt;&gt;"",0),0)+E745,"")))</f>
        <v>887</v>
      </c>
      <c r="F746" s="684" cm="1">
        <f t="array" ref="F746">IF(E746="","",IF(H745&lt;&gt;"",H745,INDEX(D:D,E746)))</f>
        <v>0</v>
      </c>
      <c r="G746" s="684" t="str">
        <f t="shared" si="78"/>
        <v>0</v>
      </c>
      <c r="H746" s="685" t="str">
        <f t="shared" si="79"/>
        <v/>
      </c>
      <c r="I746" s="683" t="str">
        <f>IF(AND(F746&lt;&gt;"",N10&gt;0,M746&gt;N10),"Mot &gt; limite","")</f>
        <v/>
      </c>
      <c r="M746" s="638">
        <f>IF(OR(F746="",N10="",N10&lt;=0),"",IF(LEN(F746)&lt;=N10,LEN(F746),IFERROR(FIND("♦",SUBSTITUTE(LEFT(F746,N10)," ","♦",LEN(LEFT(F746,N10))-LEN(SUBSTITUTE(LEFT(F746,N10)," ","")))),FIND(" ",F746&amp;" ",N10+1)-1)))</f>
        <v>1</v>
      </c>
      <c r="N746" s="686">
        <f t="shared" si="80"/>
        <v>729</v>
      </c>
      <c r="O746" s="663" t="str">
        <f t="shared" si="81"/>
        <v>0</v>
      </c>
      <c r="P746" s="686">
        <f t="shared" si="82"/>
        <v>1</v>
      </c>
      <c r="Q746" s="686">
        <f t="shared" si="83"/>
        <v>1</v>
      </c>
      <c r="DE746" s="494"/>
      <c r="DF746" s="496" t="s">
        <v>2562</v>
      </c>
      <c r="DG746" s="496" t="s">
        <v>8</v>
      </c>
      <c r="DH746" s="496" t="s">
        <v>689</v>
      </c>
      <c r="DI746" s="496" t="s">
        <v>2563</v>
      </c>
      <c r="DJ746" s="496" t="s">
        <v>2563</v>
      </c>
      <c r="DK746" s="496" t="s">
        <v>1085</v>
      </c>
      <c r="DL746" s="496" t="s">
        <v>2063</v>
      </c>
      <c r="DM746" s="496" t="s">
        <v>1087</v>
      </c>
      <c r="DN746" s="497" t="s">
        <v>1088</v>
      </c>
      <c r="DP746" s="543">
        <v>1</v>
      </c>
    </row>
    <row r="747" spans="2:120" ht="15">
      <c r="B747" s="683"/>
      <c r="C747" s="683"/>
      <c r="D747" s="683"/>
      <c r="E747" s="683" cm="1">
        <f t="array" ref="E747">IF(H746&lt;&gt;"",E746,IF(E746="","",IFERROR(MATCH(TRUE(),INDEX(INDEX(K:K,E746+1):K203&lt;&gt;"",0),0)+E746,"")))</f>
        <v>888</v>
      </c>
      <c r="F747" s="684" cm="1">
        <f t="array" ref="F747">IF(E747="","",IF(H746&lt;&gt;"",H746,INDEX(D:D,E747)))</f>
        <v>0</v>
      </c>
      <c r="G747" s="684" t="str">
        <f t="shared" si="78"/>
        <v>0</v>
      </c>
      <c r="H747" s="685" t="str">
        <f t="shared" si="79"/>
        <v/>
      </c>
      <c r="I747" s="683" t="str">
        <f>IF(AND(F747&lt;&gt;"",N10&gt;0,M747&gt;N10),"Mot &gt; limite","")</f>
        <v/>
      </c>
      <c r="M747" s="638">
        <f>IF(OR(F747="",N10="",N10&lt;=0),"",IF(LEN(F747)&lt;=N10,LEN(F747),IFERROR(FIND("♦",SUBSTITUTE(LEFT(F747,N10)," ","♦",LEN(LEFT(F747,N10))-LEN(SUBSTITUTE(LEFT(F747,N10)," ","")))),FIND(" ",F747&amp;" ",N10+1)-1)))</f>
        <v>1</v>
      </c>
      <c r="N747" s="686">
        <f t="shared" si="80"/>
        <v>730</v>
      </c>
      <c r="O747" s="663" t="str">
        <f t="shared" si="81"/>
        <v>0</v>
      </c>
      <c r="P747" s="686">
        <f t="shared" si="82"/>
        <v>1</v>
      </c>
      <c r="Q747" s="686">
        <f t="shared" si="83"/>
        <v>1</v>
      </c>
      <c r="DE747" s="494"/>
      <c r="DF747" s="496" t="s">
        <v>2564</v>
      </c>
      <c r="DG747" s="496" t="s">
        <v>8</v>
      </c>
      <c r="DH747" s="496" t="s">
        <v>689</v>
      </c>
      <c r="DI747" s="496" t="s">
        <v>357</v>
      </c>
      <c r="DJ747" s="496" t="s">
        <v>357</v>
      </c>
      <c r="DK747" s="496" t="s">
        <v>1151</v>
      </c>
      <c r="DL747" s="496" t="s">
        <v>1152</v>
      </c>
      <c r="DM747" s="496" t="s">
        <v>1087</v>
      </c>
      <c r="DN747" s="497" t="s">
        <v>1153</v>
      </c>
      <c r="DP747" s="543">
        <v>1</v>
      </c>
    </row>
    <row r="748" spans="2:120" ht="15">
      <c r="B748" s="683"/>
      <c r="C748" s="683"/>
      <c r="D748" s="683"/>
      <c r="E748" s="683" cm="1">
        <f t="array" ref="E748">IF(H747&lt;&gt;"",E747,IF(E747="","",IFERROR(MATCH(TRUE(),INDEX(INDEX(K:K,E747+1):K203&lt;&gt;"",0),0)+E747,"")))</f>
        <v>889</v>
      </c>
      <c r="F748" s="684" cm="1">
        <f t="array" ref="F748">IF(E748="","",IF(H747&lt;&gt;"",H747,INDEX(D:D,E748)))</f>
        <v>0</v>
      </c>
      <c r="G748" s="684" t="str">
        <f t="shared" si="78"/>
        <v>0</v>
      </c>
      <c r="H748" s="685" t="str">
        <f t="shared" si="79"/>
        <v/>
      </c>
      <c r="I748" s="683" t="str">
        <f>IF(AND(F748&lt;&gt;"",N10&gt;0,M748&gt;N10),"Mot &gt; limite","")</f>
        <v/>
      </c>
      <c r="M748" s="638">
        <f>IF(OR(F748="",N10="",N10&lt;=0),"",IF(LEN(F748)&lt;=N10,LEN(F748),IFERROR(FIND("♦",SUBSTITUTE(LEFT(F748,N10)," ","♦",LEN(LEFT(F748,N10))-LEN(SUBSTITUTE(LEFT(F748,N10)," ","")))),FIND(" ",F748&amp;" ",N10+1)-1)))</f>
        <v>1</v>
      </c>
      <c r="N748" s="686">
        <f t="shared" si="80"/>
        <v>731</v>
      </c>
      <c r="O748" s="663" t="str">
        <f t="shared" si="81"/>
        <v>0</v>
      </c>
      <c r="P748" s="686">
        <f t="shared" si="82"/>
        <v>1</v>
      </c>
      <c r="Q748" s="686">
        <f t="shared" si="83"/>
        <v>1</v>
      </c>
      <c r="DE748" s="494"/>
      <c r="DF748" s="496" t="s">
        <v>2565</v>
      </c>
      <c r="DG748" s="496" t="s">
        <v>8</v>
      </c>
      <c r="DH748" s="496" t="s">
        <v>689</v>
      </c>
      <c r="DI748" s="496" t="s">
        <v>2566</v>
      </c>
      <c r="DJ748" s="496" t="s">
        <v>2566</v>
      </c>
      <c r="DK748" s="496" t="s">
        <v>1085</v>
      </c>
      <c r="DL748" s="496" t="s">
        <v>2063</v>
      </c>
      <c r="DM748" s="496" t="s">
        <v>1087</v>
      </c>
      <c r="DN748" s="497" t="s">
        <v>1088</v>
      </c>
      <c r="DP748" s="543">
        <v>1</v>
      </c>
    </row>
    <row r="749" spans="2:120" ht="15">
      <c r="B749" s="683"/>
      <c r="C749" s="683"/>
      <c r="D749" s="683"/>
      <c r="E749" s="683" cm="1">
        <f t="array" ref="E749">IF(H748&lt;&gt;"",E748,IF(E748="","",IFERROR(MATCH(TRUE(),INDEX(INDEX(K:K,E748+1):K203&lt;&gt;"",0),0)+E748,"")))</f>
        <v>890</v>
      </c>
      <c r="F749" s="684" cm="1">
        <f t="array" ref="F749">IF(E749="","",IF(H748&lt;&gt;"",H748,INDEX(D:D,E749)))</f>
        <v>0</v>
      </c>
      <c r="G749" s="684" t="str">
        <f t="shared" si="78"/>
        <v>0</v>
      </c>
      <c r="H749" s="685" t="str">
        <f t="shared" si="79"/>
        <v/>
      </c>
      <c r="I749" s="683" t="str">
        <f>IF(AND(F749&lt;&gt;"",N10&gt;0,M749&gt;N10),"Mot &gt; limite","")</f>
        <v/>
      </c>
      <c r="M749" s="638">
        <f>IF(OR(F749="",N10="",N10&lt;=0),"",IF(LEN(F749)&lt;=N10,LEN(F749),IFERROR(FIND("♦",SUBSTITUTE(LEFT(F749,N10)," ","♦",LEN(LEFT(F749,N10))-LEN(SUBSTITUTE(LEFT(F749,N10)," ","")))),FIND(" ",F749&amp;" ",N10+1)-1)))</f>
        <v>1</v>
      </c>
      <c r="N749" s="686">
        <f t="shared" si="80"/>
        <v>732</v>
      </c>
      <c r="O749" s="663" t="str">
        <f t="shared" si="81"/>
        <v>0</v>
      </c>
      <c r="P749" s="686">
        <f t="shared" si="82"/>
        <v>1</v>
      </c>
      <c r="Q749" s="686">
        <f t="shared" si="83"/>
        <v>1</v>
      </c>
      <c r="DE749" s="494"/>
      <c r="DF749" s="496" t="s">
        <v>2567</v>
      </c>
      <c r="DG749" s="496" t="s">
        <v>8</v>
      </c>
      <c r="DH749" s="496" t="s">
        <v>689</v>
      </c>
      <c r="DI749" s="496" t="s">
        <v>2568</v>
      </c>
      <c r="DJ749" s="496" t="s">
        <v>2568</v>
      </c>
      <c r="DK749" s="496" t="s">
        <v>1554</v>
      </c>
      <c r="DL749" s="496" t="s">
        <v>1555</v>
      </c>
      <c r="DM749" s="496" t="s">
        <v>1981</v>
      </c>
      <c r="DN749" s="497" t="s">
        <v>1982</v>
      </c>
      <c r="DP749" s="543">
        <v>1</v>
      </c>
    </row>
    <row r="750" spans="2:120" ht="15">
      <c r="B750" s="683"/>
      <c r="C750" s="683"/>
      <c r="D750" s="683"/>
      <c r="E750" s="683" cm="1">
        <f t="array" ref="E750">IF(H749&lt;&gt;"",E749,IF(E749="","",IFERROR(MATCH(TRUE(),INDEX(INDEX(K:K,E749+1):K203&lt;&gt;"",0),0)+E749,"")))</f>
        <v>891</v>
      </c>
      <c r="F750" s="684" cm="1">
        <f t="array" ref="F750">IF(E750="","",IF(H749&lt;&gt;"",H749,INDEX(D:D,E750)))</f>
        <v>0</v>
      </c>
      <c r="G750" s="684" t="str">
        <f t="shared" si="78"/>
        <v>0</v>
      </c>
      <c r="H750" s="685" t="str">
        <f t="shared" si="79"/>
        <v/>
      </c>
      <c r="I750" s="683" t="str">
        <f>IF(AND(F750&lt;&gt;"",N10&gt;0,M750&gt;N10),"Mot &gt; limite","")</f>
        <v/>
      </c>
      <c r="M750" s="638">
        <f>IF(OR(F750="",N10="",N10&lt;=0),"",IF(LEN(F750)&lt;=N10,LEN(F750),IFERROR(FIND("♦",SUBSTITUTE(LEFT(F750,N10)," ","♦",LEN(LEFT(F750,N10))-LEN(SUBSTITUTE(LEFT(F750,N10)," ","")))),FIND(" ",F750&amp;" ",N10+1)-1)))</f>
        <v>1</v>
      </c>
      <c r="N750" s="686">
        <f t="shared" si="80"/>
        <v>733</v>
      </c>
      <c r="O750" s="663" t="str">
        <f t="shared" si="81"/>
        <v>0</v>
      </c>
      <c r="P750" s="686">
        <f t="shared" si="82"/>
        <v>1</v>
      </c>
      <c r="Q750" s="686">
        <f t="shared" si="83"/>
        <v>1</v>
      </c>
      <c r="DE750" s="494"/>
      <c r="DF750" s="496" t="s">
        <v>2569</v>
      </c>
      <c r="DG750" s="496" t="s">
        <v>8</v>
      </c>
      <c r="DH750" s="496" t="s">
        <v>689</v>
      </c>
      <c r="DI750" s="496" t="s">
        <v>1028</v>
      </c>
      <c r="DJ750" s="496" t="s">
        <v>1028</v>
      </c>
      <c r="DK750" s="496" t="s">
        <v>1554</v>
      </c>
      <c r="DL750" s="496" t="s">
        <v>1555</v>
      </c>
      <c r="DM750" s="496" t="s">
        <v>1981</v>
      </c>
      <c r="DN750" s="497" t="s">
        <v>1982</v>
      </c>
      <c r="DP750" s="543">
        <v>1</v>
      </c>
    </row>
    <row r="751" spans="2:120" ht="15">
      <c r="B751" s="683"/>
      <c r="C751" s="683"/>
      <c r="D751" s="683"/>
      <c r="E751" s="683" cm="1">
        <f t="array" ref="E751">IF(H750&lt;&gt;"",E750,IF(E750="","",IFERROR(MATCH(TRUE(),INDEX(INDEX(K:K,E750+1):K203&lt;&gt;"",0),0)+E750,"")))</f>
        <v>892</v>
      </c>
      <c r="F751" s="684" cm="1">
        <f t="array" ref="F751">IF(E751="","",IF(H750&lt;&gt;"",H750,INDEX(D:D,E751)))</f>
        <v>0</v>
      </c>
      <c r="G751" s="684" t="str">
        <f t="shared" si="78"/>
        <v>0</v>
      </c>
      <c r="H751" s="685" t="str">
        <f t="shared" si="79"/>
        <v/>
      </c>
      <c r="I751" s="683" t="str">
        <f>IF(AND(F751&lt;&gt;"",N10&gt;0,M751&gt;N10),"Mot &gt; limite","")</f>
        <v/>
      </c>
      <c r="M751" s="638">
        <f>IF(OR(F751="",N10="",N10&lt;=0),"",IF(LEN(F751)&lt;=N10,LEN(F751),IFERROR(FIND("♦",SUBSTITUTE(LEFT(F751,N10)," ","♦",LEN(LEFT(F751,N10))-LEN(SUBSTITUTE(LEFT(F751,N10)," ","")))),FIND(" ",F751&amp;" ",N10+1)-1)))</f>
        <v>1</v>
      </c>
      <c r="N751" s="686">
        <f t="shared" si="80"/>
        <v>734</v>
      </c>
      <c r="O751" s="663" t="str">
        <f t="shared" si="81"/>
        <v>0</v>
      </c>
      <c r="P751" s="686">
        <f t="shared" si="82"/>
        <v>1</v>
      </c>
      <c r="Q751" s="686">
        <f t="shared" si="83"/>
        <v>1</v>
      </c>
      <c r="DE751" s="494"/>
      <c r="DF751" s="496" t="s">
        <v>2570</v>
      </c>
      <c r="DG751" s="496" t="s">
        <v>8</v>
      </c>
      <c r="DH751" s="496" t="s">
        <v>689</v>
      </c>
      <c r="DI751" s="496" t="s">
        <v>2571</v>
      </c>
      <c r="DJ751" s="496" t="s">
        <v>2571</v>
      </c>
      <c r="DK751" s="496" t="s">
        <v>1554</v>
      </c>
      <c r="DL751" s="496" t="s">
        <v>1555</v>
      </c>
      <c r="DM751" s="496" t="s">
        <v>1981</v>
      </c>
      <c r="DN751" s="497" t="s">
        <v>1982</v>
      </c>
      <c r="DP751" s="543">
        <v>1</v>
      </c>
    </row>
    <row r="752" spans="2:120" ht="15">
      <c r="B752" s="683"/>
      <c r="C752" s="683"/>
      <c r="D752" s="683"/>
      <c r="E752" s="683" cm="1">
        <f t="array" ref="E752">IF(H751&lt;&gt;"",E751,IF(E751="","",IFERROR(MATCH(TRUE(),INDEX(INDEX(K:K,E751+1):K203&lt;&gt;"",0),0)+E751,"")))</f>
        <v>893</v>
      </c>
      <c r="F752" s="684" cm="1">
        <f t="array" ref="F752">IF(E752="","",IF(H751&lt;&gt;"",H751,INDEX(D:D,E752)))</f>
        <v>0</v>
      </c>
      <c r="G752" s="684" t="str">
        <f t="shared" si="78"/>
        <v>0</v>
      </c>
      <c r="H752" s="685" t="str">
        <f t="shared" si="79"/>
        <v/>
      </c>
      <c r="I752" s="683" t="str">
        <f>IF(AND(F752&lt;&gt;"",N10&gt;0,M752&gt;N10),"Mot &gt; limite","")</f>
        <v/>
      </c>
      <c r="M752" s="638">
        <f>IF(OR(F752="",N10="",N10&lt;=0),"",IF(LEN(F752)&lt;=N10,LEN(F752),IFERROR(FIND("♦",SUBSTITUTE(LEFT(F752,N10)," ","♦",LEN(LEFT(F752,N10))-LEN(SUBSTITUTE(LEFT(F752,N10)," ","")))),FIND(" ",F752&amp;" ",N10+1)-1)))</f>
        <v>1</v>
      </c>
      <c r="N752" s="686">
        <f t="shared" si="80"/>
        <v>735</v>
      </c>
      <c r="O752" s="663" t="str">
        <f t="shared" si="81"/>
        <v>0</v>
      </c>
      <c r="P752" s="686">
        <f t="shared" si="82"/>
        <v>1</v>
      </c>
      <c r="Q752" s="686">
        <f t="shared" si="83"/>
        <v>1</v>
      </c>
      <c r="DE752" s="494"/>
      <c r="DF752" s="496" t="s">
        <v>2572</v>
      </c>
      <c r="DG752" s="496" t="s">
        <v>8</v>
      </c>
      <c r="DH752" s="496" t="s">
        <v>689</v>
      </c>
      <c r="DI752" s="496" t="s">
        <v>2573</v>
      </c>
      <c r="DJ752" s="496" t="s">
        <v>2573</v>
      </c>
      <c r="DK752" s="496" t="s">
        <v>1554</v>
      </c>
      <c r="DL752" s="496" t="s">
        <v>1555</v>
      </c>
      <c r="DM752" s="496" t="s">
        <v>1981</v>
      </c>
      <c r="DN752" s="497" t="s">
        <v>1982</v>
      </c>
      <c r="DP752" s="543">
        <v>1</v>
      </c>
    </row>
    <row r="753" spans="2:120" ht="15">
      <c r="B753" s="683"/>
      <c r="C753" s="683"/>
      <c r="D753" s="683"/>
      <c r="E753" s="683" cm="1">
        <f t="array" ref="E753">IF(H752&lt;&gt;"",E752,IF(E752="","",IFERROR(MATCH(TRUE(),INDEX(INDEX(K:K,E752+1):K203&lt;&gt;"",0),0)+E752,"")))</f>
        <v>894</v>
      </c>
      <c r="F753" s="684" cm="1">
        <f t="array" ref="F753">IF(E753="","",IF(H752&lt;&gt;"",H752,INDEX(D:D,E753)))</f>
        <v>0</v>
      </c>
      <c r="G753" s="684" t="str">
        <f t="shared" si="78"/>
        <v>0</v>
      </c>
      <c r="H753" s="685" t="str">
        <f t="shared" si="79"/>
        <v/>
      </c>
      <c r="I753" s="683" t="str">
        <f>IF(AND(F753&lt;&gt;"",N10&gt;0,M753&gt;N10),"Mot &gt; limite","")</f>
        <v/>
      </c>
      <c r="M753" s="638">
        <f>IF(OR(F753="",N10="",N10&lt;=0),"",IF(LEN(F753)&lt;=N10,LEN(F753),IFERROR(FIND("♦",SUBSTITUTE(LEFT(F753,N10)," ","♦",LEN(LEFT(F753,N10))-LEN(SUBSTITUTE(LEFT(F753,N10)," ","")))),FIND(" ",F753&amp;" ",N10+1)-1)))</f>
        <v>1</v>
      </c>
      <c r="N753" s="686">
        <f t="shared" si="80"/>
        <v>736</v>
      </c>
      <c r="O753" s="663" t="str">
        <f t="shared" si="81"/>
        <v>0</v>
      </c>
      <c r="P753" s="686">
        <f t="shared" si="82"/>
        <v>1</v>
      </c>
      <c r="Q753" s="686">
        <f t="shared" si="83"/>
        <v>1</v>
      </c>
      <c r="DE753" s="494"/>
      <c r="DF753" s="496" t="s">
        <v>2574</v>
      </c>
      <c r="DG753" s="496" t="s">
        <v>8</v>
      </c>
      <c r="DH753" s="496" t="s">
        <v>689</v>
      </c>
      <c r="DI753" s="496" t="s">
        <v>2575</v>
      </c>
      <c r="DJ753" s="496" t="s">
        <v>2575</v>
      </c>
      <c r="DK753" s="496" t="s">
        <v>1554</v>
      </c>
      <c r="DL753" s="496" t="s">
        <v>1555</v>
      </c>
      <c r="DM753" s="496" t="s">
        <v>1981</v>
      </c>
      <c r="DN753" s="497" t="s">
        <v>1982</v>
      </c>
      <c r="DP753" s="543">
        <v>1</v>
      </c>
    </row>
    <row r="754" spans="2:120" ht="15">
      <c r="B754" s="683"/>
      <c r="C754" s="683"/>
      <c r="D754" s="683"/>
      <c r="E754" s="683" cm="1">
        <f t="array" ref="E754">IF(H753&lt;&gt;"",E753,IF(E753="","",IFERROR(MATCH(TRUE(),INDEX(INDEX(K:K,E753+1):K203&lt;&gt;"",0),0)+E753,"")))</f>
        <v>895</v>
      </c>
      <c r="F754" s="684" cm="1">
        <f t="array" ref="F754">IF(E754="","",IF(H753&lt;&gt;"",H753,INDEX(D:D,E754)))</f>
        <v>0</v>
      </c>
      <c r="G754" s="684" t="str">
        <f t="shared" si="78"/>
        <v>0</v>
      </c>
      <c r="H754" s="685" t="str">
        <f t="shared" si="79"/>
        <v/>
      </c>
      <c r="I754" s="683" t="str">
        <f>IF(AND(F754&lt;&gt;"",N10&gt;0,M754&gt;N10),"Mot &gt; limite","")</f>
        <v/>
      </c>
      <c r="M754" s="638">
        <f>IF(OR(F754="",N10="",N10&lt;=0),"",IF(LEN(F754)&lt;=N10,LEN(F754),IFERROR(FIND("♦",SUBSTITUTE(LEFT(F754,N10)," ","♦",LEN(LEFT(F754,N10))-LEN(SUBSTITUTE(LEFT(F754,N10)," ","")))),FIND(" ",F754&amp;" ",N10+1)-1)))</f>
        <v>1</v>
      </c>
      <c r="N754" s="686">
        <f t="shared" si="80"/>
        <v>737</v>
      </c>
      <c r="O754" s="663" t="str">
        <f t="shared" si="81"/>
        <v>0</v>
      </c>
      <c r="P754" s="686">
        <f t="shared" si="82"/>
        <v>1</v>
      </c>
      <c r="Q754" s="686">
        <f t="shared" si="83"/>
        <v>1</v>
      </c>
      <c r="DE754" s="494"/>
      <c r="DF754" s="496" t="s">
        <v>2576</v>
      </c>
      <c r="DG754" s="496" t="s">
        <v>8</v>
      </c>
      <c r="DH754" s="496" t="s">
        <v>689</v>
      </c>
      <c r="DI754" s="496" t="s">
        <v>1029</v>
      </c>
      <c r="DJ754" s="496" t="s">
        <v>1029</v>
      </c>
      <c r="DK754" s="496" t="s">
        <v>1554</v>
      </c>
      <c r="DL754" s="496" t="s">
        <v>1555</v>
      </c>
      <c r="DM754" s="496" t="s">
        <v>1981</v>
      </c>
      <c r="DN754" s="497" t="s">
        <v>1982</v>
      </c>
      <c r="DP754" s="543">
        <v>1</v>
      </c>
    </row>
    <row r="755" spans="2:120" ht="15">
      <c r="B755" s="683"/>
      <c r="C755" s="683"/>
      <c r="D755" s="683"/>
      <c r="E755" s="683" cm="1">
        <f t="array" ref="E755">IF(H754&lt;&gt;"",E754,IF(E754="","",IFERROR(MATCH(TRUE(),INDEX(INDEX(K:K,E754+1):K203&lt;&gt;"",0),0)+E754,"")))</f>
        <v>896</v>
      </c>
      <c r="F755" s="684" cm="1">
        <f t="array" ref="F755">IF(E755="","",IF(H754&lt;&gt;"",H754,INDEX(D:D,E755)))</f>
        <v>0</v>
      </c>
      <c r="G755" s="684" t="str">
        <f t="shared" si="78"/>
        <v>0</v>
      </c>
      <c r="H755" s="685" t="str">
        <f t="shared" si="79"/>
        <v/>
      </c>
      <c r="I755" s="683" t="str">
        <f>IF(AND(F755&lt;&gt;"",N10&gt;0,M755&gt;N10),"Mot &gt; limite","")</f>
        <v/>
      </c>
      <c r="M755" s="638">
        <f>IF(OR(F755="",N10="",N10&lt;=0),"",IF(LEN(F755)&lt;=N10,LEN(F755),IFERROR(FIND("♦",SUBSTITUTE(LEFT(F755,N10)," ","♦",LEN(LEFT(F755,N10))-LEN(SUBSTITUTE(LEFT(F755,N10)," ","")))),FIND(" ",F755&amp;" ",N10+1)-1)))</f>
        <v>1</v>
      </c>
      <c r="N755" s="686">
        <f t="shared" si="80"/>
        <v>738</v>
      </c>
      <c r="O755" s="663" t="str">
        <f t="shared" si="81"/>
        <v>0</v>
      </c>
      <c r="P755" s="686">
        <f t="shared" si="82"/>
        <v>1</v>
      </c>
      <c r="Q755" s="686">
        <f t="shared" si="83"/>
        <v>1</v>
      </c>
      <c r="DE755" s="494"/>
      <c r="DF755" s="496" t="s">
        <v>2577</v>
      </c>
      <c r="DG755" s="496" t="s">
        <v>8</v>
      </c>
      <c r="DH755" s="496" t="s">
        <v>689</v>
      </c>
      <c r="DI755" s="496" t="s">
        <v>2578</v>
      </c>
      <c r="DJ755" s="496" t="s">
        <v>2578</v>
      </c>
      <c r="DK755" s="496" t="s">
        <v>1554</v>
      </c>
      <c r="DL755" s="496" t="s">
        <v>1555</v>
      </c>
      <c r="DM755" s="496" t="s">
        <v>1981</v>
      </c>
      <c r="DN755" s="497" t="s">
        <v>1982</v>
      </c>
      <c r="DP755" s="543">
        <v>1</v>
      </c>
    </row>
    <row r="756" spans="2:120" ht="15">
      <c r="B756" s="683"/>
      <c r="C756" s="683"/>
      <c r="D756" s="683"/>
      <c r="E756" s="683" cm="1">
        <f t="array" ref="E756">IF(H755&lt;&gt;"",E755,IF(E755="","",IFERROR(MATCH(TRUE(),INDEX(INDEX(K:K,E755+1):K203&lt;&gt;"",0),0)+E755,"")))</f>
        <v>897</v>
      </c>
      <c r="F756" s="684" cm="1">
        <f t="array" ref="F756">IF(E756="","",IF(H755&lt;&gt;"",H755,INDEX(D:D,E756)))</f>
        <v>0</v>
      </c>
      <c r="G756" s="684" t="str">
        <f t="shared" si="78"/>
        <v>0</v>
      </c>
      <c r="H756" s="685" t="str">
        <f t="shared" si="79"/>
        <v/>
      </c>
      <c r="I756" s="683" t="str">
        <f>IF(AND(F756&lt;&gt;"",N10&gt;0,M756&gt;N10),"Mot &gt; limite","")</f>
        <v/>
      </c>
      <c r="M756" s="638">
        <f>IF(OR(F756="",N10="",N10&lt;=0),"",IF(LEN(F756)&lt;=N10,LEN(F756),IFERROR(FIND("♦",SUBSTITUTE(LEFT(F756,N10)," ","♦",LEN(LEFT(F756,N10))-LEN(SUBSTITUTE(LEFT(F756,N10)," ","")))),FIND(" ",F756&amp;" ",N10+1)-1)))</f>
        <v>1</v>
      </c>
      <c r="N756" s="686">
        <f t="shared" si="80"/>
        <v>739</v>
      </c>
      <c r="O756" s="663" t="str">
        <f t="shared" si="81"/>
        <v>0</v>
      </c>
      <c r="P756" s="686">
        <f t="shared" si="82"/>
        <v>1</v>
      </c>
      <c r="Q756" s="686">
        <f t="shared" si="83"/>
        <v>1</v>
      </c>
      <c r="DE756" s="494"/>
      <c r="DF756" s="496" t="s">
        <v>2579</v>
      </c>
      <c r="DG756" s="496" t="s">
        <v>8</v>
      </c>
      <c r="DH756" s="496" t="s">
        <v>689</v>
      </c>
      <c r="DI756" s="496" t="s">
        <v>2580</v>
      </c>
      <c r="DJ756" s="496" t="s">
        <v>2580</v>
      </c>
      <c r="DK756" s="496" t="s">
        <v>1085</v>
      </c>
      <c r="DL756" s="496" t="s">
        <v>2063</v>
      </c>
      <c r="DM756" s="496" t="s">
        <v>1087</v>
      </c>
      <c r="DN756" s="497" t="s">
        <v>1088</v>
      </c>
      <c r="DP756" s="543">
        <v>1</v>
      </c>
    </row>
    <row r="757" spans="2:120" ht="15">
      <c r="B757" s="683"/>
      <c r="C757" s="683"/>
      <c r="D757" s="683"/>
      <c r="E757" s="683" cm="1">
        <f t="array" ref="E757">IF(H756&lt;&gt;"",E756,IF(E756="","",IFERROR(MATCH(TRUE(),INDEX(INDEX(K:K,E756+1):K203&lt;&gt;"",0),0)+E756,"")))</f>
        <v>898</v>
      </c>
      <c r="F757" s="684" cm="1">
        <f t="array" ref="F757">IF(E757="","",IF(H756&lt;&gt;"",H756,INDEX(D:D,E757)))</f>
        <v>0</v>
      </c>
      <c r="G757" s="684" t="str">
        <f t="shared" si="78"/>
        <v>0</v>
      </c>
      <c r="H757" s="685" t="str">
        <f t="shared" si="79"/>
        <v/>
      </c>
      <c r="I757" s="683" t="str">
        <f>IF(AND(F757&lt;&gt;"",N10&gt;0,M757&gt;N10),"Mot &gt; limite","")</f>
        <v/>
      </c>
      <c r="M757" s="638">
        <f>IF(OR(F757="",N10="",N10&lt;=0),"",IF(LEN(F757)&lt;=N10,LEN(F757),IFERROR(FIND("♦",SUBSTITUTE(LEFT(F757,N10)," ","♦",LEN(LEFT(F757,N10))-LEN(SUBSTITUTE(LEFT(F757,N10)," ","")))),FIND(" ",F757&amp;" ",N10+1)-1)))</f>
        <v>1</v>
      </c>
      <c r="N757" s="686">
        <f t="shared" si="80"/>
        <v>740</v>
      </c>
      <c r="O757" s="663" t="str">
        <f t="shared" si="81"/>
        <v>0</v>
      </c>
      <c r="P757" s="686">
        <f t="shared" si="82"/>
        <v>1</v>
      </c>
      <c r="Q757" s="686">
        <f t="shared" si="83"/>
        <v>1</v>
      </c>
      <c r="DE757" s="494"/>
      <c r="DF757" s="496" t="s">
        <v>2581</v>
      </c>
      <c r="DG757" s="496" t="s">
        <v>8</v>
      </c>
      <c r="DH757" s="496" t="s">
        <v>689</v>
      </c>
      <c r="DI757" s="496" t="s">
        <v>2582</v>
      </c>
      <c r="DJ757" s="496" t="s">
        <v>2582</v>
      </c>
      <c r="DK757" s="496" t="s">
        <v>1554</v>
      </c>
      <c r="DL757" s="496" t="s">
        <v>1555</v>
      </c>
      <c r="DM757" s="496" t="s">
        <v>1981</v>
      </c>
      <c r="DN757" s="497" t="s">
        <v>1982</v>
      </c>
      <c r="DP757" s="543">
        <v>1</v>
      </c>
    </row>
    <row r="758" spans="2:120" ht="15">
      <c r="B758" s="683"/>
      <c r="C758" s="683"/>
      <c r="D758" s="683"/>
      <c r="E758" s="683" cm="1">
        <f t="array" ref="E758">IF(H757&lt;&gt;"",E757,IF(E757="","",IFERROR(MATCH(TRUE(),INDEX(INDEX(K:K,E757+1):K203&lt;&gt;"",0),0)+E757,"")))</f>
        <v>899</v>
      </c>
      <c r="F758" s="684" cm="1">
        <f t="array" ref="F758">IF(E758="","",IF(H757&lt;&gt;"",H757,INDEX(D:D,E758)))</f>
        <v>0</v>
      </c>
      <c r="G758" s="684" t="str">
        <f t="shared" si="78"/>
        <v>0</v>
      </c>
      <c r="H758" s="685" t="str">
        <f t="shared" si="79"/>
        <v/>
      </c>
      <c r="I758" s="683" t="str">
        <f>IF(AND(F758&lt;&gt;"",N10&gt;0,M758&gt;N10),"Mot &gt; limite","")</f>
        <v/>
      </c>
      <c r="M758" s="638">
        <f>IF(OR(F758="",N10="",N10&lt;=0),"",IF(LEN(F758)&lt;=N10,LEN(F758),IFERROR(FIND("♦",SUBSTITUTE(LEFT(F758,N10)," ","♦",LEN(LEFT(F758,N10))-LEN(SUBSTITUTE(LEFT(F758,N10)," ","")))),FIND(" ",F758&amp;" ",N10+1)-1)))</f>
        <v>1</v>
      </c>
      <c r="N758" s="686">
        <f t="shared" si="80"/>
        <v>741</v>
      </c>
      <c r="O758" s="663" t="str">
        <f t="shared" si="81"/>
        <v>0</v>
      </c>
      <c r="P758" s="686">
        <f t="shared" si="82"/>
        <v>1</v>
      </c>
      <c r="Q758" s="686">
        <f t="shared" si="83"/>
        <v>1</v>
      </c>
      <c r="DE758" s="494"/>
      <c r="DF758" s="496" t="s">
        <v>2583</v>
      </c>
      <c r="DG758" s="496" t="s">
        <v>8</v>
      </c>
      <c r="DH758" s="496" t="s">
        <v>689</v>
      </c>
      <c r="DI758" s="496" t="s">
        <v>2584</v>
      </c>
      <c r="DJ758" s="496" t="s">
        <v>2584</v>
      </c>
      <c r="DK758" s="496" t="s">
        <v>1554</v>
      </c>
      <c r="DL758" s="496" t="s">
        <v>1555</v>
      </c>
      <c r="DM758" s="496" t="s">
        <v>1981</v>
      </c>
      <c r="DN758" s="497" t="s">
        <v>1982</v>
      </c>
      <c r="DP758" s="543">
        <v>1</v>
      </c>
    </row>
    <row r="759" spans="2:120" ht="15">
      <c r="B759" s="683"/>
      <c r="C759" s="683"/>
      <c r="D759" s="683"/>
      <c r="E759" s="683" cm="1">
        <f t="array" ref="E759">IF(H758&lt;&gt;"",E758,IF(E758="","",IFERROR(MATCH(TRUE(),INDEX(INDEX(K:K,E758+1):K203&lt;&gt;"",0),0)+E758,"")))</f>
        <v>900</v>
      </c>
      <c r="F759" s="684" cm="1">
        <f t="array" ref="F759">IF(E759="","",IF(H758&lt;&gt;"",H758,INDEX(D:D,E759)))</f>
        <v>0</v>
      </c>
      <c r="G759" s="684" t="str">
        <f t="shared" si="78"/>
        <v>0</v>
      </c>
      <c r="H759" s="685" t="str">
        <f t="shared" si="79"/>
        <v/>
      </c>
      <c r="I759" s="683" t="str">
        <f>IF(AND(F759&lt;&gt;"",N10&gt;0,M759&gt;N10),"Mot &gt; limite","")</f>
        <v/>
      </c>
      <c r="M759" s="638">
        <f>IF(OR(F759="",N10="",N10&lt;=0),"",IF(LEN(F759)&lt;=N10,LEN(F759),IFERROR(FIND("♦",SUBSTITUTE(LEFT(F759,N10)," ","♦",LEN(LEFT(F759,N10))-LEN(SUBSTITUTE(LEFT(F759,N10)," ","")))),FIND(" ",F759&amp;" ",N10+1)-1)))</f>
        <v>1</v>
      </c>
      <c r="N759" s="686">
        <f t="shared" si="80"/>
        <v>742</v>
      </c>
      <c r="O759" s="663" t="str">
        <f t="shared" si="81"/>
        <v>0</v>
      </c>
      <c r="P759" s="686">
        <f t="shared" si="82"/>
        <v>1</v>
      </c>
      <c r="Q759" s="686">
        <f t="shared" si="83"/>
        <v>1</v>
      </c>
      <c r="DE759" s="494"/>
      <c r="DF759" s="496" t="s">
        <v>2585</v>
      </c>
      <c r="DG759" s="496" t="s">
        <v>8</v>
      </c>
      <c r="DH759" s="496" t="s">
        <v>689</v>
      </c>
      <c r="DI759" s="496" t="s">
        <v>2586</v>
      </c>
      <c r="DJ759" s="496" t="s">
        <v>2586</v>
      </c>
      <c r="DK759" s="496" t="s">
        <v>1554</v>
      </c>
      <c r="DL759" s="496" t="s">
        <v>1555</v>
      </c>
      <c r="DM759" s="496" t="s">
        <v>1981</v>
      </c>
      <c r="DN759" s="497" t="s">
        <v>1982</v>
      </c>
      <c r="DP759" s="543">
        <v>1</v>
      </c>
    </row>
    <row r="760" spans="2:120" ht="15">
      <c r="B760" s="683"/>
      <c r="C760" s="683"/>
      <c r="D760" s="683"/>
      <c r="E760" s="683" cm="1">
        <f t="array" ref="E760">IF(H759&lt;&gt;"",E759,IF(E759="","",IFERROR(MATCH(TRUE(),INDEX(INDEX(K:K,E759+1):K203&lt;&gt;"",0),0)+E759,"")))</f>
        <v>901</v>
      </c>
      <c r="F760" s="684" cm="1">
        <f t="array" ref="F760">IF(E760="","",IF(H759&lt;&gt;"",H759,INDEX(D:D,E760)))</f>
        <v>0</v>
      </c>
      <c r="G760" s="684" t="str">
        <f t="shared" si="78"/>
        <v>0</v>
      </c>
      <c r="H760" s="685" t="str">
        <f t="shared" si="79"/>
        <v/>
      </c>
      <c r="I760" s="683" t="str">
        <f>IF(AND(F760&lt;&gt;"",N10&gt;0,M760&gt;N10),"Mot &gt; limite","")</f>
        <v/>
      </c>
      <c r="M760" s="638">
        <f>IF(OR(F760="",N10="",N10&lt;=0),"",IF(LEN(F760)&lt;=N10,LEN(F760),IFERROR(FIND("♦",SUBSTITUTE(LEFT(F760,N10)," ","♦",LEN(LEFT(F760,N10))-LEN(SUBSTITUTE(LEFT(F760,N10)," ","")))),FIND(" ",F760&amp;" ",N10+1)-1)))</f>
        <v>1</v>
      </c>
      <c r="N760" s="686">
        <f t="shared" si="80"/>
        <v>743</v>
      </c>
      <c r="O760" s="663" t="str">
        <f t="shared" si="81"/>
        <v>0</v>
      </c>
      <c r="P760" s="686">
        <f t="shared" si="82"/>
        <v>1</v>
      </c>
      <c r="Q760" s="686">
        <f t="shared" si="83"/>
        <v>1</v>
      </c>
      <c r="DE760" s="494"/>
      <c r="DF760" s="496" t="s">
        <v>2587</v>
      </c>
      <c r="DG760" s="496" t="s">
        <v>8</v>
      </c>
      <c r="DH760" s="496" t="s">
        <v>689</v>
      </c>
      <c r="DI760" s="496" t="s">
        <v>1030</v>
      </c>
      <c r="DJ760" s="496" t="s">
        <v>1030</v>
      </c>
      <c r="DK760" s="496" t="s">
        <v>1085</v>
      </c>
      <c r="DL760" s="496" t="s">
        <v>2063</v>
      </c>
      <c r="DM760" s="496" t="s">
        <v>1087</v>
      </c>
      <c r="DN760" s="497" t="s">
        <v>1088</v>
      </c>
      <c r="DP760" s="543">
        <v>1</v>
      </c>
    </row>
    <row r="761" spans="2:120" ht="15">
      <c r="B761" s="683"/>
      <c r="C761" s="683"/>
      <c r="D761" s="683"/>
      <c r="E761" s="683" cm="1">
        <f t="array" ref="E761">IF(H760&lt;&gt;"",E760,IF(E760="","",IFERROR(MATCH(TRUE(),INDEX(INDEX(K:K,E760+1):K203&lt;&gt;"",0),0)+E760,"")))</f>
        <v>902</v>
      </c>
      <c r="F761" s="684" cm="1">
        <f t="array" ref="F761">IF(E761="","",IF(H760&lt;&gt;"",H760,INDEX(D:D,E761)))</f>
        <v>0</v>
      </c>
      <c r="G761" s="684" t="str">
        <f t="shared" si="78"/>
        <v>0</v>
      </c>
      <c r="H761" s="685" t="str">
        <f t="shared" si="79"/>
        <v/>
      </c>
      <c r="I761" s="683" t="str">
        <f>IF(AND(F761&lt;&gt;"",N10&gt;0,M761&gt;N10),"Mot &gt; limite","")</f>
        <v/>
      </c>
      <c r="M761" s="638">
        <f>IF(OR(F761="",N10="",N10&lt;=0),"",IF(LEN(F761)&lt;=N10,LEN(F761),IFERROR(FIND("♦",SUBSTITUTE(LEFT(F761,N10)," ","♦",LEN(LEFT(F761,N10))-LEN(SUBSTITUTE(LEFT(F761,N10)," ","")))),FIND(" ",F761&amp;" ",N10+1)-1)))</f>
        <v>1</v>
      </c>
      <c r="N761" s="686">
        <f t="shared" si="80"/>
        <v>744</v>
      </c>
      <c r="O761" s="663" t="str">
        <f t="shared" si="81"/>
        <v>0</v>
      </c>
      <c r="P761" s="686">
        <f t="shared" si="82"/>
        <v>1</v>
      </c>
      <c r="Q761" s="686">
        <f t="shared" si="83"/>
        <v>1</v>
      </c>
      <c r="DE761" s="494"/>
      <c r="DF761" s="496" t="s">
        <v>2588</v>
      </c>
      <c r="DG761" s="496" t="s">
        <v>8</v>
      </c>
      <c r="DH761" s="496" t="s">
        <v>689</v>
      </c>
      <c r="DI761" s="496" t="s">
        <v>2589</v>
      </c>
      <c r="DJ761" s="496" t="s">
        <v>2589</v>
      </c>
      <c r="DK761" s="496" t="s">
        <v>1554</v>
      </c>
      <c r="DL761" s="496" t="s">
        <v>1555</v>
      </c>
      <c r="DM761" s="496" t="s">
        <v>1981</v>
      </c>
      <c r="DN761" s="497" t="s">
        <v>1982</v>
      </c>
      <c r="DP761" s="543">
        <v>1</v>
      </c>
    </row>
    <row r="762" spans="2:120" ht="15">
      <c r="B762" s="683"/>
      <c r="C762" s="683"/>
      <c r="D762" s="683"/>
      <c r="E762" s="683" cm="1">
        <f t="array" ref="E762">IF(H761&lt;&gt;"",E761,IF(E761="","",IFERROR(MATCH(TRUE(),INDEX(INDEX(K:K,E761+1):K203&lt;&gt;"",0),0)+E761,"")))</f>
        <v>903</v>
      </c>
      <c r="F762" s="684" cm="1">
        <f t="array" ref="F762">IF(E762="","",IF(H761&lt;&gt;"",H761,INDEX(D:D,E762)))</f>
        <v>0</v>
      </c>
      <c r="G762" s="684" t="str">
        <f t="shared" si="78"/>
        <v>0</v>
      </c>
      <c r="H762" s="685" t="str">
        <f t="shared" si="79"/>
        <v/>
      </c>
      <c r="I762" s="683" t="str">
        <f>IF(AND(F762&lt;&gt;"",N10&gt;0,M762&gt;N10),"Mot &gt; limite","")</f>
        <v/>
      </c>
      <c r="M762" s="638">
        <f>IF(OR(F762="",N10="",N10&lt;=0),"",IF(LEN(F762)&lt;=N10,LEN(F762),IFERROR(FIND("♦",SUBSTITUTE(LEFT(F762,N10)," ","♦",LEN(LEFT(F762,N10))-LEN(SUBSTITUTE(LEFT(F762,N10)," ","")))),FIND(" ",F762&amp;" ",N10+1)-1)))</f>
        <v>1</v>
      </c>
      <c r="N762" s="686">
        <f t="shared" si="80"/>
        <v>745</v>
      </c>
      <c r="O762" s="663" t="str">
        <f t="shared" si="81"/>
        <v>0</v>
      </c>
      <c r="P762" s="686">
        <f t="shared" si="82"/>
        <v>1</v>
      </c>
      <c r="Q762" s="686">
        <f t="shared" si="83"/>
        <v>1</v>
      </c>
      <c r="DE762" s="494"/>
      <c r="DF762" s="496" t="s">
        <v>2590</v>
      </c>
      <c r="DG762" s="496" t="s">
        <v>8</v>
      </c>
      <c r="DH762" s="496" t="s">
        <v>689</v>
      </c>
      <c r="DI762" s="496" t="s">
        <v>2591</v>
      </c>
      <c r="DJ762" s="496" t="s">
        <v>2591</v>
      </c>
      <c r="DK762" s="496" t="s">
        <v>1554</v>
      </c>
      <c r="DL762" s="496" t="s">
        <v>1555</v>
      </c>
      <c r="DM762" s="496" t="s">
        <v>1981</v>
      </c>
      <c r="DN762" s="497" t="s">
        <v>1982</v>
      </c>
      <c r="DP762" s="543">
        <v>1</v>
      </c>
    </row>
    <row r="763" spans="2:120" ht="15">
      <c r="B763" s="683"/>
      <c r="C763" s="683"/>
      <c r="D763" s="683"/>
      <c r="E763" s="683" cm="1">
        <f t="array" ref="E763">IF(H762&lt;&gt;"",E762,IF(E762="","",IFERROR(MATCH(TRUE(),INDEX(INDEX(K:K,E762+1):K203&lt;&gt;"",0),0)+E762,"")))</f>
        <v>904</v>
      </c>
      <c r="F763" s="684" cm="1">
        <f t="array" ref="F763">IF(E763="","",IF(H762&lt;&gt;"",H762,INDEX(D:D,E763)))</f>
        <v>0</v>
      </c>
      <c r="G763" s="684" t="str">
        <f t="shared" si="78"/>
        <v>0</v>
      </c>
      <c r="H763" s="685" t="str">
        <f t="shared" si="79"/>
        <v/>
      </c>
      <c r="I763" s="683" t="str">
        <f>IF(AND(F763&lt;&gt;"",N10&gt;0,M763&gt;N10),"Mot &gt; limite","")</f>
        <v/>
      </c>
      <c r="M763" s="638">
        <f>IF(OR(F763="",N10="",N10&lt;=0),"",IF(LEN(F763)&lt;=N10,LEN(F763),IFERROR(FIND("♦",SUBSTITUTE(LEFT(F763,N10)," ","♦",LEN(LEFT(F763,N10))-LEN(SUBSTITUTE(LEFT(F763,N10)," ","")))),FIND(" ",F763&amp;" ",N10+1)-1)))</f>
        <v>1</v>
      </c>
      <c r="N763" s="686">
        <f t="shared" si="80"/>
        <v>746</v>
      </c>
      <c r="O763" s="663" t="str">
        <f t="shared" si="81"/>
        <v>0</v>
      </c>
      <c r="P763" s="686">
        <f t="shared" si="82"/>
        <v>1</v>
      </c>
      <c r="Q763" s="686">
        <f t="shared" si="83"/>
        <v>1</v>
      </c>
      <c r="DE763" s="494"/>
      <c r="DF763" s="496" t="s">
        <v>2592</v>
      </c>
      <c r="DG763" s="496" t="s">
        <v>8</v>
      </c>
      <c r="DH763" s="496" t="s">
        <v>689</v>
      </c>
      <c r="DI763" s="496" t="s">
        <v>2593</v>
      </c>
      <c r="DJ763" s="496" t="s">
        <v>2593</v>
      </c>
      <c r="DK763" s="496" t="s">
        <v>1554</v>
      </c>
      <c r="DL763" s="496" t="s">
        <v>1555</v>
      </c>
      <c r="DM763" s="496" t="s">
        <v>1981</v>
      </c>
      <c r="DN763" s="497" t="s">
        <v>1982</v>
      </c>
      <c r="DP763" s="543">
        <v>1</v>
      </c>
    </row>
    <row r="764" spans="2:120" ht="15">
      <c r="B764" s="683"/>
      <c r="C764" s="683"/>
      <c r="D764" s="683"/>
      <c r="E764" s="683" cm="1">
        <f t="array" ref="E764">IF(H763&lt;&gt;"",E763,IF(E763="","",IFERROR(MATCH(TRUE(),INDEX(INDEX(K:K,E763+1):K203&lt;&gt;"",0),0)+E763,"")))</f>
        <v>905</v>
      </c>
      <c r="F764" s="684" cm="1">
        <f t="array" ref="F764">IF(E764="","",IF(H763&lt;&gt;"",H763,INDEX(D:D,E764)))</f>
        <v>0</v>
      </c>
      <c r="G764" s="684" t="str">
        <f t="shared" si="78"/>
        <v>0</v>
      </c>
      <c r="H764" s="685" t="str">
        <f t="shared" si="79"/>
        <v/>
      </c>
      <c r="I764" s="683" t="str">
        <f>IF(AND(F764&lt;&gt;"",N10&gt;0,M764&gt;N10),"Mot &gt; limite","")</f>
        <v/>
      </c>
      <c r="M764" s="638">
        <f>IF(OR(F764="",N10="",N10&lt;=0),"",IF(LEN(F764)&lt;=N10,LEN(F764),IFERROR(FIND("♦",SUBSTITUTE(LEFT(F764,N10)," ","♦",LEN(LEFT(F764,N10))-LEN(SUBSTITUTE(LEFT(F764,N10)," ","")))),FIND(" ",F764&amp;" ",N10+1)-1)))</f>
        <v>1</v>
      </c>
      <c r="N764" s="686">
        <f t="shared" si="80"/>
        <v>747</v>
      </c>
      <c r="O764" s="663" t="str">
        <f t="shared" si="81"/>
        <v>0</v>
      </c>
      <c r="P764" s="686">
        <f t="shared" si="82"/>
        <v>1</v>
      </c>
      <c r="Q764" s="686">
        <f t="shared" si="83"/>
        <v>1</v>
      </c>
      <c r="DE764" s="494"/>
      <c r="DF764" s="496" t="s">
        <v>2594</v>
      </c>
      <c r="DG764" s="496" t="s">
        <v>8</v>
      </c>
      <c r="DH764" s="496" t="s">
        <v>689</v>
      </c>
      <c r="DI764" s="496" t="s">
        <v>2595</v>
      </c>
      <c r="DJ764" s="496" t="s">
        <v>2595</v>
      </c>
      <c r="DK764" s="496" t="s">
        <v>1554</v>
      </c>
      <c r="DL764" s="496" t="s">
        <v>1555</v>
      </c>
      <c r="DM764" s="496" t="s">
        <v>1981</v>
      </c>
      <c r="DN764" s="497" t="s">
        <v>1982</v>
      </c>
      <c r="DP764" s="543">
        <v>1</v>
      </c>
    </row>
    <row r="765" spans="2:120" ht="15">
      <c r="B765" s="683"/>
      <c r="C765" s="683"/>
      <c r="D765" s="683"/>
      <c r="E765" s="683" cm="1">
        <f t="array" ref="E765">IF(H764&lt;&gt;"",E764,IF(E764="","",IFERROR(MATCH(TRUE(),INDEX(INDEX(K:K,E764+1):K203&lt;&gt;"",0),0)+E764,"")))</f>
        <v>906</v>
      </c>
      <c r="F765" s="684" cm="1">
        <f t="array" ref="F765">IF(E765="","",IF(H764&lt;&gt;"",H764,INDEX(D:D,E765)))</f>
        <v>0</v>
      </c>
      <c r="G765" s="684" t="str">
        <f t="shared" si="78"/>
        <v>0</v>
      </c>
      <c r="H765" s="685" t="str">
        <f t="shared" si="79"/>
        <v/>
      </c>
      <c r="I765" s="683" t="str">
        <f>IF(AND(F765&lt;&gt;"",N10&gt;0,M765&gt;N10),"Mot &gt; limite","")</f>
        <v/>
      </c>
      <c r="M765" s="638">
        <f>IF(OR(F765="",N10="",N10&lt;=0),"",IF(LEN(F765)&lt;=N10,LEN(F765),IFERROR(FIND("♦",SUBSTITUTE(LEFT(F765,N10)," ","♦",LEN(LEFT(F765,N10))-LEN(SUBSTITUTE(LEFT(F765,N10)," ","")))),FIND(" ",F765&amp;" ",N10+1)-1)))</f>
        <v>1</v>
      </c>
      <c r="N765" s="686">
        <f t="shared" si="80"/>
        <v>748</v>
      </c>
      <c r="O765" s="663" t="str">
        <f t="shared" si="81"/>
        <v>0</v>
      </c>
      <c r="P765" s="686">
        <f t="shared" si="82"/>
        <v>1</v>
      </c>
      <c r="Q765" s="686">
        <f t="shared" si="83"/>
        <v>1</v>
      </c>
      <c r="DE765" s="494"/>
      <c r="DF765" s="496" t="s">
        <v>2596</v>
      </c>
      <c r="DG765" s="496" t="s">
        <v>8</v>
      </c>
      <c r="DH765" s="496" t="s">
        <v>689</v>
      </c>
      <c r="DI765" s="496" t="s">
        <v>2597</v>
      </c>
      <c r="DJ765" s="496" t="s">
        <v>2597</v>
      </c>
      <c r="DK765" s="496" t="s">
        <v>1554</v>
      </c>
      <c r="DL765" s="496" t="s">
        <v>1555</v>
      </c>
      <c r="DM765" s="496" t="s">
        <v>1981</v>
      </c>
      <c r="DN765" s="497" t="s">
        <v>1982</v>
      </c>
      <c r="DP765" s="543">
        <v>1</v>
      </c>
    </row>
    <row r="766" spans="2:120" ht="15">
      <c r="B766" s="683"/>
      <c r="C766" s="683"/>
      <c r="D766" s="683"/>
      <c r="E766" s="683" cm="1">
        <f t="array" ref="E766">IF(H765&lt;&gt;"",E765,IF(E765="","",IFERROR(MATCH(TRUE(),INDEX(INDEX(K:K,E765+1):K203&lt;&gt;"",0),0)+E765,"")))</f>
        <v>907</v>
      </c>
      <c r="F766" s="684" cm="1">
        <f t="array" ref="F766">IF(E766="","",IF(H765&lt;&gt;"",H765,INDEX(D:D,E766)))</f>
        <v>0</v>
      </c>
      <c r="G766" s="684" t="str">
        <f t="shared" si="78"/>
        <v>0</v>
      </c>
      <c r="H766" s="685" t="str">
        <f t="shared" si="79"/>
        <v/>
      </c>
      <c r="I766" s="683" t="str">
        <f>IF(AND(F766&lt;&gt;"",N10&gt;0,M766&gt;N10),"Mot &gt; limite","")</f>
        <v/>
      </c>
      <c r="M766" s="638">
        <f>IF(OR(F766="",N10="",N10&lt;=0),"",IF(LEN(F766)&lt;=N10,LEN(F766),IFERROR(FIND("♦",SUBSTITUTE(LEFT(F766,N10)," ","♦",LEN(LEFT(F766,N10))-LEN(SUBSTITUTE(LEFT(F766,N10)," ","")))),FIND(" ",F766&amp;" ",N10+1)-1)))</f>
        <v>1</v>
      </c>
      <c r="N766" s="686">
        <f t="shared" si="80"/>
        <v>749</v>
      </c>
      <c r="O766" s="663" t="str">
        <f t="shared" si="81"/>
        <v>0</v>
      </c>
      <c r="P766" s="686">
        <f t="shared" si="82"/>
        <v>1</v>
      </c>
      <c r="Q766" s="686">
        <f t="shared" si="83"/>
        <v>1</v>
      </c>
      <c r="DE766" s="494"/>
      <c r="DF766" s="496" t="s">
        <v>2598</v>
      </c>
      <c r="DG766" s="496" t="s">
        <v>8</v>
      </c>
      <c r="DH766" s="496" t="s">
        <v>689</v>
      </c>
      <c r="DI766" s="496" t="s">
        <v>2599</v>
      </c>
      <c r="DJ766" s="496" t="s">
        <v>2599</v>
      </c>
      <c r="DK766" s="496" t="s">
        <v>1554</v>
      </c>
      <c r="DL766" s="496" t="s">
        <v>1555</v>
      </c>
      <c r="DM766" s="496" t="s">
        <v>1981</v>
      </c>
      <c r="DN766" s="497" t="s">
        <v>1982</v>
      </c>
      <c r="DP766" s="543">
        <v>1</v>
      </c>
    </row>
    <row r="767" spans="2:120" ht="15">
      <c r="B767" s="683"/>
      <c r="C767" s="683"/>
      <c r="D767" s="683"/>
      <c r="E767" s="683" cm="1">
        <f t="array" ref="E767">IF(H766&lt;&gt;"",E766,IF(E766="","",IFERROR(MATCH(TRUE(),INDEX(INDEX(K:K,E766+1):K203&lt;&gt;"",0),0)+E766,"")))</f>
        <v>908</v>
      </c>
      <c r="F767" s="684" cm="1">
        <f t="array" ref="F767">IF(E767="","",IF(H766&lt;&gt;"",H766,INDEX(D:D,E767)))</f>
        <v>0</v>
      </c>
      <c r="G767" s="684" t="str">
        <f t="shared" si="78"/>
        <v>0</v>
      </c>
      <c r="H767" s="685" t="str">
        <f t="shared" si="79"/>
        <v/>
      </c>
      <c r="I767" s="683" t="str">
        <f>IF(AND(F767&lt;&gt;"",N10&gt;0,M767&gt;N10),"Mot &gt; limite","")</f>
        <v/>
      </c>
      <c r="M767" s="638">
        <f>IF(OR(F767="",N10="",N10&lt;=0),"",IF(LEN(F767)&lt;=N10,LEN(F767),IFERROR(FIND("♦",SUBSTITUTE(LEFT(F767,N10)," ","♦",LEN(LEFT(F767,N10))-LEN(SUBSTITUTE(LEFT(F767,N10)," ","")))),FIND(" ",F767&amp;" ",N10+1)-1)))</f>
        <v>1</v>
      </c>
      <c r="N767" s="686">
        <f t="shared" si="80"/>
        <v>750</v>
      </c>
      <c r="O767" s="663" t="str">
        <f t="shared" si="81"/>
        <v>0</v>
      </c>
      <c r="P767" s="686">
        <f t="shared" si="82"/>
        <v>1</v>
      </c>
      <c r="Q767" s="686">
        <f t="shared" si="83"/>
        <v>1</v>
      </c>
      <c r="DE767" s="494"/>
      <c r="DF767" s="496" t="s">
        <v>2600</v>
      </c>
      <c r="DG767" s="496" t="s">
        <v>8</v>
      </c>
      <c r="DH767" s="496" t="s">
        <v>689</v>
      </c>
      <c r="DI767" s="496" t="s">
        <v>2601</v>
      </c>
      <c r="DJ767" s="496" t="s">
        <v>2601</v>
      </c>
      <c r="DK767" s="496" t="s">
        <v>1554</v>
      </c>
      <c r="DL767" s="496" t="s">
        <v>1555</v>
      </c>
      <c r="DM767" s="496" t="s">
        <v>1981</v>
      </c>
      <c r="DN767" s="497" t="s">
        <v>1982</v>
      </c>
      <c r="DP767" s="543">
        <v>1</v>
      </c>
    </row>
    <row r="768" spans="2:120" ht="15">
      <c r="B768" s="683"/>
      <c r="C768" s="683"/>
      <c r="D768" s="683"/>
      <c r="E768" s="683" cm="1">
        <f t="array" ref="E768">IF(H767&lt;&gt;"",E767,IF(E767="","",IFERROR(MATCH(TRUE(),INDEX(INDEX(K:K,E767+1):K203&lt;&gt;"",0),0)+E767,"")))</f>
        <v>909</v>
      </c>
      <c r="F768" s="684" cm="1">
        <f t="array" ref="F768">IF(E768="","",IF(H767&lt;&gt;"",H767,INDEX(D:D,E768)))</f>
        <v>0</v>
      </c>
      <c r="G768" s="684" t="str">
        <f t="shared" si="78"/>
        <v>0</v>
      </c>
      <c r="H768" s="685" t="str">
        <f t="shared" si="79"/>
        <v/>
      </c>
      <c r="I768" s="683" t="str">
        <f>IF(AND(F768&lt;&gt;"",N10&gt;0,M768&gt;N10),"Mot &gt; limite","")</f>
        <v/>
      </c>
      <c r="M768" s="638">
        <f>IF(OR(F768="",N10="",N10&lt;=0),"",IF(LEN(F768)&lt;=N10,LEN(F768),IFERROR(FIND("♦",SUBSTITUTE(LEFT(F768,N10)," ","♦",LEN(LEFT(F768,N10))-LEN(SUBSTITUTE(LEFT(F768,N10)," ","")))),FIND(" ",F768&amp;" ",N10+1)-1)))</f>
        <v>1</v>
      </c>
      <c r="N768" s="686">
        <f t="shared" si="80"/>
        <v>751</v>
      </c>
      <c r="O768" s="663" t="str">
        <f t="shared" si="81"/>
        <v>0</v>
      </c>
      <c r="P768" s="686">
        <f t="shared" si="82"/>
        <v>1</v>
      </c>
      <c r="Q768" s="686">
        <f t="shared" si="83"/>
        <v>1</v>
      </c>
      <c r="DE768" s="494"/>
      <c r="DF768" s="496" t="s">
        <v>2602</v>
      </c>
      <c r="DG768" s="496" t="s">
        <v>8</v>
      </c>
      <c r="DH768" s="496" t="s">
        <v>689</v>
      </c>
      <c r="DI768" s="496" t="s">
        <v>2603</v>
      </c>
      <c r="DJ768" s="496" t="s">
        <v>2603</v>
      </c>
      <c r="DK768" s="496" t="s">
        <v>1554</v>
      </c>
      <c r="DL768" s="496" t="s">
        <v>1555</v>
      </c>
      <c r="DM768" s="496" t="s">
        <v>1981</v>
      </c>
      <c r="DN768" s="497" t="s">
        <v>1982</v>
      </c>
      <c r="DP768" s="543">
        <v>1</v>
      </c>
    </row>
    <row r="769" spans="2:120" ht="15">
      <c r="B769" s="683"/>
      <c r="C769" s="683"/>
      <c r="D769" s="683"/>
      <c r="E769" s="683" cm="1">
        <f t="array" ref="E769">IF(H768&lt;&gt;"",E768,IF(E768="","",IFERROR(MATCH(TRUE(),INDEX(INDEX(K:K,E768+1):K203&lt;&gt;"",0),0)+E768,"")))</f>
        <v>910</v>
      </c>
      <c r="F769" s="684" cm="1">
        <f t="array" ref="F769">IF(E769="","",IF(H768&lt;&gt;"",H768,INDEX(D:D,E769)))</f>
        <v>0</v>
      </c>
      <c r="G769" s="684" t="str">
        <f t="shared" si="78"/>
        <v>0</v>
      </c>
      <c r="H769" s="685" t="str">
        <f t="shared" si="79"/>
        <v/>
      </c>
      <c r="I769" s="683" t="str">
        <f>IF(AND(F769&lt;&gt;"",N10&gt;0,M769&gt;N10),"Mot &gt; limite","")</f>
        <v/>
      </c>
      <c r="M769" s="638">
        <f>IF(OR(F769="",N10="",N10&lt;=0),"",IF(LEN(F769)&lt;=N10,LEN(F769),IFERROR(FIND("♦",SUBSTITUTE(LEFT(F769,N10)," ","♦",LEN(LEFT(F769,N10))-LEN(SUBSTITUTE(LEFT(F769,N10)," ","")))),FIND(" ",F769&amp;" ",N10+1)-1)))</f>
        <v>1</v>
      </c>
      <c r="N769" s="686">
        <f t="shared" si="80"/>
        <v>752</v>
      </c>
      <c r="O769" s="663" t="str">
        <f t="shared" si="81"/>
        <v>0</v>
      </c>
      <c r="P769" s="686">
        <f t="shared" si="82"/>
        <v>1</v>
      </c>
      <c r="Q769" s="686">
        <f t="shared" si="83"/>
        <v>1</v>
      </c>
      <c r="DE769" s="494"/>
      <c r="DF769" s="496" t="s">
        <v>2604</v>
      </c>
      <c r="DG769" s="496" t="s">
        <v>8</v>
      </c>
      <c r="DH769" s="496" t="s">
        <v>689</v>
      </c>
      <c r="DI769" s="496" t="s">
        <v>2605</v>
      </c>
      <c r="DJ769" s="496" t="s">
        <v>2605</v>
      </c>
      <c r="DK769" s="496" t="s">
        <v>1554</v>
      </c>
      <c r="DL769" s="496" t="s">
        <v>1555</v>
      </c>
      <c r="DM769" s="496" t="s">
        <v>1981</v>
      </c>
      <c r="DN769" s="497" t="s">
        <v>1982</v>
      </c>
      <c r="DP769" s="543">
        <v>1</v>
      </c>
    </row>
    <row r="770" spans="2:120" ht="15">
      <c r="B770" s="683"/>
      <c r="C770" s="683"/>
      <c r="D770" s="683"/>
      <c r="E770" s="683" cm="1">
        <f t="array" ref="E770">IF(H769&lt;&gt;"",E769,IF(E769="","",IFERROR(MATCH(TRUE(),INDEX(INDEX(K:K,E769+1):K203&lt;&gt;"",0),0)+E769,"")))</f>
        <v>911</v>
      </c>
      <c r="F770" s="684" cm="1">
        <f t="array" ref="F770">IF(E770="","",IF(H769&lt;&gt;"",H769,INDEX(D:D,E770)))</f>
        <v>0</v>
      </c>
      <c r="G770" s="684" t="str">
        <f t="shared" si="78"/>
        <v>0</v>
      </c>
      <c r="H770" s="685" t="str">
        <f t="shared" si="79"/>
        <v/>
      </c>
      <c r="I770" s="683" t="str">
        <f>IF(AND(F770&lt;&gt;"",N10&gt;0,M770&gt;N10),"Mot &gt; limite","")</f>
        <v/>
      </c>
      <c r="M770" s="638">
        <f>IF(OR(F770="",N10="",N10&lt;=0),"",IF(LEN(F770)&lt;=N10,LEN(F770),IFERROR(FIND("♦",SUBSTITUTE(LEFT(F770,N10)," ","♦",LEN(LEFT(F770,N10))-LEN(SUBSTITUTE(LEFT(F770,N10)," ","")))),FIND(" ",F770&amp;" ",N10+1)-1)))</f>
        <v>1</v>
      </c>
      <c r="N770" s="686">
        <f t="shared" si="80"/>
        <v>753</v>
      </c>
      <c r="O770" s="663" t="str">
        <f t="shared" si="81"/>
        <v>0</v>
      </c>
      <c r="P770" s="686">
        <f t="shared" si="82"/>
        <v>1</v>
      </c>
      <c r="Q770" s="686">
        <f t="shared" si="83"/>
        <v>1</v>
      </c>
      <c r="DE770" s="494"/>
      <c r="DF770" s="496" t="s">
        <v>2606</v>
      </c>
      <c r="DG770" s="496" t="s">
        <v>8</v>
      </c>
      <c r="DH770" s="496" t="s">
        <v>689</v>
      </c>
      <c r="DI770" s="496" t="s">
        <v>2607</v>
      </c>
      <c r="DJ770" s="496" t="s">
        <v>2607</v>
      </c>
      <c r="DK770" s="496" t="s">
        <v>1554</v>
      </c>
      <c r="DL770" s="496" t="s">
        <v>1555</v>
      </c>
      <c r="DM770" s="496" t="s">
        <v>1981</v>
      </c>
      <c r="DN770" s="497" t="s">
        <v>1982</v>
      </c>
      <c r="DP770" s="543">
        <v>1</v>
      </c>
    </row>
    <row r="771" spans="2:120" ht="15">
      <c r="B771" s="683"/>
      <c r="C771" s="683"/>
      <c r="D771" s="683"/>
      <c r="E771" s="683" cm="1">
        <f t="array" ref="E771">IF(H770&lt;&gt;"",E770,IF(E770="","",IFERROR(MATCH(TRUE(),INDEX(INDEX(K:K,E770+1):K203&lt;&gt;"",0),0)+E770,"")))</f>
        <v>912</v>
      </c>
      <c r="F771" s="684" cm="1">
        <f t="array" ref="F771">IF(E771="","",IF(H770&lt;&gt;"",H770,INDEX(D:D,E771)))</f>
        <v>0</v>
      </c>
      <c r="G771" s="684" t="str">
        <f t="shared" si="78"/>
        <v>0</v>
      </c>
      <c r="H771" s="685" t="str">
        <f t="shared" si="79"/>
        <v/>
      </c>
      <c r="I771" s="683" t="str">
        <f>IF(AND(F771&lt;&gt;"",N10&gt;0,M771&gt;N10),"Mot &gt; limite","")</f>
        <v/>
      </c>
      <c r="M771" s="638">
        <f>IF(OR(F771="",N10="",N10&lt;=0),"",IF(LEN(F771)&lt;=N10,LEN(F771),IFERROR(FIND("♦",SUBSTITUTE(LEFT(F771,N10)," ","♦",LEN(LEFT(F771,N10))-LEN(SUBSTITUTE(LEFT(F771,N10)," ","")))),FIND(" ",F771&amp;" ",N10+1)-1)))</f>
        <v>1</v>
      </c>
      <c r="N771" s="686">
        <f t="shared" si="80"/>
        <v>754</v>
      </c>
      <c r="O771" s="663" t="str">
        <f t="shared" si="81"/>
        <v>0</v>
      </c>
      <c r="P771" s="686">
        <f t="shared" si="82"/>
        <v>1</v>
      </c>
      <c r="Q771" s="686">
        <f t="shared" si="83"/>
        <v>1</v>
      </c>
      <c r="DE771" s="494"/>
      <c r="DF771" s="496" t="s">
        <v>2608</v>
      </c>
      <c r="DG771" s="496" t="s">
        <v>8</v>
      </c>
      <c r="DH771" s="496" t="s">
        <v>689</v>
      </c>
      <c r="DI771" s="496" t="s">
        <v>2609</v>
      </c>
      <c r="DJ771" s="496" t="s">
        <v>2609</v>
      </c>
      <c r="DK771" s="496" t="s">
        <v>1554</v>
      </c>
      <c r="DL771" s="496" t="s">
        <v>1555</v>
      </c>
      <c r="DM771" s="496" t="s">
        <v>1981</v>
      </c>
      <c r="DN771" s="497" t="s">
        <v>1982</v>
      </c>
      <c r="DP771" s="543">
        <v>1</v>
      </c>
    </row>
    <row r="772" spans="2:120" ht="15">
      <c r="B772" s="683"/>
      <c r="C772" s="683"/>
      <c r="D772" s="683"/>
      <c r="E772" s="683" cm="1">
        <f t="array" ref="E772">IF(H771&lt;&gt;"",E771,IF(E771="","",IFERROR(MATCH(TRUE(),INDEX(INDEX(K:K,E771+1):K203&lt;&gt;"",0),0)+E771,"")))</f>
        <v>913</v>
      </c>
      <c r="F772" s="684" cm="1">
        <f t="array" ref="F772">IF(E772="","",IF(H771&lt;&gt;"",H771,INDEX(D:D,E772)))</f>
        <v>0</v>
      </c>
      <c r="G772" s="684" t="str">
        <f t="shared" si="78"/>
        <v>0</v>
      </c>
      <c r="H772" s="685" t="str">
        <f t="shared" si="79"/>
        <v/>
      </c>
      <c r="I772" s="683" t="str">
        <f>IF(AND(F772&lt;&gt;"",N10&gt;0,M772&gt;N10),"Mot &gt; limite","")</f>
        <v/>
      </c>
      <c r="M772" s="638">
        <f>IF(OR(F772="",N10="",N10&lt;=0),"",IF(LEN(F772)&lt;=N10,LEN(F772),IFERROR(FIND("♦",SUBSTITUTE(LEFT(F772,N10)," ","♦",LEN(LEFT(F772,N10))-LEN(SUBSTITUTE(LEFT(F772,N10)," ","")))),FIND(" ",F772&amp;" ",N10+1)-1)))</f>
        <v>1</v>
      </c>
      <c r="N772" s="686">
        <f t="shared" si="80"/>
        <v>755</v>
      </c>
      <c r="O772" s="663" t="str">
        <f t="shared" si="81"/>
        <v>0</v>
      </c>
      <c r="P772" s="686">
        <f t="shared" si="82"/>
        <v>1</v>
      </c>
      <c r="Q772" s="686">
        <f t="shared" si="83"/>
        <v>1</v>
      </c>
      <c r="DE772" s="494"/>
      <c r="DF772" s="496" t="s">
        <v>2610</v>
      </c>
      <c r="DG772" s="496" t="s">
        <v>8</v>
      </c>
      <c r="DH772" s="496" t="s">
        <v>689</v>
      </c>
      <c r="DI772" s="496" t="s">
        <v>2611</v>
      </c>
      <c r="DJ772" s="496" t="s">
        <v>2611</v>
      </c>
      <c r="DK772" s="496" t="s">
        <v>1554</v>
      </c>
      <c r="DL772" s="496" t="s">
        <v>1555</v>
      </c>
      <c r="DM772" s="496" t="s">
        <v>1981</v>
      </c>
      <c r="DN772" s="497" t="s">
        <v>1982</v>
      </c>
      <c r="DP772" s="543">
        <v>1</v>
      </c>
    </row>
    <row r="773" spans="2:120" ht="15">
      <c r="B773" s="683"/>
      <c r="C773" s="683"/>
      <c r="D773" s="683"/>
      <c r="E773" s="683" cm="1">
        <f t="array" ref="E773">IF(H772&lt;&gt;"",E772,IF(E772="","",IFERROR(MATCH(TRUE(),INDEX(INDEX(K:K,E772+1):K203&lt;&gt;"",0),0)+E772,"")))</f>
        <v>914</v>
      </c>
      <c r="F773" s="684" cm="1">
        <f t="array" ref="F773">IF(E773="","",IF(H772&lt;&gt;"",H772,INDEX(D:D,E773)))</f>
        <v>0</v>
      </c>
      <c r="G773" s="684" t="str">
        <f t="shared" si="78"/>
        <v>0</v>
      </c>
      <c r="H773" s="685" t="str">
        <f t="shared" si="79"/>
        <v/>
      </c>
      <c r="I773" s="683" t="str">
        <f>IF(AND(F773&lt;&gt;"",N10&gt;0,M773&gt;N10),"Mot &gt; limite","")</f>
        <v/>
      </c>
      <c r="M773" s="638">
        <f>IF(OR(F773="",N10="",N10&lt;=0),"",IF(LEN(F773)&lt;=N10,LEN(F773),IFERROR(FIND("♦",SUBSTITUTE(LEFT(F773,N10)," ","♦",LEN(LEFT(F773,N10))-LEN(SUBSTITUTE(LEFT(F773,N10)," ","")))),FIND(" ",F773&amp;" ",N10+1)-1)))</f>
        <v>1</v>
      </c>
      <c r="N773" s="686">
        <f t="shared" si="80"/>
        <v>756</v>
      </c>
      <c r="O773" s="663" t="str">
        <f t="shared" si="81"/>
        <v>0</v>
      </c>
      <c r="P773" s="686">
        <f t="shared" si="82"/>
        <v>1</v>
      </c>
      <c r="Q773" s="686">
        <f t="shared" si="83"/>
        <v>1</v>
      </c>
      <c r="DE773" s="494"/>
      <c r="DF773" s="496" t="s">
        <v>2612</v>
      </c>
      <c r="DG773" s="496" t="s">
        <v>8</v>
      </c>
      <c r="DH773" s="496" t="s">
        <v>689</v>
      </c>
      <c r="DI773" s="496" t="s">
        <v>2613</v>
      </c>
      <c r="DJ773" s="496" t="s">
        <v>2613</v>
      </c>
      <c r="DK773" s="496" t="s">
        <v>1554</v>
      </c>
      <c r="DL773" s="496" t="s">
        <v>1555</v>
      </c>
      <c r="DM773" s="496" t="s">
        <v>1981</v>
      </c>
      <c r="DN773" s="497" t="s">
        <v>1982</v>
      </c>
      <c r="DP773" s="543">
        <v>1</v>
      </c>
    </row>
    <row r="774" spans="2:120" ht="15">
      <c r="B774" s="683"/>
      <c r="C774" s="683"/>
      <c r="D774" s="683"/>
      <c r="E774" s="683" cm="1">
        <f t="array" ref="E774">IF(H773&lt;&gt;"",E773,IF(E773="","",IFERROR(MATCH(TRUE(),INDEX(INDEX(K:K,E773+1):K203&lt;&gt;"",0),0)+E773,"")))</f>
        <v>915</v>
      </c>
      <c r="F774" s="684" cm="1">
        <f t="array" ref="F774">IF(E774="","",IF(H773&lt;&gt;"",H773,INDEX(D:D,E774)))</f>
        <v>0</v>
      </c>
      <c r="G774" s="684" t="str">
        <f t="shared" si="78"/>
        <v>0</v>
      </c>
      <c r="H774" s="685" t="str">
        <f t="shared" si="79"/>
        <v/>
      </c>
      <c r="I774" s="683" t="str">
        <f>IF(AND(F774&lt;&gt;"",N10&gt;0,M774&gt;N10),"Mot &gt; limite","")</f>
        <v/>
      </c>
      <c r="M774" s="638">
        <f>IF(OR(F774="",N10="",N10&lt;=0),"",IF(LEN(F774)&lt;=N10,LEN(F774),IFERROR(FIND("♦",SUBSTITUTE(LEFT(F774,N10)," ","♦",LEN(LEFT(F774,N10))-LEN(SUBSTITUTE(LEFT(F774,N10)," ","")))),FIND(" ",F774&amp;" ",N10+1)-1)))</f>
        <v>1</v>
      </c>
      <c r="N774" s="686">
        <f t="shared" si="80"/>
        <v>757</v>
      </c>
      <c r="O774" s="663" t="str">
        <f t="shared" si="81"/>
        <v>0</v>
      </c>
      <c r="P774" s="686">
        <f t="shared" si="82"/>
        <v>1</v>
      </c>
      <c r="Q774" s="686">
        <f t="shared" si="83"/>
        <v>1</v>
      </c>
      <c r="DE774" s="494"/>
      <c r="DF774" s="496" t="s">
        <v>2614</v>
      </c>
      <c r="DG774" s="496" t="s">
        <v>8</v>
      </c>
      <c r="DH774" s="496" t="s">
        <v>689</v>
      </c>
      <c r="DI774" s="496" t="s">
        <v>1031</v>
      </c>
      <c r="DJ774" s="496" t="s">
        <v>1031</v>
      </c>
      <c r="DK774" s="496" t="s">
        <v>1085</v>
      </c>
      <c r="DL774" s="496" t="s">
        <v>2063</v>
      </c>
      <c r="DM774" s="496" t="s">
        <v>1087</v>
      </c>
      <c r="DN774" s="497" t="s">
        <v>1088</v>
      </c>
      <c r="DP774" s="543">
        <v>1</v>
      </c>
    </row>
    <row r="775" spans="2:120" ht="15">
      <c r="B775" s="683"/>
      <c r="C775" s="683"/>
      <c r="D775" s="683"/>
      <c r="E775" s="683" cm="1">
        <f t="array" ref="E775">IF(H774&lt;&gt;"",E774,IF(E774="","",IFERROR(MATCH(TRUE(),INDEX(INDEX(K:K,E774+1):K203&lt;&gt;"",0),0)+E774,"")))</f>
        <v>916</v>
      </c>
      <c r="F775" s="684" cm="1">
        <f t="array" ref="F775">IF(E775="","",IF(H774&lt;&gt;"",H774,INDEX(D:D,E775)))</f>
        <v>0</v>
      </c>
      <c r="G775" s="684" t="str">
        <f t="shared" si="78"/>
        <v>0</v>
      </c>
      <c r="H775" s="685" t="str">
        <f t="shared" si="79"/>
        <v/>
      </c>
      <c r="I775" s="683" t="str">
        <f>IF(AND(F775&lt;&gt;"",N10&gt;0,M775&gt;N10),"Mot &gt; limite","")</f>
        <v/>
      </c>
      <c r="M775" s="638">
        <f>IF(OR(F775="",N10="",N10&lt;=0),"",IF(LEN(F775)&lt;=N10,LEN(F775),IFERROR(FIND("♦",SUBSTITUTE(LEFT(F775,N10)," ","♦",LEN(LEFT(F775,N10))-LEN(SUBSTITUTE(LEFT(F775,N10)," ","")))),FIND(" ",F775&amp;" ",N10+1)-1)))</f>
        <v>1</v>
      </c>
      <c r="N775" s="686">
        <f t="shared" si="80"/>
        <v>758</v>
      </c>
      <c r="O775" s="663" t="str">
        <f t="shared" si="81"/>
        <v>0</v>
      </c>
      <c r="P775" s="686">
        <f t="shared" si="82"/>
        <v>1</v>
      </c>
      <c r="Q775" s="686">
        <f t="shared" si="83"/>
        <v>1</v>
      </c>
      <c r="DE775" s="494"/>
      <c r="DF775" s="496" t="s">
        <v>2615</v>
      </c>
      <c r="DG775" s="496" t="s">
        <v>8</v>
      </c>
      <c r="DH775" s="496" t="s">
        <v>689</v>
      </c>
      <c r="DI775" s="496" t="s">
        <v>2616</v>
      </c>
      <c r="DJ775" s="496" t="s">
        <v>700</v>
      </c>
      <c r="DK775" s="496" t="s">
        <v>1085</v>
      </c>
      <c r="DL775" s="496" t="s">
        <v>2063</v>
      </c>
      <c r="DM775" s="496" t="s">
        <v>1087</v>
      </c>
      <c r="DN775" s="497" t="s">
        <v>1088</v>
      </c>
      <c r="DP775" s="543">
        <v>1</v>
      </c>
    </row>
    <row r="776" spans="2:120" ht="15">
      <c r="B776" s="683"/>
      <c r="C776" s="683"/>
      <c r="D776" s="683"/>
      <c r="E776" s="683" cm="1">
        <f t="array" ref="E776">IF(H775&lt;&gt;"",E775,IF(E775="","",IFERROR(MATCH(TRUE(),INDEX(INDEX(K:K,E775+1):K203&lt;&gt;"",0),0)+E775,"")))</f>
        <v>917</v>
      </c>
      <c r="F776" s="684" cm="1">
        <f t="array" ref="F776">IF(E776="","",IF(H775&lt;&gt;"",H775,INDEX(D:D,E776)))</f>
        <v>0</v>
      </c>
      <c r="G776" s="684" t="str">
        <f t="shared" si="78"/>
        <v>0</v>
      </c>
      <c r="H776" s="685" t="str">
        <f t="shared" si="79"/>
        <v/>
      </c>
      <c r="I776" s="683" t="str">
        <f>IF(AND(F776&lt;&gt;"",N10&gt;0,M776&gt;N10),"Mot &gt; limite","")</f>
        <v/>
      </c>
      <c r="M776" s="638">
        <f>IF(OR(F776="",N10="",N10&lt;=0),"",IF(LEN(F776)&lt;=N10,LEN(F776),IFERROR(FIND("♦",SUBSTITUTE(LEFT(F776,N10)," ","♦",LEN(LEFT(F776,N10))-LEN(SUBSTITUTE(LEFT(F776,N10)," ","")))),FIND(" ",F776&amp;" ",N10+1)-1)))</f>
        <v>1</v>
      </c>
      <c r="N776" s="686">
        <f t="shared" si="80"/>
        <v>759</v>
      </c>
      <c r="O776" s="663" t="str">
        <f t="shared" si="81"/>
        <v>0</v>
      </c>
      <c r="P776" s="686">
        <f t="shared" si="82"/>
        <v>1</v>
      </c>
      <c r="Q776" s="686">
        <f t="shared" si="83"/>
        <v>1</v>
      </c>
      <c r="DE776" s="494"/>
      <c r="DF776" s="496" t="s">
        <v>2617</v>
      </c>
      <c r="DG776" s="496" t="s">
        <v>8</v>
      </c>
      <c r="DH776" s="496" t="s">
        <v>689</v>
      </c>
      <c r="DI776" s="496" t="s">
        <v>2618</v>
      </c>
      <c r="DJ776" s="496" t="s">
        <v>2619</v>
      </c>
      <c r="DK776" s="496" t="s">
        <v>1085</v>
      </c>
      <c r="DL776" s="496" t="s">
        <v>2063</v>
      </c>
      <c r="DM776" s="496" t="s">
        <v>1087</v>
      </c>
      <c r="DN776" s="497" t="s">
        <v>1088</v>
      </c>
      <c r="DP776" s="543">
        <v>1</v>
      </c>
    </row>
    <row r="777" spans="2:120" ht="15">
      <c r="B777" s="683"/>
      <c r="C777" s="683"/>
      <c r="D777" s="683"/>
      <c r="E777" s="683" cm="1">
        <f t="array" ref="E777">IF(H776&lt;&gt;"",E776,IF(E776="","",IFERROR(MATCH(TRUE(),INDEX(INDEX(K:K,E776+1):K203&lt;&gt;"",0),0)+E776,"")))</f>
        <v>918</v>
      </c>
      <c r="F777" s="684" cm="1">
        <f t="array" ref="F777">IF(E777="","",IF(H776&lt;&gt;"",H776,INDEX(D:D,E777)))</f>
        <v>0</v>
      </c>
      <c r="G777" s="684" t="str">
        <f t="shared" si="78"/>
        <v>0</v>
      </c>
      <c r="H777" s="685" t="str">
        <f t="shared" si="79"/>
        <v/>
      </c>
      <c r="I777" s="683" t="str">
        <f>IF(AND(F777&lt;&gt;"",N10&gt;0,M777&gt;N10),"Mot &gt; limite","")</f>
        <v/>
      </c>
      <c r="M777" s="638">
        <f>IF(OR(F777="",N10="",N10&lt;=0),"",IF(LEN(F777)&lt;=N10,LEN(F777),IFERROR(FIND("♦",SUBSTITUTE(LEFT(F777,N10)," ","♦",LEN(LEFT(F777,N10))-LEN(SUBSTITUTE(LEFT(F777,N10)," ","")))),FIND(" ",F777&amp;" ",N10+1)-1)))</f>
        <v>1</v>
      </c>
      <c r="N777" s="686">
        <f t="shared" si="80"/>
        <v>760</v>
      </c>
      <c r="O777" s="663" t="str">
        <f t="shared" si="81"/>
        <v>0</v>
      </c>
      <c r="P777" s="686">
        <f t="shared" si="82"/>
        <v>1</v>
      </c>
      <c r="Q777" s="686">
        <f t="shared" si="83"/>
        <v>1</v>
      </c>
      <c r="DE777" s="494"/>
      <c r="DF777" s="496" t="s">
        <v>2620</v>
      </c>
      <c r="DG777" s="496" t="s">
        <v>8</v>
      </c>
      <c r="DH777" s="496" t="s">
        <v>689</v>
      </c>
      <c r="DI777" s="496" t="s">
        <v>2621</v>
      </c>
      <c r="DJ777" s="496" t="s">
        <v>2621</v>
      </c>
      <c r="DK777" s="496" t="s">
        <v>1554</v>
      </c>
      <c r="DL777" s="496" t="s">
        <v>1555</v>
      </c>
      <c r="DM777" s="496" t="s">
        <v>1981</v>
      </c>
      <c r="DN777" s="497" t="s">
        <v>1982</v>
      </c>
      <c r="DP777" s="543">
        <v>1</v>
      </c>
    </row>
    <row r="778" spans="2:120" ht="15">
      <c r="B778" s="683"/>
      <c r="C778" s="683"/>
      <c r="D778" s="683"/>
      <c r="E778" s="683" cm="1">
        <f t="array" ref="E778">IF(H777&lt;&gt;"",E777,IF(E777="","",IFERROR(MATCH(TRUE(),INDEX(INDEX(K:K,E777+1):K203&lt;&gt;"",0),0)+E777,"")))</f>
        <v>919</v>
      </c>
      <c r="F778" s="684" cm="1">
        <f t="array" ref="F778">IF(E778="","",IF(H777&lt;&gt;"",H777,INDEX(D:D,E778)))</f>
        <v>0</v>
      </c>
      <c r="G778" s="684" t="str">
        <f t="shared" si="78"/>
        <v>0</v>
      </c>
      <c r="H778" s="685" t="str">
        <f t="shared" si="79"/>
        <v/>
      </c>
      <c r="I778" s="683" t="str">
        <f>IF(AND(F778&lt;&gt;"",N10&gt;0,M778&gt;N10),"Mot &gt; limite","")</f>
        <v/>
      </c>
      <c r="M778" s="638">
        <f>IF(OR(F778="",N10="",N10&lt;=0),"",IF(LEN(F778)&lt;=N10,LEN(F778),IFERROR(FIND("♦",SUBSTITUTE(LEFT(F778,N10)," ","♦",LEN(LEFT(F778,N10))-LEN(SUBSTITUTE(LEFT(F778,N10)," ","")))),FIND(" ",F778&amp;" ",N10+1)-1)))</f>
        <v>1</v>
      </c>
      <c r="N778" s="686">
        <f t="shared" si="80"/>
        <v>761</v>
      </c>
      <c r="O778" s="663" t="str">
        <f t="shared" si="81"/>
        <v>0</v>
      </c>
      <c r="P778" s="686">
        <f t="shared" si="82"/>
        <v>1</v>
      </c>
      <c r="Q778" s="686">
        <f t="shared" si="83"/>
        <v>1</v>
      </c>
      <c r="DE778" s="494"/>
      <c r="DF778" s="496" t="s">
        <v>2622</v>
      </c>
      <c r="DG778" s="496" t="s">
        <v>8</v>
      </c>
      <c r="DH778" s="496" t="s">
        <v>689</v>
      </c>
      <c r="DI778" s="496" t="s">
        <v>2623</v>
      </c>
      <c r="DJ778" s="496" t="s">
        <v>2623</v>
      </c>
      <c r="DK778" s="496" t="s">
        <v>1554</v>
      </c>
      <c r="DL778" s="496" t="s">
        <v>1555</v>
      </c>
      <c r="DM778" s="496" t="s">
        <v>1981</v>
      </c>
      <c r="DN778" s="497" t="s">
        <v>1982</v>
      </c>
      <c r="DP778" s="543">
        <v>1</v>
      </c>
    </row>
    <row r="779" spans="2:120" ht="15">
      <c r="B779" s="683"/>
      <c r="C779" s="683"/>
      <c r="D779" s="683"/>
      <c r="E779" s="683" cm="1">
        <f t="array" ref="E779">IF(H778&lt;&gt;"",E778,IF(E778="","",IFERROR(MATCH(TRUE(),INDEX(INDEX(K:K,E778+1):K203&lt;&gt;"",0),0)+E778,"")))</f>
        <v>920</v>
      </c>
      <c r="F779" s="684" cm="1">
        <f t="array" ref="F779">IF(E779="","",IF(H778&lt;&gt;"",H778,INDEX(D:D,E779)))</f>
        <v>0</v>
      </c>
      <c r="G779" s="684" t="str">
        <f t="shared" si="78"/>
        <v>0</v>
      </c>
      <c r="H779" s="685" t="str">
        <f t="shared" si="79"/>
        <v/>
      </c>
      <c r="I779" s="683" t="str">
        <f>IF(AND(F779&lt;&gt;"",N10&gt;0,M779&gt;N10),"Mot &gt; limite","")</f>
        <v/>
      </c>
      <c r="M779" s="638">
        <f>IF(OR(F779="",N10="",N10&lt;=0),"",IF(LEN(F779)&lt;=N10,LEN(F779),IFERROR(FIND("♦",SUBSTITUTE(LEFT(F779,N10)," ","♦",LEN(LEFT(F779,N10))-LEN(SUBSTITUTE(LEFT(F779,N10)," ","")))),FIND(" ",F779&amp;" ",N10+1)-1)))</f>
        <v>1</v>
      </c>
      <c r="N779" s="686">
        <f t="shared" si="80"/>
        <v>762</v>
      </c>
      <c r="O779" s="663" t="str">
        <f t="shared" si="81"/>
        <v>0</v>
      </c>
      <c r="P779" s="686">
        <f t="shared" si="82"/>
        <v>1</v>
      </c>
      <c r="Q779" s="686">
        <f t="shared" si="83"/>
        <v>1</v>
      </c>
      <c r="DE779" s="494"/>
      <c r="DF779" s="496" t="s">
        <v>2624</v>
      </c>
      <c r="DG779" s="496" t="s">
        <v>8</v>
      </c>
      <c r="DH779" s="496" t="s">
        <v>689</v>
      </c>
      <c r="DI779" s="496" t="s">
        <v>2625</v>
      </c>
      <c r="DJ779" s="496" t="s">
        <v>2625</v>
      </c>
      <c r="DK779" s="496" t="s">
        <v>1554</v>
      </c>
      <c r="DL779" s="496" t="s">
        <v>1555</v>
      </c>
      <c r="DM779" s="496" t="s">
        <v>1981</v>
      </c>
      <c r="DN779" s="497" t="s">
        <v>1982</v>
      </c>
      <c r="DP779" s="543">
        <v>1</v>
      </c>
    </row>
    <row r="780" spans="2:120" ht="15">
      <c r="B780" s="683"/>
      <c r="C780" s="683"/>
      <c r="D780" s="683"/>
      <c r="E780" s="683" cm="1">
        <f t="array" ref="E780">IF(H779&lt;&gt;"",E779,IF(E779="","",IFERROR(MATCH(TRUE(),INDEX(INDEX(K:K,E779+1):K203&lt;&gt;"",0),0)+E779,"")))</f>
        <v>921</v>
      </c>
      <c r="F780" s="684" cm="1">
        <f t="array" ref="F780">IF(E780="","",IF(H779&lt;&gt;"",H779,INDEX(D:D,E780)))</f>
        <v>0</v>
      </c>
      <c r="G780" s="684" t="str">
        <f t="shared" si="78"/>
        <v>0</v>
      </c>
      <c r="H780" s="685" t="str">
        <f t="shared" si="79"/>
        <v/>
      </c>
      <c r="I780" s="683" t="str">
        <f>IF(AND(F780&lt;&gt;"",N10&gt;0,M780&gt;N10),"Mot &gt; limite","")</f>
        <v/>
      </c>
      <c r="M780" s="638">
        <f>IF(OR(F780="",N10="",N10&lt;=0),"",IF(LEN(F780)&lt;=N10,LEN(F780),IFERROR(FIND("♦",SUBSTITUTE(LEFT(F780,N10)," ","♦",LEN(LEFT(F780,N10))-LEN(SUBSTITUTE(LEFT(F780,N10)," ","")))),FIND(" ",F780&amp;" ",N10+1)-1)))</f>
        <v>1</v>
      </c>
      <c r="N780" s="686">
        <f t="shared" si="80"/>
        <v>763</v>
      </c>
      <c r="O780" s="663" t="str">
        <f t="shared" si="81"/>
        <v>0</v>
      </c>
      <c r="P780" s="686">
        <f t="shared" si="82"/>
        <v>1</v>
      </c>
      <c r="Q780" s="686">
        <f t="shared" si="83"/>
        <v>1</v>
      </c>
      <c r="DE780" s="494"/>
      <c r="DF780" s="496" t="s">
        <v>2626</v>
      </c>
      <c r="DG780" s="496" t="s">
        <v>8</v>
      </c>
      <c r="DH780" s="496" t="s">
        <v>689</v>
      </c>
      <c r="DI780" s="496" t="s">
        <v>2627</v>
      </c>
      <c r="DJ780" s="496" t="s">
        <v>2627</v>
      </c>
      <c r="DK780" s="496" t="s">
        <v>1554</v>
      </c>
      <c r="DL780" s="496" t="s">
        <v>1555</v>
      </c>
      <c r="DM780" s="496" t="s">
        <v>1981</v>
      </c>
      <c r="DN780" s="497" t="s">
        <v>1982</v>
      </c>
      <c r="DP780" s="543">
        <v>1</v>
      </c>
    </row>
    <row r="781" spans="2:120" ht="15">
      <c r="B781" s="683"/>
      <c r="C781" s="683"/>
      <c r="D781" s="683"/>
      <c r="E781" s="683" cm="1">
        <f t="array" ref="E781">IF(H780&lt;&gt;"",E780,IF(E780="","",IFERROR(MATCH(TRUE(),INDEX(INDEX(K:K,E780+1):K203&lt;&gt;"",0),0)+E780,"")))</f>
        <v>922</v>
      </c>
      <c r="F781" s="684" cm="1">
        <f t="array" ref="F781">IF(E781="","",IF(H780&lt;&gt;"",H780,INDEX(D:D,E781)))</f>
        <v>0</v>
      </c>
      <c r="G781" s="684" t="str">
        <f t="shared" si="78"/>
        <v>0</v>
      </c>
      <c r="H781" s="685" t="str">
        <f t="shared" si="79"/>
        <v/>
      </c>
      <c r="I781" s="683" t="str">
        <f>IF(AND(F781&lt;&gt;"",N10&gt;0,M781&gt;N10),"Mot &gt; limite","")</f>
        <v/>
      </c>
      <c r="M781" s="638">
        <f>IF(OR(F781="",N10="",N10&lt;=0),"",IF(LEN(F781)&lt;=N10,LEN(F781),IFERROR(FIND("♦",SUBSTITUTE(LEFT(F781,N10)," ","♦",LEN(LEFT(F781,N10))-LEN(SUBSTITUTE(LEFT(F781,N10)," ","")))),FIND(" ",F781&amp;" ",N10+1)-1)))</f>
        <v>1</v>
      </c>
      <c r="N781" s="686">
        <f t="shared" si="80"/>
        <v>764</v>
      </c>
      <c r="O781" s="663" t="str">
        <f t="shared" si="81"/>
        <v>0</v>
      </c>
      <c r="P781" s="686">
        <f t="shared" si="82"/>
        <v>1</v>
      </c>
      <c r="Q781" s="686">
        <f t="shared" si="83"/>
        <v>1</v>
      </c>
      <c r="DE781" s="494"/>
      <c r="DF781" s="496" t="s">
        <v>2628</v>
      </c>
      <c r="DG781" s="496" t="s">
        <v>8</v>
      </c>
      <c r="DH781" s="496" t="s">
        <v>689</v>
      </c>
      <c r="DI781" s="496" t="s">
        <v>2629</v>
      </c>
      <c r="DJ781" s="496" t="s">
        <v>2629</v>
      </c>
      <c r="DK781" s="496" t="s">
        <v>1554</v>
      </c>
      <c r="DL781" s="496" t="s">
        <v>1555</v>
      </c>
      <c r="DM781" s="496" t="s">
        <v>1981</v>
      </c>
      <c r="DN781" s="497" t="s">
        <v>1982</v>
      </c>
      <c r="DP781" s="543">
        <v>1</v>
      </c>
    </row>
    <row r="782" spans="2:120" ht="15">
      <c r="B782" s="683"/>
      <c r="C782" s="683"/>
      <c r="D782" s="683"/>
      <c r="E782" s="683" cm="1">
        <f t="array" ref="E782">IF(H781&lt;&gt;"",E781,IF(E781="","",IFERROR(MATCH(TRUE(),INDEX(INDEX(K:K,E781+1):K203&lt;&gt;"",0),0)+E781,"")))</f>
        <v>923</v>
      </c>
      <c r="F782" s="684" cm="1">
        <f t="array" ref="F782">IF(E782="","",IF(H781&lt;&gt;"",H781,INDEX(D:D,E782)))</f>
        <v>0</v>
      </c>
      <c r="G782" s="684" t="str">
        <f t="shared" si="78"/>
        <v>0</v>
      </c>
      <c r="H782" s="685" t="str">
        <f t="shared" si="79"/>
        <v/>
      </c>
      <c r="I782" s="683" t="str">
        <f>IF(AND(F782&lt;&gt;"",N10&gt;0,M782&gt;N10),"Mot &gt; limite","")</f>
        <v/>
      </c>
      <c r="M782" s="638">
        <f>IF(OR(F782="",N10="",N10&lt;=0),"",IF(LEN(F782)&lt;=N10,LEN(F782),IFERROR(FIND("♦",SUBSTITUTE(LEFT(F782,N10)," ","♦",LEN(LEFT(F782,N10))-LEN(SUBSTITUTE(LEFT(F782,N10)," ","")))),FIND(" ",F782&amp;" ",N10+1)-1)))</f>
        <v>1</v>
      </c>
      <c r="N782" s="686">
        <f t="shared" si="80"/>
        <v>765</v>
      </c>
      <c r="O782" s="663" t="str">
        <f t="shared" si="81"/>
        <v>0</v>
      </c>
      <c r="P782" s="686">
        <f t="shared" si="82"/>
        <v>1</v>
      </c>
      <c r="Q782" s="686">
        <f t="shared" si="83"/>
        <v>1</v>
      </c>
      <c r="DE782" s="494"/>
      <c r="DF782" s="496" t="s">
        <v>2630</v>
      </c>
      <c r="DG782" s="496" t="s">
        <v>8</v>
      </c>
      <c r="DH782" s="496" t="s">
        <v>689</v>
      </c>
      <c r="DI782" s="496" t="s">
        <v>2631</v>
      </c>
      <c r="DJ782" s="496" t="s">
        <v>2631</v>
      </c>
      <c r="DK782" s="496" t="s">
        <v>1554</v>
      </c>
      <c r="DL782" s="496" t="s">
        <v>1555</v>
      </c>
      <c r="DM782" s="496" t="s">
        <v>1981</v>
      </c>
      <c r="DN782" s="497" t="s">
        <v>1982</v>
      </c>
      <c r="DP782" s="543">
        <v>1</v>
      </c>
    </row>
    <row r="783" spans="2:120" ht="15">
      <c r="B783" s="683"/>
      <c r="C783" s="683"/>
      <c r="D783" s="683"/>
      <c r="E783" s="683" cm="1">
        <f t="array" ref="E783">IF(H782&lt;&gt;"",E782,IF(E782="","",IFERROR(MATCH(TRUE(),INDEX(INDEX(K:K,E782+1):K203&lt;&gt;"",0),0)+E782,"")))</f>
        <v>924</v>
      </c>
      <c r="F783" s="684" cm="1">
        <f t="array" ref="F783">IF(E783="","",IF(H782&lt;&gt;"",H782,INDEX(D:D,E783)))</f>
        <v>0</v>
      </c>
      <c r="G783" s="684" t="str">
        <f t="shared" si="78"/>
        <v>0</v>
      </c>
      <c r="H783" s="685" t="str">
        <f t="shared" si="79"/>
        <v/>
      </c>
      <c r="I783" s="683" t="str">
        <f>IF(AND(F783&lt;&gt;"",N10&gt;0,M783&gt;N10),"Mot &gt; limite","")</f>
        <v/>
      </c>
      <c r="M783" s="638">
        <f>IF(OR(F783="",N10="",N10&lt;=0),"",IF(LEN(F783)&lt;=N10,LEN(F783),IFERROR(FIND("♦",SUBSTITUTE(LEFT(F783,N10)," ","♦",LEN(LEFT(F783,N10))-LEN(SUBSTITUTE(LEFT(F783,N10)," ","")))),FIND(" ",F783&amp;" ",N10+1)-1)))</f>
        <v>1</v>
      </c>
      <c r="N783" s="686">
        <f t="shared" si="80"/>
        <v>766</v>
      </c>
      <c r="O783" s="663" t="str">
        <f t="shared" si="81"/>
        <v>0</v>
      </c>
      <c r="P783" s="686">
        <f t="shared" si="82"/>
        <v>1</v>
      </c>
      <c r="Q783" s="686">
        <f t="shared" si="83"/>
        <v>1</v>
      </c>
      <c r="DE783" s="494"/>
      <c r="DF783" s="496" t="s">
        <v>2632</v>
      </c>
      <c r="DG783" s="496" t="s">
        <v>8</v>
      </c>
      <c r="DH783" s="496" t="s">
        <v>689</v>
      </c>
      <c r="DI783" s="496" t="s">
        <v>2633</v>
      </c>
      <c r="DJ783" s="496" t="s">
        <v>2633</v>
      </c>
      <c r="DK783" s="496" t="s">
        <v>1554</v>
      </c>
      <c r="DL783" s="496" t="s">
        <v>1555</v>
      </c>
      <c r="DM783" s="496" t="s">
        <v>1981</v>
      </c>
      <c r="DN783" s="497" t="s">
        <v>1982</v>
      </c>
      <c r="DP783" s="543">
        <v>1</v>
      </c>
    </row>
    <row r="784" spans="2:120" ht="15">
      <c r="B784" s="683"/>
      <c r="C784" s="683"/>
      <c r="D784" s="683"/>
      <c r="E784" s="683" cm="1">
        <f t="array" ref="E784">IF(H783&lt;&gt;"",E783,IF(E783="","",IFERROR(MATCH(TRUE(),INDEX(INDEX(K:K,E783+1):K203&lt;&gt;"",0),0)+E783,"")))</f>
        <v>925</v>
      </c>
      <c r="F784" s="684" cm="1">
        <f t="array" ref="F784">IF(E784="","",IF(H783&lt;&gt;"",H783,INDEX(D:D,E784)))</f>
        <v>0</v>
      </c>
      <c r="G784" s="684" t="str">
        <f t="shared" si="78"/>
        <v>0</v>
      </c>
      <c r="H784" s="685" t="str">
        <f t="shared" si="79"/>
        <v/>
      </c>
      <c r="I784" s="683" t="str">
        <f>IF(AND(F784&lt;&gt;"",N10&gt;0,M784&gt;N10),"Mot &gt; limite","")</f>
        <v/>
      </c>
      <c r="M784" s="638">
        <f>IF(OR(F784="",N10="",N10&lt;=0),"",IF(LEN(F784)&lt;=N10,LEN(F784),IFERROR(FIND("♦",SUBSTITUTE(LEFT(F784,N10)," ","♦",LEN(LEFT(F784,N10))-LEN(SUBSTITUTE(LEFT(F784,N10)," ","")))),FIND(" ",F784&amp;" ",N10+1)-1)))</f>
        <v>1</v>
      </c>
      <c r="N784" s="686">
        <f t="shared" si="80"/>
        <v>767</v>
      </c>
      <c r="O784" s="663" t="str">
        <f t="shared" si="81"/>
        <v>0</v>
      </c>
      <c r="P784" s="686">
        <f t="shared" si="82"/>
        <v>1</v>
      </c>
      <c r="Q784" s="686">
        <f t="shared" si="83"/>
        <v>1</v>
      </c>
      <c r="DE784" s="494"/>
      <c r="DF784" s="496" t="s">
        <v>2634</v>
      </c>
      <c r="DG784" s="496" t="s">
        <v>8</v>
      </c>
      <c r="DH784" s="496" t="s">
        <v>689</v>
      </c>
      <c r="DI784" s="496" t="s">
        <v>2635</v>
      </c>
      <c r="DJ784" s="496" t="s">
        <v>2635</v>
      </c>
      <c r="DK784" s="496" t="s">
        <v>1554</v>
      </c>
      <c r="DL784" s="496" t="s">
        <v>1555</v>
      </c>
      <c r="DM784" s="496" t="s">
        <v>1981</v>
      </c>
      <c r="DN784" s="497" t="s">
        <v>1982</v>
      </c>
      <c r="DP784" s="543">
        <v>1</v>
      </c>
    </row>
    <row r="785" spans="2:120" ht="15">
      <c r="B785" s="683"/>
      <c r="C785" s="683"/>
      <c r="D785" s="683"/>
      <c r="E785" s="683" cm="1">
        <f t="array" ref="E785">IF(H784&lt;&gt;"",E784,IF(E784="","",IFERROR(MATCH(TRUE(),INDEX(INDEX(K:K,E784+1):K203&lt;&gt;"",0),0)+E784,"")))</f>
        <v>926</v>
      </c>
      <c r="F785" s="684" cm="1">
        <f t="array" ref="F785">IF(E785="","",IF(H784&lt;&gt;"",H784,INDEX(D:D,E785)))</f>
        <v>0</v>
      </c>
      <c r="G785" s="684" t="str">
        <f t="shared" si="78"/>
        <v>0</v>
      </c>
      <c r="H785" s="685" t="str">
        <f t="shared" si="79"/>
        <v/>
      </c>
      <c r="I785" s="683" t="str">
        <f>IF(AND(F785&lt;&gt;"",N10&gt;0,M785&gt;N10),"Mot &gt; limite","")</f>
        <v/>
      </c>
      <c r="M785" s="638">
        <f>IF(OR(F785="",N10="",N10&lt;=0),"",IF(LEN(F785)&lt;=N10,LEN(F785),IFERROR(FIND("♦",SUBSTITUTE(LEFT(F785,N10)," ","♦",LEN(LEFT(F785,N10))-LEN(SUBSTITUTE(LEFT(F785,N10)," ","")))),FIND(" ",F785&amp;" ",N10+1)-1)))</f>
        <v>1</v>
      </c>
      <c r="N785" s="686">
        <f t="shared" si="80"/>
        <v>768</v>
      </c>
      <c r="O785" s="663" t="str">
        <f t="shared" si="81"/>
        <v>0</v>
      </c>
      <c r="P785" s="686">
        <f t="shared" si="82"/>
        <v>1</v>
      </c>
      <c r="Q785" s="686">
        <f t="shared" si="83"/>
        <v>1</v>
      </c>
      <c r="DE785" s="494"/>
      <c r="DF785" s="496" t="s">
        <v>2636</v>
      </c>
      <c r="DG785" s="496" t="s">
        <v>8</v>
      </c>
      <c r="DH785" s="496" t="s">
        <v>689</v>
      </c>
      <c r="DI785" s="496" t="s">
        <v>2637</v>
      </c>
      <c r="DJ785" s="496" t="s">
        <v>2637</v>
      </c>
      <c r="DK785" s="496" t="s">
        <v>1554</v>
      </c>
      <c r="DL785" s="496" t="s">
        <v>1555</v>
      </c>
      <c r="DM785" s="496" t="s">
        <v>1981</v>
      </c>
      <c r="DN785" s="497" t="s">
        <v>1982</v>
      </c>
      <c r="DP785" s="543">
        <v>1</v>
      </c>
    </row>
    <row r="786" spans="2:120" ht="15">
      <c r="B786" s="683"/>
      <c r="C786" s="683"/>
      <c r="D786" s="683"/>
      <c r="E786" s="683" cm="1">
        <f t="array" ref="E786">IF(H785&lt;&gt;"",E785,IF(E785="","",IFERROR(MATCH(TRUE(),INDEX(INDEX(K:K,E785+1):K203&lt;&gt;"",0),0)+E785,"")))</f>
        <v>927</v>
      </c>
      <c r="F786" s="684" cm="1">
        <f t="array" ref="F786">IF(E786="","",IF(H785&lt;&gt;"",H785,INDEX(D:D,E786)))</f>
        <v>0</v>
      </c>
      <c r="G786" s="684" t="str">
        <f t="shared" ref="G786:G849" si="84">IF(OR(F786="",M786=""),"",LEFT(F786,M786))</f>
        <v>0</v>
      </c>
      <c r="H786" s="685" t="str">
        <f t="shared" ref="H786:H849" si="85">IF(OR(F786="",M786=""),"",TRIM(MID(F786,M786+1,99999)))</f>
        <v/>
      </c>
      <c r="I786" s="683" t="str">
        <f>IF(AND(F786&lt;&gt;"",N10&gt;0,M786&gt;N10),"Mot &gt; limite","")</f>
        <v/>
      </c>
      <c r="M786" s="638">
        <f>IF(OR(F786="",N10="",N10&lt;=0),"",IF(LEN(F786)&lt;=N10,LEN(F786),IFERROR(FIND("♦",SUBSTITUTE(LEFT(F786,N10)," ","♦",LEN(LEFT(F786,N10))-LEN(SUBSTITUTE(LEFT(F786,N10)," ","")))),FIND(" ",F786&amp;" ",N10+1)-1)))</f>
        <v>1</v>
      </c>
      <c r="N786" s="686">
        <f t="shared" ref="N786:N849" si="86">IF(O786="","",ROW()-17)</f>
        <v>769</v>
      </c>
      <c r="O786" s="663" t="str">
        <f t="shared" ref="O786:O849" si="87">G786</f>
        <v>0</v>
      </c>
      <c r="P786" s="686">
        <f t="shared" ref="P786:P849" si="88">IF(O786="","",LEN(TRIM(O786))-LEN(SUBSTITUTE(TRIM(O786)," ",""))+1)</f>
        <v>1</v>
      </c>
      <c r="Q786" s="686">
        <f t="shared" ref="Q786:Q849" si="89">IF(O786="","",LEN(O786))</f>
        <v>1</v>
      </c>
      <c r="DE786" s="494"/>
      <c r="DF786" s="496" t="s">
        <v>2638</v>
      </c>
      <c r="DG786" s="496" t="s">
        <v>8</v>
      </c>
      <c r="DH786" s="496" t="s">
        <v>689</v>
      </c>
      <c r="DI786" s="496" t="s">
        <v>2639</v>
      </c>
      <c r="DJ786" s="496" t="s">
        <v>2639</v>
      </c>
      <c r="DK786" s="496" t="s">
        <v>1554</v>
      </c>
      <c r="DL786" s="496" t="s">
        <v>1555</v>
      </c>
      <c r="DM786" s="496" t="s">
        <v>1981</v>
      </c>
      <c r="DN786" s="497" t="s">
        <v>1982</v>
      </c>
      <c r="DP786" s="543">
        <v>1</v>
      </c>
    </row>
    <row r="787" spans="2:120" ht="15">
      <c r="B787" s="683"/>
      <c r="C787" s="683"/>
      <c r="D787" s="683"/>
      <c r="E787" s="683" cm="1">
        <f t="array" ref="E787">IF(H786&lt;&gt;"",E786,IF(E786="","",IFERROR(MATCH(TRUE(),INDEX(INDEX(K:K,E786+1):K203&lt;&gt;"",0),0)+E786,"")))</f>
        <v>928</v>
      </c>
      <c r="F787" s="684" cm="1">
        <f t="array" ref="F787">IF(E787="","",IF(H786&lt;&gt;"",H786,INDEX(D:D,E787)))</f>
        <v>0</v>
      </c>
      <c r="G787" s="684" t="str">
        <f t="shared" si="84"/>
        <v>0</v>
      </c>
      <c r="H787" s="685" t="str">
        <f t="shared" si="85"/>
        <v/>
      </c>
      <c r="I787" s="683" t="str">
        <f>IF(AND(F787&lt;&gt;"",N10&gt;0,M787&gt;N10),"Mot &gt; limite","")</f>
        <v/>
      </c>
      <c r="M787" s="638">
        <f>IF(OR(F787="",N10="",N10&lt;=0),"",IF(LEN(F787)&lt;=N10,LEN(F787),IFERROR(FIND("♦",SUBSTITUTE(LEFT(F787,N10)," ","♦",LEN(LEFT(F787,N10))-LEN(SUBSTITUTE(LEFT(F787,N10)," ","")))),FIND(" ",F787&amp;" ",N10+1)-1)))</f>
        <v>1</v>
      </c>
      <c r="N787" s="686">
        <f t="shared" si="86"/>
        <v>770</v>
      </c>
      <c r="O787" s="663" t="str">
        <f t="shared" si="87"/>
        <v>0</v>
      </c>
      <c r="P787" s="686">
        <f t="shared" si="88"/>
        <v>1</v>
      </c>
      <c r="Q787" s="686">
        <f t="shared" si="89"/>
        <v>1</v>
      </c>
      <c r="DE787" s="494"/>
      <c r="DF787" s="496" t="s">
        <v>2640</v>
      </c>
      <c r="DG787" s="496" t="s">
        <v>8</v>
      </c>
      <c r="DH787" s="496" t="s">
        <v>689</v>
      </c>
      <c r="DI787" s="496" t="s">
        <v>2641</v>
      </c>
      <c r="DJ787" s="496" t="s">
        <v>2641</v>
      </c>
      <c r="DK787" s="496" t="s">
        <v>1554</v>
      </c>
      <c r="DL787" s="496" t="s">
        <v>1555</v>
      </c>
      <c r="DM787" s="496" t="s">
        <v>1981</v>
      </c>
      <c r="DN787" s="497" t="s">
        <v>1982</v>
      </c>
      <c r="DP787" s="543">
        <v>1</v>
      </c>
    </row>
    <row r="788" spans="2:120" ht="15">
      <c r="B788" s="683"/>
      <c r="C788" s="683"/>
      <c r="D788" s="683"/>
      <c r="E788" s="683" cm="1">
        <f t="array" ref="E788">IF(H787&lt;&gt;"",E787,IF(E787="","",IFERROR(MATCH(TRUE(),INDEX(INDEX(K:K,E787+1):K203&lt;&gt;"",0),0)+E787,"")))</f>
        <v>929</v>
      </c>
      <c r="F788" s="684" cm="1">
        <f t="array" ref="F788">IF(E788="","",IF(H787&lt;&gt;"",H787,INDEX(D:D,E788)))</f>
        <v>0</v>
      </c>
      <c r="G788" s="684" t="str">
        <f t="shared" si="84"/>
        <v>0</v>
      </c>
      <c r="H788" s="685" t="str">
        <f t="shared" si="85"/>
        <v/>
      </c>
      <c r="I788" s="683" t="str">
        <f>IF(AND(F788&lt;&gt;"",N10&gt;0,M788&gt;N10),"Mot &gt; limite","")</f>
        <v/>
      </c>
      <c r="M788" s="638">
        <f>IF(OR(F788="",N10="",N10&lt;=0),"",IF(LEN(F788)&lt;=N10,LEN(F788),IFERROR(FIND("♦",SUBSTITUTE(LEFT(F788,N10)," ","♦",LEN(LEFT(F788,N10))-LEN(SUBSTITUTE(LEFT(F788,N10)," ","")))),FIND(" ",F788&amp;" ",N10+1)-1)))</f>
        <v>1</v>
      </c>
      <c r="N788" s="686">
        <f t="shared" si="86"/>
        <v>771</v>
      </c>
      <c r="O788" s="663" t="str">
        <f t="shared" si="87"/>
        <v>0</v>
      </c>
      <c r="P788" s="686">
        <f t="shared" si="88"/>
        <v>1</v>
      </c>
      <c r="Q788" s="686">
        <f t="shared" si="89"/>
        <v>1</v>
      </c>
      <c r="DE788" s="494"/>
      <c r="DF788" s="496" t="s">
        <v>2642</v>
      </c>
      <c r="DG788" s="496" t="s">
        <v>8</v>
      </c>
      <c r="DH788" s="496" t="s">
        <v>689</v>
      </c>
      <c r="DI788" s="496" t="s">
        <v>2643</v>
      </c>
      <c r="DJ788" s="496" t="s">
        <v>2643</v>
      </c>
      <c r="DK788" s="496" t="s">
        <v>1554</v>
      </c>
      <c r="DL788" s="496" t="s">
        <v>1555</v>
      </c>
      <c r="DM788" s="496" t="s">
        <v>1981</v>
      </c>
      <c r="DN788" s="497" t="s">
        <v>1982</v>
      </c>
      <c r="DP788" s="543">
        <v>1</v>
      </c>
    </row>
    <row r="789" spans="2:120" ht="15">
      <c r="B789" s="683"/>
      <c r="C789" s="683"/>
      <c r="D789" s="683"/>
      <c r="E789" s="683" cm="1">
        <f t="array" ref="E789">IF(H788&lt;&gt;"",E788,IF(E788="","",IFERROR(MATCH(TRUE(),INDEX(INDEX(K:K,E788+1):K203&lt;&gt;"",0),0)+E788,"")))</f>
        <v>930</v>
      </c>
      <c r="F789" s="684" cm="1">
        <f t="array" ref="F789">IF(E789="","",IF(H788&lt;&gt;"",H788,INDEX(D:D,E789)))</f>
        <v>0</v>
      </c>
      <c r="G789" s="684" t="str">
        <f t="shared" si="84"/>
        <v>0</v>
      </c>
      <c r="H789" s="685" t="str">
        <f t="shared" si="85"/>
        <v/>
      </c>
      <c r="I789" s="683" t="str">
        <f>IF(AND(F789&lt;&gt;"",N10&gt;0,M789&gt;N10),"Mot &gt; limite","")</f>
        <v/>
      </c>
      <c r="M789" s="638">
        <f>IF(OR(F789="",N10="",N10&lt;=0),"",IF(LEN(F789)&lt;=N10,LEN(F789),IFERROR(FIND("♦",SUBSTITUTE(LEFT(F789,N10)," ","♦",LEN(LEFT(F789,N10))-LEN(SUBSTITUTE(LEFT(F789,N10)," ","")))),FIND(" ",F789&amp;" ",N10+1)-1)))</f>
        <v>1</v>
      </c>
      <c r="N789" s="686">
        <f t="shared" si="86"/>
        <v>772</v>
      </c>
      <c r="O789" s="663" t="str">
        <f t="shared" si="87"/>
        <v>0</v>
      </c>
      <c r="P789" s="686">
        <f t="shared" si="88"/>
        <v>1</v>
      </c>
      <c r="Q789" s="686">
        <f t="shared" si="89"/>
        <v>1</v>
      </c>
      <c r="DE789" s="494"/>
      <c r="DF789" s="496" t="s">
        <v>2644</v>
      </c>
      <c r="DG789" s="496" t="s">
        <v>8</v>
      </c>
      <c r="DH789" s="496" t="s">
        <v>689</v>
      </c>
      <c r="DI789" s="496" t="s">
        <v>2645</v>
      </c>
      <c r="DJ789" s="496" t="s">
        <v>2645</v>
      </c>
      <c r="DK789" s="496" t="s">
        <v>1554</v>
      </c>
      <c r="DL789" s="496" t="s">
        <v>1555</v>
      </c>
      <c r="DM789" s="496" t="s">
        <v>1981</v>
      </c>
      <c r="DN789" s="497" t="s">
        <v>1982</v>
      </c>
      <c r="DP789" s="543">
        <v>1</v>
      </c>
    </row>
    <row r="790" spans="2:120" ht="15">
      <c r="B790" s="683"/>
      <c r="C790" s="683"/>
      <c r="D790" s="683"/>
      <c r="E790" s="683" cm="1">
        <f t="array" ref="E790">IF(H789&lt;&gt;"",E789,IF(E789="","",IFERROR(MATCH(TRUE(),INDEX(INDEX(K:K,E789+1):K203&lt;&gt;"",0),0)+E789,"")))</f>
        <v>931</v>
      </c>
      <c r="F790" s="684" cm="1">
        <f t="array" ref="F790">IF(E790="","",IF(H789&lt;&gt;"",H789,INDEX(D:D,E790)))</f>
        <v>0</v>
      </c>
      <c r="G790" s="684" t="str">
        <f t="shared" si="84"/>
        <v>0</v>
      </c>
      <c r="H790" s="685" t="str">
        <f t="shared" si="85"/>
        <v/>
      </c>
      <c r="I790" s="683" t="str">
        <f>IF(AND(F790&lt;&gt;"",N10&gt;0,M790&gt;N10),"Mot &gt; limite","")</f>
        <v/>
      </c>
      <c r="M790" s="638">
        <f>IF(OR(F790="",N10="",N10&lt;=0),"",IF(LEN(F790)&lt;=N10,LEN(F790),IFERROR(FIND("♦",SUBSTITUTE(LEFT(F790,N10)," ","♦",LEN(LEFT(F790,N10))-LEN(SUBSTITUTE(LEFT(F790,N10)," ","")))),FIND(" ",F790&amp;" ",N10+1)-1)))</f>
        <v>1</v>
      </c>
      <c r="N790" s="686">
        <f t="shared" si="86"/>
        <v>773</v>
      </c>
      <c r="O790" s="663" t="str">
        <f t="shared" si="87"/>
        <v>0</v>
      </c>
      <c r="P790" s="686">
        <f t="shared" si="88"/>
        <v>1</v>
      </c>
      <c r="Q790" s="686">
        <f t="shared" si="89"/>
        <v>1</v>
      </c>
      <c r="DE790" s="494"/>
      <c r="DF790" s="496" t="s">
        <v>2646</v>
      </c>
      <c r="DG790" s="496" t="s">
        <v>8</v>
      </c>
      <c r="DH790" s="496" t="s">
        <v>689</v>
      </c>
      <c r="DI790" s="496" t="s">
        <v>2647</v>
      </c>
      <c r="DJ790" s="496" t="s">
        <v>2647</v>
      </c>
      <c r="DK790" s="496" t="s">
        <v>1554</v>
      </c>
      <c r="DL790" s="496" t="s">
        <v>1555</v>
      </c>
      <c r="DM790" s="496" t="s">
        <v>1981</v>
      </c>
      <c r="DN790" s="497" t="s">
        <v>1982</v>
      </c>
      <c r="DP790" s="543">
        <v>1</v>
      </c>
    </row>
    <row r="791" spans="2:120" ht="15">
      <c r="B791" s="683"/>
      <c r="C791" s="683"/>
      <c r="D791" s="683"/>
      <c r="E791" s="683" cm="1">
        <f t="array" ref="E791">IF(H790&lt;&gt;"",E790,IF(E790="","",IFERROR(MATCH(TRUE(),INDEX(INDEX(K:K,E790+1):K203&lt;&gt;"",0),0)+E790,"")))</f>
        <v>932</v>
      </c>
      <c r="F791" s="684" cm="1">
        <f t="array" ref="F791">IF(E791="","",IF(H790&lt;&gt;"",H790,INDEX(D:D,E791)))</f>
        <v>0</v>
      </c>
      <c r="G791" s="684" t="str">
        <f t="shared" si="84"/>
        <v>0</v>
      </c>
      <c r="H791" s="685" t="str">
        <f t="shared" si="85"/>
        <v/>
      </c>
      <c r="I791" s="683" t="str">
        <f>IF(AND(F791&lt;&gt;"",N10&gt;0,M791&gt;N10),"Mot &gt; limite","")</f>
        <v/>
      </c>
      <c r="M791" s="638">
        <f>IF(OR(F791="",N10="",N10&lt;=0),"",IF(LEN(F791)&lt;=N10,LEN(F791),IFERROR(FIND("♦",SUBSTITUTE(LEFT(F791,N10)," ","♦",LEN(LEFT(F791,N10))-LEN(SUBSTITUTE(LEFT(F791,N10)," ","")))),FIND(" ",F791&amp;" ",N10+1)-1)))</f>
        <v>1</v>
      </c>
      <c r="N791" s="686">
        <f t="shared" si="86"/>
        <v>774</v>
      </c>
      <c r="O791" s="663" t="str">
        <f t="shared" si="87"/>
        <v>0</v>
      </c>
      <c r="P791" s="686">
        <f t="shared" si="88"/>
        <v>1</v>
      </c>
      <c r="Q791" s="686">
        <f t="shared" si="89"/>
        <v>1</v>
      </c>
      <c r="DE791" s="494"/>
      <c r="DF791" s="496" t="s">
        <v>2648</v>
      </c>
      <c r="DG791" s="496" t="s">
        <v>8</v>
      </c>
      <c r="DH791" s="496" t="s">
        <v>689</v>
      </c>
      <c r="DI791" s="496" t="s">
        <v>2649</v>
      </c>
      <c r="DJ791" s="496" t="s">
        <v>2649</v>
      </c>
      <c r="DK791" s="496" t="s">
        <v>1554</v>
      </c>
      <c r="DL791" s="496" t="s">
        <v>1555</v>
      </c>
      <c r="DM791" s="496" t="s">
        <v>1981</v>
      </c>
      <c r="DN791" s="497" t="s">
        <v>1982</v>
      </c>
      <c r="DP791" s="543">
        <v>1</v>
      </c>
    </row>
    <row r="792" spans="2:120" ht="15">
      <c r="B792" s="683"/>
      <c r="C792" s="683"/>
      <c r="D792" s="683"/>
      <c r="E792" s="683" cm="1">
        <f t="array" ref="E792">IF(H791&lt;&gt;"",E791,IF(E791="","",IFERROR(MATCH(TRUE(),INDEX(INDEX(K:K,E791+1):K203&lt;&gt;"",0),0)+E791,"")))</f>
        <v>933</v>
      </c>
      <c r="F792" s="684" cm="1">
        <f t="array" ref="F792">IF(E792="","",IF(H791&lt;&gt;"",H791,INDEX(D:D,E792)))</f>
        <v>0</v>
      </c>
      <c r="G792" s="684" t="str">
        <f t="shared" si="84"/>
        <v>0</v>
      </c>
      <c r="H792" s="685" t="str">
        <f t="shared" si="85"/>
        <v/>
      </c>
      <c r="I792" s="683" t="str">
        <f>IF(AND(F792&lt;&gt;"",N10&gt;0,M792&gt;N10),"Mot &gt; limite","")</f>
        <v/>
      </c>
      <c r="M792" s="638">
        <f>IF(OR(F792="",N10="",N10&lt;=0),"",IF(LEN(F792)&lt;=N10,LEN(F792),IFERROR(FIND("♦",SUBSTITUTE(LEFT(F792,N10)," ","♦",LEN(LEFT(F792,N10))-LEN(SUBSTITUTE(LEFT(F792,N10)," ","")))),FIND(" ",F792&amp;" ",N10+1)-1)))</f>
        <v>1</v>
      </c>
      <c r="N792" s="686">
        <f t="shared" si="86"/>
        <v>775</v>
      </c>
      <c r="O792" s="663" t="str">
        <f t="shared" si="87"/>
        <v>0</v>
      </c>
      <c r="P792" s="686">
        <f t="shared" si="88"/>
        <v>1</v>
      </c>
      <c r="Q792" s="686">
        <f t="shared" si="89"/>
        <v>1</v>
      </c>
      <c r="DE792" s="494"/>
      <c r="DF792" s="496" t="s">
        <v>2650</v>
      </c>
      <c r="DG792" s="496" t="s">
        <v>8</v>
      </c>
      <c r="DH792" s="496" t="s">
        <v>689</v>
      </c>
      <c r="DI792" s="496" t="s">
        <v>2651</v>
      </c>
      <c r="DJ792" s="496" t="s">
        <v>2651</v>
      </c>
      <c r="DK792" s="496" t="s">
        <v>1554</v>
      </c>
      <c r="DL792" s="496" t="s">
        <v>1555</v>
      </c>
      <c r="DM792" s="496" t="s">
        <v>1981</v>
      </c>
      <c r="DN792" s="497" t="s">
        <v>1982</v>
      </c>
      <c r="DP792" s="543">
        <v>1</v>
      </c>
    </row>
    <row r="793" spans="2:120" ht="15">
      <c r="B793" s="683"/>
      <c r="C793" s="683"/>
      <c r="D793" s="683"/>
      <c r="E793" s="683" cm="1">
        <f t="array" ref="E793">IF(H792&lt;&gt;"",E792,IF(E792="","",IFERROR(MATCH(TRUE(),INDEX(INDEX(K:K,E792+1):K203&lt;&gt;"",0),0)+E792,"")))</f>
        <v>934</v>
      </c>
      <c r="F793" s="684" cm="1">
        <f t="array" ref="F793">IF(E793="","",IF(H792&lt;&gt;"",H792,INDEX(D:D,E793)))</f>
        <v>0</v>
      </c>
      <c r="G793" s="684" t="str">
        <f t="shared" si="84"/>
        <v>0</v>
      </c>
      <c r="H793" s="685" t="str">
        <f t="shared" si="85"/>
        <v/>
      </c>
      <c r="I793" s="683" t="str">
        <f>IF(AND(F793&lt;&gt;"",N10&gt;0,M793&gt;N10),"Mot &gt; limite","")</f>
        <v/>
      </c>
      <c r="M793" s="638">
        <f>IF(OR(F793="",N10="",N10&lt;=0),"",IF(LEN(F793)&lt;=N10,LEN(F793),IFERROR(FIND("♦",SUBSTITUTE(LEFT(F793,N10)," ","♦",LEN(LEFT(F793,N10))-LEN(SUBSTITUTE(LEFT(F793,N10)," ","")))),FIND(" ",F793&amp;" ",N10+1)-1)))</f>
        <v>1</v>
      </c>
      <c r="N793" s="686">
        <f t="shared" si="86"/>
        <v>776</v>
      </c>
      <c r="O793" s="663" t="str">
        <f t="shared" si="87"/>
        <v>0</v>
      </c>
      <c r="P793" s="686">
        <f t="shared" si="88"/>
        <v>1</v>
      </c>
      <c r="Q793" s="686">
        <f t="shared" si="89"/>
        <v>1</v>
      </c>
      <c r="DE793" s="494"/>
      <c r="DF793" s="496" t="s">
        <v>2652</v>
      </c>
      <c r="DG793" s="496" t="s">
        <v>8</v>
      </c>
      <c r="DH793" s="496" t="s">
        <v>689</v>
      </c>
      <c r="DI793" s="496" t="s">
        <v>2653</v>
      </c>
      <c r="DJ793" s="496" t="s">
        <v>2653</v>
      </c>
      <c r="DK793" s="496" t="s">
        <v>1554</v>
      </c>
      <c r="DL793" s="496" t="s">
        <v>1555</v>
      </c>
      <c r="DM793" s="496" t="s">
        <v>1981</v>
      </c>
      <c r="DN793" s="497" t="s">
        <v>1982</v>
      </c>
      <c r="DP793" s="543">
        <v>1</v>
      </c>
    </row>
    <row r="794" spans="2:120" ht="15">
      <c r="B794" s="683"/>
      <c r="C794" s="683"/>
      <c r="D794" s="683"/>
      <c r="E794" s="683" cm="1">
        <f t="array" ref="E794">IF(H793&lt;&gt;"",E793,IF(E793="","",IFERROR(MATCH(TRUE(),INDEX(INDEX(K:K,E793+1):K203&lt;&gt;"",0),0)+E793,"")))</f>
        <v>935</v>
      </c>
      <c r="F794" s="684" cm="1">
        <f t="array" ref="F794">IF(E794="","",IF(H793&lt;&gt;"",H793,INDEX(D:D,E794)))</f>
        <v>0</v>
      </c>
      <c r="G794" s="684" t="str">
        <f t="shared" si="84"/>
        <v>0</v>
      </c>
      <c r="H794" s="685" t="str">
        <f t="shared" si="85"/>
        <v/>
      </c>
      <c r="I794" s="683" t="str">
        <f>IF(AND(F794&lt;&gt;"",N10&gt;0,M794&gt;N10),"Mot &gt; limite","")</f>
        <v/>
      </c>
      <c r="M794" s="638">
        <f>IF(OR(F794="",N10="",N10&lt;=0),"",IF(LEN(F794)&lt;=N10,LEN(F794),IFERROR(FIND("♦",SUBSTITUTE(LEFT(F794,N10)," ","♦",LEN(LEFT(F794,N10))-LEN(SUBSTITUTE(LEFT(F794,N10)," ","")))),FIND(" ",F794&amp;" ",N10+1)-1)))</f>
        <v>1</v>
      </c>
      <c r="N794" s="686">
        <f t="shared" si="86"/>
        <v>777</v>
      </c>
      <c r="O794" s="663" t="str">
        <f t="shared" si="87"/>
        <v>0</v>
      </c>
      <c r="P794" s="686">
        <f t="shared" si="88"/>
        <v>1</v>
      </c>
      <c r="Q794" s="686">
        <f t="shared" si="89"/>
        <v>1</v>
      </c>
      <c r="DE794" s="494"/>
      <c r="DF794" s="496" t="s">
        <v>2654</v>
      </c>
      <c r="DG794" s="496" t="s">
        <v>8</v>
      </c>
      <c r="DH794" s="496" t="s">
        <v>689</v>
      </c>
      <c r="DI794" s="496" t="s">
        <v>2655</v>
      </c>
      <c r="DJ794" s="496" t="s">
        <v>2655</v>
      </c>
      <c r="DK794" s="496" t="s">
        <v>1554</v>
      </c>
      <c r="DL794" s="496" t="s">
        <v>1555</v>
      </c>
      <c r="DM794" s="496" t="s">
        <v>1981</v>
      </c>
      <c r="DN794" s="497" t="s">
        <v>1982</v>
      </c>
      <c r="DP794" s="543">
        <v>1</v>
      </c>
    </row>
    <row r="795" spans="2:120" ht="15">
      <c r="B795" s="683"/>
      <c r="C795" s="683"/>
      <c r="D795" s="683"/>
      <c r="E795" s="683" cm="1">
        <f t="array" ref="E795">IF(H794&lt;&gt;"",E794,IF(E794="","",IFERROR(MATCH(TRUE(),INDEX(INDEX(K:K,E794+1):K203&lt;&gt;"",0),0)+E794,"")))</f>
        <v>936</v>
      </c>
      <c r="F795" s="684" cm="1">
        <f t="array" ref="F795">IF(E795="","",IF(H794&lt;&gt;"",H794,INDEX(D:D,E795)))</f>
        <v>0</v>
      </c>
      <c r="G795" s="684" t="str">
        <f t="shared" si="84"/>
        <v>0</v>
      </c>
      <c r="H795" s="685" t="str">
        <f t="shared" si="85"/>
        <v/>
      </c>
      <c r="I795" s="683" t="str">
        <f>IF(AND(F795&lt;&gt;"",N10&gt;0,M795&gt;N10),"Mot &gt; limite","")</f>
        <v/>
      </c>
      <c r="M795" s="638">
        <f>IF(OR(F795="",N10="",N10&lt;=0),"",IF(LEN(F795)&lt;=N10,LEN(F795),IFERROR(FIND("♦",SUBSTITUTE(LEFT(F795,N10)," ","♦",LEN(LEFT(F795,N10))-LEN(SUBSTITUTE(LEFT(F795,N10)," ","")))),FIND(" ",F795&amp;" ",N10+1)-1)))</f>
        <v>1</v>
      </c>
      <c r="N795" s="686">
        <f t="shared" si="86"/>
        <v>778</v>
      </c>
      <c r="O795" s="663" t="str">
        <f t="shared" si="87"/>
        <v>0</v>
      </c>
      <c r="P795" s="686">
        <f t="shared" si="88"/>
        <v>1</v>
      </c>
      <c r="Q795" s="686">
        <f t="shared" si="89"/>
        <v>1</v>
      </c>
      <c r="DE795" s="494"/>
      <c r="DF795" s="496" t="s">
        <v>2656</v>
      </c>
      <c r="DG795" s="496" t="s">
        <v>8</v>
      </c>
      <c r="DH795" s="496" t="s">
        <v>689</v>
      </c>
      <c r="DI795" s="496" t="s">
        <v>2657</v>
      </c>
      <c r="DJ795" s="496" t="s">
        <v>2657</v>
      </c>
      <c r="DK795" s="496" t="s">
        <v>1554</v>
      </c>
      <c r="DL795" s="496" t="s">
        <v>1555</v>
      </c>
      <c r="DM795" s="496" t="s">
        <v>1981</v>
      </c>
      <c r="DN795" s="497" t="s">
        <v>1982</v>
      </c>
      <c r="DP795" s="543">
        <v>1</v>
      </c>
    </row>
    <row r="796" spans="2:120" ht="15">
      <c r="B796" s="683"/>
      <c r="C796" s="683"/>
      <c r="D796" s="683"/>
      <c r="E796" s="683" cm="1">
        <f t="array" ref="E796">IF(H795&lt;&gt;"",E795,IF(E795="","",IFERROR(MATCH(TRUE(),INDEX(INDEX(K:K,E795+1):K203&lt;&gt;"",0),0)+E795,"")))</f>
        <v>937</v>
      </c>
      <c r="F796" s="684" cm="1">
        <f t="array" ref="F796">IF(E796="","",IF(H795&lt;&gt;"",H795,INDEX(D:D,E796)))</f>
        <v>0</v>
      </c>
      <c r="G796" s="684" t="str">
        <f t="shared" si="84"/>
        <v>0</v>
      </c>
      <c r="H796" s="685" t="str">
        <f t="shared" si="85"/>
        <v/>
      </c>
      <c r="I796" s="683" t="str">
        <f>IF(AND(F796&lt;&gt;"",N10&gt;0,M796&gt;N10),"Mot &gt; limite","")</f>
        <v/>
      </c>
      <c r="M796" s="638">
        <f>IF(OR(F796="",N10="",N10&lt;=0),"",IF(LEN(F796)&lt;=N10,LEN(F796),IFERROR(FIND("♦",SUBSTITUTE(LEFT(F796,N10)," ","♦",LEN(LEFT(F796,N10))-LEN(SUBSTITUTE(LEFT(F796,N10)," ","")))),FIND(" ",F796&amp;" ",N10+1)-1)))</f>
        <v>1</v>
      </c>
      <c r="N796" s="686">
        <f t="shared" si="86"/>
        <v>779</v>
      </c>
      <c r="O796" s="663" t="str">
        <f t="shared" si="87"/>
        <v>0</v>
      </c>
      <c r="P796" s="686">
        <f t="shared" si="88"/>
        <v>1</v>
      </c>
      <c r="Q796" s="686">
        <f t="shared" si="89"/>
        <v>1</v>
      </c>
      <c r="DE796" s="494"/>
      <c r="DF796" s="496" t="s">
        <v>2658</v>
      </c>
      <c r="DG796" s="496" t="s">
        <v>8</v>
      </c>
      <c r="DH796" s="496" t="s">
        <v>689</v>
      </c>
      <c r="DI796" s="496" t="s">
        <v>2659</v>
      </c>
      <c r="DJ796" s="496" t="s">
        <v>2659</v>
      </c>
      <c r="DK796" s="496" t="s">
        <v>1554</v>
      </c>
      <c r="DL796" s="496" t="s">
        <v>1555</v>
      </c>
      <c r="DM796" s="496" t="s">
        <v>1981</v>
      </c>
      <c r="DN796" s="497" t="s">
        <v>1982</v>
      </c>
      <c r="DP796" s="543">
        <v>1</v>
      </c>
    </row>
    <row r="797" spans="2:120" ht="15">
      <c r="B797" s="683"/>
      <c r="C797" s="683"/>
      <c r="D797" s="683"/>
      <c r="E797" s="683" cm="1">
        <f t="array" ref="E797">IF(H796&lt;&gt;"",E796,IF(E796="","",IFERROR(MATCH(TRUE(),INDEX(INDEX(K:K,E796+1):K203&lt;&gt;"",0),0)+E796,"")))</f>
        <v>938</v>
      </c>
      <c r="F797" s="684" cm="1">
        <f t="array" ref="F797">IF(E797="","",IF(H796&lt;&gt;"",H796,INDEX(D:D,E797)))</f>
        <v>0</v>
      </c>
      <c r="G797" s="684" t="str">
        <f t="shared" si="84"/>
        <v>0</v>
      </c>
      <c r="H797" s="685" t="str">
        <f t="shared" si="85"/>
        <v/>
      </c>
      <c r="I797" s="683" t="str">
        <f>IF(AND(F797&lt;&gt;"",N10&gt;0,M797&gt;N10),"Mot &gt; limite","")</f>
        <v/>
      </c>
      <c r="M797" s="638">
        <f>IF(OR(F797="",N10="",N10&lt;=0),"",IF(LEN(F797)&lt;=N10,LEN(F797),IFERROR(FIND("♦",SUBSTITUTE(LEFT(F797,N10)," ","♦",LEN(LEFT(F797,N10))-LEN(SUBSTITUTE(LEFT(F797,N10)," ","")))),FIND(" ",F797&amp;" ",N10+1)-1)))</f>
        <v>1</v>
      </c>
      <c r="N797" s="686">
        <f t="shared" si="86"/>
        <v>780</v>
      </c>
      <c r="O797" s="663" t="str">
        <f t="shared" si="87"/>
        <v>0</v>
      </c>
      <c r="P797" s="686">
        <f t="shared" si="88"/>
        <v>1</v>
      </c>
      <c r="Q797" s="686">
        <f t="shared" si="89"/>
        <v>1</v>
      </c>
      <c r="DE797" s="494"/>
      <c r="DF797" s="496" t="s">
        <v>2660</v>
      </c>
      <c r="DG797" s="496" t="s">
        <v>8</v>
      </c>
      <c r="DH797" s="496" t="s">
        <v>689</v>
      </c>
      <c r="DI797" s="496" t="s">
        <v>2661</v>
      </c>
      <c r="DJ797" s="496" t="s">
        <v>2661</v>
      </c>
      <c r="DK797" s="496" t="s">
        <v>1554</v>
      </c>
      <c r="DL797" s="496" t="s">
        <v>1555</v>
      </c>
      <c r="DM797" s="496" t="s">
        <v>1981</v>
      </c>
      <c r="DN797" s="497" t="s">
        <v>1982</v>
      </c>
      <c r="DP797" s="543">
        <v>1</v>
      </c>
    </row>
    <row r="798" spans="2:120" ht="15">
      <c r="B798" s="683"/>
      <c r="C798" s="683"/>
      <c r="D798" s="683"/>
      <c r="E798" s="683" cm="1">
        <f t="array" ref="E798">IF(H797&lt;&gt;"",E797,IF(E797="","",IFERROR(MATCH(TRUE(),INDEX(INDEX(K:K,E797+1):K203&lt;&gt;"",0),0)+E797,"")))</f>
        <v>939</v>
      </c>
      <c r="F798" s="684" cm="1">
        <f t="array" ref="F798">IF(E798="","",IF(H797&lt;&gt;"",H797,INDEX(D:D,E798)))</f>
        <v>0</v>
      </c>
      <c r="G798" s="684" t="str">
        <f t="shared" si="84"/>
        <v>0</v>
      </c>
      <c r="H798" s="685" t="str">
        <f t="shared" si="85"/>
        <v/>
      </c>
      <c r="I798" s="683" t="str">
        <f>IF(AND(F798&lt;&gt;"",N10&gt;0,M798&gt;N10),"Mot &gt; limite","")</f>
        <v/>
      </c>
      <c r="M798" s="638">
        <f>IF(OR(F798="",N10="",N10&lt;=0),"",IF(LEN(F798)&lt;=N10,LEN(F798),IFERROR(FIND("♦",SUBSTITUTE(LEFT(F798,N10)," ","♦",LEN(LEFT(F798,N10))-LEN(SUBSTITUTE(LEFT(F798,N10)," ","")))),FIND(" ",F798&amp;" ",N10+1)-1)))</f>
        <v>1</v>
      </c>
      <c r="N798" s="686">
        <f t="shared" si="86"/>
        <v>781</v>
      </c>
      <c r="O798" s="663" t="str">
        <f t="shared" si="87"/>
        <v>0</v>
      </c>
      <c r="P798" s="686">
        <f t="shared" si="88"/>
        <v>1</v>
      </c>
      <c r="Q798" s="686">
        <f t="shared" si="89"/>
        <v>1</v>
      </c>
      <c r="DE798" s="494"/>
      <c r="DF798" s="496" t="s">
        <v>2662</v>
      </c>
      <c r="DG798" s="496" t="s">
        <v>8</v>
      </c>
      <c r="DH798" s="496" t="s">
        <v>689</v>
      </c>
      <c r="DI798" s="496" t="s">
        <v>2663</v>
      </c>
      <c r="DJ798" s="496" t="s">
        <v>2663</v>
      </c>
      <c r="DK798" s="496" t="s">
        <v>1554</v>
      </c>
      <c r="DL798" s="496" t="s">
        <v>1555</v>
      </c>
      <c r="DM798" s="496" t="s">
        <v>1981</v>
      </c>
      <c r="DN798" s="497" t="s">
        <v>1982</v>
      </c>
      <c r="DP798" s="543">
        <v>1</v>
      </c>
    </row>
    <row r="799" spans="2:120" ht="15">
      <c r="B799" s="683"/>
      <c r="C799" s="683"/>
      <c r="D799" s="683"/>
      <c r="E799" s="683" cm="1">
        <f t="array" ref="E799">IF(H798&lt;&gt;"",E798,IF(E798="","",IFERROR(MATCH(TRUE(),INDEX(INDEX(K:K,E798+1):K203&lt;&gt;"",0),0)+E798,"")))</f>
        <v>940</v>
      </c>
      <c r="F799" s="684" cm="1">
        <f t="array" ref="F799">IF(E799="","",IF(H798&lt;&gt;"",H798,INDEX(D:D,E799)))</f>
        <v>0</v>
      </c>
      <c r="G799" s="684" t="str">
        <f t="shared" si="84"/>
        <v>0</v>
      </c>
      <c r="H799" s="685" t="str">
        <f t="shared" si="85"/>
        <v/>
      </c>
      <c r="I799" s="683" t="str">
        <f>IF(AND(F799&lt;&gt;"",N10&gt;0,M799&gt;N10),"Mot &gt; limite","")</f>
        <v/>
      </c>
      <c r="M799" s="638">
        <f>IF(OR(F799="",N10="",N10&lt;=0),"",IF(LEN(F799)&lt;=N10,LEN(F799),IFERROR(FIND("♦",SUBSTITUTE(LEFT(F799,N10)," ","♦",LEN(LEFT(F799,N10))-LEN(SUBSTITUTE(LEFT(F799,N10)," ","")))),FIND(" ",F799&amp;" ",N10+1)-1)))</f>
        <v>1</v>
      </c>
      <c r="N799" s="686">
        <f t="shared" si="86"/>
        <v>782</v>
      </c>
      <c r="O799" s="663" t="str">
        <f t="shared" si="87"/>
        <v>0</v>
      </c>
      <c r="P799" s="686">
        <f t="shared" si="88"/>
        <v>1</v>
      </c>
      <c r="Q799" s="686">
        <f t="shared" si="89"/>
        <v>1</v>
      </c>
      <c r="DE799" s="494"/>
      <c r="DF799" s="496" t="s">
        <v>2664</v>
      </c>
      <c r="DG799" s="496" t="s">
        <v>8</v>
      </c>
      <c r="DH799" s="496" t="s">
        <v>689</v>
      </c>
      <c r="DI799" s="496" t="s">
        <v>2665</v>
      </c>
      <c r="DJ799" s="496" t="s">
        <v>2665</v>
      </c>
      <c r="DK799" s="496" t="s">
        <v>1554</v>
      </c>
      <c r="DL799" s="496" t="s">
        <v>1555</v>
      </c>
      <c r="DM799" s="496" t="s">
        <v>1981</v>
      </c>
      <c r="DN799" s="497" t="s">
        <v>1982</v>
      </c>
      <c r="DP799" s="543">
        <v>1</v>
      </c>
    </row>
    <row r="800" spans="2:120" ht="15">
      <c r="B800" s="683"/>
      <c r="C800" s="683"/>
      <c r="D800" s="683"/>
      <c r="E800" s="683" cm="1">
        <f t="array" ref="E800">IF(H799&lt;&gt;"",E799,IF(E799="","",IFERROR(MATCH(TRUE(),INDEX(INDEX(K:K,E799+1):K203&lt;&gt;"",0),0)+E799,"")))</f>
        <v>941</v>
      </c>
      <c r="F800" s="684" cm="1">
        <f t="array" ref="F800">IF(E800="","",IF(H799&lt;&gt;"",H799,INDEX(D:D,E800)))</f>
        <v>0</v>
      </c>
      <c r="G800" s="684" t="str">
        <f t="shared" si="84"/>
        <v>0</v>
      </c>
      <c r="H800" s="685" t="str">
        <f t="shared" si="85"/>
        <v/>
      </c>
      <c r="I800" s="683" t="str">
        <f>IF(AND(F800&lt;&gt;"",N10&gt;0,M800&gt;N10),"Mot &gt; limite","")</f>
        <v/>
      </c>
      <c r="M800" s="638">
        <f>IF(OR(F800="",N10="",N10&lt;=0),"",IF(LEN(F800)&lt;=N10,LEN(F800),IFERROR(FIND("♦",SUBSTITUTE(LEFT(F800,N10)," ","♦",LEN(LEFT(F800,N10))-LEN(SUBSTITUTE(LEFT(F800,N10)," ","")))),FIND(" ",F800&amp;" ",N10+1)-1)))</f>
        <v>1</v>
      </c>
      <c r="N800" s="686">
        <f t="shared" si="86"/>
        <v>783</v>
      </c>
      <c r="O800" s="663" t="str">
        <f t="shared" si="87"/>
        <v>0</v>
      </c>
      <c r="P800" s="686">
        <f t="shared" si="88"/>
        <v>1</v>
      </c>
      <c r="Q800" s="686">
        <f t="shared" si="89"/>
        <v>1</v>
      </c>
      <c r="DE800" s="494"/>
      <c r="DF800" s="496" t="s">
        <v>2666</v>
      </c>
      <c r="DG800" s="496" t="s">
        <v>8</v>
      </c>
      <c r="DH800" s="496" t="s">
        <v>689</v>
      </c>
      <c r="DI800" s="496" t="s">
        <v>2667</v>
      </c>
      <c r="DJ800" s="496" t="s">
        <v>2667</v>
      </c>
      <c r="DK800" s="496" t="s">
        <v>1554</v>
      </c>
      <c r="DL800" s="496" t="s">
        <v>1555</v>
      </c>
      <c r="DM800" s="496" t="s">
        <v>1981</v>
      </c>
      <c r="DN800" s="497" t="s">
        <v>1982</v>
      </c>
      <c r="DP800" s="543">
        <v>1</v>
      </c>
    </row>
    <row r="801" spans="2:120" ht="15">
      <c r="B801" s="683"/>
      <c r="C801" s="683"/>
      <c r="D801" s="683"/>
      <c r="E801" s="683" cm="1">
        <f t="array" ref="E801">IF(H800&lt;&gt;"",E800,IF(E800="","",IFERROR(MATCH(TRUE(),INDEX(INDEX(K:K,E800+1):K203&lt;&gt;"",0),0)+E800,"")))</f>
        <v>942</v>
      </c>
      <c r="F801" s="684" cm="1">
        <f t="array" ref="F801">IF(E801="","",IF(H800&lt;&gt;"",H800,INDEX(D:D,E801)))</f>
        <v>0</v>
      </c>
      <c r="G801" s="684" t="str">
        <f t="shared" si="84"/>
        <v>0</v>
      </c>
      <c r="H801" s="685" t="str">
        <f t="shared" si="85"/>
        <v/>
      </c>
      <c r="I801" s="683" t="str">
        <f>IF(AND(F801&lt;&gt;"",N10&gt;0,M801&gt;N10),"Mot &gt; limite","")</f>
        <v/>
      </c>
      <c r="M801" s="638">
        <f>IF(OR(F801="",N10="",N10&lt;=0),"",IF(LEN(F801)&lt;=N10,LEN(F801),IFERROR(FIND("♦",SUBSTITUTE(LEFT(F801,N10)," ","♦",LEN(LEFT(F801,N10))-LEN(SUBSTITUTE(LEFT(F801,N10)," ","")))),FIND(" ",F801&amp;" ",N10+1)-1)))</f>
        <v>1</v>
      </c>
      <c r="N801" s="686">
        <f t="shared" si="86"/>
        <v>784</v>
      </c>
      <c r="O801" s="663" t="str">
        <f t="shared" si="87"/>
        <v>0</v>
      </c>
      <c r="P801" s="686">
        <f t="shared" si="88"/>
        <v>1</v>
      </c>
      <c r="Q801" s="686">
        <f t="shared" si="89"/>
        <v>1</v>
      </c>
      <c r="DE801" s="494"/>
      <c r="DF801" s="496" t="s">
        <v>2668</v>
      </c>
      <c r="DG801" s="496" t="s">
        <v>8</v>
      </c>
      <c r="DH801" s="496" t="s">
        <v>689</v>
      </c>
      <c r="DI801" s="496" t="s">
        <v>2669</v>
      </c>
      <c r="DJ801" s="496" t="s">
        <v>2669</v>
      </c>
      <c r="DK801" s="496" t="s">
        <v>1554</v>
      </c>
      <c r="DL801" s="496" t="s">
        <v>1555</v>
      </c>
      <c r="DM801" s="496" t="s">
        <v>1981</v>
      </c>
      <c r="DN801" s="497" t="s">
        <v>1982</v>
      </c>
      <c r="DP801" s="543">
        <v>1</v>
      </c>
    </row>
    <row r="802" spans="2:120" ht="15">
      <c r="B802" s="683"/>
      <c r="C802" s="683"/>
      <c r="D802" s="683"/>
      <c r="E802" s="683" cm="1">
        <f t="array" ref="E802">IF(H801&lt;&gt;"",E801,IF(E801="","",IFERROR(MATCH(TRUE(),INDEX(INDEX(K:K,E801+1):K203&lt;&gt;"",0),0)+E801,"")))</f>
        <v>943</v>
      </c>
      <c r="F802" s="684" cm="1">
        <f t="array" ref="F802">IF(E802="","",IF(H801&lt;&gt;"",H801,INDEX(D:D,E802)))</f>
        <v>0</v>
      </c>
      <c r="G802" s="684" t="str">
        <f t="shared" si="84"/>
        <v>0</v>
      </c>
      <c r="H802" s="685" t="str">
        <f t="shared" si="85"/>
        <v/>
      </c>
      <c r="I802" s="683" t="str">
        <f>IF(AND(F802&lt;&gt;"",N10&gt;0,M802&gt;N10),"Mot &gt; limite","")</f>
        <v/>
      </c>
      <c r="M802" s="638">
        <f>IF(OR(F802="",N10="",N10&lt;=0),"",IF(LEN(F802)&lt;=N10,LEN(F802),IFERROR(FIND("♦",SUBSTITUTE(LEFT(F802,N10)," ","♦",LEN(LEFT(F802,N10))-LEN(SUBSTITUTE(LEFT(F802,N10)," ","")))),FIND(" ",F802&amp;" ",N10+1)-1)))</f>
        <v>1</v>
      </c>
      <c r="N802" s="686">
        <f t="shared" si="86"/>
        <v>785</v>
      </c>
      <c r="O802" s="663" t="str">
        <f t="shared" si="87"/>
        <v>0</v>
      </c>
      <c r="P802" s="686">
        <f t="shared" si="88"/>
        <v>1</v>
      </c>
      <c r="Q802" s="686">
        <f t="shared" si="89"/>
        <v>1</v>
      </c>
      <c r="DE802" s="494"/>
      <c r="DF802" s="496" t="s">
        <v>2670</v>
      </c>
      <c r="DG802" s="496" t="s">
        <v>8</v>
      </c>
      <c r="DH802" s="496" t="s">
        <v>689</v>
      </c>
      <c r="DI802" s="496" t="s">
        <v>2671</v>
      </c>
      <c r="DJ802" s="496" t="s">
        <v>2671</v>
      </c>
      <c r="DK802" s="496" t="s">
        <v>1554</v>
      </c>
      <c r="DL802" s="496" t="s">
        <v>1555</v>
      </c>
      <c r="DM802" s="496" t="s">
        <v>1981</v>
      </c>
      <c r="DN802" s="497" t="s">
        <v>1982</v>
      </c>
      <c r="DP802" s="543">
        <v>1</v>
      </c>
    </row>
    <row r="803" spans="2:120" ht="15">
      <c r="B803" s="683"/>
      <c r="C803" s="683"/>
      <c r="D803" s="683"/>
      <c r="E803" s="683" cm="1">
        <f t="array" ref="E803">IF(H802&lt;&gt;"",E802,IF(E802="","",IFERROR(MATCH(TRUE(),INDEX(INDEX(K:K,E802+1):K203&lt;&gt;"",0),0)+E802,"")))</f>
        <v>944</v>
      </c>
      <c r="F803" s="684" cm="1">
        <f t="array" ref="F803">IF(E803="","",IF(H802&lt;&gt;"",H802,INDEX(D:D,E803)))</f>
        <v>0</v>
      </c>
      <c r="G803" s="684" t="str">
        <f t="shared" si="84"/>
        <v>0</v>
      </c>
      <c r="H803" s="685" t="str">
        <f t="shared" si="85"/>
        <v/>
      </c>
      <c r="I803" s="683" t="str">
        <f>IF(AND(F803&lt;&gt;"",N10&gt;0,M803&gt;N10),"Mot &gt; limite","")</f>
        <v/>
      </c>
      <c r="M803" s="638">
        <f>IF(OR(F803="",N10="",N10&lt;=0),"",IF(LEN(F803)&lt;=N10,LEN(F803),IFERROR(FIND("♦",SUBSTITUTE(LEFT(F803,N10)," ","♦",LEN(LEFT(F803,N10))-LEN(SUBSTITUTE(LEFT(F803,N10)," ","")))),FIND(" ",F803&amp;" ",N10+1)-1)))</f>
        <v>1</v>
      </c>
      <c r="N803" s="686">
        <f t="shared" si="86"/>
        <v>786</v>
      </c>
      <c r="O803" s="663" t="str">
        <f t="shared" si="87"/>
        <v>0</v>
      </c>
      <c r="P803" s="686">
        <f t="shared" si="88"/>
        <v>1</v>
      </c>
      <c r="Q803" s="686">
        <f t="shared" si="89"/>
        <v>1</v>
      </c>
      <c r="DE803" s="494"/>
      <c r="DF803" s="496" t="s">
        <v>2672</v>
      </c>
      <c r="DG803" s="496" t="s">
        <v>8</v>
      </c>
      <c r="DH803" s="496" t="s">
        <v>689</v>
      </c>
      <c r="DI803" s="496" t="s">
        <v>2673</v>
      </c>
      <c r="DJ803" s="496" t="s">
        <v>2673</v>
      </c>
      <c r="DK803" s="496" t="s">
        <v>1554</v>
      </c>
      <c r="DL803" s="496" t="s">
        <v>1555</v>
      </c>
      <c r="DM803" s="496" t="s">
        <v>1981</v>
      </c>
      <c r="DN803" s="497" t="s">
        <v>1982</v>
      </c>
      <c r="DP803" s="543">
        <v>1</v>
      </c>
    </row>
    <row r="804" spans="2:120" ht="15">
      <c r="B804" s="683"/>
      <c r="C804" s="683"/>
      <c r="D804" s="683"/>
      <c r="E804" s="683" cm="1">
        <f t="array" ref="E804">IF(H803&lt;&gt;"",E803,IF(E803="","",IFERROR(MATCH(TRUE(),INDEX(INDEX(K:K,E803+1):K203&lt;&gt;"",0),0)+E803,"")))</f>
        <v>945</v>
      </c>
      <c r="F804" s="684" cm="1">
        <f t="array" ref="F804">IF(E804="","",IF(H803&lt;&gt;"",H803,INDEX(D:D,E804)))</f>
        <v>0</v>
      </c>
      <c r="G804" s="684" t="str">
        <f t="shared" si="84"/>
        <v>0</v>
      </c>
      <c r="H804" s="685" t="str">
        <f t="shared" si="85"/>
        <v/>
      </c>
      <c r="I804" s="683" t="str">
        <f>IF(AND(F804&lt;&gt;"",N10&gt;0,M804&gt;N10),"Mot &gt; limite","")</f>
        <v/>
      </c>
      <c r="M804" s="638">
        <f>IF(OR(F804="",N10="",N10&lt;=0),"",IF(LEN(F804)&lt;=N10,LEN(F804),IFERROR(FIND("♦",SUBSTITUTE(LEFT(F804,N10)," ","♦",LEN(LEFT(F804,N10))-LEN(SUBSTITUTE(LEFT(F804,N10)," ","")))),FIND(" ",F804&amp;" ",N10+1)-1)))</f>
        <v>1</v>
      </c>
      <c r="N804" s="686">
        <f t="shared" si="86"/>
        <v>787</v>
      </c>
      <c r="O804" s="663" t="str">
        <f t="shared" si="87"/>
        <v>0</v>
      </c>
      <c r="P804" s="686">
        <f t="shared" si="88"/>
        <v>1</v>
      </c>
      <c r="Q804" s="686">
        <f t="shared" si="89"/>
        <v>1</v>
      </c>
      <c r="DE804" s="494"/>
      <c r="DF804" s="496" t="s">
        <v>2674</v>
      </c>
      <c r="DG804" s="496" t="s">
        <v>8</v>
      </c>
      <c r="DH804" s="496" t="s">
        <v>689</v>
      </c>
      <c r="DI804" s="496" t="s">
        <v>2675</v>
      </c>
      <c r="DJ804" s="496" t="s">
        <v>2675</v>
      </c>
      <c r="DK804" s="496" t="s">
        <v>1554</v>
      </c>
      <c r="DL804" s="496" t="s">
        <v>1555</v>
      </c>
      <c r="DM804" s="496" t="s">
        <v>1981</v>
      </c>
      <c r="DN804" s="497" t="s">
        <v>1982</v>
      </c>
      <c r="DP804" s="543">
        <v>1</v>
      </c>
    </row>
    <row r="805" spans="2:120" ht="15">
      <c r="B805" s="683"/>
      <c r="C805" s="683"/>
      <c r="D805" s="683"/>
      <c r="E805" s="683" cm="1">
        <f t="array" ref="E805">IF(H804&lt;&gt;"",E804,IF(E804="","",IFERROR(MATCH(TRUE(),INDEX(INDEX(K:K,E804+1):K203&lt;&gt;"",0),0)+E804,"")))</f>
        <v>946</v>
      </c>
      <c r="F805" s="684" cm="1">
        <f t="array" ref="F805">IF(E805="","",IF(H804&lt;&gt;"",H804,INDEX(D:D,E805)))</f>
        <v>0</v>
      </c>
      <c r="G805" s="684" t="str">
        <f t="shared" si="84"/>
        <v>0</v>
      </c>
      <c r="H805" s="685" t="str">
        <f t="shared" si="85"/>
        <v/>
      </c>
      <c r="I805" s="683" t="str">
        <f>IF(AND(F805&lt;&gt;"",N10&gt;0,M805&gt;N10),"Mot &gt; limite","")</f>
        <v/>
      </c>
      <c r="M805" s="638">
        <f>IF(OR(F805="",N10="",N10&lt;=0),"",IF(LEN(F805)&lt;=N10,LEN(F805),IFERROR(FIND("♦",SUBSTITUTE(LEFT(F805,N10)," ","♦",LEN(LEFT(F805,N10))-LEN(SUBSTITUTE(LEFT(F805,N10)," ","")))),FIND(" ",F805&amp;" ",N10+1)-1)))</f>
        <v>1</v>
      </c>
      <c r="N805" s="686">
        <f t="shared" si="86"/>
        <v>788</v>
      </c>
      <c r="O805" s="663" t="str">
        <f t="shared" si="87"/>
        <v>0</v>
      </c>
      <c r="P805" s="686">
        <f t="shared" si="88"/>
        <v>1</v>
      </c>
      <c r="Q805" s="686">
        <f t="shared" si="89"/>
        <v>1</v>
      </c>
      <c r="DE805" s="494"/>
      <c r="DF805" s="496" t="s">
        <v>2676</v>
      </c>
      <c r="DG805" s="496" t="s">
        <v>8</v>
      </c>
      <c r="DH805" s="496" t="s">
        <v>689</v>
      </c>
      <c r="DI805" s="496" t="s">
        <v>2677</v>
      </c>
      <c r="DJ805" s="496" t="s">
        <v>2677</v>
      </c>
      <c r="DK805" s="496" t="s">
        <v>1554</v>
      </c>
      <c r="DL805" s="496" t="s">
        <v>1555</v>
      </c>
      <c r="DM805" s="496" t="s">
        <v>1981</v>
      </c>
      <c r="DN805" s="497" t="s">
        <v>1982</v>
      </c>
      <c r="DP805" s="543">
        <v>1</v>
      </c>
    </row>
    <row r="806" spans="2:120" ht="15">
      <c r="B806" s="683"/>
      <c r="C806" s="683"/>
      <c r="D806" s="683"/>
      <c r="E806" s="683" cm="1">
        <f t="array" ref="E806">IF(H805&lt;&gt;"",E805,IF(E805="","",IFERROR(MATCH(TRUE(),INDEX(INDEX(K:K,E805+1):K203&lt;&gt;"",0),0)+E805,"")))</f>
        <v>947</v>
      </c>
      <c r="F806" s="684" cm="1">
        <f t="array" ref="F806">IF(E806="","",IF(H805&lt;&gt;"",H805,INDEX(D:D,E806)))</f>
        <v>0</v>
      </c>
      <c r="G806" s="684" t="str">
        <f t="shared" si="84"/>
        <v>0</v>
      </c>
      <c r="H806" s="685" t="str">
        <f t="shared" si="85"/>
        <v/>
      </c>
      <c r="I806" s="683" t="str">
        <f>IF(AND(F806&lt;&gt;"",N10&gt;0,M806&gt;N10),"Mot &gt; limite","")</f>
        <v/>
      </c>
      <c r="M806" s="638">
        <f>IF(OR(F806="",N10="",N10&lt;=0),"",IF(LEN(F806)&lt;=N10,LEN(F806),IFERROR(FIND("♦",SUBSTITUTE(LEFT(F806,N10)," ","♦",LEN(LEFT(F806,N10))-LEN(SUBSTITUTE(LEFT(F806,N10)," ","")))),FIND(" ",F806&amp;" ",N10+1)-1)))</f>
        <v>1</v>
      </c>
      <c r="N806" s="686">
        <f t="shared" si="86"/>
        <v>789</v>
      </c>
      <c r="O806" s="663" t="str">
        <f t="shared" si="87"/>
        <v>0</v>
      </c>
      <c r="P806" s="686">
        <f t="shared" si="88"/>
        <v>1</v>
      </c>
      <c r="Q806" s="686">
        <f t="shared" si="89"/>
        <v>1</v>
      </c>
      <c r="DE806" s="494"/>
      <c r="DF806" s="496" t="s">
        <v>2678</v>
      </c>
      <c r="DG806" s="496" t="s">
        <v>8</v>
      </c>
      <c r="DH806" s="496" t="s">
        <v>689</v>
      </c>
      <c r="DI806" s="496" t="s">
        <v>2679</v>
      </c>
      <c r="DJ806" s="496" t="s">
        <v>2679</v>
      </c>
      <c r="DK806" s="496" t="s">
        <v>1554</v>
      </c>
      <c r="DL806" s="496" t="s">
        <v>1555</v>
      </c>
      <c r="DM806" s="496" t="s">
        <v>1981</v>
      </c>
      <c r="DN806" s="497" t="s">
        <v>1982</v>
      </c>
      <c r="DP806" s="543">
        <v>1</v>
      </c>
    </row>
    <row r="807" spans="2:120" ht="15">
      <c r="B807" s="683"/>
      <c r="C807" s="683"/>
      <c r="D807" s="683"/>
      <c r="E807" s="683" cm="1">
        <f t="array" ref="E807">IF(H806&lt;&gt;"",E806,IF(E806="","",IFERROR(MATCH(TRUE(),INDEX(INDEX(K:K,E806+1):K203&lt;&gt;"",0),0)+E806,"")))</f>
        <v>948</v>
      </c>
      <c r="F807" s="684" cm="1">
        <f t="array" ref="F807">IF(E807="","",IF(H806&lt;&gt;"",H806,INDEX(D:D,E807)))</f>
        <v>0</v>
      </c>
      <c r="G807" s="684" t="str">
        <f t="shared" si="84"/>
        <v>0</v>
      </c>
      <c r="H807" s="685" t="str">
        <f t="shared" si="85"/>
        <v/>
      </c>
      <c r="I807" s="683" t="str">
        <f>IF(AND(F807&lt;&gt;"",N10&gt;0,M807&gt;N10),"Mot &gt; limite","")</f>
        <v/>
      </c>
      <c r="M807" s="638">
        <f>IF(OR(F807="",N10="",N10&lt;=0),"",IF(LEN(F807)&lt;=N10,LEN(F807),IFERROR(FIND("♦",SUBSTITUTE(LEFT(F807,N10)," ","♦",LEN(LEFT(F807,N10))-LEN(SUBSTITUTE(LEFT(F807,N10)," ","")))),FIND(" ",F807&amp;" ",N10+1)-1)))</f>
        <v>1</v>
      </c>
      <c r="N807" s="686">
        <f t="shared" si="86"/>
        <v>790</v>
      </c>
      <c r="O807" s="663" t="str">
        <f t="shared" si="87"/>
        <v>0</v>
      </c>
      <c r="P807" s="686">
        <f t="shared" si="88"/>
        <v>1</v>
      </c>
      <c r="Q807" s="686">
        <f t="shared" si="89"/>
        <v>1</v>
      </c>
      <c r="DE807" s="494"/>
      <c r="DF807" s="496" t="s">
        <v>2680</v>
      </c>
      <c r="DG807" s="496" t="s">
        <v>8</v>
      </c>
      <c r="DH807" s="496" t="s">
        <v>689</v>
      </c>
      <c r="DI807" s="496" t="s">
        <v>2681</v>
      </c>
      <c r="DJ807" s="496" t="s">
        <v>2681</v>
      </c>
      <c r="DK807" s="496" t="s">
        <v>1554</v>
      </c>
      <c r="DL807" s="496" t="s">
        <v>1555</v>
      </c>
      <c r="DM807" s="496" t="s">
        <v>1981</v>
      </c>
      <c r="DN807" s="497" t="s">
        <v>1982</v>
      </c>
      <c r="DP807" s="543">
        <v>1</v>
      </c>
    </row>
    <row r="808" spans="2:120" ht="15">
      <c r="B808" s="683"/>
      <c r="C808" s="683"/>
      <c r="D808" s="683"/>
      <c r="E808" s="683" cm="1">
        <f t="array" ref="E808">IF(H807&lt;&gt;"",E807,IF(E807="","",IFERROR(MATCH(TRUE(),INDEX(INDEX(K:K,E807+1):K203&lt;&gt;"",0),0)+E807,"")))</f>
        <v>949</v>
      </c>
      <c r="F808" s="684" cm="1">
        <f t="array" ref="F808">IF(E808="","",IF(H807&lt;&gt;"",H807,INDEX(D:D,E808)))</f>
        <v>0</v>
      </c>
      <c r="G808" s="684" t="str">
        <f t="shared" si="84"/>
        <v>0</v>
      </c>
      <c r="H808" s="685" t="str">
        <f t="shared" si="85"/>
        <v/>
      </c>
      <c r="I808" s="683" t="str">
        <f>IF(AND(F808&lt;&gt;"",N10&gt;0,M808&gt;N10),"Mot &gt; limite","")</f>
        <v/>
      </c>
      <c r="M808" s="638">
        <f>IF(OR(F808="",N10="",N10&lt;=0),"",IF(LEN(F808)&lt;=N10,LEN(F808),IFERROR(FIND("♦",SUBSTITUTE(LEFT(F808,N10)," ","♦",LEN(LEFT(F808,N10))-LEN(SUBSTITUTE(LEFT(F808,N10)," ","")))),FIND(" ",F808&amp;" ",N10+1)-1)))</f>
        <v>1</v>
      </c>
      <c r="N808" s="686">
        <f t="shared" si="86"/>
        <v>791</v>
      </c>
      <c r="O808" s="663" t="str">
        <f t="shared" si="87"/>
        <v>0</v>
      </c>
      <c r="P808" s="686">
        <f t="shared" si="88"/>
        <v>1</v>
      </c>
      <c r="Q808" s="686">
        <f t="shared" si="89"/>
        <v>1</v>
      </c>
      <c r="DE808" s="494"/>
      <c r="DF808" s="496" t="s">
        <v>2682</v>
      </c>
      <c r="DG808" s="496" t="s">
        <v>8</v>
      </c>
      <c r="DH808" s="496" t="s">
        <v>689</v>
      </c>
      <c r="DI808" s="496" t="s">
        <v>2683</v>
      </c>
      <c r="DJ808" s="496" t="s">
        <v>2683</v>
      </c>
      <c r="DK808" s="496" t="s">
        <v>1554</v>
      </c>
      <c r="DL808" s="496" t="s">
        <v>1555</v>
      </c>
      <c r="DM808" s="496" t="s">
        <v>1981</v>
      </c>
      <c r="DN808" s="497" t="s">
        <v>1982</v>
      </c>
      <c r="DP808" s="543">
        <v>1</v>
      </c>
    </row>
    <row r="809" spans="2:120" ht="15">
      <c r="B809" s="683"/>
      <c r="C809" s="683"/>
      <c r="D809" s="683"/>
      <c r="E809" s="683" cm="1">
        <f t="array" ref="E809">IF(H808&lt;&gt;"",E808,IF(E808="","",IFERROR(MATCH(TRUE(),INDEX(INDEX(K:K,E808+1):K203&lt;&gt;"",0),0)+E808,"")))</f>
        <v>950</v>
      </c>
      <c r="F809" s="684" cm="1">
        <f t="array" ref="F809">IF(E809="","",IF(H808&lt;&gt;"",H808,INDEX(D:D,E809)))</f>
        <v>0</v>
      </c>
      <c r="G809" s="684" t="str">
        <f t="shared" si="84"/>
        <v>0</v>
      </c>
      <c r="H809" s="685" t="str">
        <f t="shared" si="85"/>
        <v/>
      </c>
      <c r="I809" s="683" t="str">
        <f>IF(AND(F809&lt;&gt;"",N10&gt;0,M809&gt;N10),"Mot &gt; limite","")</f>
        <v/>
      </c>
      <c r="M809" s="638">
        <f>IF(OR(F809="",N10="",N10&lt;=0),"",IF(LEN(F809)&lt;=N10,LEN(F809),IFERROR(FIND("♦",SUBSTITUTE(LEFT(F809,N10)," ","♦",LEN(LEFT(F809,N10))-LEN(SUBSTITUTE(LEFT(F809,N10)," ","")))),FIND(" ",F809&amp;" ",N10+1)-1)))</f>
        <v>1</v>
      </c>
      <c r="N809" s="686">
        <f t="shared" si="86"/>
        <v>792</v>
      </c>
      <c r="O809" s="663" t="str">
        <f t="shared" si="87"/>
        <v>0</v>
      </c>
      <c r="P809" s="686">
        <f t="shared" si="88"/>
        <v>1</v>
      </c>
      <c r="Q809" s="686">
        <f t="shared" si="89"/>
        <v>1</v>
      </c>
      <c r="DE809" s="494"/>
      <c r="DF809" s="496" t="s">
        <v>2684</v>
      </c>
      <c r="DG809" s="496" t="s">
        <v>8</v>
      </c>
      <c r="DH809" s="496" t="s">
        <v>689</v>
      </c>
      <c r="DI809" s="496" t="s">
        <v>2685</v>
      </c>
      <c r="DJ809" s="496" t="s">
        <v>2685</v>
      </c>
      <c r="DK809" s="496" t="s">
        <v>1554</v>
      </c>
      <c r="DL809" s="496" t="s">
        <v>1555</v>
      </c>
      <c r="DM809" s="496" t="s">
        <v>1981</v>
      </c>
      <c r="DN809" s="497" t="s">
        <v>1982</v>
      </c>
      <c r="DP809" s="543">
        <v>1</v>
      </c>
    </row>
    <row r="810" spans="2:120" ht="15">
      <c r="B810" s="683"/>
      <c r="C810" s="683"/>
      <c r="D810" s="683"/>
      <c r="E810" s="683" cm="1">
        <f t="array" ref="E810">IF(H809&lt;&gt;"",E809,IF(E809="","",IFERROR(MATCH(TRUE(),INDEX(INDEX(K:K,E809+1):K203&lt;&gt;"",0),0)+E809,"")))</f>
        <v>951</v>
      </c>
      <c r="F810" s="684" cm="1">
        <f t="array" ref="F810">IF(E810="","",IF(H809&lt;&gt;"",H809,INDEX(D:D,E810)))</f>
        <v>0</v>
      </c>
      <c r="G810" s="684" t="str">
        <f t="shared" si="84"/>
        <v>0</v>
      </c>
      <c r="H810" s="685" t="str">
        <f t="shared" si="85"/>
        <v/>
      </c>
      <c r="I810" s="683" t="str">
        <f>IF(AND(F810&lt;&gt;"",N10&gt;0,M810&gt;N10),"Mot &gt; limite","")</f>
        <v/>
      </c>
      <c r="M810" s="638">
        <f>IF(OR(F810="",N10="",N10&lt;=0),"",IF(LEN(F810)&lt;=N10,LEN(F810),IFERROR(FIND("♦",SUBSTITUTE(LEFT(F810,N10)," ","♦",LEN(LEFT(F810,N10))-LEN(SUBSTITUTE(LEFT(F810,N10)," ","")))),FIND(" ",F810&amp;" ",N10+1)-1)))</f>
        <v>1</v>
      </c>
      <c r="N810" s="686">
        <f t="shared" si="86"/>
        <v>793</v>
      </c>
      <c r="O810" s="663" t="str">
        <f t="shared" si="87"/>
        <v>0</v>
      </c>
      <c r="P810" s="686">
        <f t="shared" si="88"/>
        <v>1</v>
      </c>
      <c r="Q810" s="686">
        <f t="shared" si="89"/>
        <v>1</v>
      </c>
      <c r="DE810" s="494"/>
      <c r="DF810" s="496" t="s">
        <v>2686</v>
      </c>
      <c r="DG810" s="496" t="s">
        <v>8</v>
      </c>
      <c r="DH810" s="496" t="s">
        <v>689</v>
      </c>
      <c r="DI810" s="496" t="s">
        <v>2687</v>
      </c>
      <c r="DJ810" s="496" t="s">
        <v>2687</v>
      </c>
      <c r="DK810" s="496" t="s">
        <v>1554</v>
      </c>
      <c r="DL810" s="496" t="s">
        <v>1555</v>
      </c>
      <c r="DM810" s="496" t="s">
        <v>1981</v>
      </c>
      <c r="DN810" s="497" t="s">
        <v>1982</v>
      </c>
      <c r="DP810" s="543">
        <v>1</v>
      </c>
    </row>
    <row r="811" spans="2:120" ht="15">
      <c r="B811" s="683"/>
      <c r="C811" s="683"/>
      <c r="D811" s="683"/>
      <c r="E811" s="683" cm="1">
        <f t="array" ref="E811">IF(H810&lt;&gt;"",E810,IF(E810="","",IFERROR(MATCH(TRUE(),INDEX(INDEX(K:K,E810+1):K203&lt;&gt;"",0),0)+E810,"")))</f>
        <v>952</v>
      </c>
      <c r="F811" s="684" cm="1">
        <f t="array" ref="F811">IF(E811="","",IF(H810&lt;&gt;"",H810,INDEX(D:D,E811)))</f>
        <v>0</v>
      </c>
      <c r="G811" s="684" t="str">
        <f t="shared" si="84"/>
        <v>0</v>
      </c>
      <c r="H811" s="685" t="str">
        <f t="shared" si="85"/>
        <v/>
      </c>
      <c r="I811" s="683" t="str">
        <f>IF(AND(F811&lt;&gt;"",N10&gt;0,M811&gt;N10),"Mot &gt; limite","")</f>
        <v/>
      </c>
      <c r="M811" s="638">
        <f>IF(OR(F811="",N10="",N10&lt;=0),"",IF(LEN(F811)&lt;=N10,LEN(F811),IFERROR(FIND("♦",SUBSTITUTE(LEFT(F811,N10)," ","♦",LEN(LEFT(F811,N10))-LEN(SUBSTITUTE(LEFT(F811,N10)," ","")))),FIND(" ",F811&amp;" ",N10+1)-1)))</f>
        <v>1</v>
      </c>
      <c r="N811" s="686">
        <f t="shared" si="86"/>
        <v>794</v>
      </c>
      <c r="O811" s="663" t="str">
        <f t="shared" si="87"/>
        <v>0</v>
      </c>
      <c r="P811" s="686">
        <f t="shared" si="88"/>
        <v>1</v>
      </c>
      <c r="Q811" s="686">
        <f t="shared" si="89"/>
        <v>1</v>
      </c>
      <c r="DE811" s="494"/>
      <c r="DF811" s="496" t="s">
        <v>2688</v>
      </c>
      <c r="DG811" s="496" t="s">
        <v>8</v>
      </c>
      <c r="DH811" s="496" t="s">
        <v>689</v>
      </c>
      <c r="DI811" s="496" t="s">
        <v>2689</v>
      </c>
      <c r="DJ811" s="496" t="s">
        <v>2689</v>
      </c>
      <c r="DK811" s="496" t="s">
        <v>1554</v>
      </c>
      <c r="DL811" s="496" t="s">
        <v>1555</v>
      </c>
      <c r="DM811" s="496" t="s">
        <v>1981</v>
      </c>
      <c r="DN811" s="497" t="s">
        <v>1982</v>
      </c>
      <c r="DP811" s="543">
        <v>1</v>
      </c>
    </row>
    <row r="812" spans="2:120" ht="15">
      <c r="B812" s="683"/>
      <c r="C812" s="683"/>
      <c r="D812" s="683"/>
      <c r="E812" s="683" cm="1">
        <f t="array" ref="E812">IF(H811&lt;&gt;"",E811,IF(E811="","",IFERROR(MATCH(TRUE(),INDEX(INDEX(K:K,E811+1):K203&lt;&gt;"",0),0)+E811,"")))</f>
        <v>953</v>
      </c>
      <c r="F812" s="684" cm="1">
        <f t="array" ref="F812">IF(E812="","",IF(H811&lt;&gt;"",H811,INDEX(D:D,E812)))</f>
        <v>0</v>
      </c>
      <c r="G812" s="684" t="str">
        <f t="shared" si="84"/>
        <v>0</v>
      </c>
      <c r="H812" s="685" t="str">
        <f t="shared" si="85"/>
        <v/>
      </c>
      <c r="I812" s="683" t="str">
        <f>IF(AND(F812&lt;&gt;"",N10&gt;0,M812&gt;N10),"Mot &gt; limite","")</f>
        <v/>
      </c>
      <c r="M812" s="638">
        <f>IF(OR(F812="",N10="",N10&lt;=0),"",IF(LEN(F812)&lt;=N10,LEN(F812),IFERROR(FIND("♦",SUBSTITUTE(LEFT(F812,N10)," ","♦",LEN(LEFT(F812,N10))-LEN(SUBSTITUTE(LEFT(F812,N10)," ","")))),FIND(" ",F812&amp;" ",N10+1)-1)))</f>
        <v>1</v>
      </c>
      <c r="N812" s="686">
        <f t="shared" si="86"/>
        <v>795</v>
      </c>
      <c r="O812" s="663" t="str">
        <f t="shared" si="87"/>
        <v>0</v>
      </c>
      <c r="P812" s="686">
        <f t="shared" si="88"/>
        <v>1</v>
      </c>
      <c r="Q812" s="686">
        <f t="shared" si="89"/>
        <v>1</v>
      </c>
      <c r="DE812" s="494"/>
      <c r="DF812" s="496" t="s">
        <v>2690</v>
      </c>
      <c r="DG812" s="496" t="s">
        <v>8</v>
      </c>
      <c r="DH812" s="496" t="s">
        <v>689</v>
      </c>
      <c r="DI812" s="496" t="s">
        <v>2691</v>
      </c>
      <c r="DJ812" s="496" t="s">
        <v>2691</v>
      </c>
      <c r="DK812" s="496" t="s">
        <v>1554</v>
      </c>
      <c r="DL812" s="496" t="s">
        <v>1555</v>
      </c>
      <c r="DM812" s="496" t="s">
        <v>1981</v>
      </c>
      <c r="DN812" s="497" t="s">
        <v>1982</v>
      </c>
      <c r="DP812" s="543">
        <v>1</v>
      </c>
    </row>
    <row r="813" spans="2:120" ht="15">
      <c r="B813" s="683"/>
      <c r="C813" s="683"/>
      <c r="D813" s="683"/>
      <c r="E813" s="683" cm="1">
        <f t="array" ref="E813">IF(H812&lt;&gt;"",E812,IF(E812="","",IFERROR(MATCH(TRUE(),INDEX(INDEX(K:K,E812+1):K203&lt;&gt;"",0),0)+E812,"")))</f>
        <v>954</v>
      </c>
      <c r="F813" s="684" cm="1">
        <f t="array" ref="F813">IF(E813="","",IF(H812&lt;&gt;"",H812,INDEX(D:D,E813)))</f>
        <v>0</v>
      </c>
      <c r="G813" s="684" t="str">
        <f t="shared" si="84"/>
        <v>0</v>
      </c>
      <c r="H813" s="685" t="str">
        <f t="shared" si="85"/>
        <v/>
      </c>
      <c r="I813" s="683" t="str">
        <f>IF(AND(F813&lt;&gt;"",N10&gt;0,M813&gt;N10),"Mot &gt; limite","")</f>
        <v/>
      </c>
      <c r="M813" s="638">
        <f>IF(OR(F813="",N10="",N10&lt;=0),"",IF(LEN(F813)&lt;=N10,LEN(F813),IFERROR(FIND("♦",SUBSTITUTE(LEFT(F813,N10)," ","♦",LEN(LEFT(F813,N10))-LEN(SUBSTITUTE(LEFT(F813,N10)," ","")))),FIND(" ",F813&amp;" ",N10+1)-1)))</f>
        <v>1</v>
      </c>
      <c r="N813" s="686">
        <f t="shared" si="86"/>
        <v>796</v>
      </c>
      <c r="O813" s="663" t="str">
        <f t="shared" si="87"/>
        <v>0</v>
      </c>
      <c r="P813" s="686">
        <f t="shared" si="88"/>
        <v>1</v>
      </c>
      <c r="Q813" s="686">
        <f t="shared" si="89"/>
        <v>1</v>
      </c>
      <c r="DE813" s="494"/>
      <c r="DF813" s="496" t="s">
        <v>2692</v>
      </c>
      <c r="DG813" s="496" t="s">
        <v>8</v>
      </c>
      <c r="DH813" s="496" t="s">
        <v>689</v>
      </c>
      <c r="DI813" s="496" t="s">
        <v>2693</v>
      </c>
      <c r="DJ813" s="496" t="s">
        <v>2693</v>
      </c>
      <c r="DK813" s="496" t="s">
        <v>1554</v>
      </c>
      <c r="DL813" s="496" t="s">
        <v>1555</v>
      </c>
      <c r="DM813" s="496" t="s">
        <v>1981</v>
      </c>
      <c r="DN813" s="497" t="s">
        <v>1982</v>
      </c>
      <c r="DP813" s="543">
        <v>1</v>
      </c>
    </row>
    <row r="814" spans="2:120" ht="15">
      <c r="B814" s="683"/>
      <c r="C814" s="683"/>
      <c r="D814" s="683"/>
      <c r="E814" s="683" cm="1">
        <f t="array" ref="E814">IF(H813&lt;&gt;"",E813,IF(E813="","",IFERROR(MATCH(TRUE(),INDEX(INDEX(K:K,E813+1):K203&lt;&gt;"",0),0)+E813,"")))</f>
        <v>955</v>
      </c>
      <c r="F814" s="684" cm="1">
        <f t="array" ref="F814">IF(E814="","",IF(H813&lt;&gt;"",H813,INDEX(D:D,E814)))</f>
        <v>0</v>
      </c>
      <c r="G814" s="684" t="str">
        <f t="shared" si="84"/>
        <v>0</v>
      </c>
      <c r="H814" s="685" t="str">
        <f t="shared" si="85"/>
        <v/>
      </c>
      <c r="I814" s="683" t="str">
        <f>IF(AND(F814&lt;&gt;"",N10&gt;0,M814&gt;N10),"Mot &gt; limite","")</f>
        <v/>
      </c>
      <c r="M814" s="638">
        <f>IF(OR(F814="",N10="",N10&lt;=0),"",IF(LEN(F814)&lt;=N10,LEN(F814),IFERROR(FIND("♦",SUBSTITUTE(LEFT(F814,N10)," ","♦",LEN(LEFT(F814,N10))-LEN(SUBSTITUTE(LEFT(F814,N10)," ","")))),FIND(" ",F814&amp;" ",N10+1)-1)))</f>
        <v>1</v>
      </c>
      <c r="N814" s="686">
        <f t="shared" si="86"/>
        <v>797</v>
      </c>
      <c r="O814" s="663" t="str">
        <f t="shared" si="87"/>
        <v>0</v>
      </c>
      <c r="P814" s="686">
        <f t="shared" si="88"/>
        <v>1</v>
      </c>
      <c r="Q814" s="686">
        <f t="shared" si="89"/>
        <v>1</v>
      </c>
      <c r="DE814" s="494"/>
      <c r="DF814" s="496" t="s">
        <v>2694</v>
      </c>
      <c r="DG814" s="496" t="s">
        <v>8</v>
      </c>
      <c r="DH814" s="496" t="s">
        <v>689</v>
      </c>
      <c r="DI814" s="496" t="s">
        <v>2695</v>
      </c>
      <c r="DJ814" s="496" t="s">
        <v>2695</v>
      </c>
      <c r="DK814" s="496" t="s">
        <v>1554</v>
      </c>
      <c r="DL814" s="496" t="s">
        <v>1555</v>
      </c>
      <c r="DM814" s="496" t="s">
        <v>1981</v>
      </c>
      <c r="DN814" s="497" t="s">
        <v>1982</v>
      </c>
      <c r="DP814" s="543">
        <v>1</v>
      </c>
    </row>
    <row r="815" spans="2:120" ht="15">
      <c r="B815" s="683"/>
      <c r="C815" s="683"/>
      <c r="D815" s="683"/>
      <c r="E815" s="683" cm="1">
        <f t="array" ref="E815">IF(H814&lt;&gt;"",E814,IF(E814="","",IFERROR(MATCH(TRUE(),INDEX(INDEX(K:K,E814+1):K203&lt;&gt;"",0),0)+E814,"")))</f>
        <v>956</v>
      </c>
      <c r="F815" s="684" cm="1">
        <f t="array" ref="F815">IF(E815="","",IF(H814&lt;&gt;"",H814,INDEX(D:D,E815)))</f>
        <v>0</v>
      </c>
      <c r="G815" s="684" t="str">
        <f t="shared" si="84"/>
        <v>0</v>
      </c>
      <c r="H815" s="685" t="str">
        <f t="shared" si="85"/>
        <v/>
      </c>
      <c r="I815" s="683" t="str">
        <f>IF(AND(F815&lt;&gt;"",N10&gt;0,M815&gt;N10),"Mot &gt; limite","")</f>
        <v/>
      </c>
      <c r="M815" s="638">
        <f>IF(OR(F815="",N10="",N10&lt;=0),"",IF(LEN(F815)&lt;=N10,LEN(F815),IFERROR(FIND("♦",SUBSTITUTE(LEFT(F815,N10)," ","♦",LEN(LEFT(F815,N10))-LEN(SUBSTITUTE(LEFT(F815,N10)," ","")))),FIND(" ",F815&amp;" ",N10+1)-1)))</f>
        <v>1</v>
      </c>
      <c r="N815" s="686">
        <f t="shared" si="86"/>
        <v>798</v>
      </c>
      <c r="O815" s="663" t="str">
        <f t="shared" si="87"/>
        <v>0</v>
      </c>
      <c r="P815" s="686">
        <f t="shared" si="88"/>
        <v>1</v>
      </c>
      <c r="Q815" s="686">
        <f t="shared" si="89"/>
        <v>1</v>
      </c>
      <c r="DE815" s="494"/>
      <c r="DF815" s="496" t="s">
        <v>2696</v>
      </c>
      <c r="DG815" s="496" t="s">
        <v>8</v>
      </c>
      <c r="DH815" s="496" t="s">
        <v>689</v>
      </c>
      <c r="DI815" s="496" t="s">
        <v>2697</v>
      </c>
      <c r="DJ815" s="496" t="s">
        <v>2697</v>
      </c>
      <c r="DK815" s="496" t="s">
        <v>1554</v>
      </c>
      <c r="DL815" s="496" t="s">
        <v>1555</v>
      </c>
      <c r="DM815" s="496" t="s">
        <v>1981</v>
      </c>
      <c r="DN815" s="497" t="s">
        <v>1982</v>
      </c>
      <c r="DP815" s="543">
        <v>1</v>
      </c>
    </row>
    <row r="816" spans="2:120" ht="15">
      <c r="B816" s="683"/>
      <c r="C816" s="683"/>
      <c r="D816" s="683"/>
      <c r="E816" s="683" cm="1">
        <f t="array" ref="E816">IF(H815&lt;&gt;"",E815,IF(E815="","",IFERROR(MATCH(TRUE(),INDEX(INDEX(K:K,E815+1):K203&lt;&gt;"",0),0)+E815,"")))</f>
        <v>957</v>
      </c>
      <c r="F816" s="684" cm="1">
        <f t="array" ref="F816">IF(E816="","",IF(H815&lt;&gt;"",H815,INDEX(D:D,E816)))</f>
        <v>0</v>
      </c>
      <c r="G816" s="684" t="str">
        <f t="shared" si="84"/>
        <v>0</v>
      </c>
      <c r="H816" s="685" t="str">
        <f t="shared" si="85"/>
        <v/>
      </c>
      <c r="I816" s="683" t="str">
        <f>IF(AND(F816&lt;&gt;"",N10&gt;0,M816&gt;N10),"Mot &gt; limite","")</f>
        <v/>
      </c>
      <c r="M816" s="638">
        <f>IF(OR(F816="",N10="",N10&lt;=0),"",IF(LEN(F816)&lt;=N10,LEN(F816),IFERROR(FIND("♦",SUBSTITUTE(LEFT(F816,N10)," ","♦",LEN(LEFT(F816,N10))-LEN(SUBSTITUTE(LEFT(F816,N10)," ","")))),FIND(" ",F816&amp;" ",N10+1)-1)))</f>
        <v>1</v>
      </c>
      <c r="N816" s="686">
        <f t="shared" si="86"/>
        <v>799</v>
      </c>
      <c r="O816" s="663" t="str">
        <f t="shared" si="87"/>
        <v>0</v>
      </c>
      <c r="P816" s="686">
        <f t="shared" si="88"/>
        <v>1</v>
      </c>
      <c r="Q816" s="686">
        <f t="shared" si="89"/>
        <v>1</v>
      </c>
      <c r="DE816" s="494"/>
      <c r="DF816" s="496" t="s">
        <v>2698</v>
      </c>
      <c r="DG816" s="496" t="s">
        <v>8</v>
      </c>
      <c r="DH816" s="496" t="s">
        <v>689</v>
      </c>
      <c r="DI816" s="496" t="s">
        <v>358</v>
      </c>
      <c r="DJ816" s="496" t="s">
        <v>358</v>
      </c>
      <c r="DK816" s="496" t="s">
        <v>1554</v>
      </c>
      <c r="DL816" s="496" t="s">
        <v>1555</v>
      </c>
      <c r="DM816" s="496" t="s">
        <v>1981</v>
      </c>
      <c r="DN816" s="497" t="s">
        <v>1982</v>
      </c>
      <c r="DP816" s="543">
        <v>1</v>
      </c>
    </row>
    <row r="817" spans="2:120" ht="15">
      <c r="B817" s="683"/>
      <c r="C817" s="683"/>
      <c r="D817" s="683"/>
      <c r="E817" s="683" cm="1">
        <f t="array" ref="E817">IF(H816&lt;&gt;"",E816,IF(E816="","",IFERROR(MATCH(TRUE(),INDEX(INDEX(K:K,E816+1):K203&lt;&gt;"",0),0)+E816,"")))</f>
        <v>958</v>
      </c>
      <c r="F817" s="684" cm="1">
        <f t="array" ref="F817">IF(E817="","",IF(H816&lt;&gt;"",H816,INDEX(D:D,E817)))</f>
        <v>0</v>
      </c>
      <c r="G817" s="684" t="str">
        <f t="shared" si="84"/>
        <v>0</v>
      </c>
      <c r="H817" s="685" t="str">
        <f t="shared" si="85"/>
        <v/>
      </c>
      <c r="I817" s="683" t="str">
        <f>IF(AND(F817&lt;&gt;"",N10&gt;0,M817&gt;N10),"Mot &gt; limite","")</f>
        <v/>
      </c>
      <c r="M817" s="638">
        <f>IF(OR(F817="",N10="",N10&lt;=0),"",IF(LEN(F817)&lt;=N10,LEN(F817),IFERROR(FIND("♦",SUBSTITUTE(LEFT(F817,N10)," ","♦",LEN(LEFT(F817,N10))-LEN(SUBSTITUTE(LEFT(F817,N10)," ","")))),FIND(" ",F817&amp;" ",N10+1)-1)))</f>
        <v>1</v>
      </c>
      <c r="N817" s="686">
        <f t="shared" si="86"/>
        <v>800</v>
      </c>
      <c r="O817" s="663" t="str">
        <f t="shared" si="87"/>
        <v>0</v>
      </c>
      <c r="P817" s="686">
        <f t="shared" si="88"/>
        <v>1</v>
      </c>
      <c r="Q817" s="686">
        <f t="shared" si="89"/>
        <v>1</v>
      </c>
      <c r="DE817" s="494"/>
      <c r="DF817" s="496" t="s">
        <v>2699</v>
      </c>
      <c r="DG817" s="496" t="s">
        <v>8</v>
      </c>
      <c r="DH817" s="496" t="s">
        <v>689</v>
      </c>
      <c r="DI817" s="496" t="s">
        <v>2700</v>
      </c>
      <c r="DJ817" s="496" t="s">
        <v>2700</v>
      </c>
      <c r="DK817" s="496" t="s">
        <v>1151</v>
      </c>
      <c r="DL817" s="496" t="s">
        <v>1152</v>
      </c>
      <c r="DM817" s="496" t="s">
        <v>1087</v>
      </c>
      <c r="DN817" s="497" t="s">
        <v>1153</v>
      </c>
      <c r="DP817" s="543">
        <v>1</v>
      </c>
    </row>
    <row r="818" spans="2:120" ht="15">
      <c r="B818" s="683"/>
      <c r="C818" s="683"/>
      <c r="D818" s="683"/>
      <c r="E818" s="683" cm="1">
        <f t="array" ref="E818">IF(H817&lt;&gt;"",E817,IF(E817="","",IFERROR(MATCH(TRUE(),INDEX(INDEX(K:K,E817+1):K203&lt;&gt;"",0),0)+E817,"")))</f>
        <v>959</v>
      </c>
      <c r="F818" s="684" cm="1">
        <f t="array" ref="F818">IF(E818="","",IF(H817&lt;&gt;"",H817,INDEX(D:D,E818)))</f>
        <v>0</v>
      </c>
      <c r="G818" s="684" t="str">
        <f t="shared" si="84"/>
        <v>0</v>
      </c>
      <c r="H818" s="685" t="str">
        <f t="shared" si="85"/>
        <v/>
      </c>
      <c r="I818" s="683" t="str">
        <f>IF(AND(F818&lt;&gt;"",N10&gt;0,M818&gt;N10),"Mot &gt; limite","")</f>
        <v/>
      </c>
      <c r="M818" s="638">
        <f>IF(OR(F818="",N10="",N10&lt;=0),"",IF(LEN(F818)&lt;=N10,LEN(F818),IFERROR(FIND("♦",SUBSTITUTE(LEFT(F818,N10)," ","♦",LEN(LEFT(F818,N10))-LEN(SUBSTITUTE(LEFT(F818,N10)," ","")))),FIND(" ",F818&amp;" ",N10+1)-1)))</f>
        <v>1</v>
      </c>
      <c r="N818" s="686">
        <f t="shared" si="86"/>
        <v>801</v>
      </c>
      <c r="O818" s="663" t="str">
        <f t="shared" si="87"/>
        <v>0</v>
      </c>
      <c r="P818" s="686">
        <f t="shared" si="88"/>
        <v>1</v>
      </c>
      <c r="Q818" s="686">
        <f t="shared" si="89"/>
        <v>1</v>
      </c>
      <c r="DE818" s="494"/>
      <c r="DF818" s="496" t="s">
        <v>2701</v>
      </c>
      <c r="DG818" s="496" t="s">
        <v>8</v>
      </c>
      <c r="DH818" s="496" t="s">
        <v>689</v>
      </c>
      <c r="DI818" s="496" t="s">
        <v>2702</v>
      </c>
      <c r="DJ818" s="496" t="s">
        <v>2702</v>
      </c>
      <c r="DK818" s="496" t="s">
        <v>1151</v>
      </c>
      <c r="DL818" s="496" t="s">
        <v>1152</v>
      </c>
      <c r="DM818" s="496" t="s">
        <v>1087</v>
      </c>
      <c r="DN818" s="497" t="s">
        <v>1153</v>
      </c>
      <c r="DP818" s="543">
        <v>1</v>
      </c>
    </row>
    <row r="819" spans="2:120" ht="15">
      <c r="B819" s="683"/>
      <c r="C819" s="683"/>
      <c r="D819" s="683"/>
      <c r="E819" s="683" cm="1">
        <f t="array" ref="E819">IF(H818&lt;&gt;"",E818,IF(E818="","",IFERROR(MATCH(TRUE(),INDEX(INDEX(K:K,E818+1):K203&lt;&gt;"",0),0)+E818,"")))</f>
        <v>960</v>
      </c>
      <c r="F819" s="684" cm="1">
        <f t="array" ref="F819">IF(E819="","",IF(H818&lt;&gt;"",H818,INDEX(D:D,E819)))</f>
        <v>0</v>
      </c>
      <c r="G819" s="684" t="str">
        <f t="shared" si="84"/>
        <v>0</v>
      </c>
      <c r="H819" s="685" t="str">
        <f t="shared" si="85"/>
        <v/>
      </c>
      <c r="I819" s="683" t="str">
        <f>IF(AND(F819&lt;&gt;"",N10&gt;0,M819&gt;N10),"Mot &gt; limite","")</f>
        <v/>
      </c>
      <c r="M819" s="638">
        <f>IF(OR(F819="",N10="",N10&lt;=0),"",IF(LEN(F819)&lt;=N10,LEN(F819),IFERROR(FIND("♦",SUBSTITUTE(LEFT(F819,N10)," ","♦",LEN(LEFT(F819,N10))-LEN(SUBSTITUTE(LEFT(F819,N10)," ","")))),FIND(" ",F819&amp;" ",N10+1)-1)))</f>
        <v>1</v>
      </c>
      <c r="N819" s="686">
        <f t="shared" si="86"/>
        <v>802</v>
      </c>
      <c r="O819" s="663" t="str">
        <f t="shared" si="87"/>
        <v>0</v>
      </c>
      <c r="P819" s="686">
        <f t="shared" si="88"/>
        <v>1</v>
      </c>
      <c r="Q819" s="686">
        <f t="shared" si="89"/>
        <v>1</v>
      </c>
      <c r="DE819" s="494"/>
      <c r="DF819" s="496" t="s">
        <v>2703</v>
      </c>
      <c r="DG819" s="496" t="s">
        <v>8</v>
      </c>
      <c r="DH819" s="496" t="s">
        <v>689</v>
      </c>
      <c r="DI819" s="496" t="s">
        <v>359</v>
      </c>
      <c r="DJ819" s="496" t="s">
        <v>359</v>
      </c>
      <c r="DK819" s="496" t="s">
        <v>1554</v>
      </c>
      <c r="DL819" s="496" t="s">
        <v>1555</v>
      </c>
      <c r="DM819" s="496" t="s">
        <v>1981</v>
      </c>
      <c r="DN819" s="497" t="s">
        <v>1982</v>
      </c>
      <c r="DP819" s="543">
        <v>1</v>
      </c>
    </row>
    <row r="820" spans="2:120" ht="15">
      <c r="B820" s="683"/>
      <c r="C820" s="683"/>
      <c r="D820" s="683"/>
      <c r="E820" s="683" cm="1">
        <f t="array" ref="E820">IF(H819&lt;&gt;"",E819,IF(E819="","",IFERROR(MATCH(TRUE(),INDEX(INDEX(K:K,E819+1):K203&lt;&gt;"",0),0)+E819,"")))</f>
        <v>961</v>
      </c>
      <c r="F820" s="684" cm="1">
        <f t="array" ref="F820">IF(E820="","",IF(H819&lt;&gt;"",H819,INDEX(D:D,E820)))</f>
        <v>0</v>
      </c>
      <c r="G820" s="684" t="str">
        <f t="shared" si="84"/>
        <v>0</v>
      </c>
      <c r="H820" s="685" t="str">
        <f t="shared" si="85"/>
        <v/>
      </c>
      <c r="I820" s="683" t="str">
        <f>IF(AND(F820&lt;&gt;"",N10&gt;0,M820&gt;N10),"Mot &gt; limite","")</f>
        <v/>
      </c>
      <c r="M820" s="638">
        <f>IF(OR(F820="",N10="",N10&lt;=0),"",IF(LEN(F820)&lt;=N10,LEN(F820),IFERROR(FIND("♦",SUBSTITUTE(LEFT(F820,N10)," ","♦",LEN(LEFT(F820,N10))-LEN(SUBSTITUTE(LEFT(F820,N10)," ","")))),FIND(" ",F820&amp;" ",N10+1)-1)))</f>
        <v>1</v>
      </c>
      <c r="N820" s="686">
        <f t="shared" si="86"/>
        <v>803</v>
      </c>
      <c r="O820" s="663" t="str">
        <f t="shared" si="87"/>
        <v>0</v>
      </c>
      <c r="P820" s="686">
        <f t="shared" si="88"/>
        <v>1</v>
      </c>
      <c r="Q820" s="686">
        <f t="shared" si="89"/>
        <v>1</v>
      </c>
      <c r="DE820" s="494"/>
      <c r="DF820" s="496" t="s">
        <v>2704</v>
      </c>
      <c r="DG820" s="496" t="s">
        <v>8</v>
      </c>
      <c r="DH820" s="496" t="s">
        <v>689</v>
      </c>
      <c r="DI820" s="496" t="s">
        <v>2705</v>
      </c>
      <c r="DJ820" s="496" t="s">
        <v>2705</v>
      </c>
      <c r="DK820" s="496" t="s">
        <v>1554</v>
      </c>
      <c r="DL820" s="496" t="s">
        <v>1555</v>
      </c>
      <c r="DM820" s="496" t="s">
        <v>1981</v>
      </c>
      <c r="DN820" s="497" t="s">
        <v>1982</v>
      </c>
      <c r="DP820" s="543">
        <v>1</v>
      </c>
    </row>
    <row r="821" spans="2:120" ht="15">
      <c r="B821" s="683"/>
      <c r="C821" s="683"/>
      <c r="D821" s="683"/>
      <c r="E821" s="683" cm="1">
        <f t="array" ref="E821">IF(H820&lt;&gt;"",E820,IF(E820="","",IFERROR(MATCH(TRUE(),INDEX(INDEX(K:K,E820+1):K203&lt;&gt;"",0),0)+E820,"")))</f>
        <v>962</v>
      </c>
      <c r="F821" s="684" cm="1">
        <f t="array" ref="F821">IF(E821="","",IF(H820&lt;&gt;"",H820,INDEX(D:D,E821)))</f>
        <v>0</v>
      </c>
      <c r="G821" s="684" t="str">
        <f t="shared" si="84"/>
        <v>0</v>
      </c>
      <c r="H821" s="685" t="str">
        <f t="shared" si="85"/>
        <v/>
      </c>
      <c r="I821" s="683" t="str">
        <f>IF(AND(F821&lt;&gt;"",N10&gt;0,M821&gt;N10),"Mot &gt; limite","")</f>
        <v/>
      </c>
      <c r="M821" s="638">
        <f>IF(OR(F821="",N10="",N10&lt;=0),"",IF(LEN(F821)&lt;=N10,LEN(F821),IFERROR(FIND("♦",SUBSTITUTE(LEFT(F821,N10)," ","♦",LEN(LEFT(F821,N10))-LEN(SUBSTITUTE(LEFT(F821,N10)," ","")))),FIND(" ",F821&amp;" ",N10+1)-1)))</f>
        <v>1</v>
      </c>
      <c r="N821" s="686">
        <f t="shared" si="86"/>
        <v>804</v>
      </c>
      <c r="O821" s="663" t="str">
        <f t="shared" si="87"/>
        <v>0</v>
      </c>
      <c r="P821" s="686">
        <f t="shared" si="88"/>
        <v>1</v>
      </c>
      <c r="Q821" s="686">
        <f t="shared" si="89"/>
        <v>1</v>
      </c>
      <c r="DE821" s="494"/>
      <c r="DF821" s="496" t="s">
        <v>2706</v>
      </c>
      <c r="DG821" s="496" t="s">
        <v>8</v>
      </c>
      <c r="DH821" s="496" t="s">
        <v>689</v>
      </c>
      <c r="DI821" s="496" t="s">
        <v>2707</v>
      </c>
      <c r="DJ821" s="496" t="s">
        <v>2707</v>
      </c>
      <c r="DK821" s="496" t="s">
        <v>1554</v>
      </c>
      <c r="DL821" s="496" t="s">
        <v>1555</v>
      </c>
      <c r="DM821" s="496" t="s">
        <v>1981</v>
      </c>
      <c r="DN821" s="497" t="s">
        <v>1982</v>
      </c>
      <c r="DP821" s="543">
        <v>1</v>
      </c>
    </row>
    <row r="822" spans="2:120" ht="15">
      <c r="B822" s="683"/>
      <c r="C822" s="683"/>
      <c r="D822" s="683"/>
      <c r="E822" s="683" cm="1">
        <f t="array" ref="E822">IF(H821&lt;&gt;"",E821,IF(E821="","",IFERROR(MATCH(TRUE(),INDEX(INDEX(K:K,E821+1):K203&lt;&gt;"",0),0)+E821,"")))</f>
        <v>963</v>
      </c>
      <c r="F822" s="684" cm="1">
        <f t="array" ref="F822">IF(E822="","",IF(H821&lt;&gt;"",H821,INDEX(D:D,E822)))</f>
        <v>0</v>
      </c>
      <c r="G822" s="684" t="str">
        <f t="shared" si="84"/>
        <v>0</v>
      </c>
      <c r="H822" s="685" t="str">
        <f t="shared" si="85"/>
        <v/>
      </c>
      <c r="I822" s="683" t="str">
        <f>IF(AND(F822&lt;&gt;"",N10&gt;0,M822&gt;N10),"Mot &gt; limite","")</f>
        <v/>
      </c>
      <c r="M822" s="638">
        <f>IF(OR(F822="",N10="",N10&lt;=0),"",IF(LEN(F822)&lt;=N10,LEN(F822),IFERROR(FIND("♦",SUBSTITUTE(LEFT(F822,N10)," ","♦",LEN(LEFT(F822,N10))-LEN(SUBSTITUTE(LEFT(F822,N10)," ","")))),FIND(" ",F822&amp;" ",N10+1)-1)))</f>
        <v>1</v>
      </c>
      <c r="N822" s="686">
        <f t="shared" si="86"/>
        <v>805</v>
      </c>
      <c r="O822" s="663" t="str">
        <f t="shared" si="87"/>
        <v>0</v>
      </c>
      <c r="P822" s="686">
        <f t="shared" si="88"/>
        <v>1</v>
      </c>
      <c r="Q822" s="686">
        <f t="shared" si="89"/>
        <v>1</v>
      </c>
      <c r="DE822" s="494"/>
      <c r="DF822" s="496" t="s">
        <v>2708</v>
      </c>
      <c r="DG822" s="496" t="s">
        <v>8</v>
      </c>
      <c r="DH822" s="496" t="s">
        <v>689</v>
      </c>
      <c r="DI822" s="496" t="s">
        <v>2709</v>
      </c>
      <c r="DJ822" s="496" t="s">
        <v>2709</v>
      </c>
      <c r="DK822" s="496" t="s">
        <v>1554</v>
      </c>
      <c r="DL822" s="496" t="s">
        <v>1555</v>
      </c>
      <c r="DM822" s="496" t="s">
        <v>1981</v>
      </c>
      <c r="DN822" s="497" t="s">
        <v>1982</v>
      </c>
      <c r="DP822" s="543">
        <v>1</v>
      </c>
    </row>
    <row r="823" spans="2:120" ht="15">
      <c r="B823" s="683"/>
      <c r="C823" s="683"/>
      <c r="D823" s="683"/>
      <c r="E823" s="683" cm="1">
        <f t="array" ref="E823">IF(H822&lt;&gt;"",E822,IF(E822="","",IFERROR(MATCH(TRUE(),INDEX(INDEX(K:K,E822+1):K203&lt;&gt;"",0),0)+E822,"")))</f>
        <v>964</v>
      </c>
      <c r="F823" s="684" cm="1">
        <f t="array" ref="F823">IF(E823="","",IF(H822&lt;&gt;"",H822,INDEX(D:D,E823)))</f>
        <v>0</v>
      </c>
      <c r="G823" s="684" t="str">
        <f t="shared" si="84"/>
        <v>0</v>
      </c>
      <c r="H823" s="685" t="str">
        <f t="shared" si="85"/>
        <v/>
      </c>
      <c r="I823" s="683" t="str">
        <f>IF(AND(F823&lt;&gt;"",N10&gt;0,M823&gt;N10),"Mot &gt; limite","")</f>
        <v/>
      </c>
      <c r="M823" s="638">
        <f>IF(OR(F823="",N10="",N10&lt;=0),"",IF(LEN(F823)&lt;=N10,LEN(F823),IFERROR(FIND("♦",SUBSTITUTE(LEFT(F823,N10)," ","♦",LEN(LEFT(F823,N10))-LEN(SUBSTITUTE(LEFT(F823,N10)," ","")))),FIND(" ",F823&amp;" ",N10+1)-1)))</f>
        <v>1</v>
      </c>
      <c r="N823" s="686">
        <f t="shared" si="86"/>
        <v>806</v>
      </c>
      <c r="O823" s="663" t="str">
        <f t="shared" si="87"/>
        <v>0</v>
      </c>
      <c r="P823" s="686">
        <f t="shared" si="88"/>
        <v>1</v>
      </c>
      <c r="Q823" s="686">
        <f t="shared" si="89"/>
        <v>1</v>
      </c>
      <c r="DE823" s="494"/>
      <c r="DF823" s="496" t="s">
        <v>2710</v>
      </c>
      <c r="DG823" s="496" t="s">
        <v>8</v>
      </c>
      <c r="DH823" s="496" t="s">
        <v>689</v>
      </c>
      <c r="DI823" s="496" t="s">
        <v>2711</v>
      </c>
      <c r="DJ823" s="496" t="s">
        <v>2711</v>
      </c>
      <c r="DK823" s="496" t="s">
        <v>1554</v>
      </c>
      <c r="DL823" s="496" t="s">
        <v>1555</v>
      </c>
      <c r="DM823" s="496" t="s">
        <v>1981</v>
      </c>
      <c r="DN823" s="497" t="s">
        <v>1982</v>
      </c>
      <c r="DP823" s="543">
        <v>1</v>
      </c>
    </row>
    <row r="824" spans="2:120" ht="15">
      <c r="B824" s="683"/>
      <c r="C824" s="683"/>
      <c r="D824" s="683"/>
      <c r="E824" s="683" cm="1">
        <f t="array" ref="E824">IF(H823&lt;&gt;"",E823,IF(E823="","",IFERROR(MATCH(TRUE(),INDEX(INDEX(K:K,E823+1):K203&lt;&gt;"",0),0)+E823,"")))</f>
        <v>965</v>
      </c>
      <c r="F824" s="684" cm="1">
        <f t="array" ref="F824">IF(E824="","",IF(H823&lt;&gt;"",H823,INDEX(D:D,E824)))</f>
        <v>0</v>
      </c>
      <c r="G824" s="684" t="str">
        <f t="shared" si="84"/>
        <v>0</v>
      </c>
      <c r="H824" s="685" t="str">
        <f t="shared" si="85"/>
        <v/>
      </c>
      <c r="I824" s="683" t="str">
        <f>IF(AND(F824&lt;&gt;"",N10&gt;0,M824&gt;N10),"Mot &gt; limite","")</f>
        <v/>
      </c>
      <c r="M824" s="638">
        <f>IF(OR(F824="",N10="",N10&lt;=0),"",IF(LEN(F824)&lt;=N10,LEN(F824),IFERROR(FIND("♦",SUBSTITUTE(LEFT(F824,N10)," ","♦",LEN(LEFT(F824,N10))-LEN(SUBSTITUTE(LEFT(F824,N10)," ","")))),FIND(" ",F824&amp;" ",N10+1)-1)))</f>
        <v>1</v>
      </c>
      <c r="N824" s="686">
        <f t="shared" si="86"/>
        <v>807</v>
      </c>
      <c r="O824" s="663" t="str">
        <f t="shared" si="87"/>
        <v>0</v>
      </c>
      <c r="P824" s="686">
        <f t="shared" si="88"/>
        <v>1</v>
      </c>
      <c r="Q824" s="686">
        <f t="shared" si="89"/>
        <v>1</v>
      </c>
      <c r="DE824" s="494"/>
      <c r="DF824" s="496" t="s">
        <v>2712</v>
      </c>
      <c r="DG824" s="496" t="s">
        <v>8</v>
      </c>
      <c r="DH824" s="496" t="s">
        <v>689</v>
      </c>
      <c r="DI824" s="496" t="s">
        <v>2713</v>
      </c>
      <c r="DJ824" s="496" t="s">
        <v>2713</v>
      </c>
      <c r="DK824" s="496" t="s">
        <v>1554</v>
      </c>
      <c r="DL824" s="496" t="s">
        <v>1555</v>
      </c>
      <c r="DM824" s="496" t="s">
        <v>1981</v>
      </c>
      <c r="DN824" s="497" t="s">
        <v>1982</v>
      </c>
      <c r="DP824" s="543">
        <v>1</v>
      </c>
    </row>
    <row r="825" spans="2:120" ht="15">
      <c r="B825" s="683"/>
      <c r="C825" s="683"/>
      <c r="D825" s="683"/>
      <c r="E825" s="683" cm="1">
        <f t="array" ref="E825">IF(H824&lt;&gt;"",E824,IF(E824="","",IFERROR(MATCH(TRUE(),INDEX(INDEX(K:K,E824+1):K203&lt;&gt;"",0),0)+E824,"")))</f>
        <v>966</v>
      </c>
      <c r="F825" s="684" cm="1">
        <f t="array" ref="F825">IF(E825="","",IF(H824&lt;&gt;"",H824,INDEX(D:D,E825)))</f>
        <v>0</v>
      </c>
      <c r="G825" s="684" t="str">
        <f t="shared" si="84"/>
        <v>0</v>
      </c>
      <c r="H825" s="685" t="str">
        <f t="shared" si="85"/>
        <v/>
      </c>
      <c r="I825" s="683" t="str">
        <f>IF(AND(F825&lt;&gt;"",N10&gt;0,M825&gt;N10),"Mot &gt; limite","")</f>
        <v/>
      </c>
      <c r="M825" s="638">
        <f>IF(OR(F825="",N10="",N10&lt;=0),"",IF(LEN(F825)&lt;=N10,LEN(F825),IFERROR(FIND("♦",SUBSTITUTE(LEFT(F825,N10)," ","♦",LEN(LEFT(F825,N10))-LEN(SUBSTITUTE(LEFT(F825,N10)," ","")))),FIND(" ",F825&amp;" ",N10+1)-1)))</f>
        <v>1</v>
      </c>
      <c r="N825" s="686">
        <f t="shared" si="86"/>
        <v>808</v>
      </c>
      <c r="O825" s="663" t="str">
        <f t="shared" si="87"/>
        <v>0</v>
      </c>
      <c r="P825" s="686">
        <f t="shared" si="88"/>
        <v>1</v>
      </c>
      <c r="Q825" s="686">
        <f t="shared" si="89"/>
        <v>1</v>
      </c>
      <c r="DE825" s="494"/>
      <c r="DF825" s="496" t="s">
        <v>2714</v>
      </c>
      <c r="DG825" s="496" t="s">
        <v>8</v>
      </c>
      <c r="DH825" s="496" t="s">
        <v>689</v>
      </c>
      <c r="DI825" s="496" t="s">
        <v>2715</v>
      </c>
      <c r="DJ825" s="496" t="s">
        <v>2715</v>
      </c>
      <c r="DK825" s="496" t="s">
        <v>1554</v>
      </c>
      <c r="DL825" s="496" t="s">
        <v>1555</v>
      </c>
      <c r="DM825" s="496" t="s">
        <v>1981</v>
      </c>
      <c r="DN825" s="497" t="s">
        <v>1982</v>
      </c>
      <c r="DP825" s="543">
        <v>1</v>
      </c>
    </row>
    <row r="826" spans="2:120" ht="15">
      <c r="B826" s="683"/>
      <c r="C826" s="683"/>
      <c r="D826" s="683"/>
      <c r="E826" s="683" cm="1">
        <f t="array" ref="E826">IF(H825&lt;&gt;"",E825,IF(E825="","",IFERROR(MATCH(TRUE(),INDEX(INDEX(K:K,E825+1):K203&lt;&gt;"",0),0)+E825,"")))</f>
        <v>967</v>
      </c>
      <c r="F826" s="684" cm="1">
        <f t="array" ref="F826">IF(E826="","",IF(H825&lt;&gt;"",H825,INDEX(D:D,E826)))</f>
        <v>0</v>
      </c>
      <c r="G826" s="684" t="str">
        <f t="shared" si="84"/>
        <v>0</v>
      </c>
      <c r="H826" s="685" t="str">
        <f t="shared" si="85"/>
        <v/>
      </c>
      <c r="I826" s="683" t="str">
        <f>IF(AND(F826&lt;&gt;"",N10&gt;0,M826&gt;N10),"Mot &gt; limite","")</f>
        <v/>
      </c>
      <c r="M826" s="638">
        <f>IF(OR(F826="",N10="",N10&lt;=0),"",IF(LEN(F826)&lt;=N10,LEN(F826),IFERROR(FIND("♦",SUBSTITUTE(LEFT(F826,N10)," ","♦",LEN(LEFT(F826,N10))-LEN(SUBSTITUTE(LEFT(F826,N10)," ","")))),FIND(" ",F826&amp;" ",N10+1)-1)))</f>
        <v>1</v>
      </c>
      <c r="N826" s="686">
        <f t="shared" si="86"/>
        <v>809</v>
      </c>
      <c r="O826" s="663" t="str">
        <f t="shared" si="87"/>
        <v>0</v>
      </c>
      <c r="P826" s="686">
        <f t="shared" si="88"/>
        <v>1</v>
      </c>
      <c r="Q826" s="686">
        <f t="shared" si="89"/>
        <v>1</v>
      </c>
      <c r="DE826" s="494"/>
      <c r="DF826" s="496" t="s">
        <v>2716</v>
      </c>
      <c r="DG826" s="496" t="s">
        <v>8</v>
      </c>
      <c r="DH826" s="496" t="s">
        <v>689</v>
      </c>
      <c r="DI826" s="496" t="s">
        <v>2717</v>
      </c>
      <c r="DJ826" s="496" t="s">
        <v>2717</v>
      </c>
      <c r="DK826" s="496" t="s">
        <v>1554</v>
      </c>
      <c r="DL826" s="496" t="s">
        <v>1555</v>
      </c>
      <c r="DM826" s="496" t="s">
        <v>1981</v>
      </c>
      <c r="DN826" s="497" t="s">
        <v>1982</v>
      </c>
      <c r="DP826" s="543">
        <v>1</v>
      </c>
    </row>
    <row r="827" spans="2:120" ht="15">
      <c r="B827" s="683"/>
      <c r="C827" s="683"/>
      <c r="D827" s="683"/>
      <c r="E827" s="683" cm="1">
        <f t="array" ref="E827">IF(H826&lt;&gt;"",E826,IF(E826="","",IFERROR(MATCH(TRUE(),INDEX(INDEX(K:K,E826+1):K203&lt;&gt;"",0),0)+E826,"")))</f>
        <v>968</v>
      </c>
      <c r="F827" s="684" cm="1">
        <f t="array" ref="F827">IF(E827="","",IF(H826&lt;&gt;"",H826,INDEX(D:D,E827)))</f>
        <v>0</v>
      </c>
      <c r="G827" s="684" t="str">
        <f t="shared" si="84"/>
        <v>0</v>
      </c>
      <c r="H827" s="685" t="str">
        <f t="shared" si="85"/>
        <v/>
      </c>
      <c r="I827" s="683" t="str">
        <f>IF(AND(F827&lt;&gt;"",N10&gt;0,M827&gt;N10),"Mot &gt; limite","")</f>
        <v/>
      </c>
      <c r="M827" s="638">
        <f>IF(OR(F827="",N10="",N10&lt;=0),"",IF(LEN(F827)&lt;=N10,LEN(F827),IFERROR(FIND("♦",SUBSTITUTE(LEFT(F827,N10)," ","♦",LEN(LEFT(F827,N10))-LEN(SUBSTITUTE(LEFT(F827,N10)," ","")))),FIND(" ",F827&amp;" ",N10+1)-1)))</f>
        <v>1</v>
      </c>
      <c r="N827" s="686">
        <f t="shared" si="86"/>
        <v>810</v>
      </c>
      <c r="O827" s="663" t="str">
        <f t="shared" si="87"/>
        <v>0</v>
      </c>
      <c r="P827" s="686">
        <f t="shared" si="88"/>
        <v>1</v>
      </c>
      <c r="Q827" s="686">
        <f t="shared" si="89"/>
        <v>1</v>
      </c>
      <c r="DE827" s="494"/>
      <c r="DF827" s="496" t="s">
        <v>2718</v>
      </c>
      <c r="DG827" s="496" t="s">
        <v>8</v>
      </c>
      <c r="DH827" s="496" t="s">
        <v>689</v>
      </c>
      <c r="DI827" s="496" t="s">
        <v>2719</v>
      </c>
      <c r="DJ827" s="496" t="s">
        <v>2719</v>
      </c>
      <c r="DK827" s="496" t="s">
        <v>1085</v>
      </c>
      <c r="DL827" s="496" t="s">
        <v>2063</v>
      </c>
      <c r="DM827" s="496" t="s">
        <v>1087</v>
      </c>
      <c r="DN827" s="497" t="s">
        <v>1088</v>
      </c>
      <c r="DP827" s="543">
        <v>1</v>
      </c>
    </row>
    <row r="828" spans="2:120" ht="15">
      <c r="B828" s="683"/>
      <c r="C828" s="683"/>
      <c r="D828" s="683"/>
      <c r="E828" s="683" cm="1">
        <f t="array" ref="E828">IF(H827&lt;&gt;"",E827,IF(E827="","",IFERROR(MATCH(TRUE(),INDEX(INDEX(K:K,E827+1):K203&lt;&gt;"",0),0)+E827,"")))</f>
        <v>969</v>
      </c>
      <c r="F828" s="684" cm="1">
        <f t="array" ref="F828">IF(E828="","",IF(H827&lt;&gt;"",H827,INDEX(D:D,E828)))</f>
        <v>0</v>
      </c>
      <c r="G828" s="684" t="str">
        <f t="shared" si="84"/>
        <v>0</v>
      </c>
      <c r="H828" s="685" t="str">
        <f t="shared" si="85"/>
        <v/>
      </c>
      <c r="I828" s="683" t="str">
        <f>IF(AND(F828&lt;&gt;"",N10&gt;0,M828&gt;N10),"Mot &gt; limite","")</f>
        <v/>
      </c>
      <c r="M828" s="638">
        <f>IF(OR(F828="",N10="",N10&lt;=0),"",IF(LEN(F828)&lt;=N10,LEN(F828),IFERROR(FIND("♦",SUBSTITUTE(LEFT(F828,N10)," ","♦",LEN(LEFT(F828,N10))-LEN(SUBSTITUTE(LEFT(F828,N10)," ","")))),FIND(" ",F828&amp;" ",N10+1)-1)))</f>
        <v>1</v>
      </c>
      <c r="N828" s="686">
        <f t="shared" si="86"/>
        <v>811</v>
      </c>
      <c r="O828" s="663" t="str">
        <f t="shared" si="87"/>
        <v>0</v>
      </c>
      <c r="P828" s="686">
        <f t="shared" si="88"/>
        <v>1</v>
      </c>
      <c r="Q828" s="686">
        <f t="shared" si="89"/>
        <v>1</v>
      </c>
      <c r="DE828" s="494"/>
      <c r="DF828" s="496" t="s">
        <v>2720</v>
      </c>
      <c r="DG828" s="496" t="s">
        <v>8</v>
      </c>
      <c r="DH828" s="496" t="s">
        <v>689</v>
      </c>
      <c r="DI828" s="496" t="s">
        <v>1032</v>
      </c>
      <c r="DJ828" s="496" t="s">
        <v>1032</v>
      </c>
      <c r="DK828" s="496" t="s">
        <v>1554</v>
      </c>
      <c r="DL828" s="496" t="s">
        <v>1555</v>
      </c>
      <c r="DM828" s="496" t="s">
        <v>1981</v>
      </c>
      <c r="DN828" s="497" t="s">
        <v>1982</v>
      </c>
      <c r="DP828" s="543">
        <v>1</v>
      </c>
    </row>
    <row r="829" spans="2:120" ht="15">
      <c r="B829" s="683"/>
      <c r="C829" s="683"/>
      <c r="D829" s="683"/>
      <c r="E829" s="683" cm="1">
        <f t="array" ref="E829">IF(H828&lt;&gt;"",E828,IF(E828="","",IFERROR(MATCH(TRUE(),INDEX(INDEX(K:K,E828+1):K203&lt;&gt;"",0),0)+E828,"")))</f>
        <v>970</v>
      </c>
      <c r="F829" s="684" cm="1">
        <f t="array" ref="F829">IF(E829="","",IF(H828&lt;&gt;"",H828,INDEX(D:D,E829)))</f>
        <v>0</v>
      </c>
      <c r="G829" s="684" t="str">
        <f t="shared" si="84"/>
        <v>0</v>
      </c>
      <c r="H829" s="685" t="str">
        <f t="shared" si="85"/>
        <v/>
      </c>
      <c r="I829" s="683" t="str">
        <f>IF(AND(F829&lt;&gt;"",N10&gt;0,M829&gt;N10),"Mot &gt; limite","")</f>
        <v/>
      </c>
      <c r="M829" s="638">
        <f>IF(OR(F829="",N10="",N10&lt;=0),"",IF(LEN(F829)&lt;=N10,LEN(F829),IFERROR(FIND("♦",SUBSTITUTE(LEFT(F829,N10)," ","♦",LEN(LEFT(F829,N10))-LEN(SUBSTITUTE(LEFT(F829,N10)," ","")))),FIND(" ",F829&amp;" ",N10+1)-1)))</f>
        <v>1</v>
      </c>
      <c r="N829" s="686">
        <f t="shared" si="86"/>
        <v>812</v>
      </c>
      <c r="O829" s="663" t="str">
        <f t="shared" si="87"/>
        <v>0</v>
      </c>
      <c r="P829" s="686">
        <f t="shared" si="88"/>
        <v>1</v>
      </c>
      <c r="Q829" s="686">
        <f t="shared" si="89"/>
        <v>1</v>
      </c>
      <c r="DE829" s="494"/>
      <c r="DF829" s="496" t="s">
        <v>2721</v>
      </c>
      <c r="DG829" s="496" t="s">
        <v>8</v>
      </c>
      <c r="DH829" s="496" t="s">
        <v>689</v>
      </c>
      <c r="DI829" s="496" t="s">
        <v>2722</v>
      </c>
      <c r="DJ829" s="496" t="s">
        <v>2722</v>
      </c>
      <c r="DK829" s="496" t="s">
        <v>1554</v>
      </c>
      <c r="DL829" s="496" t="s">
        <v>1555</v>
      </c>
      <c r="DM829" s="496" t="s">
        <v>1981</v>
      </c>
      <c r="DN829" s="497" t="s">
        <v>1982</v>
      </c>
      <c r="DP829" s="543">
        <v>1</v>
      </c>
    </row>
    <row r="830" spans="2:120" ht="15">
      <c r="B830" s="683"/>
      <c r="C830" s="683"/>
      <c r="D830" s="683"/>
      <c r="E830" s="683" cm="1">
        <f t="array" ref="E830">IF(H829&lt;&gt;"",E829,IF(E829="","",IFERROR(MATCH(TRUE(),INDEX(INDEX(K:K,E829+1):K203&lt;&gt;"",0),0)+E829,"")))</f>
        <v>971</v>
      </c>
      <c r="F830" s="684" cm="1">
        <f t="array" ref="F830">IF(E830="","",IF(H829&lt;&gt;"",H829,INDEX(D:D,E830)))</f>
        <v>0</v>
      </c>
      <c r="G830" s="684" t="str">
        <f t="shared" si="84"/>
        <v>0</v>
      </c>
      <c r="H830" s="685" t="str">
        <f t="shared" si="85"/>
        <v/>
      </c>
      <c r="I830" s="683" t="str">
        <f>IF(AND(F830&lt;&gt;"",N10&gt;0,M830&gt;N10),"Mot &gt; limite","")</f>
        <v/>
      </c>
      <c r="M830" s="638">
        <f>IF(OR(F830="",N10="",N10&lt;=0),"",IF(LEN(F830)&lt;=N10,LEN(F830),IFERROR(FIND("♦",SUBSTITUTE(LEFT(F830,N10)," ","♦",LEN(LEFT(F830,N10))-LEN(SUBSTITUTE(LEFT(F830,N10)," ","")))),FIND(" ",F830&amp;" ",N10+1)-1)))</f>
        <v>1</v>
      </c>
      <c r="N830" s="686">
        <f t="shared" si="86"/>
        <v>813</v>
      </c>
      <c r="O830" s="663" t="str">
        <f t="shared" si="87"/>
        <v>0</v>
      </c>
      <c r="P830" s="686">
        <f t="shared" si="88"/>
        <v>1</v>
      </c>
      <c r="Q830" s="686">
        <f t="shared" si="89"/>
        <v>1</v>
      </c>
      <c r="DE830" s="494"/>
      <c r="DF830" s="496" t="s">
        <v>2723</v>
      </c>
      <c r="DG830" s="496" t="s">
        <v>8</v>
      </c>
      <c r="DH830" s="496" t="s">
        <v>689</v>
      </c>
      <c r="DI830" s="496" t="s">
        <v>2724</v>
      </c>
      <c r="DJ830" s="496" t="s">
        <v>2724</v>
      </c>
      <c r="DK830" s="496" t="s">
        <v>1554</v>
      </c>
      <c r="DL830" s="496" t="s">
        <v>1555</v>
      </c>
      <c r="DM830" s="496" t="s">
        <v>1981</v>
      </c>
      <c r="DN830" s="497" t="s">
        <v>1982</v>
      </c>
      <c r="DP830" s="543">
        <v>1</v>
      </c>
    </row>
    <row r="831" spans="2:120" ht="15">
      <c r="B831" s="683"/>
      <c r="C831" s="683"/>
      <c r="D831" s="683"/>
      <c r="E831" s="683" cm="1">
        <f t="array" ref="E831">IF(H830&lt;&gt;"",E830,IF(E830="","",IFERROR(MATCH(TRUE(),INDEX(INDEX(K:K,E830+1):K203&lt;&gt;"",0),0)+E830,"")))</f>
        <v>972</v>
      </c>
      <c r="F831" s="684" cm="1">
        <f t="array" ref="F831">IF(E831="","",IF(H830&lt;&gt;"",H830,INDEX(D:D,E831)))</f>
        <v>0</v>
      </c>
      <c r="G831" s="684" t="str">
        <f t="shared" si="84"/>
        <v>0</v>
      </c>
      <c r="H831" s="685" t="str">
        <f t="shared" si="85"/>
        <v/>
      </c>
      <c r="I831" s="683" t="str">
        <f>IF(AND(F831&lt;&gt;"",N10&gt;0,M831&gt;N10),"Mot &gt; limite","")</f>
        <v/>
      </c>
      <c r="M831" s="638">
        <f>IF(OR(F831="",N10="",N10&lt;=0),"",IF(LEN(F831)&lt;=N10,LEN(F831),IFERROR(FIND("♦",SUBSTITUTE(LEFT(F831,N10)," ","♦",LEN(LEFT(F831,N10))-LEN(SUBSTITUTE(LEFT(F831,N10)," ","")))),FIND(" ",F831&amp;" ",N10+1)-1)))</f>
        <v>1</v>
      </c>
      <c r="N831" s="686">
        <f t="shared" si="86"/>
        <v>814</v>
      </c>
      <c r="O831" s="663" t="str">
        <f t="shared" si="87"/>
        <v>0</v>
      </c>
      <c r="P831" s="686">
        <f t="shared" si="88"/>
        <v>1</v>
      </c>
      <c r="Q831" s="686">
        <f t="shared" si="89"/>
        <v>1</v>
      </c>
      <c r="DE831" s="494"/>
      <c r="DF831" s="496" t="s">
        <v>2725</v>
      </c>
      <c r="DG831" s="496" t="s">
        <v>8</v>
      </c>
      <c r="DH831" s="496" t="s">
        <v>689</v>
      </c>
      <c r="DI831" s="496" t="s">
        <v>2726</v>
      </c>
      <c r="DJ831" s="496" t="s">
        <v>2726</v>
      </c>
      <c r="DK831" s="496" t="s">
        <v>1554</v>
      </c>
      <c r="DL831" s="496" t="s">
        <v>1555</v>
      </c>
      <c r="DM831" s="496" t="s">
        <v>1981</v>
      </c>
      <c r="DN831" s="497" t="s">
        <v>1982</v>
      </c>
      <c r="DP831" s="543">
        <v>1</v>
      </c>
    </row>
    <row r="832" spans="2:120" ht="15">
      <c r="B832" s="683"/>
      <c r="C832" s="683"/>
      <c r="D832" s="683"/>
      <c r="E832" s="683" cm="1">
        <f t="array" ref="E832">IF(H831&lt;&gt;"",E831,IF(E831="","",IFERROR(MATCH(TRUE(),INDEX(INDEX(K:K,E831+1):K203&lt;&gt;"",0),0)+E831,"")))</f>
        <v>973</v>
      </c>
      <c r="F832" s="684" cm="1">
        <f t="array" ref="F832">IF(E832="","",IF(H831&lt;&gt;"",H831,INDEX(D:D,E832)))</f>
        <v>0</v>
      </c>
      <c r="G832" s="684" t="str">
        <f t="shared" si="84"/>
        <v>0</v>
      </c>
      <c r="H832" s="685" t="str">
        <f t="shared" si="85"/>
        <v/>
      </c>
      <c r="I832" s="683" t="str">
        <f>IF(AND(F832&lt;&gt;"",N10&gt;0,M832&gt;N10),"Mot &gt; limite","")</f>
        <v/>
      </c>
      <c r="M832" s="638">
        <f>IF(OR(F832="",N10="",N10&lt;=0),"",IF(LEN(F832)&lt;=N10,LEN(F832),IFERROR(FIND("♦",SUBSTITUTE(LEFT(F832,N10)," ","♦",LEN(LEFT(F832,N10))-LEN(SUBSTITUTE(LEFT(F832,N10)," ","")))),FIND(" ",F832&amp;" ",N10+1)-1)))</f>
        <v>1</v>
      </c>
      <c r="N832" s="686">
        <f t="shared" si="86"/>
        <v>815</v>
      </c>
      <c r="O832" s="663" t="str">
        <f t="shared" si="87"/>
        <v>0</v>
      </c>
      <c r="P832" s="686">
        <f t="shared" si="88"/>
        <v>1</v>
      </c>
      <c r="Q832" s="686">
        <f t="shared" si="89"/>
        <v>1</v>
      </c>
      <c r="DE832" s="494"/>
      <c r="DF832" s="496" t="s">
        <v>2727</v>
      </c>
      <c r="DG832" s="496" t="s">
        <v>8</v>
      </c>
      <c r="DH832" s="496" t="s">
        <v>689</v>
      </c>
      <c r="DI832" s="496" t="s">
        <v>2728</v>
      </c>
      <c r="DJ832" s="496" t="s">
        <v>2728</v>
      </c>
      <c r="DK832" s="496" t="s">
        <v>1554</v>
      </c>
      <c r="DL832" s="496" t="s">
        <v>1555</v>
      </c>
      <c r="DM832" s="496" t="s">
        <v>1981</v>
      </c>
      <c r="DN832" s="497" t="s">
        <v>1982</v>
      </c>
      <c r="DP832" s="543">
        <v>1</v>
      </c>
    </row>
    <row r="833" spans="2:120" ht="15">
      <c r="B833" s="683"/>
      <c r="C833" s="683"/>
      <c r="D833" s="683"/>
      <c r="E833" s="683" cm="1">
        <f t="array" ref="E833">IF(H832&lt;&gt;"",E832,IF(E832="","",IFERROR(MATCH(TRUE(),INDEX(INDEX(K:K,E832+1):K203&lt;&gt;"",0),0)+E832,"")))</f>
        <v>974</v>
      </c>
      <c r="F833" s="684" cm="1">
        <f t="array" ref="F833">IF(E833="","",IF(H832&lt;&gt;"",H832,INDEX(D:D,E833)))</f>
        <v>0</v>
      </c>
      <c r="G833" s="684" t="str">
        <f t="shared" si="84"/>
        <v>0</v>
      </c>
      <c r="H833" s="685" t="str">
        <f t="shared" si="85"/>
        <v/>
      </c>
      <c r="I833" s="683" t="str">
        <f>IF(AND(F833&lt;&gt;"",N10&gt;0,M833&gt;N10),"Mot &gt; limite","")</f>
        <v/>
      </c>
      <c r="M833" s="638">
        <f>IF(OR(F833="",N10="",N10&lt;=0),"",IF(LEN(F833)&lt;=N10,LEN(F833),IFERROR(FIND("♦",SUBSTITUTE(LEFT(F833,N10)," ","♦",LEN(LEFT(F833,N10))-LEN(SUBSTITUTE(LEFT(F833,N10)," ","")))),FIND(" ",F833&amp;" ",N10+1)-1)))</f>
        <v>1</v>
      </c>
      <c r="N833" s="686">
        <f t="shared" si="86"/>
        <v>816</v>
      </c>
      <c r="O833" s="663" t="str">
        <f t="shared" si="87"/>
        <v>0</v>
      </c>
      <c r="P833" s="686">
        <f t="shared" si="88"/>
        <v>1</v>
      </c>
      <c r="Q833" s="686">
        <f t="shared" si="89"/>
        <v>1</v>
      </c>
      <c r="DE833" s="494"/>
      <c r="DF833" s="496" t="s">
        <v>2729</v>
      </c>
      <c r="DG833" s="496" t="s">
        <v>8</v>
      </c>
      <c r="DH833" s="496" t="s">
        <v>689</v>
      </c>
      <c r="DI833" s="496" t="s">
        <v>2730</v>
      </c>
      <c r="DJ833" s="496" t="s">
        <v>2730</v>
      </c>
      <c r="DK833" s="496" t="s">
        <v>1554</v>
      </c>
      <c r="DL833" s="496" t="s">
        <v>1555</v>
      </c>
      <c r="DM833" s="496" t="s">
        <v>1981</v>
      </c>
      <c r="DN833" s="497" t="s">
        <v>1982</v>
      </c>
      <c r="DP833" s="543">
        <v>1</v>
      </c>
    </row>
    <row r="834" spans="2:120" ht="15">
      <c r="B834" s="683"/>
      <c r="C834" s="683"/>
      <c r="D834" s="683"/>
      <c r="E834" s="683" cm="1">
        <f t="array" ref="E834">IF(H833&lt;&gt;"",E833,IF(E833="","",IFERROR(MATCH(TRUE(),INDEX(INDEX(K:K,E833+1):K203&lt;&gt;"",0),0)+E833,"")))</f>
        <v>975</v>
      </c>
      <c r="F834" s="684" cm="1">
        <f t="array" ref="F834">IF(E834="","",IF(H833&lt;&gt;"",H833,INDEX(D:D,E834)))</f>
        <v>0</v>
      </c>
      <c r="G834" s="684" t="str">
        <f t="shared" si="84"/>
        <v>0</v>
      </c>
      <c r="H834" s="685" t="str">
        <f t="shared" si="85"/>
        <v/>
      </c>
      <c r="I834" s="683" t="str">
        <f>IF(AND(F834&lt;&gt;"",N10&gt;0,M834&gt;N10),"Mot &gt; limite","")</f>
        <v/>
      </c>
      <c r="M834" s="638">
        <f>IF(OR(F834="",N10="",N10&lt;=0),"",IF(LEN(F834)&lt;=N10,LEN(F834),IFERROR(FIND("♦",SUBSTITUTE(LEFT(F834,N10)," ","♦",LEN(LEFT(F834,N10))-LEN(SUBSTITUTE(LEFT(F834,N10)," ","")))),FIND(" ",F834&amp;" ",N10+1)-1)))</f>
        <v>1</v>
      </c>
      <c r="N834" s="686">
        <f t="shared" si="86"/>
        <v>817</v>
      </c>
      <c r="O834" s="663" t="str">
        <f t="shared" si="87"/>
        <v>0</v>
      </c>
      <c r="P834" s="686">
        <f t="shared" si="88"/>
        <v>1</v>
      </c>
      <c r="Q834" s="686">
        <f t="shared" si="89"/>
        <v>1</v>
      </c>
      <c r="DE834" s="494"/>
      <c r="DF834" s="496" t="s">
        <v>2731</v>
      </c>
      <c r="DG834" s="496" t="s">
        <v>8</v>
      </c>
      <c r="DH834" s="496" t="s">
        <v>689</v>
      </c>
      <c r="DI834" s="496" t="s">
        <v>2732</v>
      </c>
      <c r="DJ834" s="496" t="s">
        <v>2732</v>
      </c>
      <c r="DK834" s="496" t="s">
        <v>1554</v>
      </c>
      <c r="DL834" s="496" t="s">
        <v>1555</v>
      </c>
      <c r="DM834" s="496" t="s">
        <v>1981</v>
      </c>
      <c r="DN834" s="497" t="s">
        <v>1982</v>
      </c>
      <c r="DP834" s="543">
        <v>1</v>
      </c>
    </row>
    <row r="835" spans="2:120" ht="15">
      <c r="B835" s="683"/>
      <c r="C835" s="683"/>
      <c r="D835" s="683"/>
      <c r="E835" s="683" cm="1">
        <f t="array" ref="E835">IF(H834&lt;&gt;"",E834,IF(E834="","",IFERROR(MATCH(TRUE(),INDEX(INDEX(K:K,E834+1):K203&lt;&gt;"",0),0)+E834,"")))</f>
        <v>976</v>
      </c>
      <c r="F835" s="684" cm="1">
        <f t="array" ref="F835">IF(E835="","",IF(H834&lt;&gt;"",H834,INDEX(D:D,E835)))</f>
        <v>0</v>
      </c>
      <c r="G835" s="684" t="str">
        <f t="shared" si="84"/>
        <v>0</v>
      </c>
      <c r="H835" s="685" t="str">
        <f t="shared" si="85"/>
        <v/>
      </c>
      <c r="I835" s="683" t="str">
        <f>IF(AND(F835&lt;&gt;"",N10&gt;0,M835&gt;N10),"Mot &gt; limite","")</f>
        <v/>
      </c>
      <c r="M835" s="638">
        <f>IF(OR(F835="",N10="",N10&lt;=0),"",IF(LEN(F835)&lt;=N10,LEN(F835),IFERROR(FIND("♦",SUBSTITUTE(LEFT(F835,N10)," ","♦",LEN(LEFT(F835,N10))-LEN(SUBSTITUTE(LEFT(F835,N10)," ","")))),FIND(" ",F835&amp;" ",N10+1)-1)))</f>
        <v>1</v>
      </c>
      <c r="N835" s="686">
        <f t="shared" si="86"/>
        <v>818</v>
      </c>
      <c r="O835" s="663" t="str">
        <f t="shared" si="87"/>
        <v>0</v>
      </c>
      <c r="P835" s="686">
        <f t="shared" si="88"/>
        <v>1</v>
      </c>
      <c r="Q835" s="686">
        <f t="shared" si="89"/>
        <v>1</v>
      </c>
      <c r="DE835" s="494"/>
      <c r="DF835" s="496" t="s">
        <v>2733</v>
      </c>
      <c r="DG835" s="496" t="s">
        <v>8</v>
      </c>
      <c r="DH835" s="496" t="s">
        <v>689</v>
      </c>
      <c r="DI835" s="496" t="s">
        <v>2734</v>
      </c>
      <c r="DJ835" s="496" t="s">
        <v>2734</v>
      </c>
      <c r="DK835" s="496" t="s">
        <v>1554</v>
      </c>
      <c r="DL835" s="496" t="s">
        <v>1555</v>
      </c>
      <c r="DM835" s="496" t="s">
        <v>1981</v>
      </c>
      <c r="DN835" s="497" t="s">
        <v>1982</v>
      </c>
      <c r="DP835" s="543">
        <v>1</v>
      </c>
    </row>
    <row r="836" spans="2:120" ht="15">
      <c r="B836" s="683"/>
      <c r="C836" s="683"/>
      <c r="D836" s="683"/>
      <c r="E836" s="683" cm="1">
        <f t="array" ref="E836">IF(H835&lt;&gt;"",E835,IF(E835="","",IFERROR(MATCH(TRUE(),INDEX(INDEX(K:K,E835+1):K203&lt;&gt;"",0),0)+E835,"")))</f>
        <v>977</v>
      </c>
      <c r="F836" s="684" cm="1">
        <f t="array" ref="F836">IF(E836="","",IF(H835&lt;&gt;"",H835,INDEX(D:D,E836)))</f>
        <v>0</v>
      </c>
      <c r="G836" s="684" t="str">
        <f t="shared" si="84"/>
        <v>0</v>
      </c>
      <c r="H836" s="685" t="str">
        <f t="shared" si="85"/>
        <v/>
      </c>
      <c r="I836" s="683" t="str">
        <f>IF(AND(F836&lt;&gt;"",N10&gt;0,M836&gt;N10),"Mot &gt; limite","")</f>
        <v/>
      </c>
      <c r="M836" s="638">
        <f>IF(OR(F836="",N10="",N10&lt;=0),"",IF(LEN(F836)&lt;=N10,LEN(F836),IFERROR(FIND("♦",SUBSTITUTE(LEFT(F836,N10)," ","♦",LEN(LEFT(F836,N10))-LEN(SUBSTITUTE(LEFT(F836,N10)," ","")))),FIND(" ",F836&amp;" ",N10+1)-1)))</f>
        <v>1</v>
      </c>
      <c r="N836" s="686">
        <f t="shared" si="86"/>
        <v>819</v>
      </c>
      <c r="O836" s="663" t="str">
        <f t="shared" si="87"/>
        <v>0</v>
      </c>
      <c r="P836" s="686">
        <f t="shared" si="88"/>
        <v>1</v>
      </c>
      <c r="Q836" s="686">
        <f t="shared" si="89"/>
        <v>1</v>
      </c>
      <c r="DE836" s="494"/>
      <c r="DF836" s="496" t="s">
        <v>2735</v>
      </c>
      <c r="DG836" s="496" t="s">
        <v>8</v>
      </c>
      <c r="DH836" s="496" t="s">
        <v>689</v>
      </c>
      <c r="DI836" s="496" t="s">
        <v>2736</v>
      </c>
      <c r="DJ836" s="496" t="s">
        <v>2736</v>
      </c>
      <c r="DK836" s="496" t="s">
        <v>1554</v>
      </c>
      <c r="DL836" s="496" t="s">
        <v>1555</v>
      </c>
      <c r="DM836" s="496" t="s">
        <v>1981</v>
      </c>
      <c r="DN836" s="497" t="s">
        <v>1982</v>
      </c>
      <c r="DP836" s="543">
        <v>1</v>
      </c>
    </row>
    <row r="837" spans="2:120" ht="15">
      <c r="B837" s="683"/>
      <c r="C837" s="683"/>
      <c r="D837" s="683"/>
      <c r="E837" s="683" cm="1">
        <f t="array" ref="E837">IF(H836&lt;&gt;"",E836,IF(E836="","",IFERROR(MATCH(TRUE(),INDEX(INDEX(K:K,E836+1):K203&lt;&gt;"",0),0)+E836,"")))</f>
        <v>978</v>
      </c>
      <c r="F837" s="684" cm="1">
        <f t="array" ref="F837">IF(E837="","",IF(H836&lt;&gt;"",H836,INDEX(D:D,E837)))</f>
        <v>0</v>
      </c>
      <c r="G837" s="684" t="str">
        <f t="shared" si="84"/>
        <v>0</v>
      </c>
      <c r="H837" s="685" t="str">
        <f t="shared" si="85"/>
        <v/>
      </c>
      <c r="I837" s="683" t="str">
        <f>IF(AND(F837&lt;&gt;"",N10&gt;0,M837&gt;N10),"Mot &gt; limite","")</f>
        <v/>
      </c>
      <c r="M837" s="638">
        <f>IF(OR(F837="",N10="",N10&lt;=0),"",IF(LEN(F837)&lt;=N10,LEN(F837),IFERROR(FIND("♦",SUBSTITUTE(LEFT(F837,N10)," ","♦",LEN(LEFT(F837,N10))-LEN(SUBSTITUTE(LEFT(F837,N10)," ","")))),FIND(" ",F837&amp;" ",N10+1)-1)))</f>
        <v>1</v>
      </c>
      <c r="N837" s="686">
        <f t="shared" si="86"/>
        <v>820</v>
      </c>
      <c r="O837" s="663" t="str">
        <f t="shared" si="87"/>
        <v>0</v>
      </c>
      <c r="P837" s="686">
        <f t="shared" si="88"/>
        <v>1</v>
      </c>
      <c r="Q837" s="686">
        <f t="shared" si="89"/>
        <v>1</v>
      </c>
      <c r="DE837" s="494"/>
      <c r="DF837" s="496" t="s">
        <v>2737</v>
      </c>
      <c r="DG837" s="496" t="s">
        <v>8</v>
      </c>
      <c r="DH837" s="496" t="s">
        <v>689</v>
      </c>
      <c r="DI837" s="496" t="s">
        <v>2738</v>
      </c>
      <c r="DJ837" s="496" t="s">
        <v>2738</v>
      </c>
      <c r="DK837" s="496" t="s">
        <v>1554</v>
      </c>
      <c r="DL837" s="496" t="s">
        <v>1555</v>
      </c>
      <c r="DM837" s="496" t="s">
        <v>1981</v>
      </c>
      <c r="DN837" s="497" t="s">
        <v>1982</v>
      </c>
      <c r="DP837" s="543">
        <v>1</v>
      </c>
    </row>
    <row r="838" spans="2:120" ht="15">
      <c r="B838" s="683"/>
      <c r="C838" s="683"/>
      <c r="D838" s="683"/>
      <c r="E838" s="683" cm="1">
        <f t="array" ref="E838">IF(H837&lt;&gt;"",E837,IF(E837="","",IFERROR(MATCH(TRUE(),INDEX(INDEX(K:K,E837+1):K203&lt;&gt;"",0),0)+E837,"")))</f>
        <v>979</v>
      </c>
      <c r="F838" s="684" cm="1">
        <f t="array" ref="F838">IF(E838="","",IF(H837&lt;&gt;"",H837,INDEX(D:D,E838)))</f>
        <v>0</v>
      </c>
      <c r="G838" s="684" t="str">
        <f t="shared" si="84"/>
        <v>0</v>
      </c>
      <c r="H838" s="685" t="str">
        <f t="shared" si="85"/>
        <v/>
      </c>
      <c r="I838" s="683" t="str">
        <f>IF(AND(F838&lt;&gt;"",N10&gt;0,M838&gt;N10),"Mot &gt; limite","")</f>
        <v/>
      </c>
      <c r="M838" s="638">
        <f>IF(OR(F838="",N10="",N10&lt;=0),"",IF(LEN(F838)&lt;=N10,LEN(F838),IFERROR(FIND("♦",SUBSTITUTE(LEFT(F838,N10)," ","♦",LEN(LEFT(F838,N10))-LEN(SUBSTITUTE(LEFT(F838,N10)," ","")))),FIND(" ",F838&amp;" ",N10+1)-1)))</f>
        <v>1</v>
      </c>
      <c r="N838" s="686">
        <f t="shared" si="86"/>
        <v>821</v>
      </c>
      <c r="O838" s="663" t="str">
        <f t="shared" si="87"/>
        <v>0</v>
      </c>
      <c r="P838" s="686">
        <f t="shared" si="88"/>
        <v>1</v>
      </c>
      <c r="Q838" s="686">
        <f t="shared" si="89"/>
        <v>1</v>
      </c>
      <c r="DE838" s="494"/>
      <c r="DF838" s="496" t="s">
        <v>2739</v>
      </c>
      <c r="DG838" s="496" t="s">
        <v>8</v>
      </c>
      <c r="DH838" s="496" t="s">
        <v>689</v>
      </c>
      <c r="DI838" s="496" t="s">
        <v>2740</v>
      </c>
      <c r="DJ838" s="496" t="s">
        <v>2740</v>
      </c>
      <c r="DK838" s="496" t="s">
        <v>1554</v>
      </c>
      <c r="DL838" s="496" t="s">
        <v>1555</v>
      </c>
      <c r="DM838" s="496" t="s">
        <v>1981</v>
      </c>
      <c r="DN838" s="497" t="s">
        <v>1982</v>
      </c>
      <c r="DP838" s="543">
        <v>1</v>
      </c>
    </row>
    <row r="839" spans="2:120" ht="15">
      <c r="B839" s="683"/>
      <c r="C839" s="683"/>
      <c r="D839" s="683"/>
      <c r="E839" s="683" cm="1">
        <f t="array" ref="E839">IF(H838&lt;&gt;"",E838,IF(E838="","",IFERROR(MATCH(TRUE(),INDEX(INDEX(K:K,E838+1):K203&lt;&gt;"",0),0)+E838,"")))</f>
        <v>980</v>
      </c>
      <c r="F839" s="684" cm="1">
        <f t="array" ref="F839">IF(E839="","",IF(H838&lt;&gt;"",H838,INDEX(D:D,E839)))</f>
        <v>0</v>
      </c>
      <c r="G839" s="684" t="str">
        <f t="shared" si="84"/>
        <v>0</v>
      </c>
      <c r="H839" s="685" t="str">
        <f t="shared" si="85"/>
        <v/>
      </c>
      <c r="I839" s="683" t="str">
        <f>IF(AND(F839&lt;&gt;"",N10&gt;0,M839&gt;N10),"Mot &gt; limite","")</f>
        <v/>
      </c>
      <c r="M839" s="638">
        <f>IF(OR(F839="",N10="",N10&lt;=0),"",IF(LEN(F839)&lt;=N10,LEN(F839),IFERROR(FIND("♦",SUBSTITUTE(LEFT(F839,N10)," ","♦",LEN(LEFT(F839,N10))-LEN(SUBSTITUTE(LEFT(F839,N10)," ","")))),FIND(" ",F839&amp;" ",N10+1)-1)))</f>
        <v>1</v>
      </c>
      <c r="N839" s="686">
        <f t="shared" si="86"/>
        <v>822</v>
      </c>
      <c r="O839" s="663" t="str">
        <f t="shared" si="87"/>
        <v>0</v>
      </c>
      <c r="P839" s="686">
        <f t="shared" si="88"/>
        <v>1</v>
      </c>
      <c r="Q839" s="686">
        <f t="shared" si="89"/>
        <v>1</v>
      </c>
      <c r="DE839" s="494"/>
      <c r="DF839" s="496" t="s">
        <v>2741</v>
      </c>
      <c r="DG839" s="496" t="s">
        <v>8</v>
      </c>
      <c r="DH839" s="496" t="s">
        <v>689</v>
      </c>
      <c r="DI839" s="496" t="s">
        <v>2742</v>
      </c>
      <c r="DJ839" s="496" t="s">
        <v>2742</v>
      </c>
      <c r="DK839" s="496" t="s">
        <v>1554</v>
      </c>
      <c r="DL839" s="496" t="s">
        <v>1555</v>
      </c>
      <c r="DM839" s="496" t="s">
        <v>1981</v>
      </c>
      <c r="DN839" s="497" t="s">
        <v>1982</v>
      </c>
      <c r="DP839" s="543">
        <v>1</v>
      </c>
    </row>
    <row r="840" spans="2:120" ht="15">
      <c r="B840" s="683"/>
      <c r="C840" s="683"/>
      <c r="D840" s="683"/>
      <c r="E840" s="683" cm="1">
        <f t="array" ref="E840">IF(H839&lt;&gt;"",E839,IF(E839="","",IFERROR(MATCH(TRUE(),INDEX(INDEX(K:K,E839+1):K203&lt;&gt;"",0),0)+E839,"")))</f>
        <v>981</v>
      </c>
      <c r="F840" s="684" cm="1">
        <f t="array" ref="F840">IF(E840="","",IF(H839&lt;&gt;"",H839,INDEX(D:D,E840)))</f>
        <v>0</v>
      </c>
      <c r="G840" s="684" t="str">
        <f t="shared" si="84"/>
        <v>0</v>
      </c>
      <c r="H840" s="685" t="str">
        <f t="shared" si="85"/>
        <v/>
      </c>
      <c r="I840" s="683" t="str">
        <f>IF(AND(F840&lt;&gt;"",N10&gt;0,M840&gt;N10),"Mot &gt; limite","")</f>
        <v/>
      </c>
      <c r="M840" s="638">
        <f>IF(OR(F840="",N10="",N10&lt;=0),"",IF(LEN(F840)&lt;=N10,LEN(F840),IFERROR(FIND("♦",SUBSTITUTE(LEFT(F840,N10)," ","♦",LEN(LEFT(F840,N10))-LEN(SUBSTITUTE(LEFT(F840,N10)," ","")))),FIND(" ",F840&amp;" ",N10+1)-1)))</f>
        <v>1</v>
      </c>
      <c r="N840" s="686">
        <f t="shared" si="86"/>
        <v>823</v>
      </c>
      <c r="O840" s="663" t="str">
        <f t="shared" si="87"/>
        <v>0</v>
      </c>
      <c r="P840" s="686">
        <f t="shared" si="88"/>
        <v>1</v>
      </c>
      <c r="Q840" s="686">
        <f t="shared" si="89"/>
        <v>1</v>
      </c>
      <c r="DE840" s="494"/>
      <c r="DF840" s="496" t="s">
        <v>2743</v>
      </c>
      <c r="DG840" s="496" t="s">
        <v>8</v>
      </c>
      <c r="DH840" s="496" t="s">
        <v>689</v>
      </c>
      <c r="DI840" s="496" t="s">
        <v>2744</v>
      </c>
      <c r="DJ840" s="496" t="s">
        <v>2744</v>
      </c>
      <c r="DK840" s="496" t="s">
        <v>1554</v>
      </c>
      <c r="DL840" s="496" t="s">
        <v>1555</v>
      </c>
      <c r="DM840" s="496" t="s">
        <v>1981</v>
      </c>
      <c r="DN840" s="497" t="s">
        <v>1982</v>
      </c>
      <c r="DP840" s="543">
        <v>1</v>
      </c>
    </row>
    <row r="841" spans="2:120" ht="15">
      <c r="B841" s="683"/>
      <c r="C841" s="683"/>
      <c r="D841" s="683"/>
      <c r="E841" s="683" cm="1">
        <f t="array" ref="E841">IF(H840&lt;&gt;"",E840,IF(E840="","",IFERROR(MATCH(TRUE(),INDEX(INDEX(K:K,E840+1):K203&lt;&gt;"",0),0)+E840,"")))</f>
        <v>982</v>
      </c>
      <c r="F841" s="684" cm="1">
        <f t="array" ref="F841">IF(E841="","",IF(H840&lt;&gt;"",H840,INDEX(D:D,E841)))</f>
        <v>0</v>
      </c>
      <c r="G841" s="684" t="str">
        <f t="shared" si="84"/>
        <v>0</v>
      </c>
      <c r="H841" s="685" t="str">
        <f t="shared" si="85"/>
        <v/>
      </c>
      <c r="I841" s="683" t="str">
        <f>IF(AND(F841&lt;&gt;"",N10&gt;0,M841&gt;N10),"Mot &gt; limite","")</f>
        <v/>
      </c>
      <c r="M841" s="638">
        <f>IF(OR(F841="",N10="",N10&lt;=0),"",IF(LEN(F841)&lt;=N10,LEN(F841),IFERROR(FIND("♦",SUBSTITUTE(LEFT(F841,N10)," ","♦",LEN(LEFT(F841,N10))-LEN(SUBSTITUTE(LEFT(F841,N10)," ","")))),FIND(" ",F841&amp;" ",N10+1)-1)))</f>
        <v>1</v>
      </c>
      <c r="N841" s="686">
        <f t="shared" si="86"/>
        <v>824</v>
      </c>
      <c r="O841" s="663" t="str">
        <f t="shared" si="87"/>
        <v>0</v>
      </c>
      <c r="P841" s="686">
        <f t="shared" si="88"/>
        <v>1</v>
      </c>
      <c r="Q841" s="686">
        <f t="shared" si="89"/>
        <v>1</v>
      </c>
      <c r="DE841" s="494"/>
      <c r="DF841" s="496" t="s">
        <v>2745</v>
      </c>
      <c r="DG841" s="496" t="s">
        <v>8</v>
      </c>
      <c r="DH841" s="496" t="s">
        <v>689</v>
      </c>
      <c r="DI841" s="496" t="s">
        <v>2746</v>
      </c>
      <c r="DJ841" s="496" t="s">
        <v>2746</v>
      </c>
      <c r="DK841" s="496" t="s">
        <v>1554</v>
      </c>
      <c r="DL841" s="496" t="s">
        <v>1555</v>
      </c>
      <c r="DM841" s="496" t="s">
        <v>1981</v>
      </c>
      <c r="DN841" s="497" t="s">
        <v>1982</v>
      </c>
      <c r="DP841" s="543">
        <v>1</v>
      </c>
    </row>
    <row r="842" spans="2:120" ht="15">
      <c r="B842" s="683"/>
      <c r="C842" s="683"/>
      <c r="D842" s="683"/>
      <c r="E842" s="683" cm="1">
        <f t="array" ref="E842">IF(H841&lt;&gt;"",E841,IF(E841="","",IFERROR(MATCH(TRUE(),INDEX(INDEX(K:K,E841+1):K203&lt;&gt;"",0),0)+E841,"")))</f>
        <v>983</v>
      </c>
      <c r="F842" s="684" cm="1">
        <f t="array" ref="F842">IF(E842="","",IF(H841&lt;&gt;"",H841,INDEX(D:D,E842)))</f>
        <v>0</v>
      </c>
      <c r="G842" s="684" t="str">
        <f t="shared" si="84"/>
        <v>0</v>
      </c>
      <c r="H842" s="685" t="str">
        <f t="shared" si="85"/>
        <v/>
      </c>
      <c r="I842" s="683" t="str">
        <f>IF(AND(F842&lt;&gt;"",N10&gt;0,M842&gt;N10),"Mot &gt; limite","")</f>
        <v/>
      </c>
      <c r="M842" s="638">
        <f>IF(OR(F842="",N10="",N10&lt;=0),"",IF(LEN(F842)&lt;=N10,LEN(F842),IFERROR(FIND("♦",SUBSTITUTE(LEFT(F842,N10)," ","♦",LEN(LEFT(F842,N10))-LEN(SUBSTITUTE(LEFT(F842,N10)," ","")))),FIND(" ",F842&amp;" ",N10+1)-1)))</f>
        <v>1</v>
      </c>
      <c r="N842" s="686">
        <f t="shared" si="86"/>
        <v>825</v>
      </c>
      <c r="O842" s="663" t="str">
        <f t="shared" si="87"/>
        <v>0</v>
      </c>
      <c r="P842" s="686">
        <f t="shared" si="88"/>
        <v>1</v>
      </c>
      <c r="Q842" s="686">
        <f t="shared" si="89"/>
        <v>1</v>
      </c>
      <c r="DE842" s="494"/>
      <c r="DF842" s="496" t="s">
        <v>2747</v>
      </c>
      <c r="DG842" s="496" t="s">
        <v>8</v>
      </c>
      <c r="DH842" s="496" t="s">
        <v>689</v>
      </c>
      <c r="DI842" s="496" t="s">
        <v>2748</v>
      </c>
      <c r="DJ842" s="496" t="s">
        <v>2748</v>
      </c>
      <c r="DK842" s="496" t="s">
        <v>1554</v>
      </c>
      <c r="DL842" s="496" t="s">
        <v>1555</v>
      </c>
      <c r="DM842" s="496" t="s">
        <v>1981</v>
      </c>
      <c r="DN842" s="497" t="s">
        <v>1982</v>
      </c>
      <c r="DP842" s="543">
        <v>1</v>
      </c>
    </row>
    <row r="843" spans="2:120" ht="15">
      <c r="B843" s="683"/>
      <c r="C843" s="683"/>
      <c r="D843" s="683"/>
      <c r="E843" s="683" cm="1">
        <f t="array" ref="E843">IF(H842&lt;&gt;"",E842,IF(E842="","",IFERROR(MATCH(TRUE(),INDEX(INDEX(K:K,E842+1):K203&lt;&gt;"",0),0)+E842,"")))</f>
        <v>984</v>
      </c>
      <c r="F843" s="684" cm="1">
        <f t="array" ref="F843">IF(E843="","",IF(H842&lt;&gt;"",H842,INDEX(D:D,E843)))</f>
        <v>0</v>
      </c>
      <c r="G843" s="684" t="str">
        <f t="shared" si="84"/>
        <v>0</v>
      </c>
      <c r="H843" s="685" t="str">
        <f t="shared" si="85"/>
        <v/>
      </c>
      <c r="I843" s="683" t="str">
        <f>IF(AND(F843&lt;&gt;"",N10&gt;0,M843&gt;N10),"Mot &gt; limite","")</f>
        <v/>
      </c>
      <c r="M843" s="638">
        <f>IF(OR(F843="",N10="",N10&lt;=0),"",IF(LEN(F843)&lt;=N10,LEN(F843),IFERROR(FIND("♦",SUBSTITUTE(LEFT(F843,N10)," ","♦",LEN(LEFT(F843,N10))-LEN(SUBSTITUTE(LEFT(F843,N10)," ","")))),FIND(" ",F843&amp;" ",N10+1)-1)))</f>
        <v>1</v>
      </c>
      <c r="N843" s="686">
        <f t="shared" si="86"/>
        <v>826</v>
      </c>
      <c r="O843" s="663" t="str">
        <f t="shared" si="87"/>
        <v>0</v>
      </c>
      <c r="P843" s="686">
        <f t="shared" si="88"/>
        <v>1</v>
      </c>
      <c r="Q843" s="686">
        <f t="shared" si="89"/>
        <v>1</v>
      </c>
      <c r="DE843" s="494"/>
      <c r="DF843" s="496" t="s">
        <v>2749</v>
      </c>
      <c r="DG843" s="496" t="s">
        <v>8</v>
      </c>
      <c r="DH843" s="496" t="s">
        <v>689</v>
      </c>
      <c r="DI843" s="496" t="s">
        <v>2750</v>
      </c>
      <c r="DJ843" s="496" t="s">
        <v>2750</v>
      </c>
      <c r="DK843" s="496" t="s">
        <v>1554</v>
      </c>
      <c r="DL843" s="496" t="s">
        <v>1555</v>
      </c>
      <c r="DM843" s="496" t="s">
        <v>1981</v>
      </c>
      <c r="DN843" s="497" t="s">
        <v>1982</v>
      </c>
      <c r="DP843" s="543">
        <v>1</v>
      </c>
    </row>
    <row r="844" spans="2:120" ht="15">
      <c r="B844" s="683"/>
      <c r="C844" s="683"/>
      <c r="D844" s="683"/>
      <c r="E844" s="683" cm="1">
        <f t="array" ref="E844">IF(H843&lt;&gt;"",E843,IF(E843="","",IFERROR(MATCH(TRUE(),INDEX(INDEX(K:K,E843+1):K203&lt;&gt;"",0),0)+E843,"")))</f>
        <v>985</v>
      </c>
      <c r="F844" s="684" cm="1">
        <f t="array" ref="F844">IF(E844="","",IF(H843&lt;&gt;"",H843,INDEX(D:D,E844)))</f>
        <v>0</v>
      </c>
      <c r="G844" s="684" t="str">
        <f t="shared" si="84"/>
        <v>0</v>
      </c>
      <c r="H844" s="685" t="str">
        <f t="shared" si="85"/>
        <v/>
      </c>
      <c r="I844" s="683" t="str">
        <f>IF(AND(F844&lt;&gt;"",N10&gt;0,M844&gt;N10),"Mot &gt; limite","")</f>
        <v/>
      </c>
      <c r="M844" s="638">
        <f>IF(OR(F844="",N10="",N10&lt;=0),"",IF(LEN(F844)&lt;=N10,LEN(F844),IFERROR(FIND("♦",SUBSTITUTE(LEFT(F844,N10)," ","♦",LEN(LEFT(F844,N10))-LEN(SUBSTITUTE(LEFT(F844,N10)," ","")))),FIND(" ",F844&amp;" ",N10+1)-1)))</f>
        <v>1</v>
      </c>
      <c r="N844" s="686">
        <f t="shared" si="86"/>
        <v>827</v>
      </c>
      <c r="O844" s="663" t="str">
        <f t="shared" si="87"/>
        <v>0</v>
      </c>
      <c r="P844" s="686">
        <f t="shared" si="88"/>
        <v>1</v>
      </c>
      <c r="Q844" s="686">
        <f t="shared" si="89"/>
        <v>1</v>
      </c>
      <c r="DE844" s="494"/>
      <c r="DF844" s="496" t="s">
        <v>2751</v>
      </c>
      <c r="DG844" s="496" t="s">
        <v>8</v>
      </c>
      <c r="DH844" s="496" t="s">
        <v>689</v>
      </c>
      <c r="DI844" s="496" t="s">
        <v>2752</v>
      </c>
      <c r="DJ844" s="496" t="s">
        <v>2752</v>
      </c>
      <c r="DK844" s="496" t="s">
        <v>1554</v>
      </c>
      <c r="DL844" s="496" t="s">
        <v>1555</v>
      </c>
      <c r="DM844" s="496" t="s">
        <v>1981</v>
      </c>
      <c r="DN844" s="497" t="s">
        <v>1982</v>
      </c>
      <c r="DP844" s="543">
        <v>1</v>
      </c>
    </row>
    <row r="845" spans="2:120" ht="15">
      <c r="B845" s="683"/>
      <c r="C845" s="683"/>
      <c r="D845" s="683"/>
      <c r="E845" s="683" cm="1">
        <f t="array" ref="E845">IF(H844&lt;&gt;"",E844,IF(E844="","",IFERROR(MATCH(TRUE(),INDEX(INDEX(K:K,E844+1):K203&lt;&gt;"",0),0)+E844,"")))</f>
        <v>986</v>
      </c>
      <c r="F845" s="684" cm="1">
        <f t="array" ref="F845">IF(E845="","",IF(H844&lt;&gt;"",H844,INDEX(D:D,E845)))</f>
        <v>0</v>
      </c>
      <c r="G845" s="684" t="str">
        <f t="shared" si="84"/>
        <v>0</v>
      </c>
      <c r="H845" s="685" t="str">
        <f t="shared" si="85"/>
        <v/>
      </c>
      <c r="I845" s="683" t="str">
        <f>IF(AND(F845&lt;&gt;"",N10&gt;0,M845&gt;N10),"Mot &gt; limite","")</f>
        <v/>
      </c>
      <c r="M845" s="638">
        <f>IF(OR(F845="",N10="",N10&lt;=0),"",IF(LEN(F845)&lt;=N10,LEN(F845),IFERROR(FIND("♦",SUBSTITUTE(LEFT(F845,N10)," ","♦",LEN(LEFT(F845,N10))-LEN(SUBSTITUTE(LEFT(F845,N10)," ","")))),FIND(" ",F845&amp;" ",N10+1)-1)))</f>
        <v>1</v>
      </c>
      <c r="N845" s="686">
        <f t="shared" si="86"/>
        <v>828</v>
      </c>
      <c r="O845" s="663" t="str">
        <f t="shared" si="87"/>
        <v>0</v>
      </c>
      <c r="P845" s="686">
        <f t="shared" si="88"/>
        <v>1</v>
      </c>
      <c r="Q845" s="686">
        <f t="shared" si="89"/>
        <v>1</v>
      </c>
      <c r="DE845" s="494"/>
      <c r="DF845" s="496" t="s">
        <v>2753</v>
      </c>
      <c r="DG845" s="496" t="s">
        <v>8</v>
      </c>
      <c r="DH845" s="496" t="s">
        <v>689</v>
      </c>
      <c r="DI845" s="496" t="s">
        <v>174</v>
      </c>
      <c r="DJ845" s="496" t="s">
        <v>174</v>
      </c>
      <c r="DK845" s="496" t="s">
        <v>1554</v>
      </c>
      <c r="DL845" s="496" t="s">
        <v>1555</v>
      </c>
      <c r="DM845" s="496" t="s">
        <v>1981</v>
      </c>
      <c r="DN845" s="497" t="s">
        <v>1982</v>
      </c>
      <c r="DP845" s="543">
        <v>1</v>
      </c>
    </row>
    <row r="846" spans="2:120" ht="15">
      <c r="B846" s="683"/>
      <c r="C846" s="683"/>
      <c r="D846" s="683"/>
      <c r="E846" s="683" cm="1">
        <f t="array" ref="E846">IF(H845&lt;&gt;"",E845,IF(E845="","",IFERROR(MATCH(TRUE(),INDEX(INDEX(K:K,E845+1):K203&lt;&gt;"",0),0)+E845,"")))</f>
        <v>987</v>
      </c>
      <c r="F846" s="684" cm="1">
        <f t="array" ref="F846">IF(E846="","",IF(H845&lt;&gt;"",H845,INDEX(D:D,E846)))</f>
        <v>0</v>
      </c>
      <c r="G846" s="684" t="str">
        <f t="shared" si="84"/>
        <v>0</v>
      </c>
      <c r="H846" s="685" t="str">
        <f t="shared" si="85"/>
        <v/>
      </c>
      <c r="I846" s="683" t="str">
        <f>IF(AND(F846&lt;&gt;"",N10&gt;0,M846&gt;N10),"Mot &gt; limite","")</f>
        <v/>
      </c>
      <c r="M846" s="638">
        <f>IF(OR(F846="",N10="",N10&lt;=0),"",IF(LEN(F846)&lt;=N10,LEN(F846),IFERROR(FIND("♦",SUBSTITUTE(LEFT(F846,N10)," ","♦",LEN(LEFT(F846,N10))-LEN(SUBSTITUTE(LEFT(F846,N10)," ","")))),FIND(" ",F846&amp;" ",N10+1)-1)))</f>
        <v>1</v>
      </c>
      <c r="N846" s="686">
        <f t="shared" si="86"/>
        <v>829</v>
      </c>
      <c r="O846" s="663" t="str">
        <f t="shared" si="87"/>
        <v>0</v>
      </c>
      <c r="P846" s="686">
        <f t="shared" si="88"/>
        <v>1</v>
      </c>
      <c r="Q846" s="686">
        <f t="shared" si="89"/>
        <v>1</v>
      </c>
      <c r="DE846" s="494"/>
      <c r="DF846" s="496" t="s">
        <v>2754</v>
      </c>
      <c r="DG846" s="496" t="s">
        <v>8</v>
      </c>
      <c r="DH846" s="496" t="s">
        <v>689</v>
      </c>
      <c r="DI846" s="496" t="s">
        <v>2755</v>
      </c>
      <c r="DJ846" s="496" t="s">
        <v>2755</v>
      </c>
      <c r="DK846" s="496" t="s">
        <v>1554</v>
      </c>
      <c r="DL846" s="496" t="s">
        <v>1555</v>
      </c>
      <c r="DM846" s="496" t="s">
        <v>1981</v>
      </c>
      <c r="DN846" s="497" t="s">
        <v>1982</v>
      </c>
      <c r="DP846" s="543">
        <v>1</v>
      </c>
    </row>
    <row r="847" spans="2:120" ht="15">
      <c r="B847" s="683"/>
      <c r="C847" s="683"/>
      <c r="D847" s="683"/>
      <c r="E847" s="683" cm="1">
        <f t="array" ref="E847">IF(H846&lt;&gt;"",E846,IF(E846="","",IFERROR(MATCH(TRUE(),INDEX(INDEX(K:K,E846+1):K203&lt;&gt;"",0),0)+E846,"")))</f>
        <v>988</v>
      </c>
      <c r="F847" s="684" cm="1">
        <f t="array" ref="F847">IF(E847="","",IF(H846&lt;&gt;"",H846,INDEX(D:D,E847)))</f>
        <v>0</v>
      </c>
      <c r="G847" s="684" t="str">
        <f t="shared" si="84"/>
        <v>0</v>
      </c>
      <c r="H847" s="685" t="str">
        <f t="shared" si="85"/>
        <v/>
      </c>
      <c r="I847" s="683" t="str">
        <f>IF(AND(F847&lt;&gt;"",N10&gt;0,M847&gt;N10),"Mot &gt; limite","")</f>
        <v/>
      </c>
      <c r="M847" s="638">
        <f>IF(OR(F847="",N10="",N10&lt;=0),"",IF(LEN(F847)&lt;=N10,LEN(F847),IFERROR(FIND("♦",SUBSTITUTE(LEFT(F847,N10)," ","♦",LEN(LEFT(F847,N10))-LEN(SUBSTITUTE(LEFT(F847,N10)," ","")))),FIND(" ",F847&amp;" ",N10+1)-1)))</f>
        <v>1</v>
      </c>
      <c r="N847" s="686">
        <f t="shared" si="86"/>
        <v>830</v>
      </c>
      <c r="O847" s="663" t="str">
        <f t="shared" si="87"/>
        <v>0</v>
      </c>
      <c r="P847" s="686">
        <f t="shared" si="88"/>
        <v>1</v>
      </c>
      <c r="Q847" s="686">
        <f t="shared" si="89"/>
        <v>1</v>
      </c>
      <c r="DE847" s="494"/>
      <c r="DF847" s="496" t="s">
        <v>2756</v>
      </c>
      <c r="DG847" s="496" t="s">
        <v>8</v>
      </c>
      <c r="DH847" s="496" t="s">
        <v>689</v>
      </c>
      <c r="DI847" s="496" t="s">
        <v>1033</v>
      </c>
      <c r="DJ847" s="496" t="s">
        <v>1033</v>
      </c>
      <c r="DK847" s="496" t="s">
        <v>1554</v>
      </c>
      <c r="DL847" s="496" t="s">
        <v>1555</v>
      </c>
      <c r="DM847" s="496" t="s">
        <v>1981</v>
      </c>
      <c r="DN847" s="497" t="s">
        <v>1982</v>
      </c>
      <c r="DP847" s="543">
        <v>1</v>
      </c>
    </row>
    <row r="848" spans="2:120" ht="15">
      <c r="B848" s="683"/>
      <c r="C848" s="683"/>
      <c r="D848" s="683"/>
      <c r="E848" s="683" cm="1">
        <f t="array" ref="E848">IF(H847&lt;&gt;"",E847,IF(E847="","",IFERROR(MATCH(TRUE(),INDEX(INDEX(K:K,E847+1):K203&lt;&gt;"",0),0)+E847,"")))</f>
        <v>989</v>
      </c>
      <c r="F848" s="684" cm="1">
        <f t="array" ref="F848">IF(E848="","",IF(H847&lt;&gt;"",H847,INDEX(D:D,E848)))</f>
        <v>0</v>
      </c>
      <c r="G848" s="684" t="str">
        <f t="shared" si="84"/>
        <v>0</v>
      </c>
      <c r="H848" s="685" t="str">
        <f t="shared" si="85"/>
        <v/>
      </c>
      <c r="I848" s="683" t="str">
        <f>IF(AND(F848&lt;&gt;"",N10&gt;0,M848&gt;N10),"Mot &gt; limite","")</f>
        <v/>
      </c>
      <c r="M848" s="638">
        <f>IF(OR(F848="",N10="",N10&lt;=0),"",IF(LEN(F848)&lt;=N10,LEN(F848),IFERROR(FIND("♦",SUBSTITUTE(LEFT(F848,N10)," ","♦",LEN(LEFT(F848,N10))-LEN(SUBSTITUTE(LEFT(F848,N10)," ","")))),FIND(" ",F848&amp;" ",N10+1)-1)))</f>
        <v>1</v>
      </c>
      <c r="N848" s="686">
        <f t="shared" si="86"/>
        <v>831</v>
      </c>
      <c r="O848" s="663" t="str">
        <f t="shared" si="87"/>
        <v>0</v>
      </c>
      <c r="P848" s="686">
        <f t="shared" si="88"/>
        <v>1</v>
      </c>
      <c r="Q848" s="686">
        <f t="shared" si="89"/>
        <v>1</v>
      </c>
      <c r="DE848" s="494"/>
      <c r="DF848" s="496" t="s">
        <v>2757</v>
      </c>
      <c r="DG848" s="496" t="s">
        <v>8</v>
      </c>
      <c r="DH848" s="496" t="s">
        <v>689</v>
      </c>
      <c r="DI848" s="496" t="s">
        <v>701</v>
      </c>
      <c r="DJ848" s="496" t="s">
        <v>701</v>
      </c>
      <c r="DK848" s="496" t="s">
        <v>1554</v>
      </c>
      <c r="DL848" s="496" t="s">
        <v>1555</v>
      </c>
      <c r="DM848" s="496" t="s">
        <v>1981</v>
      </c>
      <c r="DN848" s="497" t="s">
        <v>1982</v>
      </c>
      <c r="DP848" s="543">
        <v>1</v>
      </c>
    </row>
    <row r="849" spans="2:120" ht="15">
      <c r="B849" s="683"/>
      <c r="C849" s="683"/>
      <c r="D849" s="683"/>
      <c r="E849" s="683" cm="1">
        <f t="array" ref="E849">IF(H848&lt;&gt;"",E848,IF(E848="","",IFERROR(MATCH(TRUE(),INDEX(INDEX(K:K,E848+1):K203&lt;&gt;"",0),0)+E848,"")))</f>
        <v>990</v>
      </c>
      <c r="F849" s="684" cm="1">
        <f t="array" ref="F849">IF(E849="","",IF(H848&lt;&gt;"",H848,INDEX(D:D,E849)))</f>
        <v>0</v>
      </c>
      <c r="G849" s="684" t="str">
        <f t="shared" si="84"/>
        <v>0</v>
      </c>
      <c r="H849" s="685" t="str">
        <f t="shared" si="85"/>
        <v/>
      </c>
      <c r="I849" s="683" t="str">
        <f>IF(AND(F849&lt;&gt;"",N10&gt;0,M849&gt;N10),"Mot &gt; limite","")</f>
        <v/>
      </c>
      <c r="M849" s="638">
        <f>IF(OR(F849="",N10="",N10&lt;=0),"",IF(LEN(F849)&lt;=N10,LEN(F849),IFERROR(FIND("♦",SUBSTITUTE(LEFT(F849,N10)," ","♦",LEN(LEFT(F849,N10))-LEN(SUBSTITUTE(LEFT(F849,N10)," ","")))),FIND(" ",F849&amp;" ",N10+1)-1)))</f>
        <v>1</v>
      </c>
      <c r="N849" s="686">
        <f t="shared" si="86"/>
        <v>832</v>
      </c>
      <c r="O849" s="663" t="str">
        <f t="shared" si="87"/>
        <v>0</v>
      </c>
      <c r="P849" s="686">
        <f t="shared" si="88"/>
        <v>1</v>
      </c>
      <c r="Q849" s="686">
        <f t="shared" si="89"/>
        <v>1</v>
      </c>
      <c r="DE849" s="494"/>
      <c r="DF849" s="496" t="s">
        <v>2758</v>
      </c>
      <c r="DG849" s="496" t="s">
        <v>8</v>
      </c>
      <c r="DH849" s="496" t="s">
        <v>689</v>
      </c>
      <c r="DI849" s="496" t="s">
        <v>2759</v>
      </c>
      <c r="DJ849" s="496" t="s">
        <v>2759</v>
      </c>
      <c r="DK849" s="496" t="s">
        <v>1554</v>
      </c>
      <c r="DL849" s="496" t="s">
        <v>1555</v>
      </c>
      <c r="DM849" s="496" t="s">
        <v>1981</v>
      </c>
      <c r="DN849" s="497" t="s">
        <v>1982</v>
      </c>
      <c r="DP849" s="543">
        <v>1</v>
      </c>
    </row>
    <row r="850" spans="2:120" ht="15">
      <c r="B850" s="683"/>
      <c r="C850" s="683"/>
      <c r="D850" s="683"/>
      <c r="E850" s="683" cm="1">
        <f t="array" ref="E850">IF(H849&lt;&gt;"",E849,IF(E849="","",IFERROR(MATCH(TRUE(),INDEX(INDEX(K:K,E849+1):K203&lt;&gt;"",0),0)+E849,"")))</f>
        <v>991</v>
      </c>
      <c r="F850" s="684" cm="1">
        <f t="array" ref="F850">IF(E850="","",IF(H849&lt;&gt;"",H849,INDEX(D:D,E850)))</f>
        <v>0</v>
      </c>
      <c r="G850" s="684" t="str">
        <f t="shared" ref="G850:G913" si="90">IF(OR(F850="",M850=""),"",LEFT(F850,M850))</f>
        <v>0</v>
      </c>
      <c r="H850" s="685" t="str">
        <f t="shared" ref="H850:H913" si="91">IF(OR(F850="",M850=""),"",TRIM(MID(F850,M850+1,99999)))</f>
        <v/>
      </c>
      <c r="I850" s="683" t="str">
        <f>IF(AND(F850&lt;&gt;"",N10&gt;0,M850&gt;N10),"Mot &gt; limite","")</f>
        <v/>
      </c>
      <c r="M850" s="638">
        <f>IF(OR(F850="",N10="",N10&lt;=0),"",IF(LEN(F850)&lt;=N10,LEN(F850),IFERROR(FIND("♦",SUBSTITUTE(LEFT(F850,N10)," ","♦",LEN(LEFT(F850,N10))-LEN(SUBSTITUTE(LEFT(F850,N10)," ","")))),FIND(" ",F850&amp;" ",N10+1)-1)))</f>
        <v>1</v>
      </c>
      <c r="N850" s="686">
        <f t="shared" ref="N850:N913" si="92">IF(O850="","",ROW()-17)</f>
        <v>833</v>
      </c>
      <c r="O850" s="663" t="str">
        <f t="shared" ref="O850:O913" si="93">G850</f>
        <v>0</v>
      </c>
      <c r="P850" s="686">
        <f t="shared" ref="P850:P913" si="94">IF(O850="","",LEN(TRIM(O850))-LEN(SUBSTITUTE(TRIM(O850)," ",""))+1)</f>
        <v>1</v>
      </c>
      <c r="Q850" s="686">
        <f t="shared" ref="Q850:Q913" si="95">IF(O850="","",LEN(O850))</f>
        <v>1</v>
      </c>
      <c r="DE850" s="494"/>
      <c r="DF850" s="496" t="s">
        <v>2760</v>
      </c>
      <c r="DG850" s="496" t="s">
        <v>8</v>
      </c>
      <c r="DH850" s="496" t="s">
        <v>689</v>
      </c>
      <c r="DI850" s="496" t="s">
        <v>2761</v>
      </c>
      <c r="DJ850" s="496" t="s">
        <v>2761</v>
      </c>
      <c r="DK850" s="496" t="s">
        <v>1554</v>
      </c>
      <c r="DL850" s="496" t="s">
        <v>1555</v>
      </c>
      <c r="DM850" s="496" t="s">
        <v>1981</v>
      </c>
      <c r="DN850" s="497" t="s">
        <v>1982</v>
      </c>
      <c r="DP850" s="543">
        <v>1</v>
      </c>
    </row>
    <row r="851" spans="2:120" ht="15">
      <c r="B851" s="683"/>
      <c r="C851" s="683"/>
      <c r="D851" s="683"/>
      <c r="E851" s="683" cm="1">
        <f t="array" ref="E851">IF(H850&lt;&gt;"",E850,IF(E850="","",IFERROR(MATCH(TRUE(),INDEX(INDEX(K:K,E850+1):K203&lt;&gt;"",0),0)+E850,"")))</f>
        <v>992</v>
      </c>
      <c r="F851" s="684" cm="1">
        <f t="array" ref="F851">IF(E851="","",IF(H850&lt;&gt;"",H850,INDEX(D:D,E851)))</f>
        <v>0</v>
      </c>
      <c r="G851" s="684" t="str">
        <f t="shared" si="90"/>
        <v>0</v>
      </c>
      <c r="H851" s="685" t="str">
        <f t="shared" si="91"/>
        <v/>
      </c>
      <c r="I851" s="683" t="str">
        <f>IF(AND(F851&lt;&gt;"",N10&gt;0,M851&gt;N10),"Mot &gt; limite","")</f>
        <v/>
      </c>
      <c r="M851" s="638">
        <f>IF(OR(F851="",N10="",N10&lt;=0),"",IF(LEN(F851)&lt;=N10,LEN(F851),IFERROR(FIND("♦",SUBSTITUTE(LEFT(F851,N10)," ","♦",LEN(LEFT(F851,N10))-LEN(SUBSTITUTE(LEFT(F851,N10)," ","")))),FIND(" ",F851&amp;" ",N10+1)-1)))</f>
        <v>1</v>
      </c>
      <c r="N851" s="686">
        <f t="shared" si="92"/>
        <v>834</v>
      </c>
      <c r="O851" s="663" t="str">
        <f t="shared" si="93"/>
        <v>0</v>
      </c>
      <c r="P851" s="686">
        <f t="shared" si="94"/>
        <v>1</v>
      </c>
      <c r="Q851" s="686">
        <f t="shared" si="95"/>
        <v>1</v>
      </c>
      <c r="DE851" s="494"/>
      <c r="DF851" s="496" t="s">
        <v>2762</v>
      </c>
      <c r="DG851" s="496" t="s">
        <v>8</v>
      </c>
      <c r="DH851" s="496" t="s">
        <v>689</v>
      </c>
      <c r="DI851" s="496" t="s">
        <v>2763</v>
      </c>
      <c r="DJ851" s="496" t="s">
        <v>2763</v>
      </c>
      <c r="DK851" s="496" t="s">
        <v>1554</v>
      </c>
      <c r="DL851" s="496" t="s">
        <v>1555</v>
      </c>
      <c r="DM851" s="496" t="s">
        <v>1981</v>
      </c>
      <c r="DN851" s="497" t="s">
        <v>1982</v>
      </c>
      <c r="DP851" s="543">
        <v>1</v>
      </c>
    </row>
    <row r="852" spans="2:120" ht="15">
      <c r="B852" s="683"/>
      <c r="C852" s="683"/>
      <c r="D852" s="683"/>
      <c r="E852" s="683" cm="1">
        <f t="array" ref="E852">IF(H851&lt;&gt;"",E851,IF(E851="","",IFERROR(MATCH(TRUE(),INDEX(INDEX(K:K,E851+1):K203&lt;&gt;"",0),0)+E851,"")))</f>
        <v>993</v>
      </c>
      <c r="F852" s="684" cm="1">
        <f t="array" ref="F852">IF(E852="","",IF(H851&lt;&gt;"",H851,INDEX(D:D,E852)))</f>
        <v>0</v>
      </c>
      <c r="G852" s="684" t="str">
        <f t="shared" si="90"/>
        <v>0</v>
      </c>
      <c r="H852" s="685" t="str">
        <f t="shared" si="91"/>
        <v/>
      </c>
      <c r="I852" s="683" t="str">
        <f>IF(AND(F852&lt;&gt;"",N10&gt;0,M852&gt;N10),"Mot &gt; limite","")</f>
        <v/>
      </c>
      <c r="M852" s="638">
        <f>IF(OR(F852="",N10="",N10&lt;=0),"",IF(LEN(F852)&lt;=N10,LEN(F852),IFERROR(FIND("♦",SUBSTITUTE(LEFT(F852,N10)," ","♦",LEN(LEFT(F852,N10))-LEN(SUBSTITUTE(LEFT(F852,N10)," ","")))),FIND(" ",F852&amp;" ",N10+1)-1)))</f>
        <v>1</v>
      </c>
      <c r="N852" s="686">
        <f t="shared" si="92"/>
        <v>835</v>
      </c>
      <c r="O852" s="663" t="str">
        <f t="shared" si="93"/>
        <v>0</v>
      </c>
      <c r="P852" s="686">
        <f t="shared" si="94"/>
        <v>1</v>
      </c>
      <c r="Q852" s="686">
        <f t="shared" si="95"/>
        <v>1</v>
      </c>
      <c r="DE852" s="494"/>
      <c r="DF852" s="496" t="s">
        <v>2764</v>
      </c>
      <c r="DG852" s="496" t="s">
        <v>8</v>
      </c>
      <c r="DH852" s="496" t="s">
        <v>689</v>
      </c>
      <c r="DI852" s="496" t="s">
        <v>2765</v>
      </c>
      <c r="DJ852" s="496" t="s">
        <v>2765</v>
      </c>
      <c r="DK852" s="496" t="s">
        <v>1554</v>
      </c>
      <c r="DL852" s="496" t="s">
        <v>1555</v>
      </c>
      <c r="DM852" s="496" t="s">
        <v>1981</v>
      </c>
      <c r="DN852" s="497" t="s">
        <v>1982</v>
      </c>
      <c r="DP852" s="543">
        <v>1</v>
      </c>
    </row>
    <row r="853" spans="2:120" ht="15">
      <c r="B853" s="683"/>
      <c r="C853" s="683"/>
      <c r="D853" s="683"/>
      <c r="E853" s="683" cm="1">
        <f t="array" ref="E853">IF(H852&lt;&gt;"",E852,IF(E852="","",IFERROR(MATCH(TRUE(),INDEX(INDEX(K:K,E852+1):K203&lt;&gt;"",0),0)+E852,"")))</f>
        <v>994</v>
      </c>
      <c r="F853" s="684" cm="1">
        <f t="array" ref="F853">IF(E853="","",IF(H852&lt;&gt;"",H852,INDEX(D:D,E853)))</f>
        <v>0</v>
      </c>
      <c r="G853" s="684" t="str">
        <f t="shared" si="90"/>
        <v>0</v>
      </c>
      <c r="H853" s="685" t="str">
        <f t="shared" si="91"/>
        <v/>
      </c>
      <c r="I853" s="683" t="str">
        <f>IF(AND(F853&lt;&gt;"",N10&gt;0,M853&gt;N10),"Mot &gt; limite","")</f>
        <v/>
      </c>
      <c r="M853" s="638">
        <f>IF(OR(F853="",N10="",N10&lt;=0),"",IF(LEN(F853)&lt;=N10,LEN(F853),IFERROR(FIND("♦",SUBSTITUTE(LEFT(F853,N10)," ","♦",LEN(LEFT(F853,N10))-LEN(SUBSTITUTE(LEFT(F853,N10)," ","")))),FIND(" ",F853&amp;" ",N10+1)-1)))</f>
        <v>1</v>
      </c>
      <c r="N853" s="686">
        <f t="shared" si="92"/>
        <v>836</v>
      </c>
      <c r="O853" s="663" t="str">
        <f t="shared" si="93"/>
        <v>0</v>
      </c>
      <c r="P853" s="686">
        <f t="shared" si="94"/>
        <v>1</v>
      </c>
      <c r="Q853" s="686">
        <f t="shared" si="95"/>
        <v>1</v>
      </c>
      <c r="DE853" s="494"/>
      <c r="DF853" s="496" t="s">
        <v>2766</v>
      </c>
      <c r="DG853" s="496" t="s">
        <v>8</v>
      </c>
      <c r="DH853" s="496" t="s">
        <v>689</v>
      </c>
      <c r="DI853" s="496" t="s">
        <v>2767</v>
      </c>
      <c r="DJ853" s="496" t="s">
        <v>2767</v>
      </c>
      <c r="DK853" s="496" t="s">
        <v>1554</v>
      </c>
      <c r="DL853" s="496" t="s">
        <v>1555</v>
      </c>
      <c r="DM853" s="496" t="s">
        <v>1981</v>
      </c>
      <c r="DN853" s="497" t="s">
        <v>1982</v>
      </c>
      <c r="DP853" s="543">
        <v>1</v>
      </c>
    </row>
    <row r="854" spans="2:120" ht="15">
      <c r="B854" s="683"/>
      <c r="C854" s="683"/>
      <c r="D854" s="683"/>
      <c r="E854" s="683" cm="1">
        <f t="array" ref="E854">IF(H853&lt;&gt;"",E853,IF(E853="","",IFERROR(MATCH(TRUE(),INDEX(INDEX(K:K,E853+1):K203&lt;&gt;"",0),0)+E853,"")))</f>
        <v>995</v>
      </c>
      <c r="F854" s="684" cm="1">
        <f t="array" ref="F854">IF(E854="","",IF(H853&lt;&gt;"",H853,INDEX(D:D,E854)))</f>
        <v>0</v>
      </c>
      <c r="G854" s="684" t="str">
        <f t="shared" si="90"/>
        <v>0</v>
      </c>
      <c r="H854" s="685" t="str">
        <f t="shared" si="91"/>
        <v/>
      </c>
      <c r="I854" s="683" t="str">
        <f>IF(AND(F854&lt;&gt;"",N10&gt;0,M854&gt;N10),"Mot &gt; limite","")</f>
        <v/>
      </c>
      <c r="M854" s="638">
        <f>IF(OR(F854="",N10="",N10&lt;=0),"",IF(LEN(F854)&lt;=N10,LEN(F854),IFERROR(FIND("♦",SUBSTITUTE(LEFT(F854,N10)," ","♦",LEN(LEFT(F854,N10))-LEN(SUBSTITUTE(LEFT(F854,N10)," ","")))),FIND(" ",F854&amp;" ",N10+1)-1)))</f>
        <v>1</v>
      </c>
      <c r="N854" s="686">
        <f t="shared" si="92"/>
        <v>837</v>
      </c>
      <c r="O854" s="663" t="str">
        <f t="shared" si="93"/>
        <v>0</v>
      </c>
      <c r="P854" s="686">
        <f t="shared" si="94"/>
        <v>1</v>
      </c>
      <c r="Q854" s="686">
        <f t="shared" si="95"/>
        <v>1</v>
      </c>
      <c r="DE854" s="494"/>
      <c r="DF854" s="496" t="s">
        <v>2768</v>
      </c>
      <c r="DG854" s="496" t="s">
        <v>8</v>
      </c>
      <c r="DH854" s="496" t="s">
        <v>689</v>
      </c>
      <c r="DI854" s="496" t="s">
        <v>2769</v>
      </c>
      <c r="DJ854" s="496" t="s">
        <v>2769</v>
      </c>
      <c r="DK854" s="496" t="s">
        <v>1554</v>
      </c>
      <c r="DL854" s="496" t="s">
        <v>1555</v>
      </c>
      <c r="DM854" s="496" t="s">
        <v>1981</v>
      </c>
      <c r="DN854" s="497" t="s">
        <v>1982</v>
      </c>
      <c r="DP854" s="543">
        <v>1</v>
      </c>
    </row>
    <row r="855" spans="2:120" ht="15">
      <c r="B855" s="683"/>
      <c r="C855" s="683"/>
      <c r="D855" s="683"/>
      <c r="E855" s="683" cm="1">
        <f t="array" ref="E855">IF(H854&lt;&gt;"",E854,IF(E854="","",IFERROR(MATCH(TRUE(),INDEX(INDEX(K:K,E854+1):K203&lt;&gt;"",0),0)+E854,"")))</f>
        <v>996</v>
      </c>
      <c r="F855" s="684" cm="1">
        <f t="array" ref="F855">IF(E855="","",IF(H854&lt;&gt;"",H854,INDEX(D:D,E855)))</f>
        <v>0</v>
      </c>
      <c r="G855" s="684" t="str">
        <f t="shared" si="90"/>
        <v>0</v>
      </c>
      <c r="H855" s="685" t="str">
        <f t="shared" si="91"/>
        <v/>
      </c>
      <c r="I855" s="683" t="str">
        <f>IF(AND(F855&lt;&gt;"",N10&gt;0,M855&gt;N10),"Mot &gt; limite","")</f>
        <v/>
      </c>
      <c r="M855" s="638">
        <f>IF(OR(F855="",N10="",N10&lt;=0),"",IF(LEN(F855)&lt;=N10,LEN(F855),IFERROR(FIND("♦",SUBSTITUTE(LEFT(F855,N10)," ","♦",LEN(LEFT(F855,N10))-LEN(SUBSTITUTE(LEFT(F855,N10)," ","")))),FIND(" ",F855&amp;" ",N10+1)-1)))</f>
        <v>1</v>
      </c>
      <c r="N855" s="686">
        <f t="shared" si="92"/>
        <v>838</v>
      </c>
      <c r="O855" s="663" t="str">
        <f t="shared" si="93"/>
        <v>0</v>
      </c>
      <c r="P855" s="686">
        <f t="shared" si="94"/>
        <v>1</v>
      </c>
      <c r="Q855" s="686">
        <f t="shared" si="95"/>
        <v>1</v>
      </c>
      <c r="DE855" s="494"/>
      <c r="DF855" s="496" t="s">
        <v>2770</v>
      </c>
      <c r="DG855" s="496" t="s">
        <v>8</v>
      </c>
      <c r="DH855" s="496" t="s">
        <v>689</v>
      </c>
      <c r="DI855" s="496" t="s">
        <v>1034</v>
      </c>
      <c r="DJ855" s="496" t="s">
        <v>1034</v>
      </c>
      <c r="DK855" s="496" t="s">
        <v>1554</v>
      </c>
      <c r="DL855" s="496" t="s">
        <v>1555</v>
      </c>
      <c r="DM855" s="496" t="s">
        <v>1981</v>
      </c>
      <c r="DN855" s="497" t="s">
        <v>1982</v>
      </c>
      <c r="DP855" s="543">
        <v>1</v>
      </c>
    </row>
    <row r="856" spans="2:120" ht="15">
      <c r="B856" s="683"/>
      <c r="C856" s="683"/>
      <c r="D856" s="683"/>
      <c r="E856" s="683" cm="1">
        <f t="array" ref="E856">IF(H855&lt;&gt;"",E855,IF(E855="","",IFERROR(MATCH(TRUE(),INDEX(INDEX(K:K,E855+1):K203&lt;&gt;"",0),0)+E855,"")))</f>
        <v>997</v>
      </c>
      <c r="F856" s="684" cm="1">
        <f t="array" ref="F856">IF(E856="","",IF(H855&lt;&gt;"",H855,INDEX(D:D,E856)))</f>
        <v>0</v>
      </c>
      <c r="G856" s="684" t="str">
        <f t="shared" si="90"/>
        <v>0</v>
      </c>
      <c r="H856" s="685" t="str">
        <f t="shared" si="91"/>
        <v/>
      </c>
      <c r="I856" s="683" t="str">
        <f>IF(AND(F856&lt;&gt;"",N10&gt;0,M856&gt;N10),"Mot &gt; limite","")</f>
        <v/>
      </c>
      <c r="M856" s="638">
        <f>IF(OR(F856="",N10="",N10&lt;=0),"",IF(LEN(F856)&lt;=N10,LEN(F856),IFERROR(FIND("♦",SUBSTITUTE(LEFT(F856,N10)," ","♦",LEN(LEFT(F856,N10))-LEN(SUBSTITUTE(LEFT(F856,N10)," ","")))),FIND(" ",F856&amp;" ",N10+1)-1)))</f>
        <v>1</v>
      </c>
      <c r="N856" s="686">
        <f t="shared" si="92"/>
        <v>839</v>
      </c>
      <c r="O856" s="663" t="str">
        <f t="shared" si="93"/>
        <v>0</v>
      </c>
      <c r="P856" s="686">
        <f t="shared" si="94"/>
        <v>1</v>
      </c>
      <c r="Q856" s="686">
        <f t="shared" si="95"/>
        <v>1</v>
      </c>
      <c r="DE856" s="494"/>
      <c r="DF856" s="496" t="s">
        <v>2771</v>
      </c>
      <c r="DG856" s="496" t="s">
        <v>8</v>
      </c>
      <c r="DH856" s="496" t="s">
        <v>689</v>
      </c>
      <c r="DI856" s="496" t="s">
        <v>2772</v>
      </c>
      <c r="DJ856" s="496" t="s">
        <v>2772</v>
      </c>
      <c r="DK856" s="496" t="s">
        <v>1554</v>
      </c>
      <c r="DL856" s="496" t="s">
        <v>1555</v>
      </c>
      <c r="DM856" s="496" t="s">
        <v>1981</v>
      </c>
      <c r="DN856" s="497" t="s">
        <v>1982</v>
      </c>
      <c r="DP856" s="543">
        <v>1</v>
      </c>
    </row>
    <row r="857" spans="2:120" ht="15">
      <c r="B857" s="683"/>
      <c r="C857" s="683"/>
      <c r="D857" s="683"/>
      <c r="E857" s="683" cm="1">
        <f t="array" ref="E857">IF(H856&lt;&gt;"",E856,IF(E856="","",IFERROR(MATCH(TRUE(),INDEX(INDEX(K:K,E856+1):K203&lt;&gt;"",0),0)+E856,"")))</f>
        <v>998</v>
      </c>
      <c r="F857" s="684" cm="1">
        <f t="array" ref="F857">IF(E857="","",IF(H856&lt;&gt;"",H856,INDEX(D:D,E857)))</f>
        <v>0</v>
      </c>
      <c r="G857" s="684" t="str">
        <f t="shared" si="90"/>
        <v>0</v>
      </c>
      <c r="H857" s="685" t="str">
        <f t="shared" si="91"/>
        <v/>
      </c>
      <c r="I857" s="683" t="str">
        <f>IF(AND(F857&lt;&gt;"",N10&gt;0,M857&gt;N10),"Mot &gt; limite","")</f>
        <v/>
      </c>
      <c r="M857" s="638">
        <f>IF(OR(F857="",N10="",N10&lt;=0),"",IF(LEN(F857)&lt;=N10,LEN(F857),IFERROR(FIND("♦",SUBSTITUTE(LEFT(F857,N10)," ","♦",LEN(LEFT(F857,N10))-LEN(SUBSTITUTE(LEFT(F857,N10)," ","")))),FIND(" ",F857&amp;" ",N10+1)-1)))</f>
        <v>1</v>
      </c>
      <c r="N857" s="686">
        <f t="shared" si="92"/>
        <v>840</v>
      </c>
      <c r="O857" s="663" t="str">
        <f t="shared" si="93"/>
        <v>0</v>
      </c>
      <c r="P857" s="686">
        <f t="shared" si="94"/>
        <v>1</v>
      </c>
      <c r="Q857" s="686">
        <f t="shared" si="95"/>
        <v>1</v>
      </c>
      <c r="DE857" s="494"/>
      <c r="DF857" s="496" t="s">
        <v>2773</v>
      </c>
      <c r="DG857" s="496" t="s">
        <v>8</v>
      </c>
      <c r="DH857" s="496" t="s">
        <v>689</v>
      </c>
      <c r="DI857" s="496" t="s">
        <v>2774</v>
      </c>
      <c r="DJ857" s="496" t="s">
        <v>2774</v>
      </c>
      <c r="DK857" s="496" t="s">
        <v>1554</v>
      </c>
      <c r="DL857" s="496" t="s">
        <v>1555</v>
      </c>
      <c r="DM857" s="496" t="s">
        <v>1981</v>
      </c>
      <c r="DN857" s="497" t="s">
        <v>1982</v>
      </c>
      <c r="DP857" s="543">
        <v>1</v>
      </c>
    </row>
    <row r="858" spans="2:120" ht="15">
      <c r="B858" s="683"/>
      <c r="C858" s="683"/>
      <c r="D858" s="683"/>
      <c r="E858" s="683" cm="1">
        <f t="array" ref="E858">IF(H857&lt;&gt;"",E857,IF(E857="","",IFERROR(MATCH(TRUE(),INDEX(INDEX(K:K,E857+1):K203&lt;&gt;"",0),0)+E857,"")))</f>
        <v>999</v>
      </c>
      <c r="F858" s="684" cm="1">
        <f t="array" ref="F858">IF(E858="","",IF(H857&lt;&gt;"",H857,INDEX(D:D,E858)))</f>
        <v>0</v>
      </c>
      <c r="G858" s="684" t="str">
        <f t="shared" si="90"/>
        <v>0</v>
      </c>
      <c r="H858" s="685" t="str">
        <f t="shared" si="91"/>
        <v/>
      </c>
      <c r="I858" s="683" t="str">
        <f>IF(AND(F858&lt;&gt;"",N10&gt;0,M858&gt;N10),"Mot &gt; limite","")</f>
        <v/>
      </c>
      <c r="M858" s="638">
        <f>IF(OR(F858="",N10="",N10&lt;=0),"",IF(LEN(F858)&lt;=N10,LEN(F858),IFERROR(FIND("♦",SUBSTITUTE(LEFT(F858,N10)," ","♦",LEN(LEFT(F858,N10))-LEN(SUBSTITUTE(LEFT(F858,N10)," ","")))),FIND(" ",F858&amp;" ",N10+1)-1)))</f>
        <v>1</v>
      </c>
      <c r="N858" s="686">
        <f t="shared" si="92"/>
        <v>841</v>
      </c>
      <c r="O858" s="663" t="str">
        <f t="shared" si="93"/>
        <v>0</v>
      </c>
      <c r="P858" s="686">
        <f t="shared" si="94"/>
        <v>1</v>
      </c>
      <c r="Q858" s="686">
        <f t="shared" si="95"/>
        <v>1</v>
      </c>
      <c r="DE858" s="494"/>
      <c r="DF858" s="496" t="s">
        <v>2775</v>
      </c>
      <c r="DG858" s="496" t="s">
        <v>8</v>
      </c>
      <c r="DH858" s="496" t="s">
        <v>689</v>
      </c>
      <c r="DI858" s="496" t="s">
        <v>2776</v>
      </c>
      <c r="DJ858" s="496" t="s">
        <v>2776</v>
      </c>
      <c r="DK858" s="496" t="s">
        <v>1554</v>
      </c>
      <c r="DL858" s="496" t="s">
        <v>1555</v>
      </c>
      <c r="DM858" s="496" t="s">
        <v>1981</v>
      </c>
      <c r="DN858" s="497" t="s">
        <v>1982</v>
      </c>
      <c r="DP858" s="543">
        <v>1</v>
      </c>
    </row>
    <row r="859" spans="2:120" ht="15">
      <c r="B859" s="683"/>
      <c r="C859" s="683"/>
      <c r="D859" s="683"/>
      <c r="E859" s="683" cm="1">
        <f t="array" ref="E859">IF(H858&lt;&gt;"",E858,IF(E858="","",IFERROR(MATCH(TRUE(),INDEX(INDEX(K:K,E858+1):K203&lt;&gt;"",0),0)+E858,"")))</f>
        <v>1000</v>
      </c>
      <c r="F859" s="684" cm="1">
        <f t="array" ref="F859">IF(E859="","",IF(H858&lt;&gt;"",H858,INDEX(D:D,E859)))</f>
        <v>0</v>
      </c>
      <c r="G859" s="684" t="str">
        <f t="shared" si="90"/>
        <v>0</v>
      </c>
      <c r="H859" s="685" t="str">
        <f t="shared" si="91"/>
        <v/>
      </c>
      <c r="I859" s="683" t="str">
        <f>IF(AND(F859&lt;&gt;"",N10&gt;0,M859&gt;N10),"Mot &gt; limite","")</f>
        <v/>
      </c>
      <c r="M859" s="638">
        <f>IF(OR(F859="",N10="",N10&lt;=0),"",IF(LEN(F859)&lt;=N10,LEN(F859),IFERROR(FIND("♦",SUBSTITUTE(LEFT(F859,N10)," ","♦",LEN(LEFT(F859,N10))-LEN(SUBSTITUTE(LEFT(F859,N10)," ","")))),FIND(" ",F859&amp;" ",N10+1)-1)))</f>
        <v>1</v>
      </c>
      <c r="N859" s="686">
        <f t="shared" si="92"/>
        <v>842</v>
      </c>
      <c r="O859" s="663" t="str">
        <f t="shared" si="93"/>
        <v>0</v>
      </c>
      <c r="P859" s="686">
        <f t="shared" si="94"/>
        <v>1</v>
      </c>
      <c r="Q859" s="686">
        <f t="shared" si="95"/>
        <v>1</v>
      </c>
      <c r="DE859" s="494"/>
      <c r="DF859" s="496" t="s">
        <v>2777</v>
      </c>
      <c r="DG859" s="496" t="s">
        <v>8</v>
      </c>
      <c r="DH859" s="496" t="s">
        <v>689</v>
      </c>
      <c r="DI859" s="496" t="s">
        <v>1035</v>
      </c>
      <c r="DJ859" s="496" t="s">
        <v>1035</v>
      </c>
      <c r="DK859" s="496" t="s">
        <v>1554</v>
      </c>
      <c r="DL859" s="496" t="s">
        <v>1555</v>
      </c>
      <c r="DM859" s="496" t="s">
        <v>1981</v>
      </c>
      <c r="DN859" s="497" t="s">
        <v>1982</v>
      </c>
      <c r="DP859" s="543">
        <v>1</v>
      </c>
    </row>
    <row r="860" spans="2:120" ht="15">
      <c r="B860" s="683"/>
      <c r="C860" s="683"/>
      <c r="D860" s="683"/>
      <c r="E860" s="683" cm="1">
        <f t="array" ref="E860">IF(H859&lt;&gt;"",E859,IF(E859="","",IFERROR(MATCH(TRUE(),INDEX(INDEX(K:K,E859+1):K203&lt;&gt;"",0),0)+E859,"")))</f>
        <v>1001</v>
      </c>
      <c r="F860" s="684" cm="1">
        <f t="array" ref="F860">IF(E860="","",IF(H859&lt;&gt;"",H859,INDEX(D:D,E860)))</f>
        <v>0</v>
      </c>
      <c r="G860" s="684" t="str">
        <f t="shared" si="90"/>
        <v>0</v>
      </c>
      <c r="H860" s="685" t="str">
        <f t="shared" si="91"/>
        <v/>
      </c>
      <c r="I860" s="683" t="str">
        <f>IF(AND(F860&lt;&gt;"",N10&gt;0,M860&gt;N10),"Mot &gt; limite","")</f>
        <v/>
      </c>
      <c r="M860" s="638">
        <f>IF(OR(F860="",N10="",N10&lt;=0),"",IF(LEN(F860)&lt;=N10,LEN(F860),IFERROR(FIND("♦",SUBSTITUTE(LEFT(F860,N10)," ","♦",LEN(LEFT(F860,N10))-LEN(SUBSTITUTE(LEFT(F860,N10)," ","")))),FIND(" ",F860&amp;" ",N10+1)-1)))</f>
        <v>1</v>
      </c>
      <c r="N860" s="686">
        <f t="shared" si="92"/>
        <v>843</v>
      </c>
      <c r="O860" s="663" t="str">
        <f t="shared" si="93"/>
        <v>0</v>
      </c>
      <c r="P860" s="686">
        <f t="shared" si="94"/>
        <v>1</v>
      </c>
      <c r="Q860" s="686">
        <f t="shared" si="95"/>
        <v>1</v>
      </c>
      <c r="DE860" s="494"/>
      <c r="DF860" s="496" t="s">
        <v>2778</v>
      </c>
      <c r="DG860" s="496" t="s">
        <v>8</v>
      </c>
      <c r="DH860" s="496" t="s">
        <v>689</v>
      </c>
      <c r="DI860" s="496" t="s">
        <v>2779</v>
      </c>
      <c r="DJ860" s="496" t="s">
        <v>2779</v>
      </c>
      <c r="DK860" s="496" t="s">
        <v>1554</v>
      </c>
      <c r="DL860" s="496" t="s">
        <v>1555</v>
      </c>
      <c r="DM860" s="496" t="s">
        <v>1981</v>
      </c>
      <c r="DN860" s="497" t="s">
        <v>1982</v>
      </c>
      <c r="DP860" s="543">
        <v>1</v>
      </c>
    </row>
    <row r="861" spans="2:120" ht="15">
      <c r="B861" s="683"/>
      <c r="C861" s="683"/>
      <c r="D861" s="683"/>
      <c r="E861" s="683" cm="1">
        <f t="array" ref="E861">IF(H860&lt;&gt;"",E860,IF(E860="","",IFERROR(MATCH(TRUE(),INDEX(INDEX(K:K,E860+1):K203&lt;&gt;"",0),0)+E860,"")))</f>
        <v>1002</v>
      </c>
      <c r="F861" s="684" cm="1">
        <f t="array" ref="F861">IF(E861="","",IF(H860&lt;&gt;"",H860,INDEX(D:D,E861)))</f>
        <v>0</v>
      </c>
      <c r="G861" s="684" t="str">
        <f t="shared" si="90"/>
        <v>0</v>
      </c>
      <c r="H861" s="685" t="str">
        <f t="shared" si="91"/>
        <v/>
      </c>
      <c r="I861" s="683" t="str">
        <f>IF(AND(F861&lt;&gt;"",N10&gt;0,M861&gt;N10),"Mot &gt; limite","")</f>
        <v/>
      </c>
      <c r="M861" s="638">
        <f>IF(OR(F861="",N10="",N10&lt;=0),"",IF(LEN(F861)&lt;=N10,LEN(F861),IFERROR(FIND("♦",SUBSTITUTE(LEFT(F861,N10)," ","♦",LEN(LEFT(F861,N10))-LEN(SUBSTITUTE(LEFT(F861,N10)," ","")))),FIND(" ",F861&amp;" ",N10+1)-1)))</f>
        <v>1</v>
      </c>
      <c r="N861" s="686">
        <f t="shared" si="92"/>
        <v>844</v>
      </c>
      <c r="O861" s="663" t="str">
        <f t="shared" si="93"/>
        <v>0</v>
      </c>
      <c r="P861" s="686">
        <f t="shared" si="94"/>
        <v>1</v>
      </c>
      <c r="Q861" s="686">
        <f t="shared" si="95"/>
        <v>1</v>
      </c>
      <c r="DE861" s="494"/>
      <c r="DF861" s="496" t="s">
        <v>2780</v>
      </c>
      <c r="DG861" s="496" t="s">
        <v>8</v>
      </c>
      <c r="DH861" s="496" t="s">
        <v>689</v>
      </c>
      <c r="DI861" s="496" t="s">
        <v>2781</v>
      </c>
      <c r="DJ861" s="496" t="s">
        <v>2781</v>
      </c>
      <c r="DK861" s="496" t="s">
        <v>1554</v>
      </c>
      <c r="DL861" s="496" t="s">
        <v>1555</v>
      </c>
      <c r="DM861" s="496" t="s">
        <v>1981</v>
      </c>
      <c r="DN861" s="497" t="s">
        <v>1982</v>
      </c>
      <c r="DP861" s="543">
        <v>1</v>
      </c>
    </row>
    <row r="862" spans="2:120" ht="15">
      <c r="B862" s="683"/>
      <c r="C862" s="683"/>
      <c r="D862" s="683"/>
      <c r="E862" s="683" cm="1">
        <f t="array" ref="E862">IF(H861&lt;&gt;"",E861,IF(E861="","",IFERROR(MATCH(TRUE(),INDEX(INDEX(K:K,E861+1):K203&lt;&gt;"",0),0)+E861,"")))</f>
        <v>1003</v>
      </c>
      <c r="F862" s="684" cm="1">
        <f t="array" ref="F862">IF(E862="","",IF(H861&lt;&gt;"",H861,INDEX(D:D,E862)))</f>
        <v>0</v>
      </c>
      <c r="G862" s="684" t="str">
        <f t="shared" si="90"/>
        <v>0</v>
      </c>
      <c r="H862" s="685" t="str">
        <f t="shared" si="91"/>
        <v/>
      </c>
      <c r="I862" s="683" t="str">
        <f>IF(AND(F862&lt;&gt;"",N10&gt;0,M862&gt;N10),"Mot &gt; limite","")</f>
        <v/>
      </c>
      <c r="M862" s="638">
        <f>IF(OR(F862="",N10="",N10&lt;=0),"",IF(LEN(F862)&lt;=N10,LEN(F862),IFERROR(FIND("♦",SUBSTITUTE(LEFT(F862,N10)," ","♦",LEN(LEFT(F862,N10))-LEN(SUBSTITUTE(LEFT(F862,N10)," ","")))),FIND(" ",F862&amp;" ",N10+1)-1)))</f>
        <v>1</v>
      </c>
      <c r="N862" s="686">
        <f t="shared" si="92"/>
        <v>845</v>
      </c>
      <c r="O862" s="663" t="str">
        <f t="shared" si="93"/>
        <v>0</v>
      </c>
      <c r="P862" s="686">
        <f t="shared" si="94"/>
        <v>1</v>
      </c>
      <c r="Q862" s="686">
        <f t="shared" si="95"/>
        <v>1</v>
      </c>
      <c r="DE862" s="494"/>
      <c r="DF862" s="496" t="s">
        <v>2782</v>
      </c>
      <c r="DG862" s="496" t="s">
        <v>8</v>
      </c>
      <c r="DH862" s="496" t="s">
        <v>689</v>
      </c>
      <c r="DI862" s="496" t="s">
        <v>2783</v>
      </c>
      <c r="DJ862" s="496" t="s">
        <v>2783</v>
      </c>
      <c r="DK862" s="496" t="s">
        <v>1554</v>
      </c>
      <c r="DL862" s="496" t="s">
        <v>1555</v>
      </c>
      <c r="DM862" s="496" t="s">
        <v>1981</v>
      </c>
      <c r="DN862" s="497" t="s">
        <v>1982</v>
      </c>
      <c r="DP862" s="543">
        <v>1</v>
      </c>
    </row>
    <row r="863" spans="2:120" ht="15">
      <c r="B863" s="683"/>
      <c r="C863" s="683"/>
      <c r="D863" s="683"/>
      <c r="E863" s="683" cm="1">
        <f t="array" ref="E863">IF(H862&lt;&gt;"",E862,IF(E862="","",IFERROR(MATCH(TRUE(),INDEX(INDEX(K:K,E862+1):K203&lt;&gt;"",0),0)+E862,"")))</f>
        <v>1004</v>
      </c>
      <c r="F863" s="684" cm="1">
        <f t="array" ref="F863">IF(E863="","",IF(H862&lt;&gt;"",H862,INDEX(D:D,E863)))</f>
        <v>0</v>
      </c>
      <c r="G863" s="684" t="str">
        <f t="shared" si="90"/>
        <v>0</v>
      </c>
      <c r="H863" s="685" t="str">
        <f t="shared" si="91"/>
        <v/>
      </c>
      <c r="I863" s="683" t="str">
        <f>IF(AND(F863&lt;&gt;"",N10&gt;0,M863&gt;N10),"Mot &gt; limite","")</f>
        <v/>
      </c>
      <c r="M863" s="638">
        <f>IF(OR(F863="",N10="",N10&lt;=0),"",IF(LEN(F863)&lt;=N10,LEN(F863),IFERROR(FIND("♦",SUBSTITUTE(LEFT(F863,N10)," ","♦",LEN(LEFT(F863,N10))-LEN(SUBSTITUTE(LEFT(F863,N10)," ","")))),FIND(" ",F863&amp;" ",N10+1)-1)))</f>
        <v>1</v>
      </c>
      <c r="N863" s="686">
        <f t="shared" si="92"/>
        <v>846</v>
      </c>
      <c r="O863" s="663" t="str">
        <f t="shared" si="93"/>
        <v>0</v>
      </c>
      <c r="P863" s="686">
        <f t="shared" si="94"/>
        <v>1</v>
      </c>
      <c r="Q863" s="686">
        <f t="shared" si="95"/>
        <v>1</v>
      </c>
      <c r="DE863" s="494"/>
      <c r="DF863" s="496" t="s">
        <v>2784</v>
      </c>
      <c r="DG863" s="496" t="s">
        <v>8</v>
      </c>
      <c r="DH863" s="496" t="s">
        <v>689</v>
      </c>
      <c r="DI863" s="496" t="s">
        <v>2785</v>
      </c>
      <c r="DJ863" s="496" t="s">
        <v>2785</v>
      </c>
      <c r="DK863" s="496" t="s">
        <v>1554</v>
      </c>
      <c r="DL863" s="496" t="s">
        <v>1555</v>
      </c>
      <c r="DM863" s="496" t="s">
        <v>1981</v>
      </c>
      <c r="DN863" s="497" t="s">
        <v>1982</v>
      </c>
      <c r="DP863" s="543">
        <v>1</v>
      </c>
    </row>
    <row r="864" spans="2:120" ht="15">
      <c r="B864" s="683"/>
      <c r="C864" s="683"/>
      <c r="D864" s="683"/>
      <c r="E864" s="683" cm="1">
        <f t="array" ref="E864">IF(H863&lt;&gt;"",E863,IF(E863="","",IFERROR(MATCH(TRUE(),INDEX(INDEX(K:K,E863+1):K203&lt;&gt;"",0),0)+E863,"")))</f>
        <v>1005</v>
      </c>
      <c r="F864" s="684" cm="1">
        <f t="array" ref="F864">IF(E864="","",IF(H863&lt;&gt;"",H863,INDEX(D:D,E864)))</f>
        <v>0</v>
      </c>
      <c r="G864" s="684" t="str">
        <f t="shared" si="90"/>
        <v>0</v>
      </c>
      <c r="H864" s="685" t="str">
        <f t="shared" si="91"/>
        <v/>
      </c>
      <c r="I864" s="683" t="str">
        <f>IF(AND(F864&lt;&gt;"",N10&gt;0,M864&gt;N10),"Mot &gt; limite","")</f>
        <v/>
      </c>
      <c r="M864" s="638">
        <f>IF(OR(F864="",N10="",N10&lt;=0),"",IF(LEN(F864)&lt;=N10,LEN(F864),IFERROR(FIND("♦",SUBSTITUTE(LEFT(F864,N10)," ","♦",LEN(LEFT(F864,N10))-LEN(SUBSTITUTE(LEFT(F864,N10)," ","")))),FIND(" ",F864&amp;" ",N10+1)-1)))</f>
        <v>1</v>
      </c>
      <c r="N864" s="686">
        <f t="shared" si="92"/>
        <v>847</v>
      </c>
      <c r="O864" s="663" t="str">
        <f t="shared" si="93"/>
        <v>0</v>
      </c>
      <c r="P864" s="686">
        <f t="shared" si="94"/>
        <v>1</v>
      </c>
      <c r="Q864" s="686">
        <f t="shared" si="95"/>
        <v>1</v>
      </c>
      <c r="DE864" s="494"/>
      <c r="DF864" s="496" t="s">
        <v>2786</v>
      </c>
      <c r="DG864" s="496" t="s">
        <v>8</v>
      </c>
      <c r="DH864" s="496" t="s">
        <v>689</v>
      </c>
      <c r="DI864" s="496" t="s">
        <v>2787</v>
      </c>
      <c r="DJ864" s="496" t="s">
        <v>2787</v>
      </c>
      <c r="DK864" s="496" t="s">
        <v>1554</v>
      </c>
      <c r="DL864" s="496" t="s">
        <v>1555</v>
      </c>
      <c r="DM864" s="496" t="s">
        <v>1981</v>
      </c>
      <c r="DN864" s="497" t="s">
        <v>1982</v>
      </c>
      <c r="DP864" s="543">
        <v>1</v>
      </c>
    </row>
    <row r="865" spans="2:120" ht="15">
      <c r="B865" s="683"/>
      <c r="C865" s="683"/>
      <c r="D865" s="683"/>
      <c r="E865" s="683" cm="1">
        <f t="array" ref="E865">IF(H864&lt;&gt;"",E864,IF(E864="","",IFERROR(MATCH(TRUE(),INDEX(INDEX(K:K,E864+1):K203&lt;&gt;"",0),0)+E864,"")))</f>
        <v>1006</v>
      </c>
      <c r="F865" s="684" cm="1">
        <f t="array" ref="F865">IF(E865="","",IF(H864&lt;&gt;"",H864,INDEX(D:D,E865)))</f>
        <v>0</v>
      </c>
      <c r="G865" s="684" t="str">
        <f t="shared" si="90"/>
        <v>0</v>
      </c>
      <c r="H865" s="685" t="str">
        <f t="shared" si="91"/>
        <v/>
      </c>
      <c r="I865" s="683" t="str">
        <f>IF(AND(F865&lt;&gt;"",N10&gt;0,M865&gt;N10),"Mot &gt; limite","")</f>
        <v/>
      </c>
      <c r="M865" s="638">
        <f>IF(OR(F865="",N10="",N10&lt;=0),"",IF(LEN(F865)&lt;=N10,LEN(F865),IFERROR(FIND("♦",SUBSTITUTE(LEFT(F865,N10)," ","♦",LEN(LEFT(F865,N10))-LEN(SUBSTITUTE(LEFT(F865,N10)," ","")))),FIND(" ",F865&amp;" ",N10+1)-1)))</f>
        <v>1</v>
      </c>
      <c r="N865" s="686">
        <f t="shared" si="92"/>
        <v>848</v>
      </c>
      <c r="O865" s="663" t="str">
        <f t="shared" si="93"/>
        <v>0</v>
      </c>
      <c r="P865" s="686">
        <f t="shared" si="94"/>
        <v>1</v>
      </c>
      <c r="Q865" s="686">
        <f t="shared" si="95"/>
        <v>1</v>
      </c>
      <c r="DE865" s="494"/>
      <c r="DF865" s="496" t="s">
        <v>2788</v>
      </c>
      <c r="DG865" s="496" t="s">
        <v>8</v>
      </c>
      <c r="DH865" s="496" t="s">
        <v>689</v>
      </c>
      <c r="DI865" s="496" t="s">
        <v>2789</v>
      </c>
      <c r="DJ865" s="496" t="s">
        <v>2789</v>
      </c>
      <c r="DK865" s="496" t="s">
        <v>1554</v>
      </c>
      <c r="DL865" s="496" t="s">
        <v>1555</v>
      </c>
      <c r="DM865" s="496" t="s">
        <v>1981</v>
      </c>
      <c r="DN865" s="497" t="s">
        <v>1982</v>
      </c>
      <c r="DP865" s="543">
        <v>1</v>
      </c>
    </row>
    <row r="866" spans="2:120" ht="15">
      <c r="B866" s="683"/>
      <c r="C866" s="683"/>
      <c r="D866" s="683"/>
      <c r="E866" s="683" cm="1">
        <f t="array" ref="E866">IF(H865&lt;&gt;"",E865,IF(E865="","",IFERROR(MATCH(TRUE(),INDEX(INDEX(K:K,E865+1):K203&lt;&gt;"",0),0)+E865,"")))</f>
        <v>1007</v>
      </c>
      <c r="F866" s="684" cm="1">
        <f t="array" ref="F866">IF(E866="","",IF(H865&lt;&gt;"",H865,INDEX(D:D,E866)))</f>
        <v>0</v>
      </c>
      <c r="G866" s="684" t="str">
        <f t="shared" si="90"/>
        <v>0</v>
      </c>
      <c r="H866" s="685" t="str">
        <f t="shared" si="91"/>
        <v/>
      </c>
      <c r="I866" s="683" t="str">
        <f>IF(AND(F866&lt;&gt;"",N10&gt;0,M866&gt;N10),"Mot &gt; limite","")</f>
        <v/>
      </c>
      <c r="M866" s="638">
        <f>IF(OR(F866="",N10="",N10&lt;=0),"",IF(LEN(F866)&lt;=N10,LEN(F866),IFERROR(FIND("♦",SUBSTITUTE(LEFT(F866,N10)," ","♦",LEN(LEFT(F866,N10))-LEN(SUBSTITUTE(LEFT(F866,N10)," ","")))),FIND(" ",F866&amp;" ",N10+1)-1)))</f>
        <v>1</v>
      </c>
      <c r="N866" s="686">
        <f t="shared" si="92"/>
        <v>849</v>
      </c>
      <c r="O866" s="663" t="str">
        <f t="shared" si="93"/>
        <v>0</v>
      </c>
      <c r="P866" s="686">
        <f t="shared" si="94"/>
        <v>1</v>
      </c>
      <c r="Q866" s="686">
        <f t="shared" si="95"/>
        <v>1</v>
      </c>
      <c r="DE866" s="494"/>
      <c r="DF866" s="496" t="s">
        <v>2790</v>
      </c>
      <c r="DG866" s="496" t="s">
        <v>8</v>
      </c>
      <c r="DH866" s="496" t="s">
        <v>689</v>
      </c>
      <c r="DI866" s="496" t="s">
        <v>2791</v>
      </c>
      <c r="DJ866" s="496" t="s">
        <v>2791</v>
      </c>
      <c r="DK866" s="496" t="s">
        <v>1554</v>
      </c>
      <c r="DL866" s="496" t="s">
        <v>1555</v>
      </c>
      <c r="DM866" s="496" t="s">
        <v>1981</v>
      </c>
      <c r="DN866" s="497" t="s">
        <v>1982</v>
      </c>
      <c r="DP866" s="543">
        <v>1</v>
      </c>
    </row>
    <row r="867" spans="2:120" ht="15">
      <c r="B867" s="683"/>
      <c r="C867" s="683"/>
      <c r="D867" s="683"/>
      <c r="E867" s="683" cm="1">
        <f t="array" ref="E867">IF(H866&lt;&gt;"",E866,IF(E866="","",IFERROR(MATCH(TRUE(),INDEX(INDEX(K:K,E866+1):K203&lt;&gt;"",0),0)+E866,"")))</f>
        <v>1008</v>
      </c>
      <c r="F867" s="684" cm="1">
        <f t="array" ref="F867">IF(E867="","",IF(H866&lt;&gt;"",H866,INDEX(D:D,E867)))</f>
        <v>0</v>
      </c>
      <c r="G867" s="684" t="str">
        <f t="shared" si="90"/>
        <v>0</v>
      </c>
      <c r="H867" s="685" t="str">
        <f t="shared" si="91"/>
        <v/>
      </c>
      <c r="I867" s="683" t="str">
        <f>IF(AND(F867&lt;&gt;"",N10&gt;0,M867&gt;N10),"Mot &gt; limite","")</f>
        <v/>
      </c>
      <c r="M867" s="638">
        <f>IF(OR(F867="",N10="",N10&lt;=0),"",IF(LEN(F867)&lt;=N10,LEN(F867),IFERROR(FIND("♦",SUBSTITUTE(LEFT(F867,N10)," ","♦",LEN(LEFT(F867,N10))-LEN(SUBSTITUTE(LEFT(F867,N10)," ","")))),FIND(" ",F867&amp;" ",N10+1)-1)))</f>
        <v>1</v>
      </c>
      <c r="N867" s="686">
        <f t="shared" si="92"/>
        <v>850</v>
      </c>
      <c r="O867" s="663" t="str">
        <f t="shared" si="93"/>
        <v>0</v>
      </c>
      <c r="P867" s="686">
        <f t="shared" si="94"/>
        <v>1</v>
      </c>
      <c r="Q867" s="686">
        <f t="shared" si="95"/>
        <v>1</v>
      </c>
      <c r="DE867" s="494"/>
      <c r="DF867" s="496" t="s">
        <v>2792</v>
      </c>
      <c r="DG867" s="496" t="s">
        <v>8</v>
      </c>
      <c r="DH867" s="496" t="s">
        <v>689</v>
      </c>
      <c r="DI867" s="496" t="s">
        <v>2793</v>
      </c>
      <c r="DJ867" s="496" t="s">
        <v>2793</v>
      </c>
      <c r="DK867" s="496" t="s">
        <v>1554</v>
      </c>
      <c r="DL867" s="496" t="s">
        <v>1555</v>
      </c>
      <c r="DM867" s="496" t="s">
        <v>1981</v>
      </c>
      <c r="DN867" s="497" t="s">
        <v>1982</v>
      </c>
      <c r="DP867" s="543">
        <v>1</v>
      </c>
    </row>
    <row r="868" spans="2:120" ht="15">
      <c r="B868" s="683"/>
      <c r="C868" s="683"/>
      <c r="D868" s="683"/>
      <c r="E868" s="683" cm="1">
        <f t="array" ref="E868">IF(H867&lt;&gt;"",E867,IF(E867="","",IFERROR(MATCH(TRUE(),INDEX(INDEX(K:K,E867+1):K203&lt;&gt;"",0),0)+E867,"")))</f>
        <v>1009</v>
      </c>
      <c r="F868" s="684" cm="1">
        <f t="array" ref="F868">IF(E868="","",IF(H867&lt;&gt;"",H867,INDEX(D:D,E868)))</f>
        <v>0</v>
      </c>
      <c r="G868" s="684" t="str">
        <f t="shared" si="90"/>
        <v>0</v>
      </c>
      <c r="H868" s="685" t="str">
        <f t="shared" si="91"/>
        <v/>
      </c>
      <c r="I868" s="683" t="str">
        <f>IF(AND(F868&lt;&gt;"",N10&gt;0,M868&gt;N10),"Mot &gt; limite","")</f>
        <v/>
      </c>
      <c r="M868" s="638">
        <f>IF(OR(F868="",N10="",N10&lt;=0),"",IF(LEN(F868)&lt;=N10,LEN(F868),IFERROR(FIND("♦",SUBSTITUTE(LEFT(F868,N10)," ","♦",LEN(LEFT(F868,N10))-LEN(SUBSTITUTE(LEFT(F868,N10)," ","")))),FIND(" ",F868&amp;" ",N10+1)-1)))</f>
        <v>1</v>
      </c>
      <c r="N868" s="686">
        <f t="shared" si="92"/>
        <v>851</v>
      </c>
      <c r="O868" s="663" t="str">
        <f t="shared" si="93"/>
        <v>0</v>
      </c>
      <c r="P868" s="686">
        <f t="shared" si="94"/>
        <v>1</v>
      </c>
      <c r="Q868" s="686">
        <f t="shared" si="95"/>
        <v>1</v>
      </c>
      <c r="DE868" s="494"/>
      <c r="DF868" s="496" t="s">
        <v>2794</v>
      </c>
      <c r="DG868" s="496" t="s">
        <v>8</v>
      </c>
      <c r="DH868" s="496" t="s">
        <v>689</v>
      </c>
      <c r="DI868" s="496" t="s">
        <v>2795</v>
      </c>
      <c r="DJ868" s="496" t="s">
        <v>2795</v>
      </c>
      <c r="DK868" s="496" t="s">
        <v>1554</v>
      </c>
      <c r="DL868" s="496" t="s">
        <v>1555</v>
      </c>
      <c r="DM868" s="496" t="s">
        <v>1981</v>
      </c>
      <c r="DN868" s="497" t="s">
        <v>1982</v>
      </c>
      <c r="DP868" s="543">
        <v>1</v>
      </c>
    </row>
    <row r="869" spans="2:120" ht="15">
      <c r="B869" s="683"/>
      <c r="C869" s="683"/>
      <c r="D869" s="683"/>
      <c r="E869" s="683" cm="1">
        <f t="array" ref="E869">IF(H868&lt;&gt;"",E868,IF(E868="","",IFERROR(MATCH(TRUE(),INDEX(INDEX(K:K,E868+1):K203&lt;&gt;"",0),0)+E868,"")))</f>
        <v>1010</v>
      </c>
      <c r="F869" s="684" cm="1">
        <f t="array" ref="F869">IF(E869="","",IF(H868&lt;&gt;"",H868,INDEX(D:D,E869)))</f>
        <v>0</v>
      </c>
      <c r="G869" s="684" t="str">
        <f t="shared" si="90"/>
        <v>0</v>
      </c>
      <c r="H869" s="685" t="str">
        <f t="shared" si="91"/>
        <v/>
      </c>
      <c r="I869" s="683" t="str">
        <f>IF(AND(F869&lt;&gt;"",N10&gt;0,M869&gt;N10),"Mot &gt; limite","")</f>
        <v/>
      </c>
      <c r="M869" s="638">
        <f>IF(OR(F869="",N10="",N10&lt;=0),"",IF(LEN(F869)&lt;=N10,LEN(F869),IFERROR(FIND("♦",SUBSTITUTE(LEFT(F869,N10)," ","♦",LEN(LEFT(F869,N10))-LEN(SUBSTITUTE(LEFT(F869,N10)," ","")))),FIND(" ",F869&amp;" ",N10+1)-1)))</f>
        <v>1</v>
      </c>
      <c r="N869" s="686">
        <f t="shared" si="92"/>
        <v>852</v>
      </c>
      <c r="O869" s="663" t="str">
        <f t="shared" si="93"/>
        <v>0</v>
      </c>
      <c r="P869" s="686">
        <f t="shared" si="94"/>
        <v>1</v>
      </c>
      <c r="Q869" s="686">
        <f t="shared" si="95"/>
        <v>1</v>
      </c>
      <c r="DE869" s="494"/>
      <c r="DF869" s="496" t="s">
        <v>2796</v>
      </c>
      <c r="DG869" s="496" t="s">
        <v>8</v>
      </c>
      <c r="DH869" s="496" t="s">
        <v>689</v>
      </c>
      <c r="DI869" s="496" t="s">
        <v>2797</v>
      </c>
      <c r="DJ869" s="496" t="s">
        <v>2797</v>
      </c>
      <c r="DK869" s="496" t="s">
        <v>1554</v>
      </c>
      <c r="DL869" s="496" t="s">
        <v>1555</v>
      </c>
      <c r="DM869" s="496" t="s">
        <v>1981</v>
      </c>
      <c r="DN869" s="497" t="s">
        <v>1982</v>
      </c>
      <c r="DP869" s="543">
        <v>1</v>
      </c>
    </row>
    <row r="870" spans="2:120" ht="15">
      <c r="B870" s="683"/>
      <c r="C870" s="683"/>
      <c r="D870" s="683"/>
      <c r="E870" s="683" cm="1">
        <f t="array" ref="E870">IF(H869&lt;&gt;"",E869,IF(E869="","",IFERROR(MATCH(TRUE(),INDEX(INDEX(K:K,E869+1):K203&lt;&gt;"",0),0)+E869,"")))</f>
        <v>1011</v>
      </c>
      <c r="F870" s="684" cm="1">
        <f t="array" ref="F870">IF(E870="","",IF(H869&lt;&gt;"",H869,INDEX(D:D,E870)))</f>
        <v>0</v>
      </c>
      <c r="G870" s="684" t="str">
        <f t="shared" si="90"/>
        <v>0</v>
      </c>
      <c r="H870" s="685" t="str">
        <f t="shared" si="91"/>
        <v/>
      </c>
      <c r="I870" s="683" t="str">
        <f>IF(AND(F870&lt;&gt;"",N10&gt;0,M870&gt;N10),"Mot &gt; limite","")</f>
        <v/>
      </c>
      <c r="M870" s="638">
        <f>IF(OR(F870="",N10="",N10&lt;=0),"",IF(LEN(F870)&lt;=N10,LEN(F870),IFERROR(FIND("♦",SUBSTITUTE(LEFT(F870,N10)," ","♦",LEN(LEFT(F870,N10))-LEN(SUBSTITUTE(LEFT(F870,N10)," ","")))),FIND(" ",F870&amp;" ",N10+1)-1)))</f>
        <v>1</v>
      </c>
      <c r="N870" s="686">
        <f t="shared" si="92"/>
        <v>853</v>
      </c>
      <c r="O870" s="663" t="str">
        <f t="shared" si="93"/>
        <v>0</v>
      </c>
      <c r="P870" s="686">
        <f t="shared" si="94"/>
        <v>1</v>
      </c>
      <c r="Q870" s="686">
        <f t="shared" si="95"/>
        <v>1</v>
      </c>
      <c r="DE870" s="494"/>
      <c r="DF870" s="496" t="s">
        <v>2798</v>
      </c>
      <c r="DG870" s="496" t="s">
        <v>8</v>
      </c>
      <c r="DH870" s="496" t="s">
        <v>689</v>
      </c>
      <c r="DI870" s="496" t="s">
        <v>1036</v>
      </c>
      <c r="DJ870" s="496" t="s">
        <v>1036</v>
      </c>
      <c r="DK870" s="496" t="s">
        <v>1554</v>
      </c>
      <c r="DL870" s="496" t="s">
        <v>1555</v>
      </c>
      <c r="DM870" s="496" t="s">
        <v>1981</v>
      </c>
      <c r="DN870" s="497" t="s">
        <v>1982</v>
      </c>
      <c r="DP870" s="543">
        <v>1</v>
      </c>
    </row>
    <row r="871" spans="2:120" ht="15">
      <c r="B871" s="683"/>
      <c r="C871" s="683"/>
      <c r="D871" s="683"/>
      <c r="E871" s="683" cm="1">
        <f t="array" ref="E871">IF(H870&lt;&gt;"",E870,IF(E870="","",IFERROR(MATCH(TRUE(),INDEX(INDEX(K:K,E870+1):K203&lt;&gt;"",0),0)+E870,"")))</f>
        <v>1012</v>
      </c>
      <c r="F871" s="684" cm="1">
        <f t="array" ref="F871">IF(E871="","",IF(H870&lt;&gt;"",H870,INDEX(D:D,E871)))</f>
        <v>0</v>
      </c>
      <c r="G871" s="684" t="str">
        <f t="shared" si="90"/>
        <v>0</v>
      </c>
      <c r="H871" s="685" t="str">
        <f t="shared" si="91"/>
        <v/>
      </c>
      <c r="I871" s="683" t="str">
        <f>IF(AND(F871&lt;&gt;"",N10&gt;0,M871&gt;N10),"Mot &gt; limite","")</f>
        <v/>
      </c>
      <c r="M871" s="638">
        <f>IF(OR(F871="",N10="",N10&lt;=0),"",IF(LEN(F871)&lt;=N10,LEN(F871),IFERROR(FIND("♦",SUBSTITUTE(LEFT(F871,N10)," ","♦",LEN(LEFT(F871,N10))-LEN(SUBSTITUTE(LEFT(F871,N10)," ","")))),FIND(" ",F871&amp;" ",N10+1)-1)))</f>
        <v>1</v>
      </c>
      <c r="N871" s="686">
        <f t="shared" si="92"/>
        <v>854</v>
      </c>
      <c r="O871" s="663" t="str">
        <f t="shared" si="93"/>
        <v>0</v>
      </c>
      <c r="P871" s="686">
        <f t="shared" si="94"/>
        <v>1</v>
      </c>
      <c r="Q871" s="686">
        <f t="shared" si="95"/>
        <v>1</v>
      </c>
      <c r="DE871" s="494"/>
      <c r="DF871" s="496" t="s">
        <v>2799</v>
      </c>
      <c r="DG871" s="496" t="s">
        <v>8</v>
      </c>
      <c r="DH871" s="496" t="s">
        <v>689</v>
      </c>
      <c r="DI871" s="496" t="s">
        <v>2800</v>
      </c>
      <c r="DJ871" s="496" t="s">
        <v>2800</v>
      </c>
      <c r="DK871" s="496" t="s">
        <v>1554</v>
      </c>
      <c r="DL871" s="496" t="s">
        <v>1555</v>
      </c>
      <c r="DM871" s="496" t="s">
        <v>1981</v>
      </c>
      <c r="DN871" s="497" t="s">
        <v>1982</v>
      </c>
      <c r="DP871" s="543">
        <v>1</v>
      </c>
    </row>
    <row r="872" spans="2:120" ht="15">
      <c r="B872" s="683"/>
      <c r="C872" s="683"/>
      <c r="D872" s="683"/>
      <c r="E872" s="683" cm="1">
        <f t="array" ref="E872">IF(H871&lt;&gt;"",E871,IF(E871="","",IFERROR(MATCH(TRUE(),INDEX(INDEX(K:K,E871+1):K203&lt;&gt;"",0),0)+E871,"")))</f>
        <v>1013</v>
      </c>
      <c r="F872" s="684" cm="1">
        <f t="array" ref="F872">IF(E872="","",IF(H871&lt;&gt;"",H871,INDEX(D:D,E872)))</f>
        <v>0</v>
      </c>
      <c r="G872" s="684" t="str">
        <f t="shared" si="90"/>
        <v>0</v>
      </c>
      <c r="H872" s="685" t="str">
        <f t="shared" si="91"/>
        <v/>
      </c>
      <c r="I872" s="683" t="str">
        <f>IF(AND(F872&lt;&gt;"",N10&gt;0,M872&gt;N10),"Mot &gt; limite","")</f>
        <v/>
      </c>
      <c r="M872" s="638">
        <f>IF(OR(F872="",N10="",N10&lt;=0),"",IF(LEN(F872)&lt;=N10,LEN(F872),IFERROR(FIND("♦",SUBSTITUTE(LEFT(F872,N10)," ","♦",LEN(LEFT(F872,N10))-LEN(SUBSTITUTE(LEFT(F872,N10)," ","")))),FIND(" ",F872&amp;" ",N10+1)-1)))</f>
        <v>1</v>
      </c>
      <c r="N872" s="686">
        <f t="shared" si="92"/>
        <v>855</v>
      </c>
      <c r="O872" s="663" t="str">
        <f t="shared" si="93"/>
        <v>0</v>
      </c>
      <c r="P872" s="686">
        <f t="shared" si="94"/>
        <v>1</v>
      </c>
      <c r="Q872" s="686">
        <f t="shared" si="95"/>
        <v>1</v>
      </c>
      <c r="DE872" s="494"/>
      <c r="DF872" s="496" t="s">
        <v>2801</v>
      </c>
      <c r="DG872" s="496" t="s">
        <v>8</v>
      </c>
      <c r="DH872" s="496" t="s">
        <v>689</v>
      </c>
      <c r="DI872" s="496" t="s">
        <v>2802</v>
      </c>
      <c r="DJ872" s="496" t="s">
        <v>2802</v>
      </c>
      <c r="DK872" s="496" t="s">
        <v>1554</v>
      </c>
      <c r="DL872" s="496" t="s">
        <v>1555</v>
      </c>
      <c r="DM872" s="496" t="s">
        <v>1981</v>
      </c>
      <c r="DN872" s="497" t="s">
        <v>1982</v>
      </c>
      <c r="DP872" s="543">
        <v>1</v>
      </c>
    </row>
    <row r="873" spans="2:120" ht="15">
      <c r="B873" s="683"/>
      <c r="C873" s="683"/>
      <c r="D873" s="683"/>
      <c r="E873" s="683" cm="1">
        <f t="array" ref="E873">IF(H872&lt;&gt;"",E872,IF(E872="","",IFERROR(MATCH(TRUE(),INDEX(INDEX(K:K,E872+1):K203&lt;&gt;"",0),0)+E872,"")))</f>
        <v>1014</v>
      </c>
      <c r="F873" s="684" cm="1">
        <f t="array" ref="F873">IF(E873="","",IF(H872&lt;&gt;"",H872,INDEX(D:D,E873)))</f>
        <v>0</v>
      </c>
      <c r="G873" s="684" t="str">
        <f t="shared" si="90"/>
        <v>0</v>
      </c>
      <c r="H873" s="685" t="str">
        <f t="shared" si="91"/>
        <v/>
      </c>
      <c r="I873" s="683" t="str">
        <f>IF(AND(F873&lt;&gt;"",N10&gt;0,M873&gt;N10),"Mot &gt; limite","")</f>
        <v/>
      </c>
      <c r="M873" s="638">
        <f>IF(OR(F873="",N10="",N10&lt;=0),"",IF(LEN(F873)&lt;=N10,LEN(F873),IFERROR(FIND("♦",SUBSTITUTE(LEFT(F873,N10)," ","♦",LEN(LEFT(F873,N10))-LEN(SUBSTITUTE(LEFT(F873,N10)," ","")))),FIND(" ",F873&amp;" ",N10+1)-1)))</f>
        <v>1</v>
      </c>
      <c r="N873" s="686">
        <f t="shared" si="92"/>
        <v>856</v>
      </c>
      <c r="O873" s="663" t="str">
        <f t="shared" si="93"/>
        <v>0</v>
      </c>
      <c r="P873" s="686">
        <f t="shared" si="94"/>
        <v>1</v>
      </c>
      <c r="Q873" s="686">
        <f t="shared" si="95"/>
        <v>1</v>
      </c>
      <c r="DE873" s="494"/>
      <c r="DF873" s="496" t="s">
        <v>2803</v>
      </c>
      <c r="DG873" s="496" t="s">
        <v>8</v>
      </c>
      <c r="DH873" s="496" t="s">
        <v>689</v>
      </c>
      <c r="DI873" s="496" t="s">
        <v>2804</v>
      </c>
      <c r="DJ873" s="496" t="s">
        <v>2804</v>
      </c>
      <c r="DK873" s="496" t="s">
        <v>1554</v>
      </c>
      <c r="DL873" s="496" t="s">
        <v>1555</v>
      </c>
      <c r="DM873" s="496" t="s">
        <v>1981</v>
      </c>
      <c r="DN873" s="497" t="s">
        <v>1982</v>
      </c>
      <c r="DP873" s="543">
        <v>1</v>
      </c>
    </row>
    <row r="874" spans="2:120" ht="15">
      <c r="B874" s="683"/>
      <c r="C874" s="683"/>
      <c r="D874" s="683"/>
      <c r="E874" s="683" cm="1">
        <f t="array" ref="E874">IF(H873&lt;&gt;"",E873,IF(E873="","",IFERROR(MATCH(TRUE(),INDEX(INDEX(K:K,E873+1):K203&lt;&gt;"",0),0)+E873,"")))</f>
        <v>1015</v>
      </c>
      <c r="F874" s="684" cm="1">
        <f t="array" ref="F874">IF(E874="","",IF(H873&lt;&gt;"",H873,INDEX(D:D,E874)))</f>
        <v>0</v>
      </c>
      <c r="G874" s="684" t="str">
        <f t="shared" si="90"/>
        <v>0</v>
      </c>
      <c r="H874" s="685" t="str">
        <f t="shared" si="91"/>
        <v/>
      </c>
      <c r="I874" s="683" t="str">
        <f>IF(AND(F874&lt;&gt;"",N10&gt;0,M874&gt;N10),"Mot &gt; limite","")</f>
        <v/>
      </c>
      <c r="M874" s="638">
        <f>IF(OR(F874="",N10="",N10&lt;=0),"",IF(LEN(F874)&lt;=N10,LEN(F874),IFERROR(FIND("♦",SUBSTITUTE(LEFT(F874,N10)," ","♦",LEN(LEFT(F874,N10))-LEN(SUBSTITUTE(LEFT(F874,N10)," ","")))),FIND(" ",F874&amp;" ",N10+1)-1)))</f>
        <v>1</v>
      </c>
      <c r="N874" s="686">
        <f t="shared" si="92"/>
        <v>857</v>
      </c>
      <c r="O874" s="663" t="str">
        <f t="shared" si="93"/>
        <v>0</v>
      </c>
      <c r="P874" s="686">
        <f t="shared" si="94"/>
        <v>1</v>
      </c>
      <c r="Q874" s="686">
        <f t="shared" si="95"/>
        <v>1</v>
      </c>
      <c r="DE874" s="494"/>
      <c r="DF874" s="496" t="s">
        <v>2805</v>
      </c>
      <c r="DG874" s="496" t="s">
        <v>8</v>
      </c>
      <c r="DH874" s="496" t="s">
        <v>689</v>
      </c>
      <c r="DI874" s="496" t="s">
        <v>2806</v>
      </c>
      <c r="DJ874" s="496" t="s">
        <v>2806</v>
      </c>
      <c r="DK874" s="496" t="s">
        <v>1554</v>
      </c>
      <c r="DL874" s="496" t="s">
        <v>1555</v>
      </c>
      <c r="DM874" s="496" t="s">
        <v>1981</v>
      </c>
      <c r="DN874" s="497" t="s">
        <v>1982</v>
      </c>
      <c r="DP874" s="543">
        <v>1</v>
      </c>
    </row>
    <row r="875" spans="2:120" ht="15">
      <c r="B875" s="683"/>
      <c r="C875" s="683"/>
      <c r="D875" s="683"/>
      <c r="E875" s="683" cm="1">
        <f t="array" ref="E875">IF(H874&lt;&gt;"",E874,IF(E874="","",IFERROR(MATCH(TRUE(),INDEX(INDEX(K:K,E874+1):K203&lt;&gt;"",0),0)+E874,"")))</f>
        <v>1016</v>
      </c>
      <c r="F875" s="684" cm="1">
        <f t="array" ref="F875">IF(E875="","",IF(H874&lt;&gt;"",H874,INDEX(D:D,E875)))</f>
        <v>0</v>
      </c>
      <c r="G875" s="684" t="str">
        <f t="shared" si="90"/>
        <v>0</v>
      </c>
      <c r="H875" s="685" t="str">
        <f t="shared" si="91"/>
        <v/>
      </c>
      <c r="I875" s="683" t="str">
        <f>IF(AND(F875&lt;&gt;"",N10&gt;0,M875&gt;N10),"Mot &gt; limite","")</f>
        <v/>
      </c>
      <c r="M875" s="638">
        <f>IF(OR(F875="",N10="",N10&lt;=0),"",IF(LEN(F875)&lt;=N10,LEN(F875),IFERROR(FIND("♦",SUBSTITUTE(LEFT(F875,N10)," ","♦",LEN(LEFT(F875,N10))-LEN(SUBSTITUTE(LEFT(F875,N10)," ","")))),FIND(" ",F875&amp;" ",N10+1)-1)))</f>
        <v>1</v>
      </c>
      <c r="N875" s="686">
        <f t="shared" si="92"/>
        <v>858</v>
      </c>
      <c r="O875" s="663" t="str">
        <f t="shared" si="93"/>
        <v>0</v>
      </c>
      <c r="P875" s="686">
        <f t="shared" si="94"/>
        <v>1</v>
      </c>
      <c r="Q875" s="686">
        <f t="shared" si="95"/>
        <v>1</v>
      </c>
      <c r="DE875" s="494"/>
      <c r="DF875" s="496" t="s">
        <v>2807</v>
      </c>
      <c r="DG875" s="496" t="s">
        <v>8</v>
      </c>
      <c r="DH875" s="496" t="s">
        <v>689</v>
      </c>
      <c r="DI875" s="496" t="s">
        <v>2808</v>
      </c>
      <c r="DJ875" s="496" t="s">
        <v>2808</v>
      </c>
      <c r="DK875" s="496" t="s">
        <v>1554</v>
      </c>
      <c r="DL875" s="496" t="s">
        <v>1555</v>
      </c>
      <c r="DM875" s="496" t="s">
        <v>1981</v>
      </c>
      <c r="DN875" s="497" t="s">
        <v>1982</v>
      </c>
      <c r="DP875" s="543">
        <v>1</v>
      </c>
    </row>
    <row r="876" spans="2:120" ht="15">
      <c r="B876" s="683"/>
      <c r="C876" s="683"/>
      <c r="D876" s="683"/>
      <c r="E876" s="683" cm="1">
        <f t="array" ref="E876">IF(H875&lt;&gt;"",E875,IF(E875="","",IFERROR(MATCH(TRUE(),INDEX(INDEX(K:K,E875+1):K203&lt;&gt;"",0),0)+E875,"")))</f>
        <v>1017</v>
      </c>
      <c r="F876" s="684" cm="1">
        <f t="array" ref="F876">IF(E876="","",IF(H875&lt;&gt;"",H875,INDEX(D:D,E876)))</f>
        <v>0</v>
      </c>
      <c r="G876" s="684" t="str">
        <f t="shared" si="90"/>
        <v>0</v>
      </c>
      <c r="H876" s="685" t="str">
        <f t="shared" si="91"/>
        <v/>
      </c>
      <c r="I876" s="683" t="str">
        <f>IF(AND(F876&lt;&gt;"",N10&gt;0,M876&gt;N10),"Mot &gt; limite","")</f>
        <v/>
      </c>
      <c r="M876" s="638">
        <f>IF(OR(F876="",N10="",N10&lt;=0),"",IF(LEN(F876)&lt;=N10,LEN(F876),IFERROR(FIND("♦",SUBSTITUTE(LEFT(F876,N10)," ","♦",LEN(LEFT(F876,N10))-LEN(SUBSTITUTE(LEFT(F876,N10)," ","")))),FIND(" ",F876&amp;" ",N10+1)-1)))</f>
        <v>1</v>
      </c>
      <c r="N876" s="686">
        <f t="shared" si="92"/>
        <v>859</v>
      </c>
      <c r="O876" s="663" t="str">
        <f t="shared" si="93"/>
        <v>0</v>
      </c>
      <c r="P876" s="686">
        <f t="shared" si="94"/>
        <v>1</v>
      </c>
      <c r="Q876" s="686">
        <f t="shared" si="95"/>
        <v>1</v>
      </c>
      <c r="DE876" s="494"/>
      <c r="DF876" s="496" t="s">
        <v>2809</v>
      </c>
      <c r="DG876" s="496" t="s">
        <v>8</v>
      </c>
      <c r="DH876" s="496" t="s">
        <v>689</v>
      </c>
      <c r="DI876" s="496" t="s">
        <v>2810</v>
      </c>
      <c r="DJ876" s="496" t="s">
        <v>2810</v>
      </c>
      <c r="DK876" s="496" t="s">
        <v>1554</v>
      </c>
      <c r="DL876" s="496" t="s">
        <v>1555</v>
      </c>
      <c r="DM876" s="496" t="s">
        <v>1981</v>
      </c>
      <c r="DN876" s="497" t="s">
        <v>1982</v>
      </c>
      <c r="DP876" s="543">
        <v>1</v>
      </c>
    </row>
    <row r="877" spans="2:120" ht="15">
      <c r="B877" s="683"/>
      <c r="C877" s="683"/>
      <c r="D877" s="683"/>
      <c r="E877" s="683" cm="1">
        <f t="array" ref="E877">IF(H876&lt;&gt;"",E876,IF(E876="","",IFERROR(MATCH(TRUE(),INDEX(INDEX(K:K,E876+1):K203&lt;&gt;"",0),0)+E876,"")))</f>
        <v>1018</v>
      </c>
      <c r="F877" s="684" cm="1">
        <f t="array" ref="F877">IF(E877="","",IF(H876&lt;&gt;"",H876,INDEX(D:D,E877)))</f>
        <v>0</v>
      </c>
      <c r="G877" s="684" t="str">
        <f t="shared" si="90"/>
        <v>0</v>
      </c>
      <c r="H877" s="685" t="str">
        <f t="shared" si="91"/>
        <v/>
      </c>
      <c r="I877" s="683" t="str">
        <f>IF(AND(F877&lt;&gt;"",N10&gt;0,M877&gt;N10),"Mot &gt; limite","")</f>
        <v/>
      </c>
      <c r="M877" s="638">
        <f>IF(OR(F877="",N10="",N10&lt;=0),"",IF(LEN(F877)&lt;=N10,LEN(F877),IFERROR(FIND("♦",SUBSTITUTE(LEFT(F877,N10)," ","♦",LEN(LEFT(F877,N10))-LEN(SUBSTITUTE(LEFT(F877,N10)," ","")))),FIND(" ",F877&amp;" ",N10+1)-1)))</f>
        <v>1</v>
      </c>
      <c r="N877" s="686">
        <f t="shared" si="92"/>
        <v>860</v>
      </c>
      <c r="O877" s="663" t="str">
        <f t="shared" si="93"/>
        <v>0</v>
      </c>
      <c r="P877" s="686">
        <f t="shared" si="94"/>
        <v>1</v>
      </c>
      <c r="Q877" s="686">
        <f t="shared" si="95"/>
        <v>1</v>
      </c>
      <c r="DE877" s="494"/>
      <c r="DF877" s="496" t="s">
        <v>2811</v>
      </c>
      <c r="DG877" s="496" t="s">
        <v>8</v>
      </c>
      <c r="DH877" s="496" t="s">
        <v>689</v>
      </c>
      <c r="DI877" s="496" t="s">
        <v>1037</v>
      </c>
      <c r="DJ877" s="496" t="s">
        <v>1037</v>
      </c>
      <c r="DK877" s="496" t="s">
        <v>1554</v>
      </c>
      <c r="DL877" s="496" t="s">
        <v>1555</v>
      </c>
      <c r="DM877" s="496" t="s">
        <v>1981</v>
      </c>
      <c r="DN877" s="497" t="s">
        <v>1982</v>
      </c>
      <c r="DP877" s="543">
        <v>1</v>
      </c>
    </row>
    <row r="878" spans="2:120" ht="15">
      <c r="B878" s="683"/>
      <c r="C878" s="683"/>
      <c r="D878" s="683"/>
      <c r="E878" s="683" cm="1">
        <f t="array" ref="E878">IF(H877&lt;&gt;"",E877,IF(E877="","",IFERROR(MATCH(TRUE(),INDEX(INDEX(K:K,E877+1):K203&lt;&gt;"",0),0)+E877,"")))</f>
        <v>1019</v>
      </c>
      <c r="F878" s="684" cm="1">
        <f t="array" ref="F878">IF(E878="","",IF(H877&lt;&gt;"",H877,INDEX(D:D,E878)))</f>
        <v>0</v>
      </c>
      <c r="G878" s="684" t="str">
        <f t="shared" si="90"/>
        <v>0</v>
      </c>
      <c r="H878" s="685" t="str">
        <f t="shared" si="91"/>
        <v/>
      </c>
      <c r="I878" s="683" t="str">
        <f>IF(AND(F878&lt;&gt;"",N10&gt;0,M878&gt;N10),"Mot &gt; limite","")</f>
        <v/>
      </c>
      <c r="M878" s="638">
        <f>IF(OR(F878="",N10="",N10&lt;=0),"",IF(LEN(F878)&lt;=N10,LEN(F878),IFERROR(FIND("♦",SUBSTITUTE(LEFT(F878,N10)," ","♦",LEN(LEFT(F878,N10))-LEN(SUBSTITUTE(LEFT(F878,N10)," ","")))),FIND(" ",F878&amp;" ",N10+1)-1)))</f>
        <v>1</v>
      </c>
      <c r="N878" s="686">
        <f t="shared" si="92"/>
        <v>861</v>
      </c>
      <c r="O878" s="663" t="str">
        <f t="shared" si="93"/>
        <v>0</v>
      </c>
      <c r="P878" s="686">
        <f t="shared" si="94"/>
        <v>1</v>
      </c>
      <c r="Q878" s="686">
        <f t="shared" si="95"/>
        <v>1</v>
      </c>
      <c r="DE878" s="494"/>
      <c r="DF878" s="496" t="s">
        <v>2812</v>
      </c>
      <c r="DG878" s="496" t="s">
        <v>8</v>
      </c>
      <c r="DH878" s="496" t="s">
        <v>689</v>
      </c>
      <c r="DI878" s="496" t="s">
        <v>2813</v>
      </c>
      <c r="DJ878" s="496" t="s">
        <v>2813</v>
      </c>
      <c r="DK878" s="496" t="s">
        <v>1554</v>
      </c>
      <c r="DL878" s="496" t="s">
        <v>1555</v>
      </c>
      <c r="DM878" s="496" t="s">
        <v>1981</v>
      </c>
      <c r="DN878" s="497" t="s">
        <v>1982</v>
      </c>
      <c r="DP878" s="543">
        <v>1</v>
      </c>
    </row>
    <row r="879" spans="2:120" ht="15">
      <c r="B879" s="683"/>
      <c r="C879" s="683"/>
      <c r="D879" s="683"/>
      <c r="E879" s="683" cm="1">
        <f t="array" ref="E879">IF(H878&lt;&gt;"",E878,IF(E878="","",IFERROR(MATCH(TRUE(),INDEX(INDEX(K:K,E878+1):K203&lt;&gt;"",0),0)+E878,"")))</f>
        <v>1020</v>
      </c>
      <c r="F879" s="684" cm="1">
        <f t="array" ref="F879">IF(E879="","",IF(H878&lt;&gt;"",H878,INDEX(D:D,E879)))</f>
        <v>0</v>
      </c>
      <c r="G879" s="684" t="str">
        <f t="shared" si="90"/>
        <v>0</v>
      </c>
      <c r="H879" s="685" t="str">
        <f t="shared" si="91"/>
        <v/>
      </c>
      <c r="I879" s="683" t="str">
        <f>IF(AND(F879&lt;&gt;"",N10&gt;0,M879&gt;N10),"Mot &gt; limite","")</f>
        <v/>
      </c>
      <c r="M879" s="638">
        <f>IF(OR(F879="",N10="",N10&lt;=0),"",IF(LEN(F879)&lt;=N10,LEN(F879),IFERROR(FIND("♦",SUBSTITUTE(LEFT(F879,N10)," ","♦",LEN(LEFT(F879,N10))-LEN(SUBSTITUTE(LEFT(F879,N10)," ","")))),FIND(" ",F879&amp;" ",N10+1)-1)))</f>
        <v>1</v>
      </c>
      <c r="N879" s="686">
        <f t="shared" si="92"/>
        <v>862</v>
      </c>
      <c r="O879" s="663" t="str">
        <f t="shared" si="93"/>
        <v>0</v>
      </c>
      <c r="P879" s="686">
        <f t="shared" si="94"/>
        <v>1</v>
      </c>
      <c r="Q879" s="686">
        <f t="shared" si="95"/>
        <v>1</v>
      </c>
      <c r="DE879" s="494"/>
      <c r="DF879" s="496" t="s">
        <v>2814</v>
      </c>
      <c r="DG879" s="496" t="s">
        <v>8</v>
      </c>
      <c r="DH879" s="496" t="s">
        <v>689</v>
      </c>
      <c r="DI879" s="496" t="s">
        <v>2815</v>
      </c>
      <c r="DJ879" s="496" t="s">
        <v>2815</v>
      </c>
      <c r="DK879" s="496" t="s">
        <v>1554</v>
      </c>
      <c r="DL879" s="496" t="s">
        <v>1555</v>
      </c>
      <c r="DM879" s="496" t="s">
        <v>1981</v>
      </c>
      <c r="DN879" s="497" t="s">
        <v>1982</v>
      </c>
      <c r="DP879" s="543">
        <v>1</v>
      </c>
    </row>
    <row r="880" spans="2:120" ht="15">
      <c r="B880" s="683"/>
      <c r="C880" s="683"/>
      <c r="D880" s="683"/>
      <c r="E880" s="683" cm="1">
        <f t="array" ref="E880">IF(H879&lt;&gt;"",E879,IF(E879="","",IFERROR(MATCH(TRUE(),INDEX(INDEX(K:K,E879+1):K203&lt;&gt;"",0),0)+E879,"")))</f>
        <v>1021</v>
      </c>
      <c r="F880" s="684" cm="1">
        <f t="array" ref="F880">IF(E880="","",IF(H879&lt;&gt;"",H879,INDEX(D:D,E880)))</f>
        <v>0</v>
      </c>
      <c r="G880" s="684" t="str">
        <f t="shared" si="90"/>
        <v>0</v>
      </c>
      <c r="H880" s="685" t="str">
        <f t="shared" si="91"/>
        <v/>
      </c>
      <c r="I880" s="683" t="str">
        <f>IF(AND(F880&lt;&gt;"",N10&gt;0,M880&gt;N10),"Mot &gt; limite","")</f>
        <v/>
      </c>
      <c r="M880" s="638">
        <f>IF(OR(F880="",N10="",N10&lt;=0),"",IF(LEN(F880)&lt;=N10,LEN(F880),IFERROR(FIND("♦",SUBSTITUTE(LEFT(F880,N10)," ","♦",LEN(LEFT(F880,N10))-LEN(SUBSTITUTE(LEFT(F880,N10)," ","")))),FIND(" ",F880&amp;" ",N10+1)-1)))</f>
        <v>1</v>
      </c>
      <c r="N880" s="686">
        <f t="shared" si="92"/>
        <v>863</v>
      </c>
      <c r="O880" s="663" t="str">
        <f t="shared" si="93"/>
        <v>0</v>
      </c>
      <c r="P880" s="686">
        <f t="shared" si="94"/>
        <v>1</v>
      </c>
      <c r="Q880" s="686">
        <f t="shared" si="95"/>
        <v>1</v>
      </c>
      <c r="DE880" s="494"/>
      <c r="DF880" s="496" t="s">
        <v>2816</v>
      </c>
      <c r="DG880" s="496" t="s">
        <v>8</v>
      </c>
      <c r="DH880" s="496" t="s">
        <v>689</v>
      </c>
      <c r="DI880" s="496" t="s">
        <v>2817</v>
      </c>
      <c r="DJ880" s="496" t="s">
        <v>2817</v>
      </c>
      <c r="DK880" s="496" t="s">
        <v>1554</v>
      </c>
      <c r="DL880" s="496" t="s">
        <v>1555</v>
      </c>
      <c r="DM880" s="496" t="s">
        <v>1981</v>
      </c>
      <c r="DN880" s="497" t="s">
        <v>1982</v>
      </c>
      <c r="DP880" s="543">
        <v>1</v>
      </c>
    </row>
    <row r="881" spans="2:120" ht="15">
      <c r="B881" s="683"/>
      <c r="C881" s="683"/>
      <c r="D881" s="683"/>
      <c r="E881" s="683" cm="1">
        <f t="array" ref="E881">IF(H880&lt;&gt;"",E880,IF(E880="","",IFERROR(MATCH(TRUE(),INDEX(INDEX(K:K,E880+1):K203&lt;&gt;"",0),0)+E880,"")))</f>
        <v>1022</v>
      </c>
      <c r="F881" s="684" cm="1">
        <f t="array" ref="F881">IF(E881="","",IF(H880&lt;&gt;"",H880,INDEX(D:D,E881)))</f>
        <v>0</v>
      </c>
      <c r="G881" s="684" t="str">
        <f t="shared" si="90"/>
        <v>0</v>
      </c>
      <c r="H881" s="685" t="str">
        <f t="shared" si="91"/>
        <v/>
      </c>
      <c r="I881" s="683" t="str">
        <f>IF(AND(F881&lt;&gt;"",N10&gt;0,M881&gt;N10),"Mot &gt; limite","")</f>
        <v/>
      </c>
      <c r="M881" s="638">
        <f>IF(OR(F881="",N10="",N10&lt;=0),"",IF(LEN(F881)&lt;=N10,LEN(F881),IFERROR(FIND("♦",SUBSTITUTE(LEFT(F881,N10)," ","♦",LEN(LEFT(F881,N10))-LEN(SUBSTITUTE(LEFT(F881,N10)," ","")))),FIND(" ",F881&amp;" ",N10+1)-1)))</f>
        <v>1</v>
      </c>
      <c r="N881" s="686">
        <f t="shared" si="92"/>
        <v>864</v>
      </c>
      <c r="O881" s="663" t="str">
        <f t="shared" si="93"/>
        <v>0</v>
      </c>
      <c r="P881" s="686">
        <f t="shared" si="94"/>
        <v>1</v>
      </c>
      <c r="Q881" s="686">
        <f t="shared" si="95"/>
        <v>1</v>
      </c>
      <c r="DE881" s="494"/>
      <c r="DF881" s="496" t="s">
        <v>2818</v>
      </c>
      <c r="DG881" s="496" t="s">
        <v>8</v>
      </c>
      <c r="DH881" s="496" t="s">
        <v>689</v>
      </c>
      <c r="DI881" s="496" t="s">
        <v>2819</v>
      </c>
      <c r="DJ881" s="496" t="s">
        <v>2819</v>
      </c>
      <c r="DK881" s="496" t="s">
        <v>1554</v>
      </c>
      <c r="DL881" s="496" t="s">
        <v>1555</v>
      </c>
      <c r="DM881" s="496" t="s">
        <v>1981</v>
      </c>
      <c r="DN881" s="497" t="s">
        <v>1982</v>
      </c>
      <c r="DP881" s="543">
        <v>1</v>
      </c>
    </row>
    <row r="882" spans="2:120" ht="15">
      <c r="B882" s="683"/>
      <c r="C882" s="683"/>
      <c r="D882" s="683"/>
      <c r="E882" s="683" cm="1">
        <f t="array" ref="E882">IF(H881&lt;&gt;"",E881,IF(E881="","",IFERROR(MATCH(TRUE(),INDEX(INDEX(K:K,E881+1):K203&lt;&gt;"",0),0)+E881,"")))</f>
        <v>1023</v>
      </c>
      <c r="F882" s="684" cm="1">
        <f t="array" ref="F882">IF(E882="","",IF(H881&lt;&gt;"",H881,INDEX(D:D,E882)))</f>
        <v>0</v>
      </c>
      <c r="G882" s="684" t="str">
        <f t="shared" si="90"/>
        <v>0</v>
      </c>
      <c r="H882" s="685" t="str">
        <f t="shared" si="91"/>
        <v/>
      </c>
      <c r="I882" s="683" t="str">
        <f>IF(AND(F882&lt;&gt;"",N10&gt;0,M882&gt;N10),"Mot &gt; limite","")</f>
        <v/>
      </c>
      <c r="M882" s="638">
        <f>IF(OR(F882="",N10="",N10&lt;=0),"",IF(LEN(F882)&lt;=N10,LEN(F882),IFERROR(FIND("♦",SUBSTITUTE(LEFT(F882,N10)," ","♦",LEN(LEFT(F882,N10))-LEN(SUBSTITUTE(LEFT(F882,N10)," ","")))),FIND(" ",F882&amp;" ",N10+1)-1)))</f>
        <v>1</v>
      </c>
      <c r="N882" s="686">
        <f t="shared" si="92"/>
        <v>865</v>
      </c>
      <c r="O882" s="663" t="str">
        <f t="shared" si="93"/>
        <v>0</v>
      </c>
      <c r="P882" s="686">
        <f t="shared" si="94"/>
        <v>1</v>
      </c>
      <c r="Q882" s="686">
        <f t="shared" si="95"/>
        <v>1</v>
      </c>
      <c r="DE882" s="494"/>
      <c r="DF882" s="496" t="s">
        <v>2820</v>
      </c>
      <c r="DG882" s="496" t="s">
        <v>8</v>
      </c>
      <c r="DH882" s="496" t="s">
        <v>689</v>
      </c>
      <c r="DI882" s="496" t="s">
        <v>2821</v>
      </c>
      <c r="DJ882" s="496" t="s">
        <v>2821</v>
      </c>
      <c r="DK882" s="496" t="s">
        <v>1554</v>
      </c>
      <c r="DL882" s="496" t="s">
        <v>1555</v>
      </c>
      <c r="DM882" s="496" t="s">
        <v>1981</v>
      </c>
      <c r="DN882" s="497" t="s">
        <v>1982</v>
      </c>
      <c r="DP882" s="543">
        <v>1</v>
      </c>
    </row>
    <row r="883" spans="2:120" ht="15">
      <c r="B883" s="683"/>
      <c r="C883" s="683"/>
      <c r="D883" s="683"/>
      <c r="E883" s="683" cm="1">
        <f t="array" ref="E883">IF(H882&lt;&gt;"",E882,IF(E882="","",IFERROR(MATCH(TRUE(),INDEX(INDEX(K:K,E882+1):K203&lt;&gt;"",0),0)+E882,"")))</f>
        <v>1024</v>
      </c>
      <c r="F883" s="684" cm="1">
        <f t="array" ref="F883">IF(E883="","",IF(H882&lt;&gt;"",H882,INDEX(D:D,E883)))</f>
        <v>0</v>
      </c>
      <c r="G883" s="684" t="str">
        <f t="shared" si="90"/>
        <v>0</v>
      </c>
      <c r="H883" s="685" t="str">
        <f t="shared" si="91"/>
        <v/>
      </c>
      <c r="I883" s="683" t="str">
        <f>IF(AND(F883&lt;&gt;"",N10&gt;0,M883&gt;N10),"Mot &gt; limite","")</f>
        <v/>
      </c>
      <c r="M883" s="638">
        <f>IF(OR(F883="",N10="",N10&lt;=0),"",IF(LEN(F883)&lt;=N10,LEN(F883),IFERROR(FIND("♦",SUBSTITUTE(LEFT(F883,N10)," ","♦",LEN(LEFT(F883,N10))-LEN(SUBSTITUTE(LEFT(F883,N10)," ","")))),FIND(" ",F883&amp;" ",N10+1)-1)))</f>
        <v>1</v>
      </c>
      <c r="N883" s="686">
        <f t="shared" si="92"/>
        <v>866</v>
      </c>
      <c r="O883" s="663" t="str">
        <f t="shared" si="93"/>
        <v>0</v>
      </c>
      <c r="P883" s="686">
        <f t="shared" si="94"/>
        <v>1</v>
      </c>
      <c r="Q883" s="686">
        <f t="shared" si="95"/>
        <v>1</v>
      </c>
      <c r="DE883" s="494"/>
      <c r="DF883" s="496" t="s">
        <v>2822</v>
      </c>
      <c r="DG883" s="496" t="s">
        <v>8</v>
      </c>
      <c r="DH883" s="496" t="s">
        <v>689</v>
      </c>
      <c r="DI883" s="496" t="s">
        <v>2823</v>
      </c>
      <c r="DJ883" s="496" t="s">
        <v>2823</v>
      </c>
      <c r="DK883" s="496" t="s">
        <v>1554</v>
      </c>
      <c r="DL883" s="496" t="s">
        <v>1555</v>
      </c>
      <c r="DM883" s="496" t="s">
        <v>1981</v>
      </c>
      <c r="DN883" s="497" t="s">
        <v>1982</v>
      </c>
      <c r="DP883" s="543">
        <v>1</v>
      </c>
    </row>
    <row r="884" spans="2:120" ht="15">
      <c r="B884" s="683"/>
      <c r="C884" s="683"/>
      <c r="D884" s="683"/>
      <c r="E884" s="683" cm="1">
        <f t="array" ref="E884">IF(H883&lt;&gt;"",E883,IF(E883="","",IFERROR(MATCH(TRUE(),INDEX(INDEX(K:K,E883+1):K203&lt;&gt;"",0),0)+E883,"")))</f>
        <v>1025</v>
      </c>
      <c r="F884" s="684" cm="1">
        <f t="array" ref="F884">IF(E884="","",IF(H883&lt;&gt;"",H883,INDEX(D:D,E884)))</f>
        <v>0</v>
      </c>
      <c r="G884" s="684" t="str">
        <f t="shared" si="90"/>
        <v>0</v>
      </c>
      <c r="H884" s="685" t="str">
        <f t="shared" si="91"/>
        <v/>
      </c>
      <c r="I884" s="683" t="str">
        <f>IF(AND(F884&lt;&gt;"",N10&gt;0,M884&gt;N10),"Mot &gt; limite","")</f>
        <v/>
      </c>
      <c r="M884" s="638">
        <f>IF(OR(F884="",N10="",N10&lt;=0),"",IF(LEN(F884)&lt;=N10,LEN(F884),IFERROR(FIND("♦",SUBSTITUTE(LEFT(F884,N10)," ","♦",LEN(LEFT(F884,N10))-LEN(SUBSTITUTE(LEFT(F884,N10)," ","")))),FIND(" ",F884&amp;" ",N10+1)-1)))</f>
        <v>1</v>
      </c>
      <c r="N884" s="686">
        <f t="shared" si="92"/>
        <v>867</v>
      </c>
      <c r="O884" s="663" t="str">
        <f t="shared" si="93"/>
        <v>0</v>
      </c>
      <c r="P884" s="686">
        <f t="shared" si="94"/>
        <v>1</v>
      </c>
      <c r="Q884" s="686">
        <f t="shared" si="95"/>
        <v>1</v>
      </c>
      <c r="DE884" s="494"/>
      <c r="DF884" s="496" t="s">
        <v>2824</v>
      </c>
      <c r="DG884" s="496" t="s">
        <v>8</v>
      </c>
      <c r="DH884" s="496" t="s">
        <v>689</v>
      </c>
      <c r="DI884" s="496" t="s">
        <v>2825</v>
      </c>
      <c r="DJ884" s="496" t="s">
        <v>2825</v>
      </c>
      <c r="DK884" s="496" t="s">
        <v>1554</v>
      </c>
      <c r="DL884" s="496" t="s">
        <v>1555</v>
      </c>
      <c r="DM884" s="496" t="s">
        <v>1981</v>
      </c>
      <c r="DN884" s="497" t="s">
        <v>1982</v>
      </c>
      <c r="DP884" s="543">
        <v>1</v>
      </c>
    </row>
    <row r="885" spans="2:120" ht="15">
      <c r="B885" s="683"/>
      <c r="C885" s="683"/>
      <c r="D885" s="683"/>
      <c r="E885" s="683" cm="1">
        <f t="array" ref="E885">IF(H884&lt;&gt;"",E884,IF(E884="","",IFERROR(MATCH(TRUE(),INDEX(INDEX(K:K,E884+1):K203&lt;&gt;"",0),0)+E884,"")))</f>
        <v>1026</v>
      </c>
      <c r="F885" s="684" cm="1">
        <f t="array" ref="F885">IF(E885="","",IF(H884&lt;&gt;"",H884,INDEX(D:D,E885)))</f>
        <v>0</v>
      </c>
      <c r="G885" s="684" t="str">
        <f t="shared" si="90"/>
        <v>0</v>
      </c>
      <c r="H885" s="685" t="str">
        <f t="shared" si="91"/>
        <v/>
      </c>
      <c r="I885" s="683" t="str">
        <f>IF(AND(F885&lt;&gt;"",N10&gt;0,M885&gt;N10),"Mot &gt; limite","")</f>
        <v/>
      </c>
      <c r="M885" s="638">
        <f>IF(OR(F885="",N10="",N10&lt;=0),"",IF(LEN(F885)&lt;=N10,LEN(F885),IFERROR(FIND("♦",SUBSTITUTE(LEFT(F885,N10)," ","♦",LEN(LEFT(F885,N10))-LEN(SUBSTITUTE(LEFT(F885,N10)," ","")))),FIND(" ",F885&amp;" ",N10+1)-1)))</f>
        <v>1</v>
      </c>
      <c r="N885" s="686">
        <f t="shared" si="92"/>
        <v>868</v>
      </c>
      <c r="O885" s="663" t="str">
        <f t="shared" si="93"/>
        <v>0</v>
      </c>
      <c r="P885" s="686">
        <f t="shared" si="94"/>
        <v>1</v>
      </c>
      <c r="Q885" s="686">
        <f t="shared" si="95"/>
        <v>1</v>
      </c>
      <c r="DE885" s="494"/>
      <c r="DF885" s="496" t="s">
        <v>2826</v>
      </c>
      <c r="DG885" s="496" t="s">
        <v>8</v>
      </c>
      <c r="DH885" s="496" t="s">
        <v>689</v>
      </c>
      <c r="DI885" s="496" t="s">
        <v>2827</v>
      </c>
      <c r="DJ885" s="496" t="s">
        <v>2827</v>
      </c>
      <c r="DK885" s="496" t="s">
        <v>1554</v>
      </c>
      <c r="DL885" s="496" t="s">
        <v>1555</v>
      </c>
      <c r="DM885" s="496" t="s">
        <v>1981</v>
      </c>
      <c r="DN885" s="497" t="s">
        <v>1982</v>
      </c>
      <c r="DP885" s="543">
        <v>1</v>
      </c>
    </row>
    <row r="886" spans="2:120" ht="15">
      <c r="B886" s="683"/>
      <c r="C886" s="683"/>
      <c r="D886" s="683"/>
      <c r="E886" s="683" cm="1">
        <f t="array" ref="E886">IF(H885&lt;&gt;"",E885,IF(E885="","",IFERROR(MATCH(TRUE(),INDEX(INDEX(K:K,E885+1):K203&lt;&gt;"",0),0)+E885,"")))</f>
        <v>1027</v>
      </c>
      <c r="F886" s="684" cm="1">
        <f t="array" ref="F886">IF(E886="","",IF(H885&lt;&gt;"",H885,INDEX(D:D,E886)))</f>
        <v>0</v>
      </c>
      <c r="G886" s="684" t="str">
        <f t="shared" si="90"/>
        <v>0</v>
      </c>
      <c r="H886" s="685" t="str">
        <f t="shared" si="91"/>
        <v/>
      </c>
      <c r="I886" s="683" t="str">
        <f>IF(AND(F886&lt;&gt;"",N10&gt;0,M886&gt;N10),"Mot &gt; limite","")</f>
        <v/>
      </c>
      <c r="M886" s="638">
        <f>IF(OR(F886="",N10="",N10&lt;=0),"",IF(LEN(F886)&lt;=N10,LEN(F886),IFERROR(FIND("♦",SUBSTITUTE(LEFT(F886,N10)," ","♦",LEN(LEFT(F886,N10))-LEN(SUBSTITUTE(LEFT(F886,N10)," ","")))),FIND(" ",F886&amp;" ",N10+1)-1)))</f>
        <v>1</v>
      </c>
      <c r="N886" s="686">
        <f t="shared" si="92"/>
        <v>869</v>
      </c>
      <c r="O886" s="663" t="str">
        <f t="shared" si="93"/>
        <v>0</v>
      </c>
      <c r="P886" s="686">
        <f t="shared" si="94"/>
        <v>1</v>
      </c>
      <c r="Q886" s="686">
        <f t="shared" si="95"/>
        <v>1</v>
      </c>
      <c r="DE886" s="494"/>
      <c r="DF886" s="496" t="s">
        <v>2828</v>
      </c>
      <c r="DG886" s="496" t="s">
        <v>8</v>
      </c>
      <c r="DH886" s="496" t="s">
        <v>689</v>
      </c>
      <c r="DI886" s="496" t="s">
        <v>2829</v>
      </c>
      <c r="DJ886" s="496" t="s">
        <v>2829</v>
      </c>
      <c r="DK886" s="496" t="s">
        <v>1554</v>
      </c>
      <c r="DL886" s="496" t="s">
        <v>1555</v>
      </c>
      <c r="DM886" s="496" t="s">
        <v>1981</v>
      </c>
      <c r="DN886" s="497" t="s">
        <v>1982</v>
      </c>
      <c r="DP886" s="543">
        <v>1</v>
      </c>
    </row>
    <row r="887" spans="2:120" ht="15">
      <c r="B887" s="683"/>
      <c r="C887" s="683"/>
      <c r="D887" s="683"/>
      <c r="E887" s="683" cm="1">
        <f t="array" ref="E887">IF(H886&lt;&gt;"",E886,IF(E886="","",IFERROR(MATCH(TRUE(),INDEX(INDEX(K:K,E886+1):K203&lt;&gt;"",0),0)+E886,"")))</f>
        <v>1028</v>
      </c>
      <c r="F887" s="684" cm="1">
        <f t="array" ref="F887">IF(E887="","",IF(H886&lt;&gt;"",H886,INDEX(D:D,E887)))</f>
        <v>0</v>
      </c>
      <c r="G887" s="684" t="str">
        <f t="shared" si="90"/>
        <v>0</v>
      </c>
      <c r="H887" s="685" t="str">
        <f t="shared" si="91"/>
        <v/>
      </c>
      <c r="I887" s="683" t="str">
        <f>IF(AND(F887&lt;&gt;"",N10&gt;0,M887&gt;N10),"Mot &gt; limite","")</f>
        <v/>
      </c>
      <c r="M887" s="638">
        <f>IF(OR(F887="",N10="",N10&lt;=0),"",IF(LEN(F887)&lt;=N10,LEN(F887),IFERROR(FIND("♦",SUBSTITUTE(LEFT(F887,N10)," ","♦",LEN(LEFT(F887,N10))-LEN(SUBSTITUTE(LEFT(F887,N10)," ","")))),FIND(" ",F887&amp;" ",N10+1)-1)))</f>
        <v>1</v>
      </c>
      <c r="N887" s="686">
        <f t="shared" si="92"/>
        <v>870</v>
      </c>
      <c r="O887" s="663" t="str">
        <f t="shared" si="93"/>
        <v>0</v>
      </c>
      <c r="P887" s="686">
        <f t="shared" si="94"/>
        <v>1</v>
      </c>
      <c r="Q887" s="686">
        <f t="shared" si="95"/>
        <v>1</v>
      </c>
      <c r="DE887" s="494"/>
      <c r="DF887" s="496" t="s">
        <v>2830</v>
      </c>
      <c r="DG887" s="496" t="s">
        <v>8</v>
      </c>
      <c r="DH887" s="496" t="s">
        <v>689</v>
      </c>
      <c r="DI887" s="496" t="s">
        <v>2831</v>
      </c>
      <c r="DJ887" s="496" t="s">
        <v>2831</v>
      </c>
      <c r="DK887" s="496" t="s">
        <v>1554</v>
      </c>
      <c r="DL887" s="496" t="s">
        <v>1555</v>
      </c>
      <c r="DM887" s="496" t="s">
        <v>1981</v>
      </c>
      <c r="DN887" s="497" t="s">
        <v>1982</v>
      </c>
      <c r="DP887" s="543">
        <v>1</v>
      </c>
    </row>
    <row r="888" spans="2:120" ht="15">
      <c r="B888" s="683"/>
      <c r="C888" s="683"/>
      <c r="D888" s="683"/>
      <c r="E888" s="683" cm="1">
        <f t="array" ref="E888">IF(H887&lt;&gt;"",E887,IF(E887="","",IFERROR(MATCH(TRUE(),INDEX(INDEX(K:K,E887+1):K203&lt;&gt;"",0),0)+E887,"")))</f>
        <v>1029</v>
      </c>
      <c r="F888" s="684" cm="1">
        <f t="array" ref="F888">IF(E888="","",IF(H887&lt;&gt;"",H887,INDEX(D:D,E888)))</f>
        <v>0</v>
      </c>
      <c r="G888" s="684" t="str">
        <f t="shared" si="90"/>
        <v>0</v>
      </c>
      <c r="H888" s="685" t="str">
        <f t="shared" si="91"/>
        <v/>
      </c>
      <c r="I888" s="683" t="str">
        <f>IF(AND(F888&lt;&gt;"",N10&gt;0,M888&gt;N10),"Mot &gt; limite","")</f>
        <v/>
      </c>
      <c r="M888" s="638">
        <f>IF(OR(F888="",N10="",N10&lt;=0),"",IF(LEN(F888)&lt;=N10,LEN(F888),IFERROR(FIND("♦",SUBSTITUTE(LEFT(F888,N10)," ","♦",LEN(LEFT(F888,N10))-LEN(SUBSTITUTE(LEFT(F888,N10)," ","")))),FIND(" ",F888&amp;" ",N10+1)-1)))</f>
        <v>1</v>
      </c>
      <c r="N888" s="686">
        <f t="shared" si="92"/>
        <v>871</v>
      </c>
      <c r="O888" s="663" t="str">
        <f t="shared" si="93"/>
        <v>0</v>
      </c>
      <c r="P888" s="686">
        <f t="shared" si="94"/>
        <v>1</v>
      </c>
      <c r="Q888" s="686">
        <f t="shared" si="95"/>
        <v>1</v>
      </c>
      <c r="DE888" s="494"/>
      <c r="DF888" s="496" t="s">
        <v>2832</v>
      </c>
      <c r="DG888" s="496" t="s">
        <v>8</v>
      </c>
      <c r="DH888" s="496" t="s">
        <v>689</v>
      </c>
      <c r="DI888" s="496" t="s">
        <v>2833</v>
      </c>
      <c r="DJ888" s="496" t="s">
        <v>2833</v>
      </c>
      <c r="DK888" s="496" t="s">
        <v>1554</v>
      </c>
      <c r="DL888" s="496" t="s">
        <v>1555</v>
      </c>
      <c r="DM888" s="496" t="s">
        <v>1981</v>
      </c>
      <c r="DN888" s="497" t="s">
        <v>1982</v>
      </c>
      <c r="DP888" s="543">
        <v>1</v>
      </c>
    </row>
    <row r="889" spans="2:120" ht="15">
      <c r="B889" s="683"/>
      <c r="C889" s="683"/>
      <c r="D889" s="683"/>
      <c r="E889" s="683" cm="1">
        <f t="array" ref="E889">IF(H888&lt;&gt;"",E888,IF(E888="","",IFERROR(MATCH(TRUE(),INDEX(INDEX(K:K,E888+1):K203&lt;&gt;"",0),0)+E888,"")))</f>
        <v>1030</v>
      </c>
      <c r="F889" s="684" cm="1">
        <f t="array" ref="F889">IF(E889="","",IF(H888&lt;&gt;"",H888,INDEX(D:D,E889)))</f>
        <v>0</v>
      </c>
      <c r="G889" s="684" t="str">
        <f t="shared" si="90"/>
        <v>0</v>
      </c>
      <c r="H889" s="685" t="str">
        <f t="shared" si="91"/>
        <v/>
      </c>
      <c r="I889" s="683" t="str">
        <f>IF(AND(F889&lt;&gt;"",N10&gt;0,M889&gt;N10),"Mot &gt; limite","")</f>
        <v/>
      </c>
      <c r="M889" s="638">
        <f>IF(OR(F889="",N10="",N10&lt;=0),"",IF(LEN(F889)&lt;=N10,LEN(F889),IFERROR(FIND("♦",SUBSTITUTE(LEFT(F889,N10)," ","♦",LEN(LEFT(F889,N10))-LEN(SUBSTITUTE(LEFT(F889,N10)," ","")))),FIND(" ",F889&amp;" ",N10+1)-1)))</f>
        <v>1</v>
      </c>
      <c r="N889" s="686">
        <f t="shared" si="92"/>
        <v>872</v>
      </c>
      <c r="O889" s="663" t="str">
        <f t="shared" si="93"/>
        <v>0</v>
      </c>
      <c r="P889" s="686">
        <f t="shared" si="94"/>
        <v>1</v>
      </c>
      <c r="Q889" s="686">
        <f t="shared" si="95"/>
        <v>1</v>
      </c>
      <c r="DE889" s="494"/>
      <c r="DF889" s="496" t="s">
        <v>2834</v>
      </c>
      <c r="DG889" s="496" t="s">
        <v>8</v>
      </c>
      <c r="DH889" s="496" t="s">
        <v>689</v>
      </c>
      <c r="DI889" s="496" t="s">
        <v>2835</v>
      </c>
      <c r="DJ889" s="496" t="s">
        <v>2835</v>
      </c>
      <c r="DK889" s="496" t="s">
        <v>1554</v>
      </c>
      <c r="DL889" s="496" t="s">
        <v>1555</v>
      </c>
      <c r="DM889" s="496" t="s">
        <v>1981</v>
      </c>
      <c r="DN889" s="497" t="s">
        <v>1982</v>
      </c>
      <c r="DP889" s="543">
        <v>1</v>
      </c>
    </row>
    <row r="890" spans="2:120" ht="15">
      <c r="B890" s="683"/>
      <c r="C890" s="683"/>
      <c r="D890" s="683"/>
      <c r="E890" s="683" cm="1">
        <f t="array" ref="E890">IF(H889&lt;&gt;"",E889,IF(E889="","",IFERROR(MATCH(TRUE(),INDEX(INDEX(K:K,E889+1):K203&lt;&gt;"",0),0)+E889,"")))</f>
        <v>1031</v>
      </c>
      <c r="F890" s="684" cm="1">
        <f t="array" ref="F890">IF(E890="","",IF(H889&lt;&gt;"",H889,INDEX(D:D,E890)))</f>
        <v>0</v>
      </c>
      <c r="G890" s="684" t="str">
        <f t="shared" si="90"/>
        <v>0</v>
      </c>
      <c r="H890" s="685" t="str">
        <f t="shared" si="91"/>
        <v/>
      </c>
      <c r="I890" s="683" t="str">
        <f>IF(AND(F890&lt;&gt;"",N10&gt;0,M890&gt;N10),"Mot &gt; limite","")</f>
        <v/>
      </c>
      <c r="M890" s="638">
        <f>IF(OR(F890="",N10="",N10&lt;=0),"",IF(LEN(F890)&lt;=N10,LEN(F890),IFERROR(FIND("♦",SUBSTITUTE(LEFT(F890,N10)," ","♦",LEN(LEFT(F890,N10))-LEN(SUBSTITUTE(LEFT(F890,N10)," ","")))),FIND(" ",F890&amp;" ",N10+1)-1)))</f>
        <v>1</v>
      </c>
      <c r="N890" s="686">
        <f t="shared" si="92"/>
        <v>873</v>
      </c>
      <c r="O890" s="663" t="str">
        <f t="shared" si="93"/>
        <v>0</v>
      </c>
      <c r="P890" s="686">
        <f t="shared" si="94"/>
        <v>1</v>
      </c>
      <c r="Q890" s="686">
        <f t="shared" si="95"/>
        <v>1</v>
      </c>
      <c r="DE890" s="494"/>
      <c r="DF890" s="496" t="s">
        <v>2836</v>
      </c>
      <c r="DG890" s="496" t="s">
        <v>8</v>
      </c>
      <c r="DH890" s="496" t="s">
        <v>689</v>
      </c>
      <c r="DI890" s="496" t="s">
        <v>2837</v>
      </c>
      <c r="DJ890" s="496" t="s">
        <v>2837</v>
      </c>
      <c r="DK890" s="496" t="s">
        <v>1554</v>
      </c>
      <c r="DL890" s="496" t="s">
        <v>1555</v>
      </c>
      <c r="DM890" s="496" t="s">
        <v>1981</v>
      </c>
      <c r="DN890" s="497" t="s">
        <v>1982</v>
      </c>
      <c r="DP890" s="543">
        <v>1</v>
      </c>
    </row>
    <row r="891" spans="2:120" ht="15">
      <c r="B891" s="683"/>
      <c r="C891" s="683"/>
      <c r="D891" s="683"/>
      <c r="E891" s="683" cm="1">
        <f t="array" ref="E891">IF(H890&lt;&gt;"",E890,IF(E890="","",IFERROR(MATCH(TRUE(),INDEX(INDEX(K:K,E890+1):K203&lt;&gt;"",0),0)+E890,"")))</f>
        <v>1032</v>
      </c>
      <c r="F891" s="684" cm="1">
        <f t="array" ref="F891">IF(E891="","",IF(H890&lt;&gt;"",H890,INDEX(D:D,E891)))</f>
        <v>0</v>
      </c>
      <c r="G891" s="684" t="str">
        <f t="shared" si="90"/>
        <v>0</v>
      </c>
      <c r="H891" s="685" t="str">
        <f t="shared" si="91"/>
        <v/>
      </c>
      <c r="I891" s="683" t="str">
        <f>IF(AND(F891&lt;&gt;"",N10&gt;0,M891&gt;N10),"Mot &gt; limite","")</f>
        <v/>
      </c>
      <c r="M891" s="638">
        <f>IF(OR(F891="",N10="",N10&lt;=0),"",IF(LEN(F891)&lt;=N10,LEN(F891),IFERROR(FIND("♦",SUBSTITUTE(LEFT(F891,N10)," ","♦",LEN(LEFT(F891,N10))-LEN(SUBSTITUTE(LEFT(F891,N10)," ","")))),FIND(" ",F891&amp;" ",N10+1)-1)))</f>
        <v>1</v>
      </c>
      <c r="N891" s="686">
        <f t="shared" si="92"/>
        <v>874</v>
      </c>
      <c r="O891" s="663" t="str">
        <f t="shared" si="93"/>
        <v>0</v>
      </c>
      <c r="P891" s="686">
        <f t="shared" si="94"/>
        <v>1</v>
      </c>
      <c r="Q891" s="686">
        <f t="shared" si="95"/>
        <v>1</v>
      </c>
      <c r="DE891" s="494"/>
      <c r="DF891" s="496" t="s">
        <v>2838</v>
      </c>
      <c r="DG891" s="496" t="s">
        <v>8</v>
      </c>
      <c r="DH891" s="496" t="s">
        <v>689</v>
      </c>
      <c r="DI891" s="496" t="s">
        <v>2839</v>
      </c>
      <c r="DJ891" s="496" t="s">
        <v>2839</v>
      </c>
      <c r="DK891" s="496" t="s">
        <v>1554</v>
      </c>
      <c r="DL891" s="496" t="s">
        <v>1555</v>
      </c>
      <c r="DM891" s="496" t="s">
        <v>1981</v>
      </c>
      <c r="DN891" s="497" t="s">
        <v>1982</v>
      </c>
      <c r="DP891" s="543">
        <v>1</v>
      </c>
    </row>
    <row r="892" spans="2:120" ht="15">
      <c r="B892" s="683"/>
      <c r="C892" s="683"/>
      <c r="D892" s="683"/>
      <c r="E892" s="683" cm="1">
        <f t="array" ref="E892">IF(H891&lt;&gt;"",E891,IF(E891="","",IFERROR(MATCH(TRUE(),INDEX(INDEX(K:K,E891+1):K203&lt;&gt;"",0),0)+E891,"")))</f>
        <v>1033</v>
      </c>
      <c r="F892" s="684" cm="1">
        <f t="array" ref="F892">IF(E892="","",IF(H891&lt;&gt;"",H891,INDEX(D:D,E892)))</f>
        <v>0</v>
      </c>
      <c r="G892" s="684" t="str">
        <f t="shared" si="90"/>
        <v>0</v>
      </c>
      <c r="H892" s="685" t="str">
        <f t="shared" si="91"/>
        <v/>
      </c>
      <c r="I892" s="683" t="str">
        <f>IF(AND(F892&lt;&gt;"",N10&gt;0,M892&gt;N10),"Mot &gt; limite","")</f>
        <v/>
      </c>
      <c r="M892" s="638">
        <f>IF(OR(F892="",N10="",N10&lt;=0),"",IF(LEN(F892)&lt;=N10,LEN(F892),IFERROR(FIND("♦",SUBSTITUTE(LEFT(F892,N10)," ","♦",LEN(LEFT(F892,N10))-LEN(SUBSTITUTE(LEFT(F892,N10)," ","")))),FIND(" ",F892&amp;" ",N10+1)-1)))</f>
        <v>1</v>
      </c>
      <c r="N892" s="686">
        <f t="shared" si="92"/>
        <v>875</v>
      </c>
      <c r="O892" s="663" t="str">
        <f t="shared" si="93"/>
        <v>0</v>
      </c>
      <c r="P892" s="686">
        <f t="shared" si="94"/>
        <v>1</v>
      </c>
      <c r="Q892" s="686">
        <f t="shared" si="95"/>
        <v>1</v>
      </c>
      <c r="DE892" s="494"/>
      <c r="DF892" s="496" t="s">
        <v>2840</v>
      </c>
      <c r="DG892" s="496" t="s">
        <v>8</v>
      </c>
      <c r="DH892" s="496" t="s">
        <v>689</v>
      </c>
      <c r="DI892" s="496" t="s">
        <v>2841</v>
      </c>
      <c r="DJ892" s="496" t="s">
        <v>2841</v>
      </c>
      <c r="DK892" s="496" t="s">
        <v>1554</v>
      </c>
      <c r="DL892" s="496" t="s">
        <v>1555</v>
      </c>
      <c r="DM892" s="496" t="s">
        <v>1981</v>
      </c>
      <c r="DN892" s="497" t="s">
        <v>1982</v>
      </c>
      <c r="DP892" s="543">
        <v>1</v>
      </c>
    </row>
    <row r="893" spans="2:120" ht="15">
      <c r="B893" s="683"/>
      <c r="C893" s="683"/>
      <c r="D893" s="683"/>
      <c r="E893" s="683" cm="1">
        <f t="array" ref="E893">IF(H892&lt;&gt;"",E892,IF(E892="","",IFERROR(MATCH(TRUE(),INDEX(INDEX(K:K,E892+1):K203&lt;&gt;"",0),0)+E892,"")))</f>
        <v>1034</v>
      </c>
      <c r="F893" s="684" cm="1">
        <f t="array" ref="F893">IF(E893="","",IF(H892&lt;&gt;"",H892,INDEX(D:D,E893)))</f>
        <v>0</v>
      </c>
      <c r="G893" s="684" t="str">
        <f t="shared" si="90"/>
        <v>0</v>
      </c>
      <c r="H893" s="685" t="str">
        <f t="shared" si="91"/>
        <v/>
      </c>
      <c r="I893" s="683" t="str">
        <f>IF(AND(F893&lt;&gt;"",N10&gt;0,M893&gt;N10),"Mot &gt; limite","")</f>
        <v/>
      </c>
      <c r="M893" s="638">
        <f>IF(OR(F893="",N10="",N10&lt;=0),"",IF(LEN(F893)&lt;=N10,LEN(F893),IFERROR(FIND("♦",SUBSTITUTE(LEFT(F893,N10)," ","♦",LEN(LEFT(F893,N10))-LEN(SUBSTITUTE(LEFT(F893,N10)," ","")))),FIND(" ",F893&amp;" ",N10+1)-1)))</f>
        <v>1</v>
      </c>
      <c r="N893" s="686">
        <f t="shared" si="92"/>
        <v>876</v>
      </c>
      <c r="O893" s="663" t="str">
        <f t="shared" si="93"/>
        <v>0</v>
      </c>
      <c r="P893" s="686">
        <f t="shared" si="94"/>
        <v>1</v>
      </c>
      <c r="Q893" s="686">
        <f t="shared" si="95"/>
        <v>1</v>
      </c>
      <c r="DE893" s="494"/>
      <c r="DF893" s="496" t="s">
        <v>2842</v>
      </c>
      <c r="DG893" s="496" t="s">
        <v>8</v>
      </c>
      <c r="DH893" s="496" t="s">
        <v>689</v>
      </c>
      <c r="DI893" s="496" t="s">
        <v>2843</v>
      </c>
      <c r="DJ893" s="496" t="s">
        <v>2843</v>
      </c>
      <c r="DK893" s="496" t="s">
        <v>1554</v>
      </c>
      <c r="DL893" s="496" t="s">
        <v>1555</v>
      </c>
      <c r="DM893" s="496" t="s">
        <v>1981</v>
      </c>
      <c r="DN893" s="497" t="s">
        <v>1982</v>
      </c>
      <c r="DP893" s="543">
        <v>1</v>
      </c>
    </row>
    <row r="894" spans="2:120" ht="15">
      <c r="B894" s="683"/>
      <c r="C894" s="683"/>
      <c r="D894" s="683"/>
      <c r="E894" s="683" cm="1">
        <f t="array" ref="E894">IF(H893&lt;&gt;"",E893,IF(E893="","",IFERROR(MATCH(TRUE(),INDEX(INDEX(K:K,E893+1):K203&lt;&gt;"",0),0)+E893,"")))</f>
        <v>1035</v>
      </c>
      <c r="F894" s="684" cm="1">
        <f t="array" ref="F894">IF(E894="","",IF(H893&lt;&gt;"",H893,INDEX(D:D,E894)))</f>
        <v>0</v>
      </c>
      <c r="G894" s="684" t="str">
        <f t="shared" si="90"/>
        <v>0</v>
      </c>
      <c r="H894" s="685" t="str">
        <f t="shared" si="91"/>
        <v/>
      </c>
      <c r="I894" s="683" t="str">
        <f>IF(AND(F894&lt;&gt;"",N10&gt;0,M894&gt;N10),"Mot &gt; limite","")</f>
        <v/>
      </c>
      <c r="M894" s="638">
        <f>IF(OR(F894="",N10="",N10&lt;=0),"",IF(LEN(F894)&lt;=N10,LEN(F894),IFERROR(FIND("♦",SUBSTITUTE(LEFT(F894,N10)," ","♦",LEN(LEFT(F894,N10))-LEN(SUBSTITUTE(LEFT(F894,N10)," ","")))),FIND(" ",F894&amp;" ",N10+1)-1)))</f>
        <v>1</v>
      </c>
      <c r="N894" s="686">
        <f t="shared" si="92"/>
        <v>877</v>
      </c>
      <c r="O894" s="663" t="str">
        <f t="shared" si="93"/>
        <v>0</v>
      </c>
      <c r="P894" s="686">
        <f t="shared" si="94"/>
        <v>1</v>
      </c>
      <c r="Q894" s="686">
        <f t="shared" si="95"/>
        <v>1</v>
      </c>
      <c r="DE894" s="494"/>
      <c r="DF894" s="496" t="s">
        <v>2844</v>
      </c>
      <c r="DG894" s="496" t="s">
        <v>8</v>
      </c>
      <c r="DH894" s="496" t="s">
        <v>689</v>
      </c>
      <c r="DI894" s="496" t="s">
        <v>2845</v>
      </c>
      <c r="DJ894" s="496" t="s">
        <v>2845</v>
      </c>
      <c r="DK894" s="496" t="s">
        <v>1554</v>
      </c>
      <c r="DL894" s="496" t="s">
        <v>1555</v>
      </c>
      <c r="DM894" s="496" t="s">
        <v>1981</v>
      </c>
      <c r="DN894" s="497" t="s">
        <v>1982</v>
      </c>
      <c r="DP894" s="543">
        <v>1</v>
      </c>
    </row>
    <row r="895" spans="2:120" ht="15">
      <c r="B895" s="683"/>
      <c r="C895" s="683"/>
      <c r="D895" s="683"/>
      <c r="E895" s="683" cm="1">
        <f t="array" ref="E895">IF(H894&lt;&gt;"",E894,IF(E894="","",IFERROR(MATCH(TRUE(),INDEX(INDEX(K:K,E894+1):K203&lt;&gt;"",0),0)+E894,"")))</f>
        <v>1036</v>
      </c>
      <c r="F895" s="684" cm="1">
        <f t="array" ref="F895">IF(E895="","",IF(H894&lt;&gt;"",H894,INDEX(D:D,E895)))</f>
        <v>0</v>
      </c>
      <c r="G895" s="684" t="str">
        <f t="shared" si="90"/>
        <v>0</v>
      </c>
      <c r="H895" s="685" t="str">
        <f t="shared" si="91"/>
        <v/>
      </c>
      <c r="I895" s="683" t="str">
        <f>IF(AND(F895&lt;&gt;"",N10&gt;0,M895&gt;N10),"Mot &gt; limite","")</f>
        <v/>
      </c>
      <c r="M895" s="638">
        <f>IF(OR(F895="",N10="",N10&lt;=0),"",IF(LEN(F895)&lt;=N10,LEN(F895),IFERROR(FIND("♦",SUBSTITUTE(LEFT(F895,N10)," ","♦",LEN(LEFT(F895,N10))-LEN(SUBSTITUTE(LEFT(F895,N10)," ","")))),FIND(" ",F895&amp;" ",N10+1)-1)))</f>
        <v>1</v>
      </c>
      <c r="N895" s="686">
        <f t="shared" si="92"/>
        <v>878</v>
      </c>
      <c r="O895" s="663" t="str">
        <f t="shared" si="93"/>
        <v>0</v>
      </c>
      <c r="P895" s="686">
        <f t="shared" si="94"/>
        <v>1</v>
      </c>
      <c r="Q895" s="686">
        <f t="shared" si="95"/>
        <v>1</v>
      </c>
      <c r="DE895" s="494"/>
      <c r="DF895" s="496" t="s">
        <v>2846</v>
      </c>
      <c r="DG895" s="496" t="s">
        <v>8</v>
      </c>
      <c r="DH895" s="496" t="s">
        <v>689</v>
      </c>
      <c r="DI895" s="496" t="s">
        <v>2847</v>
      </c>
      <c r="DJ895" s="496" t="s">
        <v>2847</v>
      </c>
      <c r="DK895" s="496" t="s">
        <v>1554</v>
      </c>
      <c r="DL895" s="496" t="s">
        <v>1555</v>
      </c>
      <c r="DM895" s="496" t="s">
        <v>1981</v>
      </c>
      <c r="DN895" s="497" t="s">
        <v>1982</v>
      </c>
      <c r="DP895" s="543">
        <v>1</v>
      </c>
    </row>
    <row r="896" spans="2:120" ht="15">
      <c r="B896" s="683"/>
      <c r="C896" s="683"/>
      <c r="D896" s="683"/>
      <c r="E896" s="683" cm="1">
        <f t="array" ref="E896">IF(H895&lt;&gt;"",E895,IF(E895="","",IFERROR(MATCH(TRUE(),INDEX(INDEX(K:K,E895+1):K203&lt;&gt;"",0),0)+E895,"")))</f>
        <v>1037</v>
      </c>
      <c r="F896" s="684" cm="1">
        <f t="array" ref="F896">IF(E896="","",IF(H895&lt;&gt;"",H895,INDEX(D:D,E896)))</f>
        <v>0</v>
      </c>
      <c r="G896" s="684" t="str">
        <f t="shared" si="90"/>
        <v>0</v>
      </c>
      <c r="H896" s="685" t="str">
        <f t="shared" si="91"/>
        <v/>
      </c>
      <c r="I896" s="683" t="str">
        <f>IF(AND(F896&lt;&gt;"",N10&gt;0,M896&gt;N10),"Mot &gt; limite","")</f>
        <v/>
      </c>
      <c r="M896" s="638">
        <f>IF(OR(F896="",N10="",N10&lt;=0),"",IF(LEN(F896)&lt;=N10,LEN(F896),IFERROR(FIND("♦",SUBSTITUTE(LEFT(F896,N10)," ","♦",LEN(LEFT(F896,N10))-LEN(SUBSTITUTE(LEFT(F896,N10)," ","")))),FIND(" ",F896&amp;" ",N10+1)-1)))</f>
        <v>1</v>
      </c>
      <c r="N896" s="686">
        <f t="shared" si="92"/>
        <v>879</v>
      </c>
      <c r="O896" s="663" t="str">
        <f t="shared" si="93"/>
        <v>0</v>
      </c>
      <c r="P896" s="686">
        <f t="shared" si="94"/>
        <v>1</v>
      </c>
      <c r="Q896" s="686">
        <f t="shared" si="95"/>
        <v>1</v>
      </c>
      <c r="DE896" s="494"/>
      <c r="DF896" s="496" t="s">
        <v>2848</v>
      </c>
      <c r="DG896" s="496" t="s">
        <v>8</v>
      </c>
      <c r="DH896" s="496" t="s">
        <v>689</v>
      </c>
      <c r="DI896" s="496" t="s">
        <v>2849</v>
      </c>
      <c r="DJ896" s="496" t="s">
        <v>2849</v>
      </c>
      <c r="DK896" s="496" t="s">
        <v>1554</v>
      </c>
      <c r="DL896" s="496" t="s">
        <v>1555</v>
      </c>
      <c r="DM896" s="496" t="s">
        <v>1981</v>
      </c>
      <c r="DN896" s="497" t="s">
        <v>1982</v>
      </c>
      <c r="DP896" s="543">
        <v>1</v>
      </c>
    </row>
    <row r="897" spans="2:120" ht="15">
      <c r="B897" s="683"/>
      <c r="C897" s="683"/>
      <c r="D897" s="683"/>
      <c r="E897" s="683" cm="1">
        <f t="array" ref="E897">IF(H896&lt;&gt;"",E896,IF(E896="","",IFERROR(MATCH(TRUE(),INDEX(INDEX(K:K,E896+1):K203&lt;&gt;"",0),0)+E896,"")))</f>
        <v>1038</v>
      </c>
      <c r="F897" s="684" cm="1">
        <f t="array" ref="F897">IF(E897="","",IF(H896&lt;&gt;"",H896,INDEX(D:D,E897)))</f>
        <v>0</v>
      </c>
      <c r="G897" s="684" t="str">
        <f t="shared" si="90"/>
        <v>0</v>
      </c>
      <c r="H897" s="685" t="str">
        <f t="shared" si="91"/>
        <v/>
      </c>
      <c r="I897" s="683" t="str">
        <f>IF(AND(F897&lt;&gt;"",N10&gt;0,M897&gt;N10),"Mot &gt; limite","")</f>
        <v/>
      </c>
      <c r="M897" s="638">
        <f>IF(OR(F897="",N10="",N10&lt;=0),"",IF(LEN(F897)&lt;=N10,LEN(F897),IFERROR(FIND("♦",SUBSTITUTE(LEFT(F897,N10)," ","♦",LEN(LEFT(F897,N10))-LEN(SUBSTITUTE(LEFT(F897,N10)," ","")))),FIND(" ",F897&amp;" ",N10+1)-1)))</f>
        <v>1</v>
      </c>
      <c r="N897" s="686">
        <f t="shared" si="92"/>
        <v>880</v>
      </c>
      <c r="O897" s="663" t="str">
        <f t="shared" si="93"/>
        <v>0</v>
      </c>
      <c r="P897" s="686">
        <f t="shared" si="94"/>
        <v>1</v>
      </c>
      <c r="Q897" s="686">
        <f t="shared" si="95"/>
        <v>1</v>
      </c>
      <c r="DE897" s="494"/>
      <c r="DF897" s="496" t="s">
        <v>2850</v>
      </c>
      <c r="DG897" s="496" t="s">
        <v>8</v>
      </c>
      <c r="DH897" s="496" t="s">
        <v>689</v>
      </c>
      <c r="DI897" s="496" t="s">
        <v>2851</v>
      </c>
      <c r="DJ897" s="496" t="s">
        <v>2851</v>
      </c>
      <c r="DK897" s="496" t="s">
        <v>1554</v>
      </c>
      <c r="DL897" s="496" t="s">
        <v>1555</v>
      </c>
      <c r="DM897" s="496" t="s">
        <v>1981</v>
      </c>
      <c r="DN897" s="497" t="s">
        <v>1982</v>
      </c>
      <c r="DP897" s="543">
        <v>1</v>
      </c>
    </row>
    <row r="898" spans="2:120" ht="15">
      <c r="B898" s="683"/>
      <c r="C898" s="683"/>
      <c r="D898" s="683"/>
      <c r="E898" s="683" cm="1">
        <f t="array" ref="E898">IF(H897&lt;&gt;"",E897,IF(E897="","",IFERROR(MATCH(TRUE(),INDEX(INDEX(K:K,E897+1):K203&lt;&gt;"",0),0)+E897,"")))</f>
        <v>1039</v>
      </c>
      <c r="F898" s="684" cm="1">
        <f t="array" ref="F898">IF(E898="","",IF(H897&lt;&gt;"",H897,INDEX(D:D,E898)))</f>
        <v>0</v>
      </c>
      <c r="G898" s="684" t="str">
        <f t="shared" si="90"/>
        <v>0</v>
      </c>
      <c r="H898" s="685" t="str">
        <f t="shared" si="91"/>
        <v/>
      </c>
      <c r="I898" s="683" t="str">
        <f>IF(AND(F898&lt;&gt;"",N10&gt;0,M898&gt;N10),"Mot &gt; limite","")</f>
        <v/>
      </c>
      <c r="M898" s="638">
        <f>IF(OR(F898="",N10="",N10&lt;=0),"",IF(LEN(F898)&lt;=N10,LEN(F898),IFERROR(FIND("♦",SUBSTITUTE(LEFT(F898,N10)," ","♦",LEN(LEFT(F898,N10))-LEN(SUBSTITUTE(LEFT(F898,N10)," ","")))),FIND(" ",F898&amp;" ",N10+1)-1)))</f>
        <v>1</v>
      </c>
      <c r="N898" s="686">
        <f t="shared" si="92"/>
        <v>881</v>
      </c>
      <c r="O898" s="663" t="str">
        <f t="shared" si="93"/>
        <v>0</v>
      </c>
      <c r="P898" s="686">
        <f t="shared" si="94"/>
        <v>1</v>
      </c>
      <c r="Q898" s="686">
        <f t="shared" si="95"/>
        <v>1</v>
      </c>
      <c r="DE898" s="494"/>
      <c r="DF898" s="496" t="s">
        <v>2852</v>
      </c>
      <c r="DG898" s="496" t="s">
        <v>8</v>
      </c>
      <c r="DH898" s="496" t="s">
        <v>689</v>
      </c>
      <c r="DI898" s="496" t="s">
        <v>2853</v>
      </c>
      <c r="DJ898" s="496" t="s">
        <v>2853</v>
      </c>
      <c r="DK898" s="496" t="s">
        <v>1151</v>
      </c>
      <c r="DL898" s="496" t="s">
        <v>1152</v>
      </c>
      <c r="DM898" s="496" t="s">
        <v>1087</v>
      </c>
      <c r="DN898" s="497" t="s">
        <v>1153</v>
      </c>
      <c r="DP898" s="543">
        <v>1</v>
      </c>
    </row>
    <row r="899" spans="2:120" ht="15">
      <c r="B899" s="683"/>
      <c r="C899" s="683"/>
      <c r="D899" s="683"/>
      <c r="E899" s="683" cm="1">
        <f t="array" ref="E899">IF(H898&lt;&gt;"",E898,IF(E898="","",IFERROR(MATCH(TRUE(),INDEX(INDEX(K:K,E898+1):K203&lt;&gt;"",0),0)+E898,"")))</f>
        <v>1040</v>
      </c>
      <c r="F899" s="684" cm="1">
        <f t="array" ref="F899">IF(E899="","",IF(H898&lt;&gt;"",H898,INDEX(D:D,E899)))</f>
        <v>0</v>
      </c>
      <c r="G899" s="684" t="str">
        <f t="shared" si="90"/>
        <v>0</v>
      </c>
      <c r="H899" s="685" t="str">
        <f t="shared" si="91"/>
        <v/>
      </c>
      <c r="I899" s="683" t="str">
        <f>IF(AND(F899&lt;&gt;"",N10&gt;0,M899&gt;N10),"Mot &gt; limite","")</f>
        <v/>
      </c>
      <c r="M899" s="638">
        <f>IF(OR(F899="",N10="",N10&lt;=0),"",IF(LEN(F899)&lt;=N10,LEN(F899),IFERROR(FIND("♦",SUBSTITUTE(LEFT(F899,N10)," ","♦",LEN(LEFT(F899,N10))-LEN(SUBSTITUTE(LEFT(F899,N10)," ","")))),FIND(" ",F899&amp;" ",N10+1)-1)))</f>
        <v>1</v>
      </c>
      <c r="N899" s="686">
        <f t="shared" si="92"/>
        <v>882</v>
      </c>
      <c r="O899" s="663" t="str">
        <f t="shared" si="93"/>
        <v>0</v>
      </c>
      <c r="P899" s="686">
        <f t="shared" si="94"/>
        <v>1</v>
      </c>
      <c r="Q899" s="686">
        <f t="shared" si="95"/>
        <v>1</v>
      </c>
      <c r="DE899" s="494"/>
      <c r="DF899" s="496" t="s">
        <v>2854</v>
      </c>
      <c r="DG899" s="496" t="s">
        <v>8</v>
      </c>
      <c r="DH899" s="496" t="s">
        <v>689</v>
      </c>
      <c r="DI899" s="496" t="s">
        <v>2855</v>
      </c>
      <c r="DJ899" s="496" t="s">
        <v>2855</v>
      </c>
      <c r="DK899" s="496" t="s">
        <v>1554</v>
      </c>
      <c r="DL899" s="496" t="s">
        <v>1555</v>
      </c>
      <c r="DM899" s="496" t="s">
        <v>1981</v>
      </c>
      <c r="DN899" s="497" t="s">
        <v>1982</v>
      </c>
      <c r="DP899" s="543">
        <v>1</v>
      </c>
    </row>
    <row r="900" spans="2:120" ht="15">
      <c r="B900" s="683"/>
      <c r="C900" s="683"/>
      <c r="D900" s="683"/>
      <c r="E900" s="683" cm="1">
        <f t="array" ref="E900">IF(H899&lt;&gt;"",E899,IF(E899="","",IFERROR(MATCH(TRUE(),INDEX(INDEX(K:K,E899+1):K203&lt;&gt;"",0),0)+E899,"")))</f>
        <v>1041</v>
      </c>
      <c r="F900" s="684" cm="1">
        <f t="array" ref="F900">IF(E900="","",IF(H899&lt;&gt;"",H899,INDEX(D:D,E900)))</f>
        <v>0</v>
      </c>
      <c r="G900" s="684" t="str">
        <f t="shared" si="90"/>
        <v>0</v>
      </c>
      <c r="H900" s="685" t="str">
        <f t="shared" si="91"/>
        <v/>
      </c>
      <c r="I900" s="683" t="str">
        <f>IF(AND(F900&lt;&gt;"",N10&gt;0,M900&gt;N10),"Mot &gt; limite","")</f>
        <v/>
      </c>
      <c r="M900" s="638">
        <f>IF(OR(F900="",N10="",N10&lt;=0),"",IF(LEN(F900)&lt;=N10,LEN(F900),IFERROR(FIND("♦",SUBSTITUTE(LEFT(F900,N10)," ","♦",LEN(LEFT(F900,N10))-LEN(SUBSTITUTE(LEFT(F900,N10)," ","")))),FIND(" ",F900&amp;" ",N10+1)-1)))</f>
        <v>1</v>
      </c>
      <c r="N900" s="686">
        <f t="shared" si="92"/>
        <v>883</v>
      </c>
      <c r="O900" s="663" t="str">
        <f t="shared" si="93"/>
        <v>0</v>
      </c>
      <c r="P900" s="686">
        <f t="shared" si="94"/>
        <v>1</v>
      </c>
      <c r="Q900" s="686">
        <f t="shared" si="95"/>
        <v>1</v>
      </c>
      <c r="DE900" s="494"/>
      <c r="DF900" s="496" t="s">
        <v>2856</v>
      </c>
      <c r="DG900" s="496" t="s">
        <v>8</v>
      </c>
      <c r="DH900" s="496" t="s">
        <v>689</v>
      </c>
      <c r="DI900" s="496" t="s">
        <v>2857</v>
      </c>
      <c r="DJ900" s="496" t="s">
        <v>2857</v>
      </c>
      <c r="DK900" s="496" t="s">
        <v>1554</v>
      </c>
      <c r="DL900" s="496" t="s">
        <v>1555</v>
      </c>
      <c r="DM900" s="496" t="s">
        <v>1981</v>
      </c>
      <c r="DN900" s="497" t="s">
        <v>1982</v>
      </c>
      <c r="DP900" s="543">
        <v>1</v>
      </c>
    </row>
    <row r="901" spans="2:120" ht="15">
      <c r="B901" s="683"/>
      <c r="C901" s="683"/>
      <c r="D901" s="683"/>
      <c r="E901" s="683" cm="1">
        <f t="array" ref="E901">IF(H900&lt;&gt;"",E900,IF(E900="","",IFERROR(MATCH(TRUE(),INDEX(INDEX(K:K,E900+1):K203&lt;&gt;"",0),0)+E900,"")))</f>
        <v>1042</v>
      </c>
      <c r="F901" s="684" cm="1">
        <f t="array" ref="F901">IF(E901="","",IF(H900&lt;&gt;"",H900,INDEX(D:D,E901)))</f>
        <v>0</v>
      </c>
      <c r="G901" s="684" t="str">
        <f t="shared" si="90"/>
        <v>0</v>
      </c>
      <c r="H901" s="685" t="str">
        <f t="shared" si="91"/>
        <v/>
      </c>
      <c r="I901" s="683" t="str">
        <f>IF(AND(F901&lt;&gt;"",N10&gt;0,M901&gt;N10),"Mot &gt; limite","")</f>
        <v/>
      </c>
      <c r="M901" s="638">
        <f>IF(OR(F901="",N10="",N10&lt;=0),"",IF(LEN(F901)&lt;=N10,LEN(F901),IFERROR(FIND("♦",SUBSTITUTE(LEFT(F901,N10)," ","♦",LEN(LEFT(F901,N10))-LEN(SUBSTITUTE(LEFT(F901,N10)," ","")))),FIND(" ",F901&amp;" ",N10+1)-1)))</f>
        <v>1</v>
      </c>
      <c r="N901" s="686">
        <f t="shared" si="92"/>
        <v>884</v>
      </c>
      <c r="O901" s="663" t="str">
        <f t="shared" si="93"/>
        <v>0</v>
      </c>
      <c r="P901" s="686">
        <f t="shared" si="94"/>
        <v>1</v>
      </c>
      <c r="Q901" s="686">
        <f t="shared" si="95"/>
        <v>1</v>
      </c>
      <c r="DE901" s="494"/>
      <c r="DF901" s="496" t="s">
        <v>2858</v>
      </c>
      <c r="DG901" s="496" t="s">
        <v>8</v>
      </c>
      <c r="DH901" s="496" t="s">
        <v>689</v>
      </c>
      <c r="DI901" s="496" t="s">
        <v>2859</v>
      </c>
      <c r="DJ901" s="496" t="s">
        <v>2859</v>
      </c>
      <c r="DK901" s="496" t="s">
        <v>1554</v>
      </c>
      <c r="DL901" s="496" t="s">
        <v>1555</v>
      </c>
      <c r="DM901" s="496" t="s">
        <v>1981</v>
      </c>
      <c r="DN901" s="497" t="s">
        <v>1982</v>
      </c>
      <c r="DP901" s="543">
        <v>1</v>
      </c>
    </row>
    <row r="902" spans="2:120" ht="15">
      <c r="B902" s="683"/>
      <c r="C902" s="683"/>
      <c r="D902" s="683"/>
      <c r="E902" s="683" cm="1">
        <f t="array" ref="E902">IF(H901&lt;&gt;"",E901,IF(E901="","",IFERROR(MATCH(TRUE(),INDEX(INDEX(K:K,E901+1):K203&lt;&gt;"",0),0)+E901,"")))</f>
        <v>1043</v>
      </c>
      <c r="F902" s="684" cm="1">
        <f t="array" ref="F902">IF(E902="","",IF(H901&lt;&gt;"",H901,INDEX(D:D,E902)))</f>
        <v>0</v>
      </c>
      <c r="G902" s="684" t="str">
        <f t="shared" si="90"/>
        <v>0</v>
      </c>
      <c r="H902" s="685" t="str">
        <f t="shared" si="91"/>
        <v/>
      </c>
      <c r="I902" s="683" t="str">
        <f>IF(AND(F902&lt;&gt;"",N10&gt;0,M902&gt;N10),"Mot &gt; limite","")</f>
        <v/>
      </c>
      <c r="M902" s="638">
        <f>IF(OR(F902="",N10="",N10&lt;=0),"",IF(LEN(F902)&lt;=N10,LEN(F902),IFERROR(FIND("♦",SUBSTITUTE(LEFT(F902,N10)," ","♦",LEN(LEFT(F902,N10))-LEN(SUBSTITUTE(LEFT(F902,N10)," ","")))),FIND(" ",F902&amp;" ",N10+1)-1)))</f>
        <v>1</v>
      </c>
      <c r="N902" s="686">
        <f t="shared" si="92"/>
        <v>885</v>
      </c>
      <c r="O902" s="663" t="str">
        <f t="shared" si="93"/>
        <v>0</v>
      </c>
      <c r="P902" s="686">
        <f t="shared" si="94"/>
        <v>1</v>
      </c>
      <c r="Q902" s="686">
        <f t="shared" si="95"/>
        <v>1</v>
      </c>
      <c r="DE902" s="494"/>
      <c r="DF902" s="496" t="s">
        <v>2860</v>
      </c>
      <c r="DG902" s="496" t="s">
        <v>8</v>
      </c>
      <c r="DH902" s="496" t="s">
        <v>689</v>
      </c>
      <c r="DI902" s="496" t="s">
        <v>2861</v>
      </c>
      <c r="DJ902" s="496" t="s">
        <v>2861</v>
      </c>
      <c r="DK902" s="496" t="s">
        <v>1554</v>
      </c>
      <c r="DL902" s="496" t="s">
        <v>1555</v>
      </c>
      <c r="DM902" s="496" t="s">
        <v>1981</v>
      </c>
      <c r="DN902" s="497" t="s">
        <v>1982</v>
      </c>
      <c r="DP902" s="543">
        <v>1</v>
      </c>
    </row>
    <row r="903" spans="2:120" ht="15">
      <c r="B903" s="683"/>
      <c r="C903" s="683"/>
      <c r="D903" s="683"/>
      <c r="E903" s="683" cm="1">
        <f t="array" ref="E903">IF(H902&lt;&gt;"",E902,IF(E902="","",IFERROR(MATCH(TRUE(),INDEX(INDEX(K:K,E902+1):K203&lt;&gt;"",0),0)+E902,"")))</f>
        <v>1044</v>
      </c>
      <c r="F903" s="684" cm="1">
        <f t="array" ref="F903">IF(E903="","",IF(H902&lt;&gt;"",H902,INDEX(D:D,E903)))</f>
        <v>0</v>
      </c>
      <c r="G903" s="684" t="str">
        <f t="shared" si="90"/>
        <v>0</v>
      </c>
      <c r="H903" s="685" t="str">
        <f t="shared" si="91"/>
        <v/>
      </c>
      <c r="I903" s="683" t="str">
        <f>IF(AND(F903&lt;&gt;"",N10&gt;0,M903&gt;N10),"Mot &gt; limite","")</f>
        <v/>
      </c>
      <c r="M903" s="638">
        <f>IF(OR(F903="",N10="",N10&lt;=0),"",IF(LEN(F903)&lt;=N10,LEN(F903),IFERROR(FIND("♦",SUBSTITUTE(LEFT(F903,N10)," ","♦",LEN(LEFT(F903,N10))-LEN(SUBSTITUTE(LEFT(F903,N10)," ","")))),FIND(" ",F903&amp;" ",N10+1)-1)))</f>
        <v>1</v>
      </c>
      <c r="N903" s="686">
        <f t="shared" si="92"/>
        <v>886</v>
      </c>
      <c r="O903" s="663" t="str">
        <f t="shared" si="93"/>
        <v>0</v>
      </c>
      <c r="P903" s="686">
        <f t="shared" si="94"/>
        <v>1</v>
      </c>
      <c r="Q903" s="686">
        <f t="shared" si="95"/>
        <v>1</v>
      </c>
      <c r="DE903" s="494"/>
      <c r="DF903" s="496" t="s">
        <v>2862</v>
      </c>
      <c r="DG903" s="496" t="s">
        <v>8</v>
      </c>
      <c r="DH903" s="496" t="s">
        <v>689</v>
      </c>
      <c r="DI903" s="496" t="s">
        <v>2863</v>
      </c>
      <c r="DJ903" s="496" t="s">
        <v>2863</v>
      </c>
      <c r="DK903" s="496" t="s">
        <v>1554</v>
      </c>
      <c r="DL903" s="496" t="s">
        <v>1555</v>
      </c>
      <c r="DM903" s="496" t="s">
        <v>1981</v>
      </c>
      <c r="DN903" s="497" t="s">
        <v>1982</v>
      </c>
      <c r="DP903" s="543">
        <v>1</v>
      </c>
    </row>
    <row r="904" spans="2:120" ht="15">
      <c r="B904" s="683"/>
      <c r="C904" s="683"/>
      <c r="D904" s="683"/>
      <c r="E904" s="683" cm="1">
        <f t="array" ref="E904">IF(H903&lt;&gt;"",E903,IF(E903="","",IFERROR(MATCH(TRUE(),INDEX(INDEX(K:K,E903+1):K203&lt;&gt;"",0),0)+E903,"")))</f>
        <v>1045</v>
      </c>
      <c r="F904" s="684" cm="1">
        <f t="array" ref="F904">IF(E904="","",IF(H903&lt;&gt;"",H903,INDEX(D:D,E904)))</f>
        <v>0</v>
      </c>
      <c r="G904" s="684" t="str">
        <f t="shared" si="90"/>
        <v>0</v>
      </c>
      <c r="H904" s="685" t="str">
        <f t="shared" si="91"/>
        <v/>
      </c>
      <c r="I904" s="683" t="str">
        <f>IF(AND(F904&lt;&gt;"",N10&gt;0,M904&gt;N10),"Mot &gt; limite","")</f>
        <v/>
      </c>
      <c r="M904" s="638">
        <f>IF(OR(F904="",N10="",N10&lt;=0),"",IF(LEN(F904)&lt;=N10,LEN(F904),IFERROR(FIND("♦",SUBSTITUTE(LEFT(F904,N10)," ","♦",LEN(LEFT(F904,N10))-LEN(SUBSTITUTE(LEFT(F904,N10)," ","")))),FIND(" ",F904&amp;" ",N10+1)-1)))</f>
        <v>1</v>
      </c>
      <c r="N904" s="686">
        <f t="shared" si="92"/>
        <v>887</v>
      </c>
      <c r="O904" s="663" t="str">
        <f t="shared" si="93"/>
        <v>0</v>
      </c>
      <c r="P904" s="686">
        <f t="shared" si="94"/>
        <v>1</v>
      </c>
      <c r="Q904" s="686">
        <f t="shared" si="95"/>
        <v>1</v>
      </c>
      <c r="DE904" s="494"/>
      <c r="DF904" s="496" t="s">
        <v>2864</v>
      </c>
      <c r="DG904" s="496" t="s">
        <v>8</v>
      </c>
      <c r="DH904" s="496" t="s">
        <v>689</v>
      </c>
      <c r="DI904" s="496" t="s">
        <v>2865</v>
      </c>
      <c r="DJ904" s="496" t="s">
        <v>2865</v>
      </c>
      <c r="DK904" s="496" t="s">
        <v>1554</v>
      </c>
      <c r="DL904" s="496" t="s">
        <v>1555</v>
      </c>
      <c r="DM904" s="496" t="s">
        <v>1981</v>
      </c>
      <c r="DN904" s="497" t="s">
        <v>1982</v>
      </c>
      <c r="DP904" s="543">
        <v>1</v>
      </c>
    </row>
    <row r="905" spans="2:120" ht="15">
      <c r="B905" s="683"/>
      <c r="C905" s="683"/>
      <c r="D905" s="683"/>
      <c r="E905" s="683" cm="1">
        <f t="array" ref="E905">IF(H904&lt;&gt;"",E904,IF(E904="","",IFERROR(MATCH(TRUE(),INDEX(INDEX(K:K,E904+1):K203&lt;&gt;"",0),0)+E904,"")))</f>
        <v>1046</v>
      </c>
      <c r="F905" s="684" cm="1">
        <f t="array" ref="F905">IF(E905="","",IF(H904&lt;&gt;"",H904,INDEX(D:D,E905)))</f>
        <v>0</v>
      </c>
      <c r="G905" s="684" t="str">
        <f t="shared" si="90"/>
        <v>0</v>
      </c>
      <c r="H905" s="685" t="str">
        <f t="shared" si="91"/>
        <v/>
      </c>
      <c r="I905" s="683" t="str">
        <f>IF(AND(F905&lt;&gt;"",N10&gt;0,M905&gt;N10),"Mot &gt; limite","")</f>
        <v/>
      </c>
      <c r="M905" s="638">
        <f>IF(OR(F905="",N10="",N10&lt;=0),"",IF(LEN(F905)&lt;=N10,LEN(F905),IFERROR(FIND("♦",SUBSTITUTE(LEFT(F905,N10)," ","♦",LEN(LEFT(F905,N10))-LEN(SUBSTITUTE(LEFT(F905,N10)," ","")))),FIND(" ",F905&amp;" ",N10+1)-1)))</f>
        <v>1</v>
      </c>
      <c r="N905" s="686">
        <f t="shared" si="92"/>
        <v>888</v>
      </c>
      <c r="O905" s="663" t="str">
        <f t="shared" si="93"/>
        <v>0</v>
      </c>
      <c r="P905" s="686">
        <f t="shared" si="94"/>
        <v>1</v>
      </c>
      <c r="Q905" s="686">
        <f t="shared" si="95"/>
        <v>1</v>
      </c>
      <c r="DE905" s="494"/>
      <c r="DF905" s="496" t="s">
        <v>2866</v>
      </c>
      <c r="DG905" s="496" t="s">
        <v>8</v>
      </c>
      <c r="DH905" s="496" t="s">
        <v>689</v>
      </c>
      <c r="DI905" s="496" t="s">
        <v>2867</v>
      </c>
      <c r="DJ905" s="496" t="s">
        <v>2867</v>
      </c>
      <c r="DK905" s="496" t="s">
        <v>1554</v>
      </c>
      <c r="DL905" s="496" t="s">
        <v>1555</v>
      </c>
      <c r="DM905" s="496" t="s">
        <v>1981</v>
      </c>
      <c r="DN905" s="497" t="s">
        <v>1982</v>
      </c>
      <c r="DP905" s="543">
        <v>1</v>
      </c>
    </row>
    <row r="906" spans="2:120" ht="15">
      <c r="B906" s="683"/>
      <c r="C906" s="683"/>
      <c r="D906" s="683"/>
      <c r="E906" s="683" cm="1">
        <f t="array" ref="E906">IF(H905&lt;&gt;"",E905,IF(E905="","",IFERROR(MATCH(TRUE(),INDEX(INDEX(K:K,E905+1):K203&lt;&gt;"",0),0)+E905,"")))</f>
        <v>1047</v>
      </c>
      <c r="F906" s="684" cm="1">
        <f t="array" ref="F906">IF(E906="","",IF(H905&lt;&gt;"",H905,INDEX(D:D,E906)))</f>
        <v>0</v>
      </c>
      <c r="G906" s="684" t="str">
        <f t="shared" si="90"/>
        <v>0</v>
      </c>
      <c r="H906" s="685" t="str">
        <f t="shared" si="91"/>
        <v/>
      </c>
      <c r="I906" s="683" t="str">
        <f>IF(AND(F906&lt;&gt;"",N10&gt;0,M906&gt;N10),"Mot &gt; limite","")</f>
        <v/>
      </c>
      <c r="M906" s="638">
        <f>IF(OR(F906="",N10="",N10&lt;=0),"",IF(LEN(F906)&lt;=N10,LEN(F906),IFERROR(FIND("♦",SUBSTITUTE(LEFT(F906,N10)," ","♦",LEN(LEFT(F906,N10))-LEN(SUBSTITUTE(LEFT(F906,N10)," ","")))),FIND(" ",F906&amp;" ",N10+1)-1)))</f>
        <v>1</v>
      </c>
      <c r="N906" s="686">
        <f t="shared" si="92"/>
        <v>889</v>
      </c>
      <c r="O906" s="663" t="str">
        <f t="shared" si="93"/>
        <v>0</v>
      </c>
      <c r="P906" s="686">
        <f t="shared" si="94"/>
        <v>1</v>
      </c>
      <c r="Q906" s="686">
        <f t="shared" si="95"/>
        <v>1</v>
      </c>
      <c r="DE906" s="494"/>
      <c r="DF906" s="496" t="s">
        <v>2868</v>
      </c>
      <c r="DG906" s="496" t="s">
        <v>8</v>
      </c>
      <c r="DH906" s="496" t="s">
        <v>689</v>
      </c>
      <c r="DI906" s="496" t="s">
        <v>2869</v>
      </c>
      <c r="DJ906" s="496" t="s">
        <v>2869</v>
      </c>
      <c r="DK906" s="496" t="s">
        <v>1554</v>
      </c>
      <c r="DL906" s="496" t="s">
        <v>1555</v>
      </c>
      <c r="DM906" s="496" t="s">
        <v>1981</v>
      </c>
      <c r="DN906" s="497" t="s">
        <v>1982</v>
      </c>
      <c r="DP906" s="543">
        <v>1</v>
      </c>
    </row>
    <row r="907" spans="2:120" ht="15">
      <c r="B907" s="683"/>
      <c r="C907" s="683"/>
      <c r="D907" s="683"/>
      <c r="E907" s="683" cm="1">
        <f t="array" ref="E907">IF(H906&lt;&gt;"",E906,IF(E906="","",IFERROR(MATCH(TRUE(),INDEX(INDEX(K:K,E906+1):K203&lt;&gt;"",0),0)+E906,"")))</f>
        <v>1048</v>
      </c>
      <c r="F907" s="684" cm="1">
        <f t="array" ref="F907">IF(E907="","",IF(H906&lt;&gt;"",H906,INDEX(D:D,E907)))</f>
        <v>0</v>
      </c>
      <c r="G907" s="684" t="str">
        <f t="shared" si="90"/>
        <v>0</v>
      </c>
      <c r="H907" s="685" t="str">
        <f t="shared" si="91"/>
        <v/>
      </c>
      <c r="I907" s="683" t="str">
        <f>IF(AND(F907&lt;&gt;"",N10&gt;0,M907&gt;N10),"Mot &gt; limite","")</f>
        <v/>
      </c>
      <c r="M907" s="638">
        <f>IF(OR(F907="",N10="",N10&lt;=0),"",IF(LEN(F907)&lt;=N10,LEN(F907),IFERROR(FIND("♦",SUBSTITUTE(LEFT(F907,N10)," ","♦",LEN(LEFT(F907,N10))-LEN(SUBSTITUTE(LEFT(F907,N10)," ","")))),FIND(" ",F907&amp;" ",N10+1)-1)))</f>
        <v>1</v>
      </c>
      <c r="N907" s="686">
        <f t="shared" si="92"/>
        <v>890</v>
      </c>
      <c r="O907" s="663" t="str">
        <f t="shared" si="93"/>
        <v>0</v>
      </c>
      <c r="P907" s="686">
        <f t="shared" si="94"/>
        <v>1</v>
      </c>
      <c r="Q907" s="686">
        <f t="shared" si="95"/>
        <v>1</v>
      </c>
      <c r="DE907" s="494"/>
      <c r="DF907" s="496" t="s">
        <v>2870</v>
      </c>
      <c r="DG907" s="496" t="s">
        <v>8</v>
      </c>
      <c r="DH907" s="496" t="s">
        <v>689</v>
      </c>
      <c r="DI907" s="496" t="s">
        <v>2871</v>
      </c>
      <c r="DJ907" s="496" t="s">
        <v>2871</v>
      </c>
      <c r="DK907" s="496" t="s">
        <v>1554</v>
      </c>
      <c r="DL907" s="496" t="s">
        <v>1555</v>
      </c>
      <c r="DM907" s="496" t="s">
        <v>1981</v>
      </c>
      <c r="DN907" s="497" t="s">
        <v>1982</v>
      </c>
      <c r="DP907" s="543">
        <v>1</v>
      </c>
    </row>
    <row r="908" spans="2:120" ht="15">
      <c r="B908" s="683"/>
      <c r="C908" s="683"/>
      <c r="D908" s="683"/>
      <c r="E908" s="683" cm="1">
        <f t="array" ref="E908">IF(H907&lt;&gt;"",E907,IF(E907="","",IFERROR(MATCH(TRUE(),INDEX(INDEX(K:K,E907+1):K203&lt;&gt;"",0),0)+E907,"")))</f>
        <v>1049</v>
      </c>
      <c r="F908" s="684" cm="1">
        <f t="array" ref="F908">IF(E908="","",IF(H907&lt;&gt;"",H907,INDEX(D:D,E908)))</f>
        <v>0</v>
      </c>
      <c r="G908" s="684" t="str">
        <f t="shared" si="90"/>
        <v>0</v>
      </c>
      <c r="H908" s="685" t="str">
        <f t="shared" si="91"/>
        <v/>
      </c>
      <c r="I908" s="683" t="str">
        <f>IF(AND(F908&lt;&gt;"",N10&gt;0,M908&gt;N10),"Mot &gt; limite","")</f>
        <v/>
      </c>
      <c r="M908" s="638">
        <f>IF(OR(F908="",N10="",N10&lt;=0),"",IF(LEN(F908)&lt;=N10,LEN(F908),IFERROR(FIND("♦",SUBSTITUTE(LEFT(F908,N10)," ","♦",LEN(LEFT(F908,N10))-LEN(SUBSTITUTE(LEFT(F908,N10)," ","")))),FIND(" ",F908&amp;" ",N10+1)-1)))</f>
        <v>1</v>
      </c>
      <c r="N908" s="686">
        <f t="shared" si="92"/>
        <v>891</v>
      </c>
      <c r="O908" s="663" t="str">
        <f t="shared" si="93"/>
        <v>0</v>
      </c>
      <c r="P908" s="686">
        <f t="shared" si="94"/>
        <v>1</v>
      </c>
      <c r="Q908" s="686">
        <f t="shared" si="95"/>
        <v>1</v>
      </c>
      <c r="DE908" s="494"/>
      <c r="DF908" s="496" t="s">
        <v>2872</v>
      </c>
      <c r="DG908" s="496" t="s">
        <v>8</v>
      </c>
      <c r="DH908" s="496" t="s">
        <v>689</v>
      </c>
      <c r="DI908" s="496" t="s">
        <v>2873</v>
      </c>
      <c r="DJ908" s="496" t="s">
        <v>2873</v>
      </c>
      <c r="DK908" s="496" t="s">
        <v>1554</v>
      </c>
      <c r="DL908" s="496" t="s">
        <v>1555</v>
      </c>
      <c r="DM908" s="496" t="s">
        <v>1981</v>
      </c>
      <c r="DN908" s="497" t="s">
        <v>1982</v>
      </c>
      <c r="DP908" s="543">
        <v>1</v>
      </c>
    </row>
    <row r="909" spans="2:120" ht="15">
      <c r="B909" s="683"/>
      <c r="C909" s="683"/>
      <c r="D909" s="683"/>
      <c r="E909" s="683" cm="1">
        <f t="array" ref="E909">IF(H908&lt;&gt;"",E908,IF(E908="","",IFERROR(MATCH(TRUE(),INDEX(INDEX(K:K,E908+1):K203&lt;&gt;"",0),0)+E908,"")))</f>
        <v>1050</v>
      </c>
      <c r="F909" s="684" cm="1">
        <f t="array" ref="F909">IF(E909="","",IF(H908&lt;&gt;"",H908,INDEX(D:D,E909)))</f>
        <v>0</v>
      </c>
      <c r="G909" s="684" t="str">
        <f t="shared" si="90"/>
        <v>0</v>
      </c>
      <c r="H909" s="685" t="str">
        <f t="shared" si="91"/>
        <v/>
      </c>
      <c r="I909" s="683" t="str">
        <f>IF(AND(F909&lt;&gt;"",N10&gt;0,M909&gt;N10),"Mot &gt; limite","")</f>
        <v/>
      </c>
      <c r="M909" s="638">
        <f>IF(OR(F909="",N10="",N10&lt;=0),"",IF(LEN(F909)&lt;=N10,LEN(F909),IFERROR(FIND("♦",SUBSTITUTE(LEFT(F909,N10)," ","♦",LEN(LEFT(F909,N10))-LEN(SUBSTITUTE(LEFT(F909,N10)," ","")))),FIND(" ",F909&amp;" ",N10+1)-1)))</f>
        <v>1</v>
      </c>
      <c r="N909" s="686">
        <f t="shared" si="92"/>
        <v>892</v>
      </c>
      <c r="O909" s="663" t="str">
        <f t="shared" si="93"/>
        <v>0</v>
      </c>
      <c r="P909" s="686">
        <f t="shared" si="94"/>
        <v>1</v>
      </c>
      <c r="Q909" s="686">
        <f t="shared" si="95"/>
        <v>1</v>
      </c>
      <c r="DE909" s="494"/>
      <c r="DF909" s="496" t="s">
        <v>2874</v>
      </c>
      <c r="DG909" s="496" t="s">
        <v>8</v>
      </c>
      <c r="DH909" s="496" t="s">
        <v>689</v>
      </c>
      <c r="DI909" s="496" t="s">
        <v>2875</v>
      </c>
      <c r="DJ909" s="496" t="s">
        <v>2875</v>
      </c>
      <c r="DK909" s="496" t="s">
        <v>1554</v>
      </c>
      <c r="DL909" s="496" t="s">
        <v>1555</v>
      </c>
      <c r="DM909" s="496" t="s">
        <v>1981</v>
      </c>
      <c r="DN909" s="497" t="s">
        <v>1982</v>
      </c>
      <c r="DP909" s="543">
        <v>1</v>
      </c>
    </row>
    <row r="910" spans="2:120" ht="15">
      <c r="B910" s="683"/>
      <c r="C910" s="683"/>
      <c r="D910" s="683"/>
      <c r="E910" s="683" cm="1">
        <f t="array" ref="E910">IF(H909&lt;&gt;"",E909,IF(E909="","",IFERROR(MATCH(TRUE(),INDEX(INDEX(K:K,E909+1):K203&lt;&gt;"",0),0)+E909,"")))</f>
        <v>1051</v>
      </c>
      <c r="F910" s="684" cm="1">
        <f t="array" ref="F910">IF(E910="","",IF(H909&lt;&gt;"",H909,INDEX(D:D,E910)))</f>
        <v>0</v>
      </c>
      <c r="G910" s="684" t="str">
        <f t="shared" si="90"/>
        <v>0</v>
      </c>
      <c r="H910" s="685" t="str">
        <f t="shared" si="91"/>
        <v/>
      </c>
      <c r="I910" s="683" t="str">
        <f>IF(AND(F910&lt;&gt;"",N10&gt;0,M910&gt;N10),"Mot &gt; limite","")</f>
        <v/>
      </c>
      <c r="M910" s="638">
        <f>IF(OR(F910="",N10="",N10&lt;=0),"",IF(LEN(F910)&lt;=N10,LEN(F910),IFERROR(FIND("♦",SUBSTITUTE(LEFT(F910,N10)," ","♦",LEN(LEFT(F910,N10))-LEN(SUBSTITUTE(LEFT(F910,N10)," ","")))),FIND(" ",F910&amp;" ",N10+1)-1)))</f>
        <v>1</v>
      </c>
      <c r="N910" s="686">
        <f t="shared" si="92"/>
        <v>893</v>
      </c>
      <c r="O910" s="663" t="str">
        <f t="shared" si="93"/>
        <v>0</v>
      </c>
      <c r="P910" s="686">
        <f t="shared" si="94"/>
        <v>1</v>
      </c>
      <c r="Q910" s="686">
        <f t="shared" si="95"/>
        <v>1</v>
      </c>
      <c r="DE910" s="494"/>
      <c r="DF910" s="496" t="s">
        <v>2876</v>
      </c>
      <c r="DG910" s="496" t="s">
        <v>8</v>
      </c>
      <c r="DH910" s="496" t="s">
        <v>689</v>
      </c>
      <c r="DI910" s="496" t="s">
        <v>154</v>
      </c>
      <c r="DJ910" s="496" t="s">
        <v>154</v>
      </c>
      <c r="DK910" s="496" t="s">
        <v>1554</v>
      </c>
      <c r="DL910" s="496" t="s">
        <v>1555</v>
      </c>
      <c r="DM910" s="496" t="s">
        <v>1981</v>
      </c>
      <c r="DN910" s="497" t="s">
        <v>1982</v>
      </c>
      <c r="DP910" s="543">
        <v>1</v>
      </c>
    </row>
    <row r="911" spans="2:120" ht="15">
      <c r="B911" s="683"/>
      <c r="C911" s="683"/>
      <c r="D911" s="683"/>
      <c r="E911" s="683" cm="1">
        <f t="array" ref="E911">IF(H910&lt;&gt;"",E910,IF(E910="","",IFERROR(MATCH(TRUE(),INDEX(INDEX(K:K,E910+1):K203&lt;&gt;"",0),0)+E910,"")))</f>
        <v>1052</v>
      </c>
      <c r="F911" s="684" cm="1">
        <f t="array" ref="F911">IF(E911="","",IF(H910&lt;&gt;"",H910,INDEX(D:D,E911)))</f>
        <v>0</v>
      </c>
      <c r="G911" s="684" t="str">
        <f t="shared" si="90"/>
        <v>0</v>
      </c>
      <c r="H911" s="685" t="str">
        <f t="shared" si="91"/>
        <v/>
      </c>
      <c r="I911" s="683" t="str">
        <f>IF(AND(F911&lt;&gt;"",N10&gt;0,M911&gt;N10),"Mot &gt; limite","")</f>
        <v/>
      </c>
      <c r="M911" s="638">
        <f>IF(OR(F911="",N10="",N10&lt;=0),"",IF(LEN(F911)&lt;=N10,LEN(F911),IFERROR(FIND("♦",SUBSTITUTE(LEFT(F911,N10)," ","♦",LEN(LEFT(F911,N10))-LEN(SUBSTITUTE(LEFT(F911,N10)," ","")))),FIND(" ",F911&amp;" ",N10+1)-1)))</f>
        <v>1</v>
      </c>
      <c r="N911" s="686">
        <f t="shared" si="92"/>
        <v>894</v>
      </c>
      <c r="O911" s="663" t="str">
        <f t="shared" si="93"/>
        <v>0</v>
      </c>
      <c r="P911" s="686">
        <f t="shared" si="94"/>
        <v>1</v>
      </c>
      <c r="Q911" s="686">
        <f t="shared" si="95"/>
        <v>1</v>
      </c>
      <c r="DE911" s="494"/>
      <c r="DF911" s="496" t="s">
        <v>2877</v>
      </c>
      <c r="DG911" s="496" t="s">
        <v>8</v>
      </c>
      <c r="DH911" s="496" t="s">
        <v>689</v>
      </c>
      <c r="DI911" s="496" t="s">
        <v>2878</v>
      </c>
      <c r="DJ911" s="496" t="s">
        <v>2878</v>
      </c>
      <c r="DK911" s="496" t="s">
        <v>1554</v>
      </c>
      <c r="DL911" s="496" t="s">
        <v>1555</v>
      </c>
      <c r="DM911" s="496" t="s">
        <v>1981</v>
      </c>
      <c r="DN911" s="497" t="s">
        <v>1982</v>
      </c>
      <c r="DP911" s="543">
        <v>1</v>
      </c>
    </row>
    <row r="912" spans="2:120" ht="15">
      <c r="B912" s="683"/>
      <c r="C912" s="683"/>
      <c r="D912" s="683"/>
      <c r="E912" s="683" cm="1">
        <f t="array" ref="E912">IF(H911&lt;&gt;"",E911,IF(E911="","",IFERROR(MATCH(TRUE(),INDEX(INDEX(K:K,E911+1):K203&lt;&gt;"",0),0)+E911,"")))</f>
        <v>1053</v>
      </c>
      <c r="F912" s="684" cm="1">
        <f t="array" ref="F912">IF(E912="","",IF(H911&lt;&gt;"",H911,INDEX(D:D,E912)))</f>
        <v>0</v>
      </c>
      <c r="G912" s="684" t="str">
        <f t="shared" si="90"/>
        <v>0</v>
      </c>
      <c r="H912" s="685" t="str">
        <f t="shared" si="91"/>
        <v/>
      </c>
      <c r="I912" s="683" t="str">
        <f>IF(AND(F912&lt;&gt;"",N10&gt;0,M912&gt;N10),"Mot &gt; limite","")</f>
        <v/>
      </c>
      <c r="M912" s="638">
        <f>IF(OR(F912="",N10="",N10&lt;=0),"",IF(LEN(F912)&lt;=N10,LEN(F912),IFERROR(FIND("♦",SUBSTITUTE(LEFT(F912,N10)," ","♦",LEN(LEFT(F912,N10))-LEN(SUBSTITUTE(LEFT(F912,N10)," ","")))),FIND(" ",F912&amp;" ",N10+1)-1)))</f>
        <v>1</v>
      </c>
      <c r="N912" s="686">
        <f t="shared" si="92"/>
        <v>895</v>
      </c>
      <c r="O912" s="663" t="str">
        <f t="shared" si="93"/>
        <v>0</v>
      </c>
      <c r="P912" s="686">
        <f t="shared" si="94"/>
        <v>1</v>
      </c>
      <c r="Q912" s="686">
        <f t="shared" si="95"/>
        <v>1</v>
      </c>
      <c r="DE912" s="494"/>
      <c r="DF912" s="496" t="s">
        <v>2879</v>
      </c>
      <c r="DG912" s="496" t="s">
        <v>8</v>
      </c>
      <c r="DH912" s="496" t="s">
        <v>689</v>
      </c>
      <c r="DI912" s="496" t="s">
        <v>2880</v>
      </c>
      <c r="DJ912" s="496" t="s">
        <v>2880</v>
      </c>
      <c r="DK912" s="496" t="s">
        <v>1554</v>
      </c>
      <c r="DL912" s="496" t="s">
        <v>1555</v>
      </c>
      <c r="DM912" s="496" t="s">
        <v>1981</v>
      </c>
      <c r="DN912" s="497" t="s">
        <v>1982</v>
      </c>
      <c r="DP912" s="543">
        <v>1</v>
      </c>
    </row>
    <row r="913" spans="2:120" ht="15">
      <c r="B913" s="683"/>
      <c r="C913" s="683"/>
      <c r="D913" s="683"/>
      <c r="E913" s="683" cm="1">
        <f t="array" ref="E913">IF(H912&lt;&gt;"",E912,IF(E912="","",IFERROR(MATCH(TRUE(),INDEX(INDEX(K:K,E912+1):K203&lt;&gt;"",0),0)+E912,"")))</f>
        <v>1054</v>
      </c>
      <c r="F913" s="684" cm="1">
        <f t="array" ref="F913">IF(E913="","",IF(H912&lt;&gt;"",H912,INDEX(D:D,E913)))</f>
        <v>0</v>
      </c>
      <c r="G913" s="684" t="str">
        <f t="shared" si="90"/>
        <v>0</v>
      </c>
      <c r="H913" s="685" t="str">
        <f t="shared" si="91"/>
        <v/>
      </c>
      <c r="I913" s="683" t="str">
        <f>IF(AND(F913&lt;&gt;"",N10&gt;0,M913&gt;N10),"Mot &gt; limite","")</f>
        <v/>
      </c>
      <c r="M913" s="638">
        <f>IF(OR(F913="",N10="",N10&lt;=0),"",IF(LEN(F913)&lt;=N10,LEN(F913),IFERROR(FIND("♦",SUBSTITUTE(LEFT(F913,N10)," ","♦",LEN(LEFT(F913,N10))-LEN(SUBSTITUTE(LEFT(F913,N10)," ","")))),FIND(" ",F913&amp;" ",N10+1)-1)))</f>
        <v>1</v>
      </c>
      <c r="N913" s="686">
        <f t="shared" si="92"/>
        <v>896</v>
      </c>
      <c r="O913" s="663" t="str">
        <f t="shared" si="93"/>
        <v>0</v>
      </c>
      <c r="P913" s="686">
        <f t="shared" si="94"/>
        <v>1</v>
      </c>
      <c r="Q913" s="686">
        <f t="shared" si="95"/>
        <v>1</v>
      </c>
      <c r="DE913" s="494"/>
      <c r="DF913" s="496" t="s">
        <v>2881</v>
      </c>
      <c r="DG913" s="496" t="s">
        <v>8</v>
      </c>
      <c r="DH913" s="496" t="s">
        <v>689</v>
      </c>
      <c r="DI913" s="496" t="s">
        <v>2882</v>
      </c>
      <c r="DJ913" s="496" t="s">
        <v>2882</v>
      </c>
      <c r="DK913" s="496" t="s">
        <v>1554</v>
      </c>
      <c r="DL913" s="496" t="s">
        <v>1555</v>
      </c>
      <c r="DM913" s="496" t="s">
        <v>1981</v>
      </c>
      <c r="DN913" s="497" t="s">
        <v>1982</v>
      </c>
      <c r="DP913" s="543">
        <v>1</v>
      </c>
    </row>
    <row r="914" spans="2:120" ht="15">
      <c r="B914" s="683"/>
      <c r="C914" s="683"/>
      <c r="D914" s="683"/>
      <c r="E914" s="683" cm="1">
        <f t="array" ref="E914">IF(H913&lt;&gt;"",E913,IF(E913="","",IFERROR(MATCH(TRUE(),INDEX(INDEX(K:K,E913+1):K203&lt;&gt;"",0),0)+E913,"")))</f>
        <v>1055</v>
      </c>
      <c r="F914" s="684" cm="1">
        <f t="array" ref="F914">IF(E914="","",IF(H913&lt;&gt;"",H913,INDEX(D:D,E914)))</f>
        <v>0</v>
      </c>
      <c r="G914" s="684" t="str">
        <f t="shared" ref="G914:G977" si="96">IF(OR(F914="",M914=""),"",LEFT(F914,M914))</f>
        <v>0</v>
      </c>
      <c r="H914" s="685" t="str">
        <f t="shared" ref="H914:H977" si="97">IF(OR(F914="",M914=""),"",TRIM(MID(F914,M914+1,99999)))</f>
        <v/>
      </c>
      <c r="I914" s="683" t="str">
        <f>IF(AND(F914&lt;&gt;"",N10&gt;0,M914&gt;N10),"Mot &gt; limite","")</f>
        <v/>
      </c>
      <c r="M914" s="638">
        <f>IF(OR(F914="",N10="",N10&lt;=0),"",IF(LEN(F914)&lt;=N10,LEN(F914),IFERROR(FIND("♦",SUBSTITUTE(LEFT(F914,N10)," ","♦",LEN(LEFT(F914,N10))-LEN(SUBSTITUTE(LEFT(F914,N10)," ","")))),FIND(" ",F914&amp;" ",N10+1)-1)))</f>
        <v>1</v>
      </c>
      <c r="N914" s="686">
        <f t="shared" ref="N914:N977" si="98">IF(O914="","",ROW()-17)</f>
        <v>897</v>
      </c>
      <c r="O914" s="663" t="str">
        <f t="shared" ref="O914:O977" si="99">G914</f>
        <v>0</v>
      </c>
      <c r="P914" s="686">
        <f t="shared" ref="P914:P977" si="100">IF(O914="","",LEN(TRIM(O914))-LEN(SUBSTITUTE(TRIM(O914)," ",""))+1)</f>
        <v>1</v>
      </c>
      <c r="Q914" s="686">
        <f t="shared" ref="Q914:Q977" si="101">IF(O914="","",LEN(O914))</f>
        <v>1</v>
      </c>
      <c r="DE914" s="494"/>
      <c r="DF914" s="496" t="s">
        <v>2883</v>
      </c>
      <c r="DG914" s="496" t="s">
        <v>8</v>
      </c>
      <c r="DH914" s="496" t="s">
        <v>689</v>
      </c>
      <c r="DI914" s="496" t="s">
        <v>2884</v>
      </c>
      <c r="DJ914" s="496" t="s">
        <v>2884</v>
      </c>
      <c r="DK914" s="496" t="s">
        <v>1554</v>
      </c>
      <c r="DL914" s="496" t="s">
        <v>1555</v>
      </c>
      <c r="DM914" s="496" t="s">
        <v>1981</v>
      </c>
      <c r="DN914" s="497" t="s">
        <v>1982</v>
      </c>
      <c r="DP914" s="543">
        <v>1</v>
      </c>
    </row>
    <row r="915" spans="2:120" ht="15">
      <c r="B915" s="683"/>
      <c r="C915" s="683"/>
      <c r="D915" s="683"/>
      <c r="E915" s="683" cm="1">
        <f t="array" ref="E915">IF(H914&lt;&gt;"",E914,IF(E914="","",IFERROR(MATCH(TRUE(),INDEX(INDEX(K:K,E914+1):K203&lt;&gt;"",0),0)+E914,"")))</f>
        <v>1056</v>
      </c>
      <c r="F915" s="684" cm="1">
        <f t="array" ref="F915">IF(E915="","",IF(H914&lt;&gt;"",H914,INDEX(D:D,E915)))</f>
        <v>0</v>
      </c>
      <c r="G915" s="684" t="str">
        <f t="shared" si="96"/>
        <v>0</v>
      </c>
      <c r="H915" s="685" t="str">
        <f t="shared" si="97"/>
        <v/>
      </c>
      <c r="I915" s="683" t="str">
        <f>IF(AND(F915&lt;&gt;"",N10&gt;0,M915&gt;N10),"Mot &gt; limite","")</f>
        <v/>
      </c>
      <c r="M915" s="638">
        <f>IF(OR(F915="",N10="",N10&lt;=0),"",IF(LEN(F915)&lt;=N10,LEN(F915),IFERROR(FIND("♦",SUBSTITUTE(LEFT(F915,N10)," ","♦",LEN(LEFT(F915,N10))-LEN(SUBSTITUTE(LEFT(F915,N10)," ","")))),FIND(" ",F915&amp;" ",N10+1)-1)))</f>
        <v>1</v>
      </c>
      <c r="N915" s="686">
        <f t="shared" si="98"/>
        <v>898</v>
      </c>
      <c r="O915" s="663" t="str">
        <f t="shared" si="99"/>
        <v>0</v>
      </c>
      <c r="P915" s="686">
        <f t="shared" si="100"/>
        <v>1</v>
      </c>
      <c r="Q915" s="686">
        <f t="shared" si="101"/>
        <v>1</v>
      </c>
      <c r="DE915" s="494"/>
      <c r="DF915" s="496" t="s">
        <v>2885</v>
      </c>
      <c r="DG915" s="496" t="s">
        <v>8</v>
      </c>
      <c r="DH915" s="496" t="s">
        <v>689</v>
      </c>
      <c r="DI915" s="496" t="s">
        <v>2886</v>
      </c>
      <c r="DJ915" s="496" t="s">
        <v>2886</v>
      </c>
      <c r="DK915" s="496" t="s">
        <v>1554</v>
      </c>
      <c r="DL915" s="496" t="s">
        <v>1555</v>
      </c>
      <c r="DM915" s="496" t="s">
        <v>1981</v>
      </c>
      <c r="DN915" s="497" t="s">
        <v>1982</v>
      </c>
      <c r="DP915" s="543">
        <v>1</v>
      </c>
    </row>
    <row r="916" spans="2:120" ht="15">
      <c r="B916" s="683"/>
      <c r="C916" s="683"/>
      <c r="D916" s="683"/>
      <c r="E916" s="683" cm="1">
        <f t="array" ref="E916">IF(H915&lt;&gt;"",E915,IF(E915="","",IFERROR(MATCH(TRUE(),INDEX(INDEX(K:K,E915+1):K203&lt;&gt;"",0),0)+E915,"")))</f>
        <v>1057</v>
      </c>
      <c r="F916" s="684" cm="1">
        <f t="array" ref="F916">IF(E916="","",IF(H915&lt;&gt;"",H915,INDEX(D:D,E916)))</f>
        <v>0</v>
      </c>
      <c r="G916" s="684" t="str">
        <f t="shared" si="96"/>
        <v>0</v>
      </c>
      <c r="H916" s="685" t="str">
        <f t="shared" si="97"/>
        <v/>
      </c>
      <c r="I916" s="683" t="str">
        <f>IF(AND(F916&lt;&gt;"",N10&gt;0,M916&gt;N10),"Mot &gt; limite","")</f>
        <v/>
      </c>
      <c r="M916" s="638">
        <f>IF(OR(F916="",N10="",N10&lt;=0),"",IF(LEN(F916)&lt;=N10,LEN(F916),IFERROR(FIND("♦",SUBSTITUTE(LEFT(F916,N10)," ","♦",LEN(LEFT(F916,N10))-LEN(SUBSTITUTE(LEFT(F916,N10)," ","")))),FIND(" ",F916&amp;" ",N10+1)-1)))</f>
        <v>1</v>
      </c>
      <c r="N916" s="686">
        <f t="shared" si="98"/>
        <v>899</v>
      </c>
      <c r="O916" s="663" t="str">
        <f t="shared" si="99"/>
        <v>0</v>
      </c>
      <c r="P916" s="686">
        <f t="shared" si="100"/>
        <v>1</v>
      </c>
      <c r="Q916" s="686">
        <f t="shared" si="101"/>
        <v>1</v>
      </c>
      <c r="DE916" s="494"/>
      <c r="DF916" s="496" t="s">
        <v>2887</v>
      </c>
      <c r="DG916" s="496" t="s">
        <v>8</v>
      </c>
      <c r="DH916" s="496" t="s">
        <v>689</v>
      </c>
      <c r="DI916" s="496" t="s">
        <v>2888</v>
      </c>
      <c r="DJ916" s="496" t="s">
        <v>2888</v>
      </c>
      <c r="DK916" s="496" t="s">
        <v>1554</v>
      </c>
      <c r="DL916" s="496" t="s">
        <v>1555</v>
      </c>
      <c r="DM916" s="496" t="s">
        <v>1981</v>
      </c>
      <c r="DN916" s="497" t="s">
        <v>1982</v>
      </c>
      <c r="DP916" s="543">
        <v>1</v>
      </c>
    </row>
    <row r="917" spans="2:120" ht="15">
      <c r="B917" s="683"/>
      <c r="C917" s="683"/>
      <c r="D917" s="683"/>
      <c r="E917" s="683" cm="1">
        <f t="array" ref="E917">IF(H916&lt;&gt;"",E916,IF(E916="","",IFERROR(MATCH(TRUE(),INDEX(INDEX(K:K,E916+1):K203&lt;&gt;"",0),0)+E916,"")))</f>
        <v>1058</v>
      </c>
      <c r="F917" s="684" cm="1">
        <f t="array" ref="F917">IF(E917="","",IF(H916&lt;&gt;"",H916,INDEX(D:D,E917)))</f>
        <v>0</v>
      </c>
      <c r="G917" s="684" t="str">
        <f t="shared" si="96"/>
        <v>0</v>
      </c>
      <c r="H917" s="685" t="str">
        <f t="shared" si="97"/>
        <v/>
      </c>
      <c r="I917" s="683" t="str">
        <f>IF(AND(F917&lt;&gt;"",N10&gt;0,M917&gt;N10),"Mot &gt; limite","")</f>
        <v/>
      </c>
      <c r="M917" s="638">
        <f>IF(OR(F917="",N10="",N10&lt;=0),"",IF(LEN(F917)&lt;=N10,LEN(F917),IFERROR(FIND("♦",SUBSTITUTE(LEFT(F917,N10)," ","♦",LEN(LEFT(F917,N10))-LEN(SUBSTITUTE(LEFT(F917,N10)," ","")))),FIND(" ",F917&amp;" ",N10+1)-1)))</f>
        <v>1</v>
      </c>
      <c r="N917" s="686">
        <f t="shared" si="98"/>
        <v>900</v>
      </c>
      <c r="O917" s="663" t="str">
        <f t="shared" si="99"/>
        <v>0</v>
      </c>
      <c r="P917" s="686">
        <f t="shared" si="100"/>
        <v>1</v>
      </c>
      <c r="Q917" s="686">
        <f t="shared" si="101"/>
        <v>1</v>
      </c>
      <c r="DE917" s="494"/>
      <c r="DF917" s="496" t="s">
        <v>2889</v>
      </c>
      <c r="DG917" s="496" t="s">
        <v>8</v>
      </c>
      <c r="DH917" s="496" t="s">
        <v>689</v>
      </c>
      <c r="DI917" s="496" t="s">
        <v>2890</v>
      </c>
      <c r="DJ917" s="496" t="s">
        <v>2890</v>
      </c>
      <c r="DK917" s="496" t="s">
        <v>1554</v>
      </c>
      <c r="DL917" s="496" t="s">
        <v>1555</v>
      </c>
      <c r="DM917" s="496" t="s">
        <v>1981</v>
      </c>
      <c r="DN917" s="497" t="s">
        <v>1982</v>
      </c>
      <c r="DP917" s="543">
        <v>1</v>
      </c>
    </row>
    <row r="918" spans="2:120" ht="15">
      <c r="B918" s="683"/>
      <c r="C918" s="683"/>
      <c r="D918" s="683"/>
      <c r="E918" s="683" cm="1">
        <f t="array" ref="E918">IF(H917&lt;&gt;"",E917,IF(E917="","",IFERROR(MATCH(TRUE(),INDEX(INDEX(K:K,E917+1):K203&lt;&gt;"",0),0)+E917,"")))</f>
        <v>1059</v>
      </c>
      <c r="F918" s="684" cm="1">
        <f t="array" ref="F918">IF(E918="","",IF(H917&lt;&gt;"",H917,INDEX(D:D,E918)))</f>
        <v>0</v>
      </c>
      <c r="G918" s="684" t="str">
        <f t="shared" si="96"/>
        <v>0</v>
      </c>
      <c r="H918" s="685" t="str">
        <f t="shared" si="97"/>
        <v/>
      </c>
      <c r="I918" s="683" t="str">
        <f>IF(AND(F918&lt;&gt;"",N10&gt;0,M918&gt;N10),"Mot &gt; limite","")</f>
        <v/>
      </c>
      <c r="M918" s="638">
        <f>IF(OR(F918="",N10="",N10&lt;=0),"",IF(LEN(F918)&lt;=N10,LEN(F918),IFERROR(FIND("♦",SUBSTITUTE(LEFT(F918,N10)," ","♦",LEN(LEFT(F918,N10))-LEN(SUBSTITUTE(LEFT(F918,N10)," ","")))),FIND(" ",F918&amp;" ",N10+1)-1)))</f>
        <v>1</v>
      </c>
      <c r="N918" s="686">
        <f t="shared" si="98"/>
        <v>901</v>
      </c>
      <c r="O918" s="663" t="str">
        <f t="shared" si="99"/>
        <v>0</v>
      </c>
      <c r="P918" s="686">
        <f t="shared" si="100"/>
        <v>1</v>
      </c>
      <c r="Q918" s="686">
        <f t="shared" si="101"/>
        <v>1</v>
      </c>
      <c r="DE918" s="494"/>
      <c r="DF918" s="496" t="s">
        <v>2891</v>
      </c>
      <c r="DG918" s="496" t="s">
        <v>8</v>
      </c>
      <c r="DH918" s="496" t="s">
        <v>689</v>
      </c>
      <c r="DI918" s="496" t="s">
        <v>2892</v>
      </c>
      <c r="DJ918" s="496" t="s">
        <v>2892</v>
      </c>
      <c r="DK918" s="496" t="s">
        <v>1554</v>
      </c>
      <c r="DL918" s="496" t="s">
        <v>1555</v>
      </c>
      <c r="DM918" s="496" t="s">
        <v>1981</v>
      </c>
      <c r="DN918" s="497" t="s">
        <v>1982</v>
      </c>
      <c r="DP918" s="543">
        <v>1</v>
      </c>
    </row>
    <row r="919" spans="2:120" ht="15">
      <c r="B919" s="683"/>
      <c r="C919" s="683"/>
      <c r="D919" s="683"/>
      <c r="E919" s="683" cm="1">
        <f t="array" ref="E919">IF(H918&lt;&gt;"",E918,IF(E918="","",IFERROR(MATCH(TRUE(),INDEX(INDEX(K:K,E918+1):K203&lt;&gt;"",0),0)+E918,"")))</f>
        <v>1060</v>
      </c>
      <c r="F919" s="684" cm="1">
        <f t="array" ref="F919">IF(E919="","",IF(H918&lt;&gt;"",H918,INDEX(D:D,E919)))</f>
        <v>0</v>
      </c>
      <c r="G919" s="684" t="str">
        <f t="shared" si="96"/>
        <v>0</v>
      </c>
      <c r="H919" s="685" t="str">
        <f t="shared" si="97"/>
        <v/>
      </c>
      <c r="I919" s="683" t="str">
        <f>IF(AND(F919&lt;&gt;"",N10&gt;0,M919&gt;N10),"Mot &gt; limite","")</f>
        <v/>
      </c>
      <c r="M919" s="638">
        <f>IF(OR(F919="",N10="",N10&lt;=0),"",IF(LEN(F919)&lt;=N10,LEN(F919),IFERROR(FIND("♦",SUBSTITUTE(LEFT(F919,N10)," ","♦",LEN(LEFT(F919,N10))-LEN(SUBSTITUTE(LEFT(F919,N10)," ","")))),FIND(" ",F919&amp;" ",N10+1)-1)))</f>
        <v>1</v>
      </c>
      <c r="N919" s="686">
        <f t="shared" si="98"/>
        <v>902</v>
      </c>
      <c r="O919" s="663" t="str">
        <f t="shared" si="99"/>
        <v>0</v>
      </c>
      <c r="P919" s="686">
        <f t="shared" si="100"/>
        <v>1</v>
      </c>
      <c r="Q919" s="686">
        <f t="shared" si="101"/>
        <v>1</v>
      </c>
      <c r="DE919" s="494"/>
      <c r="DF919" s="496" t="s">
        <v>2893</v>
      </c>
      <c r="DG919" s="496" t="s">
        <v>8</v>
      </c>
      <c r="DH919" s="496" t="s">
        <v>689</v>
      </c>
      <c r="DI919" s="496" t="s">
        <v>2894</v>
      </c>
      <c r="DJ919" s="496" t="s">
        <v>2894</v>
      </c>
      <c r="DK919" s="496" t="s">
        <v>1554</v>
      </c>
      <c r="DL919" s="496" t="s">
        <v>1555</v>
      </c>
      <c r="DM919" s="496" t="s">
        <v>1981</v>
      </c>
      <c r="DN919" s="497" t="s">
        <v>1982</v>
      </c>
      <c r="DP919" s="543">
        <v>1</v>
      </c>
    </row>
    <row r="920" spans="2:120" ht="15">
      <c r="B920" s="683"/>
      <c r="C920" s="683"/>
      <c r="D920" s="683"/>
      <c r="E920" s="683" cm="1">
        <f t="array" ref="E920">IF(H919&lt;&gt;"",E919,IF(E919="","",IFERROR(MATCH(TRUE(),INDEX(INDEX(K:K,E919+1):K203&lt;&gt;"",0),0)+E919,"")))</f>
        <v>1061</v>
      </c>
      <c r="F920" s="684" cm="1">
        <f t="array" ref="F920">IF(E920="","",IF(H919&lt;&gt;"",H919,INDEX(D:D,E920)))</f>
        <v>0</v>
      </c>
      <c r="G920" s="684" t="str">
        <f t="shared" si="96"/>
        <v>0</v>
      </c>
      <c r="H920" s="685" t="str">
        <f t="shared" si="97"/>
        <v/>
      </c>
      <c r="I920" s="683" t="str">
        <f>IF(AND(F920&lt;&gt;"",N10&gt;0,M920&gt;N10),"Mot &gt; limite","")</f>
        <v/>
      </c>
      <c r="M920" s="638">
        <f>IF(OR(F920="",N10="",N10&lt;=0),"",IF(LEN(F920)&lt;=N10,LEN(F920),IFERROR(FIND("♦",SUBSTITUTE(LEFT(F920,N10)," ","♦",LEN(LEFT(F920,N10))-LEN(SUBSTITUTE(LEFT(F920,N10)," ","")))),FIND(" ",F920&amp;" ",N10+1)-1)))</f>
        <v>1</v>
      </c>
      <c r="N920" s="686">
        <f t="shared" si="98"/>
        <v>903</v>
      </c>
      <c r="O920" s="663" t="str">
        <f t="shared" si="99"/>
        <v>0</v>
      </c>
      <c r="P920" s="686">
        <f t="shared" si="100"/>
        <v>1</v>
      </c>
      <c r="Q920" s="686">
        <f t="shared" si="101"/>
        <v>1</v>
      </c>
      <c r="DE920" s="494"/>
      <c r="DF920" s="496" t="s">
        <v>2895</v>
      </c>
      <c r="DG920" s="496" t="s">
        <v>8</v>
      </c>
      <c r="DH920" s="496" t="s">
        <v>689</v>
      </c>
      <c r="DI920" s="496" t="s">
        <v>2896</v>
      </c>
      <c r="DJ920" s="496" t="s">
        <v>2896</v>
      </c>
      <c r="DK920" s="496" t="s">
        <v>1554</v>
      </c>
      <c r="DL920" s="496" t="s">
        <v>1555</v>
      </c>
      <c r="DM920" s="496" t="s">
        <v>1981</v>
      </c>
      <c r="DN920" s="497" t="s">
        <v>1982</v>
      </c>
      <c r="DP920" s="543">
        <v>1</v>
      </c>
    </row>
    <row r="921" spans="2:120" ht="15">
      <c r="B921" s="683"/>
      <c r="C921" s="683"/>
      <c r="D921" s="683"/>
      <c r="E921" s="683" cm="1">
        <f t="array" ref="E921">IF(H920&lt;&gt;"",E920,IF(E920="","",IFERROR(MATCH(TRUE(),INDEX(INDEX(K:K,E920+1):K203&lt;&gt;"",0),0)+E920,"")))</f>
        <v>1062</v>
      </c>
      <c r="F921" s="684" cm="1">
        <f t="array" ref="F921">IF(E921="","",IF(H920&lt;&gt;"",H920,INDEX(D:D,E921)))</f>
        <v>0</v>
      </c>
      <c r="G921" s="684" t="str">
        <f t="shared" si="96"/>
        <v>0</v>
      </c>
      <c r="H921" s="685" t="str">
        <f t="shared" si="97"/>
        <v/>
      </c>
      <c r="I921" s="683" t="str">
        <f>IF(AND(F921&lt;&gt;"",N10&gt;0,M921&gt;N10),"Mot &gt; limite","")</f>
        <v/>
      </c>
      <c r="M921" s="638">
        <f>IF(OR(F921="",N10="",N10&lt;=0),"",IF(LEN(F921)&lt;=N10,LEN(F921),IFERROR(FIND("♦",SUBSTITUTE(LEFT(F921,N10)," ","♦",LEN(LEFT(F921,N10))-LEN(SUBSTITUTE(LEFT(F921,N10)," ","")))),FIND(" ",F921&amp;" ",N10+1)-1)))</f>
        <v>1</v>
      </c>
      <c r="N921" s="686">
        <f t="shared" si="98"/>
        <v>904</v>
      </c>
      <c r="O921" s="663" t="str">
        <f t="shared" si="99"/>
        <v>0</v>
      </c>
      <c r="P921" s="686">
        <f t="shared" si="100"/>
        <v>1</v>
      </c>
      <c r="Q921" s="686">
        <f t="shared" si="101"/>
        <v>1</v>
      </c>
      <c r="DE921" s="494"/>
      <c r="DF921" s="496" t="s">
        <v>2897</v>
      </c>
      <c r="DG921" s="496" t="s">
        <v>8</v>
      </c>
      <c r="DH921" s="496" t="s">
        <v>689</v>
      </c>
      <c r="DI921" s="496" t="s">
        <v>2898</v>
      </c>
      <c r="DJ921" s="496" t="s">
        <v>2898</v>
      </c>
      <c r="DK921" s="496" t="s">
        <v>1554</v>
      </c>
      <c r="DL921" s="496" t="s">
        <v>1555</v>
      </c>
      <c r="DM921" s="496" t="s">
        <v>1981</v>
      </c>
      <c r="DN921" s="497" t="s">
        <v>1982</v>
      </c>
      <c r="DP921" s="543">
        <v>1</v>
      </c>
    </row>
    <row r="922" spans="2:120" ht="15">
      <c r="B922" s="683"/>
      <c r="C922" s="683"/>
      <c r="D922" s="683"/>
      <c r="E922" s="683" cm="1">
        <f t="array" ref="E922">IF(H921&lt;&gt;"",E921,IF(E921="","",IFERROR(MATCH(TRUE(),INDEX(INDEX(K:K,E921+1):K203&lt;&gt;"",0),0)+E921,"")))</f>
        <v>1063</v>
      </c>
      <c r="F922" s="684" cm="1">
        <f t="array" ref="F922">IF(E922="","",IF(H921&lt;&gt;"",H921,INDEX(D:D,E922)))</f>
        <v>0</v>
      </c>
      <c r="G922" s="684" t="str">
        <f t="shared" si="96"/>
        <v>0</v>
      </c>
      <c r="H922" s="685" t="str">
        <f t="shared" si="97"/>
        <v/>
      </c>
      <c r="I922" s="683" t="str">
        <f>IF(AND(F922&lt;&gt;"",N10&gt;0,M922&gt;N10),"Mot &gt; limite","")</f>
        <v/>
      </c>
      <c r="M922" s="638">
        <f>IF(OR(F922="",N10="",N10&lt;=0),"",IF(LEN(F922)&lt;=N10,LEN(F922),IFERROR(FIND("♦",SUBSTITUTE(LEFT(F922,N10)," ","♦",LEN(LEFT(F922,N10))-LEN(SUBSTITUTE(LEFT(F922,N10)," ","")))),FIND(" ",F922&amp;" ",N10+1)-1)))</f>
        <v>1</v>
      </c>
      <c r="N922" s="686">
        <f t="shared" si="98"/>
        <v>905</v>
      </c>
      <c r="O922" s="663" t="str">
        <f t="shared" si="99"/>
        <v>0</v>
      </c>
      <c r="P922" s="686">
        <f t="shared" si="100"/>
        <v>1</v>
      </c>
      <c r="Q922" s="686">
        <f t="shared" si="101"/>
        <v>1</v>
      </c>
      <c r="DE922" s="494"/>
      <c r="DF922" s="496" t="s">
        <v>2899</v>
      </c>
      <c r="DG922" s="496" t="s">
        <v>8</v>
      </c>
      <c r="DH922" s="496" t="s">
        <v>689</v>
      </c>
      <c r="DI922" s="496" t="s">
        <v>2900</v>
      </c>
      <c r="DJ922" s="496" t="s">
        <v>2900</v>
      </c>
      <c r="DK922" s="496" t="s">
        <v>1554</v>
      </c>
      <c r="DL922" s="496" t="s">
        <v>1555</v>
      </c>
      <c r="DM922" s="496" t="s">
        <v>1981</v>
      </c>
      <c r="DN922" s="497" t="s">
        <v>1982</v>
      </c>
      <c r="DP922" s="543">
        <v>1</v>
      </c>
    </row>
    <row r="923" spans="2:120" ht="15">
      <c r="B923" s="683"/>
      <c r="C923" s="683"/>
      <c r="D923" s="683"/>
      <c r="E923" s="683" cm="1">
        <f t="array" ref="E923">IF(H922&lt;&gt;"",E922,IF(E922="","",IFERROR(MATCH(TRUE(),INDEX(INDEX(K:K,E922+1):K203&lt;&gt;"",0),0)+E922,"")))</f>
        <v>1064</v>
      </c>
      <c r="F923" s="684" cm="1">
        <f t="array" ref="F923">IF(E923="","",IF(H922&lt;&gt;"",H922,INDEX(D:D,E923)))</f>
        <v>0</v>
      </c>
      <c r="G923" s="684" t="str">
        <f t="shared" si="96"/>
        <v>0</v>
      </c>
      <c r="H923" s="685" t="str">
        <f t="shared" si="97"/>
        <v/>
      </c>
      <c r="I923" s="683" t="str">
        <f>IF(AND(F923&lt;&gt;"",N10&gt;0,M923&gt;N10),"Mot &gt; limite","")</f>
        <v/>
      </c>
      <c r="M923" s="638">
        <f>IF(OR(F923="",N10="",N10&lt;=0),"",IF(LEN(F923)&lt;=N10,LEN(F923),IFERROR(FIND("♦",SUBSTITUTE(LEFT(F923,N10)," ","♦",LEN(LEFT(F923,N10))-LEN(SUBSTITUTE(LEFT(F923,N10)," ","")))),FIND(" ",F923&amp;" ",N10+1)-1)))</f>
        <v>1</v>
      </c>
      <c r="N923" s="686">
        <f t="shared" si="98"/>
        <v>906</v>
      </c>
      <c r="O923" s="663" t="str">
        <f t="shared" si="99"/>
        <v>0</v>
      </c>
      <c r="P923" s="686">
        <f t="shared" si="100"/>
        <v>1</v>
      </c>
      <c r="Q923" s="686">
        <f t="shared" si="101"/>
        <v>1</v>
      </c>
      <c r="DE923" s="494"/>
      <c r="DF923" s="496" t="s">
        <v>2901</v>
      </c>
      <c r="DG923" s="496" t="s">
        <v>8</v>
      </c>
      <c r="DH923" s="496" t="s">
        <v>689</v>
      </c>
      <c r="DI923" s="496" t="s">
        <v>2902</v>
      </c>
      <c r="DJ923" s="496" t="s">
        <v>2902</v>
      </c>
      <c r="DK923" s="496" t="s">
        <v>1554</v>
      </c>
      <c r="DL923" s="496" t="s">
        <v>1555</v>
      </c>
      <c r="DM923" s="496" t="s">
        <v>1981</v>
      </c>
      <c r="DN923" s="497" t="s">
        <v>1982</v>
      </c>
      <c r="DP923" s="543">
        <v>1</v>
      </c>
    </row>
    <row r="924" spans="2:120" ht="15">
      <c r="B924" s="683"/>
      <c r="C924" s="683"/>
      <c r="D924" s="683"/>
      <c r="E924" s="683" cm="1">
        <f t="array" ref="E924">IF(H923&lt;&gt;"",E923,IF(E923="","",IFERROR(MATCH(TRUE(),INDEX(INDEX(K:K,E923+1):K203&lt;&gt;"",0),0)+E923,"")))</f>
        <v>1065</v>
      </c>
      <c r="F924" s="684" cm="1">
        <f t="array" ref="F924">IF(E924="","",IF(H923&lt;&gt;"",H923,INDEX(D:D,E924)))</f>
        <v>0</v>
      </c>
      <c r="G924" s="684" t="str">
        <f t="shared" si="96"/>
        <v>0</v>
      </c>
      <c r="H924" s="685" t="str">
        <f t="shared" si="97"/>
        <v/>
      </c>
      <c r="I924" s="683" t="str">
        <f>IF(AND(F924&lt;&gt;"",N10&gt;0,M924&gt;N10),"Mot &gt; limite","")</f>
        <v/>
      </c>
      <c r="M924" s="638">
        <f>IF(OR(F924="",N10="",N10&lt;=0),"",IF(LEN(F924)&lt;=N10,LEN(F924),IFERROR(FIND("♦",SUBSTITUTE(LEFT(F924,N10)," ","♦",LEN(LEFT(F924,N10))-LEN(SUBSTITUTE(LEFT(F924,N10)," ","")))),FIND(" ",F924&amp;" ",N10+1)-1)))</f>
        <v>1</v>
      </c>
      <c r="N924" s="686">
        <f t="shared" si="98"/>
        <v>907</v>
      </c>
      <c r="O924" s="663" t="str">
        <f t="shared" si="99"/>
        <v>0</v>
      </c>
      <c r="P924" s="686">
        <f t="shared" si="100"/>
        <v>1</v>
      </c>
      <c r="Q924" s="686">
        <f t="shared" si="101"/>
        <v>1</v>
      </c>
      <c r="DE924" s="494"/>
      <c r="DF924" s="496" t="s">
        <v>2903</v>
      </c>
      <c r="DG924" s="496" t="s">
        <v>8</v>
      </c>
      <c r="DH924" s="496" t="s">
        <v>689</v>
      </c>
      <c r="DI924" s="496" t="s">
        <v>2904</v>
      </c>
      <c r="DJ924" s="496" t="s">
        <v>2904</v>
      </c>
      <c r="DK924" s="496" t="s">
        <v>1085</v>
      </c>
      <c r="DL924" s="496" t="s">
        <v>2063</v>
      </c>
      <c r="DM924" s="496" t="s">
        <v>1087</v>
      </c>
      <c r="DN924" s="497" t="s">
        <v>1088</v>
      </c>
      <c r="DP924" s="543">
        <v>1</v>
      </c>
    </row>
    <row r="925" spans="2:120" ht="15">
      <c r="B925" s="683"/>
      <c r="C925" s="683"/>
      <c r="D925" s="683"/>
      <c r="E925" s="683" cm="1">
        <f t="array" ref="E925">IF(H924&lt;&gt;"",E924,IF(E924="","",IFERROR(MATCH(TRUE(),INDEX(INDEX(K:K,E924+1):K203&lt;&gt;"",0),0)+E924,"")))</f>
        <v>1066</v>
      </c>
      <c r="F925" s="684" cm="1">
        <f t="array" ref="F925">IF(E925="","",IF(H924&lt;&gt;"",H924,INDEX(D:D,E925)))</f>
        <v>0</v>
      </c>
      <c r="G925" s="684" t="str">
        <f t="shared" si="96"/>
        <v>0</v>
      </c>
      <c r="H925" s="685" t="str">
        <f t="shared" si="97"/>
        <v/>
      </c>
      <c r="I925" s="683" t="str">
        <f>IF(AND(F925&lt;&gt;"",N10&gt;0,M925&gt;N10),"Mot &gt; limite","")</f>
        <v/>
      </c>
      <c r="M925" s="638">
        <f>IF(OR(F925="",N10="",N10&lt;=0),"",IF(LEN(F925)&lt;=N10,LEN(F925),IFERROR(FIND("♦",SUBSTITUTE(LEFT(F925,N10)," ","♦",LEN(LEFT(F925,N10))-LEN(SUBSTITUTE(LEFT(F925,N10)," ","")))),FIND(" ",F925&amp;" ",N10+1)-1)))</f>
        <v>1</v>
      </c>
      <c r="N925" s="686">
        <f t="shared" si="98"/>
        <v>908</v>
      </c>
      <c r="O925" s="663" t="str">
        <f t="shared" si="99"/>
        <v>0</v>
      </c>
      <c r="P925" s="686">
        <f t="shared" si="100"/>
        <v>1</v>
      </c>
      <c r="Q925" s="686">
        <f t="shared" si="101"/>
        <v>1</v>
      </c>
      <c r="DE925" s="494"/>
      <c r="DF925" s="496" t="s">
        <v>2905</v>
      </c>
      <c r="DG925" s="496" t="s">
        <v>8</v>
      </c>
      <c r="DH925" s="496" t="s">
        <v>689</v>
      </c>
      <c r="DI925" s="496" t="s">
        <v>2906</v>
      </c>
      <c r="DJ925" s="496" t="s">
        <v>2906</v>
      </c>
      <c r="DK925" s="496" t="s">
        <v>1554</v>
      </c>
      <c r="DL925" s="496" t="s">
        <v>1555</v>
      </c>
      <c r="DM925" s="496" t="s">
        <v>1981</v>
      </c>
      <c r="DN925" s="497" t="s">
        <v>1982</v>
      </c>
      <c r="DP925" s="543">
        <v>1</v>
      </c>
    </row>
    <row r="926" spans="2:120" ht="15">
      <c r="B926" s="683"/>
      <c r="C926" s="683"/>
      <c r="D926" s="683"/>
      <c r="E926" s="683" cm="1">
        <f t="array" ref="E926">IF(H925&lt;&gt;"",E925,IF(E925="","",IFERROR(MATCH(TRUE(),INDEX(INDEX(K:K,E925+1):K203&lt;&gt;"",0),0)+E925,"")))</f>
        <v>1067</v>
      </c>
      <c r="F926" s="684" cm="1">
        <f t="array" ref="F926">IF(E926="","",IF(H925&lt;&gt;"",H925,INDEX(D:D,E926)))</f>
        <v>0</v>
      </c>
      <c r="G926" s="684" t="str">
        <f t="shared" si="96"/>
        <v>0</v>
      </c>
      <c r="H926" s="685" t="str">
        <f t="shared" si="97"/>
        <v/>
      </c>
      <c r="I926" s="683" t="str">
        <f>IF(AND(F926&lt;&gt;"",N10&gt;0,M926&gt;N10),"Mot &gt; limite","")</f>
        <v/>
      </c>
      <c r="M926" s="638">
        <f>IF(OR(F926="",N10="",N10&lt;=0),"",IF(LEN(F926)&lt;=N10,LEN(F926),IFERROR(FIND("♦",SUBSTITUTE(LEFT(F926,N10)," ","♦",LEN(LEFT(F926,N10))-LEN(SUBSTITUTE(LEFT(F926,N10)," ","")))),FIND(" ",F926&amp;" ",N10+1)-1)))</f>
        <v>1</v>
      </c>
      <c r="N926" s="686">
        <f t="shared" si="98"/>
        <v>909</v>
      </c>
      <c r="O926" s="663" t="str">
        <f t="shared" si="99"/>
        <v>0</v>
      </c>
      <c r="P926" s="686">
        <f t="shared" si="100"/>
        <v>1</v>
      </c>
      <c r="Q926" s="686">
        <f t="shared" si="101"/>
        <v>1</v>
      </c>
      <c r="DE926" s="494"/>
      <c r="DF926" s="496" t="s">
        <v>2907</v>
      </c>
      <c r="DG926" s="496" t="s">
        <v>8</v>
      </c>
      <c r="DH926" s="496" t="s">
        <v>689</v>
      </c>
      <c r="DI926" s="496" t="s">
        <v>2908</v>
      </c>
      <c r="DJ926" s="496" t="s">
        <v>2908</v>
      </c>
      <c r="DK926" s="496" t="s">
        <v>1554</v>
      </c>
      <c r="DL926" s="496" t="s">
        <v>1555</v>
      </c>
      <c r="DM926" s="496" t="s">
        <v>1981</v>
      </c>
      <c r="DN926" s="497" t="s">
        <v>1982</v>
      </c>
      <c r="DP926" s="543">
        <v>1</v>
      </c>
    </row>
    <row r="927" spans="2:120" ht="15">
      <c r="B927" s="683"/>
      <c r="C927" s="683"/>
      <c r="D927" s="683"/>
      <c r="E927" s="683" cm="1">
        <f t="array" ref="E927">IF(H926&lt;&gt;"",E926,IF(E926="","",IFERROR(MATCH(TRUE(),INDEX(INDEX(K:K,E926+1):K203&lt;&gt;"",0),0)+E926,"")))</f>
        <v>1068</v>
      </c>
      <c r="F927" s="684" cm="1">
        <f t="array" ref="F927">IF(E927="","",IF(H926&lt;&gt;"",H926,INDEX(D:D,E927)))</f>
        <v>0</v>
      </c>
      <c r="G927" s="684" t="str">
        <f t="shared" si="96"/>
        <v>0</v>
      </c>
      <c r="H927" s="685" t="str">
        <f t="shared" si="97"/>
        <v/>
      </c>
      <c r="I927" s="683" t="str">
        <f>IF(AND(F927&lt;&gt;"",N10&gt;0,M927&gt;N10),"Mot &gt; limite","")</f>
        <v/>
      </c>
      <c r="M927" s="638">
        <f>IF(OR(F927="",N10="",N10&lt;=0),"",IF(LEN(F927)&lt;=N10,LEN(F927),IFERROR(FIND("♦",SUBSTITUTE(LEFT(F927,N10)," ","♦",LEN(LEFT(F927,N10))-LEN(SUBSTITUTE(LEFT(F927,N10)," ","")))),FIND(" ",F927&amp;" ",N10+1)-1)))</f>
        <v>1</v>
      </c>
      <c r="N927" s="686">
        <f t="shared" si="98"/>
        <v>910</v>
      </c>
      <c r="O927" s="663" t="str">
        <f t="shared" si="99"/>
        <v>0</v>
      </c>
      <c r="P927" s="686">
        <f t="shared" si="100"/>
        <v>1</v>
      </c>
      <c r="Q927" s="686">
        <f t="shared" si="101"/>
        <v>1</v>
      </c>
      <c r="DE927" s="494"/>
      <c r="DF927" s="496" t="s">
        <v>2909</v>
      </c>
      <c r="DG927" s="496" t="s">
        <v>8</v>
      </c>
      <c r="DH927" s="496" t="s">
        <v>689</v>
      </c>
      <c r="DI927" s="496" t="s">
        <v>2910</v>
      </c>
      <c r="DJ927" s="496" t="s">
        <v>2910</v>
      </c>
      <c r="DK927" s="496" t="s">
        <v>1554</v>
      </c>
      <c r="DL927" s="496" t="s">
        <v>1555</v>
      </c>
      <c r="DM927" s="496" t="s">
        <v>1981</v>
      </c>
      <c r="DN927" s="497" t="s">
        <v>1982</v>
      </c>
      <c r="DP927" s="543">
        <v>1</v>
      </c>
    </row>
    <row r="928" spans="2:120" ht="15">
      <c r="B928" s="683"/>
      <c r="C928" s="683"/>
      <c r="D928" s="683"/>
      <c r="E928" s="683" cm="1">
        <f t="array" ref="E928">IF(H927&lt;&gt;"",E927,IF(E927="","",IFERROR(MATCH(TRUE(),INDEX(INDEX(K:K,E927+1):K203&lt;&gt;"",0),0)+E927,"")))</f>
        <v>1069</v>
      </c>
      <c r="F928" s="684" cm="1">
        <f t="array" ref="F928">IF(E928="","",IF(H927&lt;&gt;"",H927,INDEX(D:D,E928)))</f>
        <v>0</v>
      </c>
      <c r="G928" s="684" t="str">
        <f t="shared" si="96"/>
        <v>0</v>
      </c>
      <c r="H928" s="685" t="str">
        <f t="shared" si="97"/>
        <v/>
      </c>
      <c r="I928" s="683" t="str">
        <f>IF(AND(F928&lt;&gt;"",N10&gt;0,M928&gt;N10),"Mot &gt; limite","")</f>
        <v/>
      </c>
      <c r="M928" s="638">
        <f>IF(OR(F928="",N10="",N10&lt;=0),"",IF(LEN(F928)&lt;=N10,LEN(F928),IFERROR(FIND("♦",SUBSTITUTE(LEFT(F928,N10)," ","♦",LEN(LEFT(F928,N10))-LEN(SUBSTITUTE(LEFT(F928,N10)," ","")))),FIND(" ",F928&amp;" ",N10+1)-1)))</f>
        <v>1</v>
      </c>
      <c r="N928" s="686">
        <f t="shared" si="98"/>
        <v>911</v>
      </c>
      <c r="O928" s="663" t="str">
        <f t="shared" si="99"/>
        <v>0</v>
      </c>
      <c r="P928" s="686">
        <f t="shared" si="100"/>
        <v>1</v>
      </c>
      <c r="Q928" s="686">
        <f t="shared" si="101"/>
        <v>1</v>
      </c>
      <c r="DE928" s="494"/>
      <c r="DF928" s="496" t="s">
        <v>2911</v>
      </c>
      <c r="DG928" s="496" t="s">
        <v>8</v>
      </c>
      <c r="DH928" s="496" t="s">
        <v>689</v>
      </c>
      <c r="DI928" s="496" t="s">
        <v>2912</v>
      </c>
      <c r="DJ928" s="496" t="s">
        <v>2912</v>
      </c>
      <c r="DK928" s="496" t="s">
        <v>1554</v>
      </c>
      <c r="DL928" s="496" t="s">
        <v>1555</v>
      </c>
      <c r="DM928" s="496" t="s">
        <v>1981</v>
      </c>
      <c r="DN928" s="497" t="s">
        <v>1982</v>
      </c>
      <c r="DP928" s="543">
        <v>1</v>
      </c>
    </row>
    <row r="929" spans="2:120" ht="15">
      <c r="B929" s="683"/>
      <c r="C929" s="683"/>
      <c r="D929" s="683"/>
      <c r="E929" s="683" cm="1">
        <f t="array" ref="E929">IF(H928&lt;&gt;"",E928,IF(E928="","",IFERROR(MATCH(TRUE(),INDEX(INDEX(K:K,E928+1):K203&lt;&gt;"",0),0)+E928,"")))</f>
        <v>1070</v>
      </c>
      <c r="F929" s="684" cm="1">
        <f t="array" ref="F929">IF(E929="","",IF(H928&lt;&gt;"",H928,INDEX(D:D,E929)))</f>
        <v>0</v>
      </c>
      <c r="G929" s="684" t="str">
        <f t="shared" si="96"/>
        <v>0</v>
      </c>
      <c r="H929" s="685" t="str">
        <f t="shared" si="97"/>
        <v/>
      </c>
      <c r="I929" s="683" t="str">
        <f>IF(AND(F929&lt;&gt;"",N10&gt;0,M929&gt;N10),"Mot &gt; limite","")</f>
        <v/>
      </c>
      <c r="M929" s="638">
        <f>IF(OR(F929="",N10="",N10&lt;=0),"",IF(LEN(F929)&lt;=N10,LEN(F929),IFERROR(FIND("♦",SUBSTITUTE(LEFT(F929,N10)," ","♦",LEN(LEFT(F929,N10))-LEN(SUBSTITUTE(LEFT(F929,N10)," ","")))),FIND(" ",F929&amp;" ",N10+1)-1)))</f>
        <v>1</v>
      </c>
      <c r="N929" s="686">
        <f t="shared" si="98"/>
        <v>912</v>
      </c>
      <c r="O929" s="663" t="str">
        <f t="shared" si="99"/>
        <v>0</v>
      </c>
      <c r="P929" s="686">
        <f t="shared" si="100"/>
        <v>1</v>
      </c>
      <c r="Q929" s="686">
        <f t="shared" si="101"/>
        <v>1</v>
      </c>
      <c r="DE929" s="494"/>
      <c r="DF929" s="496" t="s">
        <v>2913</v>
      </c>
      <c r="DG929" s="496" t="s">
        <v>8</v>
      </c>
      <c r="DH929" s="496" t="s">
        <v>689</v>
      </c>
      <c r="DI929" s="496" t="s">
        <v>2914</v>
      </c>
      <c r="DJ929" s="496" t="s">
        <v>2914</v>
      </c>
      <c r="DK929" s="496" t="s">
        <v>1554</v>
      </c>
      <c r="DL929" s="496" t="s">
        <v>1555</v>
      </c>
      <c r="DM929" s="496" t="s">
        <v>1981</v>
      </c>
      <c r="DN929" s="497" t="s">
        <v>1982</v>
      </c>
      <c r="DP929" s="543">
        <v>1</v>
      </c>
    </row>
    <row r="930" spans="2:120" ht="15">
      <c r="B930" s="683"/>
      <c r="C930" s="683"/>
      <c r="D930" s="683"/>
      <c r="E930" s="683" cm="1">
        <f t="array" ref="E930">IF(H929&lt;&gt;"",E929,IF(E929="","",IFERROR(MATCH(TRUE(),INDEX(INDEX(K:K,E929+1):K203&lt;&gt;"",0),0)+E929,"")))</f>
        <v>1071</v>
      </c>
      <c r="F930" s="684" cm="1">
        <f t="array" ref="F930">IF(E930="","",IF(H929&lt;&gt;"",H929,INDEX(D:D,E930)))</f>
        <v>0</v>
      </c>
      <c r="G930" s="684" t="str">
        <f t="shared" si="96"/>
        <v>0</v>
      </c>
      <c r="H930" s="685" t="str">
        <f t="shared" si="97"/>
        <v/>
      </c>
      <c r="I930" s="683" t="str">
        <f>IF(AND(F930&lt;&gt;"",N10&gt;0,M930&gt;N10),"Mot &gt; limite","")</f>
        <v/>
      </c>
      <c r="M930" s="638">
        <f>IF(OR(F930="",N10="",N10&lt;=0),"",IF(LEN(F930)&lt;=N10,LEN(F930),IFERROR(FIND("♦",SUBSTITUTE(LEFT(F930,N10)," ","♦",LEN(LEFT(F930,N10))-LEN(SUBSTITUTE(LEFT(F930,N10)," ","")))),FIND(" ",F930&amp;" ",N10+1)-1)))</f>
        <v>1</v>
      </c>
      <c r="N930" s="686">
        <f t="shared" si="98"/>
        <v>913</v>
      </c>
      <c r="O930" s="663" t="str">
        <f t="shared" si="99"/>
        <v>0</v>
      </c>
      <c r="P930" s="686">
        <f t="shared" si="100"/>
        <v>1</v>
      </c>
      <c r="Q930" s="686">
        <f t="shared" si="101"/>
        <v>1</v>
      </c>
      <c r="DE930" s="494"/>
      <c r="DF930" s="496" t="s">
        <v>2915</v>
      </c>
      <c r="DG930" s="496" t="s">
        <v>8</v>
      </c>
      <c r="DH930" s="496" t="s">
        <v>689</v>
      </c>
      <c r="DI930" s="496" t="s">
        <v>2916</v>
      </c>
      <c r="DJ930" s="496" t="s">
        <v>2916</v>
      </c>
      <c r="DK930" s="496" t="s">
        <v>1554</v>
      </c>
      <c r="DL930" s="496" t="s">
        <v>1555</v>
      </c>
      <c r="DM930" s="496" t="s">
        <v>1981</v>
      </c>
      <c r="DN930" s="497" t="s">
        <v>1982</v>
      </c>
      <c r="DP930" s="543">
        <v>1</v>
      </c>
    </row>
    <row r="931" spans="2:120" ht="15">
      <c r="B931" s="683"/>
      <c r="C931" s="683"/>
      <c r="D931" s="683"/>
      <c r="E931" s="683" cm="1">
        <f t="array" ref="E931">IF(H930&lt;&gt;"",E930,IF(E930="","",IFERROR(MATCH(TRUE(),INDEX(INDEX(K:K,E930+1):K203&lt;&gt;"",0),0)+E930,"")))</f>
        <v>1072</v>
      </c>
      <c r="F931" s="684" cm="1">
        <f t="array" ref="F931">IF(E931="","",IF(H930&lt;&gt;"",H930,INDEX(D:D,E931)))</f>
        <v>0</v>
      </c>
      <c r="G931" s="684" t="str">
        <f t="shared" si="96"/>
        <v>0</v>
      </c>
      <c r="H931" s="685" t="str">
        <f t="shared" si="97"/>
        <v/>
      </c>
      <c r="I931" s="683" t="str">
        <f>IF(AND(F931&lt;&gt;"",N10&gt;0,M931&gt;N10),"Mot &gt; limite","")</f>
        <v/>
      </c>
      <c r="M931" s="638">
        <f>IF(OR(F931="",N10="",N10&lt;=0),"",IF(LEN(F931)&lt;=N10,LEN(F931),IFERROR(FIND("♦",SUBSTITUTE(LEFT(F931,N10)," ","♦",LEN(LEFT(F931,N10))-LEN(SUBSTITUTE(LEFT(F931,N10)," ","")))),FIND(" ",F931&amp;" ",N10+1)-1)))</f>
        <v>1</v>
      </c>
      <c r="N931" s="686">
        <f t="shared" si="98"/>
        <v>914</v>
      </c>
      <c r="O931" s="663" t="str">
        <f t="shared" si="99"/>
        <v>0</v>
      </c>
      <c r="P931" s="686">
        <f t="shared" si="100"/>
        <v>1</v>
      </c>
      <c r="Q931" s="686">
        <f t="shared" si="101"/>
        <v>1</v>
      </c>
      <c r="DE931" s="494"/>
      <c r="DF931" s="496" t="s">
        <v>2917</v>
      </c>
      <c r="DG931" s="496" t="s">
        <v>8</v>
      </c>
      <c r="DH931" s="496" t="s">
        <v>689</v>
      </c>
      <c r="DI931" s="496" t="s">
        <v>1038</v>
      </c>
      <c r="DJ931" s="496" t="s">
        <v>1038</v>
      </c>
      <c r="DK931" s="496" t="s">
        <v>1554</v>
      </c>
      <c r="DL931" s="496" t="s">
        <v>1555</v>
      </c>
      <c r="DM931" s="496" t="s">
        <v>1981</v>
      </c>
      <c r="DN931" s="497" t="s">
        <v>1982</v>
      </c>
      <c r="DP931" s="543">
        <v>1</v>
      </c>
    </row>
    <row r="932" spans="2:120" ht="15">
      <c r="B932" s="683"/>
      <c r="C932" s="683"/>
      <c r="D932" s="683"/>
      <c r="E932" s="683" cm="1">
        <f t="array" ref="E932">IF(H931&lt;&gt;"",E931,IF(E931="","",IFERROR(MATCH(TRUE(),INDEX(INDEX(K:K,E931+1):K203&lt;&gt;"",0),0)+E931,"")))</f>
        <v>1073</v>
      </c>
      <c r="F932" s="684" cm="1">
        <f t="array" ref="F932">IF(E932="","",IF(H931&lt;&gt;"",H931,INDEX(D:D,E932)))</f>
        <v>0</v>
      </c>
      <c r="G932" s="684" t="str">
        <f t="shared" si="96"/>
        <v>0</v>
      </c>
      <c r="H932" s="685" t="str">
        <f t="shared" si="97"/>
        <v/>
      </c>
      <c r="I932" s="683" t="str">
        <f>IF(AND(F932&lt;&gt;"",N10&gt;0,M932&gt;N10),"Mot &gt; limite","")</f>
        <v/>
      </c>
      <c r="M932" s="638">
        <f>IF(OR(F932="",N10="",N10&lt;=0),"",IF(LEN(F932)&lt;=N10,LEN(F932),IFERROR(FIND("♦",SUBSTITUTE(LEFT(F932,N10)," ","♦",LEN(LEFT(F932,N10))-LEN(SUBSTITUTE(LEFT(F932,N10)," ","")))),FIND(" ",F932&amp;" ",N10+1)-1)))</f>
        <v>1</v>
      </c>
      <c r="N932" s="686">
        <f t="shared" si="98"/>
        <v>915</v>
      </c>
      <c r="O932" s="663" t="str">
        <f t="shared" si="99"/>
        <v>0</v>
      </c>
      <c r="P932" s="686">
        <f t="shared" si="100"/>
        <v>1</v>
      </c>
      <c r="Q932" s="686">
        <f t="shared" si="101"/>
        <v>1</v>
      </c>
      <c r="DE932" s="494"/>
      <c r="DF932" s="496" t="s">
        <v>2918</v>
      </c>
      <c r="DG932" s="496" t="s">
        <v>8</v>
      </c>
      <c r="DH932" s="496" t="s">
        <v>689</v>
      </c>
      <c r="DI932" s="496" t="s">
        <v>2919</v>
      </c>
      <c r="DJ932" s="496" t="s">
        <v>2919</v>
      </c>
      <c r="DK932" s="496" t="s">
        <v>1554</v>
      </c>
      <c r="DL932" s="496" t="s">
        <v>1555</v>
      </c>
      <c r="DM932" s="496" t="s">
        <v>1981</v>
      </c>
      <c r="DN932" s="497" t="s">
        <v>1982</v>
      </c>
      <c r="DP932" s="543">
        <v>1</v>
      </c>
    </row>
    <row r="933" spans="2:120" ht="15">
      <c r="B933" s="683"/>
      <c r="C933" s="683"/>
      <c r="D933" s="683"/>
      <c r="E933" s="683" cm="1">
        <f t="array" ref="E933">IF(H932&lt;&gt;"",E932,IF(E932="","",IFERROR(MATCH(TRUE(),INDEX(INDEX(K:K,E932+1):K203&lt;&gt;"",0),0)+E932,"")))</f>
        <v>1074</v>
      </c>
      <c r="F933" s="684" cm="1">
        <f t="array" ref="F933">IF(E933="","",IF(H932&lt;&gt;"",H932,INDEX(D:D,E933)))</f>
        <v>0</v>
      </c>
      <c r="G933" s="684" t="str">
        <f t="shared" si="96"/>
        <v>0</v>
      </c>
      <c r="H933" s="685" t="str">
        <f t="shared" si="97"/>
        <v/>
      </c>
      <c r="I933" s="683" t="str">
        <f>IF(AND(F933&lt;&gt;"",N10&gt;0,M933&gt;N10),"Mot &gt; limite","")</f>
        <v/>
      </c>
      <c r="M933" s="638">
        <f>IF(OR(F933="",N10="",N10&lt;=0),"",IF(LEN(F933)&lt;=N10,LEN(F933),IFERROR(FIND("♦",SUBSTITUTE(LEFT(F933,N10)," ","♦",LEN(LEFT(F933,N10))-LEN(SUBSTITUTE(LEFT(F933,N10)," ","")))),FIND(" ",F933&amp;" ",N10+1)-1)))</f>
        <v>1</v>
      </c>
      <c r="N933" s="686">
        <f t="shared" si="98"/>
        <v>916</v>
      </c>
      <c r="O933" s="663" t="str">
        <f t="shared" si="99"/>
        <v>0</v>
      </c>
      <c r="P933" s="686">
        <f t="shared" si="100"/>
        <v>1</v>
      </c>
      <c r="Q933" s="686">
        <f t="shared" si="101"/>
        <v>1</v>
      </c>
      <c r="DE933" s="494"/>
      <c r="DF933" s="496" t="s">
        <v>2920</v>
      </c>
      <c r="DG933" s="496" t="s">
        <v>8</v>
      </c>
      <c r="DH933" s="496" t="s">
        <v>689</v>
      </c>
      <c r="DI933" s="496" t="s">
        <v>2921</v>
      </c>
      <c r="DJ933" s="496" t="s">
        <v>2921</v>
      </c>
      <c r="DK933" s="496" t="s">
        <v>1554</v>
      </c>
      <c r="DL933" s="496" t="s">
        <v>1555</v>
      </c>
      <c r="DM933" s="496" t="s">
        <v>1981</v>
      </c>
      <c r="DN933" s="497" t="s">
        <v>1982</v>
      </c>
      <c r="DP933" s="543">
        <v>1</v>
      </c>
    </row>
    <row r="934" spans="2:120" ht="15">
      <c r="B934" s="683"/>
      <c r="C934" s="683"/>
      <c r="D934" s="683"/>
      <c r="E934" s="683" cm="1">
        <f t="array" ref="E934">IF(H933&lt;&gt;"",E933,IF(E933="","",IFERROR(MATCH(TRUE(),INDEX(INDEX(K:K,E933+1):K203&lt;&gt;"",0),0)+E933,"")))</f>
        <v>1075</v>
      </c>
      <c r="F934" s="684" cm="1">
        <f t="array" ref="F934">IF(E934="","",IF(H933&lt;&gt;"",H933,INDEX(D:D,E934)))</f>
        <v>0</v>
      </c>
      <c r="G934" s="684" t="str">
        <f t="shared" si="96"/>
        <v>0</v>
      </c>
      <c r="H934" s="685" t="str">
        <f t="shared" si="97"/>
        <v/>
      </c>
      <c r="I934" s="683" t="str">
        <f>IF(AND(F934&lt;&gt;"",N10&gt;0,M934&gt;N10),"Mot &gt; limite","")</f>
        <v/>
      </c>
      <c r="M934" s="638">
        <f>IF(OR(F934="",N10="",N10&lt;=0),"",IF(LEN(F934)&lt;=N10,LEN(F934),IFERROR(FIND("♦",SUBSTITUTE(LEFT(F934,N10)," ","♦",LEN(LEFT(F934,N10))-LEN(SUBSTITUTE(LEFT(F934,N10)," ","")))),FIND(" ",F934&amp;" ",N10+1)-1)))</f>
        <v>1</v>
      </c>
      <c r="N934" s="686">
        <f t="shared" si="98"/>
        <v>917</v>
      </c>
      <c r="O934" s="663" t="str">
        <f t="shared" si="99"/>
        <v>0</v>
      </c>
      <c r="P934" s="686">
        <f t="shared" si="100"/>
        <v>1</v>
      </c>
      <c r="Q934" s="686">
        <f t="shared" si="101"/>
        <v>1</v>
      </c>
      <c r="DE934" s="494"/>
      <c r="DF934" s="496" t="s">
        <v>2922</v>
      </c>
      <c r="DG934" s="496" t="s">
        <v>8</v>
      </c>
      <c r="DH934" s="496" t="s">
        <v>689</v>
      </c>
      <c r="DI934" s="496" t="s">
        <v>2923</v>
      </c>
      <c r="DJ934" s="496" t="s">
        <v>2923</v>
      </c>
      <c r="DK934" s="496" t="s">
        <v>1554</v>
      </c>
      <c r="DL934" s="496" t="s">
        <v>1555</v>
      </c>
      <c r="DM934" s="496" t="s">
        <v>1981</v>
      </c>
      <c r="DN934" s="497" t="s">
        <v>1982</v>
      </c>
      <c r="DP934" s="543">
        <v>1</v>
      </c>
    </row>
    <row r="935" spans="2:120" ht="15">
      <c r="B935" s="683"/>
      <c r="C935" s="683"/>
      <c r="D935" s="683"/>
      <c r="E935" s="683" cm="1">
        <f t="array" ref="E935">IF(H934&lt;&gt;"",E934,IF(E934="","",IFERROR(MATCH(TRUE(),INDEX(INDEX(K:K,E934+1):K203&lt;&gt;"",0),0)+E934,"")))</f>
        <v>1076</v>
      </c>
      <c r="F935" s="684" cm="1">
        <f t="array" ref="F935">IF(E935="","",IF(H934&lt;&gt;"",H934,INDEX(D:D,E935)))</f>
        <v>0</v>
      </c>
      <c r="G935" s="684" t="str">
        <f t="shared" si="96"/>
        <v>0</v>
      </c>
      <c r="H935" s="685" t="str">
        <f t="shared" si="97"/>
        <v/>
      </c>
      <c r="I935" s="683" t="str">
        <f>IF(AND(F935&lt;&gt;"",N10&gt;0,M935&gt;N10),"Mot &gt; limite","")</f>
        <v/>
      </c>
      <c r="M935" s="638">
        <f>IF(OR(F935="",N10="",N10&lt;=0),"",IF(LEN(F935)&lt;=N10,LEN(F935),IFERROR(FIND("♦",SUBSTITUTE(LEFT(F935,N10)," ","♦",LEN(LEFT(F935,N10))-LEN(SUBSTITUTE(LEFT(F935,N10)," ","")))),FIND(" ",F935&amp;" ",N10+1)-1)))</f>
        <v>1</v>
      </c>
      <c r="N935" s="686">
        <f t="shared" si="98"/>
        <v>918</v>
      </c>
      <c r="O935" s="663" t="str">
        <f t="shared" si="99"/>
        <v>0</v>
      </c>
      <c r="P935" s="686">
        <f t="shared" si="100"/>
        <v>1</v>
      </c>
      <c r="Q935" s="686">
        <f t="shared" si="101"/>
        <v>1</v>
      </c>
      <c r="DE935" s="494"/>
      <c r="DF935" s="496" t="s">
        <v>2924</v>
      </c>
      <c r="DG935" s="496" t="s">
        <v>8</v>
      </c>
      <c r="DH935" s="496" t="s">
        <v>689</v>
      </c>
      <c r="DI935" s="496" t="s">
        <v>2925</v>
      </c>
      <c r="DJ935" s="496" t="s">
        <v>2925</v>
      </c>
      <c r="DK935" s="496" t="s">
        <v>1554</v>
      </c>
      <c r="DL935" s="496" t="s">
        <v>1555</v>
      </c>
      <c r="DM935" s="496" t="s">
        <v>1981</v>
      </c>
      <c r="DN935" s="497" t="s">
        <v>1982</v>
      </c>
      <c r="DP935" s="543">
        <v>1</v>
      </c>
    </row>
    <row r="936" spans="2:120" ht="15">
      <c r="B936" s="683"/>
      <c r="C936" s="683"/>
      <c r="D936" s="683"/>
      <c r="E936" s="683" cm="1">
        <f t="array" ref="E936">IF(H935&lt;&gt;"",E935,IF(E935="","",IFERROR(MATCH(TRUE(),INDEX(INDEX(K:K,E935+1):K203&lt;&gt;"",0),0)+E935,"")))</f>
        <v>1077</v>
      </c>
      <c r="F936" s="684" cm="1">
        <f t="array" ref="F936">IF(E936="","",IF(H935&lt;&gt;"",H935,INDEX(D:D,E936)))</f>
        <v>0</v>
      </c>
      <c r="G936" s="684" t="str">
        <f t="shared" si="96"/>
        <v>0</v>
      </c>
      <c r="H936" s="685" t="str">
        <f t="shared" si="97"/>
        <v/>
      </c>
      <c r="I936" s="683" t="str">
        <f>IF(AND(F936&lt;&gt;"",N10&gt;0,M936&gt;N10),"Mot &gt; limite","")</f>
        <v/>
      </c>
      <c r="M936" s="638">
        <f>IF(OR(F936="",N10="",N10&lt;=0),"",IF(LEN(F936)&lt;=N10,LEN(F936),IFERROR(FIND("♦",SUBSTITUTE(LEFT(F936,N10)," ","♦",LEN(LEFT(F936,N10))-LEN(SUBSTITUTE(LEFT(F936,N10)," ","")))),FIND(" ",F936&amp;" ",N10+1)-1)))</f>
        <v>1</v>
      </c>
      <c r="N936" s="686">
        <f t="shared" si="98"/>
        <v>919</v>
      </c>
      <c r="O936" s="663" t="str">
        <f t="shared" si="99"/>
        <v>0</v>
      </c>
      <c r="P936" s="686">
        <f t="shared" si="100"/>
        <v>1</v>
      </c>
      <c r="Q936" s="686">
        <f t="shared" si="101"/>
        <v>1</v>
      </c>
      <c r="DE936" s="494"/>
      <c r="DF936" s="496" t="s">
        <v>2926</v>
      </c>
      <c r="DG936" s="496" t="s">
        <v>8</v>
      </c>
      <c r="DH936" s="496" t="s">
        <v>689</v>
      </c>
      <c r="DI936" s="496" t="s">
        <v>94</v>
      </c>
      <c r="DJ936" s="496" t="s">
        <v>94</v>
      </c>
      <c r="DK936" s="496" t="s">
        <v>1554</v>
      </c>
      <c r="DL936" s="496" t="s">
        <v>1555</v>
      </c>
      <c r="DM936" s="496" t="s">
        <v>1981</v>
      </c>
      <c r="DN936" s="497" t="s">
        <v>1982</v>
      </c>
      <c r="DP936" s="543">
        <v>1</v>
      </c>
    </row>
    <row r="937" spans="2:120" ht="15">
      <c r="B937" s="683"/>
      <c r="C937" s="683"/>
      <c r="D937" s="683"/>
      <c r="E937" s="683" cm="1">
        <f t="array" ref="E937">IF(H936&lt;&gt;"",E936,IF(E936="","",IFERROR(MATCH(TRUE(),INDEX(INDEX(K:K,E936+1):K203&lt;&gt;"",0),0)+E936,"")))</f>
        <v>1078</v>
      </c>
      <c r="F937" s="684" cm="1">
        <f t="array" ref="F937">IF(E937="","",IF(H936&lt;&gt;"",H936,INDEX(D:D,E937)))</f>
        <v>0</v>
      </c>
      <c r="G937" s="684" t="str">
        <f t="shared" si="96"/>
        <v>0</v>
      </c>
      <c r="H937" s="685" t="str">
        <f t="shared" si="97"/>
        <v/>
      </c>
      <c r="I937" s="683" t="str">
        <f>IF(AND(F937&lt;&gt;"",N10&gt;0,M937&gt;N10),"Mot &gt; limite","")</f>
        <v/>
      </c>
      <c r="M937" s="638">
        <f>IF(OR(F937="",N10="",N10&lt;=0),"",IF(LEN(F937)&lt;=N10,LEN(F937),IFERROR(FIND("♦",SUBSTITUTE(LEFT(F937,N10)," ","♦",LEN(LEFT(F937,N10))-LEN(SUBSTITUTE(LEFT(F937,N10)," ","")))),FIND(" ",F937&amp;" ",N10+1)-1)))</f>
        <v>1</v>
      </c>
      <c r="N937" s="686">
        <f t="shared" si="98"/>
        <v>920</v>
      </c>
      <c r="O937" s="663" t="str">
        <f t="shared" si="99"/>
        <v>0</v>
      </c>
      <c r="P937" s="686">
        <f t="shared" si="100"/>
        <v>1</v>
      </c>
      <c r="Q937" s="686">
        <f t="shared" si="101"/>
        <v>1</v>
      </c>
      <c r="DE937" s="494"/>
      <c r="DF937" s="496" t="s">
        <v>2927</v>
      </c>
      <c r="DG937" s="496" t="s">
        <v>8</v>
      </c>
      <c r="DH937" s="496" t="s">
        <v>689</v>
      </c>
      <c r="DI937" s="496" t="s">
        <v>2928</v>
      </c>
      <c r="DJ937" s="496" t="s">
        <v>2928</v>
      </c>
      <c r="DK937" s="496" t="s">
        <v>1554</v>
      </c>
      <c r="DL937" s="496" t="s">
        <v>1555</v>
      </c>
      <c r="DM937" s="496" t="s">
        <v>1981</v>
      </c>
      <c r="DN937" s="497" t="s">
        <v>1982</v>
      </c>
      <c r="DP937" s="543">
        <v>1</v>
      </c>
    </row>
    <row r="938" spans="2:120" ht="15">
      <c r="B938" s="683"/>
      <c r="C938" s="683"/>
      <c r="D938" s="683"/>
      <c r="E938" s="683" cm="1">
        <f t="array" ref="E938">IF(H937&lt;&gt;"",E937,IF(E937="","",IFERROR(MATCH(TRUE(),INDEX(INDEX(K:K,E937+1):K203&lt;&gt;"",0),0)+E937,"")))</f>
        <v>1079</v>
      </c>
      <c r="F938" s="684" cm="1">
        <f t="array" ref="F938">IF(E938="","",IF(H937&lt;&gt;"",H937,INDEX(D:D,E938)))</f>
        <v>0</v>
      </c>
      <c r="G938" s="684" t="str">
        <f t="shared" si="96"/>
        <v>0</v>
      </c>
      <c r="H938" s="685" t="str">
        <f t="shared" si="97"/>
        <v/>
      </c>
      <c r="I938" s="683" t="str">
        <f>IF(AND(F938&lt;&gt;"",N10&gt;0,M938&gt;N10),"Mot &gt; limite","")</f>
        <v/>
      </c>
      <c r="M938" s="638">
        <f>IF(OR(F938="",N10="",N10&lt;=0),"",IF(LEN(F938)&lt;=N10,LEN(F938),IFERROR(FIND("♦",SUBSTITUTE(LEFT(F938,N10)," ","♦",LEN(LEFT(F938,N10))-LEN(SUBSTITUTE(LEFT(F938,N10)," ","")))),FIND(" ",F938&amp;" ",N10+1)-1)))</f>
        <v>1</v>
      </c>
      <c r="N938" s="686">
        <f t="shared" si="98"/>
        <v>921</v>
      </c>
      <c r="O938" s="663" t="str">
        <f t="shared" si="99"/>
        <v>0</v>
      </c>
      <c r="P938" s="686">
        <f t="shared" si="100"/>
        <v>1</v>
      </c>
      <c r="Q938" s="686">
        <f t="shared" si="101"/>
        <v>1</v>
      </c>
      <c r="DE938" s="494"/>
      <c r="DF938" s="496" t="s">
        <v>2929</v>
      </c>
      <c r="DG938" s="496" t="s">
        <v>8</v>
      </c>
      <c r="DH938" s="496" t="s">
        <v>689</v>
      </c>
      <c r="DI938" s="496" t="s">
        <v>2930</v>
      </c>
      <c r="DJ938" s="496" t="s">
        <v>2930</v>
      </c>
      <c r="DK938" s="496" t="s">
        <v>1554</v>
      </c>
      <c r="DL938" s="496" t="s">
        <v>1555</v>
      </c>
      <c r="DM938" s="496" t="s">
        <v>1981</v>
      </c>
      <c r="DN938" s="497" t="s">
        <v>1982</v>
      </c>
      <c r="DP938" s="543">
        <v>1</v>
      </c>
    </row>
    <row r="939" spans="2:120" ht="15">
      <c r="B939" s="683"/>
      <c r="C939" s="683"/>
      <c r="D939" s="683"/>
      <c r="E939" s="683" cm="1">
        <f t="array" ref="E939">IF(H938&lt;&gt;"",E938,IF(E938="","",IFERROR(MATCH(TRUE(),INDEX(INDEX(K:K,E938+1):K203&lt;&gt;"",0),0)+E938,"")))</f>
        <v>1080</v>
      </c>
      <c r="F939" s="684" cm="1">
        <f t="array" ref="F939">IF(E939="","",IF(H938&lt;&gt;"",H938,INDEX(D:D,E939)))</f>
        <v>0</v>
      </c>
      <c r="G939" s="684" t="str">
        <f t="shared" si="96"/>
        <v>0</v>
      </c>
      <c r="H939" s="685" t="str">
        <f t="shared" si="97"/>
        <v/>
      </c>
      <c r="I939" s="683" t="str">
        <f>IF(AND(F939&lt;&gt;"",N10&gt;0,M939&gt;N10),"Mot &gt; limite","")</f>
        <v/>
      </c>
      <c r="M939" s="638">
        <f>IF(OR(F939="",N10="",N10&lt;=0),"",IF(LEN(F939)&lt;=N10,LEN(F939),IFERROR(FIND("♦",SUBSTITUTE(LEFT(F939,N10)," ","♦",LEN(LEFT(F939,N10))-LEN(SUBSTITUTE(LEFT(F939,N10)," ","")))),FIND(" ",F939&amp;" ",N10+1)-1)))</f>
        <v>1</v>
      </c>
      <c r="N939" s="686">
        <f t="shared" si="98"/>
        <v>922</v>
      </c>
      <c r="O939" s="663" t="str">
        <f t="shared" si="99"/>
        <v>0</v>
      </c>
      <c r="P939" s="686">
        <f t="shared" si="100"/>
        <v>1</v>
      </c>
      <c r="Q939" s="686">
        <f t="shared" si="101"/>
        <v>1</v>
      </c>
      <c r="DE939" s="494"/>
      <c r="DF939" s="496" t="s">
        <v>2931</v>
      </c>
      <c r="DG939" s="496" t="s">
        <v>8</v>
      </c>
      <c r="DH939" s="496" t="s">
        <v>689</v>
      </c>
      <c r="DI939" s="496" t="s">
        <v>2932</v>
      </c>
      <c r="DJ939" s="496" t="s">
        <v>2932</v>
      </c>
      <c r="DK939" s="496" t="s">
        <v>1554</v>
      </c>
      <c r="DL939" s="496" t="s">
        <v>1555</v>
      </c>
      <c r="DM939" s="496" t="s">
        <v>1981</v>
      </c>
      <c r="DN939" s="497" t="s">
        <v>1982</v>
      </c>
      <c r="DP939" s="543">
        <v>1</v>
      </c>
    </row>
    <row r="940" spans="2:120" ht="15">
      <c r="B940" s="683"/>
      <c r="C940" s="683"/>
      <c r="D940" s="683"/>
      <c r="E940" s="683" cm="1">
        <f t="array" ref="E940">IF(H939&lt;&gt;"",E939,IF(E939="","",IFERROR(MATCH(TRUE(),INDEX(INDEX(K:K,E939+1):K203&lt;&gt;"",0),0)+E939,"")))</f>
        <v>1081</v>
      </c>
      <c r="F940" s="684" cm="1">
        <f t="array" ref="F940">IF(E940="","",IF(H939&lt;&gt;"",H939,INDEX(D:D,E940)))</f>
        <v>0</v>
      </c>
      <c r="G940" s="684" t="str">
        <f t="shared" si="96"/>
        <v>0</v>
      </c>
      <c r="H940" s="685" t="str">
        <f t="shared" si="97"/>
        <v/>
      </c>
      <c r="I940" s="683" t="str">
        <f>IF(AND(F940&lt;&gt;"",N10&gt;0,M940&gt;N10),"Mot &gt; limite","")</f>
        <v/>
      </c>
      <c r="M940" s="638">
        <f>IF(OR(F940="",N10="",N10&lt;=0),"",IF(LEN(F940)&lt;=N10,LEN(F940),IFERROR(FIND("♦",SUBSTITUTE(LEFT(F940,N10)," ","♦",LEN(LEFT(F940,N10))-LEN(SUBSTITUTE(LEFT(F940,N10)," ","")))),FIND(" ",F940&amp;" ",N10+1)-1)))</f>
        <v>1</v>
      </c>
      <c r="N940" s="686">
        <f t="shared" si="98"/>
        <v>923</v>
      </c>
      <c r="O940" s="663" t="str">
        <f t="shared" si="99"/>
        <v>0</v>
      </c>
      <c r="P940" s="686">
        <f t="shared" si="100"/>
        <v>1</v>
      </c>
      <c r="Q940" s="686">
        <f t="shared" si="101"/>
        <v>1</v>
      </c>
      <c r="DE940" s="494"/>
      <c r="DF940" s="496" t="s">
        <v>2933</v>
      </c>
      <c r="DG940" s="496" t="s">
        <v>8</v>
      </c>
      <c r="DH940" s="496" t="s">
        <v>689</v>
      </c>
      <c r="DI940" s="496" t="s">
        <v>1039</v>
      </c>
      <c r="DJ940" s="496" t="s">
        <v>1039</v>
      </c>
      <c r="DK940" s="496" t="s">
        <v>1554</v>
      </c>
      <c r="DL940" s="496" t="s">
        <v>1555</v>
      </c>
      <c r="DM940" s="496" t="s">
        <v>1981</v>
      </c>
      <c r="DN940" s="497" t="s">
        <v>1982</v>
      </c>
      <c r="DP940" s="543">
        <v>1</v>
      </c>
    </row>
    <row r="941" spans="2:120" ht="15">
      <c r="B941" s="683"/>
      <c r="C941" s="683"/>
      <c r="D941" s="683"/>
      <c r="E941" s="683" cm="1">
        <f t="array" ref="E941">IF(H940&lt;&gt;"",E940,IF(E940="","",IFERROR(MATCH(TRUE(),INDEX(INDEX(K:K,E940+1):K203&lt;&gt;"",0),0)+E940,"")))</f>
        <v>1082</v>
      </c>
      <c r="F941" s="684" cm="1">
        <f t="array" ref="F941">IF(E941="","",IF(H940&lt;&gt;"",H940,INDEX(D:D,E941)))</f>
        <v>0</v>
      </c>
      <c r="G941" s="684" t="str">
        <f t="shared" si="96"/>
        <v>0</v>
      </c>
      <c r="H941" s="685" t="str">
        <f t="shared" si="97"/>
        <v/>
      </c>
      <c r="I941" s="683" t="str">
        <f>IF(AND(F941&lt;&gt;"",N10&gt;0,M941&gt;N10),"Mot &gt; limite","")</f>
        <v/>
      </c>
      <c r="M941" s="638">
        <f>IF(OR(F941="",N10="",N10&lt;=0),"",IF(LEN(F941)&lt;=N10,LEN(F941),IFERROR(FIND("♦",SUBSTITUTE(LEFT(F941,N10)," ","♦",LEN(LEFT(F941,N10))-LEN(SUBSTITUTE(LEFT(F941,N10)," ","")))),FIND(" ",F941&amp;" ",N10+1)-1)))</f>
        <v>1</v>
      </c>
      <c r="N941" s="686">
        <f t="shared" si="98"/>
        <v>924</v>
      </c>
      <c r="O941" s="663" t="str">
        <f t="shared" si="99"/>
        <v>0</v>
      </c>
      <c r="P941" s="686">
        <f t="shared" si="100"/>
        <v>1</v>
      </c>
      <c r="Q941" s="686">
        <f t="shared" si="101"/>
        <v>1</v>
      </c>
      <c r="DE941" s="494"/>
      <c r="DF941" s="496" t="s">
        <v>2934</v>
      </c>
      <c r="DG941" s="496" t="s">
        <v>8</v>
      </c>
      <c r="DH941" s="496" t="s">
        <v>689</v>
      </c>
      <c r="DI941" s="496" t="s">
        <v>2935</v>
      </c>
      <c r="DJ941" s="496" t="s">
        <v>2935</v>
      </c>
      <c r="DK941" s="496" t="s">
        <v>1554</v>
      </c>
      <c r="DL941" s="496" t="s">
        <v>1555</v>
      </c>
      <c r="DM941" s="496" t="s">
        <v>1981</v>
      </c>
      <c r="DN941" s="497" t="s">
        <v>1982</v>
      </c>
      <c r="DP941" s="543">
        <v>1</v>
      </c>
    </row>
    <row r="942" spans="2:120" ht="15">
      <c r="B942" s="683"/>
      <c r="C942" s="683"/>
      <c r="D942" s="683"/>
      <c r="E942" s="683" cm="1">
        <f t="array" ref="E942">IF(H941&lt;&gt;"",E941,IF(E941="","",IFERROR(MATCH(TRUE(),INDEX(INDEX(K:K,E941+1):K203&lt;&gt;"",0),0)+E941,"")))</f>
        <v>1083</v>
      </c>
      <c r="F942" s="684" cm="1">
        <f t="array" ref="F942">IF(E942="","",IF(H941&lt;&gt;"",H941,INDEX(D:D,E942)))</f>
        <v>0</v>
      </c>
      <c r="G942" s="684" t="str">
        <f t="shared" si="96"/>
        <v>0</v>
      </c>
      <c r="H942" s="685" t="str">
        <f t="shared" si="97"/>
        <v/>
      </c>
      <c r="I942" s="683" t="str">
        <f>IF(AND(F942&lt;&gt;"",N10&gt;0,M942&gt;N10),"Mot &gt; limite","")</f>
        <v/>
      </c>
      <c r="M942" s="638">
        <f>IF(OR(F942="",N10="",N10&lt;=0),"",IF(LEN(F942)&lt;=N10,LEN(F942),IFERROR(FIND("♦",SUBSTITUTE(LEFT(F942,N10)," ","♦",LEN(LEFT(F942,N10))-LEN(SUBSTITUTE(LEFT(F942,N10)," ","")))),FIND(" ",F942&amp;" ",N10+1)-1)))</f>
        <v>1</v>
      </c>
      <c r="N942" s="686">
        <f t="shared" si="98"/>
        <v>925</v>
      </c>
      <c r="O942" s="663" t="str">
        <f t="shared" si="99"/>
        <v>0</v>
      </c>
      <c r="P942" s="686">
        <f t="shared" si="100"/>
        <v>1</v>
      </c>
      <c r="Q942" s="686">
        <f t="shared" si="101"/>
        <v>1</v>
      </c>
      <c r="DE942" s="494"/>
      <c r="DF942" s="496" t="s">
        <v>2936</v>
      </c>
      <c r="DG942" s="496" t="s">
        <v>8</v>
      </c>
      <c r="DH942" s="496" t="s">
        <v>689</v>
      </c>
      <c r="DI942" s="496" t="s">
        <v>2937</v>
      </c>
      <c r="DJ942" s="496" t="s">
        <v>2937</v>
      </c>
      <c r="DK942" s="496" t="s">
        <v>1554</v>
      </c>
      <c r="DL942" s="496" t="s">
        <v>1555</v>
      </c>
      <c r="DM942" s="496" t="s">
        <v>1981</v>
      </c>
      <c r="DN942" s="497" t="s">
        <v>1982</v>
      </c>
      <c r="DP942" s="543">
        <v>1</v>
      </c>
    </row>
    <row r="943" spans="2:120" ht="15">
      <c r="B943" s="683"/>
      <c r="C943" s="683"/>
      <c r="D943" s="683"/>
      <c r="E943" s="683" cm="1">
        <f t="array" ref="E943">IF(H942&lt;&gt;"",E942,IF(E942="","",IFERROR(MATCH(TRUE(),INDEX(INDEX(K:K,E942+1):K203&lt;&gt;"",0),0)+E942,"")))</f>
        <v>1084</v>
      </c>
      <c r="F943" s="684" cm="1">
        <f t="array" ref="F943">IF(E943="","",IF(H942&lt;&gt;"",H942,INDEX(D:D,E943)))</f>
        <v>0</v>
      </c>
      <c r="G943" s="684" t="str">
        <f t="shared" si="96"/>
        <v>0</v>
      </c>
      <c r="H943" s="685" t="str">
        <f t="shared" si="97"/>
        <v/>
      </c>
      <c r="I943" s="683" t="str">
        <f>IF(AND(F943&lt;&gt;"",N10&gt;0,M943&gt;N10),"Mot &gt; limite","")</f>
        <v/>
      </c>
      <c r="M943" s="638">
        <f>IF(OR(F943="",N10="",N10&lt;=0),"",IF(LEN(F943)&lt;=N10,LEN(F943),IFERROR(FIND("♦",SUBSTITUTE(LEFT(F943,N10)," ","♦",LEN(LEFT(F943,N10))-LEN(SUBSTITUTE(LEFT(F943,N10)," ","")))),FIND(" ",F943&amp;" ",N10+1)-1)))</f>
        <v>1</v>
      </c>
      <c r="N943" s="686">
        <f t="shared" si="98"/>
        <v>926</v>
      </c>
      <c r="O943" s="663" t="str">
        <f t="shared" si="99"/>
        <v>0</v>
      </c>
      <c r="P943" s="686">
        <f t="shared" si="100"/>
        <v>1</v>
      </c>
      <c r="Q943" s="686">
        <f t="shared" si="101"/>
        <v>1</v>
      </c>
      <c r="DE943" s="494"/>
      <c r="DF943" s="496" t="s">
        <v>2938</v>
      </c>
      <c r="DG943" s="496" t="s">
        <v>8</v>
      </c>
      <c r="DH943" s="496" t="s">
        <v>689</v>
      </c>
      <c r="DI943" s="496" t="s">
        <v>2939</v>
      </c>
      <c r="DJ943" s="496" t="s">
        <v>2939</v>
      </c>
      <c r="DK943" s="496" t="s">
        <v>1554</v>
      </c>
      <c r="DL943" s="496" t="s">
        <v>1555</v>
      </c>
      <c r="DM943" s="496" t="s">
        <v>1981</v>
      </c>
      <c r="DN943" s="497" t="s">
        <v>1982</v>
      </c>
      <c r="DP943" s="543">
        <v>1</v>
      </c>
    </row>
    <row r="944" spans="2:120" ht="15">
      <c r="B944" s="683"/>
      <c r="C944" s="683"/>
      <c r="D944" s="683"/>
      <c r="E944" s="683" cm="1">
        <f t="array" ref="E944">IF(H943&lt;&gt;"",E943,IF(E943="","",IFERROR(MATCH(TRUE(),INDEX(INDEX(K:K,E943+1):K203&lt;&gt;"",0),0)+E943,"")))</f>
        <v>1085</v>
      </c>
      <c r="F944" s="684" cm="1">
        <f t="array" ref="F944">IF(E944="","",IF(H943&lt;&gt;"",H943,INDEX(D:D,E944)))</f>
        <v>0</v>
      </c>
      <c r="G944" s="684" t="str">
        <f t="shared" si="96"/>
        <v>0</v>
      </c>
      <c r="H944" s="685" t="str">
        <f t="shared" si="97"/>
        <v/>
      </c>
      <c r="I944" s="683" t="str">
        <f>IF(AND(F944&lt;&gt;"",N10&gt;0,M944&gt;N10),"Mot &gt; limite","")</f>
        <v/>
      </c>
      <c r="M944" s="638">
        <f>IF(OR(F944="",N10="",N10&lt;=0),"",IF(LEN(F944)&lt;=N10,LEN(F944),IFERROR(FIND("♦",SUBSTITUTE(LEFT(F944,N10)," ","♦",LEN(LEFT(F944,N10))-LEN(SUBSTITUTE(LEFT(F944,N10)," ","")))),FIND(" ",F944&amp;" ",N10+1)-1)))</f>
        <v>1</v>
      </c>
      <c r="N944" s="686">
        <f t="shared" si="98"/>
        <v>927</v>
      </c>
      <c r="O944" s="663" t="str">
        <f t="shared" si="99"/>
        <v>0</v>
      </c>
      <c r="P944" s="686">
        <f t="shared" si="100"/>
        <v>1</v>
      </c>
      <c r="Q944" s="686">
        <f t="shared" si="101"/>
        <v>1</v>
      </c>
      <c r="DE944" s="494"/>
      <c r="DF944" s="496" t="s">
        <v>2940</v>
      </c>
      <c r="DG944" s="496" t="s">
        <v>8</v>
      </c>
      <c r="DH944" s="496" t="s">
        <v>689</v>
      </c>
      <c r="DI944" s="496" t="s">
        <v>2941</v>
      </c>
      <c r="DJ944" s="496" t="s">
        <v>2941</v>
      </c>
      <c r="DK944" s="496" t="s">
        <v>1554</v>
      </c>
      <c r="DL944" s="496" t="s">
        <v>1555</v>
      </c>
      <c r="DM944" s="496" t="s">
        <v>1981</v>
      </c>
      <c r="DN944" s="497" t="s">
        <v>1982</v>
      </c>
      <c r="DP944" s="543">
        <v>1</v>
      </c>
    </row>
    <row r="945" spans="2:120" ht="15">
      <c r="B945" s="683"/>
      <c r="C945" s="683"/>
      <c r="D945" s="683"/>
      <c r="E945" s="683" cm="1">
        <f t="array" ref="E945">IF(H944&lt;&gt;"",E944,IF(E944="","",IFERROR(MATCH(TRUE(),INDEX(INDEX(K:K,E944+1):K203&lt;&gt;"",0),0)+E944,"")))</f>
        <v>1086</v>
      </c>
      <c r="F945" s="684" cm="1">
        <f t="array" ref="F945">IF(E945="","",IF(H944&lt;&gt;"",H944,INDEX(D:D,E945)))</f>
        <v>0</v>
      </c>
      <c r="G945" s="684" t="str">
        <f t="shared" si="96"/>
        <v>0</v>
      </c>
      <c r="H945" s="685" t="str">
        <f t="shared" si="97"/>
        <v/>
      </c>
      <c r="I945" s="683" t="str">
        <f>IF(AND(F945&lt;&gt;"",N10&gt;0,M945&gt;N10),"Mot &gt; limite","")</f>
        <v/>
      </c>
      <c r="M945" s="638">
        <f>IF(OR(F945="",N10="",N10&lt;=0),"",IF(LEN(F945)&lt;=N10,LEN(F945),IFERROR(FIND("♦",SUBSTITUTE(LEFT(F945,N10)," ","♦",LEN(LEFT(F945,N10))-LEN(SUBSTITUTE(LEFT(F945,N10)," ","")))),FIND(" ",F945&amp;" ",N10+1)-1)))</f>
        <v>1</v>
      </c>
      <c r="N945" s="686">
        <f t="shared" si="98"/>
        <v>928</v>
      </c>
      <c r="O945" s="663" t="str">
        <f t="shared" si="99"/>
        <v>0</v>
      </c>
      <c r="P945" s="686">
        <f t="shared" si="100"/>
        <v>1</v>
      </c>
      <c r="Q945" s="686">
        <f t="shared" si="101"/>
        <v>1</v>
      </c>
      <c r="DE945" s="494"/>
      <c r="DF945" s="496" t="s">
        <v>2942</v>
      </c>
      <c r="DG945" s="496" t="s">
        <v>8</v>
      </c>
      <c r="DH945" s="496" t="s">
        <v>689</v>
      </c>
      <c r="DI945" s="496" t="s">
        <v>2943</v>
      </c>
      <c r="DJ945" s="496" t="s">
        <v>2943</v>
      </c>
      <c r="DK945" s="496" t="s">
        <v>1554</v>
      </c>
      <c r="DL945" s="496" t="s">
        <v>1555</v>
      </c>
      <c r="DM945" s="496" t="s">
        <v>1981</v>
      </c>
      <c r="DN945" s="497" t="s">
        <v>1982</v>
      </c>
      <c r="DP945" s="543">
        <v>1</v>
      </c>
    </row>
    <row r="946" spans="2:120" ht="15">
      <c r="B946" s="683"/>
      <c r="C946" s="683"/>
      <c r="D946" s="683"/>
      <c r="E946" s="683" cm="1">
        <f t="array" ref="E946">IF(H945&lt;&gt;"",E945,IF(E945="","",IFERROR(MATCH(TRUE(),INDEX(INDEX(K:K,E945+1):K203&lt;&gt;"",0),0)+E945,"")))</f>
        <v>1087</v>
      </c>
      <c r="F946" s="684" cm="1">
        <f t="array" ref="F946">IF(E946="","",IF(H945&lt;&gt;"",H945,INDEX(D:D,E946)))</f>
        <v>0</v>
      </c>
      <c r="G946" s="684" t="str">
        <f t="shared" si="96"/>
        <v>0</v>
      </c>
      <c r="H946" s="685" t="str">
        <f t="shared" si="97"/>
        <v/>
      </c>
      <c r="I946" s="683" t="str">
        <f>IF(AND(F946&lt;&gt;"",N10&gt;0,M946&gt;N10),"Mot &gt; limite","")</f>
        <v/>
      </c>
      <c r="M946" s="638">
        <f>IF(OR(F946="",N10="",N10&lt;=0),"",IF(LEN(F946)&lt;=N10,LEN(F946),IFERROR(FIND("♦",SUBSTITUTE(LEFT(F946,N10)," ","♦",LEN(LEFT(F946,N10))-LEN(SUBSTITUTE(LEFT(F946,N10)," ","")))),FIND(" ",F946&amp;" ",N10+1)-1)))</f>
        <v>1</v>
      </c>
      <c r="N946" s="686">
        <f t="shared" si="98"/>
        <v>929</v>
      </c>
      <c r="O946" s="663" t="str">
        <f t="shared" si="99"/>
        <v>0</v>
      </c>
      <c r="P946" s="686">
        <f t="shared" si="100"/>
        <v>1</v>
      </c>
      <c r="Q946" s="686">
        <f t="shared" si="101"/>
        <v>1</v>
      </c>
      <c r="DE946" s="494"/>
      <c r="DF946" s="496" t="s">
        <v>2944</v>
      </c>
      <c r="DG946" s="496" t="s">
        <v>8</v>
      </c>
      <c r="DH946" s="496" t="s">
        <v>689</v>
      </c>
      <c r="DI946" s="496" t="s">
        <v>2945</v>
      </c>
      <c r="DJ946" s="496" t="s">
        <v>2945</v>
      </c>
      <c r="DK946" s="496" t="s">
        <v>1554</v>
      </c>
      <c r="DL946" s="496" t="s">
        <v>1555</v>
      </c>
      <c r="DM946" s="496" t="s">
        <v>1981</v>
      </c>
      <c r="DN946" s="497" t="s">
        <v>1982</v>
      </c>
      <c r="DP946" s="543">
        <v>1</v>
      </c>
    </row>
    <row r="947" spans="2:120" ht="15">
      <c r="B947" s="683"/>
      <c r="C947" s="683"/>
      <c r="D947" s="683"/>
      <c r="E947" s="683" cm="1">
        <f t="array" ref="E947">IF(H946&lt;&gt;"",E946,IF(E946="","",IFERROR(MATCH(TRUE(),INDEX(INDEX(K:K,E946+1):K203&lt;&gt;"",0),0)+E946,"")))</f>
        <v>1088</v>
      </c>
      <c r="F947" s="684" cm="1">
        <f t="array" ref="F947">IF(E947="","",IF(H946&lt;&gt;"",H946,INDEX(D:D,E947)))</f>
        <v>0</v>
      </c>
      <c r="G947" s="684" t="str">
        <f t="shared" si="96"/>
        <v>0</v>
      </c>
      <c r="H947" s="685" t="str">
        <f t="shared" si="97"/>
        <v/>
      </c>
      <c r="I947" s="683" t="str">
        <f>IF(AND(F947&lt;&gt;"",N10&gt;0,M947&gt;N10),"Mot &gt; limite","")</f>
        <v/>
      </c>
      <c r="M947" s="638">
        <f>IF(OR(F947="",N10="",N10&lt;=0),"",IF(LEN(F947)&lt;=N10,LEN(F947),IFERROR(FIND("♦",SUBSTITUTE(LEFT(F947,N10)," ","♦",LEN(LEFT(F947,N10))-LEN(SUBSTITUTE(LEFT(F947,N10)," ","")))),FIND(" ",F947&amp;" ",N10+1)-1)))</f>
        <v>1</v>
      </c>
      <c r="N947" s="686">
        <f t="shared" si="98"/>
        <v>930</v>
      </c>
      <c r="O947" s="663" t="str">
        <f t="shared" si="99"/>
        <v>0</v>
      </c>
      <c r="P947" s="686">
        <f t="shared" si="100"/>
        <v>1</v>
      </c>
      <c r="Q947" s="686">
        <f t="shared" si="101"/>
        <v>1</v>
      </c>
      <c r="DE947" s="494"/>
      <c r="DF947" s="496" t="s">
        <v>2946</v>
      </c>
      <c r="DG947" s="496" t="s">
        <v>8</v>
      </c>
      <c r="DH947" s="496" t="s">
        <v>689</v>
      </c>
      <c r="DI947" s="496" t="s">
        <v>2947</v>
      </c>
      <c r="DJ947" s="496" t="s">
        <v>2947</v>
      </c>
      <c r="DK947" s="496" t="s">
        <v>1554</v>
      </c>
      <c r="DL947" s="496" t="s">
        <v>1555</v>
      </c>
      <c r="DM947" s="496" t="s">
        <v>1981</v>
      </c>
      <c r="DN947" s="497" t="s">
        <v>1982</v>
      </c>
      <c r="DP947" s="543">
        <v>1</v>
      </c>
    </row>
    <row r="948" spans="2:120" ht="15">
      <c r="B948" s="683"/>
      <c r="C948" s="683"/>
      <c r="D948" s="683"/>
      <c r="E948" s="683" cm="1">
        <f t="array" ref="E948">IF(H947&lt;&gt;"",E947,IF(E947="","",IFERROR(MATCH(TRUE(),INDEX(INDEX(K:K,E947+1):K203&lt;&gt;"",0),0)+E947,"")))</f>
        <v>1089</v>
      </c>
      <c r="F948" s="684" cm="1">
        <f t="array" ref="F948">IF(E948="","",IF(H947&lt;&gt;"",H947,INDEX(D:D,E948)))</f>
        <v>0</v>
      </c>
      <c r="G948" s="684" t="str">
        <f t="shared" si="96"/>
        <v>0</v>
      </c>
      <c r="H948" s="685" t="str">
        <f t="shared" si="97"/>
        <v/>
      </c>
      <c r="I948" s="683" t="str">
        <f>IF(AND(F948&lt;&gt;"",N10&gt;0,M948&gt;N10),"Mot &gt; limite","")</f>
        <v/>
      </c>
      <c r="M948" s="638">
        <f>IF(OR(F948="",N10="",N10&lt;=0),"",IF(LEN(F948)&lt;=N10,LEN(F948),IFERROR(FIND("♦",SUBSTITUTE(LEFT(F948,N10)," ","♦",LEN(LEFT(F948,N10))-LEN(SUBSTITUTE(LEFT(F948,N10)," ","")))),FIND(" ",F948&amp;" ",N10+1)-1)))</f>
        <v>1</v>
      </c>
      <c r="N948" s="686">
        <f t="shared" si="98"/>
        <v>931</v>
      </c>
      <c r="O948" s="663" t="str">
        <f t="shared" si="99"/>
        <v>0</v>
      </c>
      <c r="P948" s="686">
        <f t="shared" si="100"/>
        <v>1</v>
      </c>
      <c r="Q948" s="686">
        <f t="shared" si="101"/>
        <v>1</v>
      </c>
      <c r="DE948" s="494"/>
      <c r="DF948" s="496" t="s">
        <v>2948</v>
      </c>
      <c r="DG948" s="496" t="s">
        <v>8</v>
      </c>
      <c r="DH948" s="496" t="s">
        <v>689</v>
      </c>
      <c r="DI948" s="496" t="s">
        <v>2949</v>
      </c>
      <c r="DJ948" s="496" t="s">
        <v>2949</v>
      </c>
      <c r="DK948" s="496" t="s">
        <v>1554</v>
      </c>
      <c r="DL948" s="496" t="s">
        <v>1555</v>
      </c>
      <c r="DM948" s="496" t="s">
        <v>1981</v>
      </c>
      <c r="DN948" s="497" t="s">
        <v>1982</v>
      </c>
      <c r="DP948" s="543">
        <v>1</v>
      </c>
    </row>
    <row r="949" spans="2:120" ht="15">
      <c r="B949" s="683"/>
      <c r="C949" s="683"/>
      <c r="D949" s="683"/>
      <c r="E949" s="683" cm="1">
        <f t="array" ref="E949">IF(H948&lt;&gt;"",E948,IF(E948="","",IFERROR(MATCH(TRUE(),INDEX(INDEX(K:K,E948+1):K203&lt;&gt;"",0),0)+E948,"")))</f>
        <v>1090</v>
      </c>
      <c r="F949" s="684" cm="1">
        <f t="array" ref="F949">IF(E949="","",IF(H948&lt;&gt;"",H948,INDEX(D:D,E949)))</f>
        <v>0</v>
      </c>
      <c r="G949" s="684" t="str">
        <f t="shared" si="96"/>
        <v>0</v>
      </c>
      <c r="H949" s="685" t="str">
        <f t="shared" si="97"/>
        <v/>
      </c>
      <c r="I949" s="683" t="str">
        <f>IF(AND(F949&lt;&gt;"",N10&gt;0,M949&gt;N10),"Mot &gt; limite","")</f>
        <v/>
      </c>
      <c r="M949" s="638">
        <f>IF(OR(F949="",N10="",N10&lt;=0),"",IF(LEN(F949)&lt;=N10,LEN(F949),IFERROR(FIND("♦",SUBSTITUTE(LEFT(F949,N10)," ","♦",LEN(LEFT(F949,N10))-LEN(SUBSTITUTE(LEFT(F949,N10)," ","")))),FIND(" ",F949&amp;" ",N10+1)-1)))</f>
        <v>1</v>
      </c>
      <c r="N949" s="686">
        <f t="shared" si="98"/>
        <v>932</v>
      </c>
      <c r="O949" s="663" t="str">
        <f t="shared" si="99"/>
        <v>0</v>
      </c>
      <c r="P949" s="686">
        <f t="shared" si="100"/>
        <v>1</v>
      </c>
      <c r="Q949" s="686">
        <f t="shared" si="101"/>
        <v>1</v>
      </c>
      <c r="DE949" s="494"/>
      <c r="DF949" s="496" t="s">
        <v>2950</v>
      </c>
      <c r="DG949" s="496" t="s">
        <v>8</v>
      </c>
      <c r="DH949" s="496" t="s">
        <v>689</v>
      </c>
      <c r="DI949" s="496" t="s">
        <v>2951</v>
      </c>
      <c r="DJ949" s="496" t="s">
        <v>2951</v>
      </c>
      <c r="DK949" s="496" t="s">
        <v>1554</v>
      </c>
      <c r="DL949" s="496" t="s">
        <v>1555</v>
      </c>
      <c r="DM949" s="496" t="s">
        <v>1981</v>
      </c>
      <c r="DN949" s="497" t="s">
        <v>1982</v>
      </c>
      <c r="DP949" s="543">
        <v>1</v>
      </c>
    </row>
    <row r="950" spans="2:120" ht="15">
      <c r="B950" s="683"/>
      <c r="C950" s="683"/>
      <c r="D950" s="683"/>
      <c r="E950" s="683" cm="1">
        <f t="array" ref="E950">IF(H949&lt;&gt;"",E949,IF(E949="","",IFERROR(MATCH(TRUE(),INDEX(INDEX(K:K,E949+1):K203&lt;&gt;"",0),0)+E949,"")))</f>
        <v>1091</v>
      </c>
      <c r="F950" s="684" cm="1">
        <f t="array" ref="F950">IF(E950="","",IF(H949&lt;&gt;"",H949,INDEX(D:D,E950)))</f>
        <v>0</v>
      </c>
      <c r="G950" s="684" t="str">
        <f t="shared" si="96"/>
        <v>0</v>
      </c>
      <c r="H950" s="685" t="str">
        <f t="shared" si="97"/>
        <v/>
      </c>
      <c r="I950" s="683" t="str">
        <f>IF(AND(F950&lt;&gt;"",N10&gt;0,M950&gt;N10),"Mot &gt; limite","")</f>
        <v/>
      </c>
      <c r="M950" s="638">
        <f>IF(OR(F950="",N10="",N10&lt;=0),"",IF(LEN(F950)&lt;=N10,LEN(F950),IFERROR(FIND("♦",SUBSTITUTE(LEFT(F950,N10)," ","♦",LEN(LEFT(F950,N10))-LEN(SUBSTITUTE(LEFT(F950,N10)," ","")))),FIND(" ",F950&amp;" ",N10+1)-1)))</f>
        <v>1</v>
      </c>
      <c r="N950" s="686">
        <f t="shared" si="98"/>
        <v>933</v>
      </c>
      <c r="O950" s="663" t="str">
        <f t="shared" si="99"/>
        <v>0</v>
      </c>
      <c r="P950" s="686">
        <f t="shared" si="100"/>
        <v>1</v>
      </c>
      <c r="Q950" s="686">
        <f t="shared" si="101"/>
        <v>1</v>
      </c>
      <c r="DE950" s="494"/>
      <c r="DF950" s="496" t="s">
        <v>2952</v>
      </c>
      <c r="DG950" s="496" t="s">
        <v>8</v>
      </c>
      <c r="DH950" s="496" t="s">
        <v>689</v>
      </c>
      <c r="DI950" s="496" t="s">
        <v>2953</v>
      </c>
      <c r="DJ950" s="496" t="s">
        <v>2953</v>
      </c>
      <c r="DK950" s="496" t="s">
        <v>1554</v>
      </c>
      <c r="DL950" s="496" t="s">
        <v>1555</v>
      </c>
      <c r="DM950" s="496" t="s">
        <v>1981</v>
      </c>
      <c r="DN950" s="497" t="s">
        <v>1982</v>
      </c>
      <c r="DP950" s="543">
        <v>1</v>
      </c>
    </row>
    <row r="951" spans="2:120" ht="15">
      <c r="B951" s="683"/>
      <c r="C951" s="683"/>
      <c r="D951" s="683"/>
      <c r="E951" s="683" cm="1">
        <f t="array" ref="E951">IF(H950&lt;&gt;"",E950,IF(E950="","",IFERROR(MATCH(TRUE(),INDEX(INDEX(K:K,E950+1):K203&lt;&gt;"",0),0)+E950,"")))</f>
        <v>1092</v>
      </c>
      <c r="F951" s="684" cm="1">
        <f t="array" ref="F951">IF(E951="","",IF(H950&lt;&gt;"",H950,INDEX(D:D,E951)))</f>
        <v>0</v>
      </c>
      <c r="G951" s="684" t="str">
        <f t="shared" si="96"/>
        <v>0</v>
      </c>
      <c r="H951" s="685" t="str">
        <f t="shared" si="97"/>
        <v/>
      </c>
      <c r="I951" s="683" t="str">
        <f>IF(AND(F951&lt;&gt;"",N10&gt;0,M951&gt;N10),"Mot &gt; limite","")</f>
        <v/>
      </c>
      <c r="M951" s="638">
        <f>IF(OR(F951="",N10="",N10&lt;=0),"",IF(LEN(F951)&lt;=N10,LEN(F951),IFERROR(FIND("♦",SUBSTITUTE(LEFT(F951,N10)," ","♦",LEN(LEFT(F951,N10))-LEN(SUBSTITUTE(LEFT(F951,N10)," ","")))),FIND(" ",F951&amp;" ",N10+1)-1)))</f>
        <v>1</v>
      </c>
      <c r="N951" s="686">
        <f t="shared" si="98"/>
        <v>934</v>
      </c>
      <c r="O951" s="663" t="str">
        <f t="shared" si="99"/>
        <v>0</v>
      </c>
      <c r="P951" s="686">
        <f t="shared" si="100"/>
        <v>1</v>
      </c>
      <c r="Q951" s="686">
        <f t="shared" si="101"/>
        <v>1</v>
      </c>
      <c r="DE951" s="494"/>
      <c r="DF951" s="496" t="s">
        <v>2954</v>
      </c>
      <c r="DG951" s="496" t="s">
        <v>8</v>
      </c>
      <c r="DH951" s="496" t="s">
        <v>689</v>
      </c>
      <c r="DI951" s="496" t="s">
        <v>2955</v>
      </c>
      <c r="DJ951" s="496" t="s">
        <v>2955</v>
      </c>
      <c r="DK951" s="496" t="s">
        <v>1554</v>
      </c>
      <c r="DL951" s="496" t="s">
        <v>1555</v>
      </c>
      <c r="DM951" s="496" t="s">
        <v>1981</v>
      </c>
      <c r="DN951" s="497" t="s">
        <v>1982</v>
      </c>
      <c r="DP951" s="543">
        <v>1</v>
      </c>
    </row>
    <row r="952" spans="2:120" ht="15">
      <c r="B952" s="683"/>
      <c r="C952" s="683"/>
      <c r="D952" s="683"/>
      <c r="E952" s="683" cm="1">
        <f t="array" ref="E952">IF(H951&lt;&gt;"",E951,IF(E951="","",IFERROR(MATCH(TRUE(),INDEX(INDEX(K:K,E951+1):K203&lt;&gt;"",0),0)+E951,"")))</f>
        <v>1093</v>
      </c>
      <c r="F952" s="684" cm="1">
        <f t="array" ref="F952">IF(E952="","",IF(H951&lt;&gt;"",H951,INDEX(D:D,E952)))</f>
        <v>0</v>
      </c>
      <c r="G952" s="684" t="str">
        <f t="shared" si="96"/>
        <v>0</v>
      </c>
      <c r="H952" s="685" t="str">
        <f t="shared" si="97"/>
        <v/>
      </c>
      <c r="I952" s="683" t="str">
        <f>IF(AND(F952&lt;&gt;"",N10&gt;0,M952&gt;N10),"Mot &gt; limite","")</f>
        <v/>
      </c>
      <c r="M952" s="638">
        <f>IF(OR(F952="",N10="",N10&lt;=0),"",IF(LEN(F952)&lt;=N10,LEN(F952),IFERROR(FIND("♦",SUBSTITUTE(LEFT(F952,N10)," ","♦",LEN(LEFT(F952,N10))-LEN(SUBSTITUTE(LEFT(F952,N10)," ","")))),FIND(" ",F952&amp;" ",N10+1)-1)))</f>
        <v>1</v>
      </c>
      <c r="N952" s="686">
        <f t="shared" si="98"/>
        <v>935</v>
      </c>
      <c r="O952" s="663" t="str">
        <f t="shared" si="99"/>
        <v>0</v>
      </c>
      <c r="P952" s="686">
        <f t="shared" si="100"/>
        <v>1</v>
      </c>
      <c r="Q952" s="686">
        <f t="shared" si="101"/>
        <v>1</v>
      </c>
      <c r="DE952" s="494"/>
      <c r="DF952" s="496" t="s">
        <v>2956</v>
      </c>
      <c r="DG952" s="496" t="s">
        <v>8</v>
      </c>
      <c r="DH952" s="496" t="s">
        <v>689</v>
      </c>
      <c r="DI952" s="496" t="s">
        <v>2957</v>
      </c>
      <c r="DJ952" s="496" t="s">
        <v>2957</v>
      </c>
      <c r="DK952" s="496" t="s">
        <v>1554</v>
      </c>
      <c r="DL952" s="496" t="s">
        <v>1555</v>
      </c>
      <c r="DM952" s="496" t="s">
        <v>1981</v>
      </c>
      <c r="DN952" s="497" t="s">
        <v>1982</v>
      </c>
      <c r="DP952" s="543">
        <v>1</v>
      </c>
    </row>
    <row r="953" spans="2:120" ht="15">
      <c r="B953" s="683"/>
      <c r="C953" s="683"/>
      <c r="D953" s="683"/>
      <c r="E953" s="683" cm="1">
        <f t="array" ref="E953">IF(H952&lt;&gt;"",E952,IF(E952="","",IFERROR(MATCH(TRUE(),INDEX(INDEX(K:K,E952+1):K203&lt;&gt;"",0),0)+E952,"")))</f>
        <v>1094</v>
      </c>
      <c r="F953" s="684" cm="1">
        <f t="array" ref="F953">IF(E953="","",IF(H952&lt;&gt;"",H952,INDEX(D:D,E953)))</f>
        <v>0</v>
      </c>
      <c r="G953" s="684" t="str">
        <f t="shared" si="96"/>
        <v>0</v>
      </c>
      <c r="H953" s="685" t="str">
        <f t="shared" si="97"/>
        <v/>
      </c>
      <c r="I953" s="683" t="str">
        <f>IF(AND(F953&lt;&gt;"",N10&gt;0,M953&gt;N10),"Mot &gt; limite","")</f>
        <v/>
      </c>
      <c r="M953" s="638">
        <f>IF(OR(F953="",N10="",N10&lt;=0),"",IF(LEN(F953)&lt;=N10,LEN(F953),IFERROR(FIND("♦",SUBSTITUTE(LEFT(F953,N10)," ","♦",LEN(LEFT(F953,N10))-LEN(SUBSTITUTE(LEFT(F953,N10)," ","")))),FIND(" ",F953&amp;" ",N10+1)-1)))</f>
        <v>1</v>
      </c>
      <c r="N953" s="686">
        <f t="shared" si="98"/>
        <v>936</v>
      </c>
      <c r="O953" s="663" t="str">
        <f t="shared" si="99"/>
        <v>0</v>
      </c>
      <c r="P953" s="686">
        <f t="shared" si="100"/>
        <v>1</v>
      </c>
      <c r="Q953" s="686">
        <f t="shared" si="101"/>
        <v>1</v>
      </c>
      <c r="DE953" s="494"/>
      <c r="DF953" s="496" t="s">
        <v>2958</v>
      </c>
      <c r="DG953" s="496" t="s">
        <v>8</v>
      </c>
      <c r="DH953" s="496" t="s">
        <v>689</v>
      </c>
      <c r="DI953" s="496" t="s">
        <v>2959</v>
      </c>
      <c r="DJ953" s="496" t="s">
        <v>2959</v>
      </c>
      <c r="DK953" s="496" t="s">
        <v>1554</v>
      </c>
      <c r="DL953" s="496" t="s">
        <v>1555</v>
      </c>
      <c r="DM953" s="496" t="s">
        <v>1981</v>
      </c>
      <c r="DN953" s="497" t="s">
        <v>1982</v>
      </c>
      <c r="DP953" s="543">
        <v>1</v>
      </c>
    </row>
    <row r="954" spans="2:120" ht="15">
      <c r="B954" s="683"/>
      <c r="C954" s="683"/>
      <c r="D954" s="683"/>
      <c r="E954" s="683" cm="1">
        <f t="array" ref="E954">IF(H953&lt;&gt;"",E953,IF(E953="","",IFERROR(MATCH(TRUE(),INDEX(INDEX(K:K,E953+1):K203&lt;&gt;"",0),0)+E953,"")))</f>
        <v>1095</v>
      </c>
      <c r="F954" s="684" cm="1">
        <f t="array" ref="F954">IF(E954="","",IF(H953&lt;&gt;"",H953,INDEX(D:D,E954)))</f>
        <v>0</v>
      </c>
      <c r="G954" s="684" t="str">
        <f t="shared" si="96"/>
        <v>0</v>
      </c>
      <c r="H954" s="685" t="str">
        <f t="shared" si="97"/>
        <v/>
      </c>
      <c r="I954" s="683" t="str">
        <f>IF(AND(F954&lt;&gt;"",N10&gt;0,M954&gt;N10),"Mot &gt; limite","")</f>
        <v/>
      </c>
      <c r="M954" s="638">
        <f>IF(OR(F954="",N10="",N10&lt;=0),"",IF(LEN(F954)&lt;=N10,LEN(F954),IFERROR(FIND("♦",SUBSTITUTE(LEFT(F954,N10)," ","♦",LEN(LEFT(F954,N10))-LEN(SUBSTITUTE(LEFT(F954,N10)," ","")))),FIND(" ",F954&amp;" ",N10+1)-1)))</f>
        <v>1</v>
      </c>
      <c r="N954" s="686">
        <f t="shared" si="98"/>
        <v>937</v>
      </c>
      <c r="O954" s="663" t="str">
        <f t="shared" si="99"/>
        <v>0</v>
      </c>
      <c r="P954" s="686">
        <f t="shared" si="100"/>
        <v>1</v>
      </c>
      <c r="Q954" s="686">
        <f t="shared" si="101"/>
        <v>1</v>
      </c>
      <c r="DE954" s="494"/>
      <c r="DF954" s="496" t="s">
        <v>2960</v>
      </c>
      <c r="DG954" s="496" t="s">
        <v>8</v>
      </c>
      <c r="DH954" s="496" t="s">
        <v>689</v>
      </c>
      <c r="DI954" s="496" t="s">
        <v>2961</v>
      </c>
      <c r="DJ954" s="496" t="s">
        <v>2961</v>
      </c>
      <c r="DK954" s="496" t="s">
        <v>1554</v>
      </c>
      <c r="DL954" s="496" t="s">
        <v>1555</v>
      </c>
      <c r="DM954" s="496" t="s">
        <v>1981</v>
      </c>
      <c r="DN954" s="497" t="s">
        <v>1982</v>
      </c>
      <c r="DP954" s="543">
        <v>1</v>
      </c>
    </row>
    <row r="955" spans="2:120" ht="15">
      <c r="B955" s="683"/>
      <c r="C955" s="683"/>
      <c r="D955" s="683"/>
      <c r="E955" s="683" cm="1">
        <f t="array" ref="E955">IF(H954&lt;&gt;"",E954,IF(E954="","",IFERROR(MATCH(TRUE(),INDEX(INDEX(K:K,E954+1):K203&lt;&gt;"",0),0)+E954,"")))</f>
        <v>1096</v>
      </c>
      <c r="F955" s="684" cm="1">
        <f t="array" ref="F955">IF(E955="","",IF(H954&lt;&gt;"",H954,INDEX(D:D,E955)))</f>
        <v>0</v>
      </c>
      <c r="G955" s="684" t="str">
        <f t="shared" si="96"/>
        <v>0</v>
      </c>
      <c r="H955" s="685" t="str">
        <f t="shared" si="97"/>
        <v/>
      </c>
      <c r="I955" s="683" t="str">
        <f>IF(AND(F955&lt;&gt;"",N10&gt;0,M955&gt;N10),"Mot &gt; limite","")</f>
        <v/>
      </c>
      <c r="M955" s="638">
        <f>IF(OR(F955="",N10="",N10&lt;=0),"",IF(LEN(F955)&lt;=N10,LEN(F955),IFERROR(FIND("♦",SUBSTITUTE(LEFT(F955,N10)," ","♦",LEN(LEFT(F955,N10))-LEN(SUBSTITUTE(LEFT(F955,N10)," ","")))),FIND(" ",F955&amp;" ",N10+1)-1)))</f>
        <v>1</v>
      </c>
      <c r="N955" s="686">
        <f t="shared" si="98"/>
        <v>938</v>
      </c>
      <c r="O955" s="663" t="str">
        <f t="shared" si="99"/>
        <v>0</v>
      </c>
      <c r="P955" s="686">
        <f t="shared" si="100"/>
        <v>1</v>
      </c>
      <c r="Q955" s="686">
        <f t="shared" si="101"/>
        <v>1</v>
      </c>
      <c r="DE955" s="494"/>
      <c r="DF955" s="496" t="s">
        <v>2962</v>
      </c>
      <c r="DG955" s="496" t="s">
        <v>8</v>
      </c>
      <c r="DH955" s="496" t="s">
        <v>689</v>
      </c>
      <c r="DI955" s="496" t="s">
        <v>2963</v>
      </c>
      <c r="DJ955" s="496" t="s">
        <v>2963</v>
      </c>
      <c r="DK955" s="496" t="s">
        <v>1554</v>
      </c>
      <c r="DL955" s="496" t="s">
        <v>1555</v>
      </c>
      <c r="DM955" s="496" t="s">
        <v>1981</v>
      </c>
      <c r="DN955" s="497" t="s">
        <v>1982</v>
      </c>
      <c r="DP955" s="543">
        <v>1</v>
      </c>
    </row>
    <row r="956" spans="2:120" ht="15">
      <c r="B956" s="683"/>
      <c r="C956" s="683"/>
      <c r="D956" s="683"/>
      <c r="E956" s="683" cm="1">
        <f t="array" ref="E956">IF(H955&lt;&gt;"",E955,IF(E955="","",IFERROR(MATCH(TRUE(),INDEX(INDEX(K:K,E955+1):K203&lt;&gt;"",0),0)+E955,"")))</f>
        <v>1097</v>
      </c>
      <c r="F956" s="684" cm="1">
        <f t="array" ref="F956">IF(E956="","",IF(H955&lt;&gt;"",H955,INDEX(D:D,E956)))</f>
        <v>0</v>
      </c>
      <c r="G956" s="684" t="str">
        <f t="shared" si="96"/>
        <v>0</v>
      </c>
      <c r="H956" s="685" t="str">
        <f t="shared" si="97"/>
        <v/>
      </c>
      <c r="I956" s="683" t="str">
        <f>IF(AND(F956&lt;&gt;"",N10&gt;0,M956&gt;N10),"Mot &gt; limite","")</f>
        <v/>
      </c>
      <c r="M956" s="638">
        <f>IF(OR(F956="",N10="",N10&lt;=0),"",IF(LEN(F956)&lt;=N10,LEN(F956),IFERROR(FIND("♦",SUBSTITUTE(LEFT(F956,N10)," ","♦",LEN(LEFT(F956,N10))-LEN(SUBSTITUTE(LEFT(F956,N10)," ","")))),FIND(" ",F956&amp;" ",N10+1)-1)))</f>
        <v>1</v>
      </c>
      <c r="N956" s="686">
        <f t="shared" si="98"/>
        <v>939</v>
      </c>
      <c r="O956" s="663" t="str">
        <f t="shared" si="99"/>
        <v>0</v>
      </c>
      <c r="P956" s="686">
        <f t="shared" si="100"/>
        <v>1</v>
      </c>
      <c r="Q956" s="686">
        <f t="shared" si="101"/>
        <v>1</v>
      </c>
      <c r="DE956" s="494"/>
      <c r="DF956" s="496" t="s">
        <v>2964</v>
      </c>
      <c r="DG956" s="496" t="s">
        <v>8</v>
      </c>
      <c r="DH956" s="496" t="s">
        <v>689</v>
      </c>
      <c r="DI956" s="496" t="s">
        <v>2965</v>
      </c>
      <c r="DJ956" s="496" t="s">
        <v>2965</v>
      </c>
      <c r="DK956" s="496" t="s">
        <v>1554</v>
      </c>
      <c r="DL956" s="496" t="s">
        <v>1555</v>
      </c>
      <c r="DM956" s="496" t="s">
        <v>1981</v>
      </c>
      <c r="DN956" s="497" t="s">
        <v>1982</v>
      </c>
      <c r="DP956" s="543">
        <v>1</v>
      </c>
    </row>
    <row r="957" spans="2:120" ht="15">
      <c r="B957" s="683"/>
      <c r="C957" s="683"/>
      <c r="D957" s="683"/>
      <c r="E957" s="683" cm="1">
        <f t="array" ref="E957">IF(H956&lt;&gt;"",E956,IF(E956="","",IFERROR(MATCH(TRUE(),INDEX(INDEX(K:K,E956+1):K203&lt;&gt;"",0),0)+E956,"")))</f>
        <v>1098</v>
      </c>
      <c r="F957" s="684" cm="1">
        <f t="array" ref="F957">IF(E957="","",IF(H956&lt;&gt;"",H956,INDEX(D:D,E957)))</f>
        <v>0</v>
      </c>
      <c r="G957" s="684" t="str">
        <f t="shared" si="96"/>
        <v>0</v>
      </c>
      <c r="H957" s="685" t="str">
        <f t="shared" si="97"/>
        <v/>
      </c>
      <c r="I957" s="683" t="str">
        <f>IF(AND(F957&lt;&gt;"",N10&gt;0,M957&gt;N10),"Mot &gt; limite","")</f>
        <v/>
      </c>
      <c r="M957" s="638">
        <f>IF(OR(F957="",N10="",N10&lt;=0),"",IF(LEN(F957)&lt;=N10,LEN(F957),IFERROR(FIND("♦",SUBSTITUTE(LEFT(F957,N10)," ","♦",LEN(LEFT(F957,N10))-LEN(SUBSTITUTE(LEFT(F957,N10)," ","")))),FIND(" ",F957&amp;" ",N10+1)-1)))</f>
        <v>1</v>
      </c>
      <c r="N957" s="686">
        <f t="shared" si="98"/>
        <v>940</v>
      </c>
      <c r="O957" s="663" t="str">
        <f t="shared" si="99"/>
        <v>0</v>
      </c>
      <c r="P957" s="686">
        <f t="shared" si="100"/>
        <v>1</v>
      </c>
      <c r="Q957" s="686">
        <f t="shared" si="101"/>
        <v>1</v>
      </c>
      <c r="DE957" s="494"/>
      <c r="DF957" s="496" t="s">
        <v>2966</v>
      </c>
      <c r="DG957" s="496" t="s">
        <v>8</v>
      </c>
      <c r="DH957" s="496" t="s">
        <v>689</v>
      </c>
      <c r="DI957" s="496" t="s">
        <v>2967</v>
      </c>
      <c r="DJ957" s="496" t="s">
        <v>2967</v>
      </c>
      <c r="DK957" s="496" t="s">
        <v>1554</v>
      </c>
      <c r="DL957" s="496" t="s">
        <v>1555</v>
      </c>
      <c r="DM957" s="496" t="s">
        <v>1981</v>
      </c>
      <c r="DN957" s="497" t="s">
        <v>1982</v>
      </c>
      <c r="DP957" s="543">
        <v>1</v>
      </c>
    </row>
    <row r="958" spans="2:120" ht="15">
      <c r="B958" s="683"/>
      <c r="C958" s="683"/>
      <c r="D958" s="683"/>
      <c r="E958" s="683" cm="1">
        <f t="array" ref="E958">IF(H957&lt;&gt;"",E957,IF(E957="","",IFERROR(MATCH(TRUE(),INDEX(INDEX(K:K,E957+1):K203&lt;&gt;"",0),0)+E957,"")))</f>
        <v>1099</v>
      </c>
      <c r="F958" s="684" cm="1">
        <f t="array" ref="F958">IF(E958="","",IF(H957&lt;&gt;"",H957,INDEX(D:D,E958)))</f>
        <v>0</v>
      </c>
      <c r="G958" s="684" t="str">
        <f t="shared" si="96"/>
        <v>0</v>
      </c>
      <c r="H958" s="685" t="str">
        <f t="shared" si="97"/>
        <v/>
      </c>
      <c r="I958" s="683" t="str">
        <f>IF(AND(F958&lt;&gt;"",N10&gt;0,M958&gt;N10),"Mot &gt; limite","")</f>
        <v/>
      </c>
      <c r="M958" s="638">
        <f>IF(OR(F958="",N10="",N10&lt;=0),"",IF(LEN(F958)&lt;=N10,LEN(F958),IFERROR(FIND("♦",SUBSTITUTE(LEFT(F958,N10)," ","♦",LEN(LEFT(F958,N10))-LEN(SUBSTITUTE(LEFT(F958,N10)," ","")))),FIND(" ",F958&amp;" ",N10+1)-1)))</f>
        <v>1</v>
      </c>
      <c r="N958" s="686">
        <f t="shared" si="98"/>
        <v>941</v>
      </c>
      <c r="O958" s="663" t="str">
        <f t="shared" si="99"/>
        <v>0</v>
      </c>
      <c r="P958" s="686">
        <f t="shared" si="100"/>
        <v>1</v>
      </c>
      <c r="Q958" s="686">
        <f t="shared" si="101"/>
        <v>1</v>
      </c>
      <c r="DE958" s="494"/>
      <c r="DF958" s="496" t="s">
        <v>2968</v>
      </c>
      <c r="DG958" s="496" t="s">
        <v>8</v>
      </c>
      <c r="DH958" s="496" t="s">
        <v>689</v>
      </c>
      <c r="DI958" s="496" t="s">
        <v>2969</v>
      </c>
      <c r="DJ958" s="496" t="s">
        <v>2969</v>
      </c>
      <c r="DK958" s="496" t="s">
        <v>1554</v>
      </c>
      <c r="DL958" s="496" t="s">
        <v>1555</v>
      </c>
      <c r="DM958" s="496" t="s">
        <v>1981</v>
      </c>
      <c r="DN958" s="497" t="s">
        <v>1982</v>
      </c>
      <c r="DP958" s="543">
        <v>1</v>
      </c>
    </row>
    <row r="959" spans="2:120" ht="15">
      <c r="B959" s="683"/>
      <c r="C959" s="683"/>
      <c r="D959" s="683"/>
      <c r="E959" s="683" cm="1">
        <f t="array" ref="E959">IF(H958&lt;&gt;"",E958,IF(E958="","",IFERROR(MATCH(TRUE(),INDEX(INDEX(K:K,E958+1):K203&lt;&gt;"",0),0)+E958,"")))</f>
        <v>1100</v>
      </c>
      <c r="F959" s="684" cm="1">
        <f t="array" ref="F959">IF(E959="","",IF(H958&lt;&gt;"",H958,INDEX(D:D,E959)))</f>
        <v>0</v>
      </c>
      <c r="G959" s="684" t="str">
        <f t="shared" si="96"/>
        <v>0</v>
      </c>
      <c r="H959" s="685" t="str">
        <f t="shared" si="97"/>
        <v/>
      </c>
      <c r="I959" s="683" t="str">
        <f>IF(AND(F959&lt;&gt;"",N10&gt;0,M959&gt;N10),"Mot &gt; limite","")</f>
        <v/>
      </c>
      <c r="M959" s="638">
        <f>IF(OR(F959="",N10="",N10&lt;=0),"",IF(LEN(F959)&lt;=N10,LEN(F959),IFERROR(FIND("♦",SUBSTITUTE(LEFT(F959,N10)," ","♦",LEN(LEFT(F959,N10))-LEN(SUBSTITUTE(LEFT(F959,N10)," ","")))),FIND(" ",F959&amp;" ",N10+1)-1)))</f>
        <v>1</v>
      </c>
      <c r="N959" s="686">
        <f t="shared" si="98"/>
        <v>942</v>
      </c>
      <c r="O959" s="663" t="str">
        <f t="shared" si="99"/>
        <v>0</v>
      </c>
      <c r="P959" s="686">
        <f t="shared" si="100"/>
        <v>1</v>
      </c>
      <c r="Q959" s="686">
        <f t="shared" si="101"/>
        <v>1</v>
      </c>
      <c r="DE959" s="494"/>
      <c r="DF959" s="496" t="s">
        <v>2970</v>
      </c>
      <c r="DG959" s="496" t="s">
        <v>8</v>
      </c>
      <c r="DH959" s="496" t="s">
        <v>689</v>
      </c>
      <c r="DI959" s="496" t="s">
        <v>2971</v>
      </c>
      <c r="DJ959" s="496" t="s">
        <v>2971</v>
      </c>
      <c r="DK959" s="496" t="s">
        <v>1554</v>
      </c>
      <c r="DL959" s="496" t="s">
        <v>1555</v>
      </c>
      <c r="DM959" s="496" t="s">
        <v>1981</v>
      </c>
      <c r="DN959" s="497" t="s">
        <v>1982</v>
      </c>
      <c r="DP959" s="543">
        <v>1</v>
      </c>
    </row>
    <row r="960" spans="2:120" ht="15">
      <c r="B960" s="683"/>
      <c r="C960" s="683"/>
      <c r="D960" s="683"/>
      <c r="E960" s="683" cm="1">
        <f t="array" ref="E960">IF(H959&lt;&gt;"",E959,IF(E959="","",IFERROR(MATCH(TRUE(),INDEX(INDEX(K:K,E959+1):K203&lt;&gt;"",0),0)+E959,"")))</f>
        <v>1101</v>
      </c>
      <c r="F960" s="684" cm="1">
        <f t="array" ref="F960">IF(E960="","",IF(H959&lt;&gt;"",H959,INDEX(D:D,E960)))</f>
        <v>0</v>
      </c>
      <c r="G960" s="684" t="str">
        <f t="shared" si="96"/>
        <v>0</v>
      </c>
      <c r="H960" s="685" t="str">
        <f t="shared" si="97"/>
        <v/>
      </c>
      <c r="I960" s="683" t="str">
        <f>IF(AND(F960&lt;&gt;"",N10&gt;0,M960&gt;N10),"Mot &gt; limite","")</f>
        <v/>
      </c>
      <c r="M960" s="638">
        <f>IF(OR(F960="",N10="",N10&lt;=0),"",IF(LEN(F960)&lt;=N10,LEN(F960),IFERROR(FIND("♦",SUBSTITUTE(LEFT(F960,N10)," ","♦",LEN(LEFT(F960,N10))-LEN(SUBSTITUTE(LEFT(F960,N10)," ","")))),FIND(" ",F960&amp;" ",N10+1)-1)))</f>
        <v>1</v>
      </c>
      <c r="N960" s="686">
        <f t="shared" si="98"/>
        <v>943</v>
      </c>
      <c r="O960" s="663" t="str">
        <f t="shared" si="99"/>
        <v>0</v>
      </c>
      <c r="P960" s="686">
        <f t="shared" si="100"/>
        <v>1</v>
      </c>
      <c r="Q960" s="686">
        <f t="shared" si="101"/>
        <v>1</v>
      </c>
      <c r="DE960" s="494"/>
      <c r="DF960" s="496" t="s">
        <v>2972</v>
      </c>
      <c r="DG960" s="496" t="s">
        <v>8</v>
      </c>
      <c r="DH960" s="496" t="s">
        <v>689</v>
      </c>
      <c r="DI960" s="496" t="s">
        <v>2973</v>
      </c>
      <c r="DJ960" s="496" t="s">
        <v>2973</v>
      </c>
      <c r="DK960" s="496" t="s">
        <v>1554</v>
      </c>
      <c r="DL960" s="496" t="s">
        <v>1555</v>
      </c>
      <c r="DM960" s="496" t="s">
        <v>1981</v>
      </c>
      <c r="DN960" s="497" t="s">
        <v>1982</v>
      </c>
      <c r="DP960" s="543">
        <v>1</v>
      </c>
    </row>
    <row r="961" spans="2:120" ht="15">
      <c r="B961" s="683"/>
      <c r="C961" s="683"/>
      <c r="D961" s="683"/>
      <c r="E961" s="683" cm="1">
        <f t="array" ref="E961">IF(H960&lt;&gt;"",E960,IF(E960="","",IFERROR(MATCH(TRUE(),INDEX(INDEX(K:K,E960+1):K203&lt;&gt;"",0),0)+E960,"")))</f>
        <v>1102</v>
      </c>
      <c r="F961" s="684" cm="1">
        <f t="array" ref="F961">IF(E961="","",IF(H960&lt;&gt;"",H960,INDEX(D:D,E961)))</f>
        <v>0</v>
      </c>
      <c r="G961" s="684" t="str">
        <f t="shared" si="96"/>
        <v>0</v>
      </c>
      <c r="H961" s="685" t="str">
        <f t="shared" si="97"/>
        <v/>
      </c>
      <c r="I961" s="683" t="str">
        <f>IF(AND(F961&lt;&gt;"",N10&gt;0,M961&gt;N10),"Mot &gt; limite","")</f>
        <v/>
      </c>
      <c r="M961" s="638">
        <f>IF(OR(F961="",N10="",N10&lt;=0),"",IF(LEN(F961)&lt;=N10,LEN(F961),IFERROR(FIND("♦",SUBSTITUTE(LEFT(F961,N10)," ","♦",LEN(LEFT(F961,N10))-LEN(SUBSTITUTE(LEFT(F961,N10)," ","")))),FIND(" ",F961&amp;" ",N10+1)-1)))</f>
        <v>1</v>
      </c>
      <c r="N961" s="686">
        <f t="shared" si="98"/>
        <v>944</v>
      </c>
      <c r="O961" s="663" t="str">
        <f t="shared" si="99"/>
        <v>0</v>
      </c>
      <c r="P961" s="686">
        <f t="shared" si="100"/>
        <v>1</v>
      </c>
      <c r="Q961" s="686">
        <f t="shared" si="101"/>
        <v>1</v>
      </c>
      <c r="DE961" s="494"/>
      <c r="DF961" s="496" t="s">
        <v>2974</v>
      </c>
      <c r="DG961" s="496" t="s">
        <v>8</v>
      </c>
      <c r="DH961" s="496" t="s">
        <v>689</v>
      </c>
      <c r="DI961" s="496" t="s">
        <v>2975</v>
      </c>
      <c r="DJ961" s="496" t="s">
        <v>2975</v>
      </c>
      <c r="DK961" s="496" t="s">
        <v>1554</v>
      </c>
      <c r="DL961" s="496" t="s">
        <v>1555</v>
      </c>
      <c r="DM961" s="496" t="s">
        <v>1981</v>
      </c>
      <c r="DN961" s="497" t="s">
        <v>1982</v>
      </c>
      <c r="DP961" s="543">
        <v>1</v>
      </c>
    </row>
    <row r="962" spans="2:120" ht="15">
      <c r="B962" s="683"/>
      <c r="C962" s="683"/>
      <c r="D962" s="683"/>
      <c r="E962" s="683" cm="1">
        <f t="array" ref="E962">IF(H961&lt;&gt;"",E961,IF(E961="","",IFERROR(MATCH(TRUE(),INDEX(INDEX(K:K,E961+1):K203&lt;&gt;"",0),0)+E961,"")))</f>
        <v>1103</v>
      </c>
      <c r="F962" s="684" cm="1">
        <f t="array" ref="F962">IF(E962="","",IF(H961&lt;&gt;"",H961,INDEX(D:D,E962)))</f>
        <v>0</v>
      </c>
      <c r="G962" s="684" t="str">
        <f t="shared" si="96"/>
        <v>0</v>
      </c>
      <c r="H962" s="685" t="str">
        <f t="shared" si="97"/>
        <v/>
      </c>
      <c r="I962" s="683" t="str">
        <f>IF(AND(F962&lt;&gt;"",N10&gt;0,M962&gt;N10),"Mot &gt; limite","")</f>
        <v/>
      </c>
      <c r="M962" s="638">
        <f>IF(OR(F962="",N10="",N10&lt;=0),"",IF(LEN(F962)&lt;=N10,LEN(F962),IFERROR(FIND("♦",SUBSTITUTE(LEFT(F962,N10)," ","♦",LEN(LEFT(F962,N10))-LEN(SUBSTITUTE(LEFT(F962,N10)," ","")))),FIND(" ",F962&amp;" ",N10+1)-1)))</f>
        <v>1</v>
      </c>
      <c r="N962" s="686">
        <f t="shared" si="98"/>
        <v>945</v>
      </c>
      <c r="O962" s="663" t="str">
        <f t="shared" si="99"/>
        <v>0</v>
      </c>
      <c r="P962" s="686">
        <f t="shared" si="100"/>
        <v>1</v>
      </c>
      <c r="Q962" s="686">
        <f t="shared" si="101"/>
        <v>1</v>
      </c>
      <c r="DE962" s="494"/>
      <c r="DF962" s="496" t="s">
        <v>2976</v>
      </c>
      <c r="DG962" s="496" t="s">
        <v>8</v>
      </c>
      <c r="DH962" s="496" t="s">
        <v>689</v>
      </c>
      <c r="DI962" s="496" t="s">
        <v>2977</v>
      </c>
      <c r="DJ962" s="496" t="s">
        <v>2977</v>
      </c>
      <c r="DK962" s="496" t="s">
        <v>1554</v>
      </c>
      <c r="DL962" s="496" t="s">
        <v>1555</v>
      </c>
      <c r="DM962" s="496" t="s">
        <v>1981</v>
      </c>
      <c r="DN962" s="497" t="s">
        <v>1982</v>
      </c>
      <c r="DP962" s="543">
        <v>1</v>
      </c>
    </row>
    <row r="963" spans="2:120" ht="15">
      <c r="B963" s="683"/>
      <c r="C963" s="683"/>
      <c r="D963" s="683"/>
      <c r="E963" s="683" cm="1">
        <f t="array" ref="E963">IF(H962&lt;&gt;"",E962,IF(E962="","",IFERROR(MATCH(TRUE(),INDEX(INDEX(K:K,E962+1):K203&lt;&gt;"",0),0)+E962,"")))</f>
        <v>1104</v>
      </c>
      <c r="F963" s="684" cm="1">
        <f t="array" ref="F963">IF(E963="","",IF(H962&lt;&gt;"",H962,INDEX(D:D,E963)))</f>
        <v>0</v>
      </c>
      <c r="G963" s="684" t="str">
        <f t="shared" si="96"/>
        <v>0</v>
      </c>
      <c r="H963" s="685" t="str">
        <f t="shared" si="97"/>
        <v/>
      </c>
      <c r="I963" s="683" t="str">
        <f>IF(AND(F963&lt;&gt;"",N10&gt;0,M963&gt;N10),"Mot &gt; limite","")</f>
        <v/>
      </c>
      <c r="M963" s="638">
        <f>IF(OR(F963="",N10="",N10&lt;=0),"",IF(LEN(F963)&lt;=N10,LEN(F963),IFERROR(FIND("♦",SUBSTITUTE(LEFT(F963,N10)," ","♦",LEN(LEFT(F963,N10))-LEN(SUBSTITUTE(LEFT(F963,N10)," ","")))),FIND(" ",F963&amp;" ",N10+1)-1)))</f>
        <v>1</v>
      </c>
      <c r="N963" s="686">
        <f t="shared" si="98"/>
        <v>946</v>
      </c>
      <c r="O963" s="663" t="str">
        <f t="shared" si="99"/>
        <v>0</v>
      </c>
      <c r="P963" s="686">
        <f t="shared" si="100"/>
        <v>1</v>
      </c>
      <c r="Q963" s="686">
        <f t="shared" si="101"/>
        <v>1</v>
      </c>
      <c r="DE963" s="494"/>
      <c r="DF963" s="496" t="s">
        <v>2978</v>
      </c>
      <c r="DG963" s="496" t="s">
        <v>8</v>
      </c>
      <c r="DH963" s="496" t="s">
        <v>689</v>
      </c>
      <c r="DI963" s="496" t="s">
        <v>2979</v>
      </c>
      <c r="DJ963" s="496" t="s">
        <v>2979</v>
      </c>
      <c r="DK963" s="496" t="s">
        <v>1554</v>
      </c>
      <c r="DL963" s="496" t="s">
        <v>1555</v>
      </c>
      <c r="DM963" s="496" t="s">
        <v>1981</v>
      </c>
      <c r="DN963" s="497" t="s">
        <v>1982</v>
      </c>
      <c r="DP963" s="543">
        <v>1</v>
      </c>
    </row>
    <row r="964" spans="2:120" ht="15">
      <c r="B964" s="683"/>
      <c r="C964" s="683"/>
      <c r="D964" s="683"/>
      <c r="E964" s="683" cm="1">
        <f t="array" ref="E964">IF(H963&lt;&gt;"",E963,IF(E963="","",IFERROR(MATCH(TRUE(),INDEX(INDEX(K:K,E963+1):K203&lt;&gt;"",0),0)+E963,"")))</f>
        <v>1105</v>
      </c>
      <c r="F964" s="684" cm="1">
        <f t="array" ref="F964">IF(E964="","",IF(H963&lt;&gt;"",H963,INDEX(D:D,E964)))</f>
        <v>0</v>
      </c>
      <c r="G964" s="684" t="str">
        <f t="shared" si="96"/>
        <v>0</v>
      </c>
      <c r="H964" s="685" t="str">
        <f t="shared" si="97"/>
        <v/>
      </c>
      <c r="I964" s="683" t="str">
        <f>IF(AND(F964&lt;&gt;"",N10&gt;0,M964&gt;N10),"Mot &gt; limite","")</f>
        <v/>
      </c>
      <c r="M964" s="638">
        <f>IF(OR(F964="",N10="",N10&lt;=0),"",IF(LEN(F964)&lt;=N10,LEN(F964),IFERROR(FIND("♦",SUBSTITUTE(LEFT(F964,N10)," ","♦",LEN(LEFT(F964,N10))-LEN(SUBSTITUTE(LEFT(F964,N10)," ","")))),FIND(" ",F964&amp;" ",N10+1)-1)))</f>
        <v>1</v>
      </c>
      <c r="N964" s="686">
        <f t="shared" si="98"/>
        <v>947</v>
      </c>
      <c r="O964" s="663" t="str">
        <f t="shared" si="99"/>
        <v>0</v>
      </c>
      <c r="P964" s="686">
        <f t="shared" si="100"/>
        <v>1</v>
      </c>
      <c r="Q964" s="686">
        <f t="shared" si="101"/>
        <v>1</v>
      </c>
      <c r="DE964" s="494"/>
      <c r="DF964" s="496" t="s">
        <v>2980</v>
      </c>
      <c r="DG964" s="496" t="s">
        <v>8</v>
      </c>
      <c r="DH964" s="496" t="s">
        <v>689</v>
      </c>
      <c r="DI964" s="496" t="s">
        <v>2981</v>
      </c>
      <c r="DJ964" s="496" t="s">
        <v>2981</v>
      </c>
      <c r="DK964" s="496" t="s">
        <v>1554</v>
      </c>
      <c r="DL964" s="496" t="s">
        <v>1555</v>
      </c>
      <c r="DM964" s="496" t="s">
        <v>1981</v>
      </c>
      <c r="DN964" s="497" t="s">
        <v>1982</v>
      </c>
      <c r="DP964" s="543">
        <v>1</v>
      </c>
    </row>
    <row r="965" spans="2:120" ht="15">
      <c r="B965" s="683"/>
      <c r="C965" s="683"/>
      <c r="D965" s="683"/>
      <c r="E965" s="683" cm="1">
        <f t="array" ref="E965">IF(H964&lt;&gt;"",E964,IF(E964="","",IFERROR(MATCH(TRUE(),INDEX(INDEX(K:K,E964+1):K203&lt;&gt;"",0),0)+E964,"")))</f>
        <v>1106</v>
      </c>
      <c r="F965" s="684" cm="1">
        <f t="array" ref="F965">IF(E965="","",IF(H964&lt;&gt;"",H964,INDEX(D:D,E965)))</f>
        <v>0</v>
      </c>
      <c r="G965" s="684" t="str">
        <f t="shared" si="96"/>
        <v>0</v>
      </c>
      <c r="H965" s="685" t="str">
        <f t="shared" si="97"/>
        <v/>
      </c>
      <c r="I965" s="683" t="str">
        <f>IF(AND(F965&lt;&gt;"",N10&gt;0,M965&gt;N10),"Mot &gt; limite","")</f>
        <v/>
      </c>
      <c r="M965" s="638">
        <f>IF(OR(F965="",N10="",N10&lt;=0),"",IF(LEN(F965)&lt;=N10,LEN(F965),IFERROR(FIND("♦",SUBSTITUTE(LEFT(F965,N10)," ","♦",LEN(LEFT(F965,N10))-LEN(SUBSTITUTE(LEFT(F965,N10)," ","")))),FIND(" ",F965&amp;" ",N10+1)-1)))</f>
        <v>1</v>
      </c>
      <c r="N965" s="686">
        <f t="shared" si="98"/>
        <v>948</v>
      </c>
      <c r="O965" s="663" t="str">
        <f t="shared" si="99"/>
        <v>0</v>
      </c>
      <c r="P965" s="686">
        <f t="shared" si="100"/>
        <v>1</v>
      </c>
      <c r="Q965" s="686">
        <f t="shared" si="101"/>
        <v>1</v>
      </c>
      <c r="DE965" s="494"/>
      <c r="DF965" s="496" t="s">
        <v>2982</v>
      </c>
      <c r="DG965" s="496" t="s">
        <v>8</v>
      </c>
      <c r="DH965" s="496" t="s">
        <v>689</v>
      </c>
      <c r="DI965" s="496" t="s">
        <v>2983</v>
      </c>
      <c r="DJ965" s="496" t="s">
        <v>2983</v>
      </c>
      <c r="DK965" s="496" t="s">
        <v>1554</v>
      </c>
      <c r="DL965" s="496" t="s">
        <v>1555</v>
      </c>
      <c r="DM965" s="496" t="s">
        <v>1981</v>
      </c>
      <c r="DN965" s="497" t="s">
        <v>1982</v>
      </c>
      <c r="DP965" s="543">
        <v>1</v>
      </c>
    </row>
    <row r="966" spans="2:120" ht="15">
      <c r="B966" s="683"/>
      <c r="C966" s="683"/>
      <c r="D966" s="683"/>
      <c r="E966" s="683" cm="1">
        <f t="array" ref="E966">IF(H965&lt;&gt;"",E965,IF(E965="","",IFERROR(MATCH(TRUE(),INDEX(INDEX(K:K,E965+1):K203&lt;&gt;"",0),0)+E965,"")))</f>
        <v>1107</v>
      </c>
      <c r="F966" s="684" cm="1">
        <f t="array" ref="F966">IF(E966="","",IF(H965&lt;&gt;"",H965,INDEX(D:D,E966)))</f>
        <v>0</v>
      </c>
      <c r="G966" s="684" t="str">
        <f t="shared" si="96"/>
        <v>0</v>
      </c>
      <c r="H966" s="685" t="str">
        <f t="shared" si="97"/>
        <v/>
      </c>
      <c r="I966" s="683" t="str">
        <f>IF(AND(F966&lt;&gt;"",N10&gt;0,M966&gt;N10),"Mot &gt; limite","")</f>
        <v/>
      </c>
      <c r="M966" s="638">
        <f>IF(OR(F966="",N10="",N10&lt;=0),"",IF(LEN(F966)&lt;=N10,LEN(F966),IFERROR(FIND("♦",SUBSTITUTE(LEFT(F966,N10)," ","♦",LEN(LEFT(F966,N10))-LEN(SUBSTITUTE(LEFT(F966,N10)," ","")))),FIND(" ",F966&amp;" ",N10+1)-1)))</f>
        <v>1</v>
      </c>
      <c r="N966" s="686">
        <f t="shared" si="98"/>
        <v>949</v>
      </c>
      <c r="O966" s="663" t="str">
        <f t="shared" si="99"/>
        <v>0</v>
      </c>
      <c r="P966" s="686">
        <f t="shared" si="100"/>
        <v>1</v>
      </c>
      <c r="Q966" s="686">
        <f t="shared" si="101"/>
        <v>1</v>
      </c>
      <c r="DE966" s="494"/>
      <c r="DF966" s="496" t="s">
        <v>2984</v>
      </c>
      <c r="DG966" s="496" t="s">
        <v>8</v>
      </c>
      <c r="DH966" s="496" t="s">
        <v>689</v>
      </c>
      <c r="DI966" s="496" t="s">
        <v>2985</v>
      </c>
      <c r="DJ966" s="496" t="s">
        <v>2985</v>
      </c>
      <c r="DK966" s="496" t="s">
        <v>1554</v>
      </c>
      <c r="DL966" s="496" t="s">
        <v>1555</v>
      </c>
      <c r="DM966" s="496" t="s">
        <v>1981</v>
      </c>
      <c r="DN966" s="497" t="s">
        <v>1982</v>
      </c>
      <c r="DP966" s="543">
        <v>1</v>
      </c>
    </row>
    <row r="967" spans="2:120" ht="15">
      <c r="B967" s="683"/>
      <c r="C967" s="683"/>
      <c r="D967" s="683"/>
      <c r="E967" s="683" cm="1">
        <f t="array" ref="E967">IF(H966&lt;&gt;"",E966,IF(E966="","",IFERROR(MATCH(TRUE(),INDEX(INDEX(K:K,E966+1):K203&lt;&gt;"",0),0)+E966,"")))</f>
        <v>1108</v>
      </c>
      <c r="F967" s="684" cm="1">
        <f t="array" ref="F967">IF(E967="","",IF(H966&lt;&gt;"",H966,INDEX(D:D,E967)))</f>
        <v>0</v>
      </c>
      <c r="G967" s="684" t="str">
        <f t="shared" si="96"/>
        <v>0</v>
      </c>
      <c r="H967" s="685" t="str">
        <f t="shared" si="97"/>
        <v/>
      </c>
      <c r="I967" s="683" t="str">
        <f>IF(AND(F967&lt;&gt;"",N10&gt;0,M967&gt;N10),"Mot &gt; limite","")</f>
        <v/>
      </c>
      <c r="M967" s="638">
        <f>IF(OR(F967="",N10="",N10&lt;=0),"",IF(LEN(F967)&lt;=N10,LEN(F967),IFERROR(FIND("♦",SUBSTITUTE(LEFT(F967,N10)," ","♦",LEN(LEFT(F967,N10))-LEN(SUBSTITUTE(LEFT(F967,N10)," ","")))),FIND(" ",F967&amp;" ",N10+1)-1)))</f>
        <v>1</v>
      </c>
      <c r="N967" s="686">
        <f t="shared" si="98"/>
        <v>950</v>
      </c>
      <c r="O967" s="663" t="str">
        <f t="shared" si="99"/>
        <v>0</v>
      </c>
      <c r="P967" s="686">
        <f t="shared" si="100"/>
        <v>1</v>
      </c>
      <c r="Q967" s="686">
        <f t="shared" si="101"/>
        <v>1</v>
      </c>
      <c r="DE967" s="494"/>
      <c r="DF967" s="496" t="s">
        <v>2986</v>
      </c>
      <c r="DG967" s="496" t="s">
        <v>8</v>
      </c>
      <c r="DH967" s="496" t="s">
        <v>689</v>
      </c>
      <c r="DI967" s="496" t="s">
        <v>2987</v>
      </c>
      <c r="DJ967" s="496" t="s">
        <v>2987</v>
      </c>
      <c r="DK967" s="496" t="s">
        <v>1554</v>
      </c>
      <c r="DL967" s="496" t="s">
        <v>1555</v>
      </c>
      <c r="DM967" s="496" t="s">
        <v>1981</v>
      </c>
      <c r="DN967" s="497" t="s">
        <v>1982</v>
      </c>
      <c r="DP967" s="543">
        <v>1</v>
      </c>
    </row>
    <row r="968" spans="2:120" ht="15">
      <c r="B968" s="683"/>
      <c r="C968" s="683"/>
      <c r="D968" s="683"/>
      <c r="E968" s="683" cm="1">
        <f t="array" ref="E968">IF(H967&lt;&gt;"",E967,IF(E967="","",IFERROR(MATCH(TRUE(),INDEX(INDEX(K:K,E967+1):K203&lt;&gt;"",0),0)+E967,"")))</f>
        <v>1109</v>
      </c>
      <c r="F968" s="684" cm="1">
        <f t="array" ref="F968">IF(E968="","",IF(H967&lt;&gt;"",H967,INDEX(D:D,E968)))</f>
        <v>0</v>
      </c>
      <c r="G968" s="684" t="str">
        <f t="shared" si="96"/>
        <v>0</v>
      </c>
      <c r="H968" s="685" t="str">
        <f t="shared" si="97"/>
        <v/>
      </c>
      <c r="I968" s="683" t="str">
        <f>IF(AND(F968&lt;&gt;"",N10&gt;0,M968&gt;N10),"Mot &gt; limite","")</f>
        <v/>
      </c>
      <c r="M968" s="638">
        <f>IF(OR(F968="",N10="",N10&lt;=0),"",IF(LEN(F968)&lt;=N10,LEN(F968),IFERROR(FIND("♦",SUBSTITUTE(LEFT(F968,N10)," ","♦",LEN(LEFT(F968,N10))-LEN(SUBSTITUTE(LEFT(F968,N10)," ","")))),FIND(" ",F968&amp;" ",N10+1)-1)))</f>
        <v>1</v>
      </c>
      <c r="N968" s="686">
        <f t="shared" si="98"/>
        <v>951</v>
      </c>
      <c r="O968" s="663" t="str">
        <f t="shared" si="99"/>
        <v>0</v>
      </c>
      <c r="P968" s="686">
        <f t="shared" si="100"/>
        <v>1</v>
      </c>
      <c r="Q968" s="686">
        <f t="shared" si="101"/>
        <v>1</v>
      </c>
      <c r="DE968" s="494"/>
      <c r="DF968" s="496" t="s">
        <v>2988</v>
      </c>
      <c r="DG968" s="496" t="s">
        <v>8</v>
      </c>
      <c r="DH968" s="496" t="s">
        <v>689</v>
      </c>
      <c r="DI968" s="496" t="s">
        <v>2989</v>
      </c>
      <c r="DJ968" s="496" t="s">
        <v>2989</v>
      </c>
      <c r="DK968" s="496" t="s">
        <v>1554</v>
      </c>
      <c r="DL968" s="496" t="s">
        <v>1555</v>
      </c>
      <c r="DM968" s="496" t="s">
        <v>1981</v>
      </c>
      <c r="DN968" s="497" t="s">
        <v>1982</v>
      </c>
      <c r="DP968" s="543">
        <v>1</v>
      </c>
    </row>
    <row r="969" spans="2:120" ht="15">
      <c r="B969" s="683"/>
      <c r="C969" s="683"/>
      <c r="D969" s="683"/>
      <c r="E969" s="683" cm="1">
        <f t="array" ref="E969">IF(H968&lt;&gt;"",E968,IF(E968="","",IFERROR(MATCH(TRUE(),INDEX(INDEX(K:K,E968+1):K203&lt;&gt;"",0),0)+E968,"")))</f>
        <v>1110</v>
      </c>
      <c r="F969" s="684" cm="1">
        <f t="array" ref="F969">IF(E969="","",IF(H968&lt;&gt;"",H968,INDEX(D:D,E969)))</f>
        <v>0</v>
      </c>
      <c r="G969" s="684" t="str">
        <f t="shared" si="96"/>
        <v>0</v>
      </c>
      <c r="H969" s="685" t="str">
        <f t="shared" si="97"/>
        <v/>
      </c>
      <c r="I969" s="683" t="str">
        <f>IF(AND(F969&lt;&gt;"",N10&gt;0,M969&gt;N10),"Mot &gt; limite","")</f>
        <v/>
      </c>
      <c r="M969" s="638">
        <f>IF(OR(F969="",N10="",N10&lt;=0),"",IF(LEN(F969)&lt;=N10,LEN(F969),IFERROR(FIND("♦",SUBSTITUTE(LEFT(F969,N10)," ","♦",LEN(LEFT(F969,N10))-LEN(SUBSTITUTE(LEFT(F969,N10)," ","")))),FIND(" ",F969&amp;" ",N10+1)-1)))</f>
        <v>1</v>
      </c>
      <c r="N969" s="686">
        <f t="shared" si="98"/>
        <v>952</v>
      </c>
      <c r="O969" s="663" t="str">
        <f t="shared" si="99"/>
        <v>0</v>
      </c>
      <c r="P969" s="686">
        <f t="shared" si="100"/>
        <v>1</v>
      </c>
      <c r="Q969" s="686">
        <f t="shared" si="101"/>
        <v>1</v>
      </c>
      <c r="DE969" s="494"/>
      <c r="DF969" s="496" t="s">
        <v>2990</v>
      </c>
      <c r="DG969" s="496" t="s">
        <v>8</v>
      </c>
      <c r="DH969" s="496" t="s">
        <v>689</v>
      </c>
      <c r="DI969" s="496" t="s">
        <v>2991</v>
      </c>
      <c r="DJ969" s="496" t="s">
        <v>2991</v>
      </c>
      <c r="DK969" s="496" t="s">
        <v>1554</v>
      </c>
      <c r="DL969" s="496" t="s">
        <v>1555</v>
      </c>
      <c r="DM969" s="496" t="s">
        <v>1981</v>
      </c>
      <c r="DN969" s="497" t="s">
        <v>1982</v>
      </c>
      <c r="DP969" s="543">
        <v>1</v>
      </c>
    </row>
    <row r="970" spans="2:120" ht="15">
      <c r="B970" s="683"/>
      <c r="C970" s="683"/>
      <c r="D970" s="683"/>
      <c r="E970" s="683" cm="1">
        <f t="array" ref="E970">IF(H969&lt;&gt;"",E969,IF(E969="","",IFERROR(MATCH(TRUE(),INDEX(INDEX(K:K,E969+1):K203&lt;&gt;"",0),0)+E969,"")))</f>
        <v>1111</v>
      </c>
      <c r="F970" s="684" cm="1">
        <f t="array" ref="F970">IF(E970="","",IF(H969&lt;&gt;"",H969,INDEX(D:D,E970)))</f>
        <v>0</v>
      </c>
      <c r="G970" s="684" t="str">
        <f t="shared" si="96"/>
        <v>0</v>
      </c>
      <c r="H970" s="685" t="str">
        <f t="shared" si="97"/>
        <v/>
      </c>
      <c r="I970" s="683" t="str">
        <f>IF(AND(F970&lt;&gt;"",N10&gt;0,M970&gt;N10),"Mot &gt; limite","")</f>
        <v/>
      </c>
      <c r="M970" s="638">
        <f>IF(OR(F970="",N10="",N10&lt;=0),"",IF(LEN(F970)&lt;=N10,LEN(F970),IFERROR(FIND("♦",SUBSTITUTE(LEFT(F970,N10)," ","♦",LEN(LEFT(F970,N10))-LEN(SUBSTITUTE(LEFT(F970,N10)," ","")))),FIND(" ",F970&amp;" ",N10+1)-1)))</f>
        <v>1</v>
      </c>
      <c r="N970" s="686">
        <f t="shared" si="98"/>
        <v>953</v>
      </c>
      <c r="O970" s="663" t="str">
        <f t="shared" si="99"/>
        <v>0</v>
      </c>
      <c r="P970" s="686">
        <f t="shared" si="100"/>
        <v>1</v>
      </c>
      <c r="Q970" s="686">
        <f t="shared" si="101"/>
        <v>1</v>
      </c>
      <c r="DE970" s="494"/>
      <c r="DF970" s="496" t="s">
        <v>2992</v>
      </c>
      <c r="DG970" s="496" t="s">
        <v>8</v>
      </c>
      <c r="DH970" s="496" t="s">
        <v>689</v>
      </c>
      <c r="DI970" s="496" t="s">
        <v>2993</v>
      </c>
      <c r="DJ970" s="496" t="s">
        <v>2993</v>
      </c>
      <c r="DK970" s="496" t="s">
        <v>1554</v>
      </c>
      <c r="DL970" s="496" t="s">
        <v>1555</v>
      </c>
      <c r="DM970" s="496" t="s">
        <v>1981</v>
      </c>
      <c r="DN970" s="497" t="s">
        <v>1982</v>
      </c>
      <c r="DP970" s="543">
        <v>1</v>
      </c>
    </row>
    <row r="971" spans="2:120" ht="15">
      <c r="B971" s="683"/>
      <c r="C971" s="683"/>
      <c r="D971" s="683"/>
      <c r="E971" s="683" cm="1">
        <f t="array" ref="E971">IF(H970&lt;&gt;"",E970,IF(E970="","",IFERROR(MATCH(TRUE(),INDEX(INDEX(K:K,E970+1):K203&lt;&gt;"",0),0)+E970,"")))</f>
        <v>1112</v>
      </c>
      <c r="F971" s="684" cm="1">
        <f t="array" ref="F971">IF(E971="","",IF(H970&lt;&gt;"",H970,INDEX(D:D,E971)))</f>
        <v>0</v>
      </c>
      <c r="G971" s="684" t="str">
        <f t="shared" si="96"/>
        <v>0</v>
      </c>
      <c r="H971" s="685" t="str">
        <f t="shared" si="97"/>
        <v/>
      </c>
      <c r="I971" s="683" t="str">
        <f>IF(AND(F971&lt;&gt;"",N10&gt;0,M971&gt;N10),"Mot &gt; limite","")</f>
        <v/>
      </c>
      <c r="M971" s="638">
        <f>IF(OR(F971="",N10="",N10&lt;=0),"",IF(LEN(F971)&lt;=N10,LEN(F971),IFERROR(FIND("♦",SUBSTITUTE(LEFT(F971,N10)," ","♦",LEN(LEFT(F971,N10))-LEN(SUBSTITUTE(LEFT(F971,N10)," ","")))),FIND(" ",F971&amp;" ",N10+1)-1)))</f>
        <v>1</v>
      </c>
      <c r="N971" s="686">
        <f t="shared" si="98"/>
        <v>954</v>
      </c>
      <c r="O971" s="663" t="str">
        <f t="shared" si="99"/>
        <v>0</v>
      </c>
      <c r="P971" s="686">
        <f t="shared" si="100"/>
        <v>1</v>
      </c>
      <c r="Q971" s="686">
        <f t="shared" si="101"/>
        <v>1</v>
      </c>
      <c r="DE971" s="494"/>
      <c r="DF971" s="496" t="s">
        <v>2994</v>
      </c>
      <c r="DG971" s="496" t="s">
        <v>8</v>
      </c>
      <c r="DH971" s="496" t="s">
        <v>689</v>
      </c>
      <c r="DI971" s="496" t="s">
        <v>2995</v>
      </c>
      <c r="DJ971" s="496" t="s">
        <v>2995</v>
      </c>
      <c r="DK971" s="496" t="s">
        <v>1554</v>
      </c>
      <c r="DL971" s="496" t="s">
        <v>1555</v>
      </c>
      <c r="DM971" s="496" t="s">
        <v>1981</v>
      </c>
      <c r="DN971" s="497" t="s">
        <v>1982</v>
      </c>
      <c r="DP971" s="543">
        <v>1</v>
      </c>
    </row>
    <row r="972" spans="2:120" ht="15">
      <c r="B972" s="683"/>
      <c r="C972" s="683"/>
      <c r="D972" s="683"/>
      <c r="E972" s="683" cm="1">
        <f t="array" ref="E972">IF(H971&lt;&gt;"",E971,IF(E971="","",IFERROR(MATCH(TRUE(),INDEX(INDEX(K:K,E971+1):K203&lt;&gt;"",0),0)+E971,"")))</f>
        <v>1113</v>
      </c>
      <c r="F972" s="684" cm="1">
        <f t="array" ref="F972">IF(E972="","",IF(H971&lt;&gt;"",H971,INDEX(D:D,E972)))</f>
        <v>0</v>
      </c>
      <c r="G972" s="684" t="str">
        <f t="shared" si="96"/>
        <v>0</v>
      </c>
      <c r="H972" s="685" t="str">
        <f t="shared" si="97"/>
        <v/>
      </c>
      <c r="I972" s="683" t="str">
        <f>IF(AND(F972&lt;&gt;"",N10&gt;0,M972&gt;N10),"Mot &gt; limite","")</f>
        <v/>
      </c>
      <c r="M972" s="638">
        <f>IF(OR(F972="",N10="",N10&lt;=0),"",IF(LEN(F972)&lt;=N10,LEN(F972),IFERROR(FIND("♦",SUBSTITUTE(LEFT(F972,N10)," ","♦",LEN(LEFT(F972,N10))-LEN(SUBSTITUTE(LEFT(F972,N10)," ","")))),FIND(" ",F972&amp;" ",N10+1)-1)))</f>
        <v>1</v>
      </c>
      <c r="N972" s="686">
        <f t="shared" si="98"/>
        <v>955</v>
      </c>
      <c r="O972" s="663" t="str">
        <f t="shared" si="99"/>
        <v>0</v>
      </c>
      <c r="P972" s="686">
        <f t="shared" si="100"/>
        <v>1</v>
      </c>
      <c r="Q972" s="686">
        <f t="shared" si="101"/>
        <v>1</v>
      </c>
      <c r="DE972" s="494"/>
      <c r="DF972" s="496" t="s">
        <v>2996</v>
      </c>
      <c r="DG972" s="496" t="s">
        <v>8</v>
      </c>
      <c r="DH972" s="496" t="s">
        <v>689</v>
      </c>
      <c r="DI972" s="496" t="s">
        <v>2997</v>
      </c>
      <c r="DJ972" s="496" t="s">
        <v>2997</v>
      </c>
      <c r="DK972" s="496" t="s">
        <v>1554</v>
      </c>
      <c r="DL972" s="496" t="s">
        <v>1555</v>
      </c>
      <c r="DM972" s="496" t="s">
        <v>1981</v>
      </c>
      <c r="DN972" s="497" t="s">
        <v>1982</v>
      </c>
      <c r="DP972" s="543">
        <v>1</v>
      </c>
    </row>
    <row r="973" spans="2:120" ht="15">
      <c r="B973" s="683"/>
      <c r="C973" s="683"/>
      <c r="D973" s="683"/>
      <c r="E973" s="683" cm="1">
        <f t="array" ref="E973">IF(H972&lt;&gt;"",E972,IF(E972="","",IFERROR(MATCH(TRUE(),INDEX(INDEX(K:K,E972+1):K203&lt;&gt;"",0),0)+E972,"")))</f>
        <v>1114</v>
      </c>
      <c r="F973" s="684" cm="1">
        <f t="array" ref="F973">IF(E973="","",IF(H972&lt;&gt;"",H972,INDEX(D:D,E973)))</f>
        <v>0</v>
      </c>
      <c r="G973" s="684" t="str">
        <f t="shared" si="96"/>
        <v>0</v>
      </c>
      <c r="H973" s="685" t="str">
        <f t="shared" si="97"/>
        <v/>
      </c>
      <c r="I973" s="683" t="str">
        <f>IF(AND(F973&lt;&gt;"",N10&gt;0,M973&gt;N10),"Mot &gt; limite","")</f>
        <v/>
      </c>
      <c r="M973" s="638">
        <f>IF(OR(F973="",N10="",N10&lt;=0),"",IF(LEN(F973)&lt;=N10,LEN(F973),IFERROR(FIND("♦",SUBSTITUTE(LEFT(F973,N10)," ","♦",LEN(LEFT(F973,N10))-LEN(SUBSTITUTE(LEFT(F973,N10)," ","")))),FIND(" ",F973&amp;" ",N10+1)-1)))</f>
        <v>1</v>
      </c>
      <c r="N973" s="686">
        <f t="shared" si="98"/>
        <v>956</v>
      </c>
      <c r="O973" s="663" t="str">
        <f t="shared" si="99"/>
        <v>0</v>
      </c>
      <c r="P973" s="686">
        <f t="shared" si="100"/>
        <v>1</v>
      </c>
      <c r="Q973" s="686">
        <f t="shared" si="101"/>
        <v>1</v>
      </c>
      <c r="DE973" s="494"/>
      <c r="DF973" s="496" t="s">
        <v>2998</v>
      </c>
      <c r="DG973" s="496" t="s">
        <v>8</v>
      </c>
      <c r="DH973" s="496" t="s">
        <v>689</v>
      </c>
      <c r="DI973" s="496" t="s">
        <v>2999</v>
      </c>
      <c r="DJ973" s="496" t="s">
        <v>2999</v>
      </c>
      <c r="DK973" s="496" t="s">
        <v>1554</v>
      </c>
      <c r="DL973" s="496" t="s">
        <v>1555</v>
      </c>
      <c r="DM973" s="496" t="s">
        <v>1981</v>
      </c>
      <c r="DN973" s="497" t="s">
        <v>1982</v>
      </c>
      <c r="DP973" s="543">
        <v>1</v>
      </c>
    </row>
    <row r="974" spans="2:120" ht="15">
      <c r="B974" s="683"/>
      <c r="C974" s="683"/>
      <c r="D974" s="683"/>
      <c r="E974" s="683" cm="1">
        <f t="array" ref="E974">IF(H973&lt;&gt;"",E973,IF(E973="","",IFERROR(MATCH(TRUE(),INDEX(INDEX(K:K,E973+1):K203&lt;&gt;"",0),0)+E973,"")))</f>
        <v>1115</v>
      </c>
      <c r="F974" s="684" cm="1">
        <f t="array" ref="F974">IF(E974="","",IF(H973&lt;&gt;"",H973,INDEX(D:D,E974)))</f>
        <v>0</v>
      </c>
      <c r="G974" s="684" t="str">
        <f t="shared" si="96"/>
        <v>0</v>
      </c>
      <c r="H974" s="685" t="str">
        <f t="shared" si="97"/>
        <v/>
      </c>
      <c r="I974" s="683" t="str">
        <f>IF(AND(F974&lt;&gt;"",N10&gt;0,M974&gt;N10),"Mot &gt; limite","")</f>
        <v/>
      </c>
      <c r="M974" s="638">
        <f>IF(OR(F974="",N10="",N10&lt;=0),"",IF(LEN(F974)&lt;=N10,LEN(F974),IFERROR(FIND("♦",SUBSTITUTE(LEFT(F974,N10)," ","♦",LEN(LEFT(F974,N10))-LEN(SUBSTITUTE(LEFT(F974,N10)," ","")))),FIND(" ",F974&amp;" ",N10+1)-1)))</f>
        <v>1</v>
      </c>
      <c r="N974" s="686">
        <f t="shared" si="98"/>
        <v>957</v>
      </c>
      <c r="O974" s="663" t="str">
        <f t="shared" si="99"/>
        <v>0</v>
      </c>
      <c r="P974" s="686">
        <f t="shared" si="100"/>
        <v>1</v>
      </c>
      <c r="Q974" s="686">
        <f t="shared" si="101"/>
        <v>1</v>
      </c>
      <c r="DE974" s="494"/>
      <c r="DF974" s="496" t="s">
        <v>3000</v>
      </c>
      <c r="DG974" s="496" t="s">
        <v>8</v>
      </c>
      <c r="DH974" s="496" t="s">
        <v>689</v>
      </c>
      <c r="DI974" s="496" t="s">
        <v>3001</v>
      </c>
      <c r="DJ974" s="496" t="s">
        <v>3001</v>
      </c>
      <c r="DK974" s="496" t="s">
        <v>1554</v>
      </c>
      <c r="DL974" s="496" t="s">
        <v>1555</v>
      </c>
      <c r="DM974" s="496" t="s">
        <v>1981</v>
      </c>
      <c r="DN974" s="497" t="s">
        <v>1982</v>
      </c>
      <c r="DP974" s="543">
        <v>1</v>
      </c>
    </row>
    <row r="975" spans="2:120" ht="15">
      <c r="B975" s="683"/>
      <c r="C975" s="683"/>
      <c r="D975" s="683"/>
      <c r="E975" s="683" cm="1">
        <f t="array" ref="E975">IF(H974&lt;&gt;"",E974,IF(E974="","",IFERROR(MATCH(TRUE(),INDEX(INDEX(K:K,E974+1):K203&lt;&gt;"",0),0)+E974,"")))</f>
        <v>1116</v>
      </c>
      <c r="F975" s="684" cm="1">
        <f t="array" ref="F975">IF(E975="","",IF(H974&lt;&gt;"",H974,INDEX(D:D,E975)))</f>
        <v>0</v>
      </c>
      <c r="G975" s="684" t="str">
        <f t="shared" si="96"/>
        <v>0</v>
      </c>
      <c r="H975" s="685" t="str">
        <f t="shared" si="97"/>
        <v/>
      </c>
      <c r="I975" s="683" t="str">
        <f>IF(AND(F975&lt;&gt;"",N10&gt;0,M975&gt;N10),"Mot &gt; limite","")</f>
        <v/>
      </c>
      <c r="M975" s="638">
        <f>IF(OR(F975="",N10="",N10&lt;=0),"",IF(LEN(F975)&lt;=N10,LEN(F975),IFERROR(FIND("♦",SUBSTITUTE(LEFT(F975,N10)," ","♦",LEN(LEFT(F975,N10))-LEN(SUBSTITUTE(LEFT(F975,N10)," ","")))),FIND(" ",F975&amp;" ",N10+1)-1)))</f>
        <v>1</v>
      </c>
      <c r="N975" s="686">
        <f t="shared" si="98"/>
        <v>958</v>
      </c>
      <c r="O975" s="663" t="str">
        <f t="shared" si="99"/>
        <v>0</v>
      </c>
      <c r="P975" s="686">
        <f t="shared" si="100"/>
        <v>1</v>
      </c>
      <c r="Q975" s="686">
        <f t="shared" si="101"/>
        <v>1</v>
      </c>
      <c r="DE975" s="494"/>
      <c r="DF975" s="496" t="s">
        <v>3002</v>
      </c>
      <c r="DG975" s="496" t="s">
        <v>8</v>
      </c>
      <c r="DH975" s="496" t="s">
        <v>689</v>
      </c>
      <c r="DI975" s="496" t="s">
        <v>3003</v>
      </c>
      <c r="DJ975" s="496" t="s">
        <v>3003</v>
      </c>
      <c r="DK975" s="496" t="s">
        <v>1554</v>
      </c>
      <c r="DL975" s="496" t="s">
        <v>1555</v>
      </c>
      <c r="DM975" s="496" t="s">
        <v>1981</v>
      </c>
      <c r="DN975" s="497" t="s">
        <v>1982</v>
      </c>
      <c r="DP975" s="543">
        <v>1</v>
      </c>
    </row>
    <row r="976" spans="2:120" ht="15">
      <c r="B976" s="683"/>
      <c r="C976" s="683"/>
      <c r="D976" s="683"/>
      <c r="E976" s="683" cm="1">
        <f t="array" ref="E976">IF(H975&lt;&gt;"",E975,IF(E975="","",IFERROR(MATCH(TRUE(),INDEX(INDEX(K:K,E975+1):K203&lt;&gt;"",0),0)+E975,"")))</f>
        <v>1117</v>
      </c>
      <c r="F976" s="684" cm="1">
        <f t="array" ref="F976">IF(E976="","",IF(H975&lt;&gt;"",H975,INDEX(D:D,E976)))</f>
        <v>0</v>
      </c>
      <c r="G976" s="684" t="str">
        <f t="shared" si="96"/>
        <v>0</v>
      </c>
      <c r="H976" s="685" t="str">
        <f t="shared" si="97"/>
        <v/>
      </c>
      <c r="I976" s="683" t="str">
        <f>IF(AND(F976&lt;&gt;"",N10&gt;0,M976&gt;N10),"Mot &gt; limite","")</f>
        <v/>
      </c>
      <c r="M976" s="638">
        <f>IF(OR(F976="",N10="",N10&lt;=0),"",IF(LEN(F976)&lt;=N10,LEN(F976),IFERROR(FIND("♦",SUBSTITUTE(LEFT(F976,N10)," ","♦",LEN(LEFT(F976,N10))-LEN(SUBSTITUTE(LEFT(F976,N10)," ","")))),FIND(" ",F976&amp;" ",N10+1)-1)))</f>
        <v>1</v>
      </c>
      <c r="N976" s="686">
        <f t="shared" si="98"/>
        <v>959</v>
      </c>
      <c r="O976" s="663" t="str">
        <f t="shared" si="99"/>
        <v>0</v>
      </c>
      <c r="P976" s="686">
        <f t="shared" si="100"/>
        <v>1</v>
      </c>
      <c r="Q976" s="686">
        <f t="shared" si="101"/>
        <v>1</v>
      </c>
      <c r="DE976" s="494"/>
      <c r="DF976" s="496" t="s">
        <v>3004</v>
      </c>
      <c r="DG976" s="496" t="s">
        <v>8</v>
      </c>
      <c r="DH976" s="496" t="s">
        <v>689</v>
      </c>
      <c r="DI976" s="496" t="s">
        <v>3005</v>
      </c>
      <c r="DJ976" s="496" t="s">
        <v>3005</v>
      </c>
      <c r="DK976" s="496" t="s">
        <v>1554</v>
      </c>
      <c r="DL976" s="496" t="s">
        <v>1555</v>
      </c>
      <c r="DM976" s="496" t="s">
        <v>1981</v>
      </c>
      <c r="DN976" s="497" t="s">
        <v>1982</v>
      </c>
      <c r="DP976" s="543">
        <v>1</v>
      </c>
    </row>
    <row r="977" spans="2:120" ht="15">
      <c r="B977" s="683"/>
      <c r="C977" s="683"/>
      <c r="D977" s="683"/>
      <c r="E977" s="683" cm="1">
        <f t="array" ref="E977">IF(H976&lt;&gt;"",E976,IF(E976="","",IFERROR(MATCH(TRUE(),INDEX(INDEX(K:K,E976+1):K203&lt;&gt;"",0),0)+E976,"")))</f>
        <v>1118</v>
      </c>
      <c r="F977" s="684" cm="1">
        <f t="array" ref="F977">IF(E977="","",IF(H976&lt;&gt;"",H976,INDEX(D:D,E977)))</f>
        <v>0</v>
      </c>
      <c r="G977" s="684" t="str">
        <f t="shared" si="96"/>
        <v>0</v>
      </c>
      <c r="H977" s="685" t="str">
        <f t="shared" si="97"/>
        <v/>
      </c>
      <c r="I977" s="683" t="str">
        <f>IF(AND(F977&lt;&gt;"",N10&gt;0,M977&gt;N10),"Mot &gt; limite","")</f>
        <v/>
      </c>
      <c r="M977" s="638">
        <f>IF(OR(F977="",N10="",N10&lt;=0),"",IF(LEN(F977)&lt;=N10,LEN(F977),IFERROR(FIND("♦",SUBSTITUTE(LEFT(F977,N10)," ","♦",LEN(LEFT(F977,N10))-LEN(SUBSTITUTE(LEFT(F977,N10)," ","")))),FIND(" ",F977&amp;" ",N10+1)-1)))</f>
        <v>1</v>
      </c>
      <c r="N977" s="686">
        <f t="shared" si="98"/>
        <v>960</v>
      </c>
      <c r="O977" s="663" t="str">
        <f t="shared" si="99"/>
        <v>0</v>
      </c>
      <c r="P977" s="686">
        <f t="shared" si="100"/>
        <v>1</v>
      </c>
      <c r="Q977" s="686">
        <f t="shared" si="101"/>
        <v>1</v>
      </c>
      <c r="DE977" s="494"/>
      <c r="DF977" s="496" t="s">
        <v>3006</v>
      </c>
      <c r="DG977" s="496" t="s">
        <v>8</v>
      </c>
      <c r="DH977" s="496" t="s">
        <v>689</v>
      </c>
      <c r="DI977" s="496" t="s">
        <v>3007</v>
      </c>
      <c r="DJ977" s="496" t="s">
        <v>3007</v>
      </c>
      <c r="DK977" s="496" t="s">
        <v>1554</v>
      </c>
      <c r="DL977" s="496" t="s">
        <v>1555</v>
      </c>
      <c r="DM977" s="496" t="s">
        <v>1981</v>
      </c>
      <c r="DN977" s="497" t="s">
        <v>1982</v>
      </c>
      <c r="DP977" s="543">
        <v>1</v>
      </c>
    </row>
    <row r="978" spans="2:120" ht="15">
      <c r="B978" s="683"/>
      <c r="C978" s="683"/>
      <c r="D978" s="683"/>
      <c r="E978" s="683" cm="1">
        <f t="array" ref="E978">IF(H977&lt;&gt;"",E977,IF(E977="","",IFERROR(MATCH(TRUE(),INDEX(INDEX(K:K,E977+1):K203&lt;&gt;"",0),0)+E977,"")))</f>
        <v>1119</v>
      </c>
      <c r="F978" s="684" cm="1">
        <f t="array" ref="F978">IF(E978="","",IF(H977&lt;&gt;"",H977,INDEX(D:D,E978)))</f>
        <v>0</v>
      </c>
      <c r="G978" s="684" t="str">
        <f t="shared" ref="G978:G1017" si="102">IF(OR(F978="",M978=""),"",LEFT(F978,M978))</f>
        <v>0</v>
      </c>
      <c r="H978" s="685" t="str">
        <f t="shared" ref="H978:H1017" si="103">IF(OR(F978="",M978=""),"",TRIM(MID(F978,M978+1,99999)))</f>
        <v/>
      </c>
      <c r="I978" s="683" t="str">
        <f>IF(AND(F978&lt;&gt;"",N10&gt;0,M978&gt;N10),"Mot &gt; limite","")</f>
        <v/>
      </c>
      <c r="M978" s="638">
        <f>IF(OR(F978="",N10="",N10&lt;=0),"",IF(LEN(F978)&lt;=N10,LEN(F978),IFERROR(FIND("♦",SUBSTITUTE(LEFT(F978,N10)," ","♦",LEN(LEFT(F978,N10))-LEN(SUBSTITUTE(LEFT(F978,N10)," ","")))),FIND(" ",F978&amp;" ",N10+1)-1)))</f>
        <v>1</v>
      </c>
      <c r="N978" s="686">
        <f t="shared" ref="N978:N1017" si="104">IF(O978="","",ROW()-17)</f>
        <v>961</v>
      </c>
      <c r="O978" s="663" t="str">
        <f t="shared" ref="O978:O1017" si="105">G978</f>
        <v>0</v>
      </c>
      <c r="P978" s="686">
        <f t="shared" ref="P978:P1017" si="106">IF(O978="","",LEN(TRIM(O978))-LEN(SUBSTITUTE(TRIM(O978)," ",""))+1)</f>
        <v>1</v>
      </c>
      <c r="Q978" s="686">
        <f t="shared" ref="Q978:Q1017" si="107">IF(O978="","",LEN(O978))</f>
        <v>1</v>
      </c>
      <c r="DE978" s="494"/>
      <c r="DF978" s="496" t="s">
        <v>3008</v>
      </c>
      <c r="DG978" s="496" t="s">
        <v>8</v>
      </c>
      <c r="DH978" s="496" t="s">
        <v>689</v>
      </c>
      <c r="DI978" s="496" t="s">
        <v>3009</v>
      </c>
      <c r="DJ978" s="496" t="s">
        <v>3009</v>
      </c>
      <c r="DK978" s="496" t="s">
        <v>1554</v>
      </c>
      <c r="DL978" s="496" t="s">
        <v>1555</v>
      </c>
      <c r="DM978" s="496" t="s">
        <v>1981</v>
      </c>
      <c r="DN978" s="497" t="s">
        <v>1982</v>
      </c>
      <c r="DP978" s="543">
        <v>1</v>
      </c>
    </row>
    <row r="979" spans="2:120" ht="15">
      <c r="B979" s="683"/>
      <c r="C979" s="683"/>
      <c r="D979" s="683"/>
      <c r="E979" s="683" cm="1">
        <f t="array" ref="E979">IF(H978&lt;&gt;"",E978,IF(E978="","",IFERROR(MATCH(TRUE(),INDEX(INDEX(K:K,E978+1):K203&lt;&gt;"",0),0)+E978,"")))</f>
        <v>1120</v>
      </c>
      <c r="F979" s="684" cm="1">
        <f t="array" ref="F979">IF(E979="","",IF(H978&lt;&gt;"",H978,INDEX(D:D,E979)))</f>
        <v>0</v>
      </c>
      <c r="G979" s="684" t="str">
        <f t="shared" si="102"/>
        <v>0</v>
      </c>
      <c r="H979" s="685" t="str">
        <f t="shared" si="103"/>
        <v/>
      </c>
      <c r="I979" s="683" t="str">
        <f>IF(AND(F979&lt;&gt;"",N10&gt;0,M979&gt;N10),"Mot &gt; limite","")</f>
        <v/>
      </c>
      <c r="M979" s="638">
        <f>IF(OR(F979="",N10="",N10&lt;=0),"",IF(LEN(F979)&lt;=N10,LEN(F979),IFERROR(FIND("♦",SUBSTITUTE(LEFT(F979,N10)," ","♦",LEN(LEFT(F979,N10))-LEN(SUBSTITUTE(LEFT(F979,N10)," ","")))),FIND(" ",F979&amp;" ",N10+1)-1)))</f>
        <v>1</v>
      </c>
      <c r="N979" s="686">
        <f t="shared" si="104"/>
        <v>962</v>
      </c>
      <c r="O979" s="663" t="str">
        <f t="shared" si="105"/>
        <v>0</v>
      </c>
      <c r="P979" s="686">
        <f t="shared" si="106"/>
        <v>1</v>
      </c>
      <c r="Q979" s="686">
        <f t="shared" si="107"/>
        <v>1</v>
      </c>
      <c r="DE979" s="494"/>
      <c r="DF979" s="496" t="s">
        <v>3010</v>
      </c>
      <c r="DG979" s="496" t="s">
        <v>8</v>
      </c>
      <c r="DH979" s="496" t="s">
        <v>689</v>
      </c>
      <c r="DI979" s="496" t="s">
        <v>3011</v>
      </c>
      <c r="DJ979" s="496" t="s">
        <v>3011</v>
      </c>
      <c r="DK979" s="496" t="s">
        <v>1554</v>
      </c>
      <c r="DL979" s="496" t="s">
        <v>1555</v>
      </c>
      <c r="DM979" s="496" t="s">
        <v>1981</v>
      </c>
      <c r="DN979" s="497" t="s">
        <v>1982</v>
      </c>
      <c r="DP979" s="543">
        <v>1</v>
      </c>
    </row>
    <row r="980" spans="2:120" ht="15">
      <c r="B980" s="683"/>
      <c r="C980" s="683"/>
      <c r="D980" s="683"/>
      <c r="E980" s="683" cm="1">
        <f t="array" ref="E980">IF(H979&lt;&gt;"",E979,IF(E979="","",IFERROR(MATCH(TRUE(),INDEX(INDEX(K:K,E979+1):K203&lt;&gt;"",0),0)+E979,"")))</f>
        <v>1121</v>
      </c>
      <c r="F980" s="684" cm="1">
        <f t="array" ref="F980">IF(E980="","",IF(H979&lt;&gt;"",H979,INDEX(D:D,E980)))</f>
        <v>0</v>
      </c>
      <c r="G980" s="684" t="str">
        <f t="shared" si="102"/>
        <v>0</v>
      </c>
      <c r="H980" s="685" t="str">
        <f t="shared" si="103"/>
        <v/>
      </c>
      <c r="I980" s="683" t="str">
        <f>IF(AND(F980&lt;&gt;"",N10&gt;0,M980&gt;N10),"Mot &gt; limite","")</f>
        <v/>
      </c>
      <c r="M980" s="638">
        <f>IF(OR(F980="",N10="",N10&lt;=0),"",IF(LEN(F980)&lt;=N10,LEN(F980),IFERROR(FIND("♦",SUBSTITUTE(LEFT(F980,N10)," ","♦",LEN(LEFT(F980,N10))-LEN(SUBSTITUTE(LEFT(F980,N10)," ","")))),FIND(" ",F980&amp;" ",N10+1)-1)))</f>
        <v>1</v>
      </c>
      <c r="N980" s="686">
        <f t="shared" si="104"/>
        <v>963</v>
      </c>
      <c r="O980" s="663" t="str">
        <f t="shared" si="105"/>
        <v>0</v>
      </c>
      <c r="P980" s="686">
        <f t="shared" si="106"/>
        <v>1</v>
      </c>
      <c r="Q980" s="686">
        <f t="shared" si="107"/>
        <v>1</v>
      </c>
      <c r="DE980" s="494"/>
      <c r="DF980" s="496" t="s">
        <v>3012</v>
      </c>
      <c r="DG980" s="496" t="s">
        <v>8</v>
      </c>
      <c r="DH980" s="496" t="s">
        <v>689</v>
      </c>
      <c r="DI980" s="496" t="s">
        <v>3013</v>
      </c>
      <c r="DJ980" s="496" t="s">
        <v>3013</v>
      </c>
      <c r="DK980" s="496" t="s">
        <v>1554</v>
      </c>
      <c r="DL980" s="496" t="s">
        <v>1555</v>
      </c>
      <c r="DM980" s="496" t="s">
        <v>1981</v>
      </c>
      <c r="DN980" s="497" t="s">
        <v>1982</v>
      </c>
      <c r="DP980" s="543">
        <v>1</v>
      </c>
    </row>
    <row r="981" spans="2:120" ht="15">
      <c r="B981" s="683"/>
      <c r="C981" s="683"/>
      <c r="D981" s="683"/>
      <c r="E981" s="683" cm="1">
        <f t="array" ref="E981">IF(H980&lt;&gt;"",E980,IF(E980="","",IFERROR(MATCH(TRUE(),INDEX(INDEX(K:K,E980+1):K203&lt;&gt;"",0),0)+E980,"")))</f>
        <v>1122</v>
      </c>
      <c r="F981" s="684" cm="1">
        <f t="array" ref="F981">IF(E981="","",IF(H980&lt;&gt;"",H980,INDEX(D:D,E981)))</f>
        <v>0</v>
      </c>
      <c r="G981" s="684" t="str">
        <f t="shared" si="102"/>
        <v>0</v>
      </c>
      <c r="H981" s="685" t="str">
        <f t="shared" si="103"/>
        <v/>
      </c>
      <c r="I981" s="683" t="str">
        <f>IF(AND(F981&lt;&gt;"",N10&gt;0,M981&gt;N10),"Mot &gt; limite","")</f>
        <v/>
      </c>
      <c r="M981" s="638">
        <f>IF(OR(F981="",N10="",N10&lt;=0),"",IF(LEN(F981)&lt;=N10,LEN(F981),IFERROR(FIND("♦",SUBSTITUTE(LEFT(F981,N10)," ","♦",LEN(LEFT(F981,N10))-LEN(SUBSTITUTE(LEFT(F981,N10)," ","")))),FIND(" ",F981&amp;" ",N10+1)-1)))</f>
        <v>1</v>
      </c>
      <c r="N981" s="686">
        <f t="shared" si="104"/>
        <v>964</v>
      </c>
      <c r="O981" s="663" t="str">
        <f t="shared" si="105"/>
        <v>0</v>
      </c>
      <c r="P981" s="686">
        <f t="shared" si="106"/>
        <v>1</v>
      </c>
      <c r="Q981" s="686">
        <f t="shared" si="107"/>
        <v>1</v>
      </c>
      <c r="DE981" s="494"/>
      <c r="DF981" s="496" t="s">
        <v>3014</v>
      </c>
      <c r="DG981" s="496" t="s">
        <v>8</v>
      </c>
      <c r="DH981" s="496" t="s">
        <v>689</v>
      </c>
      <c r="DI981" s="496" t="s">
        <v>3015</v>
      </c>
      <c r="DJ981" s="496" t="s">
        <v>3015</v>
      </c>
      <c r="DK981" s="496" t="s">
        <v>1554</v>
      </c>
      <c r="DL981" s="496" t="s">
        <v>1555</v>
      </c>
      <c r="DM981" s="496" t="s">
        <v>1981</v>
      </c>
      <c r="DN981" s="497" t="s">
        <v>1982</v>
      </c>
      <c r="DP981" s="543">
        <v>1</v>
      </c>
    </row>
    <row r="982" spans="2:120" ht="15">
      <c r="B982" s="683"/>
      <c r="C982" s="683"/>
      <c r="D982" s="683"/>
      <c r="E982" s="683" cm="1">
        <f t="array" ref="E982">IF(H981&lt;&gt;"",E981,IF(E981="","",IFERROR(MATCH(TRUE(),INDEX(INDEX(K:K,E981+1):K203&lt;&gt;"",0),0)+E981,"")))</f>
        <v>1123</v>
      </c>
      <c r="F982" s="684" cm="1">
        <f t="array" ref="F982">IF(E982="","",IF(H981&lt;&gt;"",H981,INDEX(D:D,E982)))</f>
        <v>0</v>
      </c>
      <c r="G982" s="684" t="str">
        <f t="shared" si="102"/>
        <v>0</v>
      </c>
      <c r="H982" s="685" t="str">
        <f t="shared" si="103"/>
        <v/>
      </c>
      <c r="I982" s="683" t="str">
        <f>IF(AND(F982&lt;&gt;"",N10&gt;0,M982&gt;N10),"Mot &gt; limite","")</f>
        <v/>
      </c>
      <c r="M982" s="638">
        <f>IF(OR(F982="",N10="",N10&lt;=0),"",IF(LEN(F982)&lt;=N10,LEN(F982),IFERROR(FIND("♦",SUBSTITUTE(LEFT(F982,N10)," ","♦",LEN(LEFT(F982,N10))-LEN(SUBSTITUTE(LEFT(F982,N10)," ","")))),FIND(" ",F982&amp;" ",N10+1)-1)))</f>
        <v>1</v>
      </c>
      <c r="N982" s="686">
        <f t="shared" si="104"/>
        <v>965</v>
      </c>
      <c r="O982" s="663" t="str">
        <f t="shared" si="105"/>
        <v>0</v>
      </c>
      <c r="P982" s="686">
        <f t="shared" si="106"/>
        <v>1</v>
      </c>
      <c r="Q982" s="686">
        <f t="shared" si="107"/>
        <v>1</v>
      </c>
      <c r="DE982" s="494"/>
      <c r="DF982" s="496" t="s">
        <v>3016</v>
      </c>
      <c r="DG982" s="496" t="s">
        <v>8</v>
      </c>
      <c r="DH982" s="496" t="s">
        <v>689</v>
      </c>
      <c r="DI982" s="496" t="s">
        <v>3017</v>
      </c>
      <c r="DJ982" s="496" t="s">
        <v>3017</v>
      </c>
      <c r="DK982" s="496" t="s">
        <v>1554</v>
      </c>
      <c r="DL982" s="496" t="s">
        <v>1555</v>
      </c>
      <c r="DM982" s="496" t="s">
        <v>1981</v>
      </c>
      <c r="DN982" s="497" t="s">
        <v>1982</v>
      </c>
      <c r="DP982" s="543">
        <v>1</v>
      </c>
    </row>
    <row r="983" spans="2:120" ht="15">
      <c r="B983" s="683"/>
      <c r="C983" s="683"/>
      <c r="D983" s="683"/>
      <c r="E983" s="683" cm="1">
        <f t="array" ref="E983">IF(H982&lt;&gt;"",E982,IF(E982="","",IFERROR(MATCH(TRUE(),INDEX(INDEX(K:K,E982+1):K203&lt;&gt;"",0),0)+E982,"")))</f>
        <v>1124</v>
      </c>
      <c r="F983" s="684" cm="1">
        <f t="array" ref="F983">IF(E983="","",IF(H982&lt;&gt;"",H982,INDEX(D:D,E983)))</f>
        <v>0</v>
      </c>
      <c r="G983" s="684" t="str">
        <f t="shared" si="102"/>
        <v>0</v>
      </c>
      <c r="H983" s="685" t="str">
        <f t="shared" si="103"/>
        <v/>
      </c>
      <c r="I983" s="683" t="str">
        <f>IF(AND(F983&lt;&gt;"",N10&gt;0,M983&gt;N10),"Mot &gt; limite","")</f>
        <v/>
      </c>
      <c r="M983" s="638">
        <f>IF(OR(F983="",N10="",N10&lt;=0),"",IF(LEN(F983)&lt;=N10,LEN(F983),IFERROR(FIND("♦",SUBSTITUTE(LEFT(F983,N10)," ","♦",LEN(LEFT(F983,N10))-LEN(SUBSTITUTE(LEFT(F983,N10)," ","")))),FIND(" ",F983&amp;" ",N10+1)-1)))</f>
        <v>1</v>
      </c>
      <c r="N983" s="686">
        <f t="shared" si="104"/>
        <v>966</v>
      </c>
      <c r="O983" s="663" t="str">
        <f t="shared" si="105"/>
        <v>0</v>
      </c>
      <c r="P983" s="686">
        <f t="shared" si="106"/>
        <v>1</v>
      </c>
      <c r="Q983" s="686">
        <f t="shared" si="107"/>
        <v>1</v>
      </c>
      <c r="DE983" s="494"/>
      <c r="DF983" s="496" t="s">
        <v>3018</v>
      </c>
      <c r="DG983" s="496" t="s">
        <v>8</v>
      </c>
      <c r="DH983" s="496" t="s">
        <v>689</v>
      </c>
      <c r="DI983" s="496" t="s">
        <v>3019</v>
      </c>
      <c r="DJ983" s="496" t="s">
        <v>3019</v>
      </c>
      <c r="DK983" s="496" t="s">
        <v>1151</v>
      </c>
      <c r="DL983" s="496" t="s">
        <v>1152</v>
      </c>
      <c r="DM983" s="496" t="s">
        <v>1087</v>
      </c>
      <c r="DN983" s="497" t="s">
        <v>1153</v>
      </c>
      <c r="DP983" s="543">
        <v>1</v>
      </c>
    </row>
    <row r="984" spans="2:120" ht="15">
      <c r="B984" s="683"/>
      <c r="C984" s="683"/>
      <c r="D984" s="683"/>
      <c r="E984" s="683" cm="1">
        <f t="array" ref="E984">IF(H983&lt;&gt;"",E983,IF(E983="","",IFERROR(MATCH(TRUE(),INDEX(INDEX(K:K,E983+1):K203&lt;&gt;"",0),0)+E983,"")))</f>
        <v>1125</v>
      </c>
      <c r="F984" s="684" cm="1">
        <f t="array" ref="F984">IF(E984="","",IF(H983&lt;&gt;"",H983,INDEX(D:D,E984)))</f>
        <v>0</v>
      </c>
      <c r="G984" s="684" t="str">
        <f t="shared" si="102"/>
        <v>0</v>
      </c>
      <c r="H984" s="685" t="str">
        <f t="shared" si="103"/>
        <v/>
      </c>
      <c r="I984" s="683" t="str">
        <f>IF(AND(F984&lt;&gt;"",N10&gt;0,M984&gt;N10),"Mot &gt; limite","")</f>
        <v/>
      </c>
      <c r="M984" s="638">
        <f>IF(OR(F984="",N10="",N10&lt;=0),"",IF(LEN(F984)&lt;=N10,LEN(F984),IFERROR(FIND("♦",SUBSTITUTE(LEFT(F984,N10)," ","♦",LEN(LEFT(F984,N10))-LEN(SUBSTITUTE(LEFT(F984,N10)," ","")))),FIND(" ",F984&amp;" ",N10+1)-1)))</f>
        <v>1</v>
      </c>
      <c r="N984" s="686">
        <f t="shared" si="104"/>
        <v>967</v>
      </c>
      <c r="O984" s="663" t="str">
        <f t="shared" si="105"/>
        <v>0</v>
      </c>
      <c r="P984" s="686">
        <f t="shared" si="106"/>
        <v>1</v>
      </c>
      <c r="Q984" s="686">
        <f t="shared" si="107"/>
        <v>1</v>
      </c>
      <c r="DE984" s="494"/>
      <c r="DF984" s="496" t="s">
        <v>3020</v>
      </c>
      <c r="DG984" s="496" t="s">
        <v>8</v>
      </c>
      <c r="DH984" s="496" t="s">
        <v>689</v>
      </c>
      <c r="DI984" s="496" t="s">
        <v>3021</v>
      </c>
      <c r="DJ984" s="496" t="s">
        <v>3021</v>
      </c>
      <c r="DK984" s="496" t="s">
        <v>1554</v>
      </c>
      <c r="DL984" s="496" t="s">
        <v>1555</v>
      </c>
      <c r="DM984" s="496" t="s">
        <v>1981</v>
      </c>
      <c r="DN984" s="497" t="s">
        <v>1982</v>
      </c>
      <c r="DP984" s="543">
        <v>1</v>
      </c>
    </row>
    <row r="985" spans="2:120" ht="15">
      <c r="B985" s="683"/>
      <c r="C985" s="683"/>
      <c r="D985" s="683"/>
      <c r="E985" s="683" cm="1">
        <f t="array" ref="E985">IF(H984&lt;&gt;"",E984,IF(E984="","",IFERROR(MATCH(TRUE(),INDEX(INDEX(K:K,E984+1):K203&lt;&gt;"",0),0)+E984,"")))</f>
        <v>1126</v>
      </c>
      <c r="F985" s="684" cm="1">
        <f t="array" ref="F985">IF(E985="","",IF(H984&lt;&gt;"",H984,INDEX(D:D,E985)))</f>
        <v>0</v>
      </c>
      <c r="G985" s="684" t="str">
        <f t="shared" si="102"/>
        <v>0</v>
      </c>
      <c r="H985" s="685" t="str">
        <f t="shared" si="103"/>
        <v/>
      </c>
      <c r="I985" s="683" t="str">
        <f>IF(AND(F985&lt;&gt;"",N10&gt;0,M985&gt;N10),"Mot &gt; limite","")</f>
        <v/>
      </c>
      <c r="M985" s="638">
        <f>IF(OR(F985="",N10="",N10&lt;=0),"",IF(LEN(F985)&lt;=N10,LEN(F985),IFERROR(FIND("♦",SUBSTITUTE(LEFT(F985,N10)," ","♦",LEN(LEFT(F985,N10))-LEN(SUBSTITUTE(LEFT(F985,N10)," ","")))),FIND(" ",F985&amp;" ",N10+1)-1)))</f>
        <v>1</v>
      </c>
      <c r="N985" s="686">
        <f t="shared" si="104"/>
        <v>968</v>
      </c>
      <c r="O985" s="663" t="str">
        <f t="shared" si="105"/>
        <v>0</v>
      </c>
      <c r="P985" s="686">
        <f t="shared" si="106"/>
        <v>1</v>
      </c>
      <c r="Q985" s="686">
        <f t="shared" si="107"/>
        <v>1</v>
      </c>
      <c r="DE985" s="494"/>
      <c r="DF985" s="496" t="s">
        <v>3022</v>
      </c>
      <c r="DG985" s="496" t="s">
        <v>8</v>
      </c>
      <c r="DH985" s="496" t="s">
        <v>689</v>
      </c>
      <c r="DI985" s="496" t="s">
        <v>3023</v>
      </c>
      <c r="DJ985" s="496" t="s">
        <v>3023</v>
      </c>
      <c r="DK985" s="496" t="s">
        <v>1554</v>
      </c>
      <c r="DL985" s="496" t="s">
        <v>1555</v>
      </c>
      <c r="DM985" s="496" t="s">
        <v>1981</v>
      </c>
      <c r="DN985" s="497" t="s">
        <v>1982</v>
      </c>
      <c r="DP985" s="543">
        <v>1</v>
      </c>
    </row>
    <row r="986" spans="2:120" ht="15">
      <c r="B986" s="683"/>
      <c r="C986" s="683"/>
      <c r="D986" s="683"/>
      <c r="E986" s="683" cm="1">
        <f t="array" ref="E986">IF(H985&lt;&gt;"",E985,IF(E985="","",IFERROR(MATCH(TRUE(),INDEX(INDEX(K:K,E985+1):K203&lt;&gt;"",0),0)+E985,"")))</f>
        <v>1127</v>
      </c>
      <c r="F986" s="684" cm="1">
        <f t="array" ref="F986">IF(E986="","",IF(H985&lt;&gt;"",H985,INDEX(D:D,E986)))</f>
        <v>0</v>
      </c>
      <c r="G986" s="684" t="str">
        <f t="shared" si="102"/>
        <v>0</v>
      </c>
      <c r="H986" s="685" t="str">
        <f t="shared" si="103"/>
        <v/>
      </c>
      <c r="I986" s="683" t="str">
        <f>IF(AND(F986&lt;&gt;"",N10&gt;0,M986&gt;N10),"Mot &gt; limite","")</f>
        <v/>
      </c>
      <c r="M986" s="638">
        <f>IF(OR(F986="",N10="",N10&lt;=0),"",IF(LEN(F986)&lt;=N10,LEN(F986),IFERROR(FIND("♦",SUBSTITUTE(LEFT(F986,N10)," ","♦",LEN(LEFT(F986,N10))-LEN(SUBSTITUTE(LEFT(F986,N10)," ","")))),FIND(" ",F986&amp;" ",N10+1)-1)))</f>
        <v>1</v>
      </c>
      <c r="N986" s="686">
        <f t="shared" si="104"/>
        <v>969</v>
      </c>
      <c r="O986" s="663" t="str">
        <f t="shared" si="105"/>
        <v>0</v>
      </c>
      <c r="P986" s="686">
        <f t="shared" si="106"/>
        <v>1</v>
      </c>
      <c r="Q986" s="686">
        <f t="shared" si="107"/>
        <v>1</v>
      </c>
      <c r="DE986" s="494"/>
      <c r="DF986" s="496" t="s">
        <v>3024</v>
      </c>
      <c r="DG986" s="496" t="s">
        <v>8</v>
      </c>
      <c r="DH986" s="496" t="s">
        <v>689</v>
      </c>
      <c r="DI986" s="496" t="s">
        <v>360</v>
      </c>
      <c r="DJ986" s="496" t="s">
        <v>360</v>
      </c>
      <c r="DK986" s="496" t="s">
        <v>1554</v>
      </c>
      <c r="DL986" s="496" t="s">
        <v>1555</v>
      </c>
      <c r="DM986" s="496" t="s">
        <v>1981</v>
      </c>
      <c r="DN986" s="497" t="s">
        <v>1982</v>
      </c>
      <c r="DP986" s="543">
        <v>1</v>
      </c>
    </row>
    <row r="987" spans="2:120" ht="15">
      <c r="B987" s="683"/>
      <c r="C987" s="683"/>
      <c r="D987" s="683"/>
      <c r="E987" s="683" cm="1">
        <f t="array" ref="E987">IF(H986&lt;&gt;"",E986,IF(E986="","",IFERROR(MATCH(TRUE(),INDEX(INDEX(K:K,E986+1):K203&lt;&gt;"",0),0)+E986,"")))</f>
        <v>1128</v>
      </c>
      <c r="F987" s="684" cm="1">
        <f t="array" ref="F987">IF(E987="","",IF(H986&lt;&gt;"",H986,INDEX(D:D,E987)))</f>
        <v>0</v>
      </c>
      <c r="G987" s="684" t="str">
        <f t="shared" si="102"/>
        <v>0</v>
      </c>
      <c r="H987" s="685" t="str">
        <f t="shared" si="103"/>
        <v/>
      </c>
      <c r="I987" s="683" t="str">
        <f>IF(AND(F987&lt;&gt;"",N10&gt;0,M987&gt;N10),"Mot &gt; limite","")</f>
        <v/>
      </c>
      <c r="M987" s="638">
        <f>IF(OR(F987="",N10="",N10&lt;=0),"",IF(LEN(F987)&lt;=N10,LEN(F987),IFERROR(FIND("♦",SUBSTITUTE(LEFT(F987,N10)," ","♦",LEN(LEFT(F987,N10))-LEN(SUBSTITUTE(LEFT(F987,N10)," ","")))),FIND(" ",F987&amp;" ",N10+1)-1)))</f>
        <v>1</v>
      </c>
      <c r="N987" s="686">
        <f t="shared" si="104"/>
        <v>970</v>
      </c>
      <c r="O987" s="663" t="str">
        <f t="shared" si="105"/>
        <v>0</v>
      </c>
      <c r="P987" s="686">
        <f t="shared" si="106"/>
        <v>1</v>
      </c>
      <c r="Q987" s="686">
        <f t="shared" si="107"/>
        <v>1</v>
      </c>
      <c r="DE987" s="494"/>
      <c r="DF987" s="496" t="s">
        <v>3025</v>
      </c>
      <c r="DG987" s="496" t="s">
        <v>8</v>
      </c>
      <c r="DH987" s="496" t="s">
        <v>689</v>
      </c>
      <c r="DI987" s="496" t="s">
        <v>3026</v>
      </c>
      <c r="DJ987" s="496" t="s">
        <v>3026</v>
      </c>
      <c r="DK987" s="496" t="s">
        <v>1554</v>
      </c>
      <c r="DL987" s="496" t="s">
        <v>1555</v>
      </c>
      <c r="DM987" s="496" t="s">
        <v>1981</v>
      </c>
      <c r="DN987" s="497" t="s">
        <v>1982</v>
      </c>
      <c r="DP987" s="543">
        <v>1</v>
      </c>
    </row>
    <row r="988" spans="2:120" ht="15">
      <c r="B988" s="683"/>
      <c r="C988" s="683"/>
      <c r="D988" s="683"/>
      <c r="E988" s="683" cm="1">
        <f t="array" ref="E988">IF(H987&lt;&gt;"",E987,IF(E987="","",IFERROR(MATCH(TRUE(),INDEX(INDEX(K:K,E987+1):K203&lt;&gt;"",0),0)+E987,"")))</f>
        <v>1129</v>
      </c>
      <c r="F988" s="684" cm="1">
        <f t="array" ref="F988">IF(E988="","",IF(H987&lt;&gt;"",H987,INDEX(D:D,E988)))</f>
        <v>0</v>
      </c>
      <c r="G988" s="684" t="str">
        <f t="shared" si="102"/>
        <v>0</v>
      </c>
      <c r="H988" s="685" t="str">
        <f t="shared" si="103"/>
        <v/>
      </c>
      <c r="I988" s="683" t="str">
        <f>IF(AND(F988&lt;&gt;"",N10&gt;0,M988&gt;N10),"Mot &gt; limite","")</f>
        <v/>
      </c>
      <c r="M988" s="638">
        <f>IF(OR(F988="",N10="",N10&lt;=0),"",IF(LEN(F988)&lt;=N10,LEN(F988),IFERROR(FIND("♦",SUBSTITUTE(LEFT(F988,N10)," ","♦",LEN(LEFT(F988,N10))-LEN(SUBSTITUTE(LEFT(F988,N10)," ","")))),FIND(" ",F988&amp;" ",N10+1)-1)))</f>
        <v>1</v>
      </c>
      <c r="N988" s="686">
        <f t="shared" si="104"/>
        <v>971</v>
      </c>
      <c r="O988" s="663" t="str">
        <f t="shared" si="105"/>
        <v>0</v>
      </c>
      <c r="P988" s="686">
        <f t="shared" si="106"/>
        <v>1</v>
      </c>
      <c r="Q988" s="686">
        <f t="shared" si="107"/>
        <v>1</v>
      </c>
      <c r="DE988" s="494"/>
      <c r="DF988" s="496" t="s">
        <v>3027</v>
      </c>
      <c r="DG988" s="496" t="s">
        <v>8</v>
      </c>
      <c r="DH988" s="496" t="s">
        <v>689</v>
      </c>
      <c r="DI988" s="496" t="s">
        <v>3028</v>
      </c>
      <c r="DJ988" s="496" t="s">
        <v>3028</v>
      </c>
      <c r="DK988" s="496" t="s">
        <v>1554</v>
      </c>
      <c r="DL988" s="496" t="s">
        <v>1555</v>
      </c>
      <c r="DM988" s="496" t="s">
        <v>1981</v>
      </c>
      <c r="DN988" s="497" t="s">
        <v>1982</v>
      </c>
      <c r="DP988" s="543">
        <v>1</v>
      </c>
    </row>
    <row r="989" spans="2:120" ht="15">
      <c r="B989" s="683"/>
      <c r="C989" s="683"/>
      <c r="D989" s="683"/>
      <c r="E989" s="683" cm="1">
        <f t="array" ref="E989">IF(H988&lt;&gt;"",E988,IF(E988="","",IFERROR(MATCH(TRUE(),INDEX(INDEX(K:K,E988+1):K203&lt;&gt;"",0),0)+E988,"")))</f>
        <v>1130</v>
      </c>
      <c r="F989" s="684" cm="1">
        <f t="array" ref="F989">IF(E989="","",IF(H988&lt;&gt;"",H988,INDEX(D:D,E989)))</f>
        <v>0</v>
      </c>
      <c r="G989" s="684" t="str">
        <f t="shared" si="102"/>
        <v>0</v>
      </c>
      <c r="H989" s="685" t="str">
        <f t="shared" si="103"/>
        <v/>
      </c>
      <c r="I989" s="683" t="str">
        <f>IF(AND(F989&lt;&gt;"",N10&gt;0,M989&gt;N10),"Mot &gt; limite","")</f>
        <v/>
      </c>
      <c r="M989" s="638">
        <f>IF(OR(F989="",N10="",N10&lt;=0),"",IF(LEN(F989)&lt;=N10,LEN(F989),IFERROR(FIND("♦",SUBSTITUTE(LEFT(F989,N10)," ","♦",LEN(LEFT(F989,N10))-LEN(SUBSTITUTE(LEFT(F989,N10)," ","")))),FIND(" ",F989&amp;" ",N10+1)-1)))</f>
        <v>1</v>
      </c>
      <c r="N989" s="686">
        <f t="shared" si="104"/>
        <v>972</v>
      </c>
      <c r="O989" s="663" t="str">
        <f t="shared" si="105"/>
        <v>0</v>
      </c>
      <c r="P989" s="686">
        <f t="shared" si="106"/>
        <v>1</v>
      </c>
      <c r="Q989" s="686">
        <f t="shared" si="107"/>
        <v>1</v>
      </c>
      <c r="DE989" s="494"/>
      <c r="DF989" s="496" t="s">
        <v>3029</v>
      </c>
      <c r="DG989" s="496" t="s">
        <v>8</v>
      </c>
      <c r="DH989" s="496" t="s">
        <v>689</v>
      </c>
      <c r="DI989" s="496" t="s">
        <v>3030</v>
      </c>
      <c r="DJ989" s="496" t="s">
        <v>3030</v>
      </c>
      <c r="DK989" s="496" t="s">
        <v>1554</v>
      </c>
      <c r="DL989" s="496" t="s">
        <v>1555</v>
      </c>
      <c r="DM989" s="496" t="s">
        <v>1981</v>
      </c>
      <c r="DN989" s="497" t="s">
        <v>1982</v>
      </c>
      <c r="DP989" s="543">
        <v>1</v>
      </c>
    </row>
    <row r="990" spans="2:120" ht="15">
      <c r="B990" s="683"/>
      <c r="C990" s="683"/>
      <c r="D990" s="683"/>
      <c r="E990" s="683" cm="1">
        <f t="array" ref="E990">IF(H989&lt;&gt;"",E989,IF(E989="","",IFERROR(MATCH(TRUE(),INDEX(INDEX(K:K,E989+1):K203&lt;&gt;"",0),0)+E989,"")))</f>
        <v>1131</v>
      </c>
      <c r="F990" s="684" cm="1">
        <f t="array" ref="F990">IF(E990="","",IF(H989&lt;&gt;"",H989,INDEX(D:D,E990)))</f>
        <v>0</v>
      </c>
      <c r="G990" s="684" t="str">
        <f t="shared" si="102"/>
        <v>0</v>
      </c>
      <c r="H990" s="685" t="str">
        <f t="shared" si="103"/>
        <v/>
      </c>
      <c r="I990" s="683" t="str">
        <f>IF(AND(F990&lt;&gt;"",N10&gt;0,M990&gt;N10),"Mot &gt; limite","")</f>
        <v/>
      </c>
      <c r="M990" s="638">
        <f>IF(OR(F990="",N10="",N10&lt;=0),"",IF(LEN(F990)&lt;=N10,LEN(F990),IFERROR(FIND("♦",SUBSTITUTE(LEFT(F990,N10)," ","♦",LEN(LEFT(F990,N10))-LEN(SUBSTITUTE(LEFT(F990,N10)," ","")))),FIND(" ",F990&amp;" ",N10+1)-1)))</f>
        <v>1</v>
      </c>
      <c r="N990" s="686">
        <f t="shared" si="104"/>
        <v>973</v>
      </c>
      <c r="O990" s="663" t="str">
        <f t="shared" si="105"/>
        <v>0</v>
      </c>
      <c r="P990" s="686">
        <f t="shared" si="106"/>
        <v>1</v>
      </c>
      <c r="Q990" s="686">
        <f t="shared" si="107"/>
        <v>1</v>
      </c>
      <c r="DE990" s="494"/>
      <c r="DF990" s="496" t="s">
        <v>3031</v>
      </c>
      <c r="DG990" s="496" t="s">
        <v>8</v>
      </c>
      <c r="DH990" s="496" t="s">
        <v>689</v>
      </c>
      <c r="DI990" s="496" t="s">
        <v>3032</v>
      </c>
      <c r="DJ990" s="496" t="s">
        <v>3032</v>
      </c>
      <c r="DK990" s="496" t="s">
        <v>1554</v>
      </c>
      <c r="DL990" s="496" t="s">
        <v>1555</v>
      </c>
      <c r="DM990" s="496" t="s">
        <v>1981</v>
      </c>
      <c r="DN990" s="497" t="s">
        <v>1982</v>
      </c>
      <c r="DP990" s="543">
        <v>1</v>
      </c>
    </row>
    <row r="991" spans="2:120" ht="15">
      <c r="B991" s="683"/>
      <c r="C991" s="683"/>
      <c r="D991" s="683"/>
      <c r="E991" s="683" cm="1">
        <f t="array" ref="E991">IF(H990&lt;&gt;"",E990,IF(E990="","",IFERROR(MATCH(TRUE(),INDEX(INDEX(K:K,E990+1):K203&lt;&gt;"",0),0)+E990,"")))</f>
        <v>1132</v>
      </c>
      <c r="F991" s="684" cm="1">
        <f t="array" ref="F991">IF(E991="","",IF(H990&lt;&gt;"",H990,INDEX(D:D,E991)))</f>
        <v>0</v>
      </c>
      <c r="G991" s="684" t="str">
        <f t="shared" si="102"/>
        <v>0</v>
      </c>
      <c r="H991" s="685" t="str">
        <f t="shared" si="103"/>
        <v/>
      </c>
      <c r="I991" s="683" t="str">
        <f>IF(AND(F991&lt;&gt;"",N10&gt;0,M991&gt;N10),"Mot &gt; limite","")</f>
        <v/>
      </c>
      <c r="M991" s="638">
        <f>IF(OR(F991="",N10="",N10&lt;=0),"",IF(LEN(F991)&lt;=N10,LEN(F991),IFERROR(FIND("♦",SUBSTITUTE(LEFT(F991,N10)," ","♦",LEN(LEFT(F991,N10))-LEN(SUBSTITUTE(LEFT(F991,N10)," ","")))),FIND(" ",F991&amp;" ",N10+1)-1)))</f>
        <v>1</v>
      </c>
      <c r="N991" s="686">
        <f t="shared" si="104"/>
        <v>974</v>
      </c>
      <c r="O991" s="663" t="str">
        <f t="shared" si="105"/>
        <v>0</v>
      </c>
      <c r="P991" s="686">
        <f t="shared" si="106"/>
        <v>1</v>
      </c>
      <c r="Q991" s="686">
        <f t="shared" si="107"/>
        <v>1</v>
      </c>
      <c r="DE991" s="494"/>
      <c r="DF991" s="496" t="s">
        <v>3033</v>
      </c>
      <c r="DG991" s="496" t="s">
        <v>8</v>
      </c>
      <c r="DH991" s="496" t="s">
        <v>689</v>
      </c>
      <c r="DI991" s="496" t="s">
        <v>3034</v>
      </c>
      <c r="DJ991" s="496" t="s">
        <v>3034</v>
      </c>
      <c r="DK991" s="496" t="s">
        <v>1554</v>
      </c>
      <c r="DL991" s="496" t="s">
        <v>1555</v>
      </c>
      <c r="DM991" s="496" t="s">
        <v>1981</v>
      </c>
      <c r="DN991" s="497" t="s">
        <v>1982</v>
      </c>
      <c r="DP991" s="543">
        <v>1</v>
      </c>
    </row>
    <row r="992" spans="2:120" ht="15">
      <c r="B992" s="683"/>
      <c r="C992" s="683"/>
      <c r="D992" s="683"/>
      <c r="E992" s="683" cm="1">
        <f t="array" ref="E992">IF(H991&lt;&gt;"",E991,IF(E991="","",IFERROR(MATCH(TRUE(),INDEX(INDEX(K:K,E991+1):K203&lt;&gt;"",0),0)+E991,"")))</f>
        <v>1133</v>
      </c>
      <c r="F992" s="684" cm="1">
        <f t="array" ref="F992">IF(E992="","",IF(H991&lt;&gt;"",H991,INDEX(D:D,E992)))</f>
        <v>0</v>
      </c>
      <c r="G992" s="684" t="str">
        <f t="shared" si="102"/>
        <v>0</v>
      </c>
      <c r="H992" s="685" t="str">
        <f t="shared" si="103"/>
        <v/>
      </c>
      <c r="I992" s="683" t="str">
        <f>IF(AND(F992&lt;&gt;"",N10&gt;0,M992&gt;N10),"Mot &gt; limite","")</f>
        <v/>
      </c>
      <c r="M992" s="638">
        <f>IF(OR(F992="",N10="",N10&lt;=0),"",IF(LEN(F992)&lt;=N10,LEN(F992),IFERROR(FIND("♦",SUBSTITUTE(LEFT(F992,N10)," ","♦",LEN(LEFT(F992,N10))-LEN(SUBSTITUTE(LEFT(F992,N10)," ","")))),FIND(" ",F992&amp;" ",N10+1)-1)))</f>
        <v>1</v>
      </c>
      <c r="N992" s="686">
        <f t="shared" si="104"/>
        <v>975</v>
      </c>
      <c r="O992" s="663" t="str">
        <f t="shared" si="105"/>
        <v>0</v>
      </c>
      <c r="P992" s="686">
        <f t="shared" si="106"/>
        <v>1</v>
      </c>
      <c r="Q992" s="686">
        <f t="shared" si="107"/>
        <v>1</v>
      </c>
      <c r="DE992" s="494"/>
      <c r="DF992" s="496" t="s">
        <v>3035</v>
      </c>
      <c r="DG992" s="496" t="s">
        <v>8</v>
      </c>
      <c r="DH992" s="496" t="s">
        <v>689</v>
      </c>
      <c r="DI992" s="496" t="s">
        <v>1040</v>
      </c>
      <c r="DJ992" s="496" t="s">
        <v>1040</v>
      </c>
      <c r="DK992" s="496" t="s">
        <v>1554</v>
      </c>
      <c r="DL992" s="496" t="s">
        <v>1555</v>
      </c>
      <c r="DM992" s="496" t="s">
        <v>1981</v>
      </c>
      <c r="DN992" s="497" t="s">
        <v>1982</v>
      </c>
      <c r="DP992" s="543">
        <v>1</v>
      </c>
    </row>
    <row r="993" spans="2:120" ht="15">
      <c r="B993" s="683"/>
      <c r="C993" s="683"/>
      <c r="D993" s="683"/>
      <c r="E993" s="683" cm="1">
        <f t="array" ref="E993">IF(H992&lt;&gt;"",E992,IF(E992="","",IFERROR(MATCH(TRUE(),INDEX(INDEX(K:K,E992+1):K203&lt;&gt;"",0),0)+E992,"")))</f>
        <v>1134</v>
      </c>
      <c r="F993" s="684" cm="1">
        <f t="array" ref="F993">IF(E993="","",IF(H992&lt;&gt;"",H992,INDEX(D:D,E993)))</f>
        <v>0</v>
      </c>
      <c r="G993" s="684" t="str">
        <f t="shared" si="102"/>
        <v>0</v>
      </c>
      <c r="H993" s="685" t="str">
        <f t="shared" si="103"/>
        <v/>
      </c>
      <c r="I993" s="683" t="str">
        <f>IF(AND(F993&lt;&gt;"",N10&gt;0,M993&gt;N10),"Mot &gt; limite","")</f>
        <v/>
      </c>
      <c r="M993" s="638">
        <f>IF(OR(F993="",N10="",N10&lt;=0),"",IF(LEN(F993)&lt;=N10,LEN(F993),IFERROR(FIND("♦",SUBSTITUTE(LEFT(F993,N10)," ","♦",LEN(LEFT(F993,N10))-LEN(SUBSTITUTE(LEFT(F993,N10)," ","")))),FIND(" ",F993&amp;" ",N10+1)-1)))</f>
        <v>1</v>
      </c>
      <c r="N993" s="686">
        <f t="shared" si="104"/>
        <v>976</v>
      </c>
      <c r="O993" s="663" t="str">
        <f t="shared" si="105"/>
        <v>0</v>
      </c>
      <c r="P993" s="686">
        <f t="shared" si="106"/>
        <v>1</v>
      </c>
      <c r="Q993" s="686">
        <f t="shared" si="107"/>
        <v>1</v>
      </c>
      <c r="DE993" s="494"/>
      <c r="DF993" s="496" t="s">
        <v>3036</v>
      </c>
      <c r="DG993" s="496" t="s">
        <v>8</v>
      </c>
      <c r="DH993" s="496" t="s">
        <v>689</v>
      </c>
      <c r="DI993" s="496" t="s">
        <v>3037</v>
      </c>
      <c r="DJ993" s="496" t="s">
        <v>3037</v>
      </c>
      <c r="DK993" s="496" t="s">
        <v>1554</v>
      </c>
      <c r="DL993" s="496" t="s">
        <v>1555</v>
      </c>
      <c r="DM993" s="496" t="s">
        <v>1981</v>
      </c>
      <c r="DN993" s="497" t="s">
        <v>1982</v>
      </c>
      <c r="DP993" s="543">
        <v>1</v>
      </c>
    </row>
    <row r="994" spans="2:120" ht="15">
      <c r="B994" s="683"/>
      <c r="C994" s="683"/>
      <c r="D994" s="683"/>
      <c r="E994" s="683" cm="1">
        <f t="array" ref="E994">IF(H993&lt;&gt;"",E993,IF(E993="","",IFERROR(MATCH(TRUE(),INDEX(INDEX(K:K,E993+1):K203&lt;&gt;"",0),0)+E993,"")))</f>
        <v>1135</v>
      </c>
      <c r="F994" s="684" cm="1">
        <f t="array" ref="F994">IF(E994="","",IF(H993&lt;&gt;"",H993,INDEX(D:D,E994)))</f>
        <v>0</v>
      </c>
      <c r="G994" s="684" t="str">
        <f t="shared" si="102"/>
        <v>0</v>
      </c>
      <c r="H994" s="685" t="str">
        <f t="shared" si="103"/>
        <v/>
      </c>
      <c r="I994" s="683" t="str">
        <f>IF(AND(F994&lt;&gt;"",N10&gt;0,M994&gt;N10),"Mot &gt; limite","")</f>
        <v/>
      </c>
      <c r="M994" s="638">
        <f>IF(OR(F994="",N10="",N10&lt;=0),"",IF(LEN(F994)&lt;=N10,LEN(F994),IFERROR(FIND("♦",SUBSTITUTE(LEFT(F994,N10)," ","♦",LEN(LEFT(F994,N10))-LEN(SUBSTITUTE(LEFT(F994,N10)," ","")))),FIND(" ",F994&amp;" ",N10+1)-1)))</f>
        <v>1</v>
      </c>
      <c r="N994" s="686">
        <f t="shared" si="104"/>
        <v>977</v>
      </c>
      <c r="O994" s="663" t="str">
        <f t="shared" si="105"/>
        <v>0</v>
      </c>
      <c r="P994" s="686">
        <f t="shared" si="106"/>
        <v>1</v>
      </c>
      <c r="Q994" s="686">
        <f t="shared" si="107"/>
        <v>1</v>
      </c>
      <c r="DE994" s="494"/>
      <c r="DF994" s="496" t="s">
        <v>3038</v>
      </c>
      <c r="DG994" s="496" t="s">
        <v>8</v>
      </c>
      <c r="DH994" s="496" t="s">
        <v>689</v>
      </c>
      <c r="DI994" s="496" t="s">
        <v>3039</v>
      </c>
      <c r="DJ994" s="496" t="s">
        <v>3039</v>
      </c>
      <c r="DK994" s="496" t="s">
        <v>1554</v>
      </c>
      <c r="DL994" s="496" t="s">
        <v>1555</v>
      </c>
      <c r="DM994" s="496" t="s">
        <v>1981</v>
      </c>
      <c r="DN994" s="497" t="s">
        <v>1982</v>
      </c>
      <c r="DP994" s="543">
        <v>1</v>
      </c>
    </row>
    <row r="995" spans="2:120" ht="15">
      <c r="B995" s="683"/>
      <c r="C995" s="683"/>
      <c r="D995" s="683"/>
      <c r="E995" s="683" cm="1">
        <f t="array" ref="E995">IF(H994&lt;&gt;"",E994,IF(E994="","",IFERROR(MATCH(TRUE(),INDEX(INDEX(K:K,E994+1):K203&lt;&gt;"",0),0)+E994,"")))</f>
        <v>1136</v>
      </c>
      <c r="F995" s="684" cm="1">
        <f t="array" ref="F995">IF(E995="","",IF(H994&lt;&gt;"",H994,INDEX(D:D,E995)))</f>
        <v>0</v>
      </c>
      <c r="G995" s="684" t="str">
        <f t="shared" si="102"/>
        <v>0</v>
      </c>
      <c r="H995" s="685" t="str">
        <f t="shared" si="103"/>
        <v/>
      </c>
      <c r="I995" s="683" t="str">
        <f>IF(AND(F995&lt;&gt;"",N10&gt;0,M995&gt;N10),"Mot &gt; limite","")</f>
        <v/>
      </c>
      <c r="M995" s="638">
        <f>IF(OR(F995="",N10="",N10&lt;=0),"",IF(LEN(F995)&lt;=N10,LEN(F995),IFERROR(FIND("♦",SUBSTITUTE(LEFT(F995,N10)," ","♦",LEN(LEFT(F995,N10))-LEN(SUBSTITUTE(LEFT(F995,N10)," ","")))),FIND(" ",F995&amp;" ",N10+1)-1)))</f>
        <v>1</v>
      </c>
      <c r="N995" s="686">
        <f t="shared" si="104"/>
        <v>978</v>
      </c>
      <c r="O995" s="663" t="str">
        <f t="shared" si="105"/>
        <v>0</v>
      </c>
      <c r="P995" s="686">
        <f t="shared" si="106"/>
        <v>1</v>
      </c>
      <c r="Q995" s="686">
        <f t="shared" si="107"/>
        <v>1</v>
      </c>
      <c r="DE995" s="494"/>
      <c r="DF995" s="496" t="s">
        <v>3040</v>
      </c>
      <c r="DG995" s="496" t="s">
        <v>8</v>
      </c>
      <c r="DH995" s="496" t="s">
        <v>689</v>
      </c>
      <c r="DI995" s="496" t="s">
        <v>3041</v>
      </c>
      <c r="DJ995" s="496" t="s">
        <v>3041</v>
      </c>
      <c r="DK995" s="496" t="s">
        <v>1554</v>
      </c>
      <c r="DL995" s="496" t="s">
        <v>1555</v>
      </c>
      <c r="DM995" s="496" t="s">
        <v>1981</v>
      </c>
      <c r="DN995" s="497" t="s">
        <v>1982</v>
      </c>
      <c r="DP995" s="543">
        <v>1</v>
      </c>
    </row>
    <row r="996" spans="2:120" ht="15">
      <c r="B996" s="683"/>
      <c r="C996" s="683"/>
      <c r="D996" s="683"/>
      <c r="E996" s="683" cm="1">
        <f t="array" ref="E996">IF(H995&lt;&gt;"",E995,IF(E995="","",IFERROR(MATCH(TRUE(),INDEX(INDEX(K:K,E995+1):K203&lt;&gt;"",0),0)+E995,"")))</f>
        <v>1137</v>
      </c>
      <c r="F996" s="684" cm="1">
        <f t="array" ref="F996">IF(E996="","",IF(H995&lt;&gt;"",H995,INDEX(D:D,E996)))</f>
        <v>0</v>
      </c>
      <c r="G996" s="684" t="str">
        <f t="shared" si="102"/>
        <v>0</v>
      </c>
      <c r="H996" s="685" t="str">
        <f t="shared" si="103"/>
        <v/>
      </c>
      <c r="I996" s="683" t="str">
        <f>IF(AND(F996&lt;&gt;"",N10&gt;0,M996&gt;N10),"Mot &gt; limite","")</f>
        <v/>
      </c>
      <c r="M996" s="638">
        <f>IF(OR(F996="",N10="",N10&lt;=0),"",IF(LEN(F996)&lt;=N10,LEN(F996),IFERROR(FIND("♦",SUBSTITUTE(LEFT(F996,N10)," ","♦",LEN(LEFT(F996,N10))-LEN(SUBSTITUTE(LEFT(F996,N10)," ","")))),FIND(" ",F996&amp;" ",N10+1)-1)))</f>
        <v>1</v>
      </c>
      <c r="N996" s="686">
        <f t="shared" si="104"/>
        <v>979</v>
      </c>
      <c r="O996" s="663" t="str">
        <f t="shared" si="105"/>
        <v>0</v>
      </c>
      <c r="P996" s="686">
        <f t="shared" si="106"/>
        <v>1</v>
      </c>
      <c r="Q996" s="686">
        <f t="shared" si="107"/>
        <v>1</v>
      </c>
      <c r="DE996" s="494"/>
      <c r="DF996" s="496" t="s">
        <v>3042</v>
      </c>
      <c r="DG996" s="496" t="s">
        <v>8</v>
      </c>
      <c r="DH996" s="496" t="s">
        <v>689</v>
      </c>
      <c r="DI996" s="496" t="s">
        <v>3043</v>
      </c>
      <c r="DJ996" s="496" t="s">
        <v>3043</v>
      </c>
      <c r="DK996" s="496" t="s">
        <v>1554</v>
      </c>
      <c r="DL996" s="496" t="s">
        <v>1555</v>
      </c>
      <c r="DM996" s="496" t="s">
        <v>1981</v>
      </c>
      <c r="DN996" s="497" t="s">
        <v>1982</v>
      </c>
      <c r="DP996" s="543">
        <v>1</v>
      </c>
    </row>
    <row r="997" spans="2:120" ht="15">
      <c r="B997" s="683"/>
      <c r="C997" s="683"/>
      <c r="D997" s="683"/>
      <c r="E997" s="683" cm="1">
        <f t="array" ref="E997">IF(H996&lt;&gt;"",E996,IF(E996="","",IFERROR(MATCH(TRUE(),INDEX(INDEX(K:K,E996+1):K203&lt;&gt;"",0),0)+E996,"")))</f>
        <v>1138</v>
      </c>
      <c r="F997" s="684" cm="1">
        <f t="array" ref="F997">IF(E997="","",IF(H996&lt;&gt;"",H996,INDEX(D:D,E997)))</f>
        <v>0</v>
      </c>
      <c r="G997" s="684" t="str">
        <f t="shared" si="102"/>
        <v>0</v>
      </c>
      <c r="H997" s="685" t="str">
        <f t="shared" si="103"/>
        <v/>
      </c>
      <c r="I997" s="683" t="str">
        <f>IF(AND(F997&lt;&gt;"",N10&gt;0,M997&gt;N10),"Mot &gt; limite","")</f>
        <v/>
      </c>
      <c r="M997" s="638">
        <f>IF(OR(F997="",N10="",N10&lt;=0),"",IF(LEN(F997)&lt;=N10,LEN(F997),IFERROR(FIND("♦",SUBSTITUTE(LEFT(F997,N10)," ","♦",LEN(LEFT(F997,N10))-LEN(SUBSTITUTE(LEFT(F997,N10)," ","")))),FIND(" ",F997&amp;" ",N10+1)-1)))</f>
        <v>1</v>
      </c>
      <c r="N997" s="686">
        <f t="shared" si="104"/>
        <v>980</v>
      </c>
      <c r="O997" s="663" t="str">
        <f t="shared" si="105"/>
        <v>0</v>
      </c>
      <c r="P997" s="686">
        <f t="shared" si="106"/>
        <v>1</v>
      </c>
      <c r="Q997" s="686">
        <f t="shared" si="107"/>
        <v>1</v>
      </c>
      <c r="DE997" s="494"/>
      <c r="DF997" s="496" t="s">
        <v>3044</v>
      </c>
      <c r="DG997" s="496" t="s">
        <v>8</v>
      </c>
      <c r="DH997" s="496" t="s">
        <v>689</v>
      </c>
      <c r="DI997" s="496" t="s">
        <v>3045</v>
      </c>
      <c r="DJ997" s="496" t="s">
        <v>3045</v>
      </c>
      <c r="DK997" s="496" t="s">
        <v>1554</v>
      </c>
      <c r="DL997" s="496" t="s">
        <v>1555</v>
      </c>
      <c r="DM997" s="496" t="s">
        <v>1981</v>
      </c>
      <c r="DN997" s="497" t="s">
        <v>1982</v>
      </c>
      <c r="DP997" s="543">
        <v>1</v>
      </c>
    </row>
    <row r="998" spans="2:120" ht="15">
      <c r="B998" s="683"/>
      <c r="C998" s="683"/>
      <c r="D998" s="683"/>
      <c r="E998" s="683" cm="1">
        <f t="array" ref="E998">IF(H997&lt;&gt;"",E997,IF(E997="","",IFERROR(MATCH(TRUE(),INDEX(INDEX(K:K,E997+1):K203&lt;&gt;"",0),0)+E997,"")))</f>
        <v>1139</v>
      </c>
      <c r="F998" s="684" cm="1">
        <f t="array" ref="F998">IF(E998="","",IF(H997&lt;&gt;"",H997,INDEX(D:D,E998)))</f>
        <v>0</v>
      </c>
      <c r="G998" s="684" t="str">
        <f t="shared" si="102"/>
        <v>0</v>
      </c>
      <c r="H998" s="685" t="str">
        <f t="shared" si="103"/>
        <v/>
      </c>
      <c r="I998" s="683" t="str">
        <f>IF(AND(F998&lt;&gt;"",N10&gt;0,M998&gt;N10),"Mot &gt; limite","")</f>
        <v/>
      </c>
      <c r="M998" s="638">
        <f>IF(OR(F998="",N10="",N10&lt;=0),"",IF(LEN(F998)&lt;=N10,LEN(F998),IFERROR(FIND("♦",SUBSTITUTE(LEFT(F998,N10)," ","♦",LEN(LEFT(F998,N10))-LEN(SUBSTITUTE(LEFT(F998,N10)," ","")))),FIND(" ",F998&amp;" ",N10+1)-1)))</f>
        <v>1</v>
      </c>
      <c r="N998" s="686">
        <f t="shared" si="104"/>
        <v>981</v>
      </c>
      <c r="O998" s="663" t="str">
        <f t="shared" si="105"/>
        <v>0</v>
      </c>
      <c r="P998" s="686">
        <f t="shared" si="106"/>
        <v>1</v>
      </c>
      <c r="Q998" s="686">
        <f t="shared" si="107"/>
        <v>1</v>
      </c>
      <c r="DE998" s="494"/>
      <c r="DF998" s="496" t="s">
        <v>3046</v>
      </c>
      <c r="DG998" s="496" t="s">
        <v>8</v>
      </c>
      <c r="DH998" s="496" t="s">
        <v>689</v>
      </c>
      <c r="DI998" s="496" t="s">
        <v>3047</v>
      </c>
      <c r="DJ998" s="496" t="s">
        <v>3047</v>
      </c>
      <c r="DK998" s="496" t="s">
        <v>1554</v>
      </c>
      <c r="DL998" s="496" t="s">
        <v>1555</v>
      </c>
      <c r="DM998" s="496" t="s">
        <v>1981</v>
      </c>
      <c r="DN998" s="497" t="s">
        <v>1982</v>
      </c>
      <c r="DP998" s="543">
        <v>1</v>
      </c>
    </row>
    <row r="999" spans="2:120" ht="15">
      <c r="B999" s="683"/>
      <c r="C999" s="683"/>
      <c r="D999" s="683"/>
      <c r="E999" s="683" cm="1">
        <f t="array" ref="E999">IF(H998&lt;&gt;"",E998,IF(E998="","",IFERROR(MATCH(TRUE(),INDEX(INDEX(K:K,E998+1):K203&lt;&gt;"",0),0)+E998,"")))</f>
        <v>1140</v>
      </c>
      <c r="F999" s="684" cm="1">
        <f t="array" ref="F999">IF(E999="","",IF(H998&lt;&gt;"",H998,INDEX(D:D,E999)))</f>
        <v>0</v>
      </c>
      <c r="G999" s="684" t="str">
        <f t="shared" si="102"/>
        <v>0</v>
      </c>
      <c r="H999" s="685" t="str">
        <f t="shared" si="103"/>
        <v/>
      </c>
      <c r="I999" s="683" t="str">
        <f>IF(AND(F999&lt;&gt;"",N10&gt;0,M999&gt;N10),"Mot &gt; limite","")</f>
        <v/>
      </c>
      <c r="M999" s="638">
        <f>IF(OR(F999="",N10="",N10&lt;=0),"",IF(LEN(F999)&lt;=N10,LEN(F999),IFERROR(FIND("♦",SUBSTITUTE(LEFT(F999,N10)," ","♦",LEN(LEFT(F999,N10))-LEN(SUBSTITUTE(LEFT(F999,N10)," ","")))),FIND(" ",F999&amp;" ",N10+1)-1)))</f>
        <v>1</v>
      </c>
      <c r="N999" s="686">
        <f t="shared" si="104"/>
        <v>982</v>
      </c>
      <c r="O999" s="663" t="str">
        <f t="shared" si="105"/>
        <v>0</v>
      </c>
      <c r="P999" s="686">
        <f t="shared" si="106"/>
        <v>1</v>
      </c>
      <c r="Q999" s="686">
        <f t="shared" si="107"/>
        <v>1</v>
      </c>
      <c r="DE999" s="494"/>
      <c r="DF999" s="496" t="s">
        <v>3048</v>
      </c>
      <c r="DG999" s="496" t="s">
        <v>8</v>
      </c>
      <c r="DH999" s="496" t="s">
        <v>689</v>
      </c>
      <c r="DI999" s="496" t="s">
        <v>3049</v>
      </c>
      <c r="DJ999" s="496" t="s">
        <v>3049</v>
      </c>
      <c r="DK999" s="496" t="s">
        <v>1554</v>
      </c>
      <c r="DL999" s="496" t="s">
        <v>1555</v>
      </c>
      <c r="DM999" s="496" t="s">
        <v>1981</v>
      </c>
      <c r="DN999" s="497" t="s">
        <v>1982</v>
      </c>
      <c r="DP999" s="543">
        <v>1</v>
      </c>
    </row>
    <row r="1000" spans="2:120" ht="15">
      <c r="B1000" s="683"/>
      <c r="C1000" s="683"/>
      <c r="D1000" s="683"/>
      <c r="E1000" s="683" cm="1">
        <f t="array" ref="E1000">IF(H999&lt;&gt;"",E999,IF(E999="","",IFERROR(MATCH(TRUE(),INDEX(INDEX(K:K,E999+1):K203&lt;&gt;"",0),0)+E999,"")))</f>
        <v>1141</v>
      </c>
      <c r="F1000" s="684" cm="1">
        <f t="array" ref="F1000">IF(E1000="","",IF(H999&lt;&gt;"",H999,INDEX(D:D,E1000)))</f>
        <v>0</v>
      </c>
      <c r="G1000" s="684" t="str">
        <f t="shared" si="102"/>
        <v>0</v>
      </c>
      <c r="H1000" s="685" t="str">
        <f t="shared" si="103"/>
        <v/>
      </c>
      <c r="I1000" s="683" t="str">
        <f>IF(AND(F1000&lt;&gt;"",N10&gt;0,M1000&gt;N10),"Mot &gt; limite","")</f>
        <v/>
      </c>
      <c r="M1000" s="638">
        <f>IF(OR(F1000="",N10="",N10&lt;=0),"",IF(LEN(F1000)&lt;=N10,LEN(F1000),IFERROR(FIND("♦",SUBSTITUTE(LEFT(F1000,N10)," ","♦",LEN(LEFT(F1000,N10))-LEN(SUBSTITUTE(LEFT(F1000,N10)," ","")))),FIND(" ",F1000&amp;" ",N10+1)-1)))</f>
        <v>1</v>
      </c>
      <c r="N1000" s="686">
        <f t="shared" si="104"/>
        <v>983</v>
      </c>
      <c r="O1000" s="663" t="str">
        <f t="shared" si="105"/>
        <v>0</v>
      </c>
      <c r="P1000" s="686">
        <f t="shared" si="106"/>
        <v>1</v>
      </c>
      <c r="Q1000" s="686">
        <f t="shared" si="107"/>
        <v>1</v>
      </c>
      <c r="DE1000" s="494"/>
      <c r="DF1000" s="496" t="s">
        <v>3050</v>
      </c>
      <c r="DG1000" s="496" t="s">
        <v>8</v>
      </c>
      <c r="DH1000" s="496" t="s">
        <v>689</v>
      </c>
      <c r="DI1000" s="496" t="s">
        <v>3051</v>
      </c>
      <c r="DJ1000" s="496" t="s">
        <v>3051</v>
      </c>
      <c r="DK1000" s="496" t="s">
        <v>1554</v>
      </c>
      <c r="DL1000" s="496" t="s">
        <v>1555</v>
      </c>
      <c r="DM1000" s="496" t="s">
        <v>1981</v>
      </c>
      <c r="DN1000" s="497" t="s">
        <v>1982</v>
      </c>
      <c r="DP1000" s="543">
        <v>1</v>
      </c>
    </row>
    <row r="1001" spans="2:120" ht="15">
      <c r="B1001" s="683"/>
      <c r="C1001" s="683"/>
      <c r="D1001" s="683"/>
      <c r="E1001" s="683" cm="1">
        <f t="array" ref="E1001">IF(H1000&lt;&gt;"",E1000,IF(E1000="","",IFERROR(MATCH(TRUE(),INDEX(INDEX(K:K,E1000+1):K203&lt;&gt;"",0),0)+E1000,"")))</f>
        <v>1142</v>
      </c>
      <c r="F1001" s="684" cm="1">
        <f t="array" ref="F1001">IF(E1001="","",IF(H1000&lt;&gt;"",H1000,INDEX(D:D,E1001)))</f>
        <v>0</v>
      </c>
      <c r="G1001" s="684" t="str">
        <f t="shared" si="102"/>
        <v>0</v>
      </c>
      <c r="H1001" s="685" t="str">
        <f t="shared" si="103"/>
        <v/>
      </c>
      <c r="I1001" s="683" t="str">
        <f>IF(AND(F1001&lt;&gt;"",N10&gt;0,M1001&gt;N10),"Mot &gt; limite","")</f>
        <v/>
      </c>
      <c r="M1001" s="638">
        <f>IF(OR(F1001="",N10="",N10&lt;=0),"",IF(LEN(F1001)&lt;=N10,LEN(F1001),IFERROR(FIND("♦",SUBSTITUTE(LEFT(F1001,N10)," ","♦",LEN(LEFT(F1001,N10))-LEN(SUBSTITUTE(LEFT(F1001,N10)," ","")))),FIND(" ",F1001&amp;" ",N10+1)-1)))</f>
        <v>1</v>
      </c>
      <c r="N1001" s="686">
        <f t="shared" si="104"/>
        <v>984</v>
      </c>
      <c r="O1001" s="663" t="str">
        <f t="shared" si="105"/>
        <v>0</v>
      </c>
      <c r="P1001" s="686">
        <f t="shared" si="106"/>
        <v>1</v>
      </c>
      <c r="Q1001" s="686">
        <f t="shared" si="107"/>
        <v>1</v>
      </c>
      <c r="DE1001" s="494"/>
      <c r="DF1001" s="496" t="s">
        <v>3052</v>
      </c>
      <c r="DG1001" s="496" t="s">
        <v>8</v>
      </c>
      <c r="DH1001" s="496" t="s">
        <v>689</v>
      </c>
      <c r="DI1001" s="496" t="s">
        <v>3053</v>
      </c>
      <c r="DJ1001" s="496" t="s">
        <v>3053</v>
      </c>
      <c r="DK1001" s="496" t="s">
        <v>1554</v>
      </c>
      <c r="DL1001" s="496" t="s">
        <v>1555</v>
      </c>
      <c r="DM1001" s="496" t="s">
        <v>1981</v>
      </c>
      <c r="DN1001" s="497" t="s">
        <v>1982</v>
      </c>
      <c r="DP1001" s="543">
        <v>1</v>
      </c>
    </row>
    <row r="1002" spans="2:120" ht="15">
      <c r="B1002" s="683"/>
      <c r="C1002" s="683"/>
      <c r="D1002" s="683"/>
      <c r="E1002" s="683" cm="1">
        <f t="array" ref="E1002">IF(H1001&lt;&gt;"",E1001,IF(E1001="","",IFERROR(MATCH(TRUE(),INDEX(INDEX(K:K,E1001+1):K203&lt;&gt;"",0),0)+E1001,"")))</f>
        <v>1143</v>
      </c>
      <c r="F1002" s="684" cm="1">
        <f t="array" ref="F1002">IF(E1002="","",IF(H1001&lt;&gt;"",H1001,INDEX(D:D,E1002)))</f>
        <v>0</v>
      </c>
      <c r="G1002" s="684" t="str">
        <f t="shared" si="102"/>
        <v>0</v>
      </c>
      <c r="H1002" s="685" t="str">
        <f t="shared" si="103"/>
        <v/>
      </c>
      <c r="I1002" s="683" t="str">
        <f>IF(AND(F1002&lt;&gt;"",N10&gt;0,M1002&gt;N10),"Mot &gt; limite","")</f>
        <v/>
      </c>
      <c r="M1002" s="638">
        <f>IF(OR(F1002="",N10="",N10&lt;=0),"",IF(LEN(F1002)&lt;=N10,LEN(F1002),IFERROR(FIND("♦",SUBSTITUTE(LEFT(F1002,N10)," ","♦",LEN(LEFT(F1002,N10))-LEN(SUBSTITUTE(LEFT(F1002,N10)," ","")))),FIND(" ",F1002&amp;" ",N10+1)-1)))</f>
        <v>1</v>
      </c>
      <c r="N1002" s="686">
        <f t="shared" si="104"/>
        <v>985</v>
      </c>
      <c r="O1002" s="663" t="str">
        <f t="shared" si="105"/>
        <v>0</v>
      </c>
      <c r="P1002" s="686">
        <f t="shared" si="106"/>
        <v>1</v>
      </c>
      <c r="Q1002" s="686">
        <f t="shared" si="107"/>
        <v>1</v>
      </c>
      <c r="DE1002" s="494"/>
      <c r="DF1002" s="496" t="s">
        <v>3054</v>
      </c>
      <c r="DG1002" s="496" t="s">
        <v>8</v>
      </c>
      <c r="DH1002" s="496" t="s">
        <v>689</v>
      </c>
      <c r="DI1002" s="496" t="s">
        <v>3055</v>
      </c>
      <c r="DJ1002" s="496" t="s">
        <v>3055</v>
      </c>
      <c r="DK1002" s="496" t="s">
        <v>1554</v>
      </c>
      <c r="DL1002" s="496" t="s">
        <v>1555</v>
      </c>
      <c r="DM1002" s="496" t="s">
        <v>1981</v>
      </c>
      <c r="DN1002" s="497" t="s">
        <v>1982</v>
      </c>
      <c r="DP1002" s="543">
        <v>1</v>
      </c>
    </row>
    <row r="1003" spans="2:120" ht="15">
      <c r="B1003" s="683"/>
      <c r="C1003" s="683"/>
      <c r="D1003" s="683"/>
      <c r="E1003" s="683" cm="1">
        <f t="array" ref="E1003">IF(H1002&lt;&gt;"",E1002,IF(E1002="","",IFERROR(MATCH(TRUE(),INDEX(INDEX(K:K,E1002+1):K203&lt;&gt;"",0),0)+E1002,"")))</f>
        <v>1144</v>
      </c>
      <c r="F1003" s="684" cm="1">
        <f t="array" ref="F1003">IF(E1003="","",IF(H1002&lt;&gt;"",H1002,INDEX(D:D,E1003)))</f>
        <v>0</v>
      </c>
      <c r="G1003" s="684" t="str">
        <f t="shared" si="102"/>
        <v>0</v>
      </c>
      <c r="H1003" s="685" t="str">
        <f t="shared" si="103"/>
        <v/>
      </c>
      <c r="I1003" s="683" t="str">
        <f>IF(AND(F1003&lt;&gt;"",N10&gt;0,M1003&gt;N10),"Mot &gt; limite","")</f>
        <v/>
      </c>
      <c r="M1003" s="638">
        <f>IF(OR(F1003="",N10="",N10&lt;=0),"",IF(LEN(F1003)&lt;=N10,LEN(F1003),IFERROR(FIND("♦",SUBSTITUTE(LEFT(F1003,N10)," ","♦",LEN(LEFT(F1003,N10))-LEN(SUBSTITUTE(LEFT(F1003,N10)," ","")))),FIND(" ",F1003&amp;" ",N10+1)-1)))</f>
        <v>1</v>
      </c>
      <c r="N1003" s="686">
        <f t="shared" si="104"/>
        <v>986</v>
      </c>
      <c r="O1003" s="663" t="str">
        <f t="shared" si="105"/>
        <v>0</v>
      </c>
      <c r="P1003" s="686">
        <f t="shared" si="106"/>
        <v>1</v>
      </c>
      <c r="Q1003" s="686">
        <f t="shared" si="107"/>
        <v>1</v>
      </c>
      <c r="DE1003" s="494"/>
      <c r="DF1003" s="496" t="s">
        <v>3056</v>
      </c>
      <c r="DG1003" s="496" t="s">
        <v>8</v>
      </c>
      <c r="DH1003" s="496" t="s">
        <v>689</v>
      </c>
      <c r="DI1003" s="496" t="s">
        <v>3057</v>
      </c>
      <c r="DJ1003" s="496" t="s">
        <v>3057</v>
      </c>
      <c r="DK1003" s="496" t="s">
        <v>1554</v>
      </c>
      <c r="DL1003" s="496" t="s">
        <v>1555</v>
      </c>
      <c r="DM1003" s="496" t="s">
        <v>1981</v>
      </c>
      <c r="DN1003" s="497" t="s">
        <v>1982</v>
      </c>
      <c r="DP1003" s="543">
        <v>1</v>
      </c>
    </row>
    <row r="1004" spans="2:120" ht="15">
      <c r="B1004" s="683"/>
      <c r="C1004" s="683"/>
      <c r="D1004" s="683"/>
      <c r="E1004" s="683" cm="1">
        <f t="array" ref="E1004">IF(H1003&lt;&gt;"",E1003,IF(E1003="","",IFERROR(MATCH(TRUE(),INDEX(INDEX(K:K,E1003+1):K203&lt;&gt;"",0),0)+E1003,"")))</f>
        <v>1145</v>
      </c>
      <c r="F1004" s="684" cm="1">
        <f t="array" ref="F1004">IF(E1004="","",IF(H1003&lt;&gt;"",H1003,INDEX(D:D,E1004)))</f>
        <v>0</v>
      </c>
      <c r="G1004" s="684" t="str">
        <f t="shared" si="102"/>
        <v>0</v>
      </c>
      <c r="H1004" s="685" t="str">
        <f t="shared" si="103"/>
        <v/>
      </c>
      <c r="I1004" s="683" t="str">
        <f>IF(AND(F1004&lt;&gt;"",N10&gt;0,M1004&gt;N10),"Mot &gt; limite","")</f>
        <v/>
      </c>
      <c r="M1004" s="638">
        <f>IF(OR(F1004="",N10="",N10&lt;=0),"",IF(LEN(F1004)&lt;=N10,LEN(F1004),IFERROR(FIND("♦",SUBSTITUTE(LEFT(F1004,N10)," ","♦",LEN(LEFT(F1004,N10))-LEN(SUBSTITUTE(LEFT(F1004,N10)," ","")))),FIND(" ",F1004&amp;" ",N10+1)-1)))</f>
        <v>1</v>
      </c>
      <c r="N1004" s="686">
        <f t="shared" si="104"/>
        <v>987</v>
      </c>
      <c r="O1004" s="663" t="str">
        <f t="shared" si="105"/>
        <v>0</v>
      </c>
      <c r="P1004" s="686">
        <f t="shared" si="106"/>
        <v>1</v>
      </c>
      <c r="Q1004" s="686">
        <f t="shared" si="107"/>
        <v>1</v>
      </c>
      <c r="DE1004" s="494"/>
      <c r="DF1004" s="496" t="s">
        <v>3058</v>
      </c>
      <c r="DG1004" s="496" t="s">
        <v>8</v>
      </c>
      <c r="DH1004" s="496" t="s">
        <v>689</v>
      </c>
      <c r="DI1004" s="496" t="s">
        <v>3059</v>
      </c>
      <c r="DJ1004" s="496" t="s">
        <v>3059</v>
      </c>
      <c r="DK1004" s="496" t="s">
        <v>1554</v>
      </c>
      <c r="DL1004" s="496" t="s">
        <v>1555</v>
      </c>
      <c r="DM1004" s="496" t="s">
        <v>1981</v>
      </c>
      <c r="DN1004" s="497" t="s">
        <v>1982</v>
      </c>
      <c r="DP1004" s="543">
        <v>1</v>
      </c>
    </row>
    <row r="1005" spans="2:120" ht="15">
      <c r="B1005" s="683"/>
      <c r="C1005" s="683"/>
      <c r="D1005" s="683"/>
      <c r="E1005" s="683" cm="1">
        <f t="array" ref="E1005">IF(H1004&lt;&gt;"",E1004,IF(E1004="","",IFERROR(MATCH(TRUE(),INDEX(INDEX(K:K,E1004+1):K203&lt;&gt;"",0),0)+E1004,"")))</f>
        <v>1146</v>
      </c>
      <c r="F1005" s="684" cm="1">
        <f t="array" ref="F1005">IF(E1005="","",IF(H1004&lt;&gt;"",H1004,INDEX(D:D,E1005)))</f>
        <v>0</v>
      </c>
      <c r="G1005" s="684" t="str">
        <f t="shared" si="102"/>
        <v>0</v>
      </c>
      <c r="H1005" s="685" t="str">
        <f t="shared" si="103"/>
        <v/>
      </c>
      <c r="I1005" s="683" t="str">
        <f>IF(AND(F1005&lt;&gt;"",N10&gt;0,M1005&gt;N10),"Mot &gt; limite","")</f>
        <v/>
      </c>
      <c r="M1005" s="638">
        <f>IF(OR(F1005="",N10="",N10&lt;=0),"",IF(LEN(F1005)&lt;=N10,LEN(F1005),IFERROR(FIND("♦",SUBSTITUTE(LEFT(F1005,N10)," ","♦",LEN(LEFT(F1005,N10))-LEN(SUBSTITUTE(LEFT(F1005,N10)," ","")))),FIND(" ",F1005&amp;" ",N10+1)-1)))</f>
        <v>1</v>
      </c>
      <c r="N1005" s="686">
        <f t="shared" si="104"/>
        <v>988</v>
      </c>
      <c r="O1005" s="663" t="str">
        <f t="shared" si="105"/>
        <v>0</v>
      </c>
      <c r="P1005" s="686">
        <f t="shared" si="106"/>
        <v>1</v>
      </c>
      <c r="Q1005" s="686">
        <f t="shared" si="107"/>
        <v>1</v>
      </c>
      <c r="DE1005" s="494"/>
      <c r="DF1005" s="496" t="s">
        <v>3060</v>
      </c>
      <c r="DG1005" s="496" t="s">
        <v>8</v>
      </c>
      <c r="DH1005" s="496" t="s">
        <v>689</v>
      </c>
      <c r="DI1005" s="496" t="s">
        <v>3061</v>
      </c>
      <c r="DJ1005" s="496" t="s">
        <v>3061</v>
      </c>
      <c r="DK1005" s="496" t="s">
        <v>1554</v>
      </c>
      <c r="DL1005" s="496" t="s">
        <v>1555</v>
      </c>
      <c r="DM1005" s="496" t="s">
        <v>1981</v>
      </c>
      <c r="DN1005" s="497" t="s">
        <v>1982</v>
      </c>
      <c r="DP1005" s="543">
        <v>1</v>
      </c>
    </row>
    <row r="1006" spans="2:120" ht="15">
      <c r="B1006" s="683"/>
      <c r="C1006" s="683"/>
      <c r="D1006" s="683"/>
      <c r="E1006" s="683" cm="1">
        <f t="array" ref="E1006">IF(H1005&lt;&gt;"",E1005,IF(E1005="","",IFERROR(MATCH(TRUE(),INDEX(INDEX(K:K,E1005+1):K203&lt;&gt;"",0),0)+E1005,"")))</f>
        <v>1147</v>
      </c>
      <c r="F1006" s="684" cm="1">
        <f t="array" ref="F1006">IF(E1006="","",IF(H1005&lt;&gt;"",H1005,INDEX(D:D,E1006)))</f>
        <v>0</v>
      </c>
      <c r="G1006" s="684" t="str">
        <f t="shared" si="102"/>
        <v>0</v>
      </c>
      <c r="H1006" s="685" t="str">
        <f t="shared" si="103"/>
        <v/>
      </c>
      <c r="I1006" s="683" t="str">
        <f>IF(AND(F1006&lt;&gt;"",N10&gt;0,M1006&gt;N10),"Mot &gt; limite","")</f>
        <v/>
      </c>
      <c r="M1006" s="638">
        <f>IF(OR(F1006="",N10="",N10&lt;=0),"",IF(LEN(F1006)&lt;=N10,LEN(F1006),IFERROR(FIND("♦",SUBSTITUTE(LEFT(F1006,N10)," ","♦",LEN(LEFT(F1006,N10))-LEN(SUBSTITUTE(LEFT(F1006,N10)," ","")))),FIND(" ",F1006&amp;" ",N10+1)-1)))</f>
        <v>1</v>
      </c>
      <c r="N1006" s="686">
        <f t="shared" si="104"/>
        <v>989</v>
      </c>
      <c r="O1006" s="663" t="str">
        <f t="shared" si="105"/>
        <v>0</v>
      </c>
      <c r="P1006" s="686">
        <f t="shared" si="106"/>
        <v>1</v>
      </c>
      <c r="Q1006" s="686">
        <f t="shared" si="107"/>
        <v>1</v>
      </c>
      <c r="DE1006" s="494"/>
      <c r="DF1006" s="496" t="s">
        <v>3062</v>
      </c>
      <c r="DG1006" s="496" t="s">
        <v>8</v>
      </c>
      <c r="DH1006" s="496" t="s">
        <v>689</v>
      </c>
      <c r="DI1006" s="496" t="s">
        <v>3063</v>
      </c>
      <c r="DJ1006" s="496" t="s">
        <v>3063</v>
      </c>
      <c r="DK1006" s="496" t="s">
        <v>1085</v>
      </c>
      <c r="DL1006" s="496" t="s">
        <v>2063</v>
      </c>
      <c r="DM1006" s="496" t="s">
        <v>1087</v>
      </c>
      <c r="DN1006" s="497" t="s">
        <v>1088</v>
      </c>
      <c r="DP1006" s="543">
        <v>1</v>
      </c>
    </row>
    <row r="1007" spans="2:120" ht="15">
      <c r="B1007" s="683"/>
      <c r="C1007" s="683"/>
      <c r="D1007" s="683"/>
      <c r="E1007" s="683" cm="1">
        <f t="array" ref="E1007">IF(H1006&lt;&gt;"",E1006,IF(E1006="","",IFERROR(MATCH(TRUE(),INDEX(INDEX(K:K,E1006+1):K203&lt;&gt;"",0),0)+E1006,"")))</f>
        <v>1148</v>
      </c>
      <c r="F1007" s="684" cm="1">
        <f t="array" ref="F1007">IF(E1007="","",IF(H1006&lt;&gt;"",H1006,INDEX(D:D,E1007)))</f>
        <v>0</v>
      </c>
      <c r="G1007" s="684" t="str">
        <f t="shared" si="102"/>
        <v>0</v>
      </c>
      <c r="H1007" s="685" t="str">
        <f t="shared" si="103"/>
        <v/>
      </c>
      <c r="I1007" s="683" t="str">
        <f>IF(AND(F1007&lt;&gt;"",N10&gt;0,M1007&gt;N10),"Mot &gt; limite","")</f>
        <v/>
      </c>
      <c r="M1007" s="638">
        <f>IF(OR(F1007="",N10="",N10&lt;=0),"",IF(LEN(F1007)&lt;=N10,LEN(F1007),IFERROR(FIND("♦",SUBSTITUTE(LEFT(F1007,N10)," ","♦",LEN(LEFT(F1007,N10))-LEN(SUBSTITUTE(LEFT(F1007,N10)," ","")))),FIND(" ",F1007&amp;" ",N10+1)-1)))</f>
        <v>1</v>
      </c>
      <c r="N1007" s="686">
        <f t="shared" si="104"/>
        <v>990</v>
      </c>
      <c r="O1007" s="663" t="str">
        <f t="shared" si="105"/>
        <v>0</v>
      </c>
      <c r="P1007" s="686">
        <f t="shared" si="106"/>
        <v>1</v>
      </c>
      <c r="Q1007" s="686">
        <f t="shared" si="107"/>
        <v>1</v>
      </c>
      <c r="DE1007" s="494"/>
      <c r="DF1007" s="496" t="s">
        <v>3064</v>
      </c>
      <c r="DG1007" s="496" t="s">
        <v>8</v>
      </c>
      <c r="DH1007" s="496" t="s">
        <v>689</v>
      </c>
      <c r="DI1007" s="496" t="s">
        <v>3065</v>
      </c>
      <c r="DJ1007" s="496" t="s">
        <v>3065</v>
      </c>
      <c r="DK1007" s="496" t="s">
        <v>1554</v>
      </c>
      <c r="DL1007" s="496" t="s">
        <v>1555</v>
      </c>
      <c r="DM1007" s="496" t="s">
        <v>1981</v>
      </c>
      <c r="DN1007" s="497" t="s">
        <v>1982</v>
      </c>
      <c r="DP1007" s="543">
        <v>1</v>
      </c>
    </row>
    <row r="1008" spans="2:120" ht="15">
      <c r="B1008" s="683"/>
      <c r="C1008" s="683"/>
      <c r="D1008" s="683"/>
      <c r="E1008" s="683" cm="1">
        <f t="array" ref="E1008">IF(H1007&lt;&gt;"",E1007,IF(E1007="","",IFERROR(MATCH(TRUE(),INDEX(INDEX(K:K,E1007+1):K203&lt;&gt;"",0),0)+E1007,"")))</f>
        <v>1149</v>
      </c>
      <c r="F1008" s="684" cm="1">
        <f t="array" ref="F1008">IF(E1008="","",IF(H1007&lt;&gt;"",H1007,INDEX(D:D,E1008)))</f>
        <v>0</v>
      </c>
      <c r="G1008" s="684" t="str">
        <f t="shared" si="102"/>
        <v>0</v>
      </c>
      <c r="H1008" s="685" t="str">
        <f t="shared" si="103"/>
        <v/>
      </c>
      <c r="I1008" s="683" t="str">
        <f>IF(AND(F1008&lt;&gt;"",N10&gt;0,M1008&gt;N10),"Mot &gt; limite","")</f>
        <v/>
      </c>
      <c r="M1008" s="638">
        <f>IF(OR(F1008="",N10="",N10&lt;=0),"",IF(LEN(F1008)&lt;=N10,LEN(F1008),IFERROR(FIND("♦",SUBSTITUTE(LEFT(F1008,N10)," ","♦",LEN(LEFT(F1008,N10))-LEN(SUBSTITUTE(LEFT(F1008,N10)," ","")))),FIND(" ",F1008&amp;" ",N10+1)-1)))</f>
        <v>1</v>
      </c>
      <c r="N1008" s="686">
        <f t="shared" si="104"/>
        <v>991</v>
      </c>
      <c r="O1008" s="663" t="str">
        <f t="shared" si="105"/>
        <v>0</v>
      </c>
      <c r="P1008" s="686">
        <f t="shared" si="106"/>
        <v>1</v>
      </c>
      <c r="Q1008" s="686">
        <f t="shared" si="107"/>
        <v>1</v>
      </c>
      <c r="DE1008" s="494"/>
      <c r="DF1008" s="496" t="s">
        <v>3066</v>
      </c>
      <c r="DG1008" s="496" t="s">
        <v>8</v>
      </c>
      <c r="DH1008" s="496" t="s">
        <v>689</v>
      </c>
      <c r="DI1008" s="496" t="s">
        <v>3067</v>
      </c>
      <c r="DJ1008" s="496" t="s">
        <v>3067</v>
      </c>
      <c r="DK1008" s="496" t="s">
        <v>1554</v>
      </c>
      <c r="DL1008" s="496" t="s">
        <v>1555</v>
      </c>
      <c r="DM1008" s="496" t="s">
        <v>1981</v>
      </c>
      <c r="DN1008" s="497" t="s">
        <v>1982</v>
      </c>
      <c r="DP1008" s="543">
        <v>1</v>
      </c>
    </row>
    <row r="1009" spans="2:120" ht="15">
      <c r="B1009" s="683"/>
      <c r="C1009" s="683"/>
      <c r="D1009" s="683"/>
      <c r="E1009" s="683" cm="1">
        <f t="array" ref="E1009">IF(H1008&lt;&gt;"",E1008,IF(E1008="","",IFERROR(MATCH(TRUE(),INDEX(INDEX(K:K,E1008+1):K203&lt;&gt;"",0),0)+E1008,"")))</f>
        <v>1150</v>
      </c>
      <c r="F1009" s="684" cm="1">
        <f t="array" ref="F1009">IF(E1009="","",IF(H1008&lt;&gt;"",H1008,INDEX(D:D,E1009)))</f>
        <v>0</v>
      </c>
      <c r="G1009" s="684" t="str">
        <f t="shared" si="102"/>
        <v>0</v>
      </c>
      <c r="H1009" s="685" t="str">
        <f t="shared" si="103"/>
        <v/>
      </c>
      <c r="I1009" s="683" t="str">
        <f>IF(AND(F1009&lt;&gt;"",N10&gt;0,M1009&gt;N10),"Mot &gt; limite","")</f>
        <v/>
      </c>
      <c r="M1009" s="638">
        <f>IF(OR(F1009="",N10="",N10&lt;=0),"",IF(LEN(F1009)&lt;=N10,LEN(F1009),IFERROR(FIND("♦",SUBSTITUTE(LEFT(F1009,N10)," ","♦",LEN(LEFT(F1009,N10))-LEN(SUBSTITUTE(LEFT(F1009,N10)," ","")))),FIND(" ",F1009&amp;" ",N10+1)-1)))</f>
        <v>1</v>
      </c>
      <c r="N1009" s="686">
        <f t="shared" si="104"/>
        <v>992</v>
      </c>
      <c r="O1009" s="663" t="str">
        <f t="shared" si="105"/>
        <v>0</v>
      </c>
      <c r="P1009" s="686">
        <f t="shared" si="106"/>
        <v>1</v>
      </c>
      <c r="Q1009" s="686">
        <f t="shared" si="107"/>
        <v>1</v>
      </c>
      <c r="DE1009" s="494"/>
      <c r="DF1009" s="496" t="s">
        <v>3068</v>
      </c>
      <c r="DG1009" s="496" t="s">
        <v>8</v>
      </c>
      <c r="DH1009" s="496" t="s">
        <v>689</v>
      </c>
      <c r="DI1009" s="496" t="s">
        <v>3069</v>
      </c>
      <c r="DJ1009" s="496" t="s">
        <v>3069</v>
      </c>
      <c r="DK1009" s="496" t="s">
        <v>1554</v>
      </c>
      <c r="DL1009" s="496" t="s">
        <v>1555</v>
      </c>
      <c r="DM1009" s="496" t="s">
        <v>1981</v>
      </c>
      <c r="DN1009" s="497" t="s">
        <v>1982</v>
      </c>
      <c r="DP1009" s="543">
        <v>1</v>
      </c>
    </row>
    <row r="1010" spans="2:120" ht="15">
      <c r="B1010" s="683"/>
      <c r="C1010" s="683"/>
      <c r="D1010" s="683"/>
      <c r="E1010" s="683" cm="1">
        <f t="array" ref="E1010">IF(H1009&lt;&gt;"",E1009,IF(E1009="","",IFERROR(MATCH(TRUE(),INDEX(INDEX(K:K,E1009+1):K203&lt;&gt;"",0),0)+E1009,"")))</f>
        <v>1151</v>
      </c>
      <c r="F1010" s="684" cm="1">
        <f t="array" ref="F1010">IF(E1010="","",IF(H1009&lt;&gt;"",H1009,INDEX(D:D,E1010)))</f>
        <v>0</v>
      </c>
      <c r="G1010" s="684" t="str">
        <f t="shared" si="102"/>
        <v>0</v>
      </c>
      <c r="H1010" s="685" t="str">
        <f t="shared" si="103"/>
        <v/>
      </c>
      <c r="I1010" s="683" t="str">
        <f>IF(AND(F1010&lt;&gt;"",N10&gt;0,M1010&gt;N10),"Mot &gt; limite","")</f>
        <v/>
      </c>
      <c r="M1010" s="638">
        <f>IF(OR(F1010="",N10="",N10&lt;=0),"",IF(LEN(F1010)&lt;=N10,LEN(F1010),IFERROR(FIND("♦",SUBSTITUTE(LEFT(F1010,N10)," ","♦",LEN(LEFT(F1010,N10))-LEN(SUBSTITUTE(LEFT(F1010,N10)," ","")))),FIND(" ",F1010&amp;" ",N10+1)-1)))</f>
        <v>1</v>
      </c>
      <c r="N1010" s="686">
        <f t="shared" si="104"/>
        <v>993</v>
      </c>
      <c r="O1010" s="663" t="str">
        <f t="shared" si="105"/>
        <v>0</v>
      </c>
      <c r="P1010" s="686">
        <f t="shared" si="106"/>
        <v>1</v>
      </c>
      <c r="Q1010" s="686">
        <f t="shared" si="107"/>
        <v>1</v>
      </c>
      <c r="DE1010" s="494"/>
      <c r="DF1010" s="496" t="s">
        <v>3070</v>
      </c>
      <c r="DG1010" s="496" t="s">
        <v>8</v>
      </c>
      <c r="DH1010" s="496" t="s">
        <v>689</v>
      </c>
      <c r="DI1010" s="496" t="s">
        <v>3071</v>
      </c>
      <c r="DJ1010" s="496" t="s">
        <v>3071</v>
      </c>
      <c r="DK1010" s="496" t="s">
        <v>1554</v>
      </c>
      <c r="DL1010" s="496" t="s">
        <v>1555</v>
      </c>
      <c r="DM1010" s="496" t="s">
        <v>1981</v>
      </c>
      <c r="DN1010" s="497" t="s">
        <v>1982</v>
      </c>
      <c r="DP1010" s="543">
        <v>1</v>
      </c>
    </row>
    <row r="1011" spans="2:120" ht="15">
      <c r="B1011" s="683"/>
      <c r="C1011" s="683"/>
      <c r="D1011" s="683"/>
      <c r="E1011" s="683" cm="1">
        <f t="array" ref="E1011">IF(H1010&lt;&gt;"",E1010,IF(E1010="","",IFERROR(MATCH(TRUE(),INDEX(INDEX(K:K,E1010+1):K203&lt;&gt;"",0),0)+E1010,"")))</f>
        <v>1152</v>
      </c>
      <c r="F1011" s="684" cm="1">
        <f t="array" ref="F1011">IF(E1011="","",IF(H1010&lt;&gt;"",H1010,INDEX(D:D,E1011)))</f>
        <v>0</v>
      </c>
      <c r="G1011" s="684" t="str">
        <f t="shared" si="102"/>
        <v>0</v>
      </c>
      <c r="H1011" s="685" t="str">
        <f t="shared" si="103"/>
        <v/>
      </c>
      <c r="I1011" s="683" t="str">
        <f>IF(AND(F1011&lt;&gt;"",N10&gt;0,M1011&gt;N10),"Mot &gt; limite","")</f>
        <v/>
      </c>
      <c r="M1011" s="638">
        <f>IF(OR(F1011="",N10="",N10&lt;=0),"",IF(LEN(F1011)&lt;=N10,LEN(F1011),IFERROR(FIND("♦",SUBSTITUTE(LEFT(F1011,N10)," ","♦",LEN(LEFT(F1011,N10))-LEN(SUBSTITUTE(LEFT(F1011,N10)," ","")))),FIND(" ",F1011&amp;" ",N10+1)-1)))</f>
        <v>1</v>
      </c>
      <c r="N1011" s="686">
        <f t="shared" si="104"/>
        <v>994</v>
      </c>
      <c r="O1011" s="663" t="str">
        <f t="shared" si="105"/>
        <v>0</v>
      </c>
      <c r="P1011" s="686">
        <f t="shared" si="106"/>
        <v>1</v>
      </c>
      <c r="Q1011" s="686">
        <f t="shared" si="107"/>
        <v>1</v>
      </c>
      <c r="DE1011" s="494"/>
      <c r="DF1011" s="496" t="s">
        <v>3072</v>
      </c>
      <c r="DG1011" s="496" t="s">
        <v>8</v>
      </c>
      <c r="DH1011" s="496" t="s">
        <v>689</v>
      </c>
      <c r="DI1011" s="496" t="s">
        <v>3073</v>
      </c>
      <c r="DJ1011" s="496" t="s">
        <v>3073</v>
      </c>
      <c r="DK1011" s="496" t="s">
        <v>1554</v>
      </c>
      <c r="DL1011" s="496" t="s">
        <v>1555</v>
      </c>
      <c r="DM1011" s="496" t="s">
        <v>1981</v>
      </c>
      <c r="DN1011" s="497" t="s">
        <v>1982</v>
      </c>
      <c r="DP1011" s="543">
        <v>1</v>
      </c>
    </row>
    <row r="1012" spans="2:120" ht="15">
      <c r="B1012" s="683"/>
      <c r="C1012" s="683"/>
      <c r="D1012" s="683"/>
      <c r="E1012" s="683" cm="1">
        <f t="array" ref="E1012">IF(H1011&lt;&gt;"",E1011,IF(E1011="","",IFERROR(MATCH(TRUE(),INDEX(INDEX(K:K,E1011+1):K203&lt;&gt;"",0),0)+E1011,"")))</f>
        <v>1153</v>
      </c>
      <c r="F1012" s="684" cm="1">
        <f t="array" ref="F1012">IF(E1012="","",IF(H1011&lt;&gt;"",H1011,INDEX(D:D,E1012)))</f>
        <v>0</v>
      </c>
      <c r="G1012" s="684" t="str">
        <f t="shared" si="102"/>
        <v>0</v>
      </c>
      <c r="H1012" s="685" t="str">
        <f t="shared" si="103"/>
        <v/>
      </c>
      <c r="I1012" s="683" t="str">
        <f>IF(AND(F1012&lt;&gt;"",N10&gt;0,M1012&gt;N10),"Mot &gt; limite","")</f>
        <v/>
      </c>
      <c r="M1012" s="638">
        <f>IF(OR(F1012="",N10="",N10&lt;=0),"",IF(LEN(F1012)&lt;=N10,LEN(F1012),IFERROR(FIND("♦",SUBSTITUTE(LEFT(F1012,N10)," ","♦",LEN(LEFT(F1012,N10))-LEN(SUBSTITUTE(LEFT(F1012,N10)," ","")))),FIND(" ",F1012&amp;" ",N10+1)-1)))</f>
        <v>1</v>
      </c>
      <c r="N1012" s="686">
        <f t="shared" si="104"/>
        <v>995</v>
      </c>
      <c r="O1012" s="663" t="str">
        <f t="shared" si="105"/>
        <v>0</v>
      </c>
      <c r="P1012" s="686">
        <f t="shared" si="106"/>
        <v>1</v>
      </c>
      <c r="Q1012" s="686">
        <f t="shared" si="107"/>
        <v>1</v>
      </c>
      <c r="DE1012" s="494"/>
      <c r="DF1012" s="496" t="s">
        <v>3074</v>
      </c>
      <c r="DG1012" s="496" t="s">
        <v>8</v>
      </c>
      <c r="DH1012" s="496" t="s">
        <v>689</v>
      </c>
      <c r="DI1012" s="496" t="s">
        <v>1041</v>
      </c>
      <c r="DJ1012" s="496" t="s">
        <v>1041</v>
      </c>
      <c r="DK1012" s="496" t="s">
        <v>1085</v>
      </c>
      <c r="DL1012" s="496" t="s">
        <v>2063</v>
      </c>
      <c r="DM1012" s="496" t="s">
        <v>1087</v>
      </c>
      <c r="DN1012" s="497" t="s">
        <v>1088</v>
      </c>
      <c r="DP1012" s="543">
        <v>1</v>
      </c>
    </row>
    <row r="1013" spans="2:120" ht="15">
      <c r="B1013" s="683"/>
      <c r="C1013" s="683"/>
      <c r="D1013" s="683"/>
      <c r="E1013" s="683" cm="1">
        <f t="array" ref="E1013">IF(H1012&lt;&gt;"",E1012,IF(E1012="","",IFERROR(MATCH(TRUE(),INDEX(INDEX(K:K,E1012+1):K203&lt;&gt;"",0),0)+E1012,"")))</f>
        <v>1154</v>
      </c>
      <c r="F1013" s="684" cm="1">
        <f t="array" ref="F1013">IF(E1013="","",IF(H1012&lt;&gt;"",H1012,INDEX(D:D,E1013)))</f>
        <v>0</v>
      </c>
      <c r="G1013" s="684" t="str">
        <f t="shared" si="102"/>
        <v>0</v>
      </c>
      <c r="H1013" s="685" t="str">
        <f t="shared" si="103"/>
        <v/>
      </c>
      <c r="I1013" s="683" t="str">
        <f>IF(AND(F1013&lt;&gt;"",N10&gt;0,M1013&gt;N10),"Mot &gt; limite","")</f>
        <v/>
      </c>
      <c r="M1013" s="638">
        <f>IF(OR(F1013="",N10="",N10&lt;=0),"",IF(LEN(F1013)&lt;=N10,LEN(F1013),IFERROR(FIND("♦",SUBSTITUTE(LEFT(F1013,N10)," ","♦",LEN(LEFT(F1013,N10))-LEN(SUBSTITUTE(LEFT(F1013,N10)," ","")))),FIND(" ",F1013&amp;" ",N10+1)-1)))</f>
        <v>1</v>
      </c>
      <c r="N1013" s="686">
        <f t="shared" si="104"/>
        <v>996</v>
      </c>
      <c r="O1013" s="663" t="str">
        <f t="shared" si="105"/>
        <v>0</v>
      </c>
      <c r="P1013" s="686">
        <f t="shared" si="106"/>
        <v>1</v>
      </c>
      <c r="Q1013" s="686">
        <f t="shared" si="107"/>
        <v>1</v>
      </c>
      <c r="DE1013" s="494"/>
      <c r="DF1013" s="496" t="s">
        <v>3075</v>
      </c>
      <c r="DG1013" s="496" t="s">
        <v>8</v>
      </c>
      <c r="DH1013" s="496" t="s">
        <v>689</v>
      </c>
      <c r="DI1013" s="496" t="s">
        <v>3076</v>
      </c>
      <c r="DJ1013" s="496" t="s">
        <v>3077</v>
      </c>
      <c r="DK1013" s="496" t="s">
        <v>1085</v>
      </c>
      <c r="DL1013" s="496" t="s">
        <v>2063</v>
      </c>
      <c r="DM1013" s="496" t="s">
        <v>1087</v>
      </c>
      <c r="DN1013" s="497" t="s">
        <v>1088</v>
      </c>
      <c r="DP1013" s="543">
        <v>1</v>
      </c>
    </row>
    <row r="1014" spans="2:120" ht="15">
      <c r="B1014" s="683"/>
      <c r="C1014" s="683"/>
      <c r="D1014" s="683"/>
      <c r="E1014" s="683" cm="1">
        <f t="array" ref="E1014">IF(H1013&lt;&gt;"",E1013,IF(E1013="","",IFERROR(MATCH(TRUE(),INDEX(INDEX(K:K,E1013+1):K203&lt;&gt;"",0),0)+E1013,"")))</f>
        <v>1155</v>
      </c>
      <c r="F1014" s="684" cm="1">
        <f t="array" ref="F1014">IF(E1014="","",IF(H1013&lt;&gt;"",H1013,INDEX(D:D,E1014)))</f>
        <v>0</v>
      </c>
      <c r="G1014" s="684" t="str">
        <f t="shared" si="102"/>
        <v>0</v>
      </c>
      <c r="H1014" s="685" t="str">
        <f t="shared" si="103"/>
        <v/>
      </c>
      <c r="I1014" s="683" t="str">
        <f>IF(AND(F1014&lt;&gt;"",N10&gt;0,M1014&gt;N10),"Mot &gt; limite","")</f>
        <v/>
      </c>
      <c r="M1014" s="638">
        <f>IF(OR(F1014="",N10="",N10&lt;=0),"",IF(LEN(F1014)&lt;=N10,LEN(F1014),IFERROR(FIND("♦",SUBSTITUTE(LEFT(F1014,N10)," ","♦",LEN(LEFT(F1014,N10))-LEN(SUBSTITUTE(LEFT(F1014,N10)," ","")))),FIND(" ",F1014&amp;" ",N10+1)-1)))</f>
        <v>1</v>
      </c>
      <c r="N1014" s="686">
        <f t="shared" si="104"/>
        <v>997</v>
      </c>
      <c r="O1014" s="663" t="str">
        <f t="shared" si="105"/>
        <v>0</v>
      </c>
      <c r="P1014" s="686">
        <f t="shared" si="106"/>
        <v>1</v>
      </c>
      <c r="Q1014" s="686">
        <f t="shared" si="107"/>
        <v>1</v>
      </c>
      <c r="DE1014" s="494"/>
      <c r="DF1014" s="496" t="s">
        <v>3078</v>
      </c>
      <c r="DG1014" s="496" t="s">
        <v>8</v>
      </c>
      <c r="DH1014" s="496" t="s">
        <v>689</v>
      </c>
      <c r="DI1014" s="496" t="s">
        <v>3079</v>
      </c>
      <c r="DJ1014" s="496" t="s">
        <v>1042</v>
      </c>
      <c r="DK1014" s="496" t="s">
        <v>1085</v>
      </c>
      <c r="DL1014" s="496" t="s">
        <v>2063</v>
      </c>
      <c r="DM1014" s="496" t="s">
        <v>1087</v>
      </c>
      <c r="DN1014" s="497" t="s">
        <v>1088</v>
      </c>
      <c r="DP1014" s="543">
        <v>1</v>
      </c>
    </row>
    <row r="1015" spans="2:120" ht="15">
      <c r="B1015" s="683"/>
      <c r="C1015" s="683"/>
      <c r="D1015" s="683"/>
      <c r="E1015" s="683" cm="1">
        <f t="array" ref="E1015">IF(H1014&lt;&gt;"",E1014,IF(E1014="","",IFERROR(MATCH(TRUE(),INDEX(INDEX(K:K,E1014+1):K203&lt;&gt;"",0),0)+E1014,"")))</f>
        <v>1156</v>
      </c>
      <c r="F1015" s="684" cm="1">
        <f t="array" ref="F1015">IF(E1015="","",IF(H1014&lt;&gt;"",H1014,INDEX(D:D,E1015)))</f>
        <v>0</v>
      </c>
      <c r="G1015" s="684" t="str">
        <f t="shared" si="102"/>
        <v>0</v>
      </c>
      <c r="H1015" s="685" t="str">
        <f t="shared" si="103"/>
        <v/>
      </c>
      <c r="I1015" s="683" t="str">
        <f>IF(AND(F1015&lt;&gt;"",N10&gt;0,M1015&gt;N10),"Mot &gt; limite","")</f>
        <v/>
      </c>
      <c r="M1015" s="638">
        <f>IF(OR(F1015="",N10="",N10&lt;=0),"",IF(LEN(F1015)&lt;=N10,LEN(F1015),IFERROR(FIND("♦",SUBSTITUTE(LEFT(F1015,N10)," ","♦",LEN(LEFT(F1015,N10))-LEN(SUBSTITUTE(LEFT(F1015,N10)," ","")))),FIND(" ",F1015&amp;" ",N10+1)-1)))</f>
        <v>1</v>
      </c>
      <c r="N1015" s="686">
        <f t="shared" si="104"/>
        <v>998</v>
      </c>
      <c r="O1015" s="663" t="str">
        <f t="shared" si="105"/>
        <v>0</v>
      </c>
      <c r="P1015" s="686">
        <f t="shared" si="106"/>
        <v>1</v>
      </c>
      <c r="Q1015" s="686">
        <f t="shared" si="107"/>
        <v>1</v>
      </c>
      <c r="DE1015" s="494"/>
      <c r="DF1015" s="496" t="s">
        <v>3080</v>
      </c>
      <c r="DG1015" s="496" t="s">
        <v>8</v>
      </c>
      <c r="DH1015" s="496" t="s">
        <v>689</v>
      </c>
      <c r="DI1015" s="496" t="s">
        <v>3081</v>
      </c>
      <c r="DJ1015" s="496" t="s">
        <v>3082</v>
      </c>
      <c r="DK1015" s="496" t="s">
        <v>1085</v>
      </c>
      <c r="DL1015" s="496" t="s">
        <v>2063</v>
      </c>
      <c r="DM1015" s="496" t="s">
        <v>1087</v>
      </c>
      <c r="DN1015" s="497" t="s">
        <v>1088</v>
      </c>
      <c r="DP1015" s="543">
        <v>1</v>
      </c>
    </row>
    <row r="1016" spans="2:120" ht="15">
      <c r="B1016" s="683"/>
      <c r="C1016" s="683"/>
      <c r="D1016" s="683"/>
      <c r="E1016" s="683" cm="1">
        <f t="array" ref="E1016">IF(H1015&lt;&gt;"",E1015,IF(E1015="","",IFERROR(MATCH(TRUE(),INDEX(INDEX(K:K,E1015+1):K203&lt;&gt;"",0),0)+E1015,"")))</f>
        <v>1157</v>
      </c>
      <c r="F1016" s="684" cm="1">
        <f t="array" ref="F1016">IF(E1016="","",IF(H1015&lt;&gt;"",H1015,INDEX(D:D,E1016)))</f>
        <v>0</v>
      </c>
      <c r="G1016" s="684" t="str">
        <f t="shared" si="102"/>
        <v>0</v>
      </c>
      <c r="H1016" s="685" t="str">
        <f t="shared" si="103"/>
        <v/>
      </c>
      <c r="I1016" s="683" t="str">
        <f>IF(AND(F1016&lt;&gt;"",N10&gt;0,M1016&gt;N10),"Mot &gt; limite","")</f>
        <v/>
      </c>
      <c r="M1016" s="638">
        <f>IF(OR(F1016="",N10="",N10&lt;=0),"",IF(LEN(F1016)&lt;=N10,LEN(F1016),IFERROR(FIND("♦",SUBSTITUTE(LEFT(F1016,N10)," ","♦",LEN(LEFT(F1016,N10))-LEN(SUBSTITUTE(LEFT(F1016,N10)," ","")))),FIND(" ",F1016&amp;" ",N10+1)-1)))</f>
        <v>1</v>
      </c>
      <c r="N1016" s="686">
        <f t="shared" si="104"/>
        <v>999</v>
      </c>
      <c r="O1016" s="663" t="str">
        <f t="shared" si="105"/>
        <v>0</v>
      </c>
      <c r="P1016" s="686">
        <f t="shared" si="106"/>
        <v>1</v>
      </c>
      <c r="Q1016" s="686">
        <f t="shared" si="107"/>
        <v>1</v>
      </c>
      <c r="DE1016" s="494"/>
      <c r="DF1016" s="496" t="s">
        <v>3083</v>
      </c>
      <c r="DG1016" s="496" t="s">
        <v>8</v>
      </c>
      <c r="DH1016" s="496" t="s">
        <v>689</v>
      </c>
      <c r="DI1016" s="496" t="s">
        <v>3084</v>
      </c>
      <c r="DJ1016" s="496" t="s">
        <v>3085</v>
      </c>
      <c r="DK1016" s="496" t="s">
        <v>1085</v>
      </c>
      <c r="DL1016" s="496" t="s">
        <v>2063</v>
      </c>
      <c r="DM1016" s="496" t="s">
        <v>1087</v>
      </c>
      <c r="DN1016" s="497" t="s">
        <v>1088</v>
      </c>
      <c r="DP1016" s="543">
        <v>1</v>
      </c>
    </row>
    <row r="1017" spans="2:120" ht="15">
      <c r="B1017" s="683"/>
      <c r="C1017" s="683"/>
      <c r="D1017" s="683"/>
      <c r="E1017" s="683" cm="1">
        <f t="array" ref="E1017">IF(H1016&lt;&gt;"",E1016,IF(E1016="","",IFERROR(MATCH(TRUE(),INDEX(INDEX(K:K,E1016+1):K203&lt;&gt;"",0),0)+E1016,"")))</f>
        <v>1158</v>
      </c>
      <c r="F1017" s="684" cm="1">
        <f t="array" ref="F1017">IF(E1017="","",IF(H1016&lt;&gt;"",H1016,INDEX(D:D,E1017)))</f>
        <v>0</v>
      </c>
      <c r="G1017" s="684" t="str">
        <f t="shared" si="102"/>
        <v>0</v>
      </c>
      <c r="H1017" s="685" t="str">
        <f t="shared" si="103"/>
        <v/>
      </c>
      <c r="I1017" s="683" t="str">
        <f>IF(AND(F1017&lt;&gt;"",N10&gt;0,M1017&gt;N10),"Mot &gt; limite","")</f>
        <v/>
      </c>
      <c r="M1017" s="638">
        <f>IF(OR(F1017="",N10="",N10&lt;=0),"",IF(LEN(F1017)&lt;=N10,LEN(F1017),IFERROR(FIND("♦",SUBSTITUTE(LEFT(F1017,N10)," ","♦",LEN(LEFT(F1017,N10))-LEN(SUBSTITUTE(LEFT(F1017,N10)," ","")))),FIND(" ",F1017&amp;" ",N10+1)-1)))</f>
        <v>1</v>
      </c>
      <c r="N1017" s="686">
        <f t="shared" si="104"/>
        <v>1000</v>
      </c>
      <c r="O1017" s="663" t="str">
        <f t="shared" si="105"/>
        <v>0</v>
      </c>
      <c r="P1017" s="686">
        <f t="shared" si="106"/>
        <v>1</v>
      </c>
      <c r="Q1017" s="686">
        <f t="shared" si="107"/>
        <v>1</v>
      </c>
      <c r="DE1017" s="494"/>
      <c r="DF1017" s="496" t="s">
        <v>3086</v>
      </c>
      <c r="DG1017" s="496" t="s">
        <v>8</v>
      </c>
      <c r="DH1017" s="496" t="s">
        <v>689</v>
      </c>
      <c r="DI1017" s="496" t="s">
        <v>3087</v>
      </c>
      <c r="DJ1017" s="496" t="s">
        <v>3087</v>
      </c>
      <c r="DK1017" s="496" t="s">
        <v>1554</v>
      </c>
      <c r="DL1017" s="496" t="s">
        <v>1555</v>
      </c>
      <c r="DM1017" s="496" t="s">
        <v>1981</v>
      </c>
      <c r="DN1017" s="497" t="s">
        <v>1982</v>
      </c>
      <c r="DP1017" s="543">
        <v>1</v>
      </c>
    </row>
    <row r="1018" spans="2:120" ht="15">
      <c r="DE1018" s="494"/>
      <c r="DF1018" s="496" t="s">
        <v>3088</v>
      </c>
      <c r="DG1018" s="496" t="s">
        <v>8</v>
      </c>
      <c r="DH1018" s="496" t="s">
        <v>689</v>
      </c>
      <c r="DI1018" s="496" t="s">
        <v>3089</v>
      </c>
      <c r="DJ1018" s="496" t="s">
        <v>3089</v>
      </c>
      <c r="DK1018" s="496" t="s">
        <v>1554</v>
      </c>
      <c r="DL1018" s="496" t="s">
        <v>1555</v>
      </c>
      <c r="DM1018" s="496" t="s">
        <v>1981</v>
      </c>
      <c r="DN1018" s="497" t="s">
        <v>1982</v>
      </c>
      <c r="DP1018" s="543">
        <v>1</v>
      </c>
    </row>
    <row r="1019" spans="2:120" ht="15">
      <c r="DE1019" s="494"/>
      <c r="DF1019" s="496" t="s">
        <v>3090</v>
      </c>
      <c r="DG1019" s="496" t="s">
        <v>8</v>
      </c>
      <c r="DH1019" s="496" t="s">
        <v>689</v>
      </c>
      <c r="DI1019" s="496" t="s">
        <v>3091</v>
      </c>
      <c r="DJ1019" s="496" t="s">
        <v>3091</v>
      </c>
      <c r="DK1019" s="496" t="s">
        <v>1554</v>
      </c>
      <c r="DL1019" s="496" t="s">
        <v>1555</v>
      </c>
      <c r="DM1019" s="496" t="s">
        <v>1981</v>
      </c>
      <c r="DN1019" s="497" t="s">
        <v>1982</v>
      </c>
      <c r="DP1019" s="543">
        <v>1</v>
      </c>
    </row>
    <row r="1020" spans="2:120" ht="15">
      <c r="DE1020" s="494"/>
      <c r="DF1020" s="496" t="s">
        <v>3092</v>
      </c>
      <c r="DG1020" s="496" t="s">
        <v>8</v>
      </c>
      <c r="DH1020" s="496" t="s">
        <v>689</v>
      </c>
      <c r="DI1020" s="496" t="s">
        <v>3093</v>
      </c>
      <c r="DJ1020" s="496" t="s">
        <v>3093</v>
      </c>
      <c r="DK1020" s="496" t="s">
        <v>1554</v>
      </c>
      <c r="DL1020" s="496" t="s">
        <v>1555</v>
      </c>
      <c r="DM1020" s="496" t="s">
        <v>1981</v>
      </c>
      <c r="DN1020" s="497" t="s">
        <v>1982</v>
      </c>
      <c r="DP1020" s="543">
        <v>1</v>
      </c>
    </row>
    <row r="1021" spans="2:120" ht="15">
      <c r="DE1021" s="494"/>
      <c r="DF1021" s="496" t="s">
        <v>3094</v>
      </c>
      <c r="DG1021" s="496" t="s">
        <v>8</v>
      </c>
      <c r="DH1021" s="496" t="s">
        <v>689</v>
      </c>
      <c r="DI1021" s="496" t="s">
        <v>3095</v>
      </c>
      <c r="DJ1021" s="496" t="s">
        <v>3095</v>
      </c>
      <c r="DK1021" s="496" t="s">
        <v>1554</v>
      </c>
      <c r="DL1021" s="496" t="s">
        <v>1555</v>
      </c>
      <c r="DM1021" s="496" t="s">
        <v>1981</v>
      </c>
      <c r="DN1021" s="497" t="s">
        <v>1982</v>
      </c>
      <c r="DP1021" s="543">
        <v>1</v>
      </c>
    </row>
    <row r="1022" spans="2:120" ht="15">
      <c r="DE1022" s="494"/>
      <c r="DF1022" s="496" t="s">
        <v>3096</v>
      </c>
      <c r="DG1022" s="496" t="s">
        <v>8</v>
      </c>
      <c r="DH1022" s="496" t="s">
        <v>689</v>
      </c>
      <c r="DI1022" s="496" t="s">
        <v>3097</v>
      </c>
      <c r="DJ1022" s="496" t="s">
        <v>3097</v>
      </c>
      <c r="DK1022" s="496" t="s">
        <v>1554</v>
      </c>
      <c r="DL1022" s="496" t="s">
        <v>1555</v>
      </c>
      <c r="DM1022" s="496" t="s">
        <v>1981</v>
      </c>
      <c r="DN1022" s="497" t="s">
        <v>1982</v>
      </c>
      <c r="DP1022" s="543">
        <v>1</v>
      </c>
    </row>
    <row r="1023" spans="2:120" ht="15">
      <c r="DE1023" s="494"/>
      <c r="DF1023" s="496" t="s">
        <v>3098</v>
      </c>
      <c r="DG1023" s="496" t="s">
        <v>8</v>
      </c>
      <c r="DH1023" s="496" t="s">
        <v>689</v>
      </c>
      <c r="DI1023" s="496" t="s">
        <v>3099</v>
      </c>
      <c r="DJ1023" s="496" t="s">
        <v>3099</v>
      </c>
      <c r="DK1023" s="496" t="s">
        <v>1554</v>
      </c>
      <c r="DL1023" s="496" t="s">
        <v>1555</v>
      </c>
      <c r="DM1023" s="496" t="s">
        <v>1981</v>
      </c>
      <c r="DN1023" s="497" t="s">
        <v>1982</v>
      </c>
      <c r="DP1023" s="543">
        <v>1</v>
      </c>
    </row>
    <row r="1024" spans="2:120" ht="15">
      <c r="DE1024" s="494"/>
      <c r="DF1024" s="496" t="s">
        <v>3100</v>
      </c>
      <c r="DG1024" s="496" t="s">
        <v>8</v>
      </c>
      <c r="DH1024" s="496" t="s">
        <v>689</v>
      </c>
      <c r="DI1024" s="496" t="s">
        <v>3101</v>
      </c>
      <c r="DJ1024" s="496" t="s">
        <v>3101</v>
      </c>
      <c r="DK1024" s="496" t="s">
        <v>1554</v>
      </c>
      <c r="DL1024" s="496" t="s">
        <v>1555</v>
      </c>
      <c r="DM1024" s="496" t="s">
        <v>1981</v>
      </c>
      <c r="DN1024" s="497" t="s">
        <v>1982</v>
      </c>
      <c r="DP1024" s="543">
        <v>1</v>
      </c>
    </row>
    <row r="1025" spans="109:120" ht="15">
      <c r="DE1025" s="494"/>
      <c r="DF1025" s="496" t="s">
        <v>3102</v>
      </c>
      <c r="DG1025" s="496" t="s">
        <v>8</v>
      </c>
      <c r="DH1025" s="496" t="s">
        <v>689</v>
      </c>
      <c r="DI1025" s="496" t="s">
        <v>3103</v>
      </c>
      <c r="DJ1025" s="496" t="s">
        <v>3103</v>
      </c>
      <c r="DK1025" s="496" t="s">
        <v>1554</v>
      </c>
      <c r="DL1025" s="496" t="s">
        <v>1555</v>
      </c>
      <c r="DM1025" s="496" t="s">
        <v>1981</v>
      </c>
      <c r="DN1025" s="497" t="s">
        <v>1982</v>
      </c>
      <c r="DP1025" s="543">
        <v>1</v>
      </c>
    </row>
    <row r="1026" spans="109:120" ht="15">
      <c r="DE1026" s="494"/>
      <c r="DF1026" s="496" t="s">
        <v>3104</v>
      </c>
      <c r="DG1026" s="496" t="s">
        <v>8</v>
      </c>
      <c r="DH1026" s="496" t="s">
        <v>689</v>
      </c>
      <c r="DI1026" s="496" t="s">
        <v>3105</v>
      </c>
      <c r="DJ1026" s="496" t="s">
        <v>3105</v>
      </c>
      <c r="DK1026" s="496" t="s">
        <v>1554</v>
      </c>
      <c r="DL1026" s="496" t="s">
        <v>1555</v>
      </c>
      <c r="DM1026" s="496" t="s">
        <v>1981</v>
      </c>
      <c r="DN1026" s="497" t="s">
        <v>1982</v>
      </c>
      <c r="DP1026" s="543">
        <v>1</v>
      </c>
    </row>
    <row r="1027" spans="109:120" ht="15">
      <c r="DE1027" s="494"/>
      <c r="DF1027" s="496" t="s">
        <v>3106</v>
      </c>
      <c r="DG1027" s="496" t="s">
        <v>8</v>
      </c>
      <c r="DH1027" s="496" t="s">
        <v>689</v>
      </c>
      <c r="DI1027" s="496" t="s">
        <v>3107</v>
      </c>
      <c r="DJ1027" s="496" t="s">
        <v>3107</v>
      </c>
      <c r="DK1027" s="496" t="s">
        <v>1554</v>
      </c>
      <c r="DL1027" s="496" t="s">
        <v>1555</v>
      </c>
      <c r="DM1027" s="496" t="s">
        <v>1981</v>
      </c>
      <c r="DN1027" s="497" t="s">
        <v>1982</v>
      </c>
      <c r="DP1027" s="543">
        <v>1</v>
      </c>
    </row>
    <row r="1028" spans="109:120" ht="15">
      <c r="DE1028" s="494"/>
      <c r="DF1028" s="496" t="s">
        <v>3108</v>
      </c>
      <c r="DG1028" s="496" t="s">
        <v>8</v>
      </c>
      <c r="DH1028" s="496" t="s">
        <v>689</v>
      </c>
      <c r="DI1028" s="496" t="s">
        <v>3109</v>
      </c>
      <c r="DJ1028" s="496" t="s">
        <v>3109</v>
      </c>
      <c r="DK1028" s="496" t="s">
        <v>1554</v>
      </c>
      <c r="DL1028" s="496" t="s">
        <v>1555</v>
      </c>
      <c r="DM1028" s="496" t="s">
        <v>1981</v>
      </c>
      <c r="DN1028" s="497" t="s">
        <v>1982</v>
      </c>
      <c r="DP1028" s="543">
        <v>1</v>
      </c>
    </row>
    <row r="1029" spans="109:120" ht="15">
      <c r="DE1029" s="494"/>
      <c r="DF1029" s="496" t="s">
        <v>3110</v>
      </c>
      <c r="DG1029" s="496" t="s">
        <v>8</v>
      </c>
      <c r="DH1029" s="496" t="s">
        <v>689</v>
      </c>
      <c r="DI1029" s="496" t="s">
        <v>3111</v>
      </c>
      <c r="DJ1029" s="496" t="s">
        <v>3111</v>
      </c>
      <c r="DK1029" s="496" t="s">
        <v>1554</v>
      </c>
      <c r="DL1029" s="496" t="s">
        <v>1555</v>
      </c>
      <c r="DM1029" s="496" t="s">
        <v>1981</v>
      </c>
      <c r="DN1029" s="497" t="s">
        <v>1982</v>
      </c>
      <c r="DP1029" s="543">
        <v>1</v>
      </c>
    </row>
    <row r="1030" spans="109:120" ht="15">
      <c r="DE1030" s="494"/>
      <c r="DF1030" s="496" t="s">
        <v>3112</v>
      </c>
      <c r="DG1030" s="496" t="s">
        <v>8</v>
      </c>
      <c r="DH1030" s="496" t="s">
        <v>689</v>
      </c>
      <c r="DI1030" s="496" t="s">
        <v>3113</v>
      </c>
      <c r="DJ1030" s="496" t="s">
        <v>3113</v>
      </c>
      <c r="DK1030" s="496" t="s">
        <v>1554</v>
      </c>
      <c r="DL1030" s="496" t="s">
        <v>1555</v>
      </c>
      <c r="DM1030" s="496" t="s">
        <v>1981</v>
      </c>
      <c r="DN1030" s="497" t="s">
        <v>1982</v>
      </c>
      <c r="DP1030" s="543">
        <v>1</v>
      </c>
    </row>
    <row r="1031" spans="109:120" ht="15">
      <c r="DE1031" s="494"/>
      <c r="DF1031" s="496" t="s">
        <v>3114</v>
      </c>
      <c r="DG1031" s="496" t="s">
        <v>8</v>
      </c>
      <c r="DH1031" s="496" t="s">
        <v>689</v>
      </c>
      <c r="DI1031" s="496" t="s">
        <v>3115</v>
      </c>
      <c r="DJ1031" s="496" t="s">
        <v>3115</v>
      </c>
      <c r="DK1031" s="496" t="s">
        <v>1554</v>
      </c>
      <c r="DL1031" s="496" t="s">
        <v>1555</v>
      </c>
      <c r="DM1031" s="496" t="s">
        <v>1981</v>
      </c>
      <c r="DN1031" s="497" t="s">
        <v>1982</v>
      </c>
      <c r="DP1031" s="543">
        <v>1</v>
      </c>
    </row>
    <row r="1032" spans="109:120" ht="15">
      <c r="DE1032" s="494"/>
      <c r="DF1032" s="496" t="s">
        <v>3116</v>
      </c>
      <c r="DG1032" s="496" t="s">
        <v>8</v>
      </c>
      <c r="DH1032" s="496" t="s">
        <v>689</v>
      </c>
      <c r="DI1032" s="496" t="s">
        <v>3117</v>
      </c>
      <c r="DJ1032" s="496" t="s">
        <v>3117</v>
      </c>
      <c r="DK1032" s="496" t="s">
        <v>1554</v>
      </c>
      <c r="DL1032" s="496" t="s">
        <v>1555</v>
      </c>
      <c r="DM1032" s="496" t="s">
        <v>1981</v>
      </c>
      <c r="DN1032" s="497" t="s">
        <v>1982</v>
      </c>
      <c r="DP1032" s="543">
        <v>1</v>
      </c>
    </row>
    <row r="1033" spans="109:120" ht="15">
      <c r="DE1033" s="494"/>
      <c r="DF1033" s="496" t="s">
        <v>3118</v>
      </c>
      <c r="DG1033" s="496" t="s">
        <v>8</v>
      </c>
      <c r="DH1033" s="496" t="s">
        <v>689</v>
      </c>
      <c r="DI1033" s="496" t="s">
        <v>3119</v>
      </c>
      <c r="DJ1033" s="496" t="s">
        <v>3119</v>
      </c>
      <c r="DK1033" s="496" t="s">
        <v>1554</v>
      </c>
      <c r="DL1033" s="496" t="s">
        <v>1555</v>
      </c>
      <c r="DM1033" s="496" t="s">
        <v>1981</v>
      </c>
      <c r="DN1033" s="497" t="s">
        <v>1982</v>
      </c>
      <c r="DP1033" s="543">
        <v>1</v>
      </c>
    </row>
    <row r="1034" spans="109:120" ht="15">
      <c r="DE1034" s="494"/>
      <c r="DF1034" s="496" t="s">
        <v>3120</v>
      </c>
      <c r="DG1034" s="496" t="s">
        <v>8</v>
      </c>
      <c r="DH1034" s="496" t="s">
        <v>689</v>
      </c>
      <c r="DI1034" s="496" t="s">
        <v>3121</v>
      </c>
      <c r="DJ1034" s="496" t="s">
        <v>3121</v>
      </c>
      <c r="DK1034" s="496" t="s">
        <v>1554</v>
      </c>
      <c r="DL1034" s="496" t="s">
        <v>1555</v>
      </c>
      <c r="DM1034" s="496" t="s">
        <v>1981</v>
      </c>
      <c r="DN1034" s="497" t="s">
        <v>1982</v>
      </c>
      <c r="DP1034" s="543">
        <v>1</v>
      </c>
    </row>
    <row r="1035" spans="109:120" ht="15">
      <c r="DE1035" s="494"/>
      <c r="DF1035" s="496" t="s">
        <v>3122</v>
      </c>
      <c r="DG1035" s="496" t="s">
        <v>8</v>
      </c>
      <c r="DH1035" s="496" t="s">
        <v>689</v>
      </c>
      <c r="DI1035" s="496" t="s">
        <v>3123</v>
      </c>
      <c r="DJ1035" s="496" t="s">
        <v>3123</v>
      </c>
      <c r="DK1035" s="496" t="s">
        <v>1554</v>
      </c>
      <c r="DL1035" s="496" t="s">
        <v>1555</v>
      </c>
      <c r="DM1035" s="496" t="s">
        <v>1981</v>
      </c>
      <c r="DN1035" s="497" t="s">
        <v>1982</v>
      </c>
      <c r="DP1035" s="543">
        <v>1</v>
      </c>
    </row>
    <row r="1036" spans="109:120" ht="15">
      <c r="DE1036" s="494"/>
      <c r="DF1036" s="496" t="s">
        <v>3124</v>
      </c>
      <c r="DG1036" s="496" t="s">
        <v>8</v>
      </c>
      <c r="DH1036" s="496" t="s">
        <v>689</v>
      </c>
      <c r="DI1036" s="496" t="s">
        <v>3125</v>
      </c>
      <c r="DJ1036" s="496" t="s">
        <v>3125</v>
      </c>
      <c r="DK1036" s="496" t="s">
        <v>1554</v>
      </c>
      <c r="DL1036" s="496" t="s">
        <v>1555</v>
      </c>
      <c r="DM1036" s="496" t="s">
        <v>1981</v>
      </c>
      <c r="DN1036" s="497" t="s">
        <v>1982</v>
      </c>
      <c r="DP1036" s="543">
        <v>1</v>
      </c>
    </row>
    <row r="1037" spans="109:120" ht="15">
      <c r="DE1037" s="494"/>
      <c r="DF1037" s="496" t="s">
        <v>3126</v>
      </c>
      <c r="DG1037" s="496" t="s">
        <v>8</v>
      </c>
      <c r="DH1037" s="496" t="s">
        <v>689</v>
      </c>
      <c r="DI1037" s="496" t="s">
        <v>3127</v>
      </c>
      <c r="DJ1037" s="496" t="s">
        <v>3127</v>
      </c>
      <c r="DK1037" s="496" t="s">
        <v>1554</v>
      </c>
      <c r="DL1037" s="496" t="s">
        <v>1555</v>
      </c>
      <c r="DM1037" s="496" t="s">
        <v>1981</v>
      </c>
      <c r="DN1037" s="497" t="s">
        <v>1982</v>
      </c>
      <c r="DP1037" s="543">
        <v>1</v>
      </c>
    </row>
    <row r="1038" spans="109:120" ht="15">
      <c r="DE1038" s="494"/>
      <c r="DF1038" s="496" t="s">
        <v>3128</v>
      </c>
      <c r="DG1038" s="496" t="s">
        <v>8</v>
      </c>
      <c r="DH1038" s="496" t="s">
        <v>689</v>
      </c>
      <c r="DI1038" s="496" t="s">
        <v>3129</v>
      </c>
      <c r="DJ1038" s="496" t="s">
        <v>3129</v>
      </c>
      <c r="DK1038" s="496" t="s">
        <v>1554</v>
      </c>
      <c r="DL1038" s="496" t="s">
        <v>1555</v>
      </c>
      <c r="DM1038" s="496" t="s">
        <v>1981</v>
      </c>
      <c r="DN1038" s="497" t="s">
        <v>1982</v>
      </c>
      <c r="DP1038" s="543">
        <v>1</v>
      </c>
    </row>
    <row r="1039" spans="109:120" ht="15">
      <c r="DE1039" s="494"/>
      <c r="DF1039" s="496" t="s">
        <v>3130</v>
      </c>
      <c r="DG1039" s="496" t="s">
        <v>8</v>
      </c>
      <c r="DH1039" s="496" t="s">
        <v>689</v>
      </c>
      <c r="DI1039" s="496" t="s">
        <v>3131</v>
      </c>
      <c r="DJ1039" s="496" t="s">
        <v>3131</v>
      </c>
      <c r="DK1039" s="496" t="s">
        <v>1554</v>
      </c>
      <c r="DL1039" s="496" t="s">
        <v>1555</v>
      </c>
      <c r="DM1039" s="496" t="s">
        <v>1981</v>
      </c>
      <c r="DN1039" s="497" t="s">
        <v>1982</v>
      </c>
      <c r="DP1039" s="543">
        <v>1</v>
      </c>
    </row>
    <row r="1040" spans="109:120" ht="15">
      <c r="DE1040" s="494"/>
      <c r="DF1040" s="496" t="s">
        <v>3132</v>
      </c>
      <c r="DG1040" s="496" t="s">
        <v>8</v>
      </c>
      <c r="DH1040" s="496" t="s">
        <v>689</v>
      </c>
      <c r="DI1040" s="496" t="s">
        <v>3133</v>
      </c>
      <c r="DJ1040" s="496" t="s">
        <v>3133</v>
      </c>
      <c r="DK1040" s="496" t="s">
        <v>1554</v>
      </c>
      <c r="DL1040" s="496" t="s">
        <v>1555</v>
      </c>
      <c r="DM1040" s="496" t="s">
        <v>1981</v>
      </c>
      <c r="DN1040" s="497" t="s">
        <v>1982</v>
      </c>
      <c r="DP1040" s="543">
        <v>1</v>
      </c>
    </row>
    <row r="1041" spans="109:120" ht="15">
      <c r="DE1041" s="494"/>
      <c r="DF1041" s="496" t="s">
        <v>3134</v>
      </c>
      <c r="DG1041" s="496" t="s">
        <v>8</v>
      </c>
      <c r="DH1041" s="496" t="s">
        <v>689</v>
      </c>
      <c r="DI1041" s="496" t="s">
        <v>3135</v>
      </c>
      <c r="DJ1041" s="496" t="s">
        <v>3135</v>
      </c>
      <c r="DK1041" s="496" t="s">
        <v>1554</v>
      </c>
      <c r="DL1041" s="496" t="s">
        <v>1555</v>
      </c>
      <c r="DM1041" s="496" t="s">
        <v>1981</v>
      </c>
      <c r="DN1041" s="497" t="s">
        <v>1982</v>
      </c>
      <c r="DP1041" s="543">
        <v>1</v>
      </c>
    </row>
    <row r="1042" spans="109:120" ht="15">
      <c r="DE1042" s="494"/>
      <c r="DF1042" s="496" t="s">
        <v>3136</v>
      </c>
      <c r="DG1042" s="496" t="s">
        <v>8</v>
      </c>
      <c r="DH1042" s="496" t="s">
        <v>689</v>
      </c>
      <c r="DI1042" s="496" t="s">
        <v>3137</v>
      </c>
      <c r="DJ1042" s="496" t="s">
        <v>3137</v>
      </c>
      <c r="DK1042" s="496" t="s">
        <v>1554</v>
      </c>
      <c r="DL1042" s="496" t="s">
        <v>1555</v>
      </c>
      <c r="DM1042" s="496" t="s">
        <v>1981</v>
      </c>
      <c r="DN1042" s="497" t="s">
        <v>1982</v>
      </c>
      <c r="DP1042" s="543">
        <v>1</v>
      </c>
    </row>
    <row r="1043" spans="109:120" ht="15">
      <c r="DE1043" s="494"/>
      <c r="DF1043" s="496" t="s">
        <v>3138</v>
      </c>
      <c r="DG1043" s="496" t="s">
        <v>8</v>
      </c>
      <c r="DH1043" s="496" t="s">
        <v>689</v>
      </c>
      <c r="DI1043" s="496" t="s">
        <v>3139</v>
      </c>
      <c r="DJ1043" s="496" t="s">
        <v>3139</v>
      </c>
      <c r="DK1043" s="496" t="s">
        <v>1554</v>
      </c>
      <c r="DL1043" s="496" t="s">
        <v>1555</v>
      </c>
      <c r="DM1043" s="496" t="s">
        <v>1981</v>
      </c>
      <c r="DN1043" s="497" t="s">
        <v>1982</v>
      </c>
      <c r="DP1043" s="543">
        <v>1</v>
      </c>
    </row>
    <row r="1044" spans="109:120" ht="15">
      <c r="DE1044" s="494"/>
      <c r="DF1044" s="496" t="s">
        <v>3140</v>
      </c>
      <c r="DG1044" s="496" t="s">
        <v>8</v>
      </c>
      <c r="DH1044" s="496" t="s">
        <v>689</v>
      </c>
      <c r="DI1044" s="496" t="s">
        <v>3141</v>
      </c>
      <c r="DJ1044" s="496" t="s">
        <v>3141</v>
      </c>
      <c r="DK1044" s="496" t="s">
        <v>1554</v>
      </c>
      <c r="DL1044" s="496" t="s">
        <v>1555</v>
      </c>
      <c r="DM1044" s="496" t="s">
        <v>1981</v>
      </c>
      <c r="DN1044" s="497" t="s">
        <v>1982</v>
      </c>
      <c r="DP1044" s="543">
        <v>1</v>
      </c>
    </row>
    <row r="1045" spans="109:120" ht="15">
      <c r="DE1045" s="494"/>
      <c r="DF1045" s="496" t="s">
        <v>3142</v>
      </c>
      <c r="DG1045" s="496" t="s">
        <v>8</v>
      </c>
      <c r="DH1045" s="496" t="s">
        <v>689</v>
      </c>
      <c r="DI1045" s="496" t="s">
        <v>3143</v>
      </c>
      <c r="DJ1045" s="496" t="s">
        <v>3143</v>
      </c>
      <c r="DK1045" s="496" t="s">
        <v>1554</v>
      </c>
      <c r="DL1045" s="496" t="s">
        <v>1555</v>
      </c>
      <c r="DM1045" s="496" t="s">
        <v>1981</v>
      </c>
      <c r="DN1045" s="497" t="s">
        <v>1982</v>
      </c>
      <c r="DP1045" s="543">
        <v>1</v>
      </c>
    </row>
    <row r="1046" spans="109:120" ht="15">
      <c r="DE1046" s="494"/>
      <c r="DF1046" s="496" t="s">
        <v>3144</v>
      </c>
      <c r="DG1046" s="496" t="s">
        <v>8</v>
      </c>
      <c r="DH1046" s="496" t="s">
        <v>689</v>
      </c>
      <c r="DI1046" s="496" t="s">
        <v>3145</v>
      </c>
      <c r="DJ1046" s="496" t="s">
        <v>3145</v>
      </c>
      <c r="DK1046" s="496" t="s">
        <v>1554</v>
      </c>
      <c r="DL1046" s="496" t="s">
        <v>1555</v>
      </c>
      <c r="DM1046" s="496" t="s">
        <v>1981</v>
      </c>
      <c r="DN1046" s="497" t="s">
        <v>1982</v>
      </c>
      <c r="DP1046" s="543">
        <v>1</v>
      </c>
    </row>
    <row r="1047" spans="109:120" ht="15">
      <c r="DE1047" s="494"/>
      <c r="DF1047" s="496" t="s">
        <v>3146</v>
      </c>
      <c r="DG1047" s="496" t="s">
        <v>8</v>
      </c>
      <c r="DH1047" s="496" t="s">
        <v>689</v>
      </c>
      <c r="DI1047" s="496" t="s">
        <v>3147</v>
      </c>
      <c r="DJ1047" s="496" t="s">
        <v>3147</v>
      </c>
      <c r="DK1047" s="496" t="s">
        <v>1554</v>
      </c>
      <c r="DL1047" s="496" t="s">
        <v>1555</v>
      </c>
      <c r="DM1047" s="496" t="s">
        <v>1981</v>
      </c>
      <c r="DN1047" s="497" t="s">
        <v>1982</v>
      </c>
      <c r="DP1047" s="543">
        <v>1</v>
      </c>
    </row>
    <row r="1048" spans="109:120" ht="15">
      <c r="DE1048" s="494"/>
      <c r="DF1048" s="496" t="s">
        <v>3148</v>
      </c>
      <c r="DG1048" s="496" t="s">
        <v>8</v>
      </c>
      <c r="DH1048" s="496" t="s">
        <v>689</v>
      </c>
      <c r="DI1048" s="496" t="s">
        <v>3149</v>
      </c>
      <c r="DJ1048" s="496" t="s">
        <v>3149</v>
      </c>
      <c r="DK1048" s="496" t="s">
        <v>1554</v>
      </c>
      <c r="DL1048" s="496" t="s">
        <v>1555</v>
      </c>
      <c r="DM1048" s="496" t="s">
        <v>1981</v>
      </c>
      <c r="DN1048" s="497" t="s">
        <v>1982</v>
      </c>
      <c r="DP1048" s="543">
        <v>1</v>
      </c>
    </row>
    <row r="1049" spans="109:120" ht="15">
      <c r="DE1049" s="494"/>
      <c r="DF1049" s="496" t="s">
        <v>3150</v>
      </c>
      <c r="DG1049" s="496" t="s">
        <v>8</v>
      </c>
      <c r="DH1049" s="496" t="s">
        <v>689</v>
      </c>
      <c r="DI1049" s="496" t="s">
        <v>1043</v>
      </c>
      <c r="DJ1049" s="496" t="s">
        <v>1043</v>
      </c>
      <c r="DK1049" s="496" t="s">
        <v>1554</v>
      </c>
      <c r="DL1049" s="496" t="s">
        <v>1555</v>
      </c>
      <c r="DM1049" s="496" t="s">
        <v>1981</v>
      </c>
      <c r="DN1049" s="497" t="s">
        <v>1982</v>
      </c>
      <c r="DP1049" s="543">
        <v>1</v>
      </c>
    </row>
    <row r="1050" spans="109:120" ht="15">
      <c r="DE1050" s="494"/>
      <c r="DF1050" s="496" t="s">
        <v>3151</v>
      </c>
      <c r="DG1050" s="496" t="s">
        <v>8</v>
      </c>
      <c r="DH1050" s="496" t="s">
        <v>689</v>
      </c>
      <c r="DI1050" s="496" t="s">
        <v>3152</v>
      </c>
      <c r="DJ1050" s="496" t="s">
        <v>3152</v>
      </c>
      <c r="DK1050" s="496" t="s">
        <v>1554</v>
      </c>
      <c r="DL1050" s="496" t="s">
        <v>1555</v>
      </c>
      <c r="DM1050" s="496" t="s">
        <v>1981</v>
      </c>
      <c r="DN1050" s="497" t="s">
        <v>1982</v>
      </c>
      <c r="DP1050" s="543">
        <v>1</v>
      </c>
    </row>
    <row r="1051" spans="109:120" ht="15">
      <c r="DE1051" s="494"/>
      <c r="DF1051" s="496" t="s">
        <v>3153</v>
      </c>
      <c r="DG1051" s="496" t="s">
        <v>8</v>
      </c>
      <c r="DH1051" s="496" t="s">
        <v>689</v>
      </c>
      <c r="DI1051" s="496" t="s">
        <v>3154</v>
      </c>
      <c r="DJ1051" s="496" t="s">
        <v>3154</v>
      </c>
      <c r="DK1051" s="496" t="s">
        <v>1554</v>
      </c>
      <c r="DL1051" s="496" t="s">
        <v>1555</v>
      </c>
      <c r="DM1051" s="496" t="s">
        <v>1981</v>
      </c>
      <c r="DN1051" s="497" t="s">
        <v>1982</v>
      </c>
      <c r="DP1051" s="543">
        <v>1</v>
      </c>
    </row>
    <row r="1052" spans="109:120" ht="15">
      <c r="DE1052" s="494"/>
      <c r="DF1052" s="496" t="s">
        <v>3155</v>
      </c>
      <c r="DG1052" s="496" t="s">
        <v>8</v>
      </c>
      <c r="DH1052" s="496" t="s">
        <v>689</v>
      </c>
      <c r="DI1052" s="496" t="s">
        <v>3156</v>
      </c>
      <c r="DJ1052" s="496" t="s">
        <v>3156</v>
      </c>
      <c r="DK1052" s="496" t="s">
        <v>1554</v>
      </c>
      <c r="DL1052" s="496" t="s">
        <v>1555</v>
      </c>
      <c r="DM1052" s="496" t="s">
        <v>1981</v>
      </c>
      <c r="DN1052" s="497" t="s">
        <v>1982</v>
      </c>
      <c r="DP1052" s="543">
        <v>1</v>
      </c>
    </row>
    <row r="1053" spans="109:120" ht="15">
      <c r="DE1053" s="494"/>
      <c r="DF1053" s="496" t="s">
        <v>3157</v>
      </c>
      <c r="DG1053" s="496" t="s">
        <v>8</v>
      </c>
      <c r="DH1053" s="496" t="s">
        <v>689</v>
      </c>
      <c r="DI1053" s="496" t="s">
        <v>3158</v>
      </c>
      <c r="DJ1053" s="496" t="s">
        <v>3158</v>
      </c>
      <c r="DK1053" s="496" t="s">
        <v>1554</v>
      </c>
      <c r="DL1053" s="496" t="s">
        <v>1555</v>
      </c>
      <c r="DM1053" s="496" t="s">
        <v>1981</v>
      </c>
      <c r="DN1053" s="497" t="s">
        <v>1982</v>
      </c>
      <c r="DP1053" s="543">
        <v>1</v>
      </c>
    </row>
    <row r="1054" spans="109:120" ht="15">
      <c r="DE1054" s="494"/>
      <c r="DF1054" s="496" t="s">
        <v>3159</v>
      </c>
      <c r="DG1054" s="496" t="s">
        <v>8</v>
      </c>
      <c r="DH1054" s="496" t="s">
        <v>689</v>
      </c>
      <c r="DI1054" s="496" t="s">
        <v>3160</v>
      </c>
      <c r="DJ1054" s="496" t="s">
        <v>3160</v>
      </c>
      <c r="DK1054" s="496" t="s">
        <v>1554</v>
      </c>
      <c r="DL1054" s="496" t="s">
        <v>1555</v>
      </c>
      <c r="DM1054" s="496" t="s">
        <v>1981</v>
      </c>
      <c r="DN1054" s="497" t="s">
        <v>1982</v>
      </c>
      <c r="DP1054" s="543">
        <v>1</v>
      </c>
    </row>
    <row r="1055" spans="109:120" ht="15">
      <c r="DE1055" s="494"/>
      <c r="DF1055" s="496" t="s">
        <v>3161</v>
      </c>
      <c r="DG1055" s="496" t="s">
        <v>8</v>
      </c>
      <c r="DH1055" s="496" t="s">
        <v>689</v>
      </c>
      <c r="DI1055" s="496" t="s">
        <v>3162</v>
      </c>
      <c r="DJ1055" s="496" t="s">
        <v>3162</v>
      </c>
      <c r="DK1055" s="496" t="s">
        <v>1554</v>
      </c>
      <c r="DL1055" s="496" t="s">
        <v>1555</v>
      </c>
      <c r="DM1055" s="496" t="s">
        <v>1981</v>
      </c>
      <c r="DN1055" s="497" t="s">
        <v>1982</v>
      </c>
      <c r="DP1055" s="543">
        <v>1</v>
      </c>
    </row>
    <row r="1056" spans="109:120" ht="15">
      <c r="DE1056" s="494"/>
      <c r="DF1056" s="496" t="s">
        <v>3163</v>
      </c>
      <c r="DG1056" s="496" t="s">
        <v>8</v>
      </c>
      <c r="DH1056" s="496" t="s">
        <v>689</v>
      </c>
      <c r="DI1056" s="496" t="s">
        <v>3164</v>
      </c>
      <c r="DJ1056" s="496" t="s">
        <v>3164</v>
      </c>
      <c r="DK1056" s="496" t="s">
        <v>1554</v>
      </c>
      <c r="DL1056" s="496" t="s">
        <v>1555</v>
      </c>
      <c r="DM1056" s="496" t="s">
        <v>1981</v>
      </c>
      <c r="DN1056" s="497" t="s">
        <v>1982</v>
      </c>
      <c r="DP1056" s="543">
        <v>1</v>
      </c>
    </row>
    <row r="1057" spans="109:120" ht="15">
      <c r="DE1057" s="494"/>
      <c r="DF1057" s="496" t="s">
        <v>3165</v>
      </c>
      <c r="DG1057" s="496" t="s">
        <v>8</v>
      </c>
      <c r="DH1057" s="496" t="s">
        <v>689</v>
      </c>
      <c r="DI1057" s="496" t="s">
        <v>3166</v>
      </c>
      <c r="DJ1057" s="496" t="s">
        <v>3166</v>
      </c>
      <c r="DK1057" s="496" t="s">
        <v>1554</v>
      </c>
      <c r="DL1057" s="496" t="s">
        <v>1555</v>
      </c>
      <c r="DM1057" s="496" t="s">
        <v>1981</v>
      </c>
      <c r="DN1057" s="497" t="s">
        <v>1982</v>
      </c>
      <c r="DP1057" s="543">
        <v>1</v>
      </c>
    </row>
    <row r="1058" spans="109:120" ht="15">
      <c r="DE1058" s="494"/>
      <c r="DF1058" s="496" t="s">
        <v>3167</v>
      </c>
      <c r="DG1058" s="496" t="s">
        <v>8</v>
      </c>
      <c r="DH1058" s="496" t="s">
        <v>689</v>
      </c>
      <c r="DI1058" s="496" t="s">
        <v>3168</v>
      </c>
      <c r="DJ1058" s="496" t="s">
        <v>3168</v>
      </c>
      <c r="DK1058" s="496" t="s">
        <v>1554</v>
      </c>
      <c r="DL1058" s="496" t="s">
        <v>1555</v>
      </c>
      <c r="DM1058" s="496" t="s">
        <v>1981</v>
      </c>
      <c r="DN1058" s="497" t="s">
        <v>1982</v>
      </c>
      <c r="DP1058" s="543">
        <v>1</v>
      </c>
    </row>
    <row r="1059" spans="109:120" ht="15">
      <c r="DE1059" s="494"/>
      <c r="DF1059" s="496" t="s">
        <v>3169</v>
      </c>
      <c r="DG1059" s="496" t="s">
        <v>8</v>
      </c>
      <c r="DH1059" s="496" t="s">
        <v>689</v>
      </c>
      <c r="DI1059" s="496" t="s">
        <v>3170</v>
      </c>
      <c r="DJ1059" s="496" t="s">
        <v>3170</v>
      </c>
      <c r="DK1059" s="496" t="s">
        <v>1554</v>
      </c>
      <c r="DL1059" s="496" t="s">
        <v>1555</v>
      </c>
      <c r="DM1059" s="496" t="s">
        <v>1981</v>
      </c>
      <c r="DN1059" s="497" t="s">
        <v>1982</v>
      </c>
      <c r="DP1059" s="543">
        <v>1</v>
      </c>
    </row>
    <row r="1060" spans="109:120" ht="15">
      <c r="DE1060" s="494"/>
      <c r="DF1060" s="496" t="s">
        <v>3171</v>
      </c>
      <c r="DG1060" s="496" t="s">
        <v>8</v>
      </c>
      <c r="DH1060" s="496" t="s">
        <v>689</v>
      </c>
      <c r="DI1060" s="496" t="s">
        <v>3172</v>
      </c>
      <c r="DJ1060" s="496" t="s">
        <v>3172</v>
      </c>
      <c r="DK1060" s="496" t="s">
        <v>1554</v>
      </c>
      <c r="DL1060" s="496" t="s">
        <v>1555</v>
      </c>
      <c r="DM1060" s="496" t="s">
        <v>1981</v>
      </c>
      <c r="DN1060" s="497" t="s">
        <v>1982</v>
      </c>
      <c r="DP1060" s="543">
        <v>1</v>
      </c>
    </row>
    <row r="1061" spans="109:120" ht="15">
      <c r="DE1061" s="494"/>
      <c r="DF1061" s="496" t="s">
        <v>3173</v>
      </c>
      <c r="DG1061" s="496" t="s">
        <v>8</v>
      </c>
      <c r="DH1061" s="496" t="s">
        <v>689</v>
      </c>
      <c r="DI1061" s="496" t="s">
        <v>3174</v>
      </c>
      <c r="DJ1061" s="496" t="s">
        <v>3174</v>
      </c>
      <c r="DK1061" s="496" t="s">
        <v>1554</v>
      </c>
      <c r="DL1061" s="496" t="s">
        <v>1555</v>
      </c>
      <c r="DM1061" s="496" t="s">
        <v>1981</v>
      </c>
      <c r="DN1061" s="497" t="s">
        <v>1982</v>
      </c>
      <c r="DP1061" s="543">
        <v>1</v>
      </c>
    </row>
    <row r="1062" spans="109:120" ht="15">
      <c r="DE1062" s="494"/>
      <c r="DF1062" s="496" t="s">
        <v>3175</v>
      </c>
      <c r="DG1062" s="496" t="s">
        <v>8</v>
      </c>
      <c r="DH1062" s="496" t="s">
        <v>689</v>
      </c>
      <c r="DI1062" s="496" t="s">
        <v>3176</v>
      </c>
      <c r="DJ1062" s="496" t="s">
        <v>3176</v>
      </c>
      <c r="DK1062" s="496" t="s">
        <v>1554</v>
      </c>
      <c r="DL1062" s="496" t="s">
        <v>1555</v>
      </c>
      <c r="DM1062" s="496" t="s">
        <v>1981</v>
      </c>
      <c r="DN1062" s="497" t="s">
        <v>1982</v>
      </c>
      <c r="DP1062" s="543">
        <v>1</v>
      </c>
    </row>
    <row r="1063" spans="109:120" ht="15">
      <c r="DE1063" s="494"/>
      <c r="DF1063" s="496" t="s">
        <v>3177</v>
      </c>
      <c r="DG1063" s="496" t="s">
        <v>8</v>
      </c>
      <c r="DH1063" s="496" t="s">
        <v>689</v>
      </c>
      <c r="DI1063" s="496" t="s">
        <v>3178</v>
      </c>
      <c r="DJ1063" s="496" t="s">
        <v>3178</v>
      </c>
      <c r="DK1063" s="496" t="s">
        <v>1554</v>
      </c>
      <c r="DL1063" s="496" t="s">
        <v>1555</v>
      </c>
      <c r="DM1063" s="496" t="s">
        <v>1981</v>
      </c>
      <c r="DN1063" s="497" t="s">
        <v>1982</v>
      </c>
      <c r="DP1063" s="543">
        <v>1</v>
      </c>
    </row>
    <row r="1064" spans="109:120" ht="15">
      <c r="DE1064" s="494"/>
      <c r="DF1064" s="496" t="s">
        <v>3179</v>
      </c>
      <c r="DG1064" s="496" t="s">
        <v>8</v>
      </c>
      <c r="DH1064" s="496" t="s">
        <v>689</v>
      </c>
      <c r="DI1064" s="496" t="s">
        <v>3180</v>
      </c>
      <c r="DJ1064" s="496" t="s">
        <v>3180</v>
      </c>
      <c r="DK1064" s="496" t="s">
        <v>1554</v>
      </c>
      <c r="DL1064" s="496" t="s">
        <v>1555</v>
      </c>
      <c r="DM1064" s="496" t="s">
        <v>1981</v>
      </c>
      <c r="DN1064" s="497" t="s">
        <v>1982</v>
      </c>
      <c r="DP1064" s="543">
        <v>1</v>
      </c>
    </row>
    <row r="1065" spans="109:120" ht="15">
      <c r="DE1065" s="494"/>
      <c r="DF1065" s="496" t="s">
        <v>3181</v>
      </c>
      <c r="DG1065" s="496" t="s">
        <v>8</v>
      </c>
      <c r="DH1065" s="496" t="s">
        <v>689</v>
      </c>
      <c r="DI1065" s="496" t="s">
        <v>3182</v>
      </c>
      <c r="DJ1065" s="496" t="s">
        <v>3182</v>
      </c>
      <c r="DK1065" s="496" t="s">
        <v>1554</v>
      </c>
      <c r="DL1065" s="496" t="s">
        <v>1555</v>
      </c>
      <c r="DM1065" s="496" t="s">
        <v>1981</v>
      </c>
      <c r="DN1065" s="497" t="s">
        <v>1982</v>
      </c>
      <c r="DP1065" s="543">
        <v>1</v>
      </c>
    </row>
    <row r="1066" spans="109:120" ht="15">
      <c r="DE1066" s="494"/>
      <c r="DF1066" s="496" t="s">
        <v>3183</v>
      </c>
      <c r="DG1066" s="496" t="s">
        <v>8</v>
      </c>
      <c r="DH1066" s="496" t="s">
        <v>689</v>
      </c>
      <c r="DI1066" s="496" t="s">
        <v>3184</v>
      </c>
      <c r="DJ1066" s="496" t="s">
        <v>3184</v>
      </c>
      <c r="DK1066" s="496" t="s">
        <v>1554</v>
      </c>
      <c r="DL1066" s="496" t="s">
        <v>1555</v>
      </c>
      <c r="DM1066" s="496" t="s">
        <v>1981</v>
      </c>
      <c r="DN1066" s="497" t="s">
        <v>1982</v>
      </c>
      <c r="DP1066" s="543">
        <v>1</v>
      </c>
    </row>
    <row r="1067" spans="109:120" ht="15">
      <c r="DE1067" s="494"/>
      <c r="DF1067" s="496" t="s">
        <v>3185</v>
      </c>
      <c r="DG1067" s="496" t="s">
        <v>8</v>
      </c>
      <c r="DH1067" s="496" t="s">
        <v>689</v>
      </c>
      <c r="DI1067" s="496" t="s">
        <v>3186</v>
      </c>
      <c r="DJ1067" s="496" t="s">
        <v>3186</v>
      </c>
      <c r="DK1067" s="496" t="s">
        <v>1554</v>
      </c>
      <c r="DL1067" s="496" t="s">
        <v>1555</v>
      </c>
      <c r="DM1067" s="496" t="s">
        <v>1981</v>
      </c>
      <c r="DN1067" s="497" t="s">
        <v>1982</v>
      </c>
      <c r="DP1067" s="543">
        <v>1</v>
      </c>
    </row>
    <row r="1068" spans="109:120" ht="15">
      <c r="DE1068" s="494"/>
      <c r="DF1068" s="496" t="s">
        <v>3187</v>
      </c>
      <c r="DG1068" s="496" t="s">
        <v>8</v>
      </c>
      <c r="DH1068" s="496" t="s">
        <v>689</v>
      </c>
      <c r="DI1068" s="496" t="s">
        <v>3188</v>
      </c>
      <c r="DJ1068" s="496" t="s">
        <v>3188</v>
      </c>
      <c r="DK1068" s="496" t="s">
        <v>1554</v>
      </c>
      <c r="DL1068" s="496" t="s">
        <v>1555</v>
      </c>
      <c r="DM1068" s="496" t="s">
        <v>1981</v>
      </c>
      <c r="DN1068" s="497" t="s">
        <v>1982</v>
      </c>
      <c r="DP1068" s="543">
        <v>1</v>
      </c>
    </row>
    <row r="1069" spans="109:120" ht="15">
      <c r="DE1069" s="494"/>
      <c r="DF1069" s="496" t="s">
        <v>3189</v>
      </c>
      <c r="DG1069" s="496" t="s">
        <v>8</v>
      </c>
      <c r="DH1069" s="496" t="s">
        <v>689</v>
      </c>
      <c r="DI1069" s="496" t="s">
        <v>3190</v>
      </c>
      <c r="DJ1069" s="496" t="s">
        <v>3190</v>
      </c>
      <c r="DK1069" s="496" t="s">
        <v>1554</v>
      </c>
      <c r="DL1069" s="496" t="s">
        <v>1555</v>
      </c>
      <c r="DM1069" s="496" t="s">
        <v>1981</v>
      </c>
      <c r="DN1069" s="497" t="s">
        <v>1982</v>
      </c>
      <c r="DP1069" s="543">
        <v>1</v>
      </c>
    </row>
    <row r="1070" spans="109:120" ht="15">
      <c r="DE1070" s="494"/>
      <c r="DF1070" s="496" t="s">
        <v>3191</v>
      </c>
      <c r="DG1070" s="496" t="s">
        <v>8</v>
      </c>
      <c r="DH1070" s="496" t="s">
        <v>689</v>
      </c>
      <c r="DI1070" s="496" t="s">
        <v>3192</v>
      </c>
      <c r="DJ1070" s="496" t="s">
        <v>3192</v>
      </c>
      <c r="DK1070" s="496" t="s">
        <v>1554</v>
      </c>
      <c r="DL1070" s="496" t="s">
        <v>1555</v>
      </c>
      <c r="DM1070" s="496" t="s">
        <v>1981</v>
      </c>
      <c r="DN1070" s="497" t="s">
        <v>1982</v>
      </c>
      <c r="DP1070" s="543">
        <v>1</v>
      </c>
    </row>
    <row r="1071" spans="109:120" ht="15">
      <c r="DE1071" s="494"/>
      <c r="DF1071" s="496" t="s">
        <v>3193</v>
      </c>
      <c r="DG1071" s="496" t="s">
        <v>8</v>
      </c>
      <c r="DH1071" s="496" t="s">
        <v>689</v>
      </c>
      <c r="DI1071" s="496" t="s">
        <v>3194</v>
      </c>
      <c r="DJ1071" s="496" t="s">
        <v>3194</v>
      </c>
      <c r="DK1071" s="496" t="s">
        <v>1554</v>
      </c>
      <c r="DL1071" s="496" t="s">
        <v>1555</v>
      </c>
      <c r="DM1071" s="496" t="s">
        <v>1981</v>
      </c>
      <c r="DN1071" s="497" t="s">
        <v>1982</v>
      </c>
      <c r="DP1071" s="543">
        <v>1</v>
      </c>
    </row>
    <row r="1072" spans="109:120" ht="15">
      <c r="DE1072" s="494"/>
      <c r="DF1072" s="496" t="s">
        <v>3195</v>
      </c>
      <c r="DG1072" s="496" t="s">
        <v>8</v>
      </c>
      <c r="DH1072" s="496" t="s">
        <v>689</v>
      </c>
      <c r="DI1072" s="496" t="s">
        <v>3196</v>
      </c>
      <c r="DJ1072" s="496" t="s">
        <v>3196</v>
      </c>
      <c r="DK1072" s="496" t="s">
        <v>1554</v>
      </c>
      <c r="DL1072" s="496" t="s">
        <v>1555</v>
      </c>
      <c r="DM1072" s="496" t="s">
        <v>1981</v>
      </c>
      <c r="DN1072" s="497" t="s">
        <v>1982</v>
      </c>
      <c r="DP1072" s="543">
        <v>1</v>
      </c>
    </row>
    <row r="1073" spans="109:120" ht="15">
      <c r="DE1073" s="494"/>
      <c r="DF1073" s="496" t="s">
        <v>3197</v>
      </c>
      <c r="DG1073" s="496" t="s">
        <v>8</v>
      </c>
      <c r="DH1073" s="496" t="s">
        <v>689</v>
      </c>
      <c r="DI1073" s="496" t="s">
        <v>3198</v>
      </c>
      <c r="DJ1073" s="496" t="s">
        <v>3198</v>
      </c>
      <c r="DK1073" s="496" t="s">
        <v>1554</v>
      </c>
      <c r="DL1073" s="496" t="s">
        <v>1555</v>
      </c>
      <c r="DM1073" s="496" t="s">
        <v>1981</v>
      </c>
      <c r="DN1073" s="497" t="s">
        <v>1982</v>
      </c>
      <c r="DP1073" s="543">
        <v>1</v>
      </c>
    </row>
    <row r="1074" spans="109:120" ht="15">
      <c r="DE1074" s="494"/>
      <c r="DF1074" s="496" t="s">
        <v>3199</v>
      </c>
      <c r="DG1074" s="496" t="s">
        <v>8</v>
      </c>
      <c r="DH1074" s="496" t="s">
        <v>689</v>
      </c>
      <c r="DI1074" s="496" t="s">
        <v>3200</v>
      </c>
      <c r="DJ1074" s="496" t="s">
        <v>3200</v>
      </c>
      <c r="DK1074" s="496" t="s">
        <v>1554</v>
      </c>
      <c r="DL1074" s="496" t="s">
        <v>1555</v>
      </c>
      <c r="DM1074" s="496" t="s">
        <v>1981</v>
      </c>
      <c r="DN1074" s="497" t="s">
        <v>1982</v>
      </c>
      <c r="DP1074" s="543">
        <v>1</v>
      </c>
    </row>
    <row r="1075" spans="109:120" ht="15">
      <c r="DE1075" s="494"/>
      <c r="DF1075" s="496" t="s">
        <v>3201</v>
      </c>
      <c r="DG1075" s="496" t="s">
        <v>8</v>
      </c>
      <c r="DH1075" s="496" t="s">
        <v>689</v>
      </c>
      <c r="DI1075" s="496" t="s">
        <v>3202</v>
      </c>
      <c r="DJ1075" s="496" t="s">
        <v>3202</v>
      </c>
      <c r="DK1075" s="496" t="s">
        <v>1554</v>
      </c>
      <c r="DL1075" s="496" t="s">
        <v>1555</v>
      </c>
      <c r="DM1075" s="496" t="s">
        <v>1981</v>
      </c>
      <c r="DN1075" s="497" t="s">
        <v>1982</v>
      </c>
      <c r="DP1075" s="543">
        <v>1</v>
      </c>
    </row>
    <row r="1076" spans="109:120" ht="15">
      <c r="DE1076" s="494"/>
      <c r="DF1076" s="496" t="s">
        <v>3203</v>
      </c>
      <c r="DG1076" s="496" t="s">
        <v>8</v>
      </c>
      <c r="DH1076" s="496" t="s">
        <v>689</v>
      </c>
      <c r="DI1076" s="496" t="s">
        <v>3204</v>
      </c>
      <c r="DJ1076" s="496" t="s">
        <v>3204</v>
      </c>
      <c r="DK1076" s="496" t="s">
        <v>1554</v>
      </c>
      <c r="DL1076" s="496" t="s">
        <v>1555</v>
      </c>
      <c r="DM1076" s="496" t="s">
        <v>1981</v>
      </c>
      <c r="DN1076" s="497" t="s">
        <v>1982</v>
      </c>
      <c r="DP1076" s="543">
        <v>1</v>
      </c>
    </row>
    <row r="1077" spans="109:120" ht="15">
      <c r="DE1077" s="494"/>
      <c r="DF1077" s="496" t="s">
        <v>3205</v>
      </c>
      <c r="DG1077" s="496" t="s">
        <v>8</v>
      </c>
      <c r="DH1077" s="496" t="s">
        <v>689</v>
      </c>
      <c r="DI1077" s="496" t="s">
        <v>3206</v>
      </c>
      <c r="DJ1077" s="496" t="s">
        <v>3206</v>
      </c>
      <c r="DK1077" s="496" t="s">
        <v>1554</v>
      </c>
      <c r="DL1077" s="496" t="s">
        <v>1555</v>
      </c>
      <c r="DM1077" s="496" t="s">
        <v>1981</v>
      </c>
      <c r="DN1077" s="497" t="s">
        <v>1982</v>
      </c>
      <c r="DP1077" s="543">
        <v>1</v>
      </c>
    </row>
    <row r="1078" spans="109:120" ht="15">
      <c r="DE1078" s="494"/>
      <c r="DF1078" s="496" t="s">
        <v>3207</v>
      </c>
      <c r="DG1078" s="496" t="s">
        <v>8</v>
      </c>
      <c r="DH1078" s="496" t="s">
        <v>689</v>
      </c>
      <c r="DI1078" s="496" t="s">
        <v>3208</v>
      </c>
      <c r="DJ1078" s="496" t="s">
        <v>3208</v>
      </c>
      <c r="DK1078" s="496" t="s">
        <v>1554</v>
      </c>
      <c r="DL1078" s="496" t="s">
        <v>1555</v>
      </c>
      <c r="DM1078" s="496" t="s">
        <v>1981</v>
      </c>
      <c r="DN1078" s="497" t="s">
        <v>1982</v>
      </c>
      <c r="DP1078" s="543">
        <v>1</v>
      </c>
    </row>
    <row r="1079" spans="109:120" ht="15">
      <c r="DE1079" s="494"/>
      <c r="DF1079" s="496" t="s">
        <v>3209</v>
      </c>
      <c r="DG1079" s="496" t="s">
        <v>8</v>
      </c>
      <c r="DH1079" s="496" t="s">
        <v>689</v>
      </c>
      <c r="DI1079" s="496" t="s">
        <v>3210</v>
      </c>
      <c r="DJ1079" s="496" t="s">
        <v>3210</v>
      </c>
      <c r="DK1079" s="496" t="s">
        <v>1554</v>
      </c>
      <c r="DL1079" s="496" t="s">
        <v>1555</v>
      </c>
      <c r="DM1079" s="496" t="s">
        <v>1981</v>
      </c>
      <c r="DN1079" s="497" t="s">
        <v>1982</v>
      </c>
      <c r="DP1079" s="543">
        <v>1</v>
      </c>
    </row>
    <row r="1080" spans="109:120" ht="15">
      <c r="DE1080" s="494"/>
      <c r="DF1080" s="496" t="s">
        <v>3211</v>
      </c>
      <c r="DG1080" s="496" t="s">
        <v>8</v>
      </c>
      <c r="DH1080" s="496" t="s">
        <v>689</v>
      </c>
      <c r="DI1080" s="496" t="s">
        <v>3212</v>
      </c>
      <c r="DJ1080" s="496" t="s">
        <v>3212</v>
      </c>
      <c r="DK1080" s="496" t="s">
        <v>1554</v>
      </c>
      <c r="DL1080" s="496" t="s">
        <v>1555</v>
      </c>
      <c r="DM1080" s="496" t="s">
        <v>1981</v>
      </c>
      <c r="DN1080" s="497" t="s">
        <v>1982</v>
      </c>
      <c r="DP1080" s="543">
        <v>1</v>
      </c>
    </row>
    <row r="1081" spans="109:120" ht="15">
      <c r="DE1081" s="494"/>
      <c r="DF1081" s="496" t="s">
        <v>3213</v>
      </c>
      <c r="DG1081" s="496" t="s">
        <v>8</v>
      </c>
      <c r="DH1081" s="496" t="s">
        <v>689</v>
      </c>
      <c r="DI1081" s="496" t="s">
        <v>3214</v>
      </c>
      <c r="DJ1081" s="496" t="s">
        <v>3214</v>
      </c>
      <c r="DK1081" s="496" t="s">
        <v>1554</v>
      </c>
      <c r="DL1081" s="496" t="s">
        <v>1555</v>
      </c>
      <c r="DM1081" s="496" t="s">
        <v>1981</v>
      </c>
      <c r="DN1081" s="497" t="s">
        <v>1982</v>
      </c>
      <c r="DP1081" s="543">
        <v>1</v>
      </c>
    </row>
    <row r="1082" spans="109:120" ht="15">
      <c r="DE1082" s="494"/>
      <c r="DF1082" s="496" t="s">
        <v>3215</v>
      </c>
      <c r="DG1082" s="496" t="s">
        <v>8</v>
      </c>
      <c r="DH1082" s="496" t="s">
        <v>689</v>
      </c>
      <c r="DI1082" s="496" t="s">
        <v>3216</v>
      </c>
      <c r="DJ1082" s="496" t="s">
        <v>3216</v>
      </c>
      <c r="DK1082" s="496" t="s">
        <v>1554</v>
      </c>
      <c r="DL1082" s="496" t="s">
        <v>1555</v>
      </c>
      <c r="DM1082" s="496" t="s">
        <v>1981</v>
      </c>
      <c r="DN1082" s="497" t="s">
        <v>1982</v>
      </c>
      <c r="DP1082" s="543">
        <v>1</v>
      </c>
    </row>
    <row r="1083" spans="109:120" ht="15">
      <c r="DE1083" s="494"/>
      <c r="DF1083" s="496" t="s">
        <v>3217</v>
      </c>
      <c r="DG1083" s="496" t="s">
        <v>8</v>
      </c>
      <c r="DH1083" s="496" t="s">
        <v>689</v>
      </c>
      <c r="DI1083" s="496" t="s">
        <v>3218</v>
      </c>
      <c r="DJ1083" s="496" t="s">
        <v>3218</v>
      </c>
      <c r="DK1083" s="496" t="s">
        <v>1554</v>
      </c>
      <c r="DL1083" s="496" t="s">
        <v>1555</v>
      </c>
      <c r="DM1083" s="496" t="s">
        <v>1981</v>
      </c>
      <c r="DN1083" s="497" t="s">
        <v>1982</v>
      </c>
      <c r="DP1083" s="543">
        <v>1</v>
      </c>
    </row>
    <row r="1084" spans="109:120" ht="15">
      <c r="DE1084" s="494"/>
      <c r="DF1084" s="496" t="s">
        <v>3219</v>
      </c>
      <c r="DG1084" s="496" t="s">
        <v>8</v>
      </c>
      <c r="DH1084" s="496" t="s">
        <v>689</v>
      </c>
      <c r="DI1084" s="496" t="s">
        <v>3220</v>
      </c>
      <c r="DJ1084" s="496" t="s">
        <v>3220</v>
      </c>
      <c r="DK1084" s="496" t="s">
        <v>1554</v>
      </c>
      <c r="DL1084" s="496" t="s">
        <v>1555</v>
      </c>
      <c r="DM1084" s="496" t="s">
        <v>1981</v>
      </c>
      <c r="DN1084" s="497" t="s">
        <v>1982</v>
      </c>
      <c r="DP1084" s="543">
        <v>1</v>
      </c>
    </row>
    <row r="1085" spans="109:120" ht="15">
      <c r="DE1085" s="494"/>
      <c r="DF1085" s="496" t="s">
        <v>3221</v>
      </c>
      <c r="DG1085" s="496" t="s">
        <v>8</v>
      </c>
      <c r="DH1085" s="496" t="s">
        <v>689</v>
      </c>
      <c r="DI1085" s="496" t="s">
        <v>3222</v>
      </c>
      <c r="DJ1085" s="496" t="s">
        <v>3222</v>
      </c>
      <c r="DK1085" s="496" t="s">
        <v>1554</v>
      </c>
      <c r="DL1085" s="496" t="s">
        <v>1555</v>
      </c>
      <c r="DM1085" s="496" t="s">
        <v>1981</v>
      </c>
      <c r="DN1085" s="497" t="s">
        <v>1982</v>
      </c>
      <c r="DP1085" s="543">
        <v>1</v>
      </c>
    </row>
    <row r="1086" spans="109:120" ht="15">
      <c r="DE1086" s="494"/>
      <c r="DF1086" s="496" t="s">
        <v>3223</v>
      </c>
      <c r="DG1086" s="496" t="s">
        <v>8</v>
      </c>
      <c r="DH1086" s="496" t="s">
        <v>689</v>
      </c>
      <c r="DI1086" s="496" t="s">
        <v>3224</v>
      </c>
      <c r="DJ1086" s="496" t="s">
        <v>3224</v>
      </c>
      <c r="DK1086" s="496" t="s">
        <v>1554</v>
      </c>
      <c r="DL1086" s="496" t="s">
        <v>1555</v>
      </c>
      <c r="DM1086" s="496" t="s">
        <v>1981</v>
      </c>
      <c r="DN1086" s="497" t="s">
        <v>1982</v>
      </c>
      <c r="DP1086" s="543">
        <v>1</v>
      </c>
    </row>
    <row r="1087" spans="109:120" ht="15">
      <c r="DE1087" s="494"/>
      <c r="DF1087" s="496" t="s">
        <v>3225</v>
      </c>
      <c r="DG1087" s="496" t="s">
        <v>8</v>
      </c>
      <c r="DH1087" s="496" t="s">
        <v>689</v>
      </c>
      <c r="DI1087" s="496" t="s">
        <v>19</v>
      </c>
      <c r="DJ1087" s="496" t="s">
        <v>19</v>
      </c>
      <c r="DK1087" s="496" t="s">
        <v>1085</v>
      </c>
      <c r="DL1087" s="496" t="s">
        <v>2063</v>
      </c>
      <c r="DM1087" s="496" t="s">
        <v>1087</v>
      </c>
      <c r="DN1087" s="497" t="s">
        <v>1088</v>
      </c>
      <c r="DP1087" s="543">
        <v>1</v>
      </c>
    </row>
    <row r="1088" spans="109:120" ht="15">
      <c r="DE1088" s="494"/>
      <c r="DF1088" s="496" t="s">
        <v>3226</v>
      </c>
      <c r="DG1088" s="496" t="s">
        <v>8</v>
      </c>
      <c r="DH1088" s="496" t="s">
        <v>689</v>
      </c>
      <c r="DI1088" s="496" t="s">
        <v>3227</v>
      </c>
      <c r="DJ1088" s="496" t="s">
        <v>3227</v>
      </c>
      <c r="DK1088" s="496" t="s">
        <v>1554</v>
      </c>
      <c r="DL1088" s="496" t="s">
        <v>1555</v>
      </c>
      <c r="DM1088" s="496" t="s">
        <v>1981</v>
      </c>
      <c r="DN1088" s="497" t="s">
        <v>1982</v>
      </c>
      <c r="DP1088" s="543">
        <v>1</v>
      </c>
    </row>
    <row r="1089" spans="109:120" ht="15">
      <c r="DE1089" s="494"/>
      <c r="DF1089" s="496" t="s">
        <v>3228</v>
      </c>
      <c r="DG1089" s="496" t="s">
        <v>8</v>
      </c>
      <c r="DH1089" s="496" t="s">
        <v>689</v>
      </c>
      <c r="DI1089" s="496" t="s">
        <v>3229</v>
      </c>
      <c r="DJ1089" s="496" t="s">
        <v>3229</v>
      </c>
      <c r="DK1089" s="496" t="s">
        <v>1554</v>
      </c>
      <c r="DL1089" s="496" t="s">
        <v>1555</v>
      </c>
      <c r="DM1089" s="496" t="s">
        <v>1981</v>
      </c>
      <c r="DN1089" s="497" t="s">
        <v>1982</v>
      </c>
      <c r="DP1089" s="543">
        <v>1</v>
      </c>
    </row>
    <row r="1090" spans="109:120" ht="15">
      <c r="DE1090" s="494"/>
      <c r="DF1090" s="496" t="s">
        <v>3230</v>
      </c>
      <c r="DG1090" s="496" t="s">
        <v>8</v>
      </c>
      <c r="DH1090" s="496" t="s">
        <v>689</v>
      </c>
      <c r="DI1090" s="496" t="s">
        <v>3231</v>
      </c>
      <c r="DJ1090" s="496" t="s">
        <v>3231</v>
      </c>
      <c r="DK1090" s="496" t="s">
        <v>1554</v>
      </c>
      <c r="DL1090" s="496" t="s">
        <v>1555</v>
      </c>
      <c r="DM1090" s="496" t="s">
        <v>1981</v>
      </c>
      <c r="DN1090" s="497" t="s">
        <v>1982</v>
      </c>
      <c r="DP1090" s="543">
        <v>1</v>
      </c>
    </row>
    <row r="1091" spans="109:120" ht="15">
      <c r="DE1091" s="494"/>
      <c r="DF1091" s="496" t="s">
        <v>3232</v>
      </c>
      <c r="DG1091" s="496" t="s">
        <v>8</v>
      </c>
      <c r="DH1091" s="496" t="s">
        <v>689</v>
      </c>
      <c r="DI1091" s="496" t="s">
        <v>3233</v>
      </c>
      <c r="DJ1091" s="496" t="s">
        <v>3233</v>
      </c>
      <c r="DK1091" s="496" t="s">
        <v>1554</v>
      </c>
      <c r="DL1091" s="496" t="s">
        <v>1555</v>
      </c>
      <c r="DM1091" s="496" t="s">
        <v>1981</v>
      </c>
      <c r="DN1091" s="497" t="s">
        <v>1982</v>
      </c>
      <c r="DP1091" s="543">
        <v>1</v>
      </c>
    </row>
    <row r="1092" spans="109:120" ht="15">
      <c r="DE1092" s="494"/>
      <c r="DF1092" s="496" t="s">
        <v>3234</v>
      </c>
      <c r="DG1092" s="496" t="s">
        <v>8</v>
      </c>
      <c r="DH1092" s="496" t="s">
        <v>689</v>
      </c>
      <c r="DI1092" s="496" t="s">
        <v>3235</v>
      </c>
      <c r="DJ1092" s="496" t="s">
        <v>3235</v>
      </c>
      <c r="DK1092" s="496" t="s">
        <v>1554</v>
      </c>
      <c r="DL1092" s="496" t="s">
        <v>1555</v>
      </c>
      <c r="DM1092" s="496" t="s">
        <v>1981</v>
      </c>
      <c r="DN1092" s="497" t="s">
        <v>1982</v>
      </c>
      <c r="DP1092" s="543">
        <v>1</v>
      </c>
    </row>
    <row r="1093" spans="109:120" ht="15">
      <c r="DE1093" s="494"/>
      <c r="DF1093" s="496" t="s">
        <v>3236</v>
      </c>
      <c r="DG1093" s="496" t="s">
        <v>8</v>
      </c>
      <c r="DH1093" s="496" t="s">
        <v>689</v>
      </c>
      <c r="DI1093" s="496" t="s">
        <v>3237</v>
      </c>
      <c r="DJ1093" s="496" t="s">
        <v>3237</v>
      </c>
      <c r="DK1093" s="496" t="s">
        <v>1554</v>
      </c>
      <c r="DL1093" s="496" t="s">
        <v>1555</v>
      </c>
      <c r="DM1093" s="496" t="s">
        <v>1981</v>
      </c>
      <c r="DN1093" s="497" t="s">
        <v>1982</v>
      </c>
      <c r="DP1093" s="543">
        <v>1</v>
      </c>
    </row>
    <row r="1094" spans="109:120" ht="15">
      <c r="DE1094" s="494"/>
      <c r="DF1094" s="496" t="s">
        <v>3238</v>
      </c>
      <c r="DG1094" s="496" t="s">
        <v>8</v>
      </c>
      <c r="DH1094" s="496" t="s">
        <v>689</v>
      </c>
      <c r="DI1094" s="496" t="s">
        <v>3239</v>
      </c>
      <c r="DJ1094" s="496" t="s">
        <v>3239</v>
      </c>
      <c r="DK1094" s="496" t="s">
        <v>1554</v>
      </c>
      <c r="DL1094" s="496" t="s">
        <v>1555</v>
      </c>
      <c r="DM1094" s="496" t="s">
        <v>1981</v>
      </c>
      <c r="DN1094" s="497" t="s">
        <v>1982</v>
      </c>
      <c r="DP1094" s="543">
        <v>1</v>
      </c>
    </row>
    <row r="1095" spans="109:120" ht="15">
      <c r="DE1095" s="494"/>
      <c r="DF1095" s="496" t="s">
        <v>3240</v>
      </c>
      <c r="DG1095" s="496" t="s">
        <v>8</v>
      </c>
      <c r="DH1095" s="496" t="s">
        <v>689</v>
      </c>
      <c r="DI1095" s="496" t="s">
        <v>3241</v>
      </c>
      <c r="DJ1095" s="496" t="s">
        <v>3241</v>
      </c>
      <c r="DK1095" s="496" t="s">
        <v>1554</v>
      </c>
      <c r="DL1095" s="496" t="s">
        <v>1555</v>
      </c>
      <c r="DM1095" s="496" t="s">
        <v>1981</v>
      </c>
      <c r="DN1095" s="497" t="s">
        <v>1982</v>
      </c>
      <c r="DP1095" s="543">
        <v>1</v>
      </c>
    </row>
    <row r="1096" spans="109:120" ht="15">
      <c r="DE1096" s="494"/>
      <c r="DF1096" s="496" t="s">
        <v>3242</v>
      </c>
      <c r="DG1096" s="496" t="s">
        <v>8</v>
      </c>
      <c r="DH1096" s="496" t="s">
        <v>689</v>
      </c>
      <c r="DI1096" s="496" t="s">
        <v>3243</v>
      </c>
      <c r="DJ1096" s="496" t="s">
        <v>3243</v>
      </c>
      <c r="DK1096" s="496" t="s">
        <v>1554</v>
      </c>
      <c r="DL1096" s="496" t="s">
        <v>1555</v>
      </c>
      <c r="DM1096" s="496" t="s">
        <v>1981</v>
      </c>
      <c r="DN1096" s="497" t="s">
        <v>1982</v>
      </c>
      <c r="DP1096" s="543">
        <v>1</v>
      </c>
    </row>
    <row r="1097" spans="109:120" ht="15">
      <c r="DE1097" s="494"/>
      <c r="DF1097" s="496" t="s">
        <v>3244</v>
      </c>
      <c r="DG1097" s="496" t="s">
        <v>8</v>
      </c>
      <c r="DH1097" s="496" t="s">
        <v>689</v>
      </c>
      <c r="DI1097" s="496" t="s">
        <v>3245</v>
      </c>
      <c r="DJ1097" s="496" t="s">
        <v>3245</v>
      </c>
      <c r="DK1097" s="496" t="s">
        <v>1554</v>
      </c>
      <c r="DL1097" s="496" t="s">
        <v>1555</v>
      </c>
      <c r="DM1097" s="496" t="s">
        <v>1981</v>
      </c>
      <c r="DN1097" s="497" t="s">
        <v>1982</v>
      </c>
      <c r="DP1097" s="543">
        <v>1</v>
      </c>
    </row>
    <row r="1098" spans="109:120" ht="15">
      <c r="DE1098" s="494"/>
      <c r="DF1098" s="496" t="s">
        <v>3246</v>
      </c>
      <c r="DG1098" s="496" t="s">
        <v>8</v>
      </c>
      <c r="DH1098" s="496" t="s">
        <v>689</v>
      </c>
      <c r="DI1098" s="496" t="s">
        <v>31</v>
      </c>
      <c r="DJ1098" s="496" t="s">
        <v>31</v>
      </c>
      <c r="DK1098" s="496" t="s">
        <v>1085</v>
      </c>
      <c r="DL1098" s="496" t="s">
        <v>2063</v>
      </c>
      <c r="DM1098" s="496" t="s">
        <v>1087</v>
      </c>
      <c r="DN1098" s="497" t="s">
        <v>1088</v>
      </c>
      <c r="DP1098" s="543">
        <v>1</v>
      </c>
    </row>
    <row r="1099" spans="109:120" ht="15">
      <c r="DE1099" s="494"/>
      <c r="DF1099" s="496" t="s">
        <v>3247</v>
      </c>
      <c r="DG1099" s="496" t="s">
        <v>8</v>
      </c>
      <c r="DH1099" s="496" t="s">
        <v>689</v>
      </c>
      <c r="DI1099" s="496" t="s">
        <v>3248</v>
      </c>
      <c r="DJ1099" s="496" t="s">
        <v>3248</v>
      </c>
      <c r="DK1099" s="496" t="s">
        <v>1554</v>
      </c>
      <c r="DL1099" s="496" t="s">
        <v>1555</v>
      </c>
      <c r="DM1099" s="496" t="s">
        <v>1981</v>
      </c>
      <c r="DN1099" s="497" t="s">
        <v>1982</v>
      </c>
      <c r="DP1099" s="543">
        <v>1</v>
      </c>
    </row>
    <row r="1100" spans="109:120" ht="15">
      <c r="DE1100" s="494"/>
      <c r="DF1100" s="496" t="s">
        <v>3249</v>
      </c>
      <c r="DG1100" s="496" t="s">
        <v>8</v>
      </c>
      <c r="DH1100" s="496" t="s">
        <v>689</v>
      </c>
      <c r="DI1100" s="496" t="s">
        <v>3250</v>
      </c>
      <c r="DJ1100" s="496" t="s">
        <v>3250</v>
      </c>
      <c r="DK1100" s="496" t="s">
        <v>1554</v>
      </c>
      <c r="DL1100" s="496" t="s">
        <v>1555</v>
      </c>
      <c r="DM1100" s="496" t="s">
        <v>1981</v>
      </c>
      <c r="DN1100" s="497" t="s">
        <v>1982</v>
      </c>
      <c r="DP1100" s="543">
        <v>1</v>
      </c>
    </row>
    <row r="1101" spans="109:120" ht="15">
      <c r="DE1101" s="494"/>
      <c r="DF1101" s="496" t="s">
        <v>3251</v>
      </c>
      <c r="DG1101" s="496" t="s">
        <v>8</v>
      </c>
      <c r="DH1101" s="496" t="s">
        <v>689</v>
      </c>
      <c r="DI1101" s="496" t="s">
        <v>3252</v>
      </c>
      <c r="DJ1101" s="496" t="s">
        <v>3252</v>
      </c>
      <c r="DK1101" s="496" t="s">
        <v>1554</v>
      </c>
      <c r="DL1101" s="496" t="s">
        <v>1555</v>
      </c>
      <c r="DM1101" s="496" t="s">
        <v>1981</v>
      </c>
      <c r="DN1101" s="497" t="s">
        <v>1982</v>
      </c>
      <c r="DP1101" s="543">
        <v>1</v>
      </c>
    </row>
    <row r="1102" spans="109:120" ht="15">
      <c r="DE1102" s="494"/>
      <c r="DF1102" s="496" t="s">
        <v>3253</v>
      </c>
      <c r="DG1102" s="496" t="s">
        <v>8</v>
      </c>
      <c r="DH1102" s="496" t="s">
        <v>689</v>
      </c>
      <c r="DI1102" s="496" t="s">
        <v>1044</v>
      </c>
      <c r="DJ1102" s="496" t="s">
        <v>1044</v>
      </c>
      <c r="DK1102" s="496" t="s">
        <v>1085</v>
      </c>
      <c r="DL1102" s="496" t="s">
        <v>2063</v>
      </c>
      <c r="DM1102" s="496" t="s">
        <v>1087</v>
      </c>
      <c r="DN1102" s="497" t="s">
        <v>1088</v>
      </c>
      <c r="DP1102" s="543">
        <v>1</v>
      </c>
    </row>
    <row r="1103" spans="109:120" ht="15">
      <c r="DE1103" s="494"/>
      <c r="DF1103" s="496" t="s">
        <v>3254</v>
      </c>
      <c r="DG1103" s="496" t="s">
        <v>8</v>
      </c>
      <c r="DH1103" s="496" t="s">
        <v>689</v>
      </c>
      <c r="DI1103" s="496" t="s">
        <v>3255</v>
      </c>
      <c r="DJ1103" s="496" t="s">
        <v>3256</v>
      </c>
      <c r="DK1103" s="496" t="s">
        <v>1085</v>
      </c>
      <c r="DL1103" s="496" t="s">
        <v>2063</v>
      </c>
      <c r="DM1103" s="496" t="s">
        <v>1087</v>
      </c>
      <c r="DN1103" s="497" t="s">
        <v>1088</v>
      </c>
      <c r="DP1103" s="543">
        <v>1</v>
      </c>
    </row>
    <row r="1104" spans="109:120" ht="15">
      <c r="DE1104" s="494"/>
      <c r="DF1104" s="496" t="s">
        <v>3257</v>
      </c>
      <c r="DG1104" s="496" t="s">
        <v>8</v>
      </c>
      <c r="DH1104" s="496" t="s">
        <v>689</v>
      </c>
      <c r="DI1104" s="496" t="s">
        <v>3258</v>
      </c>
      <c r="DJ1104" s="496" t="s">
        <v>3258</v>
      </c>
      <c r="DK1104" s="496" t="s">
        <v>1085</v>
      </c>
      <c r="DL1104" s="496" t="s">
        <v>2063</v>
      </c>
      <c r="DM1104" s="496" t="s">
        <v>1087</v>
      </c>
      <c r="DN1104" s="497" t="s">
        <v>1088</v>
      </c>
      <c r="DP1104" s="543">
        <v>1</v>
      </c>
    </row>
    <row r="1105" spans="109:120" ht="15">
      <c r="DE1105" s="494"/>
      <c r="DF1105" s="496" t="s">
        <v>3259</v>
      </c>
      <c r="DG1105" s="496" t="s">
        <v>8</v>
      </c>
      <c r="DH1105" s="496" t="s">
        <v>689</v>
      </c>
      <c r="DI1105" s="496" t="s">
        <v>1045</v>
      </c>
      <c r="DJ1105" s="496" t="s">
        <v>1045</v>
      </c>
      <c r="DK1105" s="496" t="s">
        <v>1554</v>
      </c>
      <c r="DL1105" s="496" t="s">
        <v>1555</v>
      </c>
      <c r="DM1105" s="496" t="s">
        <v>1981</v>
      </c>
      <c r="DN1105" s="497" t="s">
        <v>1982</v>
      </c>
      <c r="DP1105" s="543">
        <v>1</v>
      </c>
    </row>
    <row r="1106" spans="109:120" ht="15">
      <c r="DE1106" s="494"/>
      <c r="DF1106" s="496" t="s">
        <v>3260</v>
      </c>
      <c r="DG1106" s="496" t="s">
        <v>8</v>
      </c>
      <c r="DH1106" s="496" t="s">
        <v>689</v>
      </c>
      <c r="DI1106" s="496" t="s">
        <v>3261</v>
      </c>
      <c r="DJ1106" s="496" t="s">
        <v>3261</v>
      </c>
      <c r="DK1106" s="496" t="s">
        <v>1554</v>
      </c>
      <c r="DL1106" s="496" t="s">
        <v>1555</v>
      </c>
      <c r="DM1106" s="496" t="s">
        <v>1981</v>
      </c>
      <c r="DN1106" s="497" t="s">
        <v>1982</v>
      </c>
      <c r="DP1106" s="543">
        <v>1</v>
      </c>
    </row>
    <row r="1107" spans="109:120" ht="15">
      <c r="DE1107" s="494"/>
      <c r="DF1107" s="496" t="s">
        <v>3262</v>
      </c>
      <c r="DG1107" s="496" t="s">
        <v>8</v>
      </c>
      <c r="DH1107" s="496" t="s">
        <v>689</v>
      </c>
      <c r="DI1107" s="496" t="s">
        <v>3263</v>
      </c>
      <c r="DJ1107" s="496" t="s">
        <v>3263</v>
      </c>
      <c r="DK1107" s="496" t="s">
        <v>1554</v>
      </c>
      <c r="DL1107" s="496" t="s">
        <v>1555</v>
      </c>
      <c r="DM1107" s="496" t="s">
        <v>1981</v>
      </c>
      <c r="DN1107" s="497" t="s">
        <v>1982</v>
      </c>
      <c r="DP1107" s="543">
        <v>1</v>
      </c>
    </row>
    <row r="1108" spans="109:120" ht="15">
      <c r="DE1108" s="494"/>
      <c r="DF1108" s="496" t="s">
        <v>3264</v>
      </c>
      <c r="DG1108" s="496" t="s">
        <v>8</v>
      </c>
      <c r="DH1108" s="496" t="s">
        <v>689</v>
      </c>
      <c r="DI1108" s="496" t="s">
        <v>3265</v>
      </c>
      <c r="DJ1108" s="496" t="s">
        <v>3265</v>
      </c>
      <c r="DK1108" s="496" t="s">
        <v>1554</v>
      </c>
      <c r="DL1108" s="496" t="s">
        <v>1555</v>
      </c>
      <c r="DM1108" s="496" t="s">
        <v>1981</v>
      </c>
      <c r="DN1108" s="497" t="s">
        <v>1982</v>
      </c>
      <c r="DP1108" s="543">
        <v>1</v>
      </c>
    </row>
    <row r="1109" spans="109:120" ht="15">
      <c r="DE1109" s="494"/>
      <c r="DF1109" s="496" t="s">
        <v>3266</v>
      </c>
      <c r="DG1109" s="496" t="s">
        <v>8</v>
      </c>
      <c r="DH1109" s="496" t="s">
        <v>689</v>
      </c>
      <c r="DI1109" s="496" t="s">
        <v>3267</v>
      </c>
      <c r="DJ1109" s="496" t="s">
        <v>3267</v>
      </c>
      <c r="DK1109" s="496" t="s">
        <v>1554</v>
      </c>
      <c r="DL1109" s="496" t="s">
        <v>1555</v>
      </c>
      <c r="DM1109" s="496" t="s">
        <v>1981</v>
      </c>
      <c r="DN1109" s="497" t="s">
        <v>1982</v>
      </c>
      <c r="DP1109" s="543">
        <v>1</v>
      </c>
    </row>
    <row r="1110" spans="109:120" ht="15">
      <c r="DE1110" s="494"/>
      <c r="DF1110" s="496" t="s">
        <v>3268</v>
      </c>
      <c r="DG1110" s="496" t="s">
        <v>8</v>
      </c>
      <c r="DH1110" s="496" t="s">
        <v>689</v>
      </c>
      <c r="DI1110" s="496" t="s">
        <v>3269</v>
      </c>
      <c r="DJ1110" s="496" t="s">
        <v>3269</v>
      </c>
      <c r="DK1110" s="496" t="s">
        <v>1554</v>
      </c>
      <c r="DL1110" s="496" t="s">
        <v>1555</v>
      </c>
      <c r="DM1110" s="496" t="s">
        <v>1981</v>
      </c>
      <c r="DN1110" s="497" t="s">
        <v>1982</v>
      </c>
      <c r="DP1110" s="543">
        <v>1</v>
      </c>
    </row>
    <row r="1111" spans="109:120" ht="15">
      <c r="DE1111" s="494"/>
      <c r="DF1111" s="496" t="s">
        <v>3270</v>
      </c>
      <c r="DG1111" s="496" t="s">
        <v>8</v>
      </c>
      <c r="DH1111" s="496" t="s">
        <v>689</v>
      </c>
      <c r="DI1111" s="496" t="s">
        <v>3271</v>
      </c>
      <c r="DJ1111" s="496" t="s">
        <v>3271</v>
      </c>
      <c r="DK1111" s="496" t="s">
        <v>1554</v>
      </c>
      <c r="DL1111" s="496" t="s">
        <v>1555</v>
      </c>
      <c r="DM1111" s="496" t="s">
        <v>1981</v>
      </c>
      <c r="DN1111" s="497" t="s">
        <v>1982</v>
      </c>
      <c r="DP1111" s="543">
        <v>1</v>
      </c>
    </row>
    <row r="1112" spans="109:120" ht="15">
      <c r="DE1112" s="494"/>
      <c r="DF1112" s="496" t="s">
        <v>3272</v>
      </c>
      <c r="DG1112" s="496" t="s">
        <v>8</v>
      </c>
      <c r="DH1112" s="496" t="s">
        <v>689</v>
      </c>
      <c r="DI1112" s="496" t="s">
        <v>3273</v>
      </c>
      <c r="DJ1112" s="496" t="s">
        <v>3273</v>
      </c>
      <c r="DK1112" s="496" t="s">
        <v>1554</v>
      </c>
      <c r="DL1112" s="496" t="s">
        <v>1555</v>
      </c>
      <c r="DM1112" s="496" t="s">
        <v>1981</v>
      </c>
      <c r="DN1112" s="497" t="s">
        <v>1982</v>
      </c>
      <c r="DP1112" s="543">
        <v>1</v>
      </c>
    </row>
    <row r="1113" spans="109:120" ht="15">
      <c r="DE1113" s="494"/>
      <c r="DF1113" s="496" t="s">
        <v>3274</v>
      </c>
      <c r="DG1113" s="496" t="s">
        <v>8</v>
      </c>
      <c r="DH1113" s="496" t="s">
        <v>689</v>
      </c>
      <c r="DI1113" s="496" t="s">
        <v>3275</v>
      </c>
      <c r="DJ1113" s="496" t="s">
        <v>3275</v>
      </c>
      <c r="DK1113" s="496" t="s">
        <v>1554</v>
      </c>
      <c r="DL1113" s="496" t="s">
        <v>1555</v>
      </c>
      <c r="DM1113" s="496" t="s">
        <v>1981</v>
      </c>
      <c r="DN1113" s="497" t="s">
        <v>1982</v>
      </c>
      <c r="DP1113" s="543">
        <v>1</v>
      </c>
    </row>
    <row r="1114" spans="109:120" ht="15">
      <c r="DE1114" s="494"/>
      <c r="DF1114" s="496" t="s">
        <v>3276</v>
      </c>
      <c r="DG1114" s="496" t="s">
        <v>8</v>
      </c>
      <c r="DH1114" s="496" t="s">
        <v>689</v>
      </c>
      <c r="DI1114" s="496" t="s">
        <v>3277</v>
      </c>
      <c r="DJ1114" s="496" t="s">
        <v>3277</v>
      </c>
      <c r="DK1114" s="496" t="s">
        <v>1554</v>
      </c>
      <c r="DL1114" s="496" t="s">
        <v>1555</v>
      </c>
      <c r="DM1114" s="496" t="s">
        <v>1981</v>
      </c>
      <c r="DN1114" s="497" t="s">
        <v>1982</v>
      </c>
      <c r="DP1114" s="543">
        <v>1</v>
      </c>
    </row>
    <row r="1115" spans="109:120" ht="15">
      <c r="DE1115" s="494"/>
      <c r="DF1115" s="496" t="s">
        <v>3278</v>
      </c>
      <c r="DG1115" s="496" t="s">
        <v>8</v>
      </c>
      <c r="DH1115" s="496" t="s">
        <v>689</v>
      </c>
      <c r="DI1115" s="496" t="s">
        <v>3279</v>
      </c>
      <c r="DJ1115" s="496" t="s">
        <v>3279</v>
      </c>
      <c r="DK1115" s="496" t="s">
        <v>1554</v>
      </c>
      <c r="DL1115" s="496" t="s">
        <v>1555</v>
      </c>
      <c r="DM1115" s="496" t="s">
        <v>1981</v>
      </c>
      <c r="DN1115" s="497" t="s">
        <v>1982</v>
      </c>
      <c r="DP1115" s="543">
        <v>1</v>
      </c>
    </row>
    <row r="1116" spans="109:120" ht="15">
      <c r="DE1116" s="494"/>
      <c r="DF1116" s="496" t="s">
        <v>3280</v>
      </c>
      <c r="DG1116" s="496" t="s">
        <v>8</v>
      </c>
      <c r="DH1116" s="496" t="s">
        <v>689</v>
      </c>
      <c r="DI1116" s="496" t="s">
        <v>3281</v>
      </c>
      <c r="DJ1116" s="496" t="s">
        <v>3281</v>
      </c>
      <c r="DK1116" s="496" t="s">
        <v>1554</v>
      </c>
      <c r="DL1116" s="496" t="s">
        <v>1555</v>
      </c>
      <c r="DM1116" s="496" t="s">
        <v>1981</v>
      </c>
      <c r="DN1116" s="497" t="s">
        <v>1982</v>
      </c>
      <c r="DP1116" s="543">
        <v>1</v>
      </c>
    </row>
    <row r="1117" spans="109:120" ht="15">
      <c r="DE1117" s="494"/>
      <c r="DF1117" s="496" t="s">
        <v>3282</v>
      </c>
      <c r="DG1117" s="496" t="s">
        <v>8</v>
      </c>
      <c r="DH1117" s="496" t="s">
        <v>689</v>
      </c>
      <c r="DI1117" s="496" t="s">
        <v>3283</v>
      </c>
      <c r="DJ1117" s="496" t="s">
        <v>3283</v>
      </c>
      <c r="DK1117" s="496" t="s">
        <v>1554</v>
      </c>
      <c r="DL1117" s="496" t="s">
        <v>1555</v>
      </c>
      <c r="DM1117" s="496" t="s">
        <v>1981</v>
      </c>
      <c r="DN1117" s="497" t="s">
        <v>1982</v>
      </c>
      <c r="DP1117" s="543">
        <v>1</v>
      </c>
    </row>
    <row r="1118" spans="109:120" ht="15">
      <c r="DE1118" s="494"/>
      <c r="DF1118" s="496" t="s">
        <v>3284</v>
      </c>
      <c r="DG1118" s="496" t="s">
        <v>8</v>
      </c>
      <c r="DH1118" s="496" t="s">
        <v>689</v>
      </c>
      <c r="DI1118" s="496" t="s">
        <v>3285</v>
      </c>
      <c r="DJ1118" s="496" t="s">
        <v>3285</v>
      </c>
      <c r="DK1118" s="496" t="s">
        <v>1554</v>
      </c>
      <c r="DL1118" s="496" t="s">
        <v>1555</v>
      </c>
      <c r="DM1118" s="496" t="s">
        <v>1981</v>
      </c>
      <c r="DN1118" s="497" t="s">
        <v>1982</v>
      </c>
      <c r="DP1118" s="543">
        <v>1</v>
      </c>
    </row>
    <row r="1119" spans="109:120" ht="15">
      <c r="DE1119" s="494"/>
      <c r="DF1119" s="496" t="s">
        <v>3286</v>
      </c>
      <c r="DG1119" s="496" t="s">
        <v>8</v>
      </c>
      <c r="DH1119" s="496" t="s">
        <v>689</v>
      </c>
      <c r="DI1119" s="496" t="s">
        <v>3287</v>
      </c>
      <c r="DJ1119" s="496" t="s">
        <v>3287</v>
      </c>
      <c r="DK1119" s="496" t="s">
        <v>1554</v>
      </c>
      <c r="DL1119" s="496" t="s">
        <v>1555</v>
      </c>
      <c r="DM1119" s="496" t="s">
        <v>1981</v>
      </c>
      <c r="DN1119" s="497" t="s">
        <v>1982</v>
      </c>
      <c r="DP1119" s="543">
        <v>1</v>
      </c>
    </row>
    <row r="1120" spans="109:120" ht="15">
      <c r="DE1120" s="494"/>
      <c r="DF1120" s="496" t="s">
        <v>3288</v>
      </c>
      <c r="DG1120" s="496" t="s">
        <v>8</v>
      </c>
      <c r="DH1120" s="496" t="s">
        <v>689</v>
      </c>
      <c r="DI1120" s="496" t="s">
        <v>3289</v>
      </c>
      <c r="DJ1120" s="496" t="s">
        <v>3289</v>
      </c>
      <c r="DK1120" s="496" t="s">
        <v>1554</v>
      </c>
      <c r="DL1120" s="496" t="s">
        <v>1555</v>
      </c>
      <c r="DM1120" s="496" t="s">
        <v>1981</v>
      </c>
      <c r="DN1120" s="497" t="s">
        <v>1982</v>
      </c>
      <c r="DP1120" s="543">
        <v>1</v>
      </c>
    </row>
    <row r="1121" spans="109:120" ht="15">
      <c r="DE1121" s="494"/>
      <c r="DF1121" s="496" t="s">
        <v>3290</v>
      </c>
      <c r="DG1121" s="496" t="s">
        <v>8</v>
      </c>
      <c r="DH1121" s="496" t="s">
        <v>689</v>
      </c>
      <c r="DI1121" s="496" t="s">
        <v>3291</v>
      </c>
      <c r="DJ1121" s="496" t="s">
        <v>3291</v>
      </c>
      <c r="DK1121" s="496" t="s">
        <v>1554</v>
      </c>
      <c r="DL1121" s="496" t="s">
        <v>1555</v>
      </c>
      <c r="DM1121" s="496" t="s">
        <v>1981</v>
      </c>
      <c r="DN1121" s="497" t="s">
        <v>1982</v>
      </c>
      <c r="DP1121" s="543">
        <v>1</v>
      </c>
    </row>
    <row r="1122" spans="109:120" ht="15">
      <c r="DE1122" s="494"/>
      <c r="DF1122" s="496" t="s">
        <v>3292</v>
      </c>
      <c r="DG1122" s="496" t="s">
        <v>8</v>
      </c>
      <c r="DH1122" s="496" t="s">
        <v>689</v>
      </c>
      <c r="DI1122" s="496" t="s">
        <v>3293</v>
      </c>
      <c r="DJ1122" s="496" t="s">
        <v>3293</v>
      </c>
      <c r="DK1122" s="496" t="s">
        <v>1554</v>
      </c>
      <c r="DL1122" s="496" t="s">
        <v>1555</v>
      </c>
      <c r="DM1122" s="496" t="s">
        <v>1981</v>
      </c>
      <c r="DN1122" s="497" t="s">
        <v>1982</v>
      </c>
      <c r="DP1122" s="543">
        <v>1</v>
      </c>
    </row>
    <row r="1123" spans="109:120" ht="15">
      <c r="DE1123" s="494"/>
      <c r="DF1123" s="496" t="s">
        <v>3294</v>
      </c>
      <c r="DG1123" s="496" t="s">
        <v>8</v>
      </c>
      <c r="DH1123" s="496" t="s">
        <v>689</v>
      </c>
      <c r="DI1123" s="496" t="s">
        <v>3295</v>
      </c>
      <c r="DJ1123" s="496" t="s">
        <v>3295</v>
      </c>
      <c r="DK1123" s="496" t="s">
        <v>1554</v>
      </c>
      <c r="DL1123" s="496" t="s">
        <v>1555</v>
      </c>
      <c r="DM1123" s="496" t="s">
        <v>1981</v>
      </c>
      <c r="DN1123" s="497" t="s">
        <v>1982</v>
      </c>
      <c r="DP1123" s="543">
        <v>1</v>
      </c>
    </row>
    <row r="1124" spans="109:120" ht="15">
      <c r="DE1124" s="494"/>
      <c r="DF1124" s="496" t="s">
        <v>3296</v>
      </c>
      <c r="DG1124" s="496" t="s">
        <v>8</v>
      </c>
      <c r="DH1124" s="496" t="s">
        <v>689</v>
      </c>
      <c r="DI1124" s="496" t="s">
        <v>3297</v>
      </c>
      <c r="DJ1124" s="496" t="s">
        <v>3297</v>
      </c>
      <c r="DK1124" s="496" t="s">
        <v>1554</v>
      </c>
      <c r="DL1124" s="496" t="s">
        <v>1555</v>
      </c>
      <c r="DM1124" s="496" t="s">
        <v>1981</v>
      </c>
      <c r="DN1124" s="497" t="s">
        <v>1982</v>
      </c>
      <c r="DP1124" s="543">
        <v>1</v>
      </c>
    </row>
    <row r="1125" spans="109:120" ht="15">
      <c r="DE1125" s="494"/>
      <c r="DF1125" s="496" t="s">
        <v>3298</v>
      </c>
      <c r="DG1125" s="496" t="s">
        <v>8</v>
      </c>
      <c r="DH1125" s="496" t="s">
        <v>689</v>
      </c>
      <c r="DI1125" s="496" t="s">
        <v>3299</v>
      </c>
      <c r="DJ1125" s="496" t="s">
        <v>3299</v>
      </c>
      <c r="DK1125" s="496" t="s">
        <v>1554</v>
      </c>
      <c r="DL1125" s="496" t="s">
        <v>1555</v>
      </c>
      <c r="DM1125" s="496" t="s">
        <v>1981</v>
      </c>
      <c r="DN1125" s="497" t="s">
        <v>1982</v>
      </c>
      <c r="DP1125" s="543">
        <v>1</v>
      </c>
    </row>
    <row r="1126" spans="109:120" ht="15">
      <c r="DE1126" s="494"/>
      <c r="DF1126" s="496" t="s">
        <v>3300</v>
      </c>
      <c r="DG1126" s="496" t="s">
        <v>8</v>
      </c>
      <c r="DH1126" s="496" t="s">
        <v>689</v>
      </c>
      <c r="DI1126" s="496" t="s">
        <v>3301</v>
      </c>
      <c r="DJ1126" s="496" t="s">
        <v>3301</v>
      </c>
      <c r="DK1126" s="496" t="s">
        <v>1554</v>
      </c>
      <c r="DL1126" s="496" t="s">
        <v>1555</v>
      </c>
      <c r="DM1126" s="496" t="s">
        <v>1981</v>
      </c>
      <c r="DN1126" s="497" t="s">
        <v>1982</v>
      </c>
      <c r="DP1126" s="543">
        <v>1</v>
      </c>
    </row>
    <row r="1127" spans="109:120" ht="15">
      <c r="DE1127" s="494"/>
      <c r="DF1127" s="496" t="s">
        <v>3302</v>
      </c>
      <c r="DG1127" s="496" t="s">
        <v>8</v>
      </c>
      <c r="DH1127" s="496" t="s">
        <v>689</v>
      </c>
      <c r="DI1127" s="496" t="s">
        <v>3303</v>
      </c>
      <c r="DJ1127" s="496" t="s">
        <v>3303</v>
      </c>
      <c r="DK1127" s="496" t="s">
        <v>1554</v>
      </c>
      <c r="DL1127" s="496" t="s">
        <v>1555</v>
      </c>
      <c r="DM1127" s="496" t="s">
        <v>1981</v>
      </c>
      <c r="DN1127" s="497" t="s">
        <v>1982</v>
      </c>
      <c r="DP1127" s="543">
        <v>1</v>
      </c>
    </row>
    <row r="1128" spans="109:120" ht="15">
      <c r="DE1128" s="494"/>
      <c r="DF1128" s="496" t="s">
        <v>3304</v>
      </c>
      <c r="DG1128" s="496" t="s">
        <v>8</v>
      </c>
      <c r="DH1128" s="496" t="s">
        <v>689</v>
      </c>
      <c r="DI1128" s="496" t="s">
        <v>3305</v>
      </c>
      <c r="DJ1128" s="496" t="s">
        <v>3305</v>
      </c>
      <c r="DK1128" s="496" t="s">
        <v>1554</v>
      </c>
      <c r="DL1128" s="496" t="s">
        <v>1555</v>
      </c>
      <c r="DM1128" s="496" t="s">
        <v>1981</v>
      </c>
      <c r="DN1128" s="497" t="s">
        <v>1982</v>
      </c>
      <c r="DP1128" s="543">
        <v>1</v>
      </c>
    </row>
    <row r="1129" spans="109:120" ht="15">
      <c r="DE1129" s="494"/>
      <c r="DF1129" s="496" t="s">
        <v>3306</v>
      </c>
      <c r="DG1129" s="496" t="s">
        <v>8</v>
      </c>
      <c r="DH1129" s="496" t="s">
        <v>689</v>
      </c>
      <c r="DI1129" s="496" t="s">
        <v>3307</v>
      </c>
      <c r="DJ1129" s="496" t="s">
        <v>3307</v>
      </c>
      <c r="DK1129" s="496" t="s">
        <v>1554</v>
      </c>
      <c r="DL1129" s="496" t="s">
        <v>1555</v>
      </c>
      <c r="DM1129" s="496" t="s">
        <v>1981</v>
      </c>
      <c r="DN1129" s="497" t="s">
        <v>1982</v>
      </c>
      <c r="DP1129" s="543">
        <v>1</v>
      </c>
    </row>
    <row r="1130" spans="109:120" ht="15">
      <c r="DE1130" s="494"/>
      <c r="DF1130" s="496" t="s">
        <v>3308</v>
      </c>
      <c r="DG1130" s="496" t="s">
        <v>8</v>
      </c>
      <c r="DH1130" s="496" t="s">
        <v>689</v>
      </c>
      <c r="DI1130" s="496" t="s">
        <v>3309</v>
      </c>
      <c r="DJ1130" s="496" t="s">
        <v>3309</v>
      </c>
      <c r="DK1130" s="496" t="s">
        <v>1554</v>
      </c>
      <c r="DL1130" s="496" t="s">
        <v>1555</v>
      </c>
      <c r="DM1130" s="496" t="s">
        <v>1981</v>
      </c>
      <c r="DN1130" s="497" t="s">
        <v>1982</v>
      </c>
      <c r="DP1130" s="543">
        <v>1</v>
      </c>
    </row>
    <row r="1131" spans="109:120" ht="15">
      <c r="DE1131" s="494"/>
      <c r="DF1131" s="496" t="s">
        <v>3310</v>
      </c>
      <c r="DG1131" s="496" t="s">
        <v>8</v>
      </c>
      <c r="DH1131" s="496" t="s">
        <v>689</v>
      </c>
      <c r="DI1131" s="496" t="s">
        <v>3311</v>
      </c>
      <c r="DJ1131" s="496" t="s">
        <v>3311</v>
      </c>
      <c r="DK1131" s="496" t="s">
        <v>1554</v>
      </c>
      <c r="DL1131" s="496" t="s">
        <v>1555</v>
      </c>
      <c r="DM1131" s="496" t="s">
        <v>1981</v>
      </c>
      <c r="DN1131" s="497" t="s">
        <v>1982</v>
      </c>
      <c r="DP1131" s="543">
        <v>1</v>
      </c>
    </row>
    <row r="1132" spans="109:120" ht="15">
      <c r="DE1132" s="494"/>
      <c r="DF1132" s="496" t="s">
        <v>3312</v>
      </c>
      <c r="DG1132" s="496" t="s">
        <v>8</v>
      </c>
      <c r="DH1132" s="496" t="s">
        <v>689</v>
      </c>
      <c r="DI1132" s="496" t="s">
        <v>3313</v>
      </c>
      <c r="DJ1132" s="496" t="s">
        <v>3313</v>
      </c>
      <c r="DK1132" s="496" t="s">
        <v>1554</v>
      </c>
      <c r="DL1132" s="496" t="s">
        <v>1555</v>
      </c>
      <c r="DM1132" s="496" t="s">
        <v>1981</v>
      </c>
      <c r="DN1132" s="497" t="s">
        <v>1982</v>
      </c>
      <c r="DP1132" s="543">
        <v>1</v>
      </c>
    </row>
    <row r="1133" spans="109:120" ht="15">
      <c r="DE1133" s="494"/>
      <c r="DF1133" s="496" t="s">
        <v>3314</v>
      </c>
      <c r="DG1133" s="496" t="s">
        <v>8</v>
      </c>
      <c r="DH1133" s="496" t="s">
        <v>689</v>
      </c>
      <c r="DI1133" s="496" t="s">
        <v>3315</v>
      </c>
      <c r="DJ1133" s="496" t="s">
        <v>3315</v>
      </c>
      <c r="DK1133" s="496" t="s">
        <v>1554</v>
      </c>
      <c r="DL1133" s="496" t="s">
        <v>1555</v>
      </c>
      <c r="DM1133" s="496" t="s">
        <v>1981</v>
      </c>
      <c r="DN1133" s="497" t="s">
        <v>1982</v>
      </c>
      <c r="DP1133" s="543">
        <v>1</v>
      </c>
    </row>
    <row r="1134" spans="109:120" ht="15">
      <c r="DE1134" s="494"/>
      <c r="DF1134" s="496" t="s">
        <v>3316</v>
      </c>
      <c r="DG1134" s="496" t="s">
        <v>8</v>
      </c>
      <c r="DH1134" s="496" t="s">
        <v>689</v>
      </c>
      <c r="DI1134" s="496" t="s">
        <v>3317</v>
      </c>
      <c r="DJ1134" s="496" t="s">
        <v>3317</v>
      </c>
      <c r="DK1134" s="496" t="s">
        <v>1554</v>
      </c>
      <c r="DL1134" s="496" t="s">
        <v>1555</v>
      </c>
      <c r="DM1134" s="496" t="s">
        <v>1981</v>
      </c>
      <c r="DN1134" s="497" t="s">
        <v>1982</v>
      </c>
      <c r="DP1134" s="543">
        <v>1</v>
      </c>
    </row>
    <row r="1135" spans="109:120" ht="15">
      <c r="DE1135" s="494"/>
      <c r="DF1135" s="496" t="s">
        <v>3318</v>
      </c>
      <c r="DG1135" s="496" t="s">
        <v>8</v>
      </c>
      <c r="DH1135" s="496" t="s">
        <v>689</v>
      </c>
      <c r="DI1135" s="496" t="s">
        <v>3319</v>
      </c>
      <c r="DJ1135" s="496" t="s">
        <v>3319</v>
      </c>
      <c r="DK1135" s="496" t="s">
        <v>1554</v>
      </c>
      <c r="DL1135" s="496" t="s">
        <v>1555</v>
      </c>
      <c r="DM1135" s="496" t="s">
        <v>1981</v>
      </c>
      <c r="DN1135" s="497" t="s">
        <v>1982</v>
      </c>
      <c r="DP1135" s="543">
        <v>1</v>
      </c>
    </row>
    <row r="1136" spans="109:120" ht="15">
      <c r="DE1136" s="494"/>
      <c r="DF1136" s="496" t="s">
        <v>3320</v>
      </c>
      <c r="DG1136" s="496" t="s">
        <v>8</v>
      </c>
      <c r="DH1136" s="496" t="s">
        <v>689</v>
      </c>
      <c r="DI1136" s="496" t="s">
        <v>3321</v>
      </c>
      <c r="DJ1136" s="496" t="s">
        <v>3321</v>
      </c>
      <c r="DK1136" s="496" t="s">
        <v>1554</v>
      </c>
      <c r="DL1136" s="496" t="s">
        <v>1555</v>
      </c>
      <c r="DM1136" s="496" t="s">
        <v>1981</v>
      </c>
      <c r="DN1136" s="497" t="s">
        <v>1982</v>
      </c>
      <c r="DP1136" s="543">
        <v>1</v>
      </c>
    </row>
    <row r="1137" spans="109:120" ht="15">
      <c r="DE1137" s="494"/>
      <c r="DF1137" s="496" t="s">
        <v>3322</v>
      </c>
      <c r="DG1137" s="496" t="s">
        <v>8</v>
      </c>
      <c r="DH1137" s="496" t="s">
        <v>689</v>
      </c>
      <c r="DI1137" s="496" t="s">
        <v>3323</v>
      </c>
      <c r="DJ1137" s="496" t="s">
        <v>3323</v>
      </c>
      <c r="DK1137" s="496" t="s">
        <v>1554</v>
      </c>
      <c r="DL1137" s="496" t="s">
        <v>1555</v>
      </c>
      <c r="DM1137" s="496" t="s">
        <v>1981</v>
      </c>
      <c r="DN1137" s="497" t="s">
        <v>1982</v>
      </c>
      <c r="DP1137" s="543">
        <v>1</v>
      </c>
    </row>
    <row r="1138" spans="109:120" ht="15">
      <c r="DE1138" s="494"/>
      <c r="DF1138" s="496" t="s">
        <v>3324</v>
      </c>
      <c r="DG1138" s="496" t="s">
        <v>8</v>
      </c>
      <c r="DH1138" s="496" t="s">
        <v>689</v>
      </c>
      <c r="DI1138" s="496" t="s">
        <v>3325</v>
      </c>
      <c r="DJ1138" s="496" t="s">
        <v>3325</v>
      </c>
      <c r="DK1138" s="496" t="s">
        <v>1554</v>
      </c>
      <c r="DL1138" s="496" t="s">
        <v>1555</v>
      </c>
      <c r="DM1138" s="496" t="s">
        <v>1981</v>
      </c>
      <c r="DN1138" s="497" t="s">
        <v>1982</v>
      </c>
      <c r="DP1138" s="543">
        <v>1</v>
      </c>
    </row>
    <row r="1139" spans="109:120" ht="15">
      <c r="DE1139" s="494"/>
      <c r="DF1139" s="496" t="s">
        <v>3326</v>
      </c>
      <c r="DG1139" s="496" t="s">
        <v>8</v>
      </c>
      <c r="DH1139" s="496" t="s">
        <v>689</v>
      </c>
      <c r="DI1139" s="496" t="s">
        <v>3327</v>
      </c>
      <c r="DJ1139" s="496" t="s">
        <v>3327</v>
      </c>
      <c r="DK1139" s="496" t="s">
        <v>1554</v>
      </c>
      <c r="DL1139" s="496" t="s">
        <v>1555</v>
      </c>
      <c r="DM1139" s="496" t="s">
        <v>1981</v>
      </c>
      <c r="DN1139" s="497" t="s">
        <v>1982</v>
      </c>
      <c r="DP1139" s="543">
        <v>1</v>
      </c>
    </row>
    <row r="1140" spans="109:120" ht="15">
      <c r="DE1140" s="494"/>
      <c r="DF1140" s="496" t="s">
        <v>3328</v>
      </c>
      <c r="DG1140" s="496" t="s">
        <v>8</v>
      </c>
      <c r="DH1140" s="496" t="s">
        <v>689</v>
      </c>
      <c r="DI1140" s="496" t="s">
        <v>3329</v>
      </c>
      <c r="DJ1140" s="496" t="s">
        <v>3329</v>
      </c>
      <c r="DK1140" s="496" t="s">
        <v>1554</v>
      </c>
      <c r="DL1140" s="496" t="s">
        <v>1555</v>
      </c>
      <c r="DM1140" s="496" t="s">
        <v>1981</v>
      </c>
      <c r="DN1140" s="497" t="s">
        <v>1982</v>
      </c>
      <c r="DP1140" s="543">
        <v>1</v>
      </c>
    </row>
    <row r="1141" spans="109:120" ht="15">
      <c r="DE1141" s="494"/>
      <c r="DF1141" s="496" t="s">
        <v>3330</v>
      </c>
      <c r="DG1141" s="496" t="s">
        <v>8</v>
      </c>
      <c r="DH1141" s="496" t="s">
        <v>689</v>
      </c>
      <c r="DI1141" s="496" t="s">
        <v>3331</v>
      </c>
      <c r="DJ1141" s="496" t="s">
        <v>3331</v>
      </c>
      <c r="DK1141" s="496" t="s">
        <v>1554</v>
      </c>
      <c r="DL1141" s="496" t="s">
        <v>1555</v>
      </c>
      <c r="DM1141" s="496" t="s">
        <v>1981</v>
      </c>
      <c r="DN1141" s="497" t="s">
        <v>1982</v>
      </c>
      <c r="DP1141" s="543">
        <v>1</v>
      </c>
    </row>
    <row r="1142" spans="109:120" ht="15">
      <c r="DE1142" s="494"/>
      <c r="DF1142" s="496" t="s">
        <v>3332</v>
      </c>
      <c r="DG1142" s="496" t="s">
        <v>8</v>
      </c>
      <c r="DH1142" s="496" t="s">
        <v>689</v>
      </c>
      <c r="DI1142" s="496" t="s">
        <v>3333</v>
      </c>
      <c r="DJ1142" s="496" t="s">
        <v>3333</v>
      </c>
      <c r="DK1142" s="496" t="s">
        <v>1554</v>
      </c>
      <c r="DL1142" s="496" t="s">
        <v>1555</v>
      </c>
      <c r="DM1142" s="496" t="s">
        <v>1981</v>
      </c>
      <c r="DN1142" s="497" t="s">
        <v>1982</v>
      </c>
      <c r="DP1142" s="543">
        <v>1</v>
      </c>
    </row>
    <row r="1143" spans="109:120" ht="15">
      <c r="DE1143" s="494"/>
      <c r="DF1143" s="496" t="s">
        <v>3334</v>
      </c>
      <c r="DG1143" s="496" t="s">
        <v>8</v>
      </c>
      <c r="DH1143" s="496" t="s">
        <v>689</v>
      </c>
      <c r="DI1143" s="496" t="s">
        <v>3335</v>
      </c>
      <c r="DJ1143" s="496" t="s">
        <v>3335</v>
      </c>
      <c r="DK1143" s="496" t="s">
        <v>1554</v>
      </c>
      <c r="DL1143" s="496" t="s">
        <v>1555</v>
      </c>
      <c r="DM1143" s="496" t="s">
        <v>1981</v>
      </c>
      <c r="DN1143" s="497" t="s">
        <v>1982</v>
      </c>
      <c r="DP1143" s="543">
        <v>1</v>
      </c>
    </row>
    <row r="1144" spans="109:120" ht="15">
      <c r="DE1144" s="494"/>
      <c r="DF1144" s="496" t="s">
        <v>3336</v>
      </c>
      <c r="DG1144" s="496" t="s">
        <v>8</v>
      </c>
      <c r="DH1144" s="496" t="s">
        <v>689</v>
      </c>
      <c r="DI1144" s="496" t="s">
        <v>3337</v>
      </c>
      <c r="DJ1144" s="496" t="s">
        <v>3337</v>
      </c>
      <c r="DK1144" s="496" t="s">
        <v>1554</v>
      </c>
      <c r="DL1144" s="496" t="s">
        <v>1555</v>
      </c>
      <c r="DM1144" s="496" t="s">
        <v>1981</v>
      </c>
      <c r="DN1144" s="497" t="s">
        <v>1982</v>
      </c>
      <c r="DP1144" s="543">
        <v>1</v>
      </c>
    </row>
    <row r="1145" spans="109:120" ht="15">
      <c r="DE1145" s="494"/>
      <c r="DF1145" s="496" t="s">
        <v>3338</v>
      </c>
      <c r="DG1145" s="496" t="s">
        <v>8</v>
      </c>
      <c r="DH1145" s="496" t="s">
        <v>689</v>
      </c>
      <c r="DI1145" s="496" t="s">
        <v>3339</v>
      </c>
      <c r="DJ1145" s="496" t="s">
        <v>3339</v>
      </c>
      <c r="DK1145" s="496" t="s">
        <v>1554</v>
      </c>
      <c r="DL1145" s="496" t="s">
        <v>1555</v>
      </c>
      <c r="DM1145" s="496" t="s">
        <v>1981</v>
      </c>
      <c r="DN1145" s="497" t="s">
        <v>1982</v>
      </c>
      <c r="DP1145" s="543">
        <v>1</v>
      </c>
    </row>
    <row r="1146" spans="109:120" ht="15">
      <c r="DE1146" s="494"/>
      <c r="DF1146" s="496" t="s">
        <v>3340</v>
      </c>
      <c r="DG1146" s="496" t="s">
        <v>8</v>
      </c>
      <c r="DH1146" s="496" t="s">
        <v>689</v>
      </c>
      <c r="DI1146" s="496" t="s">
        <v>3341</v>
      </c>
      <c r="DJ1146" s="496" t="s">
        <v>3341</v>
      </c>
      <c r="DK1146" s="496" t="s">
        <v>1554</v>
      </c>
      <c r="DL1146" s="496" t="s">
        <v>1555</v>
      </c>
      <c r="DM1146" s="496" t="s">
        <v>1981</v>
      </c>
      <c r="DN1146" s="497" t="s">
        <v>1982</v>
      </c>
      <c r="DP1146" s="543">
        <v>1</v>
      </c>
    </row>
    <row r="1147" spans="109:120" ht="15">
      <c r="DE1147" s="494"/>
      <c r="DF1147" s="496" t="s">
        <v>3342</v>
      </c>
      <c r="DG1147" s="496" t="s">
        <v>8</v>
      </c>
      <c r="DH1147" s="496" t="s">
        <v>689</v>
      </c>
      <c r="DI1147" s="496" t="s">
        <v>3343</v>
      </c>
      <c r="DJ1147" s="496" t="s">
        <v>3343</v>
      </c>
      <c r="DK1147" s="496" t="s">
        <v>1554</v>
      </c>
      <c r="DL1147" s="496" t="s">
        <v>1555</v>
      </c>
      <c r="DM1147" s="496" t="s">
        <v>1981</v>
      </c>
      <c r="DN1147" s="497" t="s">
        <v>1982</v>
      </c>
      <c r="DP1147" s="543">
        <v>1</v>
      </c>
    </row>
    <row r="1148" spans="109:120" ht="15">
      <c r="DE1148" s="494"/>
      <c r="DF1148" s="496" t="s">
        <v>3344</v>
      </c>
      <c r="DG1148" s="496" t="s">
        <v>8</v>
      </c>
      <c r="DH1148" s="496" t="s">
        <v>689</v>
      </c>
      <c r="DI1148" s="496" t="s">
        <v>3345</v>
      </c>
      <c r="DJ1148" s="496" t="s">
        <v>3345</v>
      </c>
      <c r="DK1148" s="496" t="s">
        <v>1554</v>
      </c>
      <c r="DL1148" s="496" t="s">
        <v>1555</v>
      </c>
      <c r="DM1148" s="496" t="s">
        <v>1981</v>
      </c>
      <c r="DN1148" s="497" t="s">
        <v>1982</v>
      </c>
      <c r="DP1148" s="543">
        <v>1</v>
      </c>
    </row>
    <row r="1149" spans="109:120" ht="15">
      <c r="DE1149" s="494"/>
      <c r="DF1149" s="496" t="s">
        <v>3346</v>
      </c>
      <c r="DG1149" s="496" t="s">
        <v>8</v>
      </c>
      <c r="DH1149" s="496" t="s">
        <v>689</v>
      </c>
      <c r="DI1149" s="496" t="s">
        <v>3347</v>
      </c>
      <c r="DJ1149" s="496" t="s">
        <v>3347</v>
      </c>
      <c r="DK1149" s="496" t="s">
        <v>1554</v>
      </c>
      <c r="DL1149" s="496" t="s">
        <v>1555</v>
      </c>
      <c r="DM1149" s="496" t="s">
        <v>1981</v>
      </c>
      <c r="DN1149" s="497" t="s">
        <v>1982</v>
      </c>
      <c r="DP1149" s="543">
        <v>1</v>
      </c>
    </row>
    <row r="1150" spans="109:120" ht="15">
      <c r="DE1150" s="494"/>
      <c r="DF1150" s="496" t="s">
        <v>3348</v>
      </c>
      <c r="DG1150" s="496" t="s">
        <v>8</v>
      </c>
      <c r="DH1150" s="496" t="s">
        <v>689</v>
      </c>
      <c r="DI1150" s="496" t="s">
        <v>3349</v>
      </c>
      <c r="DJ1150" s="496" t="s">
        <v>3349</v>
      </c>
      <c r="DK1150" s="496" t="s">
        <v>1554</v>
      </c>
      <c r="DL1150" s="496" t="s">
        <v>1555</v>
      </c>
      <c r="DM1150" s="496" t="s">
        <v>1981</v>
      </c>
      <c r="DN1150" s="497" t="s">
        <v>1982</v>
      </c>
      <c r="DP1150" s="543">
        <v>1</v>
      </c>
    </row>
    <row r="1151" spans="109:120" ht="15">
      <c r="DE1151" s="494"/>
      <c r="DF1151" s="496" t="s">
        <v>3350</v>
      </c>
      <c r="DG1151" s="496" t="s">
        <v>8</v>
      </c>
      <c r="DH1151" s="496" t="s">
        <v>689</v>
      </c>
      <c r="DI1151" s="496" t="s">
        <v>3351</v>
      </c>
      <c r="DJ1151" s="496" t="s">
        <v>3351</v>
      </c>
      <c r="DK1151" s="496" t="s">
        <v>1554</v>
      </c>
      <c r="DL1151" s="496" t="s">
        <v>1555</v>
      </c>
      <c r="DM1151" s="496" t="s">
        <v>1981</v>
      </c>
      <c r="DN1151" s="497" t="s">
        <v>1982</v>
      </c>
      <c r="DP1151" s="543">
        <v>1</v>
      </c>
    </row>
    <row r="1152" spans="109:120" ht="15">
      <c r="DE1152" s="494"/>
      <c r="DF1152" s="496" t="s">
        <v>3352</v>
      </c>
      <c r="DG1152" s="496" t="s">
        <v>8</v>
      </c>
      <c r="DH1152" s="496" t="s">
        <v>689</v>
      </c>
      <c r="DI1152" s="496" t="s">
        <v>3353</v>
      </c>
      <c r="DJ1152" s="496" t="s">
        <v>3353</v>
      </c>
      <c r="DK1152" s="496" t="s">
        <v>1554</v>
      </c>
      <c r="DL1152" s="496" t="s">
        <v>1555</v>
      </c>
      <c r="DM1152" s="496" t="s">
        <v>1981</v>
      </c>
      <c r="DN1152" s="497" t="s">
        <v>1982</v>
      </c>
      <c r="DP1152" s="543">
        <v>1</v>
      </c>
    </row>
    <row r="1153" spans="109:120" ht="15">
      <c r="DE1153" s="494"/>
      <c r="DF1153" s="496" t="s">
        <v>3354</v>
      </c>
      <c r="DG1153" s="496" t="s">
        <v>8</v>
      </c>
      <c r="DH1153" s="496" t="s">
        <v>689</v>
      </c>
      <c r="DI1153" s="496" t="s">
        <v>3355</v>
      </c>
      <c r="DJ1153" s="496" t="s">
        <v>3355</v>
      </c>
      <c r="DK1153" s="496" t="s">
        <v>1554</v>
      </c>
      <c r="DL1153" s="496" t="s">
        <v>1555</v>
      </c>
      <c r="DM1153" s="496" t="s">
        <v>1981</v>
      </c>
      <c r="DN1153" s="497" t="s">
        <v>1982</v>
      </c>
      <c r="DP1153" s="543">
        <v>1</v>
      </c>
    </row>
    <row r="1154" spans="109:120" ht="15">
      <c r="DE1154" s="494"/>
      <c r="DF1154" s="496" t="s">
        <v>3356</v>
      </c>
      <c r="DG1154" s="496" t="s">
        <v>8</v>
      </c>
      <c r="DH1154" s="496" t="s">
        <v>689</v>
      </c>
      <c r="DI1154" s="496" t="s">
        <v>3357</v>
      </c>
      <c r="DJ1154" s="496" t="s">
        <v>3357</v>
      </c>
      <c r="DK1154" s="496" t="s">
        <v>1554</v>
      </c>
      <c r="DL1154" s="496" t="s">
        <v>1555</v>
      </c>
      <c r="DM1154" s="496" t="s">
        <v>1981</v>
      </c>
      <c r="DN1154" s="497" t="s">
        <v>1982</v>
      </c>
      <c r="DP1154" s="543">
        <v>1</v>
      </c>
    </row>
    <row r="1155" spans="109:120" ht="15">
      <c r="DE1155" s="494"/>
      <c r="DF1155" s="496" t="s">
        <v>3358</v>
      </c>
      <c r="DG1155" s="496" t="s">
        <v>8</v>
      </c>
      <c r="DH1155" s="496" t="s">
        <v>689</v>
      </c>
      <c r="DI1155" s="496" t="s">
        <v>3359</v>
      </c>
      <c r="DJ1155" s="496" t="s">
        <v>3359</v>
      </c>
      <c r="DK1155" s="496" t="s">
        <v>1554</v>
      </c>
      <c r="DL1155" s="496" t="s">
        <v>1555</v>
      </c>
      <c r="DM1155" s="496" t="s">
        <v>1981</v>
      </c>
      <c r="DN1155" s="497" t="s">
        <v>1982</v>
      </c>
      <c r="DP1155" s="543">
        <v>1</v>
      </c>
    </row>
    <row r="1156" spans="109:120" ht="15">
      <c r="DE1156" s="494"/>
      <c r="DF1156" s="496" t="s">
        <v>3360</v>
      </c>
      <c r="DG1156" s="496" t="s">
        <v>8</v>
      </c>
      <c r="DH1156" s="496" t="s">
        <v>689</v>
      </c>
      <c r="DI1156" s="496" t="s">
        <v>3361</v>
      </c>
      <c r="DJ1156" s="496" t="s">
        <v>3361</v>
      </c>
      <c r="DK1156" s="496" t="s">
        <v>1554</v>
      </c>
      <c r="DL1156" s="496" t="s">
        <v>1555</v>
      </c>
      <c r="DM1156" s="496" t="s">
        <v>1981</v>
      </c>
      <c r="DN1156" s="497" t="s">
        <v>1982</v>
      </c>
      <c r="DP1156" s="543">
        <v>1</v>
      </c>
    </row>
    <row r="1157" spans="109:120" ht="15">
      <c r="DE1157" s="494"/>
      <c r="DF1157" s="496" t="s">
        <v>3362</v>
      </c>
      <c r="DG1157" s="496" t="s">
        <v>8</v>
      </c>
      <c r="DH1157" s="496" t="s">
        <v>689</v>
      </c>
      <c r="DI1157" s="496" t="s">
        <v>3363</v>
      </c>
      <c r="DJ1157" s="496" t="s">
        <v>3363</v>
      </c>
      <c r="DK1157" s="496" t="s">
        <v>1554</v>
      </c>
      <c r="DL1157" s="496" t="s">
        <v>1555</v>
      </c>
      <c r="DM1157" s="496" t="s">
        <v>1981</v>
      </c>
      <c r="DN1157" s="497" t="s">
        <v>1982</v>
      </c>
      <c r="DP1157" s="543">
        <v>1</v>
      </c>
    </row>
    <row r="1158" spans="109:120" ht="15">
      <c r="DE1158" s="494"/>
      <c r="DF1158" s="496" t="s">
        <v>3364</v>
      </c>
      <c r="DG1158" s="496" t="s">
        <v>8</v>
      </c>
      <c r="DH1158" s="496" t="s">
        <v>689</v>
      </c>
      <c r="DI1158" s="496" t="s">
        <v>3365</v>
      </c>
      <c r="DJ1158" s="496" t="s">
        <v>3365</v>
      </c>
      <c r="DK1158" s="496" t="s">
        <v>1554</v>
      </c>
      <c r="DL1158" s="496" t="s">
        <v>1555</v>
      </c>
      <c r="DM1158" s="496" t="s">
        <v>1981</v>
      </c>
      <c r="DN1158" s="497" t="s">
        <v>1982</v>
      </c>
      <c r="DP1158" s="543">
        <v>1</v>
      </c>
    </row>
    <row r="1159" spans="109:120" ht="15">
      <c r="DE1159" s="494"/>
      <c r="DF1159" s="496" t="s">
        <v>3366</v>
      </c>
      <c r="DG1159" s="496" t="s">
        <v>8</v>
      </c>
      <c r="DH1159" s="496" t="s">
        <v>689</v>
      </c>
      <c r="DI1159" s="496" t="s">
        <v>3367</v>
      </c>
      <c r="DJ1159" s="496" t="s">
        <v>3367</v>
      </c>
      <c r="DK1159" s="496" t="s">
        <v>1554</v>
      </c>
      <c r="DL1159" s="496" t="s">
        <v>1555</v>
      </c>
      <c r="DM1159" s="496" t="s">
        <v>1981</v>
      </c>
      <c r="DN1159" s="497" t="s">
        <v>1982</v>
      </c>
      <c r="DP1159" s="543">
        <v>1</v>
      </c>
    </row>
    <row r="1160" spans="109:120" ht="15">
      <c r="DE1160" s="494"/>
      <c r="DF1160" s="496" t="s">
        <v>3368</v>
      </c>
      <c r="DG1160" s="496" t="s">
        <v>8</v>
      </c>
      <c r="DH1160" s="496" t="s">
        <v>689</v>
      </c>
      <c r="DI1160" s="496" t="s">
        <v>3369</v>
      </c>
      <c r="DJ1160" s="496" t="s">
        <v>3369</v>
      </c>
      <c r="DK1160" s="496" t="s">
        <v>1554</v>
      </c>
      <c r="DL1160" s="496" t="s">
        <v>1555</v>
      </c>
      <c r="DM1160" s="496" t="s">
        <v>1981</v>
      </c>
      <c r="DN1160" s="497" t="s">
        <v>1982</v>
      </c>
      <c r="DP1160" s="543">
        <v>1</v>
      </c>
    </row>
    <row r="1161" spans="109:120" ht="15">
      <c r="DE1161" s="494"/>
      <c r="DF1161" s="496" t="s">
        <v>3370</v>
      </c>
      <c r="DG1161" s="496" t="s">
        <v>8</v>
      </c>
      <c r="DH1161" s="496" t="s">
        <v>689</v>
      </c>
      <c r="DI1161" s="496" t="s">
        <v>1046</v>
      </c>
      <c r="DJ1161" s="496" t="s">
        <v>1046</v>
      </c>
      <c r="DK1161" s="496" t="s">
        <v>1085</v>
      </c>
      <c r="DL1161" s="496" t="s">
        <v>2063</v>
      </c>
      <c r="DM1161" s="496" t="s">
        <v>1087</v>
      </c>
      <c r="DN1161" s="497" t="s">
        <v>1088</v>
      </c>
      <c r="DP1161" s="543">
        <v>1</v>
      </c>
    </row>
    <row r="1162" spans="109:120" ht="15">
      <c r="DE1162" s="494"/>
      <c r="DF1162" s="496" t="s">
        <v>3371</v>
      </c>
      <c r="DG1162" s="496" t="s">
        <v>8</v>
      </c>
      <c r="DH1162" s="496" t="s">
        <v>689</v>
      </c>
      <c r="DI1162" s="496" t="s">
        <v>3372</v>
      </c>
      <c r="DJ1162" s="496" t="s">
        <v>3372</v>
      </c>
      <c r="DK1162" s="496" t="s">
        <v>1554</v>
      </c>
      <c r="DL1162" s="496" t="s">
        <v>1555</v>
      </c>
      <c r="DM1162" s="496" t="s">
        <v>1981</v>
      </c>
      <c r="DN1162" s="497" t="s">
        <v>1982</v>
      </c>
      <c r="DP1162" s="543">
        <v>1</v>
      </c>
    </row>
    <row r="1163" spans="109:120" ht="15">
      <c r="DE1163" s="494"/>
      <c r="DF1163" s="496" t="s">
        <v>3373</v>
      </c>
      <c r="DG1163" s="496" t="s">
        <v>8</v>
      </c>
      <c r="DH1163" s="496" t="s">
        <v>689</v>
      </c>
      <c r="DI1163" s="496" t="s">
        <v>3374</v>
      </c>
      <c r="DJ1163" s="496" t="s">
        <v>3374</v>
      </c>
      <c r="DK1163" s="496" t="s">
        <v>1554</v>
      </c>
      <c r="DL1163" s="496" t="s">
        <v>1555</v>
      </c>
      <c r="DM1163" s="496" t="s">
        <v>1981</v>
      </c>
      <c r="DN1163" s="497" t="s">
        <v>1982</v>
      </c>
      <c r="DP1163" s="543">
        <v>1</v>
      </c>
    </row>
    <row r="1164" spans="109:120" ht="15">
      <c r="DE1164" s="494"/>
      <c r="DF1164" s="496" t="s">
        <v>3375</v>
      </c>
      <c r="DG1164" s="496" t="s">
        <v>8</v>
      </c>
      <c r="DH1164" s="496" t="s">
        <v>689</v>
      </c>
      <c r="DI1164" s="496" t="s">
        <v>3376</v>
      </c>
      <c r="DJ1164" s="496" t="s">
        <v>3376</v>
      </c>
      <c r="DK1164" s="496" t="s">
        <v>1554</v>
      </c>
      <c r="DL1164" s="496" t="s">
        <v>1555</v>
      </c>
      <c r="DM1164" s="496" t="s">
        <v>1981</v>
      </c>
      <c r="DN1164" s="497" t="s">
        <v>1982</v>
      </c>
      <c r="DP1164" s="543">
        <v>1</v>
      </c>
    </row>
    <row r="1165" spans="109:120" ht="15">
      <c r="DE1165" s="494"/>
      <c r="DF1165" s="496" t="s">
        <v>3377</v>
      </c>
      <c r="DG1165" s="496" t="s">
        <v>8</v>
      </c>
      <c r="DH1165" s="496" t="s">
        <v>689</v>
      </c>
      <c r="DI1165" s="496" t="s">
        <v>3378</v>
      </c>
      <c r="DJ1165" s="496" t="s">
        <v>3378</v>
      </c>
      <c r="DK1165" s="496" t="s">
        <v>1554</v>
      </c>
      <c r="DL1165" s="496" t="s">
        <v>1555</v>
      </c>
      <c r="DM1165" s="496" t="s">
        <v>1981</v>
      </c>
      <c r="DN1165" s="497" t="s">
        <v>1982</v>
      </c>
      <c r="DP1165" s="543">
        <v>1</v>
      </c>
    </row>
    <row r="1166" spans="109:120" ht="15">
      <c r="DE1166" s="494"/>
      <c r="DF1166" s="496" t="s">
        <v>3379</v>
      </c>
      <c r="DG1166" s="496" t="s">
        <v>8</v>
      </c>
      <c r="DH1166" s="496" t="s">
        <v>689</v>
      </c>
      <c r="DI1166" s="496" t="s">
        <v>1047</v>
      </c>
      <c r="DJ1166" s="496" t="s">
        <v>1047</v>
      </c>
      <c r="DK1166" s="496" t="s">
        <v>1554</v>
      </c>
      <c r="DL1166" s="496" t="s">
        <v>1555</v>
      </c>
      <c r="DM1166" s="496" t="s">
        <v>1981</v>
      </c>
      <c r="DN1166" s="497" t="s">
        <v>1982</v>
      </c>
      <c r="DP1166" s="543">
        <v>1</v>
      </c>
    </row>
    <row r="1167" spans="109:120" ht="15">
      <c r="DE1167" s="494"/>
      <c r="DF1167" s="496" t="s">
        <v>3380</v>
      </c>
      <c r="DG1167" s="496" t="s">
        <v>8</v>
      </c>
      <c r="DH1167" s="496" t="s">
        <v>689</v>
      </c>
      <c r="DI1167" s="496" t="s">
        <v>1048</v>
      </c>
      <c r="DJ1167" s="496" t="s">
        <v>1048</v>
      </c>
      <c r="DK1167" s="496" t="s">
        <v>1554</v>
      </c>
      <c r="DL1167" s="496" t="s">
        <v>1555</v>
      </c>
      <c r="DM1167" s="496" t="s">
        <v>1981</v>
      </c>
      <c r="DN1167" s="497" t="s">
        <v>1982</v>
      </c>
      <c r="DP1167" s="543">
        <v>1</v>
      </c>
    </row>
    <row r="1168" spans="109:120" ht="15">
      <c r="DE1168" s="494"/>
      <c r="DF1168" s="496" t="s">
        <v>3381</v>
      </c>
      <c r="DG1168" s="496" t="s">
        <v>8</v>
      </c>
      <c r="DH1168" s="496" t="s">
        <v>689</v>
      </c>
      <c r="DI1168" s="496" t="s">
        <v>3382</v>
      </c>
      <c r="DJ1168" s="496" t="s">
        <v>3382</v>
      </c>
      <c r="DK1168" s="496" t="s">
        <v>1554</v>
      </c>
      <c r="DL1168" s="496" t="s">
        <v>1555</v>
      </c>
      <c r="DM1168" s="496" t="s">
        <v>1981</v>
      </c>
      <c r="DN1168" s="497" t="s">
        <v>1982</v>
      </c>
      <c r="DP1168" s="543">
        <v>1</v>
      </c>
    </row>
    <row r="1169" spans="109:120" ht="15">
      <c r="DE1169" s="494"/>
      <c r="DF1169" s="496" t="s">
        <v>3383</v>
      </c>
      <c r="DG1169" s="496" t="s">
        <v>8</v>
      </c>
      <c r="DH1169" s="496" t="s">
        <v>689</v>
      </c>
      <c r="DI1169" s="496" t="s">
        <v>3384</v>
      </c>
      <c r="DJ1169" s="496" t="s">
        <v>3384</v>
      </c>
      <c r="DK1169" s="496" t="s">
        <v>1554</v>
      </c>
      <c r="DL1169" s="496" t="s">
        <v>1555</v>
      </c>
      <c r="DM1169" s="496" t="s">
        <v>1981</v>
      </c>
      <c r="DN1169" s="497" t="s">
        <v>1982</v>
      </c>
      <c r="DP1169" s="543">
        <v>1</v>
      </c>
    </row>
    <row r="1170" spans="109:120" ht="15">
      <c r="DE1170" s="494"/>
      <c r="DF1170" s="496" t="s">
        <v>3385</v>
      </c>
      <c r="DG1170" s="496" t="s">
        <v>8</v>
      </c>
      <c r="DH1170" s="496" t="s">
        <v>689</v>
      </c>
      <c r="DI1170" s="496" t="s">
        <v>3386</v>
      </c>
      <c r="DJ1170" s="496" t="s">
        <v>3386</v>
      </c>
      <c r="DK1170" s="496" t="s">
        <v>1554</v>
      </c>
      <c r="DL1170" s="496" t="s">
        <v>1555</v>
      </c>
      <c r="DM1170" s="496" t="s">
        <v>1981</v>
      </c>
      <c r="DN1170" s="497" t="s">
        <v>1982</v>
      </c>
      <c r="DP1170" s="543">
        <v>1</v>
      </c>
    </row>
    <row r="1171" spans="109:120" ht="15">
      <c r="DE1171" s="494"/>
      <c r="DF1171" s="496" t="s">
        <v>3387</v>
      </c>
      <c r="DG1171" s="496" t="s">
        <v>8</v>
      </c>
      <c r="DH1171" s="496" t="s">
        <v>689</v>
      </c>
      <c r="DI1171" s="496" t="s">
        <v>3388</v>
      </c>
      <c r="DJ1171" s="496" t="s">
        <v>3388</v>
      </c>
      <c r="DK1171" s="496" t="s">
        <v>1554</v>
      </c>
      <c r="DL1171" s="496" t="s">
        <v>1555</v>
      </c>
      <c r="DM1171" s="496" t="s">
        <v>1981</v>
      </c>
      <c r="DN1171" s="497" t="s">
        <v>1982</v>
      </c>
      <c r="DP1171" s="543">
        <v>1</v>
      </c>
    </row>
    <row r="1172" spans="109:120" ht="15">
      <c r="DE1172" s="494"/>
      <c r="DF1172" s="496" t="s">
        <v>3389</v>
      </c>
      <c r="DG1172" s="496" t="s">
        <v>8</v>
      </c>
      <c r="DH1172" s="496" t="s">
        <v>689</v>
      </c>
      <c r="DI1172" s="496" t="s">
        <v>3390</v>
      </c>
      <c r="DJ1172" s="496" t="s">
        <v>3390</v>
      </c>
      <c r="DK1172" s="496" t="s">
        <v>1554</v>
      </c>
      <c r="DL1172" s="496" t="s">
        <v>1555</v>
      </c>
      <c r="DM1172" s="496" t="s">
        <v>1981</v>
      </c>
      <c r="DN1172" s="497" t="s">
        <v>1982</v>
      </c>
      <c r="DP1172" s="543">
        <v>1</v>
      </c>
    </row>
    <row r="1173" spans="109:120" ht="15">
      <c r="DE1173" s="494"/>
      <c r="DF1173" s="496" t="s">
        <v>3391</v>
      </c>
      <c r="DG1173" s="496" t="s">
        <v>8</v>
      </c>
      <c r="DH1173" s="496" t="s">
        <v>689</v>
      </c>
      <c r="DI1173" s="496" t="s">
        <v>3392</v>
      </c>
      <c r="DJ1173" s="496" t="s">
        <v>3392</v>
      </c>
      <c r="DK1173" s="496" t="s">
        <v>1554</v>
      </c>
      <c r="DL1173" s="496" t="s">
        <v>1555</v>
      </c>
      <c r="DM1173" s="496" t="s">
        <v>1981</v>
      </c>
      <c r="DN1173" s="497" t="s">
        <v>1982</v>
      </c>
      <c r="DP1173" s="543">
        <v>1</v>
      </c>
    </row>
    <row r="1174" spans="109:120" ht="15">
      <c r="DE1174" s="494"/>
      <c r="DF1174" s="496" t="s">
        <v>3393</v>
      </c>
      <c r="DG1174" s="496" t="s">
        <v>8</v>
      </c>
      <c r="DH1174" s="496" t="s">
        <v>689</v>
      </c>
      <c r="DI1174" s="496" t="s">
        <v>3394</v>
      </c>
      <c r="DJ1174" s="496" t="s">
        <v>3394</v>
      </c>
      <c r="DK1174" s="496" t="s">
        <v>1554</v>
      </c>
      <c r="DL1174" s="496" t="s">
        <v>1555</v>
      </c>
      <c r="DM1174" s="496" t="s">
        <v>1981</v>
      </c>
      <c r="DN1174" s="497" t="s">
        <v>1982</v>
      </c>
      <c r="DP1174" s="543">
        <v>1</v>
      </c>
    </row>
    <row r="1175" spans="109:120" ht="15">
      <c r="DE1175" s="494"/>
      <c r="DF1175" s="496" t="s">
        <v>3395</v>
      </c>
      <c r="DG1175" s="496" t="s">
        <v>8</v>
      </c>
      <c r="DH1175" s="496" t="s">
        <v>689</v>
      </c>
      <c r="DI1175" s="496" t="s">
        <v>3396</v>
      </c>
      <c r="DJ1175" s="496" t="s">
        <v>3396</v>
      </c>
      <c r="DK1175" s="496" t="s">
        <v>1554</v>
      </c>
      <c r="DL1175" s="496" t="s">
        <v>1555</v>
      </c>
      <c r="DM1175" s="496" t="s">
        <v>1981</v>
      </c>
      <c r="DN1175" s="497" t="s">
        <v>1982</v>
      </c>
      <c r="DP1175" s="543">
        <v>1</v>
      </c>
    </row>
    <row r="1176" spans="109:120" ht="15">
      <c r="DE1176" s="494"/>
      <c r="DF1176" s="496" t="s">
        <v>3397</v>
      </c>
      <c r="DG1176" s="496" t="s">
        <v>8</v>
      </c>
      <c r="DH1176" s="496" t="s">
        <v>689</v>
      </c>
      <c r="DI1176" s="496" t="s">
        <v>3398</v>
      </c>
      <c r="DJ1176" s="496" t="s">
        <v>3398</v>
      </c>
      <c r="DK1176" s="496" t="s">
        <v>1554</v>
      </c>
      <c r="DL1176" s="496" t="s">
        <v>1555</v>
      </c>
      <c r="DM1176" s="496" t="s">
        <v>1981</v>
      </c>
      <c r="DN1176" s="497" t="s">
        <v>1982</v>
      </c>
      <c r="DP1176" s="543">
        <v>1</v>
      </c>
    </row>
    <row r="1177" spans="109:120" ht="15">
      <c r="DE1177" s="494"/>
      <c r="DF1177" s="496" t="s">
        <v>3399</v>
      </c>
      <c r="DG1177" s="496" t="s">
        <v>8</v>
      </c>
      <c r="DH1177" s="496" t="s">
        <v>689</v>
      </c>
      <c r="DI1177" s="496" t="s">
        <v>3400</v>
      </c>
      <c r="DJ1177" s="496" t="s">
        <v>3400</v>
      </c>
      <c r="DK1177" s="496" t="s">
        <v>1554</v>
      </c>
      <c r="DL1177" s="496" t="s">
        <v>1555</v>
      </c>
      <c r="DM1177" s="496" t="s">
        <v>1981</v>
      </c>
      <c r="DN1177" s="497" t="s">
        <v>1982</v>
      </c>
      <c r="DP1177" s="543">
        <v>1</v>
      </c>
    </row>
    <row r="1178" spans="109:120" ht="15">
      <c r="DE1178" s="494"/>
      <c r="DF1178" s="496" t="s">
        <v>3401</v>
      </c>
      <c r="DG1178" s="496" t="s">
        <v>8</v>
      </c>
      <c r="DH1178" s="496" t="s">
        <v>689</v>
      </c>
      <c r="DI1178" s="496" t="s">
        <v>3402</v>
      </c>
      <c r="DJ1178" s="496" t="s">
        <v>3402</v>
      </c>
      <c r="DK1178" s="496" t="s">
        <v>1554</v>
      </c>
      <c r="DL1178" s="496" t="s">
        <v>1555</v>
      </c>
      <c r="DM1178" s="496" t="s">
        <v>1981</v>
      </c>
      <c r="DN1178" s="497" t="s">
        <v>1982</v>
      </c>
      <c r="DP1178" s="543">
        <v>1</v>
      </c>
    </row>
    <row r="1179" spans="109:120" ht="15">
      <c r="DE1179" s="494"/>
      <c r="DF1179" s="496" t="s">
        <v>3403</v>
      </c>
      <c r="DG1179" s="496" t="s">
        <v>8</v>
      </c>
      <c r="DH1179" s="496" t="s">
        <v>689</v>
      </c>
      <c r="DI1179" s="496" t="s">
        <v>3404</v>
      </c>
      <c r="DJ1179" s="496" t="s">
        <v>3404</v>
      </c>
      <c r="DK1179" s="496" t="s">
        <v>1554</v>
      </c>
      <c r="DL1179" s="496" t="s">
        <v>1555</v>
      </c>
      <c r="DM1179" s="496" t="s">
        <v>1981</v>
      </c>
      <c r="DN1179" s="497" t="s">
        <v>1982</v>
      </c>
      <c r="DP1179" s="543">
        <v>1</v>
      </c>
    </row>
    <row r="1180" spans="109:120" ht="15">
      <c r="DE1180" s="494"/>
      <c r="DF1180" s="496" t="s">
        <v>3405</v>
      </c>
      <c r="DG1180" s="496" t="s">
        <v>8</v>
      </c>
      <c r="DH1180" s="496" t="s">
        <v>689</v>
      </c>
      <c r="DI1180" s="496" t="s">
        <v>3406</v>
      </c>
      <c r="DJ1180" s="496" t="s">
        <v>3406</v>
      </c>
      <c r="DK1180" s="496" t="s">
        <v>1554</v>
      </c>
      <c r="DL1180" s="496" t="s">
        <v>1555</v>
      </c>
      <c r="DM1180" s="496" t="s">
        <v>1981</v>
      </c>
      <c r="DN1180" s="497" t="s">
        <v>1982</v>
      </c>
      <c r="DP1180" s="543">
        <v>1</v>
      </c>
    </row>
    <row r="1181" spans="109:120" ht="15">
      <c r="DE1181" s="494"/>
      <c r="DF1181" s="496" t="s">
        <v>3407</v>
      </c>
      <c r="DG1181" s="496" t="s">
        <v>8</v>
      </c>
      <c r="DH1181" s="496" t="s">
        <v>689</v>
      </c>
      <c r="DI1181" s="496" t="s">
        <v>3408</v>
      </c>
      <c r="DJ1181" s="496" t="s">
        <v>3408</v>
      </c>
      <c r="DK1181" s="496" t="s">
        <v>1554</v>
      </c>
      <c r="DL1181" s="496" t="s">
        <v>1555</v>
      </c>
      <c r="DM1181" s="496" t="s">
        <v>1981</v>
      </c>
      <c r="DN1181" s="497" t="s">
        <v>1982</v>
      </c>
      <c r="DP1181" s="543">
        <v>1</v>
      </c>
    </row>
    <row r="1182" spans="109:120" ht="15">
      <c r="DE1182" s="494"/>
      <c r="DF1182" s="496" t="s">
        <v>3409</v>
      </c>
      <c r="DG1182" s="496" t="s">
        <v>8</v>
      </c>
      <c r="DH1182" s="496" t="s">
        <v>689</v>
      </c>
      <c r="DI1182" s="496" t="s">
        <v>3410</v>
      </c>
      <c r="DJ1182" s="496" t="s">
        <v>3410</v>
      </c>
      <c r="DK1182" s="496" t="s">
        <v>1554</v>
      </c>
      <c r="DL1182" s="496" t="s">
        <v>1555</v>
      </c>
      <c r="DM1182" s="496" t="s">
        <v>1981</v>
      </c>
      <c r="DN1182" s="497" t="s">
        <v>1982</v>
      </c>
      <c r="DP1182" s="543">
        <v>1</v>
      </c>
    </row>
    <row r="1183" spans="109:120" ht="15">
      <c r="DE1183" s="494"/>
      <c r="DF1183" s="496" t="s">
        <v>3411</v>
      </c>
      <c r="DG1183" s="496" t="s">
        <v>8</v>
      </c>
      <c r="DH1183" s="496" t="s">
        <v>689</v>
      </c>
      <c r="DI1183" s="496" t="s">
        <v>1049</v>
      </c>
      <c r="DJ1183" s="496" t="s">
        <v>1049</v>
      </c>
      <c r="DK1183" s="496" t="s">
        <v>1554</v>
      </c>
      <c r="DL1183" s="496" t="s">
        <v>1555</v>
      </c>
      <c r="DM1183" s="496" t="s">
        <v>1981</v>
      </c>
      <c r="DN1183" s="497" t="s">
        <v>1982</v>
      </c>
      <c r="DP1183" s="543">
        <v>1</v>
      </c>
    </row>
    <row r="1184" spans="109:120" ht="15">
      <c r="DE1184" s="494"/>
      <c r="DF1184" s="496" t="s">
        <v>3412</v>
      </c>
      <c r="DG1184" s="496" t="s">
        <v>8</v>
      </c>
      <c r="DH1184" s="496" t="s">
        <v>689</v>
      </c>
      <c r="DI1184" s="496" t="s">
        <v>3413</v>
      </c>
      <c r="DJ1184" s="496" t="s">
        <v>3413</v>
      </c>
      <c r="DK1184" s="496" t="s">
        <v>1554</v>
      </c>
      <c r="DL1184" s="496" t="s">
        <v>1555</v>
      </c>
      <c r="DM1184" s="496" t="s">
        <v>1981</v>
      </c>
      <c r="DN1184" s="497" t="s">
        <v>1982</v>
      </c>
      <c r="DP1184" s="543">
        <v>1</v>
      </c>
    </row>
    <row r="1185" spans="109:120" ht="15">
      <c r="DE1185" s="494"/>
      <c r="DF1185" s="496" t="s">
        <v>3414</v>
      </c>
      <c r="DG1185" s="496" t="s">
        <v>8</v>
      </c>
      <c r="DH1185" s="496" t="s">
        <v>689</v>
      </c>
      <c r="DI1185" s="496" t="s">
        <v>362</v>
      </c>
      <c r="DJ1185" s="496" t="s">
        <v>362</v>
      </c>
      <c r="DK1185" s="496" t="s">
        <v>1151</v>
      </c>
      <c r="DL1185" s="496" t="s">
        <v>1152</v>
      </c>
      <c r="DM1185" s="496" t="s">
        <v>1087</v>
      </c>
      <c r="DN1185" s="497" t="s">
        <v>1153</v>
      </c>
      <c r="DP1185" s="543">
        <v>1</v>
      </c>
    </row>
    <row r="1186" spans="109:120" ht="15">
      <c r="DE1186" s="494"/>
      <c r="DF1186" s="496" t="s">
        <v>3415</v>
      </c>
      <c r="DG1186" s="496" t="s">
        <v>8</v>
      </c>
      <c r="DH1186" s="496" t="s">
        <v>689</v>
      </c>
      <c r="DI1186" s="496" t="s">
        <v>1050</v>
      </c>
      <c r="DJ1186" s="496" t="s">
        <v>1050</v>
      </c>
      <c r="DK1186" s="496" t="s">
        <v>1554</v>
      </c>
      <c r="DL1186" s="496" t="s">
        <v>1555</v>
      </c>
      <c r="DM1186" s="496" t="s">
        <v>1981</v>
      </c>
      <c r="DN1186" s="497" t="s">
        <v>1982</v>
      </c>
      <c r="DP1186" s="543">
        <v>1</v>
      </c>
    </row>
    <row r="1187" spans="109:120" ht="15">
      <c r="DE1187" s="494"/>
      <c r="DF1187" s="496" t="s">
        <v>3416</v>
      </c>
      <c r="DG1187" s="496" t="s">
        <v>8</v>
      </c>
      <c r="DH1187" s="496" t="s">
        <v>689</v>
      </c>
      <c r="DI1187" s="496" t="s">
        <v>3417</v>
      </c>
      <c r="DJ1187" s="496" t="s">
        <v>3417</v>
      </c>
      <c r="DK1187" s="496" t="s">
        <v>1554</v>
      </c>
      <c r="DL1187" s="496" t="s">
        <v>1555</v>
      </c>
      <c r="DM1187" s="496" t="s">
        <v>1981</v>
      </c>
      <c r="DN1187" s="497" t="s">
        <v>1982</v>
      </c>
      <c r="DP1187" s="543">
        <v>1</v>
      </c>
    </row>
    <row r="1188" spans="109:120" ht="15">
      <c r="DE1188" s="494"/>
      <c r="DF1188" s="496" t="s">
        <v>3418</v>
      </c>
      <c r="DG1188" s="496" t="s">
        <v>8</v>
      </c>
      <c r="DH1188" s="496" t="s">
        <v>689</v>
      </c>
      <c r="DI1188" s="496" t="s">
        <v>3419</v>
      </c>
      <c r="DJ1188" s="496" t="s">
        <v>3419</v>
      </c>
      <c r="DK1188" s="496" t="s">
        <v>1554</v>
      </c>
      <c r="DL1188" s="496" t="s">
        <v>1555</v>
      </c>
      <c r="DM1188" s="496" t="s">
        <v>1981</v>
      </c>
      <c r="DN1188" s="497" t="s">
        <v>1982</v>
      </c>
      <c r="DP1188" s="543">
        <v>1</v>
      </c>
    </row>
    <row r="1189" spans="109:120" ht="15">
      <c r="DE1189" s="494"/>
      <c r="DF1189" s="496" t="s">
        <v>3420</v>
      </c>
      <c r="DG1189" s="496" t="s">
        <v>8</v>
      </c>
      <c r="DH1189" s="496" t="s">
        <v>689</v>
      </c>
      <c r="DI1189" s="496" t="s">
        <v>3421</v>
      </c>
      <c r="DJ1189" s="496" t="s">
        <v>3421</v>
      </c>
      <c r="DK1189" s="496" t="s">
        <v>1554</v>
      </c>
      <c r="DL1189" s="496" t="s">
        <v>1555</v>
      </c>
      <c r="DM1189" s="496" t="s">
        <v>1981</v>
      </c>
      <c r="DN1189" s="497" t="s">
        <v>1982</v>
      </c>
      <c r="DP1189" s="543">
        <v>1</v>
      </c>
    </row>
    <row r="1190" spans="109:120" ht="15">
      <c r="DE1190" s="494"/>
      <c r="DF1190" s="496" t="s">
        <v>3422</v>
      </c>
      <c r="DG1190" s="496" t="s">
        <v>8</v>
      </c>
      <c r="DH1190" s="496" t="s">
        <v>689</v>
      </c>
      <c r="DI1190" s="496" t="s">
        <v>3423</v>
      </c>
      <c r="DJ1190" s="496" t="s">
        <v>3423</v>
      </c>
      <c r="DK1190" s="496" t="s">
        <v>1554</v>
      </c>
      <c r="DL1190" s="496" t="s">
        <v>1555</v>
      </c>
      <c r="DM1190" s="496" t="s">
        <v>1981</v>
      </c>
      <c r="DN1190" s="497" t="s">
        <v>1982</v>
      </c>
      <c r="DP1190" s="543">
        <v>1</v>
      </c>
    </row>
    <row r="1191" spans="109:120" ht="15">
      <c r="DE1191" s="494"/>
      <c r="DF1191" s="496" t="s">
        <v>3424</v>
      </c>
      <c r="DG1191" s="496" t="s">
        <v>8</v>
      </c>
      <c r="DH1191" s="496" t="s">
        <v>689</v>
      </c>
      <c r="DI1191" s="496" t="s">
        <v>3425</v>
      </c>
      <c r="DJ1191" s="496" t="s">
        <v>3425</v>
      </c>
      <c r="DK1191" s="496" t="s">
        <v>1554</v>
      </c>
      <c r="DL1191" s="496" t="s">
        <v>1555</v>
      </c>
      <c r="DM1191" s="496" t="s">
        <v>1981</v>
      </c>
      <c r="DN1191" s="497" t="s">
        <v>1982</v>
      </c>
      <c r="DP1191" s="543">
        <v>1</v>
      </c>
    </row>
    <row r="1192" spans="109:120" ht="15">
      <c r="DE1192" s="494"/>
      <c r="DF1192" s="496" t="s">
        <v>3426</v>
      </c>
      <c r="DG1192" s="496" t="s">
        <v>8</v>
      </c>
      <c r="DH1192" s="496" t="s">
        <v>689</v>
      </c>
      <c r="DI1192" s="496" t="s">
        <v>3427</v>
      </c>
      <c r="DJ1192" s="496" t="s">
        <v>3427</v>
      </c>
      <c r="DK1192" s="496" t="s">
        <v>1554</v>
      </c>
      <c r="DL1192" s="496" t="s">
        <v>1555</v>
      </c>
      <c r="DM1192" s="496" t="s">
        <v>1981</v>
      </c>
      <c r="DN1192" s="497" t="s">
        <v>1982</v>
      </c>
      <c r="DP1192" s="543">
        <v>1</v>
      </c>
    </row>
    <row r="1193" spans="109:120" ht="15">
      <c r="DE1193" s="494"/>
      <c r="DF1193" s="496" t="s">
        <v>3428</v>
      </c>
      <c r="DG1193" s="496" t="s">
        <v>8</v>
      </c>
      <c r="DH1193" s="496" t="s">
        <v>689</v>
      </c>
      <c r="DI1193" s="496" t="s">
        <v>107</v>
      </c>
      <c r="DJ1193" s="496" t="s">
        <v>107</v>
      </c>
      <c r="DK1193" s="496" t="s">
        <v>1554</v>
      </c>
      <c r="DL1193" s="496" t="s">
        <v>1555</v>
      </c>
      <c r="DM1193" s="496" t="s">
        <v>1981</v>
      </c>
      <c r="DN1193" s="497" t="s">
        <v>1982</v>
      </c>
      <c r="DP1193" s="543">
        <v>1</v>
      </c>
    </row>
    <row r="1194" spans="109:120" ht="15">
      <c r="DE1194" s="494"/>
      <c r="DF1194" s="496" t="s">
        <v>3429</v>
      </c>
      <c r="DG1194" s="496" t="s">
        <v>8</v>
      </c>
      <c r="DH1194" s="496" t="s">
        <v>689</v>
      </c>
      <c r="DI1194" s="496" t="s">
        <v>3430</v>
      </c>
      <c r="DJ1194" s="496" t="s">
        <v>3430</v>
      </c>
      <c r="DK1194" s="496" t="s">
        <v>1554</v>
      </c>
      <c r="DL1194" s="496" t="s">
        <v>1555</v>
      </c>
      <c r="DM1194" s="496" t="s">
        <v>1981</v>
      </c>
      <c r="DN1194" s="497" t="s">
        <v>1982</v>
      </c>
      <c r="DP1194" s="543">
        <v>1</v>
      </c>
    </row>
    <row r="1195" spans="109:120" ht="15">
      <c r="DE1195" s="494"/>
      <c r="DF1195" s="496" t="s">
        <v>3431</v>
      </c>
      <c r="DG1195" s="496" t="s">
        <v>8</v>
      </c>
      <c r="DH1195" s="496" t="s">
        <v>689</v>
      </c>
      <c r="DI1195" s="496" t="s">
        <v>3432</v>
      </c>
      <c r="DJ1195" s="496" t="s">
        <v>3432</v>
      </c>
      <c r="DK1195" s="496" t="s">
        <v>1554</v>
      </c>
      <c r="DL1195" s="496" t="s">
        <v>1555</v>
      </c>
      <c r="DM1195" s="496" t="s">
        <v>1981</v>
      </c>
      <c r="DN1195" s="497" t="s">
        <v>1982</v>
      </c>
      <c r="DP1195" s="543">
        <v>1</v>
      </c>
    </row>
    <row r="1196" spans="109:120" ht="15">
      <c r="DE1196" s="494"/>
      <c r="DF1196" s="496" t="s">
        <v>3433</v>
      </c>
      <c r="DG1196" s="496" t="s">
        <v>8</v>
      </c>
      <c r="DH1196" s="496" t="s">
        <v>689</v>
      </c>
      <c r="DI1196" s="496" t="s">
        <v>121</v>
      </c>
      <c r="DJ1196" s="496" t="s">
        <v>121</v>
      </c>
      <c r="DK1196" s="496" t="s">
        <v>1151</v>
      </c>
      <c r="DL1196" s="496" t="s">
        <v>1152</v>
      </c>
      <c r="DM1196" s="496" t="s">
        <v>1087</v>
      </c>
      <c r="DN1196" s="497" t="s">
        <v>1153</v>
      </c>
      <c r="DP1196" s="543">
        <v>1</v>
      </c>
    </row>
    <row r="1197" spans="109:120" ht="15">
      <c r="DE1197" s="494"/>
      <c r="DF1197" s="496" t="s">
        <v>3434</v>
      </c>
      <c r="DG1197" s="496" t="s">
        <v>8</v>
      </c>
      <c r="DH1197" s="496" t="s">
        <v>689</v>
      </c>
      <c r="DI1197" s="496" t="s">
        <v>3435</v>
      </c>
      <c r="DJ1197" s="496" t="s">
        <v>3435</v>
      </c>
      <c r="DK1197" s="496" t="s">
        <v>1554</v>
      </c>
      <c r="DL1197" s="496" t="s">
        <v>1555</v>
      </c>
      <c r="DM1197" s="496" t="s">
        <v>1981</v>
      </c>
      <c r="DN1197" s="497" t="s">
        <v>1982</v>
      </c>
      <c r="DP1197" s="543">
        <v>1</v>
      </c>
    </row>
    <row r="1198" spans="109:120" ht="15">
      <c r="DE1198" s="494"/>
      <c r="DF1198" s="496" t="s">
        <v>3436</v>
      </c>
      <c r="DG1198" s="496" t="s">
        <v>8</v>
      </c>
      <c r="DH1198" s="496" t="s">
        <v>689</v>
      </c>
      <c r="DI1198" s="496" t="s">
        <v>3437</v>
      </c>
      <c r="DJ1198" s="496" t="s">
        <v>3437</v>
      </c>
      <c r="DK1198" s="496" t="s">
        <v>1554</v>
      </c>
      <c r="DL1198" s="496" t="s">
        <v>1555</v>
      </c>
      <c r="DM1198" s="496" t="s">
        <v>1981</v>
      </c>
      <c r="DN1198" s="497" t="s">
        <v>1982</v>
      </c>
      <c r="DP1198" s="543">
        <v>1</v>
      </c>
    </row>
    <row r="1199" spans="109:120" ht="15">
      <c r="DE1199" s="494"/>
      <c r="DF1199" s="496" t="s">
        <v>3438</v>
      </c>
      <c r="DG1199" s="496" t="s">
        <v>8</v>
      </c>
      <c r="DH1199" s="496" t="s">
        <v>689</v>
      </c>
      <c r="DI1199" s="496" t="s">
        <v>3439</v>
      </c>
      <c r="DJ1199" s="496" t="s">
        <v>3439</v>
      </c>
      <c r="DK1199" s="496" t="s">
        <v>1554</v>
      </c>
      <c r="DL1199" s="496" t="s">
        <v>1555</v>
      </c>
      <c r="DM1199" s="496" t="s">
        <v>1981</v>
      </c>
      <c r="DN1199" s="497" t="s">
        <v>1982</v>
      </c>
      <c r="DP1199" s="543">
        <v>1</v>
      </c>
    </row>
    <row r="1200" spans="109:120" ht="15">
      <c r="DE1200" s="494"/>
      <c r="DF1200" s="496" t="s">
        <v>3440</v>
      </c>
      <c r="DG1200" s="496" t="s">
        <v>8</v>
      </c>
      <c r="DH1200" s="496" t="s">
        <v>689</v>
      </c>
      <c r="DI1200" s="496" t="s">
        <v>3441</v>
      </c>
      <c r="DJ1200" s="496" t="s">
        <v>3441</v>
      </c>
      <c r="DK1200" s="496" t="s">
        <v>1554</v>
      </c>
      <c r="DL1200" s="496" t="s">
        <v>1555</v>
      </c>
      <c r="DM1200" s="496" t="s">
        <v>1981</v>
      </c>
      <c r="DN1200" s="497" t="s">
        <v>1982</v>
      </c>
      <c r="DP1200" s="543">
        <v>1</v>
      </c>
    </row>
    <row r="1201" spans="109:120" ht="15">
      <c r="DE1201" s="494"/>
      <c r="DF1201" s="496" t="s">
        <v>3442</v>
      </c>
      <c r="DG1201" s="496" t="s">
        <v>8</v>
      </c>
      <c r="DH1201" s="496" t="s">
        <v>689</v>
      </c>
      <c r="DI1201" s="496" t="s">
        <v>3443</v>
      </c>
      <c r="DJ1201" s="496" t="s">
        <v>3443</v>
      </c>
      <c r="DK1201" s="496" t="s">
        <v>1554</v>
      </c>
      <c r="DL1201" s="496" t="s">
        <v>1555</v>
      </c>
      <c r="DM1201" s="496" t="s">
        <v>1981</v>
      </c>
      <c r="DN1201" s="497" t="s">
        <v>1982</v>
      </c>
      <c r="DP1201" s="543">
        <v>1</v>
      </c>
    </row>
    <row r="1202" spans="109:120" ht="15">
      <c r="DE1202" s="494"/>
      <c r="DF1202" s="496" t="s">
        <v>3444</v>
      </c>
      <c r="DG1202" s="496" t="s">
        <v>8</v>
      </c>
      <c r="DH1202" s="496" t="s">
        <v>689</v>
      </c>
      <c r="DI1202" s="496" t="s">
        <v>3445</v>
      </c>
      <c r="DJ1202" s="496" t="s">
        <v>3445</v>
      </c>
      <c r="DK1202" s="496" t="s">
        <v>1554</v>
      </c>
      <c r="DL1202" s="496" t="s">
        <v>1555</v>
      </c>
      <c r="DM1202" s="496" t="s">
        <v>1981</v>
      </c>
      <c r="DN1202" s="497" t="s">
        <v>1982</v>
      </c>
      <c r="DP1202" s="543">
        <v>1</v>
      </c>
    </row>
    <row r="1203" spans="109:120" ht="15">
      <c r="DE1203" s="494"/>
      <c r="DF1203" s="496" t="s">
        <v>3446</v>
      </c>
      <c r="DG1203" s="496" t="s">
        <v>8</v>
      </c>
      <c r="DH1203" s="496" t="s">
        <v>689</v>
      </c>
      <c r="DI1203" s="496" t="s">
        <v>1051</v>
      </c>
      <c r="DJ1203" s="496" t="s">
        <v>1051</v>
      </c>
      <c r="DK1203" s="496" t="s">
        <v>1085</v>
      </c>
      <c r="DL1203" s="496" t="s">
        <v>2063</v>
      </c>
      <c r="DM1203" s="496" t="s">
        <v>1087</v>
      </c>
      <c r="DN1203" s="497" t="s">
        <v>1088</v>
      </c>
      <c r="DP1203" s="543">
        <v>1</v>
      </c>
    </row>
    <row r="1204" spans="109:120" ht="15">
      <c r="DE1204" s="494"/>
      <c r="DF1204" s="496" t="s">
        <v>3447</v>
      </c>
      <c r="DG1204" s="496" t="s">
        <v>8</v>
      </c>
      <c r="DH1204" s="496" t="s">
        <v>689</v>
      </c>
      <c r="DI1204" s="496" t="s">
        <v>1052</v>
      </c>
      <c r="DJ1204" s="496" t="s">
        <v>1052</v>
      </c>
      <c r="DK1204" s="496" t="s">
        <v>1085</v>
      </c>
      <c r="DL1204" s="496" t="s">
        <v>2063</v>
      </c>
      <c r="DM1204" s="496" t="s">
        <v>1087</v>
      </c>
      <c r="DN1204" s="497" t="s">
        <v>1088</v>
      </c>
      <c r="DP1204" s="543">
        <v>1</v>
      </c>
    </row>
    <row r="1205" spans="109:120" ht="15">
      <c r="DE1205" s="494"/>
      <c r="DF1205" s="496" t="s">
        <v>3448</v>
      </c>
      <c r="DG1205" s="496" t="s">
        <v>8</v>
      </c>
      <c r="DH1205" s="496" t="s">
        <v>689</v>
      </c>
      <c r="DI1205" s="496" t="s">
        <v>57</v>
      </c>
      <c r="DJ1205" s="496" t="s">
        <v>57</v>
      </c>
      <c r="DK1205" s="496" t="s">
        <v>1554</v>
      </c>
      <c r="DL1205" s="496" t="s">
        <v>1555</v>
      </c>
      <c r="DM1205" s="496" t="s">
        <v>1981</v>
      </c>
      <c r="DN1205" s="497" t="s">
        <v>1982</v>
      </c>
      <c r="DP1205" s="543">
        <v>1</v>
      </c>
    </row>
    <row r="1206" spans="109:120" ht="15">
      <c r="DE1206" s="494"/>
      <c r="DF1206" s="496" t="s">
        <v>3449</v>
      </c>
      <c r="DG1206" s="496" t="s">
        <v>8</v>
      </c>
      <c r="DH1206" s="496" t="s">
        <v>689</v>
      </c>
      <c r="DI1206" s="496" t="s">
        <v>3450</v>
      </c>
      <c r="DJ1206" s="496" t="s">
        <v>3450</v>
      </c>
      <c r="DK1206" s="496" t="s">
        <v>1554</v>
      </c>
      <c r="DL1206" s="496" t="s">
        <v>1555</v>
      </c>
      <c r="DM1206" s="496" t="s">
        <v>1981</v>
      </c>
      <c r="DN1206" s="497" t="s">
        <v>1982</v>
      </c>
      <c r="DP1206" s="543">
        <v>1</v>
      </c>
    </row>
    <row r="1207" spans="109:120" ht="15">
      <c r="DE1207" s="494"/>
      <c r="DF1207" s="496" t="s">
        <v>3451</v>
      </c>
      <c r="DG1207" s="496" t="s">
        <v>8</v>
      </c>
      <c r="DH1207" s="496" t="s">
        <v>689</v>
      </c>
      <c r="DI1207" s="496" t="s">
        <v>3452</v>
      </c>
      <c r="DJ1207" s="496" t="s">
        <v>3452</v>
      </c>
      <c r="DK1207" s="496" t="s">
        <v>1554</v>
      </c>
      <c r="DL1207" s="496" t="s">
        <v>1555</v>
      </c>
      <c r="DM1207" s="496" t="s">
        <v>1981</v>
      </c>
      <c r="DN1207" s="497" t="s">
        <v>1982</v>
      </c>
      <c r="DP1207" s="543">
        <v>1</v>
      </c>
    </row>
    <row r="1208" spans="109:120" ht="15">
      <c r="DE1208" s="494"/>
      <c r="DF1208" s="496" t="s">
        <v>3453</v>
      </c>
      <c r="DG1208" s="496" t="s">
        <v>8</v>
      </c>
      <c r="DH1208" s="496" t="s">
        <v>689</v>
      </c>
      <c r="DI1208" s="496" t="s">
        <v>3454</v>
      </c>
      <c r="DJ1208" s="496" t="s">
        <v>3454</v>
      </c>
      <c r="DK1208" s="496" t="s">
        <v>1554</v>
      </c>
      <c r="DL1208" s="496" t="s">
        <v>1555</v>
      </c>
      <c r="DM1208" s="496" t="s">
        <v>1981</v>
      </c>
      <c r="DN1208" s="497" t="s">
        <v>1982</v>
      </c>
      <c r="DP1208" s="543">
        <v>1</v>
      </c>
    </row>
    <row r="1209" spans="109:120" ht="15">
      <c r="DE1209" s="494"/>
      <c r="DF1209" s="496" t="s">
        <v>3455</v>
      </c>
      <c r="DG1209" s="496" t="s">
        <v>8</v>
      </c>
      <c r="DH1209" s="496" t="s">
        <v>689</v>
      </c>
      <c r="DI1209" s="496" t="s">
        <v>3456</v>
      </c>
      <c r="DJ1209" s="496" t="s">
        <v>3456</v>
      </c>
      <c r="DK1209" s="496" t="s">
        <v>1554</v>
      </c>
      <c r="DL1209" s="496" t="s">
        <v>1555</v>
      </c>
      <c r="DM1209" s="496" t="s">
        <v>1981</v>
      </c>
      <c r="DN1209" s="497" t="s">
        <v>1982</v>
      </c>
      <c r="DP1209" s="543">
        <v>1</v>
      </c>
    </row>
    <row r="1210" spans="109:120" ht="15">
      <c r="DE1210" s="494"/>
      <c r="DF1210" s="496" t="s">
        <v>3457</v>
      </c>
      <c r="DG1210" s="496" t="s">
        <v>8</v>
      </c>
      <c r="DH1210" s="496" t="s">
        <v>689</v>
      </c>
      <c r="DI1210" s="496" t="s">
        <v>3458</v>
      </c>
      <c r="DJ1210" s="496" t="s">
        <v>3458</v>
      </c>
      <c r="DK1210" s="496" t="s">
        <v>1554</v>
      </c>
      <c r="DL1210" s="496" t="s">
        <v>1555</v>
      </c>
      <c r="DM1210" s="496" t="s">
        <v>1981</v>
      </c>
      <c r="DN1210" s="497" t="s">
        <v>1982</v>
      </c>
      <c r="DP1210" s="543">
        <v>1</v>
      </c>
    </row>
    <row r="1211" spans="109:120" ht="15">
      <c r="DE1211" s="494"/>
      <c r="DF1211" s="496" t="s">
        <v>3459</v>
      </c>
      <c r="DG1211" s="496" t="s">
        <v>8</v>
      </c>
      <c r="DH1211" s="496" t="s">
        <v>689</v>
      </c>
      <c r="DI1211" s="496" t="s">
        <v>3460</v>
      </c>
      <c r="DJ1211" s="496" t="s">
        <v>3460</v>
      </c>
      <c r="DK1211" s="496" t="s">
        <v>1554</v>
      </c>
      <c r="DL1211" s="496" t="s">
        <v>1555</v>
      </c>
      <c r="DM1211" s="496" t="s">
        <v>1981</v>
      </c>
      <c r="DN1211" s="497" t="s">
        <v>1982</v>
      </c>
      <c r="DP1211" s="543">
        <v>1</v>
      </c>
    </row>
    <row r="1212" spans="109:120" ht="15">
      <c r="DE1212" s="494"/>
      <c r="DF1212" s="496" t="s">
        <v>3461</v>
      </c>
      <c r="DG1212" s="496" t="s">
        <v>8</v>
      </c>
      <c r="DH1212" s="496" t="s">
        <v>689</v>
      </c>
      <c r="DI1212" s="496" t="s">
        <v>3462</v>
      </c>
      <c r="DJ1212" s="496" t="s">
        <v>3462</v>
      </c>
      <c r="DK1212" s="496" t="s">
        <v>1554</v>
      </c>
      <c r="DL1212" s="496" t="s">
        <v>1555</v>
      </c>
      <c r="DM1212" s="496" t="s">
        <v>1981</v>
      </c>
      <c r="DN1212" s="497" t="s">
        <v>1982</v>
      </c>
      <c r="DP1212" s="543">
        <v>1</v>
      </c>
    </row>
    <row r="1213" spans="109:120" ht="15">
      <c r="DE1213" s="494"/>
      <c r="DF1213" s="496" t="s">
        <v>3463</v>
      </c>
      <c r="DG1213" s="496" t="s">
        <v>8</v>
      </c>
      <c r="DH1213" s="496" t="s">
        <v>689</v>
      </c>
      <c r="DI1213" s="496" t="s">
        <v>3464</v>
      </c>
      <c r="DJ1213" s="496" t="s">
        <v>3464</v>
      </c>
      <c r="DK1213" s="496" t="s">
        <v>1554</v>
      </c>
      <c r="DL1213" s="496" t="s">
        <v>1555</v>
      </c>
      <c r="DM1213" s="496" t="s">
        <v>1981</v>
      </c>
      <c r="DN1213" s="497" t="s">
        <v>1982</v>
      </c>
      <c r="DP1213" s="543">
        <v>1</v>
      </c>
    </row>
    <row r="1214" spans="109:120" ht="15">
      <c r="DE1214" s="494"/>
      <c r="DF1214" s="496" t="s">
        <v>3465</v>
      </c>
      <c r="DG1214" s="496" t="s">
        <v>8</v>
      </c>
      <c r="DH1214" s="496" t="s">
        <v>689</v>
      </c>
      <c r="DI1214" s="496" t="s">
        <v>3466</v>
      </c>
      <c r="DJ1214" s="496" t="s">
        <v>3466</v>
      </c>
      <c r="DK1214" s="496" t="s">
        <v>1554</v>
      </c>
      <c r="DL1214" s="496" t="s">
        <v>1555</v>
      </c>
      <c r="DM1214" s="496" t="s">
        <v>1981</v>
      </c>
      <c r="DN1214" s="497" t="s">
        <v>1982</v>
      </c>
      <c r="DP1214" s="543">
        <v>1</v>
      </c>
    </row>
    <row r="1215" spans="109:120" ht="15">
      <c r="DE1215" s="494"/>
      <c r="DF1215" s="496" t="s">
        <v>3467</v>
      </c>
      <c r="DG1215" s="496" t="s">
        <v>8</v>
      </c>
      <c r="DH1215" s="496" t="s">
        <v>689</v>
      </c>
      <c r="DI1215" s="496" t="s">
        <v>3468</v>
      </c>
      <c r="DJ1215" s="496" t="s">
        <v>3468</v>
      </c>
      <c r="DK1215" s="496" t="s">
        <v>1554</v>
      </c>
      <c r="DL1215" s="496" t="s">
        <v>1555</v>
      </c>
      <c r="DM1215" s="496" t="s">
        <v>1981</v>
      </c>
      <c r="DN1215" s="497" t="s">
        <v>1982</v>
      </c>
      <c r="DP1215" s="543">
        <v>1</v>
      </c>
    </row>
    <row r="1216" spans="109:120" ht="15">
      <c r="DE1216" s="494"/>
      <c r="DF1216" s="496" t="s">
        <v>3469</v>
      </c>
      <c r="DG1216" s="496" t="s">
        <v>8</v>
      </c>
      <c r="DH1216" s="496" t="s">
        <v>689</v>
      </c>
      <c r="DI1216" s="496" t="s">
        <v>3470</v>
      </c>
      <c r="DJ1216" s="496" t="s">
        <v>3470</v>
      </c>
      <c r="DK1216" s="496" t="s">
        <v>1151</v>
      </c>
      <c r="DL1216" s="496" t="s">
        <v>1152</v>
      </c>
      <c r="DM1216" s="496" t="s">
        <v>1087</v>
      </c>
      <c r="DN1216" s="497" t="s">
        <v>1153</v>
      </c>
      <c r="DP1216" s="543">
        <v>1</v>
      </c>
    </row>
    <row r="1217" spans="109:120" ht="15">
      <c r="DE1217" s="494"/>
      <c r="DF1217" s="496" t="s">
        <v>3471</v>
      </c>
      <c r="DG1217" s="496" t="s">
        <v>8</v>
      </c>
      <c r="DH1217" s="496" t="s">
        <v>689</v>
      </c>
      <c r="DI1217" s="496" t="s">
        <v>3472</v>
      </c>
      <c r="DJ1217" s="496" t="s">
        <v>3472</v>
      </c>
      <c r="DK1217" s="496" t="s">
        <v>1151</v>
      </c>
      <c r="DL1217" s="496" t="s">
        <v>1152</v>
      </c>
      <c r="DM1217" s="496" t="s">
        <v>1087</v>
      </c>
      <c r="DN1217" s="497" t="s">
        <v>1153</v>
      </c>
      <c r="DP1217" s="543">
        <v>1</v>
      </c>
    </row>
    <row r="1218" spans="109:120" ht="15">
      <c r="DE1218" s="494"/>
      <c r="DF1218" s="496" t="s">
        <v>3473</v>
      </c>
      <c r="DG1218" s="496" t="s">
        <v>8</v>
      </c>
      <c r="DH1218" s="496" t="s">
        <v>689</v>
      </c>
      <c r="DI1218" s="496" t="s">
        <v>3474</v>
      </c>
      <c r="DJ1218" s="496" t="s">
        <v>3474</v>
      </c>
      <c r="DK1218" s="496" t="s">
        <v>1151</v>
      </c>
      <c r="DL1218" s="496" t="s">
        <v>1152</v>
      </c>
      <c r="DM1218" s="496" t="s">
        <v>1087</v>
      </c>
      <c r="DN1218" s="497" t="s">
        <v>1153</v>
      </c>
      <c r="DP1218" s="543">
        <v>1</v>
      </c>
    </row>
    <row r="1219" spans="109:120" ht="15">
      <c r="DE1219" s="494"/>
      <c r="DF1219" s="496" t="s">
        <v>3475</v>
      </c>
      <c r="DG1219" s="496" t="s">
        <v>8</v>
      </c>
      <c r="DH1219" s="496" t="s">
        <v>689</v>
      </c>
      <c r="DI1219" s="496" t="s">
        <v>3476</v>
      </c>
      <c r="DJ1219" s="496" t="s">
        <v>3476</v>
      </c>
      <c r="DK1219" s="496" t="s">
        <v>1151</v>
      </c>
      <c r="DL1219" s="496" t="s">
        <v>1152</v>
      </c>
      <c r="DM1219" s="496" t="s">
        <v>1087</v>
      </c>
      <c r="DN1219" s="497" t="s">
        <v>1153</v>
      </c>
      <c r="DP1219" s="543">
        <v>1</v>
      </c>
    </row>
    <row r="1220" spans="109:120" ht="15">
      <c r="DE1220" s="494"/>
      <c r="DF1220" s="496" t="s">
        <v>3477</v>
      </c>
      <c r="DG1220" s="496" t="s">
        <v>8</v>
      </c>
      <c r="DH1220" s="496" t="s">
        <v>689</v>
      </c>
      <c r="DI1220" s="496" t="s">
        <v>3478</v>
      </c>
      <c r="DJ1220" s="496" t="s">
        <v>3478</v>
      </c>
      <c r="DK1220" s="496" t="s">
        <v>1554</v>
      </c>
      <c r="DL1220" s="496" t="s">
        <v>1555</v>
      </c>
      <c r="DM1220" s="496" t="s">
        <v>1981</v>
      </c>
      <c r="DN1220" s="497" t="s">
        <v>1982</v>
      </c>
      <c r="DP1220" s="543">
        <v>1</v>
      </c>
    </row>
    <row r="1221" spans="109:120" ht="15">
      <c r="DE1221" s="494"/>
      <c r="DF1221" s="496" t="s">
        <v>3479</v>
      </c>
      <c r="DG1221" s="496" t="s">
        <v>8</v>
      </c>
      <c r="DH1221" s="496" t="s">
        <v>689</v>
      </c>
      <c r="DI1221" s="496" t="s">
        <v>3480</v>
      </c>
      <c r="DJ1221" s="496" t="s">
        <v>3480</v>
      </c>
      <c r="DK1221" s="496" t="s">
        <v>1554</v>
      </c>
      <c r="DL1221" s="496" t="s">
        <v>1555</v>
      </c>
      <c r="DM1221" s="496" t="s">
        <v>1981</v>
      </c>
      <c r="DN1221" s="497" t="s">
        <v>1982</v>
      </c>
      <c r="DP1221" s="543">
        <v>1</v>
      </c>
    </row>
    <row r="1222" spans="109:120" ht="15">
      <c r="DE1222" s="494"/>
      <c r="DF1222" s="496" t="s">
        <v>3481</v>
      </c>
      <c r="DG1222" s="496" t="s">
        <v>8</v>
      </c>
      <c r="DH1222" s="496" t="s">
        <v>689</v>
      </c>
      <c r="DI1222" s="496" t="s">
        <v>3482</v>
      </c>
      <c r="DJ1222" s="496" t="s">
        <v>3482</v>
      </c>
      <c r="DK1222" s="496" t="s">
        <v>1554</v>
      </c>
      <c r="DL1222" s="496" t="s">
        <v>1555</v>
      </c>
      <c r="DM1222" s="496" t="s">
        <v>1981</v>
      </c>
      <c r="DN1222" s="497" t="s">
        <v>1982</v>
      </c>
      <c r="DP1222" s="543">
        <v>1</v>
      </c>
    </row>
    <row r="1223" spans="109:120" ht="15">
      <c r="DE1223" s="494"/>
      <c r="DF1223" s="496" t="s">
        <v>3483</v>
      </c>
      <c r="DG1223" s="496" t="s">
        <v>8</v>
      </c>
      <c r="DH1223" s="496" t="s">
        <v>689</v>
      </c>
      <c r="DI1223" s="496" t="s">
        <v>3484</v>
      </c>
      <c r="DJ1223" s="496" t="s">
        <v>3484</v>
      </c>
      <c r="DK1223" s="496" t="s">
        <v>1554</v>
      </c>
      <c r="DL1223" s="496" t="s">
        <v>1555</v>
      </c>
      <c r="DM1223" s="496" t="s">
        <v>1981</v>
      </c>
      <c r="DN1223" s="497" t="s">
        <v>1982</v>
      </c>
      <c r="DP1223" s="543">
        <v>1</v>
      </c>
    </row>
    <row r="1224" spans="109:120" ht="15">
      <c r="DE1224" s="494"/>
      <c r="DF1224" s="496" t="s">
        <v>3485</v>
      </c>
      <c r="DG1224" s="496" t="s">
        <v>8</v>
      </c>
      <c r="DH1224" s="496" t="s">
        <v>689</v>
      </c>
      <c r="DI1224" s="496" t="s">
        <v>3486</v>
      </c>
      <c r="DJ1224" s="496" t="s">
        <v>3486</v>
      </c>
      <c r="DK1224" s="496" t="s">
        <v>1554</v>
      </c>
      <c r="DL1224" s="496" t="s">
        <v>1555</v>
      </c>
      <c r="DM1224" s="496" t="s">
        <v>1981</v>
      </c>
      <c r="DN1224" s="497" t="s">
        <v>1982</v>
      </c>
      <c r="DP1224" s="543">
        <v>1</v>
      </c>
    </row>
    <row r="1225" spans="109:120" ht="15">
      <c r="DE1225" s="494"/>
      <c r="DF1225" s="496" t="s">
        <v>3487</v>
      </c>
      <c r="DG1225" s="496" t="s">
        <v>8</v>
      </c>
      <c r="DH1225" s="496" t="s">
        <v>689</v>
      </c>
      <c r="DI1225" s="496" t="s">
        <v>3488</v>
      </c>
      <c r="DJ1225" s="496" t="s">
        <v>3488</v>
      </c>
      <c r="DK1225" s="496" t="s">
        <v>1554</v>
      </c>
      <c r="DL1225" s="496" t="s">
        <v>1555</v>
      </c>
      <c r="DM1225" s="496" t="s">
        <v>1981</v>
      </c>
      <c r="DN1225" s="497" t="s">
        <v>1982</v>
      </c>
      <c r="DP1225" s="543">
        <v>1</v>
      </c>
    </row>
    <row r="1226" spans="109:120" ht="15">
      <c r="DE1226" s="494"/>
      <c r="DF1226" s="496" t="s">
        <v>3489</v>
      </c>
      <c r="DG1226" s="496" t="s">
        <v>8</v>
      </c>
      <c r="DH1226" s="496" t="s">
        <v>689</v>
      </c>
      <c r="DI1226" s="496" t="s">
        <v>3490</v>
      </c>
      <c r="DJ1226" s="496" t="s">
        <v>3490</v>
      </c>
      <c r="DK1226" s="496" t="s">
        <v>1554</v>
      </c>
      <c r="DL1226" s="496" t="s">
        <v>1555</v>
      </c>
      <c r="DM1226" s="496" t="s">
        <v>1981</v>
      </c>
      <c r="DN1226" s="497" t="s">
        <v>1982</v>
      </c>
      <c r="DP1226" s="543">
        <v>1</v>
      </c>
    </row>
    <row r="1227" spans="109:120" ht="15">
      <c r="DE1227" s="494"/>
      <c r="DF1227" s="496" t="s">
        <v>3491</v>
      </c>
      <c r="DG1227" s="496" t="s">
        <v>8</v>
      </c>
      <c r="DH1227" s="496" t="s">
        <v>689</v>
      </c>
      <c r="DI1227" s="496" t="s">
        <v>3492</v>
      </c>
      <c r="DJ1227" s="496" t="s">
        <v>3492</v>
      </c>
      <c r="DK1227" s="496" t="s">
        <v>1554</v>
      </c>
      <c r="DL1227" s="496" t="s">
        <v>1555</v>
      </c>
      <c r="DM1227" s="496" t="s">
        <v>1981</v>
      </c>
      <c r="DN1227" s="497" t="s">
        <v>1982</v>
      </c>
      <c r="DP1227" s="543">
        <v>1</v>
      </c>
    </row>
    <row r="1228" spans="109:120" ht="15">
      <c r="DE1228" s="494"/>
      <c r="DF1228" s="496" t="s">
        <v>3493</v>
      </c>
      <c r="DG1228" s="496" t="s">
        <v>8</v>
      </c>
      <c r="DH1228" s="496" t="s">
        <v>689</v>
      </c>
      <c r="DI1228" s="496" t="s">
        <v>3494</v>
      </c>
      <c r="DJ1228" s="496" t="s">
        <v>3494</v>
      </c>
      <c r="DK1228" s="496" t="s">
        <v>1554</v>
      </c>
      <c r="DL1228" s="496" t="s">
        <v>1555</v>
      </c>
      <c r="DM1228" s="496" t="s">
        <v>1981</v>
      </c>
      <c r="DN1228" s="497" t="s">
        <v>1982</v>
      </c>
      <c r="DP1228" s="543">
        <v>1</v>
      </c>
    </row>
    <row r="1229" spans="109:120" ht="15">
      <c r="DE1229" s="494"/>
      <c r="DF1229" s="496" t="s">
        <v>3495</v>
      </c>
      <c r="DG1229" s="496" t="s">
        <v>8</v>
      </c>
      <c r="DH1229" s="496" t="s">
        <v>689</v>
      </c>
      <c r="DI1229" s="496" t="s">
        <v>3496</v>
      </c>
      <c r="DJ1229" s="496" t="s">
        <v>3496</v>
      </c>
      <c r="DK1229" s="496" t="s">
        <v>1554</v>
      </c>
      <c r="DL1229" s="496" t="s">
        <v>1555</v>
      </c>
      <c r="DM1229" s="496" t="s">
        <v>1981</v>
      </c>
      <c r="DN1229" s="497" t="s">
        <v>1982</v>
      </c>
      <c r="DP1229" s="543">
        <v>1</v>
      </c>
    </row>
    <row r="1230" spans="109:120" ht="15">
      <c r="DE1230" s="494"/>
      <c r="DF1230" s="496" t="s">
        <v>3497</v>
      </c>
      <c r="DG1230" s="496" t="s">
        <v>8</v>
      </c>
      <c r="DH1230" s="496" t="s">
        <v>689</v>
      </c>
      <c r="DI1230" s="496" t="s">
        <v>3498</v>
      </c>
      <c r="DJ1230" s="496" t="s">
        <v>3498</v>
      </c>
      <c r="DK1230" s="496" t="s">
        <v>1554</v>
      </c>
      <c r="DL1230" s="496" t="s">
        <v>1555</v>
      </c>
      <c r="DM1230" s="496" t="s">
        <v>1981</v>
      </c>
      <c r="DN1230" s="497" t="s">
        <v>1982</v>
      </c>
      <c r="DP1230" s="543">
        <v>1</v>
      </c>
    </row>
    <row r="1231" spans="109:120" ht="15">
      <c r="DE1231" s="494"/>
      <c r="DF1231" s="496" t="s">
        <v>3499</v>
      </c>
      <c r="DG1231" s="496" t="s">
        <v>8</v>
      </c>
      <c r="DH1231" s="496" t="s">
        <v>689</v>
      </c>
      <c r="DI1231" s="496" t="s">
        <v>3500</v>
      </c>
      <c r="DJ1231" s="496" t="s">
        <v>3500</v>
      </c>
      <c r="DK1231" s="496" t="s">
        <v>1554</v>
      </c>
      <c r="DL1231" s="496" t="s">
        <v>1555</v>
      </c>
      <c r="DM1231" s="496" t="s">
        <v>1981</v>
      </c>
      <c r="DN1231" s="497" t="s">
        <v>1982</v>
      </c>
      <c r="DP1231" s="543">
        <v>1</v>
      </c>
    </row>
    <row r="1232" spans="109:120" ht="15">
      <c r="DE1232" s="494"/>
      <c r="DF1232" s="496" t="s">
        <v>3501</v>
      </c>
      <c r="DG1232" s="496" t="s">
        <v>8</v>
      </c>
      <c r="DH1232" s="496" t="s">
        <v>689</v>
      </c>
      <c r="DI1232" s="496" t="s">
        <v>3502</v>
      </c>
      <c r="DJ1232" s="496" t="s">
        <v>3502</v>
      </c>
      <c r="DK1232" s="496" t="s">
        <v>1554</v>
      </c>
      <c r="DL1232" s="496" t="s">
        <v>1555</v>
      </c>
      <c r="DM1232" s="496" t="s">
        <v>1981</v>
      </c>
      <c r="DN1232" s="497" t="s">
        <v>1982</v>
      </c>
      <c r="DP1232" s="543">
        <v>1</v>
      </c>
    </row>
    <row r="1233" spans="109:120" ht="15">
      <c r="DE1233" s="494"/>
      <c r="DF1233" s="496" t="s">
        <v>3503</v>
      </c>
      <c r="DG1233" s="496" t="s">
        <v>8</v>
      </c>
      <c r="DH1233" s="496" t="s">
        <v>689</v>
      </c>
      <c r="DI1233" s="496" t="s">
        <v>3504</v>
      </c>
      <c r="DJ1233" s="496" t="s">
        <v>3504</v>
      </c>
      <c r="DK1233" s="496" t="s">
        <v>1554</v>
      </c>
      <c r="DL1233" s="496" t="s">
        <v>1555</v>
      </c>
      <c r="DM1233" s="496" t="s">
        <v>1981</v>
      </c>
      <c r="DN1233" s="497" t="s">
        <v>1982</v>
      </c>
      <c r="DP1233" s="543">
        <v>1</v>
      </c>
    </row>
    <row r="1234" spans="109:120" ht="15">
      <c r="DE1234" s="494"/>
      <c r="DF1234" s="496" t="s">
        <v>3505</v>
      </c>
      <c r="DG1234" s="496" t="s">
        <v>8</v>
      </c>
      <c r="DH1234" s="496" t="s">
        <v>689</v>
      </c>
      <c r="DI1234" s="496" t="s">
        <v>3506</v>
      </c>
      <c r="DJ1234" s="496" t="s">
        <v>3506</v>
      </c>
      <c r="DK1234" s="496" t="s">
        <v>1554</v>
      </c>
      <c r="DL1234" s="496" t="s">
        <v>1555</v>
      </c>
      <c r="DM1234" s="496" t="s">
        <v>1981</v>
      </c>
      <c r="DN1234" s="497" t="s">
        <v>1982</v>
      </c>
      <c r="DP1234" s="543">
        <v>1</v>
      </c>
    </row>
    <row r="1235" spans="109:120" ht="15">
      <c r="DE1235" s="494"/>
      <c r="DF1235" s="496" t="s">
        <v>3507</v>
      </c>
      <c r="DG1235" s="496" t="s">
        <v>8</v>
      </c>
      <c r="DH1235" s="496" t="s">
        <v>689</v>
      </c>
      <c r="DI1235" s="496" t="s">
        <v>3508</v>
      </c>
      <c r="DJ1235" s="496" t="s">
        <v>3508</v>
      </c>
      <c r="DK1235" s="496" t="s">
        <v>1554</v>
      </c>
      <c r="DL1235" s="496" t="s">
        <v>1555</v>
      </c>
      <c r="DM1235" s="496" t="s">
        <v>1981</v>
      </c>
      <c r="DN1235" s="497" t="s">
        <v>1982</v>
      </c>
      <c r="DP1235" s="543">
        <v>1</v>
      </c>
    </row>
    <row r="1236" spans="109:120" ht="15">
      <c r="DE1236" s="494"/>
      <c r="DF1236" s="496" t="s">
        <v>3509</v>
      </c>
      <c r="DG1236" s="496" t="s">
        <v>8</v>
      </c>
      <c r="DH1236" s="496" t="s">
        <v>689</v>
      </c>
      <c r="DI1236" s="496" t="s">
        <v>3510</v>
      </c>
      <c r="DJ1236" s="496" t="s">
        <v>3510</v>
      </c>
      <c r="DK1236" s="496" t="s">
        <v>1554</v>
      </c>
      <c r="DL1236" s="496" t="s">
        <v>1555</v>
      </c>
      <c r="DM1236" s="496" t="s">
        <v>1981</v>
      </c>
      <c r="DN1236" s="497" t="s">
        <v>1982</v>
      </c>
      <c r="DP1236" s="543">
        <v>1</v>
      </c>
    </row>
    <row r="1237" spans="109:120" ht="15">
      <c r="DE1237" s="494"/>
      <c r="DF1237" s="496" t="s">
        <v>3511</v>
      </c>
      <c r="DG1237" s="496" t="s">
        <v>8</v>
      </c>
      <c r="DH1237" s="496" t="s">
        <v>689</v>
      </c>
      <c r="DI1237" s="496" t="s">
        <v>3512</v>
      </c>
      <c r="DJ1237" s="496" t="s">
        <v>3512</v>
      </c>
      <c r="DK1237" s="496" t="s">
        <v>1554</v>
      </c>
      <c r="DL1237" s="496" t="s">
        <v>1555</v>
      </c>
      <c r="DM1237" s="496" t="s">
        <v>1981</v>
      </c>
      <c r="DN1237" s="497" t="s">
        <v>1982</v>
      </c>
      <c r="DP1237" s="543">
        <v>1</v>
      </c>
    </row>
    <row r="1238" spans="109:120" ht="15">
      <c r="DE1238" s="494"/>
      <c r="DF1238" s="496" t="s">
        <v>3513</v>
      </c>
      <c r="DG1238" s="496" t="s">
        <v>8</v>
      </c>
      <c r="DH1238" s="496" t="s">
        <v>689</v>
      </c>
      <c r="DI1238" s="496" t="s">
        <v>3514</v>
      </c>
      <c r="DJ1238" s="496" t="s">
        <v>3514</v>
      </c>
      <c r="DK1238" s="496" t="s">
        <v>1554</v>
      </c>
      <c r="DL1238" s="496" t="s">
        <v>1555</v>
      </c>
      <c r="DM1238" s="496" t="s">
        <v>1981</v>
      </c>
      <c r="DN1238" s="497" t="s">
        <v>1982</v>
      </c>
      <c r="DP1238" s="543">
        <v>1</v>
      </c>
    </row>
    <row r="1239" spans="109:120" ht="15">
      <c r="DE1239" s="494"/>
      <c r="DF1239" s="496" t="s">
        <v>3515</v>
      </c>
      <c r="DG1239" s="496" t="s">
        <v>8</v>
      </c>
      <c r="DH1239" s="496" t="s">
        <v>689</v>
      </c>
      <c r="DI1239" s="496" t="s">
        <v>3516</v>
      </c>
      <c r="DJ1239" s="496" t="s">
        <v>3516</v>
      </c>
      <c r="DK1239" s="496" t="s">
        <v>1554</v>
      </c>
      <c r="DL1239" s="496" t="s">
        <v>1555</v>
      </c>
      <c r="DM1239" s="496" t="s">
        <v>1981</v>
      </c>
      <c r="DN1239" s="497" t="s">
        <v>1982</v>
      </c>
      <c r="DP1239" s="543">
        <v>1</v>
      </c>
    </row>
    <row r="1240" spans="109:120" ht="15">
      <c r="DE1240" s="494"/>
      <c r="DF1240" s="496" t="s">
        <v>3517</v>
      </c>
      <c r="DG1240" s="496" t="s">
        <v>8</v>
      </c>
      <c r="DH1240" s="496" t="s">
        <v>689</v>
      </c>
      <c r="DI1240" s="496" t="s">
        <v>3518</v>
      </c>
      <c r="DJ1240" s="496" t="s">
        <v>3518</v>
      </c>
      <c r="DK1240" s="496" t="s">
        <v>1554</v>
      </c>
      <c r="DL1240" s="496" t="s">
        <v>1555</v>
      </c>
      <c r="DM1240" s="496" t="s">
        <v>1981</v>
      </c>
      <c r="DN1240" s="497" t="s">
        <v>1982</v>
      </c>
      <c r="DP1240" s="543">
        <v>1</v>
      </c>
    </row>
    <row r="1241" spans="109:120" ht="15">
      <c r="DE1241" s="494"/>
      <c r="DF1241" s="496" t="s">
        <v>3519</v>
      </c>
      <c r="DG1241" s="496" t="s">
        <v>8</v>
      </c>
      <c r="DH1241" s="496" t="s">
        <v>689</v>
      </c>
      <c r="DI1241" s="496" t="s">
        <v>3520</v>
      </c>
      <c r="DJ1241" s="496" t="s">
        <v>3520</v>
      </c>
      <c r="DK1241" s="496" t="s">
        <v>1554</v>
      </c>
      <c r="DL1241" s="496" t="s">
        <v>1555</v>
      </c>
      <c r="DM1241" s="496" t="s">
        <v>1981</v>
      </c>
      <c r="DN1241" s="497" t="s">
        <v>1982</v>
      </c>
      <c r="DP1241" s="543">
        <v>1</v>
      </c>
    </row>
    <row r="1242" spans="109:120" ht="15">
      <c r="DE1242" s="494"/>
      <c r="DF1242" s="496" t="s">
        <v>3521</v>
      </c>
      <c r="DG1242" s="496" t="s">
        <v>8</v>
      </c>
      <c r="DH1242" s="496" t="s">
        <v>689</v>
      </c>
      <c r="DI1242" s="496" t="s">
        <v>3522</v>
      </c>
      <c r="DJ1242" s="496" t="s">
        <v>3522</v>
      </c>
      <c r="DK1242" s="496" t="s">
        <v>1554</v>
      </c>
      <c r="DL1242" s="496" t="s">
        <v>1555</v>
      </c>
      <c r="DM1242" s="496" t="s">
        <v>1981</v>
      </c>
      <c r="DN1242" s="497" t="s">
        <v>1982</v>
      </c>
      <c r="DP1242" s="543">
        <v>1</v>
      </c>
    </row>
    <row r="1243" spans="109:120" ht="15">
      <c r="DE1243" s="494"/>
      <c r="DF1243" s="496" t="s">
        <v>3523</v>
      </c>
      <c r="DG1243" s="496" t="s">
        <v>8</v>
      </c>
      <c r="DH1243" s="496" t="s">
        <v>689</v>
      </c>
      <c r="DI1243" s="496" t="s">
        <v>3524</v>
      </c>
      <c r="DJ1243" s="496" t="s">
        <v>3524</v>
      </c>
      <c r="DK1243" s="496" t="s">
        <v>1554</v>
      </c>
      <c r="DL1243" s="496" t="s">
        <v>1555</v>
      </c>
      <c r="DM1243" s="496" t="s">
        <v>1981</v>
      </c>
      <c r="DN1243" s="497" t="s">
        <v>1982</v>
      </c>
      <c r="DP1243" s="543">
        <v>1</v>
      </c>
    </row>
    <row r="1244" spans="109:120" ht="15">
      <c r="DE1244" s="494"/>
      <c r="DF1244" s="496" t="s">
        <v>3525</v>
      </c>
      <c r="DG1244" s="496" t="s">
        <v>8</v>
      </c>
      <c r="DH1244" s="496" t="s">
        <v>689</v>
      </c>
      <c r="DI1244" s="496" t="s">
        <v>3526</v>
      </c>
      <c r="DJ1244" s="496" t="s">
        <v>3526</v>
      </c>
      <c r="DK1244" s="496" t="s">
        <v>1554</v>
      </c>
      <c r="DL1244" s="496" t="s">
        <v>1555</v>
      </c>
      <c r="DM1244" s="496" t="s">
        <v>1981</v>
      </c>
      <c r="DN1244" s="497" t="s">
        <v>1982</v>
      </c>
      <c r="DP1244" s="543">
        <v>1</v>
      </c>
    </row>
    <row r="1245" spans="109:120" ht="15">
      <c r="DE1245" s="494"/>
      <c r="DF1245" s="496" t="s">
        <v>3527</v>
      </c>
      <c r="DG1245" s="496" t="s">
        <v>8</v>
      </c>
      <c r="DH1245" s="496" t="s">
        <v>689</v>
      </c>
      <c r="DI1245" s="496" t="s">
        <v>3528</v>
      </c>
      <c r="DJ1245" s="496" t="s">
        <v>3528</v>
      </c>
      <c r="DK1245" s="496" t="s">
        <v>1554</v>
      </c>
      <c r="DL1245" s="496" t="s">
        <v>1555</v>
      </c>
      <c r="DM1245" s="496" t="s">
        <v>1981</v>
      </c>
      <c r="DN1245" s="497" t="s">
        <v>1982</v>
      </c>
      <c r="DP1245" s="543">
        <v>1</v>
      </c>
    </row>
    <row r="1246" spans="109:120" ht="15">
      <c r="DE1246" s="494"/>
      <c r="DF1246" s="496" t="s">
        <v>3529</v>
      </c>
      <c r="DG1246" s="496" t="s">
        <v>8</v>
      </c>
      <c r="DH1246" s="496" t="s">
        <v>689</v>
      </c>
      <c r="DI1246" s="496" t="s">
        <v>3530</v>
      </c>
      <c r="DJ1246" s="496" t="s">
        <v>3530</v>
      </c>
      <c r="DK1246" s="496" t="s">
        <v>1554</v>
      </c>
      <c r="DL1246" s="496" t="s">
        <v>1555</v>
      </c>
      <c r="DM1246" s="496" t="s">
        <v>1981</v>
      </c>
      <c r="DN1246" s="497" t="s">
        <v>1982</v>
      </c>
      <c r="DP1246" s="543">
        <v>1</v>
      </c>
    </row>
    <row r="1247" spans="109:120" ht="15">
      <c r="DE1247" s="494"/>
      <c r="DF1247" s="496" t="s">
        <v>3531</v>
      </c>
      <c r="DG1247" s="496" t="s">
        <v>8</v>
      </c>
      <c r="DH1247" s="496" t="s">
        <v>689</v>
      </c>
      <c r="DI1247" s="496" t="s">
        <v>3532</v>
      </c>
      <c r="DJ1247" s="496" t="s">
        <v>3532</v>
      </c>
      <c r="DK1247" s="496" t="s">
        <v>1554</v>
      </c>
      <c r="DL1247" s="496" t="s">
        <v>1555</v>
      </c>
      <c r="DM1247" s="496" t="s">
        <v>1981</v>
      </c>
      <c r="DN1247" s="497" t="s">
        <v>1982</v>
      </c>
      <c r="DP1247" s="543">
        <v>1</v>
      </c>
    </row>
    <row r="1248" spans="109:120" ht="15">
      <c r="DE1248" s="494"/>
      <c r="DF1248" s="496" t="s">
        <v>3533</v>
      </c>
      <c r="DG1248" s="496" t="s">
        <v>8</v>
      </c>
      <c r="DH1248" s="496" t="s">
        <v>689</v>
      </c>
      <c r="DI1248" s="496" t="s">
        <v>160</v>
      </c>
      <c r="DJ1248" s="496" t="s">
        <v>160</v>
      </c>
      <c r="DK1248" s="496" t="s">
        <v>1554</v>
      </c>
      <c r="DL1248" s="496" t="s">
        <v>1555</v>
      </c>
      <c r="DM1248" s="496" t="s">
        <v>1981</v>
      </c>
      <c r="DN1248" s="497" t="s">
        <v>1982</v>
      </c>
      <c r="DP1248" s="543">
        <v>1</v>
      </c>
    </row>
    <row r="1249" spans="109:120" ht="15">
      <c r="DE1249" s="494"/>
      <c r="DF1249" s="496" t="s">
        <v>3534</v>
      </c>
      <c r="DG1249" s="496" t="s">
        <v>8</v>
      </c>
      <c r="DH1249" s="496" t="s">
        <v>689</v>
      </c>
      <c r="DI1249" s="496" t="s">
        <v>3535</v>
      </c>
      <c r="DJ1249" s="496" t="s">
        <v>3535</v>
      </c>
      <c r="DK1249" s="496" t="s">
        <v>1554</v>
      </c>
      <c r="DL1249" s="496" t="s">
        <v>1555</v>
      </c>
      <c r="DM1249" s="496" t="s">
        <v>1981</v>
      </c>
      <c r="DN1249" s="497" t="s">
        <v>1982</v>
      </c>
      <c r="DP1249" s="543">
        <v>1</v>
      </c>
    </row>
    <row r="1250" spans="109:120" ht="15">
      <c r="DE1250" s="494"/>
      <c r="DF1250" s="496" t="s">
        <v>3536</v>
      </c>
      <c r="DG1250" s="496" t="s">
        <v>8</v>
      </c>
      <c r="DH1250" s="496" t="s">
        <v>689</v>
      </c>
      <c r="DI1250" s="496" t="s">
        <v>3537</v>
      </c>
      <c r="DJ1250" s="496" t="s">
        <v>3537</v>
      </c>
      <c r="DK1250" s="496" t="s">
        <v>1554</v>
      </c>
      <c r="DL1250" s="496" t="s">
        <v>1555</v>
      </c>
      <c r="DM1250" s="496" t="s">
        <v>1981</v>
      </c>
      <c r="DN1250" s="497" t="s">
        <v>1982</v>
      </c>
      <c r="DP1250" s="543">
        <v>1</v>
      </c>
    </row>
    <row r="1251" spans="109:120" ht="15">
      <c r="DE1251" s="494"/>
      <c r="DF1251" s="496" t="s">
        <v>3538</v>
      </c>
      <c r="DG1251" s="496" t="s">
        <v>8</v>
      </c>
      <c r="DH1251" s="496" t="s">
        <v>689</v>
      </c>
      <c r="DI1251" s="496" t="s">
        <v>3539</v>
      </c>
      <c r="DJ1251" s="496" t="s">
        <v>3539</v>
      </c>
      <c r="DK1251" s="496" t="s">
        <v>1554</v>
      </c>
      <c r="DL1251" s="496" t="s">
        <v>1555</v>
      </c>
      <c r="DM1251" s="496" t="s">
        <v>1981</v>
      </c>
      <c r="DN1251" s="497" t="s">
        <v>1982</v>
      </c>
      <c r="DP1251" s="543">
        <v>1</v>
      </c>
    </row>
    <row r="1252" spans="109:120" ht="15">
      <c r="DE1252" s="494"/>
      <c r="DF1252" s="496" t="s">
        <v>3540</v>
      </c>
      <c r="DG1252" s="496" t="s">
        <v>8</v>
      </c>
      <c r="DH1252" s="496" t="s">
        <v>689</v>
      </c>
      <c r="DI1252" s="496" t="s">
        <v>3541</v>
      </c>
      <c r="DJ1252" s="496" t="s">
        <v>3541</v>
      </c>
      <c r="DK1252" s="496" t="s">
        <v>1554</v>
      </c>
      <c r="DL1252" s="496" t="s">
        <v>1555</v>
      </c>
      <c r="DM1252" s="496" t="s">
        <v>1981</v>
      </c>
      <c r="DN1252" s="497" t="s">
        <v>1982</v>
      </c>
      <c r="DP1252" s="543">
        <v>1</v>
      </c>
    </row>
    <row r="1253" spans="109:120" ht="15">
      <c r="DE1253" s="494"/>
      <c r="DF1253" s="496" t="s">
        <v>3542</v>
      </c>
      <c r="DG1253" s="496" t="s">
        <v>8</v>
      </c>
      <c r="DH1253" s="496" t="s">
        <v>689</v>
      </c>
      <c r="DI1253" s="496" t="s">
        <v>3543</v>
      </c>
      <c r="DJ1253" s="496" t="s">
        <v>3543</v>
      </c>
      <c r="DK1253" s="496" t="s">
        <v>1554</v>
      </c>
      <c r="DL1253" s="496" t="s">
        <v>1555</v>
      </c>
      <c r="DM1253" s="496" t="s">
        <v>1981</v>
      </c>
      <c r="DN1253" s="497" t="s">
        <v>1982</v>
      </c>
      <c r="DP1253" s="543">
        <v>1</v>
      </c>
    </row>
    <row r="1254" spans="109:120" ht="15">
      <c r="DE1254" s="494"/>
      <c r="DF1254" s="496" t="s">
        <v>3544</v>
      </c>
      <c r="DG1254" s="496" t="s">
        <v>8</v>
      </c>
      <c r="DH1254" s="496" t="s">
        <v>689</v>
      </c>
      <c r="DI1254" s="496" t="s">
        <v>3545</v>
      </c>
      <c r="DJ1254" s="496" t="s">
        <v>3545</v>
      </c>
      <c r="DK1254" s="496" t="s">
        <v>1554</v>
      </c>
      <c r="DL1254" s="496" t="s">
        <v>1555</v>
      </c>
      <c r="DM1254" s="496" t="s">
        <v>1981</v>
      </c>
      <c r="DN1254" s="497" t="s">
        <v>1982</v>
      </c>
      <c r="DP1254" s="543">
        <v>1</v>
      </c>
    </row>
    <row r="1255" spans="109:120" ht="15">
      <c r="DE1255" s="494"/>
      <c r="DF1255" s="496" t="s">
        <v>3546</v>
      </c>
      <c r="DG1255" s="496" t="s">
        <v>8</v>
      </c>
      <c r="DH1255" s="496" t="s">
        <v>689</v>
      </c>
      <c r="DI1255" s="496" t="s">
        <v>3547</v>
      </c>
      <c r="DJ1255" s="496" t="s">
        <v>3547</v>
      </c>
      <c r="DK1255" s="496" t="s">
        <v>1554</v>
      </c>
      <c r="DL1255" s="496" t="s">
        <v>1555</v>
      </c>
      <c r="DM1255" s="496" t="s">
        <v>1981</v>
      </c>
      <c r="DN1255" s="497" t="s">
        <v>1982</v>
      </c>
      <c r="DP1255" s="543">
        <v>1</v>
      </c>
    </row>
    <row r="1256" spans="109:120" ht="15">
      <c r="DE1256" s="494"/>
      <c r="DF1256" s="496" t="s">
        <v>3548</v>
      </c>
      <c r="DG1256" s="496" t="s">
        <v>8</v>
      </c>
      <c r="DH1256" s="496" t="s">
        <v>689</v>
      </c>
      <c r="DI1256" s="496" t="s">
        <v>3549</v>
      </c>
      <c r="DJ1256" s="496" t="s">
        <v>3549</v>
      </c>
      <c r="DK1256" s="496" t="s">
        <v>1554</v>
      </c>
      <c r="DL1256" s="496" t="s">
        <v>1555</v>
      </c>
      <c r="DM1256" s="496" t="s">
        <v>1981</v>
      </c>
      <c r="DN1256" s="497" t="s">
        <v>1982</v>
      </c>
      <c r="DP1256" s="543">
        <v>1</v>
      </c>
    </row>
    <row r="1257" spans="109:120" ht="15">
      <c r="DE1257" s="494"/>
      <c r="DF1257" s="496" t="s">
        <v>3550</v>
      </c>
      <c r="DG1257" s="496" t="s">
        <v>8</v>
      </c>
      <c r="DH1257" s="496" t="s">
        <v>689</v>
      </c>
      <c r="DI1257" s="496" t="s">
        <v>3551</v>
      </c>
      <c r="DJ1257" s="496" t="s">
        <v>3551</v>
      </c>
      <c r="DK1257" s="496" t="s">
        <v>1554</v>
      </c>
      <c r="DL1257" s="496" t="s">
        <v>1555</v>
      </c>
      <c r="DM1257" s="496" t="s">
        <v>1981</v>
      </c>
      <c r="DN1257" s="497" t="s">
        <v>1982</v>
      </c>
      <c r="DP1257" s="543">
        <v>1</v>
      </c>
    </row>
    <row r="1258" spans="109:120" ht="15">
      <c r="DE1258" s="494"/>
      <c r="DF1258" s="496" t="s">
        <v>3552</v>
      </c>
      <c r="DG1258" s="496" t="s">
        <v>8</v>
      </c>
      <c r="DH1258" s="496" t="s">
        <v>689</v>
      </c>
      <c r="DI1258" s="496" t="s">
        <v>3553</v>
      </c>
      <c r="DJ1258" s="496" t="s">
        <v>3553</v>
      </c>
      <c r="DK1258" s="496" t="s">
        <v>1554</v>
      </c>
      <c r="DL1258" s="496" t="s">
        <v>1555</v>
      </c>
      <c r="DM1258" s="496" t="s">
        <v>1981</v>
      </c>
      <c r="DN1258" s="497" t="s">
        <v>1982</v>
      </c>
      <c r="DP1258" s="543">
        <v>1</v>
      </c>
    </row>
    <row r="1259" spans="109:120" ht="15">
      <c r="DE1259" s="494"/>
      <c r="DF1259" s="496" t="s">
        <v>3554</v>
      </c>
      <c r="DG1259" s="496" t="s">
        <v>8</v>
      </c>
      <c r="DH1259" s="496" t="s">
        <v>689</v>
      </c>
      <c r="DI1259" s="496" t="s">
        <v>3555</v>
      </c>
      <c r="DJ1259" s="496" t="s">
        <v>3555</v>
      </c>
      <c r="DK1259" s="496" t="s">
        <v>1554</v>
      </c>
      <c r="DL1259" s="496" t="s">
        <v>1555</v>
      </c>
      <c r="DM1259" s="496" t="s">
        <v>1981</v>
      </c>
      <c r="DN1259" s="497" t="s">
        <v>1982</v>
      </c>
      <c r="DP1259" s="543">
        <v>1</v>
      </c>
    </row>
    <row r="1260" spans="109:120" ht="15">
      <c r="DE1260" s="494"/>
      <c r="DF1260" s="496" t="s">
        <v>3556</v>
      </c>
      <c r="DG1260" s="496" t="s">
        <v>8</v>
      </c>
      <c r="DH1260" s="496" t="s">
        <v>689</v>
      </c>
      <c r="DI1260" s="496" t="s">
        <v>3557</v>
      </c>
      <c r="DJ1260" s="496" t="s">
        <v>3557</v>
      </c>
      <c r="DK1260" s="496" t="s">
        <v>1554</v>
      </c>
      <c r="DL1260" s="496" t="s">
        <v>1555</v>
      </c>
      <c r="DM1260" s="496" t="s">
        <v>1981</v>
      </c>
      <c r="DN1260" s="497" t="s">
        <v>1982</v>
      </c>
      <c r="DP1260" s="543">
        <v>1</v>
      </c>
    </row>
    <row r="1261" spans="109:120" ht="15">
      <c r="DE1261" s="494"/>
      <c r="DF1261" s="496" t="s">
        <v>3558</v>
      </c>
      <c r="DG1261" s="496" t="s">
        <v>8</v>
      </c>
      <c r="DH1261" s="496" t="s">
        <v>689</v>
      </c>
      <c r="DI1261" s="496" t="s">
        <v>3559</v>
      </c>
      <c r="DJ1261" s="496" t="s">
        <v>3559</v>
      </c>
      <c r="DK1261" s="496" t="s">
        <v>1554</v>
      </c>
      <c r="DL1261" s="496" t="s">
        <v>1555</v>
      </c>
      <c r="DM1261" s="496" t="s">
        <v>1981</v>
      </c>
      <c r="DN1261" s="497" t="s">
        <v>1982</v>
      </c>
      <c r="DP1261" s="543">
        <v>1</v>
      </c>
    </row>
    <row r="1262" spans="109:120" ht="15">
      <c r="DE1262" s="494"/>
      <c r="DF1262" s="496" t="s">
        <v>3560</v>
      </c>
      <c r="DG1262" s="496" t="s">
        <v>8</v>
      </c>
      <c r="DH1262" s="496" t="s">
        <v>689</v>
      </c>
      <c r="DI1262" s="496" t="s">
        <v>3561</v>
      </c>
      <c r="DJ1262" s="496" t="s">
        <v>3561</v>
      </c>
      <c r="DK1262" s="496" t="s">
        <v>1554</v>
      </c>
      <c r="DL1262" s="496" t="s">
        <v>1555</v>
      </c>
      <c r="DM1262" s="496" t="s">
        <v>1981</v>
      </c>
      <c r="DN1262" s="497" t="s">
        <v>1982</v>
      </c>
      <c r="DP1262" s="543">
        <v>1</v>
      </c>
    </row>
    <row r="1263" spans="109:120" ht="15">
      <c r="DE1263" s="494"/>
      <c r="DF1263" s="496" t="s">
        <v>3562</v>
      </c>
      <c r="DG1263" s="496" t="s">
        <v>8</v>
      </c>
      <c r="DH1263" s="496" t="s">
        <v>689</v>
      </c>
      <c r="DI1263" s="496" t="s">
        <v>3563</v>
      </c>
      <c r="DJ1263" s="496" t="s">
        <v>3563</v>
      </c>
      <c r="DK1263" s="496" t="s">
        <v>1554</v>
      </c>
      <c r="DL1263" s="496" t="s">
        <v>1555</v>
      </c>
      <c r="DM1263" s="496" t="s">
        <v>1981</v>
      </c>
      <c r="DN1263" s="497" t="s">
        <v>1982</v>
      </c>
      <c r="DP1263" s="543">
        <v>1</v>
      </c>
    </row>
    <row r="1264" spans="109:120" ht="15">
      <c r="DE1264" s="494"/>
      <c r="DF1264" s="496" t="s">
        <v>3564</v>
      </c>
      <c r="DG1264" s="496" t="s">
        <v>8</v>
      </c>
      <c r="DH1264" s="496" t="s">
        <v>689</v>
      </c>
      <c r="DI1264" s="496" t="s">
        <v>3565</v>
      </c>
      <c r="DJ1264" s="496" t="s">
        <v>3565</v>
      </c>
      <c r="DK1264" s="496" t="s">
        <v>1554</v>
      </c>
      <c r="DL1264" s="496" t="s">
        <v>1555</v>
      </c>
      <c r="DM1264" s="496" t="s">
        <v>1981</v>
      </c>
      <c r="DN1264" s="497" t="s">
        <v>1982</v>
      </c>
      <c r="DP1264" s="543">
        <v>1</v>
      </c>
    </row>
    <row r="1265" spans="109:120" ht="15">
      <c r="DE1265" s="494"/>
      <c r="DF1265" s="496" t="s">
        <v>3566</v>
      </c>
      <c r="DG1265" s="496" t="s">
        <v>8</v>
      </c>
      <c r="DH1265" s="496" t="s">
        <v>689</v>
      </c>
      <c r="DI1265" s="496" t="s">
        <v>3567</v>
      </c>
      <c r="DJ1265" s="496" t="s">
        <v>3567</v>
      </c>
      <c r="DK1265" s="496" t="s">
        <v>1554</v>
      </c>
      <c r="DL1265" s="496" t="s">
        <v>1555</v>
      </c>
      <c r="DM1265" s="496" t="s">
        <v>1981</v>
      </c>
      <c r="DN1265" s="497" t="s">
        <v>1982</v>
      </c>
      <c r="DP1265" s="543">
        <v>1</v>
      </c>
    </row>
    <row r="1266" spans="109:120" ht="15">
      <c r="DE1266" s="494"/>
      <c r="DF1266" s="496" t="s">
        <v>3568</v>
      </c>
      <c r="DG1266" s="496" t="s">
        <v>8</v>
      </c>
      <c r="DH1266" s="496" t="s">
        <v>689</v>
      </c>
      <c r="DI1266" s="496" t="s">
        <v>3569</v>
      </c>
      <c r="DJ1266" s="496" t="s">
        <v>3569</v>
      </c>
      <c r="DK1266" s="496" t="s">
        <v>1554</v>
      </c>
      <c r="DL1266" s="496" t="s">
        <v>1555</v>
      </c>
      <c r="DM1266" s="496" t="s">
        <v>1981</v>
      </c>
      <c r="DN1266" s="497" t="s">
        <v>1982</v>
      </c>
      <c r="DP1266" s="543">
        <v>1</v>
      </c>
    </row>
    <row r="1267" spans="109:120" ht="15">
      <c r="DE1267" s="494"/>
      <c r="DF1267" s="496" t="s">
        <v>3570</v>
      </c>
      <c r="DG1267" s="496" t="s">
        <v>8</v>
      </c>
      <c r="DH1267" s="496" t="s">
        <v>689</v>
      </c>
      <c r="DI1267" s="496" t="s">
        <v>3571</v>
      </c>
      <c r="DJ1267" s="496" t="s">
        <v>3571</v>
      </c>
      <c r="DK1267" s="496" t="s">
        <v>1554</v>
      </c>
      <c r="DL1267" s="496" t="s">
        <v>1555</v>
      </c>
      <c r="DM1267" s="496" t="s">
        <v>1981</v>
      </c>
      <c r="DN1267" s="497" t="s">
        <v>1982</v>
      </c>
      <c r="DP1267" s="543">
        <v>1</v>
      </c>
    </row>
    <row r="1268" spans="109:120" ht="15">
      <c r="DE1268" s="494"/>
      <c r="DF1268" s="496" t="s">
        <v>3572</v>
      </c>
      <c r="DG1268" s="496" t="s">
        <v>8</v>
      </c>
      <c r="DH1268" s="496" t="s">
        <v>689</v>
      </c>
      <c r="DI1268" s="496" t="s">
        <v>3573</v>
      </c>
      <c r="DJ1268" s="496" t="s">
        <v>3573</v>
      </c>
      <c r="DK1268" s="496" t="s">
        <v>1554</v>
      </c>
      <c r="DL1268" s="496" t="s">
        <v>1555</v>
      </c>
      <c r="DM1268" s="496" t="s">
        <v>1981</v>
      </c>
      <c r="DN1268" s="497" t="s">
        <v>1982</v>
      </c>
      <c r="DP1268" s="543">
        <v>1</v>
      </c>
    </row>
    <row r="1269" spans="109:120" ht="15">
      <c r="DE1269" s="494"/>
      <c r="DF1269" s="496" t="s">
        <v>3574</v>
      </c>
      <c r="DG1269" s="496" t="s">
        <v>8</v>
      </c>
      <c r="DH1269" s="496" t="s">
        <v>689</v>
      </c>
      <c r="DI1269" s="496" t="s">
        <v>1053</v>
      </c>
      <c r="DJ1269" s="496" t="s">
        <v>1053</v>
      </c>
      <c r="DK1269" s="496" t="s">
        <v>1085</v>
      </c>
      <c r="DL1269" s="496" t="s">
        <v>2063</v>
      </c>
      <c r="DM1269" s="496" t="s">
        <v>1087</v>
      </c>
      <c r="DN1269" s="497" t="s">
        <v>1088</v>
      </c>
      <c r="DP1269" s="543">
        <v>1</v>
      </c>
    </row>
    <row r="1270" spans="109:120" ht="15">
      <c r="DE1270" s="494"/>
      <c r="DF1270" s="496" t="s">
        <v>3575</v>
      </c>
      <c r="DG1270" s="496" t="s">
        <v>8</v>
      </c>
      <c r="DH1270" s="496" t="s">
        <v>689</v>
      </c>
      <c r="DI1270" s="496" t="s">
        <v>3576</v>
      </c>
      <c r="DJ1270" s="496" t="s">
        <v>3576</v>
      </c>
      <c r="DK1270" s="496" t="s">
        <v>1554</v>
      </c>
      <c r="DL1270" s="496" t="s">
        <v>1555</v>
      </c>
      <c r="DM1270" s="496" t="s">
        <v>1981</v>
      </c>
      <c r="DN1270" s="497" t="s">
        <v>1982</v>
      </c>
      <c r="DP1270" s="543">
        <v>1</v>
      </c>
    </row>
    <row r="1271" spans="109:120" ht="15">
      <c r="DE1271" s="494"/>
      <c r="DF1271" s="496" t="s">
        <v>3577</v>
      </c>
      <c r="DG1271" s="496" t="s">
        <v>8</v>
      </c>
      <c r="DH1271" s="496" t="s">
        <v>689</v>
      </c>
      <c r="DI1271" s="496" t="s">
        <v>3578</v>
      </c>
      <c r="DJ1271" s="496" t="s">
        <v>3578</v>
      </c>
      <c r="DK1271" s="496" t="s">
        <v>1554</v>
      </c>
      <c r="DL1271" s="496" t="s">
        <v>1555</v>
      </c>
      <c r="DM1271" s="496" t="s">
        <v>1981</v>
      </c>
      <c r="DN1271" s="497" t="s">
        <v>1982</v>
      </c>
      <c r="DP1271" s="543">
        <v>1</v>
      </c>
    </row>
    <row r="1272" spans="109:120" ht="15">
      <c r="DE1272" s="494"/>
      <c r="DF1272" s="496" t="s">
        <v>3579</v>
      </c>
      <c r="DG1272" s="496" t="s">
        <v>8</v>
      </c>
      <c r="DH1272" s="496" t="s">
        <v>689</v>
      </c>
      <c r="DI1272" s="496" t="s">
        <v>3580</v>
      </c>
      <c r="DJ1272" s="496" t="s">
        <v>3580</v>
      </c>
      <c r="DK1272" s="496" t="s">
        <v>1554</v>
      </c>
      <c r="DL1272" s="496" t="s">
        <v>1555</v>
      </c>
      <c r="DM1272" s="496" t="s">
        <v>1981</v>
      </c>
      <c r="DN1272" s="497" t="s">
        <v>1982</v>
      </c>
      <c r="DP1272" s="543">
        <v>1</v>
      </c>
    </row>
    <row r="1273" spans="109:120" ht="15">
      <c r="DE1273" s="494"/>
      <c r="DF1273" s="496" t="s">
        <v>3581</v>
      </c>
      <c r="DG1273" s="496" t="s">
        <v>8</v>
      </c>
      <c r="DH1273" s="496" t="s">
        <v>689</v>
      </c>
      <c r="DI1273" s="496" t="s">
        <v>3582</v>
      </c>
      <c r="DJ1273" s="496" t="s">
        <v>3582</v>
      </c>
      <c r="DK1273" s="496" t="s">
        <v>1554</v>
      </c>
      <c r="DL1273" s="496" t="s">
        <v>1555</v>
      </c>
      <c r="DM1273" s="496" t="s">
        <v>1981</v>
      </c>
      <c r="DN1273" s="497" t="s">
        <v>1982</v>
      </c>
      <c r="DP1273" s="543">
        <v>1</v>
      </c>
    </row>
    <row r="1274" spans="109:120" ht="15">
      <c r="DE1274" s="494"/>
      <c r="DF1274" s="496" t="s">
        <v>3583</v>
      </c>
      <c r="DG1274" s="496" t="s">
        <v>8</v>
      </c>
      <c r="DH1274" s="496" t="s">
        <v>689</v>
      </c>
      <c r="DI1274" s="496" t="s">
        <v>3584</v>
      </c>
      <c r="DJ1274" s="496" t="s">
        <v>3584</v>
      </c>
      <c r="DK1274" s="496" t="s">
        <v>1554</v>
      </c>
      <c r="DL1274" s="496" t="s">
        <v>1555</v>
      </c>
      <c r="DM1274" s="496" t="s">
        <v>1981</v>
      </c>
      <c r="DN1274" s="497" t="s">
        <v>1982</v>
      </c>
      <c r="DP1274" s="543">
        <v>1</v>
      </c>
    </row>
    <row r="1275" spans="109:120" ht="15">
      <c r="DE1275" s="494"/>
      <c r="DF1275" s="496" t="s">
        <v>3585</v>
      </c>
      <c r="DG1275" s="496" t="s">
        <v>8</v>
      </c>
      <c r="DH1275" s="496" t="s">
        <v>689</v>
      </c>
      <c r="DI1275" s="496" t="s">
        <v>3586</v>
      </c>
      <c r="DJ1275" s="496" t="s">
        <v>3586</v>
      </c>
      <c r="DK1275" s="496" t="s">
        <v>1554</v>
      </c>
      <c r="DL1275" s="496" t="s">
        <v>1555</v>
      </c>
      <c r="DM1275" s="496" t="s">
        <v>1981</v>
      </c>
      <c r="DN1275" s="497" t="s">
        <v>1982</v>
      </c>
      <c r="DP1275" s="543">
        <v>1</v>
      </c>
    </row>
    <row r="1276" spans="109:120" ht="15">
      <c r="DE1276" s="494"/>
      <c r="DF1276" s="496" t="s">
        <v>3587</v>
      </c>
      <c r="DG1276" s="496" t="s">
        <v>8</v>
      </c>
      <c r="DH1276" s="496" t="s">
        <v>689</v>
      </c>
      <c r="DI1276" s="496" t="s">
        <v>3588</v>
      </c>
      <c r="DJ1276" s="496" t="s">
        <v>3588</v>
      </c>
      <c r="DK1276" s="496" t="s">
        <v>1554</v>
      </c>
      <c r="DL1276" s="496" t="s">
        <v>1555</v>
      </c>
      <c r="DM1276" s="496" t="s">
        <v>1981</v>
      </c>
      <c r="DN1276" s="497" t="s">
        <v>1982</v>
      </c>
      <c r="DP1276" s="543">
        <v>1</v>
      </c>
    </row>
    <row r="1277" spans="109:120" ht="15">
      <c r="DE1277" s="494"/>
      <c r="DF1277" s="496" t="s">
        <v>3589</v>
      </c>
      <c r="DG1277" s="496" t="s">
        <v>8</v>
      </c>
      <c r="DH1277" s="496" t="s">
        <v>689</v>
      </c>
      <c r="DI1277" s="496" t="s">
        <v>3590</v>
      </c>
      <c r="DJ1277" s="496" t="s">
        <v>3590</v>
      </c>
      <c r="DK1277" s="496" t="s">
        <v>1554</v>
      </c>
      <c r="DL1277" s="496" t="s">
        <v>1555</v>
      </c>
      <c r="DM1277" s="496" t="s">
        <v>1981</v>
      </c>
      <c r="DN1277" s="497" t="s">
        <v>1982</v>
      </c>
      <c r="DP1277" s="543">
        <v>1</v>
      </c>
    </row>
    <row r="1278" spans="109:120" ht="15">
      <c r="DE1278" s="494"/>
      <c r="DF1278" s="496" t="s">
        <v>3591</v>
      </c>
      <c r="DG1278" s="496" t="s">
        <v>8</v>
      </c>
      <c r="DH1278" s="496" t="s">
        <v>689</v>
      </c>
      <c r="DI1278" s="496" t="s">
        <v>3592</v>
      </c>
      <c r="DJ1278" s="496" t="s">
        <v>3592</v>
      </c>
      <c r="DK1278" s="496" t="s">
        <v>1554</v>
      </c>
      <c r="DL1278" s="496" t="s">
        <v>1555</v>
      </c>
      <c r="DM1278" s="496" t="s">
        <v>1981</v>
      </c>
      <c r="DN1278" s="497" t="s">
        <v>1982</v>
      </c>
      <c r="DP1278" s="543">
        <v>1</v>
      </c>
    </row>
    <row r="1279" spans="109:120" ht="15">
      <c r="DE1279" s="494"/>
      <c r="DF1279" s="496" t="s">
        <v>3593</v>
      </c>
      <c r="DG1279" s="496" t="s">
        <v>8</v>
      </c>
      <c r="DH1279" s="496" t="s">
        <v>689</v>
      </c>
      <c r="DI1279" s="496" t="s">
        <v>3594</v>
      </c>
      <c r="DJ1279" s="496" t="s">
        <v>3594</v>
      </c>
      <c r="DK1279" s="496" t="s">
        <v>1554</v>
      </c>
      <c r="DL1279" s="496" t="s">
        <v>1555</v>
      </c>
      <c r="DM1279" s="496" t="s">
        <v>1981</v>
      </c>
      <c r="DN1279" s="497" t="s">
        <v>1982</v>
      </c>
      <c r="DP1279" s="543">
        <v>1</v>
      </c>
    </row>
    <row r="1280" spans="109:120" ht="15">
      <c r="DE1280" s="494"/>
      <c r="DF1280" s="496" t="s">
        <v>3595</v>
      </c>
      <c r="DG1280" s="496" t="s">
        <v>8</v>
      </c>
      <c r="DH1280" s="496" t="s">
        <v>689</v>
      </c>
      <c r="DI1280" s="496" t="s">
        <v>3596</v>
      </c>
      <c r="DJ1280" s="496" t="s">
        <v>3596</v>
      </c>
      <c r="DK1280" s="496" t="s">
        <v>1554</v>
      </c>
      <c r="DL1280" s="496" t="s">
        <v>1555</v>
      </c>
      <c r="DM1280" s="496" t="s">
        <v>1981</v>
      </c>
      <c r="DN1280" s="497" t="s">
        <v>1982</v>
      </c>
      <c r="DP1280" s="543">
        <v>1</v>
      </c>
    </row>
    <row r="1281" spans="109:120" ht="15">
      <c r="DE1281" s="494"/>
      <c r="DF1281" s="496" t="s">
        <v>3597</v>
      </c>
      <c r="DG1281" s="496" t="s">
        <v>8</v>
      </c>
      <c r="DH1281" s="496" t="s">
        <v>689</v>
      </c>
      <c r="DI1281" s="496" t="s">
        <v>179</v>
      </c>
      <c r="DJ1281" s="496" t="s">
        <v>179</v>
      </c>
      <c r="DK1281" s="496" t="s">
        <v>1085</v>
      </c>
      <c r="DL1281" s="496" t="s">
        <v>2063</v>
      </c>
      <c r="DM1281" s="496" t="s">
        <v>1087</v>
      </c>
      <c r="DN1281" s="497" t="s">
        <v>1088</v>
      </c>
      <c r="DP1281" s="543">
        <v>1</v>
      </c>
    </row>
    <row r="1282" spans="109:120" ht="15">
      <c r="DE1282" s="494"/>
      <c r="DF1282" s="496" t="s">
        <v>3598</v>
      </c>
      <c r="DG1282" s="496" t="s">
        <v>8</v>
      </c>
      <c r="DH1282" s="496" t="s">
        <v>689</v>
      </c>
      <c r="DI1282" s="496" t="s">
        <v>3599</v>
      </c>
      <c r="DJ1282" s="496" t="s">
        <v>3599</v>
      </c>
      <c r="DK1282" s="496" t="s">
        <v>1151</v>
      </c>
      <c r="DL1282" s="496" t="s">
        <v>1152</v>
      </c>
      <c r="DM1282" s="496" t="s">
        <v>1087</v>
      </c>
      <c r="DN1282" s="497" t="s">
        <v>1153</v>
      </c>
      <c r="DP1282" s="543">
        <v>1</v>
      </c>
    </row>
    <row r="1283" spans="109:120" ht="15">
      <c r="DE1283" s="494"/>
      <c r="DF1283" s="496" t="s">
        <v>3600</v>
      </c>
      <c r="DG1283" s="496" t="s">
        <v>8</v>
      </c>
      <c r="DH1283" s="496" t="s">
        <v>689</v>
      </c>
      <c r="DI1283" s="496" t="s">
        <v>3601</v>
      </c>
      <c r="DJ1283" s="496" t="s">
        <v>3601</v>
      </c>
      <c r="DK1283" s="496" t="s">
        <v>1554</v>
      </c>
      <c r="DL1283" s="496" t="s">
        <v>1555</v>
      </c>
      <c r="DM1283" s="496" t="s">
        <v>1981</v>
      </c>
      <c r="DN1283" s="497" t="s">
        <v>1982</v>
      </c>
      <c r="DP1283" s="543">
        <v>1</v>
      </c>
    </row>
    <row r="1284" spans="109:120" ht="15">
      <c r="DE1284" s="494"/>
      <c r="DF1284" s="496" t="s">
        <v>3602</v>
      </c>
      <c r="DG1284" s="496" t="s">
        <v>8</v>
      </c>
      <c r="DH1284" s="496" t="s">
        <v>689</v>
      </c>
      <c r="DI1284" s="496" t="s">
        <v>3603</v>
      </c>
      <c r="DJ1284" s="496" t="s">
        <v>3603</v>
      </c>
      <c r="DK1284" s="496" t="s">
        <v>1554</v>
      </c>
      <c r="DL1284" s="496" t="s">
        <v>1555</v>
      </c>
      <c r="DM1284" s="496" t="s">
        <v>1981</v>
      </c>
      <c r="DN1284" s="497" t="s">
        <v>1982</v>
      </c>
      <c r="DP1284" s="543">
        <v>1</v>
      </c>
    </row>
    <row r="1285" spans="109:120" ht="15">
      <c r="DE1285" s="494"/>
      <c r="DF1285" s="496" t="s">
        <v>3604</v>
      </c>
      <c r="DG1285" s="496" t="s">
        <v>8</v>
      </c>
      <c r="DH1285" s="496" t="s">
        <v>689</v>
      </c>
      <c r="DI1285" s="496" t="s">
        <v>3605</v>
      </c>
      <c r="DJ1285" s="496" t="s">
        <v>3605</v>
      </c>
      <c r="DK1285" s="496" t="s">
        <v>1554</v>
      </c>
      <c r="DL1285" s="496" t="s">
        <v>1555</v>
      </c>
      <c r="DM1285" s="496" t="s">
        <v>1981</v>
      </c>
      <c r="DN1285" s="497" t="s">
        <v>1982</v>
      </c>
      <c r="DP1285" s="543">
        <v>1</v>
      </c>
    </row>
    <row r="1286" spans="109:120" ht="15">
      <c r="DE1286" s="494"/>
      <c r="DF1286" s="496" t="s">
        <v>3606</v>
      </c>
      <c r="DG1286" s="496" t="s">
        <v>8</v>
      </c>
      <c r="DH1286" s="496" t="s">
        <v>689</v>
      </c>
      <c r="DI1286" s="496" t="s">
        <v>3607</v>
      </c>
      <c r="DJ1286" s="496" t="s">
        <v>3607</v>
      </c>
      <c r="DK1286" s="496" t="s">
        <v>1554</v>
      </c>
      <c r="DL1286" s="496" t="s">
        <v>1555</v>
      </c>
      <c r="DM1286" s="496" t="s">
        <v>1981</v>
      </c>
      <c r="DN1286" s="497" t="s">
        <v>1982</v>
      </c>
      <c r="DP1286" s="543">
        <v>1</v>
      </c>
    </row>
    <row r="1287" spans="109:120" ht="15">
      <c r="DE1287" s="494"/>
      <c r="DF1287" s="496" t="s">
        <v>3608</v>
      </c>
      <c r="DG1287" s="496" t="s">
        <v>8</v>
      </c>
      <c r="DH1287" s="496" t="s">
        <v>689</v>
      </c>
      <c r="DI1287" s="496" t="s">
        <v>3609</v>
      </c>
      <c r="DJ1287" s="496" t="s">
        <v>3609</v>
      </c>
      <c r="DK1287" s="496" t="s">
        <v>1554</v>
      </c>
      <c r="DL1287" s="496" t="s">
        <v>1555</v>
      </c>
      <c r="DM1287" s="496" t="s">
        <v>1981</v>
      </c>
      <c r="DN1287" s="497" t="s">
        <v>1982</v>
      </c>
      <c r="DP1287" s="543">
        <v>1</v>
      </c>
    </row>
    <row r="1288" spans="109:120" ht="15">
      <c r="DE1288" s="494"/>
      <c r="DF1288" s="496" t="s">
        <v>3610</v>
      </c>
      <c r="DG1288" s="496" t="s">
        <v>8</v>
      </c>
      <c r="DH1288" s="496" t="s">
        <v>689</v>
      </c>
      <c r="DI1288" s="496" t="s">
        <v>3611</v>
      </c>
      <c r="DJ1288" s="496" t="s">
        <v>3611</v>
      </c>
      <c r="DK1288" s="496" t="s">
        <v>1554</v>
      </c>
      <c r="DL1288" s="496" t="s">
        <v>1555</v>
      </c>
      <c r="DM1288" s="496" t="s">
        <v>1981</v>
      </c>
      <c r="DN1288" s="497" t="s">
        <v>1982</v>
      </c>
      <c r="DP1288" s="543">
        <v>1</v>
      </c>
    </row>
    <row r="1289" spans="109:120" ht="15">
      <c r="DE1289" s="494"/>
      <c r="DF1289" s="496" t="s">
        <v>3612</v>
      </c>
      <c r="DG1289" s="496" t="s">
        <v>8</v>
      </c>
      <c r="DH1289" s="496" t="s">
        <v>689</v>
      </c>
      <c r="DI1289" s="496" t="s">
        <v>3613</v>
      </c>
      <c r="DJ1289" s="496" t="s">
        <v>3613</v>
      </c>
      <c r="DK1289" s="496" t="s">
        <v>1554</v>
      </c>
      <c r="DL1289" s="496" t="s">
        <v>1555</v>
      </c>
      <c r="DM1289" s="496" t="s">
        <v>1981</v>
      </c>
      <c r="DN1289" s="497" t="s">
        <v>1982</v>
      </c>
      <c r="DP1289" s="543">
        <v>1</v>
      </c>
    </row>
    <row r="1290" spans="109:120" ht="15">
      <c r="DE1290" s="494"/>
      <c r="DF1290" s="496" t="s">
        <v>3614</v>
      </c>
      <c r="DG1290" s="496" t="s">
        <v>8</v>
      </c>
      <c r="DH1290" s="496" t="s">
        <v>689</v>
      </c>
      <c r="DI1290" s="496" t="s">
        <v>3615</v>
      </c>
      <c r="DJ1290" s="496" t="s">
        <v>3615</v>
      </c>
      <c r="DK1290" s="496" t="s">
        <v>1554</v>
      </c>
      <c r="DL1290" s="496" t="s">
        <v>1555</v>
      </c>
      <c r="DM1290" s="496" t="s">
        <v>1981</v>
      </c>
      <c r="DN1290" s="497" t="s">
        <v>1982</v>
      </c>
      <c r="DP1290" s="543">
        <v>1</v>
      </c>
    </row>
    <row r="1291" spans="109:120" ht="15">
      <c r="DE1291" s="494"/>
      <c r="DF1291" s="496" t="s">
        <v>3616</v>
      </c>
      <c r="DG1291" s="496" t="s">
        <v>8</v>
      </c>
      <c r="DH1291" s="496" t="s">
        <v>689</v>
      </c>
      <c r="DI1291" s="496" t="s">
        <v>1054</v>
      </c>
      <c r="DJ1291" s="496" t="s">
        <v>1054</v>
      </c>
      <c r="DK1291" s="496" t="s">
        <v>1085</v>
      </c>
      <c r="DL1291" s="496" t="s">
        <v>2063</v>
      </c>
      <c r="DM1291" s="496" t="s">
        <v>1087</v>
      </c>
      <c r="DN1291" s="497" t="s">
        <v>1088</v>
      </c>
      <c r="DP1291" s="543">
        <v>1</v>
      </c>
    </row>
    <row r="1292" spans="109:120" ht="15">
      <c r="DE1292" s="494"/>
      <c r="DF1292" s="496" t="s">
        <v>3617</v>
      </c>
      <c r="DG1292" s="496" t="s">
        <v>8</v>
      </c>
      <c r="DH1292" s="496" t="s">
        <v>689</v>
      </c>
      <c r="DI1292" s="496" t="s">
        <v>3618</v>
      </c>
      <c r="DJ1292" s="496" t="s">
        <v>3618</v>
      </c>
      <c r="DK1292" s="496" t="s">
        <v>1085</v>
      </c>
      <c r="DL1292" s="496" t="s">
        <v>2063</v>
      </c>
      <c r="DM1292" s="496" t="s">
        <v>1087</v>
      </c>
      <c r="DN1292" s="497" t="s">
        <v>1088</v>
      </c>
      <c r="DP1292" s="543">
        <v>1</v>
      </c>
    </row>
    <row r="1293" spans="109:120" ht="15">
      <c r="DE1293" s="494"/>
      <c r="DF1293" s="496" t="s">
        <v>3619</v>
      </c>
      <c r="DG1293" s="496" t="s">
        <v>8</v>
      </c>
      <c r="DH1293" s="496" t="s">
        <v>689</v>
      </c>
      <c r="DI1293" s="496" t="s">
        <v>3620</v>
      </c>
      <c r="DJ1293" s="496" t="s">
        <v>3620</v>
      </c>
      <c r="DK1293" s="496" t="s">
        <v>1554</v>
      </c>
      <c r="DL1293" s="496" t="s">
        <v>1555</v>
      </c>
      <c r="DM1293" s="496" t="s">
        <v>1981</v>
      </c>
      <c r="DN1293" s="497" t="s">
        <v>1982</v>
      </c>
      <c r="DP1293" s="543">
        <v>1</v>
      </c>
    </row>
    <row r="1294" spans="109:120" ht="15">
      <c r="DE1294" s="494"/>
      <c r="DF1294" s="496" t="s">
        <v>3621</v>
      </c>
      <c r="DG1294" s="496" t="s">
        <v>8</v>
      </c>
      <c r="DH1294" s="496" t="s">
        <v>689</v>
      </c>
      <c r="DI1294" s="496" t="s">
        <v>1055</v>
      </c>
      <c r="DJ1294" s="496" t="s">
        <v>1055</v>
      </c>
      <c r="DK1294" s="496" t="s">
        <v>1085</v>
      </c>
      <c r="DL1294" s="496" t="s">
        <v>2063</v>
      </c>
      <c r="DM1294" s="496" t="s">
        <v>1087</v>
      </c>
      <c r="DN1294" s="497" t="s">
        <v>1088</v>
      </c>
      <c r="DP1294" s="543">
        <v>1</v>
      </c>
    </row>
    <row r="1295" spans="109:120" ht="15">
      <c r="DE1295" s="494"/>
      <c r="DF1295" s="496" t="s">
        <v>3622</v>
      </c>
      <c r="DG1295" s="496" t="s">
        <v>8</v>
      </c>
      <c r="DH1295" s="496" t="s">
        <v>689</v>
      </c>
      <c r="DI1295" s="496" t="s">
        <v>3623</v>
      </c>
      <c r="DJ1295" s="496" t="s">
        <v>3623</v>
      </c>
      <c r="DK1295" s="496" t="s">
        <v>1554</v>
      </c>
      <c r="DL1295" s="496" t="s">
        <v>1555</v>
      </c>
      <c r="DM1295" s="496" t="s">
        <v>1981</v>
      </c>
      <c r="DN1295" s="497" t="s">
        <v>1982</v>
      </c>
      <c r="DP1295" s="543">
        <v>1</v>
      </c>
    </row>
    <row r="1296" spans="109:120" ht="15">
      <c r="DE1296" s="494"/>
      <c r="DF1296" s="496" t="s">
        <v>3624</v>
      </c>
      <c r="DG1296" s="496" t="s">
        <v>8</v>
      </c>
      <c r="DH1296" s="496" t="s">
        <v>689</v>
      </c>
      <c r="DI1296" s="496" t="s">
        <v>3625</v>
      </c>
      <c r="DJ1296" s="496" t="s">
        <v>3625</v>
      </c>
      <c r="DK1296" s="496" t="s">
        <v>1554</v>
      </c>
      <c r="DL1296" s="496" t="s">
        <v>1555</v>
      </c>
      <c r="DM1296" s="496" t="s">
        <v>1981</v>
      </c>
      <c r="DN1296" s="497" t="s">
        <v>1982</v>
      </c>
      <c r="DP1296" s="543">
        <v>1</v>
      </c>
    </row>
    <row r="1297" spans="109:120" ht="15">
      <c r="DE1297" s="494"/>
      <c r="DF1297" s="496" t="s">
        <v>3626</v>
      </c>
      <c r="DG1297" s="496" t="s">
        <v>8</v>
      </c>
      <c r="DH1297" s="496" t="s">
        <v>689</v>
      </c>
      <c r="DI1297" s="496" t="s">
        <v>3627</v>
      </c>
      <c r="DJ1297" s="496" t="s">
        <v>3627</v>
      </c>
      <c r="DK1297" s="496" t="s">
        <v>1554</v>
      </c>
      <c r="DL1297" s="496" t="s">
        <v>1555</v>
      </c>
      <c r="DM1297" s="496" t="s">
        <v>1981</v>
      </c>
      <c r="DN1297" s="497" t="s">
        <v>1982</v>
      </c>
      <c r="DP1297" s="543">
        <v>1</v>
      </c>
    </row>
    <row r="1298" spans="109:120" ht="15">
      <c r="DE1298" s="494"/>
      <c r="DF1298" s="496" t="s">
        <v>3628</v>
      </c>
      <c r="DG1298" s="496" t="s">
        <v>8</v>
      </c>
      <c r="DH1298" s="496" t="s">
        <v>689</v>
      </c>
      <c r="DI1298" s="496" t="s">
        <v>3629</v>
      </c>
      <c r="DJ1298" s="496" t="s">
        <v>3629</v>
      </c>
      <c r="DK1298" s="496" t="s">
        <v>1554</v>
      </c>
      <c r="DL1298" s="496" t="s">
        <v>1555</v>
      </c>
      <c r="DM1298" s="496" t="s">
        <v>1981</v>
      </c>
      <c r="DN1298" s="497" t="s">
        <v>1982</v>
      </c>
      <c r="DP1298" s="543">
        <v>1</v>
      </c>
    </row>
    <row r="1299" spans="109:120" ht="15">
      <c r="DE1299" s="494"/>
      <c r="DF1299" s="496" t="s">
        <v>3630</v>
      </c>
      <c r="DG1299" s="496" t="s">
        <v>8</v>
      </c>
      <c r="DH1299" s="496" t="s">
        <v>689</v>
      </c>
      <c r="DI1299" s="496" t="s">
        <v>3631</v>
      </c>
      <c r="DJ1299" s="496" t="s">
        <v>3631</v>
      </c>
      <c r="DK1299" s="496" t="s">
        <v>1554</v>
      </c>
      <c r="DL1299" s="496" t="s">
        <v>1555</v>
      </c>
      <c r="DM1299" s="496" t="s">
        <v>1981</v>
      </c>
      <c r="DN1299" s="497" t="s">
        <v>1982</v>
      </c>
      <c r="DP1299" s="543">
        <v>1</v>
      </c>
    </row>
    <row r="1300" spans="109:120" ht="15">
      <c r="DE1300" s="494"/>
      <c r="DF1300" s="496" t="s">
        <v>3632</v>
      </c>
      <c r="DG1300" s="496" t="s">
        <v>8</v>
      </c>
      <c r="DH1300" s="496" t="s">
        <v>689</v>
      </c>
      <c r="DI1300" s="496" t="s">
        <v>3633</v>
      </c>
      <c r="DJ1300" s="496" t="s">
        <v>3633</v>
      </c>
      <c r="DK1300" s="496" t="s">
        <v>1554</v>
      </c>
      <c r="DL1300" s="496" t="s">
        <v>1555</v>
      </c>
      <c r="DM1300" s="496" t="s">
        <v>1981</v>
      </c>
      <c r="DN1300" s="497" t="s">
        <v>1982</v>
      </c>
      <c r="DP1300" s="543">
        <v>1</v>
      </c>
    </row>
    <row r="1301" spans="109:120" ht="15">
      <c r="DE1301" s="494"/>
      <c r="DF1301" s="496" t="s">
        <v>3634</v>
      </c>
      <c r="DG1301" s="496" t="s">
        <v>8</v>
      </c>
      <c r="DH1301" s="496" t="s">
        <v>689</v>
      </c>
      <c r="DI1301" s="496" t="s">
        <v>3635</v>
      </c>
      <c r="DJ1301" s="496" t="s">
        <v>3635</v>
      </c>
      <c r="DK1301" s="496" t="s">
        <v>1554</v>
      </c>
      <c r="DL1301" s="496" t="s">
        <v>1555</v>
      </c>
      <c r="DM1301" s="496" t="s">
        <v>1981</v>
      </c>
      <c r="DN1301" s="497" t="s">
        <v>1982</v>
      </c>
      <c r="DP1301" s="543">
        <v>1</v>
      </c>
    </row>
    <row r="1302" spans="109:120" ht="15">
      <c r="DE1302" s="494"/>
      <c r="DF1302" s="496" t="s">
        <v>3636</v>
      </c>
      <c r="DG1302" s="496" t="s">
        <v>8</v>
      </c>
      <c r="DH1302" s="496" t="s">
        <v>689</v>
      </c>
      <c r="DI1302" s="496" t="s">
        <v>3637</v>
      </c>
      <c r="DJ1302" s="496" t="s">
        <v>3637</v>
      </c>
      <c r="DK1302" s="496" t="s">
        <v>1554</v>
      </c>
      <c r="DL1302" s="496" t="s">
        <v>1555</v>
      </c>
      <c r="DM1302" s="496" t="s">
        <v>1981</v>
      </c>
      <c r="DN1302" s="497" t="s">
        <v>1982</v>
      </c>
      <c r="DP1302" s="543">
        <v>1</v>
      </c>
    </row>
    <row r="1303" spans="109:120" ht="15">
      <c r="DE1303" s="494"/>
      <c r="DF1303" s="496" t="s">
        <v>3638</v>
      </c>
      <c r="DG1303" s="496" t="s">
        <v>8</v>
      </c>
      <c r="DH1303" s="496" t="s">
        <v>689</v>
      </c>
      <c r="DI1303" s="496" t="s">
        <v>3639</v>
      </c>
      <c r="DJ1303" s="496" t="s">
        <v>3639</v>
      </c>
      <c r="DK1303" s="496" t="s">
        <v>1554</v>
      </c>
      <c r="DL1303" s="496" t="s">
        <v>1555</v>
      </c>
      <c r="DM1303" s="496" t="s">
        <v>1981</v>
      </c>
      <c r="DN1303" s="497" t="s">
        <v>1982</v>
      </c>
      <c r="DP1303" s="543">
        <v>1</v>
      </c>
    </row>
    <row r="1304" spans="109:120" ht="15">
      <c r="DE1304" s="494"/>
      <c r="DF1304" s="496" t="s">
        <v>3640</v>
      </c>
      <c r="DG1304" s="496" t="s">
        <v>8</v>
      </c>
      <c r="DH1304" s="496" t="s">
        <v>689</v>
      </c>
      <c r="DI1304" s="496" t="s">
        <v>1056</v>
      </c>
      <c r="DJ1304" s="496" t="s">
        <v>1056</v>
      </c>
      <c r="DK1304" s="496" t="s">
        <v>1554</v>
      </c>
      <c r="DL1304" s="496" t="s">
        <v>1555</v>
      </c>
      <c r="DM1304" s="496" t="s">
        <v>1981</v>
      </c>
      <c r="DN1304" s="497" t="s">
        <v>1982</v>
      </c>
      <c r="DP1304" s="543">
        <v>1</v>
      </c>
    </row>
    <row r="1305" spans="109:120" ht="15">
      <c r="DE1305" s="494"/>
      <c r="DF1305" s="496" t="s">
        <v>3641</v>
      </c>
      <c r="DG1305" s="496" t="s">
        <v>8</v>
      </c>
      <c r="DH1305" s="496" t="s">
        <v>689</v>
      </c>
      <c r="DI1305" s="496" t="s">
        <v>1057</v>
      </c>
      <c r="DJ1305" s="496" t="s">
        <v>1057</v>
      </c>
      <c r="DK1305" s="496" t="s">
        <v>1554</v>
      </c>
      <c r="DL1305" s="496" t="s">
        <v>1555</v>
      </c>
      <c r="DM1305" s="496" t="s">
        <v>1981</v>
      </c>
      <c r="DN1305" s="497" t="s">
        <v>1982</v>
      </c>
      <c r="DP1305" s="543">
        <v>1</v>
      </c>
    </row>
    <row r="1306" spans="109:120" ht="15">
      <c r="DE1306" s="494"/>
      <c r="DF1306" s="496" t="s">
        <v>3642</v>
      </c>
      <c r="DG1306" s="496" t="s">
        <v>8</v>
      </c>
      <c r="DH1306" s="496" t="s">
        <v>689</v>
      </c>
      <c r="DI1306" s="496" t="s">
        <v>3643</v>
      </c>
      <c r="DJ1306" s="496" t="s">
        <v>3643</v>
      </c>
      <c r="DK1306" s="496" t="s">
        <v>1554</v>
      </c>
      <c r="DL1306" s="496" t="s">
        <v>1555</v>
      </c>
      <c r="DM1306" s="496" t="s">
        <v>1981</v>
      </c>
      <c r="DN1306" s="497" t="s">
        <v>1982</v>
      </c>
      <c r="DP1306" s="543">
        <v>1</v>
      </c>
    </row>
    <row r="1307" spans="109:120" ht="15">
      <c r="DE1307" s="494"/>
      <c r="DF1307" s="496" t="s">
        <v>3644</v>
      </c>
      <c r="DG1307" s="496" t="s">
        <v>8</v>
      </c>
      <c r="DH1307" s="496" t="s">
        <v>689</v>
      </c>
      <c r="DI1307" s="496" t="s">
        <v>1058</v>
      </c>
      <c r="DJ1307" s="496" t="s">
        <v>1058</v>
      </c>
      <c r="DK1307" s="496" t="s">
        <v>1554</v>
      </c>
      <c r="DL1307" s="496" t="s">
        <v>1555</v>
      </c>
      <c r="DM1307" s="496" t="s">
        <v>1981</v>
      </c>
      <c r="DN1307" s="497" t="s">
        <v>1982</v>
      </c>
      <c r="DP1307" s="543">
        <v>1</v>
      </c>
    </row>
    <row r="1308" spans="109:120" ht="15">
      <c r="DE1308" s="494"/>
      <c r="DF1308" s="496" t="s">
        <v>3645</v>
      </c>
      <c r="DG1308" s="496" t="s">
        <v>8</v>
      </c>
      <c r="DH1308" s="496" t="s">
        <v>689</v>
      </c>
      <c r="DI1308" s="496" t="s">
        <v>3646</v>
      </c>
      <c r="DJ1308" s="496" t="s">
        <v>3646</v>
      </c>
      <c r="DK1308" s="496" t="s">
        <v>1554</v>
      </c>
      <c r="DL1308" s="496" t="s">
        <v>1555</v>
      </c>
      <c r="DM1308" s="496" t="s">
        <v>1981</v>
      </c>
      <c r="DN1308" s="497" t="s">
        <v>1982</v>
      </c>
      <c r="DP1308" s="543">
        <v>1</v>
      </c>
    </row>
    <row r="1309" spans="109:120" ht="15">
      <c r="DE1309" s="494"/>
      <c r="DF1309" s="496" t="s">
        <v>3647</v>
      </c>
      <c r="DG1309" s="496" t="s">
        <v>8</v>
      </c>
      <c r="DH1309" s="496" t="s">
        <v>689</v>
      </c>
      <c r="DI1309" s="496" t="s">
        <v>3648</v>
      </c>
      <c r="DJ1309" s="496" t="s">
        <v>3648</v>
      </c>
      <c r="DK1309" s="496" t="s">
        <v>1554</v>
      </c>
      <c r="DL1309" s="496" t="s">
        <v>1555</v>
      </c>
      <c r="DM1309" s="496" t="s">
        <v>1981</v>
      </c>
      <c r="DN1309" s="497" t="s">
        <v>1982</v>
      </c>
      <c r="DP1309" s="543">
        <v>1</v>
      </c>
    </row>
    <row r="1310" spans="109:120" ht="15">
      <c r="DE1310" s="494"/>
      <c r="DF1310" s="496" t="s">
        <v>3649</v>
      </c>
      <c r="DG1310" s="496" t="s">
        <v>8</v>
      </c>
      <c r="DH1310" s="496" t="s">
        <v>689</v>
      </c>
      <c r="DI1310" s="496" t="s">
        <v>3650</v>
      </c>
      <c r="DJ1310" s="496" t="s">
        <v>3650</v>
      </c>
      <c r="DK1310" s="496" t="s">
        <v>1554</v>
      </c>
      <c r="DL1310" s="496" t="s">
        <v>1555</v>
      </c>
      <c r="DM1310" s="496" t="s">
        <v>1981</v>
      </c>
      <c r="DN1310" s="497" t="s">
        <v>1982</v>
      </c>
      <c r="DP1310" s="543">
        <v>1</v>
      </c>
    </row>
    <row r="1311" spans="109:120" ht="15">
      <c r="DE1311" s="494"/>
      <c r="DF1311" s="496" t="s">
        <v>3651</v>
      </c>
      <c r="DG1311" s="496" t="s">
        <v>8</v>
      </c>
      <c r="DH1311" s="496" t="s">
        <v>689</v>
      </c>
      <c r="DI1311" s="496" t="s">
        <v>1059</v>
      </c>
      <c r="DJ1311" s="496" t="s">
        <v>1059</v>
      </c>
      <c r="DK1311" s="496" t="s">
        <v>1554</v>
      </c>
      <c r="DL1311" s="496" t="s">
        <v>1555</v>
      </c>
      <c r="DM1311" s="496" t="s">
        <v>1981</v>
      </c>
      <c r="DN1311" s="497" t="s">
        <v>1982</v>
      </c>
      <c r="DP1311" s="543">
        <v>1</v>
      </c>
    </row>
    <row r="1312" spans="109:120" ht="15">
      <c r="DE1312" s="494"/>
      <c r="DF1312" s="496" t="s">
        <v>3652</v>
      </c>
      <c r="DG1312" s="496" t="s">
        <v>8</v>
      </c>
      <c r="DH1312" s="496" t="s">
        <v>689</v>
      </c>
      <c r="DI1312" s="496" t="s">
        <v>3653</v>
      </c>
      <c r="DJ1312" s="496" t="s">
        <v>3653</v>
      </c>
      <c r="DK1312" s="496" t="s">
        <v>1554</v>
      </c>
      <c r="DL1312" s="496" t="s">
        <v>1555</v>
      </c>
      <c r="DM1312" s="496" t="s">
        <v>1981</v>
      </c>
      <c r="DN1312" s="497" t="s">
        <v>1982</v>
      </c>
      <c r="DP1312" s="543">
        <v>1</v>
      </c>
    </row>
    <row r="1313" spans="109:120" ht="15">
      <c r="DE1313" s="494"/>
      <c r="DF1313" s="496" t="s">
        <v>3654</v>
      </c>
      <c r="DG1313" s="496" t="s">
        <v>8</v>
      </c>
      <c r="DH1313" s="496" t="s">
        <v>689</v>
      </c>
      <c r="DI1313" s="496" t="s">
        <v>3655</v>
      </c>
      <c r="DJ1313" s="496" t="s">
        <v>3655</v>
      </c>
      <c r="DK1313" s="496" t="s">
        <v>1554</v>
      </c>
      <c r="DL1313" s="496" t="s">
        <v>1555</v>
      </c>
      <c r="DM1313" s="496" t="s">
        <v>1981</v>
      </c>
      <c r="DN1313" s="497" t="s">
        <v>1982</v>
      </c>
      <c r="DP1313" s="543">
        <v>1</v>
      </c>
    </row>
    <row r="1314" spans="109:120" ht="15">
      <c r="DE1314" s="494"/>
      <c r="DF1314" s="496" t="s">
        <v>3656</v>
      </c>
      <c r="DG1314" s="496" t="s">
        <v>8</v>
      </c>
      <c r="DH1314" s="496" t="s">
        <v>689</v>
      </c>
      <c r="DI1314" s="496" t="s">
        <v>3657</v>
      </c>
      <c r="DJ1314" s="496" t="s">
        <v>3657</v>
      </c>
      <c r="DK1314" s="496" t="s">
        <v>1554</v>
      </c>
      <c r="DL1314" s="496" t="s">
        <v>1555</v>
      </c>
      <c r="DM1314" s="496" t="s">
        <v>1981</v>
      </c>
      <c r="DN1314" s="497" t="s">
        <v>1982</v>
      </c>
      <c r="DP1314" s="543">
        <v>1</v>
      </c>
    </row>
    <row r="1315" spans="109:120" ht="15">
      <c r="DE1315" s="494"/>
      <c r="DF1315" s="496" t="s">
        <v>3658</v>
      </c>
      <c r="DG1315" s="496" t="s">
        <v>8</v>
      </c>
      <c r="DH1315" s="496" t="s">
        <v>689</v>
      </c>
      <c r="DI1315" s="496" t="s">
        <v>1060</v>
      </c>
      <c r="DJ1315" s="496" t="s">
        <v>1060</v>
      </c>
      <c r="DK1315" s="496" t="s">
        <v>1554</v>
      </c>
      <c r="DL1315" s="496" t="s">
        <v>1555</v>
      </c>
      <c r="DM1315" s="496" t="s">
        <v>1981</v>
      </c>
      <c r="DN1315" s="497" t="s">
        <v>1982</v>
      </c>
      <c r="DP1315" s="543">
        <v>1</v>
      </c>
    </row>
    <row r="1316" spans="109:120" ht="15">
      <c r="DE1316" s="494"/>
      <c r="DF1316" s="496" t="s">
        <v>3659</v>
      </c>
      <c r="DG1316" s="496" t="s">
        <v>8</v>
      </c>
      <c r="DH1316" s="496" t="s">
        <v>689</v>
      </c>
      <c r="DI1316" s="496" t="s">
        <v>3660</v>
      </c>
      <c r="DJ1316" s="496" t="s">
        <v>3660</v>
      </c>
      <c r="DK1316" s="496" t="s">
        <v>1554</v>
      </c>
      <c r="DL1316" s="496" t="s">
        <v>1555</v>
      </c>
      <c r="DM1316" s="496" t="s">
        <v>1981</v>
      </c>
      <c r="DN1316" s="497" t="s">
        <v>1982</v>
      </c>
      <c r="DP1316" s="543">
        <v>1</v>
      </c>
    </row>
    <row r="1317" spans="109:120" ht="15">
      <c r="DE1317" s="494"/>
      <c r="DF1317" s="496" t="s">
        <v>3661</v>
      </c>
      <c r="DG1317" s="496" t="s">
        <v>8</v>
      </c>
      <c r="DH1317" s="496" t="s">
        <v>689</v>
      </c>
      <c r="DI1317" s="496" t="s">
        <v>3662</v>
      </c>
      <c r="DJ1317" s="496" t="s">
        <v>3662</v>
      </c>
      <c r="DK1317" s="496" t="s">
        <v>1554</v>
      </c>
      <c r="DL1317" s="496" t="s">
        <v>1555</v>
      </c>
      <c r="DM1317" s="496" t="s">
        <v>1981</v>
      </c>
      <c r="DN1317" s="497" t="s">
        <v>1982</v>
      </c>
      <c r="DP1317" s="543">
        <v>1</v>
      </c>
    </row>
    <row r="1318" spans="109:120" ht="15">
      <c r="DE1318" s="494"/>
      <c r="DF1318" s="496" t="s">
        <v>3663</v>
      </c>
      <c r="DG1318" s="496" t="s">
        <v>8</v>
      </c>
      <c r="DH1318" s="496" t="s">
        <v>689</v>
      </c>
      <c r="DI1318" s="496" t="s">
        <v>3664</v>
      </c>
      <c r="DJ1318" s="496" t="s">
        <v>3664</v>
      </c>
      <c r="DK1318" s="496" t="s">
        <v>1554</v>
      </c>
      <c r="DL1318" s="496" t="s">
        <v>1555</v>
      </c>
      <c r="DM1318" s="496" t="s">
        <v>1981</v>
      </c>
      <c r="DN1318" s="497" t="s">
        <v>1982</v>
      </c>
      <c r="DP1318" s="543">
        <v>1</v>
      </c>
    </row>
    <row r="1319" spans="109:120" ht="15">
      <c r="DE1319" s="494"/>
      <c r="DF1319" s="496" t="s">
        <v>3665</v>
      </c>
      <c r="DG1319" s="496" t="s">
        <v>8</v>
      </c>
      <c r="DH1319" s="496" t="s">
        <v>689</v>
      </c>
      <c r="DI1319" s="496" t="s">
        <v>3666</v>
      </c>
      <c r="DJ1319" s="496" t="s">
        <v>3666</v>
      </c>
      <c r="DK1319" s="496" t="s">
        <v>1554</v>
      </c>
      <c r="DL1319" s="496" t="s">
        <v>1555</v>
      </c>
      <c r="DM1319" s="496" t="s">
        <v>1981</v>
      </c>
      <c r="DN1319" s="497" t="s">
        <v>1982</v>
      </c>
      <c r="DP1319" s="543">
        <v>1</v>
      </c>
    </row>
    <row r="1320" spans="109:120" ht="15">
      <c r="DE1320" s="494"/>
      <c r="DF1320" s="496" t="s">
        <v>3667</v>
      </c>
      <c r="DG1320" s="496" t="s">
        <v>8</v>
      </c>
      <c r="DH1320" s="496" t="s">
        <v>689</v>
      </c>
      <c r="DI1320" s="496" t="s">
        <v>3668</v>
      </c>
      <c r="DJ1320" s="496" t="s">
        <v>3668</v>
      </c>
      <c r="DK1320" s="496" t="s">
        <v>1554</v>
      </c>
      <c r="DL1320" s="496" t="s">
        <v>1555</v>
      </c>
      <c r="DM1320" s="496" t="s">
        <v>1981</v>
      </c>
      <c r="DN1320" s="497" t="s">
        <v>1982</v>
      </c>
      <c r="DP1320" s="543">
        <v>1</v>
      </c>
    </row>
    <row r="1321" spans="109:120" ht="15">
      <c r="DE1321" s="494"/>
      <c r="DF1321" s="496" t="s">
        <v>3669</v>
      </c>
      <c r="DG1321" s="496" t="s">
        <v>8</v>
      </c>
      <c r="DH1321" s="496" t="s">
        <v>689</v>
      </c>
      <c r="DI1321" s="496" t="s">
        <v>3670</v>
      </c>
      <c r="DJ1321" s="496" t="s">
        <v>3670</v>
      </c>
      <c r="DK1321" s="496" t="s">
        <v>1554</v>
      </c>
      <c r="DL1321" s="496" t="s">
        <v>1555</v>
      </c>
      <c r="DM1321" s="496" t="s">
        <v>1981</v>
      </c>
      <c r="DN1321" s="497" t="s">
        <v>1982</v>
      </c>
      <c r="DP1321" s="543">
        <v>1</v>
      </c>
    </row>
    <row r="1322" spans="109:120" ht="15">
      <c r="DE1322" s="494"/>
      <c r="DF1322" s="496" t="s">
        <v>3671</v>
      </c>
      <c r="DG1322" s="496" t="s">
        <v>8</v>
      </c>
      <c r="DH1322" s="496" t="s">
        <v>689</v>
      </c>
      <c r="DI1322" s="496" t="s">
        <v>3672</v>
      </c>
      <c r="DJ1322" s="496" t="s">
        <v>3672</v>
      </c>
      <c r="DK1322" s="496" t="s">
        <v>1554</v>
      </c>
      <c r="DL1322" s="496" t="s">
        <v>1555</v>
      </c>
      <c r="DM1322" s="496" t="s">
        <v>1981</v>
      </c>
      <c r="DN1322" s="497" t="s">
        <v>1982</v>
      </c>
      <c r="DP1322" s="543">
        <v>1</v>
      </c>
    </row>
    <row r="1323" spans="109:120" ht="15">
      <c r="DE1323" s="494"/>
      <c r="DF1323" s="496" t="s">
        <v>3673</v>
      </c>
      <c r="DG1323" s="496" t="s">
        <v>8</v>
      </c>
      <c r="DH1323" s="496" t="s">
        <v>689</v>
      </c>
      <c r="DI1323" s="496" t="s">
        <v>3674</v>
      </c>
      <c r="DJ1323" s="496" t="s">
        <v>3674</v>
      </c>
      <c r="DK1323" s="496" t="s">
        <v>1151</v>
      </c>
      <c r="DL1323" s="496" t="s">
        <v>1152</v>
      </c>
      <c r="DM1323" s="496" t="s">
        <v>1087</v>
      </c>
      <c r="DN1323" s="497" t="s">
        <v>1153</v>
      </c>
      <c r="DP1323" s="543">
        <v>1</v>
      </c>
    </row>
    <row r="1324" spans="109:120" ht="15">
      <c r="DE1324" s="494"/>
      <c r="DF1324" s="496" t="s">
        <v>3675</v>
      </c>
      <c r="DG1324" s="496" t="s">
        <v>8</v>
      </c>
      <c r="DH1324" s="496" t="s">
        <v>689</v>
      </c>
      <c r="DI1324" s="496" t="s">
        <v>145</v>
      </c>
      <c r="DJ1324" s="496" t="s">
        <v>145</v>
      </c>
      <c r="DK1324" s="496" t="s">
        <v>1554</v>
      </c>
      <c r="DL1324" s="496" t="s">
        <v>1555</v>
      </c>
      <c r="DM1324" s="496" t="s">
        <v>1981</v>
      </c>
      <c r="DN1324" s="497" t="s">
        <v>1982</v>
      </c>
      <c r="DP1324" s="543">
        <v>1</v>
      </c>
    </row>
    <row r="1325" spans="109:120" ht="15">
      <c r="DE1325" s="494"/>
      <c r="DF1325" s="496" t="s">
        <v>3676</v>
      </c>
      <c r="DG1325" s="496" t="s">
        <v>8</v>
      </c>
      <c r="DH1325" s="496" t="s">
        <v>689</v>
      </c>
      <c r="DI1325" s="496" t="s">
        <v>3677</v>
      </c>
      <c r="DJ1325" s="496" t="s">
        <v>3677</v>
      </c>
      <c r="DK1325" s="496" t="s">
        <v>1554</v>
      </c>
      <c r="DL1325" s="496" t="s">
        <v>1555</v>
      </c>
      <c r="DM1325" s="496" t="s">
        <v>1981</v>
      </c>
      <c r="DN1325" s="497" t="s">
        <v>1982</v>
      </c>
      <c r="DP1325" s="543">
        <v>1</v>
      </c>
    </row>
    <row r="1326" spans="109:120" ht="15">
      <c r="DE1326" s="494"/>
      <c r="DF1326" s="496" t="s">
        <v>3678</v>
      </c>
      <c r="DG1326" s="496" t="s">
        <v>8</v>
      </c>
      <c r="DH1326" s="496" t="s">
        <v>689</v>
      </c>
      <c r="DI1326" s="496" t="s">
        <v>363</v>
      </c>
      <c r="DJ1326" s="496" t="s">
        <v>363</v>
      </c>
      <c r="DK1326" s="496" t="s">
        <v>1151</v>
      </c>
      <c r="DL1326" s="496" t="s">
        <v>1152</v>
      </c>
      <c r="DM1326" s="496" t="s">
        <v>1087</v>
      </c>
      <c r="DN1326" s="497" t="s">
        <v>1153</v>
      </c>
      <c r="DP1326" s="543">
        <v>1</v>
      </c>
    </row>
    <row r="1327" spans="109:120" ht="15">
      <c r="DE1327" s="494"/>
      <c r="DF1327" s="496" t="s">
        <v>3679</v>
      </c>
      <c r="DG1327" s="496" t="s">
        <v>8</v>
      </c>
      <c r="DH1327" s="496" t="s">
        <v>689</v>
      </c>
      <c r="DI1327" s="496" t="s">
        <v>1061</v>
      </c>
      <c r="DJ1327" s="496" t="s">
        <v>1061</v>
      </c>
      <c r="DK1327" s="496" t="s">
        <v>1554</v>
      </c>
      <c r="DL1327" s="496" t="s">
        <v>1555</v>
      </c>
      <c r="DM1327" s="496" t="s">
        <v>1981</v>
      </c>
      <c r="DN1327" s="497" t="s">
        <v>1982</v>
      </c>
      <c r="DP1327" s="543">
        <v>1</v>
      </c>
    </row>
    <row r="1328" spans="109:120" ht="15">
      <c r="DE1328" s="494"/>
      <c r="DF1328" s="496" t="s">
        <v>3680</v>
      </c>
      <c r="DG1328" s="496" t="s">
        <v>8</v>
      </c>
      <c r="DH1328" s="496" t="s">
        <v>689</v>
      </c>
      <c r="DI1328" s="496" t="s">
        <v>3681</v>
      </c>
      <c r="DJ1328" s="496" t="s">
        <v>3681</v>
      </c>
      <c r="DK1328" s="496" t="s">
        <v>1554</v>
      </c>
      <c r="DL1328" s="496" t="s">
        <v>1555</v>
      </c>
      <c r="DM1328" s="496" t="s">
        <v>1981</v>
      </c>
      <c r="DN1328" s="497" t="s">
        <v>1982</v>
      </c>
      <c r="DP1328" s="543">
        <v>1</v>
      </c>
    </row>
    <row r="1329" spans="109:120" ht="15">
      <c r="DE1329" s="494"/>
      <c r="DF1329" s="496" t="s">
        <v>3682</v>
      </c>
      <c r="DG1329" s="496" t="s">
        <v>8</v>
      </c>
      <c r="DH1329" s="496" t="s">
        <v>689</v>
      </c>
      <c r="DI1329" s="496" t="s">
        <v>3683</v>
      </c>
      <c r="DJ1329" s="496" t="s">
        <v>3683</v>
      </c>
      <c r="DK1329" s="496" t="s">
        <v>1554</v>
      </c>
      <c r="DL1329" s="496" t="s">
        <v>1555</v>
      </c>
      <c r="DM1329" s="496" t="s">
        <v>1981</v>
      </c>
      <c r="DN1329" s="497" t="s">
        <v>1982</v>
      </c>
      <c r="DP1329" s="543">
        <v>1</v>
      </c>
    </row>
    <row r="1330" spans="109:120" ht="15">
      <c r="DE1330" s="494"/>
      <c r="DF1330" s="496" t="s">
        <v>3684</v>
      </c>
      <c r="DG1330" s="496" t="s">
        <v>8</v>
      </c>
      <c r="DH1330" s="496" t="s">
        <v>689</v>
      </c>
      <c r="DI1330" s="496" t="s">
        <v>3685</v>
      </c>
      <c r="DJ1330" s="496" t="s">
        <v>3685</v>
      </c>
      <c r="DK1330" s="496" t="s">
        <v>1554</v>
      </c>
      <c r="DL1330" s="496" t="s">
        <v>1555</v>
      </c>
      <c r="DM1330" s="496" t="s">
        <v>1981</v>
      </c>
      <c r="DN1330" s="497" t="s">
        <v>1982</v>
      </c>
      <c r="DP1330" s="543">
        <v>1</v>
      </c>
    </row>
    <row r="1331" spans="109:120" ht="15">
      <c r="DE1331" s="494"/>
      <c r="DF1331" s="496" t="s">
        <v>3686</v>
      </c>
      <c r="DG1331" s="496" t="s">
        <v>8</v>
      </c>
      <c r="DH1331" s="496" t="s">
        <v>689</v>
      </c>
      <c r="DI1331" s="496" t="s">
        <v>3687</v>
      </c>
      <c r="DJ1331" s="496" t="s">
        <v>3687</v>
      </c>
      <c r="DK1331" s="496" t="s">
        <v>1554</v>
      </c>
      <c r="DL1331" s="496" t="s">
        <v>1555</v>
      </c>
      <c r="DM1331" s="496" t="s">
        <v>1981</v>
      </c>
      <c r="DN1331" s="497" t="s">
        <v>1982</v>
      </c>
      <c r="DP1331" s="543">
        <v>1</v>
      </c>
    </row>
    <row r="1332" spans="109:120" ht="15">
      <c r="DE1332" s="494"/>
      <c r="DF1332" s="496" t="s">
        <v>3688</v>
      </c>
      <c r="DG1332" s="496" t="s">
        <v>8</v>
      </c>
      <c r="DH1332" s="496" t="s">
        <v>689</v>
      </c>
      <c r="DI1332" s="496" t="s">
        <v>3689</v>
      </c>
      <c r="DJ1332" s="496" t="s">
        <v>3689</v>
      </c>
      <c r="DK1332" s="496" t="s">
        <v>1554</v>
      </c>
      <c r="DL1332" s="496" t="s">
        <v>1555</v>
      </c>
      <c r="DM1332" s="496" t="s">
        <v>1981</v>
      </c>
      <c r="DN1332" s="497" t="s">
        <v>1982</v>
      </c>
      <c r="DP1332" s="543">
        <v>1</v>
      </c>
    </row>
    <row r="1333" spans="109:120" ht="15">
      <c r="DE1333" s="494"/>
      <c r="DF1333" s="496" t="s">
        <v>3690</v>
      </c>
      <c r="DG1333" s="496" t="s">
        <v>8</v>
      </c>
      <c r="DH1333" s="496" t="s">
        <v>689</v>
      </c>
      <c r="DI1333" s="496" t="s">
        <v>3691</v>
      </c>
      <c r="DJ1333" s="496" t="s">
        <v>3691</v>
      </c>
      <c r="DK1333" s="496" t="s">
        <v>1554</v>
      </c>
      <c r="DL1333" s="496" t="s">
        <v>1555</v>
      </c>
      <c r="DM1333" s="496" t="s">
        <v>1981</v>
      </c>
      <c r="DN1333" s="497" t="s">
        <v>1982</v>
      </c>
      <c r="DP1333" s="543">
        <v>1</v>
      </c>
    </row>
    <row r="1334" spans="109:120" ht="15">
      <c r="DE1334" s="494"/>
      <c r="DF1334" s="496" t="s">
        <v>3692</v>
      </c>
      <c r="DG1334" s="496" t="s">
        <v>8</v>
      </c>
      <c r="DH1334" s="496" t="s">
        <v>689</v>
      </c>
      <c r="DI1334" s="496" t="s">
        <v>3693</v>
      </c>
      <c r="DJ1334" s="496" t="s">
        <v>3693</v>
      </c>
      <c r="DK1334" s="496" t="s">
        <v>1554</v>
      </c>
      <c r="DL1334" s="496" t="s">
        <v>1555</v>
      </c>
      <c r="DM1334" s="496" t="s">
        <v>1981</v>
      </c>
      <c r="DN1334" s="497" t="s">
        <v>1982</v>
      </c>
      <c r="DP1334" s="543">
        <v>1</v>
      </c>
    </row>
    <row r="1335" spans="109:120" ht="15">
      <c r="DE1335" s="494"/>
      <c r="DF1335" s="496" t="s">
        <v>3694</v>
      </c>
      <c r="DG1335" s="496" t="s">
        <v>8</v>
      </c>
      <c r="DH1335" s="496" t="s">
        <v>689</v>
      </c>
      <c r="DI1335" s="496" t="s">
        <v>3695</v>
      </c>
      <c r="DJ1335" s="496" t="s">
        <v>3695</v>
      </c>
      <c r="DK1335" s="496" t="s">
        <v>1554</v>
      </c>
      <c r="DL1335" s="496" t="s">
        <v>1555</v>
      </c>
      <c r="DM1335" s="496" t="s">
        <v>1981</v>
      </c>
      <c r="DN1335" s="497" t="s">
        <v>1982</v>
      </c>
      <c r="DP1335" s="543">
        <v>1</v>
      </c>
    </row>
    <row r="1336" spans="109:120" ht="15">
      <c r="DE1336" s="494"/>
      <c r="DF1336" s="496" t="s">
        <v>3696</v>
      </c>
      <c r="DG1336" s="496" t="s">
        <v>8</v>
      </c>
      <c r="DH1336" s="496" t="s">
        <v>689</v>
      </c>
      <c r="DI1336" s="496" t="s">
        <v>3697</v>
      </c>
      <c r="DJ1336" s="496" t="s">
        <v>3697</v>
      </c>
      <c r="DK1336" s="496" t="s">
        <v>1554</v>
      </c>
      <c r="DL1336" s="496" t="s">
        <v>1555</v>
      </c>
      <c r="DM1336" s="496" t="s">
        <v>1981</v>
      </c>
      <c r="DN1336" s="497" t="s">
        <v>1982</v>
      </c>
      <c r="DP1336" s="543">
        <v>1</v>
      </c>
    </row>
    <row r="1337" spans="109:120" ht="15">
      <c r="DE1337" s="494"/>
      <c r="DF1337" s="496" t="s">
        <v>3698</v>
      </c>
      <c r="DG1337" s="496" t="s">
        <v>8</v>
      </c>
      <c r="DH1337" s="496" t="s">
        <v>689</v>
      </c>
      <c r="DI1337" s="496" t="s">
        <v>3699</v>
      </c>
      <c r="DJ1337" s="496" t="s">
        <v>3699</v>
      </c>
      <c r="DK1337" s="496" t="s">
        <v>1554</v>
      </c>
      <c r="DL1337" s="496" t="s">
        <v>1555</v>
      </c>
      <c r="DM1337" s="496" t="s">
        <v>1981</v>
      </c>
      <c r="DN1337" s="497" t="s">
        <v>1982</v>
      </c>
      <c r="DP1337" s="543">
        <v>1</v>
      </c>
    </row>
    <row r="1338" spans="109:120" ht="15">
      <c r="DE1338" s="494"/>
      <c r="DF1338" s="496" t="s">
        <v>3700</v>
      </c>
      <c r="DG1338" s="496" t="s">
        <v>8</v>
      </c>
      <c r="DH1338" s="496" t="s">
        <v>689</v>
      </c>
      <c r="DI1338" s="496" t="s">
        <v>3701</v>
      </c>
      <c r="DJ1338" s="496" t="s">
        <v>3701</v>
      </c>
      <c r="DK1338" s="496" t="s">
        <v>1554</v>
      </c>
      <c r="DL1338" s="496" t="s">
        <v>1555</v>
      </c>
      <c r="DM1338" s="496" t="s">
        <v>1981</v>
      </c>
      <c r="DN1338" s="497" t="s">
        <v>1982</v>
      </c>
      <c r="DP1338" s="543">
        <v>1</v>
      </c>
    </row>
    <row r="1339" spans="109:120" ht="15">
      <c r="DE1339" s="494"/>
      <c r="DF1339" s="496" t="s">
        <v>3702</v>
      </c>
      <c r="DG1339" s="496" t="s">
        <v>8</v>
      </c>
      <c r="DH1339" s="496" t="s">
        <v>689</v>
      </c>
      <c r="DI1339" s="496" t="s">
        <v>3703</v>
      </c>
      <c r="DJ1339" s="496" t="s">
        <v>3703</v>
      </c>
      <c r="DK1339" s="496" t="s">
        <v>1554</v>
      </c>
      <c r="DL1339" s="496" t="s">
        <v>1555</v>
      </c>
      <c r="DM1339" s="496" t="s">
        <v>1981</v>
      </c>
      <c r="DN1339" s="497" t="s">
        <v>1982</v>
      </c>
      <c r="DP1339" s="543">
        <v>1</v>
      </c>
    </row>
    <row r="1340" spans="109:120" ht="15">
      <c r="DE1340" s="494"/>
      <c r="DF1340" s="496" t="s">
        <v>3704</v>
      </c>
      <c r="DG1340" s="496" t="s">
        <v>8</v>
      </c>
      <c r="DH1340" s="496" t="s">
        <v>689</v>
      </c>
      <c r="DI1340" s="496" t="s">
        <v>3705</v>
      </c>
      <c r="DJ1340" s="496" t="s">
        <v>3705</v>
      </c>
      <c r="DK1340" s="496" t="s">
        <v>1554</v>
      </c>
      <c r="DL1340" s="496" t="s">
        <v>1555</v>
      </c>
      <c r="DM1340" s="496" t="s">
        <v>1981</v>
      </c>
      <c r="DN1340" s="497" t="s">
        <v>1982</v>
      </c>
      <c r="DP1340" s="543">
        <v>1</v>
      </c>
    </row>
    <row r="1341" spans="109:120" ht="15">
      <c r="DE1341" s="494"/>
      <c r="DF1341" s="496" t="s">
        <v>3706</v>
      </c>
      <c r="DG1341" s="496" t="s">
        <v>8</v>
      </c>
      <c r="DH1341" s="496" t="s">
        <v>689</v>
      </c>
      <c r="DI1341" s="496" t="s">
        <v>3707</v>
      </c>
      <c r="DJ1341" s="496" t="s">
        <v>3707</v>
      </c>
      <c r="DK1341" s="496" t="s">
        <v>1554</v>
      </c>
      <c r="DL1341" s="496" t="s">
        <v>1555</v>
      </c>
      <c r="DM1341" s="496" t="s">
        <v>1981</v>
      </c>
      <c r="DN1341" s="497" t="s">
        <v>1982</v>
      </c>
      <c r="DP1341" s="543">
        <v>1</v>
      </c>
    </row>
    <row r="1342" spans="109:120" ht="15">
      <c r="DE1342" s="494"/>
      <c r="DF1342" s="496" t="s">
        <v>3708</v>
      </c>
      <c r="DG1342" s="496" t="s">
        <v>8</v>
      </c>
      <c r="DH1342" s="496" t="s">
        <v>689</v>
      </c>
      <c r="DI1342" s="496" t="s">
        <v>3709</v>
      </c>
      <c r="DJ1342" s="496" t="s">
        <v>3709</v>
      </c>
      <c r="DK1342" s="496" t="s">
        <v>1554</v>
      </c>
      <c r="DL1342" s="496" t="s">
        <v>1555</v>
      </c>
      <c r="DM1342" s="496" t="s">
        <v>1981</v>
      </c>
      <c r="DN1342" s="497" t="s">
        <v>1982</v>
      </c>
      <c r="DP1342" s="543">
        <v>1</v>
      </c>
    </row>
    <row r="1343" spans="109:120" ht="15">
      <c r="DE1343" s="494"/>
      <c r="DF1343" s="496" t="s">
        <v>3710</v>
      </c>
      <c r="DG1343" s="496" t="s">
        <v>8</v>
      </c>
      <c r="DH1343" s="496" t="s">
        <v>689</v>
      </c>
      <c r="DI1343" s="496" t="s">
        <v>3711</v>
      </c>
      <c r="DJ1343" s="496" t="s">
        <v>3711</v>
      </c>
      <c r="DK1343" s="496" t="s">
        <v>1554</v>
      </c>
      <c r="DL1343" s="496" t="s">
        <v>1555</v>
      </c>
      <c r="DM1343" s="496" t="s">
        <v>1981</v>
      </c>
      <c r="DN1343" s="497" t="s">
        <v>1982</v>
      </c>
      <c r="DP1343" s="543">
        <v>1</v>
      </c>
    </row>
    <row r="1344" spans="109:120" ht="15">
      <c r="DE1344" s="494"/>
      <c r="DF1344" s="496" t="s">
        <v>3712</v>
      </c>
      <c r="DG1344" s="496" t="s">
        <v>8</v>
      </c>
      <c r="DH1344" s="496" t="s">
        <v>689</v>
      </c>
      <c r="DI1344" s="496" t="s">
        <v>3713</v>
      </c>
      <c r="DJ1344" s="496" t="s">
        <v>3713</v>
      </c>
      <c r="DK1344" s="496" t="s">
        <v>1554</v>
      </c>
      <c r="DL1344" s="496" t="s">
        <v>1555</v>
      </c>
      <c r="DM1344" s="496" t="s">
        <v>1981</v>
      </c>
      <c r="DN1344" s="497" t="s">
        <v>1982</v>
      </c>
      <c r="DP1344" s="543">
        <v>1</v>
      </c>
    </row>
    <row r="1345" spans="109:120" ht="15">
      <c r="DE1345" s="494"/>
      <c r="DF1345" s="496" t="s">
        <v>3714</v>
      </c>
      <c r="DG1345" s="496" t="s">
        <v>8</v>
      </c>
      <c r="DH1345" s="496" t="s">
        <v>689</v>
      </c>
      <c r="DI1345" s="496" t="s">
        <v>3715</v>
      </c>
      <c r="DJ1345" s="496" t="s">
        <v>3715</v>
      </c>
      <c r="DK1345" s="496" t="s">
        <v>1554</v>
      </c>
      <c r="DL1345" s="496" t="s">
        <v>1555</v>
      </c>
      <c r="DM1345" s="496" t="s">
        <v>1981</v>
      </c>
      <c r="DN1345" s="497" t="s">
        <v>1982</v>
      </c>
      <c r="DP1345" s="543">
        <v>1</v>
      </c>
    </row>
    <row r="1346" spans="109:120" ht="15">
      <c r="DE1346" s="494"/>
      <c r="DF1346" s="496" t="s">
        <v>3716</v>
      </c>
      <c r="DG1346" s="496" t="s">
        <v>8</v>
      </c>
      <c r="DH1346" s="496" t="s">
        <v>689</v>
      </c>
      <c r="DI1346" s="496" t="s">
        <v>3717</v>
      </c>
      <c r="DJ1346" s="496" t="s">
        <v>3717</v>
      </c>
      <c r="DK1346" s="496" t="s">
        <v>1554</v>
      </c>
      <c r="DL1346" s="496" t="s">
        <v>1555</v>
      </c>
      <c r="DM1346" s="496" t="s">
        <v>1981</v>
      </c>
      <c r="DN1346" s="497" t="s">
        <v>1982</v>
      </c>
      <c r="DP1346" s="543">
        <v>1</v>
      </c>
    </row>
    <row r="1347" spans="109:120" ht="15">
      <c r="DE1347" s="494"/>
      <c r="DF1347" s="496" t="s">
        <v>3718</v>
      </c>
      <c r="DG1347" s="496" t="s">
        <v>8</v>
      </c>
      <c r="DH1347" s="496" t="s">
        <v>689</v>
      </c>
      <c r="DI1347" s="496" t="s">
        <v>3719</v>
      </c>
      <c r="DJ1347" s="496" t="s">
        <v>3719</v>
      </c>
      <c r="DK1347" s="496" t="s">
        <v>1554</v>
      </c>
      <c r="DL1347" s="496" t="s">
        <v>1555</v>
      </c>
      <c r="DM1347" s="496" t="s">
        <v>1981</v>
      </c>
      <c r="DN1347" s="497" t="s">
        <v>1982</v>
      </c>
      <c r="DP1347" s="543">
        <v>1</v>
      </c>
    </row>
    <row r="1348" spans="109:120" ht="15">
      <c r="DE1348" s="494"/>
      <c r="DF1348" s="496" t="s">
        <v>3720</v>
      </c>
      <c r="DG1348" s="496" t="s">
        <v>8</v>
      </c>
      <c r="DH1348" s="496" t="s">
        <v>689</v>
      </c>
      <c r="DI1348" s="496" t="s">
        <v>3721</v>
      </c>
      <c r="DJ1348" s="496" t="s">
        <v>3721</v>
      </c>
      <c r="DK1348" s="496" t="s">
        <v>1554</v>
      </c>
      <c r="DL1348" s="496" t="s">
        <v>1555</v>
      </c>
      <c r="DM1348" s="496" t="s">
        <v>1981</v>
      </c>
      <c r="DN1348" s="497" t="s">
        <v>1982</v>
      </c>
      <c r="DP1348" s="543">
        <v>1</v>
      </c>
    </row>
    <row r="1349" spans="109:120" ht="15">
      <c r="DE1349" s="494"/>
      <c r="DF1349" s="496" t="s">
        <v>3722</v>
      </c>
      <c r="DG1349" s="496" t="s">
        <v>8</v>
      </c>
      <c r="DH1349" s="496" t="s">
        <v>689</v>
      </c>
      <c r="DI1349" s="496" t="s">
        <v>3723</v>
      </c>
      <c r="DJ1349" s="496" t="s">
        <v>3723</v>
      </c>
      <c r="DK1349" s="496" t="s">
        <v>1554</v>
      </c>
      <c r="DL1349" s="496" t="s">
        <v>1555</v>
      </c>
      <c r="DM1349" s="496" t="s">
        <v>1981</v>
      </c>
      <c r="DN1349" s="497" t="s">
        <v>1982</v>
      </c>
      <c r="DP1349" s="543">
        <v>1</v>
      </c>
    </row>
    <row r="1350" spans="109:120" ht="15">
      <c r="DE1350" s="494"/>
      <c r="DF1350" s="496" t="s">
        <v>3724</v>
      </c>
      <c r="DG1350" s="496" t="s">
        <v>8</v>
      </c>
      <c r="DH1350" s="496" t="s">
        <v>689</v>
      </c>
      <c r="DI1350" s="496" t="s">
        <v>3725</v>
      </c>
      <c r="DJ1350" s="496" t="s">
        <v>3725</v>
      </c>
      <c r="DK1350" s="496" t="s">
        <v>1554</v>
      </c>
      <c r="DL1350" s="496" t="s">
        <v>1555</v>
      </c>
      <c r="DM1350" s="496" t="s">
        <v>1981</v>
      </c>
      <c r="DN1350" s="497" t="s">
        <v>1982</v>
      </c>
      <c r="DP1350" s="543">
        <v>1</v>
      </c>
    </row>
    <row r="1351" spans="109:120" ht="15">
      <c r="DE1351" s="494"/>
      <c r="DF1351" s="496" t="s">
        <v>3726</v>
      </c>
      <c r="DG1351" s="496" t="s">
        <v>8</v>
      </c>
      <c r="DH1351" s="496" t="s">
        <v>689</v>
      </c>
      <c r="DI1351" s="496" t="s">
        <v>3727</v>
      </c>
      <c r="DJ1351" s="496" t="s">
        <v>3727</v>
      </c>
      <c r="DK1351" s="496" t="s">
        <v>1554</v>
      </c>
      <c r="DL1351" s="496" t="s">
        <v>1555</v>
      </c>
      <c r="DM1351" s="496" t="s">
        <v>1981</v>
      </c>
      <c r="DN1351" s="497" t="s">
        <v>1982</v>
      </c>
      <c r="DP1351" s="543">
        <v>1</v>
      </c>
    </row>
    <row r="1352" spans="109:120" ht="15">
      <c r="DE1352" s="494"/>
      <c r="DF1352" s="496" t="s">
        <v>3728</v>
      </c>
      <c r="DG1352" s="496" t="s">
        <v>8</v>
      </c>
      <c r="DH1352" s="496" t="s">
        <v>689</v>
      </c>
      <c r="DI1352" s="496" t="s">
        <v>3729</v>
      </c>
      <c r="DJ1352" s="496" t="s">
        <v>3729</v>
      </c>
      <c r="DK1352" s="496" t="s">
        <v>1554</v>
      </c>
      <c r="DL1352" s="496" t="s">
        <v>1555</v>
      </c>
      <c r="DM1352" s="496" t="s">
        <v>1981</v>
      </c>
      <c r="DN1352" s="497" t="s">
        <v>1982</v>
      </c>
      <c r="DP1352" s="543">
        <v>1</v>
      </c>
    </row>
    <row r="1353" spans="109:120" ht="15">
      <c r="DE1353" s="494"/>
      <c r="DF1353" s="496" t="s">
        <v>3730</v>
      </c>
      <c r="DG1353" s="496" t="s">
        <v>8</v>
      </c>
      <c r="DH1353" s="496" t="s">
        <v>689</v>
      </c>
      <c r="DI1353" s="496" t="s">
        <v>3731</v>
      </c>
      <c r="DJ1353" s="496" t="s">
        <v>3731</v>
      </c>
      <c r="DK1353" s="496" t="s">
        <v>1554</v>
      </c>
      <c r="DL1353" s="496" t="s">
        <v>1555</v>
      </c>
      <c r="DM1353" s="496" t="s">
        <v>1981</v>
      </c>
      <c r="DN1353" s="497" t="s">
        <v>1982</v>
      </c>
      <c r="DP1353" s="543">
        <v>1</v>
      </c>
    </row>
    <row r="1354" spans="109:120" ht="15">
      <c r="DE1354" s="494"/>
      <c r="DF1354" s="496" t="s">
        <v>3732</v>
      </c>
      <c r="DG1354" s="496" t="s">
        <v>8</v>
      </c>
      <c r="DH1354" s="496" t="s">
        <v>689</v>
      </c>
      <c r="DI1354" s="496" t="s">
        <v>3733</v>
      </c>
      <c r="DJ1354" s="496" t="s">
        <v>3733</v>
      </c>
      <c r="DK1354" s="496" t="s">
        <v>1554</v>
      </c>
      <c r="DL1354" s="496" t="s">
        <v>1555</v>
      </c>
      <c r="DM1354" s="496" t="s">
        <v>1981</v>
      </c>
      <c r="DN1354" s="497" t="s">
        <v>1982</v>
      </c>
      <c r="DP1354" s="543">
        <v>1</v>
      </c>
    </row>
    <row r="1355" spans="109:120" ht="15">
      <c r="DE1355" s="494"/>
      <c r="DF1355" s="496" t="s">
        <v>3734</v>
      </c>
      <c r="DG1355" s="496" t="s">
        <v>8</v>
      </c>
      <c r="DH1355" s="496" t="s">
        <v>689</v>
      </c>
      <c r="DI1355" s="496" t="s">
        <v>3735</v>
      </c>
      <c r="DJ1355" s="496" t="s">
        <v>3735</v>
      </c>
      <c r="DK1355" s="496" t="s">
        <v>1554</v>
      </c>
      <c r="DL1355" s="496" t="s">
        <v>1555</v>
      </c>
      <c r="DM1355" s="496" t="s">
        <v>1981</v>
      </c>
      <c r="DN1355" s="497" t="s">
        <v>1982</v>
      </c>
      <c r="DP1355" s="543">
        <v>1</v>
      </c>
    </row>
    <row r="1356" spans="109:120" ht="15">
      <c r="DE1356" s="494"/>
      <c r="DF1356" s="496" t="s">
        <v>3736</v>
      </c>
      <c r="DG1356" s="496" t="s">
        <v>8</v>
      </c>
      <c r="DH1356" s="496" t="s">
        <v>689</v>
      </c>
      <c r="DI1356" s="496" t="s">
        <v>3737</v>
      </c>
      <c r="DJ1356" s="496" t="s">
        <v>3737</v>
      </c>
      <c r="DK1356" s="496" t="s">
        <v>1554</v>
      </c>
      <c r="DL1356" s="496" t="s">
        <v>1555</v>
      </c>
      <c r="DM1356" s="496" t="s">
        <v>1981</v>
      </c>
      <c r="DN1356" s="497" t="s">
        <v>1982</v>
      </c>
      <c r="DP1356" s="543">
        <v>1</v>
      </c>
    </row>
    <row r="1357" spans="109:120" ht="15">
      <c r="DE1357" s="494"/>
      <c r="DF1357" s="496" t="s">
        <v>3738</v>
      </c>
      <c r="DG1357" s="496" t="s">
        <v>8</v>
      </c>
      <c r="DH1357" s="496" t="s">
        <v>689</v>
      </c>
      <c r="DI1357" s="496" t="s">
        <v>3739</v>
      </c>
      <c r="DJ1357" s="496" t="s">
        <v>3739</v>
      </c>
      <c r="DK1357" s="496" t="s">
        <v>1554</v>
      </c>
      <c r="DL1357" s="496" t="s">
        <v>1555</v>
      </c>
      <c r="DM1357" s="496" t="s">
        <v>1981</v>
      </c>
      <c r="DN1357" s="497" t="s">
        <v>1982</v>
      </c>
      <c r="DP1357" s="543">
        <v>1</v>
      </c>
    </row>
    <row r="1358" spans="109:120" ht="15">
      <c r="DE1358" s="494"/>
      <c r="DF1358" s="496" t="s">
        <v>3740</v>
      </c>
      <c r="DG1358" s="496" t="s">
        <v>8</v>
      </c>
      <c r="DH1358" s="496" t="s">
        <v>689</v>
      </c>
      <c r="DI1358" s="496" t="s">
        <v>3741</v>
      </c>
      <c r="DJ1358" s="496" t="s">
        <v>3741</v>
      </c>
      <c r="DK1358" s="496" t="s">
        <v>1554</v>
      </c>
      <c r="DL1358" s="496" t="s">
        <v>1555</v>
      </c>
      <c r="DM1358" s="496" t="s">
        <v>1981</v>
      </c>
      <c r="DN1358" s="497" t="s">
        <v>1982</v>
      </c>
      <c r="DP1358" s="543">
        <v>1</v>
      </c>
    </row>
    <row r="1359" spans="109:120" ht="15">
      <c r="DE1359" s="494"/>
      <c r="DF1359" s="496" t="s">
        <v>3742</v>
      </c>
      <c r="DG1359" s="496" t="s">
        <v>8</v>
      </c>
      <c r="DH1359" s="496" t="s">
        <v>689</v>
      </c>
      <c r="DI1359" s="496" t="s">
        <v>3743</v>
      </c>
      <c r="DJ1359" s="496" t="s">
        <v>3743</v>
      </c>
      <c r="DK1359" s="496" t="s">
        <v>1554</v>
      </c>
      <c r="DL1359" s="496" t="s">
        <v>1555</v>
      </c>
      <c r="DM1359" s="496" t="s">
        <v>1981</v>
      </c>
      <c r="DN1359" s="497" t="s">
        <v>1982</v>
      </c>
      <c r="DP1359" s="543">
        <v>1</v>
      </c>
    </row>
    <row r="1360" spans="109:120" ht="15">
      <c r="DE1360" s="494"/>
      <c r="DF1360" s="496" t="s">
        <v>3744</v>
      </c>
      <c r="DG1360" s="496" t="s">
        <v>8</v>
      </c>
      <c r="DH1360" s="496" t="s">
        <v>689</v>
      </c>
      <c r="DI1360" s="496" t="s">
        <v>3745</v>
      </c>
      <c r="DJ1360" s="496" t="s">
        <v>3745</v>
      </c>
      <c r="DK1360" s="496" t="s">
        <v>1554</v>
      </c>
      <c r="DL1360" s="496" t="s">
        <v>1555</v>
      </c>
      <c r="DM1360" s="496" t="s">
        <v>1981</v>
      </c>
      <c r="DN1360" s="497" t="s">
        <v>1982</v>
      </c>
      <c r="DP1360" s="543">
        <v>1</v>
      </c>
    </row>
    <row r="1361" spans="109:120" ht="15">
      <c r="DE1361" s="494"/>
      <c r="DF1361" s="496" t="s">
        <v>3746</v>
      </c>
      <c r="DG1361" s="496" t="s">
        <v>8</v>
      </c>
      <c r="DH1361" s="496" t="s">
        <v>689</v>
      </c>
      <c r="DI1361" s="496" t="s">
        <v>3747</v>
      </c>
      <c r="DJ1361" s="496" t="s">
        <v>3747</v>
      </c>
      <c r="DK1361" s="496" t="s">
        <v>1554</v>
      </c>
      <c r="DL1361" s="496" t="s">
        <v>1555</v>
      </c>
      <c r="DM1361" s="496" t="s">
        <v>1981</v>
      </c>
      <c r="DN1361" s="497" t="s">
        <v>1982</v>
      </c>
      <c r="DP1361" s="543">
        <v>1</v>
      </c>
    </row>
    <row r="1362" spans="109:120" ht="15">
      <c r="DE1362" s="494"/>
      <c r="DF1362" s="496" t="s">
        <v>3748</v>
      </c>
      <c r="DG1362" s="496" t="s">
        <v>8</v>
      </c>
      <c r="DH1362" s="496" t="s">
        <v>689</v>
      </c>
      <c r="DI1362" s="496" t="s">
        <v>3749</v>
      </c>
      <c r="DJ1362" s="496" t="s">
        <v>3749</v>
      </c>
      <c r="DK1362" s="496" t="s">
        <v>1554</v>
      </c>
      <c r="DL1362" s="496" t="s">
        <v>1555</v>
      </c>
      <c r="DM1362" s="496" t="s">
        <v>1981</v>
      </c>
      <c r="DN1362" s="497" t="s">
        <v>1982</v>
      </c>
      <c r="DP1362" s="543">
        <v>1</v>
      </c>
    </row>
    <row r="1363" spans="109:120" ht="15">
      <c r="DE1363" s="494"/>
      <c r="DF1363" s="496" t="s">
        <v>3750</v>
      </c>
      <c r="DG1363" s="496" t="s">
        <v>8</v>
      </c>
      <c r="DH1363" s="496" t="s">
        <v>689</v>
      </c>
      <c r="DI1363" s="496" t="s">
        <v>3751</v>
      </c>
      <c r="DJ1363" s="496" t="s">
        <v>3751</v>
      </c>
      <c r="DK1363" s="496" t="s">
        <v>1554</v>
      </c>
      <c r="DL1363" s="496" t="s">
        <v>1555</v>
      </c>
      <c r="DM1363" s="496" t="s">
        <v>1981</v>
      </c>
      <c r="DN1363" s="497" t="s">
        <v>1982</v>
      </c>
      <c r="DP1363" s="543">
        <v>1</v>
      </c>
    </row>
    <row r="1364" spans="109:120" ht="15">
      <c r="DE1364" s="494"/>
      <c r="DF1364" s="496" t="s">
        <v>3752</v>
      </c>
      <c r="DG1364" s="496" t="s">
        <v>8</v>
      </c>
      <c r="DH1364" s="496" t="s">
        <v>689</v>
      </c>
      <c r="DI1364" s="496" t="s">
        <v>3753</v>
      </c>
      <c r="DJ1364" s="496" t="s">
        <v>3753</v>
      </c>
      <c r="DK1364" s="496" t="s">
        <v>1554</v>
      </c>
      <c r="DL1364" s="496" t="s">
        <v>1555</v>
      </c>
      <c r="DM1364" s="496" t="s">
        <v>1981</v>
      </c>
      <c r="DN1364" s="497" t="s">
        <v>1982</v>
      </c>
      <c r="DP1364" s="543">
        <v>1</v>
      </c>
    </row>
    <row r="1365" spans="109:120" ht="15">
      <c r="DE1365" s="494"/>
      <c r="DF1365" s="496" t="s">
        <v>3754</v>
      </c>
      <c r="DG1365" s="496" t="s">
        <v>8</v>
      </c>
      <c r="DH1365" s="496" t="s">
        <v>689</v>
      </c>
      <c r="DI1365" s="496" t="s">
        <v>3755</v>
      </c>
      <c r="DJ1365" s="496" t="s">
        <v>3755</v>
      </c>
      <c r="DK1365" s="496" t="s">
        <v>1554</v>
      </c>
      <c r="DL1365" s="496" t="s">
        <v>1555</v>
      </c>
      <c r="DM1365" s="496" t="s">
        <v>1981</v>
      </c>
      <c r="DN1365" s="497" t="s">
        <v>1982</v>
      </c>
      <c r="DP1365" s="543">
        <v>1</v>
      </c>
    </row>
    <row r="1366" spans="109:120" ht="15">
      <c r="DE1366" s="494"/>
      <c r="DF1366" s="496" t="s">
        <v>3756</v>
      </c>
      <c r="DG1366" s="496" t="s">
        <v>8</v>
      </c>
      <c r="DH1366" s="496" t="s">
        <v>689</v>
      </c>
      <c r="DI1366" s="496" t="s">
        <v>3757</v>
      </c>
      <c r="DJ1366" s="496" t="s">
        <v>3757</v>
      </c>
      <c r="DK1366" s="496" t="s">
        <v>1554</v>
      </c>
      <c r="DL1366" s="496" t="s">
        <v>1555</v>
      </c>
      <c r="DM1366" s="496" t="s">
        <v>1981</v>
      </c>
      <c r="DN1366" s="497" t="s">
        <v>1982</v>
      </c>
      <c r="DP1366" s="543">
        <v>1</v>
      </c>
    </row>
    <row r="1367" spans="109:120" ht="15">
      <c r="DE1367" s="494"/>
      <c r="DF1367" s="496" t="s">
        <v>3758</v>
      </c>
      <c r="DG1367" s="496" t="s">
        <v>8</v>
      </c>
      <c r="DH1367" s="496" t="s">
        <v>689</v>
      </c>
      <c r="DI1367" s="496" t="s">
        <v>3759</v>
      </c>
      <c r="DJ1367" s="496" t="s">
        <v>3759</v>
      </c>
      <c r="DK1367" s="496" t="s">
        <v>1554</v>
      </c>
      <c r="DL1367" s="496" t="s">
        <v>1555</v>
      </c>
      <c r="DM1367" s="496" t="s">
        <v>1981</v>
      </c>
      <c r="DN1367" s="497" t="s">
        <v>1982</v>
      </c>
      <c r="DP1367" s="543">
        <v>1</v>
      </c>
    </row>
    <row r="1368" spans="109:120" ht="15">
      <c r="DE1368" s="494"/>
      <c r="DF1368" s="496" t="s">
        <v>3760</v>
      </c>
      <c r="DG1368" s="496" t="s">
        <v>8</v>
      </c>
      <c r="DH1368" s="496" t="s">
        <v>689</v>
      </c>
      <c r="DI1368" s="496" t="s">
        <v>3761</v>
      </c>
      <c r="DJ1368" s="496" t="s">
        <v>3761</v>
      </c>
      <c r="DK1368" s="496" t="s">
        <v>1554</v>
      </c>
      <c r="DL1368" s="496" t="s">
        <v>1555</v>
      </c>
      <c r="DM1368" s="496" t="s">
        <v>1981</v>
      </c>
      <c r="DN1368" s="497" t="s">
        <v>1982</v>
      </c>
      <c r="DP1368" s="543">
        <v>1</v>
      </c>
    </row>
    <row r="1369" spans="109:120" ht="15">
      <c r="DE1369" s="494"/>
      <c r="DF1369" s="496" t="s">
        <v>3762</v>
      </c>
      <c r="DG1369" s="496" t="s">
        <v>8</v>
      </c>
      <c r="DH1369" s="496" t="s">
        <v>689</v>
      </c>
      <c r="DI1369" s="496" t="s">
        <v>3763</v>
      </c>
      <c r="DJ1369" s="496" t="s">
        <v>3763</v>
      </c>
      <c r="DK1369" s="496" t="s">
        <v>1554</v>
      </c>
      <c r="DL1369" s="496" t="s">
        <v>1555</v>
      </c>
      <c r="DM1369" s="496" t="s">
        <v>1981</v>
      </c>
      <c r="DN1369" s="497" t="s">
        <v>1982</v>
      </c>
      <c r="DP1369" s="543">
        <v>1</v>
      </c>
    </row>
    <row r="1370" spans="109:120" ht="15">
      <c r="DE1370" s="494"/>
      <c r="DF1370" s="496" t="s">
        <v>3764</v>
      </c>
      <c r="DG1370" s="496" t="s">
        <v>8</v>
      </c>
      <c r="DH1370" s="496" t="s">
        <v>689</v>
      </c>
      <c r="DI1370" s="496" t="s">
        <v>3765</v>
      </c>
      <c r="DJ1370" s="496" t="s">
        <v>3765</v>
      </c>
      <c r="DK1370" s="496" t="s">
        <v>1554</v>
      </c>
      <c r="DL1370" s="496" t="s">
        <v>1555</v>
      </c>
      <c r="DM1370" s="496" t="s">
        <v>1981</v>
      </c>
      <c r="DN1370" s="497" t="s">
        <v>1982</v>
      </c>
      <c r="DP1370" s="543">
        <v>1</v>
      </c>
    </row>
    <row r="1371" spans="109:120" ht="15">
      <c r="DE1371" s="494"/>
      <c r="DF1371" s="496" t="s">
        <v>3766</v>
      </c>
      <c r="DG1371" s="496" t="s">
        <v>8</v>
      </c>
      <c r="DH1371" s="496" t="s">
        <v>689</v>
      </c>
      <c r="DI1371" s="496" t="s">
        <v>3767</v>
      </c>
      <c r="DJ1371" s="496" t="s">
        <v>3767</v>
      </c>
      <c r="DK1371" s="496" t="s">
        <v>1554</v>
      </c>
      <c r="DL1371" s="496" t="s">
        <v>1555</v>
      </c>
      <c r="DM1371" s="496" t="s">
        <v>1981</v>
      </c>
      <c r="DN1371" s="497" t="s">
        <v>1982</v>
      </c>
      <c r="DP1371" s="543">
        <v>1</v>
      </c>
    </row>
    <row r="1372" spans="109:120" ht="15">
      <c r="DE1372" s="494"/>
      <c r="DF1372" s="496" t="s">
        <v>3768</v>
      </c>
      <c r="DG1372" s="496" t="s">
        <v>8</v>
      </c>
      <c r="DH1372" s="496" t="s">
        <v>689</v>
      </c>
      <c r="DI1372" s="496" t="s">
        <v>1062</v>
      </c>
      <c r="DJ1372" s="496" t="s">
        <v>1062</v>
      </c>
      <c r="DK1372" s="496" t="s">
        <v>1554</v>
      </c>
      <c r="DL1372" s="496" t="s">
        <v>1555</v>
      </c>
      <c r="DM1372" s="496" t="s">
        <v>1981</v>
      </c>
      <c r="DN1372" s="497" t="s">
        <v>1982</v>
      </c>
      <c r="DP1372" s="543">
        <v>1</v>
      </c>
    </row>
    <row r="1373" spans="109:120" ht="15">
      <c r="DE1373" s="494"/>
      <c r="DF1373" s="496" t="s">
        <v>3769</v>
      </c>
      <c r="DG1373" s="496" t="s">
        <v>8</v>
      </c>
      <c r="DH1373" s="496" t="s">
        <v>689</v>
      </c>
      <c r="DI1373" s="496" t="s">
        <v>3770</v>
      </c>
      <c r="DJ1373" s="496" t="s">
        <v>3770</v>
      </c>
      <c r="DK1373" s="496" t="s">
        <v>1554</v>
      </c>
      <c r="DL1373" s="496" t="s">
        <v>1555</v>
      </c>
      <c r="DM1373" s="496" t="s">
        <v>1981</v>
      </c>
      <c r="DN1373" s="497" t="s">
        <v>1982</v>
      </c>
      <c r="DP1373" s="543">
        <v>1</v>
      </c>
    </row>
    <row r="1374" spans="109:120" ht="15">
      <c r="DE1374" s="494"/>
      <c r="DF1374" s="496" t="s">
        <v>3771</v>
      </c>
      <c r="DG1374" s="496" t="s">
        <v>8</v>
      </c>
      <c r="DH1374" s="496" t="s">
        <v>689</v>
      </c>
      <c r="DI1374" s="496" t="s">
        <v>3772</v>
      </c>
      <c r="DJ1374" s="496" t="s">
        <v>3772</v>
      </c>
      <c r="DK1374" s="496" t="s">
        <v>1554</v>
      </c>
      <c r="DL1374" s="496" t="s">
        <v>1555</v>
      </c>
      <c r="DM1374" s="496" t="s">
        <v>1981</v>
      </c>
      <c r="DN1374" s="497" t="s">
        <v>1982</v>
      </c>
      <c r="DP1374" s="543">
        <v>1</v>
      </c>
    </row>
    <row r="1375" spans="109:120" ht="15">
      <c r="DE1375" s="494"/>
      <c r="DF1375" s="496" t="s">
        <v>3773</v>
      </c>
      <c r="DG1375" s="496" t="s">
        <v>8</v>
      </c>
      <c r="DH1375" s="496" t="s">
        <v>690</v>
      </c>
      <c r="DI1375" s="496" t="s">
        <v>3774</v>
      </c>
      <c r="DJ1375" s="496" t="s">
        <v>3775</v>
      </c>
      <c r="DK1375" s="496" t="s">
        <v>1151</v>
      </c>
      <c r="DL1375" s="496" t="s">
        <v>1446</v>
      </c>
      <c r="DM1375" s="496" t="s">
        <v>1087</v>
      </c>
      <c r="DN1375" s="497" t="s">
        <v>1153</v>
      </c>
      <c r="DP1375" s="543">
        <v>1</v>
      </c>
    </row>
    <row r="1376" spans="109:120" ht="15">
      <c r="DE1376" s="494"/>
      <c r="DF1376" s="496" t="s">
        <v>3776</v>
      </c>
      <c r="DG1376" s="496" t="s">
        <v>8</v>
      </c>
      <c r="DH1376" s="496" t="s">
        <v>690</v>
      </c>
      <c r="DI1376" s="496" t="s">
        <v>3777</v>
      </c>
      <c r="DJ1376" s="496" t="s">
        <v>3778</v>
      </c>
      <c r="DK1376" s="496" t="s">
        <v>1151</v>
      </c>
      <c r="DL1376" s="496" t="s">
        <v>1446</v>
      </c>
      <c r="DM1376" s="496" t="s">
        <v>1087</v>
      </c>
      <c r="DN1376" s="497" t="s">
        <v>1153</v>
      </c>
      <c r="DP1376" s="543">
        <v>1</v>
      </c>
    </row>
    <row r="1377" spans="109:120" ht="15">
      <c r="DE1377" s="494"/>
      <c r="DF1377" s="496" t="s">
        <v>3779</v>
      </c>
      <c r="DG1377" s="496" t="s">
        <v>8</v>
      </c>
      <c r="DH1377" s="496" t="s">
        <v>690</v>
      </c>
      <c r="DI1377" s="496" t="s">
        <v>3780</v>
      </c>
      <c r="DJ1377" s="496" t="s">
        <v>3781</v>
      </c>
      <c r="DK1377" s="496" t="s">
        <v>1151</v>
      </c>
      <c r="DL1377" s="496" t="s">
        <v>1446</v>
      </c>
      <c r="DM1377" s="496" t="s">
        <v>1087</v>
      </c>
      <c r="DN1377" s="497" t="s">
        <v>1153</v>
      </c>
      <c r="DP1377" s="543">
        <v>1</v>
      </c>
    </row>
    <row r="1378" spans="109:120" ht="15">
      <c r="DE1378" s="494"/>
      <c r="DF1378" s="496" t="s">
        <v>3782</v>
      </c>
      <c r="DG1378" s="496" t="s">
        <v>8</v>
      </c>
      <c r="DH1378" s="496" t="s">
        <v>690</v>
      </c>
      <c r="DI1378" s="496" t="s">
        <v>3783</v>
      </c>
      <c r="DJ1378" s="496" t="s">
        <v>3784</v>
      </c>
      <c r="DK1378" s="496" t="s">
        <v>1151</v>
      </c>
      <c r="DL1378" s="496" t="s">
        <v>1446</v>
      </c>
      <c r="DM1378" s="496" t="s">
        <v>1087</v>
      </c>
      <c r="DN1378" s="497" t="s">
        <v>1153</v>
      </c>
      <c r="DP1378" s="543">
        <v>1</v>
      </c>
    </row>
    <row r="1379" spans="109:120" ht="15">
      <c r="DE1379" s="494"/>
      <c r="DF1379" s="496" t="s">
        <v>3785</v>
      </c>
      <c r="DG1379" s="496" t="s">
        <v>8</v>
      </c>
      <c r="DH1379" s="496" t="s">
        <v>690</v>
      </c>
      <c r="DI1379" s="496" t="s">
        <v>3786</v>
      </c>
      <c r="DJ1379" s="496" t="s">
        <v>3787</v>
      </c>
      <c r="DK1379" s="496" t="s">
        <v>1151</v>
      </c>
      <c r="DL1379" s="496" t="s">
        <v>1446</v>
      </c>
      <c r="DM1379" s="496" t="s">
        <v>1087</v>
      </c>
      <c r="DN1379" s="497" t="s">
        <v>1153</v>
      </c>
      <c r="DP1379" s="543">
        <v>1</v>
      </c>
    </row>
    <row r="1380" spans="109:120" ht="15">
      <c r="DE1380" s="494"/>
      <c r="DF1380" s="496" t="s">
        <v>3788</v>
      </c>
      <c r="DG1380" s="496" t="s">
        <v>8</v>
      </c>
      <c r="DH1380" s="496" t="s">
        <v>690</v>
      </c>
      <c r="DI1380" s="496" t="s">
        <v>3789</v>
      </c>
      <c r="DJ1380" s="496" t="s">
        <v>3789</v>
      </c>
      <c r="DK1380" s="496" t="s">
        <v>1151</v>
      </c>
      <c r="DL1380" s="496" t="s">
        <v>1446</v>
      </c>
      <c r="DM1380" s="496" t="s">
        <v>1087</v>
      </c>
      <c r="DN1380" s="497" t="s">
        <v>1153</v>
      </c>
      <c r="DP1380" s="543">
        <v>1</v>
      </c>
    </row>
    <row r="1381" spans="109:120" ht="15">
      <c r="DE1381" s="494"/>
      <c r="DF1381" s="496" t="s">
        <v>3790</v>
      </c>
      <c r="DG1381" s="496" t="s">
        <v>8</v>
      </c>
      <c r="DH1381" s="496" t="s">
        <v>690</v>
      </c>
      <c r="DI1381" s="496" t="s">
        <v>3791</v>
      </c>
      <c r="DJ1381" s="496" t="s">
        <v>3791</v>
      </c>
      <c r="DK1381" s="496" t="s">
        <v>1151</v>
      </c>
      <c r="DL1381" s="496" t="s">
        <v>1446</v>
      </c>
      <c r="DM1381" s="496" t="s">
        <v>1087</v>
      </c>
      <c r="DN1381" s="497" t="s">
        <v>1153</v>
      </c>
      <c r="DP1381" s="543">
        <v>1</v>
      </c>
    </row>
    <row r="1382" spans="109:120" ht="15">
      <c r="DE1382" s="494"/>
      <c r="DF1382" s="496" t="s">
        <v>3792</v>
      </c>
      <c r="DG1382" s="496" t="s">
        <v>8</v>
      </c>
      <c r="DH1382" s="496" t="s">
        <v>690</v>
      </c>
      <c r="DI1382" s="496" t="s">
        <v>3793</v>
      </c>
      <c r="DJ1382" s="496" t="s">
        <v>3793</v>
      </c>
      <c r="DK1382" s="496" t="s">
        <v>1151</v>
      </c>
      <c r="DL1382" s="496" t="s">
        <v>1446</v>
      </c>
      <c r="DM1382" s="496" t="s">
        <v>1087</v>
      </c>
      <c r="DN1382" s="497" t="s">
        <v>1153</v>
      </c>
      <c r="DP1382" s="543">
        <v>1</v>
      </c>
    </row>
    <row r="1383" spans="109:120" ht="15">
      <c r="DE1383" s="494"/>
      <c r="DF1383" s="496" t="s">
        <v>3794</v>
      </c>
      <c r="DG1383" s="496" t="s">
        <v>8</v>
      </c>
      <c r="DH1383" s="496" t="s">
        <v>690</v>
      </c>
      <c r="DI1383" s="496" t="s">
        <v>3795</v>
      </c>
      <c r="DJ1383" s="496" t="s">
        <v>3795</v>
      </c>
      <c r="DK1383" s="496" t="s">
        <v>1151</v>
      </c>
      <c r="DL1383" s="496" t="s">
        <v>1446</v>
      </c>
      <c r="DM1383" s="496" t="s">
        <v>1087</v>
      </c>
      <c r="DN1383" s="497" t="s">
        <v>1153</v>
      </c>
      <c r="DP1383" s="543">
        <v>1</v>
      </c>
    </row>
    <row r="1384" spans="109:120" ht="15">
      <c r="DE1384" s="494"/>
      <c r="DF1384" s="496" t="s">
        <v>3796</v>
      </c>
      <c r="DG1384" s="496" t="s">
        <v>8</v>
      </c>
      <c r="DH1384" s="496" t="s">
        <v>1511</v>
      </c>
      <c r="DI1384" s="496" t="s">
        <v>3797</v>
      </c>
      <c r="DJ1384" s="496" t="s">
        <v>3798</v>
      </c>
      <c r="DK1384" s="496" t="s">
        <v>1085</v>
      </c>
      <c r="DL1384" s="496" t="s">
        <v>3799</v>
      </c>
      <c r="DM1384" s="496" t="s">
        <v>1087</v>
      </c>
      <c r="DN1384" s="497" t="s">
        <v>1088</v>
      </c>
      <c r="DP1384" s="543">
        <v>1</v>
      </c>
    </row>
    <row r="1385" spans="109:120" ht="15">
      <c r="DE1385" s="494"/>
      <c r="DF1385" s="496" t="s">
        <v>3800</v>
      </c>
      <c r="DG1385" s="496" t="s">
        <v>8</v>
      </c>
      <c r="DH1385" s="496" t="s">
        <v>1511</v>
      </c>
      <c r="DI1385" s="496" t="s">
        <v>3801</v>
      </c>
      <c r="DJ1385" s="496" t="s">
        <v>3801</v>
      </c>
      <c r="DK1385" s="496" t="s">
        <v>1085</v>
      </c>
      <c r="DL1385" s="496" t="s">
        <v>3799</v>
      </c>
      <c r="DM1385" s="496" t="s">
        <v>1087</v>
      </c>
      <c r="DN1385" s="497" t="s">
        <v>1088</v>
      </c>
      <c r="DP1385" s="543">
        <v>1</v>
      </c>
    </row>
    <row r="1386" spans="109:120" ht="15">
      <c r="DE1386" s="494"/>
      <c r="DF1386" s="496" t="s">
        <v>3802</v>
      </c>
      <c r="DG1386" s="496" t="s">
        <v>8</v>
      </c>
      <c r="DH1386" s="496" t="s">
        <v>1511</v>
      </c>
      <c r="DI1386" s="496" t="s">
        <v>3803</v>
      </c>
      <c r="DJ1386" s="496" t="s">
        <v>3803</v>
      </c>
      <c r="DK1386" s="496" t="s">
        <v>1085</v>
      </c>
      <c r="DL1386" s="496" t="s">
        <v>3799</v>
      </c>
      <c r="DM1386" s="496" t="s">
        <v>1087</v>
      </c>
      <c r="DN1386" s="497" t="s">
        <v>1088</v>
      </c>
      <c r="DP1386" s="543">
        <v>1</v>
      </c>
    </row>
    <row r="1387" spans="109:120" ht="15">
      <c r="DE1387" s="494"/>
      <c r="DF1387" s="496" t="s">
        <v>3804</v>
      </c>
      <c r="DG1387" s="496" t="s">
        <v>8</v>
      </c>
      <c r="DH1387" s="496" t="s">
        <v>1511</v>
      </c>
      <c r="DI1387" s="496" t="s">
        <v>3805</v>
      </c>
      <c r="DJ1387" s="496" t="s">
        <v>3806</v>
      </c>
      <c r="DK1387" s="496" t="s">
        <v>1085</v>
      </c>
      <c r="DL1387" s="496" t="s">
        <v>3799</v>
      </c>
      <c r="DM1387" s="496" t="s">
        <v>1087</v>
      </c>
      <c r="DN1387" s="497" t="s">
        <v>1088</v>
      </c>
      <c r="DP1387" s="543">
        <v>1</v>
      </c>
    </row>
    <row r="1388" spans="109:120" ht="15">
      <c r="DE1388" s="494"/>
      <c r="DF1388" s="496" t="s">
        <v>3807</v>
      </c>
      <c r="DG1388" s="496" t="s">
        <v>8</v>
      </c>
      <c r="DH1388" s="496" t="s">
        <v>1511</v>
      </c>
      <c r="DI1388" s="496" t="s">
        <v>3808</v>
      </c>
      <c r="DJ1388" s="496" t="s">
        <v>3808</v>
      </c>
      <c r="DK1388" s="496" t="s">
        <v>1085</v>
      </c>
      <c r="DL1388" s="496" t="s">
        <v>3799</v>
      </c>
      <c r="DM1388" s="496" t="s">
        <v>1087</v>
      </c>
      <c r="DN1388" s="497" t="s">
        <v>1088</v>
      </c>
      <c r="DP1388" s="543">
        <v>1</v>
      </c>
    </row>
    <row r="1389" spans="109:120" ht="15">
      <c r="DE1389" s="494"/>
      <c r="DF1389" s="496" t="s">
        <v>3809</v>
      </c>
      <c r="DG1389" s="496" t="s">
        <v>8</v>
      </c>
      <c r="DH1389" s="496" t="s">
        <v>1511</v>
      </c>
      <c r="DI1389" s="496" t="s">
        <v>3810</v>
      </c>
      <c r="DJ1389" s="496" t="s">
        <v>3810</v>
      </c>
      <c r="DK1389" s="496" t="s">
        <v>1085</v>
      </c>
      <c r="DL1389" s="496" t="s">
        <v>3799</v>
      </c>
      <c r="DM1389" s="496" t="s">
        <v>1087</v>
      </c>
      <c r="DN1389" s="497" t="s">
        <v>1088</v>
      </c>
      <c r="DP1389" s="543">
        <v>1</v>
      </c>
    </row>
    <row r="1390" spans="109:120" ht="15">
      <c r="DE1390" s="494"/>
      <c r="DF1390" s="496" t="s">
        <v>3811</v>
      </c>
      <c r="DG1390" s="496" t="s">
        <v>8</v>
      </c>
      <c r="DH1390" s="496" t="s">
        <v>1511</v>
      </c>
      <c r="DI1390" s="496" t="s">
        <v>3812</v>
      </c>
      <c r="DJ1390" s="496" t="s">
        <v>3812</v>
      </c>
      <c r="DK1390" s="496" t="s">
        <v>1085</v>
      </c>
      <c r="DL1390" s="496" t="s">
        <v>3799</v>
      </c>
      <c r="DM1390" s="496" t="s">
        <v>1087</v>
      </c>
      <c r="DN1390" s="497" t="s">
        <v>1088</v>
      </c>
      <c r="DP1390" s="543">
        <v>1</v>
      </c>
    </row>
    <row r="1391" spans="109:120" ht="15">
      <c r="DE1391" s="494"/>
      <c r="DF1391" s="496" t="s">
        <v>3813</v>
      </c>
      <c r="DG1391" s="496" t="s">
        <v>8</v>
      </c>
      <c r="DH1391" s="496" t="s">
        <v>1511</v>
      </c>
      <c r="DI1391" s="496" t="s">
        <v>1537</v>
      </c>
      <c r="DJ1391" s="496" t="s">
        <v>1537</v>
      </c>
      <c r="DK1391" s="496" t="s">
        <v>1085</v>
      </c>
      <c r="DL1391" s="496" t="s">
        <v>3799</v>
      </c>
      <c r="DM1391" s="496" t="s">
        <v>1087</v>
      </c>
      <c r="DN1391" s="497" t="s">
        <v>1088</v>
      </c>
      <c r="DP1391" s="543">
        <v>1</v>
      </c>
    </row>
    <row r="1392" spans="109:120" ht="15">
      <c r="DE1392" s="494"/>
      <c r="DF1392" s="496" t="s">
        <v>3814</v>
      </c>
      <c r="DG1392" s="496" t="s">
        <v>8</v>
      </c>
      <c r="DH1392" s="496" t="s">
        <v>1511</v>
      </c>
      <c r="DI1392" s="496" t="s">
        <v>3815</v>
      </c>
      <c r="DJ1392" s="496" t="s">
        <v>3816</v>
      </c>
      <c r="DK1392" s="496" t="s">
        <v>1085</v>
      </c>
      <c r="DL1392" s="496" t="s">
        <v>3799</v>
      </c>
      <c r="DM1392" s="496" t="s">
        <v>1087</v>
      </c>
      <c r="DN1392" s="497" t="s">
        <v>1088</v>
      </c>
      <c r="DP1392" s="543">
        <v>1</v>
      </c>
    </row>
    <row r="1393" spans="109:120" ht="15">
      <c r="DE1393" s="494"/>
      <c r="DF1393" s="496" t="s">
        <v>3817</v>
      </c>
      <c r="DG1393" s="496" t="s">
        <v>8</v>
      </c>
      <c r="DH1393" s="496" t="s">
        <v>1511</v>
      </c>
      <c r="DI1393" s="496" t="s">
        <v>1542</v>
      </c>
      <c r="DJ1393" s="496" t="s">
        <v>1542</v>
      </c>
      <c r="DK1393" s="496" t="s">
        <v>1085</v>
      </c>
      <c r="DL1393" s="496" t="s">
        <v>3799</v>
      </c>
      <c r="DM1393" s="496" t="s">
        <v>1087</v>
      </c>
      <c r="DN1393" s="497" t="s">
        <v>1088</v>
      </c>
      <c r="DP1393" s="543">
        <v>1</v>
      </c>
    </row>
    <row r="1394" spans="109:120" ht="15">
      <c r="DE1394" s="494"/>
      <c r="DF1394" s="496" t="s">
        <v>3818</v>
      </c>
      <c r="DG1394" s="496" t="s">
        <v>8</v>
      </c>
      <c r="DH1394" s="496" t="s">
        <v>1511</v>
      </c>
      <c r="DI1394" s="496" t="s">
        <v>3819</v>
      </c>
      <c r="DJ1394" s="496" t="s">
        <v>3819</v>
      </c>
      <c r="DK1394" s="496" t="s">
        <v>1085</v>
      </c>
      <c r="DL1394" s="496" t="s">
        <v>3799</v>
      </c>
      <c r="DM1394" s="496" t="s">
        <v>1087</v>
      </c>
      <c r="DN1394" s="497" t="s">
        <v>1088</v>
      </c>
      <c r="DP1394" s="543">
        <v>1</v>
      </c>
    </row>
    <row r="1395" spans="109:120" ht="15">
      <c r="DE1395" s="494"/>
      <c r="DF1395" s="496" t="s">
        <v>3820</v>
      </c>
      <c r="DG1395" s="496" t="s">
        <v>9</v>
      </c>
      <c r="DH1395" s="496" t="s">
        <v>689</v>
      </c>
      <c r="DI1395" s="496" t="s">
        <v>20</v>
      </c>
      <c r="DJ1395" s="496" t="s">
        <v>20</v>
      </c>
      <c r="DK1395" s="496" t="s">
        <v>1085</v>
      </c>
      <c r="DL1395" s="496" t="s">
        <v>3821</v>
      </c>
      <c r="DM1395" s="496" t="s">
        <v>1087</v>
      </c>
      <c r="DN1395" s="497" t="s">
        <v>1088</v>
      </c>
      <c r="DP1395" s="543">
        <v>1</v>
      </c>
    </row>
    <row r="1396" spans="109:120" ht="15">
      <c r="DE1396" s="494"/>
      <c r="DF1396" s="496" t="s">
        <v>3822</v>
      </c>
      <c r="DG1396" s="496" t="s">
        <v>9</v>
      </c>
      <c r="DH1396" s="496" t="s">
        <v>689</v>
      </c>
      <c r="DI1396" s="496" t="s">
        <v>1</v>
      </c>
      <c r="DJ1396" s="496" t="s">
        <v>1</v>
      </c>
      <c r="DK1396" s="496" t="s">
        <v>1085</v>
      </c>
      <c r="DL1396" s="496" t="s">
        <v>3821</v>
      </c>
      <c r="DM1396" s="496" t="s">
        <v>1087</v>
      </c>
      <c r="DN1396" s="497" t="s">
        <v>1088</v>
      </c>
      <c r="DP1396" s="543">
        <v>1</v>
      </c>
    </row>
    <row r="1397" spans="109:120" ht="15">
      <c r="DE1397" s="494"/>
      <c r="DF1397" s="496" t="s">
        <v>3823</v>
      </c>
      <c r="DG1397" s="496" t="s">
        <v>9</v>
      </c>
      <c r="DH1397" s="496" t="s">
        <v>689</v>
      </c>
      <c r="DI1397" s="496" t="s">
        <v>46</v>
      </c>
      <c r="DJ1397" s="496" t="s">
        <v>46</v>
      </c>
      <c r="DK1397" s="496" t="s">
        <v>1085</v>
      </c>
      <c r="DL1397" s="496" t="s">
        <v>3821</v>
      </c>
      <c r="DM1397" s="496" t="s">
        <v>1087</v>
      </c>
      <c r="DN1397" s="497" t="s">
        <v>1088</v>
      </c>
      <c r="DP1397" s="543">
        <v>1</v>
      </c>
    </row>
    <row r="1398" spans="109:120" ht="15">
      <c r="DE1398" s="494"/>
      <c r="DF1398" s="496" t="s">
        <v>3824</v>
      </c>
      <c r="DG1398" s="496" t="s">
        <v>9</v>
      </c>
      <c r="DH1398" s="496" t="s">
        <v>689</v>
      </c>
      <c r="DI1398" s="496" t="s">
        <v>3825</v>
      </c>
      <c r="DJ1398" s="496" t="s">
        <v>40</v>
      </c>
      <c r="DK1398" s="496" t="s">
        <v>1085</v>
      </c>
      <c r="DL1398" s="496" t="s">
        <v>3821</v>
      </c>
      <c r="DM1398" s="496" t="s">
        <v>1087</v>
      </c>
      <c r="DN1398" s="497" t="s">
        <v>1088</v>
      </c>
      <c r="DP1398" s="543">
        <v>1</v>
      </c>
    </row>
    <row r="1399" spans="109:120" ht="15">
      <c r="DE1399" s="494"/>
      <c r="DF1399" s="496" t="s">
        <v>3826</v>
      </c>
      <c r="DG1399" s="496" t="s">
        <v>9</v>
      </c>
      <c r="DH1399" s="496" t="s">
        <v>689</v>
      </c>
      <c r="DI1399" s="496" t="s">
        <v>3827</v>
      </c>
      <c r="DJ1399" s="496" t="s">
        <v>108</v>
      </c>
      <c r="DK1399" s="496" t="s">
        <v>1085</v>
      </c>
      <c r="DL1399" s="496" t="s">
        <v>3821</v>
      </c>
      <c r="DM1399" s="496" t="s">
        <v>1087</v>
      </c>
      <c r="DN1399" s="497" t="s">
        <v>1088</v>
      </c>
      <c r="DP1399" s="543">
        <v>1</v>
      </c>
    </row>
    <row r="1400" spans="109:120" ht="15">
      <c r="DE1400" s="494"/>
      <c r="DF1400" s="496" t="s">
        <v>3828</v>
      </c>
      <c r="DG1400" s="496" t="s">
        <v>9</v>
      </c>
      <c r="DH1400" s="496" t="s">
        <v>689</v>
      </c>
      <c r="DI1400" s="496" t="s">
        <v>3829</v>
      </c>
      <c r="DJ1400" s="496" t="s">
        <v>122</v>
      </c>
      <c r="DK1400" s="496" t="s">
        <v>1085</v>
      </c>
      <c r="DL1400" s="496" t="s">
        <v>3821</v>
      </c>
      <c r="DM1400" s="496" t="s">
        <v>1087</v>
      </c>
      <c r="DN1400" s="497" t="s">
        <v>1088</v>
      </c>
      <c r="DP1400" s="543">
        <v>1</v>
      </c>
    </row>
    <row r="1401" spans="109:120" ht="15">
      <c r="DE1401" s="494"/>
      <c r="DF1401" s="496" t="s">
        <v>3830</v>
      </c>
      <c r="DG1401" s="496" t="s">
        <v>9</v>
      </c>
      <c r="DH1401" s="496" t="s">
        <v>689</v>
      </c>
      <c r="DI1401" s="496" t="s">
        <v>3831</v>
      </c>
      <c r="DJ1401" s="496" t="s">
        <v>3831</v>
      </c>
      <c r="DK1401" s="496" t="s">
        <v>1085</v>
      </c>
      <c r="DL1401" s="496" t="s">
        <v>3821</v>
      </c>
      <c r="DM1401" s="496" t="s">
        <v>1087</v>
      </c>
      <c r="DN1401" s="497" t="s">
        <v>1088</v>
      </c>
      <c r="DP1401" s="543">
        <v>1</v>
      </c>
    </row>
    <row r="1402" spans="109:120" ht="15">
      <c r="DE1402" s="494"/>
      <c r="DF1402" s="496" t="s">
        <v>3832</v>
      </c>
      <c r="DG1402" s="496" t="s">
        <v>9</v>
      </c>
      <c r="DH1402" s="496" t="s">
        <v>689</v>
      </c>
      <c r="DI1402" s="496" t="s">
        <v>270</v>
      </c>
      <c r="DJ1402" s="496" t="s">
        <v>270</v>
      </c>
      <c r="DK1402" s="496" t="s">
        <v>1151</v>
      </c>
      <c r="DL1402" s="496" t="s">
        <v>1152</v>
      </c>
      <c r="DM1402" s="496" t="s">
        <v>1087</v>
      </c>
      <c r="DN1402" s="497" t="s">
        <v>1153</v>
      </c>
      <c r="DP1402" s="543">
        <v>1</v>
      </c>
    </row>
    <row r="1403" spans="109:120" ht="15">
      <c r="DE1403" s="494"/>
      <c r="DF1403" s="496" t="s">
        <v>3833</v>
      </c>
      <c r="DG1403" s="496" t="s">
        <v>9</v>
      </c>
      <c r="DH1403" s="496" t="s">
        <v>689</v>
      </c>
      <c r="DI1403" s="496" t="s">
        <v>3834</v>
      </c>
      <c r="DJ1403" s="496" t="s">
        <v>3834</v>
      </c>
      <c r="DK1403" s="496" t="s">
        <v>1151</v>
      </c>
      <c r="DL1403" s="496" t="s">
        <v>1152</v>
      </c>
      <c r="DM1403" s="496" t="s">
        <v>1087</v>
      </c>
      <c r="DN1403" s="497" t="s">
        <v>1153</v>
      </c>
      <c r="DP1403" s="543">
        <v>1</v>
      </c>
    </row>
    <row r="1404" spans="109:120" ht="15">
      <c r="DE1404" s="494"/>
      <c r="DF1404" s="496" t="s">
        <v>3835</v>
      </c>
      <c r="DG1404" s="496" t="s">
        <v>9</v>
      </c>
      <c r="DH1404" s="496" t="s">
        <v>689</v>
      </c>
      <c r="DI1404" s="496" t="s">
        <v>3836</v>
      </c>
      <c r="DJ1404" s="496" t="s">
        <v>3836</v>
      </c>
      <c r="DK1404" s="496" t="s">
        <v>1151</v>
      </c>
      <c r="DL1404" s="496" t="s">
        <v>1152</v>
      </c>
      <c r="DM1404" s="496" t="s">
        <v>1087</v>
      </c>
      <c r="DN1404" s="497" t="s">
        <v>1153</v>
      </c>
      <c r="DP1404" s="543">
        <v>1</v>
      </c>
    </row>
    <row r="1405" spans="109:120" ht="15">
      <c r="DE1405" s="494"/>
      <c r="DF1405" s="496" t="s">
        <v>3837</v>
      </c>
      <c r="DG1405" s="496" t="s">
        <v>9</v>
      </c>
      <c r="DH1405" s="496" t="s">
        <v>689</v>
      </c>
      <c r="DI1405" s="496" t="s">
        <v>135</v>
      </c>
      <c r="DJ1405" s="496" t="s">
        <v>135</v>
      </c>
      <c r="DK1405" s="496" t="s">
        <v>1085</v>
      </c>
      <c r="DL1405" s="496" t="s">
        <v>3821</v>
      </c>
      <c r="DM1405" s="496" t="s">
        <v>1087</v>
      </c>
      <c r="DN1405" s="497" t="s">
        <v>1088</v>
      </c>
      <c r="DP1405" s="543">
        <v>1</v>
      </c>
    </row>
    <row r="1406" spans="109:120" ht="15">
      <c r="DE1406" s="494"/>
      <c r="DF1406" s="496" t="s">
        <v>3838</v>
      </c>
      <c r="DG1406" s="496" t="s">
        <v>9</v>
      </c>
      <c r="DH1406" s="496" t="s">
        <v>689</v>
      </c>
      <c r="DI1406" s="496" t="s">
        <v>3839</v>
      </c>
      <c r="DJ1406" s="496" t="s">
        <v>166</v>
      </c>
      <c r="DK1406" s="496" t="s">
        <v>1085</v>
      </c>
      <c r="DL1406" s="496" t="s">
        <v>3821</v>
      </c>
      <c r="DM1406" s="496" t="s">
        <v>1087</v>
      </c>
      <c r="DN1406" s="497" t="s">
        <v>1088</v>
      </c>
      <c r="DP1406" s="543">
        <v>1</v>
      </c>
    </row>
    <row r="1407" spans="109:120" ht="15">
      <c r="DE1407" s="494"/>
      <c r="DF1407" s="496" t="s">
        <v>3840</v>
      </c>
      <c r="DG1407" s="496" t="s">
        <v>9</v>
      </c>
      <c r="DH1407" s="496" t="s">
        <v>689</v>
      </c>
      <c r="DI1407" s="496" t="s">
        <v>272</v>
      </c>
      <c r="DJ1407" s="496" t="s">
        <v>272</v>
      </c>
      <c r="DK1407" s="496" t="s">
        <v>1085</v>
      </c>
      <c r="DL1407" s="496" t="s">
        <v>3821</v>
      </c>
      <c r="DM1407" s="496" t="s">
        <v>1087</v>
      </c>
      <c r="DN1407" s="497" t="s">
        <v>1088</v>
      </c>
      <c r="DP1407" s="543">
        <v>1</v>
      </c>
    </row>
    <row r="1408" spans="109:120" ht="15">
      <c r="DE1408" s="494"/>
      <c r="DF1408" s="496" t="s">
        <v>3841</v>
      </c>
      <c r="DG1408" s="496" t="s">
        <v>9</v>
      </c>
      <c r="DH1408" s="496" t="s">
        <v>689</v>
      </c>
      <c r="DI1408" s="496" t="s">
        <v>3842</v>
      </c>
      <c r="DJ1408" s="496" t="s">
        <v>3842</v>
      </c>
      <c r="DK1408" s="496" t="s">
        <v>1151</v>
      </c>
      <c r="DL1408" s="496" t="s">
        <v>1152</v>
      </c>
      <c r="DM1408" s="496" t="s">
        <v>1087</v>
      </c>
      <c r="DN1408" s="497" t="s">
        <v>1153</v>
      </c>
      <c r="DP1408" s="543">
        <v>1</v>
      </c>
    </row>
    <row r="1409" spans="109:120" ht="15">
      <c r="DE1409" s="494"/>
      <c r="DF1409" s="496" t="s">
        <v>3843</v>
      </c>
      <c r="DG1409" s="496" t="s">
        <v>9</v>
      </c>
      <c r="DH1409" s="496" t="s">
        <v>689</v>
      </c>
      <c r="DI1409" s="496" t="s">
        <v>273</v>
      </c>
      <c r="DJ1409" s="496" t="s">
        <v>273</v>
      </c>
      <c r="DK1409" s="496" t="s">
        <v>1085</v>
      </c>
      <c r="DL1409" s="496" t="s">
        <v>3821</v>
      </c>
      <c r="DM1409" s="496" t="s">
        <v>1087</v>
      </c>
      <c r="DN1409" s="497" t="s">
        <v>1088</v>
      </c>
      <c r="DP1409" s="543">
        <v>1</v>
      </c>
    </row>
    <row r="1410" spans="109:120" ht="15">
      <c r="DE1410" s="494"/>
      <c r="DF1410" s="496" t="s">
        <v>3844</v>
      </c>
      <c r="DG1410" s="496" t="s">
        <v>9</v>
      </c>
      <c r="DH1410" s="496" t="s">
        <v>689</v>
      </c>
      <c r="DI1410" s="496" t="s">
        <v>3845</v>
      </c>
      <c r="DJ1410" s="496" t="s">
        <v>3846</v>
      </c>
      <c r="DK1410" s="496" t="s">
        <v>1085</v>
      </c>
      <c r="DL1410" s="496" t="s">
        <v>3821</v>
      </c>
      <c r="DM1410" s="496" t="s">
        <v>1087</v>
      </c>
      <c r="DN1410" s="497" t="s">
        <v>1088</v>
      </c>
      <c r="DP1410" s="543">
        <v>1</v>
      </c>
    </row>
    <row r="1411" spans="109:120" ht="15">
      <c r="DE1411" s="494"/>
      <c r="DF1411" s="496" t="s">
        <v>3847</v>
      </c>
      <c r="DG1411" s="496" t="s">
        <v>9</v>
      </c>
      <c r="DH1411" s="496" t="s">
        <v>689</v>
      </c>
      <c r="DI1411" s="496" t="s">
        <v>3848</v>
      </c>
      <c r="DJ1411" s="496" t="s">
        <v>3849</v>
      </c>
      <c r="DK1411" s="496" t="s">
        <v>1085</v>
      </c>
      <c r="DL1411" s="496" t="s">
        <v>3821</v>
      </c>
      <c r="DM1411" s="496" t="s">
        <v>1087</v>
      </c>
      <c r="DN1411" s="497" t="s">
        <v>1088</v>
      </c>
      <c r="DP1411" s="543">
        <v>1</v>
      </c>
    </row>
    <row r="1412" spans="109:120" ht="15">
      <c r="DE1412" s="494"/>
      <c r="DF1412" s="496" t="s">
        <v>3850</v>
      </c>
      <c r="DG1412" s="496" t="s">
        <v>9</v>
      </c>
      <c r="DH1412" s="496" t="s">
        <v>689</v>
      </c>
      <c r="DI1412" s="496" t="s">
        <v>3851</v>
      </c>
      <c r="DJ1412" s="496" t="s">
        <v>3851</v>
      </c>
      <c r="DK1412" s="496" t="s">
        <v>1085</v>
      </c>
      <c r="DL1412" s="496" t="s">
        <v>3821</v>
      </c>
      <c r="DM1412" s="496" t="s">
        <v>1087</v>
      </c>
      <c r="DN1412" s="497" t="s">
        <v>1088</v>
      </c>
      <c r="DP1412" s="543">
        <v>1</v>
      </c>
    </row>
    <row r="1413" spans="109:120" ht="15">
      <c r="DE1413" s="494"/>
      <c r="DF1413" s="496" t="s">
        <v>3852</v>
      </c>
      <c r="DG1413" s="496" t="s">
        <v>9</v>
      </c>
      <c r="DH1413" s="496" t="s">
        <v>689</v>
      </c>
      <c r="DI1413" s="496" t="s">
        <v>3853</v>
      </c>
      <c r="DJ1413" s="496" t="s">
        <v>3854</v>
      </c>
      <c r="DK1413" s="496" t="s">
        <v>1085</v>
      </c>
      <c r="DL1413" s="496" t="s">
        <v>3821</v>
      </c>
      <c r="DM1413" s="496" t="s">
        <v>1087</v>
      </c>
      <c r="DN1413" s="497" t="s">
        <v>1088</v>
      </c>
      <c r="DP1413" s="543">
        <v>1</v>
      </c>
    </row>
    <row r="1414" spans="109:120" ht="15">
      <c r="DE1414" s="494"/>
      <c r="DF1414" s="496" t="s">
        <v>3855</v>
      </c>
      <c r="DG1414" s="496" t="s">
        <v>9</v>
      </c>
      <c r="DH1414" s="496" t="s">
        <v>689</v>
      </c>
      <c r="DI1414" s="496" t="s">
        <v>3856</v>
      </c>
      <c r="DJ1414" s="496" t="s">
        <v>3857</v>
      </c>
      <c r="DK1414" s="496" t="s">
        <v>1085</v>
      </c>
      <c r="DL1414" s="496" t="s">
        <v>3821</v>
      </c>
      <c r="DM1414" s="496" t="s">
        <v>1087</v>
      </c>
      <c r="DN1414" s="497" t="s">
        <v>1088</v>
      </c>
      <c r="DP1414" s="543">
        <v>1</v>
      </c>
    </row>
    <row r="1415" spans="109:120" ht="15">
      <c r="DE1415" s="494"/>
      <c r="DF1415" s="496" t="s">
        <v>3858</v>
      </c>
      <c r="DG1415" s="496" t="s">
        <v>9</v>
      </c>
      <c r="DH1415" s="496" t="s">
        <v>689</v>
      </c>
      <c r="DI1415" s="496" t="s">
        <v>3859</v>
      </c>
      <c r="DJ1415" s="496" t="s">
        <v>3859</v>
      </c>
      <c r="DK1415" s="496" t="s">
        <v>1085</v>
      </c>
      <c r="DL1415" s="496" t="s">
        <v>3821</v>
      </c>
      <c r="DM1415" s="496" t="s">
        <v>1087</v>
      </c>
      <c r="DN1415" s="497" t="s">
        <v>1088</v>
      </c>
      <c r="DP1415" s="543">
        <v>1</v>
      </c>
    </row>
    <row r="1416" spans="109:120" ht="15">
      <c r="DE1416" s="494"/>
      <c r="DF1416" s="496" t="s">
        <v>3860</v>
      </c>
      <c r="DG1416" s="496" t="s">
        <v>10</v>
      </c>
      <c r="DH1416" s="496" t="s">
        <v>689</v>
      </c>
      <c r="DI1416" s="496" t="s">
        <v>21</v>
      </c>
      <c r="DJ1416" s="496" t="s">
        <v>21</v>
      </c>
      <c r="DK1416" s="496" t="s">
        <v>1085</v>
      </c>
      <c r="DL1416" s="496" t="s">
        <v>3861</v>
      </c>
      <c r="DM1416" s="496" t="s">
        <v>1087</v>
      </c>
      <c r="DN1416" s="497" t="s">
        <v>1088</v>
      </c>
      <c r="DP1416" s="543">
        <v>1</v>
      </c>
    </row>
    <row r="1417" spans="109:120" ht="15">
      <c r="DE1417" s="494"/>
      <c r="DF1417" s="496" t="s">
        <v>3862</v>
      </c>
      <c r="DG1417" s="496" t="s">
        <v>10</v>
      </c>
      <c r="DH1417" s="496" t="s">
        <v>689</v>
      </c>
      <c r="DI1417" s="496" t="s">
        <v>3863</v>
      </c>
      <c r="DJ1417" s="496" t="s">
        <v>3864</v>
      </c>
      <c r="DK1417" s="496" t="s">
        <v>1085</v>
      </c>
      <c r="DL1417" s="496" t="s">
        <v>3861</v>
      </c>
      <c r="DM1417" s="496" t="s">
        <v>1087</v>
      </c>
      <c r="DN1417" s="497" t="s">
        <v>1088</v>
      </c>
      <c r="DP1417" s="543">
        <v>1</v>
      </c>
    </row>
    <row r="1418" spans="109:120" ht="15">
      <c r="DE1418" s="494"/>
      <c r="DF1418" s="496" t="s">
        <v>3865</v>
      </c>
      <c r="DG1418" s="496" t="s">
        <v>10</v>
      </c>
      <c r="DH1418" s="496" t="s">
        <v>689</v>
      </c>
      <c r="DI1418" s="496" t="s">
        <v>3866</v>
      </c>
      <c r="DJ1418" s="496" t="s">
        <v>59</v>
      </c>
      <c r="DK1418" s="496" t="s">
        <v>1085</v>
      </c>
      <c r="DL1418" s="496" t="s">
        <v>3861</v>
      </c>
      <c r="DM1418" s="496" t="s">
        <v>1087</v>
      </c>
      <c r="DN1418" s="497" t="s">
        <v>1088</v>
      </c>
      <c r="DP1418" s="543">
        <v>1</v>
      </c>
    </row>
    <row r="1419" spans="109:120" ht="15">
      <c r="DE1419" s="494"/>
      <c r="DF1419" s="496" t="s">
        <v>3867</v>
      </c>
      <c r="DG1419" s="496" t="s">
        <v>10</v>
      </c>
      <c r="DH1419" s="496" t="s">
        <v>689</v>
      </c>
      <c r="DI1419" s="496" t="s">
        <v>3868</v>
      </c>
      <c r="DJ1419" s="496" t="s">
        <v>3868</v>
      </c>
      <c r="DK1419" s="496" t="s">
        <v>1085</v>
      </c>
      <c r="DL1419" s="496" t="s">
        <v>3861</v>
      </c>
      <c r="DM1419" s="496" t="s">
        <v>1087</v>
      </c>
      <c r="DN1419" s="497" t="s">
        <v>1088</v>
      </c>
      <c r="DP1419" s="543">
        <v>1</v>
      </c>
    </row>
    <row r="1420" spans="109:120" ht="15">
      <c r="DE1420" s="494"/>
      <c r="DF1420" s="496" t="s">
        <v>3869</v>
      </c>
      <c r="DG1420" s="496" t="s">
        <v>10</v>
      </c>
      <c r="DH1420" s="496" t="s">
        <v>689</v>
      </c>
      <c r="DI1420" s="496" t="s">
        <v>3870</v>
      </c>
      <c r="DJ1420" s="496" t="s">
        <v>3871</v>
      </c>
      <c r="DK1420" s="496" t="s">
        <v>1085</v>
      </c>
      <c r="DL1420" s="496" t="s">
        <v>3861</v>
      </c>
      <c r="DM1420" s="496" t="s">
        <v>1087</v>
      </c>
      <c r="DN1420" s="497" t="s">
        <v>1088</v>
      </c>
      <c r="DP1420" s="543">
        <v>1</v>
      </c>
    </row>
    <row r="1421" spans="109:120" ht="15">
      <c r="DE1421" s="494"/>
      <c r="DF1421" s="496" t="s">
        <v>3872</v>
      </c>
      <c r="DG1421" s="496" t="s">
        <v>10</v>
      </c>
      <c r="DH1421" s="496" t="s">
        <v>689</v>
      </c>
      <c r="DI1421" s="496" t="s">
        <v>95</v>
      </c>
      <c r="DJ1421" s="496" t="s">
        <v>95</v>
      </c>
      <c r="DK1421" s="496" t="s">
        <v>1085</v>
      </c>
      <c r="DL1421" s="496" t="s">
        <v>3861</v>
      </c>
      <c r="DM1421" s="496" t="s">
        <v>1087</v>
      </c>
      <c r="DN1421" s="497" t="s">
        <v>1088</v>
      </c>
      <c r="DP1421" s="543">
        <v>1</v>
      </c>
    </row>
    <row r="1422" spans="109:120" ht="15">
      <c r="DE1422" s="494"/>
      <c r="DF1422" s="496" t="s">
        <v>3873</v>
      </c>
      <c r="DG1422" s="496" t="s">
        <v>10</v>
      </c>
      <c r="DH1422" s="496" t="s">
        <v>689</v>
      </c>
      <c r="DI1422" s="496" t="s">
        <v>109</v>
      </c>
      <c r="DJ1422" s="496" t="s">
        <v>109</v>
      </c>
      <c r="DK1422" s="496" t="s">
        <v>1085</v>
      </c>
      <c r="DL1422" s="496" t="s">
        <v>3861</v>
      </c>
      <c r="DM1422" s="496" t="s">
        <v>1087</v>
      </c>
      <c r="DN1422" s="497" t="s">
        <v>1088</v>
      </c>
      <c r="DP1422" s="543">
        <v>1</v>
      </c>
    </row>
    <row r="1423" spans="109:120" ht="15">
      <c r="DE1423" s="494"/>
      <c r="DF1423" s="496" t="s">
        <v>3874</v>
      </c>
      <c r="DG1423" s="496" t="s">
        <v>10</v>
      </c>
      <c r="DH1423" s="496" t="s">
        <v>689</v>
      </c>
      <c r="DI1423" s="496" t="s">
        <v>3875</v>
      </c>
      <c r="DJ1423" s="496" t="s">
        <v>3876</v>
      </c>
      <c r="DK1423" s="496" t="s">
        <v>1085</v>
      </c>
      <c r="DL1423" s="496" t="s">
        <v>3861</v>
      </c>
      <c r="DM1423" s="496" t="s">
        <v>1087</v>
      </c>
      <c r="DN1423" s="497" t="s">
        <v>1088</v>
      </c>
      <c r="DP1423" s="543">
        <v>1</v>
      </c>
    </row>
    <row r="1424" spans="109:120" ht="15">
      <c r="DE1424" s="494"/>
      <c r="DF1424" s="496" t="s">
        <v>3877</v>
      </c>
      <c r="DG1424" s="496" t="s">
        <v>10</v>
      </c>
      <c r="DH1424" s="496" t="s">
        <v>689</v>
      </c>
      <c r="DI1424" s="496" t="s">
        <v>3878</v>
      </c>
      <c r="DJ1424" s="496" t="s">
        <v>3879</v>
      </c>
      <c r="DK1424" s="496" t="s">
        <v>1085</v>
      </c>
      <c r="DL1424" s="496" t="s">
        <v>3861</v>
      </c>
      <c r="DM1424" s="496" t="s">
        <v>1087</v>
      </c>
      <c r="DN1424" s="497" t="s">
        <v>1088</v>
      </c>
      <c r="DP1424" s="543">
        <v>1</v>
      </c>
    </row>
    <row r="1425" spans="109:120" ht="15">
      <c r="DE1425" s="494"/>
      <c r="DF1425" s="496" t="s">
        <v>3880</v>
      </c>
      <c r="DG1425" s="496" t="s">
        <v>10</v>
      </c>
      <c r="DH1425" s="496" t="s">
        <v>689</v>
      </c>
      <c r="DI1425" s="496" t="s">
        <v>3881</v>
      </c>
      <c r="DJ1425" s="496" t="s">
        <v>3881</v>
      </c>
      <c r="DK1425" s="496" t="s">
        <v>1085</v>
      </c>
      <c r="DL1425" s="496" t="s">
        <v>3861</v>
      </c>
      <c r="DM1425" s="496" t="s">
        <v>1087</v>
      </c>
      <c r="DN1425" s="497" t="s">
        <v>1088</v>
      </c>
      <c r="DP1425" s="543">
        <v>1</v>
      </c>
    </row>
    <row r="1426" spans="109:120" ht="15">
      <c r="DE1426" s="494"/>
      <c r="DF1426" s="496" t="s">
        <v>3882</v>
      </c>
      <c r="DG1426" s="496" t="s">
        <v>10</v>
      </c>
      <c r="DH1426" s="496" t="s">
        <v>689</v>
      </c>
      <c r="DI1426" s="496" t="s">
        <v>155</v>
      </c>
      <c r="DJ1426" s="496" t="s">
        <v>155</v>
      </c>
      <c r="DK1426" s="496" t="s">
        <v>1085</v>
      </c>
      <c r="DL1426" s="496" t="s">
        <v>3861</v>
      </c>
      <c r="DM1426" s="496" t="s">
        <v>1087</v>
      </c>
      <c r="DN1426" s="497" t="s">
        <v>1088</v>
      </c>
      <c r="DP1426" s="543">
        <v>1</v>
      </c>
    </row>
    <row r="1427" spans="109:120" ht="15">
      <c r="DE1427" s="494"/>
      <c r="DF1427" s="496" t="s">
        <v>3883</v>
      </c>
      <c r="DG1427" s="496" t="s">
        <v>10</v>
      </c>
      <c r="DH1427" s="496" t="s">
        <v>689</v>
      </c>
      <c r="DI1427" s="496" t="s">
        <v>3884</v>
      </c>
      <c r="DJ1427" s="496" t="s">
        <v>3884</v>
      </c>
      <c r="DK1427" s="496" t="s">
        <v>1085</v>
      </c>
      <c r="DL1427" s="496" t="s">
        <v>3861</v>
      </c>
      <c r="DM1427" s="496" t="s">
        <v>1087</v>
      </c>
      <c r="DN1427" s="497" t="s">
        <v>1088</v>
      </c>
      <c r="DP1427" s="543">
        <v>1</v>
      </c>
    </row>
    <row r="1428" spans="109:120" ht="15">
      <c r="DE1428" s="494"/>
      <c r="DF1428" s="496" t="s">
        <v>3885</v>
      </c>
      <c r="DG1428" s="496" t="s">
        <v>10</v>
      </c>
      <c r="DH1428" s="496" t="s">
        <v>689</v>
      </c>
      <c r="DI1428" s="496" t="s">
        <v>175</v>
      </c>
      <c r="DJ1428" s="496" t="s">
        <v>175</v>
      </c>
      <c r="DK1428" s="496" t="s">
        <v>1085</v>
      </c>
      <c r="DL1428" s="496" t="s">
        <v>3861</v>
      </c>
      <c r="DM1428" s="496" t="s">
        <v>1087</v>
      </c>
      <c r="DN1428" s="497" t="s">
        <v>1088</v>
      </c>
      <c r="DP1428" s="543">
        <v>1</v>
      </c>
    </row>
    <row r="1429" spans="109:120" ht="15">
      <c r="DE1429" s="494"/>
      <c r="DF1429" s="496" t="s">
        <v>3886</v>
      </c>
      <c r="DG1429" s="496" t="s">
        <v>10</v>
      </c>
      <c r="DH1429" s="496" t="s">
        <v>689</v>
      </c>
      <c r="DI1429" s="496" t="s">
        <v>3887</v>
      </c>
      <c r="DJ1429" s="496" t="s">
        <v>184</v>
      </c>
      <c r="DK1429" s="496" t="s">
        <v>1085</v>
      </c>
      <c r="DL1429" s="496" t="s">
        <v>3861</v>
      </c>
      <c r="DM1429" s="496" t="s">
        <v>1087</v>
      </c>
      <c r="DN1429" s="497" t="s">
        <v>1088</v>
      </c>
      <c r="DP1429" s="543">
        <v>1</v>
      </c>
    </row>
    <row r="1430" spans="109:120" ht="15">
      <c r="DE1430" s="494"/>
      <c r="DF1430" s="496" t="s">
        <v>3888</v>
      </c>
      <c r="DG1430" s="496" t="s">
        <v>10</v>
      </c>
      <c r="DH1430" s="496" t="s">
        <v>689</v>
      </c>
      <c r="DI1430" s="496" t="s">
        <v>195</v>
      </c>
      <c r="DJ1430" s="496" t="s">
        <v>195</v>
      </c>
      <c r="DK1430" s="496" t="s">
        <v>1085</v>
      </c>
      <c r="DL1430" s="496" t="s">
        <v>3861</v>
      </c>
      <c r="DM1430" s="496" t="s">
        <v>1087</v>
      </c>
      <c r="DN1430" s="497" t="s">
        <v>1088</v>
      </c>
      <c r="DP1430" s="543">
        <v>1</v>
      </c>
    </row>
    <row r="1431" spans="109:120" ht="15">
      <c r="DE1431" s="494"/>
      <c r="DF1431" s="496" t="s">
        <v>3889</v>
      </c>
      <c r="DG1431" s="496" t="s">
        <v>10</v>
      </c>
      <c r="DH1431" s="496" t="s">
        <v>689</v>
      </c>
      <c r="DI1431" s="496" t="s">
        <v>3890</v>
      </c>
      <c r="DJ1431" s="496" t="s">
        <v>3890</v>
      </c>
      <c r="DK1431" s="496" t="s">
        <v>1085</v>
      </c>
      <c r="DL1431" s="496" t="s">
        <v>3861</v>
      </c>
      <c r="DM1431" s="496" t="s">
        <v>1087</v>
      </c>
      <c r="DN1431" s="497" t="s">
        <v>1088</v>
      </c>
      <c r="DP1431" s="543">
        <v>1</v>
      </c>
    </row>
    <row r="1432" spans="109:120" ht="15">
      <c r="DE1432" s="494"/>
      <c r="DF1432" s="496" t="s">
        <v>3891</v>
      </c>
      <c r="DG1432" s="496" t="s">
        <v>10</v>
      </c>
      <c r="DH1432" s="496" t="s">
        <v>689</v>
      </c>
      <c r="DI1432" s="496" t="s">
        <v>3892</v>
      </c>
      <c r="DJ1432" s="496" t="s">
        <v>3892</v>
      </c>
      <c r="DK1432" s="496" t="s">
        <v>1085</v>
      </c>
      <c r="DL1432" s="496" t="s">
        <v>3861</v>
      </c>
      <c r="DM1432" s="496" t="s">
        <v>1087</v>
      </c>
      <c r="DN1432" s="497" t="s">
        <v>1088</v>
      </c>
      <c r="DP1432" s="543">
        <v>1</v>
      </c>
    </row>
    <row r="1433" spans="109:120" ht="15">
      <c r="DE1433" s="494"/>
      <c r="DF1433" s="496" t="s">
        <v>3893</v>
      </c>
      <c r="DG1433" s="496" t="s">
        <v>10</v>
      </c>
      <c r="DH1433" s="496" t="s">
        <v>689</v>
      </c>
      <c r="DI1433" s="496" t="s">
        <v>3894</v>
      </c>
      <c r="DJ1433" s="496" t="s">
        <v>199</v>
      </c>
      <c r="DK1433" s="496" t="s">
        <v>1085</v>
      </c>
      <c r="DL1433" s="496" t="s">
        <v>3861</v>
      </c>
      <c r="DM1433" s="496" t="s">
        <v>1087</v>
      </c>
      <c r="DN1433" s="497" t="s">
        <v>1088</v>
      </c>
      <c r="DP1433" s="543">
        <v>1</v>
      </c>
    </row>
    <row r="1434" spans="109:120" ht="15">
      <c r="DE1434" s="494"/>
      <c r="DF1434" s="496" t="s">
        <v>3895</v>
      </c>
      <c r="DG1434" s="496" t="s">
        <v>10</v>
      </c>
      <c r="DH1434" s="496" t="s">
        <v>689</v>
      </c>
      <c r="DI1434" s="496" t="s">
        <v>3896</v>
      </c>
      <c r="DJ1434" s="496" t="s">
        <v>3897</v>
      </c>
      <c r="DK1434" s="496" t="s">
        <v>1085</v>
      </c>
      <c r="DL1434" s="496" t="s">
        <v>3861</v>
      </c>
      <c r="DM1434" s="496" t="s">
        <v>1087</v>
      </c>
      <c r="DN1434" s="497" t="s">
        <v>1088</v>
      </c>
      <c r="DP1434" s="543">
        <v>1</v>
      </c>
    </row>
    <row r="1435" spans="109:120" ht="15">
      <c r="DE1435" s="494"/>
      <c r="DF1435" s="496" t="s">
        <v>3898</v>
      </c>
      <c r="DG1435" s="496" t="s">
        <v>10</v>
      </c>
      <c r="DH1435" s="496" t="s">
        <v>689</v>
      </c>
      <c r="DI1435" s="496" t="s">
        <v>3899</v>
      </c>
      <c r="DJ1435" s="496" t="s">
        <v>205</v>
      </c>
      <c r="DK1435" s="496" t="s">
        <v>1085</v>
      </c>
      <c r="DL1435" s="496" t="s">
        <v>3861</v>
      </c>
      <c r="DM1435" s="496" t="s">
        <v>1087</v>
      </c>
      <c r="DN1435" s="497" t="s">
        <v>1088</v>
      </c>
      <c r="DP1435" s="543">
        <v>1</v>
      </c>
    </row>
    <row r="1436" spans="109:120" ht="15">
      <c r="DE1436" s="494"/>
      <c r="DF1436" s="496" t="s">
        <v>3900</v>
      </c>
      <c r="DG1436" s="496" t="s">
        <v>10</v>
      </c>
      <c r="DH1436" s="496" t="s">
        <v>689</v>
      </c>
      <c r="DI1436" s="496" t="s">
        <v>3901</v>
      </c>
      <c r="DJ1436" s="496" t="s">
        <v>3902</v>
      </c>
      <c r="DK1436" s="496" t="s">
        <v>1085</v>
      </c>
      <c r="DL1436" s="496" t="s">
        <v>3861</v>
      </c>
      <c r="DM1436" s="496" t="s">
        <v>1087</v>
      </c>
      <c r="DN1436" s="497" t="s">
        <v>1088</v>
      </c>
      <c r="DP1436" s="543">
        <v>1</v>
      </c>
    </row>
    <row r="1437" spans="109:120" ht="15">
      <c r="DE1437" s="494"/>
      <c r="DF1437" s="496" t="s">
        <v>3903</v>
      </c>
      <c r="DG1437" s="496" t="s">
        <v>10</v>
      </c>
      <c r="DH1437" s="496" t="s">
        <v>689</v>
      </c>
      <c r="DI1437" s="496" t="s">
        <v>211</v>
      </c>
      <c r="DJ1437" s="496" t="s">
        <v>211</v>
      </c>
      <c r="DK1437" s="496" t="s">
        <v>1085</v>
      </c>
      <c r="DL1437" s="496" t="s">
        <v>3861</v>
      </c>
      <c r="DM1437" s="496" t="s">
        <v>1087</v>
      </c>
      <c r="DN1437" s="497" t="s">
        <v>1088</v>
      </c>
      <c r="DP1437" s="543">
        <v>1</v>
      </c>
    </row>
    <row r="1438" spans="109:120" ht="15">
      <c r="DE1438" s="494"/>
      <c r="DF1438" s="496" t="s">
        <v>3904</v>
      </c>
      <c r="DG1438" s="496" t="s">
        <v>10</v>
      </c>
      <c r="DH1438" s="496" t="s">
        <v>689</v>
      </c>
      <c r="DI1438" s="496" t="s">
        <v>364</v>
      </c>
      <c r="DJ1438" s="496" t="s">
        <v>364</v>
      </c>
      <c r="DK1438" s="496" t="s">
        <v>1085</v>
      </c>
      <c r="DL1438" s="496" t="s">
        <v>3861</v>
      </c>
      <c r="DM1438" s="496" t="s">
        <v>1087</v>
      </c>
      <c r="DN1438" s="497" t="s">
        <v>1088</v>
      </c>
      <c r="DP1438" s="543">
        <v>1</v>
      </c>
    </row>
    <row r="1439" spans="109:120" ht="15">
      <c r="DE1439" s="494"/>
      <c r="DF1439" s="496" t="s">
        <v>3905</v>
      </c>
      <c r="DG1439" s="496" t="s">
        <v>10</v>
      </c>
      <c r="DH1439" s="496" t="s">
        <v>689</v>
      </c>
      <c r="DI1439" s="496" t="s">
        <v>214</v>
      </c>
      <c r="DJ1439" s="496" t="s">
        <v>214</v>
      </c>
      <c r="DK1439" s="496" t="s">
        <v>1085</v>
      </c>
      <c r="DL1439" s="496" t="s">
        <v>3861</v>
      </c>
      <c r="DM1439" s="496" t="s">
        <v>1087</v>
      </c>
      <c r="DN1439" s="497" t="s">
        <v>1088</v>
      </c>
      <c r="DP1439" s="543">
        <v>1</v>
      </c>
    </row>
    <row r="1440" spans="109:120" ht="15">
      <c r="DE1440" s="494"/>
      <c r="DF1440" s="496" t="s">
        <v>3906</v>
      </c>
      <c r="DG1440" s="496" t="s">
        <v>10</v>
      </c>
      <c r="DH1440" s="496" t="s">
        <v>689</v>
      </c>
      <c r="DI1440" s="496" t="s">
        <v>365</v>
      </c>
      <c r="DJ1440" s="496" t="s">
        <v>365</v>
      </c>
      <c r="DK1440" s="496" t="s">
        <v>1151</v>
      </c>
      <c r="DL1440" s="496" t="s">
        <v>1152</v>
      </c>
      <c r="DM1440" s="496" t="s">
        <v>1087</v>
      </c>
      <c r="DN1440" s="497" t="s">
        <v>1153</v>
      </c>
      <c r="DP1440" s="543">
        <v>1</v>
      </c>
    </row>
    <row r="1441" spans="109:120" ht="15">
      <c r="DE1441" s="494"/>
      <c r="DF1441" s="496" t="s">
        <v>3907</v>
      </c>
      <c r="DG1441" s="496" t="s">
        <v>10</v>
      </c>
      <c r="DH1441" s="496" t="s">
        <v>689</v>
      </c>
      <c r="DI1441" s="496" t="s">
        <v>3908</v>
      </c>
      <c r="DJ1441" s="496" t="s">
        <v>3908</v>
      </c>
      <c r="DK1441" s="496" t="s">
        <v>1151</v>
      </c>
      <c r="DL1441" s="496" t="s">
        <v>1152</v>
      </c>
      <c r="DM1441" s="496" t="s">
        <v>1087</v>
      </c>
      <c r="DN1441" s="497" t="s">
        <v>1153</v>
      </c>
      <c r="DP1441" s="543">
        <v>1</v>
      </c>
    </row>
    <row r="1442" spans="109:120" ht="15">
      <c r="DE1442" s="494"/>
      <c r="DF1442" s="496" t="s">
        <v>3909</v>
      </c>
      <c r="DG1442" s="496" t="s">
        <v>10</v>
      </c>
      <c r="DH1442" s="496" t="s">
        <v>689</v>
      </c>
      <c r="DI1442" s="496" t="s">
        <v>3910</v>
      </c>
      <c r="DJ1442" s="496" t="s">
        <v>3910</v>
      </c>
      <c r="DK1442" s="496" t="s">
        <v>1151</v>
      </c>
      <c r="DL1442" s="496" t="s">
        <v>1152</v>
      </c>
      <c r="DM1442" s="496" t="s">
        <v>1087</v>
      </c>
      <c r="DN1442" s="497" t="s">
        <v>1153</v>
      </c>
      <c r="DP1442" s="543">
        <v>1</v>
      </c>
    </row>
    <row r="1443" spans="109:120" ht="15">
      <c r="DE1443" s="494"/>
      <c r="DF1443" s="496" t="s">
        <v>3911</v>
      </c>
      <c r="DG1443" s="496" t="s">
        <v>10</v>
      </c>
      <c r="DH1443" s="496" t="s">
        <v>689</v>
      </c>
      <c r="DI1443" s="496" t="s">
        <v>216</v>
      </c>
      <c r="DJ1443" s="496" t="s">
        <v>216</v>
      </c>
      <c r="DK1443" s="496" t="s">
        <v>1085</v>
      </c>
      <c r="DL1443" s="496" t="s">
        <v>3861</v>
      </c>
      <c r="DM1443" s="496" t="s">
        <v>1087</v>
      </c>
      <c r="DN1443" s="497" t="s">
        <v>1088</v>
      </c>
      <c r="DP1443" s="543">
        <v>1</v>
      </c>
    </row>
    <row r="1444" spans="109:120" ht="15">
      <c r="DE1444" s="494"/>
      <c r="DF1444" s="496" t="s">
        <v>3912</v>
      </c>
      <c r="DG1444" s="496" t="s">
        <v>10</v>
      </c>
      <c r="DH1444" s="496" t="s">
        <v>689</v>
      </c>
      <c r="DI1444" s="496" t="s">
        <v>3913</v>
      </c>
      <c r="DJ1444" s="496" t="s">
        <v>3913</v>
      </c>
      <c r="DK1444" s="496" t="s">
        <v>1151</v>
      </c>
      <c r="DL1444" s="496" t="s">
        <v>1152</v>
      </c>
      <c r="DM1444" s="496" t="s">
        <v>1087</v>
      </c>
      <c r="DN1444" s="497" t="s">
        <v>1153</v>
      </c>
      <c r="DP1444" s="543">
        <v>1</v>
      </c>
    </row>
    <row r="1445" spans="109:120" ht="15">
      <c r="DE1445" s="494"/>
      <c r="DF1445" s="496" t="s">
        <v>3914</v>
      </c>
      <c r="DG1445" s="496" t="s">
        <v>10</v>
      </c>
      <c r="DH1445" s="496" t="s">
        <v>689</v>
      </c>
      <c r="DI1445" s="496" t="s">
        <v>366</v>
      </c>
      <c r="DJ1445" s="496" t="s">
        <v>366</v>
      </c>
      <c r="DK1445" s="496" t="s">
        <v>1151</v>
      </c>
      <c r="DL1445" s="496" t="s">
        <v>1152</v>
      </c>
      <c r="DM1445" s="496" t="s">
        <v>1087</v>
      </c>
      <c r="DN1445" s="497" t="s">
        <v>1153</v>
      </c>
      <c r="DP1445" s="543">
        <v>1</v>
      </c>
    </row>
    <row r="1446" spans="109:120" ht="15">
      <c r="DE1446" s="494"/>
      <c r="DF1446" s="496" t="s">
        <v>3915</v>
      </c>
      <c r="DG1446" s="496" t="s">
        <v>10</v>
      </c>
      <c r="DH1446" s="496" t="s">
        <v>689</v>
      </c>
      <c r="DI1446" s="496" t="s">
        <v>3916</v>
      </c>
      <c r="DJ1446" s="496" t="s">
        <v>3916</v>
      </c>
      <c r="DK1446" s="496" t="s">
        <v>1151</v>
      </c>
      <c r="DL1446" s="496" t="s">
        <v>1152</v>
      </c>
      <c r="DM1446" s="496" t="s">
        <v>1087</v>
      </c>
      <c r="DN1446" s="497" t="s">
        <v>1153</v>
      </c>
      <c r="DP1446" s="543">
        <v>1</v>
      </c>
    </row>
    <row r="1447" spans="109:120" ht="15">
      <c r="DE1447" s="494"/>
      <c r="DF1447" s="496" t="s">
        <v>3917</v>
      </c>
      <c r="DG1447" s="496" t="s">
        <v>10</v>
      </c>
      <c r="DH1447" s="496" t="s">
        <v>689</v>
      </c>
      <c r="DI1447" s="496" t="s">
        <v>367</v>
      </c>
      <c r="DJ1447" s="496" t="s">
        <v>367</v>
      </c>
      <c r="DK1447" s="496" t="s">
        <v>1085</v>
      </c>
      <c r="DL1447" s="496" t="s">
        <v>3861</v>
      </c>
      <c r="DM1447" s="496" t="s">
        <v>1087</v>
      </c>
      <c r="DN1447" s="497" t="s">
        <v>1088</v>
      </c>
      <c r="DP1447" s="543">
        <v>1</v>
      </c>
    </row>
    <row r="1448" spans="109:120" ht="15">
      <c r="DE1448" s="494"/>
      <c r="DF1448" s="496" t="s">
        <v>3918</v>
      </c>
      <c r="DG1448" s="496" t="s">
        <v>10</v>
      </c>
      <c r="DH1448" s="496" t="s">
        <v>689</v>
      </c>
      <c r="DI1448" s="496" t="s">
        <v>218</v>
      </c>
      <c r="DJ1448" s="496" t="s">
        <v>218</v>
      </c>
      <c r="DK1448" s="496" t="s">
        <v>1085</v>
      </c>
      <c r="DL1448" s="496" t="s">
        <v>3861</v>
      </c>
      <c r="DM1448" s="496" t="s">
        <v>1087</v>
      </c>
      <c r="DN1448" s="497" t="s">
        <v>1088</v>
      </c>
      <c r="DP1448" s="543">
        <v>1</v>
      </c>
    </row>
    <row r="1449" spans="109:120" ht="15">
      <c r="DE1449" s="494"/>
      <c r="DF1449" s="496" t="s">
        <v>3919</v>
      </c>
      <c r="DG1449" s="496" t="s">
        <v>10</v>
      </c>
      <c r="DH1449" s="496" t="s">
        <v>689</v>
      </c>
      <c r="DI1449" s="496" t="s">
        <v>3920</v>
      </c>
      <c r="DJ1449" s="496" t="s">
        <v>3920</v>
      </c>
      <c r="DK1449" s="496" t="s">
        <v>1085</v>
      </c>
      <c r="DL1449" s="496" t="s">
        <v>3861</v>
      </c>
      <c r="DM1449" s="496" t="s">
        <v>1087</v>
      </c>
      <c r="DN1449" s="497" t="s">
        <v>1088</v>
      </c>
      <c r="DP1449" s="543">
        <v>1</v>
      </c>
    </row>
    <row r="1450" spans="109:120" ht="15">
      <c r="DE1450" s="494"/>
      <c r="DF1450" s="496" t="s">
        <v>3921</v>
      </c>
      <c r="DG1450" s="496" t="s">
        <v>10</v>
      </c>
      <c r="DH1450" s="496" t="s">
        <v>689</v>
      </c>
      <c r="DI1450" s="496" t="s">
        <v>220</v>
      </c>
      <c r="DJ1450" s="496" t="s">
        <v>220</v>
      </c>
      <c r="DK1450" s="496" t="s">
        <v>1085</v>
      </c>
      <c r="DL1450" s="496" t="s">
        <v>3861</v>
      </c>
      <c r="DM1450" s="496" t="s">
        <v>1087</v>
      </c>
      <c r="DN1450" s="497" t="s">
        <v>1088</v>
      </c>
      <c r="DP1450" s="543">
        <v>1</v>
      </c>
    </row>
    <row r="1451" spans="109:120" ht="15">
      <c r="DE1451" s="494"/>
      <c r="DF1451" s="496" t="s">
        <v>3922</v>
      </c>
      <c r="DG1451" s="496" t="s">
        <v>10</v>
      </c>
      <c r="DH1451" s="496" t="s">
        <v>689</v>
      </c>
      <c r="DI1451" s="496" t="s">
        <v>3923</v>
      </c>
      <c r="DJ1451" s="496" t="s">
        <v>3924</v>
      </c>
      <c r="DK1451" s="496" t="s">
        <v>1085</v>
      </c>
      <c r="DL1451" s="496" t="s">
        <v>3861</v>
      </c>
      <c r="DM1451" s="496" t="s">
        <v>1087</v>
      </c>
      <c r="DN1451" s="497" t="s">
        <v>1088</v>
      </c>
      <c r="DP1451" s="543">
        <v>1</v>
      </c>
    </row>
    <row r="1452" spans="109:120" ht="15">
      <c r="DE1452" s="494"/>
      <c r="DF1452" s="496" t="s">
        <v>3925</v>
      </c>
      <c r="DG1452" s="496" t="s">
        <v>10</v>
      </c>
      <c r="DH1452" s="496" t="s">
        <v>689</v>
      </c>
      <c r="DI1452" s="496" t="s">
        <v>3926</v>
      </c>
      <c r="DJ1452" s="496" t="s">
        <v>3926</v>
      </c>
      <c r="DK1452" s="496" t="s">
        <v>1085</v>
      </c>
      <c r="DL1452" s="496" t="s">
        <v>3861</v>
      </c>
      <c r="DM1452" s="496" t="s">
        <v>1087</v>
      </c>
      <c r="DN1452" s="497" t="s">
        <v>1088</v>
      </c>
      <c r="DP1452" s="543">
        <v>1</v>
      </c>
    </row>
    <row r="1453" spans="109:120" ht="15">
      <c r="DE1453" s="494"/>
      <c r="DF1453" s="496" t="s">
        <v>3927</v>
      </c>
      <c r="DG1453" s="496" t="s">
        <v>10</v>
      </c>
      <c r="DH1453" s="496" t="s">
        <v>689</v>
      </c>
      <c r="DI1453" s="496" t="s">
        <v>3928</v>
      </c>
      <c r="DJ1453" s="496" t="s">
        <v>3928</v>
      </c>
      <c r="DK1453" s="496" t="s">
        <v>1085</v>
      </c>
      <c r="DL1453" s="496" t="s">
        <v>3861</v>
      </c>
      <c r="DM1453" s="496" t="s">
        <v>1087</v>
      </c>
      <c r="DN1453" s="497" t="s">
        <v>1088</v>
      </c>
      <c r="DP1453" s="543">
        <v>1</v>
      </c>
    </row>
    <row r="1454" spans="109:120" ht="15">
      <c r="DE1454" s="494"/>
      <c r="DF1454" s="496" t="s">
        <v>3929</v>
      </c>
      <c r="DG1454" s="496" t="s">
        <v>10</v>
      </c>
      <c r="DH1454" s="496" t="s">
        <v>690</v>
      </c>
      <c r="DI1454" s="496" t="s">
        <v>3930</v>
      </c>
      <c r="DJ1454" s="496" t="s">
        <v>32</v>
      </c>
      <c r="DK1454" s="496" t="s">
        <v>1085</v>
      </c>
      <c r="DL1454" s="496" t="s">
        <v>3931</v>
      </c>
      <c r="DM1454" s="496" t="s">
        <v>1087</v>
      </c>
      <c r="DN1454" s="497" t="s">
        <v>1088</v>
      </c>
      <c r="DP1454" s="543">
        <v>1</v>
      </c>
    </row>
    <row r="1455" spans="109:120" ht="15">
      <c r="DE1455" s="494"/>
      <c r="DF1455" s="496" t="s">
        <v>3932</v>
      </c>
      <c r="DG1455" s="496" t="s">
        <v>10</v>
      </c>
      <c r="DH1455" s="496" t="s">
        <v>690</v>
      </c>
      <c r="DI1455" s="496" t="s">
        <v>3933</v>
      </c>
      <c r="DJ1455" s="496" t="s">
        <v>22</v>
      </c>
      <c r="DK1455" s="496" t="s">
        <v>1085</v>
      </c>
      <c r="DL1455" s="496" t="s">
        <v>3931</v>
      </c>
      <c r="DM1455" s="496" t="s">
        <v>1087</v>
      </c>
      <c r="DN1455" s="497" t="s">
        <v>1088</v>
      </c>
      <c r="DP1455" s="543">
        <v>1</v>
      </c>
    </row>
    <row r="1456" spans="109:120" ht="15">
      <c r="DE1456" s="494"/>
      <c r="DF1456" s="496" t="s">
        <v>3934</v>
      </c>
      <c r="DG1456" s="496" t="s">
        <v>10</v>
      </c>
      <c r="DH1456" s="496" t="s">
        <v>1511</v>
      </c>
      <c r="DI1456" s="496" t="s">
        <v>3935</v>
      </c>
      <c r="DJ1456" s="496" t="s">
        <v>3935</v>
      </c>
      <c r="DK1456" s="496" t="s">
        <v>1085</v>
      </c>
      <c r="DL1456" s="496" t="s">
        <v>3799</v>
      </c>
      <c r="DM1456" s="496" t="s">
        <v>1087</v>
      </c>
      <c r="DN1456" s="497" t="s">
        <v>1088</v>
      </c>
      <c r="DP1456" s="543">
        <v>1</v>
      </c>
    </row>
    <row r="1457" spans="109:120" ht="15">
      <c r="DE1457" s="494"/>
      <c r="DF1457" s="496" t="s">
        <v>3936</v>
      </c>
      <c r="DG1457" s="496" t="s">
        <v>10</v>
      </c>
      <c r="DH1457" s="496" t="s">
        <v>1511</v>
      </c>
      <c r="DI1457" s="496" t="s">
        <v>3937</v>
      </c>
      <c r="DJ1457" s="496" t="s">
        <v>3937</v>
      </c>
      <c r="DK1457" s="496" t="s">
        <v>1085</v>
      </c>
      <c r="DL1457" s="496" t="s">
        <v>3799</v>
      </c>
      <c r="DM1457" s="496" t="s">
        <v>1087</v>
      </c>
      <c r="DN1457" s="497" t="s">
        <v>1088</v>
      </c>
      <c r="DP1457" s="543">
        <v>1</v>
      </c>
    </row>
    <row r="1458" spans="109:120" ht="15">
      <c r="DE1458" s="494"/>
      <c r="DF1458" s="496" t="s">
        <v>3938</v>
      </c>
      <c r="DG1458" s="496" t="s">
        <v>10</v>
      </c>
      <c r="DH1458" s="496" t="s">
        <v>1511</v>
      </c>
      <c r="DI1458" s="496" t="s">
        <v>3939</v>
      </c>
      <c r="DJ1458" s="496" t="s">
        <v>3939</v>
      </c>
      <c r="DK1458" s="496" t="s">
        <v>1085</v>
      </c>
      <c r="DL1458" s="496" t="s">
        <v>3799</v>
      </c>
      <c r="DM1458" s="496" t="s">
        <v>1087</v>
      </c>
      <c r="DN1458" s="497" t="s">
        <v>1088</v>
      </c>
      <c r="DP1458" s="543">
        <v>1</v>
      </c>
    </row>
    <row r="1459" spans="109:120" ht="15">
      <c r="DE1459" s="494"/>
      <c r="DF1459" s="496" t="s">
        <v>3940</v>
      </c>
      <c r="DG1459" s="496" t="s">
        <v>10</v>
      </c>
      <c r="DH1459" s="496" t="s">
        <v>1511</v>
      </c>
      <c r="DI1459" s="496" t="s">
        <v>1529</v>
      </c>
      <c r="DJ1459" s="496" t="s">
        <v>1529</v>
      </c>
      <c r="DK1459" s="496" t="s">
        <v>1085</v>
      </c>
      <c r="DL1459" s="496" t="s">
        <v>3799</v>
      </c>
      <c r="DM1459" s="496" t="s">
        <v>1087</v>
      </c>
      <c r="DN1459" s="497" t="s">
        <v>1088</v>
      </c>
      <c r="DP1459" s="543">
        <v>1</v>
      </c>
    </row>
    <row r="1460" spans="109:120" ht="15">
      <c r="DE1460" s="494"/>
      <c r="DF1460" s="496" t="s">
        <v>3941</v>
      </c>
      <c r="DG1460" s="496" t="s">
        <v>10</v>
      </c>
      <c r="DH1460" s="496" t="s">
        <v>1511</v>
      </c>
      <c r="DI1460" s="496" t="s">
        <v>3942</v>
      </c>
      <c r="DJ1460" s="496" t="s">
        <v>3943</v>
      </c>
      <c r="DK1460" s="496" t="s">
        <v>1085</v>
      </c>
      <c r="DL1460" s="496" t="s">
        <v>3799</v>
      </c>
      <c r="DM1460" s="496" t="s">
        <v>1087</v>
      </c>
      <c r="DN1460" s="497" t="s">
        <v>1088</v>
      </c>
      <c r="DP1460" s="543">
        <v>1</v>
      </c>
    </row>
    <row r="1461" spans="109:120" ht="15">
      <c r="DE1461" s="494"/>
      <c r="DF1461" s="496" t="s">
        <v>3944</v>
      </c>
      <c r="DG1461" s="496" t="s">
        <v>10</v>
      </c>
      <c r="DH1461" s="496" t="s">
        <v>1511</v>
      </c>
      <c r="DI1461" s="496" t="s">
        <v>3945</v>
      </c>
      <c r="DJ1461" s="496" t="s">
        <v>3945</v>
      </c>
      <c r="DK1461" s="496" t="s">
        <v>1085</v>
      </c>
      <c r="DL1461" s="496" t="s">
        <v>3799</v>
      </c>
      <c r="DM1461" s="496" t="s">
        <v>1087</v>
      </c>
      <c r="DN1461" s="497" t="s">
        <v>1088</v>
      </c>
      <c r="DP1461" s="543">
        <v>1</v>
      </c>
    </row>
    <row r="1462" spans="109:120" ht="15">
      <c r="DE1462" s="494"/>
      <c r="DF1462" s="496" t="s">
        <v>3946</v>
      </c>
      <c r="DG1462" s="496" t="s">
        <v>10</v>
      </c>
      <c r="DH1462" s="496" t="s">
        <v>1511</v>
      </c>
      <c r="DI1462" s="496" t="s">
        <v>3947</v>
      </c>
      <c r="DJ1462" s="496" t="s">
        <v>3948</v>
      </c>
      <c r="DK1462" s="496" t="s">
        <v>1085</v>
      </c>
      <c r="DL1462" s="496" t="s">
        <v>3799</v>
      </c>
      <c r="DM1462" s="496" t="s">
        <v>1087</v>
      </c>
      <c r="DN1462" s="497" t="s">
        <v>1088</v>
      </c>
      <c r="DP1462" s="543">
        <v>1</v>
      </c>
    </row>
    <row r="1463" spans="109:120" ht="15">
      <c r="DE1463" s="494"/>
      <c r="DF1463" s="496" t="s">
        <v>3949</v>
      </c>
      <c r="DG1463" s="496" t="s">
        <v>10</v>
      </c>
      <c r="DH1463" s="496" t="s">
        <v>1511</v>
      </c>
      <c r="DI1463" s="496" t="s">
        <v>3950</v>
      </c>
      <c r="DJ1463" s="496" t="s">
        <v>3950</v>
      </c>
      <c r="DK1463" s="496" t="s">
        <v>1085</v>
      </c>
      <c r="DL1463" s="496" t="s">
        <v>3799</v>
      </c>
      <c r="DM1463" s="496" t="s">
        <v>1087</v>
      </c>
      <c r="DN1463" s="497" t="s">
        <v>1088</v>
      </c>
      <c r="DP1463" s="543">
        <v>1</v>
      </c>
    </row>
    <row r="1464" spans="109:120" ht="15">
      <c r="DE1464" s="494"/>
      <c r="DF1464" s="496" t="s">
        <v>3951</v>
      </c>
      <c r="DG1464" s="496" t="s">
        <v>10</v>
      </c>
      <c r="DH1464" s="496" t="s">
        <v>1511</v>
      </c>
      <c r="DI1464" s="496" t="s">
        <v>3952</v>
      </c>
      <c r="DJ1464" s="496" t="s">
        <v>3952</v>
      </c>
      <c r="DK1464" s="496" t="s">
        <v>1085</v>
      </c>
      <c r="DL1464" s="496" t="s">
        <v>3799</v>
      </c>
      <c r="DM1464" s="496" t="s">
        <v>1087</v>
      </c>
      <c r="DN1464" s="497" t="s">
        <v>1088</v>
      </c>
      <c r="DP1464" s="543">
        <v>1</v>
      </c>
    </row>
    <row r="1465" spans="109:120" ht="15">
      <c r="DE1465" s="494"/>
      <c r="DF1465" s="496" t="s">
        <v>3953</v>
      </c>
      <c r="DG1465" s="496" t="s">
        <v>10</v>
      </c>
      <c r="DH1465" s="496" t="s">
        <v>1511</v>
      </c>
      <c r="DI1465" s="496" t="s">
        <v>3954</v>
      </c>
      <c r="DJ1465" s="496" t="s">
        <v>3954</v>
      </c>
      <c r="DK1465" s="496" t="s">
        <v>1085</v>
      </c>
      <c r="DL1465" s="496" t="s">
        <v>3799</v>
      </c>
      <c r="DM1465" s="496" t="s">
        <v>1087</v>
      </c>
      <c r="DN1465" s="497" t="s">
        <v>1088</v>
      </c>
      <c r="DP1465" s="543">
        <v>1</v>
      </c>
    </row>
    <row r="1466" spans="109:120" ht="15">
      <c r="DE1466" s="494"/>
      <c r="DF1466" s="496" t="s">
        <v>3955</v>
      </c>
      <c r="DG1466" s="496" t="s">
        <v>10</v>
      </c>
      <c r="DH1466" s="496" t="s">
        <v>1511</v>
      </c>
      <c r="DI1466" s="496" t="s">
        <v>3956</v>
      </c>
      <c r="DJ1466" s="496" t="s">
        <v>3956</v>
      </c>
      <c r="DK1466" s="496" t="s">
        <v>1085</v>
      </c>
      <c r="DL1466" s="496" t="s">
        <v>3799</v>
      </c>
      <c r="DM1466" s="496" t="s">
        <v>1087</v>
      </c>
      <c r="DN1466" s="497" t="s">
        <v>1088</v>
      </c>
      <c r="DP1466" s="543">
        <v>1</v>
      </c>
    </row>
    <row r="1467" spans="109:120" ht="25.5">
      <c r="DE1467" s="494"/>
      <c r="DF1467" s="496" t="s">
        <v>3957</v>
      </c>
      <c r="DG1467" s="496" t="s">
        <v>11</v>
      </c>
      <c r="DH1467" s="496" t="s">
        <v>689</v>
      </c>
      <c r="DI1467" s="496" t="s">
        <v>3958</v>
      </c>
      <c r="DJ1467" s="496" t="s">
        <v>3958</v>
      </c>
      <c r="DK1467" s="496" t="s">
        <v>3959</v>
      </c>
      <c r="DL1467" s="496" t="s">
        <v>3960</v>
      </c>
      <c r="DM1467" s="496" t="s">
        <v>3961</v>
      </c>
      <c r="DN1467" s="497" t="s">
        <v>3962</v>
      </c>
      <c r="DP1467" s="543">
        <v>1</v>
      </c>
    </row>
    <row r="1468" spans="109:120" ht="25.5">
      <c r="DE1468" s="494"/>
      <c r="DF1468" s="496" t="s">
        <v>3963</v>
      </c>
      <c r="DG1468" s="496" t="s">
        <v>11</v>
      </c>
      <c r="DH1468" s="496" t="s">
        <v>689</v>
      </c>
      <c r="DI1468" s="496" t="s">
        <v>3964</v>
      </c>
      <c r="DJ1468" s="496" t="s">
        <v>3964</v>
      </c>
      <c r="DK1468" s="496" t="s">
        <v>3959</v>
      </c>
      <c r="DL1468" s="496" t="s">
        <v>3960</v>
      </c>
      <c r="DM1468" s="496" t="s">
        <v>3961</v>
      </c>
      <c r="DN1468" s="497" t="s">
        <v>3962</v>
      </c>
      <c r="DP1468" s="543">
        <v>1</v>
      </c>
    </row>
    <row r="1469" spans="109:120" ht="25.5">
      <c r="DE1469" s="494"/>
      <c r="DF1469" s="496" t="s">
        <v>3965</v>
      </c>
      <c r="DG1469" s="496" t="s">
        <v>11</v>
      </c>
      <c r="DH1469" s="496" t="s">
        <v>689</v>
      </c>
      <c r="DI1469" s="496" t="s">
        <v>3966</v>
      </c>
      <c r="DJ1469" s="496" t="s">
        <v>3966</v>
      </c>
      <c r="DK1469" s="496" t="s">
        <v>3959</v>
      </c>
      <c r="DL1469" s="496" t="s">
        <v>3960</v>
      </c>
      <c r="DM1469" s="496" t="s">
        <v>3961</v>
      </c>
      <c r="DN1469" s="497" t="s">
        <v>3962</v>
      </c>
      <c r="DP1469" s="543">
        <v>1</v>
      </c>
    </row>
    <row r="1470" spans="109:120" ht="25.5">
      <c r="DE1470" s="494"/>
      <c r="DF1470" s="496" t="s">
        <v>3967</v>
      </c>
      <c r="DG1470" s="496" t="s">
        <v>11</v>
      </c>
      <c r="DH1470" s="496" t="s">
        <v>689</v>
      </c>
      <c r="DI1470" s="496" t="s">
        <v>3968</v>
      </c>
      <c r="DJ1470" s="496" t="s">
        <v>3968</v>
      </c>
      <c r="DK1470" s="496" t="s">
        <v>3959</v>
      </c>
      <c r="DL1470" s="496" t="s">
        <v>3960</v>
      </c>
      <c r="DM1470" s="496" t="s">
        <v>3961</v>
      </c>
      <c r="DN1470" s="497" t="s">
        <v>3962</v>
      </c>
      <c r="DP1470" s="543">
        <v>1</v>
      </c>
    </row>
    <row r="1471" spans="109:120" ht="25.5">
      <c r="DE1471" s="494"/>
      <c r="DF1471" s="496" t="s">
        <v>3969</v>
      </c>
      <c r="DG1471" s="496" t="s">
        <v>11</v>
      </c>
      <c r="DH1471" s="496" t="s">
        <v>689</v>
      </c>
      <c r="DI1471" s="496" t="s">
        <v>3970</v>
      </c>
      <c r="DJ1471" s="496" t="s">
        <v>3970</v>
      </c>
      <c r="DK1471" s="496" t="s">
        <v>3959</v>
      </c>
      <c r="DL1471" s="496" t="s">
        <v>3960</v>
      </c>
      <c r="DM1471" s="496" t="s">
        <v>3961</v>
      </c>
      <c r="DN1471" s="497" t="s">
        <v>3962</v>
      </c>
      <c r="DP1471" s="543">
        <v>1</v>
      </c>
    </row>
    <row r="1472" spans="109:120" ht="25.5">
      <c r="DE1472" s="494"/>
      <c r="DF1472" s="496" t="s">
        <v>3971</v>
      </c>
      <c r="DG1472" s="496" t="s">
        <v>11</v>
      </c>
      <c r="DH1472" s="496" t="s">
        <v>689</v>
      </c>
      <c r="DI1472" s="496" t="s">
        <v>3972</v>
      </c>
      <c r="DJ1472" s="496" t="s">
        <v>3972</v>
      </c>
      <c r="DK1472" s="496" t="s">
        <v>3959</v>
      </c>
      <c r="DL1472" s="496" t="s">
        <v>3960</v>
      </c>
      <c r="DM1472" s="496" t="s">
        <v>3961</v>
      </c>
      <c r="DN1472" s="497" t="s">
        <v>3962</v>
      </c>
      <c r="DP1472" s="543">
        <v>1</v>
      </c>
    </row>
    <row r="1473" spans="109:120" ht="15">
      <c r="DE1473" s="494"/>
      <c r="DF1473" s="496" t="s">
        <v>3973</v>
      </c>
      <c r="DG1473" s="496" t="s">
        <v>11</v>
      </c>
      <c r="DH1473" s="496" t="s">
        <v>689</v>
      </c>
      <c r="DI1473" s="496" t="s">
        <v>322</v>
      </c>
      <c r="DJ1473" s="496" t="s">
        <v>322</v>
      </c>
      <c r="DK1473" s="496" t="s">
        <v>1085</v>
      </c>
      <c r="DL1473" s="496" t="s">
        <v>3974</v>
      </c>
      <c r="DM1473" s="496" t="s">
        <v>1087</v>
      </c>
      <c r="DN1473" s="497" t="s">
        <v>1088</v>
      </c>
      <c r="DP1473" s="543">
        <v>1</v>
      </c>
    </row>
    <row r="1474" spans="109:120" ht="25.5">
      <c r="DE1474" s="494"/>
      <c r="DF1474" s="496" t="s">
        <v>3975</v>
      </c>
      <c r="DG1474" s="496" t="s">
        <v>11</v>
      </c>
      <c r="DH1474" s="496" t="s">
        <v>689</v>
      </c>
      <c r="DI1474" s="496" t="s">
        <v>935</v>
      </c>
      <c r="DJ1474" s="496" t="s">
        <v>935</v>
      </c>
      <c r="DK1474" s="496" t="s">
        <v>3959</v>
      </c>
      <c r="DL1474" s="496" t="s">
        <v>3960</v>
      </c>
      <c r="DM1474" s="496" t="s">
        <v>3961</v>
      </c>
      <c r="DN1474" s="497" t="s">
        <v>3962</v>
      </c>
      <c r="DP1474" s="543">
        <v>1</v>
      </c>
    </row>
    <row r="1475" spans="109:120" ht="15">
      <c r="DE1475" s="494"/>
      <c r="DF1475" s="496" t="s">
        <v>3976</v>
      </c>
      <c r="DG1475" s="496" t="s">
        <v>11</v>
      </c>
      <c r="DH1475" s="496" t="s">
        <v>689</v>
      </c>
      <c r="DI1475" s="496" t="s">
        <v>3977</v>
      </c>
      <c r="DJ1475" s="496" t="s">
        <v>3977</v>
      </c>
      <c r="DK1475" s="496" t="s">
        <v>1151</v>
      </c>
      <c r="DL1475" s="496" t="s">
        <v>1152</v>
      </c>
      <c r="DM1475" s="496" t="s">
        <v>1087</v>
      </c>
      <c r="DN1475" s="497" t="s">
        <v>1153</v>
      </c>
      <c r="DP1475" s="543">
        <v>1</v>
      </c>
    </row>
    <row r="1476" spans="109:120" ht="25.5">
      <c r="DE1476" s="494"/>
      <c r="DF1476" s="496" t="s">
        <v>3978</v>
      </c>
      <c r="DG1476" s="496" t="s">
        <v>11</v>
      </c>
      <c r="DH1476" s="496" t="s">
        <v>689</v>
      </c>
      <c r="DI1476" s="496" t="s">
        <v>3979</v>
      </c>
      <c r="DJ1476" s="496" t="s">
        <v>3979</v>
      </c>
      <c r="DK1476" s="496" t="s">
        <v>3959</v>
      </c>
      <c r="DL1476" s="496" t="s">
        <v>3960</v>
      </c>
      <c r="DM1476" s="496" t="s">
        <v>3961</v>
      </c>
      <c r="DN1476" s="497" t="s">
        <v>3962</v>
      </c>
      <c r="DP1476" s="543">
        <v>1</v>
      </c>
    </row>
    <row r="1477" spans="109:120" ht="15">
      <c r="DE1477" s="494"/>
      <c r="DF1477" s="496" t="s">
        <v>3980</v>
      </c>
      <c r="DG1477" s="496" t="s">
        <v>11</v>
      </c>
      <c r="DH1477" s="496" t="s">
        <v>689</v>
      </c>
      <c r="DI1477" s="496" t="s">
        <v>938</v>
      </c>
      <c r="DJ1477" s="496" t="s">
        <v>938</v>
      </c>
      <c r="DK1477" s="496" t="s">
        <v>1085</v>
      </c>
      <c r="DL1477" s="496" t="s">
        <v>3974</v>
      </c>
      <c r="DM1477" s="496" t="s">
        <v>1087</v>
      </c>
      <c r="DN1477" s="497" t="s">
        <v>1088</v>
      </c>
      <c r="DP1477" s="543">
        <v>1</v>
      </c>
    </row>
    <row r="1478" spans="109:120" ht="25.5">
      <c r="DE1478" s="494"/>
      <c r="DF1478" s="496" t="s">
        <v>3981</v>
      </c>
      <c r="DG1478" s="496" t="s">
        <v>11</v>
      </c>
      <c r="DH1478" s="496" t="s">
        <v>689</v>
      </c>
      <c r="DI1478" s="496" t="s">
        <v>3982</v>
      </c>
      <c r="DJ1478" s="496" t="s">
        <v>3982</v>
      </c>
      <c r="DK1478" s="496" t="s">
        <v>3959</v>
      </c>
      <c r="DL1478" s="496" t="s">
        <v>3960</v>
      </c>
      <c r="DM1478" s="496" t="s">
        <v>3961</v>
      </c>
      <c r="DN1478" s="497" t="s">
        <v>3962</v>
      </c>
      <c r="DP1478" s="543">
        <v>1</v>
      </c>
    </row>
    <row r="1479" spans="109:120" ht="15">
      <c r="DE1479" s="494"/>
      <c r="DF1479" s="496" t="s">
        <v>3983</v>
      </c>
      <c r="DG1479" s="496" t="s">
        <v>11</v>
      </c>
      <c r="DH1479" s="496" t="s">
        <v>689</v>
      </c>
      <c r="DI1479" s="496" t="s">
        <v>167</v>
      </c>
      <c r="DJ1479" s="496" t="s">
        <v>167</v>
      </c>
      <c r="DK1479" s="496" t="s">
        <v>1085</v>
      </c>
      <c r="DL1479" s="496" t="s">
        <v>3974</v>
      </c>
      <c r="DM1479" s="496" t="s">
        <v>1087</v>
      </c>
      <c r="DN1479" s="497" t="s">
        <v>1088</v>
      </c>
      <c r="DP1479" s="543">
        <v>1</v>
      </c>
    </row>
    <row r="1480" spans="109:120" ht="25.5">
      <c r="DE1480" s="494"/>
      <c r="DF1480" s="496" t="s">
        <v>3984</v>
      </c>
      <c r="DG1480" s="496" t="s">
        <v>11</v>
      </c>
      <c r="DH1480" s="496" t="s">
        <v>689</v>
      </c>
      <c r="DI1480" s="496" t="s">
        <v>939</v>
      </c>
      <c r="DJ1480" s="496" t="s">
        <v>939</v>
      </c>
      <c r="DK1480" s="496" t="s">
        <v>3959</v>
      </c>
      <c r="DL1480" s="496" t="s">
        <v>3960</v>
      </c>
      <c r="DM1480" s="496" t="s">
        <v>3961</v>
      </c>
      <c r="DN1480" s="497" t="s">
        <v>3962</v>
      </c>
      <c r="DP1480" s="543">
        <v>1</v>
      </c>
    </row>
    <row r="1481" spans="109:120" ht="25.5">
      <c r="DE1481" s="494"/>
      <c r="DF1481" s="496" t="s">
        <v>3985</v>
      </c>
      <c r="DG1481" s="496" t="s">
        <v>11</v>
      </c>
      <c r="DH1481" s="496" t="s">
        <v>689</v>
      </c>
      <c r="DI1481" s="496" t="s">
        <v>3986</v>
      </c>
      <c r="DJ1481" s="496" t="s">
        <v>3987</v>
      </c>
      <c r="DK1481" s="496" t="s">
        <v>3959</v>
      </c>
      <c r="DL1481" s="496" t="s">
        <v>3960</v>
      </c>
      <c r="DM1481" s="496" t="s">
        <v>3961</v>
      </c>
      <c r="DN1481" s="497" t="s">
        <v>3962</v>
      </c>
      <c r="DP1481" s="543">
        <v>1</v>
      </c>
    </row>
    <row r="1482" spans="109:120" ht="15">
      <c r="DE1482" s="494"/>
      <c r="DF1482" s="496" t="s">
        <v>3988</v>
      </c>
      <c r="DG1482" s="496" t="s">
        <v>11</v>
      </c>
      <c r="DH1482" s="496" t="s">
        <v>689</v>
      </c>
      <c r="DI1482" s="496" t="s">
        <v>696</v>
      </c>
      <c r="DJ1482" s="496" t="s">
        <v>696</v>
      </c>
      <c r="DK1482" s="496" t="s">
        <v>1085</v>
      </c>
      <c r="DL1482" s="496" t="s">
        <v>3974</v>
      </c>
      <c r="DM1482" s="496" t="s">
        <v>1087</v>
      </c>
      <c r="DN1482" s="497" t="s">
        <v>1088</v>
      </c>
      <c r="DP1482" s="543">
        <v>1</v>
      </c>
    </row>
    <row r="1483" spans="109:120" ht="15">
      <c r="DE1483" s="494"/>
      <c r="DF1483" s="496" t="s">
        <v>3989</v>
      </c>
      <c r="DG1483" s="496" t="s">
        <v>11</v>
      </c>
      <c r="DH1483" s="496" t="s">
        <v>689</v>
      </c>
      <c r="DI1483" s="496" t="s">
        <v>697</v>
      </c>
      <c r="DJ1483" s="496" t="s">
        <v>697</v>
      </c>
      <c r="DK1483" s="496" t="s">
        <v>1085</v>
      </c>
      <c r="DL1483" s="496" t="s">
        <v>3974</v>
      </c>
      <c r="DM1483" s="496" t="s">
        <v>1087</v>
      </c>
      <c r="DN1483" s="497" t="s">
        <v>1088</v>
      </c>
      <c r="DP1483" s="543">
        <v>1</v>
      </c>
    </row>
    <row r="1484" spans="109:120" ht="15">
      <c r="DE1484" s="494"/>
      <c r="DF1484" s="496" t="s">
        <v>3990</v>
      </c>
      <c r="DG1484" s="496" t="s">
        <v>11</v>
      </c>
      <c r="DH1484" s="496" t="s">
        <v>689</v>
      </c>
      <c r="DI1484" s="496" t="s">
        <v>695</v>
      </c>
      <c r="DJ1484" s="496" t="s">
        <v>695</v>
      </c>
      <c r="DK1484" s="496" t="s">
        <v>1085</v>
      </c>
      <c r="DL1484" s="496" t="s">
        <v>3974</v>
      </c>
      <c r="DM1484" s="496" t="s">
        <v>1087</v>
      </c>
      <c r="DN1484" s="497" t="s">
        <v>1088</v>
      </c>
      <c r="DP1484" s="543">
        <v>1</v>
      </c>
    </row>
    <row r="1485" spans="109:120" ht="25.5">
      <c r="DE1485" s="494"/>
      <c r="DF1485" s="496" t="s">
        <v>3991</v>
      </c>
      <c r="DG1485" s="496" t="s">
        <v>11</v>
      </c>
      <c r="DH1485" s="496" t="s">
        <v>689</v>
      </c>
      <c r="DI1485" s="496" t="s">
        <v>3992</v>
      </c>
      <c r="DJ1485" s="496" t="s">
        <v>3993</v>
      </c>
      <c r="DK1485" s="496" t="s">
        <v>3959</v>
      </c>
      <c r="DL1485" s="496" t="s">
        <v>3960</v>
      </c>
      <c r="DM1485" s="496" t="s">
        <v>3961</v>
      </c>
      <c r="DN1485" s="497" t="s">
        <v>3962</v>
      </c>
      <c r="DP1485" s="543">
        <v>1</v>
      </c>
    </row>
    <row r="1486" spans="109:120" ht="25.5">
      <c r="DE1486" s="494"/>
      <c r="DF1486" s="496" t="s">
        <v>3994</v>
      </c>
      <c r="DG1486" s="496" t="s">
        <v>11</v>
      </c>
      <c r="DH1486" s="496" t="s">
        <v>689</v>
      </c>
      <c r="DI1486" s="496" t="s">
        <v>3995</v>
      </c>
      <c r="DJ1486" s="496" t="s">
        <v>3995</v>
      </c>
      <c r="DK1486" s="496" t="s">
        <v>3959</v>
      </c>
      <c r="DL1486" s="496" t="s">
        <v>3960</v>
      </c>
      <c r="DM1486" s="496" t="s">
        <v>3961</v>
      </c>
      <c r="DN1486" s="497" t="s">
        <v>3962</v>
      </c>
      <c r="DP1486" s="543">
        <v>1</v>
      </c>
    </row>
    <row r="1487" spans="109:120" ht="15">
      <c r="DE1487" s="494"/>
      <c r="DF1487" s="496" t="s">
        <v>3996</v>
      </c>
      <c r="DG1487" s="496" t="s">
        <v>11</v>
      </c>
      <c r="DH1487" s="496" t="s">
        <v>689</v>
      </c>
      <c r="DI1487" s="496" t="s">
        <v>3997</v>
      </c>
      <c r="DJ1487" s="496" t="s">
        <v>3998</v>
      </c>
      <c r="DK1487" s="496" t="s">
        <v>1085</v>
      </c>
      <c r="DL1487" s="496" t="s">
        <v>3974</v>
      </c>
      <c r="DM1487" s="496" t="s">
        <v>1087</v>
      </c>
      <c r="DN1487" s="497" t="s">
        <v>1088</v>
      </c>
      <c r="DP1487" s="543">
        <v>1</v>
      </c>
    </row>
    <row r="1488" spans="109:120" ht="25.5">
      <c r="DE1488" s="494"/>
      <c r="DF1488" s="496" t="s">
        <v>3999</v>
      </c>
      <c r="DG1488" s="496" t="s">
        <v>11</v>
      </c>
      <c r="DH1488" s="496" t="s">
        <v>689</v>
      </c>
      <c r="DI1488" s="496" t="s">
        <v>940</v>
      </c>
      <c r="DJ1488" s="496" t="s">
        <v>940</v>
      </c>
      <c r="DK1488" s="496" t="s">
        <v>3959</v>
      </c>
      <c r="DL1488" s="496" t="s">
        <v>3960</v>
      </c>
      <c r="DM1488" s="496" t="s">
        <v>3961</v>
      </c>
      <c r="DN1488" s="497" t="s">
        <v>3962</v>
      </c>
      <c r="DP1488" s="543">
        <v>1</v>
      </c>
    </row>
    <row r="1489" spans="109:120" ht="15">
      <c r="DE1489" s="494"/>
      <c r="DF1489" s="496" t="s">
        <v>4000</v>
      </c>
      <c r="DG1489" s="496" t="s">
        <v>11</v>
      </c>
      <c r="DH1489" s="496" t="s">
        <v>689</v>
      </c>
      <c r="DI1489" s="496" t="s">
        <v>4001</v>
      </c>
      <c r="DJ1489" s="496" t="s">
        <v>4001</v>
      </c>
      <c r="DK1489" s="496" t="s">
        <v>1085</v>
      </c>
      <c r="DL1489" s="496" t="s">
        <v>3974</v>
      </c>
      <c r="DM1489" s="496" t="s">
        <v>1087</v>
      </c>
      <c r="DN1489" s="497" t="s">
        <v>1088</v>
      </c>
      <c r="DP1489" s="543">
        <v>1</v>
      </c>
    </row>
    <row r="1490" spans="109:120" ht="25.5">
      <c r="DE1490" s="494"/>
      <c r="DF1490" s="496" t="s">
        <v>4002</v>
      </c>
      <c r="DG1490" s="496" t="s">
        <v>11</v>
      </c>
      <c r="DH1490" s="496" t="s">
        <v>689</v>
      </c>
      <c r="DI1490" s="496" t="s">
        <v>4003</v>
      </c>
      <c r="DJ1490" s="496" t="s">
        <v>4003</v>
      </c>
      <c r="DK1490" s="496" t="s">
        <v>3959</v>
      </c>
      <c r="DL1490" s="496" t="s">
        <v>3960</v>
      </c>
      <c r="DM1490" s="496" t="s">
        <v>3961</v>
      </c>
      <c r="DN1490" s="497" t="s">
        <v>3962</v>
      </c>
      <c r="DP1490" s="543">
        <v>1</v>
      </c>
    </row>
    <row r="1491" spans="109:120" ht="25.5">
      <c r="DE1491" s="494"/>
      <c r="DF1491" s="496" t="s">
        <v>4004</v>
      </c>
      <c r="DG1491" s="496" t="s">
        <v>11</v>
      </c>
      <c r="DH1491" s="496" t="s">
        <v>689</v>
      </c>
      <c r="DI1491" s="496" t="s">
        <v>4005</v>
      </c>
      <c r="DJ1491" s="496" t="s">
        <v>4005</v>
      </c>
      <c r="DK1491" s="496" t="s">
        <v>3959</v>
      </c>
      <c r="DL1491" s="496" t="s">
        <v>3960</v>
      </c>
      <c r="DM1491" s="496" t="s">
        <v>3961</v>
      </c>
      <c r="DN1491" s="497" t="s">
        <v>3962</v>
      </c>
      <c r="DP1491" s="543">
        <v>1</v>
      </c>
    </row>
    <row r="1492" spans="109:120" ht="25.5">
      <c r="DE1492" s="494"/>
      <c r="DF1492" s="496" t="s">
        <v>4006</v>
      </c>
      <c r="DG1492" s="496" t="s">
        <v>11</v>
      </c>
      <c r="DH1492" s="496" t="s">
        <v>689</v>
      </c>
      <c r="DI1492" s="496" t="s">
        <v>4007</v>
      </c>
      <c r="DJ1492" s="496" t="s">
        <v>4007</v>
      </c>
      <c r="DK1492" s="496" t="s">
        <v>3959</v>
      </c>
      <c r="DL1492" s="496" t="s">
        <v>3960</v>
      </c>
      <c r="DM1492" s="496" t="s">
        <v>3961</v>
      </c>
      <c r="DN1492" s="497" t="s">
        <v>3962</v>
      </c>
      <c r="DP1492" s="543">
        <v>1</v>
      </c>
    </row>
    <row r="1493" spans="109:120" ht="25.5">
      <c r="DE1493" s="494"/>
      <c r="DF1493" s="496" t="s">
        <v>4008</v>
      </c>
      <c r="DG1493" s="496" t="s">
        <v>11</v>
      </c>
      <c r="DH1493" s="496" t="s">
        <v>689</v>
      </c>
      <c r="DI1493" s="496" t="s">
        <v>941</v>
      </c>
      <c r="DJ1493" s="496" t="s">
        <v>941</v>
      </c>
      <c r="DK1493" s="496" t="s">
        <v>3959</v>
      </c>
      <c r="DL1493" s="496" t="s">
        <v>3960</v>
      </c>
      <c r="DM1493" s="496" t="s">
        <v>3961</v>
      </c>
      <c r="DN1493" s="497" t="s">
        <v>3962</v>
      </c>
      <c r="DP1493" s="543">
        <v>1</v>
      </c>
    </row>
    <row r="1494" spans="109:120" ht="15">
      <c r="DE1494" s="494"/>
      <c r="DF1494" s="496" t="s">
        <v>4009</v>
      </c>
      <c r="DG1494" s="496" t="s">
        <v>11</v>
      </c>
      <c r="DH1494" s="496" t="s">
        <v>689</v>
      </c>
      <c r="DI1494" s="496" t="s">
        <v>943</v>
      </c>
      <c r="DJ1494" s="496" t="s">
        <v>943</v>
      </c>
      <c r="DK1494" s="496" t="s">
        <v>1085</v>
      </c>
      <c r="DL1494" s="496" t="s">
        <v>3974</v>
      </c>
      <c r="DM1494" s="496" t="s">
        <v>1087</v>
      </c>
      <c r="DN1494" s="497" t="s">
        <v>1088</v>
      </c>
      <c r="DP1494" s="543">
        <v>1</v>
      </c>
    </row>
    <row r="1495" spans="109:120" ht="25.5">
      <c r="DE1495" s="494"/>
      <c r="DF1495" s="496" t="s">
        <v>4010</v>
      </c>
      <c r="DG1495" s="496" t="s">
        <v>11</v>
      </c>
      <c r="DH1495" s="496" t="s">
        <v>689</v>
      </c>
      <c r="DI1495" s="496" t="s">
        <v>4011</v>
      </c>
      <c r="DJ1495" s="496" t="s">
        <v>4011</v>
      </c>
      <c r="DK1495" s="496" t="s">
        <v>3959</v>
      </c>
      <c r="DL1495" s="496" t="s">
        <v>3960</v>
      </c>
      <c r="DM1495" s="496" t="s">
        <v>3961</v>
      </c>
      <c r="DN1495" s="497" t="s">
        <v>3962</v>
      </c>
      <c r="DP1495" s="543">
        <v>1</v>
      </c>
    </row>
    <row r="1496" spans="109:120" ht="25.5">
      <c r="DE1496" s="494"/>
      <c r="DF1496" s="496" t="s">
        <v>4012</v>
      </c>
      <c r="DG1496" s="496" t="s">
        <v>11</v>
      </c>
      <c r="DH1496" s="496" t="s">
        <v>689</v>
      </c>
      <c r="DI1496" s="496" t="s">
        <v>4013</v>
      </c>
      <c r="DJ1496" s="496" t="s">
        <v>4013</v>
      </c>
      <c r="DK1496" s="496" t="s">
        <v>3959</v>
      </c>
      <c r="DL1496" s="496" t="s">
        <v>3960</v>
      </c>
      <c r="DM1496" s="496" t="s">
        <v>3961</v>
      </c>
      <c r="DN1496" s="497" t="s">
        <v>3962</v>
      </c>
      <c r="DP1496" s="543">
        <v>1</v>
      </c>
    </row>
    <row r="1497" spans="109:120" ht="25.5">
      <c r="DE1497" s="494"/>
      <c r="DF1497" s="496" t="s">
        <v>4014</v>
      </c>
      <c r="DG1497" s="496" t="s">
        <v>11</v>
      </c>
      <c r="DH1497" s="496" t="s">
        <v>689</v>
      </c>
      <c r="DI1497" s="496" t="s">
        <v>4015</v>
      </c>
      <c r="DJ1497" s="496" t="s">
        <v>4016</v>
      </c>
      <c r="DK1497" s="496" t="s">
        <v>3959</v>
      </c>
      <c r="DL1497" s="496" t="s">
        <v>3960</v>
      </c>
      <c r="DM1497" s="496" t="s">
        <v>3961</v>
      </c>
      <c r="DN1497" s="497" t="s">
        <v>3962</v>
      </c>
      <c r="DP1497" s="543">
        <v>1</v>
      </c>
    </row>
    <row r="1498" spans="109:120" ht="15">
      <c r="DE1498" s="494"/>
      <c r="DF1498" s="496" t="s">
        <v>4017</v>
      </c>
      <c r="DG1498" s="496" t="s">
        <v>11</v>
      </c>
      <c r="DH1498" s="496" t="s">
        <v>689</v>
      </c>
      <c r="DI1498" s="496" t="s">
        <v>4018</v>
      </c>
      <c r="DJ1498" s="496" t="s">
        <v>4018</v>
      </c>
      <c r="DK1498" s="496" t="s">
        <v>1085</v>
      </c>
      <c r="DL1498" s="496" t="s">
        <v>3974</v>
      </c>
      <c r="DM1498" s="496" t="s">
        <v>1087</v>
      </c>
      <c r="DN1498" s="497" t="s">
        <v>1088</v>
      </c>
      <c r="DP1498" s="543">
        <v>1</v>
      </c>
    </row>
    <row r="1499" spans="109:120" ht="15">
      <c r="DE1499" s="494"/>
      <c r="DF1499" s="496" t="s">
        <v>4019</v>
      </c>
      <c r="DG1499" s="496" t="s">
        <v>11</v>
      </c>
      <c r="DH1499" s="496" t="s">
        <v>689</v>
      </c>
      <c r="DI1499" s="496" t="s">
        <v>4020</v>
      </c>
      <c r="DJ1499" s="496" t="s">
        <v>4020</v>
      </c>
      <c r="DK1499" s="496" t="s">
        <v>1085</v>
      </c>
      <c r="DL1499" s="496" t="s">
        <v>3974</v>
      </c>
      <c r="DM1499" s="496" t="s">
        <v>1087</v>
      </c>
      <c r="DN1499" s="497" t="s">
        <v>1088</v>
      </c>
      <c r="DP1499" s="543">
        <v>1</v>
      </c>
    </row>
    <row r="1500" spans="109:120" ht="25.5">
      <c r="DE1500" s="494"/>
      <c r="DF1500" s="496" t="s">
        <v>4021</v>
      </c>
      <c r="DG1500" s="496" t="s">
        <v>11</v>
      </c>
      <c r="DH1500" s="496" t="s">
        <v>689</v>
      </c>
      <c r="DI1500" s="496" t="s">
        <v>4022</v>
      </c>
      <c r="DJ1500" s="496" t="s">
        <v>4022</v>
      </c>
      <c r="DK1500" s="496" t="s">
        <v>3959</v>
      </c>
      <c r="DL1500" s="496" t="s">
        <v>3960</v>
      </c>
      <c r="DM1500" s="496" t="s">
        <v>3961</v>
      </c>
      <c r="DN1500" s="497" t="s">
        <v>3962</v>
      </c>
      <c r="DP1500" s="543">
        <v>1</v>
      </c>
    </row>
    <row r="1501" spans="109:120" ht="25.5">
      <c r="DE1501" s="494"/>
      <c r="DF1501" s="496" t="s">
        <v>4023</v>
      </c>
      <c r="DG1501" s="496" t="s">
        <v>11</v>
      </c>
      <c r="DH1501" s="496" t="s">
        <v>689</v>
      </c>
      <c r="DI1501" s="496" t="s">
        <v>4024</v>
      </c>
      <c r="DJ1501" s="496" t="s">
        <v>4024</v>
      </c>
      <c r="DK1501" s="496" t="s">
        <v>3959</v>
      </c>
      <c r="DL1501" s="496" t="s">
        <v>3960</v>
      </c>
      <c r="DM1501" s="496" t="s">
        <v>3961</v>
      </c>
      <c r="DN1501" s="497" t="s">
        <v>3962</v>
      </c>
      <c r="DP1501" s="543">
        <v>1</v>
      </c>
    </row>
    <row r="1502" spans="109:120" ht="25.5">
      <c r="DE1502" s="494"/>
      <c r="DF1502" s="496" t="s">
        <v>4025</v>
      </c>
      <c r="DG1502" s="496" t="s">
        <v>11</v>
      </c>
      <c r="DH1502" s="496" t="s">
        <v>689</v>
      </c>
      <c r="DI1502" s="496" t="s">
        <v>4026</v>
      </c>
      <c r="DJ1502" s="496" t="s">
        <v>4027</v>
      </c>
      <c r="DK1502" s="496" t="s">
        <v>3959</v>
      </c>
      <c r="DL1502" s="496" t="s">
        <v>3960</v>
      </c>
      <c r="DM1502" s="496" t="s">
        <v>3961</v>
      </c>
      <c r="DN1502" s="497" t="s">
        <v>3962</v>
      </c>
      <c r="DP1502" s="543">
        <v>1</v>
      </c>
    </row>
    <row r="1503" spans="109:120" ht="15">
      <c r="DE1503" s="494"/>
      <c r="DF1503" s="496" t="s">
        <v>4028</v>
      </c>
      <c r="DG1503" s="496" t="s">
        <v>11</v>
      </c>
      <c r="DH1503" s="496" t="s">
        <v>689</v>
      </c>
      <c r="DI1503" s="496" t="s">
        <v>4029</v>
      </c>
      <c r="DJ1503" s="496" t="s">
        <v>4029</v>
      </c>
      <c r="DK1503" s="496" t="s">
        <v>1085</v>
      </c>
      <c r="DL1503" s="496" t="s">
        <v>3974</v>
      </c>
      <c r="DM1503" s="496" t="s">
        <v>1087</v>
      </c>
      <c r="DN1503" s="497" t="s">
        <v>1088</v>
      </c>
      <c r="DP1503" s="543">
        <v>1</v>
      </c>
    </row>
    <row r="1504" spans="109:120" ht="15">
      <c r="DE1504" s="494"/>
      <c r="DF1504" s="496" t="s">
        <v>4030</v>
      </c>
      <c r="DG1504" s="496" t="s">
        <v>11</v>
      </c>
      <c r="DH1504" s="496" t="s">
        <v>689</v>
      </c>
      <c r="DI1504" s="496" t="s">
        <v>323</v>
      </c>
      <c r="DJ1504" s="496" t="s">
        <v>323</v>
      </c>
      <c r="DK1504" s="496" t="s">
        <v>1151</v>
      </c>
      <c r="DL1504" s="496" t="s">
        <v>1152</v>
      </c>
      <c r="DM1504" s="496" t="s">
        <v>1087</v>
      </c>
      <c r="DN1504" s="497" t="s">
        <v>1153</v>
      </c>
      <c r="DP1504" s="543">
        <v>1</v>
      </c>
    </row>
    <row r="1505" spans="109:120" ht="25.5">
      <c r="DE1505" s="494"/>
      <c r="DF1505" s="496" t="s">
        <v>4031</v>
      </c>
      <c r="DG1505" s="496" t="s">
        <v>11</v>
      </c>
      <c r="DH1505" s="496" t="s">
        <v>689</v>
      </c>
      <c r="DI1505" s="496" t="s">
        <v>4032</v>
      </c>
      <c r="DJ1505" s="496" t="s">
        <v>4032</v>
      </c>
      <c r="DK1505" s="496" t="s">
        <v>3959</v>
      </c>
      <c r="DL1505" s="496" t="s">
        <v>3960</v>
      </c>
      <c r="DM1505" s="496" t="s">
        <v>3961</v>
      </c>
      <c r="DN1505" s="497" t="s">
        <v>3962</v>
      </c>
      <c r="DP1505" s="543">
        <v>1</v>
      </c>
    </row>
    <row r="1506" spans="109:120" ht="25.5">
      <c r="DE1506" s="494"/>
      <c r="DF1506" s="496" t="s">
        <v>4033</v>
      </c>
      <c r="DG1506" s="496" t="s">
        <v>11</v>
      </c>
      <c r="DH1506" s="496" t="s">
        <v>689</v>
      </c>
      <c r="DI1506" s="496" t="s">
        <v>4034</v>
      </c>
      <c r="DJ1506" s="496" t="s">
        <v>4035</v>
      </c>
      <c r="DK1506" s="496" t="s">
        <v>3959</v>
      </c>
      <c r="DL1506" s="496" t="s">
        <v>3960</v>
      </c>
      <c r="DM1506" s="496" t="s">
        <v>3961</v>
      </c>
      <c r="DN1506" s="497" t="s">
        <v>3962</v>
      </c>
      <c r="DP1506" s="543">
        <v>1</v>
      </c>
    </row>
    <row r="1507" spans="109:120" ht="25.5">
      <c r="DE1507" s="494"/>
      <c r="DF1507" s="496" t="s">
        <v>4036</v>
      </c>
      <c r="DG1507" s="496" t="s">
        <v>11</v>
      </c>
      <c r="DH1507" s="496" t="s">
        <v>689</v>
      </c>
      <c r="DI1507" s="496" t="s">
        <v>4037</v>
      </c>
      <c r="DJ1507" s="496" t="s">
        <v>4037</v>
      </c>
      <c r="DK1507" s="496" t="s">
        <v>3959</v>
      </c>
      <c r="DL1507" s="496" t="s">
        <v>3960</v>
      </c>
      <c r="DM1507" s="496" t="s">
        <v>3961</v>
      </c>
      <c r="DN1507" s="497" t="s">
        <v>3962</v>
      </c>
      <c r="DP1507" s="543">
        <v>1</v>
      </c>
    </row>
    <row r="1508" spans="109:120" ht="25.5">
      <c r="DE1508" s="494"/>
      <c r="DF1508" s="496" t="s">
        <v>4038</v>
      </c>
      <c r="DG1508" s="496" t="s">
        <v>11</v>
      </c>
      <c r="DH1508" s="496" t="s">
        <v>689</v>
      </c>
      <c r="DI1508" s="496" t="s">
        <v>4039</v>
      </c>
      <c r="DJ1508" s="496" t="s">
        <v>4039</v>
      </c>
      <c r="DK1508" s="496" t="s">
        <v>3959</v>
      </c>
      <c r="DL1508" s="496" t="s">
        <v>3960</v>
      </c>
      <c r="DM1508" s="496" t="s">
        <v>3961</v>
      </c>
      <c r="DN1508" s="497" t="s">
        <v>3962</v>
      </c>
      <c r="DP1508" s="543">
        <v>1</v>
      </c>
    </row>
    <row r="1509" spans="109:120" ht="25.5">
      <c r="DE1509" s="494"/>
      <c r="DF1509" s="496" t="s">
        <v>4040</v>
      </c>
      <c r="DG1509" s="496" t="s">
        <v>11</v>
      </c>
      <c r="DH1509" s="496" t="s">
        <v>689</v>
      </c>
      <c r="DI1509" s="496" t="s">
        <v>4041</v>
      </c>
      <c r="DJ1509" s="496" t="s">
        <v>4041</v>
      </c>
      <c r="DK1509" s="496" t="s">
        <v>3959</v>
      </c>
      <c r="DL1509" s="496" t="s">
        <v>3960</v>
      </c>
      <c r="DM1509" s="496" t="s">
        <v>3961</v>
      </c>
      <c r="DN1509" s="497" t="s">
        <v>3962</v>
      </c>
      <c r="DP1509" s="543">
        <v>1</v>
      </c>
    </row>
    <row r="1510" spans="109:120" ht="25.5">
      <c r="DE1510" s="494"/>
      <c r="DF1510" s="496" t="s">
        <v>4042</v>
      </c>
      <c r="DG1510" s="496" t="s">
        <v>11</v>
      </c>
      <c r="DH1510" s="496" t="s">
        <v>689</v>
      </c>
      <c r="DI1510" s="496" t="s">
        <v>4043</v>
      </c>
      <c r="DJ1510" s="496" t="s">
        <v>4044</v>
      </c>
      <c r="DK1510" s="496" t="s">
        <v>3959</v>
      </c>
      <c r="DL1510" s="496" t="s">
        <v>3960</v>
      </c>
      <c r="DM1510" s="496" t="s">
        <v>3961</v>
      </c>
      <c r="DN1510" s="497" t="s">
        <v>3962</v>
      </c>
      <c r="DP1510" s="543">
        <v>1</v>
      </c>
    </row>
    <row r="1511" spans="109:120" ht="25.5">
      <c r="DE1511" s="494"/>
      <c r="DF1511" s="496" t="s">
        <v>4045</v>
      </c>
      <c r="DG1511" s="496" t="s">
        <v>11</v>
      </c>
      <c r="DH1511" s="496" t="s">
        <v>689</v>
      </c>
      <c r="DI1511" s="496" t="s">
        <v>4046</v>
      </c>
      <c r="DJ1511" s="496" t="s">
        <v>4047</v>
      </c>
      <c r="DK1511" s="496" t="s">
        <v>3959</v>
      </c>
      <c r="DL1511" s="496" t="s">
        <v>3960</v>
      </c>
      <c r="DM1511" s="496" t="s">
        <v>3961</v>
      </c>
      <c r="DN1511" s="497" t="s">
        <v>3962</v>
      </c>
      <c r="DP1511" s="543">
        <v>1</v>
      </c>
    </row>
    <row r="1512" spans="109:120" ht="15">
      <c r="DE1512" s="494"/>
      <c r="DF1512" s="496" t="s">
        <v>4048</v>
      </c>
      <c r="DG1512" s="496" t="s">
        <v>11</v>
      </c>
      <c r="DH1512" s="496" t="s">
        <v>689</v>
      </c>
      <c r="DI1512" s="496" t="s">
        <v>944</v>
      </c>
      <c r="DJ1512" s="496" t="s">
        <v>944</v>
      </c>
      <c r="DK1512" s="496" t="s">
        <v>1085</v>
      </c>
      <c r="DL1512" s="496" t="s">
        <v>3974</v>
      </c>
      <c r="DM1512" s="496" t="s">
        <v>1087</v>
      </c>
      <c r="DN1512" s="497" t="s">
        <v>1088</v>
      </c>
      <c r="DP1512" s="543">
        <v>1</v>
      </c>
    </row>
    <row r="1513" spans="109:120" ht="25.5">
      <c r="DE1513" s="494"/>
      <c r="DF1513" s="496" t="s">
        <v>4049</v>
      </c>
      <c r="DG1513" s="496" t="s">
        <v>11</v>
      </c>
      <c r="DH1513" s="496" t="s">
        <v>689</v>
      </c>
      <c r="DI1513" s="496" t="s">
        <v>4050</v>
      </c>
      <c r="DJ1513" s="496" t="s">
        <v>4050</v>
      </c>
      <c r="DK1513" s="496" t="s">
        <v>3959</v>
      </c>
      <c r="DL1513" s="496" t="s">
        <v>3960</v>
      </c>
      <c r="DM1513" s="496" t="s">
        <v>3961</v>
      </c>
      <c r="DN1513" s="497" t="s">
        <v>3962</v>
      </c>
      <c r="DP1513" s="543">
        <v>1</v>
      </c>
    </row>
    <row r="1514" spans="109:120" ht="15">
      <c r="DE1514" s="494"/>
      <c r="DF1514" s="496" t="s">
        <v>4051</v>
      </c>
      <c r="DG1514" s="496" t="s">
        <v>11</v>
      </c>
      <c r="DH1514" s="496" t="s">
        <v>689</v>
      </c>
      <c r="DI1514" s="496" t="s">
        <v>4052</v>
      </c>
      <c r="DJ1514" s="496" t="s">
        <v>4052</v>
      </c>
      <c r="DK1514" s="496" t="s">
        <v>1085</v>
      </c>
      <c r="DL1514" s="496" t="s">
        <v>3974</v>
      </c>
      <c r="DM1514" s="496" t="s">
        <v>1087</v>
      </c>
      <c r="DN1514" s="497" t="s">
        <v>1088</v>
      </c>
      <c r="DP1514" s="543">
        <v>1</v>
      </c>
    </row>
    <row r="1515" spans="109:120" ht="15">
      <c r="DE1515" s="494"/>
      <c r="DF1515" s="496" t="s">
        <v>4053</v>
      </c>
      <c r="DG1515" s="496" t="s">
        <v>11</v>
      </c>
      <c r="DH1515" s="496" t="s">
        <v>689</v>
      </c>
      <c r="DI1515" s="496" t="s">
        <v>945</v>
      </c>
      <c r="DJ1515" s="496" t="s">
        <v>945</v>
      </c>
      <c r="DK1515" s="496" t="s">
        <v>1085</v>
      </c>
      <c r="DL1515" s="496" t="s">
        <v>3974</v>
      </c>
      <c r="DM1515" s="496" t="s">
        <v>1087</v>
      </c>
      <c r="DN1515" s="497" t="s">
        <v>1088</v>
      </c>
      <c r="DP1515" s="543">
        <v>1</v>
      </c>
    </row>
    <row r="1516" spans="109:120" ht="25.5">
      <c r="DE1516" s="494"/>
      <c r="DF1516" s="496" t="s">
        <v>4054</v>
      </c>
      <c r="DG1516" s="496" t="s">
        <v>11</v>
      </c>
      <c r="DH1516" s="496" t="s">
        <v>689</v>
      </c>
      <c r="DI1516" s="496" t="s">
        <v>4055</v>
      </c>
      <c r="DJ1516" s="496" t="s">
        <v>4055</v>
      </c>
      <c r="DK1516" s="496" t="s">
        <v>3959</v>
      </c>
      <c r="DL1516" s="496" t="s">
        <v>3960</v>
      </c>
      <c r="DM1516" s="496" t="s">
        <v>3961</v>
      </c>
      <c r="DN1516" s="497" t="s">
        <v>3962</v>
      </c>
      <c r="DP1516" s="543">
        <v>1</v>
      </c>
    </row>
    <row r="1517" spans="109:120" ht="25.5">
      <c r="DE1517" s="494"/>
      <c r="DF1517" s="496" t="s">
        <v>4056</v>
      </c>
      <c r="DG1517" s="496" t="s">
        <v>11</v>
      </c>
      <c r="DH1517" s="496" t="s">
        <v>689</v>
      </c>
      <c r="DI1517" s="496" t="s">
        <v>4057</v>
      </c>
      <c r="DJ1517" s="496" t="s">
        <v>4057</v>
      </c>
      <c r="DK1517" s="496" t="s">
        <v>3959</v>
      </c>
      <c r="DL1517" s="496" t="s">
        <v>3960</v>
      </c>
      <c r="DM1517" s="496" t="s">
        <v>3961</v>
      </c>
      <c r="DN1517" s="497" t="s">
        <v>3962</v>
      </c>
      <c r="DP1517" s="543">
        <v>1</v>
      </c>
    </row>
    <row r="1518" spans="109:120" ht="15">
      <c r="DE1518" s="494"/>
      <c r="DF1518" s="496" t="s">
        <v>4058</v>
      </c>
      <c r="DG1518" s="496" t="s">
        <v>11</v>
      </c>
      <c r="DH1518" s="496" t="s">
        <v>689</v>
      </c>
      <c r="DI1518" s="496" t="s">
        <v>4059</v>
      </c>
      <c r="DJ1518" s="496" t="s">
        <v>4059</v>
      </c>
      <c r="DK1518" s="496" t="s">
        <v>1085</v>
      </c>
      <c r="DL1518" s="496" t="s">
        <v>3974</v>
      </c>
      <c r="DM1518" s="496" t="s">
        <v>1087</v>
      </c>
      <c r="DN1518" s="497" t="s">
        <v>1088</v>
      </c>
      <c r="DP1518" s="543">
        <v>1</v>
      </c>
    </row>
    <row r="1519" spans="109:120" ht="25.5">
      <c r="DE1519" s="494"/>
      <c r="DF1519" s="496" t="s">
        <v>4060</v>
      </c>
      <c r="DG1519" s="496" t="s">
        <v>11</v>
      </c>
      <c r="DH1519" s="496" t="s">
        <v>689</v>
      </c>
      <c r="DI1519" s="496" t="s">
        <v>4061</v>
      </c>
      <c r="DJ1519" s="496" t="s">
        <v>4062</v>
      </c>
      <c r="DK1519" s="496" t="s">
        <v>3959</v>
      </c>
      <c r="DL1519" s="496" t="s">
        <v>3960</v>
      </c>
      <c r="DM1519" s="496" t="s">
        <v>3961</v>
      </c>
      <c r="DN1519" s="497" t="s">
        <v>3962</v>
      </c>
      <c r="DP1519" s="543">
        <v>1</v>
      </c>
    </row>
    <row r="1520" spans="109:120" ht="15">
      <c r="DE1520" s="494"/>
      <c r="DF1520" s="496" t="s">
        <v>4063</v>
      </c>
      <c r="DG1520" s="496" t="s">
        <v>11</v>
      </c>
      <c r="DH1520" s="496" t="s">
        <v>689</v>
      </c>
      <c r="DI1520" s="496" t="s">
        <v>4064</v>
      </c>
      <c r="DJ1520" s="496" t="s">
        <v>4065</v>
      </c>
      <c r="DK1520" s="496" t="s">
        <v>1085</v>
      </c>
      <c r="DL1520" s="496" t="s">
        <v>3974</v>
      </c>
      <c r="DM1520" s="496" t="s">
        <v>1087</v>
      </c>
      <c r="DN1520" s="497" t="s">
        <v>1088</v>
      </c>
      <c r="DP1520" s="543">
        <v>1</v>
      </c>
    </row>
    <row r="1521" spans="109:120" ht="25.5">
      <c r="DE1521" s="494"/>
      <c r="DF1521" s="496" t="s">
        <v>4066</v>
      </c>
      <c r="DG1521" s="496" t="s">
        <v>11</v>
      </c>
      <c r="DH1521" s="496" t="s">
        <v>689</v>
      </c>
      <c r="DI1521" s="496" t="s">
        <v>4067</v>
      </c>
      <c r="DJ1521" s="496" t="s">
        <v>946</v>
      </c>
      <c r="DK1521" s="496" t="s">
        <v>3959</v>
      </c>
      <c r="DL1521" s="496" t="s">
        <v>3960</v>
      </c>
      <c r="DM1521" s="496" t="s">
        <v>3961</v>
      </c>
      <c r="DN1521" s="497" t="s">
        <v>3962</v>
      </c>
      <c r="DP1521" s="543">
        <v>1</v>
      </c>
    </row>
    <row r="1522" spans="109:120" ht="15">
      <c r="DE1522" s="494"/>
      <c r="DF1522" s="496" t="s">
        <v>4068</v>
      </c>
      <c r="DG1522" s="496" t="s">
        <v>11</v>
      </c>
      <c r="DH1522" s="496" t="s">
        <v>689</v>
      </c>
      <c r="DI1522" s="496" t="s">
        <v>324</v>
      </c>
      <c r="DJ1522" s="496" t="s">
        <v>324</v>
      </c>
      <c r="DK1522" s="496" t="s">
        <v>1151</v>
      </c>
      <c r="DL1522" s="496" t="s">
        <v>1152</v>
      </c>
      <c r="DM1522" s="496" t="s">
        <v>1087</v>
      </c>
      <c r="DN1522" s="497" t="s">
        <v>1153</v>
      </c>
      <c r="DP1522" s="543">
        <v>1</v>
      </c>
    </row>
    <row r="1523" spans="109:120" ht="15">
      <c r="DE1523" s="494"/>
      <c r="DF1523" s="496" t="s">
        <v>4069</v>
      </c>
      <c r="DG1523" s="496" t="s">
        <v>11</v>
      </c>
      <c r="DH1523" s="496" t="s">
        <v>689</v>
      </c>
      <c r="DI1523" s="496" t="s">
        <v>4070</v>
      </c>
      <c r="DJ1523" s="496" t="s">
        <v>325</v>
      </c>
      <c r="DK1523" s="496" t="s">
        <v>1085</v>
      </c>
      <c r="DL1523" s="496" t="s">
        <v>3974</v>
      </c>
      <c r="DM1523" s="496" t="s">
        <v>1087</v>
      </c>
      <c r="DN1523" s="497" t="s">
        <v>1088</v>
      </c>
      <c r="DP1523" s="543">
        <v>1</v>
      </c>
    </row>
    <row r="1524" spans="109:120" ht="25.5">
      <c r="DE1524" s="494"/>
      <c r="DF1524" s="496" t="s">
        <v>4071</v>
      </c>
      <c r="DG1524" s="496" t="s">
        <v>11</v>
      </c>
      <c r="DH1524" s="496" t="s">
        <v>689</v>
      </c>
      <c r="DI1524" s="496" t="s">
        <v>4072</v>
      </c>
      <c r="DJ1524" s="496" t="s">
        <v>4073</v>
      </c>
      <c r="DK1524" s="496" t="s">
        <v>3959</v>
      </c>
      <c r="DL1524" s="496" t="s">
        <v>3960</v>
      </c>
      <c r="DM1524" s="496" t="s">
        <v>3961</v>
      </c>
      <c r="DN1524" s="497" t="s">
        <v>3962</v>
      </c>
      <c r="DP1524" s="543">
        <v>1</v>
      </c>
    </row>
    <row r="1525" spans="109:120" ht="25.5">
      <c r="DE1525" s="494"/>
      <c r="DF1525" s="496" t="s">
        <v>4074</v>
      </c>
      <c r="DG1525" s="496" t="s">
        <v>11</v>
      </c>
      <c r="DH1525" s="496" t="s">
        <v>689</v>
      </c>
      <c r="DI1525" s="496" t="s">
        <v>4075</v>
      </c>
      <c r="DJ1525" s="496" t="s">
        <v>4076</v>
      </c>
      <c r="DK1525" s="496" t="s">
        <v>3959</v>
      </c>
      <c r="DL1525" s="496" t="s">
        <v>3960</v>
      </c>
      <c r="DM1525" s="496" t="s">
        <v>3961</v>
      </c>
      <c r="DN1525" s="497" t="s">
        <v>3962</v>
      </c>
      <c r="DP1525" s="543">
        <v>1</v>
      </c>
    </row>
    <row r="1526" spans="109:120" ht="15">
      <c r="DE1526" s="494"/>
      <c r="DF1526" s="496" t="s">
        <v>4077</v>
      </c>
      <c r="DG1526" s="496" t="s">
        <v>11</v>
      </c>
      <c r="DH1526" s="496" t="s">
        <v>689</v>
      </c>
      <c r="DI1526" s="496" t="s">
        <v>4078</v>
      </c>
      <c r="DJ1526" s="496" t="s">
        <v>110</v>
      </c>
      <c r="DK1526" s="496" t="s">
        <v>1085</v>
      </c>
      <c r="DL1526" s="496" t="s">
        <v>3974</v>
      </c>
      <c r="DM1526" s="496" t="s">
        <v>1087</v>
      </c>
      <c r="DN1526" s="497" t="s">
        <v>1088</v>
      </c>
      <c r="DP1526" s="543">
        <v>1</v>
      </c>
    </row>
    <row r="1527" spans="109:120" ht="15">
      <c r="DE1527" s="494"/>
      <c r="DF1527" s="496" t="s">
        <v>4079</v>
      </c>
      <c r="DG1527" s="496" t="s">
        <v>11</v>
      </c>
      <c r="DH1527" s="496" t="s">
        <v>689</v>
      </c>
      <c r="DI1527" s="496" t="s">
        <v>4080</v>
      </c>
      <c r="DJ1527" s="496" t="s">
        <v>96</v>
      </c>
      <c r="DK1527" s="496" t="s">
        <v>1085</v>
      </c>
      <c r="DL1527" s="496" t="s">
        <v>3974</v>
      </c>
      <c r="DM1527" s="496" t="s">
        <v>1087</v>
      </c>
      <c r="DN1527" s="497" t="s">
        <v>1088</v>
      </c>
      <c r="DP1527" s="543">
        <v>1</v>
      </c>
    </row>
    <row r="1528" spans="109:120" ht="25.5">
      <c r="DE1528" s="494"/>
      <c r="DF1528" s="496" t="s">
        <v>4081</v>
      </c>
      <c r="DG1528" s="496" t="s">
        <v>11</v>
      </c>
      <c r="DH1528" s="496" t="s">
        <v>689</v>
      </c>
      <c r="DI1528" s="496" t="s">
        <v>4082</v>
      </c>
      <c r="DJ1528" s="496" t="s">
        <v>4082</v>
      </c>
      <c r="DK1528" s="496" t="s">
        <v>3959</v>
      </c>
      <c r="DL1528" s="496" t="s">
        <v>3960</v>
      </c>
      <c r="DM1528" s="496" t="s">
        <v>3961</v>
      </c>
      <c r="DN1528" s="497" t="s">
        <v>3962</v>
      </c>
      <c r="DP1528" s="543">
        <v>1</v>
      </c>
    </row>
    <row r="1529" spans="109:120" ht="15">
      <c r="DE1529" s="494"/>
      <c r="DF1529" s="496" t="s">
        <v>4083</v>
      </c>
      <c r="DG1529" s="496" t="s">
        <v>11</v>
      </c>
      <c r="DH1529" s="496" t="s">
        <v>689</v>
      </c>
      <c r="DI1529" s="496" t="s">
        <v>4084</v>
      </c>
      <c r="DJ1529" s="496" t="s">
        <v>4084</v>
      </c>
      <c r="DK1529" s="496" t="s">
        <v>1085</v>
      </c>
      <c r="DL1529" s="496" t="s">
        <v>3974</v>
      </c>
      <c r="DM1529" s="496" t="s">
        <v>1087</v>
      </c>
      <c r="DN1529" s="497" t="s">
        <v>1088</v>
      </c>
      <c r="DP1529" s="543">
        <v>1</v>
      </c>
    </row>
    <row r="1530" spans="109:120" ht="25.5">
      <c r="DE1530" s="494"/>
      <c r="DF1530" s="496" t="s">
        <v>4085</v>
      </c>
      <c r="DG1530" s="496" t="s">
        <v>11</v>
      </c>
      <c r="DH1530" s="496" t="s">
        <v>689</v>
      </c>
      <c r="DI1530" s="496" t="s">
        <v>947</v>
      </c>
      <c r="DJ1530" s="496" t="s">
        <v>947</v>
      </c>
      <c r="DK1530" s="496" t="s">
        <v>3959</v>
      </c>
      <c r="DL1530" s="496" t="s">
        <v>3960</v>
      </c>
      <c r="DM1530" s="496" t="s">
        <v>3961</v>
      </c>
      <c r="DN1530" s="497" t="s">
        <v>3962</v>
      </c>
      <c r="DP1530" s="543">
        <v>1</v>
      </c>
    </row>
    <row r="1531" spans="109:120" ht="25.5">
      <c r="DE1531" s="494"/>
      <c r="DF1531" s="496" t="s">
        <v>4086</v>
      </c>
      <c r="DG1531" s="496" t="s">
        <v>11</v>
      </c>
      <c r="DH1531" s="496" t="s">
        <v>689</v>
      </c>
      <c r="DI1531" s="496" t="s">
        <v>4087</v>
      </c>
      <c r="DJ1531" s="496" t="s">
        <v>4087</v>
      </c>
      <c r="DK1531" s="496" t="s">
        <v>3959</v>
      </c>
      <c r="DL1531" s="496" t="s">
        <v>3960</v>
      </c>
      <c r="DM1531" s="496" t="s">
        <v>3961</v>
      </c>
      <c r="DN1531" s="497" t="s">
        <v>3962</v>
      </c>
      <c r="DP1531" s="543">
        <v>1</v>
      </c>
    </row>
    <row r="1532" spans="109:120" ht="15">
      <c r="DE1532" s="494"/>
      <c r="DF1532" s="496" t="s">
        <v>4088</v>
      </c>
      <c r="DG1532" s="496" t="s">
        <v>11</v>
      </c>
      <c r="DH1532" s="496" t="s">
        <v>689</v>
      </c>
      <c r="DI1532" s="496" t="s">
        <v>948</v>
      </c>
      <c r="DJ1532" s="496" t="s">
        <v>948</v>
      </c>
      <c r="DK1532" s="496" t="s">
        <v>1085</v>
      </c>
      <c r="DL1532" s="496" t="s">
        <v>3974</v>
      </c>
      <c r="DM1532" s="496" t="s">
        <v>1087</v>
      </c>
      <c r="DN1532" s="497" t="s">
        <v>1088</v>
      </c>
      <c r="DP1532" s="543">
        <v>1</v>
      </c>
    </row>
    <row r="1533" spans="109:120" ht="15">
      <c r="DE1533" s="494"/>
      <c r="DF1533" s="496" t="s">
        <v>4089</v>
      </c>
      <c r="DG1533" s="496" t="s">
        <v>11</v>
      </c>
      <c r="DH1533" s="496" t="s">
        <v>689</v>
      </c>
      <c r="DI1533" s="496" t="s">
        <v>326</v>
      </c>
      <c r="DJ1533" s="496" t="s">
        <v>326</v>
      </c>
      <c r="DK1533" s="496" t="s">
        <v>1151</v>
      </c>
      <c r="DL1533" s="496" t="s">
        <v>1152</v>
      </c>
      <c r="DM1533" s="496" t="s">
        <v>1087</v>
      </c>
      <c r="DN1533" s="497" t="s">
        <v>1153</v>
      </c>
      <c r="DP1533" s="543">
        <v>1</v>
      </c>
    </row>
    <row r="1534" spans="109:120" ht="25.5">
      <c r="DE1534" s="494"/>
      <c r="DF1534" s="496" t="s">
        <v>4090</v>
      </c>
      <c r="DG1534" s="496" t="s">
        <v>11</v>
      </c>
      <c r="DH1534" s="496" t="s">
        <v>689</v>
      </c>
      <c r="DI1534" s="496" t="s">
        <v>4091</v>
      </c>
      <c r="DJ1534" s="496" t="s">
        <v>4091</v>
      </c>
      <c r="DK1534" s="496" t="s">
        <v>3959</v>
      </c>
      <c r="DL1534" s="496" t="s">
        <v>3960</v>
      </c>
      <c r="DM1534" s="496" t="s">
        <v>3961</v>
      </c>
      <c r="DN1534" s="497" t="s">
        <v>3962</v>
      </c>
      <c r="DP1534" s="543">
        <v>1</v>
      </c>
    </row>
    <row r="1535" spans="109:120" ht="15">
      <c r="DE1535" s="494"/>
      <c r="DF1535" s="496" t="s">
        <v>4092</v>
      </c>
      <c r="DG1535" s="496" t="s">
        <v>11</v>
      </c>
      <c r="DH1535" s="496" t="s">
        <v>689</v>
      </c>
      <c r="DI1535" s="496" t="s">
        <v>4093</v>
      </c>
      <c r="DJ1535" s="496" t="s">
        <v>949</v>
      </c>
      <c r="DK1535" s="496" t="s">
        <v>1085</v>
      </c>
      <c r="DL1535" s="496" t="s">
        <v>3974</v>
      </c>
      <c r="DM1535" s="496" t="s">
        <v>1087</v>
      </c>
      <c r="DN1535" s="497" t="s">
        <v>1088</v>
      </c>
      <c r="DP1535" s="543">
        <v>1</v>
      </c>
    </row>
    <row r="1536" spans="109:120" ht="25.5">
      <c r="DE1536" s="494"/>
      <c r="DF1536" s="496" t="s">
        <v>4094</v>
      </c>
      <c r="DG1536" s="496" t="s">
        <v>11</v>
      </c>
      <c r="DH1536" s="496" t="s">
        <v>689</v>
      </c>
      <c r="DI1536" s="496" t="s">
        <v>4095</v>
      </c>
      <c r="DJ1536" s="496" t="s">
        <v>4096</v>
      </c>
      <c r="DK1536" s="496" t="s">
        <v>3959</v>
      </c>
      <c r="DL1536" s="496" t="s">
        <v>3960</v>
      </c>
      <c r="DM1536" s="496" t="s">
        <v>3961</v>
      </c>
      <c r="DN1536" s="497" t="s">
        <v>3962</v>
      </c>
      <c r="DP1536" s="543">
        <v>1</v>
      </c>
    </row>
    <row r="1537" spans="109:120" ht="25.5">
      <c r="DE1537" s="494"/>
      <c r="DF1537" s="496" t="s">
        <v>4097</v>
      </c>
      <c r="DG1537" s="496" t="s">
        <v>11</v>
      </c>
      <c r="DH1537" s="496" t="s">
        <v>689</v>
      </c>
      <c r="DI1537" s="496" t="s">
        <v>4098</v>
      </c>
      <c r="DJ1537" s="496" t="s">
        <v>4098</v>
      </c>
      <c r="DK1537" s="496" t="s">
        <v>3959</v>
      </c>
      <c r="DL1537" s="496" t="s">
        <v>3960</v>
      </c>
      <c r="DM1537" s="496" t="s">
        <v>3961</v>
      </c>
      <c r="DN1537" s="497" t="s">
        <v>3962</v>
      </c>
      <c r="DP1537" s="543">
        <v>1</v>
      </c>
    </row>
    <row r="1538" spans="109:120" ht="15">
      <c r="DE1538" s="494"/>
      <c r="DF1538" s="496" t="s">
        <v>4099</v>
      </c>
      <c r="DG1538" s="496" t="s">
        <v>11</v>
      </c>
      <c r="DH1538" s="496" t="s">
        <v>689</v>
      </c>
      <c r="DI1538" s="496" t="s">
        <v>4100</v>
      </c>
      <c r="DJ1538" s="496" t="s">
        <v>4100</v>
      </c>
      <c r="DK1538" s="496" t="s">
        <v>1085</v>
      </c>
      <c r="DL1538" s="496" t="s">
        <v>3974</v>
      </c>
      <c r="DM1538" s="496" t="s">
        <v>1087</v>
      </c>
      <c r="DN1538" s="497" t="s">
        <v>1088</v>
      </c>
      <c r="DP1538" s="543">
        <v>1</v>
      </c>
    </row>
    <row r="1539" spans="109:120" ht="15">
      <c r="DE1539" s="494"/>
      <c r="DF1539" s="496" t="s">
        <v>4101</v>
      </c>
      <c r="DG1539" s="496" t="s">
        <v>11</v>
      </c>
      <c r="DH1539" s="496" t="s">
        <v>689</v>
      </c>
      <c r="DI1539" s="496" t="s">
        <v>4102</v>
      </c>
      <c r="DJ1539" s="496" t="s">
        <v>4102</v>
      </c>
      <c r="DK1539" s="496" t="s">
        <v>1085</v>
      </c>
      <c r="DL1539" s="496" t="s">
        <v>3974</v>
      </c>
      <c r="DM1539" s="496" t="s">
        <v>1087</v>
      </c>
      <c r="DN1539" s="497" t="s">
        <v>1088</v>
      </c>
      <c r="DP1539" s="543">
        <v>1</v>
      </c>
    </row>
    <row r="1540" spans="109:120" ht="25.5">
      <c r="DE1540" s="494"/>
      <c r="DF1540" s="496" t="s">
        <v>4103</v>
      </c>
      <c r="DG1540" s="496" t="s">
        <v>11</v>
      </c>
      <c r="DH1540" s="496" t="s">
        <v>689</v>
      </c>
      <c r="DI1540" s="496" t="s">
        <v>4104</v>
      </c>
      <c r="DJ1540" s="496" t="s">
        <v>4104</v>
      </c>
      <c r="DK1540" s="496" t="s">
        <v>3959</v>
      </c>
      <c r="DL1540" s="496" t="s">
        <v>3960</v>
      </c>
      <c r="DM1540" s="496" t="s">
        <v>3961</v>
      </c>
      <c r="DN1540" s="497" t="s">
        <v>3962</v>
      </c>
      <c r="DP1540" s="543">
        <v>1</v>
      </c>
    </row>
    <row r="1541" spans="109:120" ht="25.5">
      <c r="DE1541" s="494"/>
      <c r="DF1541" s="496" t="s">
        <v>4105</v>
      </c>
      <c r="DG1541" s="496" t="s">
        <v>11</v>
      </c>
      <c r="DH1541" s="496" t="s">
        <v>689</v>
      </c>
      <c r="DI1541" s="496" t="s">
        <v>4106</v>
      </c>
      <c r="DJ1541" s="496" t="s">
        <v>4106</v>
      </c>
      <c r="DK1541" s="496" t="s">
        <v>3959</v>
      </c>
      <c r="DL1541" s="496" t="s">
        <v>3960</v>
      </c>
      <c r="DM1541" s="496" t="s">
        <v>3961</v>
      </c>
      <c r="DN1541" s="497" t="s">
        <v>3962</v>
      </c>
      <c r="DP1541" s="543">
        <v>1</v>
      </c>
    </row>
    <row r="1542" spans="109:120" ht="15">
      <c r="DE1542" s="494"/>
      <c r="DF1542" s="496" t="s">
        <v>4107</v>
      </c>
      <c r="DG1542" s="496" t="s">
        <v>11</v>
      </c>
      <c r="DH1542" s="496" t="s">
        <v>689</v>
      </c>
      <c r="DI1542" s="496" t="s">
        <v>4108</v>
      </c>
      <c r="DJ1542" s="496" t="s">
        <v>950</v>
      </c>
      <c r="DK1542" s="496" t="s">
        <v>1085</v>
      </c>
      <c r="DL1542" s="496" t="s">
        <v>3974</v>
      </c>
      <c r="DM1542" s="496" t="s">
        <v>1087</v>
      </c>
      <c r="DN1542" s="497" t="s">
        <v>1088</v>
      </c>
      <c r="DP1542" s="543">
        <v>1</v>
      </c>
    </row>
    <row r="1543" spans="109:120" ht="15">
      <c r="DE1543" s="494"/>
      <c r="DF1543" s="496" t="s">
        <v>4109</v>
      </c>
      <c r="DG1543" s="496" t="s">
        <v>11</v>
      </c>
      <c r="DH1543" s="496" t="s">
        <v>689</v>
      </c>
      <c r="DI1543" s="496" t="s">
        <v>4110</v>
      </c>
      <c r="DJ1543" s="496" t="s">
        <v>4110</v>
      </c>
      <c r="DK1543" s="496" t="s">
        <v>1085</v>
      </c>
      <c r="DL1543" s="496" t="s">
        <v>3974</v>
      </c>
      <c r="DM1543" s="496" t="s">
        <v>1087</v>
      </c>
      <c r="DN1543" s="497" t="s">
        <v>1088</v>
      </c>
      <c r="DP1543" s="543">
        <v>1</v>
      </c>
    </row>
    <row r="1544" spans="109:120" ht="25.5">
      <c r="DE1544" s="494"/>
      <c r="DF1544" s="496" t="s">
        <v>4111</v>
      </c>
      <c r="DG1544" s="496" t="s">
        <v>11</v>
      </c>
      <c r="DH1544" s="496" t="s">
        <v>689</v>
      </c>
      <c r="DI1544" s="496" t="s">
        <v>4112</v>
      </c>
      <c r="DJ1544" s="496" t="s">
        <v>4112</v>
      </c>
      <c r="DK1544" s="496" t="s">
        <v>3959</v>
      </c>
      <c r="DL1544" s="496" t="s">
        <v>3960</v>
      </c>
      <c r="DM1544" s="496" t="s">
        <v>3961</v>
      </c>
      <c r="DN1544" s="497" t="s">
        <v>3962</v>
      </c>
      <c r="DP1544" s="543">
        <v>1</v>
      </c>
    </row>
    <row r="1545" spans="109:120" ht="15">
      <c r="DE1545" s="494"/>
      <c r="DF1545" s="496" t="s">
        <v>4113</v>
      </c>
      <c r="DG1545" s="496" t="s">
        <v>11</v>
      </c>
      <c r="DH1545" s="496" t="s">
        <v>689</v>
      </c>
      <c r="DI1545" s="496" t="s">
        <v>951</v>
      </c>
      <c r="DJ1545" s="496" t="s">
        <v>951</v>
      </c>
      <c r="DK1545" s="496" t="s">
        <v>1085</v>
      </c>
      <c r="DL1545" s="496" t="s">
        <v>3974</v>
      </c>
      <c r="DM1545" s="496" t="s">
        <v>1087</v>
      </c>
      <c r="DN1545" s="497" t="s">
        <v>1088</v>
      </c>
      <c r="DP1545" s="543">
        <v>1</v>
      </c>
    </row>
    <row r="1546" spans="109:120" ht="15">
      <c r="DE1546" s="494"/>
      <c r="DF1546" s="496" t="s">
        <v>4114</v>
      </c>
      <c r="DG1546" s="496" t="s">
        <v>11</v>
      </c>
      <c r="DH1546" s="496" t="s">
        <v>689</v>
      </c>
      <c r="DI1546" s="496" t="s">
        <v>327</v>
      </c>
      <c r="DJ1546" s="496" t="s">
        <v>327</v>
      </c>
      <c r="DK1546" s="496" t="s">
        <v>1151</v>
      </c>
      <c r="DL1546" s="496" t="s">
        <v>1152</v>
      </c>
      <c r="DM1546" s="496" t="s">
        <v>1087</v>
      </c>
      <c r="DN1546" s="497" t="s">
        <v>1153</v>
      </c>
      <c r="DP1546" s="543">
        <v>1</v>
      </c>
    </row>
    <row r="1547" spans="109:120" ht="15">
      <c r="DE1547" s="494"/>
      <c r="DF1547" s="496" t="s">
        <v>4115</v>
      </c>
      <c r="DG1547" s="496" t="s">
        <v>11</v>
      </c>
      <c r="DH1547" s="496" t="s">
        <v>689</v>
      </c>
      <c r="DI1547" s="496" t="s">
        <v>4116</v>
      </c>
      <c r="DJ1547" s="496" t="s">
        <v>4116</v>
      </c>
      <c r="DK1547" s="496" t="s">
        <v>1085</v>
      </c>
      <c r="DL1547" s="496" t="s">
        <v>3974</v>
      </c>
      <c r="DM1547" s="496" t="s">
        <v>1087</v>
      </c>
      <c r="DN1547" s="497" t="s">
        <v>1088</v>
      </c>
      <c r="DP1547" s="543">
        <v>1</v>
      </c>
    </row>
    <row r="1548" spans="109:120" ht="15">
      <c r="DE1548" s="494"/>
      <c r="DF1548" s="496" t="s">
        <v>4117</v>
      </c>
      <c r="DG1548" s="496" t="s">
        <v>11</v>
      </c>
      <c r="DH1548" s="496" t="s">
        <v>689</v>
      </c>
      <c r="DI1548" s="496" t="s">
        <v>4118</v>
      </c>
      <c r="DJ1548" s="496" t="s">
        <v>4118</v>
      </c>
      <c r="DK1548" s="496" t="s">
        <v>1151</v>
      </c>
      <c r="DL1548" s="496" t="s">
        <v>1152</v>
      </c>
      <c r="DM1548" s="496" t="s">
        <v>1087</v>
      </c>
      <c r="DN1548" s="497" t="s">
        <v>1153</v>
      </c>
      <c r="DP1548" s="543">
        <v>1</v>
      </c>
    </row>
    <row r="1549" spans="109:120" ht="15">
      <c r="DE1549" s="494"/>
      <c r="DF1549" s="496" t="s">
        <v>4119</v>
      </c>
      <c r="DG1549" s="496" t="s">
        <v>11</v>
      </c>
      <c r="DH1549" s="496" t="s">
        <v>689</v>
      </c>
      <c r="DI1549" s="496" t="s">
        <v>227</v>
      </c>
      <c r="DJ1549" s="496" t="s">
        <v>161</v>
      </c>
      <c r="DK1549" s="496" t="s">
        <v>1085</v>
      </c>
      <c r="DL1549" s="496" t="s">
        <v>3974</v>
      </c>
      <c r="DM1549" s="496" t="s">
        <v>1087</v>
      </c>
      <c r="DN1549" s="497" t="s">
        <v>1088</v>
      </c>
      <c r="DP1549" s="543">
        <v>1</v>
      </c>
    </row>
    <row r="1550" spans="109:120" ht="25.5">
      <c r="DE1550" s="494"/>
      <c r="DF1550" s="496" t="s">
        <v>4120</v>
      </c>
      <c r="DG1550" s="496" t="s">
        <v>11</v>
      </c>
      <c r="DH1550" s="496" t="s">
        <v>689</v>
      </c>
      <c r="DI1550" s="496" t="s">
        <v>4121</v>
      </c>
      <c r="DJ1550" s="496" t="s">
        <v>4122</v>
      </c>
      <c r="DK1550" s="496" t="s">
        <v>3959</v>
      </c>
      <c r="DL1550" s="496" t="s">
        <v>3960</v>
      </c>
      <c r="DM1550" s="496" t="s">
        <v>3961</v>
      </c>
      <c r="DN1550" s="497" t="s">
        <v>3962</v>
      </c>
      <c r="DP1550" s="543">
        <v>1</v>
      </c>
    </row>
    <row r="1551" spans="109:120" ht="25.5">
      <c r="DE1551" s="494"/>
      <c r="DF1551" s="496" t="s">
        <v>4123</v>
      </c>
      <c r="DG1551" s="496" t="s">
        <v>11</v>
      </c>
      <c r="DH1551" s="496" t="s">
        <v>689</v>
      </c>
      <c r="DI1551" s="496" t="s">
        <v>4124</v>
      </c>
      <c r="DJ1551" s="496" t="s">
        <v>4125</v>
      </c>
      <c r="DK1551" s="496" t="s">
        <v>3959</v>
      </c>
      <c r="DL1551" s="496" t="s">
        <v>3960</v>
      </c>
      <c r="DM1551" s="496" t="s">
        <v>3961</v>
      </c>
      <c r="DN1551" s="497" t="s">
        <v>3962</v>
      </c>
      <c r="DP1551" s="543">
        <v>1</v>
      </c>
    </row>
    <row r="1552" spans="109:120" ht="15">
      <c r="DE1552" s="494"/>
      <c r="DF1552" s="496" t="s">
        <v>4126</v>
      </c>
      <c r="DG1552" s="496" t="s">
        <v>11</v>
      </c>
      <c r="DH1552" s="496" t="s">
        <v>689</v>
      </c>
      <c r="DI1552" s="496" t="s">
        <v>4127</v>
      </c>
      <c r="DJ1552" s="496" t="s">
        <v>4128</v>
      </c>
      <c r="DK1552" s="496" t="s">
        <v>1151</v>
      </c>
      <c r="DL1552" s="496" t="s">
        <v>1152</v>
      </c>
      <c r="DM1552" s="496" t="s">
        <v>1087</v>
      </c>
      <c r="DN1552" s="497" t="s">
        <v>1153</v>
      </c>
      <c r="DP1552" s="543">
        <v>1</v>
      </c>
    </row>
    <row r="1553" spans="109:120" ht="25.5">
      <c r="DE1553" s="494"/>
      <c r="DF1553" s="496" t="s">
        <v>4129</v>
      </c>
      <c r="DG1553" s="496" t="s">
        <v>11</v>
      </c>
      <c r="DH1553" s="496" t="s">
        <v>689</v>
      </c>
      <c r="DI1553" s="496" t="s">
        <v>4130</v>
      </c>
      <c r="DJ1553" s="496" t="s">
        <v>4131</v>
      </c>
      <c r="DK1553" s="496" t="s">
        <v>3959</v>
      </c>
      <c r="DL1553" s="496" t="s">
        <v>3960</v>
      </c>
      <c r="DM1553" s="496" t="s">
        <v>3961</v>
      </c>
      <c r="DN1553" s="497" t="s">
        <v>3962</v>
      </c>
      <c r="DP1553" s="543">
        <v>1</v>
      </c>
    </row>
    <row r="1554" spans="109:120" ht="15">
      <c r="DE1554" s="494"/>
      <c r="DF1554" s="496" t="s">
        <v>4132</v>
      </c>
      <c r="DG1554" s="496" t="s">
        <v>11</v>
      </c>
      <c r="DH1554" s="496" t="s">
        <v>689</v>
      </c>
      <c r="DI1554" s="496" t="s">
        <v>4133</v>
      </c>
      <c r="DJ1554" s="496" t="s">
        <v>698</v>
      </c>
      <c r="DK1554" s="496" t="s">
        <v>1085</v>
      </c>
      <c r="DL1554" s="496" t="s">
        <v>3974</v>
      </c>
      <c r="DM1554" s="496" t="s">
        <v>1087</v>
      </c>
      <c r="DN1554" s="497" t="s">
        <v>1088</v>
      </c>
      <c r="DP1554" s="543">
        <v>1</v>
      </c>
    </row>
    <row r="1555" spans="109:120" ht="25.5">
      <c r="DE1555" s="494"/>
      <c r="DF1555" s="496" t="s">
        <v>4134</v>
      </c>
      <c r="DG1555" s="496" t="s">
        <v>11</v>
      </c>
      <c r="DH1555" s="496" t="s">
        <v>689</v>
      </c>
      <c r="DI1555" s="496" t="s">
        <v>4135</v>
      </c>
      <c r="DJ1555" s="496" t="s">
        <v>4136</v>
      </c>
      <c r="DK1555" s="496" t="s">
        <v>3959</v>
      </c>
      <c r="DL1555" s="496" t="s">
        <v>3960</v>
      </c>
      <c r="DM1555" s="496" t="s">
        <v>3961</v>
      </c>
      <c r="DN1555" s="497" t="s">
        <v>3962</v>
      </c>
      <c r="DP1555" s="543">
        <v>1</v>
      </c>
    </row>
    <row r="1556" spans="109:120" ht="25.5">
      <c r="DE1556" s="494"/>
      <c r="DF1556" s="496" t="s">
        <v>4137</v>
      </c>
      <c r="DG1556" s="496" t="s">
        <v>11</v>
      </c>
      <c r="DH1556" s="496" t="s">
        <v>689</v>
      </c>
      <c r="DI1556" s="496" t="s">
        <v>4138</v>
      </c>
      <c r="DJ1556" s="496" t="s">
        <v>4139</v>
      </c>
      <c r="DK1556" s="496" t="s">
        <v>3959</v>
      </c>
      <c r="DL1556" s="496" t="s">
        <v>3960</v>
      </c>
      <c r="DM1556" s="496" t="s">
        <v>3961</v>
      </c>
      <c r="DN1556" s="497" t="s">
        <v>3962</v>
      </c>
      <c r="DP1556" s="543">
        <v>1</v>
      </c>
    </row>
    <row r="1557" spans="109:120" ht="15">
      <c r="DE1557" s="494"/>
      <c r="DF1557" s="496" t="s">
        <v>4140</v>
      </c>
      <c r="DG1557" s="496" t="s">
        <v>11</v>
      </c>
      <c r="DH1557" s="496" t="s">
        <v>689</v>
      </c>
      <c r="DI1557" s="496" t="s">
        <v>4141</v>
      </c>
      <c r="DJ1557" s="496" t="s">
        <v>180</v>
      </c>
      <c r="DK1557" s="496" t="s">
        <v>1085</v>
      </c>
      <c r="DL1557" s="496" t="s">
        <v>3974</v>
      </c>
      <c r="DM1557" s="496" t="s">
        <v>1087</v>
      </c>
      <c r="DN1557" s="497" t="s">
        <v>1088</v>
      </c>
      <c r="DP1557" s="543">
        <v>1</v>
      </c>
    </row>
    <row r="1558" spans="109:120" ht="15">
      <c r="DE1558" s="494"/>
      <c r="DF1558" s="496" t="s">
        <v>4142</v>
      </c>
      <c r="DG1558" s="496" t="s">
        <v>11</v>
      </c>
      <c r="DH1558" s="496" t="s">
        <v>689</v>
      </c>
      <c r="DI1558" s="496" t="s">
        <v>1926</v>
      </c>
      <c r="DJ1558" s="496" t="s">
        <v>956</v>
      </c>
      <c r="DK1558" s="496" t="s">
        <v>1085</v>
      </c>
      <c r="DL1558" s="496" t="s">
        <v>3974</v>
      </c>
      <c r="DM1558" s="496" t="s">
        <v>1087</v>
      </c>
      <c r="DN1558" s="497" t="s">
        <v>1088</v>
      </c>
      <c r="DP1558" s="543">
        <v>1</v>
      </c>
    </row>
    <row r="1559" spans="109:120" ht="15">
      <c r="DE1559" s="494"/>
      <c r="DF1559" s="496" t="s">
        <v>4143</v>
      </c>
      <c r="DG1559" s="496" t="s">
        <v>11</v>
      </c>
      <c r="DH1559" s="496" t="s">
        <v>689</v>
      </c>
      <c r="DI1559" s="496" t="s">
        <v>329</v>
      </c>
      <c r="DJ1559" s="496" t="s">
        <v>328</v>
      </c>
      <c r="DK1559" s="496" t="s">
        <v>1085</v>
      </c>
      <c r="DL1559" s="496" t="s">
        <v>3974</v>
      </c>
      <c r="DM1559" s="496" t="s">
        <v>1087</v>
      </c>
      <c r="DN1559" s="497" t="s">
        <v>1088</v>
      </c>
      <c r="DP1559" s="543">
        <v>1</v>
      </c>
    </row>
    <row r="1560" spans="109:120" ht="25.5">
      <c r="DE1560" s="494"/>
      <c r="DF1560" s="496" t="s">
        <v>4144</v>
      </c>
      <c r="DG1560" s="496" t="s">
        <v>11</v>
      </c>
      <c r="DH1560" s="496" t="s">
        <v>689</v>
      </c>
      <c r="DI1560" s="496" t="s">
        <v>4145</v>
      </c>
      <c r="DJ1560" s="496" t="s">
        <v>4145</v>
      </c>
      <c r="DK1560" s="496" t="s">
        <v>3959</v>
      </c>
      <c r="DL1560" s="496" t="s">
        <v>3960</v>
      </c>
      <c r="DM1560" s="496" t="s">
        <v>3961</v>
      </c>
      <c r="DN1560" s="497" t="s">
        <v>3962</v>
      </c>
      <c r="DP1560" s="543">
        <v>1</v>
      </c>
    </row>
    <row r="1561" spans="109:120" ht="25.5">
      <c r="DE1561" s="494"/>
      <c r="DF1561" s="496" t="s">
        <v>4146</v>
      </c>
      <c r="DG1561" s="496" t="s">
        <v>11</v>
      </c>
      <c r="DH1561" s="496" t="s">
        <v>689</v>
      </c>
      <c r="DI1561" s="496" t="s">
        <v>4147</v>
      </c>
      <c r="DJ1561" s="496" t="s">
        <v>4147</v>
      </c>
      <c r="DK1561" s="496" t="s">
        <v>3959</v>
      </c>
      <c r="DL1561" s="496" t="s">
        <v>3960</v>
      </c>
      <c r="DM1561" s="496" t="s">
        <v>3961</v>
      </c>
      <c r="DN1561" s="497" t="s">
        <v>3962</v>
      </c>
      <c r="DP1561" s="543">
        <v>1</v>
      </c>
    </row>
    <row r="1562" spans="109:120" ht="25.5">
      <c r="DE1562" s="494"/>
      <c r="DF1562" s="496" t="s">
        <v>4148</v>
      </c>
      <c r="DG1562" s="496" t="s">
        <v>11</v>
      </c>
      <c r="DH1562" s="496" t="s">
        <v>689</v>
      </c>
      <c r="DI1562" s="496" t="s">
        <v>4149</v>
      </c>
      <c r="DJ1562" s="496" t="s">
        <v>4149</v>
      </c>
      <c r="DK1562" s="496" t="s">
        <v>3959</v>
      </c>
      <c r="DL1562" s="496" t="s">
        <v>3960</v>
      </c>
      <c r="DM1562" s="496" t="s">
        <v>3961</v>
      </c>
      <c r="DN1562" s="497" t="s">
        <v>3962</v>
      </c>
      <c r="DP1562" s="543">
        <v>1</v>
      </c>
    </row>
    <row r="1563" spans="109:120" ht="25.5">
      <c r="DE1563" s="494"/>
      <c r="DF1563" s="496" t="s">
        <v>4150</v>
      </c>
      <c r="DG1563" s="496" t="s">
        <v>11</v>
      </c>
      <c r="DH1563" s="496" t="s">
        <v>689</v>
      </c>
      <c r="DI1563" s="496" t="s">
        <v>4151</v>
      </c>
      <c r="DJ1563" s="496" t="s">
        <v>4151</v>
      </c>
      <c r="DK1563" s="496" t="s">
        <v>3959</v>
      </c>
      <c r="DL1563" s="496" t="s">
        <v>3960</v>
      </c>
      <c r="DM1563" s="496" t="s">
        <v>3961</v>
      </c>
      <c r="DN1563" s="497" t="s">
        <v>3962</v>
      </c>
      <c r="DP1563" s="543">
        <v>1</v>
      </c>
    </row>
    <row r="1564" spans="109:120" ht="25.5">
      <c r="DE1564" s="494"/>
      <c r="DF1564" s="496" t="s">
        <v>4152</v>
      </c>
      <c r="DG1564" s="496" t="s">
        <v>11</v>
      </c>
      <c r="DH1564" s="496" t="s">
        <v>689</v>
      </c>
      <c r="DI1564" s="496" t="s">
        <v>4153</v>
      </c>
      <c r="DJ1564" s="496" t="s">
        <v>4153</v>
      </c>
      <c r="DK1564" s="496" t="s">
        <v>3959</v>
      </c>
      <c r="DL1564" s="496" t="s">
        <v>3960</v>
      </c>
      <c r="DM1564" s="496" t="s">
        <v>3961</v>
      </c>
      <c r="DN1564" s="497" t="s">
        <v>3962</v>
      </c>
      <c r="DP1564" s="543">
        <v>1</v>
      </c>
    </row>
    <row r="1565" spans="109:120" ht="15">
      <c r="DE1565" s="494"/>
      <c r="DF1565" s="496" t="s">
        <v>4154</v>
      </c>
      <c r="DG1565" s="496" t="s">
        <v>11</v>
      </c>
      <c r="DH1565" s="496" t="s">
        <v>689</v>
      </c>
      <c r="DI1565" s="496" t="s">
        <v>4155</v>
      </c>
      <c r="DJ1565" s="496" t="s">
        <v>4155</v>
      </c>
      <c r="DK1565" s="496" t="s">
        <v>1085</v>
      </c>
      <c r="DL1565" s="496" t="s">
        <v>3974</v>
      </c>
      <c r="DM1565" s="496" t="s">
        <v>1087</v>
      </c>
      <c r="DN1565" s="497" t="s">
        <v>1088</v>
      </c>
      <c r="DP1565" s="543">
        <v>1</v>
      </c>
    </row>
    <row r="1566" spans="109:120" ht="15">
      <c r="DE1566" s="494"/>
      <c r="DF1566" s="496" t="s">
        <v>4156</v>
      </c>
      <c r="DG1566" s="496" t="s">
        <v>11</v>
      </c>
      <c r="DH1566" s="496" t="s">
        <v>689</v>
      </c>
      <c r="DI1566" s="496" t="s">
        <v>958</v>
      </c>
      <c r="DJ1566" s="496" t="s">
        <v>958</v>
      </c>
      <c r="DK1566" s="496" t="s">
        <v>1085</v>
      </c>
      <c r="DL1566" s="496" t="s">
        <v>3974</v>
      </c>
      <c r="DM1566" s="496" t="s">
        <v>1087</v>
      </c>
      <c r="DN1566" s="497" t="s">
        <v>1088</v>
      </c>
      <c r="DP1566" s="543">
        <v>1</v>
      </c>
    </row>
    <row r="1567" spans="109:120" ht="15">
      <c r="DE1567" s="494"/>
      <c r="DF1567" s="496" t="s">
        <v>4157</v>
      </c>
      <c r="DG1567" s="496" t="s">
        <v>11</v>
      </c>
      <c r="DH1567" s="496" t="s">
        <v>689</v>
      </c>
      <c r="DI1567" s="496" t="s">
        <v>959</v>
      </c>
      <c r="DJ1567" s="496" t="s">
        <v>959</v>
      </c>
      <c r="DK1567" s="496" t="s">
        <v>1085</v>
      </c>
      <c r="DL1567" s="496" t="s">
        <v>3974</v>
      </c>
      <c r="DM1567" s="496" t="s">
        <v>1087</v>
      </c>
      <c r="DN1567" s="497" t="s">
        <v>1088</v>
      </c>
      <c r="DP1567" s="543">
        <v>1</v>
      </c>
    </row>
    <row r="1568" spans="109:120" ht="25.5">
      <c r="DE1568" s="494"/>
      <c r="DF1568" s="496" t="s">
        <v>4158</v>
      </c>
      <c r="DG1568" s="496" t="s">
        <v>11</v>
      </c>
      <c r="DH1568" s="496" t="s">
        <v>689</v>
      </c>
      <c r="DI1568" s="496" t="s">
        <v>4159</v>
      </c>
      <c r="DJ1568" s="496" t="s">
        <v>4160</v>
      </c>
      <c r="DK1568" s="496" t="s">
        <v>3959</v>
      </c>
      <c r="DL1568" s="496" t="s">
        <v>3960</v>
      </c>
      <c r="DM1568" s="496" t="s">
        <v>3961</v>
      </c>
      <c r="DN1568" s="497" t="s">
        <v>3962</v>
      </c>
      <c r="DP1568" s="543">
        <v>1</v>
      </c>
    </row>
    <row r="1569" spans="109:120" ht="25.5">
      <c r="DE1569" s="494"/>
      <c r="DF1569" s="496" t="s">
        <v>4161</v>
      </c>
      <c r="DG1569" s="496" t="s">
        <v>11</v>
      </c>
      <c r="DH1569" s="496" t="s">
        <v>689</v>
      </c>
      <c r="DI1569" s="496" t="s">
        <v>4162</v>
      </c>
      <c r="DJ1569" s="496" t="s">
        <v>4162</v>
      </c>
      <c r="DK1569" s="496" t="s">
        <v>3959</v>
      </c>
      <c r="DL1569" s="496" t="s">
        <v>3960</v>
      </c>
      <c r="DM1569" s="496" t="s">
        <v>3961</v>
      </c>
      <c r="DN1569" s="497" t="s">
        <v>3962</v>
      </c>
      <c r="DP1569" s="543">
        <v>1</v>
      </c>
    </row>
    <row r="1570" spans="109:120" ht="25.5">
      <c r="DE1570" s="494"/>
      <c r="DF1570" s="496" t="s">
        <v>4163</v>
      </c>
      <c r="DG1570" s="496" t="s">
        <v>11</v>
      </c>
      <c r="DH1570" s="496" t="s">
        <v>689</v>
      </c>
      <c r="DI1570" s="496" t="s">
        <v>4164</v>
      </c>
      <c r="DJ1570" s="496" t="s">
        <v>4165</v>
      </c>
      <c r="DK1570" s="496" t="s">
        <v>3959</v>
      </c>
      <c r="DL1570" s="496" t="s">
        <v>3960</v>
      </c>
      <c r="DM1570" s="496" t="s">
        <v>3961</v>
      </c>
      <c r="DN1570" s="497" t="s">
        <v>3962</v>
      </c>
      <c r="DP1570" s="543">
        <v>1</v>
      </c>
    </row>
    <row r="1571" spans="109:120" ht="25.5">
      <c r="DE1571" s="494"/>
      <c r="DF1571" s="496" t="s">
        <v>4166</v>
      </c>
      <c r="DG1571" s="496" t="s">
        <v>11</v>
      </c>
      <c r="DH1571" s="496" t="s">
        <v>689</v>
      </c>
      <c r="DI1571" s="496" t="s">
        <v>4167</v>
      </c>
      <c r="DJ1571" s="496" t="s">
        <v>4168</v>
      </c>
      <c r="DK1571" s="496" t="s">
        <v>3959</v>
      </c>
      <c r="DL1571" s="496" t="s">
        <v>3960</v>
      </c>
      <c r="DM1571" s="496" t="s">
        <v>3961</v>
      </c>
      <c r="DN1571" s="497" t="s">
        <v>3962</v>
      </c>
      <c r="DP1571" s="543">
        <v>1</v>
      </c>
    </row>
    <row r="1572" spans="109:120" ht="25.5">
      <c r="DE1572" s="494"/>
      <c r="DF1572" s="496" t="s">
        <v>4169</v>
      </c>
      <c r="DG1572" s="496" t="s">
        <v>11</v>
      </c>
      <c r="DH1572" s="496" t="s">
        <v>689</v>
      </c>
      <c r="DI1572" s="496" t="s">
        <v>4170</v>
      </c>
      <c r="DJ1572" s="496" t="s">
        <v>4170</v>
      </c>
      <c r="DK1572" s="496" t="s">
        <v>3959</v>
      </c>
      <c r="DL1572" s="496" t="s">
        <v>3960</v>
      </c>
      <c r="DM1572" s="496" t="s">
        <v>3961</v>
      </c>
      <c r="DN1572" s="497" t="s">
        <v>3962</v>
      </c>
      <c r="DP1572" s="543">
        <v>1</v>
      </c>
    </row>
    <row r="1573" spans="109:120" ht="15">
      <c r="DE1573" s="494"/>
      <c r="DF1573" s="496" t="s">
        <v>4171</v>
      </c>
      <c r="DG1573" s="496" t="s">
        <v>11</v>
      </c>
      <c r="DH1573" s="496" t="s">
        <v>689</v>
      </c>
      <c r="DI1573" s="496" t="s">
        <v>961</v>
      </c>
      <c r="DJ1573" s="496" t="s">
        <v>961</v>
      </c>
      <c r="DK1573" s="496" t="s">
        <v>1085</v>
      </c>
      <c r="DL1573" s="496" t="s">
        <v>3974</v>
      </c>
      <c r="DM1573" s="496" t="s">
        <v>1087</v>
      </c>
      <c r="DN1573" s="497" t="s">
        <v>1088</v>
      </c>
      <c r="DP1573" s="543">
        <v>1</v>
      </c>
    </row>
    <row r="1574" spans="109:120" ht="15">
      <c r="DE1574" s="494"/>
      <c r="DF1574" s="496" t="s">
        <v>4172</v>
      </c>
      <c r="DG1574" s="496" t="s">
        <v>11</v>
      </c>
      <c r="DH1574" s="496" t="s">
        <v>689</v>
      </c>
      <c r="DI1574" s="496" t="s">
        <v>962</v>
      </c>
      <c r="DJ1574" s="496" t="s">
        <v>962</v>
      </c>
      <c r="DK1574" s="496" t="s">
        <v>1085</v>
      </c>
      <c r="DL1574" s="496" t="s">
        <v>3974</v>
      </c>
      <c r="DM1574" s="496" t="s">
        <v>1087</v>
      </c>
      <c r="DN1574" s="497" t="s">
        <v>1088</v>
      </c>
      <c r="DP1574" s="543">
        <v>1</v>
      </c>
    </row>
    <row r="1575" spans="109:120" ht="25.5">
      <c r="DE1575" s="494"/>
      <c r="DF1575" s="496" t="s">
        <v>4173</v>
      </c>
      <c r="DG1575" s="496" t="s">
        <v>11</v>
      </c>
      <c r="DH1575" s="496" t="s">
        <v>689</v>
      </c>
      <c r="DI1575" s="496" t="s">
        <v>4174</v>
      </c>
      <c r="DJ1575" s="496" t="s">
        <v>4174</v>
      </c>
      <c r="DK1575" s="496" t="s">
        <v>3959</v>
      </c>
      <c r="DL1575" s="496" t="s">
        <v>3960</v>
      </c>
      <c r="DM1575" s="496" t="s">
        <v>3961</v>
      </c>
      <c r="DN1575" s="497" t="s">
        <v>3962</v>
      </c>
      <c r="DP1575" s="543">
        <v>1</v>
      </c>
    </row>
    <row r="1576" spans="109:120" ht="15">
      <c r="DE1576" s="494"/>
      <c r="DF1576" s="496" t="s">
        <v>4175</v>
      </c>
      <c r="DG1576" s="496" t="s">
        <v>11</v>
      </c>
      <c r="DH1576" s="496" t="s">
        <v>689</v>
      </c>
      <c r="DI1576" s="496" t="s">
        <v>4176</v>
      </c>
      <c r="DJ1576" s="496" t="s">
        <v>4176</v>
      </c>
      <c r="DK1576" s="496" t="s">
        <v>1085</v>
      </c>
      <c r="DL1576" s="496" t="s">
        <v>3974</v>
      </c>
      <c r="DM1576" s="496" t="s">
        <v>1087</v>
      </c>
      <c r="DN1576" s="497" t="s">
        <v>1088</v>
      </c>
      <c r="DP1576" s="543">
        <v>1</v>
      </c>
    </row>
    <row r="1577" spans="109:120" ht="15">
      <c r="DE1577" s="494"/>
      <c r="DF1577" s="496" t="s">
        <v>4177</v>
      </c>
      <c r="DG1577" s="496" t="s">
        <v>11</v>
      </c>
      <c r="DH1577" s="496" t="s">
        <v>689</v>
      </c>
      <c r="DI1577" s="496" t="s">
        <v>4178</v>
      </c>
      <c r="DJ1577" s="496" t="s">
        <v>4178</v>
      </c>
      <c r="DK1577" s="496" t="s">
        <v>1085</v>
      </c>
      <c r="DL1577" s="496" t="s">
        <v>3974</v>
      </c>
      <c r="DM1577" s="496" t="s">
        <v>1087</v>
      </c>
      <c r="DN1577" s="497" t="s">
        <v>1088</v>
      </c>
      <c r="DP1577" s="543">
        <v>1</v>
      </c>
    </row>
    <row r="1578" spans="109:120" ht="25.5">
      <c r="DE1578" s="494"/>
      <c r="DF1578" s="496" t="s">
        <v>4179</v>
      </c>
      <c r="DG1578" s="496" t="s">
        <v>11</v>
      </c>
      <c r="DH1578" s="496" t="s">
        <v>689</v>
      </c>
      <c r="DI1578" s="496" t="s">
        <v>4180</v>
      </c>
      <c r="DJ1578" s="496" t="s">
        <v>964</v>
      </c>
      <c r="DK1578" s="496" t="s">
        <v>3959</v>
      </c>
      <c r="DL1578" s="496" t="s">
        <v>3960</v>
      </c>
      <c r="DM1578" s="496" t="s">
        <v>3961</v>
      </c>
      <c r="DN1578" s="497" t="s">
        <v>3962</v>
      </c>
      <c r="DP1578" s="543">
        <v>1</v>
      </c>
    </row>
    <row r="1579" spans="109:120" ht="25.5">
      <c r="DE1579" s="494"/>
      <c r="DF1579" s="496" t="s">
        <v>4181</v>
      </c>
      <c r="DG1579" s="496" t="s">
        <v>11</v>
      </c>
      <c r="DH1579" s="496" t="s">
        <v>689</v>
      </c>
      <c r="DI1579" s="496" t="s">
        <v>4182</v>
      </c>
      <c r="DJ1579" s="496" t="s">
        <v>4182</v>
      </c>
      <c r="DK1579" s="496" t="s">
        <v>3959</v>
      </c>
      <c r="DL1579" s="496" t="s">
        <v>3960</v>
      </c>
      <c r="DM1579" s="496" t="s">
        <v>3961</v>
      </c>
      <c r="DN1579" s="497" t="s">
        <v>3962</v>
      </c>
      <c r="DP1579" s="543">
        <v>1</v>
      </c>
    </row>
    <row r="1580" spans="109:120" ht="15">
      <c r="DE1580" s="494"/>
      <c r="DF1580" s="496" t="s">
        <v>4183</v>
      </c>
      <c r="DG1580" s="496" t="s">
        <v>11</v>
      </c>
      <c r="DH1580" s="496" t="s">
        <v>689</v>
      </c>
      <c r="DI1580" s="496" t="s">
        <v>176</v>
      </c>
      <c r="DJ1580" s="496" t="s">
        <v>176</v>
      </c>
      <c r="DK1580" s="496" t="s">
        <v>1085</v>
      </c>
      <c r="DL1580" s="496" t="s">
        <v>3974</v>
      </c>
      <c r="DM1580" s="496" t="s">
        <v>1087</v>
      </c>
      <c r="DN1580" s="497" t="s">
        <v>1088</v>
      </c>
      <c r="DP1580" s="543">
        <v>1</v>
      </c>
    </row>
    <row r="1581" spans="109:120" ht="25.5">
      <c r="DE1581" s="494"/>
      <c r="DF1581" s="496" t="s">
        <v>4184</v>
      </c>
      <c r="DG1581" s="496" t="s">
        <v>11</v>
      </c>
      <c r="DH1581" s="496" t="s">
        <v>689</v>
      </c>
      <c r="DI1581" s="496" t="s">
        <v>4185</v>
      </c>
      <c r="DJ1581" s="496" t="s">
        <v>4186</v>
      </c>
      <c r="DK1581" s="496" t="s">
        <v>3959</v>
      </c>
      <c r="DL1581" s="496" t="s">
        <v>3960</v>
      </c>
      <c r="DM1581" s="496" t="s">
        <v>3961</v>
      </c>
      <c r="DN1581" s="497" t="s">
        <v>3962</v>
      </c>
      <c r="DP1581" s="543">
        <v>1</v>
      </c>
    </row>
    <row r="1582" spans="109:120" ht="25.5">
      <c r="DE1582" s="494"/>
      <c r="DF1582" s="496" t="s">
        <v>4187</v>
      </c>
      <c r="DG1582" s="496" t="s">
        <v>11</v>
      </c>
      <c r="DH1582" s="496" t="s">
        <v>689</v>
      </c>
      <c r="DI1582" s="496" t="s">
        <v>4188</v>
      </c>
      <c r="DJ1582" s="496" t="s">
        <v>4188</v>
      </c>
      <c r="DK1582" s="496" t="s">
        <v>3959</v>
      </c>
      <c r="DL1582" s="496" t="s">
        <v>3960</v>
      </c>
      <c r="DM1582" s="496" t="s">
        <v>3961</v>
      </c>
      <c r="DN1582" s="497" t="s">
        <v>3962</v>
      </c>
      <c r="DP1582" s="543">
        <v>1</v>
      </c>
    </row>
    <row r="1583" spans="109:120" ht="15">
      <c r="DE1583" s="494"/>
      <c r="DF1583" s="496" t="s">
        <v>4189</v>
      </c>
      <c r="DG1583" s="496" t="s">
        <v>11</v>
      </c>
      <c r="DH1583" s="496" t="s">
        <v>689</v>
      </c>
      <c r="DI1583" s="496" t="s">
        <v>965</v>
      </c>
      <c r="DJ1583" s="496" t="s">
        <v>965</v>
      </c>
      <c r="DK1583" s="496" t="s">
        <v>1085</v>
      </c>
      <c r="DL1583" s="496" t="s">
        <v>3974</v>
      </c>
      <c r="DM1583" s="496" t="s">
        <v>1087</v>
      </c>
      <c r="DN1583" s="497" t="s">
        <v>1088</v>
      </c>
      <c r="DP1583" s="543">
        <v>1</v>
      </c>
    </row>
    <row r="1584" spans="109:120" ht="25.5">
      <c r="DE1584" s="494"/>
      <c r="DF1584" s="496" t="s">
        <v>4190</v>
      </c>
      <c r="DG1584" s="496" t="s">
        <v>11</v>
      </c>
      <c r="DH1584" s="496" t="s">
        <v>689</v>
      </c>
      <c r="DI1584" s="496" t="s">
        <v>4191</v>
      </c>
      <c r="DJ1584" s="496" t="s">
        <v>4191</v>
      </c>
      <c r="DK1584" s="496" t="s">
        <v>3959</v>
      </c>
      <c r="DL1584" s="496" t="s">
        <v>3960</v>
      </c>
      <c r="DM1584" s="496" t="s">
        <v>3961</v>
      </c>
      <c r="DN1584" s="497" t="s">
        <v>3962</v>
      </c>
      <c r="DP1584" s="543">
        <v>1</v>
      </c>
    </row>
    <row r="1585" spans="109:120" ht="25.5">
      <c r="DE1585" s="494"/>
      <c r="DF1585" s="496" t="s">
        <v>4192</v>
      </c>
      <c r="DG1585" s="496" t="s">
        <v>11</v>
      </c>
      <c r="DH1585" s="496" t="s">
        <v>689</v>
      </c>
      <c r="DI1585" s="496" t="s">
        <v>4193</v>
      </c>
      <c r="DJ1585" s="496" t="s">
        <v>966</v>
      </c>
      <c r="DK1585" s="496" t="s">
        <v>3959</v>
      </c>
      <c r="DL1585" s="496" t="s">
        <v>3960</v>
      </c>
      <c r="DM1585" s="496" t="s">
        <v>3961</v>
      </c>
      <c r="DN1585" s="497" t="s">
        <v>3962</v>
      </c>
      <c r="DP1585" s="543">
        <v>1</v>
      </c>
    </row>
    <row r="1586" spans="109:120" ht="25.5">
      <c r="DE1586" s="494"/>
      <c r="DF1586" s="496" t="s">
        <v>4194</v>
      </c>
      <c r="DG1586" s="496" t="s">
        <v>11</v>
      </c>
      <c r="DH1586" s="496" t="s">
        <v>689</v>
      </c>
      <c r="DI1586" s="496" t="s">
        <v>4195</v>
      </c>
      <c r="DJ1586" s="496" t="s">
        <v>4195</v>
      </c>
      <c r="DK1586" s="496" t="s">
        <v>3959</v>
      </c>
      <c r="DL1586" s="496" t="s">
        <v>3960</v>
      </c>
      <c r="DM1586" s="496" t="s">
        <v>3961</v>
      </c>
      <c r="DN1586" s="497" t="s">
        <v>3962</v>
      </c>
      <c r="DP1586" s="543">
        <v>1</v>
      </c>
    </row>
    <row r="1587" spans="109:120" ht="25.5">
      <c r="DE1587" s="494"/>
      <c r="DF1587" s="496" t="s">
        <v>4196</v>
      </c>
      <c r="DG1587" s="496" t="s">
        <v>11</v>
      </c>
      <c r="DH1587" s="496" t="s">
        <v>689</v>
      </c>
      <c r="DI1587" s="496" t="s">
        <v>4197</v>
      </c>
      <c r="DJ1587" s="496" t="s">
        <v>4197</v>
      </c>
      <c r="DK1587" s="496" t="s">
        <v>3959</v>
      </c>
      <c r="DL1587" s="496" t="s">
        <v>3960</v>
      </c>
      <c r="DM1587" s="496" t="s">
        <v>3961</v>
      </c>
      <c r="DN1587" s="497" t="s">
        <v>3962</v>
      </c>
      <c r="DP1587" s="543">
        <v>1</v>
      </c>
    </row>
    <row r="1588" spans="109:120" ht="25.5">
      <c r="DE1588" s="494"/>
      <c r="DF1588" s="496" t="s">
        <v>4198</v>
      </c>
      <c r="DG1588" s="496" t="s">
        <v>11</v>
      </c>
      <c r="DH1588" s="496" t="s">
        <v>689</v>
      </c>
      <c r="DI1588" s="496" t="s">
        <v>967</v>
      </c>
      <c r="DJ1588" s="496" t="s">
        <v>967</v>
      </c>
      <c r="DK1588" s="496" t="s">
        <v>3959</v>
      </c>
      <c r="DL1588" s="496" t="s">
        <v>3960</v>
      </c>
      <c r="DM1588" s="496" t="s">
        <v>3961</v>
      </c>
      <c r="DN1588" s="497" t="s">
        <v>3962</v>
      </c>
      <c r="DP1588" s="543">
        <v>1</v>
      </c>
    </row>
    <row r="1589" spans="109:120" ht="25.5">
      <c r="DE1589" s="494"/>
      <c r="DF1589" s="496" t="s">
        <v>4199</v>
      </c>
      <c r="DG1589" s="496" t="s">
        <v>11</v>
      </c>
      <c r="DH1589" s="496" t="s">
        <v>689</v>
      </c>
      <c r="DI1589" s="496" t="s">
        <v>4200</v>
      </c>
      <c r="DJ1589" s="496" t="s">
        <v>4201</v>
      </c>
      <c r="DK1589" s="496" t="s">
        <v>3959</v>
      </c>
      <c r="DL1589" s="496" t="s">
        <v>3960</v>
      </c>
      <c r="DM1589" s="496" t="s">
        <v>3961</v>
      </c>
      <c r="DN1589" s="497" t="s">
        <v>3962</v>
      </c>
      <c r="DP1589" s="543">
        <v>1</v>
      </c>
    </row>
    <row r="1590" spans="109:120" ht="15">
      <c r="DE1590" s="494"/>
      <c r="DF1590" s="496" t="s">
        <v>4202</v>
      </c>
      <c r="DG1590" s="496" t="s">
        <v>11</v>
      </c>
      <c r="DH1590" s="496" t="s">
        <v>689</v>
      </c>
      <c r="DI1590" s="496" t="s">
        <v>968</v>
      </c>
      <c r="DJ1590" s="496" t="s">
        <v>968</v>
      </c>
      <c r="DK1590" s="496" t="s">
        <v>1085</v>
      </c>
      <c r="DL1590" s="496" t="s">
        <v>3974</v>
      </c>
      <c r="DM1590" s="496" t="s">
        <v>1087</v>
      </c>
      <c r="DN1590" s="497" t="s">
        <v>1088</v>
      </c>
      <c r="DP1590" s="543">
        <v>1</v>
      </c>
    </row>
    <row r="1591" spans="109:120" ht="25.5">
      <c r="DE1591" s="494"/>
      <c r="DF1591" s="496" t="s">
        <v>4203</v>
      </c>
      <c r="DG1591" s="496" t="s">
        <v>11</v>
      </c>
      <c r="DH1591" s="496" t="s">
        <v>689</v>
      </c>
      <c r="DI1591" s="496" t="s">
        <v>4204</v>
      </c>
      <c r="DJ1591" s="496" t="s">
        <v>4204</v>
      </c>
      <c r="DK1591" s="496" t="s">
        <v>3959</v>
      </c>
      <c r="DL1591" s="496" t="s">
        <v>3960</v>
      </c>
      <c r="DM1591" s="496" t="s">
        <v>3961</v>
      </c>
      <c r="DN1591" s="497" t="s">
        <v>3962</v>
      </c>
      <c r="DP1591" s="543">
        <v>1</v>
      </c>
    </row>
    <row r="1592" spans="109:120" ht="15">
      <c r="DE1592" s="494"/>
      <c r="DF1592" s="496" t="s">
        <v>4205</v>
      </c>
      <c r="DG1592" s="496" t="s">
        <v>11</v>
      </c>
      <c r="DH1592" s="496" t="s">
        <v>689</v>
      </c>
      <c r="DI1592" s="496" t="s">
        <v>4206</v>
      </c>
      <c r="DJ1592" s="496" t="s">
        <v>4206</v>
      </c>
      <c r="DK1592" s="496" t="s">
        <v>1085</v>
      </c>
      <c r="DL1592" s="496" t="s">
        <v>3974</v>
      </c>
      <c r="DM1592" s="496" t="s">
        <v>1087</v>
      </c>
      <c r="DN1592" s="497" t="s">
        <v>1088</v>
      </c>
      <c r="DP1592" s="543">
        <v>1</v>
      </c>
    </row>
    <row r="1593" spans="109:120" ht="25.5">
      <c r="DE1593" s="494"/>
      <c r="DF1593" s="496" t="s">
        <v>4207</v>
      </c>
      <c r="DG1593" s="496" t="s">
        <v>11</v>
      </c>
      <c r="DH1593" s="496" t="s">
        <v>689</v>
      </c>
      <c r="DI1593" s="496" t="s">
        <v>4208</v>
      </c>
      <c r="DJ1593" s="496" t="s">
        <v>4208</v>
      </c>
      <c r="DK1593" s="496" t="s">
        <v>3959</v>
      </c>
      <c r="DL1593" s="496" t="s">
        <v>3960</v>
      </c>
      <c r="DM1593" s="496" t="s">
        <v>3961</v>
      </c>
      <c r="DN1593" s="497" t="s">
        <v>3962</v>
      </c>
      <c r="DP1593" s="543">
        <v>1</v>
      </c>
    </row>
    <row r="1594" spans="109:120" ht="25.5">
      <c r="DE1594" s="494"/>
      <c r="DF1594" s="496" t="s">
        <v>4209</v>
      </c>
      <c r="DG1594" s="496" t="s">
        <v>11</v>
      </c>
      <c r="DH1594" s="496" t="s">
        <v>689</v>
      </c>
      <c r="DI1594" s="496" t="s">
        <v>4210</v>
      </c>
      <c r="DJ1594" s="496" t="s">
        <v>4210</v>
      </c>
      <c r="DK1594" s="496" t="s">
        <v>3959</v>
      </c>
      <c r="DL1594" s="496" t="s">
        <v>3960</v>
      </c>
      <c r="DM1594" s="496" t="s">
        <v>3961</v>
      </c>
      <c r="DN1594" s="497" t="s">
        <v>3962</v>
      </c>
      <c r="DP1594" s="543">
        <v>1</v>
      </c>
    </row>
    <row r="1595" spans="109:120" ht="25.5">
      <c r="DE1595" s="494"/>
      <c r="DF1595" s="496" t="s">
        <v>4211</v>
      </c>
      <c r="DG1595" s="496" t="s">
        <v>11</v>
      </c>
      <c r="DH1595" s="496" t="s">
        <v>689</v>
      </c>
      <c r="DI1595" s="496" t="s">
        <v>4212</v>
      </c>
      <c r="DJ1595" s="496" t="s">
        <v>4212</v>
      </c>
      <c r="DK1595" s="496" t="s">
        <v>3959</v>
      </c>
      <c r="DL1595" s="496" t="s">
        <v>3960</v>
      </c>
      <c r="DM1595" s="496" t="s">
        <v>3961</v>
      </c>
      <c r="DN1595" s="497" t="s">
        <v>3962</v>
      </c>
      <c r="DP1595" s="543">
        <v>1</v>
      </c>
    </row>
    <row r="1596" spans="109:120" ht="15">
      <c r="DE1596" s="494"/>
      <c r="DF1596" s="496" t="s">
        <v>4213</v>
      </c>
      <c r="DG1596" s="496" t="s">
        <v>11</v>
      </c>
      <c r="DH1596" s="496" t="s">
        <v>689</v>
      </c>
      <c r="DI1596" s="496" t="s">
        <v>4214</v>
      </c>
      <c r="DJ1596" s="496" t="s">
        <v>4214</v>
      </c>
      <c r="DK1596" s="496" t="s">
        <v>1085</v>
      </c>
      <c r="DL1596" s="496" t="s">
        <v>3974</v>
      </c>
      <c r="DM1596" s="496" t="s">
        <v>1087</v>
      </c>
      <c r="DN1596" s="497" t="s">
        <v>1088</v>
      </c>
      <c r="DP1596" s="543">
        <v>1</v>
      </c>
    </row>
    <row r="1597" spans="109:120" ht="15">
      <c r="DE1597" s="494"/>
      <c r="DF1597" s="496" t="s">
        <v>4215</v>
      </c>
      <c r="DG1597" s="496" t="s">
        <v>11</v>
      </c>
      <c r="DH1597" s="496" t="s">
        <v>689</v>
      </c>
      <c r="DI1597" s="496" t="s">
        <v>4216</v>
      </c>
      <c r="DJ1597" s="496" t="s">
        <v>4216</v>
      </c>
      <c r="DK1597" s="496" t="s">
        <v>1085</v>
      </c>
      <c r="DL1597" s="496" t="s">
        <v>3974</v>
      </c>
      <c r="DM1597" s="496" t="s">
        <v>1087</v>
      </c>
      <c r="DN1597" s="497" t="s">
        <v>1088</v>
      </c>
      <c r="DP1597" s="543">
        <v>1</v>
      </c>
    </row>
    <row r="1598" spans="109:120" ht="15">
      <c r="DE1598" s="494"/>
      <c r="DF1598" s="496" t="s">
        <v>4217</v>
      </c>
      <c r="DG1598" s="496" t="s">
        <v>11</v>
      </c>
      <c r="DH1598" s="496" t="s">
        <v>689</v>
      </c>
      <c r="DI1598" s="496" t="s">
        <v>970</v>
      </c>
      <c r="DJ1598" s="496" t="s">
        <v>970</v>
      </c>
      <c r="DK1598" s="496" t="s">
        <v>1085</v>
      </c>
      <c r="DL1598" s="496" t="s">
        <v>3974</v>
      </c>
      <c r="DM1598" s="496" t="s">
        <v>1087</v>
      </c>
      <c r="DN1598" s="497" t="s">
        <v>1088</v>
      </c>
      <c r="DP1598" s="543">
        <v>1</v>
      </c>
    </row>
    <row r="1599" spans="109:120" ht="15">
      <c r="DE1599" s="494"/>
      <c r="DF1599" s="496" t="s">
        <v>4218</v>
      </c>
      <c r="DG1599" s="496" t="s">
        <v>11</v>
      </c>
      <c r="DH1599" s="496" t="s">
        <v>689</v>
      </c>
      <c r="DI1599" s="496" t="s">
        <v>4219</v>
      </c>
      <c r="DJ1599" s="496" t="s">
        <v>4219</v>
      </c>
      <c r="DK1599" s="496" t="s">
        <v>1085</v>
      </c>
      <c r="DL1599" s="496" t="s">
        <v>3974</v>
      </c>
      <c r="DM1599" s="496" t="s">
        <v>1087</v>
      </c>
      <c r="DN1599" s="497" t="s">
        <v>1088</v>
      </c>
      <c r="DP1599" s="543">
        <v>1</v>
      </c>
    </row>
    <row r="1600" spans="109:120" ht="25.5">
      <c r="DE1600" s="494"/>
      <c r="DF1600" s="496" t="s">
        <v>4220</v>
      </c>
      <c r="DG1600" s="496" t="s">
        <v>11</v>
      </c>
      <c r="DH1600" s="496" t="s">
        <v>689</v>
      </c>
      <c r="DI1600" s="496" t="s">
        <v>4221</v>
      </c>
      <c r="DJ1600" s="496" t="s">
        <v>4221</v>
      </c>
      <c r="DK1600" s="496" t="s">
        <v>3959</v>
      </c>
      <c r="DL1600" s="496" t="s">
        <v>3960</v>
      </c>
      <c r="DM1600" s="496" t="s">
        <v>3961</v>
      </c>
      <c r="DN1600" s="497" t="s">
        <v>3962</v>
      </c>
      <c r="DP1600" s="543">
        <v>1</v>
      </c>
    </row>
    <row r="1601" spans="109:120" ht="15">
      <c r="DE1601" s="494"/>
      <c r="DF1601" s="496" t="s">
        <v>4222</v>
      </c>
      <c r="DG1601" s="496" t="s">
        <v>11</v>
      </c>
      <c r="DH1601" s="496" t="s">
        <v>689</v>
      </c>
      <c r="DI1601" s="496" t="s">
        <v>4223</v>
      </c>
      <c r="DJ1601" s="496" t="s">
        <v>971</v>
      </c>
      <c r="DK1601" s="496" t="s">
        <v>1085</v>
      </c>
      <c r="DL1601" s="496" t="s">
        <v>3974</v>
      </c>
      <c r="DM1601" s="496" t="s">
        <v>1087</v>
      </c>
      <c r="DN1601" s="497" t="s">
        <v>1088</v>
      </c>
      <c r="DP1601" s="543">
        <v>1</v>
      </c>
    </row>
    <row r="1602" spans="109:120" ht="25.5">
      <c r="DE1602" s="494"/>
      <c r="DF1602" s="496" t="s">
        <v>4224</v>
      </c>
      <c r="DG1602" s="496" t="s">
        <v>11</v>
      </c>
      <c r="DH1602" s="496" t="s">
        <v>689</v>
      </c>
      <c r="DI1602" s="496" t="s">
        <v>4225</v>
      </c>
      <c r="DJ1602" s="496" t="s">
        <v>4226</v>
      </c>
      <c r="DK1602" s="496" t="s">
        <v>3959</v>
      </c>
      <c r="DL1602" s="496" t="s">
        <v>3960</v>
      </c>
      <c r="DM1602" s="496" t="s">
        <v>3961</v>
      </c>
      <c r="DN1602" s="497" t="s">
        <v>3962</v>
      </c>
      <c r="DP1602" s="543">
        <v>1</v>
      </c>
    </row>
    <row r="1603" spans="109:120" ht="15">
      <c r="DE1603" s="494"/>
      <c r="DF1603" s="496" t="s">
        <v>4227</v>
      </c>
      <c r="DG1603" s="496" t="s">
        <v>11</v>
      </c>
      <c r="DH1603" s="496" t="s">
        <v>689</v>
      </c>
      <c r="DI1603" s="496" t="s">
        <v>4228</v>
      </c>
      <c r="DJ1603" s="496" t="s">
        <v>4228</v>
      </c>
      <c r="DK1603" s="496" t="s">
        <v>1085</v>
      </c>
      <c r="DL1603" s="496" t="s">
        <v>3974</v>
      </c>
      <c r="DM1603" s="496" t="s">
        <v>1087</v>
      </c>
      <c r="DN1603" s="497" t="s">
        <v>1088</v>
      </c>
      <c r="DP1603" s="543">
        <v>1</v>
      </c>
    </row>
    <row r="1604" spans="109:120" ht="25.5">
      <c r="DE1604" s="494"/>
      <c r="DF1604" s="496" t="s">
        <v>4229</v>
      </c>
      <c r="DG1604" s="496" t="s">
        <v>11</v>
      </c>
      <c r="DH1604" s="496" t="s">
        <v>689</v>
      </c>
      <c r="DI1604" s="496" t="s">
        <v>4230</v>
      </c>
      <c r="DJ1604" s="496" t="s">
        <v>4230</v>
      </c>
      <c r="DK1604" s="496" t="s">
        <v>3959</v>
      </c>
      <c r="DL1604" s="496" t="s">
        <v>3960</v>
      </c>
      <c r="DM1604" s="496" t="s">
        <v>3961</v>
      </c>
      <c r="DN1604" s="497" t="s">
        <v>3962</v>
      </c>
      <c r="DP1604" s="543">
        <v>1</v>
      </c>
    </row>
    <row r="1605" spans="109:120" ht="25.5">
      <c r="DE1605" s="494"/>
      <c r="DF1605" s="496" t="s">
        <v>4231</v>
      </c>
      <c r="DG1605" s="496" t="s">
        <v>11</v>
      </c>
      <c r="DH1605" s="496" t="s">
        <v>689</v>
      </c>
      <c r="DI1605" s="496" t="s">
        <v>4232</v>
      </c>
      <c r="DJ1605" s="496" t="s">
        <v>4232</v>
      </c>
      <c r="DK1605" s="496" t="s">
        <v>3959</v>
      </c>
      <c r="DL1605" s="496" t="s">
        <v>3960</v>
      </c>
      <c r="DM1605" s="496" t="s">
        <v>3961</v>
      </c>
      <c r="DN1605" s="497" t="s">
        <v>3962</v>
      </c>
      <c r="DP1605" s="543">
        <v>1</v>
      </c>
    </row>
    <row r="1606" spans="109:120" ht="25.5">
      <c r="DE1606" s="494"/>
      <c r="DF1606" s="496" t="s">
        <v>4233</v>
      </c>
      <c r="DG1606" s="496" t="s">
        <v>11</v>
      </c>
      <c r="DH1606" s="496" t="s">
        <v>689</v>
      </c>
      <c r="DI1606" s="496" t="s">
        <v>4234</v>
      </c>
      <c r="DJ1606" s="496" t="s">
        <v>4234</v>
      </c>
      <c r="DK1606" s="496" t="s">
        <v>3959</v>
      </c>
      <c r="DL1606" s="496" t="s">
        <v>3960</v>
      </c>
      <c r="DM1606" s="496" t="s">
        <v>3961</v>
      </c>
      <c r="DN1606" s="497" t="s">
        <v>3962</v>
      </c>
      <c r="DP1606" s="543">
        <v>1</v>
      </c>
    </row>
    <row r="1607" spans="109:120" ht="15">
      <c r="DE1607" s="494"/>
      <c r="DF1607" s="496" t="s">
        <v>4235</v>
      </c>
      <c r="DG1607" s="496" t="s">
        <v>11</v>
      </c>
      <c r="DH1607" s="496" t="s">
        <v>689</v>
      </c>
      <c r="DI1607" s="496" t="s">
        <v>4236</v>
      </c>
      <c r="DJ1607" s="496" t="s">
        <v>4236</v>
      </c>
      <c r="DK1607" s="496" t="s">
        <v>1151</v>
      </c>
      <c r="DL1607" s="496" t="s">
        <v>1152</v>
      </c>
      <c r="DM1607" s="496" t="s">
        <v>1087</v>
      </c>
      <c r="DN1607" s="497" t="s">
        <v>1153</v>
      </c>
      <c r="DP1607" s="543">
        <v>1</v>
      </c>
    </row>
    <row r="1608" spans="109:120" ht="25.5">
      <c r="DE1608" s="494"/>
      <c r="DF1608" s="496" t="s">
        <v>4237</v>
      </c>
      <c r="DG1608" s="496" t="s">
        <v>11</v>
      </c>
      <c r="DH1608" s="496" t="s">
        <v>689</v>
      </c>
      <c r="DI1608" s="496" t="s">
        <v>4238</v>
      </c>
      <c r="DJ1608" s="496" t="s">
        <v>4238</v>
      </c>
      <c r="DK1608" s="496" t="s">
        <v>3959</v>
      </c>
      <c r="DL1608" s="496" t="s">
        <v>3960</v>
      </c>
      <c r="DM1608" s="496" t="s">
        <v>3961</v>
      </c>
      <c r="DN1608" s="497" t="s">
        <v>3962</v>
      </c>
      <c r="DP1608" s="543">
        <v>1</v>
      </c>
    </row>
    <row r="1609" spans="109:120" ht="25.5">
      <c r="DE1609" s="494"/>
      <c r="DF1609" s="496" t="s">
        <v>4239</v>
      </c>
      <c r="DG1609" s="496" t="s">
        <v>11</v>
      </c>
      <c r="DH1609" s="496" t="s">
        <v>689</v>
      </c>
      <c r="DI1609" s="496" t="s">
        <v>4240</v>
      </c>
      <c r="DJ1609" s="496" t="s">
        <v>4240</v>
      </c>
      <c r="DK1609" s="496" t="s">
        <v>3959</v>
      </c>
      <c r="DL1609" s="496" t="s">
        <v>3960</v>
      </c>
      <c r="DM1609" s="496" t="s">
        <v>3961</v>
      </c>
      <c r="DN1609" s="497" t="s">
        <v>3962</v>
      </c>
      <c r="DP1609" s="543">
        <v>1</v>
      </c>
    </row>
    <row r="1610" spans="109:120" ht="25.5">
      <c r="DE1610" s="494"/>
      <c r="DF1610" s="496" t="s">
        <v>4241</v>
      </c>
      <c r="DG1610" s="496" t="s">
        <v>11</v>
      </c>
      <c r="DH1610" s="496" t="s">
        <v>689</v>
      </c>
      <c r="DI1610" s="496" t="s">
        <v>4242</v>
      </c>
      <c r="DJ1610" s="496" t="s">
        <v>4242</v>
      </c>
      <c r="DK1610" s="496" t="s">
        <v>3959</v>
      </c>
      <c r="DL1610" s="496" t="s">
        <v>3960</v>
      </c>
      <c r="DM1610" s="496" t="s">
        <v>3961</v>
      </c>
      <c r="DN1610" s="497" t="s">
        <v>3962</v>
      </c>
      <c r="DP1610" s="543">
        <v>1</v>
      </c>
    </row>
    <row r="1611" spans="109:120" ht="15">
      <c r="DE1611" s="494"/>
      <c r="DF1611" s="496" t="s">
        <v>4243</v>
      </c>
      <c r="DG1611" s="496" t="s">
        <v>11</v>
      </c>
      <c r="DH1611" s="496" t="s">
        <v>689</v>
      </c>
      <c r="DI1611" s="496" t="s">
        <v>4244</v>
      </c>
      <c r="DJ1611" s="496" t="s">
        <v>4245</v>
      </c>
      <c r="DK1611" s="496" t="s">
        <v>1085</v>
      </c>
      <c r="DL1611" s="496" t="s">
        <v>3974</v>
      </c>
      <c r="DM1611" s="496" t="s">
        <v>1087</v>
      </c>
      <c r="DN1611" s="497" t="s">
        <v>1088</v>
      </c>
      <c r="DP1611" s="543">
        <v>1</v>
      </c>
    </row>
    <row r="1612" spans="109:120" ht="15">
      <c r="DE1612" s="494"/>
      <c r="DF1612" s="496" t="s">
        <v>4246</v>
      </c>
      <c r="DG1612" s="496" t="s">
        <v>11</v>
      </c>
      <c r="DH1612" s="496" t="s">
        <v>689</v>
      </c>
      <c r="DI1612" s="496" t="s">
        <v>974</v>
      </c>
      <c r="DJ1612" s="496" t="s">
        <v>974</v>
      </c>
      <c r="DK1612" s="496" t="s">
        <v>1085</v>
      </c>
      <c r="DL1612" s="496" t="s">
        <v>3974</v>
      </c>
      <c r="DM1612" s="496" t="s">
        <v>1087</v>
      </c>
      <c r="DN1612" s="497" t="s">
        <v>1088</v>
      </c>
      <c r="DP1612" s="543">
        <v>1</v>
      </c>
    </row>
    <row r="1613" spans="109:120" ht="25.5">
      <c r="DE1613" s="494"/>
      <c r="DF1613" s="496" t="s">
        <v>4247</v>
      </c>
      <c r="DG1613" s="496" t="s">
        <v>11</v>
      </c>
      <c r="DH1613" s="496" t="s">
        <v>689</v>
      </c>
      <c r="DI1613" s="496" t="s">
        <v>975</v>
      </c>
      <c r="DJ1613" s="496" t="s">
        <v>975</v>
      </c>
      <c r="DK1613" s="496" t="s">
        <v>3959</v>
      </c>
      <c r="DL1613" s="496" t="s">
        <v>3960</v>
      </c>
      <c r="DM1613" s="496" t="s">
        <v>3961</v>
      </c>
      <c r="DN1613" s="497" t="s">
        <v>3962</v>
      </c>
      <c r="DP1613" s="543">
        <v>1</v>
      </c>
    </row>
    <row r="1614" spans="109:120" ht="25.5">
      <c r="DE1614" s="494"/>
      <c r="DF1614" s="496" t="s">
        <v>4248</v>
      </c>
      <c r="DG1614" s="496" t="s">
        <v>11</v>
      </c>
      <c r="DH1614" s="496" t="s">
        <v>689</v>
      </c>
      <c r="DI1614" s="496" t="s">
        <v>4249</v>
      </c>
      <c r="DJ1614" s="496" t="s">
        <v>4249</v>
      </c>
      <c r="DK1614" s="496" t="s">
        <v>3959</v>
      </c>
      <c r="DL1614" s="496" t="s">
        <v>3960</v>
      </c>
      <c r="DM1614" s="496" t="s">
        <v>3961</v>
      </c>
      <c r="DN1614" s="497" t="s">
        <v>3962</v>
      </c>
      <c r="DP1614" s="543">
        <v>1</v>
      </c>
    </row>
    <row r="1615" spans="109:120" ht="15">
      <c r="DE1615" s="494"/>
      <c r="DF1615" s="496" t="s">
        <v>4250</v>
      </c>
      <c r="DG1615" s="496" t="s">
        <v>11</v>
      </c>
      <c r="DH1615" s="496" t="s">
        <v>689</v>
      </c>
      <c r="DI1615" s="496" t="s">
        <v>699</v>
      </c>
      <c r="DJ1615" s="496" t="s">
        <v>699</v>
      </c>
      <c r="DK1615" s="496" t="s">
        <v>1085</v>
      </c>
      <c r="DL1615" s="496" t="s">
        <v>3974</v>
      </c>
      <c r="DM1615" s="496" t="s">
        <v>1087</v>
      </c>
      <c r="DN1615" s="497" t="s">
        <v>1088</v>
      </c>
      <c r="DP1615" s="543">
        <v>1</v>
      </c>
    </row>
    <row r="1616" spans="109:120" ht="15">
      <c r="DE1616" s="494"/>
      <c r="DF1616" s="496" t="s">
        <v>4251</v>
      </c>
      <c r="DG1616" s="496" t="s">
        <v>11</v>
      </c>
      <c r="DH1616" s="496" t="s">
        <v>689</v>
      </c>
      <c r="DI1616" s="496" t="s">
        <v>4252</v>
      </c>
      <c r="DJ1616" s="496" t="s">
        <v>4252</v>
      </c>
      <c r="DK1616" s="496" t="s">
        <v>1085</v>
      </c>
      <c r="DL1616" s="496" t="s">
        <v>3974</v>
      </c>
      <c r="DM1616" s="496" t="s">
        <v>1087</v>
      </c>
      <c r="DN1616" s="497" t="s">
        <v>1088</v>
      </c>
      <c r="DP1616" s="543">
        <v>1</v>
      </c>
    </row>
    <row r="1617" spans="109:120" ht="15">
      <c r="DE1617" s="494"/>
      <c r="DF1617" s="496" t="s">
        <v>4253</v>
      </c>
      <c r="DG1617" s="496" t="s">
        <v>11</v>
      </c>
      <c r="DH1617" s="496" t="s">
        <v>689</v>
      </c>
      <c r="DI1617" s="496" t="s">
        <v>84</v>
      </c>
      <c r="DJ1617" s="496" t="s">
        <v>84</v>
      </c>
      <c r="DK1617" s="496" t="s">
        <v>1085</v>
      </c>
      <c r="DL1617" s="496" t="s">
        <v>3974</v>
      </c>
      <c r="DM1617" s="496" t="s">
        <v>1087</v>
      </c>
      <c r="DN1617" s="497" t="s">
        <v>1088</v>
      </c>
      <c r="DP1617" s="543">
        <v>1</v>
      </c>
    </row>
    <row r="1618" spans="109:120" ht="25.5">
      <c r="DE1618" s="494"/>
      <c r="DF1618" s="496" t="s">
        <v>4254</v>
      </c>
      <c r="DG1618" s="496" t="s">
        <v>11</v>
      </c>
      <c r="DH1618" s="496" t="s">
        <v>689</v>
      </c>
      <c r="DI1618" s="496" t="s">
        <v>4255</v>
      </c>
      <c r="DJ1618" s="496" t="s">
        <v>4256</v>
      </c>
      <c r="DK1618" s="496" t="s">
        <v>3959</v>
      </c>
      <c r="DL1618" s="496" t="s">
        <v>3960</v>
      </c>
      <c r="DM1618" s="496" t="s">
        <v>3961</v>
      </c>
      <c r="DN1618" s="497" t="s">
        <v>3962</v>
      </c>
      <c r="DP1618" s="543">
        <v>1</v>
      </c>
    </row>
    <row r="1619" spans="109:120" ht="15">
      <c r="DE1619" s="494"/>
      <c r="DF1619" s="496" t="s">
        <v>4257</v>
      </c>
      <c r="DG1619" s="496" t="s">
        <v>11</v>
      </c>
      <c r="DH1619" s="496" t="s">
        <v>689</v>
      </c>
      <c r="DI1619" s="496" t="s">
        <v>4258</v>
      </c>
      <c r="DJ1619" s="496" t="s">
        <v>70</v>
      </c>
      <c r="DK1619" s="496" t="s">
        <v>1085</v>
      </c>
      <c r="DL1619" s="496" t="s">
        <v>3974</v>
      </c>
      <c r="DM1619" s="496" t="s">
        <v>1087</v>
      </c>
      <c r="DN1619" s="497" t="s">
        <v>1088</v>
      </c>
      <c r="DP1619" s="543">
        <v>1</v>
      </c>
    </row>
    <row r="1620" spans="109:120" ht="25.5">
      <c r="DE1620" s="494"/>
      <c r="DF1620" s="496" t="s">
        <v>4259</v>
      </c>
      <c r="DG1620" s="496" t="s">
        <v>11</v>
      </c>
      <c r="DH1620" s="496" t="s">
        <v>689</v>
      </c>
      <c r="DI1620" s="496" t="s">
        <v>4260</v>
      </c>
      <c r="DJ1620" s="496" t="s">
        <v>4260</v>
      </c>
      <c r="DK1620" s="496" t="s">
        <v>3959</v>
      </c>
      <c r="DL1620" s="496" t="s">
        <v>3960</v>
      </c>
      <c r="DM1620" s="496" t="s">
        <v>3961</v>
      </c>
      <c r="DN1620" s="497" t="s">
        <v>3962</v>
      </c>
      <c r="DP1620" s="543">
        <v>1</v>
      </c>
    </row>
    <row r="1621" spans="109:120" ht="15">
      <c r="DE1621" s="494"/>
      <c r="DF1621" s="496" t="s">
        <v>4261</v>
      </c>
      <c r="DG1621" s="496" t="s">
        <v>11</v>
      </c>
      <c r="DH1621" s="496" t="s">
        <v>689</v>
      </c>
      <c r="DI1621" s="496" t="s">
        <v>23</v>
      </c>
      <c r="DJ1621" s="496" t="s">
        <v>23</v>
      </c>
      <c r="DK1621" s="496" t="s">
        <v>1085</v>
      </c>
      <c r="DL1621" s="496" t="s">
        <v>3974</v>
      </c>
      <c r="DM1621" s="496" t="s">
        <v>1087</v>
      </c>
      <c r="DN1621" s="497" t="s">
        <v>1088</v>
      </c>
      <c r="DP1621" s="543">
        <v>1</v>
      </c>
    </row>
    <row r="1622" spans="109:120" ht="15">
      <c r="DE1622" s="494"/>
      <c r="DF1622" s="496" t="s">
        <v>4262</v>
      </c>
      <c r="DG1622" s="496" t="s">
        <v>11</v>
      </c>
      <c r="DH1622" s="496" t="s">
        <v>689</v>
      </c>
      <c r="DI1622" s="496" t="s">
        <v>4263</v>
      </c>
      <c r="DJ1622" s="496" t="s">
        <v>4264</v>
      </c>
      <c r="DK1622" s="496" t="s">
        <v>1085</v>
      </c>
      <c r="DL1622" s="496" t="s">
        <v>3974</v>
      </c>
      <c r="DM1622" s="496" t="s">
        <v>1087</v>
      </c>
      <c r="DN1622" s="497" t="s">
        <v>1088</v>
      </c>
      <c r="DP1622" s="543">
        <v>1</v>
      </c>
    </row>
    <row r="1623" spans="109:120" ht="25.5">
      <c r="DE1623" s="494"/>
      <c r="DF1623" s="496" t="s">
        <v>4265</v>
      </c>
      <c r="DG1623" s="496" t="s">
        <v>11</v>
      </c>
      <c r="DH1623" s="496" t="s">
        <v>689</v>
      </c>
      <c r="DI1623" s="496" t="s">
        <v>4266</v>
      </c>
      <c r="DJ1623" s="496" t="s">
        <v>4267</v>
      </c>
      <c r="DK1623" s="496" t="s">
        <v>3959</v>
      </c>
      <c r="DL1623" s="496" t="s">
        <v>3960</v>
      </c>
      <c r="DM1623" s="496" t="s">
        <v>3961</v>
      </c>
      <c r="DN1623" s="497" t="s">
        <v>3962</v>
      </c>
      <c r="DP1623" s="543">
        <v>1</v>
      </c>
    </row>
    <row r="1624" spans="109:120" ht="25.5">
      <c r="DE1624" s="494"/>
      <c r="DF1624" s="496" t="s">
        <v>4268</v>
      </c>
      <c r="DG1624" s="496" t="s">
        <v>11</v>
      </c>
      <c r="DH1624" s="496" t="s">
        <v>689</v>
      </c>
      <c r="DI1624" s="496" t="s">
        <v>4269</v>
      </c>
      <c r="DJ1624" s="496" t="s">
        <v>4269</v>
      </c>
      <c r="DK1624" s="496" t="s">
        <v>3959</v>
      </c>
      <c r="DL1624" s="496" t="s">
        <v>3960</v>
      </c>
      <c r="DM1624" s="496" t="s">
        <v>3961</v>
      </c>
      <c r="DN1624" s="497" t="s">
        <v>3962</v>
      </c>
      <c r="DP1624" s="543">
        <v>1</v>
      </c>
    </row>
    <row r="1625" spans="109:120" ht="15">
      <c r="DE1625" s="494"/>
      <c r="DF1625" s="496" t="s">
        <v>4270</v>
      </c>
      <c r="DG1625" s="496" t="s">
        <v>11</v>
      </c>
      <c r="DH1625" s="496" t="s">
        <v>689</v>
      </c>
      <c r="DI1625" s="496" t="s">
        <v>4271</v>
      </c>
      <c r="DJ1625" s="496" t="s">
        <v>4271</v>
      </c>
      <c r="DK1625" s="496" t="s">
        <v>1085</v>
      </c>
      <c r="DL1625" s="496" t="s">
        <v>3974</v>
      </c>
      <c r="DM1625" s="496" t="s">
        <v>1087</v>
      </c>
      <c r="DN1625" s="497" t="s">
        <v>1088</v>
      </c>
      <c r="DP1625" s="543">
        <v>1</v>
      </c>
    </row>
    <row r="1626" spans="109:120" ht="25.5">
      <c r="DE1626" s="494"/>
      <c r="DF1626" s="496" t="s">
        <v>4272</v>
      </c>
      <c r="DG1626" s="496" t="s">
        <v>11</v>
      </c>
      <c r="DH1626" s="496" t="s">
        <v>689</v>
      </c>
      <c r="DI1626" s="496" t="s">
        <v>4273</v>
      </c>
      <c r="DJ1626" s="496" t="s">
        <v>4273</v>
      </c>
      <c r="DK1626" s="496" t="s">
        <v>3959</v>
      </c>
      <c r="DL1626" s="496" t="s">
        <v>3960</v>
      </c>
      <c r="DM1626" s="496" t="s">
        <v>3961</v>
      </c>
      <c r="DN1626" s="497" t="s">
        <v>3962</v>
      </c>
      <c r="DP1626" s="543">
        <v>1</v>
      </c>
    </row>
    <row r="1627" spans="109:120" ht="15">
      <c r="DE1627" s="494"/>
      <c r="DF1627" s="496" t="s">
        <v>4274</v>
      </c>
      <c r="DG1627" s="496" t="s">
        <v>11</v>
      </c>
      <c r="DH1627" s="496" t="s">
        <v>689</v>
      </c>
      <c r="DI1627" s="496" t="s">
        <v>4275</v>
      </c>
      <c r="DJ1627" s="496" t="s">
        <v>4276</v>
      </c>
      <c r="DK1627" s="496" t="s">
        <v>1085</v>
      </c>
      <c r="DL1627" s="496" t="s">
        <v>3974</v>
      </c>
      <c r="DM1627" s="496" t="s">
        <v>1087</v>
      </c>
      <c r="DN1627" s="497" t="s">
        <v>1088</v>
      </c>
      <c r="DP1627" s="543">
        <v>1</v>
      </c>
    </row>
    <row r="1628" spans="109:120" ht="15">
      <c r="DE1628" s="494"/>
      <c r="DF1628" s="496" t="s">
        <v>4277</v>
      </c>
      <c r="DG1628" s="496" t="s">
        <v>11</v>
      </c>
      <c r="DH1628" s="496" t="s">
        <v>689</v>
      </c>
      <c r="DI1628" s="496" t="s">
        <v>4278</v>
      </c>
      <c r="DJ1628" s="496" t="s">
        <v>4278</v>
      </c>
      <c r="DK1628" s="496" t="s">
        <v>1085</v>
      </c>
      <c r="DL1628" s="496" t="s">
        <v>3974</v>
      </c>
      <c r="DM1628" s="496" t="s">
        <v>1087</v>
      </c>
      <c r="DN1628" s="497" t="s">
        <v>1088</v>
      </c>
      <c r="DP1628" s="543">
        <v>1</v>
      </c>
    </row>
    <row r="1629" spans="109:120" ht="15">
      <c r="DE1629" s="494"/>
      <c r="DF1629" s="496" t="s">
        <v>4279</v>
      </c>
      <c r="DG1629" s="496" t="s">
        <v>11</v>
      </c>
      <c r="DH1629" s="496" t="s">
        <v>689</v>
      </c>
      <c r="DI1629" s="496" t="s">
        <v>4280</v>
      </c>
      <c r="DJ1629" s="496" t="s">
        <v>58</v>
      </c>
      <c r="DK1629" s="496" t="s">
        <v>1085</v>
      </c>
      <c r="DL1629" s="496" t="s">
        <v>3974</v>
      </c>
      <c r="DM1629" s="496" t="s">
        <v>1087</v>
      </c>
      <c r="DN1629" s="497" t="s">
        <v>1088</v>
      </c>
      <c r="DP1629" s="543">
        <v>1</v>
      </c>
    </row>
    <row r="1630" spans="109:120" ht="15">
      <c r="DE1630" s="494"/>
      <c r="DF1630" s="496" t="s">
        <v>4281</v>
      </c>
      <c r="DG1630" s="496" t="s">
        <v>11</v>
      </c>
      <c r="DH1630" s="496" t="s">
        <v>689</v>
      </c>
      <c r="DI1630" s="496" t="s">
        <v>4282</v>
      </c>
      <c r="DJ1630" s="496" t="s">
        <v>47</v>
      </c>
      <c r="DK1630" s="496" t="s">
        <v>1085</v>
      </c>
      <c r="DL1630" s="496" t="s">
        <v>3974</v>
      </c>
      <c r="DM1630" s="496" t="s">
        <v>1087</v>
      </c>
      <c r="DN1630" s="497" t="s">
        <v>1088</v>
      </c>
      <c r="DP1630" s="543">
        <v>1</v>
      </c>
    </row>
    <row r="1631" spans="109:120" ht="15">
      <c r="DE1631" s="494"/>
      <c r="DF1631" s="496" t="s">
        <v>4283</v>
      </c>
      <c r="DG1631" s="496" t="s">
        <v>11</v>
      </c>
      <c r="DH1631" s="496" t="s">
        <v>689</v>
      </c>
      <c r="DI1631" s="496" t="s">
        <v>156</v>
      </c>
      <c r="DJ1631" s="496" t="s">
        <v>156</v>
      </c>
      <c r="DK1631" s="496" t="s">
        <v>1085</v>
      </c>
      <c r="DL1631" s="496" t="s">
        <v>3974</v>
      </c>
      <c r="DM1631" s="496" t="s">
        <v>1087</v>
      </c>
      <c r="DN1631" s="497" t="s">
        <v>1088</v>
      </c>
      <c r="DP1631" s="543">
        <v>1</v>
      </c>
    </row>
    <row r="1632" spans="109:120" ht="15">
      <c r="DE1632" s="494"/>
      <c r="DF1632" s="496" t="s">
        <v>4284</v>
      </c>
      <c r="DG1632" s="496" t="s">
        <v>11</v>
      </c>
      <c r="DH1632" s="496" t="s">
        <v>689</v>
      </c>
      <c r="DI1632" s="496" t="s">
        <v>33</v>
      </c>
      <c r="DJ1632" s="496" t="s">
        <v>33</v>
      </c>
      <c r="DK1632" s="496" t="s">
        <v>1085</v>
      </c>
      <c r="DL1632" s="496" t="s">
        <v>3974</v>
      </c>
      <c r="DM1632" s="496" t="s">
        <v>1087</v>
      </c>
      <c r="DN1632" s="497" t="s">
        <v>1088</v>
      </c>
      <c r="DP1632" s="543">
        <v>1</v>
      </c>
    </row>
    <row r="1633" spans="109:120" ht="15">
      <c r="DE1633" s="494"/>
      <c r="DF1633" s="496" t="s">
        <v>4285</v>
      </c>
      <c r="DG1633" s="496" t="s">
        <v>11</v>
      </c>
      <c r="DH1633" s="496" t="s">
        <v>689</v>
      </c>
      <c r="DI1633" s="496" t="s">
        <v>4286</v>
      </c>
      <c r="DJ1633" s="496" t="s">
        <v>4287</v>
      </c>
      <c r="DK1633" s="496" t="s">
        <v>1085</v>
      </c>
      <c r="DL1633" s="496" t="s">
        <v>3974</v>
      </c>
      <c r="DM1633" s="496" t="s">
        <v>1087</v>
      </c>
      <c r="DN1633" s="497" t="s">
        <v>1088</v>
      </c>
      <c r="DP1633" s="543">
        <v>1</v>
      </c>
    </row>
    <row r="1634" spans="109:120" ht="25.5">
      <c r="DE1634" s="494"/>
      <c r="DF1634" s="496" t="s">
        <v>4288</v>
      </c>
      <c r="DG1634" s="496" t="s">
        <v>11</v>
      </c>
      <c r="DH1634" s="496" t="s">
        <v>689</v>
      </c>
      <c r="DI1634" s="496" t="s">
        <v>4289</v>
      </c>
      <c r="DJ1634" s="496" t="s">
        <v>185</v>
      </c>
      <c r="DK1634" s="496" t="s">
        <v>3959</v>
      </c>
      <c r="DL1634" s="496" t="s">
        <v>3960</v>
      </c>
      <c r="DM1634" s="496" t="s">
        <v>3961</v>
      </c>
      <c r="DN1634" s="497" t="s">
        <v>3962</v>
      </c>
      <c r="DP1634" s="543">
        <v>1</v>
      </c>
    </row>
    <row r="1635" spans="109:120" ht="25.5">
      <c r="DE1635" s="494"/>
      <c r="DF1635" s="496" t="s">
        <v>4290</v>
      </c>
      <c r="DG1635" s="496" t="s">
        <v>11</v>
      </c>
      <c r="DH1635" s="496" t="s">
        <v>689</v>
      </c>
      <c r="DI1635" s="496" t="s">
        <v>4291</v>
      </c>
      <c r="DJ1635" s="496" t="s">
        <v>4292</v>
      </c>
      <c r="DK1635" s="496" t="s">
        <v>3959</v>
      </c>
      <c r="DL1635" s="496" t="s">
        <v>3960</v>
      </c>
      <c r="DM1635" s="496" t="s">
        <v>3961</v>
      </c>
      <c r="DN1635" s="497" t="s">
        <v>3962</v>
      </c>
      <c r="DP1635" s="543">
        <v>1</v>
      </c>
    </row>
    <row r="1636" spans="109:120" ht="25.5">
      <c r="DE1636" s="494"/>
      <c r="DF1636" s="496" t="s">
        <v>4293</v>
      </c>
      <c r="DG1636" s="496" t="s">
        <v>11</v>
      </c>
      <c r="DH1636" s="496" t="s">
        <v>689</v>
      </c>
      <c r="DI1636" s="496" t="s">
        <v>4294</v>
      </c>
      <c r="DJ1636" s="496" t="s">
        <v>4295</v>
      </c>
      <c r="DK1636" s="496" t="s">
        <v>3959</v>
      </c>
      <c r="DL1636" s="496" t="s">
        <v>3960</v>
      </c>
      <c r="DM1636" s="496" t="s">
        <v>3961</v>
      </c>
      <c r="DN1636" s="497" t="s">
        <v>3962</v>
      </c>
      <c r="DP1636" s="543">
        <v>1</v>
      </c>
    </row>
    <row r="1637" spans="109:120" ht="25.5">
      <c r="DE1637" s="494"/>
      <c r="DF1637" s="496" t="s">
        <v>4296</v>
      </c>
      <c r="DG1637" s="496" t="s">
        <v>11</v>
      </c>
      <c r="DH1637" s="496" t="s">
        <v>689</v>
      </c>
      <c r="DI1637" s="496" t="s">
        <v>4297</v>
      </c>
      <c r="DJ1637" s="496" t="s">
        <v>4298</v>
      </c>
      <c r="DK1637" s="496" t="s">
        <v>3959</v>
      </c>
      <c r="DL1637" s="496" t="s">
        <v>3960</v>
      </c>
      <c r="DM1637" s="496" t="s">
        <v>3961</v>
      </c>
      <c r="DN1637" s="497" t="s">
        <v>3962</v>
      </c>
      <c r="DP1637" s="543">
        <v>1</v>
      </c>
    </row>
    <row r="1638" spans="109:120" ht="25.5">
      <c r="DE1638" s="494"/>
      <c r="DF1638" s="496" t="s">
        <v>4299</v>
      </c>
      <c r="DG1638" s="496" t="s">
        <v>11</v>
      </c>
      <c r="DH1638" s="496" t="s">
        <v>689</v>
      </c>
      <c r="DI1638" s="496" t="s">
        <v>4300</v>
      </c>
      <c r="DJ1638" s="496" t="s">
        <v>4300</v>
      </c>
      <c r="DK1638" s="496" t="s">
        <v>3959</v>
      </c>
      <c r="DL1638" s="496" t="s">
        <v>3960</v>
      </c>
      <c r="DM1638" s="496" t="s">
        <v>3961</v>
      </c>
      <c r="DN1638" s="497" t="s">
        <v>3962</v>
      </c>
      <c r="DP1638" s="543">
        <v>1</v>
      </c>
    </row>
    <row r="1639" spans="109:120" ht="25.5">
      <c r="DE1639" s="494"/>
      <c r="DF1639" s="496" t="s">
        <v>4301</v>
      </c>
      <c r="DG1639" s="496" t="s">
        <v>11</v>
      </c>
      <c r="DH1639" s="496" t="s">
        <v>689</v>
      </c>
      <c r="DI1639" s="496" t="s">
        <v>4302</v>
      </c>
      <c r="DJ1639" s="496" t="s">
        <v>4303</v>
      </c>
      <c r="DK1639" s="496" t="s">
        <v>3959</v>
      </c>
      <c r="DL1639" s="496" t="s">
        <v>3960</v>
      </c>
      <c r="DM1639" s="496" t="s">
        <v>3961</v>
      </c>
      <c r="DN1639" s="497" t="s">
        <v>3962</v>
      </c>
      <c r="DP1639" s="543">
        <v>1</v>
      </c>
    </row>
    <row r="1640" spans="109:120" ht="25.5">
      <c r="DE1640" s="494"/>
      <c r="DF1640" s="496" t="s">
        <v>4304</v>
      </c>
      <c r="DG1640" s="496" t="s">
        <v>11</v>
      </c>
      <c r="DH1640" s="496" t="s">
        <v>689</v>
      </c>
      <c r="DI1640" s="496" t="s">
        <v>4305</v>
      </c>
      <c r="DJ1640" s="496" t="s">
        <v>4305</v>
      </c>
      <c r="DK1640" s="496" t="s">
        <v>3959</v>
      </c>
      <c r="DL1640" s="496" t="s">
        <v>3960</v>
      </c>
      <c r="DM1640" s="496" t="s">
        <v>3961</v>
      </c>
      <c r="DN1640" s="497" t="s">
        <v>3962</v>
      </c>
      <c r="DP1640" s="543">
        <v>1</v>
      </c>
    </row>
    <row r="1641" spans="109:120" ht="25.5">
      <c r="DE1641" s="494"/>
      <c r="DF1641" s="496" t="s">
        <v>4306</v>
      </c>
      <c r="DG1641" s="496" t="s">
        <v>11</v>
      </c>
      <c r="DH1641" s="496" t="s">
        <v>689</v>
      </c>
      <c r="DI1641" s="496" t="s">
        <v>4307</v>
      </c>
      <c r="DJ1641" s="496" t="s">
        <v>4307</v>
      </c>
      <c r="DK1641" s="496" t="s">
        <v>3959</v>
      </c>
      <c r="DL1641" s="496" t="s">
        <v>3960</v>
      </c>
      <c r="DM1641" s="496" t="s">
        <v>3961</v>
      </c>
      <c r="DN1641" s="497" t="s">
        <v>3962</v>
      </c>
      <c r="DP1641" s="543">
        <v>1</v>
      </c>
    </row>
    <row r="1642" spans="109:120" ht="25.5">
      <c r="DE1642" s="494"/>
      <c r="DF1642" s="496" t="s">
        <v>4308</v>
      </c>
      <c r="DG1642" s="496" t="s">
        <v>11</v>
      </c>
      <c r="DH1642" s="496" t="s">
        <v>689</v>
      </c>
      <c r="DI1642" s="496" t="s">
        <v>4309</v>
      </c>
      <c r="DJ1642" s="496" t="s">
        <v>4309</v>
      </c>
      <c r="DK1642" s="496" t="s">
        <v>3959</v>
      </c>
      <c r="DL1642" s="496" t="s">
        <v>3960</v>
      </c>
      <c r="DM1642" s="496" t="s">
        <v>3961</v>
      </c>
      <c r="DN1642" s="497" t="s">
        <v>3962</v>
      </c>
      <c r="DP1642" s="543">
        <v>1</v>
      </c>
    </row>
    <row r="1643" spans="109:120" ht="25.5">
      <c r="DE1643" s="494"/>
      <c r="DF1643" s="496" t="s">
        <v>4310</v>
      </c>
      <c r="DG1643" s="496" t="s">
        <v>11</v>
      </c>
      <c r="DH1643" s="496" t="s">
        <v>689</v>
      </c>
      <c r="DI1643" s="496" t="s">
        <v>4311</v>
      </c>
      <c r="DJ1643" s="496" t="s">
        <v>4311</v>
      </c>
      <c r="DK1643" s="496" t="s">
        <v>3959</v>
      </c>
      <c r="DL1643" s="496" t="s">
        <v>3960</v>
      </c>
      <c r="DM1643" s="496" t="s">
        <v>3961</v>
      </c>
      <c r="DN1643" s="497" t="s">
        <v>3962</v>
      </c>
      <c r="DP1643" s="543">
        <v>1</v>
      </c>
    </row>
    <row r="1644" spans="109:120" ht="15">
      <c r="DE1644" s="494"/>
      <c r="DF1644" s="496" t="s">
        <v>4312</v>
      </c>
      <c r="DG1644" s="496" t="s">
        <v>11</v>
      </c>
      <c r="DH1644" s="496" t="s">
        <v>689</v>
      </c>
      <c r="DI1644" s="496" t="s">
        <v>4313</v>
      </c>
      <c r="DJ1644" s="496" t="s">
        <v>4313</v>
      </c>
      <c r="DK1644" s="496" t="s">
        <v>1085</v>
      </c>
      <c r="DL1644" s="496" t="s">
        <v>3974</v>
      </c>
      <c r="DM1644" s="496" t="s">
        <v>1087</v>
      </c>
      <c r="DN1644" s="497" t="s">
        <v>1088</v>
      </c>
      <c r="DP1644" s="543">
        <v>1</v>
      </c>
    </row>
    <row r="1645" spans="109:120" ht="25.5">
      <c r="DE1645" s="494"/>
      <c r="DF1645" s="496" t="s">
        <v>4314</v>
      </c>
      <c r="DG1645" s="496" t="s">
        <v>11</v>
      </c>
      <c r="DH1645" s="496" t="s">
        <v>689</v>
      </c>
      <c r="DI1645" s="496" t="s">
        <v>976</v>
      </c>
      <c r="DJ1645" s="496" t="s">
        <v>976</v>
      </c>
      <c r="DK1645" s="496" t="s">
        <v>3959</v>
      </c>
      <c r="DL1645" s="496" t="s">
        <v>3960</v>
      </c>
      <c r="DM1645" s="496" t="s">
        <v>3961</v>
      </c>
      <c r="DN1645" s="497" t="s">
        <v>3962</v>
      </c>
      <c r="DP1645" s="543">
        <v>1</v>
      </c>
    </row>
    <row r="1646" spans="109:120" ht="25.5">
      <c r="DE1646" s="494"/>
      <c r="DF1646" s="496" t="s">
        <v>4315</v>
      </c>
      <c r="DG1646" s="496" t="s">
        <v>11</v>
      </c>
      <c r="DH1646" s="496" t="s">
        <v>689</v>
      </c>
      <c r="DI1646" s="496" t="s">
        <v>4316</v>
      </c>
      <c r="DJ1646" s="496" t="s">
        <v>4317</v>
      </c>
      <c r="DK1646" s="496" t="s">
        <v>3959</v>
      </c>
      <c r="DL1646" s="496" t="s">
        <v>3960</v>
      </c>
      <c r="DM1646" s="496" t="s">
        <v>3961</v>
      </c>
      <c r="DN1646" s="497" t="s">
        <v>3962</v>
      </c>
      <c r="DP1646" s="543">
        <v>1</v>
      </c>
    </row>
    <row r="1647" spans="109:120" ht="25.5">
      <c r="DE1647" s="494"/>
      <c r="DF1647" s="496" t="s">
        <v>4318</v>
      </c>
      <c r="DG1647" s="496" t="s">
        <v>11</v>
      </c>
      <c r="DH1647" s="496" t="s">
        <v>689</v>
      </c>
      <c r="DI1647" s="496" t="s">
        <v>4319</v>
      </c>
      <c r="DJ1647" s="496" t="s">
        <v>4319</v>
      </c>
      <c r="DK1647" s="496" t="s">
        <v>3959</v>
      </c>
      <c r="DL1647" s="496" t="s">
        <v>3960</v>
      </c>
      <c r="DM1647" s="496" t="s">
        <v>3961</v>
      </c>
      <c r="DN1647" s="497" t="s">
        <v>3962</v>
      </c>
      <c r="DP1647" s="543">
        <v>1</v>
      </c>
    </row>
    <row r="1648" spans="109:120" ht="25.5">
      <c r="DE1648" s="494"/>
      <c r="DF1648" s="496" t="s">
        <v>4320</v>
      </c>
      <c r="DG1648" s="496" t="s">
        <v>11</v>
      </c>
      <c r="DH1648" s="496" t="s">
        <v>689</v>
      </c>
      <c r="DI1648" s="496" t="s">
        <v>4321</v>
      </c>
      <c r="DJ1648" s="496" t="s">
        <v>4321</v>
      </c>
      <c r="DK1648" s="496" t="s">
        <v>3959</v>
      </c>
      <c r="DL1648" s="496" t="s">
        <v>3960</v>
      </c>
      <c r="DM1648" s="496" t="s">
        <v>3961</v>
      </c>
      <c r="DN1648" s="497" t="s">
        <v>3962</v>
      </c>
      <c r="DP1648" s="543">
        <v>1</v>
      </c>
    </row>
    <row r="1649" spans="109:120" ht="15">
      <c r="DE1649" s="494"/>
      <c r="DF1649" s="496" t="s">
        <v>4322</v>
      </c>
      <c r="DG1649" s="496" t="s">
        <v>11</v>
      </c>
      <c r="DH1649" s="496" t="s">
        <v>689</v>
      </c>
      <c r="DI1649" s="496" t="s">
        <v>4323</v>
      </c>
      <c r="DJ1649" s="496" t="s">
        <v>4323</v>
      </c>
      <c r="DK1649" s="496" t="s">
        <v>1085</v>
      </c>
      <c r="DL1649" s="496" t="s">
        <v>3974</v>
      </c>
      <c r="DM1649" s="496" t="s">
        <v>1087</v>
      </c>
      <c r="DN1649" s="497" t="s">
        <v>1088</v>
      </c>
      <c r="DP1649" s="543">
        <v>1</v>
      </c>
    </row>
    <row r="1650" spans="109:120" ht="15">
      <c r="DE1650" s="494"/>
      <c r="DF1650" s="496" t="s">
        <v>4324</v>
      </c>
      <c r="DG1650" s="496" t="s">
        <v>11</v>
      </c>
      <c r="DH1650" s="496" t="s">
        <v>689</v>
      </c>
      <c r="DI1650" s="496" t="s">
        <v>4325</v>
      </c>
      <c r="DJ1650" s="496" t="s">
        <v>4325</v>
      </c>
      <c r="DK1650" s="496" t="s">
        <v>1085</v>
      </c>
      <c r="DL1650" s="496" t="s">
        <v>3974</v>
      </c>
      <c r="DM1650" s="496" t="s">
        <v>1087</v>
      </c>
      <c r="DN1650" s="497" t="s">
        <v>1088</v>
      </c>
      <c r="DP1650" s="543">
        <v>1</v>
      </c>
    </row>
    <row r="1651" spans="109:120" ht="25.5">
      <c r="DE1651" s="494"/>
      <c r="DF1651" s="496" t="s">
        <v>4326</v>
      </c>
      <c r="DG1651" s="496" t="s">
        <v>11</v>
      </c>
      <c r="DH1651" s="496" t="s">
        <v>689</v>
      </c>
      <c r="DI1651" s="496" t="s">
        <v>4327</v>
      </c>
      <c r="DJ1651" s="496" t="s">
        <v>4328</v>
      </c>
      <c r="DK1651" s="496" t="s">
        <v>3959</v>
      </c>
      <c r="DL1651" s="496" t="s">
        <v>3960</v>
      </c>
      <c r="DM1651" s="496" t="s">
        <v>3961</v>
      </c>
      <c r="DN1651" s="497" t="s">
        <v>3962</v>
      </c>
      <c r="DP1651" s="543">
        <v>1</v>
      </c>
    </row>
    <row r="1652" spans="109:120" ht="15">
      <c r="DE1652" s="494"/>
      <c r="DF1652" s="496" t="s">
        <v>4329</v>
      </c>
      <c r="DG1652" s="496" t="s">
        <v>11</v>
      </c>
      <c r="DH1652" s="496" t="s">
        <v>689</v>
      </c>
      <c r="DI1652" s="496" t="s">
        <v>330</v>
      </c>
      <c r="DJ1652" s="496" t="s">
        <v>330</v>
      </c>
      <c r="DK1652" s="496" t="s">
        <v>1151</v>
      </c>
      <c r="DL1652" s="496" t="s">
        <v>1152</v>
      </c>
      <c r="DM1652" s="496" t="s">
        <v>1087</v>
      </c>
      <c r="DN1652" s="497" t="s">
        <v>1153</v>
      </c>
      <c r="DP1652" s="543">
        <v>1</v>
      </c>
    </row>
    <row r="1653" spans="109:120" ht="15">
      <c r="DE1653" s="494"/>
      <c r="DF1653" s="496" t="s">
        <v>4330</v>
      </c>
      <c r="DG1653" s="496" t="s">
        <v>11</v>
      </c>
      <c r="DH1653" s="496" t="s">
        <v>689</v>
      </c>
      <c r="DI1653" s="496" t="s">
        <v>4331</v>
      </c>
      <c r="DJ1653" s="496" t="s">
        <v>4331</v>
      </c>
      <c r="DK1653" s="496" t="s">
        <v>1085</v>
      </c>
      <c r="DL1653" s="496" t="s">
        <v>3974</v>
      </c>
      <c r="DM1653" s="496" t="s">
        <v>1087</v>
      </c>
      <c r="DN1653" s="497" t="s">
        <v>1088</v>
      </c>
      <c r="DP1653" s="543">
        <v>1</v>
      </c>
    </row>
    <row r="1654" spans="109:120" ht="15">
      <c r="DE1654" s="494"/>
      <c r="DF1654" s="496" t="s">
        <v>4332</v>
      </c>
      <c r="DG1654" s="496" t="s">
        <v>11</v>
      </c>
      <c r="DH1654" s="496" t="s">
        <v>689</v>
      </c>
      <c r="DI1654" s="496" t="s">
        <v>977</v>
      </c>
      <c r="DJ1654" s="496" t="s">
        <v>977</v>
      </c>
      <c r="DK1654" s="496" t="s">
        <v>1085</v>
      </c>
      <c r="DL1654" s="496" t="s">
        <v>3974</v>
      </c>
      <c r="DM1654" s="496" t="s">
        <v>1087</v>
      </c>
      <c r="DN1654" s="497" t="s">
        <v>1088</v>
      </c>
      <c r="DP1654" s="543">
        <v>1</v>
      </c>
    </row>
    <row r="1655" spans="109:120" ht="25.5">
      <c r="DE1655" s="494"/>
      <c r="DF1655" s="496" t="s">
        <v>4333</v>
      </c>
      <c r="DG1655" s="496" t="s">
        <v>11</v>
      </c>
      <c r="DH1655" s="496" t="s">
        <v>689</v>
      </c>
      <c r="DI1655" s="496" t="s">
        <v>4334</v>
      </c>
      <c r="DJ1655" s="496" t="s">
        <v>4335</v>
      </c>
      <c r="DK1655" s="496" t="s">
        <v>3959</v>
      </c>
      <c r="DL1655" s="496" t="s">
        <v>3960</v>
      </c>
      <c r="DM1655" s="496" t="s">
        <v>3961</v>
      </c>
      <c r="DN1655" s="497" t="s">
        <v>3962</v>
      </c>
      <c r="DP1655" s="543">
        <v>1</v>
      </c>
    </row>
    <row r="1656" spans="109:120" ht="25.5">
      <c r="DE1656" s="494"/>
      <c r="DF1656" s="496" t="s">
        <v>4336</v>
      </c>
      <c r="DG1656" s="496" t="s">
        <v>11</v>
      </c>
      <c r="DH1656" s="496" t="s">
        <v>689</v>
      </c>
      <c r="DI1656" s="496" t="s">
        <v>4337</v>
      </c>
      <c r="DJ1656" s="496" t="s">
        <v>4337</v>
      </c>
      <c r="DK1656" s="496" t="s">
        <v>3959</v>
      </c>
      <c r="DL1656" s="496" t="s">
        <v>3960</v>
      </c>
      <c r="DM1656" s="496" t="s">
        <v>3961</v>
      </c>
      <c r="DN1656" s="497" t="s">
        <v>3962</v>
      </c>
      <c r="DP1656" s="543">
        <v>1</v>
      </c>
    </row>
    <row r="1657" spans="109:120" ht="25.5">
      <c r="DE1657" s="494"/>
      <c r="DF1657" s="496" t="s">
        <v>4338</v>
      </c>
      <c r="DG1657" s="496" t="s">
        <v>11</v>
      </c>
      <c r="DH1657" s="496" t="s">
        <v>689</v>
      </c>
      <c r="DI1657" s="496" t="s">
        <v>978</v>
      </c>
      <c r="DJ1657" s="496" t="s">
        <v>978</v>
      </c>
      <c r="DK1657" s="496" t="s">
        <v>3959</v>
      </c>
      <c r="DL1657" s="496" t="s">
        <v>3960</v>
      </c>
      <c r="DM1657" s="496" t="s">
        <v>3961</v>
      </c>
      <c r="DN1657" s="497" t="s">
        <v>3962</v>
      </c>
      <c r="DP1657" s="543">
        <v>1</v>
      </c>
    </row>
    <row r="1658" spans="109:120" ht="15">
      <c r="DE1658" s="494"/>
      <c r="DF1658" s="496" t="s">
        <v>4339</v>
      </c>
      <c r="DG1658" s="496" t="s">
        <v>11</v>
      </c>
      <c r="DH1658" s="496" t="s">
        <v>689</v>
      </c>
      <c r="DI1658" s="496" t="s">
        <v>981</v>
      </c>
      <c r="DJ1658" s="496" t="s">
        <v>981</v>
      </c>
      <c r="DK1658" s="496" t="s">
        <v>1085</v>
      </c>
      <c r="DL1658" s="496" t="s">
        <v>3974</v>
      </c>
      <c r="DM1658" s="496" t="s">
        <v>1087</v>
      </c>
      <c r="DN1658" s="497" t="s">
        <v>1088</v>
      </c>
      <c r="DP1658" s="543">
        <v>1</v>
      </c>
    </row>
    <row r="1659" spans="109:120" ht="25.5">
      <c r="DE1659" s="494"/>
      <c r="DF1659" s="496" t="s">
        <v>4340</v>
      </c>
      <c r="DG1659" s="496" t="s">
        <v>11</v>
      </c>
      <c r="DH1659" s="496" t="s">
        <v>689</v>
      </c>
      <c r="DI1659" s="496" t="s">
        <v>4341</v>
      </c>
      <c r="DJ1659" s="496" t="s">
        <v>4341</v>
      </c>
      <c r="DK1659" s="496" t="s">
        <v>3959</v>
      </c>
      <c r="DL1659" s="496" t="s">
        <v>3960</v>
      </c>
      <c r="DM1659" s="496" t="s">
        <v>3961</v>
      </c>
      <c r="DN1659" s="497" t="s">
        <v>3962</v>
      </c>
      <c r="DP1659" s="543">
        <v>1</v>
      </c>
    </row>
    <row r="1660" spans="109:120" ht="15">
      <c r="DE1660" s="494"/>
      <c r="DF1660" s="496" t="s">
        <v>4342</v>
      </c>
      <c r="DG1660" s="496" t="s">
        <v>11</v>
      </c>
      <c r="DH1660" s="496" t="s">
        <v>689</v>
      </c>
      <c r="DI1660" s="496" t="s">
        <v>982</v>
      </c>
      <c r="DJ1660" s="496" t="s">
        <v>982</v>
      </c>
      <c r="DK1660" s="496" t="s">
        <v>1085</v>
      </c>
      <c r="DL1660" s="496" t="s">
        <v>3974</v>
      </c>
      <c r="DM1660" s="496" t="s">
        <v>1087</v>
      </c>
      <c r="DN1660" s="497" t="s">
        <v>1088</v>
      </c>
      <c r="DP1660" s="543">
        <v>1</v>
      </c>
    </row>
    <row r="1661" spans="109:120" ht="25.5">
      <c r="DE1661" s="494"/>
      <c r="DF1661" s="496" t="s">
        <v>4343</v>
      </c>
      <c r="DG1661" s="496" t="s">
        <v>11</v>
      </c>
      <c r="DH1661" s="496" t="s">
        <v>689</v>
      </c>
      <c r="DI1661" s="496" t="s">
        <v>4344</v>
      </c>
      <c r="DJ1661" s="496" t="s">
        <v>4344</v>
      </c>
      <c r="DK1661" s="496" t="s">
        <v>3959</v>
      </c>
      <c r="DL1661" s="496" t="s">
        <v>3960</v>
      </c>
      <c r="DM1661" s="496" t="s">
        <v>3961</v>
      </c>
      <c r="DN1661" s="497" t="s">
        <v>3962</v>
      </c>
      <c r="DP1661" s="543">
        <v>1</v>
      </c>
    </row>
    <row r="1662" spans="109:120" ht="25.5">
      <c r="DE1662" s="494"/>
      <c r="DF1662" s="496" t="s">
        <v>4345</v>
      </c>
      <c r="DG1662" s="496" t="s">
        <v>11</v>
      </c>
      <c r="DH1662" s="496" t="s">
        <v>689</v>
      </c>
      <c r="DI1662" s="496" t="s">
        <v>4346</v>
      </c>
      <c r="DJ1662" s="496" t="s">
        <v>4347</v>
      </c>
      <c r="DK1662" s="496" t="s">
        <v>3959</v>
      </c>
      <c r="DL1662" s="496" t="s">
        <v>3960</v>
      </c>
      <c r="DM1662" s="496" t="s">
        <v>3961</v>
      </c>
      <c r="DN1662" s="497" t="s">
        <v>3962</v>
      </c>
      <c r="DP1662" s="543">
        <v>1</v>
      </c>
    </row>
    <row r="1663" spans="109:120" ht="25.5">
      <c r="DE1663" s="494"/>
      <c r="DF1663" s="496" t="s">
        <v>4348</v>
      </c>
      <c r="DG1663" s="496" t="s">
        <v>11</v>
      </c>
      <c r="DH1663" s="496" t="s">
        <v>689</v>
      </c>
      <c r="DI1663" s="496" t="s">
        <v>4349</v>
      </c>
      <c r="DJ1663" s="496" t="s">
        <v>983</v>
      </c>
      <c r="DK1663" s="496" t="s">
        <v>3959</v>
      </c>
      <c r="DL1663" s="496" t="s">
        <v>3960</v>
      </c>
      <c r="DM1663" s="496" t="s">
        <v>3961</v>
      </c>
      <c r="DN1663" s="497" t="s">
        <v>3962</v>
      </c>
      <c r="DP1663" s="543">
        <v>1</v>
      </c>
    </row>
    <row r="1664" spans="109:120" ht="25.5">
      <c r="DE1664" s="494"/>
      <c r="DF1664" s="496" t="s">
        <v>4350</v>
      </c>
      <c r="DG1664" s="496" t="s">
        <v>11</v>
      </c>
      <c r="DH1664" s="496" t="s">
        <v>689</v>
      </c>
      <c r="DI1664" s="496" t="s">
        <v>4351</v>
      </c>
      <c r="DJ1664" s="496" t="s">
        <v>4351</v>
      </c>
      <c r="DK1664" s="496" t="s">
        <v>3959</v>
      </c>
      <c r="DL1664" s="496" t="s">
        <v>3960</v>
      </c>
      <c r="DM1664" s="496" t="s">
        <v>3961</v>
      </c>
      <c r="DN1664" s="497" t="s">
        <v>3962</v>
      </c>
      <c r="DP1664" s="543">
        <v>1</v>
      </c>
    </row>
    <row r="1665" spans="109:120" ht="15">
      <c r="DE1665" s="494"/>
      <c r="DF1665" s="496" t="s">
        <v>4352</v>
      </c>
      <c r="DG1665" s="496" t="s">
        <v>11</v>
      </c>
      <c r="DH1665" s="496" t="s">
        <v>689</v>
      </c>
      <c r="DI1665" s="496" t="s">
        <v>985</v>
      </c>
      <c r="DJ1665" s="496" t="s">
        <v>985</v>
      </c>
      <c r="DK1665" s="496" t="s">
        <v>1085</v>
      </c>
      <c r="DL1665" s="496" t="s">
        <v>3974</v>
      </c>
      <c r="DM1665" s="496" t="s">
        <v>1087</v>
      </c>
      <c r="DN1665" s="497" t="s">
        <v>1088</v>
      </c>
      <c r="DP1665" s="543">
        <v>1</v>
      </c>
    </row>
    <row r="1666" spans="109:120" ht="25.5">
      <c r="DE1666" s="494"/>
      <c r="DF1666" s="496" t="s">
        <v>4353</v>
      </c>
      <c r="DG1666" s="496" t="s">
        <v>11</v>
      </c>
      <c r="DH1666" s="496" t="s">
        <v>689</v>
      </c>
      <c r="DI1666" s="496" t="s">
        <v>4354</v>
      </c>
      <c r="DJ1666" s="496" t="s">
        <v>4355</v>
      </c>
      <c r="DK1666" s="496" t="s">
        <v>3959</v>
      </c>
      <c r="DL1666" s="496" t="s">
        <v>3960</v>
      </c>
      <c r="DM1666" s="496" t="s">
        <v>3961</v>
      </c>
      <c r="DN1666" s="497" t="s">
        <v>3962</v>
      </c>
      <c r="DP1666" s="543">
        <v>1</v>
      </c>
    </row>
    <row r="1667" spans="109:120" ht="15">
      <c r="DE1667" s="494"/>
      <c r="DF1667" s="496" t="s">
        <v>4356</v>
      </c>
      <c r="DG1667" s="496" t="s">
        <v>11</v>
      </c>
      <c r="DH1667" s="496" t="s">
        <v>689</v>
      </c>
      <c r="DI1667" s="496" t="s">
        <v>4357</v>
      </c>
      <c r="DJ1667" s="496" t="s">
        <v>4357</v>
      </c>
      <c r="DK1667" s="496" t="s">
        <v>1085</v>
      </c>
      <c r="DL1667" s="496" t="s">
        <v>3974</v>
      </c>
      <c r="DM1667" s="496" t="s">
        <v>1087</v>
      </c>
      <c r="DN1667" s="497" t="s">
        <v>1088</v>
      </c>
      <c r="DP1667" s="543">
        <v>1</v>
      </c>
    </row>
    <row r="1668" spans="109:120" ht="25.5">
      <c r="DE1668" s="494"/>
      <c r="DF1668" s="496" t="s">
        <v>4358</v>
      </c>
      <c r="DG1668" s="496" t="s">
        <v>11</v>
      </c>
      <c r="DH1668" s="496" t="s">
        <v>689</v>
      </c>
      <c r="DI1668" s="496" t="s">
        <v>4359</v>
      </c>
      <c r="DJ1668" s="496" t="s">
        <v>4359</v>
      </c>
      <c r="DK1668" s="496" t="s">
        <v>3959</v>
      </c>
      <c r="DL1668" s="496" t="s">
        <v>3960</v>
      </c>
      <c r="DM1668" s="496" t="s">
        <v>3961</v>
      </c>
      <c r="DN1668" s="497" t="s">
        <v>3962</v>
      </c>
      <c r="DP1668" s="543">
        <v>1</v>
      </c>
    </row>
    <row r="1669" spans="109:120" ht="25.5">
      <c r="DE1669" s="494"/>
      <c r="DF1669" s="496" t="s">
        <v>4360</v>
      </c>
      <c r="DG1669" s="496" t="s">
        <v>11</v>
      </c>
      <c r="DH1669" s="496" t="s">
        <v>689</v>
      </c>
      <c r="DI1669" s="496" t="s">
        <v>4361</v>
      </c>
      <c r="DJ1669" s="496" t="s">
        <v>4362</v>
      </c>
      <c r="DK1669" s="496" t="s">
        <v>3959</v>
      </c>
      <c r="DL1669" s="496" t="s">
        <v>3960</v>
      </c>
      <c r="DM1669" s="496" t="s">
        <v>3961</v>
      </c>
      <c r="DN1669" s="497" t="s">
        <v>3962</v>
      </c>
      <c r="DP1669" s="543">
        <v>1</v>
      </c>
    </row>
    <row r="1670" spans="109:120" ht="25.5">
      <c r="DE1670" s="494"/>
      <c r="DF1670" s="496" t="s">
        <v>4363</v>
      </c>
      <c r="DG1670" s="496" t="s">
        <v>11</v>
      </c>
      <c r="DH1670" s="496" t="s">
        <v>689</v>
      </c>
      <c r="DI1670" s="496" t="s">
        <v>4364</v>
      </c>
      <c r="DJ1670" s="496" t="s">
        <v>4365</v>
      </c>
      <c r="DK1670" s="496" t="s">
        <v>3959</v>
      </c>
      <c r="DL1670" s="496" t="s">
        <v>3960</v>
      </c>
      <c r="DM1670" s="496" t="s">
        <v>3961</v>
      </c>
      <c r="DN1670" s="497" t="s">
        <v>3962</v>
      </c>
      <c r="DP1670" s="543">
        <v>1</v>
      </c>
    </row>
    <row r="1671" spans="109:120" ht="25.5">
      <c r="DE1671" s="494"/>
      <c r="DF1671" s="496" t="s">
        <v>4366</v>
      </c>
      <c r="DG1671" s="496" t="s">
        <v>11</v>
      </c>
      <c r="DH1671" s="496" t="s">
        <v>689</v>
      </c>
      <c r="DI1671" s="496" t="s">
        <v>4367</v>
      </c>
      <c r="DJ1671" s="496" t="s">
        <v>4368</v>
      </c>
      <c r="DK1671" s="496" t="s">
        <v>3959</v>
      </c>
      <c r="DL1671" s="496" t="s">
        <v>3960</v>
      </c>
      <c r="DM1671" s="496" t="s">
        <v>3961</v>
      </c>
      <c r="DN1671" s="497" t="s">
        <v>3962</v>
      </c>
      <c r="DP1671" s="543">
        <v>1</v>
      </c>
    </row>
    <row r="1672" spans="109:120" ht="15">
      <c r="DE1672" s="494"/>
      <c r="DF1672" s="496" t="s">
        <v>4369</v>
      </c>
      <c r="DG1672" s="496" t="s">
        <v>11</v>
      </c>
      <c r="DH1672" s="496" t="s">
        <v>689</v>
      </c>
      <c r="DI1672" s="496" t="s">
        <v>4370</v>
      </c>
      <c r="DJ1672" s="496" t="s">
        <v>4370</v>
      </c>
      <c r="DK1672" s="496" t="s">
        <v>1085</v>
      </c>
      <c r="DL1672" s="496" t="s">
        <v>3974</v>
      </c>
      <c r="DM1672" s="496" t="s">
        <v>1087</v>
      </c>
      <c r="DN1672" s="497" t="s">
        <v>1088</v>
      </c>
      <c r="DP1672" s="543">
        <v>1</v>
      </c>
    </row>
    <row r="1673" spans="109:120" ht="25.5">
      <c r="DE1673" s="494"/>
      <c r="DF1673" s="496" t="s">
        <v>4371</v>
      </c>
      <c r="DG1673" s="496" t="s">
        <v>11</v>
      </c>
      <c r="DH1673" s="496" t="s">
        <v>689</v>
      </c>
      <c r="DI1673" s="496" t="s">
        <v>4372</v>
      </c>
      <c r="DJ1673" s="496" t="s">
        <v>4372</v>
      </c>
      <c r="DK1673" s="496" t="s">
        <v>3959</v>
      </c>
      <c r="DL1673" s="496" t="s">
        <v>3960</v>
      </c>
      <c r="DM1673" s="496" t="s">
        <v>3961</v>
      </c>
      <c r="DN1673" s="497" t="s">
        <v>3962</v>
      </c>
      <c r="DP1673" s="543">
        <v>1</v>
      </c>
    </row>
    <row r="1674" spans="109:120" ht="25.5">
      <c r="DE1674" s="494"/>
      <c r="DF1674" s="496" t="s">
        <v>4373</v>
      </c>
      <c r="DG1674" s="496" t="s">
        <v>11</v>
      </c>
      <c r="DH1674" s="496" t="s">
        <v>689</v>
      </c>
      <c r="DI1674" s="496" t="s">
        <v>4374</v>
      </c>
      <c r="DJ1674" s="496" t="s">
        <v>4375</v>
      </c>
      <c r="DK1674" s="496" t="s">
        <v>3959</v>
      </c>
      <c r="DL1674" s="496" t="s">
        <v>3960</v>
      </c>
      <c r="DM1674" s="496" t="s">
        <v>3961</v>
      </c>
      <c r="DN1674" s="497" t="s">
        <v>3962</v>
      </c>
      <c r="DP1674" s="543">
        <v>1</v>
      </c>
    </row>
    <row r="1675" spans="109:120" ht="25.5">
      <c r="DE1675" s="494"/>
      <c r="DF1675" s="496" t="s">
        <v>4376</v>
      </c>
      <c r="DG1675" s="496" t="s">
        <v>11</v>
      </c>
      <c r="DH1675" s="496" t="s">
        <v>689</v>
      </c>
      <c r="DI1675" s="496" t="s">
        <v>4377</v>
      </c>
      <c r="DJ1675" s="496" t="s">
        <v>4377</v>
      </c>
      <c r="DK1675" s="496" t="s">
        <v>3959</v>
      </c>
      <c r="DL1675" s="496" t="s">
        <v>3960</v>
      </c>
      <c r="DM1675" s="496" t="s">
        <v>3961</v>
      </c>
      <c r="DN1675" s="497" t="s">
        <v>3962</v>
      </c>
      <c r="DP1675" s="543">
        <v>1</v>
      </c>
    </row>
    <row r="1676" spans="109:120" ht="25.5">
      <c r="DE1676" s="494"/>
      <c r="DF1676" s="496" t="s">
        <v>4378</v>
      </c>
      <c r="DG1676" s="496" t="s">
        <v>11</v>
      </c>
      <c r="DH1676" s="496" t="s">
        <v>689</v>
      </c>
      <c r="DI1676" s="496" t="s">
        <v>4379</v>
      </c>
      <c r="DJ1676" s="496" t="s">
        <v>4380</v>
      </c>
      <c r="DK1676" s="496" t="s">
        <v>3959</v>
      </c>
      <c r="DL1676" s="496" t="s">
        <v>3960</v>
      </c>
      <c r="DM1676" s="496" t="s">
        <v>3961</v>
      </c>
      <c r="DN1676" s="497" t="s">
        <v>3962</v>
      </c>
      <c r="DP1676" s="543">
        <v>1</v>
      </c>
    </row>
    <row r="1677" spans="109:120" ht="15">
      <c r="DE1677" s="494"/>
      <c r="DF1677" s="496" t="s">
        <v>4381</v>
      </c>
      <c r="DG1677" s="496" t="s">
        <v>11</v>
      </c>
      <c r="DH1677" s="496" t="s">
        <v>689</v>
      </c>
      <c r="DI1677" s="496" t="s">
        <v>331</v>
      </c>
      <c r="DJ1677" s="496" t="s">
        <v>331</v>
      </c>
      <c r="DK1677" s="496" t="s">
        <v>1085</v>
      </c>
      <c r="DL1677" s="496" t="s">
        <v>3974</v>
      </c>
      <c r="DM1677" s="496" t="s">
        <v>1087</v>
      </c>
      <c r="DN1677" s="497" t="s">
        <v>1088</v>
      </c>
      <c r="DP1677" s="543">
        <v>1</v>
      </c>
    </row>
    <row r="1678" spans="109:120" ht="15">
      <c r="DE1678" s="494"/>
      <c r="DF1678" s="496" t="s">
        <v>4382</v>
      </c>
      <c r="DG1678" s="496" t="s">
        <v>11</v>
      </c>
      <c r="DH1678" s="496" t="s">
        <v>689</v>
      </c>
      <c r="DI1678" s="496" t="s">
        <v>986</v>
      </c>
      <c r="DJ1678" s="496" t="s">
        <v>986</v>
      </c>
      <c r="DK1678" s="496" t="s">
        <v>1085</v>
      </c>
      <c r="DL1678" s="496" t="s">
        <v>3974</v>
      </c>
      <c r="DM1678" s="496" t="s">
        <v>1087</v>
      </c>
      <c r="DN1678" s="497" t="s">
        <v>1088</v>
      </c>
      <c r="DP1678" s="543">
        <v>1</v>
      </c>
    </row>
    <row r="1679" spans="109:120" ht="15">
      <c r="DE1679" s="494"/>
      <c r="DF1679" s="496" t="s">
        <v>4383</v>
      </c>
      <c r="DG1679" s="496" t="s">
        <v>11</v>
      </c>
      <c r="DH1679" s="496" t="s">
        <v>689</v>
      </c>
      <c r="DI1679" s="496" t="s">
        <v>4384</v>
      </c>
      <c r="DJ1679" s="496" t="s">
        <v>4384</v>
      </c>
      <c r="DK1679" s="496" t="s">
        <v>1085</v>
      </c>
      <c r="DL1679" s="496" t="s">
        <v>3974</v>
      </c>
      <c r="DM1679" s="496" t="s">
        <v>1087</v>
      </c>
      <c r="DN1679" s="497" t="s">
        <v>1088</v>
      </c>
      <c r="DP1679" s="543">
        <v>1</v>
      </c>
    </row>
    <row r="1680" spans="109:120" ht="25.5">
      <c r="DE1680" s="494"/>
      <c r="DF1680" s="496" t="s">
        <v>4385</v>
      </c>
      <c r="DG1680" s="496" t="s">
        <v>11</v>
      </c>
      <c r="DH1680" s="496" t="s">
        <v>689</v>
      </c>
      <c r="DI1680" s="496" t="s">
        <v>4386</v>
      </c>
      <c r="DJ1680" s="496" t="s">
        <v>4386</v>
      </c>
      <c r="DK1680" s="496" t="s">
        <v>3959</v>
      </c>
      <c r="DL1680" s="496" t="s">
        <v>3960</v>
      </c>
      <c r="DM1680" s="496" t="s">
        <v>3961</v>
      </c>
      <c r="DN1680" s="497" t="s">
        <v>3962</v>
      </c>
      <c r="DP1680" s="543">
        <v>1</v>
      </c>
    </row>
    <row r="1681" spans="109:120" ht="25.5">
      <c r="DE1681" s="494"/>
      <c r="DF1681" s="496" t="s">
        <v>4387</v>
      </c>
      <c r="DG1681" s="496" t="s">
        <v>11</v>
      </c>
      <c r="DH1681" s="496" t="s">
        <v>689</v>
      </c>
      <c r="DI1681" s="496" t="s">
        <v>4388</v>
      </c>
      <c r="DJ1681" s="496" t="s">
        <v>4388</v>
      </c>
      <c r="DK1681" s="496" t="s">
        <v>3959</v>
      </c>
      <c r="DL1681" s="496" t="s">
        <v>3960</v>
      </c>
      <c r="DM1681" s="496" t="s">
        <v>3961</v>
      </c>
      <c r="DN1681" s="497" t="s">
        <v>3962</v>
      </c>
      <c r="DP1681" s="543">
        <v>1</v>
      </c>
    </row>
    <row r="1682" spans="109:120" ht="15">
      <c r="DE1682" s="494"/>
      <c r="DF1682" s="496" t="s">
        <v>4389</v>
      </c>
      <c r="DG1682" s="496" t="s">
        <v>11</v>
      </c>
      <c r="DH1682" s="496" t="s">
        <v>689</v>
      </c>
      <c r="DI1682" s="496" t="s">
        <v>4390</v>
      </c>
      <c r="DJ1682" s="496" t="s">
        <v>987</v>
      </c>
      <c r="DK1682" s="496" t="s">
        <v>1085</v>
      </c>
      <c r="DL1682" s="496" t="s">
        <v>3974</v>
      </c>
      <c r="DM1682" s="496" t="s">
        <v>1087</v>
      </c>
      <c r="DN1682" s="497" t="s">
        <v>1088</v>
      </c>
      <c r="DP1682" s="543">
        <v>1</v>
      </c>
    </row>
    <row r="1683" spans="109:120" ht="25.5">
      <c r="DE1683" s="494"/>
      <c r="DF1683" s="496" t="s">
        <v>4391</v>
      </c>
      <c r="DG1683" s="496" t="s">
        <v>11</v>
      </c>
      <c r="DH1683" s="496" t="s">
        <v>689</v>
      </c>
      <c r="DI1683" s="496" t="s">
        <v>4392</v>
      </c>
      <c r="DJ1683" s="496" t="s">
        <v>988</v>
      </c>
      <c r="DK1683" s="496" t="s">
        <v>3959</v>
      </c>
      <c r="DL1683" s="496" t="s">
        <v>3960</v>
      </c>
      <c r="DM1683" s="496" t="s">
        <v>3961</v>
      </c>
      <c r="DN1683" s="497" t="s">
        <v>3962</v>
      </c>
      <c r="DP1683" s="543">
        <v>1</v>
      </c>
    </row>
    <row r="1684" spans="109:120" ht="25.5">
      <c r="DE1684" s="494"/>
      <c r="DF1684" s="496" t="s">
        <v>4393</v>
      </c>
      <c r="DG1684" s="496" t="s">
        <v>11</v>
      </c>
      <c r="DH1684" s="496" t="s">
        <v>689</v>
      </c>
      <c r="DI1684" s="496" t="s">
        <v>4394</v>
      </c>
      <c r="DJ1684" s="496" t="s">
        <v>4395</v>
      </c>
      <c r="DK1684" s="496" t="s">
        <v>3959</v>
      </c>
      <c r="DL1684" s="496" t="s">
        <v>3960</v>
      </c>
      <c r="DM1684" s="496" t="s">
        <v>3961</v>
      </c>
      <c r="DN1684" s="497" t="s">
        <v>3962</v>
      </c>
      <c r="DP1684" s="543">
        <v>1</v>
      </c>
    </row>
    <row r="1685" spans="109:120" ht="15">
      <c r="DE1685" s="494"/>
      <c r="DF1685" s="496" t="s">
        <v>4396</v>
      </c>
      <c r="DG1685" s="496" t="s">
        <v>11</v>
      </c>
      <c r="DH1685" s="496" t="s">
        <v>689</v>
      </c>
      <c r="DI1685" s="496" t="s">
        <v>146</v>
      </c>
      <c r="DJ1685" s="496" t="s">
        <v>146</v>
      </c>
      <c r="DK1685" s="496" t="s">
        <v>1085</v>
      </c>
      <c r="DL1685" s="496" t="s">
        <v>3974</v>
      </c>
      <c r="DM1685" s="496" t="s">
        <v>1087</v>
      </c>
      <c r="DN1685" s="497" t="s">
        <v>1088</v>
      </c>
      <c r="DP1685" s="543">
        <v>1</v>
      </c>
    </row>
    <row r="1686" spans="109:120" ht="25.5">
      <c r="DE1686" s="494"/>
      <c r="DF1686" s="496" t="s">
        <v>4397</v>
      </c>
      <c r="DG1686" s="496" t="s">
        <v>11</v>
      </c>
      <c r="DH1686" s="496" t="s">
        <v>689</v>
      </c>
      <c r="DI1686" s="496" t="s">
        <v>4398</v>
      </c>
      <c r="DJ1686" s="496" t="s">
        <v>4399</v>
      </c>
      <c r="DK1686" s="496" t="s">
        <v>3959</v>
      </c>
      <c r="DL1686" s="496" t="s">
        <v>3960</v>
      </c>
      <c r="DM1686" s="496" t="s">
        <v>3961</v>
      </c>
      <c r="DN1686" s="497" t="s">
        <v>3962</v>
      </c>
      <c r="DP1686" s="543">
        <v>1</v>
      </c>
    </row>
    <row r="1687" spans="109:120" ht="15">
      <c r="DE1687" s="494"/>
      <c r="DF1687" s="496" t="s">
        <v>4400</v>
      </c>
      <c r="DG1687" s="496" t="s">
        <v>11</v>
      </c>
      <c r="DH1687" s="496" t="s">
        <v>689</v>
      </c>
      <c r="DI1687" s="496" t="s">
        <v>4401</v>
      </c>
      <c r="DJ1687" s="496" t="s">
        <v>123</v>
      </c>
      <c r="DK1687" s="496" t="s">
        <v>1085</v>
      </c>
      <c r="DL1687" s="496" t="s">
        <v>3974</v>
      </c>
      <c r="DM1687" s="496" t="s">
        <v>1087</v>
      </c>
      <c r="DN1687" s="497" t="s">
        <v>1088</v>
      </c>
      <c r="DP1687" s="543">
        <v>1</v>
      </c>
    </row>
    <row r="1688" spans="109:120" ht="25.5">
      <c r="DE1688" s="494"/>
      <c r="DF1688" s="496" t="s">
        <v>4402</v>
      </c>
      <c r="DG1688" s="496" t="s">
        <v>11</v>
      </c>
      <c r="DH1688" s="496" t="s">
        <v>689</v>
      </c>
      <c r="DI1688" s="496" t="s">
        <v>4403</v>
      </c>
      <c r="DJ1688" s="496" t="s">
        <v>4404</v>
      </c>
      <c r="DK1688" s="496" t="s">
        <v>3959</v>
      </c>
      <c r="DL1688" s="496" t="s">
        <v>3960</v>
      </c>
      <c r="DM1688" s="496" t="s">
        <v>3961</v>
      </c>
      <c r="DN1688" s="497" t="s">
        <v>3962</v>
      </c>
      <c r="DP1688" s="543">
        <v>1</v>
      </c>
    </row>
    <row r="1689" spans="109:120" ht="25.5">
      <c r="DE1689" s="494"/>
      <c r="DF1689" s="496" t="s">
        <v>4405</v>
      </c>
      <c r="DG1689" s="496" t="s">
        <v>11</v>
      </c>
      <c r="DH1689" s="496" t="s">
        <v>689</v>
      </c>
      <c r="DI1689" s="496" t="s">
        <v>4406</v>
      </c>
      <c r="DJ1689" s="496" t="s">
        <v>4407</v>
      </c>
      <c r="DK1689" s="496" t="s">
        <v>3959</v>
      </c>
      <c r="DL1689" s="496" t="s">
        <v>3960</v>
      </c>
      <c r="DM1689" s="496" t="s">
        <v>3961</v>
      </c>
      <c r="DN1689" s="497" t="s">
        <v>3962</v>
      </c>
      <c r="DP1689" s="543">
        <v>1</v>
      </c>
    </row>
    <row r="1690" spans="109:120" ht="15">
      <c r="DE1690" s="494"/>
      <c r="DF1690" s="496" t="s">
        <v>4408</v>
      </c>
      <c r="DG1690" s="496" t="s">
        <v>11</v>
      </c>
      <c r="DH1690" s="496" t="s">
        <v>689</v>
      </c>
      <c r="DI1690" s="496" t="s">
        <v>4409</v>
      </c>
      <c r="DJ1690" s="496" t="s">
        <v>136</v>
      </c>
      <c r="DK1690" s="496" t="s">
        <v>1085</v>
      </c>
      <c r="DL1690" s="496" t="s">
        <v>3974</v>
      </c>
      <c r="DM1690" s="496" t="s">
        <v>1087</v>
      </c>
      <c r="DN1690" s="497" t="s">
        <v>1088</v>
      </c>
      <c r="DP1690" s="543">
        <v>1</v>
      </c>
    </row>
    <row r="1691" spans="109:120" ht="15">
      <c r="DE1691" s="494"/>
      <c r="DF1691" s="496" t="s">
        <v>4410</v>
      </c>
      <c r="DG1691" s="496" t="s">
        <v>11</v>
      </c>
      <c r="DH1691" s="496" t="s">
        <v>689</v>
      </c>
      <c r="DI1691" s="496" t="s">
        <v>4411</v>
      </c>
      <c r="DJ1691" s="496" t="s">
        <v>4411</v>
      </c>
      <c r="DK1691" s="496" t="s">
        <v>1085</v>
      </c>
      <c r="DL1691" s="496" t="s">
        <v>3974</v>
      </c>
      <c r="DM1691" s="496" t="s">
        <v>1087</v>
      </c>
      <c r="DN1691" s="497" t="s">
        <v>1088</v>
      </c>
      <c r="DP1691" s="543">
        <v>1</v>
      </c>
    </row>
    <row r="1692" spans="109:120" ht="25.5">
      <c r="DE1692" s="494"/>
      <c r="DF1692" s="496" t="s">
        <v>4412</v>
      </c>
      <c r="DG1692" s="496" t="s">
        <v>11</v>
      </c>
      <c r="DH1692" s="496" t="s">
        <v>689</v>
      </c>
      <c r="DI1692" s="496" t="s">
        <v>4413</v>
      </c>
      <c r="DJ1692" s="496" t="s">
        <v>4413</v>
      </c>
      <c r="DK1692" s="496" t="s">
        <v>3959</v>
      </c>
      <c r="DL1692" s="496" t="s">
        <v>3960</v>
      </c>
      <c r="DM1692" s="496" t="s">
        <v>3961</v>
      </c>
      <c r="DN1692" s="497" t="s">
        <v>3962</v>
      </c>
      <c r="DP1692" s="543">
        <v>1</v>
      </c>
    </row>
    <row r="1693" spans="109:120" ht="25.5">
      <c r="DE1693" s="494"/>
      <c r="DF1693" s="496" t="s">
        <v>4414</v>
      </c>
      <c r="DG1693" s="496" t="s">
        <v>11</v>
      </c>
      <c r="DH1693" s="496" t="s">
        <v>689</v>
      </c>
      <c r="DI1693" s="496" t="s">
        <v>4415</v>
      </c>
      <c r="DJ1693" s="496" t="s">
        <v>4415</v>
      </c>
      <c r="DK1693" s="496" t="s">
        <v>3959</v>
      </c>
      <c r="DL1693" s="496" t="s">
        <v>3960</v>
      </c>
      <c r="DM1693" s="496" t="s">
        <v>3961</v>
      </c>
      <c r="DN1693" s="497" t="s">
        <v>3962</v>
      </c>
      <c r="DP1693" s="543">
        <v>1</v>
      </c>
    </row>
    <row r="1694" spans="109:120" ht="25.5">
      <c r="DE1694" s="494"/>
      <c r="DF1694" s="496" t="s">
        <v>4416</v>
      </c>
      <c r="DG1694" s="496" t="s">
        <v>11</v>
      </c>
      <c r="DH1694" s="496" t="s">
        <v>689</v>
      </c>
      <c r="DI1694" s="496" t="s">
        <v>4417</v>
      </c>
      <c r="DJ1694" s="496" t="s">
        <v>4417</v>
      </c>
      <c r="DK1694" s="496" t="s">
        <v>3959</v>
      </c>
      <c r="DL1694" s="496" t="s">
        <v>3960</v>
      </c>
      <c r="DM1694" s="496" t="s">
        <v>3961</v>
      </c>
      <c r="DN1694" s="497" t="s">
        <v>3962</v>
      </c>
      <c r="DP1694" s="543">
        <v>1</v>
      </c>
    </row>
    <row r="1695" spans="109:120" ht="15">
      <c r="DE1695" s="494"/>
      <c r="DF1695" s="496" t="s">
        <v>4418</v>
      </c>
      <c r="DG1695" s="496" t="s">
        <v>11</v>
      </c>
      <c r="DH1695" s="496" t="s">
        <v>689</v>
      </c>
      <c r="DI1695" s="496" t="s">
        <v>989</v>
      </c>
      <c r="DJ1695" s="496" t="s">
        <v>989</v>
      </c>
      <c r="DK1695" s="496" t="s">
        <v>1085</v>
      </c>
      <c r="DL1695" s="496" t="s">
        <v>3974</v>
      </c>
      <c r="DM1695" s="496" t="s">
        <v>1087</v>
      </c>
      <c r="DN1695" s="497" t="s">
        <v>1088</v>
      </c>
      <c r="DP1695" s="543">
        <v>1</v>
      </c>
    </row>
    <row r="1696" spans="109:120" ht="15">
      <c r="DE1696" s="494"/>
      <c r="DF1696" s="496" t="s">
        <v>4419</v>
      </c>
      <c r="DG1696" s="496" t="s">
        <v>11</v>
      </c>
      <c r="DH1696" s="496" t="s">
        <v>689</v>
      </c>
      <c r="DI1696" s="496" t="s">
        <v>990</v>
      </c>
      <c r="DJ1696" s="496" t="s">
        <v>990</v>
      </c>
      <c r="DK1696" s="496" t="s">
        <v>1085</v>
      </c>
      <c r="DL1696" s="496" t="s">
        <v>3974</v>
      </c>
      <c r="DM1696" s="496" t="s">
        <v>1087</v>
      </c>
      <c r="DN1696" s="497" t="s">
        <v>1088</v>
      </c>
      <c r="DP1696" s="543">
        <v>1</v>
      </c>
    </row>
    <row r="1697" spans="109:120" ht="25.5">
      <c r="DE1697" s="494"/>
      <c r="DF1697" s="496" t="s">
        <v>4420</v>
      </c>
      <c r="DG1697" s="496" t="s">
        <v>11</v>
      </c>
      <c r="DH1697" s="496" t="s">
        <v>689</v>
      </c>
      <c r="DI1697" s="496" t="s">
        <v>4421</v>
      </c>
      <c r="DJ1697" s="496" t="s">
        <v>4421</v>
      </c>
      <c r="DK1697" s="496" t="s">
        <v>3959</v>
      </c>
      <c r="DL1697" s="496" t="s">
        <v>3960</v>
      </c>
      <c r="DM1697" s="496" t="s">
        <v>3961</v>
      </c>
      <c r="DN1697" s="497" t="s">
        <v>3962</v>
      </c>
      <c r="DP1697" s="543">
        <v>1</v>
      </c>
    </row>
    <row r="1698" spans="109:120" ht="15">
      <c r="DE1698" s="494"/>
      <c r="DF1698" s="496" t="s">
        <v>4422</v>
      </c>
      <c r="DG1698" s="496" t="s">
        <v>11</v>
      </c>
      <c r="DH1698" s="496" t="s">
        <v>689</v>
      </c>
      <c r="DI1698" s="496" t="s">
        <v>4423</v>
      </c>
      <c r="DJ1698" s="496" t="s">
        <v>4423</v>
      </c>
      <c r="DK1698" s="496" t="s">
        <v>1085</v>
      </c>
      <c r="DL1698" s="496" t="s">
        <v>3974</v>
      </c>
      <c r="DM1698" s="496" t="s">
        <v>1087</v>
      </c>
      <c r="DN1698" s="497" t="s">
        <v>1088</v>
      </c>
      <c r="DP1698" s="543">
        <v>1</v>
      </c>
    </row>
    <row r="1699" spans="109:120" ht="25.5">
      <c r="DE1699" s="494"/>
      <c r="DF1699" s="496" t="s">
        <v>4424</v>
      </c>
      <c r="DG1699" s="496" t="s">
        <v>11</v>
      </c>
      <c r="DH1699" s="496" t="s">
        <v>689</v>
      </c>
      <c r="DI1699" s="496" t="s">
        <v>4425</v>
      </c>
      <c r="DJ1699" s="496" t="s">
        <v>4425</v>
      </c>
      <c r="DK1699" s="496" t="s">
        <v>3959</v>
      </c>
      <c r="DL1699" s="496" t="s">
        <v>3960</v>
      </c>
      <c r="DM1699" s="496" t="s">
        <v>3961</v>
      </c>
      <c r="DN1699" s="497" t="s">
        <v>3962</v>
      </c>
      <c r="DP1699" s="543">
        <v>1</v>
      </c>
    </row>
    <row r="1700" spans="109:120" ht="25.5">
      <c r="DE1700" s="494"/>
      <c r="DF1700" s="496" t="s">
        <v>4426</v>
      </c>
      <c r="DG1700" s="496" t="s">
        <v>11</v>
      </c>
      <c r="DH1700" s="496" t="s">
        <v>689</v>
      </c>
      <c r="DI1700" s="496" t="s">
        <v>4427</v>
      </c>
      <c r="DJ1700" s="496" t="s">
        <v>4427</v>
      </c>
      <c r="DK1700" s="496" t="s">
        <v>3959</v>
      </c>
      <c r="DL1700" s="496" t="s">
        <v>3960</v>
      </c>
      <c r="DM1700" s="496" t="s">
        <v>3961</v>
      </c>
      <c r="DN1700" s="497" t="s">
        <v>3962</v>
      </c>
      <c r="DP1700" s="543">
        <v>1</v>
      </c>
    </row>
    <row r="1701" spans="109:120" ht="15">
      <c r="DE1701" s="494"/>
      <c r="DF1701" s="496" t="s">
        <v>4428</v>
      </c>
      <c r="DG1701" s="496" t="s">
        <v>11</v>
      </c>
      <c r="DH1701" s="496" t="s">
        <v>689</v>
      </c>
      <c r="DI1701" s="496" t="s">
        <v>991</v>
      </c>
      <c r="DJ1701" s="496" t="s">
        <v>991</v>
      </c>
      <c r="DK1701" s="496" t="s">
        <v>1085</v>
      </c>
      <c r="DL1701" s="496" t="s">
        <v>3974</v>
      </c>
      <c r="DM1701" s="496" t="s">
        <v>1087</v>
      </c>
      <c r="DN1701" s="497" t="s">
        <v>1088</v>
      </c>
      <c r="DP1701" s="543">
        <v>1</v>
      </c>
    </row>
    <row r="1702" spans="109:120" ht="25.5">
      <c r="DE1702" s="494"/>
      <c r="DF1702" s="496" t="s">
        <v>4429</v>
      </c>
      <c r="DG1702" s="496" t="s">
        <v>11</v>
      </c>
      <c r="DH1702" s="496" t="s">
        <v>689</v>
      </c>
      <c r="DI1702" s="496" t="s">
        <v>4430</v>
      </c>
      <c r="DJ1702" s="496" t="s">
        <v>4431</v>
      </c>
      <c r="DK1702" s="496" t="s">
        <v>3959</v>
      </c>
      <c r="DL1702" s="496" t="s">
        <v>3960</v>
      </c>
      <c r="DM1702" s="496" t="s">
        <v>3961</v>
      </c>
      <c r="DN1702" s="497" t="s">
        <v>3962</v>
      </c>
      <c r="DP1702" s="543">
        <v>1</v>
      </c>
    </row>
    <row r="1703" spans="109:120" ht="25.5">
      <c r="DE1703" s="494"/>
      <c r="DF1703" s="496" t="s">
        <v>4432</v>
      </c>
      <c r="DG1703" s="496" t="s">
        <v>11</v>
      </c>
      <c r="DH1703" s="496" t="s">
        <v>689</v>
      </c>
      <c r="DI1703" s="496" t="s">
        <v>4433</v>
      </c>
      <c r="DJ1703" s="496" t="s">
        <v>992</v>
      </c>
      <c r="DK1703" s="496" t="s">
        <v>3959</v>
      </c>
      <c r="DL1703" s="496" t="s">
        <v>3960</v>
      </c>
      <c r="DM1703" s="496" t="s">
        <v>3961</v>
      </c>
      <c r="DN1703" s="497" t="s">
        <v>3962</v>
      </c>
      <c r="DP1703" s="543">
        <v>1</v>
      </c>
    </row>
    <row r="1704" spans="109:120" ht="25.5">
      <c r="DE1704" s="494"/>
      <c r="DF1704" s="496" t="s">
        <v>4434</v>
      </c>
      <c r="DG1704" s="496" t="s">
        <v>11</v>
      </c>
      <c r="DH1704" s="496" t="s">
        <v>689</v>
      </c>
      <c r="DI1704" s="496" t="s">
        <v>4435</v>
      </c>
      <c r="DJ1704" s="496" t="s">
        <v>993</v>
      </c>
      <c r="DK1704" s="496" t="s">
        <v>3959</v>
      </c>
      <c r="DL1704" s="496" t="s">
        <v>3960</v>
      </c>
      <c r="DM1704" s="496" t="s">
        <v>3961</v>
      </c>
      <c r="DN1704" s="497" t="s">
        <v>3962</v>
      </c>
      <c r="DP1704" s="543">
        <v>1</v>
      </c>
    </row>
    <row r="1705" spans="109:120" ht="15">
      <c r="DE1705" s="494"/>
      <c r="DF1705" s="496" t="s">
        <v>4436</v>
      </c>
      <c r="DG1705" s="496" t="s">
        <v>11</v>
      </c>
      <c r="DH1705" s="496" t="s">
        <v>689</v>
      </c>
      <c r="DI1705" s="496" t="s">
        <v>994</v>
      </c>
      <c r="DJ1705" s="496" t="s">
        <v>994</v>
      </c>
      <c r="DK1705" s="496" t="s">
        <v>1085</v>
      </c>
      <c r="DL1705" s="496" t="s">
        <v>3974</v>
      </c>
      <c r="DM1705" s="496" t="s">
        <v>1087</v>
      </c>
      <c r="DN1705" s="497" t="s">
        <v>1088</v>
      </c>
      <c r="DP1705" s="543">
        <v>1</v>
      </c>
    </row>
    <row r="1706" spans="109:120" ht="25.5">
      <c r="DE1706" s="494"/>
      <c r="DF1706" s="496" t="s">
        <v>4437</v>
      </c>
      <c r="DG1706" s="496" t="s">
        <v>11</v>
      </c>
      <c r="DH1706" s="496" t="s">
        <v>689</v>
      </c>
      <c r="DI1706" s="496" t="s">
        <v>4438</v>
      </c>
      <c r="DJ1706" s="496" t="s">
        <v>4439</v>
      </c>
      <c r="DK1706" s="496" t="s">
        <v>3959</v>
      </c>
      <c r="DL1706" s="496" t="s">
        <v>3960</v>
      </c>
      <c r="DM1706" s="496" t="s">
        <v>3961</v>
      </c>
      <c r="DN1706" s="497" t="s">
        <v>3962</v>
      </c>
      <c r="DP1706" s="543">
        <v>1</v>
      </c>
    </row>
    <row r="1707" spans="109:120" ht="15">
      <c r="DE1707" s="494"/>
      <c r="DF1707" s="496" t="s">
        <v>4440</v>
      </c>
      <c r="DG1707" s="496" t="s">
        <v>11</v>
      </c>
      <c r="DH1707" s="496" t="s">
        <v>689</v>
      </c>
      <c r="DI1707" s="496" t="s">
        <v>4441</v>
      </c>
      <c r="DJ1707" s="496" t="s">
        <v>4441</v>
      </c>
      <c r="DK1707" s="496" t="s">
        <v>1085</v>
      </c>
      <c r="DL1707" s="496" t="s">
        <v>3974</v>
      </c>
      <c r="DM1707" s="496" t="s">
        <v>1087</v>
      </c>
      <c r="DN1707" s="497" t="s">
        <v>1088</v>
      </c>
      <c r="DP1707" s="543">
        <v>1</v>
      </c>
    </row>
    <row r="1708" spans="109:120" ht="25.5">
      <c r="DE1708" s="494"/>
      <c r="DF1708" s="496" t="s">
        <v>4442</v>
      </c>
      <c r="DG1708" s="496" t="s">
        <v>11</v>
      </c>
      <c r="DH1708" s="496" t="s">
        <v>689</v>
      </c>
      <c r="DI1708" s="496" t="s">
        <v>4443</v>
      </c>
      <c r="DJ1708" s="496" t="s">
        <v>4444</v>
      </c>
      <c r="DK1708" s="496" t="s">
        <v>3959</v>
      </c>
      <c r="DL1708" s="496" t="s">
        <v>3960</v>
      </c>
      <c r="DM1708" s="496" t="s">
        <v>3961</v>
      </c>
      <c r="DN1708" s="497" t="s">
        <v>3962</v>
      </c>
      <c r="DP1708" s="543">
        <v>1</v>
      </c>
    </row>
    <row r="1709" spans="109:120" ht="25.5">
      <c r="DE1709" s="494"/>
      <c r="DF1709" s="496" t="s">
        <v>4445</v>
      </c>
      <c r="DG1709" s="496" t="s">
        <v>11</v>
      </c>
      <c r="DH1709" s="496" t="s">
        <v>689</v>
      </c>
      <c r="DI1709" s="496" t="s">
        <v>4446</v>
      </c>
      <c r="DJ1709" s="496" t="s">
        <v>4446</v>
      </c>
      <c r="DK1709" s="496" t="s">
        <v>3959</v>
      </c>
      <c r="DL1709" s="496" t="s">
        <v>3960</v>
      </c>
      <c r="DM1709" s="496" t="s">
        <v>3961</v>
      </c>
      <c r="DN1709" s="497" t="s">
        <v>3962</v>
      </c>
      <c r="DP1709" s="543">
        <v>1</v>
      </c>
    </row>
    <row r="1710" spans="109:120" ht="25.5">
      <c r="DE1710" s="494"/>
      <c r="DF1710" s="496" t="s">
        <v>4447</v>
      </c>
      <c r="DG1710" s="496" t="s">
        <v>11</v>
      </c>
      <c r="DH1710" s="496" t="s">
        <v>689</v>
      </c>
      <c r="DI1710" s="496" t="s">
        <v>4448</v>
      </c>
      <c r="DJ1710" s="496" t="s">
        <v>4448</v>
      </c>
      <c r="DK1710" s="496" t="s">
        <v>3959</v>
      </c>
      <c r="DL1710" s="496" t="s">
        <v>3960</v>
      </c>
      <c r="DM1710" s="496" t="s">
        <v>3961</v>
      </c>
      <c r="DN1710" s="497" t="s">
        <v>3962</v>
      </c>
      <c r="DP1710" s="543">
        <v>1</v>
      </c>
    </row>
    <row r="1711" spans="109:120" ht="25.5">
      <c r="DE1711" s="494"/>
      <c r="DF1711" s="496" t="s">
        <v>4449</v>
      </c>
      <c r="DG1711" s="496" t="s">
        <v>11</v>
      </c>
      <c r="DH1711" s="496" t="s">
        <v>689</v>
      </c>
      <c r="DI1711" s="496" t="s">
        <v>4450</v>
      </c>
      <c r="DJ1711" s="496" t="s">
        <v>4451</v>
      </c>
      <c r="DK1711" s="496" t="s">
        <v>3959</v>
      </c>
      <c r="DL1711" s="496" t="s">
        <v>3960</v>
      </c>
      <c r="DM1711" s="496" t="s">
        <v>3961</v>
      </c>
      <c r="DN1711" s="497" t="s">
        <v>3962</v>
      </c>
      <c r="DP1711" s="543">
        <v>1</v>
      </c>
    </row>
    <row r="1712" spans="109:120" ht="25.5">
      <c r="DE1712" s="494"/>
      <c r="DF1712" s="496" t="s">
        <v>4452</v>
      </c>
      <c r="DG1712" s="496" t="s">
        <v>11</v>
      </c>
      <c r="DH1712" s="496" t="s">
        <v>689</v>
      </c>
      <c r="DI1712" s="496" t="s">
        <v>4453</v>
      </c>
      <c r="DJ1712" s="496" t="s">
        <v>4453</v>
      </c>
      <c r="DK1712" s="496" t="s">
        <v>3959</v>
      </c>
      <c r="DL1712" s="496" t="s">
        <v>3960</v>
      </c>
      <c r="DM1712" s="496" t="s">
        <v>3961</v>
      </c>
      <c r="DN1712" s="497" t="s">
        <v>3962</v>
      </c>
      <c r="DP1712" s="543">
        <v>1</v>
      </c>
    </row>
    <row r="1713" spans="109:120" ht="15">
      <c r="DE1713" s="494"/>
      <c r="DF1713" s="496" t="s">
        <v>4454</v>
      </c>
      <c r="DG1713" s="496" t="s">
        <v>11</v>
      </c>
      <c r="DH1713" s="496" t="s">
        <v>689</v>
      </c>
      <c r="DI1713" s="496" t="s">
        <v>4455</v>
      </c>
      <c r="DJ1713" s="496" t="s">
        <v>4455</v>
      </c>
      <c r="DK1713" s="496" t="s">
        <v>1085</v>
      </c>
      <c r="DL1713" s="496" t="s">
        <v>3974</v>
      </c>
      <c r="DM1713" s="496" t="s">
        <v>1087</v>
      </c>
      <c r="DN1713" s="497" t="s">
        <v>1088</v>
      </c>
      <c r="DP1713" s="543">
        <v>1</v>
      </c>
    </row>
    <row r="1714" spans="109:120" ht="25.5">
      <c r="DE1714" s="494"/>
      <c r="DF1714" s="496" t="s">
        <v>4456</v>
      </c>
      <c r="DG1714" s="496" t="s">
        <v>11</v>
      </c>
      <c r="DH1714" s="496" t="s">
        <v>689</v>
      </c>
      <c r="DI1714" s="496" t="s">
        <v>4457</v>
      </c>
      <c r="DJ1714" s="496" t="s">
        <v>4458</v>
      </c>
      <c r="DK1714" s="496" t="s">
        <v>3959</v>
      </c>
      <c r="DL1714" s="496" t="s">
        <v>3960</v>
      </c>
      <c r="DM1714" s="496" t="s">
        <v>3961</v>
      </c>
      <c r="DN1714" s="497" t="s">
        <v>3962</v>
      </c>
      <c r="DP1714" s="543">
        <v>1</v>
      </c>
    </row>
    <row r="1715" spans="109:120" ht="25.5">
      <c r="DE1715" s="494"/>
      <c r="DF1715" s="496" t="s">
        <v>4459</v>
      </c>
      <c r="DG1715" s="496" t="s">
        <v>11</v>
      </c>
      <c r="DH1715" s="496" t="s">
        <v>689</v>
      </c>
      <c r="DI1715" s="496" t="s">
        <v>4460</v>
      </c>
      <c r="DJ1715" s="496" t="s">
        <v>4461</v>
      </c>
      <c r="DK1715" s="496" t="s">
        <v>3959</v>
      </c>
      <c r="DL1715" s="496" t="s">
        <v>3960</v>
      </c>
      <c r="DM1715" s="496" t="s">
        <v>3961</v>
      </c>
      <c r="DN1715" s="497" t="s">
        <v>3962</v>
      </c>
      <c r="DP1715" s="543">
        <v>1</v>
      </c>
    </row>
    <row r="1716" spans="109:120" ht="25.5">
      <c r="DE1716" s="494"/>
      <c r="DF1716" s="496" t="s">
        <v>4462</v>
      </c>
      <c r="DG1716" s="496" t="s">
        <v>11</v>
      </c>
      <c r="DH1716" s="496" t="s">
        <v>689</v>
      </c>
      <c r="DI1716" s="496" t="s">
        <v>4463</v>
      </c>
      <c r="DJ1716" s="496" t="s">
        <v>4463</v>
      </c>
      <c r="DK1716" s="496" t="s">
        <v>3959</v>
      </c>
      <c r="DL1716" s="496" t="s">
        <v>3960</v>
      </c>
      <c r="DM1716" s="496" t="s">
        <v>3961</v>
      </c>
      <c r="DN1716" s="497" t="s">
        <v>3962</v>
      </c>
      <c r="DP1716" s="543">
        <v>1</v>
      </c>
    </row>
    <row r="1717" spans="109:120" ht="15">
      <c r="DE1717" s="494"/>
      <c r="DF1717" s="496" t="s">
        <v>4464</v>
      </c>
      <c r="DG1717" s="496" t="s">
        <v>11</v>
      </c>
      <c r="DH1717" s="496" t="s">
        <v>689</v>
      </c>
      <c r="DI1717" s="496" t="s">
        <v>4465</v>
      </c>
      <c r="DJ1717" s="496" t="s">
        <v>4465</v>
      </c>
      <c r="DK1717" s="496" t="s">
        <v>1085</v>
      </c>
      <c r="DL1717" s="496" t="s">
        <v>3974</v>
      </c>
      <c r="DM1717" s="496" t="s">
        <v>1087</v>
      </c>
      <c r="DN1717" s="497" t="s">
        <v>1088</v>
      </c>
      <c r="DP1717" s="543">
        <v>1</v>
      </c>
    </row>
    <row r="1718" spans="109:120" ht="15">
      <c r="DE1718" s="494"/>
      <c r="DF1718" s="496" t="s">
        <v>4466</v>
      </c>
      <c r="DG1718" s="496" t="s">
        <v>11</v>
      </c>
      <c r="DH1718" s="496" t="s">
        <v>689</v>
      </c>
      <c r="DI1718" s="496" t="s">
        <v>4467</v>
      </c>
      <c r="DJ1718" s="496" t="s">
        <v>4468</v>
      </c>
      <c r="DK1718" s="496" t="s">
        <v>1085</v>
      </c>
      <c r="DL1718" s="496" t="s">
        <v>3974</v>
      </c>
      <c r="DM1718" s="496" t="s">
        <v>1087</v>
      </c>
      <c r="DN1718" s="497" t="s">
        <v>1088</v>
      </c>
      <c r="DP1718" s="543">
        <v>1</v>
      </c>
    </row>
    <row r="1719" spans="109:120" ht="25.5">
      <c r="DE1719" s="494"/>
      <c r="DF1719" s="496" t="s">
        <v>4469</v>
      </c>
      <c r="DG1719" s="496" t="s">
        <v>11</v>
      </c>
      <c r="DH1719" s="496" t="s">
        <v>689</v>
      </c>
      <c r="DI1719" s="496" t="s">
        <v>4470</v>
      </c>
      <c r="DJ1719" s="496" t="s">
        <v>4470</v>
      </c>
      <c r="DK1719" s="496" t="s">
        <v>3959</v>
      </c>
      <c r="DL1719" s="496" t="s">
        <v>3960</v>
      </c>
      <c r="DM1719" s="496" t="s">
        <v>3961</v>
      </c>
      <c r="DN1719" s="497" t="s">
        <v>3962</v>
      </c>
      <c r="DP1719" s="543">
        <v>1</v>
      </c>
    </row>
    <row r="1720" spans="109:120" ht="25.5">
      <c r="DE1720" s="494"/>
      <c r="DF1720" s="496" t="s">
        <v>4471</v>
      </c>
      <c r="DG1720" s="496" t="s">
        <v>11</v>
      </c>
      <c r="DH1720" s="496" t="s">
        <v>689</v>
      </c>
      <c r="DI1720" s="496" t="s">
        <v>4472</v>
      </c>
      <c r="DJ1720" s="496" t="s">
        <v>4472</v>
      </c>
      <c r="DK1720" s="496" t="s">
        <v>3959</v>
      </c>
      <c r="DL1720" s="496" t="s">
        <v>3960</v>
      </c>
      <c r="DM1720" s="496" t="s">
        <v>3961</v>
      </c>
      <c r="DN1720" s="497" t="s">
        <v>3962</v>
      </c>
      <c r="DP1720" s="543">
        <v>1</v>
      </c>
    </row>
    <row r="1721" spans="109:120" ht="25.5">
      <c r="DE1721" s="494"/>
      <c r="DF1721" s="496" t="s">
        <v>4473</v>
      </c>
      <c r="DG1721" s="496" t="s">
        <v>11</v>
      </c>
      <c r="DH1721" s="496" t="s">
        <v>689</v>
      </c>
      <c r="DI1721" s="496" t="s">
        <v>4474</v>
      </c>
      <c r="DJ1721" s="496" t="s">
        <v>4474</v>
      </c>
      <c r="DK1721" s="496" t="s">
        <v>3959</v>
      </c>
      <c r="DL1721" s="496" t="s">
        <v>3960</v>
      </c>
      <c r="DM1721" s="496" t="s">
        <v>3961</v>
      </c>
      <c r="DN1721" s="497" t="s">
        <v>3962</v>
      </c>
      <c r="DP1721" s="543">
        <v>1</v>
      </c>
    </row>
    <row r="1722" spans="109:120" ht="15">
      <c r="DE1722" s="494"/>
      <c r="DF1722" s="496" t="s">
        <v>4475</v>
      </c>
      <c r="DG1722" s="496" t="s">
        <v>11</v>
      </c>
      <c r="DH1722" s="496" t="s">
        <v>689</v>
      </c>
      <c r="DI1722" s="496" t="s">
        <v>4476</v>
      </c>
      <c r="DJ1722" s="496" t="s">
        <v>4476</v>
      </c>
      <c r="DK1722" s="496" t="s">
        <v>1085</v>
      </c>
      <c r="DL1722" s="496" t="s">
        <v>3974</v>
      </c>
      <c r="DM1722" s="496" t="s">
        <v>1087</v>
      </c>
      <c r="DN1722" s="497" t="s">
        <v>1088</v>
      </c>
      <c r="DP1722" s="543">
        <v>1</v>
      </c>
    </row>
    <row r="1723" spans="109:120" ht="25.5">
      <c r="DE1723" s="494"/>
      <c r="DF1723" s="496" t="s">
        <v>4477</v>
      </c>
      <c r="DG1723" s="496" t="s">
        <v>11</v>
      </c>
      <c r="DH1723" s="496" t="s">
        <v>689</v>
      </c>
      <c r="DI1723" s="496" t="s">
        <v>4478</v>
      </c>
      <c r="DJ1723" s="496" t="s">
        <v>4478</v>
      </c>
      <c r="DK1723" s="496" t="s">
        <v>3959</v>
      </c>
      <c r="DL1723" s="496" t="s">
        <v>3960</v>
      </c>
      <c r="DM1723" s="496" t="s">
        <v>3961</v>
      </c>
      <c r="DN1723" s="497" t="s">
        <v>3962</v>
      </c>
      <c r="DP1723" s="543">
        <v>1</v>
      </c>
    </row>
    <row r="1724" spans="109:120" ht="25.5">
      <c r="DE1724" s="494"/>
      <c r="DF1724" s="496" t="s">
        <v>4479</v>
      </c>
      <c r="DG1724" s="496" t="s">
        <v>11</v>
      </c>
      <c r="DH1724" s="496" t="s">
        <v>689</v>
      </c>
      <c r="DI1724" s="496" t="s">
        <v>4480</v>
      </c>
      <c r="DJ1724" s="496" t="s">
        <v>4480</v>
      </c>
      <c r="DK1724" s="496" t="s">
        <v>3959</v>
      </c>
      <c r="DL1724" s="496" t="s">
        <v>3960</v>
      </c>
      <c r="DM1724" s="496" t="s">
        <v>3961</v>
      </c>
      <c r="DN1724" s="497" t="s">
        <v>3962</v>
      </c>
      <c r="DP1724" s="543">
        <v>1</v>
      </c>
    </row>
    <row r="1725" spans="109:120" ht="25.5">
      <c r="DE1725" s="494"/>
      <c r="DF1725" s="496" t="s">
        <v>4481</v>
      </c>
      <c r="DG1725" s="496" t="s">
        <v>11</v>
      </c>
      <c r="DH1725" s="496" t="s">
        <v>689</v>
      </c>
      <c r="DI1725" s="496" t="s">
        <v>4482</v>
      </c>
      <c r="DJ1725" s="496" t="s">
        <v>4482</v>
      </c>
      <c r="DK1725" s="496" t="s">
        <v>3959</v>
      </c>
      <c r="DL1725" s="496" t="s">
        <v>3960</v>
      </c>
      <c r="DM1725" s="496" t="s">
        <v>3961</v>
      </c>
      <c r="DN1725" s="497" t="s">
        <v>3962</v>
      </c>
      <c r="DP1725" s="543">
        <v>1</v>
      </c>
    </row>
    <row r="1726" spans="109:120" ht="25.5">
      <c r="DE1726" s="494"/>
      <c r="DF1726" s="496" t="s">
        <v>4483</v>
      </c>
      <c r="DG1726" s="496" t="s">
        <v>11</v>
      </c>
      <c r="DH1726" s="496" t="s">
        <v>689</v>
      </c>
      <c r="DI1726" s="496" t="s">
        <v>4484</v>
      </c>
      <c r="DJ1726" s="496" t="s">
        <v>4484</v>
      </c>
      <c r="DK1726" s="496" t="s">
        <v>3959</v>
      </c>
      <c r="DL1726" s="496" t="s">
        <v>3960</v>
      </c>
      <c r="DM1726" s="496" t="s">
        <v>3961</v>
      </c>
      <c r="DN1726" s="497" t="s">
        <v>3962</v>
      </c>
      <c r="DP1726" s="543">
        <v>1</v>
      </c>
    </row>
    <row r="1727" spans="109:120" ht="25.5">
      <c r="DE1727" s="494"/>
      <c r="DF1727" s="496" t="s">
        <v>4485</v>
      </c>
      <c r="DG1727" s="496" t="s">
        <v>11</v>
      </c>
      <c r="DH1727" s="496" t="s">
        <v>689</v>
      </c>
      <c r="DI1727" s="496" t="s">
        <v>4486</v>
      </c>
      <c r="DJ1727" s="496" t="s">
        <v>4486</v>
      </c>
      <c r="DK1727" s="496" t="s">
        <v>3959</v>
      </c>
      <c r="DL1727" s="496" t="s">
        <v>3960</v>
      </c>
      <c r="DM1727" s="496" t="s">
        <v>3961</v>
      </c>
      <c r="DN1727" s="497" t="s">
        <v>3962</v>
      </c>
      <c r="DP1727" s="543">
        <v>1</v>
      </c>
    </row>
    <row r="1728" spans="109:120" ht="25.5">
      <c r="DE1728" s="494"/>
      <c r="DF1728" s="496" t="s">
        <v>4487</v>
      </c>
      <c r="DG1728" s="496" t="s">
        <v>11</v>
      </c>
      <c r="DH1728" s="496" t="s">
        <v>689</v>
      </c>
      <c r="DI1728" s="496" t="s">
        <v>4488</v>
      </c>
      <c r="DJ1728" s="496" t="s">
        <v>4489</v>
      </c>
      <c r="DK1728" s="496" t="s">
        <v>3959</v>
      </c>
      <c r="DL1728" s="496" t="s">
        <v>3960</v>
      </c>
      <c r="DM1728" s="496" t="s">
        <v>3961</v>
      </c>
      <c r="DN1728" s="497" t="s">
        <v>3962</v>
      </c>
      <c r="DP1728" s="543">
        <v>1</v>
      </c>
    </row>
    <row r="1729" spans="109:120" ht="25.5">
      <c r="DE1729" s="494"/>
      <c r="DF1729" s="496" t="s">
        <v>4490</v>
      </c>
      <c r="DG1729" s="496" t="s">
        <v>11</v>
      </c>
      <c r="DH1729" s="496" t="s">
        <v>689</v>
      </c>
      <c r="DI1729" s="496" t="s">
        <v>4491</v>
      </c>
      <c r="DJ1729" s="496" t="s">
        <v>4491</v>
      </c>
      <c r="DK1729" s="496" t="s">
        <v>3959</v>
      </c>
      <c r="DL1729" s="496" t="s">
        <v>3960</v>
      </c>
      <c r="DM1729" s="496" t="s">
        <v>3961</v>
      </c>
      <c r="DN1729" s="497" t="s">
        <v>3962</v>
      </c>
      <c r="DP1729" s="543">
        <v>1</v>
      </c>
    </row>
    <row r="1730" spans="109:120" ht="25.5">
      <c r="DE1730" s="494"/>
      <c r="DF1730" s="496" t="s">
        <v>4492</v>
      </c>
      <c r="DG1730" s="496" t="s">
        <v>11</v>
      </c>
      <c r="DH1730" s="496" t="s">
        <v>689</v>
      </c>
      <c r="DI1730" s="496" t="s">
        <v>4493</v>
      </c>
      <c r="DJ1730" s="496" t="s">
        <v>4493</v>
      </c>
      <c r="DK1730" s="496" t="s">
        <v>3959</v>
      </c>
      <c r="DL1730" s="496" t="s">
        <v>3960</v>
      </c>
      <c r="DM1730" s="496" t="s">
        <v>3961</v>
      </c>
      <c r="DN1730" s="497" t="s">
        <v>3962</v>
      </c>
      <c r="DP1730" s="543">
        <v>1</v>
      </c>
    </row>
    <row r="1731" spans="109:120" ht="25.5">
      <c r="DE1731" s="494"/>
      <c r="DF1731" s="496" t="s">
        <v>4494</v>
      </c>
      <c r="DG1731" s="496" t="s">
        <v>11</v>
      </c>
      <c r="DH1731" s="496" t="s">
        <v>689</v>
      </c>
      <c r="DI1731" s="496" t="s">
        <v>4495</v>
      </c>
      <c r="DJ1731" s="496" t="s">
        <v>4495</v>
      </c>
      <c r="DK1731" s="496" t="s">
        <v>3959</v>
      </c>
      <c r="DL1731" s="496" t="s">
        <v>3960</v>
      </c>
      <c r="DM1731" s="496" t="s">
        <v>3961</v>
      </c>
      <c r="DN1731" s="497" t="s">
        <v>3962</v>
      </c>
      <c r="DP1731" s="543">
        <v>1</v>
      </c>
    </row>
    <row r="1732" spans="109:120" ht="15">
      <c r="DE1732" s="494"/>
      <c r="DF1732" s="496" t="s">
        <v>4496</v>
      </c>
      <c r="DG1732" s="496" t="s">
        <v>11</v>
      </c>
      <c r="DH1732" s="496" t="s">
        <v>689</v>
      </c>
      <c r="DI1732" s="496" t="s">
        <v>996</v>
      </c>
      <c r="DJ1732" s="496" t="s">
        <v>996</v>
      </c>
      <c r="DK1732" s="496" t="s">
        <v>1085</v>
      </c>
      <c r="DL1732" s="496" t="s">
        <v>3974</v>
      </c>
      <c r="DM1732" s="496" t="s">
        <v>1087</v>
      </c>
      <c r="DN1732" s="497" t="s">
        <v>1088</v>
      </c>
      <c r="DP1732" s="543">
        <v>1</v>
      </c>
    </row>
    <row r="1733" spans="109:120" ht="15">
      <c r="DE1733" s="494"/>
      <c r="DF1733" s="496" t="s">
        <v>4497</v>
      </c>
      <c r="DG1733" s="496" t="s">
        <v>11</v>
      </c>
      <c r="DH1733" s="496" t="s">
        <v>689</v>
      </c>
      <c r="DI1733" s="496" t="s">
        <v>4498</v>
      </c>
      <c r="DJ1733" s="496" t="s">
        <v>4498</v>
      </c>
      <c r="DK1733" s="496" t="s">
        <v>1085</v>
      </c>
      <c r="DL1733" s="496" t="s">
        <v>3974</v>
      </c>
      <c r="DM1733" s="496" t="s">
        <v>1087</v>
      </c>
      <c r="DN1733" s="497" t="s">
        <v>1088</v>
      </c>
      <c r="DP1733" s="543">
        <v>1</v>
      </c>
    </row>
    <row r="1734" spans="109:120" ht="15">
      <c r="DE1734" s="494"/>
      <c r="DF1734" s="496" t="s">
        <v>4499</v>
      </c>
      <c r="DG1734" s="496" t="s">
        <v>11</v>
      </c>
      <c r="DH1734" s="496" t="s">
        <v>689</v>
      </c>
      <c r="DI1734" s="496" t="s">
        <v>997</v>
      </c>
      <c r="DJ1734" s="496" t="s">
        <v>997</v>
      </c>
      <c r="DK1734" s="496" t="s">
        <v>1085</v>
      </c>
      <c r="DL1734" s="496" t="s">
        <v>3974</v>
      </c>
      <c r="DM1734" s="496" t="s">
        <v>1087</v>
      </c>
      <c r="DN1734" s="497" t="s">
        <v>1088</v>
      </c>
      <c r="DP1734" s="543">
        <v>1</v>
      </c>
    </row>
    <row r="1735" spans="109:120" ht="25.5">
      <c r="DE1735" s="494"/>
      <c r="DF1735" s="496" t="s">
        <v>4500</v>
      </c>
      <c r="DG1735" s="496" t="s">
        <v>11</v>
      </c>
      <c r="DH1735" s="496" t="s">
        <v>689</v>
      </c>
      <c r="DI1735" s="496" t="s">
        <v>4501</v>
      </c>
      <c r="DJ1735" s="496" t="s">
        <v>4501</v>
      </c>
      <c r="DK1735" s="496" t="s">
        <v>3959</v>
      </c>
      <c r="DL1735" s="496" t="s">
        <v>3960</v>
      </c>
      <c r="DM1735" s="496" t="s">
        <v>3961</v>
      </c>
      <c r="DN1735" s="497" t="s">
        <v>3962</v>
      </c>
      <c r="DP1735" s="543">
        <v>1</v>
      </c>
    </row>
    <row r="1736" spans="109:120" ht="25.5">
      <c r="DE1736" s="494"/>
      <c r="DF1736" s="496" t="s">
        <v>4502</v>
      </c>
      <c r="DG1736" s="496" t="s">
        <v>11</v>
      </c>
      <c r="DH1736" s="496" t="s">
        <v>689</v>
      </c>
      <c r="DI1736" s="496" t="s">
        <v>4503</v>
      </c>
      <c r="DJ1736" s="496" t="s">
        <v>4504</v>
      </c>
      <c r="DK1736" s="496" t="s">
        <v>3959</v>
      </c>
      <c r="DL1736" s="496" t="s">
        <v>3960</v>
      </c>
      <c r="DM1736" s="496" t="s">
        <v>3961</v>
      </c>
      <c r="DN1736" s="497" t="s">
        <v>3962</v>
      </c>
      <c r="DP1736" s="543">
        <v>1</v>
      </c>
    </row>
    <row r="1737" spans="109:120" ht="25.5">
      <c r="DE1737" s="494"/>
      <c r="DF1737" s="496" t="s">
        <v>4505</v>
      </c>
      <c r="DG1737" s="496" t="s">
        <v>11</v>
      </c>
      <c r="DH1737" s="496" t="s">
        <v>689</v>
      </c>
      <c r="DI1737" s="496" t="s">
        <v>4506</v>
      </c>
      <c r="DJ1737" s="496" t="s">
        <v>4507</v>
      </c>
      <c r="DK1737" s="496" t="s">
        <v>3959</v>
      </c>
      <c r="DL1737" s="496" t="s">
        <v>3960</v>
      </c>
      <c r="DM1737" s="496" t="s">
        <v>3961</v>
      </c>
      <c r="DN1737" s="497" t="s">
        <v>3962</v>
      </c>
      <c r="DP1737" s="543">
        <v>1</v>
      </c>
    </row>
    <row r="1738" spans="109:120" ht="25.5">
      <c r="DE1738" s="494"/>
      <c r="DF1738" s="496" t="s">
        <v>4508</v>
      </c>
      <c r="DG1738" s="496" t="s">
        <v>11</v>
      </c>
      <c r="DH1738" s="496" t="s">
        <v>689</v>
      </c>
      <c r="DI1738" s="496" t="s">
        <v>4509</v>
      </c>
      <c r="DJ1738" s="496" t="s">
        <v>4510</v>
      </c>
      <c r="DK1738" s="496" t="s">
        <v>3959</v>
      </c>
      <c r="DL1738" s="496" t="s">
        <v>3960</v>
      </c>
      <c r="DM1738" s="496" t="s">
        <v>3961</v>
      </c>
      <c r="DN1738" s="497" t="s">
        <v>3962</v>
      </c>
      <c r="DP1738" s="543">
        <v>1</v>
      </c>
    </row>
    <row r="1739" spans="109:120" ht="25.5">
      <c r="DE1739" s="494"/>
      <c r="DF1739" s="496" t="s">
        <v>4511</v>
      </c>
      <c r="DG1739" s="496" t="s">
        <v>11</v>
      </c>
      <c r="DH1739" s="496" t="s">
        <v>689</v>
      </c>
      <c r="DI1739" s="496" t="s">
        <v>4512</v>
      </c>
      <c r="DJ1739" s="496" t="s">
        <v>4512</v>
      </c>
      <c r="DK1739" s="496" t="s">
        <v>3959</v>
      </c>
      <c r="DL1739" s="496" t="s">
        <v>3960</v>
      </c>
      <c r="DM1739" s="496" t="s">
        <v>3961</v>
      </c>
      <c r="DN1739" s="497" t="s">
        <v>3962</v>
      </c>
      <c r="DP1739" s="543">
        <v>1</v>
      </c>
    </row>
    <row r="1740" spans="109:120" ht="15">
      <c r="DE1740" s="494"/>
      <c r="DF1740" s="496" t="s">
        <v>4513</v>
      </c>
      <c r="DG1740" s="496" t="s">
        <v>11</v>
      </c>
      <c r="DH1740" s="496" t="s">
        <v>689</v>
      </c>
      <c r="DI1740" s="496" t="s">
        <v>332</v>
      </c>
      <c r="DJ1740" s="496" t="s">
        <v>332</v>
      </c>
      <c r="DK1740" s="496" t="s">
        <v>1151</v>
      </c>
      <c r="DL1740" s="496" t="s">
        <v>1152</v>
      </c>
      <c r="DM1740" s="496" t="s">
        <v>1087</v>
      </c>
      <c r="DN1740" s="497" t="s">
        <v>1153</v>
      </c>
      <c r="DP1740" s="543">
        <v>1</v>
      </c>
    </row>
    <row r="1741" spans="109:120" ht="25.5">
      <c r="DE1741" s="494"/>
      <c r="DF1741" s="496" t="s">
        <v>4514</v>
      </c>
      <c r="DG1741" s="496" t="s">
        <v>11</v>
      </c>
      <c r="DH1741" s="496" t="s">
        <v>689</v>
      </c>
      <c r="DI1741" s="496" t="s">
        <v>4515</v>
      </c>
      <c r="DJ1741" s="496" t="s">
        <v>4515</v>
      </c>
      <c r="DK1741" s="496" t="s">
        <v>3959</v>
      </c>
      <c r="DL1741" s="496" t="s">
        <v>3960</v>
      </c>
      <c r="DM1741" s="496" t="s">
        <v>3961</v>
      </c>
      <c r="DN1741" s="497" t="s">
        <v>3962</v>
      </c>
      <c r="DP1741" s="543">
        <v>1</v>
      </c>
    </row>
    <row r="1742" spans="109:120" ht="25.5">
      <c r="DE1742" s="494"/>
      <c r="DF1742" s="496" t="s">
        <v>4516</v>
      </c>
      <c r="DG1742" s="496" t="s">
        <v>11</v>
      </c>
      <c r="DH1742" s="496" t="s">
        <v>689</v>
      </c>
      <c r="DI1742" s="496" t="s">
        <v>4517</v>
      </c>
      <c r="DJ1742" s="496" t="s">
        <v>4517</v>
      </c>
      <c r="DK1742" s="496" t="s">
        <v>3959</v>
      </c>
      <c r="DL1742" s="496" t="s">
        <v>3960</v>
      </c>
      <c r="DM1742" s="496" t="s">
        <v>3961</v>
      </c>
      <c r="DN1742" s="497" t="s">
        <v>3962</v>
      </c>
      <c r="DP1742" s="543">
        <v>1</v>
      </c>
    </row>
    <row r="1743" spans="109:120" ht="15">
      <c r="DE1743" s="494"/>
      <c r="DF1743" s="496" t="s">
        <v>4518</v>
      </c>
      <c r="DG1743" s="496" t="s">
        <v>11</v>
      </c>
      <c r="DH1743" s="496" t="s">
        <v>689</v>
      </c>
      <c r="DI1743" s="496" t="s">
        <v>172</v>
      </c>
      <c r="DJ1743" s="496" t="s">
        <v>172</v>
      </c>
      <c r="DK1743" s="496" t="s">
        <v>1085</v>
      </c>
      <c r="DL1743" s="496" t="s">
        <v>3974</v>
      </c>
      <c r="DM1743" s="496" t="s">
        <v>1087</v>
      </c>
      <c r="DN1743" s="497" t="s">
        <v>1088</v>
      </c>
      <c r="DP1743" s="543">
        <v>1</v>
      </c>
    </row>
    <row r="1744" spans="109:120" ht="25.5">
      <c r="DE1744" s="494"/>
      <c r="DF1744" s="496" t="s">
        <v>4519</v>
      </c>
      <c r="DG1744" s="496" t="s">
        <v>11</v>
      </c>
      <c r="DH1744" s="496" t="s">
        <v>689</v>
      </c>
      <c r="DI1744" s="496" t="s">
        <v>4520</v>
      </c>
      <c r="DJ1744" s="496" t="s">
        <v>4521</v>
      </c>
      <c r="DK1744" s="496" t="s">
        <v>3959</v>
      </c>
      <c r="DL1744" s="496" t="s">
        <v>3960</v>
      </c>
      <c r="DM1744" s="496" t="s">
        <v>3961</v>
      </c>
      <c r="DN1744" s="497" t="s">
        <v>3962</v>
      </c>
      <c r="DP1744" s="543">
        <v>1</v>
      </c>
    </row>
    <row r="1745" spans="109:120" ht="25.5">
      <c r="DE1745" s="494"/>
      <c r="DF1745" s="496" t="s">
        <v>4522</v>
      </c>
      <c r="DG1745" s="496" t="s">
        <v>11</v>
      </c>
      <c r="DH1745" s="496" t="s">
        <v>689</v>
      </c>
      <c r="DI1745" s="496" t="s">
        <v>4523</v>
      </c>
      <c r="DJ1745" s="496" t="s">
        <v>4523</v>
      </c>
      <c r="DK1745" s="496" t="s">
        <v>3959</v>
      </c>
      <c r="DL1745" s="496" t="s">
        <v>3960</v>
      </c>
      <c r="DM1745" s="496" t="s">
        <v>3961</v>
      </c>
      <c r="DN1745" s="497" t="s">
        <v>3962</v>
      </c>
      <c r="DP1745" s="543">
        <v>1</v>
      </c>
    </row>
    <row r="1746" spans="109:120" ht="15">
      <c r="DE1746" s="494"/>
      <c r="DF1746" s="496" t="s">
        <v>4524</v>
      </c>
      <c r="DG1746" s="496" t="s">
        <v>11</v>
      </c>
      <c r="DH1746" s="496" t="s">
        <v>689</v>
      </c>
      <c r="DI1746" s="496" t="s">
        <v>4525</v>
      </c>
      <c r="DJ1746" s="496" t="s">
        <v>4525</v>
      </c>
      <c r="DK1746" s="496" t="s">
        <v>1085</v>
      </c>
      <c r="DL1746" s="496" t="s">
        <v>3974</v>
      </c>
      <c r="DM1746" s="496" t="s">
        <v>1087</v>
      </c>
      <c r="DN1746" s="497" t="s">
        <v>1088</v>
      </c>
      <c r="DP1746" s="543">
        <v>1</v>
      </c>
    </row>
    <row r="1747" spans="109:120" ht="15">
      <c r="DE1747" s="494"/>
      <c r="DF1747" s="496" t="s">
        <v>4526</v>
      </c>
      <c r="DG1747" s="496" t="s">
        <v>11</v>
      </c>
      <c r="DH1747" s="496" t="s">
        <v>689</v>
      </c>
      <c r="DI1747" s="496" t="s">
        <v>4527</v>
      </c>
      <c r="DJ1747" s="496" t="s">
        <v>4527</v>
      </c>
      <c r="DK1747" s="496" t="s">
        <v>1151</v>
      </c>
      <c r="DL1747" s="496" t="s">
        <v>1152</v>
      </c>
      <c r="DM1747" s="496" t="s">
        <v>1087</v>
      </c>
      <c r="DN1747" s="497" t="s">
        <v>1153</v>
      </c>
      <c r="DP1747" s="543">
        <v>1</v>
      </c>
    </row>
    <row r="1748" spans="109:120" ht="15">
      <c r="DE1748" s="494"/>
      <c r="DF1748" s="496" t="s">
        <v>4528</v>
      </c>
      <c r="DG1748" s="496" t="s">
        <v>11</v>
      </c>
      <c r="DH1748" s="496" t="s">
        <v>689</v>
      </c>
      <c r="DI1748" s="496" t="s">
        <v>333</v>
      </c>
      <c r="DJ1748" s="496" t="s">
        <v>333</v>
      </c>
      <c r="DK1748" s="496" t="s">
        <v>1085</v>
      </c>
      <c r="DL1748" s="496" t="s">
        <v>3974</v>
      </c>
      <c r="DM1748" s="496" t="s">
        <v>1087</v>
      </c>
      <c r="DN1748" s="497" t="s">
        <v>1088</v>
      </c>
      <c r="DP1748" s="543">
        <v>1</v>
      </c>
    </row>
    <row r="1749" spans="109:120" ht="25.5">
      <c r="DE1749" s="494"/>
      <c r="DF1749" s="496" t="s">
        <v>4529</v>
      </c>
      <c r="DG1749" s="496" t="s">
        <v>11</v>
      </c>
      <c r="DH1749" s="496" t="s">
        <v>689</v>
      </c>
      <c r="DI1749" s="496" t="s">
        <v>4530</v>
      </c>
      <c r="DJ1749" s="496" t="s">
        <v>4530</v>
      </c>
      <c r="DK1749" s="496" t="s">
        <v>3959</v>
      </c>
      <c r="DL1749" s="496" t="s">
        <v>3960</v>
      </c>
      <c r="DM1749" s="496" t="s">
        <v>3961</v>
      </c>
      <c r="DN1749" s="497" t="s">
        <v>3962</v>
      </c>
      <c r="DP1749" s="543">
        <v>1</v>
      </c>
    </row>
    <row r="1750" spans="109:120" ht="15">
      <c r="DE1750" s="494"/>
      <c r="DF1750" s="496" t="s">
        <v>4531</v>
      </c>
      <c r="DG1750" s="496" t="s">
        <v>11</v>
      </c>
      <c r="DH1750" s="496" t="s">
        <v>689</v>
      </c>
      <c r="DI1750" s="496" t="s">
        <v>4532</v>
      </c>
      <c r="DJ1750" s="496" t="s">
        <v>4532</v>
      </c>
      <c r="DK1750" s="496" t="s">
        <v>1151</v>
      </c>
      <c r="DL1750" s="496" t="s">
        <v>1152</v>
      </c>
      <c r="DM1750" s="496" t="s">
        <v>1087</v>
      </c>
      <c r="DN1750" s="497" t="s">
        <v>1153</v>
      </c>
      <c r="DP1750" s="543">
        <v>1</v>
      </c>
    </row>
    <row r="1751" spans="109:120" ht="15">
      <c r="DE1751" s="494"/>
      <c r="DF1751" s="496" t="s">
        <v>4533</v>
      </c>
      <c r="DG1751" s="496" t="s">
        <v>11</v>
      </c>
      <c r="DH1751" s="496" t="s">
        <v>690</v>
      </c>
      <c r="DI1751" s="496" t="s">
        <v>4534</v>
      </c>
      <c r="DJ1751" s="496" t="s">
        <v>4534</v>
      </c>
      <c r="DK1751" s="496" t="s">
        <v>1151</v>
      </c>
      <c r="DL1751" s="496" t="s">
        <v>1446</v>
      </c>
      <c r="DM1751" s="496" t="s">
        <v>1087</v>
      </c>
      <c r="DN1751" s="497" t="s">
        <v>1153</v>
      </c>
      <c r="DP1751" s="543">
        <v>1</v>
      </c>
    </row>
    <row r="1752" spans="109:120" ht="15">
      <c r="DE1752" s="494"/>
      <c r="DF1752" s="496" t="s">
        <v>4535</v>
      </c>
      <c r="DG1752" s="496" t="s">
        <v>11</v>
      </c>
      <c r="DH1752" s="496" t="s">
        <v>690</v>
      </c>
      <c r="DI1752" s="496" t="s">
        <v>4536</v>
      </c>
      <c r="DJ1752" s="496" t="s">
        <v>4536</v>
      </c>
      <c r="DK1752" s="496" t="s">
        <v>1151</v>
      </c>
      <c r="DL1752" s="496" t="s">
        <v>1446</v>
      </c>
      <c r="DM1752" s="496" t="s">
        <v>1087</v>
      </c>
      <c r="DN1752" s="497" t="s">
        <v>1153</v>
      </c>
      <c r="DP1752" s="543">
        <v>1</v>
      </c>
    </row>
    <row r="1753" spans="109:120" ht="25.5">
      <c r="DE1753" s="494"/>
      <c r="DF1753" s="496" t="s">
        <v>4537</v>
      </c>
      <c r="DG1753" s="496" t="s">
        <v>11</v>
      </c>
      <c r="DH1753" s="496" t="s">
        <v>690</v>
      </c>
      <c r="DI1753" s="496" t="s">
        <v>4538</v>
      </c>
      <c r="DJ1753" s="496" t="s">
        <v>4539</v>
      </c>
      <c r="DK1753" s="496" t="s">
        <v>3959</v>
      </c>
      <c r="DL1753" s="496" t="s">
        <v>4540</v>
      </c>
      <c r="DM1753" s="496" t="s">
        <v>3961</v>
      </c>
      <c r="DN1753" s="497" t="s">
        <v>3962</v>
      </c>
      <c r="DP1753" s="543">
        <v>1</v>
      </c>
    </row>
    <row r="1754" spans="109:120" ht="15">
      <c r="DE1754" s="494"/>
      <c r="DF1754" s="496" t="s">
        <v>4541</v>
      </c>
      <c r="DG1754" s="496" t="s">
        <v>11</v>
      </c>
      <c r="DH1754" s="496" t="s">
        <v>690</v>
      </c>
      <c r="DI1754" s="496" t="s">
        <v>141</v>
      </c>
      <c r="DJ1754" s="496" t="s">
        <v>141</v>
      </c>
      <c r="DK1754" s="496" t="s">
        <v>1085</v>
      </c>
      <c r="DL1754" s="496" t="s">
        <v>4542</v>
      </c>
      <c r="DM1754" s="496" t="s">
        <v>1087</v>
      </c>
      <c r="DN1754" s="497" t="s">
        <v>1088</v>
      </c>
      <c r="DP1754" s="543">
        <v>1</v>
      </c>
    </row>
    <row r="1755" spans="109:120" ht="15">
      <c r="DE1755" s="494"/>
      <c r="DF1755" s="496" t="s">
        <v>4543</v>
      </c>
      <c r="DG1755" s="496" t="s">
        <v>11</v>
      </c>
      <c r="DH1755" s="496" t="s">
        <v>690</v>
      </c>
      <c r="DI1755" s="496" t="s">
        <v>46</v>
      </c>
      <c r="DJ1755" s="496" t="s">
        <v>46</v>
      </c>
      <c r="DK1755" s="496" t="s">
        <v>1085</v>
      </c>
      <c r="DL1755" s="496" t="s">
        <v>4542</v>
      </c>
      <c r="DM1755" s="496" t="s">
        <v>1087</v>
      </c>
      <c r="DN1755" s="497" t="s">
        <v>1088</v>
      </c>
      <c r="DP1755" s="543">
        <v>1</v>
      </c>
    </row>
    <row r="1756" spans="109:120" ht="15">
      <c r="DE1756" s="494"/>
      <c r="DF1756" s="496" t="s">
        <v>4544</v>
      </c>
      <c r="DG1756" s="496" t="s">
        <v>11</v>
      </c>
      <c r="DH1756" s="496" t="s">
        <v>690</v>
      </c>
      <c r="DI1756" s="496" t="s">
        <v>3825</v>
      </c>
      <c r="DJ1756" s="496" t="s">
        <v>40</v>
      </c>
      <c r="DK1756" s="496" t="s">
        <v>1085</v>
      </c>
      <c r="DL1756" s="496" t="s">
        <v>4542</v>
      </c>
      <c r="DM1756" s="496" t="s">
        <v>1087</v>
      </c>
      <c r="DN1756" s="497" t="s">
        <v>1088</v>
      </c>
      <c r="DP1756" s="543">
        <v>1</v>
      </c>
    </row>
    <row r="1757" spans="109:120" ht="15">
      <c r="DE1757" s="494"/>
      <c r="DF1757" s="496" t="s">
        <v>4545</v>
      </c>
      <c r="DG1757" s="496" t="s">
        <v>11</v>
      </c>
      <c r="DH1757" s="496" t="s">
        <v>690</v>
      </c>
      <c r="DI1757" s="496" t="s">
        <v>150</v>
      </c>
      <c r="DJ1757" s="496" t="s">
        <v>150</v>
      </c>
      <c r="DK1757" s="496" t="s">
        <v>1085</v>
      </c>
      <c r="DL1757" s="496" t="s">
        <v>4542</v>
      </c>
      <c r="DM1757" s="496" t="s">
        <v>1087</v>
      </c>
      <c r="DN1757" s="497" t="s">
        <v>1088</v>
      </c>
      <c r="DP1757" s="543">
        <v>1</v>
      </c>
    </row>
    <row r="1758" spans="109:120" ht="15">
      <c r="DE1758" s="494"/>
      <c r="DF1758" s="496" t="s">
        <v>4546</v>
      </c>
      <c r="DG1758" s="496" t="s">
        <v>11</v>
      </c>
      <c r="DH1758" s="496" t="s">
        <v>690</v>
      </c>
      <c r="DI1758" s="496" t="s">
        <v>158</v>
      </c>
      <c r="DJ1758" s="496" t="s">
        <v>158</v>
      </c>
      <c r="DK1758" s="496" t="s">
        <v>1085</v>
      </c>
      <c r="DL1758" s="496" t="s">
        <v>4542</v>
      </c>
      <c r="DM1758" s="496" t="s">
        <v>1087</v>
      </c>
      <c r="DN1758" s="497" t="s">
        <v>1088</v>
      </c>
      <c r="DP1758" s="543">
        <v>1</v>
      </c>
    </row>
    <row r="1759" spans="109:120" ht="25.5">
      <c r="DE1759" s="494"/>
      <c r="DF1759" s="496" t="s">
        <v>4547</v>
      </c>
      <c r="DG1759" s="496" t="s">
        <v>11</v>
      </c>
      <c r="DH1759" s="496" t="s">
        <v>690</v>
      </c>
      <c r="DI1759" s="496" t="s">
        <v>169</v>
      </c>
      <c r="DJ1759" s="496" t="s">
        <v>169</v>
      </c>
      <c r="DK1759" s="496" t="s">
        <v>3959</v>
      </c>
      <c r="DL1759" s="496" t="s">
        <v>4540</v>
      </c>
      <c r="DM1759" s="496" t="s">
        <v>3961</v>
      </c>
      <c r="DN1759" s="497" t="s">
        <v>3962</v>
      </c>
      <c r="DP1759" s="543">
        <v>1</v>
      </c>
    </row>
    <row r="1760" spans="109:120" ht="15">
      <c r="DE1760" s="494"/>
      <c r="DF1760" s="496" t="s">
        <v>4548</v>
      </c>
      <c r="DG1760" s="496" t="s">
        <v>11</v>
      </c>
      <c r="DH1760" s="496" t="s">
        <v>690</v>
      </c>
      <c r="DI1760" s="496" t="s">
        <v>4549</v>
      </c>
      <c r="DJ1760" s="496" t="s">
        <v>4550</v>
      </c>
      <c r="DK1760" s="496" t="s">
        <v>1085</v>
      </c>
      <c r="DL1760" s="496" t="s">
        <v>4542</v>
      </c>
      <c r="DM1760" s="496" t="s">
        <v>1087</v>
      </c>
      <c r="DN1760" s="497" t="s">
        <v>1088</v>
      </c>
      <c r="DP1760" s="543">
        <v>1</v>
      </c>
    </row>
    <row r="1761" spans="109:120" ht="15">
      <c r="DE1761" s="494"/>
      <c r="DF1761" s="496" t="s">
        <v>4551</v>
      </c>
      <c r="DG1761" s="496" t="s">
        <v>11</v>
      </c>
      <c r="DH1761" s="496" t="s">
        <v>690</v>
      </c>
      <c r="DI1761" s="496" t="s">
        <v>91</v>
      </c>
      <c r="DJ1761" s="496" t="s">
        <v>91</v>
      </c>
      <c r="DK1761" s="496" t="s">
        <v>1085</v>
      </c>
      <c r="DL1761" s="496" t="s">
        <v>4542</v>
      </c>
      <c r="DM1761" s="496" t="s">
        <v>1087</v>
      </c>
      <c r="DN1761" s="497" t="s">
        <v>1088</v>
      </c>
      <c r="DP1761" s="543">
        <v>1</v>
      </c>
    </row>
    <row r="1762" spans="109:120" ht="15">
      <c r="DE1762" s="494"/>
      <c r="DF1762" s="496" t="s">
        <v>4552</v>
      </c>
      <c r="DG1762" s="496" t="s">
        <v>11</v>
      </c>
      <c r="DH1762" s="496" t="s">
        <v>690</v>
      </c>
      <c r="DI1762" s="496" t="s">
        <v>4553</v>
      </c>
      <c r="DJ1762" s="496" t="s">
        <v>130</v>
      </c>
      <c r="DK1762" s="496" t="s">
        <v>1085</v>
      </c>
      <c r="DL1762" s="496" t="s">
        <v>4542</v>
      </c>
      <c r="DM1762" s="496" t="s">
        <v>1087</v>
      </c>
      <c r="DN1762" s="497" t="s">
        <v>1088</v>
      </c>
      <c r="DP1762" s="543">
        <v>1</v>
      </c>
    </row>
    <row r="1763" spans="109:120" ht="15">
      <c r="DE1763" s="494"/>
      <c r="DF1763" s="496" t="s">
        <v>4554</v>
      </c>
      <c r="DG1763" s="496" t="s">
        <v>11</v>
      </c>
      <c r="DH1763" s="496" t="s">
        <v>690</v>
      </c>
      <c r="DI1763" s="496" t="s">
        <v>4555</v>
      </c>
      <c r="DJ1763" s="496" t="s">
        <v>4555</v>
      </c>
      <c r="DK1763" s="496" t="s">
        <v>1151</v>
      </c>
      <c r="DL1763" s="496" t="s">
        <v>1446</v>
      </c>
      <c r="DM1763" s="496" t="s">
        <v>1087</v>
      </c>
      <c r="DN1763" s="497" t="s">
        <v>1153</v>
      </c>
      <c r="DP1763" s="543">
        <v>1</v>
      </c>
    </row>
    <row r="1764" spans="109:120" ht="15">
      <c r="DE1764" s="494"/>
      <c r="DF1764" s="496" t="s">
        <v>4556</v>
      </c>
      <c r="DG1764" s="496" t="s">
        <v>11</v>
      </c>
      <c r="DH1764" s="496" t="s">
        <v>690</v>
      </c>
      <c r="DI1764" s="496" t="s">
        <v>4557</v>
      </c>
      <c r="DJ1764" s="496" t="s">
        <v>4557</v>
      </c>
      <c r="DK1764" s="496" t="s">
        <v>1151</v>
      </c>
      <c r="DL1764" s="496" t="s">
        <v>1446</v>
      </c>
      <c r="DM1764" s="496" t="s">
        <v>1087</v>
      </c>
      <c r="DN1764" s="497" t="s">
        <v>1153</v>
      </c>
      <c r="DP1764" s="543">
        <v>1</v>
      </c>
    </row>
    <row r="1765" spans="109:120" ht="25.5">
      <c r="DE1765" s="494"/>
      <c r="DF1765" s="496" t="s">
        <v>4558</v>
      </c>
      <c r="DG1765" s="496" t="s">
        <v>11</v>
      </c>
      <c r="DH1765" s="496" t="s">
        <v>690</v>
      </c>
      <c r="DI1765" s="496" t="s">
        <v>4559</v>
      </c>
      <c r="DJ1765" s="496" t="s">
        <v>4559</v>
      </c>
      <c r="DK1765" s="496" t="s">
        <v>3959</v>
      </c>
      <c r="DL1765" s="496" t="s">
        <v>4540</v>
      </c>
      <c r="DM1765" s="496" t="s">
        <v>3961</v>
      </c>
      <c r="DN1765" s="497" t="s">
        <v>3962</v>
      </c>
      <c r="DP1765" s="543">
        <v>1</v>
      </c>
    </row>
    <row r="1766" spans="109:120" ht="15">
      <c r="DE1766" s="494"/>
      <c r="DF1766" s="496" t="s">
        <v>4560</v>
      </c>
      <c r="DG1766" s="496" t="s">
        <v>11</v>
      </c>
      <c r="DH1766" s="496" t="s">
        <v>690</v>
      </c>
      <c r="DI1766" s="496" t="s">
        <v>4561</v>
      </c>
      <c r="DJ1766" s="496" t="s">
        <v>4561</v>
      </c>
      <c r="DK1766" s="496" t="s">
        <v>1151</v>
      </c>
      <c r="DL1766" s="496" t="s">
        <v>1446</v>
      </c>
      <c r="DM1766" s="496" t="s">
        <v>1087</v>
      </c>
      <c r="DN1766" s="497" t="s">
        <v>1153</v>
      </c>
      <c r="DP1766" s="543">
        <v>1</v>
      </c>
    </row>
    <row r="1767" spans="109:120" ht="15">
      <c r="DE1767" s="494"/>
      <c r="DF1767" s="496" t="s">
        <v>4562</v>
      </c>
      <c r="DG1767" s="496" t="s">
        <v>11</v>
      </c>
      <c r="DH1767" s="496" t="s">
        <v>690</v>
      </c>
      <c r="DI1767" s="496" t="s">
        <v>4563</v>
      </c>
      <c r="DJ1767" s="496" t="s">
        <v>4563</v>
      </c>
      <c r="DK1767" s="496" t="s">
        <v>1151</v>
      </c>
      <c r="DL1767" s="496" t="s">
        <v>1446</v>
      </c>
      <c r="DM1767" s="496" t="s">
        <v>1087</v>
      </c>
      <c r="DN1767" s="497" t="s">
        <v>1153</v>
      </c>
      <c r="DP1767" s="543">
        <v>1</v>
      </c>
    </row>
    <row r="1768" spans="109:120" ht="15">
      <c r="DE1768" s="494"/>
      <c r="DF1768" s="496" t="s">
        <v>4564</v>
      </c>
      <c r="DG1768" s="496" t="s">
        <v>11</v>
      </c>
      <c r="DH1768" s="496" t="s">
        <v>690</v>
      </c>
      <c r="DI1768" s="496" t="s">
        <v>4565</v>
      </c>
      <c r="DJ1768" s="496" t="s">
        <v>4565</v>
      </c>
      <c r="DK1768" s="496" t="s">
        <v>1151</v>
      </c>
      <c r="DL1768" s="496" t="s">
        <v>1446</v>
      </c>
      <c r="DM1768" s="496" t="s">
        <v>1087</v>
      </c>
      <c r="DN1768" s="497" t="s">
        <v>1153</v>
      </c>
      <c r="DP1768" s="543">
        <v>1</v>
      </c>
    </row>
    <row r="1769" spans="109:120" ht="25.5">
      <c r="DE1769" s="494"/>
      <c r="DF1769" s="496" t="s">
        <v>4566</v>
      </c>
      <c r="DG1769" s="496" t="s">
        <v>11</v>
      </c>
      <c r="DH1769" s="496" t="s">
        <v>690</v>
      </c>
      <c r="DI1769" s="496" t="s">
        <v>4567</v>
      </c>
      <c r="DJ1769" s="496" t="s">
        <v>125</v>
      </c>
      <c r="DK1769" s="496" t="s">
        <v>3959</v>
      </c>
      <c r="DL1769" s="496" t="s">
        <v>4540</v>
      </c>
      <c r="DM1769" s="496" t="s">
        <v>3961</v>
      </c>
      <c r="DN1769" s="497" t="s">
        <v>3962</v>
      </c>
      <c r="DP1769" s="543">
        <v>1</v>
      </c>
    </row>
    <row r="1770" spans="109:120" ht="25.5">
      <c r="DE1770" s="494"/>
      <c r="DF1770" s="496" t="s">
        <v>4568</v>
      </c>
      <c r="DG1770" s="496" t="s">
        <v>11</v>
      </c>
      <c r="DH1770" s="496" t="s">
        <v>690</v>
      </c>
      <c r="DI1770" s="496" t="s">
        <v>4569</v>
      </c>
      <c r="DJ1770" s="496" t="s">
        <v>71</v>
      </c>
      <c r="DK1770" s="496" t="s">
        <v>3959</v>
      </c>
      <c r="DL1770" s="496" t="s">
        <v>4540</v>
      </c>
      <c r="DM1770" s="496" t="s">
        <v>3961</v>
      </c>
      <c r="DN1770" s="497" t="s">
        <v>3962</v>
      </c>
      <c r="DP1770" s="543">
        <v>1</v>
      </c>
    </row>
    <row r="1771" spans="109:120" ht="15">
      <c r="DE1771" s="494"/>
      <c r="DF1771" s="496" t="s">
        <v>4570</v>
      </c>
      <c r="DG1771" s="496" t="s">
        <v>11</v>
      </c>
      <c r="DH1771" s="496" t="s">
        <v>690</v>
      </c>
      <c r="DI1771" s="496" t="s">
        <v>4571</v>
      </c>
      <c r="DJ1771" s="496" t="s">
        <v>4572</v>
      </c>
      <c r="DK1771" s="496" t="s">
        <v>1085</v>
      </c>
      <c r="DL1771" s="496" t="s">
        <v>4542</v>
      </c>
      <c r="DM1771" s="496" t="s">
        <v>1087</v>
      </c>
      <c r="DN1771" s="497" t="s">
        <v>1088</v>
      </c>
      <c r="DP1771" s="543">
        <v>1</v>
      </c>
    </row>
    <row r="1772" spans="109:120" ht="25.5">
      <c r="DE1772" s="494"/>
      <c r="DF1772" s="496" t="s">
        <v>4573</v>
      </c>
      <c r="DG1772" s="496" t="s">
        <v>11</v>
      </c>
      <c r="DH1772" s="496" t="s">
        <v>690</v>
      </c>
      <c r="DI1772" s="496" t="s">
        <v>4574</v>
      </c>
      <c r="DJ1772" s="496" t="s">
        <v>148</v>
      </c>
      <c r="DK1772" s="496" t="s">
        <v>3959</v>
      </c>
      <c r="DL1772" s="496" t="s">
        <v>4540</v>
      </c>
      <c r="DM1772" s="496" t="s">
        <v>3961</v>
      </c>
      <c r="DN1772" s="497" t="s">
        <v>3962</v>
      </c>
      <c r="DP1772" s="543">
        <v>1</v>
      </c>
    </row>
    <row r="1773" spans="109:120" ht="15">
      <c r="DE1773" s="494"/>
      <c r="DF1773" s="496" t="s">
        <v>4575</v>
      </c>
      <c r="DG1773" s="496" t="s">
        <v>11</v>
      </c>
      <c r="DH1773" s="496" t="s">
        <v>690</v>
      </c>
      <c r="DI1773" s="496" t="s">
        <v>4576</v>
      </c>
      <c r="DJ1773" s="496" t="s">
        <v>4577</v>
      </c>
      <c r="DK1773" s="496" t="s">
        <v>1085</v>
      </c>
      <c r="DL1773" s="496" t="s">
        <v>4542</v>
      </c>
      <c r="DM1773" s="496" t="s">
        <v>1087</v>
      </c>
      <c r="DN1773" s="497" t="s">
        <v>1088</v>
      </c>
      <c r="DP1773" s="543">
        <v>1</v>
      </c>
    </row>
    <row r="1774" spans="109:120" ht="15">
      <c r="DE1774" s="494"/>
      <c r="DF1774" s="496" t="s">
        <v>4578</v>
      </c>
      <c r="DG1774" s="496" t="s">
        <v>11</v>
      </c>
      <c r="DH1774" s="496" t="s">
        <v>690</v>
      </c>
      <c r="DI1774" s="496" t="s">
        <v>4579</v>
      </c>
      <c r="DJ1774" s="496" t="s">
        <v>79</v>
      </c>
      <c r="DK1774" s="496" t="s">
        <v>1085</v>
      </c>
      <c r="DL1774" s="496" t="s">
        <v>4542</v>
      </c>
      <c r="DM1774" s="496" t="s">
        <v>1087</v>
      </c>
      <c r="DN1774" s="497" t="s">
        <v>1088</v>
      </c>
      <c r="DP1774" s="543">
        <v>1</v>
      </c>
    </row>
    <row r="1775" spans="109:120" ht="15">
      <c r="DE1775" s="494"/>
      <c r="DF1775" s="496" t="s">
        <v>4580</v>
      </c>
      <c r="DG1775" s="496" t="s">
        <v>11</v>
      </c>
      <c r="DH1775" s="496" t="s">
        <v>690</v>
      </c>
      <c r="DI1775" s="496" t="s">
        <v>4581</v>
      </c>
      <c r="DJ1775" s="496" t="s">
        <v>4582</v>
      </c>
      <c r="DK1775" s="496" t="s">
        <v>1085</v>
      </c>
      <c r="DL1775" s="496" t="s">
        <v>4542</v>
      </c>
      <c r="DM1775" s="496" t="s">
        <v>1087</v>
      </c>
      <c r="DN1775" s="497" t="s">
        <v>1088</v>
      </c>
      <c r="DP1775" s="543">
        <v>1</v>
      </c>
    </row>
    <row r="1776" spans="109:120" ht="15">
      <c r="DE1776" s="494"/>
      <c r="DF1776" s="496" t="s">
        <v>4583</v>
      </c>
      <c r="DG1776" s="496" t="s">
        <v>11</v>
      </c>
      <c r="DH1776" s="496" t="s">
        <v>690</v>
      </c>
      <c r="DI1776" s="496" t="s">
        <v>4584</v>
      </c>
      <c r="DJ1776" s="496" t="s">
        <v>4585</v>
      </c>
      <c r="DK1776" s="496" t="s">
        <v>1085</v>
      </c>
      <c r="DL1776" s="496" t="s">
        <v>4542</v>
      </c>
      <c r="DM1776" s="496" t="s">
        <v>1087</v>
      </c>
      <c r="DN1776" s="497" t="s">
        <v>1088</v>
      </c>
      <c r="DP1776" s="543">
        <v>1</v>
      </c>
    </row>
    <row r="1777" spans="109:120" ht="25.5">
      <c r="DE1777" s="494"/>
      <c r="DF1777" s="496" t="s">
        <v>4586</v>
      </c>
      <c r="DG1777" s="496" t="s">
        <v>11</v>
      </c>
      <c r="DH1777" s="496" t="s">
        <v>690</v>
      </c>
      <c r="DI1777" s="496" t="s">
        <v>4587</v>
      </c>
      <c r="DJ1777" s="496" t="s">
        <v>85</v>
      </c>
      <c r="DK1777" s="496" t="s">
        <v>3959</v>
      </c>
      <c r="DL1777" s="496" t="s">
        <v>4540</v>
      </c>
      <c r="DM1777" s="496" t="s">
        <v>3961</v>
      </c>
      <c r="DN1777" s="497" t="s">
        <v>3962</v>
      </c>
      <c r="DP1777" s="543">
        <v>1</v>
      </c>
    </row>
    <row r="1778" spans="109:120" ht="15">
      <c r="DE1778" s="494"/>
      <c r="DF1778" s="496" t="s">
        <v>4588</v>
      </c>
      <c r="DG1778" s="496" t="s">
        <v>11</v>
      </c>
      <c r="DH1778" s="496" t="s">
        <v>690</v>
      </c>
      <c r="DI1778" s="496" t="s">
        <v>3866</v>
      </c>
      <c r="DJ1778" s="496" t="s">
        <v>59</v>
      </c>
      <c r="DK1778" s="496" t="s">
        <v>4589</v>
      </c>
      <c r="DL1778" s="496" t="s">
        <v>4590</v>
      </c>
      <c r="DM1778" s="496" t="s">
        <v>1087</v>
      </c>
      <c r="DN1778" s="497" t="s">
        <v>1088</v>
      </c>
      <c r="DP1778" s="543">
        <v>1</v>
      </c>
    </row>
    <row r="1779" spans="109:120" ht="25.5">
      <c r="DE1779" s="494"/>
      <c r="DF1779" s="496" t="s">
        <v>4591</v>
      </c>
      <c r="DG1779" s="496" t="s">
        <v>11</v>
      </c>
      <c r="DH1779" s="496" t="s">
        <v>690</v>
      </c>
      <c r="DI1779" s="496" t="s">
        <v>4592</v>
      </c>
      <c r="DJ1779" s="496" t="s">
        <v>111</v>
      </c>
      <c r="DK1779" s="496" t="s">
        <v>3959</v>
      </c>
      <c r="DL1779" s="496" t="s">
        <v>4540</v>
      </c>
      <c r="DM1779" s="496" t="s">
        <v>3961</v>
      </c>
      <c r="DN1779" s="497" t="s">
        <v>3962</v>
      </c>
      <c r="DP1779" s="543">
        <v>1</v>
      </c>
    </row>
    <row r="1780" spans="109:120" ht="25.5">
      <c r="DE1780" s="494"/>
      <c r="DF1780" s="496" t="s">
        <v>4593</v>
      </c>
      <c r="DG1780" s="496" t="s">
        <v>11</v>
      </c>
      <c r="DH1780" s="496" t="s">
        <v>690</v>
      </c>
      <c r="DI1780" s="496" t="s">
        <v>4594</v>
      </c>
      <c r="DJ1780" s="496" t="s">
        <v>4594</v>
      </c>
      <c r="DK1780" s="496" t="s">
        <v>3959</v>
      </c>
      <c r="DL1780" s="496" t="s">
        <v>4540</v>
      </c>
      <c r="DM1780" s="496" t="s">
        <v>3961</v>
      </c>
      <c r="DN1780" s="497" t="s">
        <v>3962</v>
      </c>
      <c r="DP1780" s="543">
        <v>1</v>
      </c>
    </row>
    <row r="1781" spans="109:120" ht="15">
      <c r="DE1781" s="494"/>
      <c r="DF1781" s="496" t="s">
        <v>4595</v>
      </c>
      <c r="DG1781" s="496" t="s">
        <v>11</v>
      </c>
      <c r="DH1781" s="496" t="s">
        <v>690</v>
      </c>
      <c r="DI1781" s="496" t="s">
        <v>4596</v>
      </c>
      <c r="DJ1781" s="496" t="s">
        <v>4597</v>
      </c>
      <c r="DK1781" s="496" t="s">
        <v>1085</v>
      </c>
      <c r="DL1781" s="496" t="s">
        <v>4542</v>
      </c>
      <c r="DM1781" s="496" t="s">
        <v>1087</v>
      </c>
      <c r="DN1781" s="497" t="s">
        <v>1088</v>
      </c>
      <c r="DP1781" s="543">
        <v>1</v>
      </c>
    </row>
    <row r="1782" spans="109:120" ht="25.5">
      <c r="DE1782" s="494"/>
      <c r="DF1782" s="496" t="s">
        <v>4598</v>
      </c>
      <c r="DG1782" s="496" t="s">
        <v>11</v>
      </c>
      <c r="DH1782" s="496" t="s">
        <v>690</v>
      </c>
      <c r="DI1782" s="496" t="s">
        <v>4599</v>
      </c>
      <c r="DJ1782" s="496" t="s">
        <v>4599</v>
      </c>
      <c r="DK1782" s="496" t="s">
        <v>3959</v>
      </c>
      <c r="DL1782" s="496" t="s">
        <v>4540</v>
      </c>
      <c r="DM1782" s="496" t="s">
        <v>3961</v>
      </c>
      <c r="DN1782" s="497" t="s">
        <v>3962</v>
      </c>
      <c r="DP1782" s="543">
        <v>1</v>
      </c>
    </row>
    <row r="1783" spans="109:120" ht="25.5">
      <c r="DE1783" s="494"/>
      <c r="DF1783" s="496" t="s">
        <v>4600</v>
      </c>
      <c r="DG1783" s="496" t="s">
        <v>11</v>
      </c>
      <c r="DH1783" s="496" t="s">
        <v>690</v>
      </c>
      <c r="DI1783" s="496" t="s">
        <v>4601</v>
      </c>
      <c r="DJ1783" s="496" t="s">
        <v>4602</v>
      </c>
      <c r="DK1783" s="496" t="s">
        <v>3959</v>
      </c>
      <c r="DL1783" s="496" t="s">
        <v>4540</v>
      </c>
      <c r="DM1783" s="496" t="s">
        <v>3961</v>
      </c>
      <c r="DN1783" s="497" t="s">
        <v>3962</v>
      </c>
      <c r="DP1783" s="543">
        <v>1</v>
      </c>
    </row>
    <row r="1784" spans="109:120" ht="15">
      <c r="DE1784" s="494"/>
      <c r="DF1784" s="496" t="s">
        <v>4603</v>
      </c>
      <c r="DG1784" s="496" t="s">
        <v>11</v>
      </c>
      <c r="DH1784" s="496" t="s">
        <v>690</v>
      </c>
      <c r="DI1784" s="496" t="s">
        <v>147</v>
      </c>
      <c r="DJ1784" s="496" t="s">
        <v>147</v>
      </c>
      <c r="DK1784" s="496" t="s">
        <v>1085</v>
      </c>
      <c r="DL1784" s="496" t="s">
        <v>4542</v>
      </c>
      <c r="DM1784" s="496" t="s">
        <v>1087</v>
      </c>
      <c r="DN1784" s="497" t="s">
        <v>1088</v>
      </c>
      <c r="DP1784" s="543">
        <v>1</v>
      </c>
    </row>
    <row r="1785" spans="109:120" ht="15">
      <c r="DE1785" s="494"/>
      <c r="DF1785" s="496" t="s">
        <v>4604</v>
      </c>
      <c r="DG1785" s="496" t="s">
        <v>11</v>
      </c>
      <c r="DH1785" s="496" t="s">
        <v>690</v>
      </c>
      <c r="DI1785" s="496" t="s">
        <v>208</v>
      </c>
      <c r="DJ1785" s="496" t="s">
        <v>208</v>
      </c>
      <c r="DK1785" s="496" t="s">
        <v>1085</v>
      </c>
      <c r="DL1785" s="496" t="s">
        <v>4542</v>
      </c>
      <c r="DM1785" s="496" t="s">
        <v>1087</v>
      </c>
      <c r="DN1785" s="497" t="s">
        <v>1088</v>
      </c>
      <c r="DP1785" s="543">
        <v>1</v>
      </c>
    </row>
    <row r="1786" spans="109:120" ht="15">
      <c r="DE1786" s="494"/>
      <c r="DF1786" s="496" t="s">
        <v>4605</v>
      </c>
      <c r="DG1786" s="496" t="s">
        <v>11</v>
      </c>
      <c r="DH1786" s="496" t="s">
        <v>690</v>
      </c>
      <c r="DI1786" s="496" t="s">
        <v>181</v>
      </c>
      <c r="DJ1786" s="496" t="s">
        <v>181</v>
      </c>
      <c r="DK1786" s="496" t="s">
        <v>1085</v>
      </c>
      <c r="DL1786" s="496" t="s">
        <v>4542</v>
      </c>
      <c r="DM1786" s="496" t="s">
        <v>1087</v>
      </c>
      <c r="DN1786" s="497" t="s">
        <v>1088</v>
      </c>
      <c r="DP1786" s="543">
        <v>1</v>
      </c>
    </row>
    <row r="1787" spans="109:120" ht="15">
      <c r="DE1787" s="494"/>
      <c r="DF1787" s="496" t="s">
        <v>4606</v>
      </c>
      <c r="DG1787" s="496" t="s">
        <v>11</v>
      </c>
      <c r="DH1787" s="496" t="s">
        <v>690</v>
      </c>
      <c r="DI1787" s="496" t="s">
        <v>4607</v>
      </c>
      <c r="DJ1787" s="496" t="s">
        <v>4607</v>
      </c>
      <c r="DK1787" s="496" t="s">
        <v>1085</v>
      </c>
      <c r="DL1787" s="496" t="s">
        <v>4542</v>
      </c>
      <c r="DM1787" s="496" t="s">
        <v>1087</v>
      </c>
      <c r="DN1787" s="497" t="s">
        <v>1088</v>
      </c>
      <c r="DP1787" s="543">
        <v>1</v>
      </c>
    </row>
    <row r="1788" spans="109:120" ht="15">
      <c r="DE1788" s="494"/>
      <c r="DF1788" s="496" t="s">
        <v>4608</v>
      </c>
      <c r="DG1788" s="496" t="s">
        <v>11</v>
      </c>
      <c r="DH1788" s="496" t="s">
        <v>690</v>
      </c>
      <c r="DI1788" s="496" t="s">
        <v>124</v>
      </c>
      <c r="DJ1788" s="496" t="s">
        <v>124</v>
      </c>
      <c r="DK1788" s="496" t="s">
        <v>1085</v>
      </c>
      <c r="DL1788" s="496" t="s">
        <v>4542</v>
      </c>
      <c r="DM1788" s="496" t="s">
        <v>1087</v>
      </c>
      <c r="DN1788" s="497" t="s">
        <v>1088</v>
      </c>
      <c r="DP1788" s="543">
        <v>1</v>
      </c>
    </row>
    <row r="1789" spans="109:120" ht="15">
      <c r="DE1789" s="494"/>
      <c r="DF1789" s="496" t="s">
        <v>4609</v>
      </c>
      <c r="DG1789" s="496" t="s">
        <v>11</v>
      </c>
      <c r="DH1789" s="496" t="s">
        <v>690</v>
      </c>
      <c r="DI1789" s="496" t="s">
        <v>140</v>
      </c>
      <c r="DJ1789" s="496" t="s">
        <v>140</v>
      </c>
      <c r="DK1789" s="496" t="s">
        <v>1085</v>
      </c>
      <c r="DL1789" s="496" t="s">
        <v>4542</v>
      </c>
      <c r="DM1789" s="496" t="s">
        <v>1087</v>
      </c>
      <c r="DN1789" s="497" t="s">
        <v>1088</v>
      </c>
      <c r="DP1789" s="543">
        <v>1</v>
      </c>
    </row>
    <row r="1790" spans="109:120" ht="15">
      <c r="DE1790" s="494"/>
      <c r="DF1790" s="496" t="s">
        <v>4610</v>
      </c>
      <c r="DG1790" s="496" t="s">
        <v>11</v>
      </c>
      <c r="DH1790" s="496" t="s">
        <v>690</v>
      </c>
      <c r="DI1790" s="496" t="s">
        <v>4611</v>
      </c>
      <c r="DJ1790" s="496" t="s">
        <v>4611</v>
      </c>
      <c r="DK1790" s="496" t="s">
        <v>1085</v>
      </c>
      <c r="DL1790" s="496" t="s">
        <v>4542</v>
      </c>
      <c r="DM1790" s="496" t="s">
        <v>1087</v>
      </c>
      <c r="DN1790" s="497" t="s">
        <v>1088</v>
      </c>
      <c r="DP1790" s="543">
        <v>1</v>
      </c>
    </row>
    <row r="1791" spans="109:120" ht="15">
      <c r="DE1791" s="494"/>
      <c r="DF1791" s="496" t="s">
        <v>4612</v>
      </c>
      <c r="DG1791" s="496" t="s">
        <v>11</v>
      </c>
      <c r="DH1791" s="496" t="s">
        <v>690</v>
      </c>
      <c r="DI1791" s="496" t="s">
        <v>137</v>
      </c>
      <c r="DJ1791" s="496" t="s">
        <v>137</v>
      </c>
      <c r="DK1791" s="496" t="s">
        <v>1085</v>
      </c>
      <c r="DL1791" s="496" t="s">
        <v>4542</v>
      </c>
      <c r="DM1791" s="496" t="s">
        <v>1087</v>
      </c>
      <c r="DN1791" s="497" t="s">
        <v>1088</v>
      </c>
      <c r="DP1791" s="543">
        <v>1</v>
      </c>
    </row>
    <row r="1792" spans="109:120" ht="15">
      <c r="DE1792" s="494"/>
      <c r="DF1792" s="496" t="s">
        <v>4613</v>
      </c>
      <c r="DG1792" s="496" t="s">
        <v>11</v>
      </c>
      <c r="DH1792" s="496" t="s">
        <v>690</v>
      </c>
      <c r="DI1792" s="496" t="s">
        <v>175</v>
      </c>
      <c r="DJ1792" s="496" t="s">
        <v>175</v>
      </c>
      <c r="DK1792" s="496" t="s">
        <v>1085</v>
      </c>
      <c r="DL1792" s="496" t="s">
        <v>4542</v>
      </c>
      <c r="DM1792" s="496" t="s">
        <v>1087</v>
      </c>
      <c r="DN1792" s="497" t="s">
        <v>1088</v>
      </c>
      <c r="DP1792" s="543">
        <v>1</v>
      </c>
    </row>
    <row r="1793" spans="109:120" ht="15">
      <c r="DE1793" s="494"/>
      <c r="DF1793" s="496" t="s">
        <v>4614</v>
      </c>
      <c r="DG1793" s="496" t="s">
        <v>11</v>
      </c>
      <c r="DH1793" s="496" t="s">
        <v>690</v>
      </c>
      <c r="DI1793" s="496" t="s">
        <v>4615</v>
      </c>
      <c r="DJ1793" s="496" t="s">
        <v>4616</v>
      </c>
      <c r="DK1793" s="496" t="s">
        <v>1085</v>
      </c>
      <c r="DL1793" s="496" t="s">
        <v>4542</v>
      </c>
      <c r="DM1793" s="496" t="s">
        <v>1087</v>
      </c>
      <c r="DN1793" s="497" t="s">
        <v>1088</v>
      </c>
      <c r="DP1793" s="543">
        <v>1</v>
      </c>
    </row>
    <row r="1794" spans="109:120" ht="25.5">
      <c r="DE1794" s="494"/>
      <c r="DF1794" s="496" t="s">
        <v>4617</v>
      </c>
      <c r="DG1794" s="496" t="s">
        <v>11</v>
      </c>
      <c r="DH1794" s="496" t="s">
        <v>690</v>
      </c>
      <c r="DI1794" s="496" t="s">
        <v>4618</v>
      </c>
      <c r="DJ1794" s="496" t="s">
        <v>4619</v>
      </c>
      <c r="DK1794" s="496" t="s">
        <v>3959</v>
      </c>
      <c r="DL1794" s="496" t="s">
        <v>4540</v>
      </c>
      <c r="DM1794" s="496" t="s">
        <v>3961</v>
      </c>
      <c r="DN1794" s="497" t="s">
        <v>3962</v>
      </c>
      <c r="DP1794" s="543">
        <v>1</v>
      </c>
    </row>
    <row r="1795" spans="109:120" ht="15">
      <c r="DE1795" s="494"/>
      <c r="DF1795" s="496" t="s">
        <v>4620</v>
      </c>
      <c r="DG1795" s="496" t="s">
        <v>11</v>
      </c>
      <c r="DH1795" s="496" t="s">
        <v>690</v>
      </c>
      <c r="DI1795" s="496" t="s">
        <v>4621</v>
      </c>
      <c r="DJ1795" s="496" t="s">
        <v>4621</v>
      </c>
      <c r="DK1795" s="496" t="s">
        <v>1151</v>
      </c>
      <c r="DL1795" s="496" t="s">
        <v>1446</v>
      </c>
      <c r="DM1795" s="496" t="s">
        <v>1087</v>
      </c>
      <c r="DN1795" s="497" t="s">
        <v>1153</v>
      </c>
      <c r="DP1795" s="543">
        <v>1</v>
      </c>
    </row>
    <row r="1796" spans="109:120" ht="25.5">
      <c r="DE1796" s="494"/>
      <c r="DF1796" s="496" t="s">
        <v>4622</v>
      </c>
      <c r="DG1796" s="496" t="s">
        <v>11</v>
      </c>
      <c r="DH1796" s="496" t="s">
        <v>690</v>
      </c>
      <c r="DI1796" s="496" t="s">
        <v>4623</v>
      </c>
      <c r="DJ1796" s="496" t="s">
        <v>4623</v>
      </c>
      <c r="DK1796" s="496" t="s">
        <v>3959</v>
      </c>
      <c r="DL1796" s="496" t="s">
        <v>4540</v>
      </c>
      <c r="DM1796" s="496" t="s">
        <v>3961</v>
      </c>
      <c r="DN1796" s="497" t="s">
        <v>3962</v>
      </c>
      <c r="DP1796" s="543">
        <v>1</v>
      </c>
    </row>
    <row r="1797" spans="109:120" ht="25.5">
      <c r="DE1797" s="494"/>
      <c r="DF1797" s="496" t="s">
        <v>4624</v>
      </c>
      <c r="DG1797" s="496" t="s">
        <v>11</v>
      </c>
      <c r="DH1797" s="496" t="s">
        <v>690</v>
      </c>
      <c r="DI1797" s="496" t="s">
        <v>4625</v>
      </c>
      <c r="DJ1797" s="496" t="s">
        <v>4626</v>
      </c>
      <c r="DK1797" s="496" t="s">
        <v>3959</v>
      </c>
      <c r="DL1797" s="496" t="s">
        <v>4540</v>
      </c>
      <c r="DM1797" s="496" t="s">
        <v>3961</v>
      </c>
      <c r="DN1797" s="497" t="s">
        <v>3962</v>
      </c>
      <c r="DP1797" s="543">
        <v>1</v>
      </c>
    </row>
    <row r="1798" spans="109:120" ht="15">
      <c r="DE1798" s="494"/>
      <c r="DF1798" s="496" t="s">
        <v>4627</v>
      </c>
      <c r="DG1798" s="496" t="s">
        <v>11</v>
      </c>
      <c r="DH1798" s="496" t="s">
        <v>690</v>
      </c>
      <c r="DI1798" s="496" t="s">
        <v>3842</v>
      </c>
      <c r="DJ1798" s="496" t="s">
        <v>3842</v>
      </c>
      <c r="DK1798" s="496" t="s">
        <v>1151</v>
      </c>
      <c r="DL1798" s="496" t="s">
        <v>1446</v>
      </c>
      <c r="DM1798" s="496" t="s">
        <v>1087</v>
      </c>
      <c r="DN1798" s="497" t="s">
        <v>1153</v>
      </c>
      <c r="DP1798" s="543">
        <v>1</v>
      </c>
    </row>
    <row r="1799" spans="109:120" ht="15">
      <c r="DE1799" s="494"/>
      <c r="DF1799" s="496" t="s">
        <v>4628</v>
      </c>
      <c r="DG1799" s="496" t="s">
        <v>11</v>
      </c>
      <c r="DH1799" s="496" t="s">
        <v>690</v>
      </c>
      <c r="DI1799" s="496" t="s">
        <v>4629</v>
      </c>
      <c r="DJ1799" s="496" t="s">
        <v>4629</v>
      </c>
      <c r="DK1799" s="496" t="s">
        <v>1151</v>
      </c>
      <c r="DL1799" s="496" t="s">
        <v>1446</v>
      </c>
      <c r="DM1799" s="496" t="s">
        <v>1087</v>
      </c>
      <c r="DN1799" s="497" t="s">
        <v>1153</v>
      </c>
      <c r="DP1799" s="543">
        <v>1</v>
      </c>
    </row>
    <row r="1800" spans="109:120" ht="15">
      <c r="DE1800" s="494"/>
      <c r="DF1800" s="496" t="s">
        <v>4630</v>
      </c>
      <c r="DG1800" s="496" t="s">
        <v>11</v>
      </c>
      <c r="DH1800" s="496" t="s">
        <v>690</v>
      </c>
      <c r="DI1800" s="496" t="s">
        <v>3908</v>
      </c>
      <c r="DJ1800" s="496" t="s">
        <v>3908</v>
      </c>
      <c r="DK1800" s="496" t="s">
        <v>1151</v>
      </c>
      <c r="DL1800" s="496" t="s">
        <v>1446</v>
      </c>
      <c r="DM1800" s="496" t="s">
        <v>1087</v>
      </c>
      <c r="DN1800" s="497" t="s">
        <v>1153</v>
      </c>
      <c r="DP1800" s="543">
        <v>1</v>
      </c>
    </row>
    <row r="1801" spans="109:120" ht="25.5">
      <c r="DE1801" s="494"/>
      <c r="DF1801" s="496" t="s">
        <v>4631</v>
      </c>
      <c r="DG1801" s="496" t="s">
        <v>11</v>
      </c>
      <c r="DH1801" s="496" t="s">
        <v>1511</v>
      </c>
      <c r="DI1801" s="496" t="s">
        <v>4632</v>
      </c>
      <c r="DJ1801" s="496" t="s">
        <v>4632</v>
      </c>
      <c r="DK1801" s="496" t="s">
        <v>3959</v>
      </c>
      <c r="DL1801" s="496" t="s">
        <v>4633</v>
      </c>
      <c r="DM1801" s="496" t="s">
        <v>3961</v>
      </c>
      <c r="DN1801" s="497" t="s">
        <v>3962</v>
      </c>
      <c r="DP1801" s="543">
        <v>1</v>
      </c>
    </row>
    <row r="1802" spans="109:120" ht="25.5">
      <c r="DE1802" s="494"/>
      <c r="DF1802" s="496" t="s">
        <v>4634</v>
      </c>
      <c r="DG1802" s="496" t="s">
        <v>11</v>
      </c>
      <c r="DH1802" s="496" t="s">
        <v>1511</v>
      </c>
      <c r="DI1802" s="496" t="s">
        <v>4635</v>
      </c>
      <c r="DJ1802" s="496" t="s">
        <v>4635</v>
      </c>
      <c r="DK1802" s="496" t="s">
        <v>3959</v>
      </c>
      <c r="DL1802" s="496" t="s">
        <v>4633</v>
      </c>
      <c r="DM1802" s="496" t="s">
        <v>3961</v>
      </c>
      <c r="DN1802" s="497" t="s">
        <v>3962</v>
      </c>
      <c r="DP1802" s="543">
        <v>1</v>
      </c>
    </row>
    <row r="1803" spans="109:120" ht="25.5">
      <c r="DE1803" s="494"/>
      <c r="DF1803" s="496" t="s">
        <v>4636</v>
      </c>
      <c r="DG1803" s="496" t="s">
        <v>11</v>
      </c>
      <c r="DH1803" s="496" t="s">
        <v>1511</v>
      </c>
      <c r="DI1803" s="496" t="s">
        <v>3977</v>
      </c>
      <c r="DJ1803" s="496" t="s">
        <v>3977</v>
      </c>
      <c r="DK1803" s="496" t="s">
        <v>3959</v>
      </c>
      <c r="DL1803" s="496" t="s">
        <v>4633</v>
      </c>
      <c r="DM1803" s="496" t="s">
        <v>3961</v>
      </c>
      <c r="DN1803" s="497" t="s">
        <v>3962</v>
      </c>
      <c r="DP1803" s="543">
        <v>1</v>
      </c>
    </row>
    <row r="1804" spans="109:120" ht="15">
      <c r="DE1804" s="494"/>
      <c r="DF1804" s="496" t="s">
        <v>4637</v>
      </c>
      <c r="DG1804" s="496" t="s">
        <v>11</v>
      </c>
      <c r="DH1804" s="496" t="s">
        <v>1511</v>
      </c>
      <c r="DI1804" s="496" t="s">
        <v>936</v>
      </c>
      <c r="DJ1804" s="496" t="s">
        <v>936</v>
      </c>
      <c r="DK1804" s="496" t="s">
        <v>1085</v>
      </c>
      <c r="DL1804" s="496" t="s">
        <v>1914</v>
      </c>
      <c r="DM1804" s="496" t="s">
        <v>1087</v>
      </c>
      <c r="DN1804" s="497" t="s">
        <v>1088</v>
      </c>
      <c r="DP1804" s="543">
        <v>1</v>
      </c>
    </row>
    <row r="1805" spans="109:120" ht="15">
      <c r="DE1805" s="494"/>
      <c r="DF1805" s="496" t="s">
        <v>4638</v>
      </c>
      <c r="DG1805" s="496" t="s">
        <v>11</v>
      </c>
      <c r="DH1805" s="496" t="s">
        <v>1511</v>
      </c>
      <c r="DI1805" s="496" t="s">
        <v>4639</v>
      </c>
      <c r="DJ1805" s="496" t="s">
        <v>881</v>
      </c>
      <c r="DK1805" s="496" t="s">
        <v>1085</v>
      </c>
      <c r="DL1805" s="496" t="s">
        <v>1914</v>
      </c>
      <c r="DM1805" s="496" t="s">
        <v>1087</v>
      </c>
      <c r="DN1805" s="497" t="s">
        <v>1088</v>
      </c>
      <c r="DP1805" s="543">
        <v>1</v>
      </c>
    </row>
    <row r="1806" spans="109:120" ht="15">
      <c r="DE1806" s="494"/>
      <c r="DF1806" s="496" t="s">
        <v>4640</v>
      </c>
      <c r="DG1806" s="496" t="s">
        <v>11</v>
      </c>
      <c r="DH1806" s="496" t="s">
        <v>1511</v>
      </c>
      <c r="DI1806" s="496" t="s">
        <v>1512</v>
      </c>
      <c r="DJ1806" s="496" t="s">
        <v>1512</v>
      </c>
      <c r="DK1806" s="496" t="s">
        <v>1085</v>
      </c>
      <c r="DL1806" s="496" t="s">
        <v>1914</v>
      </c>
      <c r="DM1806" s="496" t="s">
        <v>1087</v>
      </c>
      <c r="DN1806" s="497" t="s">
        <v>1088</v>
      </c>
      <c r="DP1806" s="543">
        <v>1</v>
      </c>
    </row>
    <row r="1807" spans="109:120" ht="15">
      <c r="DE1807" s="494"/>
      <c r="DF1807" s="496" t="s">
        <v>4641</v>
      </c>
      <c r="DG1807" s="496" t="s">
        <v>11</v>
      </c>
      <c r="DH1807" s="496" t="s">
        <v>1511</v>
      </c>
      <c r="DI1807" s="496" t="s">
        <v>889</v>
      </c>
      <c r="DJ1807" s="496" t="s">
        <v>889</v>
      </c>
      <c r="DK1807" s="496" t="s">
        <v>1085</v>
      </c>
      <c r="DL1807" s="496" t="s">
        <v>1914</v>
      </c>
      <c r="DM1807" s="496" t="s">
        <v>1087</v>
      </c>
      <c r="DN1807" s="497" t="s">
        <v>1088</v>
      </c>
      <c r="DP1807" s="543">
        <v>1</v>
      </c>
    </row>
    <row r="1808" spans="109:120" ht="15">
      <c r="DE1808" s="494"/>
      <c r="DF1808" s="496" t="s">
        <v>4642</v>
      </c>
      <c r="DG1808" s="496" t="s">
        <v>11</v>
      </c>
      <c r="DH1808" s="496" t="s">
        <v>1511</v>
      </c>
      <c r="DI1808" s="496" t="s">
        <v>1517</v>
      </c>
      <c r="DJ1808" s="496" t="s">
        <v>1517</v>
      </c>
      <c r="DK1808" s="496" t="s">
        <v>1151</v>
      </c>
      <c r="DL1808" s="496" t="s">
        <v>1518</v>
      </c>
      <c r="DM1808" s="496" t="s">
        <v>1087</v>
      </c>
      <c r="DN1808" s="497" t="s">
        <v>1153</v>
      </c>
      <c r="DP1808" s="543">
        <v>1</v>
      </c>
    </row>
    <row r="1809" spans="109:120" ht="15">
      <c r="DE1809" s="494"/>
      <c r="DF1809" s="496" t="s">
        <v>4643</v>
      </c>
      <c r="DG1809" s="496" t="s">
        <v>11</v>
      </c>
      <c r="DH1809" s="496" t="s">
        <v>1511</v>
      </c>
      <c r="DI1809" s="496" t="s">
        <v>1520</v>
      </c>
      <c r="DJ1809" s="496" t="s">
        <v>1520</v>
      </c>
      <c r="DK1809" s="496" t="s">
        <v>1151</v>
      </c>
      <c r="DL1809" s="496" t="s">
        <v>1518</v>
      </c>
      <c r="DM1809" s="496" t="s">
        <v>1087</v>
      </c>
      <c r="DN1809" s="497" t="s">
        <v>1153</v>
      </c>
      <c r="DP1809" s="543">
        <v>1</v>
      </c>
    </row>
    <row r="1810" spans="109:120" ht="25.5">
      <c r="DE1810" s="494"/>
      <c r="DF1810" s="496" t="s">
        <v>4644</v>
      </c>
      <c r="DG1810" s="496" t="s">
        <v>11</v>
      </c>
      <c r="DH1810" s="496" t="s">
        <v>1511</v>
      </c>
      <c r="DI1810" s="496" t="s">
        <v>1821</v>
      </c>
      <c r="DJ1810" s="496" t="s">
        <v>1821</v>
      </c>
      <c r="DK1810" s="496" t="s">
        <v>3959</v>
      </c>
      <c r="DL1810" s="496" t="s">
        <v>4633</v>
      </c>
      <c r="DM1810" s="496" t="s">
        <v>3961</v>
      </c>
      <c r="DN1810" s="497" t="s">
        <v>3962</v>
      </c>
      <c r="DP1810" s="543">
        <v>1</v>
      </c>
    </row>
    <row r="1811" spans="109:120" ht="15">
      <c r="DE1811" s="494"/>
      <c r="DF1811" s="496" t="s">
        <v>4645</v>
      </c>
      <c r="DG1811" s="496" t="s">
        <v>11</v>
      </c>
      <c r="DH1811" s="496" t="s">
        <v>1511</v>
      </c>
      <c r="DI1811" s="496" t="s">
        <v>1522</v>
      </c>
      <c r="DJ1811" s="496" t="s">
        <v>1522</v>
      </c>
      <c r="DK1811" s="496" t="s">
        <v>1085</v>
      </c>
      <c r="DL1811" s="496" t="s">
        <v>1914</v>
      </c>
      <c r="DM1811" s="496" t="s">
        <v>1087</v>
      </c>
      <c r="DN1811" s="497" t="s">
        <v>1088</v>
      </c>
      <c r="DP1811" s="543">
        <v>1</v>
      </c>
    </row>
    <row r="1812" spans="109:120" ht="25.5">
      <c r="DE1812" s="494"/>
      <c r="DF1812" s="496" t="s">
        <v>4646</v>
      </c>
      <c r="DG1812" s="496" t="s">
        <v>11</v>
      </c>
      <c r="DH1812" s="496" t="s">
        <v>1511</v>
      </c>
      <c r="DI1812" s="496" t="s">
        <v>4647</v>
      </c>
      <c r="DJ1812" s="496" t="s">
        <v>4647</v>
      </c>
      <c r="DK1812" s="496" t="s">
        <v>3959</v>
      </c>
      <c r="DL1812" s="496" t="s">
        <v>4633</v>
      </c>
      <c r="DM1812" s="496" t="s">
        <v>3961</v>
      </c>
      <c r="DN1812" s="497" t="s">
        <v>3962</v>
      </c>
      <c r="DP1812" s="543">
        <v>1</v>
      </c>
    </row>
    <row r="1813" spans="109:120" ht="25.5">
      <c r="DE1813" s="494"/>
      <c r="DF1813" s="496" t="s">
        <v>4648</v>
      </c>
      <c r="DG1813" s="496" t="s">
        <v>11</v>
      </c>
      <c r="DH1813" s="496" t="s">
        <v>1511</v>
      </c>
      <c r="DI1813" s="496" t="s">
        <v>4649</v>
      </c>
      <c r="DJ1813" s="496" t="s">
        <v>4649</v>
      </c>
      <c r="DK1813" s="496" t="s">
        <v>3959</v>
      </c>
      <c r="DL1813" s="496" t="s">
        <v>4633</v>
      </c>
      <c r="DM1813" s="496" t="s">
        <v>3961</v>
      </c>
      <c r="DN1813" s="497" t="s">
        <v>3962</v>
      </c>
      <c r="DP1813" s="543">
        <v>1</v>
      </c>
    </row>
    <row r="1814" spans="109:120" ht="25.5">
      <c r="DE1814" s="494"/>
      <c r="DF1814" s="496" t="s">
        <v>4650</v>
      </c>
      <c r="DG1814" s="496" t="s">
        <v>11</v>
      </c>
      <c r="DH1814" s="496" t="s">
        <v>1511</v>
      </c>
      <c r="DI1814" s="496" t="s">
        <v>892</v>
      </c>
      <c r="DJ1814" s="496" t="s">
        <v>892</v>
      </c>
      <c r="DK1814" s="496" t="s">
        <v>3959</v>
      </c>
      <c r="DL1814" s="496" t="s">
        <v>4633</v>
      </c>
      <c r="DM1814" s="496" t="s">
        <v>3961</v>
      </c>
      <c r="DN1814" s="497" t="s">
        <v>3962</v>
      </c>
      <c r="DP1814" s="543">
        <v>1</v>
      </c>
    </row>
    <row r="1815" spans="109:120" ht="15">
      <c r="DE1815" s="494"/>
      <c r="DF1815" s="496" t="s">
        <v>4651</v>
      </c>
      <c r="DG1815" s="496" t="s">
        <v>11</v>
      </c>
      <c r="DH1815" s="496" t="s">
        <v>1511</v>
      </c>
      <c r="DI1815" s="496" t="s">
        <v>4652</v>
      </c>
      <c r="DJ1815" s="496" t="s">
        <v>4653</v>
      </c>
      <c r="DK1815" s="496" t="s">
        <v>1085</v>
      </c>
      <c r="DL1815" s="496" t="s">
        <v>1914</v>
      </c>
      <c r="DM1815" s="496" t="s">
        <v>1087</v>
      </c>
      <c r="DN1815" s="497" t="s">
        <v>1088</v>
      </c>
      <c r="DP1815" s="543">
        <v>1</v>
      </c>
    </row>
    <row r="1816" spans="109:120" ht="15">
      <c r="DE1816" s="494"/>
      <c r="DF1816" s="496" t="s">
        <v>4654</v>
      </c>
      <c r="DG1816" s="496" t="s">
        <v>11</v>
      </c>
      <c r="DH1816" s="496" t="s">
        <v>1511</v>
      </c>
      <c r="DI1816" s="496" t="s">
        <v>894</v>
      </c>
      <c r="DJ1816" s="496" t="s">
        <v>894</v>
      </c>
      <c r="DK1816" s="496" t="s">
        <v>1085</v>
      </c>
      <c r="DL1816" s="496" t="s">
        <v>1914</v>
      </c>
      <c r="DM1816" s="496" t="s">
        <v>1087</v>
      </c>
      <c r="DN1816" s="497" t="s">
        <v>1088</v>
      </c>
      <c r="DP1816" s="543">
        <v>1</v>
      </c>
    </row>
    <row r="1817" spans="109:120" ht="25.5">
      <c r="DE1817" s="494"/>
      <c r="DF1817" s="496" t="s">
        <v>4655</v>
      </c>
      <c r="DG1817" s="496" t="s">
        <v>11</v>
      </c>
      <c r="DH1817" s="496" t="s">
        <v>1511</v>
      </c>
      <c r="DI1817" s="496" t="s">
        <v>1823</v>
      </c>
      <c r="DJ1817" s="496" t="s">
        <v>952</v>
      </c>
      <c r="DK1817" s="496" t="s">
        <v>3959</v>
      </c>
      <c r="DL1817" s="496" t="s">
        <v>4633</v>
      </c>
      <c r="DM1817" s="496" t="s">
        <v>3961</v>
      </c>
      <c r="DN1817" s="497" t="s">
        <v>3962</v>
      </c>
      <c r="DP1817" s="543">
        <v>1</v>
      </c>
    </row>
    <row r="1818" spans="109:120" ht="25.5">
      <c r="DE1818" s="494"/>
      <c r="DF1818" s="496" t="s">
        <v>4656</v>
      </c>
      <c r="DG1818" s="496" t="s">
        <v>11</v>
      </c>
      <c r="DH1818" s="496" t="s">
        <v>1511</v>
      </c>
      <c r="DI1818" s="496" t="s">
        <v>1825</v>
      </c>
      <c r="DJ1818" s="496" t="s">
        <v>953</v>
      </c>
      <c r="DK1818" s="496" t="s">
        <v>3959</v>
      </c>
      <c r="DL1818" s="496" t="s">
        <v>4633</v>
      </c>
      <c r="DM1818" s="496" t="s">
        <v>3961</v>
      </c>
      <c r="DN1818" s="497" t="s">
        <v>3962</v>
      </c>
      <c r="DP1818" s="543">
        <v>1</v>
      </c>
    </row>
    <row r="1819" spans="109:120" ht="25.5">
      <c r="DE1819" s="494"/>
      <c r="DF1819" s="496" t="s">
        <v>4657</v>
      </c>
      <c r="DG1819" s="496" t="s">
        <v>11</v>
      </c>
      <c r="DH1819" s="496" t="s">
        <v>1511</v>
      </c>
      <c r="DI1819" s="496" t="s">
        <v>1827</v>
      </c>
      <c r="DJ1819" s="496" t="s">
        <v>954</v>
      </c>
      <c r="DK1819" s="496" t="s">
        <v>3959</v>
      </c>
      <c r="DL1819" s="496" t="s">
        <v>4633</v>
      </c>
      <c r="DM1819" s="496" t="s">
        <v>3961</v>
      </c>
      <c r="DN1819" s="497" t="s">
        <v>3962</v>
      </c>
      <c r="DP1819" s="543">
        <v>1</v>
      </c>
    </row>
    <row r="1820" spans="109:120" ht="25.5">
      <c r="DE1820" s="494"/>
      <c r="DF1820" s="496" t="s">
        <v>4658</v>
      </c>
      <c r="DG1820" s="496" t="s">
        <v>11</v>
      </c>
      <c r="DH1820" s="496" t="s">
        <v>1511</v>
      </c>
      <c r="DI1820" s="496" t="s">
        <v>4127</v>
      </c>
      <c r="DJ1820" s="496" t="s">
        <v>4128</v>
      </c>
      <c r="DK1820" s="496" t="s">
        <v>3959</v>
      </c>
      <c r="DL1820" s="496" t="s">
        <v>4633</v>
      </c>
      <c r="DM1820" s="496" t="s">
        <v>3961</v>
      </c>
      <c r="DN1820" s="497" t="s">
        <v>3962</v>
      </c>
      <c r="DP1820" s="543">
        <v>1</v>
      </c>
    </row>
    <row r="1821" spans="109:120" ht="15">
      <c r="DE1821" s="494"/>
      <c r="DF1821" s="496" t="s">
        <v>4659</v>
      </c>
      <c r="DG1821" s="496" t="s">
        <v>11</v>
      </c>
      <c r="DH1821" s="496" t="s">
        <v>1511</v>
      </c>
      <c r="DI1821" s="496" t="s">
        <v>4660</v>
      </c>
      <c r="DJ1821" s="496" t="s">
        <v>955</v>
      </c>
      <c r="DK1821" s="496" t="s">
        <v>1085</v>
      </c>
      <c r="DL1821" s="496" t="s">
        <v>1914</v>
      </c>
      <c r="DM1821" s="496" t="s">
        <v>1087</v>
      </c>
      <c r="DN1821" s="497" t="s">
        <v>1088</v>
      </c>
      <c r="DP1821" s="543">
        <v>1</v>
      </c>
    </row>
    <row r="1822" spans="109:120" ht="25.5">
      <c r="DE1822" s="494"/>
      <c r="DF1822" s="496" t="s">
        <v>4661</v>
      </c>
      <c r="DG1822" s="496" t="s">
        <v>11</v>
      </c>
      <c r="DH1822" s="496" t="s">
        <v>1511</v>
      </c>
      <c r="DI1822" s="496" t="s">
        <v>4662</v>
      </c>
      <c r="DJ1822" s="496" t="s">
        <v>4663</v>
      </c>
      <c r="DK1822" s="496" t="s">
        <v>3959</v>
      </c>
      <c r="DL1822" s="496" t="s">
        <v>4633</v>
      </c>
      <c r="DM1822" s="496" t="s">
        <v>3961</v>
      </c>
      <c r="DN1822" s="497" t="s">
        <v>3962</v>
      </c>
      <c r="DP1822" s="543">
        <v>1</v>
      </c>
    </row>
    <row r="1823" spans="109:120" ht="25.5">
      <c r="DE1823" s="494"/>
      <c r="DF1823" s="496" t="s">
        <v>4664</v>
      </c>
      <c r="DG1823" s="496" t="s">
        <v>11</v>
      </c>
      <c r="DH1823" s="496" t="s">
        <v>1511</v>
      </c>
      <c r="DI1823" s="496" t="s">
        <v>4665</v>
      </c>
      <c r="DJ1823" s="496" t="s">
        <v>4666</v>
      </c>
      <c r="DK1823" s="496" t="s">
        <v>3959</v>
      </c>
      <c r="DL1823" s="496" t="s">
        <v>4633</v>
      </c>
      <c r="DM1823" s="496" t="s">
        <v>3961</v>
      </c>
      <c r="DN1823" s="497" t="s">
        <v>3962</v>
      </c>
      <c r="DP1823" s="543">
        <v>1</v>
      </c>
    </row>
    <row r="1824" spans="109:120" ht="25.5">
      <c r="DE1824" s="494"/>
      <c r="DF1824" s="496" t="s">
        <v>4667</v>
      </c>
      <c r="DG1824" s="496" t="s">
        <v>11</v>
      </c>
      <c r="DH1824" s="496" t="s">
        <v>1511</v>
      </c>
      <c r="DI1824" s="496" t="s">
        <v>1832</v>
      </c>
      <c r="DJ1824" s="496" t="s">
        <v>957</v>
      </c>
      <c r="DK1824" s="496" t="s">
        <v>3959</v>
      </c>
      <c r="DL1824" s="496" t="s">
        <v>4633</v>
      </c>
      <c r="DM1824" s="496" t="s">
        <v>3961</v>
      </c>
      <c r="DN1824" s="497" t="s">
        <v>3962</v>
      </c>
      <c r="DP1824" s="543">
        <v>1</v>
      </c>
    </row>
    <row r="1825" spans="109:120" ht="25.5">
      <c r="DE1825" s="494"/>
      <c r="DF1825" s="496" t="s">
        <v>4668</v>
      </c>
      <c r="DG1825" s="496" t="s">
        <v>11</v>
      </c>
      <c r="DH1825" s="496" t="s">
        <v>1511</v>
      </c>
      <c r="DI1825" s="496" t="s">
        <v>897</v>
      </c>
      <c r="DJ1825" s="496" t="s">
        <v>897</v>
      </c>
      <c r="DK1825" s="496" t="s">
        <v>3959</v>
      </c>
      <c r="DL1825" s="496" t="s">
        <v>4633</v>
      </c>
      <c r="DM1825" s="496" t="s">
        <v>3961</v>
      </c>
      <c r="DN1825" s="497" t="s">
        <v>3962</v>
      </c>
      <c r="DP1825" s="543">
        <v>1</v>
      </c>
    </row>
    <row r="1826" spans="109:120" ht="25.5">
      <c r="DE1826" s="494"/>
      <c r="DF1826" s="496" t="s">
        <v>4669</v>
      </c>
      <c r="DG1826" s="496" t="s">
        <v>11</v>
      </c>
      <c r="DH1826" s="496" t="s">
        <v>1511</v>
      </c>
      <c r="DI1826" s="496" t="s">
        <v>4670</v>
      </c>
      <c r="DJ1826" s="496" t="s">
        <v>898</v>
      </c>
      <c r="DK1826" s="496" t="s">
        <v>3959</v>
      </c>
      <c r="DL1826" s="496" t="s">
        <v>4633</v>
      </c>
      <c r="DM1826" s="496" t="s">
        <v>3961</v>
      </c>
      <c r="DN1826" s="497" t="s">
        <v>3962</v>
      </c>
      <c r="DP1826" s="543">
        <v>1</v>
      </c>
    </row>
    <row r="1827" spans="109:120" ht="25.5">
      <c r="DE1827" s="494"/>
      <c r="DF1827" s="496" t="s">
        <v>4671</v>
      </c>
      <c r="DG1827" s="496" t="s">
        <v>11</v>
      </c>
      <c r="DH1827" s="496" t="s">
        <v>1511</v>
      </c>
      <c r="DI1827" s="496" t="s">
        <v>4672</v>
      </c>
      <c r="DJ1827" s="496" t="s">
        <v>4672</v>
      </c>
      <c r="DK1827" s="496" t="s">
        <v>3959</v>
      </c>
      <c r="DL1827" s="496" t="s">
        <v>4633</v>
      </c>
      <c r="DM1827" s="496" t="s">
        <v>3961</v>
      </c>
      <c r="DN1827" s="497" t="s">
        <v>3962</v>
      </c>
      <c r="DP1827" s="543">
        <v>1</v>
      </c>
    </row>
    <row r="1828" spans="109:120" ht="15">
      <c r="DE1828" s="494"/>
      <c r="DF1828" s="496" t="s">
        <v>4673</v>
      </c>
      <c r="DG1828" s="496" t="s">
        <v>11</v>
      </c>
      <c r="DH1828" s="496" t="s">
        <v>1511</v>
      </c>
      <c r="DI1828" s="496" t="s">
        <v>960</v>
      </c>
      <c r="DJ1828" s="496" t="s">
        <v>960</v>
      </c>
      <c r="DK1828" s="496" t="s">
        <v>1085</v>
      </c>
      <c r="DL1828" s="496" t="s">
        <v>1914</v>
      </c>
      <c r="DM1828" s="496" t="s">
        <v>1087</v>
      </c>
      <c r="DN1828" s="497" t="s">
        <v>1088</v>
      </c>
      <c r="DP1828" s="543">
        <v>1</v>
      </c>
    </row>
    <row r="1829" spans="109:120" ht="25.5">
      <c r="DE1829" s="494"/>
      <c r="DF1829" s="496" t="s">
        <v>4674</v>
      </c>
      <c r="DG1829" s="496" t="s">
        <v>11</v>
      </c>
      <c r="DH1829" s="496" t="s">
        <v>1511</v>
      </c>
      <c r="DI1829" s="496" t="s">
        <v>4675</v>
      </c>
      <c r="DJ1829" s="496" t="s">
        <v>4676</v>
      </c>
      <c r="DK1829" s="496" t="s">
        <v>3959</v>
      </c>
      <c r="DL1829" s="496" t="s">
        <v>4633</v>
      </c>
      <c r="DM1829" s="496" t="s">
        <v>3961</v>
      </c>
      <c r="DN1829" s="497" t="s">
        <v>3962</v>
      </c>
      <c r="DP1829" s="543">
        <v>1</v>
      </c>
    </row>
    <row r="1830" spans="109:120" ht="25.5">
      <c r="DE1830" s="494"/>
      <c r="DF1830" s="496" t="s">
        <v>4677</v>
      </c>
      <c r="DG1830" s="496" t="s">
        <v>11</v>
      </c>
      <c r="DH1830" s="496" t="s">
        <v>1511</v>
      </c>
      <c r="DI1830" s="496" t="s">
        <v>902</v>
      </c>
      <c r="DJ1830" s="496" t="s">
        <v>902</v>
      </c>
      <c r="DK1830" s="496" t="s">
        <v>3959</v>
      </c>
      <c r="DL1830" s="496" t="s">
        <v>4633</v>
      </c>
      <c r="DM1830" s="496" t="s">
        <v>3961</v>
      </c>
      <c r="DN1830" s="497" t="s">
        <v>3962</v>
      </c>
      <c r="DP1830" s="543">
        <v>1</v>
      </c>
    </row>
    <row r="1831" spans="109:120" ht="25.5">
      <c r="DE1831" s="494"/>
      <c r="DF1831" s="496" t="s">
        <v>4678</v>
      </c>
      <c r="DG1831" s="496" t="s">
        <v>11</v>
      </c>
      <c r="DH1831" s="496" t="s">
        <v>1511</v>
      </c>
      <c r="DI1831" s="496" t="s">
        <v>963</v>
      </c>
      <c r="DJ1831" s="496" t="s">
        <v>963</v>
      </c>
      <c r="DK1831" s="496" t="s">
        <v>3959</v>
      </c>
      <c r="DL1831" s="496" t="s">
        <v>4633</v>
      </c>
      <c r="DM1831" s="496" t="s">
        <v>3961</v>
      </c>
      <c r="DN1831" s="497" t="s">
        <v>3962</v>
      </c>
      <c r="DP1831" s="543">
        <v>1</v>
      </c>
    </row>
    <row r="1832" spans="109:120" ht="25.5">
      <c r="DE1832" s="494"/>
      <c r="DF1832" s="496" t="s">
        <v>4679</v>
      </c>
      <c r="DG1832" s="496" t="s">
        <v>11</v>
      </c>
      <c r="DH1832" s="496" t="s">
        <v>1511</v>
      </c>
      <c r="DI1832" s="496" t="s">
        <v>4680</v>
      </c>
      <c r="DJ1832" s="496" t="s">
        <v>903</v>
      </c>
      <c r="DK1832" s="496" t="s">
        <v>3959</v>
      </c>
      <c r="DL1832" s="496" t="s">
        <v>4633</v>
      </c>
      <c r="DM1832" s="496" t="s">
        <v>3961</v>
      </c>
      <c r="DN1832" s="497" t="s">
        <v>3962</v>
      </c>
      <c r="DP1832" s="543">
        <v>1</v>
      </c>
    </row>
    <row r="1833" spans="109:120" ht="25.5">
      <c r="DE1833" s="494"/>
      <c r="DF1833" s="496" t="s">
        <v>4681</v>
      </c>
      <c r="DG1833" s="496" t="s">
        <v>11</v>
      </c>
      <c r="DH1833" s="496" t="s">
        <v>1511</v>
      </c>
      <c r="DI1833" s="496" t="s">
        <v>4682</v>
      </c>
      <c r="DJ1833" s="496" t="s">
        <v>4682</v>
      </c>
      <c r="DK1833" s="496" t="s">
        <v>3959</v>
      </c>
      <c r="DL1833" s="496" t="s">
        <v>4633</v>
      </c>
      <c r="DM1833" s="496" t="s">
        <v>3961</v>
      </c>
      <c r="DN1833" s="497" t="s">
        <v>3962</v>
      </c>
      <c r="DP1833" s="543">
        <v>1</v>
      </c>
    </row>
    <row r="1834" spans="109:120" ht="25.5">
      <c r="DE1834" s="494"/>
      <c r="DF1834" s="496" t="s">
        <v>4683</v>
      </c>
      <c r="DG1834" s="496" t="s">
        <v>11</v>
      </c>
      <c r="DH1834" s="496" t="s">
        <v>1511</v>
      </c>
      <c r="DI1834" s="496" t="s">
        <v>4684</v>
      </c>
      <c r="DJ1834" s="496" t="s">
        <v>4684</v>
      </c>
      <c r="DK1834" s="496" t="s">
        <v>3959</v>
      </c>
      <c r="DL1834" s="496" t="s">
        <v>4633</v>
      </c>
      <c r="DM1834" s="496" t="s">
        <v>3961</v>
      </c>
      <c r="DN1834" s="497" t="s">
        <v>3962</v>
      </c>
      <c r="DP1834" s="543">
        <v>1</v>
      </c>
    </row>
    <row r="1835" spans="109:120" ht="25.5">
      <c r="DE1835" s="494"/>
      <c r="DF1835" s="496" t="s">
        <v>4685</v>
      </c>
      <c r="DG1835" s="496" t="s">
        <v>11</v>
      </c>
      <c r="DH1835" s="496" t="s">
        <v>1511</v>
      </c>
      <c r="DI1835" s="496" t="s">
        <v>4206</v>
      </c>
      <c r="DJ1835" s="496" t="s">
        <v>4206</v>
      </c>
      <c r="DK1835" s="496" t="s">
        <v>3959</v>
      </c>
      <c r="DL1835" s="496" t="s">
        <v>4633</v>
      </c>
      <c r="DM1835" s="496" t="s">
        <v>3961</v>
      </c>
      <c r="DN1835" s="497" t="s">
        <v>3962</v>
      </c>
      <c r="DP1835" s="543">
        <v>1</v>
      </c>
    </row>
    <row r="1836" spans="109:120" ht="15">
      <c r="DE1836" s="494"/>
      <c r="DF1836" s="496" t="s">
        <v>4686</v>
      </c>
      <c r="DG1836" s="496" t="s">
        <v>11</v>
      </c>
      <c r="DH1836" s="496" t="s">
        <v>1511</v>
      </c>
      <c r="DI1836" s="496" t="s">
        <v>969</v>
      </c>
      <c r="DJ1836" s="496" t="s">
        <v>969</v>
      </c>
      <c r="DK1836" s="496" t="s">
        <v>1085</v>
      </c>
      <c r="DL1836" s="496" t="s">
        <v>1914</v>
      </c>
      <c r="DM1836" s="496" t="s">
        <v>1087</v>
      </c>
      <c r="DN1836" s="497" t="s">
        <v>1088</v>
      </c>
      <c r="DP1836" s="543">
        <v>1</v>
      </c>
    </row>
    <row r="1837" spans="109:120" ht="25.5">
      <c r="DE1837" s="494"/>
      <c r="DF1837" s="496" t="s">
        <v>4687</v>
      </c>
      <c r="DG1837" s="496" t="s">
        <v>11</v>
      </c>
      <c r="DH1837" s="496" t="s">
        <v>1511</v>
      </c>
      <c r="DI1837" s="496" t="s">
        <v>4688</v>
      </c>
      <c r="DJ1837" s="496" t="s">
        <v>4688</v>
      </c>
      <c r="DK1837" s="496" t="s">
        <v>3959</v>
      </c>
      <c r="DL1837" s="496" t="s">
        <v>4633</v>
      </c>
      <c r="DM1837" s="496" t="s">
        <v>3961</v>
      </c>
      <c r="DN1837" s="497" t="s">
        <v>3962</v>
      </c>
      <c r="DP1837" s="543">
        <v>1</v>
      </c>
    </row>
    <row r="1838" spans="109:120" ht="25.5">
      <c r="DE1838" s="494"/>
      <c r="DF1838" s="496" t="s">
        <v>4689</v>
      </c>
      <c r="DG1838" s="496" t="s">
        <v>11</v>
      </c>
      <c r="DH1838" s="496" t="s">
        <v>1511</v>
      </c>
      <c r="DI1838" s="496" t="s">
        <v>4690</v>
      </c>
      <c r="DJ1838" s="496" t="s">
        <v>4690</v>
      </c>
      <c r="DK1838" s="496" t="s">
        <v>3959</v>
      </c>
      <c r="DL1838" s="496" t="s">
        <v>4633</v>
      </c>
      <c r="DM1838" s="496" t="s">
        <v>3961</v>
      </c>
      <c r="DN1838" s="497" t="s">
        <v>3962</v>
      </c>
      <c r="DP1838" s="543">
        <v>1</v>
      </c>
    </row>
    <row r="1839" spans="109:120" ht="15">
      <c r="DE1839" s="494"/>
      <c r="DF1839" s="496" t="s">
        <v>4691</v>
      </c>
      <c r="DG1839" s="496" t="s">
        <v>11</v>
      </c>
      <c r="DH1839" s="496" t="s">
        <v>1511</v>
      </c>
      <c r="DI1839" s="496" t="s">
        <v>4692</v>
      </c>
      <c r="DJ1839" s="496" t="s">
        <v>4692</v>
      </c>
      <c r="DK1839" s="496" t="s">
        <v>1085</v>
      </c>
      <c r="DL1839" s="496" t="s">
        <v>1914</v>
      </c>
      <c r="DM1839" s="496" t="s">
        <v>1087</v>
      </c>
      <c r="DN1839" s="497" t="s">
        <v>1088</v>
      </c>
      <c r="DP1839" s="543">
        <v>1</v>
      </c>
    </row>
    <row r="1840" spans="109:120" ht="25.5">
      <c r="DE1840" s="494"/>
      <c r="DF1840" s="496" t="s">
        <v>4693</v>
      </c>
      <c r="DG1840" s="496" t="s">
        <v>11</v>
      </c>
      <c r="DH1840" s="496" t="s">
        <v>1511</v>
      </c>
      <c r="DI1840" s="496" t="s">
        <v>4694</v>
      </c>
      <c r="DJ1840" s="496" t="s">
        <v>4694</v>
      </c>
      <c r="DK1840" s="496" t="s">
        <v>3959</v>
      </c>
      <c r="DL1840" s="496" t="s">
        <v>4633</v>
      </c>
      <c r="DM1840" s="496" t="s">
        <v>3961</v>
      </c>
      <c r="DN1840" s="497" t="s">
        <v>3962</v>
      </c>
      <c r="DP1840" s="543">
        <v>1</v>
      </c>
    </row>
    <row r="1841" spans="109:120" ht="25.5">
      <c r="DE1841" s="494"/>
      <c r="DF1841" s="496" t="s">
        <v>4695</v>
      </c>
      <c r="DG1841" s="496" t="s">
        <v>11</v>
      </c>
      <c r="DH1841" s="496" t="s">
        <v>1511</v>
      </c>
      <c r="DI1841" s="496" t="s">
        <v>4696</v>
      </c>
      <c r="DJ1841" s="496" t="s">
        <v>4696</v>
      </c>
      <c r="DK1841" s="496" t="s">
        <v>3959</v>
      </c>
      <c r="DL1841" s="496" t="s">
        <v>4633</v>
      </c>
      <c r="DM1841" s="496" t="s">
        <v>3961</v>
      </c>
      <c r="DN1841" s="497" t="s">
        <v>3962</v>
      </c>
      <c r="DP1841" s="543">
        <v>1</v>
      </c>
    </row>
    <row r="1842" spans="109:120" ht="15">
      <c r="DE1842" s="494"/>
      <c r="DF1842" s="496" t="s">
        <v>4697</v>
      </c>
      <c r="DG1842" s="496" t="s">
        <v>11</v>
      </c>
      <c r="DH1842" s="496" t="s">
        <v>1511</v>
      </c>
      <c r="DI1842" s="496" t="s">
        <v>4698</v>
      </c>
      <c r="DJ1842" s="496" t="s">
        <v>4698</v>
      </c>
      <c r="DK1842" s="496" t="s">
        <v>1085</v>
      </c>
      <c r="DL1842" s="496" t="s">
        <v>1914</v>
      </c>
      <c r="DM1842" s="496" t="s">
        <v>1087</v>
      </c>
      <c r="DN1842" s="497" t="s">
        <v>1088</v>
      </c>
      <c r="DP1842" s="543">
        <v>1</v>
      </c>
    </row>
    <row r="1843" spans="109:120" ht="25.5">
      <c r="DE1843" s="494"/>
      <c r="DF1843" s="496" t="s">
        <v>4699</v>
      </c>
      <c r="DG1843" s="496" t="s">
        <v>11</v>
      </c>
      <c r="DH1843" s="496" t="s">
        <v>1511</v>
      </c>
      <c r="DI1843" s="496" t="s">
        <v>4700</v>
      </c>
      <c r="DJ1843" s="496" t="s">
        <v>4701</v>
      </c>
      <c r="DK1843" s="496" t="s">
        <v>3959</v>
      </c>
      <c r="DL1843" s="496" t="s">
        <v>4633</v>
      </c>
      <c r="DM1843" s="496" t="s">
        <v>3961</v>
      </c>
      <c r="DN1843" s="497" t="s">
        <v>3962</v>
      </c>
      <c r="DP1843" s="543">
        <v>1</v>
      </c>
    </row>
    <row r="1844" spans="109:120" ht="15">
      <c r="DE1844" s="494"/>
      <c r="DF1844" s="496" t="s">
        <v>4702</v>
      </c>
      <c r="DG1844" s="496" t="s">
        <v>11</v>
      </c>
      <c r="DH1844" s="496" t="s">
        <v>1511</v>
      </c>
      <c r="DI1844" s="496" t="s">
        <v>3945</v>
      </c>
      <c r="DJ1844" s="496" t="s">
        <v>3945</v>
      </c>
      <c r="DK1844" s="496" t="s">
        <v>1085</v>
      </c>
      <c r="DL1844" s="496" t="s">
        <v>1914</v>
      </c>
      <c r="DM1844" s="496" t="s">
        <v>1087</v>
      </c>
      <c r="DN1844" s="497" t="s">
        <v>1088</v>
      </c>
      <c r="DP1844" s="543">
        <v>1</v>
      </c>
    </row>
    <row r="1845" spans="109:120" ht="15">
      <c r="DE1845" s="494"/>
      <c r="DF1845" s="496" t="s">
        <v>4703</v>
      </c>
      <c r="DG1845" s="496" t="s">
        <v>11</v>
      </c>
      <c r="DH1845" s="496" t="s">
        <v>1511</v>
      </c>
      <c r="DI1845" s="496" t="s">
        <v>979</v>
      </c>
      <c r="DJ1845" s="496" t="s">
        <v>979</v>
      </c>
      <c r="DK1845" s="496" t="s">
        <v>1085</v>
      </c>
      <c r="DL1845" s="496" t="s">
        <v>1914</v>
      </c>
      <c r="DM1845" s="496" t="s">
        <v>1087</v>
      </c>
      <c r="DN1845" s="497" t="s">
        <v>1088</v>
      </c>
      <c r="DP1845" s="543">
        <v>1</v>
      </c>
    </row>
    <row r="1846" spans="109:120" ht="25.5">
      <c r="DE1846" s="494"/>
      <c r="DF1846" s="496" t="s">
        <v>4704</v>
      </c>
      <c r="DG1846" s="496" t="s">
        <v>11</v>
      </c>
      <c r="DH1846" s="496" t="s">
        <v>1511</v>
      </c>
      <c r="DI1846" s="496" t="s">
        <v>980</v>
      </c>
      <c r="DJ1846" s="496" t="s">
        <v>980</v>
      </c>
      <c r="DK1846" s="496" t="s">
        <v>3959</v>
      </c>
      <c r="DL1846" s="496" t="s">
        <v>4633</v>
      </c>
      <c r="DM1846" s="496" t="s">
        <v>3961</v>
      </c>
      <c r="DN1846" s="497" t="s">
        <v>3962</v>
      </c>
      <c r="DP1846" s="543">
        <v>1</v>
      </c>
    </row>
    <row r="1847" spans="109:120" ht="25.5">
      <c r="DE1847" s="494"/>
      <c r="DF1847" s="496" t="s">
        <v>4705</v>
      </c>
      <c r="DG1847" s="496" t="s">
        <v>11</v>
      </c>
      <c r="DH1847" s="496" t="s">
        <v>1511</v>
      </c>
      <c r="DI1847" s="496" t="s">
        <v>4706</v>
      </c>
      <c r="DJ1847" s="496" t="s">
        <v>4706</v>
      </c>
      <c r="DK1847" s="496" t="s">
        <v>3959</v>
      </c>
      <c r="DL1847" s="496" t="s">
        <v>4633</v>
      </c>
      <c r="DM1847" s="496" t="s">
        <v>3961</v>
      </c>
      <c r="DN1847" s="497" t="s">
        <v>3962</v>
      </c>
      <c r="DP1847" s="543">
        <v>1</v>
      </c>
    </row>
    <row r="1848" spans="109:120" ht="15">
      <c r="DE1848" s="494"/>
      <c r="DF1848" s="496" t="s">
        <v>4707</v>
      </c>
      <c r="DG1848" s="496" t="s">
        <v>11</v>
      </c>
      <c r="DH1848" s="496" t="s">
        <v>1511</v>
      </c>
      <c r="DI1848" s="496" t="s">
        <v>4708</v>
      </c>
      <c r="DJ1848" s="496" t="s">
        <v>4708</v>
      </c>
      <c r="DK1848" s="496" t="s">
        <v>1085</v>
      </c>
      <c r="DL1848" s="496" t="s">
        <v>1914</v>
      </c>
      <c r="DM1848" s="496" t="s">
        <v>1087</v>
      </c>
      <c r="DN1848" s="497" t="s">
        <v>1088</v>
      </c>
      <c r="DP1848" s="543">
        <v>1</v>
      </c>
    </row>
    <row r="1849" spans="109:120" ht="15">
      <c r="DE1849" s="494"/>
      <c r="DF1849" s="496" t="s">
        <v>4709</v>
      </c>
      <c r="DG1849" s="496" t="s">
        <v>11</v>
      </c>
      <c r="DH1849" s="496" t="s">
        <v>1511</v>
      </c>
      <c r="DI1849" s="496" t="s">
        <v>984</v>
      </c>
      <c r="DJ1849" s="496" t="s">
        <v>984</v>
      </c>
      <c r="DK1849" s="496" t="s">
        <v>1085</v>
      </c>
      <c r="DL1849" s="496" t="s">
        <v>1914</v>
      </c>
      <c r="DM1849" s="496" t="s">
        <v>1087</v>
      </c>
      <c r="DN1849" s="497" t="s">
        <v>1088</v>
      </c>
      <c r="DP1849" s="543">
        <v>1</v>
      </c>
    </row>
    <row r="1850" spans="109:120" ht="25.5">
      <c r="DE1850" s="494"/>
      <c r="DF1850" s="496" t="s">
        <v>4710</v>
      </c>
      <c r="DG1850" s="496" t="s">
        <v>11</v>
      </c>
      <c r="DH1850" s="496" t="s">
        <v>1511</v>
      </c>
      <c r="DI1850" s="496" t="s">
        <v>4711</v>
      </c>
      <c r="DJ1850" s="496" t="s">
        <v>914</v>
      </c>
      <c r="DK1850" s="496" t="s">
        <v>3959</v>
      </c>
      <c r="DL1850" s="496" t="s">
        <v>4633</v>
      </c>
      <c r="DM1850" s="496" t="s">
        <v>3961</v>
      </c>
      <c r="DN1850" s="497" t="s">
        <v>3962</v>
      </c>
      <c r="DP1850" s="543">
        <v>1</v>
      </c>
    </row>
    <row r="1851" spans="109:120" ht="15">
      <c r="DE1851" s="494"/>
      <c r="DF1851" s="496" t="s">
        <v>4712</v>
      </c>
      <c r="DG1851" s="496" t="s">
        <v>11</v>
      </c>
      <c r="DH1851" s="496" t="s">
        <v>1511</v>
      </c>
      <c r="DI1851" s="496" t="s">
        <v>4713</v>
      </c>
      <c r="DJ1851" s="496" t="s">
        <v>4713</v>
      </c>
      <c r="DK1851" s="496" t="s">
        <v>1151</v>
      </c>
      <c r="DL1851" s="496" t="s">
        <v>1518</v>
      </c>
      <c r="DM1851" s="496" t="s">
        <v>1087</v>
      </c>
      <c r="DN1851" s="497" t="s">
        <v>1153</v>
      </c>
      <c r="DP1851" s="543">
        <v>1</v>
      </c>
    </row>
    <row r="1852" spans="109:120" ht="15">
      <c r="DE1852" s="494"/>
      <c r="DF1852" s="496" t="s">
        <v>4714</v>
      </c>
      <c r="DG1852" s="496" t="s">
        <v>11</v>
      </c>
      <c r="DH1852" s="496" t="s">
        <v>1511</v>
      </c>
      <c r="DI1852" s="496" t="s">
        <v>4715</v>
      </c>
      <c r="DJ1852" s="496" t="s">
        <v>4716</v>
      </c>
      <c r="DK1852" s="496" t="s">
        <v>1085</v>
      </c>
      <c r="DL1852" s="496" t="s">
        <v>1914</v>
      </c>
      <c r="DM1852" s="496" t="s">
        <v>1087</v>
      </c>
      <c r="DN1852" s="497" t="s">
        <v>1088</v>
      </c>
      <c r="DP1852" s="543">
        <v>1</v>
      </c>
    </row>
    <row r="1853" spans="109:120" ht="25.5">
      <c r="DE1853" s="494"/>
      <c r="DF1853" s="496" t="s">
        <v>4717</v>
      </c>
      <c r="DG1853" s="496" t="s">
        <v>11</v>
      </c>
      <c r="DH1853" s="496" t="s">
        <v>1511</v>
      </c>
      <c r="DI1853" s="496" t="s">
        <v>4718</v>
      </c>
      <c r="DJ1853" s="496" t="s">
        <v>4718</v>
      </c>
      <c r="DK1853" s="496" t="s">
        <v>3959</v>
      </c>
      <c r="DL1853" s="496" t="s">
        <v>4633</v>
      </c>
      <c r="DM1853" s="496" t="s">
        <v>3961</v>
      </c>
      <c r="DN1853" s="497" t="s">
        <v>3962</v>
      </c>
      <c r="DP1853" s="543">
        <v>1</v>
      </c>
    </row>
    <row r="1854" spans="109:120" ht="25.5">
      <c r="DE1854" s="494"/>
      <c r="DF1854" s="496" t="s">
        <v>4719</v>
      </c>
      <c r="DG1854" s="496" t="s">
        <v>11</v>
      </c>
      <c r="DH1854" s="496" t="s">
        <v>1511</v>
      </c>
      <c r="DI1854" s="496" t="s">
        <v>4720</v>
      </c>
      <c r="DJ1854" s="496" t="s">
        <v>4720</v>
      </c>
      <c r="DK1854" s="496" t="s">
        <v>3959</v>
      </c>
      <c r="DL1854" s="496" t="s">
        <v>4633</v>
      </c>
      <c r="DM1854" s="496" t="s">
        <v>3961</v>
      </c>
      <c r="DN1854" s="497" t="s">
        <v>3962</v>
      </c>
      <c r="DP1854" s="543">
        <v>1</v>
      </c>
    </row>
    <row r="1855" spans="109:120" ht="15">
      <c r="DE1855" s="494"/>
      <c r="DF1855" s="496" t="s">
        <v>4721</v>
      </c>
      <c r="DG1855" s="496" t="s">
        <v>11</v>
      </c>
      <c r="DH1855" s="496" t="s">
        <v>1511</v>
      </c>
      <c r="DI1855" s="496" t="s">
        <v>4722</v>
      </c>
      <c r="DJ1855" s="496" t="s">
        <v>4723</v>
      </c>
      <c r="DK1855" s="496" t="s">
        <v>1085</v>
      </c>
      <c r="DL1855" s="496" t="s">
        <v>1914</v>
      </c>
      <c r="DM1855" s="496" t="s">
        <v>1087</v>
      </c>
      <c r="DN1855" s="497" t="s">
        <v>1088</v>
      </c>
      <c r="DP1855" s="543">
        <v>1</v>
      </c>
    </row>
    <row r="1856" spans="109:120" ht="15">
      <c r="DE1856" s="494"/>
      <c r="DF1856" s="496" t="s">
        <v>4724</v>
      </c>
      <c r="DG1856" s="496" t="s">
        <v>11</v>
      </c>
      <c r="DH1856" s="496" t="s">
        <v>1511</v>
      </c>
      <c r="DI1856" s="496" t="s">
        <v>4725</v>
      </c>
      <c r="DJ1856" s="496" t="s">
        <v>4726</v>
      </c>
      <c r="DK1856" s="496" t="s">
        <v>1085</v>
      </c>
      <c r="DL1856" s="496" t="s">
        <v>1914</v>
      </c>
      <c r="DM1856" s="496" t="s">
        <v>1087</v>
      </c>
      <c r="DN1856" s="497" t="s">
        <v>1088</v>
      </c>
      <c r="DP1856" s="543">
        <v>1</v>
      </c>
    </row>
    <row r="1857" spans="109:120" ht="25.5">
      <c r="DE1857" s="494"/>
      <c r="DF1857" s="496" t="s">
        <v>4727</v>
      </c>
      <c r="DG1857" s="496" t="s">
        <v>11</v>
      </c>
      <c r="DH1857" s="496" t="s">
        <v>1511</v>
      </c>
      <c r="DI1857" s="496" t="s">
        <v>4728</v>
      </c>
      <c r="DJ1857" s="496" t="s">
        <v>4729</v>
      </c>
      <c r="DK1857" s="496" t="s">
        <v>3959</v>
      </c>
      <c r="DL1857" s="496" t="s">
        <v>4633</v>
      </c>
      <c r="DM1857" s="496" t="s">
        <v>3961</v>
      </c>
      <c r="DN1857" s="497" t="s">
        <v>3962</v>
      </c>
      <c r="DP1857" s="543">
        <v>1</v>
      </c>
    </row>
    <row r="1858" spans="109:120" ht="15">
      <c r="DE1858" s="494"/>
      <c r="DF1858" s="496" t="s">
        <v>4730</v>
      </c>
      <c r="DG1858" s="496" t="s">
        <v>11</v>
      </c>
      <c r="DH1858" s="496" t="s">
        <v>1511</v>
      </c>
      <c r="DI1858" s="496" t="s">
        <v>919</v>
      </c>
      <c r="DJ1858" s="496" t="s">
        <v>919</v>
      </c>
      <c r="DK1858" s="496" t="s">
        <v>1085</v>
      </c>
      <c r="DL1858" s="496" t="s">
        <v>1914</v>
      </c>
      <c r="DM1858" s="496" t="s">
        <v>1087</v>
      </c>
      <c r="DN1858" s="497" t="s">
        <v>1088</v>
      </c>
      <c r="DP1858" s="543">
        <v>1</v>
      </c>
    </row>
    <row r="1859" spans="109:120" ht="25.5">
      <c r="DE1859" s="494"/>
      <c r="DF1859" s="496" t="s">
        <v>4731</v>
      </c>
      <c r="DG1859" s="496" t="s">
        <v>11</v>
      </c>
      <c r="DH1859" s="496" t="s">
        <v>1511</v>
      </c>
      <c r="DI1859" s="496" t="s">
        <v>920</v>
      </c>
      <c r="DJ1859" s="496" t="s">
        <v>920</v>
      </c>
      <c r="DK1859" s="496" t="s">
        <v>3959</v>
      </c>
      <c r="DL1859" s="496" t="s">
        <v>4633</v>
      </c>
      <c r="DM1859" s="496" t="s">
        <v>3961</v>
      </c>
      <c r="DN1859" s="497" t="s">
        <v>3962</v>
      </c>
      <c r="DP1859" s="543">
        <v>1</v>
      </c>
    </row>
    <row r="1860" spans="109:120" ht="25.5">
      <c r="DE1860" s="494"/>
      <c r="DF1860" s="496" t="s">
        <v>4732</v>
      </c>
      <c r="DG1860" s="496" t="s">
        <v>11</v>
      </c>
      <c r="DH1860" s="496" t="s">
        <v>1511</v>
      </c>
      <c r="DI1860" s="496" t="s">
        <v>4733</v>
      </c>
      <c r="DJ1860" s="496" t="s">
        <v>4733</v>
      </c>
      <c r="DK1860" s="496" t="s">
        <v>3959</v>
      </c>
      <c r="DL1860" s="496" t="s">
        <v>4633</v>
      </c>
      <c r="DM1860" s="496" t="s">
        <v>3961</v>
      </c>
      <c r="DN1860" s="497" t="s">
        <v>3962</v>
      </c>
      <c r="DP1860" s="543">
        <v>1</v>
      </c>
    </row>
    <row r="1861" spans="109:120" ht="25.5">
      <c r="DE1861" s="494"/>
      <c r="DF1861" s="496" t="s">
        <v>4734</v>
      </c>
      <c r="DG1861" s="496" t="s">
        <v>11</v>
      </c>
      <c r="DH1861" s="496" t="s">
        <v>1511</v>
      </c>
      <c r="DI1861" s="496" t="s">
        <v>4735</v>
      </c>
      <c r="DJ1861" s="496" t="s">
        <v>4736</v>
      </c>
      <c r="DK1861" s="496" t="s">
        <v>3959</v>
      </c>
      <c r="DL1861" s="496" t="s">
        <v>4633</v>
      </c>
      <c r="DM1861" s="496" t="s">
        <v>3961</v>
      </c>
      <c r="DN1861" s="497" t="s">
        <v>3962</v>
      </c>
      <c r="DP1861" s="543">
        <v>1</v>
      </c>
    </row>
    <row r="1862" spans="109:120" ht="25.5">
      <c r="DE1862" s="494"/>
      <c r="DF1862" s="496" t="s">
        <v>4737</v>
      </c>
      <c r="DG1862" s="496" t="s">
        <v>11</v>
      </c>
      <c r="DH1862" s="496" t="s">
        <v>1511</v>
      </c>
      <c r="DI1862" s="496" t="s">
        <v>923</v>
      </c>
      <c r="DJ1862" s="496" t="s">
        <v>923</v>
      </c>
      <c r="DK1862" s="496" t="s">
        <v>3959</v>
      </c>
      <c r="DL1862" s="496" t="s">
        <v>4633</v>
      </c>
      <c r="DM1862" s="496" t="s">
        <v>3961</v>
      </c>
      <c r="DN1862" s="497" t="s">
        <v>3962</v>
      </c>
      <c r="DP1862" s="543">
        <v>1</v>
      </c>
    </row>
    <row r="1863" spans="109:120" ht="15">
      <c r="DE1863" s="494"/>
      <c r="DF1863" s="496" t="s">
        <v>4738</v>
      </c>
      <c r="DG1863" s="496" t="s">
        <v>11</v>
      </c>
      <c r="DH1863" s="496" t="s">
        <v>1511</v>
      </c>
      <c r="DI1863" s="496" t="s">
        <v>1534</v>
      </c>
      <c r="DJ1863" s="496" t="s">
        <v>1535</v>
      </c>
      <c r="DK1863" s="496" t="s">
        <v>1151</v>
      </c>
      <c r="DL1863" s="496" t="s">
        <v>1518</v>
      </c>
      <c r="DM1863" s="496" t="s">
        <v>1087</v>
      </c>
      <c r="DN1863" s="497" t="s">
        <v>1153</v>
      </c>
      <c r="DP1863" s="543">
        <v>1</v>
      </c>
    </row>
    <row r="1864" spans="109:120" ht="15">
      <c r="DE1864" s="494"/>
      <c r="DF1864" s="496" t="s">
        <v>4739</v>
      </c>
      <c r="DG1864" s="496" t="s">
        <v>11</v>
      </c>
      <c r="DH1864" s="496" t="s">
        <v>1511</v>
      </c>
      <c r="DI1864" s="496" t="s">
        <v>4740</v>
      </c>
      <c r="DJ1864" s="496" t="s">
        <v>4740</v>
      </c>
      <c r="DK1864" s="496" t="s">
        <v>1085</v>
      </c>
      <c r="DL1864" s="496" t="s">
        <v>1914</v>
      </c>
      <c r="DM1864" s="496" t="s">
        <v>1087</v>
      </c>
      <c r="DN1864" s="497" t="s">
        <v>1088</v>
      </c>
      <c r="DP1864" s="543">
        <v>1</v>
      </c>
    </row>
    <row r="1865" spans="109:120" ht="25.5">
      <c r="DE1865" s="494"/>
      <c r="DF1865" s="496" t="s">
        <v>4741</v>
      </c>
      <c r="DG1865" s="496" t="s">
        <v>11</v>
      </c>
      <c r="DH1865" s="496" t="s">
        <v>1511</v>
      </c>
      <c r="DI1865" s="496" t="s">
        <v>924</v>
      </c>
      <c r="DJ1865" s="496" t="s">
        <v>924</v>
      </c>
      <c r="DK1865" s="496" t="s">
        <v>3959</v>
      </c>
      <c r="DL1865" s="496" t="s">
        <v>4633</v>
      </c>
      <c r="DM1865" s="496" t="s">
        <v>3961</v>
      </c>
      <c r="DN1865" s="497" t="s">
        <v>3962</v>
      </c>
      <c r="DP1865" s="543">
        <v>1</v>
      </c>
    </row>
    <row r="1866" spans="109:120" ht="15">
      <c r="DE1866" s="494"/>
      <c r="DF1866" s="496" t="s">
        <v>4742</v>
      </c>
      <c r="DG1866" s="496" t="s">
        <v>11</v>
      </c>
      <c r="DH1866" s="496" t="s">
        <v>1511</v>
      </c>
      <c r="DI1866" s="496" t="s">
        <v>4743</v>
      </c>
      <c r="DJ1866" s="496" t="s">
        <v>4743</v>
      </c>
      <c r="DK1866" s="496" t="s">
        <v>1151</v>
      </c>
      <c r="DL1866" s="496" t="s">
        <v>1518</v>
      </c>
      <c r="DM1866" s="496" t="s">
        <v>1087</v>
      </c>
      <c r="DN1866" s="497" t="s">
        <v>1153</v>
      </c>
      <c r="DP1866" s="543">
        <v>1</v>
      </c>
    </row>
    <row r="1867" spans="109:120" ht="25.5">
      <c r="DE1867" s="494"/>
      <c r="DF1867" s="496" t="s">
        <v>4744</v>
      </c>
      <c r="DG1867" s="496" t="s">
        <v>11</v>
      </c>
      <c r="DH1867" s="496" t="s">
        <v>1511</v>
      </c>
      <c r="DI1867" s="496" t="s">
        <v>4745</v>
      </c>
      <c r="DJ1867" s="496" t="s">
        <v>925</v>
      </c>
      <c r="DK1867" s="496" t="s">
        <v>3959</v>
      </c>
      <c r="DL1867" s="496" t="s">
        <v>4633</v>
      </c>
      <c r="DM1867" s="496" t="s">
        <v>3961</v>
      </c>
      <c r="DN1867" s="497" t="s">
        <v>3962</v>
      </c>
      <c r="DP1867" s="543">
        <v>1</v>
      </c>
    </row>
    <row r="1868" spans="109:120" ht="15">
      <c r="DE1868" s="494"/>
      <c r="DF1868" s="496" t="s">
        <v>4746</v>
      </c>
      <c r="DG1868" s="496" t="s">
        <v>11</v>
      </c>
      <c r="DH1868" s="496" t="s">
        <v>1511</v>
      </c>
      <c r="DI1868" s="496" t="s">
        <v>1544</v>
      </c>
      <c r="DJ1868" s="496" t="s">
        <v>1544</v>
      </c>
      <c r="DK1868" s="496" t="s">
        <v>1085</v>
      </c>
      <c r="DL1868" s="496" t="s">
        <v>1914</v>
      </c>
      <c r="DM1868" s="496" t="s">
        <v>1087</v>
      </c>
      <c r="DN1868" s="497" t="s">
        <v>1088</v>
      </c>
      <c r="DP1868" s="543">
        <v>1</v>
      </c>
    </row>
    <row r="1869" spans="109:120" ht="25.5">
      <c r="DE1869" s="494"/>
      <c r="DF1869" s="496" t="s">
        <v>4747</v>
      </c>
      <c r="DG1869" s="496" t="s">
        <v>11</v>
      </c>
      <c r="DH1869" s="496" t="s">
        <v>1511</v>
      </c>
      <c r="DI1869" s="496" t="s">
        <v>926</v>
      </c>
      <c r="DJ1869" s="496" t="s">
        <v>926</v>
      </c>
      <c r="DK1869" s="496" t="s">
        <v>3959</v>
      </c>
      <c r="DL1869" s="496" t="s">
        <v>4633</v>
      </c>
      <c r="DM1869" s="496" t="s">
        <v>3961</v>
      </c>
      <c r="DN1869" s="497" t="s">
        <v>3962</v>
      </c>
      <c r="DP1869" s="543">
        <v>1</v>
      </c>
    </row>
    <row r="1870" spans="109:120" ht="25.5">
      <c r="DE1870" s="494"/>
      <c r="DF1870" s="496" t="s">
        <v>4748</v>
      </c>
      <c r="DG1870" s="496" t="s">
        <v>11</v>
      </c>
      <c r="DH1870" s="496" t="s">
        <v>1511</v>
      </c>
      <c r="DI1870" s="496" t="s">
        <v>4749</v>
      </c>
      <c r="DJ1870" s="496" t="s">
        <v>4749</v>
      </c>
      <c r="DK1870" s="496" t="s">
        <v>3959</v>
      </c>
      <c r="DL1870" s="496" t="s">
        <v>4633</v>
      </c>
      <c r="DM1870" s="496" t="s">
        <v>3961</v>
      </c>
      <c r="DN1870" s="497" t="s">
        <v>3962</v>
      </c>
      <c r="DP1870" s="543">
        <v>1</v>
      </c>
    </row>
    <row r="1871" spans="109:120" ht="25.5">
      <c r="DE1871" s="494"/>
      <c r="DF1871" s="496" t="s">
        <v>4750</v>
      </c>
      <c r="DG1871" s="496" t="s">
        <v>11</v>
      </c>
      <c r="DH1871" s="496" t="s">
        <v>1511</v>
      </c>
      <c r="DI1871" s="496" t="s">
        <v>4751</v>
      </c>
      <c r="DJ1871" s="496" t="s">
        <v>4751</v>
      </c>
      <c r="DK1871" s="496" t="s">
        <v>3959</v>
      </c>
      <c r="DL1871" s="496" t="s">
        <v>4633</v>
      </c>
      <c r="DM1871" s="496" t="s">
        <v>3961</v>
      </c>
      <c r="DN1871" s="497" t="s">
        <v>3962</v>
      </c>
      <c r="DP1871" s="543">
        <v>1</v>
      </c>
    </row>
    <row r="1872" spans="109:120" ht="15">
      <c r="DE1872" s="494"/>
      <c r="DF1872" s="496" t="s">
        <v>4752</v>
      </c>
      <c r="DG1872" s="496" t="s">
        <v>11</v>
      </c>
      <c r="DH1872" s="496" t="s">
        <v>1511</v>
      </c>
      <c r="DI1872" s="496" t="s">
        <v>1952</v>
      </c>
      <c r="DJ1872" s="496" t="s">
        <v>1952</v>
      </c>
      <c r="DK1872" s="496" t="s">
        <v>1085</v>
      </c>
      <c r="DL1872" s="496" t="s">
        <v>1914</v>
      </c>
      <c r="DM1872" s="496" t="s">
        <v>1087</v>
      </c>
      <c r="DN1872" s="497" t="s">
        <v>1088</v>
      </c>
      <c r="DP1872" s="543">
        <v>1</v>
      </c>
    </row>
    <row r="1873" spans="109:120" ht="25.5">
      <c r="DE1873" s="494"/>
      <c r="DF1873" s="496" t="s">
        <v>4753</v>
      </c>
      <c r="DG1873" s="496" t="s">
        <v>11</v>
      </c>
      <c r="DH1873" s="496" t="s">
        <v>1511</v>
      </c>
      <c r="DI1873" s="496" t="s">
        <v>4754</v>
      </c>
      <c r="DJ1873" s="496" t="s">
        <v>4754</v>
      </c>
      <c r="DK1873" s="496" t="s">
        <v>3959</v>
      </c>
      <c r="DL1873" s="496" t="s">
        <v>4633</v>
      </c>
      <c r="DM1873" s="496" t="s">
        <v>3961</v>
      </c>
      <c r="DN1873" s="497" t="s">
        <v>3962</v>
      </c>
      <c r="DP1873" s="543">
        <v>1</v>
      </c>
    </row>
    <row r="1874" spans="109:120" ht="25.5">
      <c r="DE1874" s="494"/>
      <c r="DF1874" s="496" t="s">
        <v>4755</v>
      </c>
      <c r="DG1874" s="496" t="s">
        <v>11</v>
      </c>
      <c r="DH1874" s="496" t="s">
        <v>1511</v>
      </c>
      <c r="DI1874" s="496" t="s">
        <v>995</v>
      </c>
      <c r="DJ1874" s="496" t="s">
        <v>995</v>
      </c>
      <c r="DK1874" s="496" t="s">
        <v>3959</v>
      </c>
      <c r="DL1874" s="496" t="s">
        <v>4633</v>
      </c>
      <c r="DM1874" s="496" t="s">
        <v>3961</v>
      </c>
      <c r="DN1874" s="497" t="s">
        <v>3962</v>
      </c>
      <c r="DP1874" s="543">
        <v>1</v>
      </c>
    </row>
    <row r="1875" spans="109:120" ht="25.5">
      <c r="DE1875" s="494"/>
      <c r="DF1875" s="496" t="s">
        <v>4756</v>
      </c>
      <c r="DG1875" s="496" t="s">
        <v>11</v>
      </c>
      <c r="DH1875" s="496" t="s">
        <v>1511</v>
      </c>
      <c r="DI1875" s="496" t="s">
        <v>1055</v>
      </c>
      <c r="DJ1875" s="496" t="s">
        <v>1055</v>
      </c>
      <c r="DK1875" s="496" t="s">
        <v>3959</v>
      </c>
      <c r="DL1875" s="496" t="s">
        <v>4633</v>
      </c>
      <c r="DM1875" s="496" t="s">
        <v>3961</v>
      </c>
      <c r="DN1875" s="497" t="s">
        <v>3962</v>
      </c>
      <c r="DP1875" s="543">
        <v>1</v>
      </c>
    </row>
    <row r="1876" spans="109:120" ht="25.5">
      <c r="DE1876" s="494"/>
      <c r="DF1876" s="496" t="s">
        <v>4757</v>
      </c>
      <c r="DG1876" s="496" t="s">
        <v>11</v>
      </c>
      <c r="DH1876" s="496" t="s">
        <v>1511</v>
      </c>
      <c r="DI1876" s="496" t="s">
        <v>931</v>
      </c>
      <c r="DJ1876" s="496" t="s">
        <v>931</v>
      </c>
      <c r="DK1876" s="496" t="s">
        <v>3959</v>
      </c>
      <c r="DL1876" s="496" t="s">
        <v>4633</v>
      </c>
      <c r="DM1876" s="496" t="s">
        <v>3961</v>
      </c>
      <c r="DN1876" s="497" t="s">
        <v>3962</v>
      </c>
      <c r="DP1876" s="543">
        <v>1</v>
      </c>
    </row>
    <row r="1877" spans="109:120" ht="25.5">
      <c r="DE1877" s="494"/>
      <c r="DF1877" s="496" t="s">
        <v>4758</v>
      </c>
      <c r="DG1877" s="496" t="s">
        <v>11</v>
      </c>
      <c r="DH1877" s="496" t="s">
        <v>1511</v>
      </c>
      <c r="DI1877" s="496" t="s">
        <v>4759</v>
      </c>
      <c r="DJ1877" s="496" t="s">
        <v>4759</v>
      </c>
      <c r="DK1877" s="496" t="s">
        <v>3959</v>
      </c>
      <c r="DL1877" s="496" t="s">
        <v>4633</v>
      </c>
      <c r="DM1877" s="496" t="s">
        <v>3961</v>
      </c>
      <c r="DN1877" s="497" t="s">
        <v>3962</v>
      </c>
      <c r="DP1877" s="543">
        <v>1</v>
      </c>
    </row>
    <row r="1878" spans="109:120" ht="15">
      <c r="DE1878" s="494"/>
      <c r="DF1878" s="496" t="s">
        <v>4760</v>
      </c>
      <c r="DG1878" s="496" t="s">
        <v>11</v>
      </c>
      <c r="DH1878" s="496" t="s">
        <v>1511</v>
      </c>
      <c r="DI1878" s="496" t="s">
        <v>4761</v>
      </c>
      <c r="DJ1878" s="496" t="s">
        <v>4762</v>
      </c>
      <c r="DK1878" s="496" t="s">
        <v>1085</v>
      </c>
      <c r="DL1878" s="496" t="s">
        <v>1914</v>
      </c>
      <c r="DM1878" s="496" t="s">
        <v>1087</v>
      </c>
      <c r="DN1878" s="497" t="s">
        <v>1088</v>
      </c>
      <c r="DP1878" s="543">
        <v>1</v>
      </c>
    </row>
    <row r="1879" spans="109:120" ht="15">
      <c r="DE1879" s="494"/>
      <c r="DF1879" s="496" t="s">
        <v>4763</v>
      </c>
      <c r="DG1879" s="496" t="s">
        <v>11</v>
      </c>
      <c r="DH1879" s="496" t="s">
        <v>1511</v>
      </c>
      <c r="DI1879" s="496" t="s">
        <v>1433</v>
      </c>
      <c r="DJ1879" s="496" t="s">
        <v>1433</v>
      </c>
      <c r="DK1879" s="496" t="s">
        <v>1085</v>
      </c>
      <c r="DL1879" s="496" t="s">
        <v>1914</v>
      </c>
      <c r="DM1879" s="496" t="s">
        <v>1087</v>
      </c>
      <c r="DN1879" s="497" t="s">
        <v>1088</v>
      </c>
      <c r="DP1879" s="543">
        <v>1</v>
      </c>
    </row>
    <row r="1880" spans="109:120" ht="15">
      <c r="DE1880" s="494"/>
      <c r="DF1880" s="496" t="s">
        <v>4764</v>
      </c>
      <c r="DG1880" s="496" t="s">
        <v>11</v>
      </c>
      <c r="DH1880" s="496" t="s">
        <v>1511</v>
      </c>
      <c r="DI1880" s="496" t="s">
        <v>4765</v>
      </c>
      <c r="DJ1880" s="496" t="s">
        <v>4765</v>
      </c>
      <c r="DK1880" s="496" t="s">
        <v>1085</v>
      </c>
      <c r="DL1880" s="496" t="s">
        <v>1914</v>
      </c>
      <c r="DM1880" s="496" t="s">
        <v>1087</v>
      </c>
      <c r="DN1880" s="497" t="s">
        <v>1088</v>
      </c>
      <c r="DP1880" s="543">
        <v>1</v>
      </c>
    </row>
    <row r="1881" spans="109:120" ht="15">
      <c r="DE1881" s="494"/>
      <c r="DF1881" s="496" t="s">
        <v>4766</v>
      </c>
      <c r="DG1881" s="496" t="s">
        <v>11</v>
      </c>
      <c r="DH1881" s="496" t="s">
        <v>1960</v>
      </c>
      <c r="DI1881" s="496" t="s">
        <v>1961</v>
      </c>
      <c r="DJ1881" s="496" t="s">
        <v>1961</v>
      </c>
      <c r="DK1881" s="496" t="s">
        <v>1151</v>
      </c>
      <c r="DL1881" s="496" t="s">
        <v>1962</v>
      </c>
      <c r="DM1881" s="496" t="s">
        <v>1087</v>
      </c>
      <c r="DN1881" s="497" t="s">
        <v>1153</v>
      </c>
      <c r="DP1881" s="543">
        <v>1</v>
      </c>
    </row>
    <row r="1882" spans="109:120" ht="15">
      <c r="DE1882" s="494"/>
      <c r="DF1882" s="496" t="s">
        <v>4767</v>
      </c>
      <c r="DG1882" s="496" t="s">
        <v>11</v>
      </c>
      <c r="DH1882" s="496" t="s">
        <v>1960</v>
      </c>
      <c r="DI1882" s="496" t="s">
        <v>1964</v>
      </c>
      <c r="DJ1882" s="496" t="s">
        <v>1965</v>
      </c>
      <c r="DK1882" s="496" t="s">
        <v>1151</v>
      </c>
      <c r="DL1882" s="496" t="s">
        <v>1962</v>
      </c>
      <c r="DM1882" s="496" t="s">
        <v>1087</v>
      </c>
      <c r="DN1882" s="497" t="s">
        <v>1153</v>
      </c>
      <c r="DP1882" s="543">
        <v>1</v>
      </c>
    </row>
    <row r="1883" spans="109:120" ht="15">
      <c r="DE1883" s="494"/>
      <c r="DF1883" s="496" t="s">
        <v>4768</v>
      </c>
      <c r="DG1883" s="496" t="s">
        <v>11</v>
      </c>
      <c r="DH1883" s="496" t="s">
        <v>1960</v>
      </c>
      <c r="DI1883" s="496" t="s">
        <v>1967</v>
      </c>
      <c r="DJ1883" s="496" t="s">
        <v>1968</v>
      </c>
      <c r="DK1883" s="496" t="s">
        <v>1151</v>
      </c>
      <c r="DL1883" s="496" t="s">
        <v>1962</v>
      </c>
      <c r="DM1883" s="496" t="s">
        <v>1087</v>
      </c>
      <c r="DN1883" s="497" t="s">
        <v>1153</v>
      </c>
      <c r="DP1883" s="543">
        <v>1</v>
      </c>
    </row>
    <row r="1884" spans="109:120" ht="15">
      <c r="DE1884" s="494"/>
      <c r="DF1884" s="496" t="s">
        <v>4769</v>
      </c>
      <c r="DG1884" s="496" t="s">
        <v>11</v>
      </c>
      <c r="DH1884" s="496" t="s">
        <v>1960</v>
      </c>
      <c r="DI1884" s="496" t="s">
        <v>1970</v>
      </c>
      <c r="DJ1884" s="496" t="s">
        <v>1971</v>
      </c>
      <c r="DK1884" s="496" t="s">
        <v>1151</v>
      </c>
      <c r="DL1884" s="496" t="s">
        <v>1962</v>
      </c>
      <c r="DM1884" s="496" t="s">
        <v>1087</v>
      </c>
      <c r="DN1884" s="497" t="s">
        <v>1153</v>
      </c>
      <c r="DP1884" s="543">
        <v>1</v>
      </c>
    </row>
    <row r="1885" spans="109:120" ht="15">
      <c r="DE1885" s="494"/>
      <c r="DF1885" s="496" t="s">
        <v>4770</v>
      </c>
      <c r="DG1885" s="496" t="s">
        <v>11</v>
      </c>
      <c r="DH1885" s="496" t="s">
        <v>1960</v>
      </c>
      <c r="DI1885" s="496" t="s">
        <v>1478</v>
      </c>
      <c r="DJ1885" s="496" t="s">
        <v>860</v>
      </c>
      <c r="DK1885" s="496" t="s">
        <v>1151</v>
      </c>
      <c r="DL1885" s="496" t="s">
        <v>1962</v>
      </c>
      <c r="DM1885" s="496" t="s">
        <v>1087</v>
      </c>
      <c r="DN1885" s="497" t="s">
        <v>1153</v>
      </c>
      <c r="DP1885" s="543">
        <v>1</v>
      </c>
    </row>
    <row r="1886" spans="109:120" ht="15">
      <c r="DE1886" s="494"/>
      <c r="DF1886" s="496" t="s">
        <v>4771</v>
      </c>
      <c r="DG1886" s="496" t="s">
        <v>11</v>
      </c>
      <c r="DH1886" s="496" t="s">
        <v>1960</v>
      </c>
      <c r="DI1886" s="496" t="s">
        <v>857</v>
      </c>
      <c r="DJ1886" s="496" t="s">
        <v>861</v>
      </c>
      <c r="DK1886" s="496" t="s">
        <v>1151</v>
      </c>
      <c r="DL1886" s="496" t="s">
        <v>1962</v>
      </c>
      <c r="DM1886" s="496" t="s">
        <v>1087</v>
      </c>
      <c r="DN1886" s="497" t="s">
        <v>1153</v>
      </c>
      <c r="DP1886" s="543">
        <v>1</v>
      </c>
    </row>
    <row r="1887" spans="109:120" ht="15">
      <c r="DE1887" s="494"/>
      <c r="DF1887" s="496" t="s">
        <v>4772</v>
      </c>
      <c r="DG1887" s="496" t="s">
        <v>11</v>
      </c>
      <c r="DH1887" s="496" t="s">
        <v>1960</v>
      </c>
      <c r="DI1887" s="496" t="s">
        <v>1486</v>
      </c>
      <c r="DJ1887" s="496" t="s">
        <v>864</v>
      </c>
      <c r="DK1887" s="496" t="s">
        <v>1151</v>
      </c>
      <c r="DL1887" s="496" t="s">
        <v>1962</v>
      </c>
      <c r="DM1887" s="496" t="s">
        <v>1087</v>
      </c>
      <c r="DN1887" s="497" t="s">
        <v>1153</v>
      </c>
      <c r="DP1887" s="543">
        <v>1</v>
      </c>
    </row>
    <row r="1888" spans="109:120" ht="15">
      <c r="DE1888" s="494"/>
      <c r="DF1888" s="496" t="s">
        <v>4773</v>
      </c>
      <c r="DG1888" s="496" t="s">
        <v>11</v>
      </c>
      <c r="DH1888" s="496" t="s">
        <v>1960</v>
      </c>
      <c r="DI1888" s="496" t="s">
        <v>1976</v>
      </c>
      <c r="DJ1888" s="496" t="s">
        <v>1976</v>
      </c>
      <c r="DK1888" s="496" t="s">
        <v>1151</v>
      </c>
      <c r="DL1888" s="496" t="s">
        <v>1962</v>
      </c>
      <c r="DM1888" s="496" t="s">
        <v>1087</v>
      </c>
      <c r="DN1888" s="497" t="s">
        <v>1153</v>
      </c>
      <c r="DP1888" s="543">
        <v>1</v>
      </c>
    </row>
    <row r="1889" spans="109:120" ht="15">
      <c r="DE1889" s="494"/>
      <c r="DF1889" s="496" t="s">
        <v>4774</v>
      </c>
      <c r="DG1889" s="496" t="s">
        <v>11</v>
      </c>
      <c r="DH1889" s="496" t="s">
        <v>1960</v>
      </c>
      <c r="DI1889" s="496" t="s">
        <v>1978</v>
      </c>
      <c r="DJ1889" s="496" t="s">
        <v>1978</v>
      </c>
      <c r="DK1889" s="496" t="s">
        <v>1151</v>
      </c>
      <c r="DL1889" s="496" t="s">
        <v>1962</v>
      </c>
      <c r="DM1889" s="496" t="s">
        <v>1087</v>
      </c>
      <c r="DN1889" s="497" t="s">
        <v>1153</v>
      </c>
      <c r="DP1889" s="543">
        <v>1</v>
      </c>
    </row>
    <row r="1890" spans="109:120" ht="15">
      <c r="DE1890" s="494"/>
      <c r="DF1890" s="496" t="s">
        <v>4775</v>
      </c>
      <c r="DG1890" s="496" t="s">
        <v>241</v>
      </c>
      <c r="DH1890" s="496" t="s">
        <v>689</v>
      </c>
      <c r="DI1890" s="496" t="s">
        <v>294</v>
      </c>
      <c r="DJ1890" s="496" t="s">
        <v>294</v>
      </c>
      <c r="DK1890" s="496" t="s">
        <v>1151</v>
      </c>
      <c r="DL1890" s="496" t="s">
        <v>1152</v>
      </c>
      <c r="DM1890" s="496" t="s">
        <v>1087</v>
      </c>
      <c r="DN1890" s="497" t="s">
        <v>1153</v>
      </c>
      <c r="DP1890" s="543">
        <v>1</v>
      </c>
    </row>
    <row r="1891" spans="109:120" ht="15">
      <c r="DE1891" s="494"/>
      <c r="DF1891" s="496" t="s">
        <v>4776</v>
      </c>
      <c r="DG1891" s="496" t="s">
        <v>241</v>
      </c>
      <c r="DH1891" s="496" t="s">
        <v>689</v>
      </c>
      <c r="DI1891" s="496" t="s">
        <v>4777</v>
      </c>
      <c r="DJ1891" s="496" t="s">
        <v>4777</v>
      </c>
      <c r="DK1891" s="496" t="s">
        <v>1151</v>
      </c>
      <c r="DL1891" s="496" t="s">
        <v>1152</v>
      </c>
      <c r="DM1891" s="496" t="s">
        <v>1087</v>
      </c>
      <c r="DN1891" s="497" t="s">
        <v>1153</v>
      </c>
      <c r="DP1891" s="543">
        <v>1</v>
      </c>
    </row>
    <row r="1892" spans="109:120" ht="15">
      <c r="DE1892" s="494"/>
      <c r="DF1892" s="496" t="s">
        <v>4778</v>
      </c>
      <c r="DG1892" s="496" t="s">
        <v>241</v>
      </c>
      <c r="DH1892" s="496" t="s">
        <v>689</v>
      </c>
      <c r="DI1892" s="496" t="s">
        <v>24</v>
      </c>
      <c r="DJ1892" s="496" t="s">
        <v>24</v>
      </c>
      <c r="DK1892" s="496" t="s">
        <v>1085</v>
      </c>
      <c r="DL1892" s="496" t="s">
        <v>4779</v>
      </c>
      <c r="DM1892" s="496" t="s">
        <v>1087</v>
      </c>
      <c r="DN1892" s="497" t="s">
        <v>1088</v>
      </c>
      <c r="DP1892" s="543">
        <v>1</v>
      </c>
    </row>
    <row r="1893" spans="109:120" ht="15">
      <c r="DE1893" s="494"/>
      <c r="DF1893" s="496" t="s">
        <v>4780</v>
      </c>
      <c r="DG1893" s="496" t="s">
        <v>241</v>
      </c>
      <c r="DH1893" s="496" t="s">
        <v>689</v>
      </c>
      <c r="DI1893" s="496" t="s">
        <v>34</v>
      </c>
      <c r="DJ1893" s="496" t="s">
        <v>34</v>
      </c>
      <c r="DK1893" s="496" t="s">
        <v>1085</v>
      </c>
      <c r="DL1893" s="496" t="s">
        <v>4779</v>
      </c>
      <c r="DM1893" s="496" t="s">
        <v>1087</v>
      </c>
      <c r="DN1893" s="497" t="s">
        <v>1088</v>
      </c>
      <c r="DP1893" s="543">
        <v>1</v>
      </c>
    </row>
    <row r="1894" spans="109:120" ht="15">
      <c r="DE1894" s="494"/>
      <c r="DF1894" s="496" t="s">
        <v>4781</v>
      </c>
      <c r="DG1894" s="496" t="s">
        <v>241</v>
      </c>
      <c r="DH1894" s="496" t="s">
        <v>689</v>
      </c>
      <c r="DI1894" s="496" t="s">
        <v>4782</v>
      </c>
      <c r="DJ1894" s="496" t="s">
        <v>4782</v>
      </c>
      <c r="DK1894" s="496" t="s">
        <v>1085</v>
      </c>
      <c r="DL1894" s="496" t="s">
        <v>4779</v>
      </c>
      <c r="DM1894" s="496" t="s">
        <v>1087</v>
      </c>
      <c r="DN1894" s="497" t="s">
        <v>1088</v>
      </c>
      <c r="DP1894" s="543">
        <v>1</v>
      </c>
    </row>
    <row r="1895" spans="109:120" ht="15">
      <c r="DE1895" s="494"/>
      <c r="DF1895" s="496" t="s">
        <v>4783</v>
      </c>
      <c r="DG1895" s="496" t="s">
        <v>241</v>
      </c>
      <c r="DH1895" s="496" t="s">
        <v>689</v>
      </c>
      <c r="DI1895" s="496" t="s">
        <v>4784</v>
      </c>
      <c r="DJ1895" s="496" t="s">
        <v>4784</v>
      </c>
      <c r="DK1895" s="496" t="s">
        <v>1085</v>
      </c>
      <c r="DL1895" s="496" t="s">
        <v>4779</v>
      </c>
      <c r="DM1895" s="496" t="s">
        <v>1087</v>
      </c>
      <c r="DN1895" s="497" t="s">
        <v>1088</v>
      </c>
      <c r="DP1895" s="543">
        <v>1</v>
      </c>
    </row>
    <row r="1896" spans="109:120" ht="15">
      <c r="DE1896" s="494"/>
      <c r="DF1896" s="496" t="s">
        <v>4785</v>
      </c>
      <c r="DG1896" s="496" t="s">
        <v>241</v>
      </c>
      <c r="DH1896" s="496" t="s">
        <v>689</v>
      </c>
      <c r="DI1896" s="496" t="s">
        <v>295</v>
      </c>
      <c r="DJ1896" s="496" t="s">
        <v>295</v>
      </c>
      <c r="DK1896" s="496" t="s">
        <v>1151</v>
      </c>
      <c r="DL1896" s="496" t="s">
        <v>1152</v>
      </c>
      <c r="DM1896" s="496" t="s">
        <v>1087</v>
      </c>
      <c r="DN1896" s="497" t="s">
        <v>1153</v>
      </c>
      <c r="DP1896" s="543">
        <v>1</v>
      </c>
    </row>
    <row r="1897" spans="109:120" ht="15">
      <c r="DE1897" s="494"/>
      <c r="DF1897" s="496" t="s">
        <v>4786</v>
      </c>
      <c r="DG1897" s="496" t="s">
        <v>241</v>
      </c>
      <c r="DH1897" s="496" t="s">
        <v>689</v>
      </c>
      <c r="DI1897" s="496" t="s">
        <v>4787</v>
      </c>
      <c r="DJ1897" s="496" t="s">
        <v>4787</v>
      </c>
      <c r="DK1897" s="496" t="s">
        <v>1151</v>
      </c>
      <c r="DL1897" s="496" t="s">
        <v>1152</v>
      </c>
      <c r="DM1897" s="496" t="s">
        <v>1087</v>
      </c>
      <c r="DN1897" s="497" t="s">
        <v>1153</v>
      </c>
      <c r="DP1897" s="543">
        <v>1</v>
      </c>
    </row>
    <row r="1898" spans="109:120" ht="15">
      <c r="DE1898" s="494"/>
      <c r="DF1898" s="496" t="s">
        <v>4788</v>
      </c>
      <c r="DG1898" s="496" t="s">
        <v>241</v>
      </c>
      <c r="DH1898" s="496" t="s">
        <v>689</v>
      </c>
      <c r="DI1898" s="496" t="s">
        <v>97</v>
      </c>
      <c r="DJ1898" s="496" t="s">
        <v>97</v>
      </c>
      <c r="DK1898" s="496" t="s">
        <v>1085</v>
      </c>
      <c r="DL1898" s="496" t="s">
        <v>4779</v>
      </c>
      <c r="DM1898" s="496" t="s">
        <v>1087</v>
      </c>
      <c r="DN1898" s="497" t="s">
        <v>1088</v>
      </c>
      <c r="DP1898" s="543">
        <v>1</v>
      </c>
    </row>
    <row r="1899" spans="109:120" ht="15">
      <c r="DE1899" s="494"/>
      <c r="DF1899" s="496" t="s">
        <v>4789</v>
      </c>
      <c r="DG1899" s="496" t="s">
        <v>241</v>
      </c>
      <c r="DH1899" s="496" t="s">
        <v>689</v>
      </c>
      <c r="DI1899" s="496" t="s">
        <v>112</v>
      </c>
      <c r="DJ1899" s="496" t="s">
        <v>112</v>
      </c>
      <c r="DK1899" s="496" t="s">
        <v>1085</v>
      </c>
      <c r="DL1899" s="496" t="s">
        <v>4779</v>
      </c>
      <c r="DM1899" s="496" t="s">
        <v>1087</v>
      </c>
      <c r="DN1899" s="497" t="s">
        <v>1088</v>
      </c>
      <c r="DP1899" s="543">
        <v>1</v>
      </c>
    </row>
    <row r="1900" spans="109:120" ht="15">
      <c r="DE1900" s="494"/>
      <c r="DF1900" s="496" t="s">
        <v>4790</v>
      </c>
      <c r="DG1900" s="496" t="s">
        <v>241</v>
      </c>
      <c r="DH1900" s="496" t="s">
        <v>689</v>
      </c>
      <c r="DI1900" s="496" t="s">
        <v>296</v>
      </c>
      <c r="DJ1900" s="496" t="s">
        <v>296</v>
      </c>
      <c r="DK1900" s="496" t="s">
        <v>1151</v>
      </c>
      <c r="DL1900" s="496" t="s">
        <v>1152</v>
      </c>
      <c r="DM1900" s="496" t="s">
        <v>1087</v>
      </c>
      <c r="DN1900" s="497" t="s">
        <v>1153</v>
      </c>
      <c r="DP1900" s="543">
        <v>1</v>
      </c>
    </row>
    <row r="1901" spans="109:120" ht="15">
      <c r="DE1901" s="494"/>
      <c r="DF1901" s="496" t="s">
        <v>4791</v>
      </c>
      <c r="DG1901" s="496" t="s">
        <v>241</v>
      </c>
      <c r="DH1901" s="496" t="s">
        <v>689</v>
      </c>
      <c r="DI1901" s="496" t="s">
        <v>4792</v>
      </c>
      <c r="DJ1901" s="496" t="s">
        <v>4792</v>
      </c>
      <c r="DK1901" s="496" t="s">
        <v>1151</v>
      </c>
      <c r="DL1901" s="496" t="s">
        <v>1152</v>
      </c>
      <c r="DM1901" s="496" t="s">
        <v>1087</v>
      </c>
      <c r="DN1901" s="497" t="s">
        <v>1153</v>
      </c>
      <c r="DP1901" s="543">
        <v>1</v>
      </c>
    </row>
    <row r="1902" spans="109:120" ht="15">
      <c r="DE1902" s="494"/>
      <c r="DF1902" s="496" t="s">
        <v>4793</v>
      </c>
      <c r="DG1902" s="496" t="s">
        <v>241</v>
      </c>
      <c r="DH1902" s="496" t="s">
        <v>689</v>
      </c>
      <c r="DI1902" s="496" t="s">
        <v>4794</v>
      </c>
      <c r="DJ1902" s="496" t="s">
        <v>4794</v>
      </c>
      <c r="DK1902" s="496" t="s">
        <v>1085</v>
      </c>
      <c r="DL1902" s="496" t="s">
        <v>4779</v>
      </c>
      <c r="DM1902" s="496" t="s">
        <v>1087</v>
      </c>
      <c r="DN1902" s="497" t="s">
        <v>1088</v>
      </c>
      <c r="DP1902" s="543">
        <v>1</v>
      </c>
    </row>
    <row r="1903" spans="109:120" ht="15">
      <c r="DE1903" s="494"/>
      <c r="DF1903" s="496" t="s">
        <v>4795</v>
      </c>
      <c r="DG1903" s="496" t="s">
        <v>241</v>
      </c>
      <c r="DH1903" s="496" t="s">
        <v>689</v>
      </c>
      <c r="DI1903" s="496" t="s">
        <v>4796</v>
      </c>
      <c r="DJ1903" s="496" t="s">
        <v>4796</v>
      </c>
      <c r="DK1903" s="496" t="s">
        <v>1085</v>
      </c>
      <c r="DL1903" s="496" t="s">
        <v>4779</v>
      </c>
      <c r="DM1903" s="496" t="s">
        <v>1087</v>
      </c>
      <c r="DN1903" s="497" t="s">
        <v>1088</v>
      </c>
      <c r="DP1903" s="543">
        <v>1</v>
      </c>
    </row>
    <row r="1904" spans="109:120" ht="15">
      <c r="DE1904" s="494"/>
      <c r="DF1904" s="496" t="s">
        <v>4797</v>
      </c>
      <c r="DG1904" s="496" t="s">
        <v>241</v>
      </c>
      <c r="DH1904" s="496" t="s">
        <v>689</v>
      </c>
      <c r="DI1904" s="496" t="s">
        <v>706</v>
      </c>
      <c r="DJ1904" s="496" t="s">
        <v>706</v>
      </c>
      <c r="DK1904" s="496" t="s">
        <v>1085</v>
      </c>
      <c r="DL1904" s="496" t="s">
        <v>4779</v>
      </c>
      <c r="DM1904" s="496" t="s">
        <v>1087</v>
      </c>
      <c r="DN1904" s="497" t="s">
        <v>1088</v>
      </c>
      <c r="DP1904" s="543">
        <v>1</v>
      </c>
    </row>
    <row r="1905" spans="109:120" ht="15">
      <c r="DE1905" s="494"/>
      <c r="DF1905" s="496" t="s">
        <v>4798</v>
      </c>
      <c r="DG1905" s="496" t="s">
        <v>241</v>
      </c>
      <c r="DH1905" s="496" t="s">
        <v>689</v>
      </c>
      <c r="DI1905" s="496" t="s">
        <v>705</v>
      </c>
      <c r="DJ1905" s="496" t="s">
        <v>705</v>
      </c>
      <c r="DK1905" s="496" t="s">
        <v>1085</v>
      </c>
      <c r="DL1905" s="496" t="s">
        <v>4779</v>
      </c>
      <c r="DM1905" s="496" t="s">
        <v>1087</v>
      </c>
      <c r="DN1905" s="497" t="s">
        <v>1088</v>
      </c>
      <c r="DP1905" s="543">
        <v>1</v>
      </c>
    </row>
    <row r="1906" spans="109:120" ht="15">
      <c r="DE1906" s="494"/>
      <c r="DF1906" s="496" t="s">
        <v>4799</v>
      </c>
      <c r="DG1906" s="496" t="s">
        <v>241</v>
      </c>
      <c r="DH1906" s="496" t="s">
        <v>689</v>
      </c>
      <c r="DI1906" s="496" t="s">
        <v>878</v>
      </c>
      <c r="DJ1906" s="496" t="s">
        <v>878</v>
      </c>
      <c r="DK1906" s="496" t="s">
        <v>1085</v>
      </c>
      <c r="DL1906" s="496" t="s">
        <v>4779</v>
      </c>
      <c r="DM1906" s="496" t="s">
        <v>1087</v>
      </c>
      <c r="DN1906" s="497" t="s">
        <v>1088</v>
      </c>
      <c r="DP1906" s="543">
        <v>1</v>
      </c>
    </row>
    <row r="1907" spans="109:120" ht="15">
      <c r="DE1907" s="494"/>
      <c r="DF1907" s="496" t="s">
        <v>4800</v>
      </c>
      <c r="DG1907" s="496" t="s">
        <v>241</v>
      </c>
      <c r="DH1907" s="496" t="s">
        <v>689</v>
      </c>
      <c r="DI1907" s="496" t="s">
        <v>297</v>
      </c>
      <c r="DJ1907" s="496" t="s">
        <v>297</v>
      </c>
      <c r="DK1907" s="496" t="s">
        <v>1085</v>
      </c>
      <c r="DL1907" s="496" t="s">
        <v>4779</v>
      </c>
      <c r="DM1907" s="496" t="s">
        <v>1087</v>
      </c>
      <c r="DN1907" s="497" t="s">
        <v>1088</v>
      </c>
      <c r="DP1907" s="543">
        <v>1</v>
      </c>
    </row>
    <row r="1908" spans="109:120" ht="15">
      <c r="DE1908" s="494"/>
      <c r="DF1908" s="496" t="s">
        <v>4801</v>
      </c>
      <c r="DG1908" s="496" t="s">
        <v>241</v>
      </c>
      <c r="DH1908" s="496" t="s">
        <v>689</v>
      </c>
      <c r="DI1908" s="496" t="s">
        <v>298</v>
      </c>
      <c r="DJ1908" s="496" t="s">
        <v>298</v>
      </c>
      <c r="DK1908" s="496" t="s">
        <v>1151</v>
      </c>
      <c r="DL1908" s="496" t="s">
        <v>1152</v>
      </c>
      <c r="DM1908" s="496" t="s">
        <v>1087</v>
      </c>
      <c r="DN1908" s="497" t="s">
        <v>1153</v>
      </c>
      <c r="DP1908" s="543">
        <v>1</v>
      </c>
    </row>
    <row r="1909" spans="109:120" ht="15">
      <c r="DE1909" s="494"/>
      <c r="DF1909" s="496" t="s">
        <v>4802</v>
      </c>
      <c r="DG1909" s="496" t="s">
        <v>241</v>
      </c>
      <c r="DH1909" s="496" t="s">
        <v>689</v>
      </c>
      <c r="DI1909" s="496" t="s">
        <v>4803</v>
      </c>
      <c r="DJ1909" s="496" t="s">
        <v>4803</v>
      </c>
      <c r="DK1909" s="496" t="s">
        <v>1151</v>
      </c>
      <c r="DL1909" s="496" t="s">
        <v>1152</v>
      </c>
      <c r="DM1909" s="496" t="s">
        <v>1087</v>
      </c>
      <c r="DN1909" s="497" t="s">
        <v>1153</v>
      </c>
      <c r="DP1909" s="543">
        <v>1</v>
      </c>
    </row>
    <row r="1910" spans="109:120" ht="15">
      <c r="DE1910" s="494"/>
      <c r="DF1910" s="496" t="s">
        <v>4804</v>
      </c>
      <c r="DG1910" s="496" t="s">
        <v>241</v>
      </c>
      <c r="DH1910" s="496" t="s">
        <v>689</v>
      </c>
      <c r="DI1910" s="496" t="s">
        <v>4805</v>
      </c>
      <c r="DJ1910" s="496" t="s">
        <v>4805</v>
      </c>
      <c r="DK1910" s="496" t="s">
        <v>1085</v>
      </c>
      <c r="DL1910" s="496" t="s">
        <v>4779</v>
      </c>
      <c r="DM1910" s="496" t="s">
        <v>1087</v>
      </c>
      <c r="DN1910" s="497" t="s">
        <v>1088</v>
      </c>
      <c r="DP1910" s="543">
        <v>1</v>
      </c>
    </row>
    <row r="1911" spans="109:120" ht="15">
      <c r="DE1911" s="494"/>
      <c r="DF1911" s="496" t="s">
        <v>4806</v>
      </c>
      <c r="DG1911" s="496" t="s">
        <v>241</v>
      </c>
      <c r="DH1911" s="496" t="s">
        <v>689</v>
      </c>
      <c r="DI1911" s="496" t="s">
        <v>4807</v>
      </c>
      <c r="DJ1911" s="496" t="s">
        <v>4807</v>
      </c>
      <c r="DK1911" s="496" t="s">
        <v>1085</v>
      </c>
      <c r="DL1911" s="496" t="s">
        <v>4779</v>
      </c>
      <c r="DM1911" s="496" t="s">
        <v>1087</v>
      </c>
      <c r="DN1911" s="497" t="s">
        <v>1088</v>
      </c>
      <c r="DP1911" s="543">
        <v>1</v>
      </c>
    </row>
    <row r="1912" spans="109:120" ht="15">
      <c r="DE1912" s="494"/>
      <c r="DF1912" s="496" t="s">
        <v>4808</v>
      </c>
      <c r="DG1912" s="496" t="s">
        <v>241</v>
      </c>
      <c r="DH1912" s="496" t="s">
        <v>689</v>
      </c>
      <c r="DI1912" s="496" t="s">
        <v>147</v>
      </c>
      <c r="DJ1912" s="496" t="s">
        <v>147</v>
      </c>
      <c r="DK1912" s="496" t="s">
        <v>1085</v>
      </c>
      <c r="DL1912" s="496" t="s">
        <v>4779</v>
      </c>
      <c r="DM1912" s="496" t="s">
        <v>1087</v>
      </c>
      <c r="DN1912" s="497" t="s">
        <v>1088</v>
      </c>
      <c r="DP1912" s="543">
        <v>1</v>
      </c>
    </row>
    <row r="1913" spans="109:120" ht="15">
      <c r="DE1913" s="494"/>
      <c r="DF1913" s="496" t="s">
        <v>4809</v>
      </c>
      <c r="DG1913" s="496" t="s">
        <v>241</v>
      </c>
      <c r="DH1913" s="496" t="s">
        <v>689</v>
      </c>
      <c r="DI1913" s="496" t="s">
        <v>181</v>
      </c>
      <c r="DJ1913" s="496" t="s">
        <v>181</v>
      </c>
      <c r="DK1913" s="496" t="s">
        <v>1085</v>
      </c>
      <c r="DL1913" s="496" t="s">
        <v>4779</v>
      </c>
      <c r="DM1913" s="496" t="s">
        <v>1087</v>
      </c>
      <c r="DN1913" s="497" t="s">
        <v>1088</v>
      </c>
      <c r="DP1913" s="543">
        <v>1</v>
      </c>
    </row>
    <row r="1914" spans="109:120" ht="15">
      <c r="DE1914" s="494"/>
      <c r="DF1914" s="496" t="s">
        <v>4810</v>
      </c>
      <c r="DG1914" s="496" t="s">
        <v>241</v>
      </c>
      <c r="DH1914" s="496" t="s">
        <v>689</v>
      </c>
      <c r="DI1914" s="496" t="s">
        <v>190</v>
      </c>
      <c r="DJ1914" s="496" t="s">
        <v>190</v>
      </c>
      <c r="DK1914" s="496" t="s">
        <v>1085</v>
      </c>
      <c r="DL1914" s="496" t="s">
        <v>4779</v>
      </c>
      <c r="DM1914" s="496" t="s">
        <v>1087</v>
      </c>
      <c r="DN1914" s="497" t="s">
        <v>1088</v>
      </c>
      <c r="DP1914" s="543">
        <v>1</v>
      </c>
    </row>
    <row r="1915" spans="109:120" ht="15">
      <c r="DE1915" s="494"/>
      <c r="DF1915" s="496" t="s">
        <v>4811</v>
      </c>
      <c r="DG1915" s="496" t="s">
        <v>241</v>
      </c>
      <c r="DH1915" s="496" t="s">
        <v>689</v>
      </c>
      <c r="DI1915" s="496" t="s">
        <v>4812</v>
      </c>
      <c r="DJ1915" s="496" t="s">
        <v>4812</v>
      </c>
      <c r="DK1915" s="496" t="s">
        <v>1151</v>
      </c>
      <c r="DL1915" s="496" t="s">
        <v>1152</v>
      </c>
      <c r="DM1915" s="496" t="s">
        <v>1087</v>
      </c>
      <c r="DN1915" s="497" t="s">
        <v>1153</v>
      </c>
      <c r="DP1915" s="543">
        <v>1</v>
      </c>
    </row>
    <row r="1916" spans="109:120" ht="15">
      <c r="DE1916" s="494"/>
      <c r="DF1916" s="496" t="s">
        <v>4813</v>
      </c>
      <c r="DG1916" s="496" t="s">
        <v>241</v>
      </c>
      <c r="DH1916" s="496" t="s">
        <v>689</v>
      </c>
      <c r="DI1916" s="496" t="s">
        <v>4814</v>
      </c>
      <c r="DJ1916" s="496" t="s">
        <v>4814</v>
      </c>
      <c r="DK1916" s="496" t="s">
        <v>1151</v>
      </c>
      <c r="DL1916" s="496" t="s">
        <v>1152</v>
      </c>
      <c r="DM1916" s="496" t="s">
        <v>1087</v>
      </c>
      <c r="DN1916" s="497" t="s">
        <v>1153</v>
      </c>
      <c r="DP1916" s="543">
        <v>1</v>
      </c>
    </row>
    <row r="1917" spans="109:120" ht="15">
      <c r="DE1917" s="494"/>
      <c r="DF1917" s="496" t="s">
        <v>4815</v>
      </c>
      <c r="DG1917" s="496" t="s">
        <v>241</v>
      </c>
      <c r="DH1917" s="496" t="s">
        <v>689</v>
      </c>
      <c r="DI1917" s="496" t="s">
        <v>300</v>
      </c>
      <c r="DJ1917" s="496" t="s">
        <v>300</v>
      </c>
      <c r="DK1917" s="496" t="s">
        <v>1085</v>
      </c>
      <c r="DL1917" s="496" t="s">
        <v>4779</v>
      </c>
      <c r="DM1917" s="496" t="s">
        <v>1087</v>
      </c>
      <c r="DN1917" s="497" t="s">
        <v>1088</v>
      </c>
      <c r="DP1917" s="543">
        <v>1</v>
      </c>
    </row>
    <row r="1918" spans="109:120" ht="15">
      <c r="DE1918" s="494"/>
      <c r="DF1918" s="496" t="s">
        <v>4816</v>
      </c>
      <c r="DG1918" s="496" t="s">
        <v>241</v>
      </c>
      <c r="DH1918" s="496" t="s">
        <v>689</v>
      </c>
      <c r="DI1918" s="496" t="s">
        <v>4817</v>
      </c>
      <c r="DJ1918" s="496" t="s">
        <v>4817</v>
      </c>
      <c r="DK1918" s="496" t="s">
        <v>1085</v>
      </c>
      <c r="DL1918" s="496" t="s">
        <v>4779</v>
      </c>
      <c r="DM1918" s="496" t="s">
        <v>1087</v>
      </c>
      <c r="DN1918" s="497" t="s">
        <v>1088</v>
      </c>
      <c r="DP1918" s="543">
        <v>1</v>
      </c>
    </row>
    <row r="1919" spans="109:120" ht="15">
      <c r="DE1919" s="494"/>
      <c r="DF1919" s="496" t="s">
        <v>4818</v>
      </c>
      <c r="DG1919" s="496" t="s">
        <v>241</v>
      </c>
      <c r="DH1919" s="496" t="s">
        <v>689</v>
      </c>
      <c r="DI1919" s="496" t="s">
        <v>196</v>
      </c>
      <c r="DJ1919" s="496" t="s">
        <v>196</v>
      </c>
      <c r="DK1919" s="496" t="s">
        <v>1085</v>
      </c>
      <c r="DL1919" s="496" t="s">
        <v>4779</v>
      </c>
      <c r="DM1919" s="496" t="s">
        <v>1087</v>
      </c>
      <c r="DN1919" s="497" t="s">
        <v>1088</v>
      </c>
      <c r="DP1919" s="543">
        <v>1</v>
      </c>
    </row>
    <row r="1920" spans="109:120" ht="15">
      <c r="DE1920" s="494"/>
      <c r="DF1920" s="496" t="s">
        <v>4819</v>
      </c>
      <c r="DG1920" s="496" t="s">
        <v>241</v>
      </c>
      <c r="DH1920" s="496" t="s">
        <v>689</v>
      </c>
      <c r="DI1920" s="496" t="s">
        <v>200</v>
      </c>
      <c r="DJ1920" s="496" t="s">
        <v>200</v>
      </c>
      <c r="DK1920" s="496" t="s">
        <v>1085</v>
      </c>
      <c r="DL1920" s="496" t="s">
        <v>4779</v>
      </c>
      <c r="DM1920" s="496" t="s">
        <v>1087</v>
      </c>
      <c r="DN1920" s="497" t="s">
        <v>1088</v>
      </c>
      <c r="DP1920" s="543">
        <v>1</v>
      </c>
    </row>
    <row r="1921" spans="109:120" ht="15">
      <c r="DE1921" s="494"/>
      <c r="DF1921" s="496" t="s">
        <v>4820</v>
      </c>
      <c r="DG1921" s="496" t="s">
        <v>241</v>
      </c>
      <c r="DH1921" s="496" t="s">
        <v>689</v>
      </c>
      <c r="DI1921" s="496" t="s">
        <v>203</v>
      </c>
      <c r="DJ1921" s="496" t="s">
        <v>203</v>
      </c>
      <c r="DK1921" s="496" t="s">
        <v>1085</v>
      </c>
      <c r="DL1921" s="496" t="s">
        <v>4779</v>
      </c>
      <c r="DM1921" s="496" t="s">
        <v>1087</v>
      </c>
      <c r="DN1921" s="497" t="s">
        <v>1088</v>
      </c>
      <c r="DP1921" s="543">
        <v>1</v>
      </c>
    </row>
    <row r="1922" spans="109:120" ht="15">
      <c r="DE1922" s="494"/>
      <c r="DF1922" s="496" t="s">
        <v>4821</v>
      </c>
      <c r="DG1922" s="496" t="s">
        <v>241</v>
      </c>
      <c r="DH1922" s="496" t="s">
        <v>689</v>
      </c>
      <c r="DI1922" s="496" t="s">
        <v>206</v>
      </c>
      <c r="DJ1922" s="496" t="s">
        <v>206</v>
      </c>
      <c r="DK1922" s="496" t="s">
        <v>1085</v>
      </c>
      <c r="DL1922" s="496" t="s">
        <v>4779</v>
      </c>
      <c r="DM1922" s="496" t="s">
        <v>1087</v>
      </c>
      <c r="DN1922" s="497" t="s">
        <v>1088</v>
      </c>
      <c r="DP1922" s="543">
        <v>1</v>
      </c>
    </row>
    <row r="1923" spans="109:120" ht="15">
      <c r="DE1923" s="494"/>
      <c r="DF1923" s="496" t="s">
        <v>4822</v>
      </c>
      <c r="DG1923" s="496" t="s">
        <v>241</v>
      </c>
      <c r="DH1923" s="496" t="s">
        <v>689</v>
      </c>
      <c r="DI1923" s="496" t="s">
        <v>209</v>
      </c>
      <c r="DJ1923" s="496" t="s">
        <v>209</v>
      </c>
      <c r="DK1923" s="496" t="s">
        <v>1085</v>
      </c>
      <c r="DL1923" s="496" t="s">
        <v>4779</v>
      </c>
      <c r="DM1923" s="496" t="s">
        <v>1087</v>
      </c>
      <c r="DN1923" s="497" t="s">
        <v>1088</v>
      </c>
      <c r="DP1923" s="543">
        <v>1</v>
      </c>
    </row>
    <row r="1924" spans="109:120" ht="15">
      <c r="DE1924" s="494"/>
      <c r="DF1924" s="496" t="s">
        <v>4823</v>
      </c>
      <c r="DG1924" s="496" t="s">
        <v>241</v>
      </c>
      <c r="DH1924" s="496" t="s">
        <v>689</v>
      </c>
      <c r="DI1924" s="496" t="s">
        <v>301</v>
      </c>
      <c r="DJ1924" s="496" t="s">
        <v>212</v>
      </c>
      <c r="DK1924" s="496" t="s">
        <v>1085</v>
      </c>
      <c r="DL1924" s="496" t="s">
        <v>4779</v>
      </c>
      <c r="DM1924" s="496" t="s">
        <v>1087</v>
      </c>
      <c r="DN1924" s="497" t="s">
        <v>1088</v>
      </c>
      <c r="DP1924" s="543">
        <v>1</v>
      </c>
    </row>
    <row r="1925" spans="109:120" ht="15">
      <c r="DE1925" s="494"/>
      <c r="DF1925" s="496" t="s">
        <v>4824</v>
      </c>
      <c r="DG1925" s="496" t="s">
        <v>241</v>
      </c>
      <c r="DH1925" s="496" t="s">
        <v>689</v>
      </c>
      <c r="DI1925" s="496" t="s">
        <v>4825</v>
      </c>
      <c r="DJ1925" s="496" t="s">
        <v>213</v>
      </c>
      <c r="DK1925" s="496" t="s">
        <v>1085</v>
      </c>
      <c r="DL1925" s="496" t="s">
        <v>4779</v>
      </c>
      <c r="DM1925" s="496" t="s">
        <v>1087</v>
      </c>
      <c r="DN1925" s="497" t="s">
        <v>1088</v>
      </c>
      <c r="DP1925" s="543">
        <v>1</v>
      </c>
    </row>
    <row r="1926" spans="109:120" ht="15">
      <c r="DE1926" s="494"/>
      <c r="DF1926" s="496" t="s">
        <v>4826</v>
      </c>
      <c r="DG1926" s="496" t="s">
        <v>241</v>
      </c>
      <c r="DH1926" s="496" t="s">
        <v>689</v>
      </c>
      <c r="DI1926" s="496" t="s">
        <v>215</v>
      </c>
      <c r="DJ1926" s="496" t="s">
        <v>215</v>
      </c>
      <c r="DK1926" s="496" t="s">
        <v>1085</v>
      </c>
      <c r="DL1926" s="496" t="s">
        <v>4779</v>
      </c>
      <c r="DM1926" s="496" t="s">
        <v>1087</v>
      </c>
      <c r="DN1926" s="497" t="s">
        <v>1088</v>
      </c>
      <c r="DP1926" s="543">
        <v>1</v>
      </c>
    </row>
    <row r="1927" spans="109:120" ht="15">
      <c r="DE1927" s="494"/>
      <c r="DF1927" s="496" t="s">
        <v>4827</v>
      </c>
      <c r="DG1927" s="496" t="s">
        <v>241</v>
      </c>
      <c r="DH1927" s="496" t="s">
        <v>689</v>
      </c>
      <c r="DI1927" s="496" t="s">
        <v>302</v>
      </c>
      <c r="DJ1927" s="496" t="s">
        <v>302</v>
      </c>
      <c r="DK1927" s="496" t="s">
        <v>1085</v>
      </c>
      <c r="DL1927" s="496" t="s">
        <v>4779</v>
      </c>
      <c r="DM1927" s="496" t="s">
        <v>1087</v>
      </c>
      <c r="DN1927" s="497" t="s">
        <v>1088</v>
      </c>
      <c r="DP1927" s="543">
        <v>1</v>
      </c>
    </row>
    <row r="1928" spans="109:120" ht="15">
      <c r="DE1928" s="494"/>
      <c r="DF1928" s="496" t="s">
        <v>4828</v>
      </c>
      <c r="DG1928" s="496" t="s">
        <v>241</v>
      </c>
      <c r="DH1928" s="496" t="s">
        <v>689</v>
      </c>
      <c r="DI1928" s="496" t="s">
        <v>4829</v>
      </c>
      <c r="DJ1928" s="496" t="s">
        <v>4829</v>
      </c>
      <c r="DK1928" s="496" t="s">
        <v>1085</v>
      </c>
      <c r="DL1928" s="496" t="s">
        <v>4779</v>
      </c>
      <c r="DM1928" s="496" t="s">
        <v>1087</v>
      </c>
      <c r="DN1928" s="497" t="s">
        <v>1088</v>
      </c>
      <c r="DP1928" s="543">
        <v>1</v>
      </c>
    </row>
    <row r="1929" spans="109:120" ht="15">
      <c r="DE1929" s="494"/>
      <c r="DF1929" s="496" t="s">
        <v>4830</v>
      </c>
      <c r="DG1929" s="496" t="s">
        <v>241</v>
      </c>
      <c r="DH1929" s="496" t="s">
        <v>689</v>
      </c>
      <c r="DI1929" s="496" t="s">
        <v>4831</v>
      </c>
      <c r="DJ1929" s="496" t="s">
        <v>4831</v>
      </c>
      <c r="DK1929" s="496" t="s">
        <v>1085</v>
      </c>
      <c r="DL1929" s="496" t="s">
        <v>4779</v>
      </c>
      <c r="DM1929" s="496" t="s">
        <v>1087</v>
      </c>
      <c r="DN1929" s="497" t="s">
        <v>1088</v>
      </c>
      <c r="DP1929" s="543">
        <v>1</v>
      </c>
    </row>
    <row r="1930" spans="109:120" ht="15">
      <c r="DE1930" s="494"/>
      <c r="DF1930" s="496" t="s">
        <v>4832</v>
      </c>
      <c r="DG1930" s="496" t="s">
        <v>241</v>
      </c>
      <c r="DH1930" s="496" t="s">
        <v>689</v>
      </c>
      <c r="DI1930" s="496" t="s">
        <v>4833</v>
      </c>
      <c r="DJ1930" s="496" t="s">
        <v>303</v>
      </c>
      <c r="DK1930" s="496" t="s">
        <v>1085</v>
      </c>
      <c r="DL1930" s="496" t="s">
        <v>4779</v>
      </c>
      <c r="DM1930" s="496" t="s">
        <v>1087</v>
      </c>
      <c r="DN1930" s="497" t="s">
        <v>1088</v>
      </c>
      <c r="DP1930" s="543">
        <v>1</v>
      </c>
    </row>
    <row r="1931" spans="109:120" ht="15">
      <c r="DE1931" s="494"/>
      <c r="DF1931" s="496" t="s">
        <v>4834</v>
      </c>
      <c r="DG1931" s="496" t="s">
        <v>241</v>
      </c>
      <c r="DH1931" s="496" t="s">
        <v>689</v>
      </c>
      <c r="DI1931" s="496" t="s">
        <v>4835</v>
      </c>
      <c r="DJ1931" s="496" t="s">
        <v>217</v>
      </c>
      <c r="DK1931" s="496" t="s">
        <v>1085</v>
      </c>
      <c r="DL1931" s="496" t="s">
        <v>4779</v>
      </c>
      <c r="DM1931" s="496" t="s">
        <v>1087</v>
      </c>
      <c r="DN1931" s="497" t="s">
        <v>1088</v>
      </c>
      <c r="DP1931" s="543">
        <v>1</v>
      </c>
    </row>
    <row r="1932" spans="109:120" ht="15">
      <c r="DE1932" s="494"/>
      <c r="DF1932" s="496" t="s">
        <v>4836</v>
      </c>
      <c r="DG1932" s="496" t="s">
        <v>241</v>
      </c>
      <c r="DH1932" s="496" t="s">
        <v>689</v>
      </c>
      <c r="DI1932" s="496" t="s">
        <v>4837</v>
      </c>
      <c r="DJ1932" s="496" t="s">
        <v>219</v>
      </c>
      <c r="DK1932" s="496" t="s">
        <v>1085</v>
      </c>
      <c r="DL1932" s="496" t="s">
        <v>4779</v>
      </c>
      <c r="DM1932" s="496" t="s">
        <v>1087</v>
      </c>
      <c r="DN1932" s="497" t="s">
        <v>1088</v>
      </c>
      <c r="DP1932" s="543">
        <v>1</v>
      </c>
    </row>
    <row r="1933" spans="109:120" ht="15">
      <c r="DE1933" s="494"/>
      <c r="DF1933" s="496" t="s">
        <v>4838</v>
      </c>
      <c r="DG1933" s="496" t="s">
        <v>241</v>
      </c>
      <c r="DH1933" s="496" t="s">
        <v>689</v>
      </c>
      <c r="DI1933" s="496" t="s">
        <v>221</v>
      </c>
      <c r="DJ1933" s="496" t="s">
        <v>221</v>
      </c>
      <c r="DK1933" s="496" t="s">
        <v>1151</v>
      </c>
      <c r="DL1933" s="496" t="s">
        <v>1152</v>
      </c>
      <c r="DM1933" s="496" t="s">
        <v>1087</v>
      </c>
      <c r="DN1933" s="497" t="s">
        <v>1153</v>
      </c>
      <c r="DP1933" s="543">
        <v>1</v>
      </c>
    </row>
    <row r="1934" spans="109:120" ht="15">
      <c r="DE1934" s="494"/>
      <c r="DF1934" s="496" t="s">
        <v>4839</v>
      </c>
      <c r="DG1934" s="496" t="s">
        <v>241</v>
      </c>
      <c r="DH1934" s="496" t="s">
        <v>689</v>
      </c>
      <c r="DI1934" s="496" t="s">
        <v>222</v>
      </c>
      <c r="DJ1934" s="496" t="s">
        <v>222</v>
      </c>
      <c r="DK1934" s="496" t="s">
        <v>1085</v>
      </c>
      <c r="DL1934" s="496" t="s">
        <v>4779</v>
      </c>
      <c r="DM1934" s="496" t="s">
        <v>1087</v>
      </c>
      <c r="DN1934" s="497" t="s">
        <v>1088</v>
      </c>
      <c r="DP1934" s="543">
        <v>1</v>
      </c>
    </row>
    <row r="1935" spans="109:120" ht="15">
      <c r="DE1935" s="494"/>
      <c r="DF1935" s="496" t="s">
        <v>4840</v>
      </c>
      <c r="DG1935" s="496" t="s">
        <v>241</v>
      </c>
      <c r="DH1935" s="496" t="s">
        <v>689</v>
      </c>
      <c r="DI1935" s="496" t="s">
        <v>223</v>
      </c>
      <c r="DJ1935" s="496" t="s">
        <v>223</v>
      </c>
      <c r="DK1935" s="496" t="s">
        <v>1085</v>
      </c>
      <c r="DL1935" s="496" t="s">
        <v>4779</v>
      </c>
      <c r="DM1935" s="496" t="s">
        <v>1087</v>
      </c>
      <c r="DN1935" s="497" t="s">
        <v>1088</v>
      </c>
      <c r="DP1935" s="543">
        <v>1</v>
      </c>
    </row>
    <row r="1936" spans="109:120" ht="15">
      <c r="DE1936" s="494"/>
      <c r="DF1936" s="496" t="s">
        <v>4841</v>
      </c>
      <c r="DG1936" s="496" t="s">
        <v>241</v>
      </c>
      <c r="DH1936" s="496" t="s">
        <v>689</v>
      </c>
      <c r="DI1936" s="496" t="s">
        <v>304</v>
      </c>
      <c r="DJ1936" s="496" t="s">
        <v>304</v>
      </c>
      <c r="DK1936" s="496" t="s">
        <v>1151</v>
      </c>
      <c r="DL1936" s="496" t="s">
        <v>1152</v>
      </c>
      <c r="DM1936" s="496" t="s">
        <v>1087</v>
      </c>
      <c r="DN1936" s="497" t="s">
        <v>1153</v>
      </c>
      <c r="DP1936" s="543">
        <v>1</v>
      </c>
    </row>
    <row r="1937" spans="109:120" ht="15">
      <c r="DE1937" s="494"/>
      <c r="DF1937" s="496" t="s">
        <v>4842</v>
      </c>
      <c r="DG1937" s="496" t="s">
        <v>241</v>
      </c>
      <c r="DH1937" s="496" t="s">
        <v>689</v>
      </c>
      <c r="DI1937" s="496" t="s">
        <v>4843</v>
      </c>
      <c r="DJ1937" s="496" t="s">
        <v>4843</v>
      </c>
      <c r="DK1937" s="496" t="s">
        <v>1151</v>
      </c>
      <c r="DL1937" s="496" t="s">
        <v>1152</v>
      </c>
      <c r="DM1937" s="496" t="s">
        <v>1087</v>
      </c>
      <c r="DN1937" s="497" t="s">
        <v>1153</v>
      </c>
      <c r="DP1937" s="543">
        <v>1</v>
      </c>
    </row>
    <row r="1938" spans="109:120" ht="15">
      <c r="DE1938" s="494"/>
      <c r="DF1938" s="496" t="s">
        <v>4844</v>
      </c>
      <c r="DG1938" s="496" t="s">
        <v>241</v>
      </c>
      <c r="DH1938" s="496" t="s">
        <v>689</v>
      </c>
      <c r="DI1938" s="496" t="s">
        <v>224</v>
      </c>
      <c r="DJ1938" s="496" t="s">
        <v>224</v>
      </c>
      <c r="DK1938" s="496" t="s">
        <v>1085</v>
      </c>
      <c r="DL1938" s="496" t="s">
        <v>4779</v>
      </c>
      <c r="DM1938" s="496" t="s">
        <v>1087</v>
      </c>
      <c r="DN1938" s="497" t="s">
        <v>1088</v>
      </c>
      <c r="DP1938" s="543">
        <v>1</v>
      </c>
    </row>
    <row r="1939" spans="109:120" ht="15">
      <c r="DE1939" s="494"/>
      <c r="DF1939" s="496" t="s">
        <v>4845</v>
      </c>
      <c r="DG1939" s="496" t="s">
        <v>241</v>
      </c>
      <c r="DH1939" s="496" t="s">
        <v>689</v>
      </c>
      <c r="DI1939" s="496" t="s">
        <v>225</v>
      </c>
      <c r="DJ1939" s="496" t="s">
        <v>225</v>
      </c>
      <c r="DK1939" s="496" t="s">
        <v>1085</v>
      </c>
      <c r="DL1939" s="496" t="s">
        <v>4779</v>
      </c>
      <c r="DM1939" s="496" t="s">
        <v>1087</v>
      </c>
      <c r="DN1939" s="497" t="s">
        <v>1088</v>
      </c>
      <c r="DP1939" s="543">
        <v>1</v>
      </c>
    </row>
    <row r="1940" spans="109:120" ht="15">
      <c r="DE1940" s="494"/>
      <c r="DF1940" s="496" t="s">
        <v>4846</v>
      </c>
      <c r="DG1940" s="496" t="s">
        <v>241</v>
      </c>
      <c r="DH1940" s="496" t="s">
        <v>689</v>
      </c>
      <c r="DI1940" s="496" t="s">
        <v>4847</v>
      </c>
      <c r="DJ1940" s="496" t="s">
        <v>4847</v>
      </c>
      <c r="DK1940" s="496" t="s">
        <v>1085</v>
      </c>
      <c r="DL1940" s="496" t="s">
        <v>4779</v>
      </c>
      <c r="DM1940" s="496" t="s">
        <v>1087</v>
      </c>
      <c r="DN1940" s="497" t="s">
        <v>1088</v>
      </c>
      <c r="DP1940" s="543">
        <v>1</v>
      </c>
    </row>
    <row r="1941" spans="109:120" ht="15">
      <c r="DE1941" s="494"/>
      <c r="DF1941" s="496" t="s">
        <v>4848</v>
      </c>
      <c r="DG1941" s="496" t="s">
        <v>241</v>
      </c>
      <c r="DH1941" s="496" t="s">
        <v>689</v>
      </c>
      <c r="DI1941" s="496" t="s">
        <v>4849</v>
      </c>
      <c r="DJ1941" s="496" t="s">
        <v>4849</v>
      </c>
      <c r="DK1941" s="496" t="s">
        <v>1085</v>
      </c>
      <c r="DL1941" s="496" t="s">
        <v>4779</v>
      </c>
      <c r="DM1941" s="496" t="s">
        <v>1087</v>
      </c>
      <c r="DN1941" s="497" t="s">
        <v>1088</v>
      </c>
      <c r="DP1941" s="543">
        <v>1</v>
      </c>
    </row>
    <row r="1942" spans="109:120" ht="15">
      <c r="DE1942" s="494"/>
      <c r="DF1942" s="496" t="s">
        <v>4850</v>
      </c>
      <c r="DG1942" s="496" t="s">
        <v>241</v>
      </c>
      <c r="DH1942" s="496" t="s">
        <v>689</v>
      </c>
      <c r="DI1942" s="496" t="s">
        <v>4851</v>
      </c>
      <c r="DJ1942" s="496" t="s">
        <v>305</v>
      </c>
      <c r="DK1942" s="496" t="s">
        <v>1085</v>
      </c>
      <c r="DL1942" s="496" t="s">
        <v>4779</v>
      </c>
      <c r="DM1942" s="496" t="s">
        <v>1087</v>
      </c>
      <c r="DN1942" s="497" t="s">
        <v>1088</v>
      </c>
      <c r="DP1942" s="543">
        <v>1</v>
      </c>
    </row>
    <row r="1943" spans="109:120" ht="15">
      <c r="DE1943" s="494"/>
      <c r="DF1943" s="496" t="s">
        <v>4852</v>
      </c>
      <c r="DG1943" s="496" t="s">
        <v>241</v>
      </c>
      <c r="DH1943" s="496" t="s">
        <v>689</v>
      </c>
      <c r="DI1943" s="496" t="s">
        <v>4853</v>
      </c>
      <c r="DJ1943" s="496" t="s">
        <v>4854</v>
      </c>
      <c r="DK1943" s="496" t="s">
        <v>1085</v>
      </c>
      <c r="DL1943" s="496" t="s">
        <v>4779</v>
      </c>
      <c r="DM1943" s="496" t="s">
        <v>1087</v>
      </c>
      <c r="DN1943" s="497" t="s">
        <v>1088</v>
      </c>
      <c r="DP1943" s="543">
        <v>1</v>
      </c>
    </row>
    <row r="1944" spans="109:120" ht="15">
      <c r="DE1944" s="494"/>
      <c r="DF1944" s="496" t="s">
        <v>4855</v>
      </c>
      <c r="DG1944" s="496" t="s">
        <v>241</v>
      </c>
      <c r="DH1944" s="496" t="s">
        <v>689</v>
      </c>
      <c r="DI1944" s="496" t="s">
        <v>4856</v>
      </c>
      <c r="DJ1944" s="496" t="s">
        <v>4857</v>
      </c>
      <c r="DK1944" s="496" t="s">
        <v>1085</v>
      </c>
      <c r="DL1944" s="496" t="s">
        <v>4779</v>
      </c>
      <c r="DM1944" s="496" t="s">
        <v>1087</v>
      </c>
      <c r="DN1944" s="497" t="s">
        <v>1088</v>
      </c>
      <c r="DP1944" s="543">
        <v>1</v>
      </c>
    </row>
    <row r="1945" spans="109:120" ht="15">
      <c r="DE1945" s="494"/>
      <c r="DF1945" s="496" t="s">
        <v>4858</v>
      </c>
      <c r="DG1945" s="496" t="s">
        <v>241</v>
      </c>
      <c r="DH1945" s="496" t="s">
        <v>689</v>
      </c>
      <c r="DI1945" s="496" t="s">
        <v>4859</v>
      </c>
      <c r="DJ1945" s="496" t="s">
        <v>4860</v>
      </c>
      <c r="DK1945" s="496" t="s">
        <v>1085</v>
      </c>
      <c r="DL1945" s="496" t="s">
        <v>4779</v>
      </c>
      <c r="DM1945" s="496" t="s">
        <v>1087</v>
      </c>
      <c r="DN1945" s="497" t="s">
        <v>1088</v>
      </c>
      <c r="DP1945" s="543">
        <v>1</v>
      </c>
    </row>
    <row r="1946" spans="109:120" ht="15">
      <c r="DE1946" s="494"/>
      <c r="DF1946" s="496" t="s">
        <v>4861</v>
      </c>
      <c r="DG1946" s="496" t="s">
        <v>241</v>
      </c>
      <c r="DH1946" s="496" t="s">
        <v>689</v>
      </c>
      <c r="DI1946" s="496" t="s">
        <v>306</v>
      </c>
      <c r="DJ1946" s="496" t="s">
        <v>306</v>
      </c>
      <c r="DK1946" s="496" t="s">
        <v>1151</v>
      </c>
      <c r="DL1946" s="496" t="s">
        <v>1152</v>
      </c>
      <c r="DM1946" s="496" t="s">
        <v>1087</v>
      </c>
      <c r="DN1946" s="497" t="s">
        <v>1153</v>
      </c>
      <c r="DP1946" s="543">
        <v>1</v>
      </c>
    </row>
    <row r="1947" spans="109:120" ht="15">
      <c r="DE1947" s="494"/>
      <c r="DF1947" s="496" t="s">
        <v>4862</v>
      </c>
      <c r="DG1947" s="496" t="s">
        <v>241</v>
      </c>
      <c r="DH1947" s="496" t="s">
        <v>689</v>
      </c>
      <c r="DI1947" s="496" t="s">
        <v>4863</v>
      </c>
      <c r="DJ1947" s="496" t="s">
        <v>4863</v>
      </c>
      <c r="DK1947" s="496" t="s">
        <v>1151</v>
      </c>
      <c r="DL1947" s="496" t="s">
        <v>1152</v>
      </c>
      <c r="DM1947" s="496" t="s">
        <v>1087</v>
      </c>
      <c r="DN1947" s="497" t="s">
        <v>1153</v>
      </c>
      <c r="DP1947" s="543">
        <v>1</v>
      </c>
    </row>
    <row r="1948" spans="109:120" ht="15">
      <c r="DE1948" s="494"/>
      <c r="DF1948" s="496" t="s">
        <v>4864</v>
      </c>
      <c r="DG1948" s="496" t="s">
        <v>241</v>
      </c>
      <c r="DH1948" s="496" t="s">
        <v>690</v>
      </c>
      <c r="DI1948" s="496" t="s">
        <v>998</v>
      </c>
      <c r="DJ1948" s="496" t="s">
        <v>998</v>
      </c>
      <c r="DK1948" s="496" t="s">
        <v>1085</v>
      </c>
      <c r="DL1948" s="496" t="s">
        <v>4542</v>
      </c>
      <c r="DM1948" s="496" t="s">
        <v>1087</v>
      </c>
      <c r="DN1948" s="497" t="s">
        <v>1088</v>
      </c>
      <c r="DP1948" s="543">
        <v>1</v>
      </c>
    </row>
    <row r="1949" spans="109:120" ht="15">
      <c r="DE1949" s="494"/>
      <c r="DF1949" s="496" t="s">
        <v>4865</v>
      </c>
      <c r="DG1949" s="496" t="s">
        <v>241</v>
      </c>
      <c r="DH1949" s="496" t="s">
        <v>690</v>
      </c>
      <c r="DI1949" s="496" t="s">
        <v>999</v>
      </c>
      <c r="DJ1949" s="496" t="s">
        <v>999</v>
      </c>
      <c r="DK1949" s="496" t="s">
        <v>1085</v>
      </c>
      <c r="DL1949" s="496" t="s">
        <v>4542</v>
      </c>
      <c r="DM1949" s="496" t="s">
        <v>1087</v>
      </c>
      <c r="DN1949" s="497" t="s">
        <v>1088</v>
      </c>
      <c r="DP1949" s="543">
        <v>1</v>
      </c>
    </row>
    <row r="1950" spans="109:120" ht="15">
      <c r="DE1950" s="494"/>
      <c r="DF1950" s="496" t="s">
        <v>4866</v>
      </c>
      <c r="DG1950" s="496" t="s">
        <v>241</v>
      </c>
      <c r="DH1950" s="496" t="s">
        <v>690</v>
      </c>
      <c r="DI1950" s="496" t="s">
        <v>4867</v>
      </c>
      <c r="DJ1950" s="496" t="s">
        <v>98</v>
      </c>
      <c r="DK1950" s="496" t="s">
        <v>1085</v>
      </c>
      <c r="DL1950" s="496" t="s">
        <v>4542</v>
      </c>
      <c r="DM1950" s="496" t="s">
        <v>1087</v>
      </c>
      <c r="DN1950" s="497" t="s">
        <v>1088</v>
      </c>
      <c r="DP1950" s="543">
        <v>1</v>
      </c>
    </row>
    <row r="1951" spans="109:120" ht="15">
      <c r="DE1951" s="494"/>
      <c r="DF1951" s="496" t="s">
        <v>4868</v>
      </c>
      <c r="DG1951" s="496" t="s">
        <v>241</v>
      </c>
      <c r="DH1951" s="496" t="s">
        <v>690</v>
      </c>
      <c r="DI1951" s="496" t="s">
        <v>4869</v>
      </c>
      <c r="DJ1951" s="496" t="s">
        <v>139</v>
      </c>
      <c r="DK1951" s="496" t="s">
        <v>1085</v>
      </c>
      <c r="DL1951" s="496" t="s">
        <v>4542</v>
      </c>
      <c r="DM1951" s="496" t="s">
        <v>1087</v>
      </c>
      <c r="DN1951" s="497" t="s">
        <v>1088</v>
      </c>
      <c r="DP1951" s="543">
        <v>1</v>
      </c>
    </row>
    <row r="1952" spans="109:120" ht="15">
      <c r="DE1952" s="494"/>
      <c r="DF1952" s="496" t="s">
        <v>4870</v>
      </c>
      <c r="DG1952" s="496" t="s">
        <v>241</v>
      </c>
      <c r="DH1952" s="496" t="s">
        <v>690</v>
      </c>
      <c r="DI1952" s="496" t="s">
        <v>4579</v>
      </c>
      <c r="DJ1952" s="496" t="s">
        <v>79</v>
      </c>
      <c r="DK1952" s="496" t="s">
        <v>1085</v>
      </c>
      <c r="DL1952" s="496" t="s">
        <v>4542</v>
      </c>
      <c r="DM1952" s="496" t="s">
        <v>1087</v>
      </c>
      <c r="DN1952" s="497" t="s">
        <v>1088</v>
      </c>
      <c r="DP1952" s="543">
        <v>1</v>
      </c>
    </row>
    <row r="1953" spans="109:120" ht="15">
      <c r="DE1953" s="494"/>
      <c r="DF1953" s="496" t="s">
        <v>4871</v>
      </c>
      <c r="DG1953" s="496" t="s">
        <v>241</v>
      </c>
      <c r="DH1953" s="496" t="s">
        <v>690</v>
      </c>
      <c r="DI1953" s="496" t="s">
        <v>4872</v>
      </c>
      <c r="DJ1953" s="496" t="s">
        <v>4872</v>
      </c>
      <c r="DK1953" s="496" t="s">
        <v>1085</v>
      </c>
      <c r="DL1953" s="496" t="s">
        <v>4542</v>
      </c>
      <c r="DM1953" s="496" t="s">
        <v>1087</v>
      </c>
      <c r="DN1953" s="497" t="s">
        <v>1088</v>
      </c>
      <c r="DP1953" s="543">
        <v>1</v>
      </c>
    </row>
    <row r="1954" spans="109:120" ht="15">
      <c r="DE1954" s="494"/>
      <c r="DF1954" s="496" t="s">
        <v>4873</v>
      </c>
      <c r="DG1954" s="496" t="s">
        <v>241</v>
      </c>
      <c r="DH1954" s="496" t="s">
        <v>690</v>
      </c>
      <c r="DI1954" s="496" t="s">
        <v>4874</v>
      </c>
      <c r="DJ1954" s="496" t="s">
        <v>4874</v>
      </c>
      <c r="DK1954" s="496" t="s">
        <v>1085</v>
      </c>
      <c r="DL1954" s="496" t="s">
        <v>4542</v>
      </c>
      <c r="DM1954" s="496" t="s">
        <v>1087</v>
      </c>
      <c r="DN1954" s="497" t="s">
        <v>1088</v>
      </c>
      <c r="DP1954" s="543">
        <v>1</v>
      </c>
    </row>
    <row r="1955" spans="109:120" ht="15">
      <c r="DE1955" s="494"/>
      <c r="DF1955" s="496" t="s">
        <v>4875</v>
      </c>
      <c r="DG1955" s="496" t="s">
        <v>241</v>
      </c>
      <c r="DH1955" s="496" t="s">
        <v>690</v>
      </c>
      <c r="DI1955" s="496" t="s">
        <v>72</v>
      </c>
      <c r="DJ1955" s="496" t="s">
        <v>72</v>
      </c>
      <c r="DK1955" s="496" t="s">
        <v>1085</v>
      </c>
      <c r="DL1955" s="496" t="s">
        <v>4542</v>
      </c>
      <c r="DM1955" s="496" t="s">
        <v>1087</v>
      </c>
      <c r="DN1955" s="497" t="s">
        <v>1088</v>
      </c>
      <c r="DP1955" s="543">
        <v>1</v>
      </c>
    </row>
    <row r="1956" spans="109:120" ht="15">
      <c r="DE1956" s="494"/>
      <c r="DF1956" s="496" t="s">
        <v>4876</v>
      </c>
      <c r="DG1956" s="496" t="s">
        <v>241</v>
      </c>
      <c r="DH1956" s="496" t="s">
        <v>690</v>
      </c>
      <c r="DI1956" s="496" t="s">
        <v>124</v>
      </c>
      <c r="DJ1956" s="496" t="s">
        <v>124</v>
      </c>
      <c r="DK1956" s="496" t="s">
        <v>1085</v>
      </c>
      <c r="DL1956" s="496" t="s">
        <v>4542</v>
      </c>
      <c r="DM1956" s="496" t="s">
        <v>1087</v>
      </c>
      <c r="DN1956" s="497" t="s">
        <v>1088</v>
      </c>
      <c r="DP1956" s="543">
        <v>1</v>
      </c>
    </row>
    <row r="1957" spans="109:120" ht="15">
      <c r="DE1957" s="494"/>
      <c r="DF1957" s="496" t="s">
        <v>4877</v>
      </c>
      <c r="DG1957" s="496" t="s">
        <v>241</v>
      </c>
      <c r="DH1957" s="496" t="s">
        <v>690</v>
      </c>
      <c r="DI1957" s="496" t="s">
        <v>113</v>
      </c>
      <c r="DJ1957" s="496" t="s">
        <v>113</v>
      </c>
      <c r="DK1957" s="496" t="s">
        <v>1085</v>
      </c>
      <c r="DL1957" s="496" t="s">
        <v>4542</v>
      </c>
      <c r="DM1957" s="496" t="s">
        <v>1087</v>
      </c>
      <c r="DN1957" s="497" t="s">
        <v>1088</v>
      </c>
      <c r="DP1957" s="543">
        <v>1</v>
      </c>
    </row>
    <row r="1958" spans="109:120" ht="15">
      <c r="DE1958" s="494"/>
      <c r="DF1958" s="496" t="s">
        <v>4878</v>
      </c>
      <c r="DG1958" s="496" t="s">
        <v>241</v>
      </c>
      <c r="DH1958" s="496" t="s">
        <v>690</v>
      </c>
      <c r="DI1958" s="496" t="s">
        <v>126</v>
      </c>
      <c r="DJ1958" s="496" t="s">
        <v>126</v>
      </c>
      <c r="DK1958" s="496" t="s">
        <v>1085</v>
      </c>
      <c r="DL1958" s="496" t="s">
        <v>4542</v>
      </c>
      <c r="DM1958" s="496" t="s">
        <v>1087</v>
      </c>
      <c r="DN1958" s="497" t="s">
        <v>1088</v>
      </c>
      <c r="DP1958" s="543">
        <v>1</v>
      </c>
    </row>
    <row r="1959" spans="109:120" ht="15">
      <c r="DE1959" s="494"/>
      <c r="DF1959" s="496" t="s">
        <v>4879</v>
      </c>
      <c r="DG1959" s="496" t="s">
        <v>241</v>
      </c>
      <c r="DH1959" s="496" t="s">
        <v>690</v>
      </c>
      <c r="DI1959" s="496" t="s">
        <v>163</v>
      </c>
      <c r="DJ1959" s="496" t="s">
        <v>163</v>
      </c>
      <c r="DK1959" s="496" t="s">
        <v>1085</v>
      </c>
      <c r="DL1959" s="496" t="s">
        <v>4542</v>
      </c>
      <c r="DM1959" s="496" t="s">
        <v>1087</v>
      </c>
      <c r="DN1959" s="497" t="s">
        <v>1088</v>
      </c>
      <c r="DP1959" s="543">
        <v>1</v>
      </c>
    </row>
    <row r="1960" spans="109:120" ht="15">
      <c r="DE1960" s="494"/>
      <c r="DF1960" s="496" t="s">
        <v>4880</v>
      </c>
      <c r="DG1960" s="496" t="s">
        <v>241</v>
      </c>
      <c r="DH1960" s="496" t="s">
        <v>690</v>
      </c>
      <c r="DI1960" s="496" t="s">
        <v>4881</v>
      </c>
      <c r="DJ1960" s="496" t="s">
        <v>4882</v>
      </c>
      <c r="DK1960" s="496" t="s">
        <v>1085</v>
      </c>
      <c r="DL1960" s="496" t="s">
        <v>4542</v>
      </c>
      <c r="DM1960" s="496" t="s">
        <v>1087</v>
      </c>
      <c r="DN1960" s="497" t="s">
        <v>1088</v>
      </c>
      <c r="DP1960" s="543">
        <v>1</v>
      </c>
    </row>
    <row r="1961" spans="109:120" ht="15">
      <c r="DE1961" s="494"/>
      <c r="DF1961" s="496" t="s">
        <v>4883</v>
      </c>
      <c r="DG1961" s="496" t="s">
        <v>241</v>
      </c>
      <c r="DH1961" s="496" t="s">
        <v>690</v>
      </c>
      <c r="DI1961" s="496" t="s">
        <v>60</v>
      </c>
      <c r="DJ1961" s="496" t="s">
        <v>60</v>
      </c>
      <c r="DK1961" s="496" t="s">
        <v>1085</v>
      </c>
      <c r="DL1961" s="496" t="s">
        <v>4542</v>
      </c>
      <c r="DM1961" s="496" t="s">
        <v>1087</v>
      </c>
      <c r="DN1961" s="497" t="s">
        <v>1088</v>
      </c>
      <c r="DP1961" s="543">
        <v>1</v>
      </c>
    </row>
    <row r="1962" spans="109:120" ht="15">
      <c r="DE1962" s="494"/>
      <c r="DF1962" s="496" t="s">
        <v>4884</v>
      </c>
      <c r="DG1962" s="496" t="s">
        <v>241</v>
      </c>
      <c r="DH1962" s="496" t="s">
        <v>690</v>
      </c>
      <c r="DI1962" s="496" t="s">
        <v>4885</v>
      </c>
      <c r="DJ1962" s="496" t="s">
        <v>4885</v>
      </c>
      <c r="DK1962" s="496" t="s">
        <v>1085</v>
      </c>
      <c r="DL1962" s="496" t="s">
        <v>4542</v>
      </c>
      <c r="DM1962" s="496" t="s">
        <v>1087</v>
      </c>
      <c r="DN1962" s="497" t="s">
        <v>1088</v>
      </c>
      <c r="DP1962" s="543">
        <v>1</v>
      </c>
    </row>
    <row r="1963" spans="109:120" ht="15">
      <c r="DE1963" s="494"/>
      <c r="DF1963" s="496" t="s">
        <v>4886</v>
      </c>
      <c r="DG1963" s="496" t="s">
        <v>241</v>
      </c>
      <c r="DH1963" s="496" t="s">
        <v>690</v>
      </c>
      <c r="DI1963" s="496" t="s">
        <v>4887</v>
      </c>
      <c r="DJ1963" s="496" t="s">
        <v>4887</v>
      </c>
      <c r="DK1963" s="496" t="s">
        <v>1085</v>
      </c>
      <c r="DL1963" s="496" t="s">
        <v>4542</v>
      </c>
      <c r="DM1963" s="496" t="s">
        <v>1087</v>
      </c>
      <c r="DN1963" s="497" t="s">
        <v>1088</v>
      </c>
      <c r="DP1963" s="543">
        <v>1</v>
      </c>
    </row>
    <row r="1964" spans="109:120" ht="15">
      <c r="DE1964" s="494"/>
      <c r="DF1964" s="496" t="s">
        <v>4888</v>
      </c>
      <c r="DG1964" s="496" t="s">
        <v>241</v>
      </c>
      <c r="DH1964" s="496" t="s">
        <v>690</v>
      </c>
      <c r="DI1964" s="496" t="s">
        <v>53</v>
      </c>
      <c r="DJ1964" s="496" t="s">
        <v>53</v>
      </c>
      <c r="DK1964" s="496" t="s">
        <v>1085</v>
      </c>
      <c r="DL1964" s="496" t="s">
        <v>4542</v>
      </c>
      <c r="DM1964" s="496" t="s">
        <v>1087</v>
      </c>
      <c r="DN1964" s="497" t="s">
        <v>1088</v>
      </c>
      <c r="DP1964" s="543">
        <v>1</v>
      </c>
    </row>
    <row r="1965" spans="109:120" ht="15">
      <c r="DE1965" s="494"/>
      <c r="DF1965" s="496" t="s">
        <v>4889</v>
      </c>
      <c r="DG1965" s="496" t="s">
        <v>241</v>
      </c>
      <c r="DH1965" s="496" t="s">
        <v>690</v>
      </c>
      <c r="DI1965" s="496" t="s">
        <v>28</v>
      </c>
      <c r="DJ1965" s="496" t="s">
        <v>28</v>
      </c>
      <c r="DK1965" s="496" t="s">
        <v>1085</v>
      </c>
      <c r="DL1965" s="496" t="s">
        <v>4542</v>
      </c>
      <c r="DM1965" s="496" t="s">
        <v>1087</v>
      </c>
      <c r="DN1965" s="497" t="s">
        <v>1088</v>
      </c>
      <c r="DP1965" s="543">
        <v>1</v>
      </c>
    </row>
    <row r="1966" spans="109:120" ht="15">
      <c r="DE1966" s="494"/>
      <c r="DF1966" s="496" t="s">
        <v>4890</v>
      </c>
      <c r="DG1966" s="496" t="s">
        <v>241</v>
      </c>
      <c r="DH1966" s="496" t="s">
        <v>690</v>
      </c>
      <c r="DI1966" s="496" t="s">
        <v>39</v>
      </c>
      <c r="DJ1966" s="496" t="s">
        <v>39</v>
      </c>
      <c r="DK1966" s="496" t="s">
        <v>1085</v>
      </c>
      <c r="DL1966" s="496" t="s">
        <v>4542</v>
      </c>
      <c r="DM1966" s="496" t="s">
        <v>1087</v>
      </c>
      <c r="DN1966" s="497" t="s">
        <v>1088</v>
      </c>
      <c r="DP1966" s="543">
        <v>1</v>
      </c>
    </row>
    <row r="1967" spans="109:120" ht="15">
      <c r="DE1967" s="494"/>
      <c r="DF1967" s="496" t="s">
        <v>4891</v>
      </c>
      <c r="DG1967" s="496" t="s">
        <v>241</v>
      </c>
      <c r="DH1967" s="496" t="s">
        <v>690</v>
      </c>
      <c r="DI1967" s="496" t="s">
        <v>4892</v>
      </c>
      <c r="DJ1967" s="496" t="s">
        <v>4892</v>
      </c>
      <c r="DK1967" s="496" t="s">
        <v>1085</v>
      </c>
      <c r="DL1967" s="496" t="s">
        <v>4542</v>
      </c>
      <c r="DM1967" s="496" t="s">
        <v>1087</v>
      </c>
      <c r="DN1967" s="497" t="s">
        <v>1088</v>
      </c>
      <c r="DP1967" s="543">
        <v>1</v>
      </c>
    </row>
    <row r="1968" spans="109:120" ht="15">
      <c r="DE1968" s="494"/>
      <c r="DF1968" s="496" t="s">
        <v>4893</v>
      </c>
      <c r="DG1968" s="496" t="s">
        <v>241</v>
      </c>
      <c r="DH1968" s="496" t="s">
        <v>690</v>
      </c>
      <c r="DI1968" s="496" t="s">
        <v>4894</v>
      </c>
      <c r="DJ1968" s="496" t="s">
        <v>4894</v>
      </c>
      <c r="DK1968" s="496" t="s">
        <v>1085</v>
      </c>
      <c r="DL1968" s="496" t="s">
        <v>4542</v>
      </c>
      <c r="DM1968" s="496" t="s">
        <v>1087</v>
      </c>
      <c r="DN1968" s="497" t="s">
        <v>1088</v>
      </c>
      <c r="DP1968" s="543">
        <v>1</v>
      </c>
    </row>
    <row r="1969" spans="109:120" ht="15">
      <c r="DE1969" s="494"/>
      <c r="DF1969" s="496" t="s">
        <v>4895</v>
      </c>
      <c r="DG1969" s="496" t="s">
        <v>241</v>
      </c>
      <c r="DH1969" s="496" t="s">
        <v>690</v>
      </c>
      <c r="DI1969" s="496" t="s">
        <v>104</v>
      </c>
      <c r="DJ1969" s="496" t="s">
        <v>104</v>
      </c>
      <c r="DK1969" s="496" t="s">
        <v>1085</v>
      </c>
      <c r="DL1969" s="496" t="s">
        <v>4542</v>
      </c>
      <c r="DM1969" s="496" t="s">
        <v>1087</v>
      </c>
      <c r="DN1969" s="497" t="s">
        <v>1088</v>
      </c>
      <c r="DP1969" s="543">
        <v>1</v>
      </c>
    </row>
    <row r="1970" spans="109:120" ht="15">
      <c r="DE1970" s="494"/>
      <c r="DF1970" s="496" t="s">
        <v>4896</v>
      </c>
      <c r="DG1970" s="496" t="s">
        <v>241</v>
      </c>
      <c r="DH1970" s="496" t="s">
        <v>690</v>
      </c>
      <c r="DI1970" s="496" t="s">
        <v>4897</v>
      </c>
      <c r="DJ1970" s="496" t="s">
        <v>4897</v>
      </c>
      <c r="DK1970" s="496" t="s">
        <v>1085</v>
      </c>
      <c r="DL1970" s="496" t="s">
        <v>4542</v>
      </c>
      <c r="DM1970" s="496" t="s">
        <v>1087</v>
      </c>
      <c r="DN1970" s="497" t="s">
        <v>1088</v>
      </c>
      <c r="DP1970" s="543">
        <v>1</v>
      </c>
    </row>
    <row r="1971" spans="109:120" ht="15">
      <c r="DE1971" s="494"/>
      <c r="DF1971" s="496" t="s">
        <v>4898</v>
      </c>
      <c r="DG1971" s="496" t="s">
        <v>241</v>
      </c>
      <c r="DH1971" s="496" t="s">
        <v>1511</v>
      </c>
      <c r="DI1971" s="496" t="s">
        <v>4899</v>
      </c>
      <c r="DJ1971" s="496" t="s">
        <v>4899</v>
      </c>
      <c r="DK1971" s="496" t="s">
        <v>1085</v>
      </c>
      <c r="DL1971" s="496" t="s">
        <v>3799</v>
      </c>
      <c r="DM1971" s="496" t="s">
        <v>1087</v>
      </c>
      <c r="DN1971" s="497" t="s">
        <v>1088</v>
      </c>
      <c r="DP1971" s="543">
        <v>1</v>
      </c>
    </row>
    <row r="1972" spans="109:120" ht="15">
      <c r="DE1972" s="494"/>
      <c r="DF1972" s="496" t="s">
        <v>4900</v>
      </c>
      <c r="DG1972" s="496" t="s">
        <v>241</v>
      </c>
      <c r="DH1972" s="496" t="s">
        <v>1511</v>
      </c>
      <c r="DI1972" s="496" t="s">
        <v>4901</v>
      </c>
      <c r="DJ1972" s="496" t="s">
        <v>4902</v>
      </c>
      <c r="DK1972" s="496" t="s">
        <v>1085</v>
      </c>
      <c r="DL1972" s="496" t="s">
        <v>3799</v>
      </c>
      <c r="DM1972" s="496" t="s">
        <v>1087</v>
      </c>
      <c r="DN1972" s="497" t="s">
        <v>1088</v>
      </c>
      <c r="DP1972" s="543">
        <v>1</v>
      </c>
    </row>
    <row r="1973" spans="109:120" ht="15">
      <c r="DE1973" s="494"/>
      <c r="DF1973" s="496" t="s">
        <v>4903</v>
      </c>
      <c r="DG1973" s="496" t="s">
        <v>241</v>
      </c>
      <c r="DH1973" s="496" t="s">
        <v>1511</v>
      </c>
      <c r="DI1973" s="496" t="s">
        <v>4904</v>
      </c>
      <c r="DJ1973" s="496" t="s">
        <v>4904</v>
      </c>
      <c r="DK1973" s="496" t="s">
        <v>1085</v>
      </c>
      <c r="DL1973" s="496" t="s">
        <v>3799</v>
      </c>
      <c r="DM1973" s="496" t="s">
        <v>1087</v>
      </c>
      <c r="DN1973" s="497" t="s">
        <v>1088</v>
      </c>
      <c r="DP1973" s="543">
        <v>1</v>
      </c>
    </row>
    <row r="1974" spans="109:120" ht="15">
      <c r="DE1974" s="494"/>
      <c r="DF1974" s="496" t="s">
        <v>4905</v>
      </c>
      <c r="DG1974" s="496" t="s">
        <v>241</v>
      </c>
      <c r="DH1974" s="496" t="s">
        <v>1511</v>
      </c>
      <c r="DI1974" s="496" t="s">
        <v>876</v>
      </c>
      <c r="DJ1974" s="496" t="s">
        <v>876</v>
      </c>
      <c r="DK1974" s="496" t="s">
        <v>1085</v>
      </c>
      <c r="DL1974" s="496" t="s">
        <v>3799</v>
      </c>
      <c r="DM1974" s="496" t="s">
        <v>1087</v>
      </c>
      <c r="DN1974" s="497" t="s">
        <v>1088</v>
      </c>
      <c r="DP1974" s="543">
        <v>1</v>
      </c>
    </row>
    <row r="1975" spans="109:120" ht="15">
      <c r="DE1975" s="494"/>
      <c r="DF1975" s="496" t="s">
        <v>4906</v>
      </c>
      <c r="DG1975" s="496" t="s">
        <v>241</v>
      </c>
      <c r="DH1975" s="496" t="s">
        <v>1511</v>
      </c>
      <c r="DI1975" s="496" t="s">
        <v>877</v>
      </c>
      <c r="DJ1975" s="496" t="s">
        <v>877</v>
      </c>
      <c r="DK1975" s="496" t="s">
        <v>1085</v>
      </c>
      <c r="DL1975" s="496" t="s">
        <v>3799</v>
      </c>
      <c r="DM1975" s="496" t="s">
        <v>1087</v>
      </c>
      <c r="DN1975" s="497" t="s">
        <v>1088</v>
      </c>
      <c r="DP1975" s="543">
        <v>1</v>
      </c>
    </row>
    <row r="1976" spans="109:120" ht="15">
      <c r="DE1976" s="494"/>
      <c r="DF1976" s="496" t="s">
        <v>4907</v>
      </c>
      <c r="DG1976" s="496" t="s">
        <v>241</v>
      </c>
      <c r="DH1976" s="496" t="s">
        <v>1511</v>
      </c>
      <c r="DI1976" s="496" t="s">
        <v>4908</v>
      </c>
      <c r="DJ1976" s="496" t="s">
        <v>4908</v>
      </c>
      <c r="DK1976" s="496" t="s">
        <v>1151</v>
      </c>
      <c r="DL1976" s="496" t="s">
        <v>1518</v>
      </c>
      <c r="DM1976" s="496" t="s">
        <v>1087</v>
      </c>
      <c r="DN1976" s="497" t="s">
        <v>1153</v>
      </c>
      <c r="DP1976" s="543">
        <v>1</v>
      </c>
    </row>
    <row r="1977" spans="109:120" ht="15">
      <c r="DE1977" s="494"/>
      <c r="DF1977" s="496" t="s">
        <v>4909</v>
      </c>
      <c r="DG1977" s="496" t="s">
        <v>241</v>
      </c>
      <c r="DH1977" s="496" t="s">
        <v>1511</v>
      </c>
      <c r="DI1977" s="496" t="s">
        <v>4910</v>
      </c>
      <c r="DJ1977" s="496" t="s">
        <v>4911</v>
      </c>
      <c r="DK1977" s="496" t="s">
        <v>1085</v>
      </c>
      <c r="DL1977" s="496" t="s">
        <v>3799</v>
      </c>
      <c r="DM1977" s="496" t="s">
        <v>1087</v>
      </c>
      <c r="DN1977" s="497" t="s">
        <v>1088</v>
      </c>
      <c r="DP1977" s="543">
        <v>1</v>
      </c>
    </row>
    <row r="1978" spans="109:120" ht="15">
      <c r="DE1978" s="494"/>
      <c r="DF1978" s="496" t="s">
        <v>4912</v>
      </c>
      <c r="DG1978" s="496" t="s">
        <v>241</v>
      </c>
      <c r="DH1978" s="496" t="s">
        <v>1511</v>
      </c>
      <c r="DI1978" s="496" t="s">
        <v>4913</v>
      </c>
      <c r="DJ1978" s="496" t="s">
        <v>4913</v>
      </c>
      <c r="DK1978" s="496" t="s">
        <v>1085</v>
      </c>
      <c r="DL1978" s="496" t="s">
        <v>3799</v>
      </c>
      <c r="DM1978" s="496" t="s">
        <v>1087</v>
      </c>
      <c r="DN1978" s="497" t="s">
        <v>1088</v>
      </c>
      <c r="DP1978" s="543">
        <v>1</v>
      </c>
    </row>
    <row r="1979" spans="109:120" ht="15">
      <c r="DE1979" s="494"/>
      <c r="DF1979" s="496" t="s">
        <v>4914</v>
      </c>
      <c r="DG1979" s="496" t="s">
        <v>241</v>
      </c>
      <c r="DH1979" s="496" t="s">
        <v>1511</v>
      </c>
      <c r="DI1979" s="496" t="s">
        <v>879</v>
      </c>
      <c r="DJ1979" s="496" t="s">
        <v>879</v>
      </c>
      <c r="DK1979" s="496" t="s">
        <v>1085</v>
      </c>
      <c r="DL1979" s="496" t="s">
        <v>3799</v>
      </c>
      <c r="DM1979" s="496" t="s">
        <v>1087</v>
      </c>
      <c r="DN1979" s="497" t="s">
        <v>1088</v>
      </c>
      <c r="DP1979" s="543">
        <v>1</v>
      </c>
    </row>
    <row r="1980" spans="109:120" ht="15">
      <c r="DE1980" s="494"/>
      <c r="DF1980" s="496" t="s">
        <v>4915</v>
      </c>
      <c r="DG1980" s="496" t="s">
        <v>241</v>
      </c>
      <c r="DH1980" s="496" t="s">
        <v>1511</v>
      </c>
      <c r="DI1980" s="496" t="s">
        <v>4916</v>
      </c>
      <c r="DJ1980" s="496" t="s">
        <v>4916</v>
      </c>
      <c r="DK1980" s="496" t="s">
        <v>1085</v>
      </c>
      <c r="DL1980" s="496" t="s">
        <v>3799</v>
      </c>
      <c r="DM1980" s="496" t="s">
        <v>1087</v>
      </c>
      <c r="DN1980" s="497" t="s">
        <v>1088</v>
      </c>
      <c r="DP1980" s="543">
        <v>1</v>
      </c>
    </row>
    <row r="1981" spans="109:120" ht="15">
      <c r="DE1981" s="494"/>
      <c r="DF1981" s="496" t="s">
        <v>4917</v>
      </c>
      <c r="DG1981" s="496" t="s">
        <v>241</v>
      </c>
      <c r="DH1981" s="496" t="s">
        <v>1511</v>
      </c>
      <c r="DI1981" s="496" t="s">
        <v>4918</v>
      </c>
      <c r="DJ1981" s="496" t="s">
        <v>4918</v>
      </c>
      <c r="DK1981" s="496" t="s">
        <v>1085</v>
      </c>
      <c r="DL1981" s="496" t="s">
        <v>3799</v>
      </c>
      <c r="DM1981" s="496" t="s">
        <v>1087</v>
      </c>
      <c r="DN1981" s="497" t="s">
        <v>1088</v>
      </c>
      <c r="DP1981" s="543">
        <v>1</v>
      </c>
    </row>
    <row r="1982" spans="109:120" ht="15">
      <c r="DE1982" s="494"/>
      <c r="DF1982" s="496" t="s">
        <v>4919</v>
      </c>
      <c r="DG1982" s="496" t="s">
        <v>241</v>
      </c>
      <c r="DH1982" s="496" t="s">
        <v>1511</v>
      </c>
      <c r="DI1982" s="496" t="s">
        <v>4920</v>
      </c>
      <c r="DJ1982" s="496" t="s">
        <v>4920</v>
      </c>
      <c r="DK1982" s="496" t="s">
        <v>1151</v>
      </c>
      <c r="DL1982" s="496" t="s">
        <v>1518</v>
      </c>
      <c r="DM1982" s="496" t="s">
        <v>1087</v>
      </c>
      <c r="DN1982" s="497" t="s">
        <v>1153</v>
      </c>
      <c r="DP1982" s="543">
        <v>1</v>
      </c>
    </row>
    <row r="1983" spans="109:120" ht="15">
      <c r="DE1983" s="494"/>
      <c r="DF1983" s="496" t="s">
        <v>4921</v>
      </c>
      <c r="DG1983" s="496" t="s">
        <v>241</v>
      </c>
      <c r="DH1983" s="496" t="s">
        <v>1511</v>
      </c>
      <c r="DI1983" s="496" t="s">
        <v>4922</v>
      </c>
      <c r="DJ1983" s="496" t="s">
        <v>4923</v>
      </c>
      <c r="DK1983" s="496" t="s">
        <v>1085</v>
      </c>
      <c r="DL1983" s="496" t="s">
        <v>3799</v>
      </c>
      <c r="DM1983" s="496" t="s">
        <v>1087</v>
      </c>
      <c r="DN1983" s="497" t="s">
        <v>1088</v>
      </c>
      <c r="DP1983" s="543">
        <v>1</v>
      </c>
    </row>
    <row r="1984" spans="109:120" ht="15">
      <c r="DE1984" s="494"/>
      <c r="DF1984" s="496" t="s">
        <v>4924</v>
      </c>
      <c r="DG1984" s="496" t="s">
        <v>241</v>
      </c>
      <c r="DH1984" s="496" t="s">
        <v>1511</v>
      </c>
      <c r="DI1984" s="496" t="s">
        <v>4925</v>
      </c>
      <c r="DJ1984" s="496" t="s">
        <v>4925</v>
      </c>
      <c r="DK1984" s="496" t="s">
        <v>1085</v>
      </c>
      <c r="DL1984" s="496" t="s">
        <v>3799</v>
      </c>
      <c r="DM1984" s="496" t="s">
        <v>1087</v>
      </c>
      <c r="DN1984" s="497" t="s">
        <v>1088</v>
      </c>
      <c r="DP1984" s="543">
        <v>1</v>
      </c>
    </row>
    <row r="1985" spans="109:120" ht="15">
      <c r="DE1985" s="494"/>
      <c r="DF1985" s="496" t="s">
        <v>4926</v>
      </c>
      <c r="DG1985" s="496" t="s">
        <v>241</v>
      </c>
      <c r="DH1985" s="496" t="s">
        <v>1511</v>
      </c>
      <c r="DI1985" s="496" t="s">
        <v>4713</v>
      </c>
      <c r="DJ1985" s="496" t="s">
        <v>4713</v>
      </c>
      <c r="DK1985" s="496" t="s">
        <v>1085</v>
      </c>
      <c r="DL1985" s="496" t="s">
        <v>3799</v>
      </c>
      <c r="DM1985" s="496" t="s">
        <v>1087</v>
      </c>
      <c r="DN1985" s="497" t="s">
        <v>1088</v>
      </c>
      <c r="DP1985" s="543">
        <v>1</v>
      </c>
    </row>
    <row r="1986" spans="109:120" ht="15">
      <c r="DE1986" s="494"/>
      <c r="DF1986" s="496" t="s">
        <v>4927</v>
      </c>
      <c r="DG1986" s="496" t="s">
        <v>241</v>
      </c>
      <c r="DH1986" s="496" t="s">
        <v>1511</v>
      </c>
      <c r="DI1986" s="496" t="s">
        <v>4928</v>
      </c>
      <c r="DJ1986" s="496" t="s">
        <v>4928</v>
      </c>
      <c r="DK1986" s="496" t="s">
        <v>1085</v>
      </c>
      <c r="DL1986" s="496" t="s">
        <v>3799</v>
      </c>
      <c r="DM1986" s="496" t="s">
        <v>1087</v>
      </c>
      <c r="DN1986" s="497" t="s">
        <v>1088</v>
      </c>
      <c r="DP1986" s="543">
        <v>1</v>
      </c>
    </row>
    <row r="1987" spans="109:120" ht="15">
      <c r="DE1987" s="494"/>
      <c r="DF1987" s="496" t="s">
        <v>4929</v>
      </c>
      <c r="DG1987" s="496" t="s">
        <v>241</v>
      </c>
      <c r="DH1987" s="496" t="s">
        <v>1511</v>
      </c>
      <c r="DI1987" s="496" t="s">
        <v>4930</v>
      </c>
      <c r="DJ1987" s="496" t="s">
        <v>4931</v>
      </c>
      <c r="DK1987" s="496" t="s">
        <v>1085</v>
      </c>
      <c r="DL1987" s="496" t="s">
        <v>3799</v>
      </c>
      <c r="DM1987" s="496" t="s">
        <v>1087</v>
      </c>
      <c r="DN1987" s="497" t="s">
        <v>1088</v>
      </c>
      <c r="DP1987" s="543">
        <v>1</v>
      </c>
    </row>
    <row r="1988" spans="109:120" ht="15">
      <c r="DE1988" s="494"/>
      <c r="DF1988" s="496" t="s">
        <v>4932</v>
      </c>
      <c r="DG1988" s="496" t="s">
        <v>236</v>
      </c>
      <c r="DH1988" s="496" t="s">
        <v>689</v>
      </c>
      <c r="DI1988" s="496" t="s">
        <v>275</v>
      </c>
      <c r="DJ1988" s="496" t="s">
        <v>2</v>
      </c>
      <c r="DK1988" s="496" t="s">
        <v>1085</v>
      </c>
      <c r="DL1988" s="496" t="s">
        <v>4933</v>
      </c>
      <c r="DM1988" s="496" t="s">
        <v>1087</v>
      </c>
      <c r="DN1988" s="497" t="s">
        <v>1088</v>
      </c>
      <c r="DP1988" s="543">
        <v>1</v>
      </c>
    </row>
    <row r="1989" spans="109:120" ht="15">
      <c r="DE1989" s="494"/>
      <c r="DF1989" s="496" t="s">
        <v>4934</v>
      </c>
      <c r="DG1989" s="496" t="s">
        <v>236</v>
      </c>
      <c r="DH1989" s="496" t="s">
        <v>689</v>
      </c>
      <c r="DI1989" s="496" t="s">
        <v>4935</v>
      </c>
      <c r="DJ1989" s="496" t="s">
        <v>277</v>
      </c>
      <c r="DK1989" s="496" t="s">
        <v>1085</v>
      </c>
      <c r="DL1989" s="496" t="s">
        <v>4933</v>
      </c>
      <c r="DM1989" s="496" t="s">
        <v>1087</v>
      </c>
      <c r="DN1989" s="497" t="s">
        <v>1088</v>
      </c>
      <c r="DP1989" s="543">
        <v>1</v>
      </c>
    </row>
    <row r="1990" spans="109:120" ht="15">
      <c r="DE1990" s="494"/>
      <c r="DF1990" s="496" t="s">
        <v>4936</v>
      </c>
      <c r="DG1990" s="496" t="s">
        <v>236</v>
      </c>
      <c r="DH1990" s="496" t="s">
        <v>689</v>
      </c>
      <c r="DI1990" s="496" t="s">
        <v>4937</v>
      </c>
      <c r="DJ1990" s="496" t="s">
        <v>35</v>
      </c>
      <c r="DK1990" s="496" t="s">
        <v>1085</v>
      </c>
      <c r="DL1990" s="496" t="s">
        <v>4933</v>
      </c>
      <c r="DM1990" s="496" t="s">
        <v>1087</v>
      </c>
      <c r="DN1990" s="497" t="s">
        <v>1088</v>
      </c>
      <c r="DP1990" s="543">
        <v>1</v>
      </c>
    </row>
    <row r="1991" spans="109:120" ht="15">
      <c r="DE1991" s="494"/>
      <c r="DF1991" s="496" t="s">
        <v>4938</v>
      </c>
      <c r="DG1991" s="496" t="s">
        <v>236</v>
      </c>
      <c r="DH1991" s="496" t="s">
        <v>689</v>
      </c>
      <c r="DI1991" s="496" t="s">
        <v>4939</v>
      </c>
      <c r="DJ1991" s="496" t="s">
        <v>4939</v>
      </c>
      <c r="DK1991" s="496" t="s">
        <v>1151</v>
      </c>
      <c r="DL1991" s="496" t="s">
        <v>1152</v>
      </c>
      <c r="DM1991" s="496" t="s">
        <v>1087</v>
      </c>
      <c r="DN1991" s="497" t="s">
        <v>1153</v>
      </c>
      <c r="DP1991" s="543">
        <v>1</v>
      </c>
    </row>
    <row r="1992" spans="109:120" ht="15">
      <c r="DE1992" s="494"/>
      <c r="DF1992" s="496" t="s">
        <v>4940</v>
      </c>
      <c r="DG1992" s="496" t="s">
        <v>236</v>
      </c>
      <c r="DH1992" s="496" t="s">
        <v>689</v>
      </c>
      <c r="DI1992" s="496" t="s">
        <v>280</v>
      </c>
      <c r="DJ1992" s="496" t="s">
        <v>280</v>
      </c>
      <c r="DK1992" s="496" t="s">
        <v>1151</v>
      </c>
      <c r="DL1992" s="496" t="s">
        <v>1152</v>
      </c>
      <c r="DM1992" s="496" t="s">
        <v>1087</v>
      </c>
      <c r="DN1992" s="497" t="s">
        <v>1153</v>
      </c>
      <c r="DP1992" s="543">
        <v>1</v>
      </c>
    </row>
    <row r="1993" spans="109:120" ht="15">
      <c r="DE1993" s="494"/>
      <c r="DF1993" s="496" t="s">
        <v>4941</v>
      </c>
      <c r="DG1993" s="496" t="s">
        <v>236</v>
      </c>
      <c r="DH1993" s="496" t="s">
        <v>689</v>
      </c>
      <c r="DI1993" s="496" t="s">
        <v>4942</v>
      </c>
      <c r="DJ1993" s="496" t="s">
        <v>4943</v>
      </c>
      <c r="DK1993" s="496" t="s">
        <v>1085</v>
      </c>
      <c r="DL1993" s="496" t="s">
        <v>4933</v>
      </c>
      <c r="DM1993" s="496" t="s">
        <v>1087</v>
      </c>
      <c r="DN1993" s="497" t="s">
        <v>1088</v>
      </c>
      <c r="DP1993" s="543">
        <v>1</v>
      </c>
    </row>
    <row r="1994" spans="109:120" ht="15">
      <c r="DE1994" s="494"/>
      <c r="DF1994" s="496" t="s">
        <v>4944</v>
      </c>
      <c r="DG1994" s="496" t="s">
        <v>236</v>
      </c>
      <c r="DH1994" s="496" t="s">
        <v>689</v>
      </c>
      <c r="DI1994" s="496" t="s">
        <v>4945</v>
      </c>
      <c r="DJ1994" s="496" t="s">
        <v>73</v>
      </c>
      <c r="DK1994" s="496" t="s">
        <v>1085</v>
      </c>
      <c r="DL1994" s="496" t="s">
        <v>4933</v>
      </c>
      <c r="DM1994" s="496" t="s">
        <v>1087</v>
      </c>
      <c r="DN1994" s="497" t="s">
        <v>1088</v>
      </c>
      <c r="DP1994" s="543">
        <v>1</v>
      </c>
    </row>
    <row r="1995" spans="109:120" ht="15">
      <c r="DE1995" s="494"/>
      <c r="DF1995" s="496" t="s">
        <v>4946</v>
      </c>
      <c r="DG1995" s="496" t="s">
        <v>236</v>
      </c>
      <c r="DH1995" s="496" t="s">
        <v>689</v>
      </c>
      <c r="DI1995" s="496" t="s">
        <v>4947</v>
      </c>
      <c r="DJ1995" s="496" t="s">
        <v>86</v>
      </c>
      <c r="DK1995" s="496" t="s">
        <v>1085</v>
      </c>
      <c r="DL1995" s="496" t="s">
        <v>4933</v>
      </c>
      <c r="DM1995" s="496" t="s">
        <v>1087</v>
      </c>
      <c r="DN1995" s="497" t="s">
        <v>1088</v>
      </c>
      <c r="DP1995" s="543">
        <v>1</v>
      </c>
    </row>
    <row r="1996" spans="109:120" ht="15">
      <c r="DE1996" s="494"/>
      <c r="DF1996" s="496" t="s">
        <v>4948</v>
      </c>
      <c r="DG1996" s="496" t="s">
        <v>236</v>
      </c>
      <c r="DH1996" s="496" t="s">
        <v>689</v>
      </c>
      <c r="DI1996" s="496" t="s">
        <v>4949</v>
      </c>
      <c r="DJ1996" s="496" t="s">
        <v>99</v>
      </c>
      <c r="DK1996" s="496" t="s">
        <v>1085</v>
      </c>
      <c r="DL1996" s="496" t="s">
        <v>4933</v>
      </c>
      <c r="DM1996" s="496" t="s">
        <v>1087</v>
      </c>
      <c r="DN1996" s="497" t="s">
        <v>1088</v>
      </c>
      <c r="DP1996" s="543">
        <v>1</v>
      </c>
    </row>
    <row r="1997" spans="109:120" ht="15">
      <c r="DE1997" s="494"/>
      <c r="DF1997" s="496" t="s">
        <v>4950</v>
      </c>
      <c r="DG1997" s="496" t="s">
        <v>236</v>
      </c>
      <c r="DH1997" s="496" t="s">
        <v>689</v>
      </c>
      <c r="DI1997" s="496" t="s">
        <v>4951</v>
      </c>
      <c r="DJ1997" s="496" t="s">
        <v>114</v>
      </c>
      <c r="DK1997" s="496" t="s">
        <v>1085</v>
      </c>
      <c r="DL1997" s="496" t="s">
        <v>4933</v>
      </c>
      <c r="DM1997" s="496" t="s">
        <v>1087</v>
      </c>
      <c r="DN1997" s="497" t="s">
        <v>1088</v>
      </c>
      <c r="DP1997" s="543">
        <v>1</v>
      </c>
    </row>
    <row r="1998" spans="109:120" ht="15">
      <c r="DE1998" s="494"/>
      <c r="DF1998" s="496" t="s">
        <v>4952</v>
      </c>
      <c r="DG1998" s="496" t="s">
        <v>236</v>
      </c>
      <c r="DH1998" s="496" t="s">
        <v>689</v>
      </c>
      <c r="DI1998" s="496" t="s">
        <v>4953</v>
      </c>
      <c r="DJ1998" s="496" t="s">
        <v>4954</v>
      </c>
      <c r="DK1998" s="496" t="s">
        <v>1085</v>
      </c>
      <c r="DL1998" s="496" t="s">
        <v>4933</v>
      </c>
      <c r="DM1998" s="496" t="s">
        <v>1087</v>
      </c>
      <c r="DN1998" s="497" t="s">
        <v>1088</v>
      </c>
      <c r="DP1998" s="543">
        <v>1</v>
      </c>
    </row>
    <row r="1999" spans="109:120" ht="15">
      <c r="DE1999" s="494"/>
      <c r="DF1999" s="496" t="s">
        <v>4955</v>
      </c>
      <c r="DG1999" s="496" t="s">
        <v>236</v>
      </c>
      <c r="DH1999" s="496" t="s">
        <v>689</v>
      </c>
      <c r="DI1999" s="496" t="s">
        <v>4956</v>
      </c>
      <c r="DJ1999" s="496" t="s">
        <v>4957</v>
      </c>
      <c r="DK1999" s="496" t="s">
        <v>1085</v>
      </c>
      <c r="DL1999" s="496" t="s">
        <v>4933</v>
      </c>
      <c r="DM1999" s="496" t="s">
        <v>1087</v>
      </c>
      <c r="DN1999" s="497" t="s">
        <v>1088</v>
      </c>
      <c r="DP1999" s="543">
        <v>1</v>
      </c>
    </row>
    <row r="2000" spans="109:120" ht="15">
      <c r="DE2000" s="494"/>
      <c r="DF2000" s="496" t="s">
        <v>4958</v>
      </c>
      <c r="DG2000" s="496" t="s">
        <v>236</v>
      </c>
      <c r="DH2000" s="496" t="s">
        <v>689</v>
      </c>
      <c r="DI2000" s="496" t="s">
        <v>4959</v>
      </c>
      <c r="DJ2000" s="496" t="s">
        <v>4960</v>
      </c>
      <c r="DK2000" s="496" t="s">
        <v>1085</v>
      </c>
      <c r="DL2000" s="496" t="s">
        <v>4933</v>
      </c>
      <c r="DM2000" s="496" t="s">
        <v>1087</v>
      </c>
      <c r="DN2000" s="497" t="s">
        <v>1088</v>
      </c>
      <c r="DP2000" s="543">
        <v>1</v>
      </c>
    </row>
    <row r="2001" spans="109:120" ht="15">
      <c r="DE2001" s="494"/>
      <c r="DF2001" s="496" t="s">
        <v>4961</v>
      </c>
      <c r="DG2001" s="496" t="s">
        <v>236</v>
      </c>
      <c r="DH2001" s="496" t="s">
        <v>689</v>
      </c>
      <c r="DI2001" s="496" t="s">
        <v>4962</v>
      </c>
      <c r="DJ2001" s="496" t="s">
        <v>127</v>
      </c>
      <c r="DK2001" s="496" t="s">
        <v>1085</v>
      </c>
      <c r="DL2001" s="496" t="s">
        <v>4933</v>
      </c>
      <c r="DM2001" s="496" t="s">
        <v>1087</v>
      </c>
      <c r="DN2001" s="497" t="s">
        <v>1088</v>
      </c>
      <c r="DP2001" s="543">
        <v>1</v>
      </c>
    </row>
    <row r="2002" spans="109:120" ht="15">
      <c r="DE2002" s="494"/>
      <c r="DF2002" s="496" t="s">
        <v>4963</v>
      </c>
      <c r="DG2002" s="496" t="s">
        <v>236</v>
      </c>
      <c r="DH2002" s="496" t="s">
        <v>1511</v>
      </c>
      <c r="DI2002" s="496" t="s">
        <v>1515</v>
      </c>
      <c r="DJ2002" s="496" t="s">
        <v>1515</v>
      </c>
      <c r="DK2002" s="496" t="s">
        <v>1085</v>
      </c>
      <c r="DL2002" s="496" t="s">
        <v>3799</v>
      </c>
      <c r="DM2002" s="496" t="s">
        <v>1087</v>
      </c>
      <c r="DN2002" s="497" t="s">
        <v>1088</v>
      </c>
      <c r="DP2002" s="543">
        <v>1</v>
      </c>
    </row>
    <row r="2003" spans="109:120" ht="15">
      <c r="DE2003" s="494"/>
      <c r="DF2003" s="496" t="s">
        <v>4964</v>
      </c>
      <c r="DG2003" s="496" t="s">
        <v>236</v>
      </c>
      <c r="DH2003" s="496" t="s">
        <v>1511</v>
      </c>
      <c r="DI2003" s="496" t="s">
        <v>4965</v>
      </c>
      <c r="DJ2003" s="496" t="s">
        <v>4966</v>
      </c>
      <c r="DK2003" s="496" t="s">
        <v>1085</v>
      </c>
      <c r="DL2003" s="496" t="s">
        <v>3799</v>
      </c>
      <c r="DM2003" s="496" t="s">
        <v>1087</v>
      </c>
      <c r="DN2003" s="497" t="s">
        <v>1088</v>
      </c>
      <c r="DP2003" s="543">
        <v>1</v>
      </c>
    </row>
    <row r="2004" spans="109:120" ht="15">
      <c r="DE2004" s="494"/>
      <c r="DF2004" s="496" t="s">
        <v>4967</v>
      </c>
      <c r="DG2004" s="496" t="s">
        <v>236</v>
      </c>
      <c r="DH2004" s="496" t="s">
        <v>1511</v>
      </c>
      <c r="DI2004" s="496" t="s">
        <v>1522</v>
      </c>
      <c r="DJ2004" s="496" t="s">
        <v>1522</v>
      </c>
      <c r="DK2004" s="496" t="s">
        <v>1085</v>
      </c>
      <c r="DL2004" s="496" t="s">
        <v>3799</v>
      </c>
      <c r="DM2004" s="496" t="s">
        <v>1087</v>
      </c>
      <c r="DN2004" s="497" t="s">
        <v>1088</v>
      </c>
      <c r="DP2004" s="543">
        <v>1</v>
      </c>
    </row>
    <row r="2005" spans="109:120" ht="15">
      <c r="DE2005" s="494"/>
      <c r="DF2005" s="496" t="s">
        <v>4968</v>
      </c>
      <c r="DG2005" s="496" t="s">
        <v>236</v>
      </c>
      <c r="DH2005" s="496" t="s">
        <v>1511</v>
      </c>
      <c r="DI2005" s="496" t="s">
        <v>4969</v>
      </c>
      <c r="DJ2005" s="496" t="s">
        <v>4969</v>
      </c>
      <c r="DK2005" s="496" t="s">
        <v>1085</v>
      </c>
      <c r="DL2005" s="496" t="s">
        <v>3799</v>
      </c>
      <c r="DM2005" s="496" t="s">
        <v>1087</v>
      </c>
      <c r="DN2005" s="497" t="s">
        <v>1088</v>
      </c>
      <c r="DP2005" s="543">
        <v>1</v>
      </c>
    </row>
    <row r="2006" spans="109:120" ht="15">
      <c r="DE2006" s="494"/>
      <c r="DF2006" s="496" t="s">
        <v>4970</v>
      </c>
      <c r="DG2006" s="496" t="s">
        <v>236</v>
      </c>
      <c r="DH2006" s="496" t="s">
        <v>1511</v>
      </c>
      <c r="DI2006" s="496" t="s">
        <v>1525</v>
      </c>
      <c r="DJ2006" s="496" t="s">
        <v>1525</v>
      </c>
      <c r="DK2006" s="496" t="s">
        <v>1085</v>
      </c>
      <c r="DL2006" s="496" t="s">
        <v>3799</v>
      </c>
      <c r="DM2006" s="496" t="s">
        <v>1087</v>
      </c>
      <c r="DN2006" s="497" t="s">
        <v>1088</v>
      </c>
      <c r="DP2006" s="543">
        <v>1</v>
      </c>
    </row>
    <row r="2007" spans="109:120" ht="15">
      <c r="DE2007" s="494"/>
      <c r="DF2007" s="496" t="s">
        <v>4971</v>
      </c>
      <c r="DG2007" s="496" t="s">
        <v>236</v>
      </c>
      <c r="DH2007" s="496" t="s">
        <v>1511</v>
      </c>
      <c r="DI2007" s="496" t="s">
        <v>1527</v>
      </c>
      <c r="DJ2007" s="496" t="s">
        <v>1527</v>
      </c>
      <c r="DK2007" s="496" t="s">
        <v>1085</v>
      </c>
      <c r="DL2007" s="496" t="s">
        <v>3799</v>
      </c>
      <c r="DM2007" s="496" t="s">
        <v>1087</v>
      </c>
      <c r="DN2007" s="497" t="s">
        <v>1088</v>
      </c>
      <c r="DP2007" s="543">
        <v>1</v>
      </c>
    </row>
    <row r="2008" spans="109:120" ht="15">
      <c r="DE2008" s="494"/>
      <c r="DF2008" s="496" t="s">
        <v>4972</v>
      </c>
      <c r="DG2008" s="496" t="s">
        <v>236</v>
      </c>
      <c r="DH2008" s="496" t="s">
        <v>1511</v>
      </c>
      <c r="DI2008" s="496" t="s">
        <v>4973</v>
      </c>
      <c r="DJ2008" s="496" t="s">
        <v>4973</v>
      </c>
      <c r="DK2008" s="496" t="s">
        <v>1085</v>
      </c>
      <c r="DL2008" s="496" t="s">
        <v>3799</v>
      </c>
      <c r="DM2008" s="496" t="s">
        <v>1087</v>
      </c>
      <c r="DN2008" s="497" t="s">
        <v>1088</v>
      </c>
      <c r="DP2008" s="543">
        <v>1</v>
      </c>
    </row>
    <row r="2009" spans="109:120" ht="15">
      <c r="DE2009" s="494"/>
      <c r="DF2009" s="496" t="s">
        <v>4974</v>
      </c>
      <c r="DG2009" s="496" t="s">
        <v>236</v>
      </c>
      <c r="DH2009" s="496" t="s">
        <v>1511</v>
      </c>
      <c r="DI2009" s="496" t="s">
        <v>4975</v>
      </c>
      <c r="DJ2009" s="496" t="s">
        <v>4976</v>
      </c>
      <c r="DK2009" s="496" t="s">
        <v>1085</v>
      </c>
      <c r="DL2009" s="496" t="s">
        <v>3799</v>
      </c>
      <c r="DM2009" s="496" t="s">
        <v>1087</v>
      </c>
      <c r="DN2009" s="497" t="s">
        <v>1088</v>
      </c>
      <c r="DP2009" s="543">
        <v>1</v>
      </c>
    </row>
    <row r="2010" spans="109:120" ht="15">
      <c r="DE2010" s="494"/>
      <c r="DF2010" s="496" t="s">
        <v>4977</v>
      </c>
      <c r="DG2010" s="496" t="s">
        <v>236</v>
      </c>
      <c r="DH2010" s="496" t="s">
        <v>1511</v>
      </c>
      <c r="DI2010" s="496" t="s">
        <v>4978</v>
      </c>
      <c r="DJ2010" s="496" t="s">
        <v>4978</v>
      </c>
      <c r="DK2010" s="496" t="s">
        <v>1085</v>
      </c>
      <c r="DL2010" s="496" t="s">
        <v>3799</v>
      </c>
      <c r="DM2010" s="496" t="s">
        <v>1087</v>
      </c>
      <c r="DN2010" s="497" t="s">
        <v>1088</v>
      </c>
      <c r="DP2010" s="543">
        <v>1</v>
      </c>
    </row>
    <row r="2011" spans="109:120" ht="15">
      <c r="DE2011" s="494"/>
      <c r="DF2011" s="496" t="s">
        <v>4979</v>
      </c>
      <c r="DG2011" s="496" t="s">
        <v>236</v>
      </c>
      <c r="DH2011" s="496" t="s">
        <v>1511</v>
      </c>
      <c r="DI2011" s="496" t="s">
        <v>1941</v>
      </c>
      <c r="DJ2011" s="496" t="s">
        <v>913</v>
      </c>
      <c r="DK2011" s="496" t="s">
        <v>1085</v>
      </c>
      <c r="DL2011" s="496" t="s">
        <v>3799</v>
      </c>
      <c r="DM2011" s="496" t="s">
        <v>1087</v>
      </c>
      <c r="DN2011" s="497" t="s">
        <v>1088</v>
      </c>
      <c r="DP2011" s="543">
        <v>1</v>
      </c>
    </row>
    <row r="2012" spans="109:120" ht="15">
      <c r="DE2012" s="494"/>
      <c r="DF2012" s="496" t="s">
        <v>4980</v>
      </c>
      <c r="DG2012" s="496" t="s">
        <v>236</v>
      </c>
      <c r="DH2012" s="496" t="s">
        <v>1511</v>
      </c>
      <c r="DI2012" s="496" t="s">
        <v>4981</v>
      </c>
      <c r="DJ2012" s="496" t="s">
        <v>4981</v>
      </c>
      <c r="DK2012" s="496" t="s">
        <v>1085</v>
      </c>
      <c r="DL2012" s="496" t="s">
        <v>3799</v>
      </c>
      <c r="DM2012" s="496" t="s">
        <v>1087</v>
      </c>
      <c r="DN2012" s="497" t="s">
        <v>1088</v>
      </c>
      <c r="DP2012" s="543">
        <v>1</v>
      </c>
    </row>
    <row r="2013" spans="109:120" ht="15">
      <c r="DE2013" s="494"/>
      <c r="DF2013" s="496" t="s">
        <v>4982</v>
      </c>
      <c r="DG2013" s="496" t="s">
        <v>236</v>
      </c>
      <c r="DH2013" s="496" t="s">
        <v>1511</v>
      </c>
      <c r="DI2013" s="496" t="s">
        <v>1544</v>
      </c>
      <c r="DJ2013" s="496" t="s">
        <v>1544</v>
      </c>
      <c r="DK2013" s="496" t="s">
        <v>1085</v>
      </c>
      <c r="DL2013" s="496" t="s">
        <v>3799</v>
      </c>
      <c r="DM2013" s="496" t="s">
        <v>1087</v>
      </c>
      <c r="DN2013" s="497" t="s">
        <v>1088</v>
      </c>
      <c r="DP2013" s="543">
        <v>1</v>
      </c>
    </row>
    <row r="2014" spans="109:120" ht="15">
      <c r="DE2014" s="494"/>
      <c r="DF2014" s="496" t="s">
        <v>4983</v>
      </c>
      <c r="DG2014" s="496" t="s">
        <v>236</v>
      </c>
      <c r="DH2014" s="496" t="s">
        <v>1511</v>
      </c>
      <c r="DI2014" s="496" t="s">
        <v>4984</v>
      </c>
      <c r="DJ2014" s="496" t="s">
        <v>4985</v>
      </c>
      <c r="DK2014" s="496" t="s">
        <v>1085</v>
      </c>
      <c r="DL2014" s="496" t="s">
        <v>3799</v>
      </c>
      <c r="DM2014" s="496" t="s">
        <v>1087</v>
      </c>
      <c r="DN2014" s="497" t="s">
        <v>1088</v>
      </c>
      <c r="DP2014" s="543">
        <v>1</v>
      </c>
    </row>
    <row r="2015" spans="109:120" ht="15">
      <c r="DE2015" s="494"/>
      <c r="DF2015" s="496" t="s">
        <v>4986</v>
      </c>
      <c r="DG2015" s="496" t="s">
        <v>236</v>
      </c>
      <c r="DH2015" s="496" t="s">
        <v>1511</v>
      </c>
      <c r="DI2015" s="496" t="s">
        <v>4987</v>
      </c>
      <c r="DJ2015" s="496" t="s">
        <v>4987</v>
      </c>
      <c r="DK2015" s="496" t="s">
        <v>1085</v>
      </c>
      <c r="DL2015" s="496" t="s">
        <v>3799</v>
      </c>
      <c r="DM2015" s="496" t="s">
        <v>1087</v>
      </c>
      <c r="DN2015" s="497" t="s">
        <v>1088</v>
      </c>
      <c r="DP2015" s="543">
        <v>1</v>
      </c>
    </row>
    <row r="2016" spans="109:120" ht="15">
      <c r="DE2016" s="494"/>
      <c r="DF2016" s="496" t="s">
        <v>4988</v>
      </c>
      <c r="DG2016" s="496" t="s">
        <v>236</v>
      </c>
      <c r="DH2016" s="496" t="s">
        <v>1511</v>
      </c>
      <c r="DI2016" s="496" t="s">
        <v>1955</v>
      </c>
      <c r="DJ2016" s="496" t="s">
        <v>1955</v>
      </c>
      <c r="DK2016" s="496" t="s">
        <v>1085</v>
      </c>
      <c r="DL2016" s="496" t="s">
        <v>3799</v>
      </c>
      <c r="DM2016" s="496" t="s">
        <v>1087</v>
      </c>
      <c r="DN2016" s="497" t="s">
        <v>1088</v>
      </c>
      <c r="DP2016" s="543">
        <v>1</v>
      </c>
    </row>
    <row r="2017" spans="109:120" ht="15">
      <c r="DE2017" s="494"/>
      <c r="DF2017" s="496" t="s">
        <v>4989</v>
      </c>
      <c r="DG2017" s="496" t="s">
        <v>12</v>
      </c>
      <c r="DH2017" s="496" t="s">
        <v>689</v>
      </c>
      <c r="DI2017" s="496" t="s">
        <v>4990</v>
      </c>
      <c r="DJ2017" s="496" t="s">
        <v>4990</v>
      </c>
      <c r="DK2017" s="496" t="s">
        <v>1085</v>
      </c>
      <c r="DL2017" s="496" t="s">
        <v>4991</v>
      </c>
      <c r="DM2017" s="496" t="s">
        <v>1087</v>
      </c>
      <c r="DN2017" s="497" t="s">
        <v>1088</v>
      </c>
      <c r="DP2017" s="543">
        <v>1</v>
      </c>
    </row>
    <row r="2018" spans="109:120" ht="15">
      <c r="DE2018" s="494"/>
      <c r="DF2018" s="496" t="s">
        <v>4992</v>
      </c>
      <c r="DG2018" s="496" t="s">
        <v>12</v>
      </c>
      <c r="DH2018" s="496" t="s">
        <v>689</v>
      </c>
      <c r="DI2018" s="496" t="s">
        <v>61</v>
      </c>
      <c r="DJ2018" s="496" t="s">
        <v>61</v>
      </c>
      <c r="DK2018" s="496" t="s">
        <v>1085</v>
      </c>
      <c r="DL2018" s="496" t="s">
        <v>4991</v>
      </c>
      <c r="DM2018" s="496" t="s">
        <v>1087</v>
      </c>
      <c r="DN2018" s="497" t="s">
        <v>1088</v>
      </c>
      <c r="DP2018" s="543">
        <v>1</v>
      </c>
    </row>
    <row r="2019" spans="109:120" ht="15">
      <c r="DE2019" s="494"/>
      <c r="DF2019" s="496" t="s">
        <v>4993</v>
      </c>
      <c r="DG2019" s="496" t="s">
        <v>12</v>
      </c>
      <c r="DH2019" s="496" t="s">
        <v>689</v>
      </c>
      <c r="DI2019" s="496" t="s">
        <v>36</v>
      </c>
      <c r="DJ2019" s="496" t="s">
        <v>36</v>
      </c>
      <c r="DK2019" s="496" t="s">
        <v>1085</v>
      </c>
      <c r="DL2019" s="496" t="s">
        <v>4991</v>
      </c>
      <c r="DM2019" s="496" t="s">
        <v>1087</v>
      </c>
      <c r="DN2019" s="497" t="s">
        <v>1088</v>
      </c>
      <c r="DP2019" s="543">
        <v>1</v>
      </c>
    </row>
    <row r="2020" spans="109:120" ht="15">
      <c r="DE2020" s="494"/>
      <c r="DF2020" s="496" t="s">
        <v>4994</v>
      </c>
      <c r="DG2020" s="496" t="s">
        <v>12</v>
      </c>
      <c r="DH2020" s="496" t="s">
        <v>689</v>
      </c>
      <c r="DI2020" s="496" t="s">
        <v>48</v>
      </c>
      <c r="DJ2020" s="496" t="s">
        <v>48</v>
      </c>
      <c r="DK2020" s="496" t="s">
        <v>1085</v>
      </c>
      <c r="DL2020" s="496" t="s">
        <v>4991</v>
      </c>
      <c r="DM2020" s="496" t="s">
        <v>1087</v>
      </c>
      <c r="DN2020" s="497" t="s">
        <v>1088</v>
      </c>
      <c r="DP2020" s="543">
        <v>1</v>
      </c>
    </row>
    <row r="2021" spans="109:120" ht="15">
      <c r="DE2021" s="494"/>
      <c r="DF2021" s="496" t="s">
        <v>4995</v>
      </c>
      <c r="DG2021" s="496" t="s">
        <v>12</v>
      </c>
      <c r="DH2021" s="496" t="s">
        <v>689</v>
      </c>
      <c r="DI2021" s="496" t="s">
        <v>87</v>
      </c>
      <c r="DJ2021" s="496" t="s">
        <v>87</v>
      </c>
      <c r="DK2021" s="496" t="s">
        <v>1085</v>
      </c>
      <c r="DL2021" s="496" t="s">
        <v>4991</v>
      </c>
      <c r="DM2021" s="496" t="s">
        <v>1087</v>
      </c>
      <c r="DN2021" s="497" t="s">
        <v>1088</v>
      </c>
      <c r="DP2021" s="543">
        <v>1</v>
      </c>
    </row>
    <row r="2022" spans="109:120" ht="15">
      <c r="DE2022" s="494"/>
      <c r="DF2022" s="496" t="s">
        <v>4996</v>
      </c>
      <c r="DG2022" s="496" t="s">
        <v>12</v>
      </c>
      <c r="DH2022" s="496" t="s">
        <v>689</v>
      </c>
      <c r="DI2022" s="496" t="s">
        <v>4997</v>
      </c>
      <c r="DJ2022" s="496" t="s">
        <v>4998</v>
      </c>
      <c r="DK2022" s="496" t="s">
        <v>1085</v>
      </c>
      <c r="DL2022" s="496" t="s">
        <v>4991</v>
      </c>
      <c r="DM2022" s="496" t="s">
        <v>1087</v>
      </c>
      <c r="DN2022" s="497" t="s">
        <v>1088</v>
      </c>
      <c r="DP2022" s="543">
        <v>1</v>
      </c>
    </row>
    <row r="2023" spans="109:120" ht="15">
      <c r="DE2023" s="494"/>
      <c r="DF2023" s="496" t="s">
        <v>4999</v>
      </c>
      <c r="DG2023" s="496" t="s">
        <v>12</v>
      </c>
      <c r="DH2023" s="496" t="s">
        <v>689</v>
      </c>
      <c r="DI2023" s="496" t="s">
        <v>25</v>
      </c>
      <c r="DJ2023" s="496" t="s">
        <v>25</v>
      </c>
      <c r="DK2023" s="496" t="s">
        <v>1085</v>
      </c>
      <c r="DL2023" s="496" t="s">
        <v>4991</v>
      </c>
      <c r="DM2023" s="496" t="s">
        <v>1087</v>
      </c>
      <c r="DN2023" s="497" t="s">
        <v>1088</v>
      </c>
      <c r="DP2023" s="543">
        <v>1</v>
      </c>
    </row>
    <row r="2024" spans="109:120" ht="15">
      <c r="DE2024" s="494"/>
      <c r="DF2024" s="496" t="s">
        <v>5000</v>
      </c>
      <c r="DG2024" s="496" t="s">
        <v>12</v>
      </c>
      <c r="DH2024" s="496" t="s">
        <v>689</v>
      </c>
      <c r="DI2024" s="496" t="s">
        <v>5001</v>
      </c>
      <c r="DJ2024" s="496" t="s">
        <v>5002</v>
      </c>
      <c r="DK2024" s="496" t="s">
        <v>1085</v>
      </c>
      <c r="DL2024" s="496" t="s">
        <v>4991</v>
      </c>
      <c r="DM2024" s="496" t="s">
        <v>1087</v>
      </c>
      <c r="DN2024" s="497" t="s">
        <v>1088</v>
      </c>
      <c r="DP2024" s="543">
        <v>1</v>
      </c>
    </row>
    <row r="2025" spans="109:120" ht="15">
      <c r="DE2025" s="494"/>
      <c r="DF2025" s="496" t="s">
        <v>5003</v>
      </c>
      <c r="DG2025" s="496" t="s">
        <v>12</v>
      </c>
      <c r="DH2025" s="496" t="s">
        <v>689</v>
      </c>
      <c r="DI2025" s="496" t="s">
        <v>5004</v>
      </c>
      <c r="DJ2025" s="496" t="s">
        <v>5004</v>
      </c>
      <c r="DK2025" s="496" t="s">
        <v>1085</v>
      </c>
      <c r="DL2025" s="496" t="s">
        <v>4991</v>
      </c>
      <c r="DM2025" s="496" t="s">
        <v>1087</v>
      </c>
      <c r="DN2025" s="497" t="s">
        <v>1088</v>
      </c>
      <c r="DP2025" s="543">
        <v>1</v>
      </c>
    </row>
    <row r="2026" spans="109:120" ht="15">
      <c r="DE2026" s="494"/>
      <c r="DF2026" s="496" t="s">
        <v>5005</v>
      </c>
      <c r="DG2026" s="496" t="s">
        <v>12</v>
      </c>
      <c r="DH2026" s="496" t="s">
        <v>689</v>
      </c>
      <c r="DI2026" s="496" t="s">
        <v>5006</v>
      </c>
      <c r="DJ2026" s="496" t="s">
        <v>5006</v>
      </c>
      <c r="DK2026" s="496" t="s">
        <v>1085</v>
      </c>
      <c r="DL2026" s="496" t="s">
        <v>4991</v>
      </c>
      <c r="DM2026" s="496" t="s">
        <v>1087</v>
      </c>
      <c r="DN2026" s="497" t="s">
        <v>1088</v>
      </c>
      <c r="DP2026" s="543">
        <v>1</v>
      </c>
    </row>
    <row r="2027" spans="109:120" ht="15">
      <c r="DE2027" s="494"/>
      <c r="DF2027" s="496" t="s">
        <v>5007</v>
      </c>
      <c r="DG2027" s="496" t="s">
        <v>12</v>
      </c>
      <c r="DH2027" s="496" t="s">
        <v>689</v>
      </c>
      <c r="DI2027" s="496" t="s">
        <v>74</v>
      </c>
      <c r="DJ2027" s="496" t="s">
        <v>74</v>
      </c>
      <c r="DK2027" s="496" t="s">
        <v>1085</v>
      </c>
      <c r="DL2027" s="496" t="s">
        <v>4991</v>
      </c>
      <c r="DM2027" s="496" t="s">
        <v>1087</v>
      </c>
      <c r="DN2027" s="497" t="s">
        <v>1088</v>
      </c>
      <c r="DP2027" s="543">
        <v>1</v>
      </c>
    </row>
    <row r="2028" spans="109:120" ht="15">
      <c r="DE2028" s="494"/>
      <c r="DF2028" s="496" t="s">
        <v>5008</v>
      </c>
      <c r="DG2028" s="496" t="s">
        <v>12</v>
      </c>
      <c r="DH2028" s="496" t="s">
        <v>689</v>
      </c>
      <c r="DI2028" s="496" t="s">
        <v>5009</v>
      </c>
      <c r="DJ2028" s="496" t="s">
        <v>5009</v>
      </c>
      <c r="DK2028" s="496" t="s">
        <v>1085</v>
      </c>
      <c r="DL2028" s="496" t="s">
        <v>4991</v>
      </c>
      <c r="DM2028" s="496" t="s">
        <v>1087</v>
      </c>
      <c r="DN2028" s="497" t="s">
        <v>1088</v>
      </c>
      <c r="DP2028" s="543">
        <v>1</v>
      </c>
    </row>
    <row r="2029" spans="109:120" ht="15">
      <c r="DE2029" s="494"/>
      <c r="DF2029" s="496" t="s">
        <v>5010</v>
      </c>
      <c r="DG2029" s="496" t="s">
        <v>12</v>
      </c>
      <c r="DH2029" s="496" t="s">
        <v>689</v>
      </c>
      <c r="DI2029" s="496" t="s">
        <v>344</v>
      </c>
      <c r="DJ2029" s="496" t="s">
        <v>344</v>
      </c>
      <c r="DK2029" s="496" t="s">
        <v>1151</v>
      </c>
      <c r="DL2029" s="496" t="s">
        <v>1152</v>
      </c>
      <c r="DM2029" s="496" t="s">
        <v>1087</v>
      </c>
      <c r="DN2029" s="497" t="s">
        <v>1153</v>
      </c>
      <c r="DP2029" s="543">
        <v>1</v>
      </c>
    </row>
    <row r="2030" spans="109:120" ht="15">
      <c r="DE2030" s="494"/>
      <c r="DF2030" s="496" t="s">
        <v>5011</v>
      </c>
      <c r="DG2030" s="496" t="s">
        <v>12</v>
      </c>
      <c r="DH2030" s="496" t="s">
        <v>689</v>
      </c>
      <c r="DI2030" s="496" t="s">
        <v>5012</v>
      </c>
      <c r="DJ2030" s="496" t="s">
        <v>5012</v>
      </c>
      <c r="DK2030" s="496" t="s">
        <v>1151</v>
      </c>
      <c r="DL2030" s="496" t="s">
        <v>1152</v>
      </c>
      <c r="DM2030" s="496" t="s">
        <v>1087</v>
      </c>
      <c r="DN2030" s="497" t="s">
        <v>1153</v>
      </c>
      <c r="DP2030" s="543">
        <v>1</v>
      </c>
    </row>
    <row r="2031" spans="109:120" ht="15">
      <c r="DE2031" s="494"/>
      <c r="DF2031" s="496" t="s">
        <v>5013</v>
      </c>
      <c r="DG2031" s="496" t="s">
        <v>12</v>
      </c>
      <c r="DH2031" s="496" t="s">
        <v>689</v>
      </c>
      <c r="DI2031" s="496" t="s">
        <v>5014</v>
      </c>
      <c r="DJ2031" s="496" t="s">
        <v>5014</v>
      </c>
      <c r="DK2031" s="496" t="s">
        <v>1151</v>
      </c>
      <c r="DL2031" s="496" t="s">
        <v>1152</v>
      </c>
      <c r="DM2031" s="496" t="s">
        <v>1087</v>
      </c>
      <c r="DN2031" s="497" t="s">
        <v>1153</v>
      </c>
      <c r="DP2031" s="543">
        <v>1</v>
      </c>
    </row>
    <row r="2032" spans="109:120" ht="15">
      <c r="DE2032" s="494"/>
      <c r="DF2032" s="496" t="s">
        <v>5015</v>
      </c>
      <c r="DG2032" s="496" t="s">
        <v>12</v>
      </c>
      <c r="DH2032" s="496" t="s">
        <v>689</v>
      </c>
      <c r="DI2032" s="496" t="s">
        <v>1015</v>
      </c>
      <c r="DJ2032" s="496" t="s">
        <v>1015</v>
      </c>
      <c r="DK2032" s="496" t="s">
        <v>1085</v>
      </c>
      <c r="DL2032" s="496" t="s">
        <v>4991</v>
      </c>
      <c r="DM2032" s="496" t="s">
        <v>1087</v>
      </c>
      <c r="DN2032" s="497" t="s">
        <v>1088</v>
      </c>
      <c r="DP2032" s="543">
        <v>1</v>
      </c>
    </row>
    <row r="2033" spans="109:120" ht="15">
      <c r="DE2033" s="494"/>
      <c r="DF2033" s="496" t="s">
        <v>5016</v>
      </c>
      <c r="DG2033" s="496" t="s">
        <v>12</v>
      </c>
      <c r="DH2033" s="496" t="s">
        <v>689</v>
      </c>
      <c r="DI2033" s="496" t="s">
        <v>5017</v>
      </c>
      <c r="DJ2033" s="496" t="s">
        <v>5017</v>
      </c>
      <c r="DK2033" s="496" t="s">
        <v>1085</v>
      </c>
      <c r="DL2033" s="496" t="s">
        <v>4991</v>
      </c>
      <c r="DM2033" s="496" t="s">
        <v>1087</v>
      </c>
      <c r="DN2033" s="497" t="s">
        <v>1088</v>
      </c>
      <c r="DP2033" s="543">
        <v>1</v>
      </c>
    </row>
    <row r="2034" spans="109:120" ht="15">
      <c r="DE2034" s="494"/>
      <c r="DF2034" s="496" t="s">
        <v>5018</v>
      </c>
      <c r="DG2034" s="496" t="s">
        <v>12</v>
      </c>
      <c r="DH2034" s="496" t="s">
        <v>689</v>
      </c>
      <c r="DI2034" s="496" t="s">
        <v>5019</v>
      </c>
      <c r="DJ2034" s="496" t="s">
        <v>5020</v>
      </c>
      <c r="DK2034" s="496" t="s">
        <v>1085</v>
      </c>
      <c r="DL2034" s="496" t="s">
        <v>4991</v>
      </c>
      <c r="DM2034" s="496" t="s">
        <v>1087</v>
      </c>
      <c r="DN2034" s="497" t="s">
        <v>1088</v>
      </c>
      <c r="DP2034" s="543">
        <v>1</v>
      </c>
    </row>
    <row r="2035" spans="109:120" ht="15">
      <c r="DE2035" s="494"/>
      <c r="DF2035" s="496" t="s">
        <v>5021</v>
      </c>
      <c r="DG2035" s="496" t="s">
        <v>12</v>
      </c>
      <c r="DH2035" s="496" t="s">
        <v>1511</v>
      </c>
      <c r="DI2035" s="496" t="s">
        <v>1522</v>
      </c>
      <c r="DJ2035" s="496" t="s">
        <v>1522</v>
      </c>
      <c r="DK2035" s="496" t="s">
        <v>1085</v>
      </c>
      <c r="DL2035" s="496" t="s">
        <v>3799</v>
      </c>
      <c r="DM2035" s="496" t="s">
        <v>1087</v>
      </c>
      <c r="DN2035" s="497" t="s">
        <v>1088</v>
      </c>
      <c r="DP2035" s="543">
        <v>1</v>
      </c>
    </row>
    <row r="2036" spans="109:120" ht="15">
      <c r="DE2036" s="494"/>
      <c r="DF2036" s="496" t="s">
        <v>5022</v>
      </c>
      <c r="DG2036" s="496" t="s">
        <v>12</v>
      </c>
      <c r="DH2036" s="496" t="s">
        <v>1511</v>
      </c>
      <c r="DI2036" s="496" t="s">
        <v>5023</v>
      </c>
      <c r="DJ2036" s="496" t="s">
        <v>5023</v>
      </c>
      <c r="DK2036" s="496" t="s">
        <v>1085</v>
      </c>
      <c r="DL2036" s="496" t="s">
        <v>3799</v>
      </c>
      <c r="DM2036" s="496" t="s">
        <v>1087</v>
      </c>
      <c r="DN2036" s="497" t="s">
        <v>1088</v>
      </c>
      <c r="DP2036" s="543">
        <v>1</v>
      </c>
    </row>
    <row r="2037" spans="109:120" ht="15">
      <c r="DE2037" s="494"/>
      <c r="DF2037" s="496" t="s">
        <v>5024</v>
      </c>
      <c r="DG2037" s="496" t="s">
        <v>12</v>
      </c>
      <c r="DH2037" s="496" t="s">
        <v>1511</v>
      </c>
      <c r="DI2037" s="496" t="s">
        <v>5025</v>
      </c>
      <c r="DJ2037" s="496" t="s">
        <v>5025</v>
      </c>
      <c r="DK2037" s="496" t="s">
        <v>1085</v>
      </c>
      <c r="DL2037" s="496" t="s">
        <v>3799</v>
      </c>
      <c r="DM2037" s="496" t="s">
        <v>1087</v>
      </c>
      <c r="DN2037" s="497" t="s">
        <v>1088</v>
      </c>
      <c r="DP2037" s="543">
        <v>1</v>
      </c>
    </row>
    <row r="2038" spans="109:120" ht="15">
      <c r="DE2038" s="494"/>
      <c r="DF2038" s="496" t="s">
        <v>5026</v>
      </c>
      <c r="DG2038" s="496" t="s">
        <v>12</v>
      </c>
      <c r="DH2038" s="496" t="s">
        <v>1511</v>
      </c>
      <c r="DI2038" s="496" t="s">
        <v>351</v>
      </c>
      <c r="DJ2038" s="496" t="s">
        <v>351</v>
      </c>
      <c r="DK2038" s="496" t="s">
        <v>1085</v>
      </c>
      <c r="DL2038" s="496" t="s">
        <v>3799</v>
      </c>
      <c r="DM2038" s="496" t="s">
        <v>1087</v>
      </c>
      <c r="DN2038" s="497" t="s">
        <v>1088</v>
      </c>
      <c r="DP2038" s="543">
        <v>1</v>
      </c>
    </row>
    <row r="2039" spans="109:120" ht="15">
      <c r="DE2039" s="494"/>
      <c r="DF2039" s="496" t="s">
        <v>5027</v>
      </c>
      <c r="DG2039" s="496" t="s">
        <v>12</v>
      </c>
      <c r="DH2039" s="496" t="s">
        <v>1511</v>
      </c>
      <c r="DI2039" s="496" t="s">
        <v>1941</v>
      </c>
      <c r="DJ2039" s="496" t="s">
        <v>913</v>
      </c>
      <c r="DK2039" s="496" t="s">
        <v>1085</v>
      </c>
      <c r="DL2039" s="496" t="s">
        <v>3799</v>
      </c>
      <c r="DM2039" s="496" t="s">
        <v>1087</v>
      </c>
      <c r="DN2039" s="497" t="s">
        <v>1088</v>
      </c>
      <c r="DP2039" s="543">
        <v>1</v>
      </c>
    </row>
    <row r="2040" spans="109:120" ht="15">
      <c r="DE2040" s="494"/>
      <c r="DF2040" s="496" t="s">
        <v>5028</v>
      </c>
      <c r="DG2040" s="496" t="s">
        <v>12</v>
      </c>
      <c r="DH2040" s="496" t="s">
        <v>1511</v>
      </c>
      <c r="DI2040" s="496" t="s">
        <v>5029</v>
      </c>
      <c r="DJ2040" s="496" t="s">
        <v>5029</v>
      </c>
      <c r="DK2040" s="496" t="s">
        <v>1085</v>
      </c>
      <c r="DL2040" s="496" t="s">
        <v>3799</v>
      </c>
      <c r="DM2040" s="496" t="s">
        <v>1087</v>
      </c>
      <c r="DN2040" s="497" t="s">
        <v>1088</v>
      </c>
      <c r="DP2040" s="543">
        <v>1</v>
      </c>
    </row>
    <row r="2041" spans="109:120" ht="15">
      <c r="DE2041" s="494"/>
      <c r="DF2041" s="496" t="s">
        <v>5030</v>
      </c>
      <c r="DG2041" s="496" t="s">
        <v>12</v>
      </c>
      <c r="DH2041" s="496" t="s">
        <v>1511</v>
      </c>
      <c r="DI2041" s="496" t="s">
        <v>5031</v>
      </c>
      <c r="DJ2041" s="496" t="s">
        <v>5031</v>
      </c>
      <c r="DK2041" s="496" t="s">
        <v>1085</v>
      </c>
      <c r="DL2041" s="496" t="s">
        <v>3799</v>
      </c>
      <c r="DM2041" s="496" t="s">
        <v>1087</v>
      </c>
      <c r="DN2041" s="497" t="s">
        <v>1088</v>
      </c>
      <c r="DP2041" s="543">
        <v>1</v>
      </c>
    </row>
    <row r="2042" spans="109:120" ht="15">
      <c r="DE2042" s="494"/>
      <c r="DF2042" s="496" t="s">
        <v>5032</v>
      </c>
      <c r="DG2042" s="496" t="s">
        <v>12</v>
      </c>
      <c r="DH2042" s="496" t="s">
        <v>1511</v>
      </c>
      <c r="DI2042" s="496" t="s">
        <v>5033</v>
      </c>
      <c r="DJ2042" s="496" t="s">
        <v>5033</v>
      </c>
      <c r="DK2042" s="496" t="s">
        <v>1085</v>
      </c>
      <c r="DL2042" s="496" t="s">
        <v>3799</v>
      </c>
      <c r="DM2042" s="496" t="s">
        <v>1087</v>
      </c>
      <c r="DN2042" s="497" t="s">
        <v>1088</v>
      </c>
      <c r="DP2042" s="543">
        <v>1</v>
      </c>
    </row>
    <row r="2043" spans="109:120" ht="15">
      <c r="DE2043" s="494"/>
      <c r="DF2043" s="496" t="s">
        <v>5034</v>
      </c>
      <c r="DG2043" s="496" t="s">
        <v>12</v>
      </c>
      <c r="DH2043" s="496" t="s">
        <v>1511</v>
      </c>
      <c r="DI2043" s="496" t="s">
        <v>1902</v>
      </c>
      <c r="DJ2043" s="496" t="s">
        <v>1902</v>
      </c>
      <c r="DK2043" s="496" t="s">
        <v>1085</v>
      </c>
      <c r="DL2043" s="496" t="s">
        <v>3799</v>
      </c>
      <c r="DM2043" s="496" t="s">
        <v>1087</v>
      </c>
      <c r="DN2043" s="497" t="s">
        <v>1088</v>
      </c>
      <c r="DP2043" s="543">
        <v>1</v>
      </c>
    </row>
    <row r="2044" spans="109:120" ht="15">
      <c r="DE2044" s="494"/>
      <c r="DF2044" s="496" t="s">
        <v>5035</v>
      </c>
      <c r="DG2044" s="496" t="s">
        <v>12</v>
      </c>
      <c r="DH2044" s="496" t="s">
        <v>1511</v>
      </c>
      <c r="DI2044" s="496" t="s">
        <v>1905</v>
      </c>
      <c r="DJ2044" s="496" t="s">
        <v>1906</v>
      </c>
      <c r="DK2044" s="496" t="s">
        <v>1085</v>
      </c>
      <c r="DL2044" s="496" t="s">
        <v>3799</v>
      </c>
      <c r="DM2044" s="496" t="s">
        <v>1087</v>
      </c>
      <c r="DN2044" s="497" t="s">
        <v>1088</v>
      </c>
      <c r="DP2044" s="543">
        <v>1</v>
      </c>
    </row>
    <row r="2045" spans="109:120" ht="15">
      <c r="DE2045" s="494"/>
      <c r="DF2045" s="496" t="s">
        <v>5036</v>
      </c>
      <c r="DG2045" s="496" t="s">
        <v>12</v>
      </c>
      <c r="DH2045" s="496" t="s">
        <v>1511</v>
      </c>
      <c r="DI2045" s="496" t="s">
        <v>1016</v>
      </c>
      <c r="DJ2045" s="496" t="s">
        <v>1016</v>
      </c>
      <c r="DK2045" s="496" t="s">
        <v>1085</v>
      </c>
      <c r="DL2045" s="496" t="s">
        <v>3799</v>
      </c>
      <c r="DM2045" s="496" t="s">
        <v>1087</v>
      </c>
      <c r="DN2045" s="497" t="s">
        <v>1088</v>
      </c>
      <c r="DP2045" s="543">
        <v>1</v>
      </c>
    </row>
    <row r="2046" spans="109:120" ht="15">
      <c r="DE2046" s="494"/>
      <c r="DF2046" s="496" t="s">
        <v>5037</v>
      </c>
      <c r="DG2046" s="496" t="s">
        <v>12</v>
      </c>
      <c r="DH2046" s="496" t="s">
        <v>1511</v>
      </c>
      <c r="DI2046" s="496" t="s">
        <v>1544</v>
      </c>
      <c r="DJ2046" s="496" t="s">
        <v>1544</v>
      </c>
      <c r="DK2046" s="496" t="s">
        <v>1085</v>
      </c>
      <c r="DL2046" s="496" t="s">
        <v>3799</v>
      </c>
      <c r="DM2046" s="496" t="s">
        <v>1087</v>
      </c>
      <c r="DN2046" s="497" t="s">
        <v>1088</v>
      </c>
      <c r="DP2046" s="543">
        <v>1</v>
      </c>
    </row>
    <row r="2047" spans="109:120" ht="15">
      <c r="DE2047" s="494"/>
      <c r="DF2047" s="496" t="s">
        <v>5038</v>
      </c>
      <c r="DG2047" s="496" t="s">
        <v>12</v>
      </c>
      <c r="DH2047" s="496" t="s">
        <v>1511</v>
      </c>
      <c r="DI2047" s="496" t="s">
        <v>1546</v>
      </c>
      <c r="DJ2047" s="496" t="s">
        <v>1546</v>
      </c>
      <c r="DK2047" s="496" t="s">
        <v>1085</v>
      </c>
      <c r="DL2047" s="496" t="s">
        <v>3799</v>
      </c>
      <c r="DM2047" s="496" t="s">
        <v>1087</v>
      </c>
      <c r="DN2047" s="497" t="s">
        <v>1088</v>
      </c>
      <c r="DP2047" s="543">
        <v>1</v>
      </c>
    </row>
    <row r="2048" spans="109:120" ht="15">
      <c r="DE2048" s="494"/>
      <c r="DF2048" s="496" t="s">
        <v>5039</v>
      </c>
      <c r="DG2048" s="496" t="s">
        <v>12</v>
      </c>
      <c r="DH2048" s="496" t="s">
        <v>1511</v>
      </c>
      <c r="DI2048" s="496" t="s">
        <v>1955</v>
      </c>
      <c r="DJ2048" s="496" t="s">
        <v>1955</v>
      </c>
      <c r="DK2048" s="496" t="s">
        <v>1085</v>
      </c>
      <c r="DL2048" s="496" t="s">
        <v>3799</v>
      </c>
      <c r="DM2048" s="496" t="s">
        <v>1087</v>
      </c>
      <c r="DN2048" s="497" t="s">
        <v>1088</v>
      </c>
      <c r="DP2048" s="543">
        <v>1</v>
      </c>
    </row>
    <row r="2049" spans="109:120" ht="15">
      <c r="DE2049" s="494"/>
      <c r="DF2049" s="496" t="s">
        <v>5040</v>
      </c>
      <c r="DG2049" s="496" t="s">
        <v>12</v>
      </c>
      <c r="DH2049" s="496" t="s">
        <v>1511</v>
      </c>
      <c r="DI2049" s="496" t="s">
        <v>1017</v>
      </c>
      <c r="DJ2049" s="496" t="s">
        <v>1017</v>
      </c>
      <c r="DK2049" s="496" t="s">
        <v>1085</v>
      </c>
      <c r="DL2049" s="496" t="s">
        <v>3799</v>
      </c>
      <c r="DM2049" s="496" t="s">
        <v>1087</v>
      </c>
      <c r="DN2049" s="497" t="s">
        <v>1088</v>
      </c>
      <c r="DP2049" s="543">
        <v>1</v>
      </c>
    </row>
    <row r="2050" spans="109:120" ht="15">
      <c r="DE2050" s="494"/>
      <c r="DF2050" s="496" t="s">
        <v>5041</v>
      </c>
      <c r="DG2050" s="496" t="s">
        <v>243</v>
      </c>
      <c r="DH2050" s="496" t="s">
        <v>689</v>
      </c>
      <c r="DI2050" s="496" t="s">
        <v>5042</v>
      </c>
      <c r="DJ2050" s="496" t="s">
        <v>5042</v>
      </c>
      <c r="DK2050" s="496" t="s">
        <v>1085</v>
      </c>
      <c r="DL2050" s="496" t="s">
        <v>5043</v>
      </c>
      <c r="DM2050" s="496" t="s">
        <v>1087</v>
      </c>
      <c r="DN2050" s="497" t="s">
        <v>1088</v>
      </c>
      <c r="DP2050" s="543">
        <v>1</v>
      </c>
    </row>
    <row r="2051" spans="109:120" ht="15">
      <c r="DE2051" s="494"/>
      <c r="DF2051" s="496" t="s">
        <v>5044</v>
      </c>
      <c r="DG2051" s="496" t="s">
        <v>243</v>
      </c>
      <c r="DH2051" s="496" t="s">
        <v>689</v>
      </c>
      <c r="DI2051" s="496" t="s">
        <v>128</v>
      </c>
      <c r="DJ2051" s="496" t="s">
        <v>128</v>
      </c>
      <c r="DK2051" s="496" t="s">
        <v>1085</v>
      </c>
      <c r="DL2051" s="496" t="s">
        <v>5043</v>
      </c>
      <c r="DM2051" s="496" t="s">
        <v>1087</v>
      </c>
      <c r="DN2051" s="497" t="s">
        <v>1088</v>
      </c>
      <c r="DP2051" s="543">
        <v>1</v>
      </c>
    </row>
    <row r="2052" spans="109:120" ht="15">
      <c r="DE2052" s="494"/>
      <c r="DF2052" s="496" t="s">
        <v>5045</v>
      </c>
      <c r="DG2052" s="496" t="s">
        <v>243</v>
      </c>
      <c r="DH2052" s="496" t="s">
        <v>689</v>
      </c>
      <c r="DI2052" s="496" t="s">
        <v>5046</v>
      </c>
      <c r="DJ2052" s="496" t="s">
        <v>49</v>
      </c>
      <c r="DK2052" s="496" t="s">
        <v>1085</v>
      </c>
      <c r="DL2052" s="496" t="s">
        <v>5043</v>
      </c>
      <c r="DM2052" s="496" t="s">
        <v>1087</v>
      </c>
      <c r="DN2052" s="497" t="s">
        <v>1088</v>
      </c>
      <c r="DP2052" s="543">
        <v>1</v>
      </c>
    </row>
    <row r="2053" spans="109:120" ht="15">
      <c r="DE2053" s="494"/>
      <c r="DF2053" s="496" t="s">
        <v>5047</v>
      </c>
      <c r="DG2053" s="496" t="s">
        <v>243</v>
      </c>
      <c r="DH2053" s="496" t="s">
        <v>689</v>
      </c>
      <c r="DI2053" s="496" t="s">
        <v>5048</v>
      </c>
      <c r="DJ2053" s="496" t="s">
        <v>37</v>
      </c>
      <c r="DK2053" s="496" t="s">
        <v>1085</v>
      </c>
      <c r="DL2053" s="496" t="s">
        <v>5043</v>
      </c>
      <c r="DM2053" s="496" t="s">
        <v>1087</v>
      </c>
      <c r="DN2053" s="497" t="s">
        <v>1088</v>
      </c>
      <c r="DP2053" s="543">
        <v>1</v>
      </c>
    </row>
    <row r="2054" spans="109:120" ht="15">
      <c r="DE2054" s="494"/>
      <c r="DF2054" s="496" t="s">
        <v>5049</v>
      </c>
      <c r="DG2054" s="496" t="s">
        <v>243</v>
      </c>
      <c r="DH2054" s="496" t="s">
        <v>689</v>
      </c>
      <c r="DI2054" s="496" t="s">
        <v>5050</v>
      </c>
      <c r="DJ2054" s="496" t="s">
        <v>5050</v>
      </c>
      <c r="DK2054" s="496" t="s">
        <v>1085</v>
      </c>
      <c r="DL2054" s="496" t="s">
        <v>5043</v>
      </c>
      <c r="DM2054" s="496" t="s">
        <v>1087</v>
      </c>
      <c r="DN2054" s="497" t="s">
        <v>1088</v>
      </c>
      <c r="DP2054" s="543">
        <v>1</v>
      </c>
    </row>
    <row r="2055" spans="109:120" ht="15">
      <c r="DE2055" s="494"/>
      <c r="DF2055" s="496" t="s">
        <v>5051</v>
      </c>
      <c r="DG2055" s="496" t="s">
        <v>243</v>
      </c>
      <c r="DH2055" s="496" t="s">
        <v>689</v>
      </c>
      <c r="DI2055" s="496" t="s">
        <v>5052</v>
      </c>
      <c r="DJ2055" s="496" t="s">
        <v>5052</v>
      </c>
      <c r="DK2055" s="496" t="s">
        <v>1085</v>
      </c>
      <c r="DL2055" s="496" t="s">
        <v>5043</v>
      </c>
      <c r="DM2055" s="496" t="s">
        <v>1087</v>
      </c>
      <c r="DN2055" s="497" t="s">
        <v>1088</v>
      </c>
      <c r="DP2055" s="543">
        <v>1</v>
      </c>
    </row>
    <row r="2056" spans="109:120" ht="15">
      <c r="DE2056" s="494"/>
      <c r="DF2056" s="496" t="s">
        <v>5053</v>
      </c>
      <c r="DG2056" s="496" t="s">
        <v>243</v>
      </c>
      <c r="DH2056" s="496" t="s">
        <v>689</v>
      </c>
      <c r="DI2056" s="496" t="s">
        <v>5054</v>
      </c>
      <c r="DJ2056" s="496" t="s">
        <v>62</v>
      </c>
      <c r="DK2056" s="496" t="s">
        <v>1085</v>
      </c>
      <c r="DL2056" s="496" t="s">
        <v>5043</v>
      </c>
      <c r="DM2056" s="496" t="s">
        <v>1087</v>
      </c>
      <c r="DN2056" s="497" t="s">
        <v>1088</v>
      </c>
      <c r="DP2056" s="543">
        <v>1</v>
      </c>
    </row>
    <row r="2057" spans="109:120" ht="15">
      <c r="DE2057" s="494"/>
      <c r="DF2057" s="496" t="s">
        <v>5055</v>
      </c>
      <c r="DG2057" s="496" t="s">
        <v>243</v>
      </c>
      <c r="DH2057" s="496" t="s">
        <v>689</v>
      </c>
      <c r="DI2057" s="496" t="s">
        <v>5056</v>
      </c>
      <c r="DJ2057" s="496" t="s">
        <v>5057</v>
      </c>
      <c r="DK2057" s="496" t="s">
        <v>1085</v>
      </c>
      <c r="DL2057" s="496" t="s">
        <v>5043</v>
      </c>
      <c r="DM2057" s="496" t="s">
        <v>1087</v>
      </c>
      <c r="DN2057" s="497" t="s">
        <v>1088</v>
      </c>
      <c r="DP2057" s="543">
        <v>1</v>
      </c>
    </row>
    <row r="2058" spans="109:120" ht="15">
      <c r="DE2058" s="494"/>
      <c r="DF2058" s="496" t="s">
        <v>5058</v>
      </c>
      <c r="DG2058" s="496" t="s">
        <v>243</v>
      </c>
      <c r="DH2058" s="496" t="s">
        <v>689</v>
      </c>
      <c r="DI2058" s="496" t="s">
        <v>5059</v>
      </c>
      <c r="DJ2058" s="496" t="s">
        <v>115</v>
      </c>
      <c r="DK2058" s="496" t="s">
        <v>1085</v>
      </c>
      <c r="DL2058" s="496" t="s">
        <v>5043</v>
      </c>
      <c r="DM2058" s="496" t="s">
        <v>1087</v>
      </c>
      <c r="DN2058" s="497" t="s">
        <v>1088</v>
      </c>
      <c r="DP2058" s="543">
        <v>1</v>
      </c>
    </row>
    <row r="2059" spans="109:120" ht="15">
      <c r="DE2059" s="494"/>
      <c r="DF2059" s="496" t="s">
        <v>5060</v>
      </c>
      <c r="DG2059" s="496" t="s">
        <v>243</v>
      </c>
      <c r="DH2059" s="496" t="s">
        <v>689</v>
      </c>
      <c r="DI2059" s="496" t="s">
        <v>5061</v>
      </c>
      <c r="DJ2059" s="496" t="s">
        <v>100</v>
      </c>
      <c r="DK2059" s="496" t="s">
        <v>1085</v>
      </c>
      <c r="DL2059" s="496" t="s">
        <v>5043</v>
      </c>
      <c r="DM2059" s="496" t="s">
        <v>1087</v>
      </c>
      <c r="DN2059" s="497" t="s">
        <v>1088</v>
      </c>
      <c r="DP2059" s="543">
        <v>1</v>
      </c>
    </row>
    <row r="2060" spans="109:120" ht="15">
      <c r="DE2060" s="494"/>
      <c r="DF2060" s="496" t="s">
        <v>5062</v>
      </c>
      <c r="DG2060" s="496" t="s">
        <v>243</v>
      </c>
      <c r="DH2060" s="496" t="s">
        <v>689</v>
      </c>
      <c r="DI2060" s="496" t="s">
        <v>5063</v>
      </c>
      <c r="DJ2060" s="496" t="s">
        <v>3</v>
      </c>
      <c r="DK2060" s="496" t="s">
        <v>1085</v>
      </c>
      <c r="DL2060" s="496" t="s">
        <v>5043</v>
      </c>
      <c r="DM2060" s="496" t="s">
        <v>1087</v>
      </c>
      <c r="DN2060" s="497" t="s">
        <v>1088</v>
      </c>
      <c r="DP2060" s="543">
        <v>1</v>
      </c>
    </row>
    <row r="2061" spans="109:120" ht="15">
      <c r="DE2061" s="494"/>
      <c r="DF2061" s="496" t="s">
        <v>5064</v>
      </c>
      <c r="DG2061" s="496" t="s">
        <v>243</v>
      </c>
      <c r="DH2061" s="496" t="s">
        <v>689</v>
      </c>
      <c r="DI2061" s="496" t="s">
        <v>5065</v>
      </c>
      <c r="DJ2061" s="496" t="s">
        <v>5066</v>
      </c>
      <c r="DK2061" s="496" t="s">
        <v>1085</v>
      </c>
      <c r="DL2061" s="496" t="s">
        <v>5043</v>
      </c>
      <c r="DM2061" s="496" t="s">
        <v>1087</v>
      </c>
      <c r="DN2061" s="497" t="s">
        <v>1088</v>
      </c>
      <c r="DP2061" s="543">
        <v>1</v>
      </c>
    </row>
    <row r="2062" spans="109:120" ht="15">
      <c r="DE2062" s="494"/>
      <c r="DF2062" s="496" t="s">
        <v>5067</v>
      </c>
      <c r="DG2062" s="496" t="s">
        <v>243</v>
      </c>
      <c r="DH2062" s="496" t="s">
        <v>689</v>
      </c>
      <c r="DI2062" s="496" t="s">
        <v>5068</v>
      </c>
      <c r="DJ2062" s="496" t="s">
        <v>5069</v>
      </c>
      <c r="DK2062" s="496" t="s">
        <v>1085</v>
      </c>
      <c r="DL2062" s="496" t="s">
        <v>5043</v>
      </c>
      <c r="DM2062" s="496" t="s">
        <v>1087</v>
      </c>
      <c r="DN2062" s="497" t="s">
        <v>1088</v>
      </c>
      <c r="DP2062" s="543">
        <v>1</v>
      </c>
    </row>
    <row r="2063" spans="109:120" ht="15">
      <c r="DE2063" s="494"/>
      <c r="DF2063" s="496" t="s">
        <v>5070</v>
      </c>
      <c r="DG2063" s="496" t="s">
        <v>243</v>
      </c>
      <c r="DH2063" s="496" t="s">
        <v>689</v>
      </c>
      <c r="DI2063" s="496" t="s">
        <v>5071</v>
      </c>
      <c r="DJ2063" s="496" t="s">
        <v>5071</v>
      </c>
      <c r="DK2063" s="496" t="s">
        <v>1151</v>
      </c>
      <c r="DL2063" s="496" t="s">
        <v>1152</v>
      </c>
      <c r="DM2063" s="496" t="s">
        <v>1087</v>
      </c>
      <c r="DN2063" s="497" t="s">
        <v>1153</v>
      </c>
      <c r="DP2063" s="543">
        <v>1</v>
      </c>
    </row>
    <row r="2064" spans="109:120" ht="15">
      <c r="DE2064" s="494"/>
      <c r="DF2064" s="496" t="s">
        <v>5072</v>
      </c>
      <c r="DG2064" s="496" t="s">
        <v>243</v>
      </c>
      <c r="DH2064" s="496" t="s">
        <v>689</v>
      </c>
      <c r="DI2064" s="496" t="s">
        <v>5073</v>
      </c>
      <c r="DJ2064" s="496" t="s">
        <v>5073</v>
      </c>
      <c r="DK2064" s="496" t="s">
        <v>1151</v>
      </c>
      <c r="DL2064" s="496" t="s">
        <v>1152</v>
      </c>
      <c r="DM2064" s="496" t="s">
        <v>1087</v>
      </c>
      <c r="DN2064" s="497" t="s">
        <v>1153</v>
      </c>
      <c r="DP2064" s="543">
        <v>1</v>
      </c>
    </row>
    <row r="2065" spans="109:120" ht="15">
      <c r="DE2065" s="494"/>
      <c r="DF2065" s="496" t="s">
        <v>5074</v>
      </c>
      <c r="DG2065" s="496" t="s">
        <v>243</v>
      </c>
      <c r="DH2065" s="496" t="s">
        <v>689</v>
      </c>
      <c r="DI2065" s="496" t="s">
        <v>5075</v>
      </c>
      <c r="DJ2065" s="496" t="s">
        <v>5075</v>
      </c>
      <c r="DK2065" s="496" t="s">
        <v>1151</v>
      </c>
      <c r="DL2065" s="496" t="s">
        <v>1152</v>
      </c>
      <c r="DM2065" s="496" t="s">
        <v>1087</v>
      </c>
      <c r="DN2065" s="497" t="s">
        <v>1153</v>
      </c>
      <c r="DP2065" s="543">
        <v>1</v>
      </c>
    </row>
    <row r="2066" spans="109:120" ht="15">
      <c r="DE2066" s="494"/>
      <c r="DF2066" s="496" t="s">
        <v>5076</v>
      </c>
      <c r="DG2066" s="496" t="s">
        <v>243</v>
      </c>
      <c r="DH2066" s="496" t="s">
        <v>689</v>
      </c>
      <c r="DI2066" s="496" t="s">
        <v>88</v>
      </c>
      <c r="DJ2066" s="496" t="s">
        <v>88</v>
      </c>
      <c r="DK2066" s="496" t="s">
        <v>1085</v>
      </c>
      <c r="DL2066" s="496" t="s">
        <v>5043</v>
      </c>
      <c r="DM2066" s="496" t="s">
        <v>1087</v>
      </c>
      <c r="DN2066" s="497" t="s">
        <v>1088</v>
      </c>
      <c r="DP2066" s="543">
        <v>1</v>
      </c>
    </row>
    <row r="2067" spans="109:120" ht="15">
      <c r="DE2067" s="494"/>
      <c r="DF2067" s="496" t="s">
        <v>5077</v>
      </c>
      <c r="DG2067" s="496" t="s">
        <v>243</v>
      </c>
      <c r="DH2067" s="496" t="s">
        <v>689</v>
      </c>
      <c r="DI2067" s="496" t="s">
        <v>5078</v>
      </c>
      <c r="DJ2067" s="496" t="s">
        <v>5078</v>
      </c>
      <c r="DK2067" s="496" t="s">
        <v>1085</v>
      </c>
      <c r="DL2067" s="496" t="s">
        <v>5043</v>
      </c>
      <c r="DM2067" s="496" t="s">
        <v>1087</v>
      </c>
      <c r="DN2067" s="497" t="s">
        <v>1088</v>
      </c>
      <c r="DP2067" s="543">
        <v>1</v>
      </c>
    </row>
    <row r="2068" spans="109:120" ht="15">
      <c r="DE2068" s="494"/>
      <c r="DF2068" s="496" t="s">
        <v>5079</v>
      </c>
      <c r="DG2068" s="496" t="s">
        <v>243</v>
      </c>
      <c r="DH2068" s="496" t="s">
        <v>689</v>
      </c>
      <c r="DI2068" s="496" t="s">
        <v>75</v>
      </c>
      <c r="DJ2068" s="496" t="s">
        <v>75</v>
      </c>
      <c r="DK2068" s="496" t="s">
        <v>1085</v>
      </c>
      <c r="DL2068" s="496" t="s">
        <v>5043</v>
      </c>
      <c r="DM2068" s="496" t="s">
        <v>1087</v>
      </c>
      <c r="DN2068" s="497" t="s">
        <v>1088</v>
      </c>
      <c r="DP2068" s="543">
        <v>1</v>
      </c>
    </row>
    <row r="2069" spans="109:120" ht="15">
      <c r="DE2069" s="494"/>
      <c r="DF2069" s="496" t="s">
        <v>5080</v>
      </c>
      <c r="DG2069" s="496" t="s">
        <v>243</v>
      </c>
      <c r="DH2069" s="496" t="s">
        <v>1511</v>
      </c>
      <c r="DI2069" s="496" t="s">
        <v>5081</v>
      </c>
      <c r="DJ2069" s="496" t="s">
        <v>5082</v>
      </c>
      <c r="DK2069" s="496" t="s">
        <v>1085</v>
      </c>
      <c r="DL2069" s="496" t="s">
        <v>3799</v>
      </c>
      <c r="DM2069" s="496" t="s">
        <v>1087</v>
      </c>
      <c r="DN2069" s="497" t="s">
        <v>1088</v>
      </c>
      <c r="DP2069" s="543">
        <v>1</v>
      </c>
    </row>
    <row r="2070" spans="109:120" ht="15">
      <c r="DE2070" s="494"/>
      <c r="DF2070" s="496" t="s">
        <v>5083</v>
      </c>
      <c r="DG2070" s="496" t="s">
        <v>243</v>
      </c>
      <c r="DH2070" s="496" t="s">
        <v>1511</v>
      </c>
      <c r="DI2070" s="496" t="s">
        <v>5084</v>
      </c>
      <c r="DJ2070" s="496" t="s">
        <v>5084</v>
      </c>
      <c r="DK2070" s="496" t="s">
        <v>1085</v>
      </c>
      <c r="DL2070" s="496" t="s">
        <v>3799</v>
      </c>
      <c r="DM2070" s="496" t="s">
        <v>1087</v>
      </c>
      <c r="DN2070" s="497" t="s">
        <v>1088</v>
      </c>
      <c r="DP2070" s="543">
        <v>1</v>
      </c>
    </row>
    <row r="2071" spans="109:120" ht="15">
      <c r="DE2071" s="494"/>
      <c r="DF2071" s="496" t="s">
        <v>5085</v>
      </c>
      <c r="DG2071" s="496" t="s">
        <v>243</v>
      </c>
      <c r="DH2071" s="496" t="s">
        <v>1511</v>
      </c>
      <c r="DI2071" s="496" t="s">
        <v>5086</v>
      </c>
      <c r="DJ2071" s="496" t="s">
        <v>5086</v>
      </c>
      <c r="DK2071" s="496" t="s">
        <v>1085</v>
      </c>
      <c r="DL2071" s="496" t="s">
        <v>3799</v>
      </c>
      <c r="DM2071" s="496" t="s">
        <v>1087</v>
      </c>
      <c r="DN2071" s="497" t="s">
        <v>1088</v>
      </c>
      <c r="DP2071" s="543">
        <v>1</v>
      </c>
    </row>
    <row r="2072" spans="109:120" ht="15">
      <c r="DE2072" s="494"/>
      <c r="DF2072" s="496" t="s">
        <v>5087</v>
      </c>
      <c r="DG2072" s="496" t="s">
        <v>243</v>
      </c>
      <c r="DH2072" s="496" t="s">
        <v>1511</v>
      </c>
      <c r="DI2072" s="496" t="s">
        <v>1199</v>
      </c>
      <c r="DJ2072" s="496" t="s">
        <v>1199</v>
      </c>
      <c r="DK2072" s="496" t="s">
        <v>1085</v>
      </c>
      <c r="DL2072" s="496" t="s">
        <v>3799</v>
      </c>
      <c r="DM2072" s="496" t="s">
        <v>1087</v>
      </c>
      <c r="DN2072" s="497" t="s">
        <v>1088</v>
      </c>
      <c r="DP2072" s="543">
        <v>1</v>
      </c>
    </row>
    <row r="2073" spans="109:120" ht="15">
      <c r="DE2073" s="494"/>
      <c r="DF2073" s="496" t="s">
        <v>5088</v>
      </c>
      <c r="DG2073" s="496" t="s">
        <v>243</v>
      </c>
      <c r="DH2073" s="496" t="s">
        <v>1511</v>
      </c>
      <c r="DI2073" s="496" t="s">
        <v>1067</v>
      </c>
      <c r="DJ2073" s="496" t="s">
        <v>1067</v>
      </c>
      <c r="DK2073" s="496" t="s">
        <v>1085</v>
      </c>
      <c r="DL2073" s="496" t="s">
        <v>3799</v>
      </c>
      <c r="DM2073" s="496" t="s">
        <v>1087</v>
      </c>
      <c r="DN2073" s="497" t="s">
        <v>1088</v>
      </c>
      <c r="DP2073" s="543">
        <v>1</v>
      </c>
    </row>
    <row r="2074" spans="109:120" ht="15">
      <c r="DE2074" s="494"/>
      <c r="DF2074" s="496" t="s">
        <v>5089</v>
      </c>
      <c r="DG2074" s="496" t="s">
        <v>243</v>
      </c>
      <c r="DH2074" s="496" t="s">
        <v>1511</v>
      </c>
      <c r="DI2074" s="496" t="s">
        <v>4913</v>
      </c>
      <c r="DJ2074" s="496" t="s">
        <v>4913</v>
      </c>
      <c r="DK2074" s="496" t="s">
        <v>1085</v>
      </c>
      <c r="DL2074" s="496" t="s">
        <v>3799</v>
      </c>
      <c r="DM2074" s="496" t="s">
        <v>1087</v>
      </c>
      <c r="DN2074" s="497" t="s">
        <v>1088</v>
      </c>
      <c r="DP2074" s="543">
        <v>1</v>
      </c>
    </row>
    <row r="2075" spans="109:120" ht="15">
      <c r="DE2075" s="494"/>
      <c r="DF2075" s="496" t="s">
        <v>5090</v>
      </c>
      <c r="DG2075" s="496" t="s">
        <v>243</v>
      </c>
      <c r="DH2075" s="496" t="s">
        <v>1511</v>
      </c>
      <c r="DI2075" s="496" t="s">
        <v>1068</v>
      </c>
      <c r="DJ2075" s="496" t="s">
        <v>1068</v>
      </c>
      <c r="DK2075" s="496" t="s">
        <v>1085</v>
      </c>
      <c r="DL2075" s="496" t="s">
        <v>3799</v>
      </c>
      <c r="DM2075" s="496" t="s">
        <v>1087</v>
      </c>
      <c r="DN2075" s="497" t="s">
        <v>1088</v>
      </c>
      <c r="DP2075" s="543">
        <v>1</v>
      </c>
    </row>
    <row r="2076" spans="109:120" ht="15">
      <c r="DE2076" s="494"/>
      <c r="DF2076" s="496" t="s">
        <v>5091</v>
      </c>
      <c r="DG2076" s="496" t="s">
        <v>243</v>
      </c>
      <c r="DH2076" s="496" t="s">
        <v>1511</v>
      </c>
      <c r="DI2076" s="496" t="s">
        <v>1069</v>
      </c>
      <c r="DJ2076" s="496" t="s">
        <v>1069</v>
      </c>
      <c r="DK2076" s="496" t="s">
        <v>1085</v>
      </c>
      <c r="DL2076" s="496" t="s">
        <v>3799</v>
      </c>
      <c r="DM2076" s="496" t="s">
        <v>1087</v>
      </c>
      <c r="DN2076" s="497" t="s">
        <v>1088</v>
      </c>
      <c r="DP2076" s="543">
        <v>1</v>
      </c>
    </row>
    <row r="2077" spans="109:120" ht="15">
      <c r="DE2077" s="494"/>
      <c r="DF2077" s="496" t="s">
        <v>5092</v>
      </c>
      <c r="DG2077" s="496" t="s">
        <v>243</v>
      </c>
      <c r="DH2077" s="496" t="s">
        <v>1511</v>
      </c>
      <c r="DI2077" s="496" t="s">
        <v>4918</v>
      </c>
      <c r="DJ2077" s="496" t="s">
        <v>4918</v>
      </c>
      <c r="DK2077" s="496" t="s">
        <v>1085</v>
      </c>
      <c r="DL2077" s="496" t="s">
        <v>3799</v>
      </c>
      <c r="DM2077" s="496" t="s">
        <v>1087</v>
      </c>
      <c r="DN2077" s="497" t="s">
        <v>1088</v>
      </c>
      <c r="DP2077" s="543">
        <v>1</v>
      </c>
    </row>
    <row r="2078" spans="109:120" ht="15">
      <c r="DE2078" s="494"/>
      <c r="DF2078" s="496" t="s">
        <v>5093</v>
      </c>
      <c r="DG2078" s="496" t="s">
        <v>243</v>
      </c>
      <c r="DH2078" s="496" t="s">
        <v>1511</v>
      </c>
      <c r="DI2078" s="496" t="s">
        <v>5094</v>
      </c>
      <c r="DJ2078" s="496" t="s">
        <v>5094</v>
      </c>
      <c r="DK2078" s="496" t="s">
        <v>1085</v>
      </c>
      <c r="DL2078" s="496" t="s">
        <v>3799</v>
      </c>
      <c r="DM2078" s="496" t="s">
        <v>1087</v>
      </c>
      <c r="DN2078" s="497" t="s">
        <v>1088</v>
      </c>
      <c r="DP2078" s="543">
        <v>1</v>
      </c>
    </row>
    <row r="2079" spans="109:120" ht="15">
      <c r="DE2079" s="494"/>
      <c r="DF2079" s="496" t="s">
        <v>5095</v>
      </c>
      <c r="DG2079" s="496" t="s">
        <v>243</v>
      </c>
      <c r="DH2079" s="496" t="s">
        <v>1511</v>
      </c>
      <c r="DI2079" s="496" t="s">
        <v>5096</v>
      </c>
      <c r="DJ2079" s="496" t="s">
        <v>5096</v>
      </c>
      <c r="DK2079" s="496" t="s">
        <v>1085</v>
      </c>
      <c r="DL2079" s="496" t="s">
        <v>3799</v>
      </c>
      <c r="DM2079" s="496" t="s">
        <v>1087</v>
      </c>
      <c r="DN2079" s="497" t="s">
        <v>1088</v>
      </c>
      <c r="DP2079" s="543">
        <v>1</v>
      </c>
    </row>
    <row r="2080" spans="109:120" ht="15">
      <c r="DE2080" s="494"/>
      <c r="DF2080" s="496" t="s">
        <v>5097</v>
      </c>
      <c r="DG2080" s="496" t="s">
        <v>243</v>
      </c>
      <c r="DH2080" s="496" t="s">
        <v>1511</v>
      </c>
      <c r="DI2080" s="496" t="s">
        <v>5098</v>
      </c>
      <c r="DJ2080" s="496" t="s">
        <v>5098</v>
      </c>
      <c r="DK2080" s="496" t="s">
        <v>1085</v>
      </c>
      <c r="DL2080" s="496" t="s">
        <v>3799</v>
      </c>
      <c r="DM2080" s="496" t="s">
        <v>1087</v>
      </c>
      <c r="DN2080" s="497" t="s">
        <v>1088</v>
      </c>
      <c r="DP2080" s="543">
        <v>1</v>
      </c>
    </row>
    <row r="2081" spans="109:120" ht="15">
      <c r="DE2081" s="494"/>
      <c r="DF2081" s="496" t="s">
        <v>5099</v>
      </c>
      <c r="DG2081" s="496" t="s">
        <v>243</v>
      </c>
      <c r="DH2081" s="496" t="s">
        <v>1511</v>
      </c>
      <c r="DI2081" s="496" t="s">
        <v>1339</v>
      </c>
      <c r="DJ2081" s="496" t="s">
        <v>1339</v>
      </c>
      <c r="DK2081" s="496" t="s">
        <v>1085</v>
      </c>
      <c r="DL2081" s="496" t="s">
        <v>3799</v>
      </c>
      <c r="DM2081" s="496" t="s">
        <v>1087</v>
      </c>
      <c r="DN2081" s="497" t="s">
        <v>1088</v>
      </c>
      <c r="DP2081" s="543">
        <v>1</v>
      </c>
    </row>
    <row r="2082" spans="109:120" ht="15">
      <c r="DE2082" s="494"/>
      <c r="DF2082" s="496" t="s">
        <v>5100</v>
      </c>
      <c r="DG2082" s="496" t="s">
        <v>243</v>
      </c>
      <c r="DH2082" s="496" t="s">
        <v>1511</v>
      </c>
      <c r="DI2082" s="496" t="s">
        <v>5101</v>
      </c>
      <c r="DJ2082" s="496" t="s">
        <v>5101</v>
      </c>
      <c r="DK2082" s="496" t="s">
        <v>1085</v>
      </c>
      <c r="DL2082" s="496" t="s">
        <v>3799</v>
      </c>
      <c r="DM2082" s="496" t="s">
        <v>1087</v>
      </c>
      <c r="DN2082" s="497" t="s">
        <v>1088</v>
      </c>
      <c r="DP2082" s="543">
        <v>1</v>
      </c>
    </row>
    <row r="2083" spans="109:120" ht="15">
      <c r="DE2083" s="494"/>
      <c r="DF2083" s="496" t="s">
        <v>5102</v>
      </c>
      <c r="DG2083" s="496" t="s">
        <v>243</v>
      </c>
      <c r="DH2083" s="496" t="s">
        <v>1511</v>
      </c>
      <c r="DI2083" s="496" t="s">
        <v>5103</v>
      </c>
      <c r="DJ2083" s="496" t="s">
        <v>5103</v>
      </c>
      <c r="DK2083" s="496" t="s">
        <v>1085</v>
      </c>
      <c r="DL2083" s="496" t="s">
        <v>3799</v>
      </c>
      <c r="DM2083" s="496" t="s">
        <v>1087</v>
      </c>
      <c r="DN2083" s="497" t="s">
        <v>1088</v>
      </c>
      <c r="DP2083" s="543">
        <v>1</v>
      </c>
    </row>
    <row r="2084" spans="109:120" ht="15">
      <c r="DE2084" s="494"/>
      <c r="DF2084" s="496" t="s">
        <v>5104</v>
      </c>
      <c r="DG2084" s="496" t="s">
        <v>13</v>
      </c>
      <c r="DH2084" s="496" t="s">
        <v>689</v>
      </c>
      <c r="DI2084" s="496" t="s">
        <v>5105</v>
      </c>
      <c r="DJ2084" s="496" t="s">
        <v>5105</v>
      </c>
      <c r="DK2084" s="496" t="s">
        <v>1085</v>
      </c>
      <c r="DL2084" s="496" t="s">
        <v>5106</v>
      </c>
      <c r="DM2084" s="496" t="s">
        <v>1087</v>
      </c>
      <c r="DN2084" s="497" t="s">
        <v>1088</v>
      </c>
      <c r="DP2084" s="543">
        <v>1</v>
      </c>
    </row>
    <row r="2085" spans="109:120" ht="15">
      <c r="DE2085" s="494"/>
      <c r="DF2085" s="496" t="s">
        <v>5107</v>
      </c>
      <c r="DG2085" s="496" t="s">
        <v>13</v>
      </c>
      <c r="DH2085" s="496" t="s">
        <v>689</v>
      </c>
      <c r="DI2085" s="496" t="s">
        <v>50</v>
      </c>
      <c r="DJ2085" s="496" t="s">
        <v>50</v>
      </c>
      <c r="DK2085" s="496" t="s">
        <v>1085</v>
      </c>
      <c r="DL2085" s="496" t="s">
        <v>5106</v>
      </c>
      <c r="DM2085" s="496" t="s">
        <v>1087</v>
      </c>
      <c r="DN2085" s="497" t="s">
        <v>1088</v>
      </c>
      <c r="DP2085" s="543">
        <v>1</v>
      </c>
    </row>
    <row r="2086" spans="109:120" ht="15">
      <c r="DE2086" s="494"/>
      <c r="DF2086" s="496" t="s">
        <v>5108</v>
      </c>
      <c r="DG2086" s="496" t="s">
        <v>13</v>
      </c>
      <c r="DH2086" s="496" t="s">
        <v>689</v>
      </c>
      <c r="DI2086" s="496" t="s">
        <v>76</v>
      </c>
      <c r="DJ2086" s="496" t="s">
        <v>76</v>
      </c>
      <c r="DK2086" s="496" t="s">
        <v>1085</v>
      </c>
      <c r="DL2086" s="496" t="s">
        <v>5106</v>
      </c>
      <c r="DM2086" s="496" t="s">
        <v>1087</v>
      </c>
      <c r="DN2086" s="497" t="s">
        <v>1088</v>
      </c>
      <c r="DP2086" s="543">
        <v>1</v>
      </c>
    </row>
    <row r="2087" spans="109:120" ht="15">
      <c r="DE2087" s="494"/>
      <c r="DF2087" s="496" t="s">
        <v>5109</v>
      </c>
      <c r="DG2087" s="496" t="s">
        <v>13</v>
      </c>
      <c r="DH2087" s="496" t="s">
        <v>689</v>
      </c>
      <c r="DI2087" s="496" t="s">
        <v>63</v>
      </c>
      <c r="DJ2087" s="496" t="s">
        <v>63</v>
      </c>
      <c r="DK2087" s="496" t="s">
        <v>1085</v>
      </c>
      <c r="DL2087" s="496" t="s">
        <v>5106</v>
      </c>
      <c r="DM2087" s="496" t="s">
        <v>1087</v>
      </c>
      <c r="DN2087" s="497" t="s">
        <v>1088</v>
      </c>
      <c r="DP2087" s="543">
        <v>1</v>
      </c>
    </row>
    <row r="2088" spans="109:120" ht="15">
      <c r="DE2088" s="494"/>
      <c r="DF2088" s="496" t="s">
        <v>5110</v>
      </c>
      <c r="DG2088" s="496" t="s">
        <v>13</v>
      </c>
      <c r="DH2088" s="496" t="s">
        <v>689</v>
      </c>
      <c r="DI2088" s="496" t="s">
        <v>5111</v>
      </c>
      <c r="DJ2088" s="496" t="s">
        <v>368</v>
      </c>
      <c r="DK2088" s="496" t="s">
        <v>1085</v>
      </c>
      <c r="DL2088" s="496" t="s">
        <v>5106</v>
      </c>
      <c r="DM2088" s="496" t="s">
        <v>1087</v>
      </c>
      <c r="DN2088" s="497" t="s">
        <v>1088</v>
      </c>
      <c r="DP2088" s="543">
        <v>1</v>
      </c>
    </row>
    <row r="2089" spans="109:120" ht="15">
      <c r="DE2089" s="494"/>
      <c r="DF2089" s="496" t="s">
        <v>5112</v>
      </c>
      <c r="DG2089" s="496" t="s">
        <v>13</v>
      </c>
      <c r="DH2089" s="496" t="s">
        <v>689</v>
      </c>
      <c r="DI2089" s="496" t="s">
        <v>5113</v>
      </c>
      <c r="DJ2089" s="496" t="s">
        <v>369</v>
      </c>
      <c r="DK2089" s="496" t="s">
        <v>1085</v>
      </c>
      <c r="DL2089" s="496" t="s">
        <v>5106</v>
      </c>
      <c r="DM2089" s="496" t="s">
        <v>1087</v>
      </c>
      <c r="DN2089" s="497" t="s">
        <v>1088</v>
      </c>
      <c r="DP2089" s="543">
        <v>1</v>
      </c>
    </row>
    <row r="2090" spans="109:120" ht="15">
      <c r="DE2090" s="494"/>
      <c r="DF2090" s="496" t="s">
        <v>5114</v>
      </c>
      <c r="DG2090" s="496" t="s">
        <v>13</v>
      </c>
      <c r="DH2090" s="496" t="s">
        <v>689</v>
      </c>
      <c r="DI2090" s="496" t="s">
        <v>5115</v>
      </c>
      <c r="DJ2090" s="496" t="s">
        <v>370</v>
      </c>
      <c r="DK2090" s="496" t="s">
        <v>1085</v>
      </c>
      <c r="DL2090" s="496" t="s">
        <v>5106</v>
      </c>
      <c r="DM2090" s="496" t="s">
        <v>1087</v>
      </c>
      <c r="DN2090" s="497" t="s">
        <v>1088</v>
      </c>
      <c r="DP2090" s="543">
        <v>1</v>
      </c>
    </row>
    <row r="2091" spans="109:120" ht="15">
      <c r="DE2091" s="494"/>
      <c r="DF2091" s="496" t="s">
        <v>5116</v>
      </c>
      <c r="DG2091" s="496" t="s">
        <v>13</v>
      </c>
      <c r="DH2091" s="496" t="s">
        <v>689</v>
      </c>
      <c r="DI2091" s="496" t="s">
        <v>5117</v>
      </c>
      <c r="DJ2091" s="496" t="s">
        <v>371</v>
      </c>
      <c r="DK2091" s="496" t="s">
        <v>1085</v>
      </c>
      <c r="DL2091" s="496" t="s">
        <v>5106</v>
      </c>
      <c r="DM2091" s="496" t="s">
        <v>1087</v>
      </c>
      <c r="DN2091" s="497" t="s">
        <v>1088</v>
      </c>
      <c r="DP2091" s="543">
        <v>1</v>
      </c>
    </row>
    <row r="2092" spans="109:120" ht="15">
      <c r="DE2092" s="494"/>
      <c r="DF2092" s="496" t="s">
        <v>5118</v>
      </c>
      <c r="DG2092" s="496" t="s">
        <v>13</v>
      </c>
      <c r="DH2092" s="496" t="s">
        <v>689</v>
      </c>
      <c r="DI2092" s="496" t="s">
        <v>5119</v>
      </c>
      <c r="DJ2092" s="496" t="s">
        <v>372</v>
      </c>
      <c r="DK2092" s="496" t="s">
        <v>1085</v>
      </c>
      <c r="DL2092" s="496" t="s">
        <v>5106</v>
      </c>
      <c r="DM2092" s="496" t="s">
        <v>1087</v>
      </c>
      <c r="DN2092" s="497" t="s">
        <v>1088</v>
      </c>
      <c r="DP2092" s="543">
        <v>1</v>
      </c>
    </row>
    <row r="2093" spans="109:120" ht="15">
      <c r="DE2093" s="494"/>
      <c r="DF2093" s="496" t="s">
        <v>5120</v>
      </c>
      <c r="DG2093" s="496" t="s">
        <v>13</v>
      </c>
      <c r="DH2093" s="496" t="s">
        <v>689</v>
      </c>
      <c r="DI2093" s="496" t="s">
        <v>5121</v>
      </c>
      <c r="DJ2093" s="496" t="s">
        <v>373</v>
      </c>
      <c r="DK2093" s="496" t="s">
        <v>1085</v>
      </c>
      <c r="DL2093" s="496" t="s">
        <v>5106</v>
      </c>
      <c r="DM2093" s="496" t="s">
        <v>1087</v>
      </c>
      <c r="DN2093" s="497" t="s">
        <v>1088</v>
      </c>
      <c r="DP2093" s="543">
        <v>1</v>
      </c>
    </row>
    <row r="2094" spans="109:120" ht="15">
      <c r="DE2094" s="494"/>
      <c r="DF2094" s="496" t="s">
        <v>5122</v>
      </c>
      <c r="DG2094" s="496" t="s">
        <v>13</v>
      </c>
      <c r="DH2094" s="496" t="s">
        <v>689</v>
      </c>
      <c r="DI2094" s="496" t="s">
        <v>5123</v>
      </c>
      <c r="DJ2094" s="496" t="s">
        <v>374</v>
      </c>
      <c r="DK2094" s="496" t="s">
        <v>1085</v>
      </c>
      <c r="DL2094" s="496" t="s">
        <v>5106</v>
      </c>
      <c r="DM2094" s="496" t="s">
        <v>1087</v>
      </c>
      <c r="DN2094" s="497" t="s">
        <v>1088</v>
      </c>
      <c r="DP2094" s="543">
        <v>1</v>
      </c>
    </row>
    <row r="2095" spans="109:120" ht="15">
      <c r="DE2095" s="494"/>
      <c r="DF2095" s="496" t="s">
        <v>5124</v>
      </c>
      <c r="DG2095" s="496" t="s">
        <v>13</v>
      </c>
      <c r="DH2095" s="496" t="s">
        <v>689</v>
      </c>
      <c r="DI2095" s="496" t="s">
        <v>5125</v>
      </c>
      <c r="DJ2095" s="496" t="s">
        <v>375</v>
      </c>
      <c r="DK2095" s="496" t="s">
        <v>1085</v>
      </c>
      <c r="DL2095" s="496" t="s">
        <v>5106</v>
      </c>
      <c r="DM2095" s="496" t="s">
        <v>1087</v>
      </c>
      <c r="DN2095" s="497" t="s">
        <v>1088</v>
      </c>
      <c r="DP2095" s="543">
        <v>1</v>
      </c>
    </row>
    <row r="2096" spans="109:120" ht="15">
      <c r="DE2096" s="494"/>
      <c r="DF2096" s="496" t="s">
        <v>5126</v>
      </c>
      <c r="DG2096" s="496" t="s">
        <v>13</v>
      </c>
      <c r="DH2096" s="496" t="s">
        <v>689</v>
      </c>
      <c r="DI2096" s="496" t="s">
        <v>5127</v>
      </c>
      <c r="DJ2096" s="496" t="s">
        <v>376</v>
      </c>
      <c r="DK2096" s="496" t="s">
        <v>1085</v>
      </c>
      <c r="DL2096" s="496" t="s">
        <v>5106</v>
      </c>
      <c r="DM2096" s="496" t="s">
        <v>1087</v>
      </c>
      <c r="DN2096" s="497" t="s">
        <v>1088</v>
      </c>
      <c r="DP2096" s="543">
        <v>1</v>
      </c>
    </row>
    <row r="2097" spans="109:120" ht="15">
      <c r="DE2097" s="494"/>
      <c r="DF2097" s="496" t="s">
        <v>5128</v>
      </c>
      <c r="DG2097" s="496" t="s">
        <v>13</v>
      </c>
      <c r="DH2097" s="496" t="s">
        <v>689</v>
      </c>
      <c r="DI2097" s="496" t="s">
        <v>5129</v>
      </c>
      <c r="DJ2097" s="496" t="s">
        <v>5130</v>
      </c>
      <c r="DK2097" s="496" t="s">
        <v>1085</v>
      </c>
      <c r="DL2097" s="496" t="s">
        <v>5106</v>
      </c>
      <c r="DM2097" s="496" t="s">
        <v>1087</v>
      </c>
      <c r="DN2097" s="497" t="s">
        <v>1088</v>
      </c>
      <c r="DP2097" s="543">
        <v>1</v>
      </c>
    </row>
    <row r="2098" spans="109:120" ht="15">
      <c r="DE2098" s="494"/>
      <c r="DF2098" s="496" t="s">
        <v>5131</v>
      </c>
      <c r="DG2098" s="496" t="s">
        <v>13</v>
      </c>
      <c r="DH2098" s="496" t="s">
        <v>689</v>
      </c>
      <c r="DI2098" s="496" t="s">
        <v>5132</v>
      </c>
      <c r="DJ2098" s="496" t="s">
        <v>101</v>
      </c>
      <c r="DK2098" s="496" t="s">
        <v>1085</v>
      </c>
      <c r="DL2098" s="496" t="s">
        <v>5106</v>
      </c>
      <c r="DM2098" s="496" t="s">
        <v>1087</v>
      </c>
      <c r="DN2098" s="497" t="s">
        <v>1088</v>
      </c>
      <c r="DP2098" s="543">
        <v>1</v>
      </c>
    </row>
    <row r="2099" spans="109:120" ht="15">
      <c r="DE2099" s="494"/>
      <c r="DF2099" s="496" t="s">
        <v>5133</v>
      </c>
      <c r="DG2099" s="496" t="s">
        <v>13</v>
      </c>
      <c r="DH2099" s="496" t="s">
        <v>689</v>
      </c>
      <c r="DI2099" s="496" t="s">
        <v>26</v>
      </c>
      <c r="DJ2099" s="496" t="s">
        <v>26</v>
      </c>
      <c r="DK2099" s="496" t="s">
        <v>1085</v>
      </c>
      <c r="DL2099" s="496" t="s">
        <v>5106</v>
      </c>
      <c r="DM2099" s="496" t="s">
        <v>1087</v>
      </c>
      <c r="DN2099" s="497" t="s">
        <v>1088</v>
      </c>
      <c r="DP2099" s="543">
        <v>1</v>
      </c>
    </row>
    <row r="2100" spans="109:120" ht="15">
      <c r="DE2100" s="494"/>
      <c r="DF2100" s="496" t="s">
        <v>5134</v>
      </c>
      <c r="DG2100" s="496" t="s">
        <v>13</v>
      </c>
      <c r="DH2100" s="496" t="s">
        <v>689</v>
      </c>
      <c r="DI2100" s="496" t="s">
        <v>4</v>
      </c>
      <c r="DJ2100" s="496" t="s">
        <v>4</v>
      </c>
      <c r="DK2100" s="496" t="s">
        <v>1085</v>
      </c>
      <c r="DL2100" s="496" t="s">
        <v>5106</v>
      </c>
      <c r="DM2100" s="496" t="s">
        <v>1087</v>
      </c>
      <c r="DN2100" s="497" t="s">
        <v>1088</v>
      </c>
      <c r="DP2100" s="543">
        <v>1</v>
      </c>
    </row>
    <row r="2101" spans="109:120" ht="15">
      <c r="DE2101" s="494"/>
      <c r="DF2101" s="496" t="s">
        <v>5135</v>
      </c>
      <c r="DG2101" s="496" t="s">
        <v>13</v>
      </c>
      <c r="DH2101" s="496" t="s">
        <v>689</v>
      </c>
      <c r="DI2101" s="496" t="s">
        <v>377</v>
      </c>
      <c r="DJ2101" s="496" t="s">
        <v>377</v>
      </c>
      <c r="DK2101" s="496" t="s">
        <v>1151</v>
      </c>
      <c r="DL2101" s="496" t="s">
        <v>1152</v>
      </c>
      <c r="DM2101" s="496" t="s">
        <v>1087</v>
      </c>
      <c r="DN2101" s="497" t="s">
        <v>1153</v>
      </c>
      <c r="DP2101" s="543">
        <v>1</v>
      </c>
    </row>
    <row r="2102" spans="109:120" ht="15">
      <c r="DE2102" s="494"/>
      <c r="DF2102" s="496" t="s">
        <v>5136</v>
      </c>
      <c r="DG2102" s="496" t="s">
        <v>13</v>
      </c>
      <c r="DH2102" s="496" t="s">
        <v>689</v>
      </c>
      <c r="DI2102" s="496" t="s">
        <v>378</v>
      </c>
      <c r="DJ2102" s="496" t="s">
        <v>378</v>
      </c>
      <c r="DK2102" s="496" t="s">
        <v>1085</v>
      </c>
      <c r="DL2102" s="496" t="s">
        <v>5106</v>
      </c>
      <c r="DM2102" s="496" t="s">
        <v>1087</v>
      </c>
      <c r="DN2102" s="497" t="s">
        <v>1088</v>
      </c>
      <c r="DP2102" s="543">
        <v>1</v>
      </c>
    </row>
    <row r="2103" spans="109:120" ht="15">
      <c r="DE2103" s="494"/>
      <c r="DF2103" s="496" t="s">
        <v>5137</v>
      </c>
      <c r="DG2103" s="496" t="s">
        <v>13</v>
      </c>
      <c r="DH2103" s="496" t="s">
        <v>689</v>
      </c>
      <c r="DI2103" s="496" t="s">
        <v>379</v>
      </c>
      <c r="DJ2103" s="496" t="s">
        <v>379</v>
      </c>
      <c r="DK2103" s="496" t="s">
        <v>1085</v>
      </c>
      <c r="DL2103" s="496" t="s">
        <v>5106</v>
      </c>
      <c r="DM2103" s="496" t="s">
        <v>1087</v>
      </c>
      <c r="DN2103" s="497" t="s">
        <v>1088</v>
      </c>
      <c r="DP2103" s="543">
        <v>1</v>
      </c>
    </row>
    <row r="2104" spans="109:120" ht="15">
      <c r="DE2104" s="494"/>
      <c r="DF2104" s="496" t="s">
        <v>5138</v>
      </c>
      <c r="DG2104" s="496" t="s">
        <v>13</v>
      </c>
      <c r="DH2104" s="496" t="s">
        <v>689</v>
      </c>
      <c r="DI2104" s="496" t="s">
        <v>5139</v>
      </c>
      <c r="DJ2104" s="496" t="s">
        <v>5139</v>
      </c>
      <c r="DK2104" s="496" t="s">
        <v>1151</v>
      </c>
      <c r="DL2104" s="496" t="s">
        <v>1152</v>
      </c>
      <c r="DM2104" s="496" t="s">
        <v>1087</v>
      </c>
      <c r="DN2104" s="497" t="s">
        <v>1153</v>
      </c>
      <c r="DP2104" s="543">
        <v>1</v>
      </c>
    </row>
    <row r="2105" spans="109:120" ht="15">
      <c r="DE2105" s="494"/>
      <c r="DF2105" s="496" t="s">
        <v>5140</v>
      </c>
      <c r="DG2105" s="496" t="s">
        <v>13</v>
      </c>
      <c r="DH2105" s="496" t="s">
        <v>1511</v>
      </c>
      <c r="DI2105" s="496" t="s">
        <v>1063</v>
      </c>
      <c r="DJ2105" s="496" t="s">
        <v>1063</v>
      </c>
      <c r="DK2105" s="496" t="s">
        <v>1085</v>
      </c>
      <c r="DL2105" s="496" t="s">
        <v>5141</v>
      </c>
      <c r="DM2105" s="496" t="s">
        <v>1087</v>
      </c>
      <c r="DN2105" s="497" t="s">
        <v>1088</v>
      </c>
      <c r="DP2105" s="543">
        <v>1</v>
      </c>
    </row>
    <row r="2106" spans="109:120" ht="15">
      <c r="DE2106" s="494"/>
      <c r="DF2106" s="496" t="s">
        <v>5142</v>
      </c>
      <c r="DG2106" s="496" t="s">
        <v>13</v>
      </c>
      <c r="DH2106" s="496" t="s">
        <v>1511</v>
      </c>
      <c r="DI2106" s="496" t="s">
        <v>1156</v>
      </c>
      <c r="DJ2106" s="496" t="s">
        <v>883</v>
      </c>
      <c r="DK2106" s="496" t="s">
        <v>1085</v>
      </c>
      <c r="DL2106" s="496" t="s">
        <v>5141</v>
      </c>
      <c r="DM2106" s="496" t="s">
        <v>1087</v>
      </c>
      <c r="DN2106" s="497" t="s">
        <v>1088</v>
      </c>
      <c r="DP2106" s="543">
        <v>1</v>
      </c>
    </row>
    <row r="2107" spans="109:120" ht="15">
      <c r="DE2107" s="494"/>
      <c r="DF2107" s="496" t="s">
        <v>5143</v>
      </c>
      <c r="DG2107" s="496" t="s">
        <v>13</v>
      </c>
      <c r="DH2107" s="496" t="s">
        <v>1511</v>
      </c>
      <c r="DI2107" s="496" t="s">
        <v>5144</v>
      </c>
      <c r="DJ2107" s="496" t="s">
        <v>5144</v>
      </c>
      <c r="DK2107" s="496" t="s">
        <v>1085</v>
      </c>
      <c r="DL2107" s="496" t="s">
        <v>5141</v>
      </c>
      <c r="DM2107" s="496" t="s">
        <v>1087</v>
      </c>
      <c r="DN2107" s="497" t="s">
        <v>1088</v>
      </c>
      <c r="DP2107" s="543">
        <v>1</v>
      </c>
    </row>
    <row r="2108" spans="109:120" ht="15">
      <c r="DE2108" s="494"/>
      <c r="DF2108" s="496" t="s">
        <v>5145</v>
      </c>
      <c r="DG2108" s="496" t="s">
        <v>13</v>
      </c>
      <c r="DH2108" s="496" t="s">
        <v>1511</v>
      </c>
      <c r="DI2108" s="496" t="s">
        <v>5146</v>
      </c>
      <c r="DJ2108" s="496" t="s">
        <v>5146</v>
      </c>
      <c r="DK2108" s="496" t="s">
        <v>1085</v>
      </c>
      <c r="DL2108" s="496" t="s">
        <v>5141</v>
      </c>
      <c r="DM2108" s="496" t="s">
        <v>1087</v>
      </c>
      <c r="DN2108" s="497" t="s">
        <v>1088</v>
      </c>
      <c r="DP2108" s="543">
        <v>1</v>
      </c>
    </row>
    <row r="2109" spans="109:120" ht="15">
      <c r="DE2109" s="494"/>
      <c r="DF2109" s="496" t="s">
        <v>5147</v>
      </c>
      <c r="DG2109" s="496" t="s">
        <v>13</v>
      </c>
      <c r="DH2109" s="496" t="s">
        <v>1511</v>
      </c>
      <c r="DI2109" s="496" t="s">
        <v>5148</v>
      </c>
      <c r="DJ2109" s="496" t="s">
        <v>5148</v>
      </c>
      <c r="DK2109" s="496" t="s">
        <v>1085</v>
      </c>
      <c r="DL2109" s="496" t="s">
        <v>5141</v>
      </c>
      <c r="DM2109" s="496" t="s">
        <v>1087</v>
      </c>
      <c r="DN2109" s="497" t="s">
        <v>1088</v>
      </c>
      <c r="DP2109" s="543">
        <v>1</v>
      </c>
    </row>
    <row r="2110" spans="109:120" ht="15">
      <c r="DE2110" s="494"/>
      <c r="DF2110" s="496" t="s">
        <v>5149</v>
      </c>
      <c r="DG2110" s="496" t="s">
        <v>13</v>
      </c>
      <c r="DH2110" s="496" t="s">
        <v>1511</v>
      </c>
      <c r="DI2110" s="496" t="s">
        <v>5150</v>
      </c>
      <c r="DJ2110" s="496" t="s">
        <v>5150</v>
      </c>
      <c r="DK2110" s="496" t="s">
        <v>1085</v>
      </c>
      <c r="DL2110" s="496" t="s">
        <v>5141</v>
      </c>
      <c r="DM2110" s="496" t="s">
        <v>1087</v>
      </c>
      <c r="DN2110" s="497" t="s">
        <v>1088</v>
      </c>
      <c r="DP2110" s="543">
        <v>1</v>
      </c>
    </row>
    <row r="2111" spans="109:120" ht="15">
      <c r="DE2111" s="494"/>
      <c r="DF2111" s="496" t="s">
        <v>5151</v>
      </c>
      <c r="DG2111" s="496" t="s">
        <v>13</v>
      </c>
      <c r="DH2111" s="496" t="s">
        <v>1511</v>
      </c>
      <c r="DI2111" s="496" t="s">
        <v>5152</v>
      </c>
      <c r="DJ2111" s="496" t="s">
        <v>5152</v>
      </c>
      <c r="DK2111" s="496" t="s">
        <v>1151</v>
      </c>
      <c r="DL2111" s="496" t="s">
        <v>1518</v>
      </c>
      <c r="DM2111" s="496" t="s">
        <v>1087</v>
      </c>
      <c r="DN2111" s="497" t="s">
        <v>1153</v>
      </c>
      <c r="DP2111" s="543">
        <v>1</v>
      </c>
    </row>
    <row r="2112" spans="109:120" ht="15">
      <c r="DE2112" s="494"/>
      <c r="DF2112" s="496" t="s">
        <v>5153</v>
      </c>
      <c r="DG2112" s="496" t="s">
        <v>13</v>
      </c>
      <c r="DH2112" s="496" t="s">
        <v>1511</v>
      </c>
      <c r="DI2112" s="496" t="s">
        <v>5154</v>
      </c>
      <c r="DJ2112" s="496" t="s">
        <v>5154</v>
      </c>
      <c r="DK2112" s="496" t="s">
        <v>1085</v>
      </c>
      <c r="DL2112" s="496" t="s">
        <v>5141</v>
      </c>
      <c r="DM2112" s="496" t="s">
        <v>1087</v>
      </c>
      <c r="DN2112" s="497" t="s">
        <v>1088</v>
      </c>
      <c r="DP2112" s="543">
        <v>1</v>
      </c>
    </row>
    <row r="2113" spans="109:120" ht="15">
      <c r="DE2113" s="494"/>
      <c r="DF2113" s="496" t="s">
        <v>5155</v>
      </c>
      <c r="DG2113" s="496" t="s">
        <v>13</v>
      </c>
      <c r="DH2113" s="496" t="s">
        <v>1511</v>
      </c>
      <c r="DI2113" s="496" t="s">
        <v>5156</v>
      </c>
      <c r="DJ2113" s="496" t="s">
        <v>5157</v>
      </c>
      <c r="DK2113" s="496" t="s">
        <v>1085</v>
      </c>
      <c r="DL2113" s="496" t="s">
        <v>5141</v>
      </c>
      <c r="DM2113" s="496" t="s">
        <v>1087</v>
      </c>
      <c r="DN2113" s="497" t="s">
        <v>1088</v>
      </c>
      <c r="DP2113" s="543">
        <v>1</v>
      </c>
    </row>
    <row r="2114" spans="109:120" ht="15">
      <c r="DE2114" s="494"/>
      <c r="DF2114" s="496" t="s">
        <v>5158</v>
      </c>
      <c r="DG2114" s="496" t="s">
        <v>13</v>
      </c>
      <c r="DH2114" s="496" t="s">
        <v>1511</v>
      </c>
      <c r="DI2114" s="496" t="s">
        <v>5159</v>
      </c>
      <c r="DJ2114" s="496" t="s">
        <v>5160</v>
      </c>
      <c r="DK2114" s="496" t="s">
        <v>1085</v>
      </c>
      <c r="DL2114" s="496" t="s">
        <v>5141</v>
      </c>
      <c r="DM2114" s="496" t="s">
        <v>1087</v>
      </c>
      <c r="DN2114" s="497" t="s">
        <v>1088</v>
      </c>
      <c r="DP2114" s="543">
        <v>1</v>
      </c>
    </row>
    <row r="2115" spans="109:120" ht="15">
      <c r="DE2115" s="494"/>
      <c r="DF2115" s="496" t="s">
        <v>5161</v>
      </c>
      <c r="DG2115" s="496" t="s">
        <v>13</v>
      </c>
      <c r="DH2115" s="496" t="s">
        <v>1511</v>
      </c>
      <c r="DI2115" s="496" t="s">
        <v>5162</v>
      </c>
      <c r="DJ2115" s="496" t="s">
        <v>5163</v>
      </c>
      <c r="DK2115" s="496" t="s">
        <v>1085</v>
      </c>
      <c r="DL2115" s="496" t="s">
        <v>5141</v>
      </c>
      <c r="DM2115" s="496" t="s">
        <v>1087</v>
      </c>
      <c r="DN2115" s="497" t="s">
        <v>1088</v>
      </c>
      <c r="DP2115" s="543">
        <v>1</v>
      </c>
    </row>
    <row r="2116" spans="109:120" ht="15">
      <c r="DE2116" s="494"/>
      <c r="DF2116" s="496" t="s">
        <v>5164</v>
      </c>
      <c r="DG2116" s="496" t="s">
        <v>13</v>
      </c>
      <c r="DH2116" s="496" t="s">
        <v>1511</v>
      </c>
      <c r="DI2116" s="496" t="s">
        <v>5165</v>
      </c>
      <c r="DJ2116" s="496" t="s">
        <v>5165</v>
      </c>
      <c r="DK2116" s="496" t="s">
        <v>1085</v>
      </c>
      <c r="DL2116" s="496" t="s">
        <v>5141</v>
      </c>
      <c r="DM2116" s="496" t="s">
        <v>1087</v>
      </c>
      <c r="DN2116" s="497" t="s">
        <v>1088</v>
      </c>
      <c r="DP2116" s="543">
        <v>1</v>
      </c>
    </row>
    <row r="2117" spans="109:120" ht="15">
      <c r="DE2117" s="494"/>
      <c r="DF2117" s="496" t="s">
        <v>5166</v>
      </c>
      <c r="DG2117" s="496" t="s">
        <v>13</v>
      </c>
      <c r="DH2117" s="496" t="s">
        <v>1511</v>
      </c>
      <c r="DI2117" s="496" t="s">
        <v>5167</v>
      </c>
      <c r="DJ2117" s="496" t="s">
        <v>5167</v>
      </c>
      <c r="DK2117" s="496" t="s">
        <v>1085</v>
      </c>
      <c r="DL2117" s="496" t="s">
        <v>5141</v>
      </c>
      <c r="DM2117" s="496" t="s">
        <v>1087</v>
      </c>
      <c r="DN2117" s="497" t="s">
        <v>1088</v>
      </c>
      <c r="DP2117" s="543">
        <v>1</v>
      </c>
    </row>
    <row r="2118" spans="109:120" ht="15">
      <c r="DE2118" s="494"/>
      <c r="DF2118" s="496" t="s">
        <v>5168</v>
      </c>
      <c r="DG2118" s="496" t="s">
        <v>13</v>
      </c>
      <c r="DH2118" s="496" t="s">
        <v>1511</v>
      </c>
      <c r="DI2118" s="496" t="s">
        <v>5169</v>
      </c>
      <c r="DJ2118" s="496" t="s">
        <v>5169</v>
      </c>
      <c r="DK2118" s="496" t="s">
        <v>1085</v>
      </c>
      <c r="DL2118" s="496" t="s">
        <v>5141</v>
      </c>
      <c r="DM2118" s="496" t="s">
        <v>1087</v>
      </c>
      <c r="DN2118" s="497" t="s">
        <v>1088</v>
      </c>
      <c r="DP2118" s="543">
        <v>1</v>
      </c>
    </row>
    <row r="2119" spans="109:120" ht="15">
      <c r="DE2119" s="494"/>
      <c r="DF2119" s="496" t="s">
        <v>5170</v>
      </c>
      <c r="DG2119" s="496" t="s">
        <v>13</v>
      </c>
      <c r="DH2119" s="496" t="s">
        <v>1511</v>
      </c>
      <c r="DI2119" s="496" t="s">
        <v>5171</v>
      </c>
      <c r="DJ2119" s="496" t="s">
        <v>5171</v>
      </c>
      <c r="DK2119" s="496" t="s">
        <v>1085</v>
      </c>
      <c r="DL2119" s="496" t="s">
        <v>5141</v>
      </c>
      <c r="DM2119" s="496" t="s">
        <v>1087</v>
      </c>
      <c r="DN2119" s="497" t="s">
        <v>1088</v>
      </c>
      <c r="DP2119" s="543">
        <v>1</v>
      </c>
    </row>
    <row r="2120" spans="109:120" ht="15">
      <c r="DE2120" s="494"/>
      <c r="DF2120" s="496" t="s">
        <v>5172</v>
      </c>
      <c r="DG2120" s="496" t="s">
        <v>13</v>
      </c>
      <c r="DH2120" s="496" t="s">
        <v>1511</v>
      </c>
      <c r="DI2120" s="496" t="s">
        <v>5173</v>
      </c>
      <c r="DJ2120" s="496" t="s">
        <v>5173</v>
      </c>
      <c r="DK2120" s="496" t="s">
        <v>1151</v>
      </c>
      <c r="DL2120" s="496" t="s">
        <v>1518</v>
      </c>
      <c r="DM2120" s="496" t="s">
        <v>1087</v>
      </c>
      <c r="DN2120" s="497" t="s">
        <v>1153</v>
      </c>
      <c r="DP2120" s="543">
        <v>1</v>
      </c>
    </row>
    <row r="2121" spans="109:120" ht="15">
      <c r="DE2121" s="494"/>
      <c r="DF2121" s="496" t="s">
        <v>5174</v>
      </c>
      <c r="DG2121" s="496" t="s">
        <v>13</v>
      </c>
      <c r="DH2121" s="496" t="s">
        <v>1511</v>
      </c>
      <c r="DI2121" s="496" t="s">
        <v>5175</v>
      </c>
      <c r="DJ2121" s="496" t="s">
        <v>5175</v>
      </c>
      <c r="DK2121" s="496" t="s">
        <v>1151</v>
      </c>
      <c r="DL2121" s="496" t="s">
        <v>1518</v>
      </c>
      <c r="DM2121" s="496" t="s">
        <v>1087</v>
      </c>
      <c r="DN2121" s="497" t="s">
        <v>1153</v>
      </c>
      <c r="DP2121" s="543">
        <v>1</v>
      </c>
    </row>
    <row r="2122" spans="109:120" ht="15">
      <c r="DE2122" s="494"/>
      <c r="DF2122" s="496" t="s">
        <v>5176</v>
      </c>
      <c r="DG2122" s="496" t="s">
        <v>13</v>
      </c>
      <c r="DH2122" s="496" t="s">
        <v>1511</v>
      </c>
      <c r="DI2122" s="496" t="s">
        <v>5177</v>
      </c>
      <c r="DJ2122" s="496" t="s">
        <v>5178</v>
      </c>
      <c r="DK2122" s="496" t="s">
        <v>1085</v>
      </c>
      <c r="DL2122" s="496" t="s">
        <v>5141</v>
      </c>
      <c r="DM2122" s="496" t="s">
        <v>1087</v>
      </c>
      <c r="DN2122" s="497" t="s">
        <v>1088</v>
      </c>
      <c r="DP2122" s="543">
        <v>1</v>
      </c>
    </row>
    <row r="2123" spans="109:120" ht="25.5">
      <c r="DE2123" s="494"/>
      <c r="DF2123" s="496" t="s">
        <v>5179</v>
      </c>
      <c r="DG2123" s="496" t="s">
        <v>13</v>
      </c>
      <c r="DH2123" s="496" t="s">
        <v>1511</v>
      </c>
      <c r="DI2123" s="496" t="s">
        <v>5180</v>
      </c>
      <c r="DJ2123" s="496" t="s">
        <v>5744</v>
      </c>
      <c r="DK2123" s="496" t="s">
        <v>1085</v>
      </c>
      <c r="DL2123" s="496" t="s">
        <v>5745</v>
      </c>
      <c r="DM2123" s="496" t="s">
        <v>3961</v>
      </c>
      <c r="DN2123" s="497" t="s">
        <v>1153</v>
      </c>
      <c r="DP2123" s="543">
        <v>1</v>
      </c>
    </row>
    <row r="2124" spans="109:120" ht="15">
      <c r="DE2124" s="494"/>
      <c r="DF2124" s="496" t="s">
        <v>5181</v>
      </c>
      <c r="DG2124" s="496" t="s">
        <v>13</v>
      </c>
      <c r="DH2124" s="496" t="s">
        <v>1511</v>
      </c>
      <c r="DI2124" s="496" t="s">
        <v>5182</v>
      </c>
      <c r="DJ2124" s="496" t="s">
        <v>5183</v>
      </c>
      <c r="DK2124" s="496" t="s">
        <v>1085</v>
      </c>
      <c r="DL2124" s="496" t="s">
        <v>5141</v>
      </c>
      <c r="DM2124" s="496" t="s">
        <v>1087</v>
      </c>
      <c r="DN2124" s="497" t="s">
        <v>1088</v>
      </c>
      <c r="DP2124" s="543">
        <v>1</v>
      </c>
    </row>
    <row r="2125" spans="109:120" ht="15">
      <c r="DE2125" s="494"/>
      <c r="DF2125" s="496" t="s">
        <v>5184</v>
      </c>
      <c r="DG2125" s="496" t="s">
        <v>13</v>
      </c>
      <c r="DH2125" s="496" t="s">
        <v>1511</v>
      </c>
      <c r="DI2125" s="496" t="s">
        <v>5185</v>
      </c>
      <c r="DJ2125" s="496" t="s">
        <v>5185</v>
      </c>
      <c r="DK2125" s="496" t="s">
        <v>1085</v>
      </c>
      <c r="DL2125" s="496" t="s">
        <v>5141</v>
      </c>
      <c r="DM2125" s="496" t="s">
        <v>1087</v>
      </c>
      <c r="DN2125" s="497" t="s">
        <v>1088</v>
      </c>
      <c r="DP2125" s="543">
        <v>1</v>
      </c>
    </row>
    <row r="2126" spans="109:120" ht="15">
      <c r="DE2126" s="494"/>
      <c r="DF2126" s="496" t="s">
        <v>5186</v>
      </c>
      <c r="DG2126" s="496" t="s">
        <v>13</v>
      </c>
      <c r="DH2126" s="496" t="s">
        <v>1511</v>
      </c>
      <c r="DI2126" s="496" t="s">
        <v>5187</v>
      </c>
      <c r="DJ2126" s="496" t="s">
        <v>5188</v>
      </c>
      <c r="DK2126" s="496" t="s">
        <v>1085</v>
      </c>
      <c r="DL2126" s="496" t="s">
        <v>5141</v>
      </c>
      <c r="DM2126" s="496" t="s">
        <v>1087</v>
      </c>
      <c r="DN2126" s="497" t="s">
        <v>1088</v>
      </c>
      <c r="DP2126" s="543">
        <v>1</v>
      </c>
    </row>
    <row r="2127" spans="109:120" ht="15">
      <c r="DE2127" s="494"/>
      <c r="DF2127" s="496" t="s">
        <v>5189</v>
      </c>
      <c r="DG2127" s="496" t="s">
        <v>13</v>
      </c>
      <c r="DH2127" s="496" t="s">
        <v>1511</v>
      </c>
      <c r="DI2127" s="496" t="s">
        <v>5190</v>
      </c>
      <c r="DJ2127" s="496" t="s">
        <v>5190</v>
      </c>
      <c r="DK2127" s="496" t="s">
        <v>1085</v>
      </c>
      <c r="DL2127" s="496" t="s">
        <v>5141</v>
      </c>
      <c r="DM2127" s="496" t="s">
        <v>1087</v>
      </c>
      <c r="DN2127" s="497" t="s">
        <v>1088</v>
      </c>
      <c r="DP2127" s="543">
        <v>1</v>
      </c>
    </row>
    <row r="2128" spans="109:120" ht="15">
      <c r="DE2128" s="494"/>
      <c r="DF2128" s="496" t="s">
        <v>5191</v>
      </c>
      <c r="DG2128" s="496" t="s">
        <v>13</v>
      </c>
      <c r="DH2128" s="496" t="s">
        <v>1511</v>
      </c>
      <c r="DI2128" s="496" t="s">
        <v>5192</v>
      </c>
      <c r="DJ2128" s="496" t="s">
        <v>5192</v>
      </c>
      <c r="DK2128" s="496" t="s">
        <v>1085</v>
      </c>
      <c r="DL2128" s="496" t="s">
        <v>5141</v>
      </c>
      <c r="DM2128" s="496" t="s">
        <v>1087</v>
      </c>
      <c r="DN2128" s="497" t="s">
        <v>1088</v>
      </c>
      <c r="DP2128" s="543">
        <v>1</v>
      </c>
    </row>
    <row r="2129" spans="109:120" ht="15">
      <c r="DE2129" s="494"/>
      <c r="DF2129" s="496" t="s">
        <v>5193</v>
      </c>
      <c r="DG2129" s="496" t="s">
        <v>13</v>
      </c>
      <c r="DH2129" s="496" t="s">
        <v>1511</v>
      </c>
      <c r="DI2129" s="496" t="s">
        <v>5194</v>
      </c>
      <c r="DJ2129" s="496" t="s">
        <v>5195</v>
      </c>
      <c r="DK2129" s="496" t="s">
        <v>1085</v>
      </c>
      <c r="DL2129" s="496" t="s">
        <v>5141</v>
      </c>
      <c r="DM2129" s="496" t="s">
        <v>1087</v>
      </c>
      <c r="DN2129" s="497" t="s">
        <v>1088</v>
      </c>
      <c r="DP2129" s="543">
        <v>1</v>
      </c>
    </row>
    <row r="2130" spans="109:120" ht="15">
      <c r="DE2130" s="494"/>
      <c r="DF2130" s="496" t="s">
        <v>5196</v>
      </c>
      <c r="DG2130" s="496" t="s">
        <v>13</v>
      </c>
      <c r="DH2130" s="496" t="s">
        <v>1511</v>
      </c>
      <c r="DI2130" s="496" t="s">
        <v>1064</v>
      </c>
      <c r="DJ2130" s="496" t="s">
        <v>1064</v>
      </c>
      <c r="DK2130" s="496" t="s">
        <v>1085</v>
      </c>
      <c r="DL2130" s="496" t="s">
        <v>5141</v>
      </c>
      <c r="DM2130" s="496" t="s">
        <v>1087</v>
      </c>
      <c r="DN2130" s="497" t="s">
        <v>1088</v>
      </c>
      <c r="DP2130" s="543">
        <v>1</v>
      </c>
    </row>
    <row r="2131" spans="109:120" ht="15">
      <c r="DE2131" s="494"/>
      <c r="DF2131" s="496" t="s">
        <v>5197</v>
      </c>
      <c r="DG2131" s="496" t="s">
        <v>13</v>
      </c>
      <c r="DH2131" s="496" t="s">
        <v>1511</v>
      </c>
      <c r="DI2131" s="496" t="s">
        <v>5198</v>
      </c>
      <c r="DJ2131" s="496" t="s">
        <v>5198</v>
      </c>
      <c r="DK2131" s="496" t="s">
        <v>1151</v>
      </c>
      <c r="DL2131" s="496" t="s">
        <v>1518</v>
      </c>
      <c r="DM2131" s="496" t="s">
        <v>1087</v>
      </c>
      <c r="DN2131" s="497" t="s">
        <v>1153</v>
      </c>
      <c r="DP2131" s="543">
        <v>1</v>
      </c>
    </row>
    <row r="2132" spans="109:120" ht="15">
      <c r="DE2132" s="494"/>
      <c r="DF2132" s="496" t="s">
        <v>5199</v>
      </c>
      <c r="DG2132" s="496" t="s">
        <v>13</v>
      </c>
      <c r="DH2132" s="496" t="s">
        <v>1511</v>
      </c>
      <c r="DI2132" s="496" t="s">
        <v>5200</v>
      </c>
      <c r="DJ2132" s="496" t="s">
        <v>5200</v>
      </c>
      <c r="DK2132" s="496" t="s">
        <v>1085</v>
      </c>
      <c r="DL2132" s="496" t="s">
        <v>5141</v>
      </c>
      <c r="DM2132" s="496" t="s">
        <v>1087</v>
      </c>
      <c r="DN2132" s="497" t="s">
        <v>1088</v>
      </c>
      <c r="DP2132" s="543">
        <v>1</v>
      </c>
    </row>
    <row r="2133" spans="109:120" ht="15">
      <c r="DE2133" s="494"/>
      <c r="DF2133" s="496" t="s">
        <v>5201</v>
      </c>
      <c r="DG2133" s="496" t="s">
        <v>13</v>
      </c>
      <c r="DH2133" s="496" t="s">
        <v>1511</v>
      </c>
      <c r="DI2133" s="496" t="s">
        <v>5202</v>
      </c>
      <c r="DJ2133" s="496" t="s">
        <v>5202</v>
      </c>
      <c r="DK2133" s="496" t="s">
        <v>1085</v>
      </c>
      <c r="DL2133" s="496" t="s">
        <v>5141</v>
      </c>
      <c r="DM2133" s="496" t="s">
        <v>1087</v>
      </c>
      <c r="DN2133" s="497" t="s">
        <v>1088</v>
      </c>
      <c r="DP2133" s="543">
        <v>1</v>
      </c>
    </row>
    <row r="2134" spans="109:120" ht="15">
      <c r="DE2134" s="494"/>
      <c r="DF2134" s="496" t="s">
        <v>5203</v>
      </c>
      <c r="DG2134" s="496" t="s">
        <v>13</v>
      </c>
      <c r="DH2134" s="496" t="s">
        <v>1511</v>
      </c>
      <c r="DI2134" s="496" t="s">
        <v>5204</v>
      </c>
      <c r="DJ2134" s="496" t="s">
        <v>5204</v>
      </c>
      <c r="DK2134" s="496" t="s">
        <v>1151</v>
      </c>
      <c r="DL2134" s="496" t="s">
        <v>1518</v>
      </c>
      <c r="DM2134" s="496" t="s">
        <v>1087</v>
      </c>
      <c r="DN2134" s="497" t="s">
        <v>1153</v>
      </c>
      <c r="DP2134" s="543">
        <v>1</v>
      </c>
    </row>
    <row r="2135" spans="109:120" ht="15">
      <c r="DE2135" s="494"/>
      <c r="DF2135" s="496" t="s">
        <v>5205</v>
      </c>
      <c r="DG2135" s="496" t="s">
        <v>13</v>
      </c>
      <c r="DH2135" s="496" t="s">
        <v>1511</v>
      </c>
      <c r="DI2135" s="496" t="s">
        <v>5206</v>
      </c>
      <c r="DJ2135" s="496" t="s">
        <v>5206</v>
      </c>
      <c r="DK2135" s="496" t="s">
        <v>1085</v>
      </c>
      <c r="DL2135" s="496" t="s">
        <v>5141</v>
      </c>
      <c r="DM2135" s="496" t="s">
        <v>1087</v>
      </c>
      <c r="DN2135" s="497" t="s">
        <v>1088</v>
      </c>
      <c r="DP2135" s="543">
        <v>1</v>
      </c>
    </row>
    <row r="2136" spans="109:120" ht="15">
      <c r="DE2136" s="494"/>
      <c r="DF2136" s="496" t="s">
        <v>5207</v>
      </c>
      <c r="DG2136" s="496" t="s">
        <v>13</v>
      </c>
      <c r="DH2136" s="496" t="s">
        <v>1511</v>
      </c>
      <c r="DI2136" s="496" t="s">
        <v>5208</v>
      </c>
      <c r="DJ2136" s="496" t="s">
        <v>5208</v>
      </c>
      <c r="DK2136" s="496" t="s">
        <v>1085</v>
      </c>
      <c r="DL2136" s="496" t="s">
        <v>5141</v>
      </c>
      <c r="DM2136" s="496" t="s">
        <v>1087</v>
      </c>
      <c r="DN2136" s="497" t="s">
        <v>1088</v>
      </c>
      <c r="DP2136" s="543">
        <v>1</v>
      </c>
    </row>
    <row r="2137" spans="109:120" ht="15">
      <c r="DE2137" s="494"/>
      <c r="DF2137" s="496" t="s">
        <v>5209</v>
      </c>
      <c r="DG2137" s="496" t="s">
        <v>13</v>
      </c>
      <c r="DH2137" s="496" t="s">
        <v>1511</v>
      </c>
      <c r="DI2137" s="496" t="s">
        <v>1065</v>
      </c>
      <c r="DJ2137" s="496" t="s">
        <v>1065</v>
      </c>
      <c r="DK2137" s="496" t="s">
        <v>1085</v>
      </c>
      <c r="DL2137" s="496" t="s">
        <v>5141</v>
      </c>
      <c r="DM2137" s="496" t="s">
        <v>1087</v>
      </c>
      <c r="DN2137" s="497" t="s">
        <v>1088</v>
      </c>
      <c r="DP2137" s="543">
        <v>1</v>
      </c>
    </row>
    <row r="2138" spans="109:120" ht="15">
      <c r="DE2138" s="494"/>
      <c r="DF2138" s="496" t="s">
        <v>5210</v>
      </c>
      <c r="DG2138" s="496" t="s">
        <v>13</v>
      </c>
      <c r="DH2138" s="496" t="s">
        <v>1511</v>
      </c>
      <c r="DI2138" s="496" t="s">
        <v>5211</v>
      </c>
      <c r="DJ2138" s="496" t="s">
        <v>5212</v>
      </c>
      <c r="DK2138" s="496" t="s">
        <v>1085</v>
      </c>
      <c r="DL2138" s="496" t="s">
        <v>5141</v>
      </c>
      <c r="DM2138" s="496" t="s">
        <v>1087</v>
      </c>
      <c r="DN2138" s="497" t="s">
        <v>1088</v>
      </c>
      <c r="DP2138" s="543">
        <v>1</v>
      </c>
    </row>
    <row r="2139" spans="109:120" ht="15">
      <c r="DE2139" s="494"/>
      <c r="DF2139" s="496" t="s">
        <v>5213</v>
      </c>
      <c r="DG2139" s="496" t="s">
        <v>13</v>
      </c>
      <c r="DH2139" s="496" t="s">
        <v>1511</v>
      </c>
      <c r="DI2139" s="496" t="s">
        <v>1066</v>
      </c>
      <c r="DJ2139" s="496" t="s">
        <v>1066</v>
      </c>
      <c r="DK2139" s="496" t="s">
        <v>1085</v>
      </c>
      <c r="DL2139" s="496" t="s">
        <v>5141</v>
      </c>
      <c r="DM2139" s="496" t="s">
        <v>1087</v>
      </c>
      <c r="DN2139" s="497" t="s">
        <v>1088</v>
      </c>
      <c r="DP2139" s="543">
        <v>1</v>
      </c>
    </row>
    <row r="2140" spans="109:120" ht="15">
      <c r="DE2140" s="494"/>
      <c r="DF2140" s="496" t="s">
        <v>5214</v>
      </c>
      <c r="DG2140" s="496" t="s">
        <v>13</v>
      </c>
      <c r="DH2140" s="496" t="s">
        <v>1511</v>
      </c>
      <c r="DI2140" s="496" t="s">
        <v>5215</v>
      </c>
      <c r="DJ2140" s="496" t="s">
        <v>5215</v>
      </c>
      <c r="DK2140" s="496" t="s">
        <v>1085</v>
      </c>
      <c r="DL2140" s="496" t="s">
        <v>5141</v>
      </c>
      <c r="DM2140" s="496" t="s">
        <v>1087</v>
      </c>
      <c r="DN2140" s="497" t="s">
        <v>1088</v>
      </c>
      <c r="DP2140" s="543">
        <v>1</v>
      </c>
    </row>
    <row r="2141" spans="109:120" ht="15">
      <c r="DE2141" s="494"/>
      <c r="DF2141" s="496" t="s">
        <v>5216</v>
      </c>
      <c r="DG2141" s="496" t="s">
        <v>13</v>
      </c>
      <c r="DH2141" s="496" t="s">
        <v>1511</v>
      </c>
      <c r="DI2141" s="496" t="s">
        <v>5217</v>
      </c>
      <c r="DJ2141" s="496" t="s">
        <v>5217</v>
      </c>
      <c r="DK2141" s="496" t="s">
        <v>1085</v>
      </c>
      <c r="DL2141" s="496" t="s">
        <v>5141</v>
      </c>
      <c r="DM2141" s="496" t="s">
        <v>1087</v>
      </c>
      <c r="DN2141" s="497" t="s">
        <v>1088</v>
      </c>
      <c r="DP2141" s="543">
        <v>1</v>
      </c>
    </row>
    <row r="2142" spans="109:120" ht="15">
      <c r="DE2142" s="494"/>
      <c r="DF2142" s="496" t="s">
        <v>5218</v>
      </c>
      <c r="DG2142" s="496" t="s">
        <v>13</v>
      </c>
      <c r="DH2142" s="496" t="s">
        <v>689</v>
      </c>
      <c r="DI2142" s="496" t="s">
        <v>5219</v>
      </c>
      <c r="DJ2142" s="496" t="s">
        <v>5219</v>
      </c>
      <c r="DK2142" s="496" t="s">
        <v>1085</v>
      </c>
      <c r="DL2142" s="496" t="s">
        <v>5746</v>
      </c>
      <c r="DM2142" s="496" t="s">
        <v>1087</v>
      </c>
      <c r="DN2142" s="497" t="s">
        <v>1088</v>
      </c>
      <c r="DP2142" s="543">
        <v>1</v>
      </c>
    </row>
    <row r="2143" spans="109:120" ht="15">
      <c r="DE2143" s="494"/>
      <c r="DF2143" s="496" t="s">
        <v>5220</v>
      </c>
      <c r="DG2143" s="496" t="s">
        <v>13</v>
      </c>
      <c r="DH2143" s="496" t="s">
        <v>1511</v>
      </c>
      <c r="DI2143" s="496" t="s">
        <v>5221</v>
      </c>
      <c r="DJ2143" s="496" t="s">
        <v>5221</v>
      </c>
      <c r="DK2143" s="496" t="s">
        <v>1151</v>
      </c>
      <c r="DL2143" s="496" t="s">
        <v>1518</v>
      </c>
      <c r="DM2143" s="496" t="s">
        <v>1087</v>
      </c>
      <c r="DN2143" s="497" t="s">
        <v>1153</v>
      </c>
      <c r="DP2143" s="543">
        <v>1</v>
      </c>
    </row>
    <row r="2144" spans="109:120" ht="15">
      <c r="DE2144" s="494"/>
      <c r="DF2144" s="496" t="s">
        <v>5222</v>
      </c>
      <c r="DG2144" s="496" t="s">
        <v>13</v>
      </c>
      <c r="DH2144" s="496" t="s">
        <v>1511</v>
      </c>
      <c r="DI2144" s="496" t="s">
        <v>5223</v>
      </c>
      <c r="DJ2144" s="496" t="s">
        <v>5224</v>
      </c>
      <c r="DK2144" s="496" t="s">
        <v>1085</v>
      </c>
      <c r="DL2144" s="496" t="s">
        <v>5141</v>
      </c>
      <c r="DM2144" s="496" t="s">
        <v>1087</v>
      </c>
      <c r="DN2144" s="497" t="s">
        <v>1088</v>
      </c>
      <c r="DP2144" s="543">
        <v>1</v>
      </c>
    </row>
    <row r="2145" spans="109:120" ht="15">
      <c r="DE2145" s="494"/>
      <c r="DF2145" s="496" t="s">
        <v>5225</v>
      </c>
      <c r="DG2145" s="496" t="s">
        <v>14</v>
      </c>
      <c r="DH2145" s="496" t="s">
        <v>689</v>
      </c>
      <c r="DI2145" s="496" t="s">
        <v>38</v>
      </c>
      <c r="DJ2145" s="496" t="s">
        <v>38</v>
      </c>
      <c r="DK2145" s="496" t="s">
        <v>1085</v>
      </c>
      <c r="DL2145" s="496" t="s">
        <v>5226</v>
      </c>
      <c r="DM2145" s="496" t="s">
        <v>1087</v>
      </c>
      <c r="DN2145" s="497" t="s">
        <v>1088</v>
      </c>
      <c r="DP2145" s="543">
        <v>1</v>
      </c>
    </row>
    <row r="2146" spans="109:120" ht="15">
      <c r="DE2146" s="494"/>
      <c r="DF2146" s="496" t="s">
        <v>5227</v>
      </c>
      <c r="DG2146" s="496" t="s">
        <v>14</v>
      </c>
      <c r="DH2146" s="496" t="s">
        <v>689</v>
      </c>
      <c r="DI2146" s="496" t="s">
        <v>64</v>
      </c>
      <c r="DJ2146" s="496" t="s">
        <v>64</v>
      </c>
      <c r="DK2146" s="496" t="s">
        <v>1085</v>
      </c>
      <c r="DL2146" s="496" t="s">
        <v>5226</v>
      </c>
      <c r="DM2146" s="496" t="s">
        <v>1087</v>
      </c>
      <c r="DN2146" s="497" t="s">
        <v>1088</v>
      </c>
      <c r="DP2146" s="543">
        <v>1</v>
      </c>
    </row>
    <row r="2147" spans="109:120" ht="15">
      <c r="DE2147" s="494"/>
      <c r="DF2147" s="496" t="s">
        <v>5228</v>
      </c>
      <c r="DG2147" s="496" t="s">
        <v>14</v>
      </c>
      <c r="DH2147" s="496" t="s">
        <v>689</v>
      </c>
      <c r="DI2147" s="496" t="s">
        <v>51</v>
      </c>
      <c r="DJ2147" s="496" t="s">
        <v>51</v>
      </c>
      <c r="DK2147" s="496" t="s">
        <v>1085</v>
      </c>
      <c r="DL2147" s="496" t="s">
        <v>5226</v>
      </c>
      <c r="DM2147" s="496" t="s">
        <v>1087</v>
      </c>
      <c r="DN2147" s="497" t="s">
        <v>1088</v>
      </c>
      <c r="DP2147" s="543">
        <v>1</v>
      </c>
    </row>
    <row r="2148" spans="109:120" ht="15">
      <c r="DE2148" s="494"/>
      <c r="DF2148" s="496" t="s">
        <v>5229</v>
      </c>
      <c r="DG2148" s="496" t="s">
        <v>14</v>
      </c>
      <c r="DH2148" s="496" t="s">
        <v>689</v>
      </c>
      <c r="DI2148" s="496" t="s">
        <v>5230</v>
      </c>
      <c r="DJ2148" s="496" t="s">
        <v>5230</v>
      </c>
      <c r="DK2148" s="496" t="s">
        <v>1085</v>
      </c>
      <c r="DL2148" s="496" t="s">
        <v>5226</v>
      </c>
      <c r="DM2148" s="496" t="s">
        <v>1087</v>
      </c>
      <c r="DN2148" s="497" t="s">
        <v>1088</v>
      </c>
      <c r="DP2148" s="543">
        <v>1</v>
      </c>
    </row>
    <row r="2149" spans="109:120" ht="15">
      <c r="DE2149" s="494"/>
      <c r="DF2149" s="496" t="s">
        <v>5231</v>
      </c>
      <c r="DG2149" s="496" t="s">
        <v>14</v>
      </c>
      <c r="DH2149" s="496" t="s">
        <v>689</v>
      </c>
      <c r="DI2149" s="496" t="s">
        <v>5</v>
      </c>
      <c r="DJ2149" s="496" t="s">
        <v>5</v>
      </c>
      <c r="DK2149" s="496" t="s">
        <v>1085</v>
      </c>
      <c r="DL2149" s="496" t="s">
        <v>5226</v>
      </c>
      <c r="DM2149" s="496" t="s">
        <v>1087</v>
      </c>
      <c r="DN2149" s="497" t="s">
        <v>1088</v>
      </c>
      <c r="DP2149" s="543">
        <v>1</v>
      </c>
    </row>
    <row r="2150" spans="109:120" ht="15">
      <c r="DE2150" s="494"/>
      <c r="DF2150" s="496" t="s">
        <v>5232</v>
      </c>
      <c r="DG2150" s="496" t="s">
        <v>14</v>
      </c>
      <c r="DH2150" s="496" t="s">
        <v>689</v>
      </c>
      <c r="DI2150" s="496" t="s">
        <v>5233</v>
      </c>
      <c r="DJ2150" s="496" t="s">
        <v>5233</v>
      </c>
      <c r="DK2150" s="496" t="s">
        <v>1085</v>
      </c>
      <c r="DL2150" s="496" t="s">
        <v>5226</v>
      </c>
      <c r="DM2150" s="496" t="s">
        <v>1087</v>
      </c>
      <c r="DN2150" s="497" t="s">
        <v>1088</v>
      </c>
      <c r="DP2150" s="543">
        <v>1</v>
      </c>
    </row>
    <row r="2151" spans="109:120" ht="15">
      <c r="DE2151" s="494"/>
      <c r="DF2151" s="496" t="s">
        <v>5234</v>
      </c>
      <c r="DG2151" s="496" t="s">
        <v>14</v>
      </c>
      <c r="DH2151" s="496" t="s">
        <v>689</v>
      </c>
      <c r="DI2151" s="496" t="s">
        <v>334</v>
      </c>
      <c r="DJ2151" s="496" t="s">
        <v>334</v>
      </c>
      <c r="DK2151" s="496" t="s">
        <v>1151</v>
      </c>
      <c r="DL2151" s="496" t="s">
        <v>1152</v>
      </c>
      <c r="DM2151" s="496" t="s">
        <v>1087</v>
      </c>
      <c r="DN2151" s="497" t="s">
        <v>1153</v>
      </c>
      <c r="DP2151" s="543">
        <v>1</v>
      </c>
    </row>
    <row r="2152" spans="109:120" ht="15">
      <c r="DE2152" s="494"/>
      <c r="DF2152" s="496" t="s">
        <v>5235</v>
      </c>
      <c r="DG2152" s="496" t="s">
        <v>14</v>
      </c>
      <c r="DH2152" s="496" t="s">
        <v>689</v>
      </c>
      <c r="DI2152" s="496" t="s">
        <v>5236</v>
      </c>
      <c r="DJ2152" s="496" t="s">
        <v>5236</v>
      </c>
      <c r="DK2152" s="496" t="s">
        <v>1151</v>
      </c>
      <c r="DL2152" s="496" t="s">
        <v>1152</v>
      </c>
      <c r="DM2152" s="496" t="s">
        <v>1087</v>
      </c>
      <c r="DN2152" s="497" t="s">
        <v>1153</v>
      </c>
      <c r="DP2152" s="543">
        <v>1</v>
      </c>
    </row>
    <row r="2153" spans="109:120" ht="15">
      <c r="DE2153" s="494"/>
      <c r="DF2153" s="496" t="s">
        <v>5237</v>
      </c>
      <c r="DG2153" s="496" t="s">
        <v>14</v>
      </c>
      <c r="DH2153" s="496" t="s">
        <v>689</v>
      </c>
      <c r="DI2153" s="496" t="s">
        <v>5238</v>
      </c>
      <c r="DJ2153" s="496" t="s">
        <v>5238</v>
      </c>
      <c r="DK2153" s="496" t="s">
        <v>1085</v>
      </c>
      <c r="DL2153" s="496" t="s">
        <v>5226</v>
      </c>
      <c r="DM2153" s="496" t="s">
        <v>1087</v>
      </c>
      <c r="DN2153" s="497" t="s">
        <v>1088</v>
      </c>
      <c r="DP2153" s="543">
        <v>1</v>
      </c>
    </row>
    <row r="2154" spans="109:120" ht="15">
      <c r="DE2154" s="494"/>
      <c r="DF2154" s="496" t="s">
        <v>5239</v>
      </c>
      <c r="DG2154" s="496" t="s">
        <v>14</v>
      </c>
      <c r="DH2154" s="496" t="s">
        <v>689</v>
      </c>
      <c r="DI2154" s="496" t="s">
        <v>5240</v>
      </c>
      <c r="DJ2154" s="496" t="s">
        <v>77</v>
      </c>
      <c r="DK2154" s="496" t="s">
        <v>1085</v>
      </c>
      <c r="DL2154" s="496" t="s">
        <v>5226</v>
      </c>
      <c r="DM2154" s="496" t="s">
        <v>1087</v>
      </c>
      <c r="DN2154" s="497" t="s">
        <v>1088</v>
      </c>
      <c r="DP2154" s="543">
        <v>1</v>
      </c>
    </row>
    <row r="2155" spans="109:120" ht="15">
      <c r="DE2155" s="494"/>
      <c r="DF2155" s="496" t="s">
        <v>5241</v>
      </c>
      <c r="DG2155" s="496" t="s">
        <v>14</v>
      </c>
      <c r="DH2155" s="496" t="s">
        <v>689</v>
      </c>
      <c r="DI2155" s="496" t="s">
        <v>5242</v>
      </c>
      <c r="DJ2155" s="496" t="s">
        <v>89</v>
      </c>
      <c r="DK2155" s="496" t="s">
        <v>1085</v>
      </c>
      <c r="DL2155" s="496" t="s">
        <v>5226</v>
      </c>
      <c r="DM2155" s="496" t="s">
        <v>1087</v>
      </c>
      <c r="DN2155" s="497" t="s">
        <v>1088</v>
      </c>
      <c r="DP2155" s="543">
        <v>1</v>
      </c>
    </row>
    <row r="2156" spans="109:120" ht="15">
      <c r="DE2156" s="494"/>
      <c r="DF2156" s="496" t="s">
        <v>5243</v>
      </c>
      <c r="DG2156" s="496" t="s">
        <v>14</v>
      </c>
      <c r="DH2156" s="496" t="s">
        <v>689</v>
      </c>
      <c r="DI2156" s="496" t="s">
        <v>116</v>
      </c>
      <c r="DJ2156" s="496" t="s">
        <v>116</v>
      </c>
      <c r="DK2156" s="496" t="s">
        <v>1085</v>
      </c>
      <c r="DL2156" s="496" t="s">
        <v>5226</v>
      </c>
      <c r="DM2156" s="496" t="s">
        <v>1087</v>
      </c>
      <c r="DN2156" s="497" t="s">
        <v>1088</v>
      </c>
      <c r="DP2156" s="543">
        <v>1</v>
      </c>
    </row>
    <row r="2157" spans="109:120" ht="15">
      <c r="DE2157" s="494"/>
      <c r="DF2157" s="496" t="s">
        <v>5244</v>
      </c>
      <c r="DG2157" s="496" t="s">
        <v>14</v>
      </c>
      <c r="DH2157" s="496" t="s">
        <v>689</v>
      </c>
      <c r="DI2157" s="496" t="s">
        <v>102</v>
      </c>
      <c r="DJ2157" s="496" t="s">
        <v>102</v>
      </c>
      <c r="DK2157" s="496" t="s">
        <v>1085</v>
      </c>
      <c r="DL2157" s="496" t="s">
        <v>5226</v>
      </c>
      <c r="DM2157" s="496" t="s">
        <v>1087</v>
      </c>
      <c r="DN2157" s="497" t="s">
        <v>1088</v>
      </c>
      <c r="DP2157" s="543">
        <v>1</v>
      </c>
    </row>
    <row r="2158" spans="109:120" ht="15">
      <c r="DE2158" s="494"/>
      <c r="DF2158" s="496" t="s">
        <v>5245</v>
      </c>
      <c r="DG2158" s="496" t="s">
        <v>14</v>
      </c>
      <c r="DH2158" s="496" t="s">
        <v>1511</v>
      </c>
      <c r="DI2158" s="496" t="s">
        <v>1443</v>
      </c>
      <c r="DJ2158" s="496" t="s">
        <v>1443</v>
      </c>
      <c r="DK2158" s="496" t="s">
        <v>1085</v>
      </c>
      <c r="DL2158" s="496" t="s">
        <v>5246</v>
      </c>
      <c r="DM2158" s="496" t="s">
        <v>1087</v>
      </c>
      <c r="DN2158" s="497" t="s">
        <v>1088</v>
      </c>
      <c r="DP2158" s="543">
        <v>1</v>
      </c>
    </row>
    <row r="2159" spans="109:120" ht="15">
      <c r="DE2159" s="494"/>
      <c r="DF2159" s="496" t="s">
        <v>5247</v>
      </c>
      <c r="DG2159" s="496" t="s">
        <v>14</v>
      </c>
      <c r="DH2159" s="496" t="s">
        <v>1511</v>
      </c>
      <c r="DI2159" s="496" t="s">
        <v>1492</v>
      </c>
      <c r="DJ2159" s="496" t="s">
        <v>1492</v>
      </c>
      <c r="DK2159" s="496" t="s">
        <v>1085</v>
      </c>
      <c r="DL2159" s="496" t="s">
        <v>5246</v>
      </c>
      <c r="DM2159" s="496" t="s">
        <v>1087</v>
      </c>
      <c r="DN2159" s="497" t="s">
        <v>1088</v>
      </c>
      <c r="DP2159" s="543">
        <v>1</v>
      </c>
    </row>
    <row r="2160" spans="109:120" ht="15">
      <c r="DE2160" s="494"/>
      <c r="DF2160" s="496" t="s">
        <v>5248</v>
      </c>
      <c r="DG2160" s="496" t="s">
        <v>14</v>
      </c>
      <c r="DH2160" s="496" t="s">
        <v>1511</v>
      </c>
      <c r="DI2160" s="496" t="s">
        <v>1498</v>
      </c>
      <c r="DJ2160" s="496" t="s">
        <v>1499</v>
      </c>
      <c r="DK2160" s="496" t="s">
        <v>1085</v>
      </c>
      <c r="DL2160" s="496" t="s">
        <v>5246</v>
      </c>
      <c r="DM2160" s="496" t="s">
        <v>1087</v>
      </c>
      <c r="DN2160" s="497" t="s">
        <v>1088</v>
      </c>
      <c r="DP2160" s="543">
        <v>1</v>
      </c>
    </row>
    <row r="2161" spans="109:120" ht="15">
      <c r="DE2161" s="494"/>
      <c r="DF2161" s="496" t="s">
        <v>5249</v>
      </c>
      <c r="DG2161" s="496" t="s">
        <v>14</v>
      </c>
      <c r="DH2161" s="496" t="s">
        <v>1511</v>
      </c>
      <c r="DI2161" s="496" t="s">
        <v>5250</v>
      </c>
      <c r="DJ2161" s="496" t="s">
        <v>5251</v>
      </c>
      <c r="DK2161" s="496" t="s">
        <v>1085</v>
      </c>
      <c r="DL2161" s="496" t="s">
        <v>5246</v>
      </c>
      <c r="DM2161" s="496" t="s">
        <v>1087</v>
      </c>
      <c r="DN2161" s="497" t="s">
        <v>1088</v>
      </c>
      <c r="DP2161" s="543">
        <v>1</v>
      </c>
    </row>
    <row r="2162" spans="109:120" ht="15">
      <c r="DE2162" s="494"/>
      <c r="DF2162" s="496" t="s">
        <v>5252</v>
      </c>
      <c r="DG2162" s="496" t="s">
        <v>14</v>
      </c>
      <c r="DH2162" s="496" t="s">
        <v>1511</v>
      </c>
      <c r="DI2162" s="496" t="s">
        <v>3947</v>
      </c>
      <c r="DJ2162" s="496" t="s">
        <v>3948</v>
      </c>
      <c r="DK2162" s="496" t="s">
        <v>1085</v>
      </c>
      <c r="DL2162" s="496" t="s">
        <v>5246</v>
      </c>
      <c r="DM2162" s="496" t="s">
        <v>1087</v>
      </c>
      <c r="DN2162" s="497" t="s">
        <v>1088</v>
      </c>
      <c r="DP2162" s="543">
        <v>1</v>
      </c>
    </row>
    <row r="2163" spans="109:120" ht="15">
      <c r="DE2163" s="494"/>
      <c r="DF2163" s="496" t="s">
        <v>5253</v>
      </c>
      <c r="DG2163" s="496" t="s">
        <v>14</v>
      </c>
      <c r="DH2163" s="496" t="s">
        <v>1511</v>
      </c>
      <c r="DI2163" s="496" t="s">
        <v>5254</v>
      </c>
      <c r="DJ2163" s="496" t="s">
        <v>5255</v>
      </c>
      <c r="DK2163" s="496" t="s">
        <v>1085</v>
      </c>
      <c r="DL2163" s="496" t="s">
        <v>5246</v>
      </c>
      <c r="DM2163" s="496" t="s">
        <v>1087</v>
      </c>
      <c r="DN2163" s="497" t="s">
        <v>1088</v>
      </c>
      <c r="DP2163" s="543">
        <v>1</v>
      </c>
    </row>
    <row r="2164" spans="109:120" ht="15">
      <c r="DE2164" s="494"/>
      <c r="DF2164" s="496" t="s">
        <v>5256</v>
      </c>
      <c r="DG2164" s="496" t="s">
        <v>15</v>
      </c>
      <c r="DH2164" s="496" t="s">
        <v>689</v>
      </c>
      <c r="DI2164" s="496" t="s">
        <v>5257</v>
      </c>
      <c r="DJ2164" s="496" t="s">
        <v>5257</v>
      </c>
      <c r="DK2164" s="496" t="s">
        <v>1554</v>
      </c>
      <c r="DL2164" s="496" t="s">
        <v>1555</v>
      </c>
      <c r="DM2164" s="496" t="s">
        <v>1556</v>
      </c>
      <c r="DN2164" s="497" t="s">
        <v>5258</v>
      </c>
      <c r="DP2164" s="543">
        <v>1</v>
      </c>
    </row>
    <row r="2165" spans="109:120" ht="15">
      <c r="DE2165" s="494"/>
      <c r="DF2165" s="496" t="s">
        <v>5259</v>
      </c>
      <c r="DG2165" s="496" t="s">
        <v>15</v>
      </c>
      <c r="DH2165" s="496" t="s">
        <v>689</v>
      </c>
      <c r="DI2165" s="496" t="s">
        <v>5260</v>
      </c>
      <c r="DJ2165" s="496" t="s">
        <v>5260</v>
      </c>
      <c r="DK2165" s="496" t="s">
        <v>1554</v>
      </c>
      <c r="DL2165" s="496" t="s">
        <v>1555</v>
      </c>
      <c r="DM2165" s="496" t="s">
        <v>1556</v>
      </c>
      <c r="DN2165" s="497" t="s">
        <v>5258</v>
      </c>
      <c r="DP2165" s="543">
        <v>1</v>
      </c>
    </row>
    <row r="2166" spans="109:120" ht="15">
      <c r="DE2166" s="494"/>
      <c r="DF2166" s="496" t="s">
        <v>5261</v>
      </c>
      <c r="DG2166" s="496" t="s">
        <v>15</v>
      </c>
      <c r="DH2166" s="496" t="s">
        <v>689</v>
      </c>
      <c r="DI2166" s="496" t="s">
        <v>5262</v>
      </c>
      <c r="DJ2166" s="496" t="s">
        <v>5262</v>
      </c>
      <c r="DK2166" s="496" t="s">
        <v>1554</v>
      </c>
      <c r="DL2166" s="496" t="s">
        <v>1555</v>
      </c>
      <c r="DM2166" s="496" t="s">
        <v>1556</v>
      </c>
      <c r="DN2166" s="497" t="s">
        <v>5258</v>
      </c>
      <c r="DP2166" s="543">
        <v>1</v>
      </c>
    </row>
    <row r="2167" spans="109:120" ht="15">
      <c r="DE2167" s="494"/>
      <c r="DF2167" s="496" t="s">
        <v>5263</v>
      </c>
      <c r="DG2167" s="496" t="s">
        <v>15</v>
      </c>
      <c r="DH2167" s="496" t="s">
        <v>689</v>
      </c>
      <c r="DI2167" s="496" t="s">
        <v>998</v>
      </c>
      <c r="DJ2167" s="496" t="s">
        <v>998</v>
      </c>
      <c r="DK2167" s="496" t="s">
        <v>1554</v>
      </c>
      <c r="DL2167" s="496" t="s">
        <v>1555</v>
      </c>
      <c r="DM2167" s="496" t="s">
        <v>1556</v>
      </c>
      <c r="DN2167" s="497" t="s">
        <v>5258</v>
      </c>
      <c r="DP2167" s="543">
        <v>1</v>
      </c>
    </row>
    <row r="2168" spans="109:120" ht="15">
      <c r="DE2168" s="494"/>
      <c r="DF2168" s="496" t="s">
        <v>5264</v>
      </c>
      <c r="DG2168" s="496" t="s">
        <v>15</v>
      </c>
      <c r="DH2168" s="496" t="s">
        <v>689</v>
      </c>
      <c r="DI2168" s="496" t="s">
        <v>5265</v>
      </c>
      <c r="DJ2168" s="496" t="s">
        <v>5265</v>
      </c>
      <c r="DK2168" s="496" t="s">
        <v>1554</v>
      </c>
      <c r="DL2168" s="496" t="s">
        <v>1555</v>
      </c>
      <c r="DM2168" s="496" t="s">
        <v>1556</v>
      </c>
      <c r="DN2168" s="497" t="s">
        <v>5258</v>
      </c>
      <c r="DP2168" s="543">
        <v>1</v>
      </c>
    </row>
    <row r="2169" spans="109:120" ht="15">
      <c r="DE2169" s="494"/>
      <c r="DF2169" s="496" t="s">
        <v>5266</v>
      </c>
      <c r="DG2169" s="496" t="s">
        <v>15</v>
      </c>
      <c r="DH2169" s="496" t="s">
        <v>689</v>
      </c>
      <c r="DI2169" s="496" t="s">
        <v>999</v>
      </c>
      <c r="DJ2169" s="496" t="s">
        <v>999</v>
      </c>
      <c r="DK2169" s="496" t="s">
        <v>1151</v>
      </c>
      <c r="DL2169" s="496" t="s">
        <v>5267</v>
      </c>
      <c r="DM2169" s="496" t="s">
        <v>1087</v>
      </c>
      <c r="DN2169" s="497" t="s">
        <v>1153</v>
      </c>
      <c r="DP2169" s="543">
        <v>1</v>
      </c>
    </row>
    <row r="2170" spans="109:120" ht="15">
      <c r="DE2170" s="494"/>
      <c r="DF2170" s="496" t="s">
        <v>5268</v>
      </c>
      <c r="DG2170" s="496" t="s">
        <v>15</v>
      </c>
      <c r="DH2170" s="496" t="s">
        <v>689</v>
      </c>
      <c r="DI2170" s="496" t="s">
        <v>5269</v>
      </c>
      <c r="DJ2170" s="496" t="s">
        <v>5269</v>
      </c>
      <c r="DK2170" s="496" t="s">
        <v>1554</v>
      </c>
      <c r="DL2170" s="496" t="s">
        <v>1555</v>
      </c>
      <c r="DM2170" s="496" t="s">
        <v>1556</v>
      </c>
      <c r="DN2170" s="497" t="s">
        <v>5258</v>
      </c>
      <c r="DP2170" s="543">
        <v>1</v>
      </c>
    </row>
    <row r="2171" spans="109:120" ht="15">
      <c r="DE2171" s="494"/>
      <c r="DF2171" s="496" t="s">
        <v>5270</v>
      </c>
      <c r="DG2171" s="496" t="s">
        <v>15</v>
      </c>
      <c r="DH2171" s="496" t="s">
        <v>689</v>
      </c>
      <c r="DI2171" s="496" t="s">
        <v>5271</v>
      </c>
      <c r="DJ2171" s="496" t="s">
        <v>5271</v>
      </c>
      <c r="DK2171" s="496" t="s">
        <v>1554</v>
      </c>
      <c r="DL2171" s="496" t="s">
        <v>1555</v>
      </c>
      <c r="DM2171" s="496" t="s">
        <v>1556</v>
      </c>
      <c r="DN2171" s="497" t="s">
        <v>5258</v>
      </c>
      <c r="DP2171" s="543">
        <v>1</v>
      </c>
    </row>
    <row r="2172" spans="109:120" ht="15">
      <c r="DE2172" s="494"/>
      <c r="DF2172" s="496" t="s">
        <v>5272</v>
      </c>
      <c r="DG2172" s="496" t="s">
        <v>15</v>
      </c>
      <c r="DH2172" s="496" t="s">
        <v>689</v>
      </c>
      <c r="DI2172" s="496" t="s">
        <v>5273</v>
      </c>
      <c r="DJ2172" s="496" t="s">
        <v>5273</v>
      </c>
      <c r="DK2172" s="496" t="s">
        <v>1554</v>
      </c>
      <c r="DL2172" s="496" t="s">
        <v>1555</v>
      </c>
      <c r="DM2172" s="496" t="s">
        <v>1556</v>
      </c>
      <c r="DN2172" s="497" t="s">
        <v>5258</v>
      </c>
      <c r="DP2172" s="543">
        <v>1</v>
      </c>
    </row>
    <row r="2173" spans="109:120" ht="15">
      <c r="DE2173" s="494"/>
      <c r="DF2173" s="496" t="s">
        <v>5274</v>
      </c>
      <c r="DG2173" s="496" t="s">
        <v>15</v>
      </c>
      <c r="DH2173" s="496" t="s">
        <v>689</v>
      </c>
      <c r="DI2173" s="496" t="s">
        <v>5275</v>
      </c>
      <c r="DJ2173" s="496" t="s">
        <v>5275</v>
      </c>
      <c r="DK2173" s="496" t="s">
        <v>1554</v>
      </c>
      <c r="DL2173" s="496" t="s">
        <v>1555</v>
      </c>
      <c r="DM2173" s="496" t="s">
        <v>1556</v>
      </c>
      <c r="DN2173" s="497" t="s">
        <v>5258</v>
      </c>
      <c r="DP2173" s="543">
        <v>1</v>
      </c>
    </row>
    <row r="2174" spans="109:120" ht="15">
      <c r="DE2174" s="494"/>
      <c r="DF2174" s="496" t="s">
        <v>5276</v>
      </c>
      <c r="DG2174" s="496" t="s">
        <v>15</v>
      </c>
      <c r="DH2174" s="496" t="s">
        <v>689</v>
      </c>
      <c r="DI2174" s="496" t="s">
        <v>5277</v>
      </c>
      <c r="DJ2174" s="496" t="s">
        <v>5277</v>
      </c>
      <c r="DK2174" s="496" t="s">
        <v>1554</v>
      </c>
      <c r="DL2174" s="496" t="s">
        <v>1555</v>
      </c>
      <c r="DM2174" s="496" t="s">
        <v>1556</v>
      </c>
      <c r="DN2174" s="497" t="s">
        <v>5258</v>
      </c>
      <c r="DP2174" s="543">
        <v>1</v>
      </c>
    </row>
    <row r="2175" spans="109:120" ht="15">
      <c r="DE2175" s="494"/>
      <c r="DF2175" s="496" t="s">
        <v>5278</v>
      </c>
      <c r="DG2175" s="496" t="s">
        <v>15</v>
      </c>
      <c r="DH2175" s="496" t="s">
        <v>689</v>
      </c>
      <c r="DI2175" s="496" t="s">
        <v>5279</v>
      </c>
      <c r="DJ2175" s="496" t="s">
        <v>5279</v>
      </c>
      <c r="DK2175" s="496" t="s">
        <v>1554</v>
      </c>
      <c r="DL2175" s="496" t="s">
        <v>1555</v>
      </c>
      <c r="DM2175" s="496" t="s">
        <v>1556</v>
      </c>
      <c r="DN2175" s="497" t="s">
        <v>5258</v>
      </c>
      <c r="DP2175" s="543">
        <v>1</v>
      </c>
    </row>
    <row r="2176" spans="109:120" ht="15">
      <c r="DE2176" s="494"/>
      <c r="DF2176" s="496" t="s">
        <v>5280</v>
      </c>
      <c r="DG2176" s="496" t="s">
        <v>15</v>
      </c>
      <c r="DH2176" s="496" t="s">
        <v>689</v>
      </c>
      <c r="DI2176" s="496" t="s">
        <v>5281</v>
      </c>
      <c r="DJ2176" s="496" t="s">
        <v>5281</v>
      </c>
      <c r="DK2176" s="496" t="s">
        <v>1554</v>
      </c>
      <c r="DL2176" s="496" t="s">
        <v>1555</v>
      </c>
      <c r="DM2176" s="496" t="s">
        <v>1556</v>
      </c>
      <c r="DN2176" s="497" t="s">
        <v>5258</v>
      </c>
      <c r="DP2176" s="543">
        <v>1</v>
      </c>
    </row>
    <row r="2177" spans="109:120" ht="15">
      <c r="DE2177" s="494"/>
      <c r="DF2177" s="496" t="s">
        <v>5282</v>
      </c>
      <c r="DG2177" s="496" t="s">
        <v>15</v>
      </c>
      <c r="DH2177" s="496" t="s">
        <v>689</v>
      </c>
      <c r="DI2177" s="496" t="s">
        <v>691</v>
      </c>
      <c r="DJ2177" s="496" t="s">
        <v>691</v>
      </c>
      <c r="DK2177" s="496" t="s">
        <v>1554</v>
      </c>
      <c r="DL2177" s="496" t="s">
        <v>1555</v>
      </c>
      <c r="DM2177" s="496" t="s">
        <v>1556</v>
      </c>
      <c r="DN2177" s="497" t="s">
        <v>5258</v>
      </c>
      <c r="DP2177" s="543">
        <v>1</v>
      </c>
    </row>
    <row r="2178" spans="109:120" ht="15">
      <c r="DE2178" s="494"/>
      <c r="DF2178" s="496" t="s">
        <v>5283</v>
      </c>
      <c r="DG2178" s="496" t="s">
        <v>15</v>
      </c>
      <c r="DH2178" s="496" t="s">
        <v>689</v>
      </c>
      <c r="DI2178" s="496" t="s">
        <v>1000</v>
      </c>
      <c r="DJ2178" s="496" t="s">
        <v>1000</v>
      </c>
      <c r="DK2178" s="496" t="s">
        <v>1085</v>
      </c>
      <c r="DL2178" s="496" t="s">
        <v>5284</v>
      </c>
      <c r="DM2178" s="496" t="s">
        <v>1087</v>
      </c>
      <c r="DN2178" s="497" t="s">
        <v>1088</v>
      </c>
      <c r="DP2178" s="543">
        <v>1</v>
      </c>
    </row>
    <row r="2179" spans="109:120" ht="15">
      <c r="DE2179" s="494"/>
      <c r="DF2179" s="496" t="s">
        <v>5285</v>
      </c>
      <c r="DG2179" s="496" t="s">
        <v>15</v>
      </c>
      <c r="DH2179" s="496" t="s">
        <v>689</v>
      </c>
      <c r="DI2179" s="496" t="s">
        <v>5286</v>
      </c>
      <c r="DJ2179" s="496" t="s">
        <v>5286</v>
      </c>
      <c r="DK2179" s="496" t="s">
        <v>1554</v>
      </c>
      <c r="DL2179" s="496" t="s">
        <v>1555</v>
      </c>
      <c r="DM2179" s="496" t="s">
        <v>1556</v>
      </c>
      <c r="DN2179" s="497" t="s">
        <v>5258</v>
      </c>
      <c r="DP2179" s="543">
        <v>1</v>
      </c>
    </row>
    <row r="2180" spans="109:120" ht="15">
      <c r="DE2180" s="494"/>
      <c r="DF2180" s="496" t="s">
        <v>5287</v>
      </c>
      <c r="DG2180" s="496" t="s">
        <v>15</v>
      </c>
      <c r="DH2180" s="496" t="s">
        <v>689</v>
      </c>
      <c r="DI2180" s="496" t="s">
        <v>5288</v>
      </c>
      <c r="DJ2180" s="496" t="s">
        <v>5288</v>
      </c>
      <c r="DK2180" s="496" t="s">
        <v>1554</v>
      </c>
      <c r="DL2180" s="496" t="s">
        <v>1555</v>
      </c>
      <c r="DM2180" s="496" t="s">
        <v>1556</v>
      </c>
      <c r="DN2180" s="497" t="s">
        <v>5258</v>
      </c>
      <c r="DP2180" s="543">
        <v>1</v>
      </c>
    </row>
    <row r="2181" spans="109:120" ht="15">
      <c r="DE2181" s="494"/>
      <c r="DF2181" s="496" t="s">
        <v>5289</v>
      </c>
      <c r="DG2181" s="496" t="s">
        <v>15</v>
      </c>
      <c r="DH2181" s="496" t="s">
        <v>689</v>
      </c>
      <c r="DI2181" s="496" t="s">
        <v>5290</v>
      </c>
      <c r="DJ2181" s="496" t="s">
        <v>5290</v>
      </c>
      <c r="DK2181" s="496" t="s">
        <v>1085</v>
      </c>
      <c r="DL2181" s="496" t="s">
        <v>5284</v>
      </c>
      <c r="DM2181" s="496" t="s">
        <v>1087</v>
      </c>
      <c r="DN2181" s="497" t="s">
        <v>1088</v>
      </c>
      <c r="DP2181" s="543">
        <v>1</v>
      </c>
    </row>
    <row r="2182" spans="109:120" ht="15">
      <c r="DE2182" s="494"/>
      <c r="DF2182" s="496" t="s">
        <v>5291</v>
      </c>
      <c r="DG2182" s="496" t="s">
        <v>15</v>
      </c>
      <c r="DH2182" s="496" t="s">
        <v>689</v>
      </c>
      <c r="DI2182" s="496" t="s">
        <v>5292</v>
      </c>
      <c r="DJ2182" s="496" t="s">
        <v>5292</v>
      </c>
      <c r="DK2182" s="496" t="s">
        <v>1554</v>
      </c>
      <c r="DL2182" s="496" t="s">
        <v>1555</v>
      </c>
      <c r="DM2182" s="496" t="s">
        <v>1556</v>
      </c>
      <c r="DN2182" s="497" t="s">
        <v>5258</v>
      </c>
      <c r="DP2182" s="543">
        <v>1</v>
      </c>
    </row>
    <row r="2183" spans="109:120" ht="15">
      <c r="DE2183" s="494"/>
      <c r="DF2183" s="496" t="s">
        <v>5293</v>
      </c>
      <c r="DG2183" s="496" t="s">
        <v>15</v>
      </c>
      <c r="DH2183" s="496" t="s">
        <v>689</v>
      </c>
      <c r="DI2183" s="496" t="s">
        <v>1001</v>
      </c>
      <c r="DJ2183" s="496" t="s">
        <v>1001</v>
      </c>
      <c r="DK2183" s="496" t="s">
        <v>1554</v>
      </c>
      <c r="DL2183" s="496" t="s">
        <v>1555</v>
      </c>
      <c r="DM2183" s="496" t="s">
        <v>1556</v>
      </c>
      <c r="DN2183" s="497" t="s">
        <v>5258</v>
      </c>
      <c r="DP2183" s="543">
        <v>1</v>
      </c>
    </row>
    <row r="2184" spans="109:120" ht="15">
      <c r="DE2184" s="494"/>
      <c r="DF2184" s="496" t="s">
        <v>5294</v>
      </c>
      <c r="DG2184" s="496" t="s">
        <v>15</v>
      </c>
      <c r="DH2184" s="496" t="s">
        <v>689</v>
      </c>
      <c r="DI2184" s="496" t="s">
        <v>343</v>
      </c>
      <c r="DJ2184" s="496" t="s">
        <v>343</v>
      </c>
      <c r="DK2184" s="496" t="s">
        <v>1085</v>
      </c>
      <c r="DL2184" s="496" t="s">
        <v>5284</v>
      </c>
      <c r="DM2184" s="496" t="s">
        <v>1087</v>
      </c>
      <c r="DN2184" s="497" t="s">
        <v>1088</v>
      </c>
      <c r="DP2184" s="543">
        <v>1</v>
      </c>
    </row>
    <row r="2185" spans="109:120" ht="15">
      <c r="DE2185" s="494"/>
      <c r="DF2185" s="496" t="s">
        <v>5295</v>
      </c>
      <c r="DG2185" s="496" t="s">
        <v>15</v>
      </c>
      <c r="DH2185" s="496" t="s">
        <v>689</v>
      </c>
      <c r="DI2185" s="496" t="s">
        <v>5296</v>
      </c>
      <c r="DJ2185" s="496" t="s">
        <v>5296</v>
      </c>
      <c r="DK2185" s="496" t="s">
        <v>1554</v>
      </c>
      <c r="DL2185" s="496" t="s">
        <v>1555</v>
      </c>
      <c r="DM2185" s="496" t="s">
        <v>1556</v>
      </c>
      <c r="DN2185" s="497" t="s">
        <v>5258</v>
      </c>
      <c r="DP2185" s="543">
        <v>1</v>
      </c>
    </row>
    <row r="2186" spans="109:120" ht="15">
      <c r="DE2186" s="494"/>
      <c r="DF2186" s="496" t="s">
        <v>5297</v>
      </c>
      <c r="DG2186" s="496" t="s">
        <v>15</v>
      </c>
      <c r="DH2186" s="496" t="s">
        <v>689</v>
      </c>
      <c r="DI2186" s="496" t="s">
        <v>173</v>
      </c>
      <c r="DJ2186" s="496" t="s">
        <v>173</v>
      </c>
      <c r="DK2186" s="496" t="s">
        <v>1554</v>
      </c>
      <c r="DL2186" s="496" t="s">
        <v>1555</v>
      </c>
      <c r="DM2186" s="496" t="s">
        <v>1556</v>
      </c>
      <c r="DN2186" s="497" t="s">
        <v>5258</v>
      </c>
      <c r="DP2186" s="543">
        <v>1</v>
      </c>
    </row>
    <row r="2187" spans="109:120" ht="15">
      <c r="DE2187" s="494"/>
      <c r="DF2187" s="496" t="s">
        <v>5298</v>
      </c>
      <c r="DG2187" s="496" t="s">
        <v>15</v>
      </c>
      <c r="DH2187" s="496" t="s">
        <v>689</v>
      </c>
      <c r="DI2187" s="496" t="s">
        <v>177</v>
      </c>
      <c r="DJ2187" s="496" t="s">
        <v>177</v>
      </c>
      <c r="DK2187" s="496" t="s">
        <v>1085</v>
      </c>
      <c r="DL2187" s="496" t="s">
        <v>5284</v>
      </c>
      <c r="DM2187" s="496" t="s">
        <v>1087</v>
      </c>
      <c r="DN2187" s="497" t="s">
        <v>1088</v>
      </c>
      <c r="DP2187" s="543">
        <v>1</v>
      </c>
    </row>
    <row r="2188" spans="109:120" ht="15">
      <c r="DE2188" s="494"/>
      <c r="DF2188" s="496" t="s">
        <v>5299</v>
      </c>
      <c r="DG2188" s="496" t="s">
        <v>15</v>
      </c>
      <c r="DH2188" s="496" t="s">
        <v>689</v>
      </c>
      <c r="DI2188" s="496" t="s">
        <v>692</v>
      </c>
      <c r="DJ2188" s="496" t="s">
        <v>692</v>
      </c>
      <c r="DK2188" s="496" t="s">
        <v>1554</v>
      </c>
      <c r="DL2188" s="496" t="s">
        <v>1555</v>
      </c>
      <c r="DM2188" s="496" t="s">
        <v>1556</v>
      </c>
      <c r="DN2188" s="497" t="s">
        <v>5258</v>
      </c>
      <c r="DP2188" s="543">
        <v>1</v>
      </c>
    </row>
    <row r="2189" spans="109:120" ht="15">
      <c r="DE2189" s="494"/>
      <c r="DF2189" s="496" t="s">
        <v>5300</v>
      </c>
      <c r="DG2189" s="496" t="s">
        <v>15</v>
      </c>
      <c r="DH2189" s="496" t="s">
        <v>689</v>
      </c>
      <c r="DI2189" s="496" t="s">
        <v>5301</v>
      </c>
      <c r="DJ2189" s="496" t="s">
        <v>5301</v>
      </c>
      <c r="DK2189" s="496" t="s">
        <v>1554</v>
      </c>
      <c r="DL2189" s="496" t="s">
        <v>1555</v>
      </c>
      <c r="DM2189" s="496" t="s">
        <v>1556</v>
      </c>
      <c r="DN2189" s="497" t="s">
        <v>5258</v>
      </c>
      <c r="DP2189" s="543">
        <v>1</v>
      </c>
    </row>
    <row r="2190" spans="109:120" ht="15">
      <c r="DE2190" s="494"/>
      <c r="DF2190" s="496" t="s">
        <v>5302</v>
      </c>
      <c r="DG2190" s="496" t="s">
        <v>15</v>
      </c>
      <c r="DH2190" s="496" t="s">
        <v>689</v>
      </c>
      <c r="DI2190" s="496" t="s">
        <v>5303</v>
      </c>
      <c r="DJ2190" s="496" t="s">
        <v>5303</v>
      </c>
      <c r="DK2190" s="496" t="s">
        <v>1554</v>
      </c>
      <c r="DL2190" s="496" t="s">
        <v>1555</v>
      </c>
      <c r="DM2190" s="496" t="s">
        <v>1556</v>
      </c>
      <c r="DN2190" s="497" t="s">
        <v>5258</v>
      </c>
      <c r="DP2190" s="543">
        <v>1</v>
      </c>
    </row>
    <row r="2191" spans="109:120" ht="15">
      <c r="DE2191" s="494"/>
      <c r="DF2191" s="496" t="s">
        <v>5304</v>
      </c>
      <c r="DG2191" s="496" t="s">
        <v>15</v>
      </c>
      <c r="DH2191" s="496" t="s">
        <v>689</v>
      </c>
      <c r="DI2191" s="496" t="s">
        <v>5305</v>
      </c>
      <c r="DJ2191" s="496" t="s">
        <v>5305</v>
      </c>
      <c r="DK2191" s="496" t="s">
        <v>1554</v>
      </c>
      <c r="DL2191" s="496" t="s">
        <v>1555</v>
      </c>
      <c r="DM2191" s="496" t="s">
        <v>1556</v>
      </c>
      <c r="DN2191" s="497" t="s">
        <v>5258</v>
      </c>
      <c r="DP2191" s="543">
        <v>1</v>
      </c>
    </row>
    <row r="2192" spans="109:120" ht="15">
      <c r="DE2192" s="494"/>
      <c r="DF2192" s="496" t="s">
        <v>5306</v>
      </c>
      <c r="DG2192" s="496" t="s">
        <v>15</v>
      </c>
      <c r="DH2192" s="496" t="s">
        <v>689</v>
      </c>
      <c r="DI2192" s="496" t="s">
        <v>5307</v>
      </c>
      <c r="DJ2192" s="496" t="s">
        <v>5307</v>
      </c>
      <c r="DK2192" s="496" t="s">
        <v>1554</v>
      </c>
      <c r="DL2192" s="496" t="s">
        <v>1555</v>
      </c>
      <c r="DM2192" s="496" t="s">
        <v>1556</v>
      </c>
      <c r="DN2192" s="497" t="s">
        <v>5258</v>
      </c>
      <c r="DP2192" s="543">
        <v>1</v>
      </c>
    </row>
    <row r="2193" spans="109:120" ht="15">
      <c r="DE2193" s="494"/>
      <c r="DF2193" s="496" t="s">
        <v>5308</v>
      </c>
      <c r="DG2193" s="496" t="s">
        <v>15</v>
      </c>
      <c r="DH2193" s="496" t="s">
        <v>689</v>
      </c>
      <c r="DI2193" s="496" t="s">
        <v>5309</v>
      </c>
      <c r="DJ2193" s="496" t="s">
        <v>5309</v>
      </c>
      <c r="DK2193" s="496" t="s">
        <v>1554</v>
      </c>
      <c r="DL2193" s="496" t="s">
        <v>1555</v>
      </c>
      <c r="DM2193" s="496" t="s">
        <v>1556</v>
      </c>
      <c r="DN2193" s="497" t="s">
        <v>5258</v>
      </c>
      <c r="DP2193" s="543">
        <v>1</v>
      </c>
    </row>
    <row r="2194" spans="109:120" ht="15">
      <c r="DE2194" s="494"/>
      <c r="DF2194" s="496" t="s">
        <v>5310</v>
      </c>
      <c r="DG2194" s="496" t="s">
        <v>15</v>
      </c>
      <c r="DH2194" s="496" t="s">
        <v>689</v>
      </c>
      <c r="DI2194" s="496" t="s">
        <v>5311</v>
      </c>
      <c r="DJ2194" s="496" t="s">
        <v>5311</v>
      </c>
      <c r="DK2194" s="496" t="s">
        <v>1554</v>
      </c>
      <c r="DL2194" s="496" t="s">
        <v>1555</v>
      </c>
      <c r="DM2194" s="496" t="s">
        <v>1556</v>
      </c>
      <c r="DN2194" s="497" t="s">
        <v>5258</v>
      </c>
      <c r="DP2194" s="543">
        <v>1</v>
      </c>
    </row>
    <row r="2195" spans="109:120" ht="15">
      <c r="DE2195" s="494"/>
      <c r="DF2195" s="496" t="s">
        <v>5312</v>
      </c>
      <c r="DG2195" s="496" t="s">
        <v>15</v>
      </c>
      <c r="DH2195" s="496" t="s">
        <v>689</v>
      </c>
      <c r="DI2195" s="496" t="s">
        <v>5313</v>
      </c>
      <c r="DJ2195" s="496" t="s">
        <v>5313</v>
      </c>
      <c r="DK2195" s="496" t="s">
        <v>1554</v>
      </c>
      <c r="DL2195" s="496" t="s">
        <v>1555</v>
      </c>
      <c r="DM2195" s="496" t="s">
        <v>1556</v>
      </c>
      <c r="DN2195" s="497" t="s">
        <v>5258</v>
      </c>
      <c r="DP2195" s="543">
        <v>1</v>
      </c>
    </row>
    <row r="2196" spans="109:120" ht="15">
      <c r="DE2196" s="494"/>
      <c r="DF2196" s="496" t="s">
        <v>5314</v>
      </c>
      <c r="DG2196" s="496" t="s">
        <v>15</v>
      </c>
      <c r="DH2196" s="496" t="s">
        <v>689</v>
      </c>
      <c r="DI2196" s="496" t="s">
        <v>5315</v>
      </c>
      <c r="DJ2196" s="496" t="s">
        <v>5315</v>
      </c>
      <c r="DK2196" s="496" t="s">
        <v>1554</v>
      </c>
      <c r="DL2196" s="496" t="s">
        <v>1555</v>
      </c>
      <c r="DM2196" s="496" t="s">
        <v>1556</v>
      </c>
      <c r="DN2196" s="497" t="s">
        <v>5258</v>
      </c>
      <c r="DP2196" s="543">
        <v>1</v>
      </c>
    </row>
    <row r="2197" spans="109:120" ht="15">
      <c r="DE2197" s="494"/>
      <c r="DF2197" s="496" t="s">
        <v>5316</v>
      </c>
      <c r="DG2197" s="496" t="s">
        <v>15</v>
      </c>
      <c r="DH2197" s="496" t="s">
        <v>689</v>
      </c>
      <c r="DI2197" s="496" t="s">
        <v>5317</v>
      </c>
      <c r="DJ2197" s="496" t="s">
        <v>5317</v>
      </c>
      <c r="DK2197" s="496" t="s">
        <v>1554</v>
      </c>
      <c r="DL2197" s="496" t="s">
        <v>1555</v>
      </c>
      <c r="DM2197" s="496" t="s">
        <v>1556</v>
      </c>
      <c r="DN2197" s="497" t="s">
        <v>5258</v>
      </c>
      <c r="DP2197" s="543">
        <v>1</v>
      </c>
    </row>
    <row r="2198" spans="109:120" ht="15">
      <c r="DE2198" s="494"/>
      <c r="DF2198" s="496" t="s">
        <v>5318</v>
      </c>
      <c r="DG2198" s="496" t="s">
        <v>15</v>
      </c>
      <c r="DH2198" s="496" t="s">
        <v>689</v>
      </c>
      <c r="DI2198" s="496" t="s">
        <v>5319</v>
      </c>
      <c r="DJ2198" s="496" t="s">
        <v>5319</v>
      </c>
      <c r="DK2198" s="496" t="s">
        <v>1554</v>
      </c>
      <c r="DL2198" s="496" t="s">
        <v>1555</v>
      </c>
      <c r="DM2198" s="496" t="s">
        <v>1556</v>
      </c>
      <c r="DN2198" s="497" t="s">
        <v>5258</v>
      </c>
      <c r="DP2198" s="543">
        <v>1</v>
      </c>
    </row>
    <row r="2199" spans="109:120" ht="15">
      <c r="DE2199" s="494"/>
      <c r="DF2199" s="496" t="s">
        <v>5320</v>
      </c>
      <c r="DG2199" s="496" t="s">
        <v>15</v>
      </c>
      <c r="DH2199" s="496" t="s">
        <v>689</v>
      </c>
      <c r="DI2199" s="496" t="s">
        <v>5321</v>
      </c>
      <c r="DJ2199" s="496" t="s">
        <v>5321</v>
      </c>
      <c r="DK2199" s="496" t="s">
        <v>1554</v>
      </c>
      <c r="DL2199" s="496" t="s">
        <v>1555</v>
      </c>
      <c r="DM2199" s="496" t="s">
        <v>1556</v>
      </c>
      <c r="DN2199" s="497" t="s">
        <v>5258</v>
      </c>
      <c r="DP2199" s="543">
        <v>1</v>
      </c>
    </row>
    <row r="2200" spans="109:120" ht="15">
      <c r="DE2200" s="494"/>
      <c r="DF2200" s="496" t="s">
        <v>5322</v>
      </c>
      <c r="DG2200" s="496" t="s">
        <v>15</v>
      </c>
      <c r="DH2200" s="496" t="s">
        <v>689</v>
      </c>
      <c r="DI2200" s="496" t="s">
        <v>5323</v>
      </c>
      <c r="DJ2200" s="496" t="s">
        <v>5323</v>
      </c>
      <c r="DK2200" s="496" t="s">
        <v>1085</v>
      </c>
      <c r="DL2200" s="496" t="s">
        <v>5284</v>
      </c>
      <c r="DM2200" s="496" t="s">
        <v>1087</v>
      </c>
      <c r="DN2200" s="497" t="s">
        <v>1088</v>
      </c>
      <c r="DP2200" s="543">
        <v>1</v>
      </c>
    </row>
    <row r="2201" spans="109:120" ht="15">
      <c r="DE2201" s="494"/>
      <c r="DF2201" s="496" t="s">
        <v>5324</v>
      </c>
      <c r="DG2201" s="496" t="s">
        <v>15</v>
      </c>
      <c r="DH2201" s="496" t="s">
        <v>689</v>
      </c>
      <c r="DI2201" s="496" t="s">
        <v>5325</v>
      </c>
      <c r="DJ2201" s="496" t="s">
        <v>5325</v>
      </c>
      <c r="DK2201" s="496" t="s">
        <v>1554</v>
      </c>
      <c r="DL2201" s="496" t="s">
        <v>1555</v>
      </c>
      <c r="DM2201" s="496" t="s">
        <v>1556</v>
      </c>
      <c r="DN2201" s="497" t="s">
        <v>5258</v>
      </c>
      <c r="DP2201" s="543">
        <v>1</v>
      </c>
    </row>
    <row r="2202" spans="109:120" ht="15">
      <c r="DE2202" s="494"/>
      <c r="DF2202" s="496" t="s">
        <v>5326</v>
      </c>
      <c r="DG2202" s="496" t="s">
        <v>15</v>
      </c>
      <c r="DH2202" s="496" t="s">
        <v>689</v>
      </c>
      <c r="DI2202" s="496" t="s">
        <v>5327</v>
      </c>
      <c r="DJ2202" s="496" t="s">
        <v>5327</v>
      </c>
      <c r="DK2202" s="496" t="s">
        <v>1554</v>
      </c>
      <c r="DL2202" s="496" t="s">
        <v>1555</v>
      </c>
      <c r="DM2202" s="496" t="s">
        <v>1556</v>
      </c>
      <c r="DN2202" s="497" t="s">
        <v>5258</v>
      </c>
      <c r="DP2202" s="543">
        <v>1</v>
      </c>
    </row>
    <row r="2203" spans="109:120" ht="15">
      <c r="DE2203" s="494"/>
      <c r="DF2203" s="496" t="s">
        <v>5328</v>
      </c>
      <c r="DG2203" s="496" t="s">
        <v>15</v>
      </c>
      <c r="DH2203" s="496" t="s">
        <v>689</v>
      </c>
      <c r="DI2203" s="496" t="s">
        <v>5329</v>
      </c>
      <c r="DJ2203" s="496" t="s">
        <v>5329</v>
      </c>
      <c r="DK2203" s="496" t="s">
        <v>1554</v>
      </c>
      <c r="DL2203" s="496" t="s">
        <v>1555</v>
      </c>
      <c r="DM2203" s="496" t="s">
        <v>1556</v>
      </c>
      <c r="DN2203" s="497" t="s">
        <v>5258</v>
      </c>
      <c r="DP2203" s="543">
        <v>1</v>
      </c>
    </row>
    <row r="2204" spans="109:120" ht="15">
      <c r="DE2204" s="494"/>
      <c r="DF2204" s="496" t="s">
        <v>5330</v>
      </c>
      <c r="DG2204" s="496" t="s">
        <v>15</v>
      </c>
      <c r="DH2204" s="496" t="s">
        <v>689</v>
      </c>
      <c r="DI2204" s="496" t="s">
        <v>5331</v>
      </c>
      <c r="DJ2204" s="496" t="s">
        <v>5331</v>
      </c>
      <c r="DK2204" s="496" t="s">
        <v>1554</v>
      </c>
      <c r="DL2204" s="496" t="s">
        <v>1555</v>
      </c>
      <c r="DM2204" s="496" t="s">
        <v>1556</v>
      </c>
      <c r="DN2204" s="497" t="s">
        <v>5258</v>
      </c>
      <c r="DP2204" s="543">
        <v>1</v>
      </c>
    </row>
    <row r="2205" spans="109:120" ht="15">
      <c r="DE2205" s="494"/>
      <c r="DF2205" s="496" t="s">
        <v>5332</v>
      </c>
      <c r="DG2205" s="496" t="s">
        <v>15</v>
      </c>
      <c r="DH2205" s="496" t="s">
        <v>689</v>
      </c>
      <c r="DI2205" s="496" t="s">
        <v>5333</v>
      </c>
      <c r="DJ2205" s="496" t="s">
        <v>5333</v>
      </c>
      <c r="DK2205" s="496" t="s">
        <v>1554</v>
      </c>
      <c r="DL2205" s="496" t="s">
        <v>1555</v>
      </c>
      <c r="DM2205" s="496" t="s">
        <v>1556</v>
      </c>
      <c r="DN2205" s="497" t="s">
        <v>5258</v>
      </c>
      <c r="DP2205" s="543">
        <v>1</v>
      </c>
    </row>
    <row r="2206" spans="109:120" ht="15">
      <c r="DE2206" s="494"/>
      <c r="DF2206" s="496" t="s">
        <v>5334</v>
      </c>
      <c r="DG2206" s="496" t="s">
        <v>15</v>
      </c>
      <c r="DH2206" s="496" t="s">
        <v>689</v>
      </c>
      <c r="DI2206" s="496" t="s">
        <v>1002</v>
      </c>
      <c r="DJ2206" s="496" t="s">
        <v>1002</v>
      </c>
      <c r="DK2206" s="496" t="s">
        <v>1554</v>
      </c>
      <c r="DL2206" s="496" t="s">
        <v>1555</v>
      </c>
      <c r="DM2206" s="496" t="s">
        <v>1556</v>
      </c>
      <c r="DN2206" s="497" t="s">
        <v>5258</v>
      </c>
      <c r="DP2206" s="543">
        <v>1</v>
      </c>
    </row>
    <row r="2207" spans="109:120" ht="15">
      <c r="DE2207" s="494"/>
      <c r="DF2207" s="496" t="s">
        <v>5335</v>
      </c>
      <c r="DG2207" s="496" t="s">
        <v>15</v>
      </c>
      <c r="DH2207" s="496" t="s">
        <v>689</v>
      </c>
      <c r="DI2207" s="496" t="s">
        <v>5336</v>
      </c>
      <c r="DJ2207" s="496" t="s">
        <v>5336</v>
      </c>
      <c r="DK2207" s="496" t="s">
        <v>1554</v>
      </c>
      <c r="DL2207" s="496" t="s">
        <v>1555</v>
      </c>
      <c r="DM2207" s="496" t="s">
        <v>1556</v>
      </c>
      <c r="DN2207" s="497" t="s">
        <v>5258</v>
      </c>
      <c r="DP2207" s="543">
        <v>1</v>
      </c>
    </row>
    <row r="2208" spans="109:120" ht="15">
      <c r="DE2208" s="494"/>
      <c r="DF2208" s="496" t="s">
        <v>5337</v>
      </c>
      <c r="DG2208" s="496" t="s">
        <v>15</v>
      </c>
      <c r="DH2208" s="496" t="s">
        <v>689</v>
      </c>
      <c r="DI2208" s="496" t="s">
        <v>5338</v>
      </c>
      <c r="DJ2208" s="496" t="s">
        <v>5338</v>
      </c>
      <c r="DK2208" s="496" t="s">
        <v>1151</v>
      </c>
      <c r="DL2208" s="496" t="s">
        <v>1152</v>
      </c>
      <c r="DM2208" s="496" t="s">
        <v>1087</v>
      </c>
      <c r="DN2208" s="497" t="s">
        <v>1153</v>
      </c>
      <c r="DP2208" s="543">
        <v>1</v>
      </c>
    </row>
    <row r="2209" spans="109:120" ht="15">
      <c r="DE2209" s="494"/>
      <c r="DF2209" s="496" t="s">
        <v>5339</v>
      </c>
      <c r="DG2209" s="496" t="s">
        <v>15</v>
      </c>
      <c r="DH2209" s="496" t="s">
        <v>689</v>
      </c>
      <c r="DI2209" s="496" t="s">
        <v>5340</v>
      </c>
      <c r="DJ2209" s="496" t="s">
        <v>5340</v>
      </c>
      <c r="DK2209" s="496" t="s">
        <v>1554</v>
      </c>
      <c r="DL2209" s="496" t="s">
        <v>1555</v>
      </c>
      <c r="DM2209" s="496" t="s">
        <v>1556</v>
      </c>
      <c r="DN2209" s="497" t="s">
        <v>5258</v>
      </c>
      <c r="DP2209" s="543">
        <v>1</v>
      </c>
    </row>
    <row r="2210" spans="109:120" ht="15">
      <c r="DE2210" s="494"/>
      <c r="DF2210" s="496" t="s">
        <v>5341</v>
      </c>
      <c r="DG2210" s="496" t="s">
        <v>15</v>
      </c>
      <c r="DH2210" s="496" t="s">
        <v>689</v>
      </c>
      <c r="DI2210" s="496" t="s">
        <v>5342</v>
      </c>
      <c r="DJ2210" s="496" t="s">
        <v>5342</v>
      </c>
      <c r="DK2210" s="496" t="s">
        <v>1554</v>
      </c>
      <c r="DL2210" s="496" t="s">
        <v>1555</v>
      </c>
      <c r="DM2210" s="496" t="s">
        <v>1556</v>
      </c>
      <c r="DN2210" s="497" t="s">
        <v>5258</v>
      </c>
      <c r="DP2210" s="543">
        <v>1</v>
      </c>
    </row>
    <row r="2211" spans="109:120" ht="15">
      <c r="DE2211" s="494"/>
      <c r="DF2211" s="496" t="s">
        <v>5343</v>
      </c>
      <c r="DG2211" s="496" t="s">
        <v>15</v>
      </c>
      <c r="DH2211" s="496" t="s">
        <v>689</v>
      </c>
      <c r="DI2211" s="496" t="s">
        <v>5344</v>
      </c>
      <c r="DJ2211" s="496" t="s">
        <v>5344</v>
      </c>
      <c r="DK2211" s="496" t="s">
        <v>1554</v>
      </c>
      <c r="DL2211" s="496" t="s">
        <v>1555</v>
      </c>
      <c r="DM2211" s="496" t="s">
        <v>1556</v>
      </c>
      <c r="DN2211" s="497" t="s">
        <v>5258</v>
      </c>
      <c r="DP2211" s="543">
        <v>1</v>
      </c>
    </row>
    <row r="2212" spans="109:120" ht="15">
      <c r="DE2212" s="494"/>
      <c r="DF2212" s="496" t="s">
        <v>5345</v>
      </c>
      <c r="DG2212" s="496" t="s">
        <v>15</v>
      </c>
      <c r="DH2212" s="496" t="s">
        <v>689</v>
      </c>
      <c r="DI2212" s="496" t="s">
        <v>129</v>
      </c>
      <c r="DJ2212" s="496" t="s">
        <v>129</v>
      </c>
      <c r="DK2212" s="496" t="s">
        <v>1554</v>
      </c>
      <c r="DL2212" s="496" t="s">
        <v>1555</v>
      </c>
      <c r="DM2212" s="496" t="s">
        <v>1556</v>
      </c>
      <c r="DN2212" s="497" t="s">
        <v>5258</v>
      </c>
      <c r="DP2212" s="543">
        <v>1</v>
      </c>
    </row>
    <row r="2213" spans="109:120" ht="15">
      <c r="DE2213" s="494"/>
      <c r="DF2213" s="496" t="s">
        <v>5346</v>
      </c>
      <c r="DG2213" s="496" t="s">
        <v>15</v>
      </c>
      <c r="DH2213" s="496" t="s">
        <v>689</v>
      </c>
      <c r="DI2213" s="496" t="s">
        <v>5347</v>
      </c>
      <c r="DJ2213" s="496" t="s">
        <v>5347</v>
      </c>
      <c r="DK2213" s="496" t="s">
        <v>1554</v>
      </c>
      <c r="DL2213" s="496" t="s">
        <v>1555</v>
      </c>
      <c r="DM2213" s="496" t="s">
        <v>1556</v>
      </c>
      <c r="DN2213" s="497" t="s">
        <v>5258</v>
      </c>
      <c r="DP2213" s="543">
        <v>1</v>
      </c>
    </row>
    <row r="2214" spans="109:120" ht="15">
      <c r="DE2214" s="494"/>
      <c r="DF2214" s="496" t="s">
        <v>5348</v>
      </c>
      <c r="DG2214" s="496" t="s">
        <v>15</v>
      </c>
      <c r="DH2214" s="496" t="s">
        <v>689</v>
      </c>
      <c r="DI2214" s="496" t="s">
        <v>5349</v>
      </c>
      <c r="DJ2214" s="496" t="s">
        <v>5349</v>
      </c>
      <c r="DK2214" s="496" t="s">
        <v>1554</v>
      </c>
      <c r="DL2214" s="496" t="s">
        <v>1555</v>
      </c>
      <c r="DM2214" s="496" t="s">
        <v>1556</v>
      </c>
      <c r="DN2214" s="497" t="s">
        <v>5258</v>
      </c>
      <c r="DP2214" s="543">
        <v>1</v>
      </c>
    </row>
    <row r="2215" spans="109:120" ht="15">
      <c r="DE2215" s="494"/>
      <c r="DF2215" s="496" t="s">
        <v>5350</v>
      </c>
      <c r="DG2215" s="496" t="s">
        <v>15</v>
      </c>
      <c r="DH2215" s="496" t="s">
        <v>689</v>
      </c>
      <c r="DI2215" s="496" t="s">
        <v>138</v>
      </c>
      <c r="DJ2215" s="496" t="s">
        <v>138</v>
      </c>
      <c r="DK2215" s="496" t="s">
        <v>1085</v>
      </c>
      <c r="DL2215" s="496" t="s">
        <v>5284</v>
      </c>
      <c r="DM2215" s="496" t="s">
        <v>1087</v>
      </c>
      <c r="DN2215" s="497" t="s">
        <v>1088</v>
      </c>
      <c r="DP2215" s="543">
        <v>1</v>
      </c>
    </row>
    <row r="2216" spans="109:120" ht="15">
      <c r="DE2216" s="494"/>
      <c r="DF2216" s="496" t="s">
        <v>5351</v>
      </c>
      <c r="DG2216" s="496" t="s">
        <v>15</v>
      </c>
      <c r="DH2216" s="496" t="s">
        <v>689</v>
      </c>
      <c r="DI2216" s="496" t="s">
        <v>335</v>
      </c>
      <c r="DJ2216" s="496" t="s">
        <v>335</v>
      </c>
      <c r="DK2216" s="496" t="s">
        <v>1085</v>
      </c>
      <c r="DL2216" s="496" t="s">
        <v>5284</v>
      </c>
      <c r="DM2216" s="496" t="s">
        <v>1087</v>
      </c>
      <c r="DN2216" s="497" t="s">
        <v>1088</v>
      </c>
      <c r="DP2216" s="543">
        <v>1</v>
      </c>
    </row>
    <row r="2217" spans="109:120" ht="15">
      <c r="DE2217" s="494"/>
      <c r="DF2217" s="496" t="s">
        <v>5352</v>
      </c>
      <c r="DG2217" s="496" t="s">
        <v>15</v>
      </c>
      <c r="DH2217" s="496" t="s">
        <v>689</v>
      </c>
      <c r="DI2217" s="496" t="s">
        <v>1003</v>
      </c>
      <c r="DJ2217" s="496" t="s">
        <v>1003</v>
      </c>
      <c r="DK2217" s="496" t="s">
        <v>1085</v>
      </c>
      <c r="DL2217" s="496" t="s">
        <v>5284</v>
      </c>
      <c r="DM2217" s="496" t="s">
        <v>1087</v>
      </c>
      <c r="DN2217" s="497" t="s">
        <v>1088</v>
      </c>
      <c r="DP2217" s="543">
        <v>1</v>
      </c>
    </row>
    <row r="2218" spans="109:120" ht="15">
      <c r="DE2218" s="494"/>
      <c r="DF2218" s="496" t="s">
        <v>5353</v>
      </c>
      <c r="DG2218" s="496" t="s">
        <v>15</v>
      </c>
      <c r="DH2218" s="496" t="s">
        <v>689</v>
      </c>
      <c r="DI2218" s="496" t="s">
        <v>204</v>
      </c>
      <c r="DJ2218" s="496" t="s">
        <v>204</v>
      </c>
      <c r="DK2218" s="496" t="s">
        <v>1085</v>
      </c>
      <c r="DL2218" s="496" t="s">
        <v>5284</v>
      </c>
      <c r="DM2218" s="496" t="s">
        <v>1087</v>
      </c>
      <c r="DN2218" s="497" t="s">
        <v>1088</v>
      </c>
      <c r="DP2218" s="543">
        <v>1</v>
      </c>
    </row>
    <row r="2219" spans="109:120" ht="15">
      <c r="DE2219" s="494"/>
      <c r="DF2219" s="496" t="s">
        <v>5354</v>
      </c>
      <c r="DG2219" s="496" t="s">
        <v>15</v>
      </c>
      <c r="DH2219" s="496" t="s">
        <v>689</v>
      </c>
      <c r="DI2219" s="496" t="s">
        <v>207</v>
      </c>
      <c r="DJ2219" s="496" t="s">
        <v>207</v>
      </c>
      <c r="DK2219" s="496" t="s">
        <v>1085</v>
      </c>
      <c r="DL2219" s="496" t="s">
        <v>5284</v>
      </c>
      <c r="DM2219" s="496" t="s">
        <v>1087</v>
      </c>
      <c r="DN2219" s="497" t="s">
        <v>1088</v>
      </c>
      <c r="DP2219" s="543">
        <v>1</v>
      </c>
    </row>
    <row r="2220" spans="109:120" ht="15">
      <c r="DE2220" s="494"/>
      <c r="DF2220" s="496" t="s">
        <v>5355</v>
      </c>
      <c r="DG2220" s="496" t="s">
        <v>15</v>
      </c>
      <c r="DH2220" s="496" t="s">
        <v>689</v>
      </c>
      <c r="DI2220" s="496" t="s">
        <v>5356</v>
      </c>
      <c r="DJ2220" s="496" t="s">
        <v>5356</v>
      </c>
      <c r="DK2220" s="496" t="s">
        <v>1554</v>
      </c>
      <c r="DL2220" s="496" t="s">
        <v>1555</v>
      </c>
      <c r="DM2220" s="496" t="s">
        <v>1556</v>
      </c>
      <c r="DN2220" s="497" t="s">
        <v>5258</v>
      </c>
      <c r="DP2220" s="543">
        <v>1</v>
      </c>
    </row>
    <row r="2221" spans="109:120" ht="15">
      <c r="DE2221" s="494"/>
      <c r="DF2221" s="496" t="s">
        <v>5357</v>
      </c>
      <c r="DG2221" s="496" t="s">
        <v>15</v>
      </c>
      <c r="DH2221" s="496" t="s">
        <v>689</v>
      </c>
      <c r="DI2221" s="496" t="s">
        <v>1004</v>
      </c>
      <c r="DJ2221" s="496" t="s">
        <v>1004</v>
      </c>
      <c r="DK2221" s="496" t="s">
        <v>1554</v>
      </c>
      <c r="DL2221" s="496" t="s">
        <v>1555</v>
      </c>
      <c r="DM2221" s="496" t="s">
        <v>1556</v>
      </c>
      <c r="DN2221" s="497" t="s">
        <v>5258</v>
      </c>
      <c r="DP2221" s="543">
        <v>1</v>
      </c>
    </row>
    <row r="2222" spans="109:120" ht="15">
      <c r="DE2222" s="494"/>
      <c r="DF2222" s="496" t="s">
        <v>5358</v>
      </c>
      <c r="DG2222" s="496" t="s">
        <v>15</v>
      </c>
      <c r="DH2222" s="496" t="s">
        <v>689</v>
      </c>
      <c r="DI2222" s="496" t="s">
        <v>5359</v>
      </c>
      <c r="DJ2222" s="496" t="s">
        <v>5359</v>
      </c>
      <c r="DK2222" s="496" t="s">
        <v>1085</v>
      </c>
      <c r="DL2222" s="496" t="s">
        <v>5284</v>
      </c>
      <c r="DM2222" s="496" t="s">
        <v>1087</v>
      </c>
      <c r="DN2222" s="497" t="s">
        <v>1088</v>
      </c>
      <c r="DP2222" s="543">
        <v>1</v>
      </c>
    </row>
    <row r="2223" spans="109:120" ht="15">
      <c r="DE2223" s="494"/>
      <c r="DF2223" s="496" t="s">
        <v>5360</v>
      </c>
      <c r="DG2223" s="496" t="s">
        <v>15</v>
      </c>
      <c r="DH2223" s="496" t="s">
        <v>689</v>
      </c>
      <c r="DI2223" s="496" t="s">
        <v>5361</v>
      </c>
      <c r="DJ2223" s="496" t="s">
        <v>5361</v>
      </c>
      <c r="DK2223" s="496" t="s">
        <v>1554</v>
      </c>
      <c r="DL2223" s="496" t="s">
        <v>1555</v>
      </c>
      <c r="DM2223" s="496" t="s">
        <v>1556</v>
      </c>
      <c r="DN2223" s="497" t="s">
        <v>5258</v>
      </c>
      <c r="DP2223" s="543">
        <v>1</v>
      </c>
    </row>
    <row r="2224" spans="109:120" ht="15">
      <c r="DE2224" s="494"/>
      <c r="DF2224" s="496" t="s">
        <v>5362</v>
      </c>
      <c r="DG2224" s="496" t="s">
        <v>15</v>
      </c>
      <c r="DH2224" s="496" t="s">
        <v>689</v>
      </c>
      <c r="DI2224" s="496" t="s">
        <v>5363</v>
      </c>
      <c r="DJ2224" s="496" t="s">
        <v>5363</v>
      </c>
      <c r="DK2224" s="496" t="s">
        <v>1151</v>
      </c>
      <c r="DL2224" s="496" t="s">
        <v>1152</v>
      </c>
      <c r="DM2224" s="496" t="s">
        <v>1087</v>
      </c>
      <c r="DN2224" s="497" t="s">
        <v>1153</v>
      </c>
      <c r="DP2224" s="543">
        <v>1</v>
      </c>
    </row>
    <row r="2225" spans="109:120" ht="15">
      <c r="DE2225" s="494"/>
      <c r="DF2225" s="496" t="s">
        <v>5364</v>
      </c>
      <c r="DG2225" s="496" t="s">
        <v>15</v>
      </c>
      <c r="DH2225" s="496" t="s">
        <v>689</v>
      </c>
      <c r="DI2225" s="496" t="s">
        <v>5365</v>
      </c>
      <c r="DJ2225" s="496" t="s">
        <v>5365</v>
      </c>
      <c r="DK2225" s="496" t="s">
        <v>1554</v>
      </c>
      <c r="DL2225" s="496" t="s">
        <v>1555</v>
      </c>
      <c r="DM2225" s="496" t="s">
        <v>1556</v>
      </c>
      <c r="DN2225" s="497" t="s">
        <v>5258</v>
      </c>
      <c r="DP2225" s="543">
        <v>1</v>
      </c>
    </row>
    <row r="2226" spans="109:120" ht="15">
      <c r="DE2226" s="494"/>
      <c r="DF2226" s="496" t="s">
        <v>5366</v>
      </c>
      <c r="DG2226" s="496" t="s">
        <v>15</v>
      </c>
      <c r="DH2226" s="496" t="s">
        <v>689</v>
      </c>
      <c r="DI2226" s="496" t="s">
        <v>5367</v>
      </c>
      <c r="DJ2226" s="496" t="s">
        <v>5367</v>
      </c>
      <c r="DK2226" s="496" t="s">
        <v>1554</v>
      </c>
      <c r="DL2226" s="496" t="s">
        <v>1555</v>
      </c>
      <c r="DM2226" s="496" t="s">
        <v>1556</v>
      </c>
      <c r="DN2226" s="497" t="s">
        <v>5258</v>
      </c>
      <c r="DP2226" s="543">
        <v>1</v>
      </c>
    </row>
    <row r="2227" spans="109:120" ht="15">
      <c r="DE2227" s="494"/>
      <c r="DF2227" s="496" t="s">
        <v>5368</v>
      </c>
      <c r="DG2227" s="496" t="s">
        <v>15</v>
      </c>
      <c r="DH2227" s="496" t="s">
        <v>689</v>
      </c>
      <c r="DI2227" s="496" t="s">
        <v>5369</v>
      </c>
      <c r="DJ2227" s="496" t="s">
        <v>5369</v>
      </c>
      <c r="DK2227" s="496" t="s">
        <v>1554</v>
      </c>
      <c r="DL2227" s="496" t="s">
        <v>1555</v>
      </c>
      <c r="DM2227" s="496" t="s">
        <v>1556</v>
      </c>
      <c r="DN2227" s="497" t="s">
        <v>5258</v>
      </c>
      <c r="DP2227" s="543">
        <v>1</v>
      </c>
    </row>
    <row r="2228" spans="109:120" ht="15">
      <c r="DE2228" s="494"/>
      <c r="DF2228" s="496" t="s">
        <v>5370</v>
      </c>
      <c r="DG2228" s="496" t="s">
        <v>15</v>
      </c>
      <c r="DH2228" s="496" t="s">
        <v>689</v>
      </c>
      <c r="DI2228" s="496" t="s">
        <v>5371</v>
      </c>
      <c r="DJ2228" s="496" t="s">
        <v>5371</v>
      </c>
      <c r="DK2228" s="496" t="s">
        <v>1554</v>
      </c>
      <c r="DL2228" s="496" t="s">
        <v>1555</v>
      </c>
      <c r="DM2228" s="496" t="s">
        <v>1556</v>
      </c>
      <c r="DN2228" s="497" t="s">
        <v>5258</v>
      </c>
      <c r="DP2228" s="543">
        <v>1</v>
      </c>
    </row>
    <row r="2229" spans="109:120" ht="15">
      <c r="DE2229" s="494"/>
      <c r="DF2229" s="496" t="s">
        <v>5372</v>
      </c>
      <c r="DG2229" s="496" t="s">
        <v>15</v>
      </c>
      <c r="DH2229" s="496" t="s">
        <v>689</v>
      </c>
      <c r="DI2229" s="496" t="s">
        <v>5373</v>
      </c>
      <c r="DJ2229" s="496" t="s">
        <v>5373</v>
      </c>
      <c r="DK2229" s="496" t="s">
        <v>1554</v>
      </c>
      <c r="DL2229" s="496" t="s">
        <v>1555</v>
      </c>
      <c r="DM2229" s="496" t="s">
        <v>1556</v>
      </c>
      <c r="DN2229" s="497" t="s">
        <v>5258</v>
      </c>
      <c r="DP2229" s="543">
        <v>1</v>
      </c>
    </row>
    <row r="2230" spans="109:120" ht="15">
      <c r="DE2230" s="494"/>
      <c r="DF2230" s="496" t="s">
        <v>5374</v>
      </c>
      <c r="DG2230" s="496" t="s">
        <v>15</v>
      </c>
      <c r="DH2230" s="496" t="s">
        <v>689</v>
      </c>
      <c r="DI2230" s="496" t="s">
        <v>5375</v>
      </c>
      <c r="DJ2230" s="496" t="s">
        <v>5375</v>
      </c>
      <c r="DK2230" s="496" t="s">
        <v>1554</v>
      </c>
      <c r="DL2230" s="496" t="s">
        <v>1555</v>
      </c>
      <c r="DM2230" s="496" t="s">
        <v>1556</v>
      </c>
      <c r="DN2230" s="497" t="s">
        <v>5258</v>
      </c>
      <c r="DP2230" s="543">
        <v>1</v>
      </c>
    </row>
    <row r="2231" spans="109:120" ht="15">
      <c r="DE2231" s="494"/>
      <c r="DF2231" s="496" t="s">
        <v>5376</v>
      </c>
      <c r="DG2231" s="496" t="s">
        <v>15</v>
      </c>
      <c r="DH2231" s="496" t="s">
        <v>689</v>
      </c>
      <c r="DI2231" s="496" t="s">
        <v>5377</v>
      </c>
      <c r="DJ2231" s="496" t="s">
        <v>5377</v>
      </c>
      <c r="DK2231" s="496" t="s">
        <v>1554</v>
      </c>
      <c r="DL2231" s="496" t="s">
        <v>1555</v>
      </c>
      <c r="DM2231" s="496" t="s">
        <v>1556</v>
      </c>
      <c r="DN2231" s="497" t="s">
        <v>5258</v>
      </c>
      <c r="DP2231" s="543">
        <v>1</v>
      </c>
    </row>
    <row r="2232" spans="109:120" ht="15">
      <c r="DE2232" s="494"/>
      <c r="DF2232" s="496" t="s">
        <v>5378</v>
      </c>
      <c r="DG2232" s="496" t="s">
        <v>15</v>
      </c>
      <c r="DH2232" s="496" t="s">
        <v>689</v>
      </c>
      <c r="DI2232" s="496" t="s">
        <v>5379</v>
      </c>
      <c r="DJ2232" s="496" t="s">
        <v>5379</v>
      </c>
      <c r="DK2232" s="496" t="s">
        <v>1554</v>
      </c>
      <c r="DL2232" s="496" t="s">
        <v>1555</v>
      </c>
      <c r="DM2232" s="496" t="s">
        <v>1556</v>
      </c>
      <c r="DN2232" s="497" t="s">
        <v>5258</v>
      </c>
      <c r="DP2232" s="543">
        <v>1</v>
      </c>
    </row>
    <row r="2233" spans="109:120" ht="15">
      <c r="DE2233" s="494"/>
      <c r="DF2233" s="496" t="s">
        <v>5380</v>
      </c>
      <c r="DG2233" s="496" t="s">
        <v>15</v>
      </c>
      <c r="DH2233" s="496" t="s">
        <v>689</v>
      </c>
      <c r="DI2233" s="496" t="s">
        <v>182</v>
      </c>
      <c r="DJ2233" s="496" t="s">
        <v>182</v>
      </c>
      <c r="DK2233" s="496" t="s">
        <v>1554</v>
      </c>
      <c r="DL2233" s="496" t="s">
        <v>1555</v>
      </c>
      <c r="DM2233" s="496" t="s">
        <v>1556</v>
      </c>
      <c r="DN2233" s="497" t="s">
        <v>5258</v>
      </c>
      <c r="DP2233" s="543">
        <v>1</v>
      </c>
    </row>
    <row r="2234" spans="109:120" ht="15">
      <c r="DE2234" s="494"/>
      <c r="DF2234" s="496" t="s">
        <v>5381</v>
      </c>
      <c r="DG2234" s="496" t="s">
        <v>15</v>
      </c>
      <c r="DH2234" s="496" t="s">
        <v>689</v>
      </c>
      <c r="DI2234" s="496" t="s">
        <v>5382</v>
      </c>
      <c r="DJ2234" s="496" t="s">
        <v>5382</v>
      </c>
      <c r="DK2234" s="496" t="s">
        <v>1554</v>
      </c>
      <c r="DL2234" s="496" t="s">
        <v>1555</v>
      </c>
      <c r="DM2234" s="496" t="s">
        <v>1556</v>
      </c>
      <c r="DN2234" s="497" t="s">
        <v>5258</v>
      </c>
      <c r="DP2234" s="543">
        <v>1</v>
      </c>
    </row>
    <row r="2235" spans="109:120" ht="15">
      <c r="DE2235" s="494"/>
      <c r="DF2235" s="496" t="s">
        <v>5383</v>
      </c>
      <c r="DG2235" s="496" t="s">
        <v>15</v>
      </c>
      <c r="DH2235" s="496" t="s">
        <v>689</v>
      </c>
      <c r="DI2235" s="496" t="s">
        <v>5384</v>
      </c>
      <c r="DJ2235" s="496" t="s">
        <v>5384</v>
      </c>
      <c r="DK2235" s="496" t="s">
        <v>1554</v>
      </c>
      <c r="DL2235" s="496" t="s">
        <v>1555</v>
      </c>
      <c r="DM2235" s="496" t="s">
        <v>1556</v>
      </c>
      <c r="DN2235" s="497" t="s">
        <v>5258</v>
      </c>
      <c r="DP2235" s="543">
        <v>1</v>
      </c>
    </row>
    <row r="2236" spans="109:120" ht="15">
      <c r="DE2236" s="494"/>
      <c r="DF2236" s="496" t="s">
        <v>5385</v>
      </c>
      <c r="DG2236" s="496" t="s">
        <v>15</v>
      </c>
      <c r="DH2236" s="496" t="s">
        <v>689</v>
      </c>
      <c r="DI2236" s="496" t="s">
        <v>5386</v>
      </c>
      <c r="DJ2236" s="496" t="s">
        <v>5386</v>
      </c>
      <c r="DK2236" s="496" t="s">
        <v>1554</v>
      </c>
      <c r="DL2236" s="496" t="s">
        <v>1555</v>
      </c>
      <c r="DM2236" s="496" t="s">
        <v>1556</v>
      </c>
      <c r="DN2236" s="497" t="s">
        <v>5258</v>
      </c>
      <c r="DP2236" s="543">
        <v>1</v>
      </c>
    </row>
    <row r="2237" spans="109:120" ht="15">
      <c r="DE2237" s="494"/>
      <c r="DF2237" s="496" t="s">
        <v>5387</v>
      </c>
      <c r="DG2237" s="496" t="s">
        <v>15</v>
      </c>
      <c r="DH2237" s="496" t="s">
        <v>689</v>
      </c>
      <c r="DI2237" s="496" t="s">
        <v>5388</v>
      </c>
      <c r="DJ2237" s="496" t="s">
        <v>5388</v>
      </c>
      <c r="DK2237" s="496" t="s">
        <v>1554</v>
      </c>
      <c r="DL2237" s="496" t="s">
        <v>1555</v>
      </c>
      <c r="DM2237" s="496" t="s">
        <v>1556</v>
      </c>
      <c r="DN2237" s="497" t="s">
        <v>5258</v>
      </c>
      <c r="DP2237" s="543">
        <v>1</v>
      </c>
    </row>
    <row r="2238" spans="109:120" ht="15">
      <c r="DE2238" s="494"/>
      <c r="DF2238" s="496" t="s">
        <v>5389</v>
      </c>
      <c r="DG2238" s="496" t="s">
        <v>15</v>
      </c>
      <c r="DH2238" s="496" t="s">
        <v>689</v>
      </c>
      <c r="DI2238" s="496" t="s">
        <v>5390</v>
      </c>
      <c r="DJ2238" s="496" t="s">
        <v>5390</v>
      </c>
      <c r="DK2238" s="496" t="s">
        <v>1554</v>
      </c>
      <c r="DL2238" s="496" t="s">
        <v>1555</v>
      </c>
      <c r="DM2238" s="496" t="s">
        <v>1556</v>
      </c>
      <c r="DN2238" s="497" t="s">
        <v>5258</v>
      </c>
      <c r="DP2238" s="543">
        <v>1</v>
      </c>
    </row>
    <row r="2239" spans="109:120" ht="15">
      <c r="DE2239" s="494"/>
      <c r="DF2239" s="496" t="s">
        <v>5391</v>
      </c>
      <c r="DG2239" s="496" t="s">
        <v>15</v>
      </c>
      <c r="DH2239" s="496" t="s">
        <v>689</v>
      </c>
      <c r="DI2239" s="496" t="s">
        <v>5392</v>
      </c>
      <c r="DJ2239" s="496" t="s">
        <v>5392</v>
      </c>
      <c r="DK2239" s="496" t="s">
        <v>1554</v>
      </c>
      <c r="DL2239" s="496" t="s">
        <v>1555</v>
      </c>
      <c r="DM2239" s="496" t="s">
        <v>1556</v>
      </c>
      <c r="DN2239" s="497" t="s">
        <v>5258</v>
      </c>
      <c r="DP2239" s="543">
        <v>1</v>
      </c>
    </row>
    <row r="2240" spans="109:120" ht="15">
      <c r="DE2240" s="494"/>
      <c r="DF2240" s="496" t="s">
        <v>5393</v>
      </c>
      <c r="DG2240" s="496" t="s">
        <v>15</v>
      </c>
      <c r="DH2240" s="496" t="s">
        <v>689</v>
      </c>
      <c r="DI2240" s="496" t="s">
        <v>5394</v>
      </c>
      <c r="DJ2240" s="496" t="s">
        <v>5394</v>
      </c>
      <c r="DK2240" s="496" t="s">
        <v>1554</v>
      </c>
      <c r="DL2240" s="496" t="s">
        <v>1555</v>
      </c>
      <c r="DM2240" s="496" t="s">
        <v>1556</v>
      </c>
      <c r="DN2240" s="497" t="s">
        <v>5258</v>
      </c>
      <c r="DP2240" s="543">
        <v>1</v>
      </c>
    </row>
    <row r="2241" spans="109:120" ht="15">
      <c r="DE2241" s="494"/>
      <c r="DF2241" s="496" t="s">
        <v>5395</v>
      </c>
      <c r="DG2241" s="496" t="s">
        <v>15</v>
      </c>
      <c r="DH2241" s="496" t="s">
        <v>689</v>
      </c>
      <c r="DI2241" s="496" t="s">
        <v>5396</v>
      </c>
      <c r="DJ2241" s="496" t="s">
        <v>5396</v>
      </c>
      <c r="DK2241" s="496" t="s">
        <v>1554</v>
      </c>
      <c r="DL2241" s="496" t="s">
        <v>1555</v>
      </c>
      <c r="DM2241" s="496" t="s">
        <v>1556</v>
      </c>
      <c r="DN2241" s="497" t="s">
        <v>5258</v>
      </c>
      <c r="DP2241" s="543">
        <v>1</v>
      </c>
    </row>
    <row r="2242" spans="109:120" ht="15">
      <c r="DE2242" s="494"/>
      <c r="DF2242" s="496" t="s">
        <v>5397</v>
      </c>
      <c r="DG2242" s="496" t="s">
        <v>15</v>
      </c>
      <c r="DH2242" s="496" t="s">
        <v>689</v>
      </c>
      <c r="DI2242" s="496" t="s">
        <v>5398</v>
      </c>
      <c r="DJ2242" s="496" t="s">
        <v>5398</v>
      </c>
      <c r="DK2242" s="496" t="s">
        <v>1554</v>
      </c>
      <c r="DL2242" s="496" t="s">
        <v>1555</v>
      </c>
      <c r="DM2242" s="496" t="s">
        <v>1556</v>
      </c>
      <c r="DN2242" s="497" t="s">
        <v>5258</v>
      </c>
      <c r="DP2242" s="543">
        <v>1</v>
      </c>
    </row>
    <row r="2243" spans="109:120" ht="15">
      <c r="DE2243" s="494"/>
      <c r="DF2243" s="496" t="s">
        <v>5399</v>
      </c>
      <c r="DG2243" s="496" t="s">
        <v>15</v>
      </c>
      <c r="DH2243" s="496" t="s">
        <v>689</v>
      </c>
      <c r="DI2243" s="496" t="s">
        <v>5400</v>
      </c>
      <c r="DJ2243" s="496" t="s">
        <v>5400</v>
      </c>
      <c r="DK2243" s="496" t="s">
        <v>1554</v>
      </c>
      <c r="DL2243" s="496" t="s">
        <v>1555</v>
      </c>
      <c r="DM2243" s="496" t="s">
        <v>1556</v>
      </c>
      <c r="DN2243" s="497" t="s">
        <v>5258</v>
      </c>
      <c r="DP2243" s="543">
        <v>1</v>
      </c>
    </row>
    <row r="2244" spans="109:120" ht="15">
      <c r="DE2244" s="494"/>
      <c r="DF2244" s="496" t="s">
        <v>5401</v>
      </c>
      <c r="DG2244" s="496" t="s">
        <v>15</v>
      </c>
      <c r="DH2244" s="496" t="s">
        <v>689</v>
      </c>
      <c r="DI2244" s="496" t="s">
        <v>5402</v>
      </c>
      <c r="DJ2244" s="496" t="s">
        <v>5402</v>
      </c>
      <c r="DK2244" s="496" t="s">
        <v>1554</v>
      </c>
      <c r="DL2244" s="496" t="s">
        <v>1555</v>
      </c>
      <c r="DM2244" s="496" t="s">
        <v>1556</v>
      </c>
      <c r="DN2244" s="497" t="s">
        <v>5258</v>
      </c>
      <c r="DP2244" s="543">
        <v>1</v>
      </c>
    </row>
    <row r="2245" spans="109:120" ht="15">
      <c r="DE2245" s="494"/>
      <c r="DF2245" s="496" t="s">
        <v>5403</v>
      </c>
      <c r="DG2245" s="496" t="s">
        <v>15</v>
      </c>
      <c r="DH2245" s="496" t="s">
        <v>689</v>
      </c>
      <c r="DI2245" s="496" t="s">
        <v>186</v>
      </c>
      <c r="DJ2245" s="496" t="s">
        <v>186</v>
      </c>
      <c r="DK2245" s="496" t="s">
        <v>1085</v>
      </c>
      <c r="DL2245" s="496" t="s">
        <v>5284</v>
      </c>
      <c r="DM2245" s="496" t="s">
        <v>1087</v>
      </c>
      <c r="DN2245" s="497" t="s">
        <v>1088</v>
      </c>
      <c r="DP2245" s="543">
        <v>1</v>
      </c>
    </row>
    <row r="2246" spans="109:120" ht="15">
      <c r="DE2246" s="494"/>
      <c r="DF2246" s="496" t="s">
        <v>5404</v>
      </c>
      <c r="DG2246" s="496" t="s">
        <v>15</v>
      </c>
      <c r="DH2246" s="496" t="s">
        <v>689</v>
      </c>
      <c r="DI2246" s="496" t="s">
        <v>5405</v>
      </c>
      <c r="DJ2246" s="496" t="s">
        <v>5405</v>
      </c>
      <c r="DK2246" s="496" t="s">
        <v>1085</v>
      </c>
      <c r="DL2246" s="496" t="s">
        <v>5284</v>
      </c>
      <c r="DM2246" s="496" t="s">
        <v>1087</v>
      </c>
      <c r="DN2246" s="497" t="s">
        <v>1088</v>
      </c>
      <c r="DP2246" s="543">
        <v>1</v>
      </c>
    </row>
    <row r="2247" spans="109:120" ht="15">
      <c r="DE2247" s="494"/>
      <c r="DF2247" s="496" t="s">
        <v>5406</v>
      </c>
      <c r="DG2247" s="496" t="s">
        <v>15</v>
      </c>
      <c r="DH2247" s="496" t="s">
        <v>689</v>
      </c>
      <c r="DI2247" s="496" t="s">
        <v>162</v>
      </c>
      <c r="DJ2247" s="496" t="s">
        <v>162</v>
      </c>
      <c r="DK2247" s="496" t="s">
        <v>1085</v>
      </c>
      <c r="DL2247" s="496" t="s">
        <v>5284</v>
      </c>
      <c r="DM2247" s="496" t="s">
        <v>1087</v>
      </c>
      <c r="DN2247" s="497" t="s">
        <v>1088</v>
      </c>
      <c r="DP2247" s="543">
        <v>1</v>
      </c>
    </row>
    <row r="2248" spans="109:120" ht="15">
      <c r="DE2248" s="494"/>
      <c r="DF2248" s="496" t="s">
        <v>5407</v>
      </c>
      <c r="DG2248" s="496" t="s">
        <v>15</v>
      </c>
      <c r="DH2248" s="496" t="s">
        <v>689</v>
      </c>
      <c r="DI2248" s="496" t="s">
        <v>168</v>
      </c>
      <c r="DJ2248" s="496" t="s">
        <v>168</v>
      </c>
      <c r="DK2248" s="496" t="s">
        <v>1085</v>
      </c>
      <c r="DL2248" s="496" t="s">
        <v>5284</v>
      </c>
      <c r="DM2248" s="496" t="s">
        <v>1087</v>
      </c>
      <c r="DN2248" s="497" t="s">
        <v>1088</v>
      </c>
      <c r="DP2248" s="543">
        <v>1</v>
      </c>
    </row>
    <row r="2249" spans="109:120" ht="15">
      <c r="DE2249" s="494"/>
      <c r="DF2249" s="496" t="s">
        <v>5408</v>
      </c>
      <c r="DG2249" s="496" t="s">
        <v>15</v>
      </c>
      <c r="DH2249" s="496" t="s">
        <v>689</v>
      </c>
      <c r="DI2249" s="496" t="s">
        <v>5409</v>
      </c>
      <c r="DJ2249" s="496" t="s">
        <v>5410</v>
      </c>
      <c r="DK2249" s="496" t="s">
        <v>1085</v>
      </c>
      <c r="DL2249" s="496" t="s">
        <v>5284</v>
      </c>
      <c r="DM2249" s="496" t="s">
        <v>1087</v>
      </c>
      <c r="DN2249" s="497" t="s">
        <v>1088</v>
      </c>
      <c r="DP2249" s="543">
        <v>1</v>
      </c>
    </row>
    <row r="2250" spans="109:120" ht="15">
      <c r="DE2250" s="494"/>
      <c r="DF2250" s="496" t="s">
        <v>5411</v>
      </c>
      <c r="DG2250" s="496" t="s">
        <v>15</v>
      </c>
      <c r="DH2250" s="496" t="s">
        <v>689</v>
      </c>
      <c r="DI2250" s="496" t="s">
        <v>5412</v>
      </c>
      <c r="DJ2250" s="496" t="s">
        <v>5412</v>
      </c>
      <c r="DK2250" s="496" t="s">
        <v>1554</v>
      </c>
      <c r="DL2250" s="496" t="s">
        <v>1555</v>
      </c>
      <c r="DM2250" s="496" t="s">
        <v>1556</v>
      </c>
      <c r="DN2250" s="497" t="s">
        <v>5258</v>
      </c>
      <c r="DP2250" s="543">
        <v>1</v>
      </c>
    </row>
    <row r="2251" spans="109:120" ht="15">
      <c r="DE2251" s="494"/>
      <c r="DF2251" s="496" t="s">
        <v>5413</v>
      </c>
      <c r="DG2251" s="496" t="s">
        <v>15</v>
      </c>
      <c r="DH2251" s="496" t="s">
        <v>689</v>
      </c>
      <c r="DI2251" s="496" t="s">
        <v>5414</v>
      </c>
      <c r="DJ2251" s="496" t="s">
        <v>5414</v>
      </c>
      <c r="DK2251" s="496" t="s">
        <v>1554</v>
      </c>
      <c r="DL2251" s="496" t="s">
        <v>1555</v>
      </c>
      <c r="DM2251" s="496" t="s">
        <v>1556</v>
      </c>
      <c r="DN2251" s="497" t="s">
        <v>5258</v>
      </c>
      <c r="DP2251" s="543">
        <v>1</v>
      </c>
    </row>
    <row r="2252" spans="109:120" ht="15">
      <c r="DE2252" s="494"/>
      <c r="DF2252" s="496" t="s">
        <v>5415</v>
      </c>
      <c r="DG2252" s="496" t="s">
        <v>15</v>
      </c>
      <c r="DH2252" s="496" t="s">
        <v>689</v>
      </c>
      <c r="DI2252" s="496" t="s">
        <v>5416</v>
      </c>
      <c r="DJ2252" s="496" t="s">
        <v>5416</v>
      </c>
      <c r="DK2252" s="496" t="s">
        <v>1554</v>
      </c>
      <c r="DL2252" s="496" t="s">
        <v>1555</v>
      </c>
      <c r="DM2252" s="496" t="s">
        <v>1556</v>
      </c>
      <c r="DN2252" s="497" t="s">
        <v>5258</v>
      </c>
      <c r="DP2252" s="543">
        <v>1</v>
      </c>
    </row>
    <row r="2253" spans="109:120" ht="15">
      <c r="DE2253" s="494"/>
      <c r="DF2253" s="496" t="s">
        <v>5417</v>
      </c>
      <c r="DG2253" s="496" t="s">
        <v>15</v>
      </c>
      <c r="DH2253" s="496" t="s">
        <v>689</v>
      </c>
      <c r="DI2253" s="496" t="s">
        <v>865</v>
      </c>
      <c r="DJ2253" s="496" t="s">
        <v>865</v>
      </c>
      <c r="DK2253" s="496" t="s">
        <v>1085</v>
      </c>
      <c r="DL2253" s="496" t="s">
        <v>5284</v>
      </c>
      <c r="DM2253" s="496" t="s">
        <v>1087</v>
      </c>
      <c r="DN2253" s="497" t="s">
        <v>1088</v>
      </c>
      <c r="DP2253" s="543">
        <v>1</v>
      </c>
    </row>
    <row r="2254" spans="109:120" ht="15">
      <c r="DE2254" s="494"/>
      <c r="DF2254" s="496" t="s">
        <v>5418</v>
      </c>
      <c r="DG2254" s="496" t="s">
        <v>15</v>
      </c>
      <c r="DH2254" s="496" t="s">
        <v>689</v>
      </c>
      <c r="DI2254" s="496" t="s">
        <v>5419</v>
      </c>
      <c r="DJ2254" s="496" t="s">
        <v>5419</v>
      </c>
      <c r="DK2254" s="496" t="s">
        <v>1085</v>
      </c>
      <c r="DL2254" s="496" t="s">
        <v>5284</v>
      </c>
      <c r="DM2254" s="496" t="s">
        <v>1087</v>
      </c>
      <c r="DN2254" s="497" t="s">
        <v>1088</v>
      </c>
      <c r="DP2254" s="543">
        <v>1</v>
      </c>
    </row>
    <row r="2255" spans="109:120" ht="15">
      <c r="DE2255" s="494"/>
      <c r="DF2255" s="496" t="s">
        <v>5420</v>
      </c>
      <c r="DG2255" s="496" t="s">
        <v>15</v>
      </c>
      <c r="DH2255" s="496" t="s">
        <v>689</v>
      </c>
      <c r="DI2255" s="496" t="s">
        <v>5421</v>
      </c>
      <c r="DJ2255" s="496" t="s">
        <v>5421</v>
      </c>
      <c r="DK2255" s="496" t="s">
        <v>1554</v>
      </c>
      <c r="DL2255" s="496" t="s">
        <v>1555</v>
      </c>
      <c r="DM2255" s="496" t="s">
        <v>1556</v>
      </c>
      <c r="DN2255" s="497" t="s">
        <v>5258</v>
      </c>
      <c r="DP2255" s="543">
        <v>1</v>
      </c>
    </row>
    <row r="2256" spans="109:120" ht="15">
      <c r="DE2256" s="494"/>
      <c r="DF2256" s="496" t="s">
        <v>5422</v>
      </c>
      <c r="DG2256" s="496" t="s">
        <v>15</v>
      </c>
      <c r="DH2256" s="496" t="s">
        <v>689</v>
      </c>
      <c r="DI2256" s="496" t="s">
        <v>5423</v>
      </c>
      <c r="DJ2256" s="496" t="s">
        <v>5423</v>
      </c>
      <c r="DK2256" s="496" t="s">
        <v>1554</v>
      </c>
      <c r="DL2256" s="496" t="s">
        <v>1555</v>
      </c>
      <c r="DM2256" s="496" t="s">
        <v>1556</v>
      </c>
      <c r="DN2256" s="497" t="s">
        <v>5258</v>
      </c>
      <c r="DP2256" s="543">
        <v>1</v>
      </c>
    </row>
    <row r="2257" spans="109:120" ht="15">
      <c r="DE2257" s="494"/>
      <c r="DF2257" s="496" t="s">
        <v>5424</v>
      </c>
      <c r="DG2257" s="496" t="s">
        <v>15</v>
      </c>
      <c r="DH2257" s="496" t="s">
        <v>689</v>
      </c>
      <c r="DI2257" s="496" t="s">
        <v>5425</v>
      </c>
      <c r="DJ2257" s="496" t="s">
        <v>5425</v>
      </c>
      <c r="DK2257" s="496" t="s">
        <v>1554</v>
      </c>
      <c r="DL2257" s="496" t="s">
        <v>1555</v>
      </c>
      <c r="DM2257" s="496" t="s">
        <v>1556</v>
      </c>
      <c r="DN2257" s="497" t="s">
        <v>5258</v>
      </c>
      <c r="DP2257" s="543">
        <v>1</v>
      </c>
    </row>
    <row r="2258" spans="109:120" ht="15">
      <c r="DE2258" s="494"/>
      <c r="DF2258" s="496" t="s">
        <v>5426</v>
      </c>
      <c r="DG2258" s="496" t="s">
        <v>15</v>
      </c>
      <c r="DH2258" s="496" t="s">
        <v>689</v>
      </c>
      <c r="DI2258" s="496" t="s">
        <v>5427</v>
      </c>
      <c r="DJ2258" s="496" t="s">
        <v>5427</v>
      </c>
      <c r="DK2258" s="496" t="s">
        <v>1554</v>
      </c>
      <c r="DL2258" s="496" t="s">
        <v>1555</v>
      </c>
      <c r="DM2258" s="496" t="s">
        <v>1556</v>
      </c>
      <c r="DN2258" s="497" t="s">
        <v>5258</v>
      </c>
      <c r="DP2258" s="543">
        <v>1</v>
      </c>
    </row>
    <row r="2259" spans="109:120" ht="15">
      <c r="DE2259" s="494"/>
      <c r="DF2259" s="496" t="s">
        <v>5428</v>
      </c>
      <c r="DG2259" s="496" t="s">
        <v>15</v>
      </c>
      <c r="DH2259" s="496" t="s">
        <v>689</v>
      </c>
      <c r="DI2259" s="496" t="s">
        <v>5429</v>
      </c>
      <c r="DJ2259" s="496" t="s">
        <v>5429</v>
      </c>
      <c r="DK2259" s="496" t="s">
        <v>1554</v>
      </c>
      <c r="DL2259" s="496" t="s">
        <v>1555</v>
      </c>
      <c r="DM2259" s="496" t="s">
        <v>1556</v>
      </c>
      <c r="DN2259" s="497" t="s">
        <v>5258</v>
      </c>
      <c r="DP2259" s="543">
        <v>1</v>
      </c>
    </row>
    <row r="2260" spans="109:120" ht="15">
      <c r="DE2260" s="494"/>
      <c r="DF2260" s="496" t="s">
        <v>5430</v>
      </c>
      <c r="DG2260" s="496" t="s">
        <v>15</v>
      </c>
      <c r="DH2260" s="496" t="s">
        <v>689</v>
      </c>
      <c r="DI2260" s="496" t="s">
        <v>5431</v>
      </c>
      <c r="DJ2260" s="496" t="s">
        <v>78</v>
      </c>
      <c r="DK2260" s="496" t="s">
        <v>1085</v>
      </c>
      <c r="DL2260" s="496" t="s">
        <v>5284</v>
      </c>
      <c r="DM2260" s="496" t="s">
        <v>1087</v>
      </c>
      <c r="DN2260" s="497" t="s">
        <v>1088</v>
      </c>
      <c r="DP2260" s="543">
        <v>1</v>
      </c>
    </row>
    <row r="2261" spans="109:120" ht="15">
      <c r="DE2261" s="494"/>
      <c r="DF2261" s="496" t="s">
        <v>5432</v>
      </c>
      <c r="DG2261" s="496" t="s">
        <v>15</v>
      </c>
      <c r="DH2261" s="496" t="s">
        <v>689</v>
      </c>
      <c r="DI2261" s="496" t="s">
        <v>5433</v>
      </c>
      <c r="DJ2261" s="496" t="s">
        <v>5433</v>
      </c>
      <c r="DK2261" s="496" t="s">
        <v>1554</v>
      </c>
      <c r="DL2261" s="496" t="s">
        <v>1555</v>
      </c>
      <c r="DM2261" s="496" t="s">
        <v>1556</v>
      </c>
      <c r="DN2261" s="497" t="s">
        <v>5258</v>
      </c>
      <c r="DP2261" s="543">
        <v>1</v>
      </c>
    </row>
    <row r="2262" spans="109:120" ht="15">
      <c r="DE2262" s="494"/>
      <c r="DF2262" s="496" t="s">
        <v>5434</v>
      </c>
      <c r="DG2262" s="496" t="s">
        <v>15</v>
      </c>
      <c r="DH2262" s="496" t="s">
        <v>689</v>
      </c>
      <c r="DI2262" s="496" t="s">
        <v>1005</v>
      </c>
      <c r="DJ2262" s="496" t="s">
        <v>1005</v>
      </c>
      <c r="DK2262" s="496" t="s">
        <v>1554</v>
      </c>
      <c r="DL2262" s="496" t="s">
        <v>1555</v>
      </c>
      <c r="DM2262" s="496" t="s">
        <v>1556</v>
      </c>
      <c r="DN2262" s="497" t="s">
        <v>5258</v>
      </c>
      <c r="DP2262" s="543">
        <v>1</v>
      </c>
    </row>
    <row r="2263" spans="109:120" ht="15">
      <c r="DE2263" s="494"/>
      <c r="DF2263" s="496" t="s">
        <v>5435</v>
      </c>
      <c r="DG2263" s="496" t="s">
        <v>15</v>
      </c>
      <c r="DH2263" s="496" t="s">
        <v>689</v>
      </c>
      <c r="DI2263" s="496" t="s">
        <v>5436</v>
      </c>
      <c r="DJ2263" s="496" t="s">
        <v>5436</v>
      </c>
      <c r="DK2263" s="496" t="s">
        <v>1554</v>
      </c>
      <c r="DL2263" s="496" t="s">
        <v>1555</v>
      </c>
      <c r="DM2263" s="496" t="s">
        <v>1556</v>
      </c>
      <c r="DN2263" s="497" t="s">
        <v>5258</v>
      </c>
      <c r="DP2263" s="543">
        <v>1</v>
      </c>
    </row>
    <row r="2264" spans="109:120" ht="15">
      <c r="DE2264" s="494"/>
      <c r="DF2264" s="496" t="s">
        <v>5437</v>
      </c>
      <c r="DG2264" s="496" t="s">
        <v>15</v>
      </c>
      <c r="DH2264" s="496" t="s">
        <v>689</v>
      </c>
      <c r="DI2264" s="496" t="s">
        <v>5438</v>
      </c>
      <c r="DJ2264" s="496" t="s">
        <v>5438</v>
      </c>
      <c r="DK2264" s="496" t="s">
        <v>1554</v>
      </c>
      <c r="DL2264" s="496" t="s">
        <v>1555</v>
      </c>
      <c r="DM2264" s="496" t="s">
        <v>1556</v>
      </c>
      <c r="DN2264" s="497" t="s">
        <v>5258</v>
      </c>
      <c r="DP2264" s="543">
        <v>1</v>
      </c>
    </row>
    <row r="2265" spans="109:120" ht="15">
      <c r="DE2265" s="494"/>
      <c r="DF2265" s="496" t="s">
        <v>5439</v>
      </c>
      <c r="DG2265" s="496" t="s">
        <v>15</v>
      </c>
      <c r="DH2265" s="496" t="s">
        <v>689</v>
      </c>
      <c r="DI2265" s="496" t="s">
        <v>5440</v>
      </c>
      <c r="DJ2265" s="496" t="s">
        <v>5440</v>
      </c>
      <c r="DK2265" s="496" t="s">
        <v>1554</v>
      </c>
      <c r="DL2265" s="496" t="s">
        <v>1555</v>
      </c>
      <c r="DM2265" s="496" t="s">
        <v>1556</v>
      </c>
      <c r="DN2265" s="497" t="s">
        <v>5258</v>
      </c>
      <c r="DP2265" s="543">
        <v>1</v>
      </c>
    </row>
    <row r="2266" spans="109:120" ht="15">
      <c r="DE2266" s="494"/>
      <c r="DF2266" s="496" t="s">
        <v>5441</v>
      </c>
      <c r="DG2266" s="496" t="s">
        <v>15</v>
      </c>
      <c r="DH2266" s="496" t="s">
        <v>689</v>
      </c>
      <c r="DI2266" s="496" t="s">
        <v>5442</v>
      </c>
      <c r="DJ2266" s="496" t="s">
        <v>5442</v>
      </c>
      <c r="DK2266" s="496" t="s">
        <v>1554</v>
      </c>
      <c r="DL2266" s="496" t="s">
        <v>1555</v>
      </c>
      <c r="DM2266" s="496" t="s">
        <v>1556</v>
      </c>
      <c r="DN2266" s="497" t="s">
        <v>5258</v>
      </c>
      <c r="DP2266" s="543">
        <v>1</v>
      </c>
    </row>
    <row r="2267" spans="109:120" ht="15">
      <c r="DE2267" s="494"/>
      <c r="DF2267" s="496" t="s">
        <v>5443</v>
      </c>
      <c r="DG2267" s="496" t="s">
        <v>15</v>
      </c>
      <c r="DH2267" s="496" t="s">
        <v>689</v>
      </c>
      <c r="DI2267" s="496" t="s">
        <v>1006</v>
      </c>
      <c r="DJ2267" s="496" t="s">
        <v>1006</v>
      </c>
      <c r="DK2267" s="496" t="s">
        <v>1554</v>
      </c>
      <c r="DL2267" s="496" t="s">
        <v>1555</v>
      </c>
      <c r="DM2267" s="496" t="s">
        <v>1556</v>
      </c>
      <c r="DN2267" s="497" t="s">
        <v>5258</v>
      </c>
      <c r="DP2267" s="543">
        <v>1</v>
      </c>
    </row>
    <row r="2268" spans="109:120" ht="15">
      <c r="DE2268" s="494"/>
      <c r="DF2268" s="496" t="s">
        <v>5444</v>
      </c>
      <c r="DG2268" s="496" t="s">
        <v>15</v>
      </c>
      <c r="DH2268" s="496" t="s">
        <v>689</v>
      </c>
      <c r="DI2268" s="496" t="s">
        <v>5445</v>
      </c>
      <c r="DJ2268" s="496" t="s">
        <v>5445</v>
      </c>
      <c r="DK2268" s="496" t="s">
        <v>1554</v>
      </c>
      <c r="DL2268" s="496" t="s">
        <v>1555</v>
      </c>
      <c r="DM2268" s="496" t="s">
        <v>1556</v>
      </c>
      <c r="DN2268" s="497" t="s">
        <v>5258</v>
      </c>
      <c r="DP2268" s="543">
        <v>1</v>
      </c>
    </row>
    <row r="2269" spans="109:120" ht="15">
      <c r="DE2269" s="494"/>
      <c r="DF2269" s="496" t="s">
        <v>5446</v>
      </c>
      <c r="DG2269" s="496" t="s">
        <v>15</v>
      </c>
      <c r="DH2269" s="496" t="s">
        <v>689</v>
      </c>
      <c r="DI2269" s="496" t="s">
        <v>5447</v>
      </c>
      <c r="DJ2269" s="496" t="s">
        <v>5447</v>
      </c>
      <c r="DK2269" s="496" t="s">
        <v>1554</v>
      </c>
      <c r="DL2269" s="496" t="s">
        <v>1555</v>
      </c>
      <c r="DM2269" s="496" t="s">
        <v>1556</v>
      </c>
      <c r="DN2269" s="497" t="s">
        <v>5258</v>
      </c>
      <c r="DP2269" s="543">
        <v>1</v>
      </c>
    </row>
    <row r="2270" spans="109:120" ht="15">
      <c r="DE2270" s="494"/>
      <c r="DF2270" s="496" t="s">
        <v>5448</v>
      </c>
      <c r="DG2270" s="496" t="s">
        <v>15</v>
      </c>
      <c r="DH2270" s="496" t="s">
        <v>689</v>
      </c>
      <c r="DI2270" s="496" t="s">
        <v>5449</v>
      </c>
      <c r="DJ2270" s="496" t="s">
        <v>5449</v>
      </c>
      <c r="DK2270" s="496" t="s">
        <v>1554</v>
      </c>
      <c r="DL2270" s="496" t="s">
        <v>1555</v>
      </c>
      <c r="DM2270" s="496" t="s">
        <v>1556</v>
      </c>
      <c r="DN2270" s="497" t="s">
        <v>5258</v>
      </c>
      <c r="DP2270" s="543">
        <v>1</v>
      </c>
    </row>
    <row r="2271" spans="109:120" ht="15">
      <c r="DE2271" s="494"/>
      <c r="DF2271" s="496" t="s">
        <v>5450</v>
      </c>
      <c r="DG2271" s="496" t="s">
        <v>15</v>
      </c>
      <c r="DH2271" s="496" t="s">
        <v>689</v>
      </c>
      <c r="DI2271" s="496" t="s">
        <v>5451</v>
      </c>
      <c r="DJ2271" s="496" t="s">
        <v>5451</v>
      </c>
      <c r="DK2271" s="496" t="s">
        <v>1554</v>
      </c>
      <c r="DL2271" s="496" t="s">
        <v>1555</v>
      </c>
      <c r="DM2271" s="496" t="s">
        <v>1556</v>
      </c>
      <c r="DN2271" s="497" t="s">
        <v>5258</v>
      </c>
      <c r="DP2271" s="543">
        <v>1</v>
      </c>
    </row>
    <row r="2272" spans="109:120" ht="15">
      <c r="DE2272" s="494"/>
      <c r="DF2272" s="496" t="s">
        <v>5452</v>
      </c>
      <c r="DG2272" s="496" t="s">
        <v>15</v>
      </c>
      <c r="DH2272" s="496" t="s">
        <v>689</v>
      </c>
      <c r="DI2272" s="496" t="s">
        <v>5453</v>
      </c>
      <c r="DJ2272" s="496" t="s">
        <v>90</v>
      </c>
      <c r="DK2272" s="496" t="s">
        <v>1085</v>
      </c>
      <c r="DL2272" s="496" t="s">
        <v>5284</v>
      </c>
      <c r="DM2272" s="496" t="s">
        <v>1087</v>
      </c>
      <c r="DN2272" s="497" t="s">
        <v>1088</v>
      </c>
      <c r="DP2272" s="543">
        <v>1</v>
      </c>
    </row>
    <row r="2273" spans="109:120" ht="15">
      <c r="DE2273" s="494"/>
      <c r="DF2273" s="496" t="s">
        <v>5454</v>
      </c>
      <c r="DG2273" s="496" t="s">
        <v>15</v>
      </c>
      <c r="DH2273" s="496" t="s">
        <v>689</v>
      </c>
      <c r="DI2273" s="496" t="s">
        <v>5455</v>
      </c>
      <c r="DJ2273" s="496" t="s">
        <v>5455</v>
      </c>
      <c r="DK2273" s="496" t="s">
        <v>1554</v>
      </c>
      <c r="DL2273" s="496" t="s">
        <v>1555</v>
      </c>
      <c r="DM2273" s="496" t="s">
        <v>1556</v>
      </c>
      <c r="DN2273" s="497" t="s">
        <v>5258</v>
      </c>
      <c r="DP2273" s="543">
        <v>1</v>
      </c>
    </row>
    <row r="2274" spans="109:120" ht="15">
      <c r="DE2274" s="494"/>
      <c r="DF2274" s="496" t="s">
        <v>5456</v>
      </c>
      <c r="DG2274" s="496" t="s">
        <v>15</v>
      </c>
      <c r="DH2274" s="496" t="s">
        <v>689</v>
      </c>
      <c r="DI2274" s="496" t="s">
        <v>5457</v>
      </c>
      <c r="DJ2274" s="496" t="s">
        <v>5457</v>
      </c>
      <c r="DK2274" s="496" t="s">
        <v>1554</v>
      </c>
      <c r="DL2274" s="496" t="s">
        <v>1555</v>
      </c>
      <c r="DM2274" s="496" t="s">
        <v>1556</v>
      </c>
      <c r="DN2274" s="497" t="s">
        <v>5258</v>
      </c>
      <c r="DP2274" s="543">
        <v>1</v>
      </c>
    </row>
    <row r="2275" spans="109:120" ht="15">
      <c r="DE2275" s="494"/>
      <c r="DF2275" s="496" t="s">
        <v>5458</v>
      </c>
      <c r="DG2275" s="496" t="s">
        <v>15</v>
      </c>
      <c r="DH2275" s="496" t="s">
        <v>689</v>
      </c>
      <c r="DI2275" s="496" t="s">
        <v>5459</v>
      </c>
      <c r="DJ2275" s="496" t="s">
        <v>5459</v>
      </c>
      <c r="DK2275" s="496" t="s">
        <v>1085</v>
      </c>
      <c r="DL2275" s="496" t="s">
        <v>5284</v>
      </c>
      <c r="DM2275" s="496" t="s">
        <v>1087</v>
      </c>
      <c r="DN2275" s="497" t="s">
        <v>1088</v>
      </c>
      <c r="DP2275" s="543">
        <v>1</v>
      </c>
    </row>
    <row r="2276" spans="109:120" ht="15">
      <c r="DE2276" s="494"/>
      <c r="DF2276" s="496" t="s">
        <v>5460</v>
      </c>
      <c r="DG2276" s="496" t="s">
        <v>15</v>
      </c>
      <c r="DH2276" s="496" t="s">
        <v>689</v>
      </c>
      <c r="DI2276" s="496" t="s">
        <v>5461</v>
      </c>
      <c r="DJ2276" s="496" t="s">
        <v>5461</v>
      </c>
      <c r="DK2276" s="496" t="s">
        <v>1554</v>
      </c>
      <c r="DL2276" s="496" t="s">
        <v>1555</v>
      </c>
      <c r="DM2276" s="496" t="s">
        <v>1556</v>
      </c>
      <c r="DN2276" s="497" t="s">
        <v>5258</v>
      </c>
      <c r="DP2276" s="543">
        <v>1</v>
      </c>
    </row>
    <row r="2277" spans="109:120" ht="15">
      <c r="DE2277" s="494"/>
      <c r="DF2277" s="496" t="s">
        <v>5462</v>
      </c>
      <c r="DG2277" s="496" t="s">
        <v>15</v>
      </c>
      <c r="DH2277" s="496" t="s">
        <v>689</v>
      </c>
      <c r="DI2277" s="496" t="s">
        <v>5463</v>
      </c>
      <c r="DJ2277" s="496" t="s">
        <v>5463</v>
      </c>
      <c r="DK2277" s="496" t="s">
        <v>1554</v>
      </c>
      <c r="DL2277" s="496" t="s">
        <v>1555</v>
      </c>
      <c r="DM2277" s="496" t="s">
        <v>1556</v>
      </c>
      <c r="DN2277" s="497" t="s">
        <v>5258</v>
      </c>
      <c r="DP2277" s="543">
        <v>1</v>
      </c>
    </row>
    <row r="2278" spans="109:120" ht="15">
      <c r="DE2278" s="494"/>
      <c r="DF2278" s="496" t="s">
        <v>5464</v>
      </c>
      <c r="DG2278" s="496" t="s">
        <v>15</v>
      </c>
      <c r="DH2278" s="496" t="s">
        <v>689</v>
      </c>
      <c r="DI2278" s="496" t="s">
        <v>5465</v>
      </c>
      <c r="DJ2278" s="496" t="s">
        <v>5465</v>
      </c>
      <c r="DK2278" s="496" t="s">
        <v>1554</v>
      </c>
      <c r="DL2278" s="496" t="s">
        <v>1555</v>
      </c>
      <c r="DM2278" s="496" t="s">
        <v>1556</v>
      </c>
      <c r="DN2278" s="497" t="s">
        <v>5258</v>
      </c>
      <c r="DP2278" s="543">
        <v>1</v>
      </c>
    </row>
    <row r="2279" spans="109:120" ht="15">
      <c r="DE2279" s="494"/>
      <c r="DF2279" s="496" t="s">
        <v>5466</v>
      </c>
      <c r="DG2279" s="496" t="s">
        <v>15</v>
      </c>
      <c r="DH2279" s="496" t="s">
        <v>689</v>
      </c>
      <c r="DI2279" s="496" t="s">
        <v>5467</v>
      </c>
      <c r="DJ2279" s="496" t="s">
        <v>5467</v>
      </c>
      <c r="DK2279" s="496" t="s">
        <v>1554</v>
      </c>
      <c r="DL2279" s="496" t="s">
        <v>1555</v>
      </c>
      <c r="DM2279" s="496" t="s">
        <v>1556</v>
      </c>
      <c r="DN2279" s="497" t="s">
        <v>5258</v>
      </c>
      <c r="DP2279" s="543">
        <v>1</v>
      </c>
    </row>
    <row r="2280" spans="109:120" ht="15">
      <c r="DE2280" s="494"/>
      <c r="DF2280" s="496" t="s">
        <v>5468</v>
      </c>
      <c r="DG2280" s="496" t="s">
        <v>15</v>
      </c>
      <c r="DH2280" s="496" t="s">
        <v>689</v>
      </c>
      <c r="DI2280" s="496" t="s">
        <v>5469</v>
      </c>
      <c r="DJ2280" s="496" t="s">
        <v>5469</v>
      </c>
      <c r="DK2280" s="496" t="s">
        <v>1554</v>
      </c>
      <c r="DL2280" s="496" t="s">
        <v>1555</v>
      </c>
      <c r="DM2280" s="496" t="s">
        <v>1556</v>
      </c>
      <c r="DN2280" s="497" t="s">
        <v>5258</v>
      </c>
      <c r="DP2280" s="543">
        <v>1</v>
      </c>
    </row>
    <row r="2281" spans="109:120" ht="15">
      <c r="DE2281" s="494"/>
      <c r="DF2281" s="496" t="s">
        <v>5470</v>
      </c>
      <c r="DG2281" s="496" t="s">
        <v>15</v>
      </c>
      <c r="DH2281" s="496" t="s">
        <v>689</v>
      </c>
      <c r="DI2281" s="496" t="s">
        <v>5471</v>
      </c>
      <c r="DJ2281" s="496" t="s">
        <v>5471</v>
      </c>
      <c r="DK2281" s="496" t="s">
        <v>1554</v>
      </c>
      <c r="DL2281" s="496" t="s">
        <v>1555</v>
      </c>
      <c r="DM2281" s="496" t="s">
        <v>1556</v>
      </c>
      <c r="DN2281" s="497" t="s">
        <v>5258</v>
      </c>
      <c r="DP2281" s="543">
        <v>1</v>
      </c>
    </row>
    <row r="2282" spans="109:120" ht="15">
      <c r="DE2282" s="494"/>
      <c r="DF2282" s="496" t="s">
        <v>5472</v>
      </c>
      <c r="DG2282" s="496" t="s">
        <v>15</v>
      </c>
      <c r="DH2282" s="496" t="s">
        <v>689</v>
      </c>
      <c r="DI2282" s="496" t="s">
        <v>5473</v>
      </c>
      <c r="DJ2282" s="496" t="s">
        <v>5473</v>
      </c>
      <c r="DK2282" s="496" t="s">
        <v>1554</v>
      </c>
      <c r="DL2282" s="496" t="s">
        <v>1555</v>
      </c>
      <c r="DM2282" s="496" t="s">
        <v>1556</v>
      </c>
      <c r="DN2282" s="497" t="s">
        <v>5258</v>
      </c>
      <c r="DP2282" s="543">
        <v>1</v>
      </c>
    </row>
    <row r="2283" spans="109:120" ht="15">
      <c r="DE2283" s="494"/>
      <c r="DF2283" s="496" t="s">
        <v>5474</v>
      </c>
      <c r="DG2283" s="496" t="s">
        <v>15</v>
      </c>
      <c r="DH2283" s="496" t="s">
        <v>689</v>
      </c>
      <c r="DI2283" s="496" t="s">
        <v>5475</v>
      </c>
      <c r="DJ2283" s="496" t="s">
        <v>5475</v>
      </c>
      <c r="DK2283" s="496" t="s">
        <v>1554</v>
      </c>
      <c r="DL2283" s="496" t="s">
        <v>1555</v>
      </c>
      <c r="DM2283" s="496" t="s">
        <v>1556</v>
      </c>
      <c r="DN2283" s="497" t="s">
        <v>5258</v>
      </c>
      <c r="DP2283" s="543">
        <v>1</v>
      </c>
    </row>
    <row r="2284" spans="109:120" ht="15">
      <c r="DE2284" s="494"/>
      <c r="DF2284" s="496" t="s">
        <v>5476</v>
      </c>
      <c r="DG2284" s="496" t="s">
        <v>15</v>
      </c>
      <c r="DH2284" s="496" t="s">
        <v>689</v>
      </c>
      <c r="DI2284" s="496" t="s">
        <v>5477</v>
      </c>
      <c r="DJ2284" s="496" t="s">
        <v>5477</v>
      </c>
      <c r="DK2284" s="496" t="s">
        <v>1554</v>
      </c>
      <c r="DL2284" s="496" t="s">
        <v>1555</v>
      </c>
      <c r="DM2284" s="496" t="s">
        <v>1556</v>
      </c>
      <c r="DN2284" s="497" t="s">
        <v>5258</v>
      </c>
      <c r="DP2284" s="543">
        <v>1</v>
      </c>
    </row>
    <row r="2285" spans="109:120" ht="15">
      <c r="DE2285" s="494"/>
      <c r="DF2285" s="496" t="s">
        <v>5478</v>
      </c>
      <c r="DG2285" s="496" t="s">
        <v>15</v>
      </c>
      <c r="DH2285" s="496" t="s">
        <v>689</v>
      </c>
      <c r="DI2285" s="496" t="s">
        <v>5479</v>
      </c>
      <c r="DJ2285" s="496" t="s">
        <v>5479</v>
      </c>
      <c r="DK2285" s="496" t="s">
        <v>1554</v>
      </c>
      <c r="DL2285" s="496" t="s">
        <v>1555</v>
      </c>
      <c r="DM2285" s="496" t="s">
        <v>1556</v>
      </c>
      <c r="DN2285" s="497" t="s">
        <v>5258</v>
      </c>
      <c r="DP2285" s="543">
        <v>1</v>
      </c>
    </row>
    <row r="2286" spans="109:120" ht="15">
      <c r="DE2286" s="494"/>
      <c r="DF2286" s="496" t="s">
        <v>5480</v>
      </c>
      <c r="DG2286" s="496" t="s">
        <v>15</v>
      </c>
      <c r="DH2286" s="496" t="s">
        <v>689</v>
      </c>
      <c r="DI2286" s="496" t="s">
        <v>5481</v>
      </c>
      <c r="DJ2286" s="496" t="s">
        <v>5481</v>
      </c>
      <c r="DK2286" s="496" t="s">
        <v>1554</v>
      </c>
      <c r="DL2286" s="496" t="s">
        <v>1555</v>
      </c>
      <c r="DM2286" s="496" t="s">
        <v>1556</v>
      </c>
      <c r="DN2286" s="497" t="s">
        <v>5258</v>
      </c>
      <c r="DP2286" s="543">
        <v>1</v>
      </c>
    </row>
    <row r="2287" spans="109:120" ht="15">
      <c r="DE2287" s="494"/>
      <c r="DF2287" s="496" t="s">
        <v>5482</v>
      </c>
      <c r="DG2287" s="496" t="s">
        <v>15</v>
      </c>
      <c r="DH2287" s="496" t="s">
        <v>689</v>
      </c>
      <c r="DI2287" s="496" t="s">
        <v>5483</v>
      </c>
      <c r="DJ2287" s="496" t="s">
        <v>5483</v>
      </c>
      <c r="DK2287" s="496" t="s">
        <v>1554</v>
      </c>
      <c r="DL2287" s="496" t="s">
        <v>1555</v>
      </c>
      <c r="DM2287" s="496" t="s">
        <v>1556</v>
      </c>
      <c r="DN2287" s="497" t="s">
        <v>5258</v>
      </c>
      <c r="DP2287" s="543">
        <v>1</v>
      </c>
    </row>
    <row r="2288" spans="109:120" ht="15">
      <c r="DE2288" s="494"/>
      <c r="DF2288" s="496" t="s">
        <v>5484</v>
      </c>
      <c r="DG2288" s="496" t="s">
        <v>15</v>
      </c>
      <c r="DH2288" s="496" t="s">
        <v>689</v>
      </c>
      <c r="DI2288" s="496" t="s">
        <v>5485</v>
      </c>
      <c r="DJ2288" s="496" t="s">
        <v>5485</v>
      </c>
      <c r="DK2288" s="496" t="s">
        <v>1554</v>
      </c>
      <c r="DL2288" s="496" t="s">
        <v>1555</v>
      </c>
      <c r="DM2288" s="496" t="s">
        <v>1556</v>
      </c>
      <c r="DN2288" s="497" t="s">
        <v>5258</v>
      </c>
      <c r="DP2288" s="543">
        <v>1</v>
      </c>
    </row>
    <row r="2289" spans="109:120" ht="15">
      <c r="DE2289" s="494"/>
      <c r="DF2289" s="496" t="s">
        <v>5486</v>
      </c>
      <c r="DG2289" s="496" t="s">
        <v>15</v>
      </c>
      <c r="DH2289" s="496" t="s">
        <v>689</v>
      </c>
      <c r="DI2289" s="496" t="s">
        <v>5487</v>
      </c>
      <c r="DJ2289" s="496" t="s">
        <v>5487</v>
      </c>
      <c r="DK2289" s="496" t="s">
        <v>1151</v>
      </c>
      <c r="DL2289" s="496" t="s">
        <v>1152</v>
      </c>
      <c r="DM2289" s="496" t="s">
        <v>1087</v>
      </c>
      <c r="DN2289" s="497" t="s">
        <v>1153</v>
      </c>
      <c r="DP2289" s="543">
        <v>1</v>
      </c>
    </row>
    <row r="2290" spans="109:120" ht="15">
      <c r="DE2290" s="494"/>
      <c r="DF2290" s="496" t="s">
        <v>5488</v>
      </c>
      <c r="DG2290" s="496" t="s">
        <v>15</v>
      </c>
      <c r="DH2290" s="496" t="s">
        <v>689</v>
      </c>
      <c r="DI2290" s="496" t="s">
        <v>5489</v>
      </c>
      <c r="DJ2290" s="496" t="s">
        <v>5489</v>
      </c>
      <c r="DK2290" s="496" t="s">
        <v>1151</v>
      </c>
      <c r="DL2290" s="496" t="s">
        <v>1152</v>
      </c>
      <c r="DM2290" s="496" t="s">
        <v>1087</v>
      </c>
      <c r="DN2290" s="497" t="s">
        <v>1153</v>
      </c>
      <c r="DP2290" s="543">
        <v>1</v>
      </c>
    </row>
    <row r="2291" spans="109:120" ht="15">
      <c r="DE2291" s="494"/>
      <c r="DF2291" s="496" t="s">
        <v>5490</v>
      </c>
      <c r="DG2291" s="496" t="s">
        <v>15</v>
      </c>
      <c r="DH2291" s="496" t="s">
        <v>689</v>
      </c>
      <c r="DI2291" s="496" t="s">
        <v>27</v>
      </c>
      <c r="DJ2291" s="496" t="s">
        <v>27</v>
      </c>
      <c r="DK2291" s="496" t="s">
        <v>1085</v>
      </c>
      <c r="DL2291" s="496" t="s">
        <v>5284</v>
      </c>
      <c r="DM2291" s="496" t="s">
        <v>1087</v>
      </c>
      <c r="DN2291" s="497" t="s">
        <v>1088</v>
      </c>
      <c r="DP2291" s="543">
        <v>1</v>
      </c>
    </row>
    <row r="2292" spans="109:120" ht="15">
      <c r="DE2292" s="494"/>
      <c r="DF2292" s="496" t="s">
        <v>5491</v>
      </c>
      <c r="DG2292" s="496" t="s">
        <v>15</v>
      </c>
      <c r="DH2292" s="496" t="s">
        <v>689</v>
      </c>
      <c r="DI2292" s="496" t="s">
        <v>6</v>
      </c>
      <c r="DJ2292" s="496" t="s">
        <v>6</v>
      </c>
      <c r="DK2292" s="496" t="s">
        <v>1085</v>
      </c>
      <c r="DL2292" s="496" t="s">
        <v>5284</v>
      </c>
      <c r="DM2292" s="496" t="s">
        <v>1087</v>
      </c>
      <c r="DN2292" s="497" t="s">
        <v>1088</v>
      </c>
      <c r="DP2292" s="543">
        <v>1</v>
      </c>
    </row>
    <row r="2293" spans="109:120" ht="15">
      <c r="DE2293" s="494"/>
      <c r="DF2293" s="496" t="s">
        <v>5492</v>
      </c>
      <c r="DG2293" s="496" t="s">
        <v>15</v>
      </c>
      <c r="DH2293" s="496" t="s">
        <v>689</v>
      </c>
      <c r="DI2293" s="496" t="s">
        <v>5493</v>
      </c>
      <c r="DJ2293" s="496" t="s">
        <v>5493</v>
      </c>
      <c r="DK2293" s="496" t="s">
        <v>1554</v>
      </c>
      <c r="DL2293" s="496" t="s">
        <v>1555</v>
      </c>
      <c r="DM2293" s="496" t="s">
        <v>1556</v>
      </c>
      <c r="DN2293" s="497" t="s">
        <v>5258</v>
      </c>
      <c r="DP2293" s="543">
        <v>1</v>
      </c>
    </row>
    <row r="2294" spans="109:120" ht="15">
      <c r="DE2294" s="494"/>
      <c r="DF2294" s="496" t="s">
        <v>5494</v>
      </c>
      <c r="DG2294" s="496" t="s">
        <v>15</v>
      </c>
      <c r="DH2294" s="496" t="s">
        <v>689</v>
      </c>
      <c r="DI2294" s="496" t="s">
        <v>52</v>
      </c>
      <c r="DJ2294" s="496" t="s">
        <v>52</v>
      </c>
      <c r="DK2294" s="496" t="s">
        <v>1554</v>
      </c>
      <c r="DL2294" s="496" t="s">
        <v>1555</v>
      </c>
      <c r="DM2294" s="496" t="s">
        <v>1556</v>
      </c>
      <c r="DN2294" s="497" t="s">
        <v>5258</v>
      </c>
      <c r="DP2294" s="543">
        <v>1</v>
      </c>
    </row>
    <row r="2295" spans="109:120" ht="15">
      <c r="DE2295" s="494"/>
      <c r="DF2295" s="496" t="s">
        <v>5495</v>
      </c>
      <c r="DG2295" s="496" t="s">
        <v>15</v>
      </c>
      <c r="DH2295" s="496" t="s">
        <v>689</v>
      </c>
      <c r="DI2295" s="496" t="s">
        <v>5496</v>
      </c>
      <c r="DJ2295" s="496" t="s">
        <v>5496</v>
      </c>
      <c r="DK2295" s="496" t="s">
        <v>1554</v>
      </c>
      <c r="DL2295" s="496" t="s">
        <v>1555</v>
      </c>
      <c r="DM2295" s="496" t="s">
        <v>1556</v>
      </c>
      <c r="DN2295" s="497" t="s">
        <v>5258</v>
      </c>
      <c r="DP2295" s="543">
        <v>1</v>
      </c>
    </row>
    <row r="2296" spans="109:120" ht="15">
      <c r="DE2296" s="494"/>
      <c r="DF2296" s="496" t="s">
        <v>5497</v>
      </c>
      <c r="DG2296" s="496" t="s">
        <v>15</v>
      </c>
      <c r="DH2296" s="496" t="s">
        <v>689</v>
      </c>
      <c r="DI2296" s="496" t="s">
        <v>5498</v>
      </c>
      <c r="DJ2296" s="496" t="s">
        <v>5498</v>
      </c>
      <c r="DK2296" s="496" t="s">
        <v>1554</v>
      </c>
      <c r="DL2296" s="496" t="s">
        <v>1555</v>
      </c>
      <c r="DM2296" s="496" t="s">
        <v>1556</v>
      </c>
      <c r="DN2296" s="497" t="s">
        <v>5258</v>
      </c>
      <c r="DP2296" s="543">
        <v>1</v>
      </c>
    </row>
    <row r="2297" spans="109:120" ht="15">
      <c r="DE2297" s="494"/>
      <c r="DF2297" s="496" t="s">
        <v>5499</v>
      </c>
      <c r="DG2297" s="496" t="s">
        <v>15</v>
      </c>
      <c r="DH2297" s="496" t="s">
        <v>689</v>
      </c>
      <c r="DI2297" s="496" t="s">
        <v>5500</v>
      </c>
      <c r="DJ2297" s="496" t="s">
        <v>5500</v>
      </c>
      <c r="DK2297" s="496" t="s">
        <v>1554</v>
      </c>
      <c r="DL2297" s="496" t="s">
        <v>1555</v>
      </c>
      <c r="DM2297" s="496" t="s">
        <v>1556</v>
      </c>
      <c r="DN2297" s="497" t="s">
        <v>5258</v>
      </c>
      <c r="DP2297" s="543">
        <v>1</v>
      </c>
    </row>
    <row r="2298" spans="109:120" ht="15">
      <c r="DE2298" s="494"/>
      <c r="DF2298" s="496" t="s">
        <v>5501</v>
      </c>
      <c r="DG2298" s="496" t="s">
        <v>15</v>
      </c>
      <c r="DH2298" s="496" t="s">
        <v>689</v>
      </c>
      <c r="DI2298" s="496" t="s">
        <v>5502</v>
      </c>
      <c r="DJ2298" s="496" t="s">
        <v>5502</v>
      </c>
      <c r="DK2298" s="496" t="s">
        <v>1554</v>
      </c>
      <c r="DL2298" s="496" t="s">
        <v>1555</v>
      </c>
      <c r="DM2298" s="496" t="s">
        <v>1556</v>
      </c>
      <c r="DN2298" s="497" t="s">
        <v>5258</v>
      </c>
      <c r="DP2298" s="543">
        <v>1</v>
      </c>
    </row>
    <row r="2299" spans="109:120" ht="15">
      <c r="DE2299" s="494"/>
      <c r="DF2299" s="496" t="s">
        <v>5503</v>
      </c>
      <c r="DG2299" s="496" t="s">
        <v>15</v>
      </c>
      <c r="DH2299" s="496" t="s">
        <v>689</v>
      </c>
      <c r="DI2299" s="496" t="s">
        <v>5504</v>
      </c>
      <c r="DJ2299" s="496" t="s">
        <v>5504</v>
      </c>
      <c r="DK2299" s="496" t="s">
        <v>1554</v>
      </c>
      <c r="DL2299" s="496" t="s">
        <v>1555</v>
      </c>
      <c r="DM2299" s="496" t="s">
        <v>1556</v>
      </c>
      <c r="DN2299" s="497" t="s">
        <v>5258</v>
      </c>
      <c r="DP2299" s="543">
        <v>1</v>
      </c>
    </row>
    <row r="2300" spans="109:120" ht="15">
      <c r="DE2300" s="494"/>
      <c r="DF2300" s="496" t="s">
        <v>5505</v>
      </c>
      <c r="DG2300" s="496" t="s">
        <v>15</v>
      </c>
      <c r="DH2300" s="496" t="s">
        <v>689</v>
      </c>
      <c r="DI2300" s="496" t="s">
        <v>5506</v>
      </c>
      <c r="DJ2300" s="496" t="s">
        <v>5506</v>
      </c>
      <c r="DK2300" s="496" t="s">
        <v>1554</v>
      </c>
      <c r="DL2300" s="496" t="s">
        <v>1555</v>
      </c>
      <c r="DM2300" s="496" t="s">
        <v>1556</v>
      </c>
      <c r="DN2300" s="497" t="s">
        <v>5258</v>
      </c>
      <c r="DP2300" s="543">
        <v>1</v>
      </c>
    </row>
    <row r="2301" spans="109:120" ht="15">
      <c r="DE2301" s="494"/>
      <c r="DF2301" s="496" t="s">
        <v>5507</v>
      </c>
      <c r="DG2301" s="496" t="s">
        <v>15</v>
      </c>
      <c r="DH2301" s="496" t="s">
        <v>689</v>
      </c>
      <c r="DI2301" s="496" t="s">
        <v>5508</v>
      </c>
      <c r="DJ2301" s="496" t="s">
        <v>5508</v>
      </c>
      <c r="DK2301" s="496" t="s">
        <v>1554</v>
      </c>
      <c r="DL2301" s="496" t="s">
        <v>1555</v>
      </c>
      <c r="DM2301" s="496" t="s">
        <v>1556</v>
      </c>
      <c r="DN2301" s="497" t="s">
        <v>5258</v>
      </c>
      <c r="DP2301" s="543">
        <v>1</v>
      </c>
    </row>
    <row r="2302" spans="109:120" ht="15">
      <c r="DE2302" s="494"/>
      <c r="DF2302" s="496" t="s">
        <v>5509</v>
      </c>
      <c r="DG2302" s="496" t="s">
        <v>15</v>
      </c>
      <c r="DH2302" s="496" t="s">
        <v>689</v>
      </c>
      <c r="DI2302" s="496" t="s">
        <v>5510</v>
      </c>
      <c r="DJ2302" s="496" t="s">
        <v>5510</v>
      </c>
      <c r="DK2302" s="496" t="s">
        <v>1554</v>
      </c>
      <c r="DL2302" s="496" t="s">
        <v>1555</v>
      </c>
      <c r="DM2302" s="496" t="s">
        <v>1556</v>
      </c>
      <c r="DN2302" s="497" t="s">
        <v>5258</v>
      </c>
      <c r="DP2302" s="543">
        <v>1</v>
      </c>
    </row>
    <row r="2303" spans="109:120" ht="15">
      <c r="DE2303" s="494"/>
      <c r="DF2303" s="496" t="s">
        <v>5511</v>
      </c>
      <c r="DG2303" s="496" t="s">
        <v>15</v>
      </c>
      <c r="DH2303" s="496" t="s">
        <v>689</v>
      </c>
      <c r="DI2303" s="496" t="s">
        <v>5512</v>
      </c>
      <c r="DJ2303" s="496" t="s">
        <v>5512</v>
      </c>
      <c r="DK2303" s="496" t="s">
        <v>1554</v>
      </c>
      <c r="DL2303" s="496" t="s">
        <v>1555</v>
      </c>
      <c r="DM2303" s="496" t="s">
        <v>1556</v>
      </c>
      <c r="DN2303" s="497" t="s">
        <v>5258</v>
      </c>
      <c r="DP2303" s="543">
        <v>1</v>
      </c>
    </row>
    <row r="2304" spans="109:120" ht="15">
      <c r="DE2304" s="494"/>
      <c r="DF2304" s="496" t="s">
        <v>5513</v>
      </c>
      <c r="DG2304" s="496" t="s">
        <v>15</v>
      </c>
      <c r="DH2304" s="496" t="s">
        <v>689</v>
      </c>
      <c r="DI2304" s="496" t="s">
        <v>65</v>
      </c>
      <c r="DJ2304" s="496" t="s">
        <v>65</v>
      </c>
      <c r="DK2304" s="496" t="s">
        <v>1085</v>
      </c>
      <c r="DL2304" s="496" t="s">
        <v>5284</v>
      </c>
      <c r="DM2304" s="496" t="s">
        <v>1087</v>
      </c>
      <c r="DN2304" s="497" t="s">
        <v>1088</v>
      </c>
      <c r="DP2304" s="543">
        <v>1</v>
      </c>
    </row>
    <row r="2305" spans="109:120" ht="15">
      <c r="DE2305" s="494"/>
      <c r="DF2305" s="496" t="s">
        <v>5514</v>
      </c>
      <c r="DG2305" s="496" t="s">
        <v>15</v>
      </c>
      <c r="DH2305" s="496" t="s">
        <v>689</v>
      </c>
      <c r="DI2305" s="496" t="s">
        <v>5515</v>
      </c>
      <c r="DJ2305" s="496" t="s">
        <v>5515</v>
      </c>
      <c r="DK2305" s="496" t="s">
        <v>1554</v>
      </c>
      <c r="DL2305" s="496" t="s">
        <v>1555</v>
      </c>
      <c r="DM2305" s="496" t="s">
        <v>1556</v>
      </c>
      <c r="DN2305" s="497" t="s">
        <v>5258</v>
      </c>
      <c r="DP2305" s="543">
        <v>1</v>
      </c>
    </row>
    <row r="2306" spans="109:120" ht="15">
      <c r="DE2306" s="494"/>
      <c r="DF2306" s="496" t="s">
        <v>5516</v>
      </c>
      <c r="DG2306" s="496" t="s">
        <v>15</v>
      </c>
      <c r="DH2306" s="496" t="s">
        <v>689</v>
      </c>
      <c r="DI2306" s="496" t="s">
        <v>5517</v>
      </c>
      <c r="DJ2306" s="496" t="s">
        <v>5517</v>
      </c>
      <c r="DK2306" s="496" t="s">
        <v>1151</v>
      </c>
      <c r="DL2306" s="496" t="s">
        <v>1152</v>
      </c>
      <c r="DM2306" s="496" t="s">
        <v>1087</v>
      </c>
      <c r="DN2306" s="497" t="s">
        <v>1153</v>
      </c>
      <c r="DP2306" s="543">
        <v>1</v>
      </c>
    </row>
    <row r="2307" spans="109:120" ht="15">
      <c r="DE2307" s="494"/>
      <c r="DF2307" s="496" t="s">
        <v>5518</v>
      </c>
      <c r="DG2307" s="496" t="s">
        <v>15</v>
      </c>
      <c r="DH2307" s="496" t="s">
        <v>689</v>
      </c>
      <c r="DI2307" s="496" t="s">
        <v>336</v>
      </c>
      <c r="DJ2307" s="496" t="s">
        <v>336</v>
      </c>
      <c r="DK2307" s="496" t="s">
        <v>1151</v>
      </c>
      <c r="DL2307" s="496" t="s">
        <v>1152</v>
      </c>
      <c r="DM2307" s="496" t="s">
        <v>1087</v>
      </c>
      <c r="DN2307" s="497" t="s">
        <v>1153</v>
      </c>
      <c r="DP2307" s="543">
        <v>1</v>
      </c>
    </row>
    <row r="2308" spans="109:120" ht="15">
      <c r="DE2308" s="494"/>
      <c r="DF2308" s="496" t="s">
        <v>5519</v>
      </c>
      <c r="DG2308" s="496" t="s">
        <v>15</v>
      </c>
      <c r="DH2308" s="496" t="s">
        <v>689</v>
      </c>
      <c r="DI2308" s="496" t="s">
        <v>5520</v>
      </c>
      <c r="DJ2308" s="496" t="s">
        <v>5520</v>
      </c>
      <c r="DK2308" s="496" t="s">
        <v>1554</v>
      </c>
      <c r="DL2308" s="496" t="s">
        <v>1555</v>
      </c>
      <c r="DM2308" s="496" t="s">
        <v>1556</v>
      </c>
      <c r="DN2308" s="497" t="s">
        <v>5258</v>
      </c>
      <c r="DP2308" s="543">
        <v>1</v>
      </c>
    </row>
    <row r="2309" spans="109:120" ht="15">
      <c r="DE2309" s="494"/>
      <c r="DF2309" s="496" t="s">
        <v>5521</v>
      </c>
      <c r="DG2309" s="496" t="s">
        <v>15</v>
      </c>
      <c r="DH2309" s="496" t="s">
        <v>689</v>
      </c>
      <c r="DI2309" s="496" t="s">
        <v>5522</v>
      </c>
      <c r="DJ2309" s="496" t="s">
        <v>5522</v>
      </c>
      <c r="DK2309" s="496" t="s">
        <v>1554</v>
      </c>
      <c r="DL2309" s="496" t="s">
        <v>1555</v>
      </c>
      <c r="DM2309" s="496" t="s">
        <v>1556</v>
      </c>
      <c r="DN2309" s="497" t="s">
        <v>5258</v>
      </c>
      <c r="DP2309" s="543">
        <v>1</v>
      </c>
    </row>
    <row r="2310" spans="109:120" ht="15">
      <c r="DE2310" s="494"/>
      <c r="DF2310" s="496" t="s">
        <v>5523</v>
      </c>
      <c r="DG2310" s="496" t="s">
        <v>15</v>
      </c>
      <c r="DH2310" s="496" t="s">
        <v>689</v>
      </c>
      <c r="DI2310" s="496" t="s">
        <v>5524</v>
      </c>
      <c r="DJ2310" s="496" t="s">
        <v>5524</v>
      </c>
      <c r="DK2310" s="496" t="s">
        <v>1554</v>
      </c>
      <c r="DL2310" s="496" t="s">
        <v>1555</v>
      </c>
      <c r="DM2310" s="496" t="s">
        <v>1556</v>
      </c>
      <c r="DN2310" s="497" t="s">
        <v>5258</v>
      </c>
      <c r="DP2310" s="543">
        <v>1</v>
      </c>
    </row>
    <row r="2311" spans="109:120" ht="15">
      <c r="DE2311" s="494"/>
      <c r="DF2311" s="496" t="s">
        <v>5525</v>
      </c>
      <c r="DG2311" s="496" t="s">
        <v>15</v>
      </c>
      <c r="DH2311" s="496" t="s">
        <v>689</v>
      </c>
      <c r="DI2311" s="496" t="s">
        <v>5526</v>
      </c>
      <c r="DJ2311" s="496" t="s">
        <v>5526</v>
      </c>
      <c r="DK2311" s="496" t="s">
        <v>1554</v>
      </c>
      <c r="DL2311" s="496" t="s">
        <v>1555</v>
      </c>
      <c r="DM2311" s="496" t="s">
        <v>1556</v>
      </c>
      <c r="DN2311" s="497" t="s">
        <v>5258</v>
      </c>
      <c r="DP2311" s="543">
        <v>1</v>
      </c>
    </row>
    <row r="2312" spans="109:120" ht="15">
      <c r="DE2312" s="494"/>
      <c r="DF2312" s="496" t="s">
        <v>5527</v>
      </c>
      <c r="DG2312" s="496" t="s">
        <v>15</v>
      </c>
      <c r="DH2312" s="496" t="s">
        <v>689</v>
      </c>
      <c r="DI2312" s="496" t="s">
        <v>5528</v>
      </c>
      <c r="DJ2312" s="496" t="s">
        <v>5528</v>
      </c>
      <c r="DK2312" s="496" t="s">
        <v>1554</v>
      </c>
      <c r="DL2312" s="496" t="s">
        <v>1555</v>
      </c>
      <c r="DM2312" s="496" t="s">
        <v>1556</v>
      </c>
      <c r="DN2312" s="497" t="s">
        <v>5258</v>
      </c>
      <c r="DP2312" s="543">
        <v>1</v>
      </c>
    </row>
    <row r="2313" spans="109:120" ht="15">
      <c r="DE2313" s="494"/>
      <c r="DF2313" s="496" t="s">
        <v>5529</v>
      </c>
      <c r="DG2313" s="496" t="s">
        <v>15</v>
      </c>
      <c r="DH2313" s="496" t="s">
        <v>689</v>
      </c>
      <c r="DI2313" s="496" t="s">
        <v>28</v>
      </c>
      <c r="DJ2313" s="496" t="s">
        <v>28</v>
      </c>
      <c r="DK2313" s="496" t="s">
        <v>1085</v>
      </c>
      <c r="DL2313" s="496" t="s">
        <v>5284</v>
      </c>
      <c r="DM2313" s="496" t="s">
        <v>1087</v>
      </c>
      <c r="DN2313" s="497" t="s">
        <v>1088</v>
      </c>
      <c r="DP2313" s="543">
        <v>1</v>
      </c>
    </row>
    <row r="2314" spans="109:120" ht="15">
      <c r="DE2314" s="494"/>
      <c r="DF2314" s="496" t="s">
        <v>5530</v>
      </c>
      <c r="DG2314" s="496" t="s">
        <v>15</v>
      </c>
      <c r="DH2314" s="496" t="s">
        <v>689</v>
      </c>
      <c r="DI2314" s="496" t="s">
        <v>39</v>
      </c>
      <c r="DJ2314" s="496" t="s">
        <v>39</v>
      </c>
      <c r="DK2314" s="496" t="s">
        <v>1085</v>
      </c>
      <c r="DL2314" s="496" t="s">
        <v>5284</v>
      </c>
      <c r="DM2314" s="496" t="s">
        <v>1087</v>
      </c>
      <c r="DN2314" s="497" t="s">
        <v>1088</v>
      </c>
      <c r="DP2314" s="543">
        <v>1</v>
      </c>
    </row>
    <row r="2315" spans="109:120" ht="15">
      <c r="DE2315" s="494"/>
      <c r="DF2315" s="496" t="s">
        <v>5531</v>
      </c>
      <c r="DG2315" s="496" t="s">
        <v>15</v>
      </c>
      <c r="DH2315" s="496" t="s">
        <v>689</v>
      </c>
      <c r="DI2315" s="496" t="s">
        <v>201</v>
      </c>
      <c r="DJ2315" s="496" t="s">
        <v>201</v>
      </c>
      <c r="DK2315" s="496" t="s">
        <v>1085</v>
      </c>
      <c r="DL2315" s="496" t="s">
        <v>5284</v>
      </c>
      <c r="DM2315" s="496" t="s">
        <v>1087</v>
      </c>
      <c r="DN2315" s="497" t="s">
        <v>1088</v>
      </c>
      <c r="DP2315" s="543">
        <v>1</v>
      </c>
    </row>
    <row r="2316" spans="109:120" ht="15">
      <c r="DE2316" s="494"/>
      <c r="DF2316" s="496" t="s">
        <v>5532</v>
      </c>
      <c r="DG2316" s="496" t="s">
        <v>15</v>
      </c>
      <c r="DH2316" s="496" t="s">
        <v>689</v>
      </c>
      <c r="DI2316" s="496" t="s">
        <v>5533</v>
      </c>
      <c r="DJ2316" s="496" t="s">
        <v>5533</v>
      </c>
      <c r="DK2316" s="496" t="s">
        <v>1554</v>
      </c>
      <c r="DL2316" s="496" t="s">
        <v>1555</v>
      </c>
      <c r="DM2316" s="496" t="s">
        <v>1556</v>
      </c>
      <c r="DN2316" s="497" t="s">
        <v>5258</v>
      </c>
      <c r="DP2316" s="543">
        <v>1</v>
      </c>
    </row>
    <row r="2317" spans="109:120" ht="15">
      <c r="DE2317" s="494"/>
      <c r="DF2317" s="496" t="s">
        <v>5534</v>
      </c>
      <c r="DG2317" s="496" t="s">
        <v>15</v>
      </c>
      <c r="DH2317" s="496" t="s">
        <v>689</v>
      </c>
      <c r="DI2317" s="496" t="s">
        <v>1007</v>
      </c>
      <c r="DJ2317" s="496" t="s">
        <v>1007</v>
      </c>
      <c r="DK2317" s="496" t="s">
        <v>1554</v>
      </c>
      <c r="DL2317" s="496" t="s">
        <v>1555</v>
      </c>
      <c r="DM2317" s="496" t="s">
        <v>1556</v>
      </c>
      <c r="DN2317" s="497" t="s">
        <v>5258</v>
      </c>
      <c r="DP2317" s="543">
        <v>1</v>
      </c>
    </row>
    <row r="2318" spans="109:120" ht="15">
      <c r="DE2318" s="494"/>
      <c r="DF2318" s="496" t="s">
        <v>5535</v>
      </c>
      <c r="DG2318" s="496" t="s">
        <v>15</v>
      </c>
      <c r="DH2318" s="496" t="s">
        <v>689</v>
      </c>
      <c r="DI2318" s="496" t="s">
        <v>5536</v>
      </c>
      <c r="DJ2318" s="496" t="s">
        <v>5536</v>
      </c>
      <c r="DK2318" s="496" t="s">
        <v>1554</v>
      </c>
      <c r="DL2318" s="496" t="s">
        <v>1555</v>
      </c>
      <c r="DM2318" s="496" t="s">
        <v>1556</v>
      </c>
      <c r="DN2318" s="497" t="s">
        <v>5258</v>
      </c>
      <c r="DP2318" s="543">
        <v>1</v>
      </c>
    </row>
    <row r="2319" spans="109:120" ht="15">
      <c r="DE2319" s="494"/>
      <c r="DF2319" s="496" t="s">
        <v>5537</v>
      </c>
      <c r="DG2319" s="496" t="s">
        <v>15</v>
      </c>
      <c r="DH2319" s="496" t="s">
        <v>689</v>
      </c>
      <c r="DI2319" s="496" t="s">
        <v>5538</v>
      </c>
      <c r="DJ2319" s="496" t="s">
        <v>5538</v>
      </c>
      <c r="DK2319" s="496" t="s">
        <v>1554</v>
      </c>
      <c r="DL2319" s="496" t="s">
        <v>1555</v>
      </c>
      <c r="DM2319" s="496" t="s">
        <v>1556</v>
      </c>
      <c r="DN2319" s="497" t="s">
        <v>5258</v>
      </c>
      <c r="DP2319" s="543">
        <v>1</v>
      </c>
    </row>
    <row r="2320" spans="109:120" ht="15">
      <c r="DE2320" s="494"/>
      <c r="DF2320" s="496" t="s">
        <v>5539</v>
      </c>
      <c r="DG2320" s="496" t="s">
        <v>15</v>
      </c>
      <c r="DH2320" s="496" t="s">
        <v>689</v>
      </c>
      <c r="DI2320" s="496" t="s">
        <v>5540</v>
      </c>
      <c r="DJ2320" s="496" t="s">
        <v>5540</v>
      </c>
      <c r="DK2320" s="496" t="s">
        <v>1554</v>
      </c>
      <c r="DL2320" s="496" t="s">
        <v>1555</v>
      </c>
      <c r="DM2320" s="496" t="s">
        <v>1556</v>
      </c>
      <c r="DN2320" s="497" t="s">
        <v>5258</v>
      </c>
      <c r="DP2320" s="543">
        <v>1</v>
      </c>
    </row>
    <row r="2321" spans="109:120" ht="15">
      <c r="DE2321" s="494"/>
      <c r="DF2321" s="496" t="s">
        <v>5541</v>
      </c>
      <c r="DG2321" s="496" t="s">
        <v>15</v>
      </c>
      <c r="DH2321" s="496" t="s">
        <v>689</v>
      </c>
      <c r="DI2321" s="496" t="s">
        <v>5542</v>
      </c>
      <c r="DJ2321" s="496" t="s">
        <v>5542</v>
      </c>
      <c r="DK2321" s="496" t="s">
        <v>1085</v>
      </c>
      <c r="DL2321" s="496" t="s">
        <v>5284</v>
      </c>
      <c r="DM2321" s="496" t="s">
        <v>1087</v>
      </c>
      <c r="DN2321" s="497" t="s">
        <v>1088</v>
      </c>
      <c r="DP2321" s="543">
        <v>1</v>
      </c>
    </row>
    <row r="2322" spans="109:120" ht="15">
      <c r="DE2322" s="494"/>
      <c r="DF2322" s="496" t="s">
        <v>5543</v>
      </c>
      <c r="DG2322" s="496" t="s">
        <v>15</v>
      </c>
      <c r="DH2322" s="496" t="s">
        <v>689</v>
      </c>
      <c r="DI2322" s="496" t="s">
        <v>5544</v>
      </c>
      <c r="DJ2322" s="496" t="s">
        <v>5544</v>
      </c>
      <c r="DK2322" s="496" t="s">
        <v>1554</v>
      </c>
      <c r="DL2322" s="496" t="s">
        <v>1555</v>
      </c>
      <c r="DM2322" s="496" t="s">
        <v>1556</v>
      </c>
      <c r="DN2322" s="497" t="s">
        <v>5258</v>
      </c>
      <c r="DP2322" s="543">
        <v>1</v>
      </c>
    </row>
    <row r="2323" spans="109:120" ht="15">
      <c r="DE2323" s="494"/>
      <c r="DF2323" s="496" t="s">
        <v>5545</v>
      </c>
      <c r="DG2323" s="496" t="s">
        <v>15</v>
      </c>
      <c r="DH2323" s="496" t="s">
        <v>689</v>
      </c>
      <c r="DI2323" s="496" t="s">
        <v>5546</v>
      </c>
      <c r="DJ2323" s="496" t="s">
        <v>5546</v>
      </c>
      <c r="DK2323" s="496" t="s">
        <v>1554</v>
      </c>
      <c r="DL2323" s="496" t="s">
        <v>1555</v>
      </c>
      <c r="DM2323" s="496" t="s">
        <v>1556</v>
      </c>
      <c r="DN2323" s="497" t="s">
        <v>5258</v>
      </c>
      <c r="DP2323" s="543">
        <v>1</v>
      </c>
    </row>
    <row r="2324" spans="109:120" ht="15">
      <c r="DE2324" s="494"/>
      <c r="DF2324" s="496" t="s">
        <v>5547</v>
      </c>
      <c r="DG2324" s="496" t="s">
        <v>15</v>
      </c>
      <c r="DH2324" s="496" t="s">
        <v>689</v>
      </c>
      <c r="DI2324" s="496" t="s">
        <v>337</v>
      </c>
      <c r="DJ2324" s="496" t="s">
        <v>337</v>
      </c>
      <c r="DK2324" s="496" t="s">
        <v>1151</v>
      </c>
      <c r="DL2324" s="496" t="s">
        <v>1152</v>
      </c>
      <c r="DM2324" s="496" t="s">
        <v>1087</v>
      </c>
      <c r="DN2324" s="497" t="s">
        <v>1153</v>
      </c>
      <c r="DP2324" s="543">
        <v>1</v>
      </c>
    </row>
    <row r="2325" spans="109:120" ht="15">
      <c r="DE2325" s="494"/>
      <c r="DF2325" s="496" t="s">
        <v>5548</v>
      </c>
      <c r="DG2325" s="496" t="s">
        <v>15</v>
      </c>
      <c r="DH2325" s="496" t="s">
        <v>689</v>
      </c>
      <c r="DI2325" s="496" t="s">
        <v>338</v>
      </c>
      <c r="DJ2325" s="496" t="s">
        <v>338</v>
      </c>
      <c r="DK2325" s="496" t="s">
        <v>1151</v>
      </c>
      <c r="DL2325" s="496" t="s">
        <v>1152</v>
      </c>
      <c r="DM2325" s="496" t="s">
        <v>1087</v>
      </c>
      <c r="DN2325" s="497" t="s">
        <v>1153</v>
      </c>
      <c r="DP2325" s="543">
        <v>1</v>
      </c>
    </row>
    <row r="2326" spans="109:120" ht="15">
      <c r="DE2326" s="494"/>
      <c r="DF2326" s="496" t="s">
        <v>5549</v>
      </c>
      <c r="DG2326" s="496" t="s">
        <v>15</v>
      </c>
      <c r="DH2326" s="496" t="s">
        <v>689</v>
      </c>
      <c r="DI2326" s="496" t="s">
        <v>103</v>
      </c>
      <c r="DJ2326" s="496" t="s">
        <v>103</v>
      </c>
      <c r="DK2326" s="496" t="s">
        <v>1554</v>
      </c>
      <c r="DL2326" s="496" t="s">
        <v>1555</v>
      </c>
      <c r="DM2326" s="496" t="s">
        <v>1556</v>
      </c>
      <c r="DN2326" s="497" t="s">
        <v>5258</v>
      </c>
      <c r="DP2326" s="543">
        <v>1</v>
      </c>
    </row>
    <row r="2327" spans="109:120" ht="15">
      <c r="DE2327" s="494"/>
      <c r="DF2327" s="496" t="s">
        <v>5550</v>
      </c>
      <c r="DG2327" s="496" t="s">
        <v>15</v>
      </c>
      <c r="DH2327" s="496" t="s">
        <v>689</v>
      </c>
      <c r="DI2327" s="496" t="s">
        <v>5551</v>
      </c>
      <c r="DJ2327" s="496" t="s">
        <v>5551</v>
      </c>
      <c r="DK2327" s="496" t="s">
        <v>1554</v>
      </c>
      <c r="DL2327" s="496" t="s">
        <v>1555</v>
      </c>
      <c r="DM2327" s="496" t="s">
        <v>1556</v>
      </c>
      <c r="DN2327" s="497" t="s">
        <v>5258</v>
      </c>
      <c r="DP2327" s="543">
        <v>1</v>
      </c>
    </row>
    <row r="2328" spans="109:120" ht="15">
      <c r="DE2328" s="494"/>
      <c r="DF2328" s="496" t="s">
        <v>5552</v>
      </c>
      <c r="DG2328" s="496" t="s">
        <v>15</v>
      </c>
      <c r="DH2328" s="496" t="s">
        <v>689</v>
      </c>
      <c r="DI2328" s="496" t="s">
        <v>5553</v>
      </c>
      <c r="DJ2328" s="496" t="s">
        <v>5553</v>
      </c>
      <c r="DK2328" s="496" t="s">
        <v>1554</v>
      </c>
      <c r="DL2328" s="496" t="s">
        <v>1555</v>
      </c>
      <c r="DM2328" s="496" t="s">
        <v>1556</v>
      </c>
      <c r="DN2328" s="497" t="s">
        <v>5258</v>
      </c>
      <c r="DP2328" s="543">
        <v>1</v>
      </c>
    </row>
    <row r="2329" spans="109:120" ht="15">
      <c r="DE2329" s="494"/>
      <c r="DF2329" s="496" t="s">
        <v>5554</v>
      </c>
      <c r="DG2329" s="496" t="s">
        <v>15</v>
      </c>
      <c r="DH2329" s="496" t="s">
        <v>689</v>
      </c>
      <c r="DI2329" s="496" t="s">
        <v>5555</v>
      </c>
      <c r="DJ2329" s="496" t="s">
        <v>5555</v>
      </c>
      <c r="DK2329" s="496" t="s">
        <v>1554</v>
      </c>
      <c r="DL2329" s="496" t="s">
        <v>1555</v>
      </c>
      <c r="DM2329" s="496" t="s">
        <v>1556</v>
      </c>
      <c r="DN2329" s="497" t="s">
        <v>5258</v>
      </c>
      <c r="DP2329" s="543">
        <v>1</v>
      </c>
    </row>
    <row r="2330" spans="109:120" ht="15">
      <c r="DE2330" s="494"/>
      <c r="DF2330" s="496" t="s">
        <v>5556</v>
      </c>
      <c r="DG2330" s="496" t="s">
        <v>15</v>
      </c>
      <c r="DH2330" s="496" t="s">
        <v>689</v>
      </c>
      <c r="DI2330" s="496" t="s">
        <v>5557</v>
      </c>
      <c r="DJ2330" s="496" t="s">
        <v>5557</v>
      </c>
      <c r="DK2330" s="496" t="s">
        <v>1554</v>
      </c>
      <c r="DL2330" s="496" t="s">
        <v>1555</v>
      </c>
      <c r="DM2330" s="496" t="s">
        <v>1556</v>
      </c>
      <c r="DN2330" s="497" t="s">
        <v>5258</v>
      </c>
      <c r="DP2330" s="543">
        <v>1</v>
      </c>
    </row>
    <row r="2331" spans="109:120" ht="15">
      <c r="DE2331" s="494"/>
      <c r="DF2331" s="496" t="s">
        <v>5558</v>
      </c>
      <c r="DG2331" s="496" t="s">
        <v>15</v>
      </c>
      <c r="DH2331" s="496" t="s">
        <v>689</v>
      </c>
      <c r="DI2331" s="496" t="s">
        <v>5559</v>
      </c>
      <c r="DJ2331" s="496" t="s">
        <v>5559</v>
      </c>
      <c r="DK2331" s="496" t="s">
        <v>1554</v>
      </c>
      <c r="DL2331" s="496" t="s">
        <v>1555</v>
      </c>
      <c r="DM2331" s="496" t="s">
        <v>1556</v>
      </c>
      <c r="DN2331" s="497" t="s">
        <v>5258</v>
      </c>
      <c r="DP2331" s="543">
        <v>1</v>
      </c>
    </row>
    <row r="2332" spans="109:120" ht="15">
      <c r="DE2332" s="494"/>
      <c r="DF2332" s="496" t="s">
        <v>5560</v>
      </c>
      <c r="DG2332" s="496" t="s">
        <v>15</v>
      </c>
      <c r="DH2332" s="496" t="s">
        <v>689</v>
      </c>
      <c r="DI2332" s="496" t="s">
        <v>5561</v>
      </c>
      <c r="DJ2332" s="496" t="s">
        <v>5561</v>
      </c>
      <c r="DK2332" s="496" t="s">
        <v>1554</v>
      </c>
      <c r="DL2332" s="496" t="s">
        <v>1555</v>
      </c>
      <c r="DM2332" s="496" t="s">
        <v>1556</v>
      </c>
      <c r="DN2332" s="497" t="s">
        <v>5258</v>
      </c>
      <c r="DP2332" s="543">
        <v>1</v>
      </c>
    </row>
    <row r="2333" spans="109:120" ht="15">
      <c r="DE2333" s="494"/>
      <c r="DF2333" s="496" t="s">
        <v>5562</v>
      </c>
      <c r="DG2333" s="496" t="s">
        <v>15</v>
      </c>
      <c r="DH2333" s="496" t="s">
        <v>689</v>
      </c>
      <c r="DI2333" s="496" t="s">
        <v>5563</v>
      </c>
      <c r="DJ2333" s="496" t="s">
        <v>5563</v>
      </c>
      <c r="DK2333" s="496" t="s">
        <v>1554</v>
      </c>
      <c r="DL2333" s="496" t="s">
        <v>1555</v>
      </c>
      <c r="DM2333" s="496" t="s">
        <v>1556</v>
      </c>
      <c r="DN2333" s="497" t="s">
        <v>5258</v>
      </c>
      <c r="DP2333" s="543">
        <v>1</v>
      </c>
    </row>
    <row r="2334" spans="109:120" ht="15">
      <c r="DE2334" s="494"/>
      <c r="DF2334" s="496" t="s">
        <v>5564</v>
      </c>
      <c r="DG2334" s="496" t="s">
        <v>15</v>
      </c>
      <c r="DH2334" s="496" t="s">
        <v>689</v>
      </c>
      <c r="DI2334" s="496" t="s">
        <v>5565</v>
      </c>
      <c r="DJ2334" s="496" t="s">
        <v>5565</v>
      </c>
      <c r="DK2334" s="496" t="s">
        <v>1554</v>
      </c>
      <c r="DL2334" s="496" t="s">
        <v>1555</v>
      </c>
      <c r="DM2334" s="496" t="s">
        <v>1556</v>
      </c>
      <c r="DN2334" s="497" t="s">
        <v>5258</v>
      </c>
      <c r="DP2334" s="543">
        <v>1</v>
      </c>
    </row>
    <row r="2335" spans="109:120" ht="15">
      <c r="DE2335" s="494"/>
      <c r="DF2335" s="496" t="s">
        <v>5566</v>
      </c>
      <c r="DG2335" s="496" t="s">
        <v>15</v>
      </c>
      <c r="DH2335" s="496" t="s">
        <v>689</v>
      </c>
      <c r="DI2335" s="496" t="s">
        <v>117</v>
      </c>
      <c r="DJ2335" s="496" t="s">
        <v>117</v>
      </c>
      <c r="DK2335" s="496" t="s">
        <v>1085</v>
      </c>
      <c r="DL2335" s="496" t="s">
        <v>5284</v>
      </c>
      <c r="DM2335" s="496" t="s">
        <v>1087</v>
      </c>
      <c r="DN2335" s="497" t="s">
        <v>1088</v>
      </c>
      <c r="DP2335" s="543">
        <v>1</v>
      </c>
    </row>
    <row r="2336" spans="109:120" ht="15">
      <c r="DE2336" s="494"/>
      <c r="DF2336" s="496" t="s">
        <v>5567</v>
      </c>
      <c r="DG2336" s="496" t="s">
        <v>15</v>
      </c>
      <c r="DH2336" s="496" t="s">
        <v>689</v>
      </c>
      <c r="DI2336" s="496" t="s">
        <v>5568</v>
      </c>
      <c r="DJ2336" s="496" t="s">
        <v>5568</v>
      </c>
      <c r="DK2336" s="496" t="s">
        <v>1554</v>
      </c>
      <c r="DL2336" s="496" t="s">
        <v>1555</v>
      </c>
      <c r="DM2336" s="496" t="s">
        <v>1556</v>
      </c>
      <c r="DN2336" s="497" t="s">
        <v>5258</v>
      </c>
      <c r="DP2336" s="543">
        <v>1</v>
      </c>
    </row>
    <row r="2337" spans="109:120" ht="15">
      <c r="DE2337" s="494"/>
      <c r="DF2337" s="496" t="s">
        <v>5569</v>
      </c>
      <c r="DG2337" s="496" t="s">
        <v>15</v>
      </c>
      <c r="DH2337" s="496" t="s">
        <v>689</v>
      </c>
      <c r="DI2337" s="496" t="s">
        <v>5570</v>
      </c>
      <c r="DJ2337" s="496" t="s">
        <v>5570</v>
      </c>
      <c r="DK2337" s="496" t="s">
        <v>1554</v>
      </c>
      <c r="DL2337" s="496" t="s">
        <v>1555</v>
      </c>
      <c r="DM2337" s="496" t="s">
        <v>1556</v>
      </c>
      <c r="DN2337" s="497" t="s">
        <v>5258</v>
      </c>
      <c r="DP2337" s="543">
        <v>1</v>
      </c>
    </row>
    <row r="2338" spans="109:120" ht="15">
      <c r="DE2338" s="494"/>
      <c r="DF2338" s="496" t="s">
        <v>5571</v>
      </c>
      <c r="DG2338" s="496" t="s">
        <v>15</v>
      </c>
      <c r="DH2338" s="496" t="s">
        <v>689</v>
      </c>
      <c r="DI2338" s="496" t="s">
        <v>5572</v>
      </c>
      <c r="DJ2338" s="496" t="s">
        <v>5572</v>
      </c>
      <c r="DK2338" s="496" t="s">
        <v>1554</v>
      </c>
      <c r="DL2338" s="496" t="s">
        <v>1555</v>
      </c>
      <c r="DM2338" s="496" t="s">
        <v>1556</v>
      </c>
      <c r="DN2338" s="497" t="s">
        <v>5258</v>
      </c>
      <c r="DP2338" s="543">
        <v>1</v>
      </c>
    </row>
    <row r="2339" spans="109:120" ht="15">
      <c r="DE2339" s="494"/>
      <c r="DF2339" s="496" t="s">
        <v>5573</v>
      </c>
      <c r="DG2339" s="496" t="s">
        <v>15</v>
      </c>
      <c r="DH2339" s="496" t="s">
        <v>689</v>
      </c>
      <c r="DI2339" s="496" t="s">
        <v>5574</v>
      </c>
      <c r="DJ2339" s="496" t="s">
        <v>5574</v>
      </c>
      <c r="DK2339" s="496" t="s">
        <v>1554</v>
      </c>
      <c r="DL2339" s="496" t="s">
        <v>1555</v>
      </c>
      <c r="DM2339" s="496" t="s">
        <v>1556</v>
      </c>
      <c r="DN2339" s="497" t="s">
        <v>5258</v>
      </c>
      <c r="DP2339" s="543">
        <v>1</v>
      </c>
    </row>
    <row r="2340" spans="109:120" ht="15">
      <c r="DE2340" s="494"/>
      <c r="DF2340" s="496" t="s">
        <v>5575</v>
      </c>
      <c r="DG2340" s="496" t="s">
        <v>15</v>
      </c>
      <c r="DH2340" s="496" t="s">
        <v>689</v>
      </c>
      <c r="DI2340" s="496" t="s">
        <v>339</v>
      </c>
      <c r="DJ2340" s="496" t="s">
        <v>1008</v>
      </c>
      <c r="DK2340" s="496" t="s">
        <v>1085</v>
      </c>
      <c r="DL2340" s="496" t="s">
        <v>5284</v>
      </c>
      <c r="DM2340" s="496" t="s">
        <v>1087</v>
      </c>
      <c r="DN2340" s="497" t="s">
        <v>1088</v>
      </c>
      <c r="DP2340" s="543">
        <v>1</v>
      </c>
    </row>
    <row r="2341" spans="109:120" ht="15">
      <c r="DE2341" s="494"/>
      <c r="DF2341" s="496" t="s">
        <v>5576</v>
      </c>
      <c r="DG2341" s="496" t="s">
        <v>15</v>
      </c>
      <c r="DH2341" s="496" t="s">
        <v>689</v>
      </c>
      <c r="DI2341" s="496" t="s">
        <v>5577</v>
      </c>
      <c r="DJ2341" s="496" t="s">
        <v>1009</v>
      </c>
      <c r="DK2341" s="496" t="s">
        <v>1085</v>
      </c>
      <c r="DL2341" s="496" t="s">
        <v>5284</v>
      </c>
      <c r="DM2341" s="496" t="s">
        <v>1087</v>
      </c>
      <c r="DN2341" s="497" t="s">
        <v>1088</v>
      </c>
      <c r="DP2341" s="543">
        <v>1</v>
      </c>
    </row>
    <row r="2342" spans="109:120" ht="15">
      <c r="DE2342" s="494"/>
      <c r="DF2342" s="496" t="s">
        <v>5578</v>
      </c>
      <c r="DG2342" s="496" t="s">
        <v>15</v>
      </c>
      <c r="DH2342" s="496" t="s">
        <v>689</v>
      </c>
      <c r="DI2342" s="496" t="s">
        <v>5579</v>
      </c>
      <c r="DJ2342" s="496" t="s">
        <v>5579</v>
      </c>
      <c r="DK2342" s="496" t="s">
        <v>1554</v>
      </c>
      <c r="DL2342" s="496" t="s">
        <v>1555</v>
      </c>
      <c r="DM2342" s="496" t="s">
        <v>1556</v>
      </c>
      <c r="DN2342" s="497" t="s">
        <v>5258</v>
      </c>
      <c r="DP2342" s="543">
        <v>1</v>
      </c>
    </row>
    <row r="2343" spans="109:120" ht="15">
      <c r="DE2343" s="494"/>
      <c r="DF2343" s="496" t="s">
        <v>5580</v>
      </c>
      <c r="DG2343" s="496" t="s">
        <v>15</v>
      </c>
      <c r="DH2343" s="496" t="s">
        <v>689</v>
      </c>
      <c r="DI2343" s="496" t="s">
        <v>5581</v>
      </c>
      <c r="DJ2343" s="496" t="s">
        <v>5581</v>
      </c>
      <c r="DK2343" s="496" t="s">
        <v>1554</v>
      </c>
      <c r="DL2343" s="496" t="s">
        <v>1555</v>
      </c>
      <c r="DM2343" s="496" t="s">
        <v>1556</v>
      </c>
      <c r="DN2343" s="497" t="s">
        <v>5258</v>
      </c>
      <c r="DP2343" s="543">
        <v>1</v>
      </c>
    </row>
    <row r="2344" spans="109:120" ht="15">
      <c r="DE2344" s="494"/>
      <c r="DF2344" s="496" t="s">
        <v>5582</v>
      </c>
      <c r="DG2344" s="496" t="s">
        <v>15</v>
      </c>
      <c r="DH2344" s="496" t="s">
        <v>689</v>
      </c>
      <c r="DI2344" s="496" t="s">
        <v>361</v>
      </c>
      <c r="DJ2344" s="496" t="s">
        <v>361</v>
      </c>
      <c r="DK2344" s="496" t="s">
        <v>1554</v>
      </c>
      <c r="DL2344" s="496" t="s">
        <v>1555</v>
      </c>
      <c r="DM2344" s="496" t="s">
        <v>1556</v>
      </c>
      <c r="DN2344" s="497" t="s">
        <v>5258</v>
      </c>
      <c r="DP2344" s="543">
        <v>1</v>
      </c>
    </row>
    <row r="2345" spans="109:120" ht="15">
      <c r="DE2345" s="494"/>
      <c r="DF2345" s="496" t="s">
        <v>5583</v>
      </c>
      <c r="DG2345" s="496" t="s">
        <v>15</v>
      </c>
      <c r="DH2345" s="496" t="s">
        <v>689</v>
      </c>
      <c r="DI2345" s="496" t="s">
        <v>5584</v>
      </c>
      <c r="DJ2345" s="496" t="s">
        <v>5584</v>
      </c>
      <c r="DK2345" s="496" t="s">
        <v>1085</v>
      </c>
      <c r="DL2345" s="496" t="s">
        <v>5284</v>
      </c>
      <c r="DM2345" s="496" t="s">
        <v>1087</v>
      </c>
      <c r="DN2345" s="497" t="s">
        <v>1088</v>
      </c>
      <c r="DP2345" s="543">
        <v>1</v>
      </c>
    </row>
    <row r="2346" spans="109:120" ht="15">
      <c r="DE2346" s="494"/>
      <c r="DF2346" s="496" t="s">
        <v>5585</v>
      </c>
      <c r="DG2346" s="496" t="s">
        <v>15</v>
      </c>
      <c r="DH2346" s="496" t="s">
        <v>689</v>
      </c>
      <c r="DI2346" s="496" t="s">
        <v>5586</v>
      </c>
      <c r="DJ2346" s="496" t="s">
        <v>5586</v>
      </c>
      <c r="DK2346" s="496" t="s">
        <v>1554</v>
      </c>
      <c r="DL2346" s="496" t="s">
        <v>1555</v>
      </c>
      <c r="DM2346" s="496" t="s">
        <v>1556</v>
      </c>
      <c r="DN2346" s="497" t="s">
        <v>5258</v>
      </c>
      <c r="DP2346" s="543">
        <v>1</v>
      </c>
    </row>
    <row r="2347" spans="109:120" ht="15">
      <c r="DE2347" s="494"/>
      <c r="DF2347" s="496" t="s">
        <v>5587</v>
      </c>
      <c r="DG2347" s="496" t="s">
        <v>15</v>
      </c>
      <c r="DH2347" s="496" t="s">
        <v>689</v>
      </c>
      <c r="DI2347" s="496" t="s">
        <v>5588</v>
      </c>
      <c r="DJ2347" s="496" t="s">
        <v>5588</v>
      </c>
      <c r="DK2347" s="496" t="s">
        <v>1554</v>
      </c>
      <c r="DL2347" s="496" t="s">
        <v>1555</v>
      </c>
      <c r="DM2347" s="496" t="s">
        <v>1556</v>
      </c>
      <c r="DN2347" s="497" t="s">
        <v>5258</v>
      </c>
      <c r="DP2347" s="543">
        <v>1</v>
      </c>
    </row>
    <row r="2348" spans="109:120" ht="15">
      <c r="DE2348" s="494"/>
      <c r="DF2348" s="496" t="s">
        <v>5589</v>
      </c>
      <c r="DG2348" s="496" t="s">
        <v>15</v>
      </c>
      <c r="DH2348" s="496" t="s">
        <v>689</v>
      </c>
      <c r="DI2348" s="496" t="s">
        <v>193</v>
      </c>
      <c r="DJ2348" s="496" t="s">
        <v>193</v>
      </c>
      <c r="DK2348" s="496" t="s">
        <v>1554</v>
      </c>
      <c r="DL2348" s="496" t="s">
        <v>1555</v>
      </c>
      <c r="DM2348" s="496" t="s">
        <v>1556</v>
      </c>
      <c r="DN2348" s="497" t="s">
        <v>5258</v>
      </c>
      <c r="DP2348" s="543">
        <v>1</v>
      </c>
    </row>
    <row r="2349" spans="109:120" ht="15">
      <c r="DE2349" s="494"/>
      <c r="DF2349" s="496" t="s">
        <v>5590</v>
      </c>
      <c r="DG2349" s="496" t="s">
        <v>15</v>
      </c>
      <c r="DH2349" s="496" t="s">
        <v>689</v>
      </c>
      <c r="DI2349" s="496" t="s">
        <v>5591</v>
      </c>
      <c r="DJ2349" s="496" t="s">
        <v>5591</v>
      </c>
      <c r="DK2349" s="496" t="s">
        <v>1554</v>
      </c>
      <c r="DL2349" s="496" t="s">
        <v>1555</v>
      </c>
      <c r="DM2349" s="496" t="s">
        <v>1556</v>
      </c>
      <c r="DN2349" s="497" t="s">
        <v>5258</v>
      </c>
      <c r="DP2349" s="543">
        <v>1</v>
      </c>
    </row>
    <row r="2350" spans="109:120" ht="15">
      <c r="DE2350" s="494"/>
      <c r="DF2350" s="496" t="s">
        <v>5592</v>
      </c>
      <c r="DG2350" s="496" t="s">
        <v>15</v>
      </c>
      <c r="DH2350" s="496" t="s">
        <v>689</v>
      </c>
      <c r="DI2350" s="496" t="s">
        <v>5593</v>
      </c>
      <c r="DJ2350" s="496" t="s">
        <v>5593</v>
      </c>
      <c r="DK2350" s="496" t="s">
        <v>1554</v>
      </c>
      <c r="DL2350" s="496" t="s">
        <v>1555</v>
      </c>
      <c r="DM2350" s="496" t="s">
        <v>1556</v>
      </c>
      <c r="DN2350" s="497" t="s">
        <v>5258</v>
      </c>
      <c r="DP2350" s="543">
        <v>1</v>
      </c>
    </row>
    <row r="2351" spans="109:120" ht="15">
      <c r="DE2351" s="494"/>
      <c r="DF2351" s="496" t="s">
        <v>5594</v>
      </c>
      <c r="DG2351" s="496" t="s">
        <v>15</v>
      </c>
      <c r="DH2351" s="496" t="s">
        <v>689</v>
      </c>
      <c r="DI2351" s="496" t="s">
        <v>5595</v>
      </c>
      <c r="DJ2351" s="496" t="s">
        <v>5595</v>
      </c>
      <c r="DK2351" s="496" t="s">
        <v>1554</v>
      </c>
      <c r="DL2351" s="496" t="s">
        <v>1555</v>
      </c>
      <c r="DM2351" s="496" t="s">
        <v>1556</v>
      </c>
      <c r="DN2351" s="497" t="s">
        <v>5258</v>
      </c>
      <c r="DP2351" s="543">
        <v>1</v>
      </c>
    </row>
    <row r="2352" spans="109:120" ht="15">
      <c r="DE2352" s="494"/>
      <c r="DF2352" s="496" t="s">
        <v>5596</v>
      </c>
      <c r="DG2352" s="496" t="s">
        <v>15</v>
      </c>
      <c r="DH2352" s="496" t="s">
        <v>689</v>
      </c>
      <c r="DI2352" s="496" t="s">
        <v>5597</v>
      </c>
      <c r="DJ2352" s="496" t="s">
        <v>5597</v>
      </c>
      <c r="DK2352" s="496" t="s">
        <v>1554</v>
      </c>
      <c r="DL2352" s="496" t="s">
        <v>1555</v>
      </c>
      <c r="DM2352" s="496" t="s">
        <v>1556</v>
      </c>
      <c r="DN2352" s="497" t="s">
        <v>5258</v>
      </c>
      <c r="DP2352" s="543">
        <v>1</v>
      </c>
    </row>
    <row r="2353" spans="109:120" ht="15">
      <c r="DE2353" s="494"/>
      <c r="DF2353" s="496" t="s">
        <v>5598</v>
      </c>
      <c r="DG2353" s="496" t="s">
        <v>15</v>
      </c>
      <c r="DH2353" s="496" t="s">
        <v>689</v>
      </c>
      <c r="DI2353" s="496" t="s">
        <v>5599</v>
      </c>
      <c r="DJ2353" s="496" t="s">
        <v>5599</v>
      </c>
      <c r="DK2353" s="496" t="s">
        <v>1554</v>
      </c>
      <c r="DL2353" s="496" t="s">
        <v>1555</v>
      </c>
      <c r="DM2353" s="496" t="s">
        <v>1556</v>
      </c>
      <c r="DN2353" s="497" t="s">
        <v>5258</v>
      </c>
      <c r="DP2353" s="543">
        <v>1</v>
      </c>
    </row>
    <row r="2354" spans="109:120" ht="15">
      <c r="DE2354" s="494"/>
      <c r="DF2354" s="496" t="s">
        <v>5600</v>
      </c>
      <c r="DG2354" s="496" t="s">
        <v>15</v>
      </c>
      <c r="DH2354" s="496" t="s">
        <v>689</v>
      </c>
      <c r="DI2354" s="496" t="s">
        <v>197</v>
      </c>
      <c r="DJ2354" s="496" t="s">
        <v>197</v>
      </c>
      <c r="DK2354" s="496" t="s">
        <v>1085</v>
      </c>
      <c r="DL2354" s="496" t="s">
        <v>5284</v>
      </c>
      <c r="DM2354" s="496" t="s">
        <v>1087</v>
      </c>
      <c r="DN2354" s="497" t="s">
        <v>1088</v>
      </c>
      <c r="DP2354" s="543">
        <v>1</v>
      </c>
    </row>
    <row r="2355" spans="109:120" ht="15">
      <c r="DE2355" s="494"/>
      <c r="DF2355" s="496" t="s">
        <v>5601</v>
      </c>
      <c r="DG2355" s="496" t="s">
        <v>15</v>
      </c>
      <c r="DH2355" s="496" t="s">
        <v>689</v>
      </c>
      <c r="DI2355" s="496" t="s">
        <v>5602</v>
      </c>
      <c r="DJ2355" s="496" t="s">
        <v>5602</v>
      </c>
      <c r="DK2355" s="496" t="s">
        <v>1554</v>
      </c>
      <c r="DL2355" s="496" t="s">
        <v>1555</v>
      </c>
      <c r="DM2355" s="496" t="s">
        <v>1556</v>
      </c>
      <c r="DN2355" s="497" t="s">
        <v>5258</v>
      </c>
      <c r="DP2355" s="543">
        <v>1</v>
      </c>
    </row>
    <row r="2356" spans="109:120" ht="15">
      <c r="DE2356" s="494"/>
      <c r="DF2356" s="496" t="s">
        <v>5603</v>
      </c>
      <c r="DG2356" s="496" t="s">
        <v>15</v>
      </c>
      <c r="DH2356" s="496" t="s">
        <v>689</v>
      </c>
      <c r="DI2356" s="496" t="s">
        <v>149</v>
      </c>
      <c r="DJ2356" s="496" t="s">
        <v>149</v>
      </c>
      <c r="DK2356" s="496" t="s">
        <v>1554</v>
      </c>
      <c r="DL2356" s="496" t="s">
        <v>1555</v>
      </c>
      <c r="DM2356" s="496" t="s">
        <v>1556</v>
      </c>
      <c r="DN2356" s="497" t="s">
        <v>5258</v>
      </c>
      <c r="DP2356" s="543">
        <v>1</v>
      </c>
    </row>
    <row r="2357" spans="109:120" ht="15">
      <c r="DE2357" s="494"/>
      <c r="DF2357" s="496" t="s">
        <v>5604</v>
      </c>
      <c r="DG2357" s="496" t="s">
        <v>15</v>
      </c>
      <c r="DH2357" s="496" t="s">
        <v>689</v>
      </c>
      <c r="DI2357" s="496" t="s">
        <v>157</v>
      </c>
      <c r="DJ2357" s="496" t="s">
        <v>157</v>
      </c>
      <c r="DK2357" s="496" t="s">
        <v>1085</v>
      </c>
      <c r="DL2357" s="496" t="s">
        <v>5284</v>
      </c>
      <c r="DM2357" s="496" t="s">
        <v>1087</v>
      </c>
      <c r="DN2357" s="497" t="s">
        <v>1088</v>
      </c>
      <c r="DP2357" s="543">
        <v>1</v>
      </c>
    </row>
    <row r="2358" spans="109:120" ht="15">
      <c r="DE2358" s="494"/>
      <c r="DF2358" s="496" t="s">
        <v>5605</v>
      </c>
      <c r="DG2358" s="496" t="s">
        <v>15</v>
      </c>
      <c r="DH2358" s="496" t="s">
        <v>689</v>
      </c>
      <c r="DI2358" s="496" t="s">
        <v>5606</v>
      </c>
      <c r="DJ2358" s="496" t="s">
        <v>5606</v>
      </c>
      <c r="DK2358" s="496" t="s">
        <v>1554</v>
      </c>
      <c r="DL2358" s="496" t="s">
        <v>1555</v>
      </c>
      <c r="DM2358" s="496" t="s">
        <v>1556</v>
      </c>
      <c r="DN2358" s="497" t="s">
        <v>5258</v>
      </c>
      <c r="DP2358" s="543">
        <v>1</v>
      </c>
    </row>
    <row r="2359" spans="109:120" ht="15">
      <c r="DE2359" s="494"/>
      <c r="DF2359" s="496" t="s">
        <v>5607</v>
      </c>
      <c r="DG2359" s="496" t="s">
        <v>15</v>
      </c>
      <c r="DH2359" s="496" t="s">
        <v>689</v>
      </c>
      <c r="DI2359" s="496" t="s">
        <v>5608</v>
      </c>
      <c r="DJ2359" s="496" t="s">
        <v>5608</v>
      </c>
      <c r="DK2359" s="496" t="s">
        <v>1554</v>
      </c>
      <c r="DL2359" s="496" t="s">
        <v>1555</v>
      </c>
      <c r="DM2359" s="496" t="s">
        <v>1556</v>
      </c>
      <c r="DN2359" s="497" t="s">
        <v>5258</v>
      </c>
      <c r="DP2359" s="543">
        <v>1</v>
      </c>
    </row>
    <row r="2360" spans="109:120" ht="15">
      <c r="DE2360" s="494"/>
      <c r="DF2360" s="496" t="s">
        <v>5609</v>
      </c>
      <c r="DG2360" s="496" t="s">
        <v>15</v>
      </c>
      <c r="DH2360" s="496" t="s">
        <v>689</v>
      </c>
      <c r="DI2360" s="496" t="s">
        <v>5610</v>
      </c>
      <c r="DJ2360" s="496" t="s">
        <v>5610</v>
      </c>
      <c r="DK2360" s="496" t="s">
        <v>1554</v>
      </c>
      <c r="DL2360" s="496" t="s">
        <v>1555</v>
      </c>
      <c r="DM2360" s="496" t="s">
        <v>1556</v>
      </c>
      <c r="DN2360" s="497" t="s">
        <v>5258</v>
      </c>
      <c r="DP2360" s="543">
        <v>1</v>
      </c>
    </row>
    <row r="2361" spans="109:120" ht="15">
      <c r="DE2361" s="494"/>
      <c r="DF2361" s="496" t="s">
        <v>5611</v>
      </c>
      <c r="DG2361" s="496" t="s">
        <v>15</v>
      </c>
      <c r="DH2361" s="496" t="s">
        <v>689</v>
      </c>
      <c r="DI2361" s="496" t="s">
        <v>5612</v>
      </c>
      <c r="DJ2361" s="496" t="s">
        <v>5612</v>
      </c>
      <c r="DK2361" s="496" t="s">
        <v>1554</v>
      </c>
      <c r="DL2361" s="496" t="s">
        <v>1555</v>
      </c>
      <c r="DM2361" s="496" t="s">
        <v>1556</v>
      </c>
      <c r="DN2361" s="497" t="s">
        <v>5258</v>
      </c>
      <c r="DP2361" s="543">
        <v>1</v>
      </c>
    </row>
    <row r="2362" spans="109:120" ht="15">
      <c r="DE2362" s="494"/>
      <c r="DF2362" s="496" t="s">
        <v>5613</v>
      </c>
      <c r="DG2362" s="496" t="s">
        <v>15</v>
      </c>
      <c r="DH2362" s="496" t="s">
        <v>689</v>
      </c>
      <c r="DI2362" s="496" t="s">
        <v>5614</v>
      </c>
      <c r="DJ2362" s="496" t="s">
        <v>5614</v>
      </c>
      <c r="DK2362" s="496" t="s">
        <v>1554</v>
      </c>
      <c r="DL2362" s="496" t="s">
        <v>1555</v>
      </c>
      <c r="DM2362" s="496" t="s">
        <v>1556</v>
      </c>
      <c r="DN2362" s="497" t="s">
        <v>5258</v>
      </c>
      <c r="DP2362" s="543">
        <v>1</v>
      </c>
    </row>
    <row r="2363" spans="109:120" ht="15">
      <c r="DE2363" s="494"/>
      <c r="DF2363" s="496" t="s">
        <v>5615</v>
      </c>
      <c r="DG2363" s="496" t="s">
        <v>15</v>
      </c>
      <c r="DH2363" s="496" t="s">
        <v>689</v>
      </c>
      <c r="DI2363" s="496" t="s">
        <v>5616</v>
      </c>
      <c r="DJ2363" s="496" t="s">
        <v>5616</v>
      </c>
      <c r="DK2363" s="496" t="s">
        <v>1085</v>
      </c>
      <c r="DL2363" s="496" t="s">
        <v>5284</v>
      </c>
      <c r="DM2363" s="496" t="s">
        <v>1087</v>
      </c>
      <c r="DN2363" s="497" t="s">
        <v>1088</v>
      </c>
      <c r="DP2363" s="543">
        <v>1</v>
      </c>
    </row>
    <row r="2364" spans="109:120" ht="15">
      <c r="DE2364" s="494"/>
      <c r="DF2364" s="496" t="s">
        <v>5617</v>
      </c>
      <c r="DG2364" s="496" t="s">
        <v>15</v>
      </c>
      <c r="DH2364" s="496" t="s">
        <v>689</v>
      </c>
      <c r="DI2364" s="496" t="s">
        <v>5618</v>
      </c>
      <c r="DJ2364" s="496" t="s">
        <v>5618</v>
      </c>
      <c r="DK2364" s="496" t="s">
        <v>1554</v>
      </c>
      <c r="DL2364" s="496" t="s">
        <v>1555</v>
      </c>
      <c r="DM2364" s="496" t="s">
        <v>1556</v>
      </c>
      <c r="DN2364" s="497" t="s">
        <v>5258</v>
      </c>
      <c r="DP2364" s="543">
        <v>1</v>
      </c>
    </row>
    <row r="2365" spans="109:120" ht="15">
      <c r="DE2365" s="494"/>
      <c r="DF2365" s="496" t="s">
        <v>5619</v>
      </c>
      <c r="DG2365" s="496" t="s">
        <v>15</v>
      </c>
      <c r="DH2365" s="496" t="s">
        <v>689</v>
      </c>
      <c r="DI2365" s="496" t="s">
        <v>210</v>
      </c>
      <c r="DJ2365" s="496" t="s">
        <v>210</v>
      </c>
      <c r="DK2365" s="496" t="s">
        <v>1085</v>
      </c>
      <c r="DL2365" s="496" t="s">
        <v>5284</v>
      </c>
      <c r="DM2365" s="496" t="s">
        <v>1087</v>
      </c>
      <c r="DN2365" s="497" t="s">
        <v>1088</v>
      </c>
      <c r="DP2365" s="543">
        <v>1</v>
      </c>
    </row>
    <row r="2366" spans="109:120" ht="15">
      <c r="DE2366" s="494"/>
      <c r="DF2366" s="496" t="s">
        <v>5620</v>
      </c>
      <c r="DG2366" s="496" t="s">
        <v>15</v>
      </c>
      <c r="DH2366" s="496" t="s">
        <v>689</v>
      </c>
      <c r="DI2366" s="496" t="s">
        <v>5621</v>
      </c>
      <c r="DJ2366" s="496" t="s">
        <v>5621</v>
      </c>
      <c r="DK2366" s="496" t="s">
        <v>1554</v>
      </c>
      <c r="DL2366" s="496" t="s">
        <v>1555</v>
      </c>
      <c r="DM2366" s="496" t="s">
        <v>1556</v>
      </c>
      <c r="DN2366" s="497" t="s">
        <v>5258</v>
      </c>
      <c r="DP2366" s="543">
        <v>1</v>
      </c>
    </row>
    <row r="2367" spans="109:120" ht="15">
      <c r="DE2367" s="494"/>
      <c r="DF2367" s="496" t="s">
        <v>5622</v>
      </c>
      <c r="DG2367" s="496" t="s">
        <v>15</v>
      </c>
      <c r="DH2367" s="496" t="s">
        <v>689</v>
      </c>
      <c r="DI2367" s="496" t="s">
        <v>5623</v>
      </c>
      <c r="DJ2367" s="496" t="s">
        <v>5624</v>
      </c>
      <c r="DK2367" s="496" t="s">
        <v>1085</v>
      </c>
      <c r="DL2367" s="496" t="s">
        <v>5284</v>
      </c>
      <c r="DM2367" s="496" t="s">
        <v>1087</v>
      </c>
      <c r="DN2367" s="497" t="s">
        <v>1088</v>
      </c>
      <c r="DP2367" s="543">
        <v>1</v>
      </c>
    </row>
    <row r="2368" spans="109:120" ht="15">
      <c r="DE2368" s="494"/>
      <c r="DF2368" s="496" t="s">
        <v>5625</v>
      </c>
      <c r="DG2368" s="496" t="s">
        <v>15</v>
      </c>
      <c r="DH2368" s="496" t="s">
        <v>689</v>
      </c>
      <c r="DI2368" s="496" t="s">
        <v>5626</v>
      </c>
      <c r="DJ2368" s="496" t="s">
        <v>5627</v>
      </c>
      <c r="DK2368" s="496" t="s">
        <v>1085</v>
      </c>
      <c r="DL2368" s="496" t="s">
        <v>5284</v>
      </c>
      <c r="DM2368" s="496" t="s">
        <v>1087</v>
      </c>
      <c r="DN2368" s="497" t="s">
        <v>1088</v>
      </c>
      <c r="DP2368" s="543">
        <v>1</v>
      </c>
    </row>
    <row r="2369" spans="109:120" ht="15">
      <c r="DE2369" s="494"/>
      <c r="DF2369" s="496" t="s">
        <v>5628</v>
      </c>
      <c r="DG2369" s="496" t="s">
        <v>15</v>
      </c>
      <c r="DH2369" s="496" t="s">
        <v>689</v>
      </c>
      <c r="DI2369" s="496" t="s">
        <v>5629</v>
      </c>
      <c r="DJ2369" s="496" t="s">
        <v>5629</v>
      </c>
      <c r="DK2369" s="496" t="s">
        <v>1554</v>
      </c>
      <c r="DL2369" s="496" t="s">
        <v>1555</v>
      </c>
      <c r="DM2369" s="496" t="s">
        <v>1556</v>
      </c>
      <c r="DN2369" s="497" t="s">
        <v>5258</v>
      </c>
      <c r="DP2369" s="543">
        <v>1</v>
      </c>
    </row>
    <row r="2370" spans="109:120" ht="15">
      <c r="DE2370" s="494"/>
      <c r="DF2370" s="496" t="s">
        <v>5630</v>
      </c>
      <c r="DG2370" s="496" t="s">
        <v>15</v>
      </c>
      <c r="DH2370" s="496" t="s">
        <v>689</v>
      </c>
      <c r="DI2370" s="496" t="s">
        <v>340</v>
      </c>
      <c r="DJ2370" s="496" t="s">
        <v>340</v>
      </c>
      <c r="DK2370" s="496" t="s">
        <v>1151</v>
      </c>
      <c r="DL2370" s="496" t="s">
        <v>1152</v>
      </c>
      <c r="DM2370" s="496" t="s">
        <v>1087</v>
      </c>
      <c r="DN2370" s="497" t="s">
        <v>1153</v>
      </c>
      <c r="DP2370" s="543">
        <v>1</v>
      </c>
    </row>
    <row r="2371" spans="109:120" ht="15">
      <c r="DE2371" s="494"/>
      <c r="DF2371" s="496" t="s">
        <v>5631</v>
      </c>
      <c r="DG2371" s="496" t="s">
        <v>15</v>
      </c>
      <c r="DH2371" s="496" t="s">
        <v>689</v>
      </c>
      <c r="DI2371" s="496" t="s">
        <v>341</v>
      </c>
      <c r="DJ2371" s="496" t="s">
        <v>341</v>
      </c>
      <c r="DK2371" s="496" t="s">
        <v>1151</v>
      </c>
      <c r="DL2371" s="496" t="s">
        <v>1152</v>
      </c>
      <c r="DM2371" s="496" t="s">
        <v>1087</v>
      </c>
      <c r="DN2371" s="497" t="s">
        <v>1153</v>
      </c>
      <c r="DP2371" s="543">
        <v>1</v>
      </c>
    </row>
    <row r="2372" spans="109:120" ht="15">
      <c r="DE2372" s="494"/>
      <c r="DF2372" s="496" t="s">
        <v>5632</v>
      </c>
      <c r="DG2372" s="496" t="s">
        <v>15</v>
      </c>
      <c r="DH2372" s="496" t="s">
        <v>689</v>
      </c>
      <c r="DI2372" s="496" t="s">
        <v>188</v>
      </c>
      <c r="DJ2372" s="496" t="s">
        <v>188</v>
      </c>
      <c r="DK2372" s="496" t="s">
        <v>1554</v>
      </c>
      <c r="DL2372" s="496" t="s">
        <v>1555</v>
      </c>
      <c r="DM2372" s="496" t="s">
        <v>1556</v>
      </c>
      <c r="DN2372" s="497" t="s">
        <v>5258</v>
      </c>
      <c r="DP2372" s="543">
        <v>1</v>
      </c>
    </row>
    <row r="2373" spans="109:120" ht="15">
      <c r="DE2373" s="494"/>
      <c r="DF2373" s="496" t="s">
        <v>5633</v>
      </c>
      <c r="DG2373" s="496" t="s">
        <v>15</v>
      </c>
      <c r="DH2373" s="496" t="s">
        <v>689</v>
      </c>
      <c r="DI2373" s="496" t="s">
        <v>5634</v>
      </c>
      <c r="DJ2373" s="496" t="s">
        <v>5634</v>
      </c>
      <c r="DK2373" s="496" t="s">
        <v>1554</v>
      </c>
      <c r="DL2373" s="496" t="s">
        <v>1555</v>
      </c>
      <c r="DM2373" s="496" t="s">
        <v>1556</v>
      </c>
      <c r="DN2373" s="497" t="s">
        <v>5258</v>
      </c>
      <c r="DP2373" s="543">
        <v>1</v>
      </c>
    </row>
    <row r="2374" spans="109:120" ht="15">
      <c r="DE2374" s="494"/>
      <c r="DF2374" s="496" t="s">
        <v>5635</v>
      </c>
      <c r="DG2374" s="496" t="s">
        <v>15</v>
      </c>
      <c r="DH2374" s="496" t="s">
        <v>689</v>
      </c>
      <c r="DI2374" s="496" t="s">
        <v>5636</v>
      </c>
      <c r="DJ2374" s="496" t="s">
        <v>5636</v>
      </c>
      <c r="DK2374" s="496" t="s">
        <v>1554</v>
      </c>
      <c r="DL2374" s="496" t="s">
        <v>1555</v>
      </c>
      <c r="DM2374" s="496" t="s">
        <v>1556</v>
      </c>
      <c r="DN2374" s="497" t="s">
        <v>5258</v>
      </c>
      <c r="DP2374" s="543">
        <v>1</v>
      </c>
    </row>
    <row r="2375" spans="109:120" ht="15">
      <c r="DE2375" s="494"/>
      <c r="DF2375" s="496" t="s">
        <v>5637</v>
      </c>
      <c r="DG2375" s="496" t="s">
        <v>15</v>
      </c>
      <c r="DH2375" s="496" t="s">
        <v>689</v>
      </c>
      <c r="DI2375" s="496" t="s">
        <v>5638</v>
      </c>
      <c r="DJ2375" s="496" t="s">
        <v>5638</v>
      </c>
      <c r="DK2375" s="496" t="s">
        <v>1554</v>
      </c>
      <c r="DL2375" s="496" t="s">
        <v>1555</v>
      </c>
      <c r="DM2375" s="496" t="s">
        <v>1556</v>
      </c>
      <c r="DN2375" s="497" t="s">
        <v>5258</v>
      </c>
      <c r="DP2375" s="543">
        <v>1</v>
      </c>
    </row>
    <row r="2376" spans="109:120" ht="15">
      <c r="DE2376" s="494"/>
      <c r="DF2376" s="496" t="s">
        <v>5639</v>
      </c>
      <c r="DG2376" s="496" t="s">
        <v>15</v>
      </c>
      <c r="DH2376" s="496" t="s">
        <v>689</v>
      </c>
      <c r="DI2376" s="496" t="s">
        <v>5640</v>
      </c>
      <c r="DJ2376" s="496" t="s">
        <v>5640</v>
      </c>
      <c r="DK2376" s="496" t="s">
        <v>1554</v>
      </c>
      <c r="DL2376" s="496" t="s">
        <v>1555</v>
      </c>
      <c r="DM2376" s="496" t="s">
        <v>1556</v>
      </c>
      <c r="DN2376" s="497" t="s">
        <v>5258</v>
      </c>
      <c r="DP2376" s="543">
        <v>1</v>
      </c>
    </row>
    <row r="2377" spans="109:120" ht="15">
      <c r="DE2377" s="494"/>
      <c r="DF2377" s="496" t="s">
        <v>5641</v>
      </c>
      <c r="DG2377" s="496" t="s">
        <v>15</v>
      </c>
      <c r="DH2377" s="496" t="s">
        <v>689</v>
      </c>
      <c r="DI2377" s="496" t="s">
        <v>5642</v>
      </c>
      <c r="DJ2377" s="496" t="s">
        <v>5642</v>
      </c>
      <c r="DK2377" s="496" t="s">
        <v>1554</v>
      </c>
      <c r="DL2377" s="496" t="s">
        <v>1555</v>
      </c>
      <c r="DM2377" s="496" t="s">
        <v>1556</v>
      </c>
      <c r="DN2377" s="497" t="s">
        <v>5258</v>
      </c>
      <c r="DP2377" s="543">
        <v>1</v>
      </c>
    </row>
    <row r="2378" spans="109:120" ht="15">
      <c r="DE2378" s="494"/>
      <c r="DF2378" s="496" t="s">
        <v>5643</v>
      </c>
      <c r="DG2378" s="496" t="s">
        <v>15</v>
      </c>
      <c r="DH2378" s="496" t="s">
        <v>689</v>
      </c>
      <c r="DI2378" s="496" t="s">
        <v>191</v>
      </c>
      <c r="DJ2378" s="496" t="s">
        <v>191</v>
      </c>
      <c r="DK2378" s="496" t="s">
        <v>1085</v>
      </c>
      <c r="DL2378" s="496" t="s">
        <v>5284</v>
      </c>
      <c r="DM2378" s="496" t="s">
        <v>1087</v>
      </c>
      <c r="DN2378" s="497" t="s">
        <v>1088</v>
      </c>
      <c r="DP2378" s="543">
        <v>1</v>
      </c>
    </row>
    <row r="2379" spans="109:120" ht="15">
      <c r="DE2379" s="494"/>
      <c r="DF2379" s="496" t="s">
        <v>5644</v>
      </c>
      <c r="DG2379" s="496" t="s">
        <v>15</v>
      </c>
      <c r="DH2379" s="496" t="s">
        <v>689</v>
      </c>
      <c r="DI2379" s="496" t="s">
        <v>5645</v>
      </c>
      <c r="DJ2379" s="496" t="s">
        <v>5645</v>
      </c>
      <c r="DK2379" s="496" t="s">
        <v>1554</v>
      </c>
      <c r="DL2379" s="496" t="s">
        <v>1555</v>
      </c>
      <c r="DM2379" s="496" t="s">
        <v>1556</v>
      </c>
      <c r="DN2379" s="497" t="s">
        <v>5258</v>
      </c>
      <c r="DP2379" s="543">
        <v>1</v>
      </c>
    </row>
    <row r="2380" spans="109:120" ht="15">
      <c r="DE2380" s="494"/>
      <c r="DF2380" s="496" t="s">
        <v>5646</v>
      </c>
      <c r="DG2380" s="496" t="s">
        <v>15</v>
      </c>
      <c r="DH2380" s="496" t="s">
        <v>689</v>
      </c>
      <c r="DI2380" s="496" t="s">
        <v>5647</v>
      </c>
      <c r="DJ2380" s="496" t="s">
        <v>5647</v>
      </c>
      <c r="DK2380" s="496" t="s">
        <v>1554</v>
      </c>
      <c r="DL2380" s="496" t="s">
        <v>1555</v>
      </c>
      <c r="DM2380" s="496" t="s">
        <v>1556</v>
      </c>
      <c r="DN2380" s="497" t="s">
        <v>5258</v>
      </c>
      <c r="DP2380" s="543">
        <v>1</v>
      </c>
    </row>
    <row r="2381" spans="109:120" ht="15">
      <c r="DE2381" s="494"/>
      <c r="DF2381" s="496" t="s">
        <v>5648</v>
      </c>
      <c r="DG2381" s="496" t="s">
        <v>15</v>
      </c>
      <c r="DH2381" s="496" t="s">
        <v>689</v>
      </c>
      <c r="DI2381" s="496" t="s">
        <v>5649</v>
      </c>
      <c r="DJ2381" s="496" t="s">
        <v>5649</v>
      </c>
      <c r="DK2381" s="496" t="s">
        <v>1554</v>
      </c>
      <c r="DL2381" s="496" t="s">
        <v>1555</v>
      </c>
      <c r="DM2381" s="496" t="s">
        <v>1556</v>
      </c>
      <c r="DN2381" s="497" t="s">
        <v>5258</v>
      </c>
      <c r="DP2381" s="543">
        <v>1</v>
      </c>
    </row>
    <row r="2382" spans="109:120" ht="15">
      <c r="DE2382" s="494"/>
      <c r="DF2382" s="496" t="s">
        <v>5650</v>
      </c>
      <c r="DG2382" s="496" t="s">
        <v>15</v>
      </c>
      <c r="DH2382" s="496" t="s">
        <v>689</v>
      </c>
      <c r="DI2382" s="496" t="s">
        <v>5651</v>
      </c>
      <c r="DJ2382" s="496" t="s">
        <v>5651</v>
      </c>
      <c r="DK2382" s="496" t="s">
        <v>1554</v>
      </c>
      <c r="DL2382" s="496" t="s">
        <v>1555</v>
      </c>
      <c r="DM2382" s="496" t="s">
        <v>1556</v>
      </c>
      <c r="DN2382" s="497" t="s">
        <v>5258</v>
      </c>
      <c r="DP2382" s="543">
        <v>1</v>
      </c>
    </row>
    <row r="2383" spans="109:120" ht="15">
      <c r="DE2383" s="494"/>
      <c r="DF2383" s="496" t="s">
        <v>5652</v>
      </c>
      <c r="DG2383" s="496" t="s">
        <v>15</v>
      </c>
      <c r="DH2383" s="496" t="s">
        <v>689</v>
      </c>
      <c r="DI2383" s="496" t="s">
        <v>5653</v>
      </c>
      <c r="DJ2383" s="496" t="s">
        <v>5653</v>
      </c>
      <c r="DK2383" s="496" t="s">
        <v>1554</v>
      </c>
      <c r="DL2383" s="496" t="s">
        <v>1555</v>
      </c>
      <c r="DM2383" s="496" t="s">
        <v>1556</v>
      </c>
      <c r="DN2383" s="497" t="s">
        <v>5258</v>
      </c>
      <c r="DP2383" s="543">
        <v>1</v>
      </c>
    </row>
    <row r="2384" spans="109:120" ht="15">
      <c r="DE2384" s="494"/>
      <c r="DF2384" s="496" t="s">
        <v>5654</v>
      </c>
      <c r="DG2384" s="496" t="s">
        <v>15</v>
      </c>
      <c r="DH2384" s="496" t="s">
        <v>689</v>
      </c>
      <c r="DI2384" s="496" t="s">
        <v>342</v>
      </c>
      <c r="DJ2384" s="496" t="s">
        <v>342</v>
      </c>
      <c r="DK2384" s="496" t="s">
        <v>1151</v>
      </c>
      <c r="DL2384" s="496" t="s">
        <v>1152</v>
      </c>
      <c r="DM2384" s="496" t="s">
        <v>1087</v>
      </c>
      <c r="DN2384" s="497" t="s">
        <v>1153</v>
      </c>
      <c r="DP2384" s="543">
        <v>1</v>
      </c>
    </row>
    <row r="2385" spans="109:120" ht="15">
      <c r="DE2385" s="494"/>
      <c r="DF2385" s="496" t="s">
        <v>5655</v>
      </c>
      <c r="DG2385" s="496" t="s">
        <v>15</v>
      </c>
      <c r="DH2385" s="496" t="s">
        <v>689</v>
      </c>
      <c r="DI2385" s="496" t="s">
        <v>5656</v>
      </c>
      <c r="DJ2385" s="496" t="s">
        <v>5656</v>
      </c>
      <c r="DK2385" s="496" t="s">
        <v>1554</v>
      </c>
      <c r="DL2385" s="496" t="s">
        <v>1555</v>
      </c>
      <c r="DM2385" s="496" t="s">
        <v>1556</v>
      </c>
      <c r="DN2385" s="497" t="s">
        <v>5258</v>
      </c>
      <c r="DP2385" s="543">
        <v>1</v>
      </c>
    </row>
    <row r="2386" spans="109:120" ht="15">
      <c r="DE2386" s="494"/>
      <c r="DF2386" s="496" t="s">
        <v>5657</v>
      </c>
      <c r="DG2386" s="496" t="s">
        <v>15</v>
      </c>
      <c r="DH2386" s="496" t="s">
        <v>689</v>
      </c>
      <c r="DI2386" s="496" t="s">
        <v>5658</v>
      </c>
      <c r="DJ2386" s="496" t="s">
        <v>5658</v>
      </c>
      <c r="DK2386" s="496" t="s">
        <v>1554</v>
      </c>
      <c r="DL2386" s="496" t="s">
        <v>1555</v>
      </c>
      <c r="DM2386" s="496" t="s">
        <v>1556</v>
      </c>
      <c r="DN2386" s="497" t="s">
        <v>5258</v>
      </c>
      <c r="DP2386" s="543">
        <v>1</v>
      </c>
    </row>
    <row r="2387" spans="109:120" ht="15">
      <c r="DE2387" s="494"/>
      <c r="DF2387" s="496" t="s">
        <v>5659</v>
      </c>
      <c r="DG2387" s="496" t="s">
        <v>15</v>
      </c>
      <c r="DH2387" s="496" t="s">
        <v>689</v>
      </c>
      <c r="DI2387" s="496" t="s">
        <v>5660</v>
      </c>
      <c r="DJ2387" s="496" t="s">
        <v>5660</v>
      </c>
      <c r="DK2387" s="496" t="s">
        <v>1554</v>
      </c>
      <c r="DL2387" s="496" t="s">
        <v>1555</v>
      </c>
      <c r="DM2387" s="496" t="s">
        <v>1556</v>
      </c>
      <c r="DN2387" s="497" t="s">
        <v>5258</v>
      </c>
      <c r="DP2387" s="543">
        <v>1</v>
      </c>
    </row>
    <row r="2388" spans="109:120" ht="15">
      <c r="DE2388" s="494"/>
      <c r="DF2388" s="496" t="s">
        <v>5661</v>
      </c>
      <c r="DG2388" s="496" t="s">
        <v>15</v>
      </c>
      <c r="DH2388" s="496" t="s">
        <v>689</v>
      </c>
      <c r="DI2388" s="496" t="s">
        <v>1010</v>
      </c>
      <c r="DJ2388" s="496" t="s">
        <v>1010</v>
      </c>
      <c r="DK2388" s="496" t="s">
        <v>1554</v>
      </c>
      <c r="DL2388" s="496" t="s">
        <v>1555</v>
      </c>
      <c r="DM2388" s="496" t="s">
        <v>1556</v>
      </c>
      <c r="DN2388" s="497" t="s">
        <v>5258</v>
      </c>
      <c r="DP2388" s="543">
        <v>1</v>
      </c>
    </row>
    <row r="2389" spans="109:120" ht="15">
      <c r="DE2389" s="494"/>
      <c r="DF2389" s="496" t="s">
        <v>5662</v>
      </c>
      <c r="DG2389" s="496" t="s">
        <v>15</v>
      </c>
      <c r="DH2389" s="496" t="s">
        <v>689</v>
      </c>
      <c r="DI2389" s="496" t="s">
        <v>1011</v>
      </c>
      <c r="DJ2389" s="496" t="s">
        <v>1011</v>
      </c>
      <c r="DK2389" s="496" t="s">
        <v>1085</v>
      </c>
      <c r="DL2389" s="496" t="s">
        <v>5284</v>
      </c>
      <c r="DM2389" s="496" t="s">
        <v>1087</v>
      </c>
      <c r="DN2389" s="497" t="s">
        <v>1088</v>
      </c>
      <c r="DP2389" s="543">
        <v>1</v>
      </c>
    </row>
    <row r="2390" spans="109:120" ht="15">
      <c r="DE2390" s="494"/>
      <c r="DF2390" s="496" t="s">
        <v>5663</v>
      </c>
      <c r="DG2390" s="496" t="s">
        <v>15</v>
      </c>
      <c r="DH2390" s="496" t="s">
        <v>689</v>
      </c>
      <c r="DI2390" s="496" t="s">
        <v>5664</v>
      </c>
      <c r="DJ2390" s="496" t="s">
        <v>5664</v>
      </c>
      <c r="DK2390" s="496" t="s">
        <v>1554</v>
      </c>
      <c r="DL2390" s="496" t="s">
        <v>1555</v>
      </c>
      <c r="DM2390" s="496" t="s">
        <v>1556</v>
      </c>
      <c r="DN2390" s="497" t="s">
        <v>5258</v>
      </c>
      <c r="DP2390" s="543">
        <v>1</v>
      </c>
    </row>
    <row r="2391" spans="109:120" ht="15">
      <c r="DE2391" s="494"/>
      <c r="DF2391" s="496" t="s">
        <v>5665</v>
      </c>
      <c r="DG2391" s="496" t="s">
        <v>15</v>
      </c>
      <c r="DH2391" s="496" t="s">
        <v>689</v>
      </c>
      <c r="DI2391" s="496" t="s">
        <v>5666</v>
      </c>
      <c r="DJ2391" s="496" t="s">
        <v>5666</v>
      </c>
      <c r="DK2391" s="496" t="s">
        <v>1554</v>
      </c>
      <c r="DL2391" s="496" t="s">
        <v>1555</v>
      </c>
      <c r="DM2391" s="496" t="s">
        <v>1556</v>
      </c>
      <c r="DN2391" s="497" t="s">
        <v>5258</v>
      </c>
      <c r="DP2391" s="543">
        <v>1</v>
      </c>
    </row>
    <row r="2392" spans="109:120" ht="15">
      <c r="DE2392" s="494"/>
      <c r="DF2392" s="496" t="s">
        <v>5667</v>
      </c>
      <c r="DG2392" s="496" t="s">
        <v>15</v>
      </c>
      <c r="DH2392" s="496" t="s">
        <v>689</v>
      </c>
      <c r="DI2392" s="496" t="s">
        <v>5668</v>
      </c>
      <c r="DJ2392" s="496" t="s">
        <v>5668</v>
      </c>
      <c r="DK2392" s="496" t="s">
        <v>1554</v>
      </c>
      <c r="DL2392" s="496" t="s">
        <v>1555</v>
      </c>
      <c r="DM2392" s="496" t="s">
        <v>1556</v>
      </c>
      <c r="DN2392" s="497" t="s">
        <v>5258</v>
      </c>
      <c r="DP2392" s="543">
        <v>1</v>
      </c>
    </row>
    <row r="2393" spans="109:120" ht="15">
      <c r="DE2393" s="494"/>
      <c r="DF2393" s="496" t="s">
        <v>5669</v>
      </c>
      <c r="DG2393" s="496" t="s">
        <v>15</v>
      </c>
      <c r="DH2393" s="496" t="s">
        <v>689</v>
      </c>
      <c r="DI2393" s="496" t="s">
        <v>5670</v>
      </c>
      <c r="DJ2393" s="496" t="s">
        <v>5670</v>
      </c>
      <c r="DK2393" s="496" t="s">
        <v>1554</v>
      </c>
      <c r="DL2393" s="496" t="s">
        <v>1555</v>
      </c>
      <c r="DM2393" s="496" t="s">
        <v>1556</v>
      </c>
      <c r="DN2393" s="497" t="s">
        <v>5258</v>
      </c>
      <c r="DP2393" s="543">
        <v>1</v>
      </c>
    </row>
    <row r="2394" spans="109:120" ht="15">
      <c r="DE2394" s="494"/>
      <c r="DF2394" s="496" t="s">
        <v>5671</v>
      </c>
      <c r="DG2394" s="496" t="s">
        <v>15</v>
      </c>
      <c r="DH2394" s="496" t="s">
        <v>689</v>
      </c>
      <c r="DI2394" s="496" t="s">
        <v>5672</v>
      </c>
      <c r="DJ2394" s="496" t="s">
        <v>5672</v>
      </c>
      <c r="DK2394" s="496" t="s">
        <v>1554</v>
      </c>
      <c r="DL2394" s="496" t="s">
        <v>1555</v>
      </c>
      <c r="DM2394" s="496" t="s">
        <v>1556</v>
      </c>
      <c r="DN2394" s="497" t="s">
        <v>5258</v>
      </c>
      <c r="DP2394" s="543">
        <v>1</v>
      </c>
    </row>
    <row r="2395" spans="109:120" ht="15">
      <c r="DE2395" s="494"/>
      <c r="DF2395" s="496" t="s">
        <v>5673</v>
      </c>
      <c r="DG2395" s="496" t="s">
        <v>15</v>
      </c>
      <c r="DH2395" s="496" t="s">
        <v>689</v>
      </c>
      <c r="DI2395" s="496" t="s">
        <v>5674</v>
      </c>
      <c r="DJ2395" s="496" t="s">
        <v>5674</v>
      </c>
      <c r="DK2395" s="496" t="s">
        <v>1554</v>
      </c>
      <c r="DL2395" s="496" t="s">
        <v>1555</v>
      </c>
      <c r="DM2395" s="496" t="s">
        <v>1556</v>
      </c>
      <c r="DN2395" s="497" t="s">
        <v>5258</v>
      </c>
      <c r="DP2395" s="543">
        <v>1</v>
      </c>
    </row>
    <row r="2396" spans="109:120" ht="15">
      <c r="DE2396" s="494"/>
      <c r="DF2396" s="496" t="s">
        <v>5675</v>
      </c>
      <c r="DG2396" s="496" t="s">
        <v>15</v>
      </c>
      <c r="DH2396" s="496" t="s">
        <v>689</v>
      </c>
      <c r="DI2396" s="496" t="s">
        <v>5676</v>
      </c>
      <c r="DJ2396" s="496" t="s">
        <v>5676</v>
      </c>
      <c r="DK2396" s="496" t="s">
        <v>1554</v>
      </c>
      <c r="DL2396" s="496" t="s">
        <v>1555</v>
      </c>
      <c r="DM2396" s="496" t="s">
        <v>1556</v>
      </c>
      <c r="DN2396" s="497" t="s">
        <v>5258</v>
      </c>
      <c r="DP2396" s="543">
        <v>1</v>
      </c>
    </row>
    <row r="2397" spans="109:120" ht="15">
      <c r="DE2397" s="494"/>
      <c r="DF2397" s="496" t="s">
        <v>5677</v>
      </c>
      <c r="DG2397" s="496" t="s">
        <v>15</v>
      </c>
      <c r="DH2397" s="496" t="s">
        <v>689</v>
      </c>
      <c r="DI2397" s="496" t="s">
        <v>5678</v>
      </c>
      <c r="DJ2397" s="496" t="s">
        <v>5678</v>
      </c>
      <c r="DK2397" s="496" t="s">
        <v>1554</v>
      </c>
      <c r="DL2397" s="496" t="s">
        <v>1555</v>
      </c>
      <c r="DM2397" s="496" t="s">
        <v>1556</v>
      </c>
      <c r="DN2397" s="497" t="s">
        <v>5258</v>
      </c>
      <c r="DP2397" s="543">
        <v>1</v>
      </c>
    </row>
    <row r="2398" spans="109:120" ht="15">
      <c r="DE2398" s="494"/>
      <c r="DF2398" s="496" t="s">
        <v>5679</v>
      </c>
      <c r="DG2398" s="496" t="s">
        <v>15</v>
      </c>
      <c r="DH2398" s="496" t="s">
        <v>689</v>
      </c>
      <c r="DI2398" s="496" t="s">
        <v>5680</v>
      </c>
      <c r="DJ2398" s="496" t="s">
        <v>5680</v>
      </c>
      <c r="DK2398" s="496" t="s">
        <v>1554</v>
      </c>
      <c r="DL2398" s="496" t="s">
        <v>1555</v>
      </c>
      <c r="DM2398" s="496" t="s">
        <v>1556</v>
      </c>
      <c r="DN2398" s="497" t="s">
        <v>5258</v>
      </c>
      <c r="DP2398" s="543">
        <v>1</v>
      </c>
    </row>
    <row r="2399" spans="109:120" ht="15">
      <c r="DE2399" s="494"/>
      <c r="DF2399" s="496" t="s">
        <v>5681</v>
      </c>
      <c r="DG2399" s="496" t="s">
        <v>15</v>
      </c>
      <c r="DH2399" s="496" t="s">
        <v>689</v>
      </c>
      <c r="DI2399" s="496" t="s">
        <v>5682</v>
      </c>
      <c r="DJ2399" s="496" t="s">
        <v>5682</v>
      </c>
      <c r="DK2399" s="496" t="s">
        <v>1554</v>
      </c>
      <c r="DL2399" s="496" t="s">
        <v>1555</v>
      </c>
      <c r="DM2399" s="496" t="s">
        <v>1556</v>
      </c>
      <c r="DN2399" s="497" t="s">
        <v>5258</v>
      </c>
      <c r="DP2399" s="543">
        <v>1</v>
      </c>
    </row>
    <row r="2400" spans="109:120" ht="15">
      <c r="DE2400" s="494"/>
      <c r="DF2400" s="496" t="s">
        <v>5683</v>
      </c>
      <c r="DG2400" s="496" t="s">
        <v>15</v>
      </c>
      <c r="DH2400" s="496" t="s">
        <v>689</v>
      </c>
      <c r="DI2400" s="496" t="s">
        <v>5684</v>
      </c>
      <c r="DJ2400" s="496" t="s">
        <v>5684</v>
      </c>
      <c r="DK2400" s="496" t="s">
        <v>1554</v>
      </c>
      <c r="DL2400" s="496" t="s">
        <v>1555</v>
      </c>
      <c r="DM2400" s="496" t="s">
        <v>1556</v>
      </c>
      <c r="DN2400" s="497" t="s">
        <v>5258</v>
      </c>
      <c r="DP2400" s="543">
        <v>1</v>
      </c>
    </row>
    <row r="2401" spans="109:120" ht="15">
      <c r="DE2401" s="494"/>
      <c r="DF2401" s="496" t="s">
        <v>5685</v>
      </c>
      <c r="DG2401" s="496" t="s">
        <v>15</v>
      </c>
      <c r="DH2401" s="496" t="s">
        <v>689</v>
      </c>
      <c r="DI2401" s="496" t="s">
        <v>5686</v>
      </c>
      <c r="DJ2401" s="496" t="s">
        <v>5686</v>
      </c>
      <c r="DK2401" s="496" t="s">
        <v>1554</v>
      </c>
      <c r="DL2401" s="496" t="s">
        <v>1555</v>
      </c>
      <c r="DM2401" s="496" t="s">
        <v>1556</v>
      </c>
      <c r="DN2401" s="497" t="s">
        <v>5258</v>
      </c>
      <c r="DP2401" s="543">
        <v>1</v>
      </c>
    </row>
    <row r="2402" spans="109:120" ht="15">
      <c r="DE2402" s="494"/>
      <c r="DF2402" s="496" t="s">
        <v>5687</v>
      </c>
      <c r="DG2402" s="496" t="s">
        <v>15</v>
      </c>
      <c r="DH2402" s="496" t="s">
        <v>689</v>
      </c>
      <c r="DI2402" s="496" t="s">
        <v>5688</v>
      </c>
      <c r="DJ2402" s="496" t="s">
        <v>5688</v>
      </c>
      <c r="DK2402" s="496" t="s">
        <v>1554</v>
      </c>
      <c r="DL2402" s="496" t="s">
        <v>1555</v>
      </c>
      <c r="DM2402" s="496" t="s">
        <v>1556</v>
      </c>
      <c r="DN2402" s="497" t="s">
        <v>5258</v>
      </c>
      <c r="DP2402" s="543">
        <v>1</v>
      </c>
    </row>
    <row r="2403" spans="109:120" ht="15">
      <c r="DE2403" s="494"/>
      <c r="DF2403" s="496" t="s">
        <v>5689</v>
      </c>
      <c r="DG2403" s="496" t="s">
        <v>15</v>
      </c>
      <c r="DH2403" s="496" t="s">
        <v>689</v>
      </c>
      <c r="DI2403" s="496" t="s">
        <v>5690</v>
      </c>
      <c r="DJ2403" s="496" t="s">
        <v>5690</v>
      </c>
      <c r="DK2403" s="496" t="s">
        <v>1554</v>
      </c>
      <c r="DL2403" s="496" t="s">
        <v>1555</v>
      </c>
      <c r="DM2403" s="496" t="s">
        <v>1556</v>
      </c>
      <c r="DN2403" s="497" t="s">
        <v>5258</v>
      </c>
      <c r="DP2403" s="543">
        <v>1</v>
      </c>
    </row>
    <row r="2404" spans="109:120" ht="15">
      <c r="DE2404" s="494"/>
      <c r="DF2404" s="496" t="s">
        <v>5691</v>
      </c>
      <c r="DG2404" s="496" t="s">
        <v>15</v>
      </c>
      <c r="DH2404" s="496" t="s">
        <v>689</v>
      </c>
      <c r="DI2404" s="496" t="s">
        <v>5692</v>
      </c>
      <c r="DJ2404" s="496" t="s">
        <v>5692</v>
      </c>
      <c r="DK2404" s="496" t="s">
        <v>1151</v>
      </c>
      <c r="DL2404" s="496" t="s">
        <v>1152</v>
      </c>
      <c r="DM2404" s="496" t="s">
        <v>1087</v>
      </c>
      <c r="DN2404" s="497" t="s">
        <v>1153</v>
      </c>
      <c r="DP2404" s="543">
        <v>1</v>
      </c>
    </row>
    <row r="2405" spans="109:120" ht="15">
      <c r="DE2405" s="494"/>
      <c r="DF2405" s="496" t="s">
        <v>5693</v>
      </c>
      <c r="DG2405" s="496" t="s">
        <v>15</v>
      </c>
      <c r="DH2405" s="496" t="s">
        <v>689</v>
      </c>
      <c r="DI2405" s="496" t="s">
        <v>5694</v>
      </c>
      <c r="DJ2405" s="496" t="s">
        <v>5694</v>
      </c>
      <c r="DK2405" s="496" t="s">
        <v>1151</v>
      </c>
      <c r="DL2405" s="496" t="s">
        <v>1152</v>
      </c>
      <c r="DM2405" s="496" t="s">
        <v>1087</v>
      </c>
      <c r="DN2405" s="497" t="s">
        <v>1153</v>
      </c>
      <c r="DP2405" s="543">
        <v>1</v>
      </c>
    </row>
    <row r="2406" spans="109:120" ht="15">
      <c r="DE2406" s="494"/>
      <c r="DF2406" s="496" t="s">
        <v>5695</v>
      </c>
      <c r="DG2406" s="496" t="s">
        <v>15</v>
      </c>
      <c r="DH2406" s="496" t="s">
        <v>689</v>
      </c>
      <c r="DI2406" s="496" t="s">
        <v>5696</v>
      </c>
      <c r="DJ2406" s="496" t="s">
        <v>5696</v>
      </c>
      <c r="DK2406" s="496" t="s">
        <v>1554</v>
      </c>
      <c r="DL2406" s="496" t="s">
        <v>1555</v>
      </c>
      <c r="DM2406" s="496" t="s">
        <v>1556</v>
      </c>
      <c r="DN2406" s="497" t="s">
        <v>5258</v>
      </c>
      <c r="DP2406" s="543">
        <v>1</v>
      </c>
    </row>
    <row r="2407" spans="109:120" ht="15">
      <c r="DE2407" s="494"/>
      <c r="DF2407" s="496" t="s">
        <v>5697</v>
      </c>
      <c r="DG2407" s="496" t="s">
        <v>15</v>
      </c>
      <c r="DH2407" s="496" t="s">
        <v>690</v>
      </c>
      <c r="DI2407" s="496" t="s">
        <v>5698</v>
      </c>
      <c r="DJ2407" s="496" t="s">
        <v>5698</v>
      </c>
      <c r="DK2407" s="496" t="s">
        <v>1085</v>
      </c>
      <c r="DL2407" s="496" t="s">
        <v>5699</v>
      </c>
      <c r="DM2407" s="496" t="s">
        <v>1087</v>
      </c>
      <c r="DN2407" s="497" t="s">
        <v>1088</v>
      </c>
      <c r="DP2407" s="543">
        <v>1</v>
      </c>
    </row>
    <row r="2408" spans="109:120" ht="15">
      <c r="DE2408" s="494"/>
      <c r="DF2408" s="496" t="s">
        <v>5700</v>
      </c>
      <c r="DG2408" s="496" t="s">
        <v>15</v>
      </c>
      <c r="DH2408" s="496" t="s">
        <v>690</v>
      </c>
      <c r="DI2408" s="496" t="s">
        <v>5701</v>
      </c>
      <c r="DJ2408" s="496" t="s">
        <v>5701</v>
      </c>
      <c r="DK2408" s="496" t="s">
        <v>1085</v>
      </c>
      <c r="DL2408" s="496" t="s">
        <v>5699</v>
      </c>
      <c r="DM2408" s="496" t="s">
        <v>1087</v>
      </c>
      <c r="DN2408" s="497" t="s">
        <v>1088</v>
      </c>
      <c r="DP2408" s="543">
        <v>1</v>
      </c>
    </row>
    <row r="2409" spans="109:120" ht="15">
      <c r="DE2409" s="494"/>
      <c r="DF2409" s="496" t="s">
        <v>5702</v>
      </c>
      <c r="DG2409" s="496" t="s">
        <v>15</v>
      </c>
      <c r="DH2409" s="496" t="s">
        <v>690</v>
      </c>
      <c r="DI2409" s="496" t="s">
        <v>5703</v>
      </c>
      <c r="DJ2409" s="496" t="s">
        <v>5703</v>
      </c>
      <c r="DK2409" s="496" t="s">
        <v>1085</v>
      </c>
      <c r="DL2409" s="496" t="s">
        <v>5699</v>
      </c>
      <c r="DM2409" s="496" t="s">
        <v>1087</v>
      </c>
      <c r="DN2409" s="497" t="s">
        <v>1088</v>
      </c>
      <c r="DP2409" s="543">
        <v>1</v>
      </c>
    </row>
    <row r="2410" spans="109:120" ht="15">
      <c r="DE2410" s="494"/>
      <c r="DF2410" s="496" t="s">
        <v>5704</v>
      </c>
      <c r="DG2410" s="496" t="s">
        <v>15</v>
      </c>
      <c r="DH2410" s="496" t="s">
        <v>690</v>
      </c>
      <c r="DI2410" s="496" t="s">
        <v>5705</v>
      </c>
      <c r="DJ2410" s="496" t="s">
        <v>5705</v>
      </c>
      <c r="DK2410" s="496" t="s">
        <v>1085</v>
      </c>
      <c r="DL2410" s="496" t="s">
        <v>5699</v>
      </c>
      <c r="DM2410" s="496" t="s">
        <v>1087</v>
      </c>
      <c r="DN2410" s="497" t="s">
        <v>1088</v>
      </c>
      <c r="DP2410" s="543">
        <v>1</v>
      </c>
    </row>
    <row r="2411" spans="109:120" ht="15">
      <c r="DE2411" s="494"/>
      <c r="DF2411" s="496" t="s">
        <v>5706</v>
      </c>
      <c r="DG2411" s="496" t="s">
        <v>15</v>
      </c>
      <c r="DH2411" s="496" t="s">
        <v>690</v>
      </c>
      <c r="DI2411" s="496" t="s">
        <v>5707</v>
      </c>
      <c r="DJ2411" s="496" t="s">
        <v>5707</v>
      </c>
      <c r="DK2411" s="496" t="s">
        <v>1085</v>
      </c>
      <c r="DL2411" s="496" t="s">
        <v>5699</v>
      </c>
      <c r="DM2411" s="496" t="s">
        <v>1087</v>
      </c>
      <c r="DN2411" s="497" t="s">
        <v>1088</v>
      </c>
      <c r="DP2411" s="543">
        <v>1</v>
      </c>
    </row>
    <row r="2412" spans="109:120" ht="15">
      <c r="DE2412" s="494"/>
      <c r="DF2412" s="496" t="s">
        <v>5708</v>
      </c>
      <c r="DG2412" s="496" t="s">
        <v>15</v>
      </c>
      <c r="DH2412" s="496" t="s">
        <v>690</v>
      </c>
      <c r="DI2412" s="496" t="s">
        <v>5709</v>
      </c>
      <c r="DJ2412" s="496" t="s">
        <v>5709</v>
      </c>
      <c r="DK2412" s="496" t="s">
        <v>1085</v>
      </c>
      <c r="DL2412" s="496" t="s">
        <v>5699</v>
      </c>
      <c r="DM2412" s="496" t="s">
        <v>1087</v>
      </c>
      <c r="DN2412" s="497" t="s">
        <v>1088</v>
      </c>
      <c r="DP2412" s="543">
        <v>1</v>
      </c>
    </row>
    <row r="2413" spans="109:120" ht="15">
      <c r="DE2413" s="494"/>
      <c r="DF2413" s="496" t="s">
        <v>5710</v>
      </c>
      <c r="DG2413" s="496" t="s">
        <v>15</v>
      </c>
      <c r="DH2413" s="496" t="s">
        <v>690</v>
      </c>
      <c r="DI2413" s="496" t="s">
        <v>1478</v>
      </c>
      <c r="DJ2413" s="496" t="s">
        <v>860</v>
      </c>
      <c r="DK2413" s="496" t="s">
        <v>1151</v>
      </c>
      <c r="DL2413" s="496" t="s">
        <v>1446</v>
      </c>
      <c r="DM2413" s="496" t="s">
        <v>1087</v>
      </c>
      <c r="DN2413" s="497" t="s">
        <v>1153</v>
      </c>
      <c r="DP2413" s="543">
        <v>1</v>
      </c>
    </row>
    <row r="2414" spans="109:120" ht="15">
      <c r="DE2414" s="494"/>
      <c r="DF2414" s="496" t="s">
        <v>5711</v>
      </c>
      <c r="DG2414" s="496" t="s">
        <v>15</v>
      </c>
      <c r="DH2414" s="496" t="s">
        <v>690</v>
      </c>
      <c r="DI2414" s="496" t="s">
        <v>857</v>
      </c>
      <c r="DJ2414" s="496" t="s">
        <v>861</v>
      </c>
      <c r="DK2414" s="496" t="s">
        <v>1085</v>
      </c>
      <c r="DL2414" s="496" t="s">
        <v>5699</v>
      </c>
      <c r="DM2414" s="496" t="s">
        <v>1087</v>
      </c>
      <c r="DN2414" s="497" t="s">
        <v>1088</v>
      </c>
      <c r="DP2414" s="543">
        <v>1</v>
      </c>
    </row>
    <row r="2415" spans="109:120" ht="15">
      <c r="DE2415" s="494"/>
      <c r="DF2415" s="496" t="s">
        <v>5712</v>
      </c>
      <c r="DG2415" s="496" t="s">
        <v>15</v>
      </c>
      <c r="DH2415" s="496" t="s">
        <v>690</v>
      </c>
      <c r="DI2415" s="496" t="s">
        <v>1481</v>
      </c>
      <c r="DJ2415" s="496" t="s">
        <v>863</v>
      </c>
      <c r="DK2415" s="496" t="s">
        <v>1085</v>
      </c>
      <c r="DL2415" s="496" t="s">
        <v>5699</v>
      </c>
      <c r="DM2415" s="496" t="s">
        <v>1087</v>
      </c>
      <c r="DN2415" s="497" t="s">
        <v>1088</v>
      </c>
      <c r="DP2415" s="543">
        <v>1</v>
      </c>
    </row>
    <row r="2416" spans="109:120" ht="15">
      <c r="DE2416" s="494"/>
      <c r="DF2416" s="496" t="s">
        <v>5713</v>
      </c>
      <c r="DG2416" s="496" t="s">
        <v>15</v>
      </c>
      <c r="DH2416" s="496" t="s">
        <v>690</v>
      </c>
      <c r="DI2416" s="496" t="s">
        <v>1483</v>
      </c>
      <c r="DJ2416" s="496" t="s">
        <v>1484</v>
      </c>
      <c r="DK2416" s="496" t="s">
        <v>1151</v>
      </c>
      <c r="DL2416" s="496" t="s">
        <v>1446</v>
      </c>
      <c r="DM2416" s="496" t="s">
        <v>1087</v>
      </c>
      <c r="DN2416" s="497" t="s">
        <v>1153</v>
      </c>
      <c r="DP2416" s="543">
        <v>1</v>
      </c>
    </row>
    <row r="2417" spans="109:120" ht="15">
      <c r="DE2417" s="494"/>
      <c r="DF2417" s="496" t="s">
        <v>5714</v>
      </c>
      <c r="DG2417" s="496" t="s">
        <v>15</v>
      </c>
      <c r="DH2417" s="496" t="s">
        <v>690</v>
      </c>
      <c r="DI2417" s="496" t="s">
        <v>1486</v>
      </c>
      <c r="DJ2417" s="496" t="s">
        <v>864</v>
      </c>
      <c r="DK2417" s="496" t="s">
        <v>1151</v>
      </c>
      <c r="DL2417" s="496" t="s">
        <v>1446</v>
      </c>
      <c r="DM2417" s="496" t="s">
        <v>1087</v>
      </c>
      <c r="DN2417" s="497" t="s">
        <v>1153</v>
      </c>
      <c r="DP2417" s="543">
        <v>1</v>
      </c>
    </row>
    <row r="2418" spans="109:120" ht="15">
      <c r="DE2418" s="494"/>
      <c r="DF2418" s="496" t="s">
        <v>5715</v>
      </c>
      <c r="DG2418" s="496" t="s">
        <v>15</v>
      </c>
      <c r="DH2418" s="496" t="s">
        <v>690</v>
      </c>
      <c r="DI2418" s="496" t="s">
        <v>1488</v>
      </c>
      <c r="DJ2418" s="496" t="s">
        <v>867</v>
      </c>
      <c r="DK2418" s="496" t="s">
        <v>1151</v>
      </c>
      <c r="DL2418" s="496" t="s">
        <v>1446</v>
      </c>
      <c r="DM2418" s="496" t="s">
        <v>1087</v>
      </c>
      <c r="DN2418" s="497" t="s">
        <v>1153</v>
      </c>
      <c r="DP2418" s="543">
        <v>1</v>
      </c>
    </row>
    <row r="2419" spans="109:120" ht="15">
      <c r="DE2419" s="494"/>
      <c r="DF2419" s="496" t="s">
        <v>5716</v>
      </c>
      <c r="DG2419" s="496" t="s">
        <v>15</v>
      </c>
      <c r="DH2419" s="496" t="s">
        <v>690</v>
      </c>
      <c r="DI2419" s="496" t="s">
        <v>1490</v>
      </c>
      <c r="DJ2419" s="496" t="s">
        <v>869</v>
      </c>
      <c r="DK2419" s="496" t="s">
        <v>1085</v>
      </c>
      <c r="DL2419" s="496" t="s">
        <v>5699</v>
      </c>
      <c r="DM2419" s="496" t="s">
        <v>1087</v>
      </c>
      <c r="DN2419" s="497" t="s">
        <v>1088</v>
      </c>
      <c r="DP2419" s="543">
        <v>1</v>
      </c>
    </row>
    <row r="2420" spans="109:120" ht="15">
      <c r="DE2420" s="494"/>
      <c r="DF2420" s="496" t="s">
        <v>5717</v>
      </c>
      <c r="DG2420" s="496" t="s">
        <v>15</v>
      </c>
      <c r="DH2420" s="496" t="s">
        <v>690</v>
      </c>
      <c r="DI2420" s="496" t="s">
        <v>693</v>
      </c>
      <c r="DJ2420" s="496" t="s">
        <v>693</v>
      </c>
      <c r="DK2420" s="496" t="s">
        <v>1085</v>
      </c>
      <c r="DL2420" s="496" t="s">
        <v>5699</v>
      </c>
      <c r="DM2420" s="496" t="s">
        <v>1087</v>
      </c>
      <c r="DN2420" s="497" t="s">
        <v>1088</v>
      </c>
      <c r="DP2420" s="543">
        <v>1</v>
      </c>
    </row>
    <row r="2421" spans="109:120" ht="15">
      <c r="DE2421" s="494"/>
      <c r="DF2421" s="496" t="s">
        <v>5718</v>
      </c>
      <c r="DG2421" s="496" t="s">
        <v>15</v>
      </c>
      <c r="DH2421" s="496" t="s">
        <v>690</v>
      </c>
      <c r="DI2421" s="496" t="s">
        <v>5719</v>
      </c>
      <c r="DJ2421" s="496" t="s">
        <v>5720</v>
      </c>
      <c r="DK2421" s="496" t="s">
        <v>1085</v>
      </c>
      <c r="DL2421" s="496" t="s">
        <v>5699</v>
      </c>
      <c r="DM2421" s="496" t="s">
        <v>1087</v>
      </c>
      <c r="DN2421" s="497" t="s">
        <v>1088</v>
      </c>
      <c r="DP2421" s="543">
        <v>1</v>
      </c>
    </row>
    <row r="2422" spans="109:120" ht="15">
      <c r="DE2422" s="494"/>
      <c r="DF2422" s="496" t="s">
        <v>5721</v>
      </c>
      <c r="DG2422" s="496" t="s">
        <v>15</v>
      </c>
      <c r="DH2422" s="496" t="s">
        <v>690</v>
      </c>
      <c r="DI2422" s="496" t="s">
        <v>694</v>
      </c>
      <c r="DJ2422" s="496" t="s">
        <v>694</v>
      </c>
      <c r="DK2422" s="496" t="s">
        <v>1085</v>
      </c>
      <c r="DL2422" s="496" t="s">
        <v>5699</v>
      </c>
      <c r="DM2422" s="496" t="s">
        <v>1087</v>
      </c>
      <c r="DN2422" s="497" t="s">
        <v>1088</v>
      </c>
      <c r="DP2422" s="543">
        <v>1</v>
      </c>
    </row>
    <row r="2423" spans="109:120" ht="15">
      <c r="DE2423" s="494"/>
      <c r="DF2423" s="496" t="s">
        <v>5722</v>
      </c>
      <c r="DG2423" s="496" t="s">
        <v>15</v>
      </c>
      <c r="DH2423" s="496" t="s">
        <v>1511</v>
      </c>
      <c r="DI2423" s="496" t="s">
        <v>3801</v>
      </c>
      <c r="DJ2423" s="496" t="s">
        <v>3801</v>
      </c>
      <c r="DK2423" s="496" t="s">
        <v>1085</v>
      </c>
      <c r="DL2423" s="496" t="s">
        <v>3799</v>
      </c>
      <c r="DM2423" s="496" t="s">
        <v>1087</v>
      </c>
      <c r="DN2423" s="497" t="s">
        <v>1088</v>
      </c>
      <c r="DP2423" s="543">
        <v>1</v>
      </c>
    </row>
    <row r="2424" spans="109:120" ht="15">
      <c r="DE2424" s="494"/>
      <c r="DF2424" s="496" t="s">
        <v>5723</v>
      </c>
      <c r="DG2424" s="496" t="s">
        <v>15</v>
      </c>
      <c r="DH2424" s="496" t="s">
        <v>1511</v>
      </c>
      <c r="DI2424" s="496" t="s">
        <v>3808</v>
      </c>
      <c r="DJ2424" s="496" t="s">
        <v>3808</v>
      </c>
      <c r="DK2424" s="496" t="s">
        <v>1085</v>
      </c>
      <c r="DL2424" s="496" t="s">
        <v>3799</v>
      </c>
      <c r="DM2424" s="496" t="s">
        <v>1087</v>
      </c>
      <c r="DN2424" s="497" t="s">
        <v>1088</v>
      </c>
      <c r="DP2424" s="543">
        <v>1</v>
      </c>
    </row>
    <row r="2425" spans="109:120" ht="15">
      <c r="DE2425" s="494"/>
      <c r="DF2425" s="496" t="s">
        <v>5724</v>
      </c>
      <c r="DG2425" s="496" t="s">
        <v>15</v>
      </c>
      <c r="DH2425" s="496" t="s">
        <v>1511</v>
      </c>
      <c r="DI2425" s="496" t="s">
        <v>5725</v>
      </c>
      <c r="DJ2425" s="496" t="s">
        <v>5726</v>
      </c>
      <c r="DK2425" s="496" t="s">
        <v>1085</v>
      </c>
      <c r="DL2425" s="496" t="s">
        <v>3799</v>
      </c>
      <c r="DM2425" s="496" t="s">
        <v>1087</v>
      </c>
      <c r="DN2425" s="497" t="s">
        <v>1088</v>
      </c>
      <c r="DP2425" s="543">
        <v>1</v>
      </c>
    </row>
    <row r="2426" spans="109:120" ht="15">
      <c r="DE2426" s="494"/>
      <c r="DF2426" s="496" t="s">
        <v>5727</v>
      </c>
      <c r="DG2426" s="496" t="s">
        <v>15</v>
      </c>
      <c r="DH2426" s="496" t="s">
        <v>1511</v>
      </c>
      <c r="DI2426" s="496" t="s">
        <v>5728</v>
      </c>
      <c r="DJ2426" s="496" t="s">
        <v>5729</v>
      </c>
      <c r="DK2426" s="496" t="s">
        <v>1085</v>
      </c>
      <c r="DL2426" s="496" t="s">
        <v>3799</v>
      </c>
      <c r="DM2426" s="496" t="s">
        <v>1087</v>
      </c>
      <c r="DN2426" s="497" t="s">
        <v>1088</v>
      </c>
      <c r="DP2426" s="543">
        <v>1</v>
      </c>
    </row>
    <row r="2427" spans="109:120" ht="15">
      <c r="DE2427" s="494"/>
      <c r="DF2427" s="496" t="s">
        <v>5730</v>
      </c>
      <c r="DG2427" s="496" t="s">
        <v>15</v>
      </c>
      <c r="DH2427" s="496" t="s">
        <v>1511</v>
      </c>
      <c r="DI2427" s="496" t="s">
        <v>1052</v>
      </c>
      <c r="DJ2427" s="496" t="s">
        <v>1052</v>
      </c>
      <c r="DK2427" s="496" t="s">
        <v>1085</v>
      </c>
      <c r="DL2427" s="496" t="s">
        <v>3799</v>
      </c>
      <c r="DM2427" s="496" t="s">
        <v>1087</v>
      </c>
      <c r="DN2427" s="497" t="s">
        <v>1088</v>
      </c>
      <c r="DP2427" s="543">
        <v>1</v>
      </c>
    </row>
    <row r="2428" spans="109:120" ht="15">
      <c r="DF2428" s="496" t="s">
        <v>5747</v>
      </c>
      <c r="DG2428" s="496" t="s">
        <v>1083</v>
      </c>
      <c r="DH2428" s="496" t="s">
        <v>690</v>
      </c>
      <c r="DI2428" s="496" t="s">
        <v>5738</v>
      </c>
      <c r="DJ2428" s="496" t="s">
        <v>5738</v>
      </c>
      <c r="DK2428" s="496" t="s">
        <v>1085</v>
      </c>
      <c r="DL2428" s="496" t="s">
        <v>5748</v>
      </c>
      <c r="DM2428" s="496" t="s">
        <v>1087</v>
      </c>
      <c r="DN2428" s="497" t="s">
        <v>1153</v>
      </c>
      <c r="DP2428" s="543">
        <v>1</v>
      </c>
    </row>
    <row r="2429" spans="109:120" ht="15">
      <c r="DF2429" s="496" t="s">
        <v>5749</v>
      </c>
      <c r="DG2429" s="496" t="s">
        <v>1083</v>
      </c>
      <c r="DH2429" s="496" t="s">
        <v>689</v>
      </c>
      <c r="DI2429" s="496" t="s">
        <v>887</v>
      </c>
      <c r="DJ2429" s="496" t="s">
        <v>887</v>
      </c>
      <c r="DK2429" s="496" t="s">
        <v>5750</v>
      </c>
      <c r="DL2429" s="496" t="s">
        <v>5751</v>
      </c>
      <c r="DM2429" s="496" t="s">
        <v>1087</v>
      </c>
      <c r="DN2429" s="497" t="s">
        <v>1153</v>
      </c>
      <c r="DP2429" s="543">
        <v>1</v>
      </c>
    </row>
    <row r="2430" spans="109:120" ht="15">
      <c r="DF2430" s="496" t="s">
        <v>5752</v>
      </c>
      <c r="DG2430" s="496" t="s">
        <v>1083</v>
      </c>
      <c r="DH2430" s="496" t="s">
        <v>689</v>
      </c>
      <c r="DI2430" s="496" t="s">
        <v>5753</v>
      </c>
      <c r="DJ2430" s="496" t="s">
        <v>5753</v>
      </c>
      <c r="DK2430" s="496" t="s">
        <v>5750</v>
      </c>
      <c r="DL2430" s="496" t="s">
        <v>5754</v>
      </c>
      <c r="DM2430" s="496" t="s">
        <v>1087</v>
      </c>
      <c r="DN2430" s="497" t="s">
        <v>1153</v>
      </c>
      <c r="DP2430" s="543">
        <v>1</v>
      </c>
    </row>
    <row r="2431" spans="109:120" ht="15">
      <c r="DF2431" s="496" t="s">
        <v>5755</v>
      </c>
      <c r="DG2431" s="496" t="s">
        <v>1083</v>
      </c>
      <c r="DH2431" s="496" t="s">
        <v>689</v>
      </c>
      <c r="DI2431" s="496" t="s">
        <v>5756</v>
      </c>
      <c r="DJ2431" s="496" t="s">
        <v>5756</v>
      </c>
      <c r="DK2431" s="496" t="s">
        <v>5750</v>
      </c>
      <c r="DL2431" s="496" t="s">
        <v>5757</v>
      </c>
      <c r="DM2431" s="496" t="s">
        <v>1087</v>
      </c>
      <c r="DN2431" s="497" t="s">
        <v>1153</v>
      </c>
      <c r="DP2431" s="543">
        <v>1</v>
      </c>
    </row>
    <row r="2432" spans="109:120" ht="15">
      <c r="DF2432" s="496" t="s">
        <v>5758</v>
      </c>
      <c r="DG2432" s="496" t="s">
        <v>8</v>
      </c>
      <c r="DH2432" s="496" t="s">
        <v>689</v>
      </c>
      <c r="DI2432" s="496" t="s">
        <v>45</v>
      </c>
      <c r="DJ2432" s="496" t="s">
        <v>45</v>
      </c>
      <c r="DK2432" s="496" t="s">
        <v>5750</v>
      </c>
      <c r="DL2432" s="496" t="s">
        <v>5759</v>
      </c>
      <c r="DM2432" s="496" t="s">
        <v>1087</v>
      </c>
      <c r="DN2432" s="497" t="s">
        <v>1153</v>
      </c>
      <c r="DP2432" s="543">
        <v>1</v>
      </c>
    </row>
    <row r="2433" spans="110:120" ht="15">
      <c r="DF2433" s="496" t="s">
        <v>5760</v>
      </c>
      <c r="DG2433" s="496" t="s">
        <v>8</v>
      </c>
      <c r="DH2433" s="496" t="s">
        <v>689</v>
      </c>
      <c r="DI2433" s="496" t="s">
        <v>5761</v>
      </c>
      <c r="DJ2433" s="496" t="s">
        <v>5761</v>
      </c>
      <c r="DK2433" s="496" t="s">
        <v>5750</v>
      </c>
      <c r="DL2433" s="496" t="s">
        <v>5762</v>
      </c>
      <c r="DM2433" s="496" t="s">
        <v>1087</v>
      </c>
      <c r="DN2433" s="497" t="s">
        <v>1153</v>
      </c>
      <c r="DP2433" s="543">
        <v>1</v>
      </c>
    </row>
    <row r="2434" spans="110:120" ht="15">
      <c r="DF2434" s="496" t="s">
        <v>5763</v>
      </c>
      <c r="DG2434" s="496" t="s">
        <v>11</v>
      </c>
      <c r="DH2434" s="496" t="s">
        <v>689</v>
      </c>
      <c r="DI2434" s="496" t="s">
        <v>5764</v>
      </c>
      <c r="DJ2434" s="496" t="s">
        <v>5764</v>
      </c>
      <c r="DK2434" s="496" t="s">
        <v>5765</v>
      </c>
      <c r="DL2434" s="496" t="s">
        <v>5766</v>
      </c>
      <c r="DM2434" s="496" t="s">
        <v>1087</v>
      </c>
      <c r="DN2434" s="497" t="s">
        <v>1153</v>
      </c>
      <c r="DP2434" s="543">
        <v>1</v>
      </c>
    </row>
    <row r="2435" spans="110:120" ht="15">
      <c r="DF2435" s="496" t="s">
        <v>5767</v>
      </c>
      <c r="DG2435" s="496" t="s">
        <v>11</v>
      </c>
      <c r="DH2435" s="496" t="s">
        <v>689</v>
      </c>
      <c r="DI2435" s="496" t="s">
        <v>5768</v>
      </c>
      <c r="DJ2435" s="496" t="s">
        <v>5768</v>
      </c>
      <c r="DK2435" s="496" t="s">
        <v>5765</v>
      </c>
      <c r="DL2435" s="496" t="s">
        <v>5769</v>
      </c>
      <c r="DM2435" s="496" t="s">
        <v>1087</v>
      </c>
      <c r="DN2435" s="497" t="s">
        <v>1153</v>
      </c>
      <c r="DP2435" s="543">
        <v>1</v>
      </c>
    </row>
    <row r="2436" spans="110:120" ht="15">
      <c r="DF2436" s="496"/>
      <c r="DG2436" s="496"/>
      <c r="DH2436" s="496"/>
      <c r="DI2436" s="496" t="s">
        <v>5770</v>
      </c>
      <c r="DJ2436" s="496" t="s">
        <v>5771</v>
      </c>
      <c r="DK2436" s="496" t="s">
        <v>1085</v>
      </c>
      <c r="DL2436" s="496" t="s">
        <v>5772</v>
      </c>
      <c r="DM2436" s="496" t="s">
        <v>3961</v>
      </c>
      <c r="DN2436" s="497" t="s">
        <v>1153</v>
      </c>
      <c r="DP2436" s="543">
        <v>1</v>
      </c>
    </row>
    <row r="2437" spans="110:120" ht="15">
      <c r="DF2437" s="496"/>
      <c r="DG2437" s="496"/>
      <c r="DH2437" s="496"/>
      <c r="DI2437" s="496" t="s">
        <v>5773</v>
      </c>
      <c r="DJ2437" s="496" t="s">
        <v>17</v>
      </c>
      <c r="DK2437" s="496" t="s">
        <v>1085</v>
      </c>
      <c r="DL2437" s="496" t="s">
        <v>5774</v>
      </c>
      <c r="DM2437" s="496" t="s">
        <v>3961</v>
      </c>
      <c r="DN2437" s="497" t="s">
        <v>1153</v>
      </c>
      <c r="DP2437" s="543">
        <v>1</v>
      </c>
    </row>
    <row r="2438" spans="110:120" ht="15">
      <c r="DF2438" s="496"/>
      <c r="DG2438" s="496"/>
      <c r="DH2438" s="496"/>
      <c r="DI2438" s="496" t="s">
        <v>5775</v>
      </c>
      <c r="DJ2438" s="496" t="s">
        <v>713</v>
      </c>
      <c r="DK2438" s="496" t="s">
        <v>1085</v>
      </c>
      <c r="DL2438" s="496" t="s">
        <v>5776</v>
      </c>
      <c r="DM2438" s="496" t="s">
        <v>3961</v>
      </c>
      <c r="DN2438" s="497" t="s">
        <v>1153</v>
      </c>
      <c r="DP2438" s="543">
        <v>1</v>
      </c>
    </row>
    <row r="2439" spans="110:120" ht="15">
      <c r="DF2439" s="496"/>
      <c r="DG2439" s="496"/>
      <c r="DH2439" s="496"/>
      <c r="DI2439" s="496" t="s">
        <v>5777</v>
      </c>
      <c r="DJ2439" s="496" t="s">
        <v>5778</v>
      </c>
      <c r="DK2439" s="496" t="s">
        <v>1085</v>
      </c>
      <c r="DL2439" s="496" t="s">
        <v>5774</v>
      </c>
      <c r="DM2439" s="496" t="s">
        <v>3961</v>
      </c>
      <c r="DN2439" s="497" t="s">
        <v>1153</v>
      </c>
      <c r="DP2439" s="543">
        <v>1</v>
      </c>
    </row>
    <row r="2440" spans="110:120" ht="15">
      <c r="DF2440" s="496"/>
      <c r="DG2440" s="496"/>
      <c r="DH2440" s="496"/>
      <c r="DI2440" s="496" t="s">
        <v>5779</v>
      </c>
      <c r="DJ2440" s="496" t="s">
        <v>5780</v>
      </c>
      <c r="DK2440" s="496" t="s">
        <v>1085</v>
      </c>
      <c r="DL2440" s="496" t="s">
        <v>5781</v>
      </c>
      <c r="DM2440" s="496" t="s">
        <v>3961</v>
      </c>
      <c r="DN2440" s="497" t="s">
        <v>1153</v>
      </c>
      <c r="DP2440" s="543">
        <v>1</v>
      </c>
    </row>
    <row r="2441" spans="110:120" ht="15">
      <c r="DF2441" s="496"/>
      <c r="DG2441" s="496"/>
      <c r="DH2441" s="496"/>
      <c r="DI2441" s="496" t="s">
        <v>1285</v>
      </c>
      <c r="DJ2441" s="496" t="s">
        <v>1286</v>
      </c>
      <c r="DK2441" s="496" t="s">
        <v>1085</v>
      </c>
      <c r="DL2441" s="496" t="s">
        <v>5772</v>
      </c>
      <c r="DM2441" s="496" t="s">
        <v>3961</v>
      </c>
      <c r="DN2441" s="497" t="s">
        <v>1153</v>
      </c>
      <c r="DP2441" s="543">
        <v>1</v>
      </c>
    </row>
    <row r="2442" spans="110:120" ht="15">
      <c r="DF2442" s="496"/>
      <c r="DG2442" s="496"/>
      <c r="DH2442" s="496"/>
      <c r="DI2442" s="496" t="s">
        <v>5782</v>
      </c>
      <c r="DJ2442" s="496" t="s">
        <v>42</v>
      </c>
      <c r="DK2442" s="496" t="s">
        <v>1085</v>
      </c>
      <c r="DL2442" s="496" t="s">
        <v>5774</v>
      </c>
      <c r="DM2442" s="496" t="s">
        <v>3961</v>
      </c>
      <c r="DN2442" s="497" t="s">
        <v>1153</v>
      </c>
      <c r="DP2442" s="543">
        <v>1</v>
      </c>
    </row>
    <row r="2443" spans="110:120" ht="15">
      <c r="DF2443" s="496"/>
      <c r="DG2443" s="496"/>
      <c r="DH2443" s="496"/>
      <c r="DI2443" s="496" t="s">
        <v>5783</v>
      </c>
      <c r="DJ2443" s="496" t="s">
        <v>5784</v>
      </c>
      <c r="DK2443" s="496" t="s">
        <v>1085</v>
      </c>
      <c r="DL2443" s="496" t="s">
        <v>5776</v>
      </c>
      <c r="DM2443" s="496" t="s">
        <v>3961</v>
      </c>
      <c r="DN2443" s="497" t="s">
        <v>1153</v>
      </c>
      <c r="DP2443" s="543">
        <v>1</v>
      </c>
    </row>
    <row r="2444" spans="110:120" ht="15">
      <c r="DF2444" s="496"/>
      <c r="DG2444" s="496"/>
      <c r="DH2444" s="496"/>
      <c r="DI2444" s="496" t="s">
        <v>5785</v>
      </c>
      <c r="DJ2444" s="496" t="s">
        <v>30</v>
      </c>
      <c r="DK2444" s="496" t="s">
        <v>1085</v>
      </c>
      <c r="DL2444" s="496" t="s">
        <v>5774</v>
      </c>
      <c r="DM2444" s="496" t="s">
        <v>3961</v>
      </c>
      <c r="DN2444" s="497" t="s">
        <v>1153</v>
      </c>
      <c r="DP2444" s="543">
        <v>1</v>
      </c>
    </row>
    <row r="2445" spans="110:120" ht="15">
      <c r="DF2445" s="496"/>
      <c r="DG2445" s="496"/>
      <c r="DH2445" s="496"/>
      <c r="DI2445" s="496" t="s">
        <v>5786</v>
      </c>
      <c r="DJ2445" s="496" t="s">
        <v>5787</v>
      </c>
      <c r="DK2445" s="496" t="s">
        <v>1085</v>
      </c>
      <c r="DL2445" s="496" t="s">
        <v>5772</v>
      </c>
      <c r="DM2445" s="496" t="s">
        <v>3961</v>
      </c>
      <c r="DN2445" s="497" t="s">
        <v>1153</v>
      </c>
      <c r="DP2445" s="543">
        <v>1</v>
      </c>
    </row>
    <row r="2446" spans="110:120" ht="15">
      <c r="DF2446" s="496"/>
      <c r="DG2446" s="496"/>
      <c r="DH2446" s="496"/>
      <c r="DI2446" s="496" t="s">
        <v>5788</v>
      </c>
      <c r="DJ2446" s="496" t="s">
        <v>5789</v>
      </c>
      <c r="DK2446" s="496" t="s">
        <v>1085</v>
      </c>
      <c r="DL2446" s="496" t="s">
        <v>5774</v>
      </c>
      <c r="DM2446" s="496" t="s">
        <v>3961</v>
      </c>
      <c r="DN2446" s="497" t="s">
        <v>1153</v>
      </c>
      <c r="DP2446" s="543">
        <v>1</v>
      </c>
    </row>
    <row r="2447" spans="110:120" ht="15">
      <c r="DF2447" s="496"/>
      <c r="DG2447" s="496"/>
      <c r="DH2447" s="496"/>
      <c r="DI2447" s="496" t="s">
        <v>5790</v>
      </c>
      <c r="DJ2447" s="496" t="s">
        <v>5791</v>
      </c>
      <c r="DK2447" s="496" t="s">
        <v>1085</v>
      </c>
      <c r="DL2447" s="496" t="s">
        <v>5776</v>
      </c>
      <c r="DM2447" s="496" t="s">
        <v>3961</v>
      </c>
      <c r="DN2447" s="497" t="s">
        <v>1153</v>
      </c>
      <c r="DP2447" s="543">
        <v>1</v>
      </c>
    </row>
    <row r="2448" spans="110:120" ht="15">
      <c r="DF2448" s="496"/>
      <c r="DG2448" s="496"/>
      <c r="DH2448" s="496"/>
      <c r="DI2448" s="496" t="s">
        <v>5792</v>
      </c>
      <c r="DJ2448" s="496" t="s">
        <v>5793</v>
      </c>
      <c r="DK2448" s="496" t="s">
        <v>1085</v>
      </c>
      <c r="DL2448" s="496" t="s">
        <v>5774</v>
      </c>
      <c r="DM2448" s="496" t="s">
        <v>3961</v>
      </c>
      <c r="DN2448" s="497" t="s">
        <v>1153</v>
      </c>
      <c r="DP2448" s="543">
        <v>1</v>
      </c>
    </row>
    <row r="2449" spans="110:120" ht="15">
      <c r="DF2449" s="496"/>
      <c r="DG2449" s="496"/>
      <c r="DH2449" s="496"/>
      <c r="DI2449" s="496" t="s">
        <v>5219</v>
      </c>
      <c r="DJ2449" s="496" t="s">
        <v>5219</v>
      </c>
      <c r="DK2449" s="496" t="s">
        <v>1085</v>
      </c>
      <c r="DL2449" s="496" t="s">
        <v>5794</v>
      </c>
      <c r="DM2449" s="496" t="s">
        <v>5795</v>
      </c>
      <c r="DN2449" s="497" t="s">
        <v>1153</v>
      </c>
      <c r="DP2449" s="543">
        <v>1</v>
      </c>
    </row>
    <row r="2450" spans="110:120" ht="15">
      <c r="DF2450" s="496"/>
      <c r="DG2450" s="496"/>
      <c r="DH2450" s="496"/>
      <c r="DI2450" s="496" t="s">
        <v>5796</v>
      </c>
      <c r="DJ2450" s="496" t="s">
        <v>5796</v>
      </c>
      <c r="DK2450" s="496" t="s">
        <v>1085</v>
      </c>
      <c r="DL2450" s="496" t="s">
        <v>5794</v>
      </c>
      <c r="DM2450" s="496" t="s">
        <v>5795</v>
      </c>
      <c r="DN2450" s="497" t="s">
        <v>1153</v>
      </c>
      <c r="DP2450" s="543">
        <v>1</v>
      </c>
    </row>
    <row r="2451" spans="110:120" ht="15">
      <c r="DF2451" s="496"/>
      <c r="DG2451" s="496"/>
      <c r="DH2451" s="496"/>
      <c r="DI2451" s="496" t="s">
        <v>5208</v>
      </c>
      <c r="DJ2451" s="496" t="s">
        <v>5208</v>
      </c>
      <c r="DK2451" s="496" t="s">
        <v>1085</v>
      </c>
      <c r="DL2451" s="496" t="s">
        <v>5797</v>
      </c>
      <c r="DM2451" s="496" t="s">
        <v>5795</v>
      </c>
      <c r="DN2451" s="497" t="s">
        <v>1153</v>
      </c>
      <c r="DP2451" s="543">
        <v>1</v>
      </c>
    </row>
    <row r="2452" spans="110:120" ht="15">
      <c r="DF2452" s="496"/>
      <c r="DG2452" s="496"/>
      <c r="DH2452" s="496"/>
      <c r="DI2452" s="496" t="s">
        <v>5148</v>
      </c>
      <c r="DJ2452" s="496" t="s">
        <v>5148</v>
      </c>
      <c r="DK2452" s="496" t="s">
        <v>1085</v>
      </c>
      <c r="DL2452" s="496" t="s">
        <v>5797</v>
      </c>
      <c r="DM2452" s="496" t="s">
        <v>5795</v>
      </c>
      <c r="DN2452" s="497" t="s">
        <v>1153</v>
      </c>
      <c r="DP2452" s="543">
        <v>1</v>
      </c>
    </row>
    <row r="2453" spans="110:120" ht="15">
      <c r="DF2453" s="496"/>
      <c r="DG2453" s="496"/>
      <c r="DH2453" s="496"/>
      <c r="DI2453" s="496" t="s">
        <v>5156</v>
      </c>
      <c r="DJ2453" s="496" t="s">
        <v>5157</v>
      </c>
      <c r="DK2453" s="496" t="s">
        <v>1085</v>
      </c>
      <c r="DL2453" s="496" t="s">
        <v>5797</v>
      </c>
      <c r="DM2453" s="496" t="s">
        <v>5795</v>
      </c>
      <c r="DN2453" s="497" t="s">
        <v>1153</v>
      </c>
      <c r="DP2453" s="543">
        <v>1</v>
      </c>
    </row>
    <row r="2454" spans="110:120" ht="15">
      <c r="DF2454" s="496"/>
      <c r="DG2454" s="496"/>
      <c r="DH2454" s="496"/>
      <c r="DI2454" s="496" t="s">
        <v>5144</v>
      </c>
      <c r="DJ2454" s="496" t="s">
        <v>5144</v>
      </c>
      <c r="DK2454" s="496" t="s">
        <v>1085</v>
      </c>
      <c r="DL2454" s="496" t="s">
        <v>5797</v>
      </c>
      <c r="DM2454" s="496" t="s">
        <v>5795</v>
      </c>
      <c r="DN2454" s="497" t="s">
        <v>1153</v>
      </c>
      <c r="DP2454" s="543">
        <v>1</v>
      </c>
    </row>
    <row r="2455" spans="110:120" ht="15">
      <c r="DF2455" s="496"/>
      <c r="DG2455" s="496"/>
      <c r="DH2455" s="496"/>
      <c r="DI2455" s="496" t="s">
        <v>5190</v>
      </c>
      <c r="DJ2455" s="496" t="s">
        <v>5190</v>
      </c>
      <c r="DK2455" s="496" t="s">
        <v>1085</v>
      </c>
      <c r="DL2455" s="496" t="s">
        <v>5797</v>
      </c>
      <c r="DM2455" s="496" t="s">
        <v>5795</v>
      </c>
      <c r="DN2455" s="497" t="s">
        <v>1153</v>
      </c>
      <c r="DP2455" s="543">
        <v>1</v>
      </c>
    </row>
    <row r="2456" spans="110:120" ht="15">
      <c r="DF2456" s="496"/>
      <c r="DG2456" s="496"/>
      <c r="DH2456" s="496"/>
      <c r="DI2456" s="496" t="s">
        <v>5185</v>
      </c>
      <c r="DJ2456" s="496" t="s">
        <v>5185</v>
      </c>
      <c r="DK2456" s="496" t="s">
        <v>1085</v>
      </c>
      <c r="DL2456" s="496" t="s">
        <v>5797</v>
      </c>
      <c r="DM2456" s="496" t="s">
        <v>5795</v>
      </c>
      <c r="DN2456" s="497" t="s">
        <v>1153</v>
      </c>
      <c r="DP2456" s="543">
        <v>1</v>
      </c>
    </row>
    <row r="2457" spans="110:120" ht="15">
      <c r="DF2457" s="496"/>
      <c r="DG2457" s="496"/>
      <c r="DH2457" s="496"/>
      <c r="DI2457" s="496" t="s">
        <v>5200</v>
      </c>
      <c r="DJ2457" s="496" t="s">
        <v>5200</v>
      </c>
      <c r="DK2457" s="496" t="s">
        <v>1085</v>
      </c>
      <c r="DL2457" s="496" t="s">
        <v>5797</v>
      </c>
      <c r="DM2457" s="496" t="s">
        <v>5795</v>
      </c>
      <c r="DN2457" s="497" t="s">
        <v>1153</v>
      </c>
      <c r="DP2457" s="543">
        <v>1</v>
      </c>
    </row>
    <row r="2458" spans="110:120" ht="15">
      <c r="DF2458" s="496"/>
      <c r="DG2458" s="496"/>
      <c r="DH2458" s="496"/>
      <c r="DI2458" s="496" t="s">
        <v>5223</v>
      </c>
      <c r="DJ2458" s="496" t="s">
        <v>5224</v>
      </c>
      <c r="DK2458" s="496" t="s">
        <v>1085</v>
      </c>
      <c r="DL2458" s="496" t="s">
        <v>5797</v>
      </c>
      <c r="DM2458" s="496" t="s">
        <v>5795</v>
      </c>
      <c r="DN2458" s="497" t="s">
        <v>1153</v>
      </c>
      <c r="DP2458" s="543">
        <v>1</v>
      </c>
    </row>
    <row r="2459" spans="110:120" ht="15">
      <c r="DF2459" s="496"/>
      <c r="DG2459" s="496"/>
      <c r="DH2459" s="496"/>
      <c r="DI2459" s="496" t="s">
        <v>5177</v>
      </c>
      <c r="DJ2459" s="496" t="s">
        <v>5178</v>
      </c>
      <c r="DK2459" s="496" t="s">
        <v>1085</v>
      </c>
      <c r="DL2459" s="496" t="s">
        <v>5797</v>
      </c>
      <c r="DM2459" s="496" t="s">
        <v>5795</v>
      </c>
      <c r="DN2459" s="497" t="s">
        <v>1153</v>
      </c>
      <c r="DP2459" s="543">
        <v>1</v>
      </c>
    </row>
    <row r="2460" spans="110:120" ht="15">
      <c r="DF2460" s="496"/>
      <c r="DG2460" s="496"/>
      <c r="DH2460" s="496"/>
      <c r="DI2460" s="496" t="s">
        <v>5206</v>
      </c>
      <c r="DJ2460" s="496" t="s">
        <v>5206</v>
      </c>
      <c r="DK2460" s="496" t="s">
        <v>1085</v>
      </c>
      <c r="DL2460" s="496" t="s">
        <v>5797</v>
      </c>
      <c r="DM2460" s="496" t="s">
        <v>5795</v>
      </c>
      <c r="DN2460" s="497" t="s">
        <v>1153</v>
      </c>
      <c r="DP2460" s="543">
        <v>1</v>
      </c>
    </row>
    <row r="2461" spans="110:120" ht="15">
      <c r="DF2461" s="496"/>
      <c r="DG2461" s="496"/>
      <c r="DH2461" s="496"/>
      <c r="DI2461" s="496" t="s">
        <v>5173</v>
      </c>
      <c r="DJ2461" s="496" t="s">
        <v>5173</v>
      </c>
      <c r="DK2461" s="496" t="s">
        <v>1085</v>
      </c>
      <c r="DL2461" s="496" t="s">
        <v>5797</v>
      </c>
      <c r="DM2461" s="496" t="s">
        <v>5795</v>
      </c>
      <c r="DN2461" s="497" t="s">
        <v>1153</v>
      </c>
      <c r="DP2461" s="543">
        <v>1</v>
      </c>
    </row>
    <row r="2462" spans="110:120" ht="15">
      <c r="DF2462" s="496"/>
      <c r="DG2462" s="496"/>
      <c r="DH2462" s="496"/>
      <c r="DI2462" s="496" t="s">
        <v>5198</v>
      </c>
      <c r="DJ2462" s="496" t="s">
        <v>5198</v>
      </c>
      <c r="DK2462" s="496" t="s">
        <v>1085</v>
      </c>
      <c r="DL2462" s="496" t="s">
        <v>5797</v>
      </c>
      <c r="DM2462" s="496" t="s">
        <v>5795</v>
      </c>
      <c r="DN2462" s="497" t="s">
        <v>1153</v>
      </c>
      <c r="DP2462" s="543">
        <v>1</v>
      </c>
    </row>
    <row r="2463" spans="110:120" ht="15">
      <c r="DF2463" s="496"/>
      <c r="DG2463" s="496"/>
      <c r="DH2463" s="496"/>
      <c r="DI2463" s="496" t="s">
        <v>5204</v>
      </c>
      <c r="DJ2463" s="496" t="s">
        <v>5204</v>
      </c>
      <c r="DK2463" s="496" t="s">
        <v>1085</v>
      </c>
      <c r="DL2463" s="496" t="s">
        <v>5797</v>
      </c>
      <c r="DM2463" s="496" t="s">
        <v>5795</v>
      </c>
      <c r="DN2463" s="497" t="s">
        <v>1153</v>
      </c>
      <c r="DP2463" s="543">
        <v>1</v>
      </c>
    </row>
    <row r="2464" spans="110:120" ht="15">
      <c r="DF2464" s="576"/>
      <c r="DG2464" s="576"/>
      <c r="DH2464" s="576"/>
      <c r="DI2464" s="576" t="s">
        <v>5221</v>
      </c>
      <c r="DJ2464" s="576" t="s">
        <v>5221</v>
      </c>
      <c r="DK2464" s="576" t="s">
        <v>1085</v>
      </c>
      <c r="DL2464" s="576" t="s">
        <v>5797</v>
      </c>
      <c r="DM2464" s="576" t="s">
        <v>5795</v>
      </c>
      <c r="DN2464" s="577" t="s">
        <v>1153</v>
      </c>
      <c r="DP2464" s="543">
        <v>1</v>
      </c>
    </row>
    <row r="2465" spans="19:120" ht="15">
      <c r="DH2465" s="578" t="s">
        <v>1511</v>
      </c>
      <c r="DI2465" s="578" t="s">
        <v>313</v>
      </c>
      <c r="DJ2465" s="578" t="s">
        <v>313</v>
      </c>
      <c r="DK2465" s="578" t="s">
        <v>1085</v>
      </c>
      <c r="DL2465" s="578" t="s">
        <v>5896</v>
      </c>
      <c r="DM2465" s="578" t="s">
        <v>1087</v>
      </c>
      <c r="DN2465" s="578" t="s">
        <v>1088</v>
      </c>
      <c r="DP2465" s="543">
        <v>1</v>
      </c>
    </row>
    <row r="2466" spans="19:120" ht="15">
      <c r="DG2466" s="578"/>
      <c r="DH2466" s="578" t="s">
        <v>1960</v>
      </c>
      <c r="DI2466" s="578" t="s">
        <v>5901</v>
      </c>
      <c r="DJ2466" s="578" t="s">
        <v>5901</v>
      </c>
      <c r="DK2466" s="578" t="s">
        <v>1085</v>
      </c>
      <c r="DL2466" s="578" t="s">
        <v>6099</v>
      </c>
      <c r="DM2466" s="578" t="s">
        <v>3961</v>
      </c>
      <c r="DN2466" s="578" t="s">
        <v>6100</v>
      </c>
      <c r="DP2466" s="543">
        <v>1</v>
      </c>
    </row>
    <row r="2467" spans="19:120" ht="15">
      <c r="DP2467" s="543">
        <v>1</v>
      </c>
    </row>
    <row r="2468" spans="19:120" ht="15">
      <c r="DP2468" s="543">
        <v>1</v>
      </c>
    </row>
    <row r="2469" spans="19:120">
      <c r="DP2469" s="579" t="s">
        <v>380</v>
      </c>
    </row>
    <row r="2470" spans="19:120" ht="15">
      <c r="S2470" s="543">
        <v>1</v>
      </c>
      <c r="T2470" s="543">
        <v>1</v>
      </c>
      <c r="U2470" s="543">
        <v>1</v>
      </c>
      <c r="V2470" s="543">
        <v>1</v>
      </c>
      <c r="W2470" s="543">
        <v>1</v>
      </c>
      <c r="X2470" s="543">
        <v>1</v>
      </c>
      <c r="Y2470" s="543">
        <v>1</v>
      </c>
      <c r="Z2470" s="543">
        <v>1</v>
      </c>
      <c r="AA2470" s="543">
        <v>1</v>
      </c>
      <c r="AB2470" s="543">
        <v>1</v>
      </c>
      <c r="AC2470" s="543">
        <v>1</v>
      </c>
      <c r="AD2470" s="543">
        <v>1</v>
      </c>
      <c r="AE2470" s="543">
        <v>1</v>
      </c>
      <c r="AF2470" s="543">
        <v>1</v>
      </c>
      <c r="AG2470" s="543">
        <v>1</v>
      </c>
      <c r="AH2470" s="543">
        <v>1</v>
      </c>
      <c r="AI2470" s="543">
        <v>1</v>
      </c>
      <c r="AJ2470" s="543">
        <v>1</v>
      </c>
      <c r="AK2470" s="543">
        <v>1</v>
      </c>
      <c r="AL2470" s="543">
        <v>1</v>
      </c>
      <c r="AM2470" s="543">
        <v>1</v>
      </c>
      <c r="AN2470" s="543">
        <v>1</v>
      </c>
      <c r="AO2470" s="543">
        <v>1</v>
      </c>
      <c r="AP2470" s="543">
        <v>1</v>
      </c>
      <c r="AQ2470" s="543">
        <v>1</v>
      </c>
      <c r="AR2470" s="543">
        <v>1</v>
      </c>
      <c r="AS2470" s="543">
        <v>1</v>
      </c>
      <c r="AT2470" s="543">
        <v>1</v>
      </c>
      <c r="AU2470" s="543">
        <v>1</v>
      </c>
      <c r="AV2470" s="543">
        <v>1</v>
      </c>
      <c r="AW2470" s="543">
        <v>1</v>
      </c>
      <c r="AX2470" s="543">
        <v>1</v>
      </c>
      <c r="AY2470" s="543">
        <v>1</v>
      </c>
      <c r="AZ2470" s="543">
        <v>1</v>
      </c>
      <c r="BA2470" s="543">
        <v>1</v>
      </c>
      <c r="BB2470" s="543">
        <v>1</v>
      </c>
      <c r="BC2470" s="543">
        <v>1</v>
      </c>
      <c r="BD2470" s="543">
        <v>1</v>
      </c>
      <c r="BE2470" s="543">
        <v>1</v>
      </c>
      <c r="BF2470" s="543">
        <v>1</v>
      </c>
      <c r="BG2470" s="543">
        <v>1</v>
      </c>
      <c r="BH2470" s="543">
        <v>1</v>
      </c>
      <c r="BI2470" s="543">
        <v>1</v>
      </c>
      <c r="BJ2470" s="543">
        <v>1</v>
      </c>
      <c r="BK2470" s="543">
        <v>1</v>
      </c>
      <c r="BL2470" s="543">
        <v>1</v>
      </c>
      <c r="BM2470" s="543">
        <v>1</v>
      </c>
      <c r="BN2470" s="543">
        <v>1</v>
      </c>
      <c r="BO2470" s="543">
        <v>1</v>
      </c>
      <c r="BP2470" s="543">
        <v>1</v>
      </c>
      <c r="BQ2470" s="543">
        <v>1</v>
      </c>
      <c r="BR2470" s="543">
        <v>1</v>
      </c>
      <c r="BS2470" s="543">
        <v>1</v>
      </c>
      <c r="BT2470" s="543">
        <v>1</v>
      </c>
      <c r="BU2470" s="543">
        <v>1</v>
      </c>
      <c r="BV2470" s="543">
        <v>1</v>
      </c>
      <c r="BW2470" s="543">
        <v>1</v>
      </c>
      <c r="BX2470" s="543">
        <v>1</v>
      </c>
      <c r="BY2470" s="543">
        <v>1</v>
      </c>
      <c r="BZ2470" s="543">
        <v>1</v>
      </c>
      <c r="CA2470" s="543">
        <v>1</v>
      </c>
      <c r="CB2470" s="543">
        <v>1</v>
      </c>
      <c r="CC2470" s="543">
        <v>1</v>
      </c>
      <c r="CD2470" s="543">
        <v>1</v>
      </c>
      <c r="CE2470" s="543">
        <v>1</v>
      </c>
      <c r="CF2470" s="543">
        <v>1</v>
      </c>
      <c r="CG2470" s="543">
        <v>1</v>
      </c>
      <c r="CH2470" s="543">
        <v>1</v>
      </c>
      <c r="CI2470" s="543">
        <v>1</v>
      </c>
      <c r="CJ2470" s="543">
        <v>1</v>
      </c>
      <c r="CK2470" s="543">
        <v>1</v>
      </c>
      <c r="CL2470" s="543">
        <v>1</v>
      </c>
      <c r="CM2470" s="543">
        <v>1</v>
      </c>
      <c r="CN2470" s="543">
        <v>1</v>
      </c>
      <c r="CO2470" s="543">
        <v>1</v>
      </c>
      <c r="CP2470" s="543">
        <v>1</v>
      </c>
      <c r="CQ2470" s="543">
        <v>1</v>
      </c>
      <c r="CR2470" s="543">
        <v>1</v>
      </c>
      <c r="CS2470" s="543">
        <v>1</v>
      </c>
      <c r="CT2470" s="543">
        <v>1</v>
      </c>
      <c r="CU2470" s="543">
        <v>1</v>
      </c>
      <c r="CV2470" s="543">
        <v>1</v>
      </c>
      <c r="CW2470" s="543">
        <v>1</v>
      </c>
      <c r="CX2470" s="543">
        <v>1</v>
      </c>
      <c r="CY2470" s="543">
        <v>1</v>
      </c>
      <c r="CZ2470" s="543">
        <v>1</v>
      </c>
      <c r="DA2470" s="543">
        <v>1</v>
      </c>
      <c r="DB2470" s="543">
        <v>1</v>
      </c>
      <c r="DC2470" s="543">
        <v>1</v>
      </c>
      <c r="DD2470" s="543">
        <v>1</v>
      </c>
      <c r="DE2470" s="543">
        <v>1</v>
      </c>
      <c r="DF2470" s="543">
        <v>1</v>
      </c>
      <c r="DG2470" s="543">
        <v>1</v>
      </c>
      <c r="DH2470" s="543">
        <v>1</v>
      </c>
      <c r="DI2470" s="543">
        <v>1</v>
      </c>
      <c r="DJ2470" s="543">
        <v>1</v>
      </c>
      <c r="DK2470" s="543">
        <v>1</v>
      </c>
      <c r="DL2470" s="543">
        <v>1</v>
      </c>
      <c r="DM2470" s="543">
        <v>1</v>
      </c>
      <c r="DN2470" s="543">
        <v>1</v>
      </c>
      <c r="DO2470" s="543">
        <v>1</v>
      </c>
      <c r="DP2470" s="545" t="str">
        <f>ADDRESS(ROW(),COLUMN(),4)</f>
        <v>DP2470</v>
      </c>
    </row>
  </sheetData>
  <mergeCells count="36">
    <mergeCell ref="S10:AK11"/>
    <mergeCell ref="J1:Q2"/>
    <mergeCell ref="A2:A3"/>
    <mergeCell ref="J4:Q4"/>
    <mergeCell ref="N7:Q7"/>
    <mergeCell ref="S8:AK9"/>
    <mergeCell ref="N12:Q13"/>
    <mergeCell ref="S12:AK12"/>
    <mergeCell ref="B14:I14"/>
    <mergeCell ref="J14:L14"/>
    <mergeCell ref="N14:Q14"/>
    <mergeCell ref="T14:V14"/>
    <mergeCell ref="V16:V17"/>
    <mergeCell ref="AI16:AI17"/>
    <mergeCell ref="AJ16:AJ17"/>
    <mergeCell ref="K16:K17"/>
    <mergeCell ref="O16:O17"/>
    <mergeCell ref="S16:S17"/>
    <mergeCell ref="T16:T17"/>
    <mergeCell ref="U16:U17"/>
    <mergeCell ref="AK16:AK17"/>
    <mergeCell ref="S81:AK81"/>
    <mergeCell ref="S91:AK91"/>
    <mergeCell ref="S105:AK105"/>
    <mergeCell ref="AC16:AC17"/>
    <mergeCell ref="AD16:AD17"/>
    <mergeCell ref="AE16:AE17"/>
    <mergeCell ref="AF16:AF17"/>
    <mergeCell ref="AG16:AG17"/>
    <mergeCell ref="AH16:AH17"/>
    <mergeCell ref="W16:W17"/>
    <mergeCell ref="X16:X17"/>
    <mergeCell ref="Y16:Y17"/>
    <mergeCell ref="Z16:Z17"/>
    <mergeCell ref="AA16:AA17"/>
    <mergeCell ref="AB16:AB17"/>
  </mergeCells>
  <conditionalFormatting sqref="W18:AJ77">
    <cfRule type="expression" dxfId="34" priority="1">
      <formula>W18="X"</formula>
    </cfRule>
    <cfRule type="expression" dxfId="33" priority="2">
      <formula>W18="?"</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A0DDC-868D-4EEB-A62F-92BBC144A913}">
  <dimension ref="A1:EC2468"/>
  <sheetViews>
    <sheetView showGridLines="0" workbookViewId="0">
      <selection activeCell="M23" sqref="M23"/>
    </sheetView>
  </sheetViews>
  <sheetFormatPr baseColWidth="10" defaultColWidth="10.28515625" defaultRowHeight="15.75"/>
  <cols>
    <col min="2" max="2" width="64.5703125" customWidth="1"/>
    <col min="3" max="4" width="5.140625" customWidth="1"/>
    <col min="5" max="8" width="3.7109375" style="578" customWidth="1"/>
    <col min="9" max="9" width="5.7109375" style="578" customWidth="1"/>
    <col min="10" max="11" width="12.7109375" style="578" customWidth="1"/>
    <col min="12" max="12" width="3.7109375" style="578" customWidth="1"/>
    <col min="13" max="13" width="9.7109375" style="578" customWidth="1"/>
    <col min="14" max="14" width="12.7109375" style="578" customWidth="1"/>
    <col min="15" max="15" width="13.7109375" style="578" customWidth="1"/>
    <col min="16" max="16" width="6.7109375" style="578" customWidth="1"/>
    <col min="17" max="17" width="40.7109375" style="578" customWidth="1"/>
    <col min="18" max="18" width="12.7109375" style="578" customWidth="1"/>
    <col min="19" max="19" width="10.7109375" style="578" customWidth="1"/>
    <col min="20" max="20" width="9.7109375" style="578" customWidth="1"/>
    <col min="21" max="21" width="11.7109375" style="578" customWidth="1"/>
    <col min="22" max="24" width="13.7109375" style="578" customWidth="1"/>
    <col min="25" max="25" width="17.7109375" style="578" customWidth="1"/>
    <col min="26" max="26" width="12.85546875" style="578" customWidth="1"/>
    <col min="27" max="27" width="49.140625" style="825" customWidth="1"/>
    <col min="28" max="28" width="5.140625" customWidth="1"/>
    <col min="29" max="29" width="7.7109375" style="493" customWidth="1"/>
    <col min="30" max="30" width="87.7109375" style="531" customWidth="1"/>
    <col min="31" max="31" width="88.28515625" style="493" customWidth="1"/>
    <col min="32" max="32" width="44.42578125" style="493" customWidth="1"/>
    <col min="33" max="46" width="13.85546875" style="493" customWidth="1"/>
    <col min="47" max="47" width="39.140625" style="493" customWidth="1"/>
    <col min="48" max="48" width="2.5703125" style="493" customWidth="1"/>
    <col min="49" max="55" width="23.5703125" style="493" customWidth="1"/>
    <col min="56" max="118" width="6.5703125" style="493" customWidth="1"/>
    <col min="119" max="119" width="2.28515625" style="532" customWidth="1"/>
    <col min="120" max="120" width="14.42578125" style="493" customWidth="1"/>
    <col min="121" max="121" width="41.85546875" style="493" customWidth="1"/>
    <col min="122" max="122" width="17" style="493" customWidth="1"/>
    <col min="123" max="124" width="41.85546875" style="493" customWidth="1"/>
    <col min="125" max="125" width="46.7109375" style="493" customWidth="1"/>
    <col min="126" max="126" width="79.28515625" style="493" customWidth="1"/>
    <col min="127" max="127" width="112" style="493" customWidth="1"/>
    <col min="128" max="128" width="13" style="493" customWidth="1"/>
    <col min="129" max="129" width="10.28515625" style="493"/>
    <col min="130" max="130" width="10.28515625" style="580"/>
    <col min="131" max="131" width="10.28515625" style="493"/>
    <col min="132" max="133" width="10.28515625" style="638"/>
    <col min="134" max="16384" width="10.28515625" style="493"/>
  </cols>
  <sheetData>
    <row r="1" spans="1:133" ht="27.95" customHeight="1">
      <c r="A1" s="4" t="str">
        <f>ADDRESS(ROW(),COLUMN(),4)</f>
        <v>A1</v>
      </c>
      <c r="B1" s="687"/>
      <c r="C1" s="687"/>
      <c r="D1" s="687"/>
      <c r="E1" s="688">
        <f t="shared" ref="E1:Y1" ca="1" si="0">CELL("largeur",E1)</f>
        <v>3</v>
      </c>
      <c r="F1" s="688">
        <f t="shared" ca="1" si="0"/>
        <v>3</v>
      </c>
      <c r="G1" s="688">
        <f t="shared" ca="1" si="0"/>
        <v>3</v>
      </c>
      <c r="H1" s="688">
        <f t="shared" ca="1" si="0"/>
        <v>3</v>
      </c>
      <c r="I1" s="688">
        <f t="shared" ca="1" si="0"/>
        <v>5</v>
      </c>
      <c r="J1" s="688">
        <f t="shared" ca="1" si="0"/>
        <v>12</v>
      </c>
      <c r="K1" s="688">
        <f t="shared" ca="1" si="0"/>
        <v>12</v>
      </c>
      <c r="L1" s="688">
        <f t="shared" ca="1" si="0"/>
        <v>3</v>
      </c>
      <c r="M1" s="688">
        <f t="shared" ca="1" si="0"/>
        <v>9</v>
      </c>
      <c r="N1" s="688">
        <f t="shared" ca="1" si="0"/>
        <v>12</v>
      </c>
      <c r="O1" s="688">
        <f t="shared" ca="1" si="0"/>
        <v>13</v>
      </c>
      <c r="P1" s="688">
        <f t="shared" ca="1" si="0"/>
        <v>6</v>
      </c>
      <c r="Q1" s="688">
        <f t="shared" ca="1" si="0"/>
        <v>40</v>
      </c>
      <c r="R1" s="688">
        <f t="shared" ca="1" si="0"/>
        <v>12</v>
      </c>
      <c r="S1" s="688">
        <f t="shared" ca="1" si="0"/>
        <v>10</v>
      </c>
      <c r="T1" s="688">
        <f t="shared" ca="1" si="0"/>
        <v>9</v>
      </c>
      <c r="U1" s="688">
        <f t="shared" ca="1" si="0"/>
        <v>11</v>
      </c>
      <c r="V1" s="688">
        <f t="shared" ca="1" si="0"/>
        <v>13</v>
      </c>
      <c r="W1" s="688">
        <f t="shared" ca="1" si="0"/>
        <v>13</v>
      </c>
      <c r="X1" s="688">
        <f t="shared" ca="1" si="0"/>
        <v>13</v>
      </c>
      <c r="Y1" s="688">
        <f t="shared" ca="1" si="0"/>
        <v>17</v>
      </c>
      <c r="AA1" s="689"/>
      <c r="AB1" s="4"/>
    </row>
    <row r="2" spans="1:133" ht="23.1" customHeight="1" thickBot="1">
      <c r="A2" s="17"/>
      <c r="B2" s="17"/>
      <c r="C2" s="17"/>
      <c r="D2" s="17"/>
      <c r="E2" s="690">
        <v>3</v>
      </c>
      <c r="F2" s="690">
        <v>3</v>
      </c>
      <c r="G2" s="690">
        <v>3</v>
      </c>
      <c r="H2" s="690">
        <v>3</v>
      </c>
      <c r="I2" s="690">
        <v>5</v>
      </c>
      <c r="J2" s="690">
        <v>12</v>
      </c>
      <c r="K2" s="690">
        <v>12</v>
      </c>
      <c r="L2" s="690">
        <v>3</v>
      </c>
      <c r="M2" s="690">
        <v>9</v>
      </c>
      <c r="N2" s="690">
        <v>12</v>
      </c>
      <c r="O2" s="690">
        <v>9</v>
      </c>
      <c r="P2" s="690">
        <v>6</v>
      </c>
      <c r="Q2" s="690">
        <v>40</v>
      </c>
      <c r="R2" s="690">
        <v>12</v>
      </c>
      <c r="S2" s="690">
        <v>10</v>
      </c>
      <c r="T2" s="690">
        <v>9</v>
      </c>
      <c r="U2" s="690">
        <v>11</v>
      </c>
      <c r="V2" s="690">
        <v>13</v>
      </c>
      <c r="W2" s="690">
        <v>13</v>
      </c>
      <c r="X2" s="690">
        <v>13</v>
      </c>
      <c r="Y2" s="690">
        <v>17</v>
      </c>
      <c r="Z2" s="473" t="s">
        <v>841</v>
      </c>
      <c r="AA2" s="689"/>
      <c r="EB2" s="493"/>
      <c r="EC2" s="493"/>
    </row>
    <row r="3" spans="1:133" ht="23.1" customHeight="1">
      <c r="A3" s="691" t="s">
        <v>230</v>
      </c>
      <c r="B3" s="1387" t="str">
        <f ca="1">CELL("nomfichier")</f>
        <v>D:\Données\1.UPRT\0-UPRT.fait\1-UPRT.FR-SITE-WEB\ff-fiches-fabrications\ff.fiches.fabrication.2023\ffr-restaurant-2026\[A-detection-controle-allergenes-restauration.xlsx.xlsx]ALLERGENES.9.Aout.2026</v>
      </c>
      <c r="C3" s="17"/>
      <c r="D3" s="17"/>
      <c r="E3" s="692"/>
      <c r="F3" s="1388" t="s">
        <v>6492</v>
      </c>
      <c r="G3" s="1388"/>
      <c r="H3" s="1388"/>
      <c r="I3" s="1388"/>
      <c r="J3" s="1388"/>
      <c r="K3" s="1388"/>
      <c r="L3" s="1388"/>
      <c r="M3" s="1388"/>
      <c r="N3" s="1388"/>
      <c r="O3" s="1388"/>
      <c r="P3" s="1388"/>
      <c r="Q3" s="1388"/>
      <c r="R3" s="1388"/>
      <c r="S3" s="1388"/>
      <c r="T3" s="1388"/>
      <c r="U3" s="1388"/>
      <c r="V3" s="1388"/>
      <c r="W3" s="1388"/>
      <c r="X3" s="1390" t="s">
        <v>721</v>
      </c>
      <c r="Y3" s="1391"/>
      <c r="Z3" s="473"/>
      <c r="AA3" s="1392" t="s">
        <v>248</v>
      </c>
      <c r="EB3" s="493"/>
      <c r="EC3" s="493"/>
    </row>
    <row r="4" spans="1:133" ht="20.100000000000001" customHeight="1" thickBot="1">
      <c r="A4" s="693"/>
      <c r="B4" s="1387"/>
      <c r="C4" s="17"/>
      <c r="D4" s="17"/>
      <c r="E4" s="694"/>
      <c r="F4" s="1389"/>
      <c r="G4" s="1389"/>
      <c r="H4" s="1389"/>
      <c r="I4" s="1389"/>
      <c r="J4" s="1389"/>
      <c r="K4" s="1389"/>
      <c r="L4" s="1389"/>
      <c r="M4" s="1389"/>
      <c r="N4" s="1389"/>
      <c r="O4" s="1389"/>
      <c r="P4" s="1389"/>
      <c r="Q4" s="1389"/>
      <c r="R4" s="1389"/>
      <c r="S4" s="1389"/>
      <c r="T4" s="1389"/>
      <c r="U4" s="1389"/>
      <c r="V4" s="1389"/>
      <c r="W4" s="1389"/>
      <c r="X4" s="1393" t="s">
        <v>6493</v>
      </c>
      <c r="Y4" s="1394"/>
      <c r="AA4" s="1392"/>
      <c r="EB4" s="493"/>
      <c r="EC4" s="493"/>
    </row>
    <row r="5" spans="1:133" ht="19.5" thickBot="1">
      <c r="A5" s="17"/>
      <c r="B5" s="695" t="s">
        <v>226</v>
      </c>
      <c r="C5" s="17"/>
      <c r="D5" s="17"/>
      <c r="E5" s="696"/>
      <c r="F5" s="697"/>
      <c r="G5" s="698"/>
      <c r="H5" s="699"/>
      <c r="I5" s="700"/>
      <c r="J5" s="701"/>
      <c r="K5" s="701"/>
      <c r="L5" s="701"/>
      <c r="M5" s="701"/>
      <c r="N5" s="701"/>
      <c r="O5" s="702" t="s">
        <v>736</v>
      </c>
      <c r="P5" s="703"/>
      <c r="Q5" s="704" t="str">
        <f>"colonne "&amp;SUBSTITUTE(ADDRESS(1,COLUMN(),4),"1","")</f>
        <v>colonne Q</v>
      </c>
      <c r="R5" s="704" t="str">
        <f>"colonne "&amp;SUBSTITUTE(ADDRESS(1,COLUMN(),4),"1","")</f>
        <v>colonne R</v>
      </c>
      <c r="S5" s="705"/>
      <c r="Y5" s="706"/>
      <c r="AA5" s="1392"/>
      <c r="EB5" s="493"/>
      <c r="EC5" s="493"/>
    </row>
    <row r="6" spans="1:133" ht="51.95" customHeight="1">
      <c r="A6" s="17"/>
      <c r="B6" s="707" t="s">
        <v>723</v>
      </c>
      <c r="C6" s="17"/>
      <c r="D6" s="17"/>
      <c r="E6" s="708" t="s">
        <v>737</v>
      </c>
      <c r="F6" s="709" t="str">
        <f>F12</f>
        <v>M MACÉDOINE DE LÉGUMES AU COULIS DE TOMATE | HORS D'ŒUVRE texture modifiée-cuidité-MACEDOINE| Auteur &gt; Annette et Jean Pierre DOMERGUES - 45000 ORLÉANS 1981</v>
      </c>
      <c r="G6" s="710">
        <f>G12</f>
        <v>10</v>
      </c>
      <c r="H6" s="710" t="str">
        <f>H12</f>
        <v>couverts</v>
      </c>
      <c r="I6" s="711" t="str">
        <f>I12</f>
        <v>Recette mère ►  Textures modifiées</v>
      </c>
      <c r="J6" s="712" t="s">
        <v>254</v>
      </c>
      <c r="K6" s="713" t="s">
        <v>738</v>
      </c>
      <c r="L6" s="713"/>
      <c r="M6" s="1395" t="s">
        <v>739</v>
      </c>
      <c r="N6" s="1396"/>
      <c r="O6" s="1396"/>
      <c r="P6" s="1396"/>
      <c r="Q6" s="1396"/>
      <c r="R6" s="1396"/>
      <c r="S6" s="1396"/>
      <c r="T6" s="1396"/>
      <c r="U6" s="1396"/>
      <c r="V6" s="1396"/>
      <c r="W6" s="1397" t="s">
        <v>740</v>
      </c>
      <c r="X6" s="1396"/>
      <c r="Y6" s="1398" t="str">
        <f>IF(M6="","",UPPER(LEFT(TRIM(SUBSTITUTE(M6,CHAR(160),"")),1)))</f>
        <v>M</v>
      </c>
      <c r="AA6" s="714" t="s">
        <v>252</v>
      </c>
      <c r="EB6" s="493"/>
      <c r="EC6" s="493"/>
    </row>
    <row r="7" spans="1:133" ht="21" customHeight="1">
      <c r="A7" s="17"/>
      <c r="B7" s="715" t="s">
        <v>725</v>
      </c>
      <c r="C7" s="17"/>
      <c r="D7" s="17"/>
      <c r="E7" s="716" t="s">
        <v>737</v>
      </c>
      <c r="F7" s="717" t="str">
        <f>F12</f>
        <v>M MACÉDOINE DE LÉGUMES AU COULIS DE TOMATE | HORS D'ŒUVRE texture modifiée-cuidité-MACEDOINE| Auteur &gt; Annette et Jean Pierre DOMERGUES - 45000 ORLÉANS 1981</v>
      </c>
      <c r="G7" s="718">
        <f>G12</f>
        <v>10</v>
      </c>
      <c r="H7" s="718" t="str">
        <f>H12</f>
        <v>couverts</v>
      </c>
      <c r="I7" s="719" t="str">
        <f>I12</f>
        <v>Recette mère ►  Textures modifiées</v>
      </c>
      <c r="J7" s="720" t="s">
        <v>741</v>
      </c>
      <c r="K7" s="721" t="s">
        <v>742</v>
      </c>
      <c r="L7" s="721"/>
      <c r="M7" s="1383"/>
      <c r="N7" s="1383"/>
      <c r="O7" s="1383"/>
      <c r="P7" s="1383"/>
      <c r="Q7" s="1383"/>
      <c r="R7" s="1383"/>
      <c r="S7" s="1383"/>
      <c r="T7" s="1383"/>
      <c r="U7" s="1383"/>
      <c r="V7" s="1383"/>
      <c r="W7" s="1383"/>
      <c r="X7" s="1383"/>
      <c r="Y7" s="1399"/>
      <c r="Z7" s="722"/>
      <c r="AA7" s="723" t="s">
        <v>6494</v>
      </c>
      <c r="EB7" s="493"/>
      <c r="EC7" s="493"/>
    </row>
    <row r="8" spans="1:133" ht="21" customHeight="1">
      <c r="A8" s="17"/>
      <c r="B8" s="715" t="s">
        <v>727</v>
      </c>
      <c r="C8" s="17"/>
      <c r="D8" s="17"/>
      <c r="E8" s="716" t="s">
        <v>737</v>
      </c>
      <c r="F8" s="724" t="str">
        <f>F12</f>
        <v>M MACÉDOINE DE LÉGUMES AU COULIS DE TOMATE | HORS D'ŒUVRE texture modifiée-cuidité-MACEDOINE| Auteur &gt; Annette et Jean Pierre DOMERGUES - 45000 ORLÉANS 1981</v>
      </c>
      <c r="G8" s="725">
        <f>G12</f>
        <v>10</v>
      </c>
      <c r="H8" s="725" t="str">
        <f>H12</f>
        <v>couverts</v>
      </c>
      <c r="I8" s="726" t="str">
        <f>I12</f>
        <v>Recette mère ►  Textures modifiées</v>
      </c>
      <c r="J8" s="727"/>
      <c r="K8" s="728" t="s">
        <v>743</v>
      </c>
      <c r="L8" s="729"/>
      <c r="M8" s="730" t="s">
        <v>744</v>
      </c>
      <c r="N8" s="731" t="s">
        <v>745</v>
      </c>
      <c r="O8" s="732"/>
      <c r="P8" s="732"/>
      <c r="Q8" s="731"/>
      <c r="R8" s="731"/>
      <c r="S8" s="731"/>
      <c r="T8" s="731"/>
      <c r="U8" s="733"/>
      <c r="V8" s="732"/>
      <c r="W8" s="734"/>
      <c r="X8" s="734"/>
      <c r="Y8" s="735" t="str">
        <f t="array" aca="1" ref="Y8" ca="1">IF(COUNTIF(F34:Y34,"&lt;0.5")=0,"Aucune colonne masquée ",COUNTIF(F34:Y34,"&lt;0.5") &amp; " " &amp; IF(COUNTIF(F34:Y34,"&lt;0.5")&gt;1,"colonnes masquées","colonne masquée") &amp; " " &amp; _xlfn.TEXTJOIN(" ", TRUE, IF(F34:Y34&lt;0.5,F33:Y33,"")))&amp;" "</f>
        <v xml:space="preserve">Aucune colonne masquée  </v>
      </c>
      <c r="Z8" s="722"/>
      <c r="AA8" s="736"/>
      <c r="AC8" s="1244" t="s">
        <v>1072</v>
      </c>
      <c r="AD8" s="1244"/>
      <c r="AE8" s="1244"/>
      <c r="AF8" s="1244"/>
      <c r="AG8" s="1244"/>
      <c r="AH8" s="1244"/>
      <c r="AI8" s="1244"/>
      <c r="AJ8" s="1244"/>
      <c r="AK8" s="1244"/>
      <c r="AL8" s="1244"/>
      <c r="AM8" s="1244"/>
      <c r="AN8" s="1244"/>
      <c r="AO8" s="1244"/>
      <c r="AP8" s="1244"/>
      <c r="AQ8" s="1244"/>
      <c r="AR8" s="1244"/>
      <c r="AS8" s="1244"/>
      <c r="AT8" s="1244"/>
      <c r="AU8" s="1244"/>
      <c r="EB8" s="493"/>
      <c r="EC8" s="493"/>
    </row>
    <row r="9" spans="1:133" ht="21" customHeight="1">
      <c r="A9" s="17"/>
      <c r="B9" s="715" t="s">
        <v>729</v>
      </c>
      <c r="C9" s="17"/>
      <c r="D9" s="17"/>
      <c r="E9" s="716" t="s">
        <v>737</v>
      </c>
      <c r="F9" s="724" t="str">
        <f>F12</f>
        <v>M MACÉDOINE DE LÉGUMES AU COULIS DE TOMATE | HORS D'ŒUVRE texture modifiée-cuidité-MACEDOINE| Auteur &gt; Annette et Jean Pierre DOMERGUES - 45000 ORLÉANS 1981</v>
      </c>
      <c r="G9" s="725">
        <f>G12</f>
        <v>10</v>
      </c>
      <c r="H9" s="725" t="str">
        <f>H12</f>
        <v>couverts</v>
      </c>
      <c r="I9" s="726" t="str">
        <f>I12</f>
        <v>Recette mère ►  Textures modifiées</v>
      </c>
      <c r="J9" s="737" t="s">
        <v>746</v>
      </c>
      <c r="K9" s="738"/>
      <c r="L9" s="738"/>
      <c r="M9" s="739" t="s">
        <v>747</v>
      </c>
      <c r="N9" s="1382" t="str">
        <f>P12&amp;" "&amp;Q12&amp;" ► Famille = "&amp;W6&amp;" ► "&amp;M6&amp;" "&amp;U9&amp;" "&amp;W9&amp;" "&amp;X9&amp;" "&amp;Y9</f>
        <v>Recette mère ►  Textures modifiées ► Famille = HORS D'ŒUVRE texture modifiée-cuidité-MACEDOINE ► MACÉDOINE DE LÉGUMES AU COULIS DE TOMATE  ⓫  Dupliquée pour 5 couverts</v>
      </c>
      <c r="O9" s="1383"/>
      <c r="P9" s="1383"/>
      <c r="Q9" s="1383"/>
      <c r="R9" s="1383"/>
      <c r="S9" s="1383"/>
      <c r="T9" s="1383"/>
      <c r="U9" s="1383"/>
      <c r="V9" s="740"/>
      <c r="W9" s="740" t="s">
        <v>748</v>
      </c>
      <c r="X9" s="741">
        <v>5</v>
      </c>
      <c r="Y9" s="742" t="str">
        <f>Y11</f>
        <v>couverts</v>
      </c>
      <c r="Z9" s="743"/>
      <c r="AA9" s="744" t="s">
        <v>226</v>
      </c>
      <c r="AC9" s="1245" t="s">
        <v>1081</v>
      </c>
      <c r="AD9" s="1245"/>
      <c r="AE9" s="1245"/>
      <c r="AF9" s="1245"/>
      <c r="AG9" s="1245"/>
      <c r="AH9" s="1245"/>
      <c r="AI9" s="1245"/>
      <c r="AJ9" s="1245"/>
      <c r="AK9" s="1245"/>
      <c r="AL9" s="1245"/>
      <c r="AM9" s="1245"/>
      <c r="AN9" s="1245"/>
      <c r="AO9" s="1245"/>
      <c r="AP9" s="1245"/>
      <c r="AQ9" s="1245"/>
      <c r="AR9" s="1245"/>
      <c r="AS9" s="1245"/>
      <c r="AT9" s="1245"/>
      <c r="AU9" s="1245"/>
      <c r="EB9" s="493"/>
      <c r="EC9" s="493"/>
    </row>
    <row r="10" spans="1:133" ht="21" customHeight="1">
      <c r="A10" s="17"/>
      <c r="B10" s="715" t="s">
        <v>731</v>
      </c>
      <c r="C10" s="17"/>
      <c r="D10" s="17"/>
      <c r="E10" s="716" t="s">
        <v>737</v>
      </c>
      <c r="F10" s="724" t="str">
        <f>F12</f>
        <v>M MACÉDOINE DE LÉGUMES AU COULIS DE TOMATE | HORS D'ŒUVRE texture modifiée-cuidité-MACEDOINE| Auteur &gt; Annette et Jean Pierre DOMERGUES - 45000 ORLÉANS 1981</v>
      </c>
      <c r="G10" s="725">
        <f>G12</f>
        <v>10</v>
      </c>
      <c r="H10" s="725" t="str">
        <f>H12</f>
        <v>couverts</v>
      </c>
      <c r="I10" s="726" t="str">
        <f>I12</f>
        <v>Recette mère ►  Textures modifiées</v>
      </c>
      <c r="J10" s="745">
        <v>10</v>
      </c>
      <c r="K10" s="746" t="s">
        <v>258</v>
      </c>
      <c r="L10" s="737"/>
      <c r="M10" s="737"/>
      <c r="N10" s="1383"/>
      <c r="O10" s="1383"/>
      <c r="P10" s="1383"/>
      <c r="Q10" s="1383"/>
      <c r="R10" s="1383"/>
      <c r="S10" s="1383"/>
      <c r="T10" s="1383"/>
      <c r="U10" s="1383"/>
      <c r="V10" s="603"/>
      <c r="W10" s="603"/>
      <c r="X10" s="747" t="s">
        <v>749</v>
      </c>
      <c r="Y10" s="748" t="s">
        <v>750</v>
      </c>
      <c r="AA10" s="1384" t="s">
        <v>6495</v>
      </c>
      <c r="AC10" s="1246" t="s">
        <v>5731</v>
      </c>
      <c r="AD10" s="1246"/>
      <c r="AE10" s="1246"/>
      <c r="AF10" s="1246"/>
      <c r="AG10" s="1246"/>
      <c r="AH10" s="1246"/>
      <c r="AI10" s="1246"/>
      <c r="AJ10" s="1246"/>
      <c r="AK10" s="1246"/>
      <c r="AL10" s="1246"/>
      <c r="AM10" s="1246"/>
      <c r="AN10" s="1246"/>
      <c r="AO10" s="1246"/>
      <c r="AP10" s="1246"/>
      <c r="AQ10" s="1246"/>
      <c r="AR10" s="1246"/>
      <c r="AS10" s="1246"/>
      <c r="AT10" s="1246"/>
      <c r="AU10" s="1246"/>
      <c r="DO10" s="494"/>
      <c r="DP10" s="495" t="s">
        <v>1073</v>
      </c>
      <c r="DQ10" s="495" t="s">
        <v>1074</v>
      </c>
      <c r="DR10" s="495" t="s">
        <v>1075</v>
      </c>
      <c r="DS10" s="495" t="s">
        <v>1076</v>
      </c>
      <c r="DT10" s="495" t="s">
        <v>1077</v>
      </c>
      <c r="DU10" s="495" t="s">
        <v>1078</v>
      </c>
      <c r="DV10" s="495" t="s">
        <v>851</v>
      </c>
      <c r="DW10" s="495" t="s">
        <v>1079</v>
      </c>
      <c r="DX10" s="495" t="s">
        <v>1080</v>
      </c>
      <c r="DY10" s="495"/>
      <c r="DZ10" s="543">
        <v>1</v>
      </c>
      <c r="EB10" s="493"/>
      <c r="EC10" s="493"/>
    </row>
    <row r="11" spans="1:133" ht="21" customHeight="1">
      <c r="A11" s="17"/>
      <c r="B11" s="715" t="s">
        <v>733</v>
      </c>
      <c r="C11" s="17"/>
      <c r="D11" s="17"/>
      <c r="E11" s="716" t="s">
        <v>737</v>
      </c>
      <c r="F11" s="724" t="str">
        <f>F12</f>
        <v>M MACÉDOINE DE LÉGUMES AU COULIS DE TOMATE | HORS D'ŒUVRE texture modifiée-cuidité-MACEDOINE| Auteur &gt; Annette et Jean Pierre DOMERGUES - 45000 ORLÉANS 1981</v>
      </c>
      <c r="G11" s="725">
        <f>G12</f>
        <v>10</v>
      </c>
      <c r="H11" s="725" t="str">
        <f>H12</f>
        <v>couverts</v>
      </c>
      <c r="I11" s="726" t="str">
        <f>I12</f>
        <v>Recette mère ►  Textures modifiées</v>
      </c>
      <c r="J11" s="749"/>
      <c r="K11" s="750" t="s">
        <v>751</v>
      </c>
      <c r="L11" s="1386">
        <f>U28</f>
        <v>1.5269999999999999</v>
      </c>
      <c r="M11" s="1371"/>
      <c r="N11" s="751" t="str">
        <f t="array" ref="N11">"1= "&amp;IF(OR(J10&lt;=0,L11=""),"",_xlfn.LET(_xlpm.kg,IF(ISNUMBER(L11),L11,VALEUR(SUBSTITUTE(SUBSTITUTE(SUBSTITUTE(LOWER(L11),"kg",""),",",".")," ",""))),TEXT(ROUND(_xlpm.kg*1000/J10,2),"0.##")&amp;" g"))</f>
        <v>1= 152.7 g</v>
      </c>
      <c r="O11" s="752">
        <f>IFERROR(X9/X11,0)</f>
        <v>0.5</v>
      </c>
      <c r="P11" s="753" t="s">
        <v>734</v>
      </c>
      <c r="Q11" s="754"/>
      <c r="R11" s="754"/>
      <c r="S11" s="755"/>
      <c r="T11" s="755"/>
      <c r="V11" s="756"/>
      <c r="W11" s="756" t="s">
        <v>752</v>
      </c>
      <c r="X11" s="757">
        <v>10</v>
      </c>
      <c r="Y11" s="758" t="s">
        <v>258</v>
      </c>
      <c r="Z11" s="732"/>
      <c r="AA11" s="1385"/>
      <c r="AD11" s="499" t="s">
        <v>6104</v>
      </c>
      <c r="AE11" s="500"/>
      <c r="AF11" s="500"/>
      <c r="AG11" s="501"/>
      <c r="AH11" s="502" t="s">
        <v>1083</v>
      </c>
      <c r="AI11" s="501"/>
      <c r="AJ11" s="503"/>
      <c r="AK11" s="503"/>
      <c r="AL11" s="503"/>
      <c r="AM11" s="503"/>
      <c r="AN11" s="503"/>
      <c r="AO11" s="503"/>
      <c r="AP11" s="503"/>
      <c r="AQ11" s="503"/>
      <c r="AR11" s="503"/>
      <c r="AS11" s="544" t="s">
        <v>634</v>
      </c>
      <c r="AT11" s="545" t="str">
        <f>DZ2468</f>
        <v>DZ2468</v>
      </c>
      <c r="AU11" s="503"/>
      <c r="DO11" s="494"/>
      <c r="DP11" s="496" t="s">
        <v>1082</v>
      </c>
      <c r="DQ11" s="496" t="s">
        <v>1083</v>
      </c>
      <c r="DR11" s="496" t="s">
        <v>689</v>
      </c>
      <c r="DS11" s="496" t="s">
        <v>1084</v>
      </c>
      <c r="DT11" s="496" t="s">
        <v>1084</v>
      </c>
      <c r="DU11" s="496" t="s">
        <v>1085</v>
      </c>
      <c r="DV11" s="496" t="s">
        <v>1086</v>
      </c>
      <c r="DW11" s="496" t="s">
        <v>1087</v>
      </c>
      <c r="DX11" s="497" t="s">
        <v>1088</v>
      </c>
      <c r="DZ11" s="543">
        <v>1</v>
      </c>
      <c r="EB11" s="493"/>
      <c r="EC11" s="493"/>
    </row>
    <row r="12" spans="1:133" ht="21" customHeight="1">
      <c r="B12" s="17"/>
      <c r="C12" s="17"/>
      <c r="D12" s="17"/>
      <c r="E12" s="716" t="s">
        <v>737</v>
      </c>
      <c r="F12" s="759" t="str">
        <f>J12</f>
        <v>M MACÉDOINE DE LÉGUMES AU COULIS DE TOMATE | HORS D'ŒUVRE texture modifiée-cuidité-MACEDOINE| Auteur &gt; Annette et Jean Pierre DOMERGUES - 45000 ORLÉANS 1981</v>
      </c>
      <c r="G12" s="760">
        <f>J10</f>
        <v>10</v>
      </c>
      <c r="H12" s="759" t="str">
        <f>K10</f>
        <v>couverts</v>
      </c>
      <c r="I12" s="761" t="str">
        <f>P12&amp;" "&amp;Q12</f>
        <v>Recette mère ►  Textures modifiées</v>
      </c>
      <c r="J12" s="762" t="str">
        <f>UPPER(LEFT(M6,1))&amp;" "&amp;M6&amp;" | "&amp;W6&amp;"| "&amp;M8&amp;" "&amp;N8</f>
        <v>M MACÉDOINE DE LÉGUMES AU COULIS DE TOMATE | HORS D'ŒUVRE texture modifiée-cuidité-MACEDOINE| Auteur &gt; Annette et Jean Pierre DOMERGUES - 45000 ORLÉANS 1981</v>
      </c>
      <c r="K12" s="763" t="s">
        <v>753</v>
      </c>
      <c r="L12" s="1368" t="s">
        <v>754</v>
      </c>
      <c r="M12" s="1369"/>
      <c r="N12" s="1369"/>
      <c r="O12" s="764"/>
      <c r="P12" s="764" t="str">
        <f>IF(ISTEXT(Q12),"Recette mère ►",K12)</f>
        <v>Recette mère ►</v>
      </c>
      <c r="Q12" s="765" t="s">
        <v>755</v>
      </c>
      <c r="R12" s="765"/>
      <c r="S12" s="765"/>
      <c r="T12" s="765"/>
      <c r="U12" s="766"/>
      <c r="V12" s="767"/>
      <c r="W12" s="767"/>
      <c r="X12" s="767"/>
      <c r="Y12" s="768" t="str">
        <f>IF(ISNUMBER(IFERROR(VALUE("0,5"),"")),"ATTENTION : sur cet ordinateur, le séparateur décimal est la VIRGULE",IF(ISNUMBER(IFERROR(VALUE("0.5"),"")),"  OK. TOUT VA BIEN : sur cet ordinateur. le séparateur décimal est le POINT","Impossible de déterminer le séparateur décimal"))</f>
        <v xml:space="preserve">  OK. TOUT VA BIEN : sur cet ordinateur. le séparateur décimal est le POINT</v>
      </c>
      <c r="Z12" s="732"/>
      <c r="AA12" s="769"/>
      <c r="AD12" s="1247" t="s">
        <v>5732</v>
      </c>
      <c r="AE12" s="1247"/>
      <c r="AF12" s="1247"/>
      <c r="AG12" s="504" t="s">
        <v>5897</v>
      </c>
      <c r="AH12" s="498"/>
      <c r="AI12" s="498"/>
      <c r="AJ12" s="498"/>
      <c r="AL12" s="498"/>
      <c r="AN12" s="533" t="s">
        <v>5845</v>
      </c>
      <c r="AO12" s="498"/>
      <c r="AP12" s="498"/>
      <c r="AQ12" s="498"/>
      <c r="AR12" s="498"/>
      <c r="AS12" s="498"/>
      <c r="AT12" s="498"/>
      <c r="AU12" s="498"/>
      <c r="DO12" s="494"/>
      <c r="DP12" s="496" t="s">
        <v>1089</v>
      </c>
      <c r="DQ12" s="496" t="s">
        <v>1083</v>
      </c>
      <c r="DR12" s="496" t="s">
        <v>689</v>
      </c>
      <c r="DS12" s="496" t="s">
        <v>1090</v>
      </c>
      <c r="DT12" s="496" t="s">
        <v>1091</v>
      </c>
      <c r="DU12" s="496" t="s">
        <v>1085</v>
      </c>
      <c r="DV12" s="496" t="s">
        <v>1086</v>
      </c>
      <c r="DW12" s="496" t="s">
        <v>1087</v>
      </c>
      <c r="DX12" s="497" t="s">
        <v>1088</v>
      </c>
      <c r="DZ12" s="543">
        <v>1</v>
      </c>
      <c r="EB12" s="493"/>
      <c r="EC12" s="493"/>
    </row>
    <row r="13" spans="1:133" ht="21" customHeight="1">
      <c r="B13" s="695" t="s">
        <v>722</v>
      </c>
      <c r="C13" s="17"/>
      <c r="D13" s="17"/>
      <c r="E13" s="716" t="s">
        <v>737</v>
      </c>
      <c r="F13" s="770" t="str">
        <f>F12</f>
        <v>M MACÉDOINE DE LÉGUMES AU COULIS DE TOMATE | HORS D'ŒUVRE texture modifiée-cuidité-MACEDOINE| Auteur &gt; Annette et Jean Pierre DOMERGUES - 45000 ORLÉANS 1981</v>
      </c>
      <c r="G13" s="770">
        <f>G12</f>
        <v>10</v>
      </c>
      <c r="H13" s="770" t="str">
        <f>H12</f>
        <v>couverts</v>
      </c>
      <c r="I13" s="771" t="str">
        <f>I12</f>
        <v>Recette mère ►  Textures modifiées</v>
      </c>
      <c r="J13" s="772" t="s">
        <v>756</v>
      </c>
      <c r="K13" s="772" t="s">
        <v>757</v>
      </c>
      <c r="L13" s="772" t="s">
        <v>758</v>
      </c>
      <c r="M13" s="772" t="s">
        <v>759</v>
      </c>
      <c r="N13" s="773" t="s">
        <v>760</v>
      </c>
      <c r="O13" s="774" t="s">
        <v>761</v>
      </c>
      <c r="P13" s="772" t="s">
        <v>762</v>
      </c>
      <c r="Q13" s="772" t="s">
        <v>763</v>
      </c>
      <c r="R13" s="772" t="s">
        <v>764</v>
      </c>
      <c r="S13" s="772" t="s">
        <v>765</v>
      </c>
      <c r="T13" s="772" t="s">
        <v>766</v>
      </c>
      <c r="U13" s="772" t="s">
        <v>767</v>
      </c>
      <c r="V13" s="772" t="s">
        <v>768</v>
      </c>
      <c r="W13" s="772" t="s">
        <v>769</v>
      </c>
      <c r="X13" s="772" t="s">
        <v>770</v>
      </c>
      <c r="Y13" s="775" t="s">
        <v>771</v>
      </c>
      <c r="Z13" s="732"/>
      <c r="AA13" s="776" t="s">
        <v>6496</v>
      </c>
      <c r="DO13" s="494"/>
      <c r="DP13" s="496" t="s">
        <v>1092</v>
      </c>
      <c r="DQ13" s="496" t="s">
        <v>1083</v>
      </c>
      <c r="DR13" s="496" t="s">
        <v>689</v>
      </c>
      <c r="DS13" s="496" t="s">
        <v>142</v>
      </c>
      <c r="DT13" s="496" t="s">
        <v>142</v>
      </c>
      <c r="DU13" s="496" t="s">
        <v>1085</v>
      </c>
      <c r="DV13" s="496" t="s">
        <v>1086</v>
      </c>
      <c r="DW13" s="496" t="s">
        <v>1087</v>
      </c>
      <c r="DX13" s="497" t="s">
        <v>1088</v>
      </c>
      <c r="DZ13" s="543">
        <v>1</v>
      </c>
      <c r="EB13" s="493"/>
      <c r="EC13" s="493"/>
    </row>
    <row r="14" spans="1:133" ht="21" customHeight="1">
      <c r="B14" s="707" t="s">
        <v>724</v>
      </c>
      <c r="C14" s="17"/>
      <c r="D14" s="17"/>
      <c r="E14" s="716" t="s">
        <v>737</v>
      </c>
      <c r="F14" s="724" t="str">
        <f>F12</f>
        <v>M MACÉDOINE DE LÉGUMES AU COULIS DE TOMATE | HORS D'ŒUVRE texture modifiée-cuidité-MACEDOINE| Auteur &gt; Annette et Jean Pierre DOMERGUES - 45000 ORLÉANS 1981</v>
      </c>
      <c r="G14" s="725">
        <f>G12</f>
        <v>10</v>
      </c>
      <c r="H14" s="724" t="str">
        <f>H12</f>
        <v>couverts</v>
      </c>
      <c r="I14" s="726" t="str">
        <f>I12</f>
        <v>Recette mère ►  Textures modifiées</v>
      </c>
      <c r="J14" s="777" t="s">
        <v>772</v>
      </c>
      <c r="K14" s="778" t="s">
        <v>773</v>
      </c>
      <c r="L14" s="779"/>
      <c r="M14" s="1370" t="s">
        <v>774</v>
      </c>
      <c r="N14" s="1372" t="s">
        <v>775</v>
      </c>
      <c r="O14" s="1374" t="s">
        <v>776</v>
      </c>
      <c r="P14" s="1376" t="s">
        <v>260</v>
      </c>
      <c r="Q14" s="780" t="s">
        <v>777</v>
      </c>
      <c r="R14" s="781" t="s">
        <v>778</v>
      </c>
      <c r="S14" s="782" t="s">
        <v>262</v>
      </c>
      <c r="T14" s="783" t="s">
        <v>779</v>
      </c>
      <c r="U14" s="1378" t="s">
        <v>780</v>
      </c>
      <c r="V14" s="1379" t="s">
        <v>779</v>
      </c>
      <c r="W14" s="1380" t="s">
        <v>781</v>
      </c>
      <c r="X14" s="1381" t="s">
        <v>782</v>
      </c>
      <c r="Y14" s="1365" t="s">
        <v>783</v>
      </c>
      <c r="Z14" s="732"/>
      <c r="AA14" s="1367" t="s">
        <v>6497</v>
      </c>
      <c r="AC14" s="1350" t="s">
        <v>1094</v>
      </c>
      <c r="AD14" s="1352" t="s">
        <v>5898</v>
      </c>
      <c r="AE14" s="1346" t="s">
        <v>5899</v>
      </c>
      <c r="AF14" s="1346" t="s">
        <v>1095</v>
      </c>
      <c r="AG14" s="1344" t="str">
        <f>"Céréales contenant du gluten "&amp;(COUNTIF(AG16:AG75,"X")+COUNTIF(AG16:AG75,"~?"))</f>
        <v>Céréales contenant du gluten 0</v>
      </c>
      <c r="AH14" s="1344" t="str">
        <f>"Crustacés "&amp;" "&amp;(COUNTIF(AH16:AH75,"X")+COUNTIF(AH16:AH75,"~?"))</f>
        <v>Crustacés  0</v>
      </c>
      <c r="AI14" s="1344" t="str">
        <f>"Œufs "&amp;(COUNTIF(AI16:AI75,"X")+COUNTIF(AI16:AI75,"~?"))</f>
        <v>Œufs 0</v>
      </c>
      <c r="AJ14" s="1344" t="str">
        <f>"Poissons "&amp;(COUNTIF(AJ16:AJ75,"X")+COUNTIF(AJ16:AJ75,"~?"))</f>
        <v>Poissons 0</v>
      </c>
      <c r="AK14" s="1344" t="str">
        <f>"Arachides "&amp;" "&amp;(COUNTIF(AK16:AK75,"X")+COUNTIF(AK16:AK75,"~?"))</f>
        <v>Arachides  0</v>
      </c>
      <c r="AL14" s="1344" t="str">
        <f>"Soja "&amp;" "&amp;(COUNTIF(AL16:AL75,"X")+COUNTIF(AL16:AL75,"~?"))</f>
        <v>Soja  0</v>
      </c>
      <c r="AM14" s="1344" t="str">
        <f>"Lait "&amp;" "&amp;(COUNTIF(AM16:AM75,"X")+COUNTIF(AM16:AM75,"~?"))</f>
        <v>Lait  1</v>
      </c>
      <c r="AN14" s="1344" t="str">
        <f>"Fruits à coque "&amp;" "&amp;(COUNTIF(AN16:AN75,"X")+COUNTIF(AN16:AN75,"~?"))</f>
        <v>Fruits à coque  0</v>
      </c>
      <c r="AO14" s="1344" t="str">
        <f>"Céleri "&amp;(COUNTIF(AO16:AO75,"X")+COUNTIF(AO16:AO75,"~?"))</f>
        <v>Céleri 0</v>
      </c>
      <c r="AP14" s="1344" t="str">
        <f>"Moutarde "&amp;(COUNTIF(AP16:AP75,"X")+COUNTIF(AP16:AP75,"~?"))</f>
        <v>Moutarde 0</v>
      </c>
      <c r="AQ14" s="1344" t="str">
        <f>"Sésame "&amp;(COUNTIF(AQ16:AQ75,"X")+COUNTIF(AQ16:AQ75,"~?"))</f>
        <v>Sésame 0</v>
      </c>
      <c r="AR14" s="1344" t="str">
        <f>"Sulfites "&amp;(COUNTIF(AR16:AR75,"X")+COUNTIF(AR16:AR75,"~?"))</f>
        <v>Sulfites 0</v>
      </c>
      <c r="AS14" s="1344" t="str">
        <f>"Lupin "&amp;(COUNTIF(AS16:AS75,"X")+COUNTIF(AS16:AS75,"~?"))</f>
        <v>Lupin 0</v>
      </c>
      <c r="AT14" s="1344" t="str">
        <f>"Mollusques "&amp;(COUNTIF(AT16:AT75,"X")+COUNTIF(AT16:AT75,"~?"))</f>
        <v>Mollusques 0</v>
      </c>
      <c r="AU14" s="1344" t="s">
        <v>5900</v>
      </c>
      <c r="DO14" s="494"/>
      <c r="DP14" s="496" t="s">
        <v>1093</v>
      </c>
      <c r="DQ14" s="496" t="s">
        <v>1083</v>
      </c>
      <c r="DR14" s="496" t="s">
        <v>689</v>
      </c>
      <c r="DS14" s="496" t="s">
        <v>880</v>
      </c>
      <c r="DT14" s="496" t="s">
        <v>880</v>
      </c>
      <c r="DU14" s="496" t="s">
        <v>1085</v>
      </c>
      <c r="DV14" s="496" t="s">
        <v>1086</v>
      </c>
      <c r="DW14" s="496" t="s">
        <v>1087</v>
      </c>
      <c r="DX14" s="497" t="s">
        <v>1088</v>
      </c>
      <c r="DZ14" s="543">
        <v>1</v>
      </c>
      <c r="EB14" s="493"/>
      <c r="EC14" s="493"/>
    </row>
    <row r="15" spans="1:133" ht="21" customHeight="1">
      <c r="B15" s="715" t="s">
        <v>726</v>
      </c>
      <c r="C15" s="17"/>
      <c r="D15" s="17"/>
      <c r="E15" s="716" t="s">
        <v>737</v>
      </c>
      <c r="F15" s="724" t="str">
        <f>F12</f>
        <v>M MACÉDOINE DE LÉGUMES AU COULIS DE TOMATE | HORS D'ŒUVRE texture modifiée-cuidité-MACEDOINE| Auteur &gt; Annette et Jean Pierre DOMERGUES - 45000 ORLÉANS 1981</v>
      </c>
      <c r="G15" s="725">
        <f>G12</f>
        <v>10</v>
      </c>
      <c r="H15" s="724" t="str">
        <f>H12</f>
        <v>couverts</v>
      </c>
      <c r="I15" s="726" t="str">
        <f>I12</f>
        <v>Recette mère ►  Textures modifiées</v>
      </c>
      <c r="J15" s="784" t="s">
        <v>784</v>
      </c>
      <c r="K15" s="785" t="s">
        <v>785</v>
      </c>
      <c r="L15" s="786" t="s">
        <v>786</v>
      </c>
      <c r="M15" s="1371"/>
      <c r="N15" s="1373"/>
      <c r="O15" s="1375"/>
      <c r="P15" s="1377"/>
      <c r="Q15" s="787" t="s">
        <v>787</v>
      </c>
      <c r="R15" s="788" t="s">
        <v>261</v>
      </c>
      <c r="S15" s="789" t="s">
        <v>788</v>
      </c>
      <c r="T15" s="790">
        <v>1</v>
      </c>
      <c r="U15" s="1371"/>
      <c r="V15" s="1371"/>
      <c r="W15" s="1371"/>
      <c r="X15" s="1371"/>
      <c r="Y15" s="1366"/>
      <c r="Z15" s="732"/>
      <c r="AA15" s="1367"/>
      <c r="AC15" s="1351"/>
      <c r="AD15" s="1353"/>
      <c r="AE15" s="1347"/>
      <c r="AF15" s="1347"/>
      <c r="AG15" s="1345"/>
      <c r="AH15" s="1345"/>
      <c r="AI15" s="1345"/>
      <c r="AJ15" s="1345"/>
      <c r="AK15" s="1345"/>
      <c r="AL15" s="1345"/>
      <c r="AM15" s="1345"/>
      <c r="AN15" s="1345"/>
      <c r="AO15" s="1345"/>
      <c r="AP15" s="1345"/>
      <c r="AQ15" s="1345"/>
      <c r="AR15" s="1345"/>
      <c r="AS15" s="1345"/>
      <c r="AT15" s="1345"/>
      <c r="AU15" s="1345"/>
      <c r="AW15" s="508" t="s">
        <v>1096</v>
      </c>
      <c r="AX15" s="508" t="s">
        <v>1097</v>
      </c>
      <c r="AY15" s="508" t="s">
        <v>1098</v>
      </c>
      <c r="AZ15" s="508" t="s">
        <v>1099</v>
      </c>
      <c r="BA15" s="508" t="s">
        <v>1100</v>
      </c>
      <c r="BB15" s="508" t="s">
        <v>1101</v>
      </c>
      <c r="BC15" s="508" t="s">
        <v>1102</v>
      </c>
      <c r="BD15" s="508" t="s">
        <v>1103</v>
      </c>
      <c r="BE15" s="508" t="s">
        <v>1104</v>
      </c>
      <c r="BF15" s="508" t="s">
        <v>1105</v>
      </c>
      <c r="BG15" s="508" t="s">
        <v>1106</v>
      </c>
      <c r="BH15" s="508" t="s">
        <v>1083</v>
      </c>
      <c r="BI15" s="508" t="s">
        <v>1107</v>
      </c>
      <c r="BJ15" s="508" t="s">
        <v>1108</v>
      </c>
      <c r="BK15" s="508" t="s">
        <v>239</v>
      </c>
      <c r="BL15" s="508" t="s">
        <v>1109</v>
      </c>
      <c r="BM15" s="508" t="s">
        <v>1110</v>
      </c>
      <c r="BN15" s="508" t="s">
        <v>5733</v>
      </c>
      <c r="BO15" s="508" t="s">
        <v>345</v>
      </c>
      <c r="BP15" s="508" t="s">
        <v>1111</v>
      </c>
      <c r="BQ15" s="508" t="s">
        <v>1112</v>
      </c>
      <c r="BR15" s="508" t="s">
        <v>1113</v>
      </c>
      <c r="BS15" s="508" t="s">
        <v>1114</v>
      </c>
      <c r="BT15" s="508" t="s">
        <v>1115</v>
      </c>
      <c r="BU15" s="508" t="s">
        <v>1116</v>
      </c>
      <c r="BV15" s="508" t="s">
        <v>1117</v>
      </c>
      <c r="BW15" s="508" t="s">
        <v>1118</v>
      </c>
      <c r="BX15" s="508" t="s">
        <v>1119</v>
      </c>
      <c r="BY15" s="508" t="s">
        <v>1120</v>
      </c>
      <c r="BZ15" s="508" t="s">
        <v>1121</v>
      </c>
      <c r="CA15" s="508" t="s">
        <v>1122</v>
      </c>
      <c r="CB15" s="508" t="s">
        <v>8</v>
      </c>
      <c r="CC15" s="508" t="s">
        <v>1123</v>
      </c>
      <c r="CD15" s="508" t="s">
        <v>9</v>
      </c>
      <c r="CE15" s="508" t="s">
        <v>1124</v>
      </c>
      <c r="CF15" s="508" t="s">
        <v>1125</v>
      </c>
      <c r="CG15" s="508" t="s">
        <v>1126</v>
      </c>
      <c r="CH15" s="508" t="s">
        <v>10</v>
      </c>
      <c r="CI15" s="508" t="s">
        <v>1127</v>
      </c>
      <c r="CJ15" s="508" t="s">
        <v>1128</v>
      </c>
      <c r="CK15" s="508" t="s">
        <v>1129</v>
      </c>
      <c r="CL15" s="508" t="s">
        <v>1130</v>
      </c>
      <c r="CM15" s="508" t="s">
        <v>1131</v>
      </c>
      <c r="CN15" s="508" t="s">
        <v>5734</v>
      </c>
      <c r="CO15" s="508" t="s">
        <v>11</v>
      </c>
      <c r="CP15" s="508" t="s">
        <v>1132</v>
      </c>
      <c r="CQ15" s="508" t="s">
        <v>1133</v>
      </c>
      <c r="CR15" s="508" t="s">
        <v>1134</v>
      </c>
      <c r="CS15" s="508" t="s">
        <v>241</v>
      </c>
      <c r="CT15" s="508" t="s">
        <v>1135</v>
      </c>
      <c r="CU15" s="508" t="s">
        <v>1136</v>
      </c>
      <c r="CV15" s="508" t="s">
        <v>236</v>
      </c>
      <c r="CW15" s="508" t="s">
        <v>1137</v>
      </c>
      <c r="CX15" s="508" t="s">
        <v>1138</v>
      </c>
      <c r="CY15" s="508" t="s">
        <v>12</v>
      </c>
      <c r="CZ15" s="508" t="s">
        <v>1139</v>
      </c>
      <c r="DA15" s="508" t="s">
        <v>1140</v>
      </c>
      <c r="DB15" s="508" t="s">
        <v>243</v>
      </c>
      <c r="DC15" s="508" t="s">
        <v>1141</v>
      </c>
      <c r="DD15" s="508" t="s">
        <v>1142</v>
      </c>
      <c r="DE15" s="508" t="s">
        <v>13</v>
      </c>
      <c r="DF15" s="508" t="s">
        <v>1143</v>
      </c>
      <c r="DG15" s="508" t="s">
        <v>1144</v>
      </c>
      <c r="DH15" s="508" t="s">
        <v>14</v>
      </c>
      <c r="DI15" s="508" t="s">
        <v>1145</v>
      </c>
      <c r="DJ15" s="508" t="s">
        <v>1146</v>
      </c>
      <c r="DK15" s="508" t="s">
        <v>1147</v>
      </c>
      <c r="DL15" s="508" t="s">
        <v>1148</v>
      </c>
      <c r="DM15" s="508" t="s">
        <v>1149</v>
      </c>
      <c r="DN15" s="508" t="s">
        <v>15</v>
      </c>
      <c r="DO15" s="494"/>
      <c r="DP15" s="496" t="s">
        <v>1150</v>
      </c>
      <c r="DQ15" s="496" t="s">
        <v>1083</v>
      </c>
      <c r="DR15" s="496" t="s">
        <v>689</v>
      </c>
      <c r="DS15" s="496" t="s">
        <v>308</v>
      </c>
      <c r="DT15" s="496" t="s">
        <v>308</v>
      </c>
      <c r="DU15" s="496" t="s">
        <v>1151</v>
      </c>
      <c r="DV15" s="496" t="s">
        <v>1152</v>
      </c>
      <c r="DW15" s="496" t="s">
        <v>1087</v>
      </c>
      <c r="DX15" s="497" t="s">
        <v>1153</v>
      </c>
      <c r="DZ15" s="543">
        <v>1</v>
      </c>
      <c r="EB15" s="493"/>
      <c r="EC15" s="493"/>
    </row>
    <row r="16" spans="1:133" ht="21" customHeight="1">
      <c r="B16" s="715" t="s">
        <v>728</v>
      </c>
      <c r="C16" s="17"/>
      <c r="D16" s="17"/>
      <c r="E16" s="716" t="s">
        <v>737</v>
      </c>
      <c r="F16" s="724" t="str">
        <f>F12</f>
        <v>M MACÉDOINE DE LÉGUMES AU COULIS DE TOMATE | HORS D'ŒUVRE texture modifiée-cuidité-MACEDOINE| Auteur &gt; Annette et Jean Pierre DOMERGUES - 45000 ORLÉANS 1981</v>
      </c>
      <c r="G16" s="725">
        <f>G12</f>
        <v>10</v>
      </c>
      <c r="H16" s="724" t="str">
        <f>H12</f>
        <v>couverts</v>
      </c>
      <c r="I16" s="726" t="str">
        <f>I12</f>
        <v>Recette mère ►  Textures modifiées</v>
      </c>
      <c r="J16" s="791"/>
      <c r="K16" s="792"/>
      <c r="L16" s="793" t="str">
        <f t="shared" ref="L16:L27" si="1">IF(OR(ISTEXT(J16), J16&lt;=0, M16&lt;=0), "", "de")</f>
        <v/>
      </c>
      <c r="M16" s="794"/>
      <c r="N16" s="795"/>
      <c r="O16" s="796">
        <v>1</v>
      </c>
      <c r="P16" s="797" t="str">
        <f>ROWS(P16:P16)&amp;" ►"</f>
        <v>1 ►</v>
      </c>
      <c r="Q16" s="798" t="s">
        <v>265</v>
      </c>
      <c r="R16" s="799" t="s">
        <v>789</v>
      </c>
      <c r="S16" s="800">
        <f>IF(U28=0,0,(U16/U28)*T15*1000)</f>
        <v>0</v>
      </c>
      <c r="T16" s="801">
        <f>IF(U28=0, 0, (J16*O16)/(U28*T15))</f>
        <v>0</v>
      </c>
      <c r="U16" s="802">
        <f t="array" ref="U16">IFERROR(_xlfn.XLOOKUP(UPPER(TRIM(N16)),UPPER(TRIM(J29:Y29)),J30:Y30,_xlfn.XLOOKUP(UPPER(TRIM(N16)),UPPER(TRIM(J31:Y31)),J32:Y32,0))*M16*IF(J16&gt;0,J16,1),0)</f>
        <v>0</v>
      </c>
      <c r="V16" s="803">
        <f>IF(X11&lt;&gt;0,J16*O16*O11,0)</f>
        <v>0</v>
      </c>
      <c r="W16" s="804">
        <f t="shared" ref="W16:W27" si="2">K16</f>
        <v>0</v>
      </c>
      <c r="X16" s="805">
        <f>IF(OR(ISBLANK(X11),X11=0),0,U16*O16*O11)</f>
        <v>0</v>
      </c>
      <c r="Y16" s="806" t="str">
        <f>IF(N16="","",IF(COUNTIF(Q29:Y29,SUBSTITUTE(TRIM(N16)," (s)",""))+COUNTIF(Q31:Y31,SUBSTITUTE(TRIM(N16)," (s)",""))&gt;0,IF(ROUND(X16,3)&gt;=1,ROUND(X16,3)&amp;" L",MAX(1,ROUND(X16*100,0))&amp;" cl"),IF(COUNTIF(J29:O29,SUBSTITUTE(TRIM(N16)," (s)",""))+COUNTIF(J31:O31,SUBSTITUTE(TRIM(N16)," (s)",""))&gt;0,IF(ROUND(X16,3)&gt;=1,ROUND(X16,3)&amp;" Kg",MAX(1,ROUND(X16*1000,0))&amp;" g"),"")))</f>
        <v/>
      </c>
      <c r="Z16" s="732"/>
      <c r="AA16" s="807" t="s">
        <v>6498</v>
      </c>
      <c r="AC16" s="509">
        <v>1</v>
      </c>
      <c r="AD16" s="808" t="s">
        <v>265</v>
      </c>
      <c r="AE16" s="679" t="str">
        <f t="shared" ref="AE16:AE47" si="3">IF(7=7,IF(AD16="","",TRIM(IF(RIGHT(TRIM(AD16),1)="?",LEFT(TRIM(AD16),LEN(TRIM(AD16))-1),TRIM(AD16)))&amp;IF(COUNTIF(AG16:AT16,"X")&gt;0," *",IF(OR(AG16="?",AH16="?",AI16="?",AJ16="?",AK16="?",AL16="?",AM16="?",AN16="?",AO16="?",AP16="?",AQ16="?",AR16="?",AS16="?",AT16="?")," ?",""))),"")</f>
        <v>macedoine surgelée</v>
      </c>
      <c r="AF16" s="512" t="str">
        <f>IF(7=7,IF(AD16="","",IF(AG16="X",""&amp;"Céréales contenant du gluten","")&amp;IF(AH16="X",IF(COUNTIF(AG16:AG16,"X")&gt;0,", ","")&amp;"Crustacés","")&amp;IF(AI16="X",IF(COUNTIF(AG16:AH16,"X")&gt;0,", ","")&amp;"Œufs","")&amp;IF(AJ16="X",IF(COUNTIF(AG16:AI16,"X")&gt;0,", ","")&amp;"Poissons","")&amp;IF(AK16="X",IF(COUNTIF(AG16:AJ16,"X")&gt;0,", ","")&amp;"Arachides","")&amp;IF(AL16="X",IF(COUNTIF(AG16:AK16,"X")&gt;0,", ","")&amp;"Soja","")&amp;IF(AM16="X",IF(COUNTIF(AG16:AL16,"X")&gt;0,", ","")&amp;"Lait","")&amp;IF(AN16="X",IF(COUNTIF(AG16:AM16,"X")&gt;0,", ","")&amp;"Fruits à coque","")&amp;IF(AO16="X",IF(COUNTIF(AG16:AN16,"X")&gt;0,", ","")&amp;"Céleri","")&amp;IF(AP16="X",IF(COUNTIF(AG16:AO16,"X")&gt;0,", ","")&amp;"Moutarde","")&amp;IF(AQ16="X",IF(COUNTIF(AG16:AP16,"X")&gt;0,", ","")&amp;"Sésame","")&amp;IF(AR16="X",IF(COUNTIF(AG16:AQ16,"X")&gt;0,", ","")&amp;"Sulfites","")&amp;IF(AS16="X",IF(COUNTIF(AG16:AR16,"X")&gt;0,", ","")&amp;"Lupin","")&amp;IF(AT16="X",IF(COUNTIF(AG16:AS16,"X")&gt;0,", ","")&amp;"Mollusques","")),"")</f>
        <v/>
      </c>
      <c r="AG16" s="513" t="str">
        <f>IF(7=7,IF(AD16="","",BH16),"")</f>
        <v/>
      </c>
      <c r="AH16" s="513" t="str">
        <f>IF(7=7,IF(AD16="","",BK16),"")</f>
        <v/>
      </c>
      <c r="AI16" s="513" t="str">
        <f>IF(7=7,IF(AD16="","",BO16),"")</f>
        <v/>
      </c>
      <c r="AJ16" s="513" t="str">
        <f>IF(7=7,IF(AD16="","",IF(ISNUMBER(SEARCH(" colin ",BC16)),"X",CB16)),"")</f>
        <v/>
      </c>
      <c r="AK16" s="513" t="str">
        <f>IF(7=7,IF(AD16="","",CD16),"")</f>
        <v/>
      </c>
      <c r="AL16" s="513" t="str">
        <f>IF(7=7,IF(AD16="","",CH16),"")</f>
        <v/>
      </c>
      <c r="AM16" s="513" t="str">
        <f>IF(7=7,IF(AD16="","",CO16),"")</f>
        <v/>
      </c>
      <c r="AN16" s="513" t="str">
        <f>IF(7=7,IF(AD16="","",CS16),"")</f>
        <v/>
      </c>
      <c r="AO16" s="513" t="str">
        <f>IF(7=7,IF(AD16="","",CV16),"")</f>
        <v/>
      </c>
      <c r="AP16" s="513" t="str">
        <f>IF(7=7,IF(AD16="","",CY16),"")</f>
        <v/>
      </c>
      <c r="AQ16" s="513" t="str">
        <f>IF(7=7,IF(AD16="","",DB16),"")</f>
        <v/>
      </c>
      <c r="AR16" s="513" t="str">
        <f>IF(7=7,IF(AD16="","",DE16),"")</f>
        <v/>
      </c>
      <c r="AS16" s="513" t="str">
        <f>IF(7=7,IF(AD16="","",DH16),"")</f>
        <v/>
      </c>
      <c r="AT16" s="513" t="str">
        <f>IF(7=7,IF(AD16="","",DN16),"")</f>
        <v/>
      </c>
      <c r="AU16" s="514" t="str">
        <f>IF(7=7,IF(AD16="","",IF(AG16="?",""&amp;"Céréales contenant du gluten","")&amp;IF(AH16="?",IF(COUNTIF(AG16:AG16,"~?")&gt;0,", ","")&amp;"Crustacés","")&amp;IF(AI16="?",IF(COUNTIF(AG16:AH16,"~?")&gt;0,", ","")&amp;"Œufs","")&amp;IF(AJ16="?",IF(COUNTIF(AG16:AI16,"~?")&gt;0,", ","")&amp;"Poissons","")&amp;IF(AK16="?",IF(COUNTIF(AG16:AJ16,"~?")&gt;0,", ","")&amp;"Arachides","")&amp;IF(AL16="?",IF(COUNTIF(AG16:AK16,"~?")&gt;0,", ","")&amp;"Soja","")&amp;IF(AM16="?",IF(COUNTIF(AG16:AL16,"~?")&gt;0,", ","")&amp;"Lait","")&amp;IF(AN16="?",IF(COUNTIF(AG16:AM16,"~?")&gt;0,", ","")&amp;"Fruits à coque","")&amp;IF(AO16="?",IF(COUNTIF(AG16:AN16,"~?")&gt;0,", ","")&amp;"Céleri","")&amp;IF(AP16="?",IF(COUNTIF(AG16:AO16,"~?")&gt;0,", ","")&amp;"Moutarde","")&amp;IF(AQ16="?",IF(COUNTIF(AG16:AP16,"~?")&gt;0,", ","")&amp;"Sésame","")&amp;IF(AR16="?",IF(COUNTIF(AG16:AQ16,"~?")&gt;0,", ","")&amp;"Sulfites","")&amp;IF(AS16="?",IF(COUNTIF(AG16:AR16,"~?")&gt;0,", ","")&amp;"Lupin","")&amp;IF(AT16="?",IF(COUNTIF(AG16:AS16,"~?")&gt;0,", ","")&amp;"Mollusques","")),"")</f>
        <v/>
      </c>
      <c r="AW16" s="493" t="str">
        <f>IF(7=7,IF(AD16="","",AD16),"")</f>
        <v>macedoine surgelée</v>
      </c>
      <c r="AX16" s="493" t="str">
        <f>IF(7=7,LOWER(CLEAN(SUBSTITUTE(SUBSTITUTE(SUBSTITUTE(SUBSTITUTE(AW16,CHAR(160)," ")," "," "),CHAR(10)," "),CHAR(13)," "))),"")</f>
        <v>macedoine surgelée</v>
      </c>
      <c r="AY16" s="493" t="str">
        <f>IF(7=7,SUBSTITUTE(SUBSTITUTE(SUBSTITUTE(SUBSTITUTE(SUBSTITUTE(SUBSTITUTE(SUBSTITUTE(SUBSTITUTE(SUBSTITUTE(SUBSTITUTE(SUBSTITUTE(SUBSTITUTE(AX16,"œ","oe"),"æ","ae"),"à","a"),"á","a"),"â","a"),"ä","a"),"ã","a"),"ç","c"),"è","e"),"é","e"),"ê","e"),"ë","e"),"")</f>
        <v>macedoine surgelee</v>
      </c>
      <c r="AZ16" s="493" t="str">
        <f>IF(7=7,SUBSTITUTE(SUBSTITUTE(SUBSTITUTE(SUBSTITUTE(SUBSTITUTE(SUBSTITUTE(SUBSTITUTE(SUBSTITUTE(SUBSTITUTE(SUBSTITUTE(SUBSTITUTE(SUBSTITUTE(SUBSTITUTE(SUBSTITUTE(SUBSTITUTE(SUBSTITUTE(AY16,"ì","i"),"í","i"),"î","i"),"ï","i"),"ñ","n"),"ò","o"),"ó","o"),"ô","o"),"ö","o"),"õ","o"),"ù","u"),"ú","u"),"û","u"),"ü","u"),"ý","y"),"ÿ","y"),"")</f>
        <v>macedoine surgelee</v>
      </c>
      <c r="BA16" s="493" t="str">
        <f>IF(7=7,SUBSTITUTE(SUBSTITUTE(SUBSTITUTE(SUBSTITUTE(SUBSTITUTE(SUBSTITUTE(SUBSTITUTE(SUBSTITUTE(SUBSTITUTE(SUBSTITUTE(SUBSTITUTE(SUBSTITUTE(SUBSTITUTE(SUBSTITUTE(AZ16,"’"," "),"`"," "),"–"," "),"—"," "),"-"," "),"'"," "),"/"," "),"_"," "),","," "),"."," "),"("," "),")"," "),";"," "),":"," "),"")</f>
        <v>macedoine surgelee</v>
      </c>
      <c r="BB16" s="493" t="str">
        <f>IF(7=7,SUBSTITUTE(SUBSTITUTE(SUBSTITUTE(SUBSTITUTE(SUBSTITUTE(SUBSTITUTE(SUBSTITUTE(SUBSTITUTE(SUBSTITUTE(SUBSTITUTE(SUBSTITUTE(SUBSTITUTE(SUBSTITUTE(SUBSTITUTE(SUBSTITUTE(BA16,"!"," "),"?"," "),"+"," "),"*"," "),"&amp;"," "),"["," "),"]"," "),"{"," "),"}"," "),"%"," "),"="," "),"\"," "),"|"," "),"&lt;"," "),"&gt;"," "),"")</f>
        <v>macedoine surgelee</v>
      </c>
      <c r="BC16" s="493" t="str">
        <f>IF(7=7," "&amp;TRIM(SUBSTITUTE(SUBSTITUTE(SUBSTITUTE(SUBSTITUTE(SUBSTITUTE(SUBSTITUTE(BB16,CHAR(34)," "),"  "," "),"  "," "),"  "," "),"  "," "),"  "," "))&amp;" ","")</f>
        <v xml:space="preserve"> macedoine surgelee </v>
      </c>
      <c r="BD16" s="493" cm="1">
        <f t="array" ref="BD16">IF(7=7,IF(AW16="","",SUMPRODUCT(--ISNUMBER(SEARCH(" "&amp;DT11:DT110&amp;" ",BF16)))),"")</f>
        <v>0</v>
      </c>
      <c r="BE16" s="493" cm="1">
        <f t="array" ref="BE16">IF(7=7,IF(AW16="","",SUMPRODUCT(--ISNUMBER(SEARCH(" "&amp;DT111:DT160&amp;" ",BF16)))),"")</f>
        <v>0</v>
      </c>
      <c r="BF16" s="493" t="str">
        <f>IF(AW16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16,"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xml:space="preserve"> macedoine surgelee </v>
      </c>
      <c r="BG16" s="493" cm="1">
        <f t="array" ref="BG16">IF(AW16="","",SUMPRODUCT(--ISNUMBER(SEARCH(" "&amp;DT193:DT214&amp;" ",BF16)))+--ISNUMBER(SEARCH(" "&amp;DT2463&amp;" ",BF16)))</f>
        <v>0</v>
      </c>
      <c r="BH16" s="493" t="str" cm="1">
        <f t="array" ref="BH16">IF(7=7,IF(AW16="","",IF(SUM(BD16:BE16)+SUMPRODUCT(--ISNUMBER(SEARCH(" "&amp;DT2427:DT2429&amp;" ",BF16)))&gt;0,"X",IF(BG16&gt;0,"?",""))),"")</f>
        <v/>
      </c>
      <c r="BI16" s="493" cm="1">
        <f t="array" ref="BI16">IF(7=7,IF(AW16="","",SUMPRODUCT(--ISNUMBER(SEARCH(" "&amp;DT215:DT314&amp;" ",BC16)))),"")</f>
        <v>0</v>
      </c>
      <c r="BJ16" s="493" cm="1">
        <f t="array" ref="BJ16">IF(7=7,IF(AW16="","",SUMPRODUCT(--ISNUMBER(SEARCH(" "&amp;DT315:DT349&amp;" ",BC16)))),"")</f>
        <v>0</v>
      </c>
      <c r="BK16" s="493" t="str">
        <f>IF(7=7,IF(AW16="","",IF((SUM(BI16:BJ16))-(0)&gt;0,"X",IF((0)-(0)&gt;0,"?",""))),"")</f>
        <v/>
      </c>
      <c r="BL16" s="493" cm="1">
        <f t="array" ref="BL16">IF(7=7,IF(AW16="","",SUMPRODUCT(--ISNUMBER(SEARCH(" "&amp;DT350:DT407&amp;" ",BC16)))),"")</f>
        <v>0</v>
      </c>
      <c r="BM16" s="493" cm="1">
        <f t="array" ref="BM16">IF(7=7,IF(AW16="","",SUMPRODUCT(--ISNUMBER(SEARCH(" "&amp;DT408:DT435&amp;" ",BN16)))+SUMPRODUCT(--ISNUMBER(SEARCH(" "&amp;DT2449:DT2462&amp;" ",BN16)))),"")</f>
        <v>0</v>
      </c>
      <c r="BN16" s="493" t="str">
        <f>IF(7=7,IF(AW16="","",SUBSTITUTE(SUBSTITUTE(SUBSTITUTE(SUBSTITUTE(SUBSTITUTE(SUBSTITUTE(SUBSTITUTE(SUBSTITUTE(SUBSTITUTE(SUBSTITUTE(SUBSTITUTE(SUBSTITUTE(SUBSTITUTE(SUBSTITUTE(BC16," "&amp;DT2464&amp;" "," ")," "&amp;DT442&amp;" "," ")," "&amp;DT440&amp;" "," ")," "&amp;DT2447&amp;" "," ")," "&amp;DT2448&amp;" "," ")," "&amp;DT437&amp;" "," ")," "&amp;DT441&amp;" "," ")," "&amp;DT443&amp;" "," ")," "&amp;DT438&amp;" "," ")," "&amp;DT436&amp;" "," ")," "&amp;DT1376&amp;" "," ")," "&amp;DT444&amp;" "," ")," "&amp;DT1375&amp;" "," ")," "&amp;DT439&amp;" "," ")),"")</f>
        <v xml:space="preserve"> macedoine surgelee </v>
      </c>
      <c r="BO16" s="493" t="str">
        <f>IF(7=7,IF(AW16="","",IF(BL16&gt;0,"X",IF(BM16&gt;0,"?",""))),"")</f>
        <v/>
      </c>
      <c r="BP16" s="493" cm="1">
        <f t="array" ref="BP16">IF(7=7,IF(AW16="","",SUMPRODUCT(--ISNUMBER(SEARCH(" "&amp;DT445:DT544&amp;" ",BZ16)))),"")</f>
        <v>0</v>
      </c>
      <c r="BQ16" s="493" cm="1">
        <f t="array" ref="BQ16">IF(7=7,IF(AW16="","",SUMPRODUCT(--ISNUMBER(SEARCH(" "&amp;DT545:DT644&amp;" ",BZ16)))),"")</f>
        <v>0</v>
      </c>
      <c r="BR16" s="493" cm="1">
        <f t="array" ref="BR16">IF(7=7,IF(AW16="","",SUMPRODUCT(--ISNUMBER(SEARCH(" "&amp;DT645:DT744&amp;" ",BZ16)))),"")</f>
        <v>0</v>
      </c>
      <c r="BS16" s="493" cm="1">
        <f t="array" ref="BS16">IF(7=7,IF(AW16="","",SUMPRODUCT(--ISNUMBER(SEARCH(" "&amp;DT745:DT844&amp;" ",BZ16)))),"")</f>
        <v>0</v>
      </c>
      <c r="BT16" s="493" cm="1">
        <f t="array" ref="BT16">IF(7=7,IF(AW16="","",SUMPRODUCT(--ISNUMBER(SEARCH(" "&amp;DT845:DT944&amp;" ",BZ16)))),"")</f>
        <v>0</v>
      </c>
      <c r="BU16" s="493" cm="1">
        <f t="array" ref="BU16">IF(7=7,IF(AW16="","",SUMPRODUCT(--ISNUMBER(SEARCH(" "&amp;DT945:DT1044&amp;" ",BZ16)))),"")</f>
        <v>0</v>
      </c>
      <c r="BV16" s="493" cm="1">
        <f t="array" ref="BV16">IF(7=7,IF(AW16="","",SUMPRODUCT(--ISNUMBER(SEARCH(" "&amp;DT1045:DT1144&amp;" ",BZ16)))),"")</f>
        <v>0</v>
      </c>
      <c r="BW16" s="493" cm="1">
        <f t="array" ref="BW16">IF(7=7,IF(AW16="","",SUMPRODUCT(--ISNUMBER(SEARCH(" "&amp;DT1145:DT1244&amp;" ",BZ16)))),"")</f>
        <v>0</v>
      </c>
      <c r="BX16" s="493" cm="1">
        <f t="array" ref="BX16">IF(7=7,IF(AW16="","",SUMPRODUCT(--ISNUMBER(SEARCH(" "&amp;DT1245:DT1344&amp;" ",BZ16)))),"")</f>
        <v>0</v>
      </c>
      <c r="BY16" s="493" cm="1">
        <f t="array" ref="BY16">IF(7=7,IF(AW16="","",SUMPRODUCT(--ISNUMBER(SEARCH(" "&amp;DT1345:DT1372&amp;" ",BZ16)))),"")</f>
        <v>0</v>
      </c>
      <c r="BZ16" s="493" t="str">
        <f>IF(7=7,IF(AW16="","",SUBSTITUTE(SUBSTITUTE(SUBSTITUTE(SUBSTITUTE(SUBSTITUTE(SUBSTITUTE(SUBSTITUTE(SUBSTITUTE(SUBSTITUTE(BC16," "&amp;DT1374&amp;" "," ")," "&amp;DT1373&amp;" "," ")," "&amp;DT1379&amp;" "," ")," "&amp;DT1380&amp;" "," ")," "&amp;DT1376&amp;" "," ")," "&amp;DT1378&amp;" "," ")," "&amp;DT1375&amp;" "," ")," "&amp;DT1377&amp;" "," ")," "&amp;DT1381&amp;" "," ")),"")</f>
        <v xml:space="preserve"> macedoine surgelee </v>
      </c>
      <c r="CA16" s="493" cm="1">
        <f t="array" ref="CA16">IF(7=7,IF(AW16="","",SUMPRODUCT(--ISNUMBER(SEARCH(" "&amp;DT1382:DT1392&amp;" ",BZ16)))),"")</f>
        <v>0</v>
      </c>
      <c r="CB16" s="493" t="str" cm="1">
        <f t="array" ref="CB16">IF(7=7,IF(AW16="","",IF(SUM(BP16:BY16)+SUMPRODUCT(--ISNUMBER(SEARCH(" "&amp;DT2430:DT2431&amp;" ",BZ16)))&gt;0,"X",IF(CA16&gt;0,"?",""))),"")</f>
        <v/>
      </c>
      <c r="CC16" s="493" cm="1">
        <f t="array" ref="CC16">IF(7=7,IF(AW16="","",SUMPRODUCT(--ISNUMBER(SEARCH(" "&amp;DT1393:DT1413&amp;" ",BC16)))),"")</f>
        <v>0</v>
      </c>
      <c r="CD16" s="493" t="str">
        <f>IF(7=7,IF(AW16="","",IF((CC16)-(0)&gt;0,"X",IF((0)-(0)&gt;0,"?",""))),"")</f>
        <v/>
      </c>
      <c r="CE16" s="493" cm="1">
        <f t="array" ref="CE16">IF(7=7,IF(AW16="","",SUMPRODUCT(--ISNUMBER(SEARCH(" "&amp;DT1414:DT1451&amp;" ",CF16)))),"")</f>
        <v>0</v>
      </c>
      <c r="CF16" s="493" t="str">
        <f>IF(7=7,IF(AW16="","",SUBSTITUTE(SUBSTITUTE(BC16," "&amp;DT1452&amp;" "," ")," "&amp;DT1453&amp;" "," ")),"")</f>
        <v xml:space="preserve"> macedoine surgelee </v>
      </c>
      <c r="CG16" s="493" cm="1">
        <f t="array" ref="CG16">IF(7=7,IF(AW16="","",SUMPRODUCT(--ISNUMBER(SEARCH(" "&amp;DT1454:DT1464&amp;" ",CF16)))),"")</f>
        <v>0</v>
      </c>
      <c r="CH16" s="493" t="str">
        <f>IF(7=7,IF(AW16="","",IF(CE16&gt;0,"X",IF(CG16&gt;0,"?",""))),"")</f>
        <v/>
      </c>
      <c r="CI16" s="493" cm="1">
        <f t="array" ref="CI16">IF(7=7,IF(AW16="","",SUMPRODUCT(--ISNUMBER(SEARCH(" "&amp;DT1465:DT1564&amp;" ",CL16)))),"")</f>
        <v>0</v>
      </c>
      <c r="CJ16" s="493" cm="1">
        <f t="array" ref="CJ16">IF(7=7,IF(AW16="","",SUMPRODUCT(--ISNUMBER(SEARCH(" "&amp;DT1565:DT1664&amp;" ",CL16)))),"")</f>
        <v>0</v>
      </c>
      <c r="CK16" s="493" cm="1">
        <f t="array" ref="CK16">IF(7=7,IF(AW16="","",SUMPRODUCT(--ISNUMBER(SEARCH(" "&amp;DT1665:DT1748&amp;" ",CL16)))),"")</f>
        <v>0</v>
      </c>
      <c r="CL16" s="493" t="str">
        <f>IF(7=7,IF(AW16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16,"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xml:space="preserve"> macedoine surgelee </v>
      </c>
      <c r="CM16" s="493" cm="1">
        <f t="array" ref="CM16">IF(7=7,IF(AW16="","",SUMPRODUCT(--ISNUMBER(SEARCH(" "&amp;DT1799:DT1878&amp;" ",CN16)))+SUMPRODUCT(--ISNUMBER(SEARCH(" "&amp;DT2449:DT2462&amp;" ",CN16)))),"")</f>
        <v>0</v>
      </c>
      <c r="CN16" s="493" t="str">
        <f>IF(7=7,IF(AW16="","",SUBSTITUTE(SUBSTITUTE(SUBSTITUTE(SUBSTITUTE(SUBSTITUTE(SUBSTITUTE(SUBSTITUTE(SUBSTITUTE(SUBSTITUTE(SUBSTITUTE(SUBSTITUTE(SUBSTITUTE(SUBSTITUTE(CL16," "&amp;DT1885&amp;" "," ")," "&amp;DT1883&amp;" "," ")," "&amp;DT2447&amp;" "," ")," "&amp;DT2448&amp;" "," ")," "&amp;DT1880&amp;" "," ")," "&amp;DT1884&amp;" "," ")," "&amp;DT1886&amp;" "," ")," "&amp;DT1881&amp;" "," ")," "&amp;DT1879&amp;" "," ")," "&amp;DT1376&amp;" "," ")," "&amp;DT1887&amp;" "," ")," "&amp;DT1375&amp;" "," ")," "&amp;DT1882&amp;" "," ")),"")</f>
        <v xml:space="preserve"> macedoine surgelee </v>
      </c>
      <c r="CO16" s="493" t="str" cm="1">
        <f t="array" ref="CO16">IF(7=7,IF(AW16="","",IF(SUM(CI16:CK16)+SUMPRODUCT(--ISNUMBER(SEARCH(" "&amp;DT2432:DT2433&amp;" ",CL16)))&gt;0,"X",IF(CM16&gt;0,"?",""))),"")</f>
        <v/>
      </c>
      <c r="CP16" s="493" cm="1">
        <f t="array" ref="CP16">IF(7=7,IF(AW16="","",SUMPRODUCT(--ISNUMBER(SEARCH(" "&amp;DT1888:DT1945&amp;" ",CQ16)))),"")</f>
        <v>0</v>
      </c>
      <c r="CQ16" s="493" t="str">
        <f>IF(7=7,IF(AW16="","",SUBSTITUTE(SUBSTITUTE(SUBSTITUTE(SUBSTITUTE(SUBSTITUTE(SUBSTITUTE(SUBSTITUTE(SUBSTITUTE(SUBSTITUTE(SUBSTITUTE(SUBSTITUTE(SUBSTITUTE(SUBSTITUTE(SUBSTITUTE(SUBSTITUTE(SUBSTITUTE(SUBSTITUTE(SUBSTITUTE(SUBSTITUTE(SUBSTITUTE(SUBSTITUTE(SUBSTITUTE(SUBSTITUTE(BC16,"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xml:space="preserve"> macedoine surgelee </v>
      </c>
      <c r="CR16" s="493" cm="1">
        <f t="array" ref="CR16">IF(7=7,IF(AW16="","",SUMPRODUCT(--ISNUMBER(SEARCH(" "&amp;DT1969:DT1985&amp;" ",CQ16)))),"")</f>
        <v>0</v>
      </c>
      <c r="CS16" s="493" t="str">
        <f>IF(7=7,IF(AW16="","",IF(CP16&gt;0,"X",IF(CR16&gt;0,"?",""))),"")</f>
        <v/>
      </c>
      <c r="CT16" s="493" cm="1">
        <f t="array" ref="CT16">IF(7=7,IF(AW16="","",SUMPRODUCT(--ISNUMBER(SEARCH(" "&amp;DT1986:DT1999&amp;" ",BC16)))),"")</f>
        <v>0</v>
      </c>
      <c r="CU16" s="493" cm="1">
        <f t="array" ref="CU16">IF(7=7,IF(AW16="","",SUMPRODUCT(--ISNUMBER(SEARCH(" "&amp;DT2000:DT2014&amp;" ",BC16)))),"")</f>
        <v>0</v>
      </c>
      <c r="CV16" s="493" t="str">
        <f>IF(7=7,IF(AW16="","",IF((CT16)-(0)&gt;0,"X",IF((CU16)-(0)&gt;0,"?",""))),"")</f>
        <v/>
      </c>
      <c r="CW16" s="493" cm="1">
        <f t="array" ref="CW16">IF(7=7,IF(AW16="","",SUMPRODUCT(--ISNUMBER(SEARCH(" "&amp;DT2015:DT2032&amp;" ",BC16)))),"")</f>
        <v>0</v>
      </c>
      <c r="CX16" s="493" cm="1">
        <f t="array" ref="CX16">IF(7=7,IF(AW16="","",SUMPRODUCT(--ISNUMBER(SEARCH(" "&amp;DT2033:DT2047&amp;" ",BC16)))),"")</f>
        <v>0</v>
      </c>
      <c r="CY16" s="493" t="str">
        <f>IF(7=7,IF(AW16="","",IF((CW16)-(0)&gt;0,"X",IF((CX16)-(0)&gt;0,"?",""))),"")</f>
        <v/>
      </c>
      <c r="CZ16" s="493" cm="1">
        <f t="array" ref="CZ16">IF(7=7,IF(AW16="","",SUMPRODUCT(--ISNUMBER(SEARCH(" "&amp;DT2048:DT2066&amp;" ",BC16)))),"")</f>
        <v>0</v>
      </c>
      <c r="DA16" s="493" cm="1">
        <f t="array" ref="DA16">IF(7=7,IF(AW16="","",SUMPRODUCT(--ISNUMBER(SEARCH(" "&amp;DT2067:DT2081&amp;" ",BC16)))),"")</f>
        <v>0</v>
      </c>
      <c r="DB16" s="493" t="str">
        <f>IF(7=7,IF(AW16="","",IF((CZ16)-(0)&gt;0,"X",IF((DA16)-(0)&gt;0,"?",""))),"")</f>
        <v/>
      </c>
      <c r="DC16" s="493" cm="1">
        <f t="array" ref="DC16">IF(7=7,IF(AW16="","",SUMPRODUCT(--ISNUMBER(SEARCH(" "&amp;DT2082:DT2102&amp;" ",BC16)))),"")</f>
        <v>0</v>
      </c>
      <c r="DD16" s="493" cm="1">
        <f t="array" ref="DD16">IF(7=7,IF(AW16="","",SUMPRODUCT(--ISNUMBER(SEARCH(" "&amp;DT2103:DT2142&amp;" ",SUBSTITUTE(SUBSTITUTE(BC16," "&amp;DT1376&amp;" "," ")," "&amp;DT1375&amp;" "," "))))+--ISNUMBER(SEARCH("poiré",AX16))),"")</f>
        <v>0</v>
      </c>
      <c r="DE16" s="493" t="str">
        <f>IF(7=7,IF(AW16="","",IF(OR(DC16&gt;0,ISNUMBER(SEARCH(" vinaigre de vin ",BC16)),ISNUMBER(SEARCH(" vinaigre au vin ",BC16))),"X",IF(DD16&gt;0,"?",""))),"")</f>
        <v/>
      </c>
      <c r="DF16" s="493" cm="1">
        <f t="array" ref="DF16">IF(7=7,IF(AW16="","",SUMPRODUCT(--ISNUMBER(SEARCH(" "&amp;DT2143:DT2155&amp;" ",BC16)))),"")</f>
        <v>0</v>
      </c>
      <c r="DG16" s="493" cm="1">
        <f t="array" ref="DG16">IF(7=7,IF(AW16="","",SUMPRODUCT(--ISNUMBER(SEARCH(" "&amp;DT2156:DT2161&amp;" ",BC16)))),"")</f>
        <v>0</v>
      </c>
      <c r="DH16" s="493" t="str">
        <f>IF(7=7,IF(AW16="","",IF((DF16)-(0)&gt;0,"X",IF((DG16)-(0)&gt;0,"?",""))),"")</f>
        <v/>
      </c>
      <c r="DI16" s="493" cm="1">
        <f t="array" ref="DI16">IF(7=7,IF(AW16="","",SUMPRODUCT(--ISNUMBER(SEARCH(" "&amp;DT2162:DT2261&amp;" ",DL16)))),"")</f>
        <v>0</v>
      </c>
      <c r="DJ16" s="493" cm="1">
        <f t="array" ref="DJ16">IF(7=7,IF(AW16="","",SUMPRODUCT(--ISNUMBER(SEARCH(" "&amp;DT2262:DT2361&amp;" ",DL16)))),"")</f>
        <v>0</v>
      </c>
      <c r="DK16" s="493" cm="1">
        <f t="array" ref="DK16">IF(7=7,IF(AW16="","",SUMPRODUCT(--ISNUMBER(SEARCH(" "&amp;DT2362:DT2404&amp;" ",DL16)))),"")</f>
        <v>0</v>
      </c>
      <c r="DL16" s="493" t="str">
        <f>IF(7=7,IF(AW16="","",SUBSTITUTE(SUBSTITUTE(SUBSTITUTE(SUBSTITUTE(SUBSTITUTE(SUBSTITUTE(SUBSTITUTE(SUBSTITUTE(SUBSTITUTE(SUBSTITUTE(SUBSTITUTE(SUBSTITUTE(SUBSTITUTE(SUBSTITUTE(SUBSTITUTE(SUBSTITUTE(BC16," "&amp;DT2410&amp;" "," ")," "&amp;DT2409&amp;" "," ")," "&amp;DT2408&amp;" "," ")," "&amp;DT2415&amp;" "," ")," "&amp;DT2407&amp;" "," ")," "&amp;DT2419&amp;" "," ")," "&amp;DT2406&amp;" "," ")," "&amp;DT2411&amp;" "," ")," "&amp;DT2414&amp;" "," ")," "&amp;DT2405&amp;" "," ")," "&amp;DT2413&amp;" "," ")," "&amp;DT2420&amp;" "," ")," "&amp;DT2417&amp;" "," ")," "&amp;DT2412&amp;" "," ")," "&amp;DT2416&amp;" "," ")," "&amp;DT2418&amp;" "," ")),"")</f>
        <v xml:space="preserve"> macedoine surgelee </v>
      </c>
      <c r="DM16" s="493" cm="1">
        <f t="array" ref="DM16">IF(7=7,IF(AW16="","",SUMPRODUCT(--ISNUMBER(SEARCH(" "&amp;DT2421:DT2425&amp;" ",DL16)))),"")</f>
        <v>0</v>
      </c>
      <c r="DN16" s="493" t="str">
        <f>IF(7=7,IF(AW16="","",IF(SUM(DI16:DK16)&gt;0,"X",IF(DM16&gt;0,"?",""))),"")</f>
        <v/>
      </c>
      <c r="DO16" s="494"/>
      <c r="DP16" s="496" t="s">
        <v>1155</v>
      </c>
      <c r="DQ16" s="496" t="s">
        <v>1083</v>
      </c>
      <c r="DR16" s="496" t="s">
        <v>689</v>
      </c>
      <c r="DS16" s="496" t="s">
        <v>1156</v>
      </c>
      <c r="DT16" s="496" t="s">
        <v>883</v>
      </c>
      <c r="DU16" s="496" t="s">
        <v>1085</v>
      </c>
      <c r="DV16" s="496" t="s">
        <v>1086</v>
      </c>
      <c r="DW16" s="496" t="s">
        <v>1087</v>
      </c>
      <c r="DX16" s="497" t="s">
        <v>1088</v>
      </c>
      <c r="DZ16" s="543">
        <v>1</v>
      </c>
      <c r="EB16" s="493"/>
      <c r="EC16" s="493"/>
    </row>
    <row r="17" spans="1:133" ht="21" customHeight="1">
      <c r="B17" s="715" t="s">
        <v>730</v>
      </c>
      <c r="C17" s="17"/>
      <c r="D17" s="17"/>
      <c r="E17" s="716" t="s">
        <v>737</v>
      </c>
      <c r="F17" s="724" t="str">
        <f>F12</f>
        <v>M MACÉDOINE DE LÉGUMES AU COULIS DE TOMATE | HORS D'ŒUVRE texture modifiée-cuidité-MACEDOINE| Auteur &gt; Annette et Jean Pierre DOMERGUES - 45000 ORLÉANS 1981</v>
      </c>
      <c r="G17" s="725">
        <f>G12</f>
        <v>10</v>
      </c>
      <c r="H17" s="724" t="str">
        <f>H12</f>
        <v>couverts</v>
      </c>
      <c r="I17" s="726" t="str">
        <f>I12</f>
        <v>Recette mère ►  Textures modifiées</v>
      </c>
      <c r="J17" s="791"/>
      <c r="K17" s="809"/>
      <c r="L17" s="793" t="str">
        <f t="shared" si="1"/>
        <v/>
      </c>
      <c r="M17" s="794">
        <v>800</v>
      </c>
      <c r="N17" s="810" t="s">
        <v>790</v>
      </c>
      <c r="O17" s="796">
        <v>1</v>
      </c>
      <c r="P17" s="811" t="str">
        <f>ROWS(P16:P17)&amp;" ►"</f>
        <v>2 ►</v>
      </c>
      <c r="Q17" s="798" t="s">
        <v>6499</v>
      </c>
      <c r="R17" s="812" t="s">
        <v>11</v>
      </c>
      <c r="S17" s="800">
        <f>IF(U28=0,0,(U17/U28)*T15*1000)</f>
        <v>523.90307793058287</v>
      </c>
      <c r="T17" s="813">
        <f>IF(U28=0, 0, (J17*O17)/(U28*T15))</f>
        <v>0</v>
      </c>
      <c r="U17" s="802">
        <f t="array" ref="U17">IFERROR(_xlfn.XLOOKUP(UPPER(TRIM(N17)),UPPER(TRIM(J29:Y29)),J30:Y30,_xlfn.XLOOKUP(UPPER(TRIM(N17)),UPPER(TRIM(J31:Y31)),J32:Y32,0))*M17*IF(J17&gt;0,J17,1),0)</f>
        <v>0.8</v>
      </c>
      <c r="V17" s="814">
        <f>IF(X11&lt;&gt;0,J17*O17*O11,0)</f>
        <v>0</v>
      </c>
      <c r="W17" s="815">
        <f t="shared" si="2"/>
        <v>0</v>
      </c>
      <c r="X17" s="805">
        <f>IF(OR(ISBLANK(X11),X11=0),0,U17*O17*O11)</f>
        <v>0.4</v>
      </c>
      <c r="Y17" s="816" t="str">
        <f>IF(N17="","",IF(COUNTIF(Q29:Y29,SUBSTITUTE(TRIM(N17)," (s)",""))+COUNTIF(Q31:Y31,SUBSTITUTE(TRIM(N17)," (s)",""))&gt;0,IF(ROUND(X17,3)&gt;=1,ROUND(X17,3)&amp;" L",MAX(1,ROUND(X17*100,0))&amp;" cl"),IF(COUNTIF(J29:O29,SUBSTITUTE(TRIM(N17)," (s)",""))+COUNTIF(J31:O31,SUBSTITUTE(TRIM(N17)," (s)",""))&gt;0,IF(ROUND(X17,3)&gt;=1,ROUND(X17,3)&amp;" Kg",MAX(1,ROUND(X17*1000,0))&amp;" g"),"")))</f>
        <v>400 g</v>
      </c>
      <c r="Z17" s="732"/>
      <c r="AA17" s="817" t="str">
        <f>SUBSTITUTE(ADDRESS(1,COLUMN(Q16),4),"1","")&amp;" et "&amp;SUBSTITUTE(ADDRESS(1,COLUMN(R16),4),"1","")</f>
        <v>Q et R</v>
      </c>
      <c r="AC17" s="509">
        <v>2</v>
      </c>
      <c r="AD17" s="808" t="s">
        <v>266</v>
      </c>
      <c r="AE17" s="679" t="str">
        <f t="shared" si="3"/>
        <v>fromage blanc 20% mg *</v>
      </c>
      <c r="AF17" s="512" t="str">
        <f>IF(8=8,IF(AD17="","",IF(AG17="X",""&amp;"Céréales contenant du gluten","")&amp;IF(AH17="X",IF(COUNTIF(AG17:AG17,"X")&gt;0,", ","")&amp;"Crustacés","")&amp;IF(AI17="X",IF(COUNTIF(AG17:AH17,"X")&gt;0,", ","")&amp;"Œufs","")&amp;IF(AJ17="X",IF(COUNTIF(AG17:AI17,"X")&gt;0,", ","")&amp;"Poissons","")&amp;IF(AK17="X",IF(COUNTIF(AG17:AJ17,"X")&gt;0,", ","")&amp;"Arachides","")&amp;IF(AL17="X",IF(COUNTIF(AG17:AK17,"X")&gt;0,", ","")&amp;"Soja","")&amp;IF(AM17="X",IF(COUNTIF(AG17:AL17,"X")&gt;0,", ","")&amp;"Lait","")&amp;IF(AN17="X",IF(COUNTIF(AG17:AM17,"X")&gt;0,", ","")&amp;"Fruits à coque","")&amp;IF(AO17="X",IF(COUNTIF(AG17:AN17,"X")&gt;0,", ","")&amp;"Céleri","")&amp;IF(AP17="X",IF(COUNTIF(AG17:AO17,"X")&gt;0,", ","")&amp;"Moutarde","")&amp;IF(AQ17="X",IF(COUNTIF(AG17:AP17,"X")&gt;0,", ","")&amp;"Sésame","")&amp;IF(AR17="X",IF(COUNTIF(AG17:AQ17,"X")&gt;0,", ","")&amp;"Sulfites","")&amp;IF(AS17="X",IF(COUNTIF(AG17:AR17,"X")&gt;0,", ","")&amp;"Lupin","")&amp;IF(AT17="X",IF(COUNTIF(AG17:AS17,"X")&gt;0,", ","")&amp;"Mollusques","")),"")</f>
        <v>Lait</v>
      </c>
      <c r="AG17" s="513" t="str">
        <f>IF(8=8,IF(AD17="","",BH17),"")</f>
        <v/>
      </c>
      <c r="AH17" s="513" t="str">
        <f>IF(8=8,IF(AD17="","",BK17),"")</f>
        <v/>
      </c>
      <c r="AI17" s="513" t="str">
        <f>IF(8=8,IF(AD17="","",BO17),"")</f>
        <v/>
      </c>
      <c r="AJ17" s="513" t="str">
        <f>IF(8=8,IF(AD17="","",IF(ISNUMBER(SEARCH(" colin ",BC17)),"X",CB17)),"")</f>
        <v/>
      </c>
      <c r="AK17" s="513" t="str">
        <f>IF(8=8,IF(AD17="","",CD17),"")</f>
        <v/>
      </c>
      <c r="AL17" s="513" t="str">
        <f>IF(8=8,IF(AD17="","",CH17),"")</f>
        <v/>
      </c>
      <c r="AM17" s="513" t="str">
        <f>IF(8=8,IF(AD17="","",CO17),"")</f>
        <v>X</v>
      </c>
      <c r="AN17" s="513" t="str">
        <f>IF(8=8,IF(AD17="","",CS17),"")</f>
        <v/>
      </c>
      <c r="AO17" s="513" t="str">
        <f>IF(8=8,IF(AD17="","",CV17),"")</f>
        <v/>
      </c>
      <c r="AP17" s="513" t="str">
        <f>IF(8=8,IF(AD17="","",CY17),"")</f>
        <v/>
      </c>
      <c r="AQ17" s="513" t="str">
        <f>IF(8=8,IF(AD17="","",DB17),"")</f>
        <v/>
      </c>
      <c r="AR17" s="513" t="str">
        <f>IF(8=8,IF(AD17="","",DE17),"")</f>
        <v/>
      </c>
      <c r="AS17" s="513" t="str">
        <f>IF(8=8,IF(AD17="","",DH17),"")</f>
        <v/>
      </c>
      <c r="AT17" s="513" t="str">
        <f>IF(8=8,IF(AD17="","",DN17),"")</f>
        <v/>
      </c>
      <c r="AU17" s="514" t="str">
        <f>IF(8=8,IF(AD17="","",IF(AG17="?",""&amp;"Céréales contenant du gluten","")&amp;IF(AH17="?",IF(COUNTIF(AG17:AG17,"~?")&gt;0,", ","")&amp;"Crustacés","")&amp;IF(AI17="?",IF(COUNTIF(AG17:AH17,"~?")&gt;0,", ","")&amp;"Œufs","")&amp;IF(AJ17="?",IF(COUNTIF(AG17:AI17,"~?")&gt;0,", ","")&amp;"Poissons","")&amp;IF(AK17="?",IF(COUNTIF(AG17:AJ17,"~?")&gt;0,", ","")&amp;"Arachides","")&amp;IF(AL17="?",IF(COUNTIF(AG17:AK17,"~?")&gt;0,", ","")&amp;"Soja","")&amp;IF(AM17="?",IF(COUNTIF(AG17:AL17,"~?")&gt;0,", ","")&amp;"Lait","")&amp;IF(AN17="?",IF(COUNTIF(AG17:AM17,"~?")&gt;0,", ","")&amp;"Fruits à coque","")&amp;IF(AO17="?",IF(COUNTIF(AG17:AN17,"~?")&gt;0,", ","")&amp;"Céleri","")&amp;IF(AP17="?",IF(COUNTIF(AG17:AO17,"~?")&gt;0,", ","")&amp;"Moutarde","")&amp;IF(AQ17="?",IF(COUNTIF(AG17:AP17,"~?")&gt;0,", ","")&amp;"Sésame","")&amp;IF(AR17="?",IF(COUNTIF(AG17:AQ17,"~?")&gt;0,", ","")&amp;"Sulfites","")&amp;IF(AS17="?",IF(COUNTIF(AG17:AR17,"~?")&gt;0,", ","")&amp;"Lupin","")&amp;IF(AT17="?",IF(COUNTIF(AG17:AS17,"~?")&gt;0,", ","")&amp;"Mollusques","")),"")</f>
        <v/>
      </c>
      <c r="AW17" s="493" t="str">
        <f>IF(8=8,IF(AD17="","",AD17),"")</f>
        <v xml:space="preserve">fromage blanc 20% mg </v>
      </c>
      <c r="AX17" s="493" t="str">
        <f>IF(8=8,LOWER(CLEAN(SUBSTITUTE(SUBSTITUTE(SUBSTITUTE(SUBSTITUTE(AW17,CHAR(160)," ")," "," "),CHAR(10)," "),CHAR(13)," "))),"")</f>
        <v xml:space="preserve">fromage blanc 20% mg </v>
      </c>
      <c r="AY17" s="493" t="str">
        <f>IF(8=8,SUBSTITUTE(SUBSTITUTE(SUBSTITUTE(SUBSTITUTE(SUBSTITUTE(SUBSTITUTE(SUBSTITUTE(SUBSTITUTE(SUBSTITUTE(SUBSTITUTE(SUBSTITUTE(SUBSTITUTE(AX17,"œ","oe"),"æ","ae"),"à","a"),"á","a"),"â","a"),"ä","a"),"ã","a"),"ç","c"),"è","e"),"é","e"),"ê","e"),"ë","e"),"")</f>
        <v xml:space="preserve">fromage blanc 20% mg </v>
      </c>
      <c r="AZ17" s="493" t="str">
        <f>IF(8=8,SUBSTITUTE(SUBSTITUTE(SUBSTITUTE(SUBSTITUTE(SUBSTITUTE(SUBSTITUTE(SUBSTITUTE(SUBSTITUTE(SUBSTITUTE(SUBSTITUTE(SUBSTITUTE(SUBSTITUTE(SUBSTITUTE(SUBSTITUTE(SUBSTITUTE(SUBSTITUTE(AY17,"ì","i"),"í","i"),"î","i"),"ï","i"),"ñ","n"),"ò","o"),"ó","o"),"ô","o"),"ö","o"),"õ","o"),"ù","u"),"ú","u"),"û","u"),"ü","u"),"ý","y"),"ÿ","y"),"")</f>
        <v xml:space="preserve">fromage blanc 20% mg </v>
      </c>
      <c r="BA17" s="493" t="str">
        <f>IF(8=8,SUBSTITUTE(SUBSTITUTE(SUBSTITUTE(SUBSTITUTE(SUBSTITUTE(SUBSTITUTE(SUBSTITUTE(SUBSTITUTE(SUBSTITUTE(SUBSTITUTE(SUBSTITUTE(SUBSTITUTE(SUBSTITUTE(SUBSTITUTE(AZ17,"’"," "),"`"," "),"–"," "),"—"," "),"-"," "),"'"," "),"/"," "),"_"," "),","," "),"."," "),"("," "),")"," "),";"," "),":"," "),"")</f>
        <v xml:space="preserve">fromage blanc 20% mg </v>
      </c>
      <c r="BB17" s="493" t="str">
        <f>IF(8=8,SUBSTITUTE(SUBSTITUTE(SUBSTITUTE(SUBSTITUTE(SUBSTITUTE(SUBSTITUTE(SUBSTITUTE(SUBSTITUTE(SUBSTITUTE(SUBSTITUTE(SUBSTITUTE(SUBSTITUTE(SUBSTITUTE(SUBSTITUTE(SUBSTITUTE(BA17,"!"," "),"?"," "),"+"," "),"*"," "),"&amp;"," "),"["," "),"]"," "),"{"," "),"}"," "),"%"," "),"="," "),"\"," "),"|"," "),"&lt;"," "),"&gt;"," "),"")</f>
        <v xml:space="preserve">fromage blanc 20  mg </v>
      </c>
      <c r="BC17" s="493" t="str">
        <f>IF(8=8," "&amp;TRIM(SUBSTITUTE(SUBSTITUTE(SUBSTITUTE(SUBSTITUTE(SUBSTITUTE(SUBSTITUTE(BB17,CHAR(34)," "),"  "," "),"  "," "),"  "," "),"  "," "),"  "," "))&amp;" ","")</f>
        <v xml:space="preserve"> fromage blanc 20 mg </v>
      </c>
      <c r="BD17" s="493" cm="1">
        <f t="array" ref="BD17">IF(8=8,IF(AW17="","",SUMPRODUCT(--ISNUMBER(SEARCH(" "&amp;DT11:DT110&amp;" ",BF17)))),"")</f>
        <v>0</v>
      </c>
      <c r="BE17" s="493" cm="1">
        <f t="array" ref="BE17">IF(8=8,IF(AW17="","",SUMPRODUCT(--ISNUMBER(SEARCH(" "&amp;DT111:DT160&amp;" ",BF17)))),"")</f>
        <v>0</v>
      </c>
      <c r="BF17" s="493" t="str">
        <f>IF(AW17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17,"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xml:space="preserve"> fromage blanc 20 mg </v>
      </c>
      <c r="BG17" s="493" cm="1">
        <f t="array" ref="BG17">IF(AW17="","",SUMPRODUCT(--ISNUMBER(SEARCH(" "&amp;DT193:DT214&amp;" ",BF17)))+--ISNUMBER(SEARCH(" "&amp;DT2463&amp;" ",BF17)))</f>
        <v>0</v>
      </c>
      <c r="BH17" s="493" t="str" cm="1">
        <f t="array" ref="BH17">IF(8=8,IF(AW17="","",IF(SUM(BD17:BE17)+SUMPRODUCT(--ISNUMBER(SEARCH(" "&amp;DT2427:DT2429&amp;" ",BF17)))&gt;0,"X",IF(BG17&gt;0,"?",""))),"")</f>
        <v/>
      </c>
      <c r="BI17" s="493" cm="1">
        <f t="array" ref="BI17">IF(8=8,IF(AW17="","",SUMPRODUCT(--ISNUMBER(SEARCH(" "&amp;DT215:DT314&amp;" ",BC17)))),"")</f>
        <v>0</v>
      </c>
      <c r="BJ17" s="493" cm="1">
        <f t="array" ref="BJ17">IF(8=8,IF(AW17="","",SUMPRODUCT(--ISNUMBER(SEARCH(" "&amp;DT315:DT349&amp;" ",BC17)))),"")</f>
        <v>0</v>
      </c>
      <c r="BK17" s="493" t="str">
        <f>IF(8=8,IF(AW17="","",IF((SUM(BI17:BJ17))-(0)&gt;0,"X",IF((0)-(0)&gt;0,"?",""))),"")</f>
        <v/>
      </c>
      <c r="BL17" s="493" cm="1">
        <f t="array" ref="BL17">IF(8=8,IF(AW17="","",SUMPRODUCT(--ISNUMBER(SEARCH(" "&amp;DT350:DT407&amp;" ",BC17)))),"")</f>
        <v>0</v>
      </c>
      <c r="BM17" s="493" cm="1">
        <f t="array" ref="BM17">IF(8=8,IF(AW17="","",SUMPRODUCT(--ISNUMBER(SEARCH(" "&amp;DT408:DT435&amp;" ",BN17)))+SUMPRODUCT(--ISNUMBER(SEARCH(" "&amp;DT2449:DT2462&amp;" ",BN17)))),"")</f>
        <v>0</v>
      </c>
      <c r="BN17" s="493" t="str">
        <f>IF(8=8,IF(AW17="","",SUBSTITUTE(SUBSTITUTE(SUBSTITUTE(SUBSTITUTE(SUBSTITUTE(SUBSTITUTE(SUBSTITUTE(SUBSTITUTE(SUBSTITUTE(SUBSTITUTE(SUBSTITUTE(SUBSTITUTE(SUBSTITUTE(SUBSTITUTE(BC17," "&amp;DT2464&amp;" "," ")," "&amp;DT442&amp;" "," ")," "&amp;DT440&amp;" "," ")," "&amp;DT2447&amp;" "," ")," "&amp;DT2448&amp;" "," ")," "&amp;DT437&amp;" "," ")," "&amp;DT441&amp;" "," ")," "&amp;DT443&amp;" "," ")," "&amp;DT438&amp;" "," ")," "&amp;DT436&amp;" "," ")," "&amp;DT1376&amp;" "," ")," "&amp;DT444&amp;" "," ")," "&amp;DT1375&amp;" "," ")," "&amp;DT439&amp;" "," ")),"")</f>
        <v xml:space="preserve"> fromage blanc 20 mg </v>
      </c>
      <c r="BO17" s="493" t="str">
        <f>IF(8=8,IF(AW17="","",IF(BL17&gt;0,"X",IF(BM17&gt;0,"?",""))),"")</f>
        <v/>
      </c>
      <c r="BP17" s="493" cm="1">
        <f t="array" ref="BP17">IF(8=8,IF(AW17="","",SUMPRODUCT(--ISNUMBER(SEARCH(" "&amp;DT445:DT544&amp;" ",BZ17)))),"")</f>
        <v>0</v>
      </c>
      <c r="BQ17" s="493" cm="1">
        <f t="array" ref="BQ17">IF(8=8,IF(AW17="","",SUMPRODUCT(--ISNUMBER(SEARCH(" "&amp;DT545:DT644&amp;" ",BZ17)))),"")</f>
        <v>0</v>
      </c>
      <c r="BR17" s="493" cm="1">
        <f t="array" ref="BR17">IF(8=8,IF(AW17="","",SUMPRODUCT(--ISNUMBER(SEARCH(" "&amp;DT645:DT744&amp;" ",BZ17)))),"")</f>
        <v>0</v>
      </c>
      <c r="BS17" s="493" cm="1">
        <f t="array" ref="BS17">IF(8=8,IF(AW17="","",SUMPRODUCT(--ISNUMBER(SEARCH(" "&amp;DT745:DT844&amp;" ",BZ17)))),"")</f>
        <v>0</v>
      </c>
      <c r="BT17" s="493" cm="1">
        <f t="array" ref="BT17">IF(8=8,IF(AW17="","",SUMPRODUCT(--ISNUMBER(SEARCH(" "&amp;DT845:DT944&amp;" ",BZ17)))),"")</f>
        <v>0</v>
      </c>
      <c r="BU17" s="493" cm="1">
        <f t="array" ref="BU17">IF(8=8,IF(AW17="","",SUMPRODUCT(--ISNUMBER(SEARCH(" "&amp;DT945:DT1044&amp;" ",BZ17)))),"")</f>
        <v>0</v>
      </c>
      <c r="BV17" s="493" cm="1">
        <f t="array" ref="BV17">IF(8=8,IF(AW17="","",SUMPRODUCT(--ISNUMBER(SEARCH(" "&amp;DT1045:DT1144&amp;" ",BZ17)))),"")</f>
        <v>0</v>
      </c>
      <c r="BW17" s="493" cm="1">
        <f t="array" ref="BW17">IF(8=8,IF(AW17="","",SUMPRODUCT(--ISNUMBER(SEARCH(" "&amp;DT1145:DT1244&amp;" ",BZ17)))),"")</f>
        <v>0</v>
      </c>
      <c r="BX17" s="493" cm="1">
        <f t="array" ref="BX17">IF(8=8,IF(AW17="","",SUMPRODUCT(--ISNUMBER(SEARCH(" "&amp;DT1245:DT1344&amp;" ",BZ17)))),"")</f>
        <v>0</v>
      </c>
      <c r="BY17" s="493" cm="1">
        <f t="array" ref="BY17">IF(8=8,IF(AW17="","",SUMPRODUCT(--ISNUMBER(SEARCH(" "&amp;DT1345:DT1372&amp;" ",BZ17)))),"")</f>
        <v>0</v>
      </c>
      <c r="BZ17" s="493" t="str">
        <f>IF(8=8,IF(AW17="","",SUBSTITUTE(SUBSTITUTE(SUBSTITUTE(SUBSTITUTE(SUBSTITUTE(SUBSTITUTE(SUBSTITUTE(SUBSTITUTE(SUBSTITUTE(BC17," "&amp;DT1374&amp;" "," ")," "&amp;DT1373&amp;" "," ")," "&amp;DT1379&amp;" "," ")," "&amp;DT1380&amp;" "," ")," "&amp;DT1376&amp;" "," ")," "&amp;DT1378&amp;" "," ")," "&amp;DT1375&amp;" "," ")," "&amp;DT1377&amp;" "," ")," "&amp;DT1381&amp;" "," ")),"")</f>
        <v xml:space="preserve"> fromage blanc 20 mg </v>
      </c>
      <c r="CA17" s="493" cm="1">
        <f t="array" ref="CA17">IF(8=8,IF(AW17="","",SUMPRODUCT(--ISNUMBER(SEARCH(" "&amp;DT1382:DT1392&amp;" ",BZ17)))),"")</f>
        <v>0</v>
      </c>
      <c r="CB17" s="493" t="str" cm="1">
        <f t="array" ref="CB17">IF(8=8,IF(AW17="","",IF(SUM(BP17:BY17)+SUMPRODUCT(--ISNUMBER(SEARCH(" "&amp;DT2430:DT2431&amp;" ",BZ17)))&gt;0,"X",IF(CA17&gt;0,"?",""))),"")</f>
        <v/>
      </c>
      <c r="CC17" s="493" cm="1">
        <f t="array" ref="CC17">IF(8=8,IF(AW17="","",SUMPRODUCT(--ISNUMBER(SEARCH(" "&amp;DT1393:DT1413&amp;" ",BC17)))),"")</f>
        <v>0</v>
      </c>
      <c r="CD17" s="493" t="str">
        <f>IF(8=8,IF(AW17="","",IF((CC17)-(0)&gt;0,"X",IF((0)-(0)&gt;0,"?",""))),"")</f>
        <v/>
      </c>
      <c r="CE17" s="493" cm="1">
        <f t="array" ref="CE17">IF(8=8,IF(AW17="","",SUMPRODUCT(--ISNUMBER(SEARCH(" "&amp;DT1414:DT1451&amp;" ",CF17)))),"")</f>
        <v>0</v>
      </c>
      <c r="CF17" s="493" t="str">
        <f>IF(8=8,IF(AW17="","",SUBSTITUTE(SUBSTITUTE(BC17," "&amp;DT1452&amp;" "," ")," "&amp;DT1453&amp;" "," ")),"")</f>
        <v xml:space="preserve"> fromage blanc 20 mg </v>
      </c>
      <c r="CG17" s="493" cm="1">
        <f t="array" ref="CG17">IF(8=8,IF(AW17="","",SUMPRODUCT(--ISNUMBER(SEARCH(" "&amp;DT1454:DT1464&amp;" ",CF17)))),"")</f>
        <v>0</v>
      </c>
      <c r="CH17" s="493" t="str">
        <f>IF(8=8,IF(AW17="","",IF(CE17&gt;0,"X",IF(CG17&gt;0,"?",""))),"")</f>
        <v/>
      </c>
      <c r="CI17" s="493" cm="1">
        <f t="array" ref="CI17">IF(8=8,IF(AW17="","",SUMPRODUCT(--ISNUMBER(SEARCH(" "&amp;DT1465:DT1564&amp;" ",CL17)))),"")</f>
        <v>0</v>
      </c>
      <c r="CJ17" s="493" cm="1">
        <f t="array" ref="CJ17">IF(8=8,IF(AW17="","",SUMPRODUCT(--ISNUMBER(SEARCH(" "&amp;DT1565:DT1664&amp;" ",CL17)))),"")</f>
        <v>2</v>
      </c>
      <c r="CK17" s="493" cm="1">
        <f t="array" ref="CK17">IF(8=8,IF(AW17="","",SUMPRODUCT(--ISNUMBER(SEARCH(" "&amp;DT1665:DT1748&amp;" ",CL17)))),"")</f>
        <v>0</v>
      </c>
      <c r="CL17" s="493" t="str">
        <f>IF(8=8,IF(AW17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17,"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xml:space="preserve"> fromage blanc 20 mg </v>
      </c>
      <c r="CM17" s="493" cm="1">
        <f t="array" ref="CM17">IF(8=8,IF(AW17="","",SUMPRODUCT(--ISNUMBER(SEARCH(" "&amp;DT1799:DT1878&amp;" ",CN17)))+SUMPRODUCT(--ISNUMBER(SEARCH(" "&amp;DT2449:DT2462&amp;" ",CN17)))),"")</f>
        <v>0</v>
      </c>
      <c r="CN17" s="493" t="str">
        <f>IF(8=8,IF(AW17="","",SUBSTITUTE(SUBSTITUTE(SUBSTITUTE(SUBSTITUTE(SUBSTITUTE(SUBSTITUTE(SUBSTITUTE(SUBSTITUTE(SUBSTITUTE(SUBSTITUTE(SUBSTITUTE(SUBSTITUTE(SUBSTITUTE(CL17," "&amp;DT1885&amp;" "," ")," "&amp;DT1883&amp;" "," ")," "&amp;DT2447&amp;" "," ")," "&amp;DT2448&amp;" "," ")," "&amp;DT1880&amp;" "," ")," "&amp;DT1884&amp;" "," ")," "&amp;DT1886&amp;" "," ")," "&amp;DT1881&amp;" "," ")," "&amp;DT1879&amp;" "," ")," "&amp;DT1376&amp;" "," ")," "&amp;DT1887&amp;" "," ")," "&amp;DT1375&amp;" "," ")," "&amp;DT1882&amp;" "," ")),"")</f>
        <v xml:space="preserve"> fromage blanc 20 mg </v>
      </c>
      <c r="CO17" s="493" t="str" cm="1">
        <f t="array" ref="CO17">IF(8=8,IF(AW17="","",IF(SUM(CI17:CK17)+SUMPRODUCT(--ISNUMBER(SEARCH(" "&amp;DT2432:DT2433&amp;" ",CL17)))&gt;0,"X",IF(CM17&gt;0,"?",""))),"")</f>
        <v>X</v>
      </c>
      <c r="CP17" s="493" cm="1">
        <f t="array" ref="CP17">IF(8=8,IF(AW17="","",SUMPRODUCT(--ISNUMBER(SEARCH(" "&amp;DT1888:DT1945&amp;" ",CQ17)))),"")</f>
        <v>0</v>
      </c>
      <c r="CQ17" s="493" t="str">
        <f>IF(8=8,IF(AW17="","",SUBSTITUTE(SUBSTITUTE(SUBSTITUTE(SUBSTITUTE(SUBSTITUTE(SUBSTITUTE(SUBSTITUTE(SUBSTITUTE(SUBSTITUTE(SUBSTITUTE(SUBSTITUTE(SUBSTITUTE(SUBSTITUTE(SUBSTITUTE(SUBSTITUTE(SUBSTITUTE(SUBSTITUTE(SUBSTITUTE(SUBSTITUTE(SUBSTITUTE(SUBSTITUTE(SUBSTITUTE(SUBSTITUTE(BC17,"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xml:space="preserve"> fromage blanc 20 mg </v>
      </c>
      <c r="CR17" s="493" cm="1">
        <f t="array" ref="CR17">IF(8=8,IF(AW17="","",SUMPRODUCT(--ISNUMBER(SEARCH(" "&amp;DT1969:DT1985&amp;" ",CQ17)))),"")</f>
        <v>0</v>
      </c>
      <c r="CS17" s="493" t="str">
        <f>IF(8=8,IF(AW17="","",IF(CP17&gt;0,"X",IF(CR17&gt;0,"?",""))),"")</f>
        <v/>
      </c>
      <c r="CT17" s="493" cm="1">
        <f t="array" ref="CT17">IF(8=8,IF(AW17="","",SUMPRODUCT(--ISNUMBER(SEARCH(" "&amp;DT1986:DT1999&amp;" ",BC17)))),"")</f>
        <v>0</v>
      </c>
      <c r="CU17" s="493" cm="1">
        <f t="array" ref="CU17">IF(8=8,IF(AW17="","",SUMPRODUCT(--ISNUMBER(SEARCH(" "&amp;DT2000:DT2014&amp;" ",BC17)))),"")</f>
        <v>0</v>
      </c>
      <c r="CV17" s="493" t="str">
        <f>IF(8=8,IF(AW17="","",IF((CT17)-(0)&gt;0,"X",IF((CU17)-(0)&gt;0,"?",""))),"")</f>
        <v/>
      </c>
      <c r="CW17" s="493" cm="1">
        <f t="array" ref="CW17">IF(8=8,IF(AW17="","",SUMPRODUCT(--ISNUMBER(SEARCH(" "&amp;DT2015:DT2032&amp;" ",BC17)))),"")</f>
        <v>0</v>
      </c>
      <c r="CX17" s="493" cm="1">
        <f t="array" ref="CX17">IF(8=8,IF(AW17="","",SUMPRODUCT(--ISNUMBER(SEARCH(" "&amp;DT2033:DT2047&amp;" ",BC17)))),"")</f>
        <v>0</v>
      </c>
      <c r="CY17" s="493" t="str">
        <f>IF(8=8,IF(AW17="","",IF((CW17)-(0)&gt;0,"X",IF((CX17)-(0)&gt;0,"?",""))),"")</f>
        <v/>
      </c>
      <c r="CZ17" s="493" cm="1">
        <f t="array" ref="CZ17">IF(8=8,IF(AW17="","",SUMPRODUCT(--ISNUMBER(SEARCH(" "&amp;DT2048:DT2066&amp;" ",BC17)))),"")</f>
        <v>0</v>
      </c>
      <c r="DA17" s="493" cm="1">
        <f t="array" ref="DA17">IF(8=8,IF(AW17="","",SUMPRODUCT(--ISNUMBER(SEARCH(" "&amp;DT2067:DT2081&amp;" ",BC17)))),"")</f>
        <v>0</v>
      </c>
      <c r="DB17" s="493" t="str">
        <f>IF(8=8,IF(AW17="","",IF((CZ17)-(0)&gt;0,"X",IF((DA17)-(0)&gt;0,"?",""))),"")</f>
        <v/>
      </c>
      <c r="DC17" s="493" cm="1">
        <f t="array" ref="DC17">IF(8=8,IF(AW17="","",SUMPRODUCT(--ISNUMBER(SEARCH(" "&amp;DT2082:DT2102&amp;" ",BC17)))),"")</f>
        <v>0</v>
      </c>
      <c r="DD17" s="493" cm="1">
        <f t="array" ref="DD17">IF(8=8,IF(AW17="","",SUMPRODUCT(--ISNUMBER(SEARCH(" "&amp;DT2103:DT2142&amp;" ",SUBSTITUTE(SUBSTITUTE(BC17," "&amp;DT1376&amp;" "," ")," "&amp;DT1375&amp;" "," "))))+--ISNUMBER(SEARCH("poiré",AX17))),"")</f>
        <v>0</v>
      </c>
      <c r="DE17" s="493" t="str">
        <f>IF(8=8,IF(AW17="","",IF(OR(DC17&gt;0,ISNUMBER(SEARCH(" vinaigre de vin ",BC17)),ISNUMBER(SEARCH(" vinaigre au vin ",BC17))),"X",IF(DD17&gt;0,"?",""))),"")</f>
        <v/>
      </c>
      <c r="DF17" s="493" cm="1">
        <f t="array" ref="DF17">IF(8=8,IF(AW17="","",SUMPRODUCT(--ISNUMBER(SEARCH(" "&amp;DT2143:DT2155&amp;" ",BC17)))),"")</f>
        <v>0</v>
      </c>
      <c r="DG17" s="493" cm="1">
        <f t="array" ref="DG17">IF(8=8,IF(AW17="","",SUMPRODUCT(--ISNUMBER(SEARCH(" "&amp;DT2156:DT2161&amp;" ",BC17)))),"")</f>
        <v>0</v>
      </c>
      <c r="DH17" s="493" t="str">
        <f>IF(8=8,IF(AW17="","",IF((DF17)-(0)&gt;0,"X",IF((DG17)-(0)&gt;0,"?",""))),"")</f>
        <v/>
      </c>
      <c r="DI17" s="493" cm="1">
        <f t="array" ref="DI17">IF(8=8,IF(AW17="","",SUMPRODUCT(--ISNUMBER(SEARCH(" "&amp;DT2162:DT2261&amp;" ",DL17)))),"")</f>
        <v>0</v>
      </c>
      <c r="DJ17" s="493" cm="1">
        <f t="array" ref="DJ17">IF(8=8,IF(AW17="","",SUMPRODUCT(--ISNUMBER(SEARCH(" "&amp;DT2262:DT2361&amp;" ",DL17)))),"")</f>
        <v>0</v>
      </c>
      <c r="DK17" s="493" cm="1">
        <f t="array" ref="DK17">IF(8=8,IF(AW17="","",SUMPRODUCT(--ISNUMBER(SEARCH(" "&amp;DT2362:DT2404&amp;" ",DL17)))),"")</f>
        <v>0</v>
      </c>
      <c r="DL17" s="493" t="str">
        <f>IF(8=8,IF(AW17="","",SUBSTITUTE(SUBSTITUTE(SUBSTITUTE(SUBSTITUTE(SUBSTITUTE(SUBSTITUTE(SUBSTITUTE(SUBSTITUTE(SUBSTITUTE(SUBSTITUTE(SUBSTITUTE(SUBSTITUTE(SUBSTITUTE(SUBSTITUTE(SUBSTITUTE(SUBSTITUTE(BC17," "&amp;DT2410&amp;" "," ")," "&amp;DT2409&amp;" "," ")," "&amp;DT2408&amp;" "," ")," "&amp;DT2415&amp;" "," ")," "&amp;DT2407&amp;" "," ")," "&amp;DT2419&amp;" "," ")," "&amp;DT2406&amp;" "," ")," "&amp;DT2411&amp;" "," ")," "&amp;DT2414&amp;" "," ")," "&amp;DT2405&amp;" "," ")," "&amp;DT2413&amp;" "," ")," "&amp;DT2420&amp;" "," ")," "&amp;DT2417&amp;" "," ")," "&amp;DT2412&amp;" "," ")," "&amp;DT2416&amp;" "," ")," "&amp;DT2418&amp;" "," ")),"")</f>
        <v xml:space="preserve"> fromage blanc 20 mg </v>
      </c>
      <c r="DM17" s="493" cm="1">
        <f t="array" ref="DM17">IF(8=8,IF(AW17="","",SUMPRODUCT(--ISNUMBER(SEARCH(" "&amp;DT2421:DT2425&amp;" ",DL17)))),"")</f>
        <v>0</v>
      </c>
      <c r="DN17" s="493" t="str">
        <f>IF(8=8,IF(AW17="","",IF(SUM(DI17:DK17)&gt;0,"X",IF(DM17&gt;0,"?",""))),"")</f>
        <v/>
      </c>
      <c r="DO17" s="494"/>
      <c r="DP17" s="496" t="s">
        <v>1157</v>
      </c>
      <c r="DQ17" s="496" t="s">
        <v>1083</v>
      </c>
      <c r="DR17" s="496" t="s">
        <v>689</v>
      </c>
      <c r="DS17" s="496" t="s">
        <v>1158</v>
      </c>
      <c r="DT17" s="496" t="s">
        <v>1159</v>
      </c>
      <c r="DU17" s="496" t="s">
        <v>1085</v>
      </c>
      <c r="DV17" s="496" t="s">
        <v>1086</v>
      </c>
      <c r="DW17" s="496" t="s">
        <v>1087</v>
      </c>
      <c r="DX17" s="497" t="s">
        <v>1088</v>
      </c>
      <c r="DZ17" s="543">
        <v>1</v>
      </c>
      <c r="EB17" s="493"/>
      <c r="EC17" s="493"/>
    </row>
    <row r="18" spans="1:133" ht="21" customHeight="1">
      <c r="B18" s="715" t="s">
        <v>732</v>
      </c>
      <c r="C18" s="17"/>
      <c r="D18" s="17"/>
      <c r="E18" s="818" t="str">
        <f t="shared" ref="E18:E25" si="4">IF(Q18&lt;&gt;"","A","►")</f>
        <v>A</v>
      </c>
      <c r="F18" s="724" t="str">
        <f>F12</f>
        <v>M MACÉDOINE DE LÉGUMES AU COULIS DE TOMATE | HORS D'ŒUVRE texture modifiée-cuidité-MACEDOINE| Auteur &gt; Annette et Jean Pierre DOMERGUES - 45000 ORLÉANS 1981</v>
      </c>
      <c r="G18" s="725">
        <f>G12</f>
        <v>10</v>
      </c>
      <c r="H18" s="724" t="str">
        <f>H12</f>
        <v>couverts</v>
      </c>
      <c r="I18" s="726" t="str">
        <f>I12</f>
        <v>Recette mère ►  Textures modifiées</v>
      </c>
      <c r="J18" s="791"/>
      <c r="K18" s="809"/>
      <c r="L18" s="793" t="str">
        <f t="shared" si="1"/>
        <v/>
      </c>
      <c r="M18" s="794">
        <v>300</v>
      </c>
      <c r="N18" s="810" t="s">
        <v>790</v>
      </c>
      <c r="O18" s="796">
        <v>1</v>
      </c>
      <c r="P18" s="811" t="str">
        <f>ROWS(P16:P18)&amp;" ►"</f>
        <v>3 ►</v>
      </c>
      <c r="Q18" s="798" t="s">
        <v>267</v>
      </c>
      <c r="R18" s="799" t="s">
        <v>789</v>
      </c>
      <c r="S18" s="800">
        <f>IF(U28=0,0,(U18/U28)*T15*1000)</f>
        <v>196.46365422396858</v>
      </c>
      <c r="T18" s="813">
        <f>IF(U28=0, 0, (J18*O18)/(U28*T15))</f>
        <v>0</v>
      </c>
      <c r="U18" s="802">
        <f t="array" ref="U18">IFERROR(_xlfn.XLOOKUP(UPPER(TRIM(N18)),UPPER(TRIM(J29:Y29)),J30:Y30,_xlfn.XLOOKUP(UPPER(TRIM(N18)),UPPER(TRIM(J31:Y31)),J32:Y32,0))*M18*IF(J18&gt;0,J18,1),0)</f>
        <v>0.3</v>
      </c>
      <c r="V18" s="819">
        <f>IF(X11&lt;&gt;0,J18*O18*O11,0)</f>
        <v>0</v>
      </c>
      <c r="W18" s="820">
        <f t="shared" si="2"/>
        <v>0</v>
      </c>
      <c r="X18" s="805">
        <f>IF(OR(ISBLANK(X11),X11=0),0,U18*O18*O11)</f>
        <v>0.15</v>
      </c>
      <c r="Y18" s="821" t="str">
        <f>IF(N18="","",IF(COUNTIF(Q29:Y29,SUBSTITUTE(TRIM(N18)," (s)",""))+COUNTIF(Q31:Y31,SUBSTITUTE(TRIM(N18)," (s)",""))&gt;0,IF(ROUND(X18,3)&gt;=1,ROUND(X18,3)&amp;" L",MAX(1,ROUND(X18*100,0))&amp;" cl"),IF(COUNTIF(J29:O29,SUBSTITUTE(TRIM(N18)," (s)",""))+COUNTIF(J31:O31,SUBSTITUTE(TRIM(N18)," (s)",""))&gt;0,IF(ROUND(X18,3)&gt;=1,ROUND(X18,3)&amp;" Kg",MAX(1,ROUND(X18*1000,0))&amp;" g"),"")))</f>
        <v>150 g</v>
      </c>
      <c r="Z18" s="732"/>
      <c r="AA18" s="744" t="s">
        <v>6500</v>
      </c>
      <c r="AC18" s="509">
        <v>3</v>
      </c>
      <c r="AD18" s="808" t="s">
        <v>267</v>
      </c>
      <c r="AE18" s="679" t="str">
        <f t="shared" si="3"/>
        <v>tomates</v>
      </c>
      <c r="AF18" s="512" t="str">
        <f>IF(9=9,IF(AD18="","",IF(AG18="X",""&amp;"Céréales contenant du gluten","")&amp;IF(AH18="X",IF(COUNTIF(AG18:AG18,"X")&gt;0,", ","")&amp;"Crustacés","")&amp;IF(AI18="X",IF(COUNTIF(AG18:AH18,"X")&gt;0,", ","")&amp;"Œufs","")&amp;IF(AJ18="X",IF(COUNTIF(AG18:AI18,"X")&gt;0,", ","")&amp;"Poissons","")&amp;IF(AK18="X",IF(COUNTIF(AG18:AJ18,"X")&gt;0,", ","")&amp;"Arachides","")&amp;IF(AL18="X",IF(COUNTIF(AG18:AK18,"X")&gt;0,", ","")&amp;"Soja","")&amp;IF(AM18="X",IF(COUNTIF(AG18:AL18,"X")&gt;0,", ","")&amp;"Lait","")&amp;IF(AN18="X",IF(COUNTIF(AG18:AM18,"X")&gt;0,", ","")&amp;"Fruits à coque","")&amp;IF(AO18="X",IF(COUNTIF(AG18:AN18,"X")&gt;0,", ","")&amp;"Céleri","")&amp;IF(AP18="X",IF(COUNTIF(AG18:AO18,"X")&gt;0,", ","")&amp;"Moutarde","")&amp;IF(AQ18="X",IF(COUNTIF(AG18:AP18,"X")&gt;0,", ","")&amp;"Sésame","")&amp;IF(AR18="X",IF(COUNTIF(AG18:AQ18,"X")&gt;0,", ","")&amp;"Sulfites","")&amp;IF(AS18="X",IF(COUNTIF(AG18:AR18,"X")&gt;0,", ","")&amp;"Lupin","")&amp;IF(AT18="X",IF(COUNTIF(AG18:AS18,"X")&gt;0,", ","")&amp;"Mollusques","")),"")</f>
        <v/>
      </c>
      <c r="AG18" s="513" t="str">
        <f>IF(9=9,IF(AD18="","",BH18),"")</f>
        <v/>
      </c>
      <c r="AH18" s="513" t="str">
        <f>IF(9=9,IF(AD18="","",BK18),"")</f>
        <v/>
      </c>
      <c r="AI18" s="513" t="str">
        <f>IF(9=9,IF(AD18="","",BO18),"")</f>
        <v/>
      </c>
      <c r="AJ18" s="513" t="str">
        <f>IF(9=9,IF(AD18="","",IF(ISNUMBER(SEARCH(" colin ",BC18)),"X",CB18)),"")</f>
        <v/>
      </c>
      <c r="AK18" s="513" t="str">
        <f>IF(9=9,IF(AD18="","",CD18),"")</f>
        <v/>
      </c>
      <c r="AL18" s="513" t="str">
        <f>IF(9=9,IF(AD18="","",CH18),"")</f>
        <v/>
      </c>
      <c r="AM18" s="513" t="str">
        <f>IF(9=9,IF(AD18="","",CO18),"")</f>
        <v/>
      </c>
      <c r="AN18" s="513" t="str">
        <f>IF(9=9,IF(AD18="","",CS18),"")</f>
        <v/>
      </c>
      <c r="AO18" s="513" t="str">
        <f>IF(9=9,IF(AD18="","",CV18),"")</f>
        <v/>
      </c>
      <c r="AP18" s="513" t="str">
        <f>IF(9=9,IF(AD18="","",CY18),"")</f>
        <v/>
      </c>
      <c r="AQ18" s="513" t="str">
        <f>IF(9=9,IF(AD18="","",DB18),"")</f>
        <v/>
      </c>
      <c r="AR18" s="513" t="str">
        <f>IF(9=9,IF(AD18="","",DE18),"")</f>
        <v/>
      </c>
      <c r="AS18" s="513" t="str">
        <f>IF(9=9,IF(AD18="","",DH18),"")</f>
        <v/>
      </c>
      <c r="AT18" s="513" t="str">
        <f>IF(9=9,IF(AD18="","",DN18),"")</f>
        <v/>
      </c>
      <c r="AU18" s="514" t="str">
        <f>IF(9=9,IF(AD18="","",IF(AG18="?",""&amp;"Céréales contenant du gluten","")&amp;IF(AH18="?",IF(COUNTIF(AG18:AG18,"~?")&gt;0,", ","")&amp;"Crustacés","")&amp;IF(AI18="?",IF(COUNTIF(AG18:AH18,"~?")&gt;0,", ","")&amp;"Œufs","")&amp;IF(AJ18="?",IF(COUNTIF(AG18:AI18,"~?")&gt;0,", ","")&amp;"Poissons","")&amp;IF(AK18="?",IF(COUNTIF(AG18:AJ18,"~?")&gt;0,", ","")&amp;"Arachides","")&amp;IF(AL18="?",IF(COUNTIF(AG18:AK18,"~?")&gt;0,", ","")&amp;"Soja","")&amp;IF(AM18="?",IF(COUNTIF(AG18:AL18,"~?")&gt;0,", ","")&amp;"Lait","")&amp;IF(AN18="?",IF(COUNTIF(AG18:AM18,"~?")&gt;0,", ","")&amp;"Fruits à coque","")&amp;IF(AO18="?",IF(COUNTIF(AG18:AN18,"~?")&gt;0,", ","")&amp;"Céleri","")&amp;IF(AP18="?",IF(COUNTIF(AG18:AO18,"~?")&gt;0,", ","")&amp;"Moutarde","")&amp;IF(AQ18="?",IF(COUNTIF(AG18:AP18,"~?")&gt;0,", ","")&amp;"Sésame","")&amp;IF(AR18="?",IF(COUNTIF(AG18:AQ18,"~?")&gt;0,", ","")&amp;"Sulfites","")&amp;IF(AS18="?",IF(COUNTIF(AG18:AR18,"~?")&gt;0,", ","")&amp;"Lupin","")&amp;IF(AT18="?",IF(COUNTIF(AG18:AS18,"~?")&gt;0,", ","")&amp;"Mollusques","")),"")</f>
        <v/>
      </c>
      <c r="AW18" s="493" t="str">
        <f>IF(9=9,IF(AD18="","",AD18),"")</f>
        <v>tomates</v>
      </c>
      <c r="AX18" s="493" t="str">
        <f>IF(9=9,LOWER(CLEAN(SUBSTITUTE(SUBSTITUTE(SUBSTITUTE(SUBSTITUTE(AW18,CHAR(160)," ")," "," "),CHAR(10)," "),CHAR(13)," "))),"")</f>
        <v>tomates</v>
      </c>
      <c r="AY18" s="493" t="str">
        <f>IF(9=9,SUBSTITUTE(SUBSTITUTE(SUBSTITUTE(SUBSTITUTE(SUBSTITUTE(SUBSTITUTE(SUBSTITUTE(SUBSTITUTE(SUBSTITUTE(SUBSTITUTE(SUBSTITUTE(SUBSTITUTE(AX18,"œ","oe"),"æ","ae"),"à","a"),"á","a"),"â","a"),"ä","a"),"ã","a"),"ç","c"),"è","e"),"é","e"),"ê","e"),"ë","e"),"")</f>
        <v>tomates</v>
      </c>
      <c r="AZ18" s="493" t="str">
        <f>IF(9=9,SUBSTITUTE(SUBSTITUTE(SUBSTITUTE(SUBSTITUTE(SUBSTITUTE(SUBSTITUTE(SUBSTITUTE(SUBSTITUTE(SUBSTITUTE(SUBSTITUTE(SUBSTITUTE(SUBSTITUTE(SUBSTITUTE(SUBSTITUTE(SUBSTITUTE(SUBSTITUTE(AY18,"ì","i"),"í","i"),"î","i"),"ï","i"),"ñ","n"),"ò","o"),"ó","o"),"ô","o"),"ö","o"),"õ","o"),"ù","u"),"ú","u"),"û","u"),"ü","u"),"ý","y"),"ÿ","y"),"")</f>
        <v>tomates</v>
      </c>
      <c r="BA18" s="493" t="str">
        <f>IF(9=9,SUBSTITUTE(SUBSTITUTE(SUBSTITUTE(SUBSTITUTE(SUBSTITUTE(SUBSTITUTE(SUBSTITUTE(SUBSTITUTE(SUBSTITUTE(SUBSTITUTE(SUBSTITUTE(SUBSTITUTE(SUBSTITUTE(SUBSTITUTE(AZ18,"’"," "),"`"," "),"–"," "),"—"," "),"-"," "),"'"," "),"/"," "),"_"," "),","," "),"."," "),"("," "),")"," "),";"," "),":"," "),"")</f>
        <v>tomates</v>
      </c>
      <c r="BB18" s="493" t="str">
        <f>IF(9=9,SUBSTITUTE(SUBSTITUTE(SUBSTITUTE(SUBSTITUTE(SUBSTITUTE(SUBSTITUTE(SUBSTITUTE(SUBSTITUTE(SUBSTITUTE(SUBSTITUTE(SUBSTITUTE(SUBSTITUTE(SUBSTITUTE(SUBSTITUTE(SUBSTITUTE(BA18,"!"," "),"?"," "),"+"," "),"*"," "),"&amp;"," "),"["," "),"]"," "),"{"," "),"}"," "),"%"," "),"="," "),"\"," "),"|"," "),"&lt;"," "),"&gt;"," "),"")</f>
        <v>tomates</v>
      </c>
      <c r="BC18" s="493" t="str">
        <f>IF(9=9," "&amp;TRIM(SUBSTITUTE(SUBSTITUTE(SUBSTITUTE(SUBSTITUTE(SUBSTITUTE(SUBSTITUTE(BB18,CHAR(34)," "),"  "," "),"  "," "),"  "," "),"  "," "),"  "," "))&amp;" ","")</f>
        <v xml:space="preserve"> tomates </v>
      </c>
      <c r="BD18" s="493" cm="1">
        <f t="array" ref="BD18">IF(9=9,IF(AW18="","",SUMPRODUCT(--ISNUMBER(SEARCH(" "&amp;DT11:DT110&amp;" ",BF18)))),"")</f>
        <v>0</v>
      </c>
      <c r="BE18" s="493" cm="1">
        <f t="array" ref="BE18">IF(9=9,IF(AW18="","",SUMPRODUCT(--ISNUMBER(SEARCH(" "&amp;DT111:DT160&amp;" ",BF18)))),"")</f>
        <v>0</v>
      </c>
      <c r="BF18" s="493" t="str">
        <f>IF(AW18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18,"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xml:space="preserve"> tomates </v>
      </c>
      <c r="BG18" s="493" cm="1">
        <f t="array" ref="BG18">IF(AW18="","",SUMPRODUCT(--ISNUMBER(SEARCH(" "&amp;DT193:DT214&amp;" ",BF18)))+--ISNUMBER(SEARCH(" "&amp;DT2463&amp;" ",BF18)))</f>
        <v>0</v>
      </c>
      <c r="BH18" s="493" t="str" cm="1">
        <f t="array" ref="BH18">IF(9=9,IF(AW18="","",IF(SUM(BD18:BE18)+SUMPRODUCT(--ISNUMBER(SEARCH(" "&amp;DT2427:DT2429&amp;" ",BF18)))&gt;0,"X",IF(BG18&gt;0,"?",""))),"")</f>
        <v/>
      </c>
      <c r="BI18" s="493" cm="1">
        <f t="array" ref="BI18">IF(9=9,IF(AW18="","",SUMPRODUCT(--ISNUMBER(SEARCH(" "&amp;DT215:DT314&amp;" ",BC18)))),"")</f>
        <v>0</v>
      </c>
      <c r="BJ18" s="493" cm="1">
        <f t="array" ref="BJ18">IF(9=9,IF(AW18="","",SUMPRODUCT(--ISNUMBER(SEARCH(" "&amp;DT315:DT349&amp;" ",BC18)))),"")</f>
        <v>0</v>
      </c>
      <c r="BK18" s="493" t="str">
        <f>IF(9=9,IF(AW18="","",IF((SUM(BI18:BJ18))-(0)&gt;0,"X",IF((0)-(0)&gt;0,"?",""))),"")</f>
        <v/>
      </c>
      <c r="BL18" s="493" cm="1">
        <f t="array" ref="BL18">IF(9=9,IF(AW18="","",SUMPRODUCT(--ISNUMBER(SEARCH(" "&amp;DT350:DT407&amp;" ",BC18)))),"")</f>
        <v>0</v>
      </c>
      <c r="BM18" s="493" cm="1">
        <f t="array" ref="BM18">IF(9=9,IF(AW18="","",SUMPRODUCT(--ISNUMBER(SEARCH(" "&amp;DT408:DT435&amp;" ",BN18)))+SUMPRODUCT(--ISNUMBER(SEARCH(" "&amp;DT2449:DT2462&amp;" ",BN18)))),"")</f>
        <v>0</v>
      </c>
      <c r="BN18" s="493" t="str">
        <f>IF(9=9,IF(AW18="","",SUBSTITUTE(SUBSTITUTE(SUBSTITUTE(SUBSTITUTE(SUBSTITUTE(SUBSTITUTE(SUBSTITUTE(SUBSTITUTE(SUBSTITUTE(SUBSTITUTE(SUBSTITUTE(SUBSTITUTE(SUBSTITUTE(SUBSTITUTE(BC18," "&amp;DT2464&amp;" "," ")," "&amp;DT442&amp;" "," ")," "&amp;DT440&amp;" "," ")," "&amp;DT2447&amp;" "," ")," "&amp;DT2448&amp;" "," ")," "&amp;DT437&amp;" "," ")," "&amp;DT441&amp;" "," ")," "&amp;DT443&amp;" "," ")," "&amp;DT438&amp;" "," ")," "&amp;DT436&amp;" "," ")," "&amp;DT1376&amp;" "," ")," "&amp;DT444&amp;" "," ")," "&amp;DT1375&amp;" "," ")," "&amp;DT439&amp;" "," ")),"")</f>
        <v xml:space="preserve"> tomates </v>
      </c>
      <c r="BO18" s="493" t="str">
        <f>IF(9=9,IF(AW18="","",IF(BL18&gt;0,"X",IF(BM18&gt;0,"?",""))),"")</f>
        <v/>
      </c>
      <c r="BP18" s="493" cm="1">
        <f t="array" ref="BP18">IF(9=9,IF(AW18="","",SUMPRODUCT(--ISNUMBER(SEARCH(" "&amp;DT445:DT544&amp;" ",BZ18)))),"")</f>
        <v>0</v>
      </c>
      <c r="BQ18" s="493" cm="1">
        <f t="array" ref="BQ18">IF(9=9,IF(AW18="","",SUMPRODUCT(--ISNUMBER(SEARCH(" "&amp;DT545:DT644&amp;" ",BZ18)))),"")</f>
        <v>0</v>
      </c>
      <c r="BR18" s="493" cm="1">
        <f t="array" ref="BR18">IF(9=9,IF(AW18="","",SUMPRODUCT(--ISNUMBER(SEARCH(" "&amp;DT645:DT744&amp;" ",BZ18)))),"")</f>
        <v>0</v>
      </c>
      <c r="BS18" s="493" cm="1">
        <f t="array" ref="BS18">IF(9=9,IF(AW18="","",SUMPRODUCT(--ISNUMBER(SEARCH(" "&amp;DT745:DT844&amp;" ",BZ18)))),"")</f>
        <v>0</v>
      </c>
      <c r="BT18" s="493" cm="1">
        <f t="array" ref="BT18">IF(9=9,IF(AW18="","",SUMPRODUCT(--ISNUMBER(SEARCH(" "&amp;DT845:DT944&amp;" ",BZ18)))),"")</f>
        <v>0</v>
      </c>
      <c r="BU18" s="493" cm="1">
        <f t="array" ref="BU18">IF(9=9,IF(AW18="","",SUMPRODUCT(--ISNUMBER(SEARCH(" "&amp;DT945:DT1044&amp;" ",BZ18)))),"")</f>
        <v>0</v>
      </c>
      <c r="BV18" s="493" cm="1">
        <f t="array" ref="BV18">IF(9=9,IF(AW18="","",SUMPRODUCT(--ISNUMBER(SEARCH(" "&amp;DT1045:DT1144&amp;" ",BZ18)))),"")</f>
        <v>0</v>
      </c>
      <c r="BW18" s="493" cm="1">
        <f t="array" ref="BW18">IF(9=9,IF(AW18="","",SUMPRODUCT(--ISNUMBER(SEARCH(" "&amp;DT1145:DT1244&amp;" ",BZ18)))),"")</f>
        <v>0</v>
      </c>
      <c r="BX18" s="493" cm="1">
        <f t="array" ref="BX18">IF(9=9,IF(AW18="","",SUMPRODUCT(--ISNUMBER(SEARCH(" "&amp;DT1245:DT1344&amp;" ",BZ18)))),"")</f>
        <v>0</v>
      </c>
      <c r="BY18" s="493" cm="1">
        <f t="array" ref="BY18">IF(9=9,IF(AW18="","",SUMPRODUCT(--ISNUMBER(SEARCH(" "&amp;DT1345:DT1372&amp;" ",BZ18)))),"")</f>
        <v>0</v>
      </c>
      <c r="BZ18" s="493" t="str">
        <f>IF(9=9,IF(AW18="","",SUBSTITUTE(SUBSTITUTE(SUBSTITUTE(SUBSTITUTE(SUBSTITUTE(SUBSTITUTE(SUBSTITUTE(SUBSTITUTE(SUBSTITUTE(BC18," "&amp;DT1374&amp;" "," ")," "&amp;DT1373&amp;" "," ")," "&amp;DT1379&amp;" "," ")," "&amp;DT1380&amp;" "," ")," "&amp;DT1376&amp;" "," ")," "&amp;DT1378&amp;" "," ")," "&amp;DT1375&amp;" "," ")," "&amp;DT1377&amp;" "," ")," "&amp;DT1381&amp;" "," ")),"")</f>
        <v xml:space="preserve"> tomates </v>
      </c>
      <c r="CA18" s="493" cm="1">
        <f t="array" ref="CA18">IF(9=9,IF(AW18="","",SUMPRODUCT(--ISNUMBER(SEARCH(" "&amp;DT1382:DT1392&amp;" ",BZ18)))),"")</f>
        <v>0</v>
      </c>
      <c r="CB18" s="493" t="str" cm="1">
        <f t="array" ref="CB18">IF(9=9,IF(AW18="","",IF(SUM(BP18:BY18)+SUMPRODUCT(--ISNUMBER(SEARCH(" "&amp;DT2430:DT2431&amp;" ",BZ18)))&gt;0,"X",IF(CA18&gt;0,"?",""))),"")</f>
        <v/>
      </c>
      <c r="CC18" s="493" cm="1">
        <f t="array" ref="CC18">IF(9=9,IF(AW18="","",SUMPRODUCT(--ISNUMBER(SEARCH(" "&amp;DT1393:DT1413&amp;" ",BC18)))),"")</f>
        <v>0</v>
      </c>
      <c r="CD18" s="493" t="str">
        <f>IF(9=9,IF(AW18="","",IF((CC18)-(0)&gt;0,"X",IF((0)-(0)&gt;0,"?",""))),"")</f>
        <v/>
      </c>
      <c r="CE18" s="493" cm="1">
        <f t="array" ref="CE18">IF(9=9,IF(AW18="","",SUMPRODUCT(--ISNUMBER(SEARCH(" "&amp;DT1414:DT1451&amp;" ",CF18)))),"")</f>
        <v>0</v>
      </c>
      <c r="CF18" s="493" t="str">
        <f>IF(9=9,IF(AW18="","",SUBSTITUTE(SUBSTITUTE(BC18," "&amp;DT1452&amp;" "," ")," "&amp;DT1453&amp;" "," ")),"")</f>
        <v xml:space="preserve"> tomates </v>
      </c>
      <c r="CG18" s="493" cm="1">
        <f t="array" ref="CG18">IF(9=9,IF(AW18="","",SUMPRODUCT(--ISNUMBER(SEARCH(" "&amp;DT1454:DT1464&amp;" ",CF18)))),"")</f>
        <v>0</v>
      </c>
      <c r="CH18" s="493" t="str">
        <f>IF(9=9,IF(AW18="","",IF(CE18&gt;0,"X",IF(CG18&gt;0,"?",""))),"")</f>
        <v/>
      </c>
      <c r="CI18" s="493" cm="1">
        <f t="array" ref="CI18">IF(9=9,IF(AW18="","",SUMPRODUCT(--ISNUMBER(SEARCH(" "&amp;DT1465:DT1564&amp;" ",CL18)))),"")</f>
        <v>0</v>
      </c>
      <c r="CJ18" s="493" cm="1">
        <f t="array" ref="CJ18">IF(9=9,IF(AW18="","",SUMPRODUCT(--ISNUMBER(SEARCH(" "&amp;DT1565:DT1664&amp;" ",CL18)))),"")</f>
        <v>0</v>
      </c>
      <c r="CK18" s="493" cm="1">
        <f t="array" ref="CK18">IF(9=9,IF(AW18="","",SUMPRODUCT(--ISNUMBER(SEARCH(" "&amp;DT1665:DT1748&amp;" ",CL18)))),"")</f>
        <v>0</v>
      </c>
      <c r="CL18" s="493" t="str">
        <f>IF(9=9,IF(AW18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18,"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xml:space="preserve"> tomates </v>
      </c>
      <c r="CM18" s="493" cm="1">
        <f t="array" ref="CM18">IF(9=9,IF(AW18="","",SUMPRODUCT(--ISNUMBER(SEARCH(" "&amp;DT1799:DT1878&amp;" ",CN18)))+SUMPRODUCT(--ISNUMBER(SEARCH(" "&amp;DT2449:DT2462&amp;" ",CN18)))),"")</f>
        <v>0</v>
      </c>
      <c r="CN18" s="493" t="str">
        <f>IF(9=9,IF(AW18="","",SUBSTITUTE(SUBSTITUTE(SUBSTITUTE(SUBSTITUTE(SUBSTITUTE(SUBSTITUTE(SUBSTITUTE(SUBSTITUTE(SUBSTITUTE(SUBSTITUTE(SUBSTITUTE(SUBSTITUTE(SUBSTITUTE(CL18," "&amp;DT1885&amp;" "," ")," "&amp;DT1883&amp;" "," ")," "&amp;DT2447&amp;" "," ")," "&amp;DT2448&amp;" "," ")," "&amp;DT1880&amp;" "," ")," "&amp;DT1884&amp;" "," ")," "&amp;DT1886&amp;" "," ")," "&amp;DT1881&amp;" "," ")," "&amp;DT1879&amp;" "," ")," "&amp;DT1376&amp;" "," ")," "&amp;DT1887&amp;" "," ")," "&amp;DT1375&amp;" "," ")," "&amp;DT1882&amp;" "," ")),"")</f>
        <v xml:space="preserve"> tomates </v>
      </c>
      <c r="CO18" s="493" t="str" cm="1">
        <f t="array" ref="CO18">IF(9=9,IF(AW18="","",IF(SUM(CI18:CK18)+SUMPRODUCT(--ISNUMBER(SEARCH(" "&amp;DT2432:DT2433&amp;" ",CL18)))&gt;0,"X",IF(CM18&gt;0,"?",""))),"")</f>
        <v/>
      </c>
      <c r="CP18" s="493" cm="1">
        <f t="array" ref="CP18">IF(9=9,IF(AW18="","",SUMPRODUCT(--ISNUMBER(SEARCH(" "&amp;DT1888:DT1945&amp;" ",CQ18)))),"")</f>
        <v>0</v>
      </c>
      <c r="CQ18" s="493" t="str">
        <f>IF(9=9,IF(AW18="","",SUBSTITUTE(SUBSTITUTE(SUBSTITUTE(SUBSTITUTE(SUBSTITUTE(SUBSTITUTE(SUBSTITUTE(SUBSTITUTE(SUBSTITUTE(SUBSTITUTE(SUBSTITUTE(SUBSTITUTE(SUBSTITUTE(SUBSTITUTE(SUBSTITUTE(SUBSTITUTE(SUBSTITUTE(SUBSTITUTE(SUBSTITUTE(SUBSTITUTE(SUBSTITUTE(SUBSTITUTE(SUBSTITUTE(BC18,"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xml:space="preserve"> tomates </v>
      </c>
      <c r="CR18" s="493" cm="1">
        <f t="array" ref="CR18">IF(9=9,IF(AW18="","",SUMPRODUCT(--ISNUMBER(SEARCH(" "&amp;DT1969:DT1985&amp;" ",CQ18)))),"")</f>
        <v>0</v>
      </c>
      <c r="CS18" s="493" t="str">
        <f>IF(9=9,IF(AW18="","",IF(CP18&gt;0,"X",IF(CR18&gt;0,"?",""))),"")</f>
        <v/>
      </c>
      <c r="CT18" s="493" cm="1">
        <f t="array" ref="CT18">IF(9=9,IF(AW18="","",SUMPRODUCT(--ISNUMBER(SEARCH(" "&amp;DT1986:DT1999&amp;" ",BC18)))),"")</f>
        <v>0</v>
      </c>
      <c r="CU18" s="493" cm="1">
        <f t="array" ref="CU18">IF(9=9,IF(AW18="","",SUMPRODUCT(--ISNUMBER(SEARCH(" "&amp;DT2000:DT2014&amp;" ",BC18)))),"")</f>
        <v>0</v>
      </c>
      <c r="CV18" s="493" t="str">
        <f>IF(9=9,IF(AW18="","",IF((CT18)-(0)&gt;0,"X",IF((CU18)-(0)&gt;0,"?",""))),"")</f>
        <v/>
      </c>
      <c r="CW18" s="493" cm="1">
        <f t="array" ref="CW18">IF(9=9,IF(AW18="","",SUMPRODUCT(--ISNUMBER(SEARCH(" "&amp;DT2015:DT2032&amp;" ",BC18)))),"")</f>
        <v>0</v>
      </c>
      <c r="CX18" s="493" cm="1">
        <f t="array" ref="CX18">IF(9=9,IF(AW18="","",SUMPRODUCT(--ISNUMBER(SEARCH(" "&amp;DT2033:DT2047&amp;" ",BC18)))),"")</f>
        <v>0</v>
      </c>
      <c r="CY18" s="493" t="str">
        <f>IF(9=9,IF(AW18="","",IF((CW18)-(0)&gt;0,"X",IF((CX18)-(0)&gt;0,"?",""))),"")</f>
        <v/>
      </c>
      <c r="CZ18" s="493" cm="1">
        <f t="array" ref="CZ18">IF(9=9,IF(AW18="","",SUMPRODUCT(--ISNUMBER(SEARCH(" "&amp;DT2048:DT2066&amp;" ",BC18)))),"")</f>
        <v>0</v>
      </c>
      <c r="DA18" s="493" cm="1">
        <f t="array" ref="DA18">IF(9=9,IF(AW18="","",SUMPRODUCT(--ISNUMBER(SEARCH(" "&amp;DT2067:DT2081&amp;" ",BC18)))),"")</f>
        <v>0</v>
      </c>
      <c r="DB18" s="493" t="str">
        <f>IF(9=9,IF(AW18="","",IF((CZ18)-(0)&gt;0,"X",IF((DA18)-(0)&gt;0,"?",""))),"")</f>
        <v/>
      </c>
      <c r="DC18" s="493" cm="1">
        <f t="array" ref="DC18">IF(9=9,IF(AW18="","",SUMPRODUCT(--ISNUMBER(SEARCH(" "&amp;DT2082:DT2102&amp;" ",BC18)))),"")</f>
        <v>0</v>
      </c>
      <c r="DD18" s="493" cm="1">
        <f t="array" ref="DD18">IF(9=9,IF(AW18="","",SUMPRODUCT(--ISNUMBER(SEARCH(" "&amp;DT2103:DT2142&amp;" ",SUBSTITUTE(SUBSTITUTE(BC18," "&amp;DT1376&amp;" "," ")," "&amp;DT1375&amp;" "," "))))+--ISNUMBER(SEARCH("poiré",AX18))),"")</f>
        <v>0</v>
      </c>
      <c r="DE18" s="493" t="str">
        <f>IF(9=9,IF(AW18="","",IF(OR(DC18&gt;0,ISNUMBER(SEARCH(" vinaigre de vin ",BC18)),ISNUMBER(SEARCH(" vinaigre au vin ",BC18))),"X",IF(DD18&gt;0,"?",""))),"")</f>
        <v/>
      </c>
      <c r="DF18" s="493" cm="1">
        <f t="array" ref="DF18">IF(9=9,IF(AW18="","",SUMPRODUCT(--ISNUMBER(SEARCH(" "&amp;DT2143:DT2155&amp;" ",BC18)))),"")</f>
        <v>0</v>
      </c>
      <c r="DG18" s="493" cm="1">
        <f t="array" ref="DG18">IF(9=9,IF(AW18="","",SUMPRODUCT(--ISNUMBER(SEARCH(" "&amp;DT2156:DT2161&amp;" ",BC18)))),"")</f>
        <v>0</v>
      </c>
      <c r="DH18" s="493" t="str">
        <f>IF(9=9,IF(AW18="","",IF((DF18)-(0)&gt;0,"X",IF((DG18)-(0)&gt;0,"?",""))),"")</f>
        <v/>
      </c>
      <c r="DI18" s="493" cm="1">
        <f t="array" ref="DI18">IF(9=9,IF(AW18="","",SUMPRODUCT(--ISNUMBER(SEARCH(" "&amp;DT2162:DT2261&amp;" ",DL18)))),"")</f>
        <v>0</v>
      </c>
      <c r="DJ18" s="493" cm="1">
        <f t="array" ref="DJ18">IF(9=9,IF(AW18="","",SUMPRODUCT(--ISNUMBER(SEARCH(" "&amp;DT2262:DT2361&amp;" ",DL18)))),"")</f>
        <v>0</v>
      </c>
      <c r="DK18" s="493" cm="1">
        <f t="array" ref="DK18">IF(9=9,IF(AW18="","",SUMPRODUCT(--ISNUMBER(SEARCH(" "&amp;DT2362:DT2404&amp;" ",DL18)))),"")</f>
        <v>0</v>
      </c>
      <c r="DL18" s="493" t="str">
        <f>IF(9=9,IF(AW18="","",SUBSTITUTE(SUBSTITUTE(SUBSTITUTE(SUBSTITUTE(SUBSTITUTE(SUBSTITUTE(SUBSTITUTE(SUBSTITUTE(SUBSTITUTE(SUBSTITUTE(SUBSTITUTE(SUBSTITUTE(SUBSTITUTE(SUBSTITUTE(SUBSTITUTE(SUBSTITUTE(BC18," "&amp;DT2410&amp;" "," ")," "&amp;DT2409&amp;" "," ")," "&amp;DT2408&amp;" "," ")," "&amp;DT2415&amp;" "," ")," "&amp;DT2407&amp;" "," ")," "&amp;DT2419&amp;" "," ")," "&amp;DT2406&amp;" "," ")," "&amp;DT2411&amp;" "," ")," "&amp;DT2414&amp;" "," ")," "&amp;DT2405&amp;" "," ")," "&amp;DT2413&amp;" "," ")," "&amp;DT2420&amp;" "," ")," "&amp;DT2417&amp;" "," ")," "&amp;DT2412&amp;" "," ")," "&amp;DT2416&amp;" "," ")," "&amp;DT2418&amp;" "," ")),"")</f>
        <v xml:space="preserve"> tomates </v>
      </c>
      <c r="DM18" s="493" cm="1">
        <f t="array" ref="DM18">IF(9=9,IF(AW18="","",SUMPRODUCT(--ISNUMBER(SEARCH(" "&amp;DT2421:DT2425&amp;" ",DL18)))),"")</f>
        <v>0</v>
      </c>
      <c r="DN18" s="493" t="str">
        <f>IF(9=9,IF(AW18="","",IF(SUM(DI18:DK18)&gt;0,"X",IF(DM18&gt;0,"?",""))),"")</f>
        <v/>
      </c>
      <c r="DO18" s="494"/>
      <c r="DP18" s="496" t="s">
        <v>1161</v>
      </c>
      <c r="DQ18" s="496" t="s">
        <v>1083</v>
      </c>
      <c r="DR18" s="496" t="s">
        <v>689</v>
      </c>
      <c r="DS18" s="496" t="s">
        <v>1162</v>
      </c>
      <c r="DT18" s="496" t="s">
        <v>1163</v>
      </c>
      <c r="DU18" s="496" t="s">
        <v>1085</v>
      </c>
      <c r="DV18" s="496" t="s">
        <v>1086</v>
      </c>
      <c r="DW18" s="496" t="s">
        <v>1087</v>
      </c>
      <c r="DX18" s="497" t="s">
        <v>1088</v>
      </c>
      <c r="DZ18" s="543">
        <v>1</v>
      </c>
      <c r="EB18" s="493"/>
      <c r="EC18" s="493"/>
    </row>
    <row r="19" spans="1:133" ht="21" customHeight="1">
      <c r="B19" s="17"/>
      <c r="C19" s="17"/>
      <c r="D19" s="17"/>
      <c r="E19" s="818" t="str">
        <f t="shared" si="4"/>
        <v>A</v>
      </c>
      <c r="F19" s="724" t="str">
        <f>F12</f>
        <v>M MACÉDOINE DE LÉGUMES AU COULIS DE TOMATE | HORS D'ŒUVRE texture modifiée-cuidité-MACEDOINE| Auteur &gt; Annette et Jean Pierre DOMERGUES - 45000 ORLÉANS 1981</v>
      </c>
      <c r="G19" s="725">
        <f>G12</f>
        <v>10</v>
      </c>
      <c r="H19" s="724" t="str">
        <f>H12</f>
        <v>couverts</v>
      </c>
      <c r="I19" s="726" t="str">
        <f>I12</f>
        <v>Recette mère ►  Textures modifiées</v>
      </c>
      <c r="J19" s="791"/>
      <c r="K19" s="809"/>
      <c r="L19" s="793" t="str">
        <f t="shared" si="1"/>
        <v/>
      </c>
      <c r="M19" s="794">
        <v>200</v>
      </c>
      <c r="N19" s="810" t="s">
        <v>790</v>
      </c>
      <c r="O19" s="796">
        <v>1</v>
      </c>
      <c r="P19" s="811" t="str">
        <f>ROWS(P16:P19)&amp;" ►"</f>
        <v>4 ►</v>
      </c>
      <c r="Q19" s="798" t="s">
        <v>268</v>
      </c>
      <c r="R19" s="799" t="s">
        <v>789</v>
      </c>
      <c r="S19" s="800">
        <f>IF(U28=0,0,(U19/U28)*T15*1000)</f>
        <v>130.97576948264572</v>
      </c>
      <c r="T19" s="813">
        <f>IF(U28=0, 0, (J19*O19)/(U28*T15))</f>
        <v>0</v>
      </c>
      <c r="U19" s="802">
        <f t="array" ref="U19">IFERROR(_xlfn.XLOOKUP(UPPER(TRIM(N19)),UPPER(TRIM(J29:Y29)),J30:Y30,_xlfn.XLOOKUP(UPPER(TRIM(N19)),UPPER(TRIM(J31:Y31)),J32:Y32,0))*M19*IF(J19&gt;0,J19,1),0)</f>
        <v>0.2</v>
      </c>
      <c r="V19" s="814">
        <f>IF(X11&lt;&gt;0,J19*O19*O11,0)</f>
        <v>0</v>
      </c>
      <c r="W19" s="815">
        <f t="shared" si="2"/>
        <v>0</v>
      </c>
      <c r="X19" s="805">
        <f>IF(OR(ISBLANK(X11),X11=0),0,U19*O19*O11)</f>
        <v>0.1</v>
      </c>
      <c r="Y19" s="816" t="str">
        <f>IF(N19="","",IF(COUNTIF(Q29:Y29,SUBSTITUTE(TRIM(N19)," (s)",""))+COUNTIF(Q31:Y31,SUBSTITUTE(TRIM(N19)," (s)",""))&gt;0,IF(ROUND(X19,3)&gt;=1,ROUND(X19,3)&amp;" L",MAX(1,ROUND(X19*100,0))&amp;" cl"),IF(COUNTIF(J29:O29,SUBSTITUTE(TRIM(N19)," (s)",""))+COUNTIF(J31:O31,SUBSTITUTE(TRIM(N19)," (s)",""))&gt;0,IF(ROUND(X19,3)&gt;=1,ROUND(X19,3)&amp;" Kg",MAX(1,ROUND(X19*1000,0))&amp;" g"),"")))</f>
        <v>100 g</v>
      </c>
      <c r="AA19" s="822" t="s">
        <v>6501</v>
      </c>
      <c r="AC19" s="509">
        <v>4</v>
      </c>
      <c r="AD19" s="808" t="s">
        <v>268</v>
      </c>
      <c r="AE19" s="679" t="str">
        <f t="shared" si="3"/>
        <v>gelatine poudre</v>
      </c>
      <c r="AF19" s="512" t="str">
        <f>IF(10=10,IF(AD19="","",IF(AG19="X",""&amp;"Céréales contenant du gluten","")&amp;IF(AH19="X",IF(COUNTIF(AG19:AG19,"X")&gt;0,", ","")&amp;"Crustacés","")&amp;IF(AI19="X",IF(COUNTIF(AG19:AH19,"X")&gt;0,", ","")&amp;"Œufs","")&amp;IF(AJ19="X",IF(COUNTIF(AG19:AI19,"X")&gt;0,", ","")&amp;"Poissons","")&amp;IF(AK19="X",IF(COUNTIF(AG19:AJ19,"X")&gt;0,", ","")&amp;"Arachides","")&amp;IF(AL19="X",IF(COUNTIF(AG19:AK19,"X")&gt;0,", ","")&amp;"Soja","")&amp;IF(AM19="X",IF(COUNTIF(AG19:AL19,"X")&gt;0,", ","")&amp;"Lait","")&amp;IF(AN19="X",IF(COUNTIF(AG19:AM19,"X")&gt;0,", ","")&amp;"Fruits à coque","")&amp;IF(AO19="X",IF(COUNTIF(AG19:AN19,"X")&gt;0,", ","")&amp;"Céleri","")&amp;IF(AP19="X",IF(COUNTIF(AG19:AO19,"X")&gt;0,", ","")&amp;"Moutarde","")&amp;IF(AQ19="X",IF(COUNTIF(AG19:AP19,"X")&gt;0,", ","")&amp;"Sésame","")&amp;IF(AR19="X",IF(COUNTIF(AG19:AQ19,"X")&gt;0,", ","")&amp;"Sulfites","")&amp;IF(AS19="X",IF(COUNTIF(AG19:AR19,"X")&gt;0,", ","")&amp;"Lupin","")&amp;IF(AT19="X",IF(COUNTIF(AG19:AS19,"X")&gt;0,", ","")&amp;"Mollusques","")),"")</f>
        <v/>
      </c>
      <c r="AG19" s="513" t="str">
        <f>IF(10=10,IF(AD19="","",BH19),"")</f>
        <v/>
      </c>
      <c r="AH19" s="513" t="str">
        <f>IF(10=10,IF(AD19="","",BK19),"")</f>
        <v/>
      </c>
      <c r="AI19" s="513" t="str">
        <f>IF(10=10,IF(AD19="","",BO19),"")</f>
        <v/>
      </c>
      <c r="AJ19" s="513" t="str">
        <f>IF(10=10,IF(AD19="","",IF(ISNUMBER(SEARCH(" colin ",BC19)),"X",CB19)),"")</f>
        <v/>
      </c>
      <c r="AK19" s="513" t="str">
        <f>IF(10=10,IF(AD19="","",CD19),"")</f>
        <v/>
      </c>
      <c r="AL19" s="513" t="str">
        <f>IF(10=10,IF(AD19="","",CH19),"")</f>
        <v/>
      </c>
      <c r="AM19" s="513" t="str">
        <f>IF(10=10,IF(AD19="","",CO19),"")</f>
        <v/>
      </c>
      <c r="AN19" s="513" t="str">
        <f>IF(10=10,IF(AD19="","",CS19),"")</f>
        <v/>
      </c>
      <c r="AO19" s="513" t="str">
        <f>IF(10=10,IF(AD19="","",CV19),"")</f>
        <v/>
      </c>
      <c r="AP19" s="513" t="str">
        <f>IF(10=10,IF(AD19="","",CY19),"")</f>
        <v/>
      </c>
      <c r="AQ19" s="513" t="str">
        <f>IF(10=10,IF(AD19="","",DB19),"")</f>
        <v/>
      </c>
      <c r="AR19" s="513" t="str">
        <f>IF(10=10,IF(AD19="","",DE19),"")</f>
        <v/>
      </c>
      <c r="AS19" s="513" t="str">
        <f>IF(10=10,IF(AD19="","",DH19),"")</f>
        <v/>
      </c>
      <c r="AT19" s="513" t="str">
        <f>IF(10=10,IF(AD19="","",DN19),"")</f>
        <v/>
      </c>
      <c r="AU19" s="514" t="str">
        <f>IF(10=10,IF(AD19="","",IF(AG19="?",""&amp;"Céréales contenant du gluten","")&amp;IF(AH19="?",IF(COUNTIF(AG19:AG19,"~?")&gt;0,", ","")&amp;"Crustacés","")&amp;IF(AI19="?",IF(COUNTIF(AG19:AH19,"~?")&gt;0,", ","")&amp;"Œufs","")&amp;IF(AJ19="?",IF(COUNTIF(AG19:AI19,"~?")&gt;0,", ","")&amp;"Poissons","")&amp;IF(AK19="?",IF(COUNTIF(AG19:AJ19,"~?")&gt;0,", ","")&amp;"Arachides","")&amp;IF(AL19="?",IF(COUNTIF(AG19:AK19,"~?")&gt;0,", ","")&amp;"Soja","")&amp;IF(AM19="?",IF(COUNTIF(AG19:AL19,"~?")&gt;0,", ","")&amp;"Lait","")&amp;IF(AN19="?",IF(COUNTIF(AG19:AM19,"~?")&gt;0,", ","")&amp;"Fruits à coque","")&amp;IF(AO19="?",IF(COUNTIF(AG19:AN19,"~?")&gt;0,", ","")&amp;"Céleri","")&amp;IF(AP19="?",IF(COUNTIF(AG19:AO19,"~?")&gt;0,", ","")&amp;"Moutarde","")&amp;IF(AQ19="?",IF(COUNTIF(AG19:AP19,"~?")&gt;0,", ","")&amp;"Sésame","")&amp;IF(AR19="?",IF(COUNTIF(AG19:AQ19,"~?")&gt;0,", ","")&amp;"Sulfites","")&amp;IF(AS19="?",IF(COUNTIF(AG19:AR19,"~?")&gt;0,", ","")&amp;"Lupin","")&amp;IF(AT19="?",IF(COUNTIF(AG19:AS19,"~?")&gt;0,", ","")&amp;"Mollusques","")),"")</f>
        <v/>
      </c>
      <c r="AW19" s="493" t="str">
        <f>IF(10=10,IF(AD19="","",AD19),"")</f>
        <v>gelatine poudre</v>
      </c>
      <c r="AX19" s="493" t="str">
        <f>IF(10=10,LOWER(CLEAN(SUBSTITUTE(SUBSTITUTE(SUBSTITUTE(SUBSTITUTE(AW19,CHAR(160)," ")," "," "),CHAR(10)," "),CHAR(13)," "))),"")</f>
        <v>gelatine poudre</v>
      </c>
      <c r="AY19" s="493" t="str">
        <f>IF(10=10,SUBSTITUTE(SUBSTITUTE(SUBSTITUTE(SUBSTITUTE(SUBSTITUTE(SUBSTITUTE(SUBSTITUTE(SUBSTITUTE(SUBSTITUTE(SUBSTITUTE(SUBSTITUTE(SUBSTITUTE(AX19,"œ","oe"),"æ","ae"),"à","a"),"á","a"),"â","a"),"ä","a"),"ã","a"),"ç","c"),"è","e"),"é","e"),"ê","e"),"ë","e"),"")</f>
        <v>gelatine poudre</v>
      </c>
      <c r="AZ19" s="493" t="str">
        <f>IF(10=10,SUBSTITUTE(SUBSTITUTE(SUBSTITUTE(SUBSTITUTE(SUBSTITUTE(SUBSTITUTE(SUBSTITUTE(SUBSTITUTE(SUBSTITUTE(SUBSTITUTE(SUBSTITUTE(SUBSTITUTE(SUBSTITUTE(SUBSTITUTE(SUBSTITUTE(SUBSTITUTE(AY19,"ì","i"),"í","i"),"î","i"),"ï","i"),"ñ","n"),"ò","o"),"ó","o"),"ô","o"),"ö","o"),"õ","o"),"ù","u"),"ú","u"),"û","u"),"ü","u"),"ý","y"),"ÿ","y"),"")</f>
        <v>gelatine poudre</v>
      </c>
      <c r="BA19" s="493" t="str">
        <f>IF(10=10,SUBSTITUTE(SUBSTITUTE(SUBSTITUTE(SUBSTITUTE(SUBSTITUTE(SUBSTITUTE(SUBSTITUTE(SUBSTITUTE(SUBSTITUTE(SUBSTITUTE(SUBSTITUTE(SUBSTITUTE(SUBSTITUTE(SUBSTITUTE(AZ19,"’"," "),"`"," "),"–"," "),"—"," "),"-"," "),"'"," "),"/"," "),"_"," "),","," "),"."," "),"("," "),")"," "),";"," "),":"," "),"")</f>
        <v>gelatine poudre</v>
      </c>
      <c r="BB19" s="493" t="str">
        <f>IF(10=10,SUBSTITUTE(SUBSTITUTE(SUBSTITUTE(SUBSTITUTE(SUBSTITUTE(SUBSTITUTE(SUBSTITUTE(SUBSTITUTE(SUBSTITUTE(SUBSTITUTE(SUBSTITUTE(SUBSTITUTE(SUBSTITUTE(SUBSTITUTE(SUBSTITUTE(BA19,"!"," "),"?"," "),"+"," "),"*"," "),"&amp;"," "),"["," "),"]"," "),"{"," "),"}"," "),"%"," "),"="," "),"\"," "),"|"," "),"&lt;"," "),"&gt;"," "),"")</f>
        <v>gelatine poudre</v>
      </c>
      <c r="BC19" s="493" t="str">
        <f>IF(10=10," "&amp;TRIM(SUBSTITUTE(SUBSTITUTE(SUBSTITUTE(SUBSTITUTE(SUBSTITUTE(SUBSTITUTE(BB19,CHAR(34)," "),"  "," "),"  "," "),"  "," "),"  "," "),"  "," "))&amp;" ","")</f>
        <v xml:space="preserve"> gelatine poudre </v>
      </c>
      <c r="BD19" s="493" cm="1">
        <f t="array" ref="BD19">IF(10=10,IF(AW19="","",SUMPRODUCT(--ISNUMBER(SEARCH(" "&amp;DT11:DT110&amp;" ",BF19)))),"")</f>
        <v>0</v>
      </c>
      <c r="BE19" s="493" cm="1">
        <f t="array" ref="BE19">IF(10=10,IF(AW19="","",SUMPRODUCT(--ISNUMBER(SEARCH(" "&amp;DT111:DT160&amp;" ",BF19)))),"")</f>
        <v>0</v>
      </c>
      <c r="BF19" s="493" t="str">
        <f>IF(AW19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19,"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xml:space="preserve"> gelatine poudre </v>
      </c>
      <c r="BG19" s="493" cm="1">
        <f t="array" ref="BG19">IF(AW19="","",SUMPRODUCT(--ISNUMBER(SEARCH(" "&amp;DT193:DT214&amp;" ",BF19)))+--ISNUMBER(SEARCH(" "&amp;DT2463&amp;" ",BF19)))</f>
        <v>0</v>
      </c>
      <c r="BH19" s="493" t="str" cm="1">
        <f t="array" ref="BH19">IF(10=10,IF(AW19="","",IF(SUM(BD19:BE19)+SUMPRODUCT(--ISNUMBER(SEARCH(" "&amp;DT2427:DT2429&amp;" ",BF19)))&gt;0,"X",IF(BG19&gt;0,"?",""))),"")</f>
        <v/>
      </c>
      <c r="BI19" s="493" cm="1">
        <f t="array" ref="BI19">IF(10=10,IF(AW19="","",SUMPRODUCT(--ISNUMBER(SEARCH(" "&amp;DT215:DT314&amp;" ",BC19)))),"")</f>
        <v>0</v>
      </c>
      <c r="BJ19" s="493" cm="1">
        <f t="array" ref="BJ19">IF(10=10,IF(AW19="","",SUMPRODUCT(--ISNUMBER(SEARCH(" "&amp;DT315:DT349&amp;" ",BC19)))),"")</f>
        <v>0</v>
      </c>
      <c r="BK19" s="493" t="str">
        <f>IF(10=10,IF(AW19="","",IF((SUM(BI19:BJ19))-(0)&gt;0,"X",IF((0)-(0)&gt;0,"?",""))),"")</f>
        <v/>
      </c>
      <c r="BL19" s="493" cm="1">
        <f t="array" ref="BL19">IF(10=10,IF(AW19="","",SUMPRODUCT(--ISNUMBER(SEARCH(" "&amp;DT350:DT407&amp;" ",BC19)))),"")</f>
        <v>0</v>
      </c>
      <c r="BM19" s="493" cm="1">
        <f t="array" ref="BM19">IF(10=10,IF(AW19="","",SUMPRODUCT(--ISNUMBER(SEARCH(" "&amp;DT408:DT435&amp;" ",BN19)))+SUMPRODUCT(--ISNUMBER(SEARCH(" "&amp;DT2449:DT2462&amp;" ",BN19)))),"")</f>
        <v>0</v>
      </c>
      <c r="BN19" s="493" t="str">
        <f>IF(10=10,IF(AW19="","",SUBSTITUTE(SUBSTITUTE(SUBSTITUTE(SUBSTITUTE(SUBSTITUTE(SUBSTITUTE(SUBSTITUTE(SUBSTITUTE(SUBSTITUTE(SUBSTITUTE(SUBSTITUTE(SUBSTITUTE(SUBSTITUTE(SUBSTITUTE(BC19," "&amp;DT2464&amp;" "," ")," "&amp;DT442&amp;" "," ")," "&amp;DT440&amp;" "," ")," "&amp;DT2447&amp;" "," ")," "&amp;DT2448&amp;" "," ")," "&amp;DT437&amp;" "," ")," "&amp;DT441&amp;" "," ")," "&amp;DT443&amp;" "," ")," "&amp;DT438&amp;" "," ")," "&amp;DT436&amp;" "," ")," "&amp;DT1376&amp;" "," ")," "&amp;DT444&amp;" "," ")," "&amp;DT1375&amp;" "," ")," "&amp;DT439&amp;" "," ")),"")</f>
        <v xml:space="preserve"> gelatine poudre </v>
      </c>
      <c r="BO19" s="493" t="str">
        <f>IF(10=10,IF(AW19="","",IF(BL19&gt;0,"X",IF(BM19&gt;0,"?",""))),"")</f>
        <v/>
      </c>
      <c r="BP19" s="493" cm="1">
        <f t="array" ref="BP19">IF(10=10,IF(AW19="","",SUMPRODUCT(--ISNUMBER(SEARCH(" "&amp;DT445:DT544&amp;" ",BZ19)))),"")</f>
        <v>0</v>
      </c>
      <c r="BQ19" s="493" cm="1">
        <f t="array" ref="BQ19">IF(10=10,IF(AW19="","",SUMPRODUCT(--ISNUMBER(SEARCH(" "&amp;DT545:DT644&amp;" ",BZ19)))),"")</f>
        <v>0</v>
      </c>
      <c r="BR19" s="493" cm="1">
        <f t="array" ref="BR19">IF(10=10,IF(AW19="","",SUMPRODUCT(--ISNUMBER(SEARCH(" "&amp;DT645:DT744&amp;" ",BZ19)))),"")</f>
        <v>0</v>
      </c>
      <c r="BS19" s="493" cm="1">
        <f t="array" ref="BS19">IF(10=10,IF(AW19="","",SUMPRODUCT(--ISNUMBER(SEARCH(" "&amp;DT745:DT844&amp;" ",BZ19)))),"")</f>
        <v>0</v>
      </c>
      <c r="BT19" s="493" cm="1">
        <f t="array" ref="BT19">IF(10=10,IF(AW19="","",SUMPRODUCT(--ISNUMBER(SEARCH(" "&amp;DT845:DT944&amp;" ",BZ19)))),"")</f>
        <v>0</v>
      </c>
      <c r="BU19" s="493" cm="1">
        <f t="array" ref="BU19">IF(10=10,IF(AW19="","",SUMPRODUCT(--ISNUMBER(SEARCH(" "&amp;DT945:DT1044&amp;" ",BZ19)))),"")</f>
        <v>0</v>
      </c>
      <c r="BV19" s="493" cm="1">
        <f t="array" ref="BV19">IF(10=10,IF(AW19="","",SUMPRODUCT(--ISNUMBER(SEARCH(" "&amp;DT1045:DT1144&amp;" ",BZ19)))),"")</f>
        <v>0</v>
      </c>
      <c r="BW19" s="493" cm="1">
        <f t="array" ref="BW19">IF(10=10,IF(AW19="","",SUMPRODUCT(--ISNUMBER(SEARCH(" "&amp;DT1145:DT1244&amp;" ",BZ19)))),"")</f>
        <v>0</v>
      </c>
      <c r="BX19" s="493" cm="1">
        <f t="array" ref="BX19">IF(10=10,IF(AW19="","",SUMPRODUCT(--ISNUMBER(SEARCH(" "&amp;DT1245:DT1344&amp;" ",BZ19)))),"")</f>
        <v>0</v>
      </c>
      <c r="BY19" s="493" cm="1">
        <f t="array" ref="BY19">IF(10=10,IF(AW19="","",SUMPRODUCT(--ISNUMBER(SEARCH(" "&amp;DT1345:DT1372&amp;" ",BZ19)))),"")</f>
        <v>0</v>
      </c>
      <c r="BZ19" s="493" t="str">
        <f>IF(10=10,IF(AW19="","",SUBSTITUTE(SUBSTITUTE(SUBSTITUTE(SUBSTITUTE(SUBSTITUTE(SUBSTITUTE(SUBSTITUTE(SUBSTITUTE(SUBSTITUTE(BC19," "&amp;DT1374&amp;" "," ")," "&amp;DT1373&amp;" "," ")," "&amp;DT1379&amp;" "," ")," "&amp;DT1380&amp;" "," ")," "&amp;DT1376&amp;" "," ")," "&amp;DT1378&amp;" "," ")," "&amp;DT1375&amp;" "," ")," "&amp;DT1377&amp;" "," ")," "&amp;DT1381&amp;" "," ")),"")</f>
        <v xml:space="preserve"> gelatine poudre </v>
      </c>
      <c r="CA19" s="493" cm="1">
        <f t="array" ref="CA19">IF(10=10,IF(AW19="","",SUMPRODUCT(--ISNUMBER(SEARCH(" "&amp;DT1382:DT1392&amp;" ",BZ19)))),"")</f>
        <v>0</v>
      </c>
      <c r="CB19" s="493" t="str" cm="1">
        <f t="array" ref="CB19">IF(10=10,IF(AW19="","",IF(SUM(BP19:BY19)+SUMPRODUCT(--ISNUMBER(SEARCH(" "&amp;DT2430:DT2431&amp;" ",BZ19)))&gt;0,"X",IF(CA19&gt;0,"?",""))),"")</f>
        <v/>
      </c>
      <c r="CC19" s="493" cm="1">
        <f t="array" ref="CC19">IF(10=10,IF(AW19="","",SUMPRODUCT(--ISNUMBER(SEARCH(" "&amp;DT1393:DT1413&amp;" ",BC19)))),"")</f>
        <v>0</v>
      </c>
      <c r="CD19" s="493" t="str">
        <f>IF(10=10,IF(AW19="","",IF((CC19)-(0)&gt;0,"X",IF((0)-(0)&gt;0,"?",""))),"")</f>
        <v/>
      </c>
      <c r="CE19" s="493" cm="1">
        <f t="array" ref="CE19">IF(10=10,IF(AW19="","",SUMPRODUCT(--ISNUMBER(SEARCH(" "&amp;DT1414:DT1451&amp;" ",CF19)))),"")</f>
        <v>0</v>
      </c>
      <c r="CF19" s="493" t="str">
        <f>IF(10=10,IF(AW19="","",SUBSTITUTE(SUBSTITUTE(BC19," "&amp;DT1452&amp;" "," ")," "&amp;DT1453&amp;" "," ")),"")</f>
        <v xml:space="preserve"> gelatine poudre </v>
      </c>
      <c r="CG19" s="493" cm="1">
        <f t="array" ref="CG19">IF(10=10,IF(AW19="","",SUMPRODUCT(--ISNUMBER(SEARCH(" "&amp;DT1454:DT1464&amp;" ",CF19)))),"")</f>
        <v>0</v>
      </c>
      <c r="CH19" s="493" t="str">
        <f>IF(10=10,IF(AW19="","",IF(CE19&gt;0,"X",IF(CG19&gt;0,"?",""))),"")</f>
        <v/>
      </c>
      <c r="CI19" s="493" cm="1">
        <f t="array" ref="CI19">IF(10=10,IF(AW19="","",SUMPRODUCT(--ISNUMBER(SEARCH(" "&amp;DT1465:DT1564&amp;" ",CL19)))),"")</f>
        <v>0</v>
      </c>
      <c r="CJ19" s="493" cm="1">
        <f t="array" ref="CJ19">IF(10=10,IF(AW19="","",SUMPRODUCT(--ISNUMBER(SEARCH(" "&amp;DT1565:DT1664&amp;" ",CL19)))),"")</f>
        <v>0</v>
      </c>
      <c r="CK19" s="493" cm="1">
        <f t="array" ref="CK19">IF(10=10,IF(AW19="","",SUMPRODUCT(--ISNUMBER(SEARCH(" "&amp;DT1665:DT1748&amp;" ",CL19)))),"")</f>
        <v>0</v>
      </c>
      <c r="CL19" s="493" t="str">
        <f>IF(10=10,IF(AW19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19,"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xml:space="preserve"> gelatine poudre </v>
      </c>
      <c r="CM19" s="493" cm="1">
        <f t="array" ref="CM19">IF(10=10,IF(AW19="","",SUMPRODUCT(--ISNUMBER(SEARCH(" "&amp;DT1799:DT1878&amp;" ",CN19)))+SUMPRODUCT(--ISNUMBER(SEARCH(" "&amp;DT2449:DT2462&amp;" ",CN19)))),"")</f>
        <v>0</v>
      </c>
      <c r="CN19" s="493" t="str">
        <f>IF(10=10,IF(AW19="","",SUBSTITUTE(SUBSTITUTE(SUBSTITUTE(SUBSTITUTE(SUBSTITUTE(SUBSTITUTE(SUBSTITUTE(SUBSTITUTE(SUBSTITUTE(SUBSTITUTE(SUBSTITUTE(SUBSTITUTE(SUBSTITUTE(CL19," "&amp;DT1885&amp;" "," ")," "&amp;DT1883&amp;" "," ")," "&amp;DT2447&amp;" "," ")," "&amp;DT2448&amp;" "," ")," "&amp;DT1880&amp;" "," ")," "&amp;DT1884&amp;" "," ")," "&amp;DT1886&amp;" "," ")," "&amp;DT1881&amp;" "," ")," "&amp;DT1879&amp;" "," ")," "&amp;DT1376&amp;" "," ")," "&amp;DT1887&amp;" "," ")," "&amp;DT1375&amp;" "," ")," "&amp;DT1882&amp;" "," ")),"")</f>
        <v xml:space="preserve"> gelatine poudre </v>
      </c>
      <c r="CO19" s="493" t="str" cm="1">
        <f t="array" ref="CO19">IF(10=10,IF(AW19="","",IF(SUM(CI19:CK19)+SUMPRODUCT(--ISNUMBER(SEARCH(" "&amp;DT2432:DT2433&amp;" ",CL19)))&gt;0,"X",IF(CM19&gt;0,"?",""))),"")</f>
        <v/>
      </c>
      <c r="CP19" s="493" cm="1">
        <f t="array" ref="CP19">IF(10=10,IF(AW19="","",SUMPRODUCT(--ISNUMBER(SEARCH(" "&amp;DT1888:DT1945&amp;" ",CQ19)))),"")</f>
        <v>0</v>
      </c>
      <c r="CQ19" s="493" t="str">
        <f>IF(10=10,IF(AW19="","",SUBSTITUTE(SUBSTITUTE(SUBSTITUTE(SUBSTITUTE(SUBSTITUTE(SUBSTITUTE(SUBSTITUTE(SUBSTITUTE(SUBSTITUTE(SUBSTITUTE(SUBSTITUTE(SUBSTITUTE(SUBSTITUTE(SUBSTITUTE(SUBSTITUTE(SUBSTITUTE(SUBSTITUTE(SUBSTITUTE(SUBSTITUTE(SUBSTITUTE(SUBSTITUTE(SUBSTITUTE(SUBSTITUTE(BC19,"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xml:space="preserve"> gelatine poudre </v>
      </c>
      <c r="CR19" s="493" cm="1">
        <f t="array" ref="CR19">IF(10=10,IF(AW19="","",SUMPRODUCT(--ISNUMBER(SEARCH(" "&amp;DT1969:DT1985&amp;" ",CQ19)))),"")</f>
        <v>0</v>
      </c>
      <c r="CS19" s="493" t="str">
        <f>IF(10=10,IF(AW19="","",IF(CP19&gt;0,"X",IF(CR19&gt;0,"?",""))),"")</f>
        <v/>
      </c>
      <c r="CT19" s="493" cm="1">
        <f t="array" ref="CT19">IF(10=10,IF(AW19="","",SUMPRODUCT(--ISNUMBER(SEARCH(" "&amp;DT1986:DT1999&amp;" ",BC19)))),"")</f>
        <v>0</v>
      </c>
      <c r="CU19" s="493" cm="1">
        <f t="array" ref="CU19">IF(10=10,IF(AW19="","",SUMPRODUCT(--ISNUMBER(SEARCH(" "&amp;DT2000:DT2014&amp;" ",BC19)))),"")</f>
        <v>0</v>
      </c>
      <c r="CV19" s="493" t="str">
        <f>IF(10=10,IF(AW19="","",IF((CT19)-(0)&gt;0,"X",IF((CU19)-(0)&gt;0,"?",""))),"")</f>
        <v/>
      </c>
      <c r="CW19" s="493" cm="1">
        <f t="array" ref="CW19">IF(10=10,IF(AW19="","",SUMPRODUCT(--ISNUMBER(SEARCH(" "&amp;DT2015:DT2032&amp;" ",BC19)))),"")</f>
        <v>0</v>
      </c>
      <c r="CX19" s="493" cm="1">
        <f t="array" ref="CX19">IF(10=10,IF(AW19="","",SUMPRODUCT(--ISNUMBER(SEARCH(" "&amp;DT2033:DT2047&amp;" ",BC19)))),"")</f>
        <v>0</v>
      </c>
      <c r="CY19" s="493" t="str">
        <f>IF(10=10,IF(AW19="","",IF((CW19)-(0)&gt;0,"X",IF((CX19)-(0)&gt;0,"?",""))),"")</f>
        <v/>
      </c>
      <c r="CZ19" s="493" cm="1">
        <f t="array" ref="CZ19">IF(10=10,IF(AW19="","",SUMPRODUCT(--ISNUMBER(SEARCH(" "&amp;DT2048:DT2066&amp;" ",BC19)))),"")</f>
        <v>0</v>
      </c>
      <c r="DA19" s="493" cm="1">
        <f t="array" ref="DA19">IF(10=10,IF(AW19="","",SUMPRODUCT(--ISNUMBER(SEARCH(" "&amp;DT2067:DT2081&amp;" ",BC19)))),"")</f>
        <v>0</v>
      </c>
      <c r="DB19" s="493" t="str">
        <f>IF(10=10,IF(AW19="","",IF((CZ19)-(0)&gt;0,"X",IF((DA19)-(0)&gt;0,"?",""))),"")</f>
        <v/>
      </c>
      <c r="DC19" s="493" cm="1">
        <f t="array" ref="DC19">IF(10=10,IF(AW19="","",SUMPRODUCT(--ISNUMBER(SEARCH(" "&amp;DT2082:DT2102&amp;" ",BC19)))),"")</f>
        <v>0</v>
      </c>
      <c r="DD19" s="493" cm="1">
        <f t="array" ref="DD19">IF(10=10,IF(AW19="","",SUMPRODUCT(--ISNUMBER(SEARCH(" "&amp;DT2103:DT2142&amp;" ",SUBSTITUTE(SUBSTITUTE(BC19," "&amp;DT1376&amp;" "," ")," "&amp;DT1375&amp;" "," "))))+--ISNUMBER(SEARCH("poiré",AX19))),"")</f>
        <v>0</v>
      </c>
      <c r="DE19" s="493" t="str">
        <f>IF(10=10,IF(AW19="","",IF(OR(DC19&gt;0,ISNUMBER(SEARCH(" vinaigre de vin ",BC19)),ISNUMBER(SEARCH(" vinaigre au vin ",BC19))),"X",IF(DD19&gt;0,"?",""))),"")</f>
        <v/>
      </c>
      <c r="DF19" s="493" cm="1">
        <f t="array" ref="DF19">IF(10=10,IF(AW19="","",SUMPRODUCT(--ISNUMBER(SEARCH(" "&amp;DT2143:DT2155&amp;" ",BC19)))),"")</f>
        <v>0</v>
      </c>
      <c r="DG19" s="493" cm="1">
        <f t="array" ref="DG19">IF(10=10,IF(AW19="","",SUMPRODUCT(--ISNUMBER(SEARCH(" "&amp;DT2156:DT2161&amp;" ",BC19)))),"")</f>
        <v>0</v>
      </c>
      <c r="DH19" s="493" t="str">
        <f>IF(10=10,IF(AW19="","",IF((DF19)-(0)&gt;0,"X",IF((DG19)-(0)&gt;0,"?",""))),"")</f>
        <v/>
      </c>
      <c r="DI19" s="493" cm="1">
        <f t="array" ref="DI19">IF(10=10,IF(AW19="","",SUMPRODUCT(--ISNUMBER(SEARCH(" "&amp;DT2162:DT2261&amp;" ",DL19)))),"")</f>
        <v>0</v>
      </c>
      <c r="DJ19" s="493" cm="1">
        <f t="array" ref="DJ19">IF(10=10,IF(AW19="","",SUMPRODUCT(--ISNUMBER(SEARCH(" "&amp;DT2262:DT2361&amp;" ",DL19)))),"")</f>
        <v>0</v>
      </c>
      <c r="DK19" s="493" cm="1">
        <f t="array" ref="DK19">IF(10=10,IF(AW19="","",SUMPRODUCT(--ISNUMBER(SEARCH(" "&amp;DT2362:DT2404&amp;" ",DL19)))),"")</f>
        <v>0</v>
      </c>
      <c r="DL19" s="493" t="str">
        <f>IF(10=10,IF(AW19="","",SUBSTITUTE(SUBSTITUTE(SUBSTITUTE(SUBSTITUTE(SUBSTITUTE(SUBSTITUTE(SUBSTITUTE(SUBSTITUTE(SUBSTITUTE(SUBSTITUTE(SUBSTITUTE(SUBSTITUTE(SUBSTITUTE(SUBSTITUTE(SUBSTITUTE(SUBSTITUTE(BC19," "&amp;DT2410&amp;" "," ")," "&amp;DT2409&amp;" "," ")," "&amp;DT2408&amp;" "," ")," "&amp;DT2415&amp;" "," ")," "&amp;DT2407&amp;" "," ")," "&amp;DT2419&amp;" "," ")," "&amp;DT2406&amp;" "," ")," "&amp;DT2411&amp;" "," ")," "&amp;DT2414&amp;" "," ")," "&amp;DT2405&amp;" "," ")," "&amp;DT2413&amp;" "," ")," "&amp;DT2420&amp;" "," ")," "&amp;DT2417&amp;" "," ")," "&amp;DT2412&amp;" "," ")," "&amp;DT2416&amp;" "," ")," "&amp;DT2418&amp;" "," ")),"")</f>
        <v xml:space="preserve"> gelatine poudre </v>
      </c>
      <c r="DM19" s="493" cm="1">
        <f t="array" ref="DM19">IF(10=10,IF(AW19="","",SUMPRODUCT(--ISNUMBER(SEARCH(" "&amp;DT2421:DT2425&amp;" ",DL19)))),"")</f>
        <v>0</v>
      </c>
      <c r="DN19" s="493" t="str">
        <f>IF(10=10,IF(AW19="","",IF(SUM(DI19:DK19)&gt;0,"X",IF(DM19&gt;0,"?",""))),"")</f>
        <v/>
      </c>
      <c r="DO19" s="494"/>
      <c r="DP19" s="496" t="s">
        <v>1165</v>
      </c>
      <c r="DQ19" s="496" t="s">
        <v>1083</v>
      </c>
      <c r="DR19" s="496" t="s">
        <v>689</v>
      </c>
      <c r="DS19" s="496" t="s">
        <v>1166</v>
      </c>
      <c r="DT19" s="496" t="s">
        <v>1167</v>
      </c>
      <c r="DU19" s="496" t="s">
        <v>1085</v>
      </c>
      <c r="DV19" s="496" t="s">
        <v>1086</v>
      </c>
      <c r="DW19" s="496" t="s">
        <v>1087</v>
      </c>
      <c r="DX19" s="497" t="s">
        <v>1088</v>
      </c>
      <c r="DZ19" s="543">
        <v>1</v>
      </c>
      <c r="EB19" s="493"/>
      <c r="EC19" s="493"/>
    </row>
    <row r="20" spans="1:133" ht="21" customHeight="1">
      <c r="B20" s="1363" t="s">
        <v>735</v>
      </c>
      <c r="C20" s="17"/>
      <c r="D20" s="17"/>
      <c r="E20" s="818" t="str">
        <f t="shared" si="4"/>
        <v>A</v>
      </c>
      <c r="F20" s="724" t="str">
        <f>F12</f>
        <v>M MACÉDOINE DE LÉGUMES AU COULIS DE TOMATE | HORS D'ŒUVRE texture modifiée-cuidité-MACEDOINE| Auteur &gt; Annette et Jean Pierre DOMERGUES - 45000 ORLÉANS 1981</v>
      </c>
      <c r="G20" s="725">
        <f>G12</f>
        <v>10</v>
      </c>
      <c r="H20" s="724" t="str">
        <f>H12</f>
        <v>couverts</v>
      </c>
      <c r="I20" s="726" t="str">
        <f>I12</f>
        <v>Recette mère ►  Textures modifiées</v>
      </c>
      <c r="J20" s="791"/>
      <c r="K20" s="809"/>
      <c r="L20" s="793" t="str">
        <f t="shared" si="1"/>
        <v/>
      </c>
      <c r="M20" s="794">
        <v>150</v>
      </c>
      <c r="N20" s="810" t="s">
        <v>790</v>
      </c>
      <c r="O20" s="796">
        <v>1</v>
      </c>
      <c r="P20" s="811" t="str">
        <f>ROWS(P16:P20)&amp;" ►"</f>
        <v>5 ►</v>
      </c>
      <c r="Q20" s="798" t="s">
        <v>269</v>
      </c>
      <c r="R20" s="799" t="s">
        <v>789</v>
      </c>
      <c r="S20" s="800">
        <f>IF(U28=0,0,(U20/U28)*T15*1000)</f>
        <v>98.231827111984288</v>
      </c>
      <c r="T20" s="813">
        <f>IF(U28=0, 0, (J20*O20)/(U28*T15))</f>
        <v>0</v>
      </c>
      <c r="U20" s="802">
        <f t="array" ref="U20">IFERROR(_xlfn.XLOOKUP(UPPER(TRIM(N20)),UPPER(TRIM(J29:Y29)),J30:Y30,_xlfn.XLOOKUP(UPPER(TRIM(N20)),UPPER(TRIM(J31:Y31)),J32:Y32,0))*M20*IF(J20&gt;0,J20,1),0)</f>
        <v>0.15</v>
      </c>
      <c r="V20" s="819">
        <f>IF(X11&lt;&gt;0,J20*O20*O11,0)</f>
        <v>0</v>
      </c>
      <c r="W20" s="820">
        <f t="shared" si="2"/>
        <v>0</v>
      </c>
      <c r="X20" s="805">
        <f>IF(OR(ISBLANK(X11),X11=0),0,U20*O20*O11)</f>
        <v>7.4999999999999997E-2</v>
      </c>
      <c r="Y20" s="821" t="str">
        <f>IF(N20="","",IF(COUNTIF(Q29:Y29,SUBSTITUTE(TRIM(N20)," (s)",""))+COUNTIF(Q31:Y31,SUBSTITUTE(TRIM(N20)," (s)",""))&gt;0,IF(ROUND(X20,3)&gt;=1,ROUND(X20,3)&amp;" L",MAX(1,ROUND(X20*100,0))&amp;" cl"),IF(COUNTIF(J29:O29,SUBSTITUTE(TRIM(N20)," (s)",""))+COUNTIF(J31:O31,SUBSTITUTE(TRIM(N20)," (s)",""))&gt;0,IF(ROUND(X20,3)&gt;=1,ROUND(X20,3)&amp;" Kg",MAX(1,ROUND(X20*1000,0))&amp;" g"),"")))</f>
        <v>75 g</v>
      </c>
      <c r="AA20" s="822" t="s">
        <v>6502</v>
      </c>
      <c r="AC20" s="509">
        <v>5</v>
      </c>
      <c r="AD20" s="808" t="s">
        <v>269</v>
      </c>
      <c r="AE20" s="679" t="str">
        <f t="shared" si="3"/>
        <v>basilic coupe surgelé</v>
      </c>
      <c r="AF20" s="512" t="str">
        <f>IF(11=11,IF(AD20="","",IF(AG20="X",""&amp;"Céréales contenant du gluten","")&amp;IF(AH20="X",IF(COUNTIF(AG20:AG20,"X")&gt;0,", ","")&amp;"Crustacés","")&amp;IF(AI20="X",IF(COUNTIF(AG20:AH20,"X")&gt;0,", ","")&amp;"Œufs","")&amp;IF(AJ20="X",IF(COUNTIF(AG20:AI20,"X")&gt;0,", ","")&amp;"Poissons","")&amp;IF(AK20="X",IF(COUNTIF(AG20:AJ20,"X")&gt;0,", ","")&amp;"Arachides","")&amp;IF(AL20="X",IF(COUNTIF(AG20:AK20,"X")&gt;0,", ","")&amp;"Soja","")&amp;IF(AM20="X",IF(COUNTIF(AG20:AL20,"X")&gt;0,", ","")&amp;"Lait","")&amp;IF(AN20="X",IF(COUNTIF(AG20:AM20,"X")&gt;0,", ","")&amp;"Fruits à coque","")&amp;IF(AO20="X",IF(COUNTIF(AG20:AN20,"X")&gt;0,", ","")&amp;"Céleri","")&amp;IF(AP20="X",IF(COUNTIF(AG20:AO20,"X")&gt;0,", ","")&amp;"Moutarde","")&amp;IF(AQ20="X",IF(COUNTIF(AG20:AP20,"X")&gt;0,", ","")&amp;"Sésame","")&amp;IF(AR20="X",IF(COUNTIF(AG20:AQ20,"X")&gt;0,", ","")&amp;"Sulfites","")&amp;IF(AS20="X",IF(COUNTIF(AG20:AR20,"X")&gt;0,", ","")&amp;"Lupin","")&amp;IF(AT20="X",IF(COUNTIF(AG20:AS20,"X")&gt;0,", ","")&amp;"Mollusques","")),"")</f>
        <v/>
      </c>
      <c r="AG20" s="513" t="str">
        <f>IF(11=11,IF(AD20="","",BH20),"")</f>
        <v/>
      </c>
      <c r="AH20" s="513" t="str">
        <f>IF(11=11,IF(AD20="","",BK20),"")</f>
        <v/>
      </c>
      <c r="AI20" s="513" t="str">
        <f>IF(11=11,IF(AD20="","",BO20),"")</f>
        <v/>
      </c>
      <c r="AJ20" s="513" t="str">
        <f>IF(11=11,IF(AD20="","",IF(ISNUMBER(SEARCH(" colin ",BC20)),"X",CB20)),"")</f>
        <v/>
      </c>
      <c r="AK20" s="513" t="str">
        <f>IF(11=11,IF(AD20="","",CD20),"")</f>
        <v/>
      </c>
      <c r="AL20" s="513" t="str">
        <f>IF(11=11,IF(AD20="","",CH20),"")</f>
        <v/>
      </c>
      <c r="AM20" s="513" t="str">
        <f>IF(11=11,IF(AD20="","",CO20),"")</f>
        <v/>
      </c>
      <c r="AN20" s="513" t="str">
        <f>IF(11=11,IF(AD20="","",CS20),"")</f>
        <v/>
      </c>
      <c r="AO20" s="513" t="str">
        <f>IF(11=11,IF(AD20="","",CV20),"")</f>
        <v/>
      </c>
      <c r="AP20" s="513" t="str">
        <f>IF(11=11,IF(AD20="","",CY20),"")</f>
        <v/>
      </c>
      <c r="AQ20" s="513" t="str">
        <f>IF(11=11,IF(AD20="","",DB20),"")</f>
        <v/>
      </c>
      <c r="AR20" s="513" t="str">
        <f>IF(11=11,IF(AD20="","",DE20),"")</f>
        <v/>
      </c>
      <c r="AS20" s="513" t="str">
        <f>IF(11=11,IF(AD20="","",DH20),"")</f>
        <v/>
      </c>
      <c r="AT20" s="513" t="str">
        <f>IF(11=11,IF(AD20="","",DN20),"")</f>
        <v/>
      </c>
      <c r="AU20" s="514" t="str">
        <f>IF(11=11,IF(AD20="","",IF(AG20="?",""&amp;"Céréales contenant du gluten","")&amp;IF(AH20="?",IF(COUNTIF(AG20:AG20,"~?")&gt;0,", ","")&amp;"Crustacés","")&amp;IF(AI20="?",IF(COUNTIF(AG20:AH20,"~?")&gt;0,", ","")&amp;"Œufs","")&amp;IF(AJ20="?",IF(COUNTIF(AG20:AI20,"~?")&gt;0,", ","")&amp;"Poissons","")&amp;IF(AK20="?",IF(COUNTIF(AG20:AJ20,"~?")&gt;0,", ","")&amp;"Arachides","")&amp;IF(AL20="?",IF(COUNTIF(AG20:AK20,"~?")&gt;0,", ","")&amp;"Soja","")&amp;IF(AM20="?",IF(COUNTIF(AG20:AL20,"~?")&gt;0,", ","")&amp;"Lait","")&amp;IF(AN20="?",IF(COUNTIF(AG20:AM20,"~?")&gt;0,", ","")&amp;"Fruits à coque","")&amp;IF(AO20="?",IF(COUNTIF(AG20:AN20,"~?")&gt;0,", ","")&amp;"Céleri","")&amp;IF(AP20="?",IF(COUNTIF(AG20:AO20,"~?")&gt;0,", ","")&amp;"Moutarde","")&amp;IF(AQ20="?",IF(COUNTIF(AG20:AP20,"~?")&gt;0,", ","")&amp;"Sésame","")&amp;IF(AR20="?",IF(COUNTIF(AG20:AQ20,"~?")&gt;0,", ","")&amp;"Sulfites","")&amp;IF(AS20="?",IF(COUNTIF(AG20:AR20,"~?")&gt;0,", ","")&amp;"Lupin","")&amp;IF(AT20="?",IF(COUNTIF(AG20:AS20,"~?")&gt;0,", ","")&amp;"Mollusques","")),"")</f>
        <v/>
      </c>
      <c r="AW20" s="493" t="str">
        <f>IF(11=11,IF(AD20="","",AD20),"")</f>
        <v>basilic coupe surgelé</v>
      </c>
      <c r="AX20" s="493" t="str">
        <f>IF(11=11,LOWER(CLEAN(SUBSTITUTE(SUBSTITUTE(SUBSTITUTE(SUBSTITUTE(AW20,CHAR(160)," ")," "," "),CHAR(10)," "),CHAR(13)," "))),"")</f>
        <v>basilic coupe surgelé</v>
      </c>
      <c r="AY20" s="493" t="str">
        <f>IF(11=11,SUBSTITUTE(SUBSTITUTE(SUBSTITUTE(SUBSTITUTE(SUBSTITUTE(SUBSTITUTE(SUBSTITUTE(SUBSTITUTE(SUBSTITUTE(SUBSTITUTE(SUBSTITUTE(SUBSTITUTE(AX20,"œ","oe"),"æ","ae"),"à","a"),"á","a"),"â","a"),"ä","a"),"ã","a"),"ç","c"),"è","e"),"é","e"),"ê","e"),"ë","e"),"")</f>
        <v>basilic coupe surgele</v>
      </c>
      <c r="AZ20" s="493" t="str">
        <f>IF(11=11,SUBSTITUTE(SUBSTITUTE(SUBSTITUTE(SUBSTITUTE(SUBSTITUTE(SUBSTITUTE(SUBSTITUTE(SUBSTITUTE(SUBSTITUTE(SUBSTITUTE(SUBSTITUTE(SUBSTITUTE(SUBSTITUTE(SUBSTITUTE(SUBSTITUTE(SUBSTITUTE(AY20,"ì","i"),"í","i"),"î","i"),"ï","i"),"ñ","n"),"ò","o"),"ó","o"),"ô","o"),"ö","o"),"õ","o"),"ù","u"),"ú","u"),"û","u"),"ü","u"),"ý","y"),"ÿ","y"),"")</f>
        <v>basilic coupe surgele</v>
      </c>
      <c r="BA20" s="493" t="str">
        <f>IF(11=11,SUBSTITUTE(SUBSTITUTE(SUBSTITUTE(SUBSTITUTE(SUBSTITUTE(SUBSTITUTE(SUBSTITUTE(SUBSTITUTE(SUBSTITUTE(SUBSTITUTE(SUBSTITUTE(SUBSTITUTE(SUBSTITUTE(SUBSTITUTE(AZ20,"’"," "),"`"," "),"–"," "),"—"," "),"-"," "),"'"," "),"/"," "),"_"," "),","," "),"."," "),"("," "),")"," "),";"," "),":"," "),"")</f>
        <v>basilic coupe surgele</v>
      </c>
      <c r="BB20" s="493" t="str">
        <f>IF(11=11,SUBSTITUTE(SUBSTITUTE(SUBSTITUTE(SUBSTITUTE(SUBSTITUTE(SUBSTITUTE(SUBSTITUTE(SUBSTITUTE(SUBSTITUTE(SUBSTITUTE(SUBSTITUTE(SUBSTITUTE(SUBSTITUTE(SUBSTITUTE(SUBSTITUTE(BA20,"!"," "),"?"," "),"+"," "),"*"," "),"&amp;"," "),"["," "),"]"," "),"{"," "),"}"," "),"%"," "),"="," "),"\"," "),"|"," "),"&lt;"," "),"&gt;"," "),"")</f>
        <v>basilic coupe surgele</v>
      </c>
      <c r="BC20" s="493" t="str">
        <f>IF(11=11," "&amp;TRIM(SUBSTITUTE(SUBSTITUTE(SUBSTITUTE(SUBSTITUTE(SUBSTITUTE(SUBSTITUTE(BB20,CHAR(34)," "),"  "," "),"  "," "),"  "," "),"  "," "),"  "," "))&amp;" ","")</f>
        <v xml:space="preserve"> basilic coupe surgele </v>
      </c>
      <c r="BD20" s="493" cm="1">
        <f t="array" ref="BD20">IF(11=11,IF(AW20="","",SUMPRODUCT(--ISNUMBER(SEARCH(" "&amp;DT11:DT110&amp;" ",BF20)))),"")</f>
        <v>0</v>
      </c>
      <c r="BE20" s="493" cm="1">
        <f t="array" ref="BE20">IF(11=11,IF(AW20="","",SUMPRODUCT(--ISNUMBER(SEARCH(" "&amp;DT111:DT160&amp;" ",BF20)))),"")</f>
        <v>0</v>
      </c>
      <c r="BF20" s="493" t="str">
        <f>IF(AW20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20,"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xml:space="preserve"> basilic coupe surgele </v>
      </c>
      <c r="BG20" s="493" cm="1">
        <f t="array" ref="BG20">IF(AW20="","",SUMPRODUCT(--ISNUMBER(SEARCH(" "&amp;DT193:DT214&amp;" ",BF20)))+--ISNUMBER(SEARCH(" "&amp;DT2463&amp;" ",BF20)))</f>
        <v>0</v>
      </c>
      <c r="BH20" s="493" t="str" cm="1">
        <f t="array" ref="BH20">IF(11=11,IF(AW20="","",IF(SUM(BD20:BE20)+SUMPRODUCT(--ISNUMBER(SEARCH(" "&amp;DT2427:DT2429&amp;" ",BF20)))&gt;0,"X",IF(BG20&gt;0,"?",""))),"")</f>
        <v/>
      </c>
      <c r="BI20" s="493" cm="1">
        <f t="array" ref="BI20">IF(11=11,IF(AW20="","",SUMPRODUCT(--ISNUMBER(SEARCH(" "&amp;DT215:DT314&amp;" ",BC20)))),"")</f>
        <v>0</v>
      </c>
      <c r="BJ20" s="493" cm="1">
        <f t="array" ref="BJ20">IF(11=11,IF(AW20="","",SUMPRODUCT(--ISNUMBER(SEARCH(" "&amp;DT315:DT349&amp;" ",BC20)))),"")</f>
        <v>0</v>
      </c>
      <c r="BK20" s="493" t="str">
        <f>IF(11=11,IF(AW20="","",IF((SUM(BI20:BJ20))-(0)&gt;0,"X",IF((0)-(0)&gt;0,"?",""))),"")</f>
        <v/>
      </c>
      <c r="BL20" s="493" cm="1">
        <f t="array" ref="BL20">IF(11=11,IF(AW20="","",SUMPRODUCT(--ISNUMBER(SEARCH(" "&amp;DT350:DT407&amp;" ",BC20)))),"")</f>
        <v>0</v>
      </c>
      <c r="BM20" s="493" cm="1">
        <f t="array" ref="BM20">IF(11=11,IF(AW20="","",SUMPRODUCT(--ISNUMBER(SEARCH(" "&amp;DT408:DT435&amp;" ",BN20)))+SUMPRODUCT(--ISNUMBER(SEARCH(" "&amp;DT2449:DT2462&amp;" ",BN20)))),"")</f>
        <v>0</v>
      </c>
      <c r="BN20" s="493" t="str">
        <f>IF(11=11,IF(AW20="","",SUBSTITUTE(SUBSTITUTE(SUBSTITUTE(SUBSTITUTE(SUBSTITUTE(SUBSTITUTE(SUBSTITUTE(SUBSTITUTE(SUBSTITUTE(SUBSTITUTE(SUBSTITUTE(SUBSTITUTE(SUBSTITUTE(SUBSTITUTE(BC20," "&amp;DT2464&amp;" "," ")," "&amp;DT442&amp;" "," ")," "&amp;DT440&amp;" "," ")," "&amp;DT2447&amp;" "," ")," "&amp;DT2448&amp;" "," ")," "&amp;DT437&amp;" "," ")," "&amp;DT441&amp;" "," ")," "&amp;DT443&amp;" "," ")," "&amp;DT438&amp;" "," ")," "&amp;DT436&amp;" "," ")," "&amp;DT1376&amp;" "," ")," "&amp;DT444&amp;" "," ")," "&amp;DT1375&amp;" "," ")," "&amp;DT439&amp;" "," ")),"")</f>
        <v xml:space="preserve"> basilic coupe surgele </v>
      </c>
      <c r="BO20" s="493" t="str">
        <f>IF(11=11,IF(AW20="","",IF(BL20&gt;0,"X",IF(BM20&gt;0,"?",""))),"")</f>
        <v/>
      </c>
      <c r="BP20" s="493" cm="1">
        <f t="array" ref="BP20">IF(11=11,IF(AW20="","",SUMPRODUCT(--ISNUMBER(SEARCH(" "&amp;DT445:DT544&amp;" ",BZ20)))),"")</f>
        <v>0</v>
      </c>
      <c r="BQ20" s="493" cm="1">
        <f t="array" ref="BQ20">IF(11=11,IF(AW20="","",SUMPRODUCT(--ISNUMBER(SEARCH(" "&amp;DT545:DT644&amp;" ",BZ20)))),"")</f>
        <v>0</v>
      </c>
      <c r="BR20" s="493" cm="1">
        <f t="array" ref="BR20">IF(11=11,IF(AW20="","",SUMPRODUCT(--ISNUMBER(SEARCH(" "&amp;DT645:DT744&amp;" ",BZ20)))),"")</f>
        <v>0</v>
      </c>
      <c r="BS20" s="493" cm="1">
        <f t="array" ref="BS20">IF(11=11,IF(AW20="","",SUMPRODUCT(--ISNUMBER(SEARCH(" "&amp;DT745:DT844&amp;" ",BZ20)))),"")</f>
        <v>0</v>
      </c>
      <c r="BT20" s="493" cm="1">
        <f t="array" ref="BT20">IF(11=11,IF(AW20="","",SUMPRODUCT(--ISNUMBER(SEARCH(" "&amp;DT845:DT944&amp;" ",BZ20)))),"")</f>
        <v>0</v>
      </c>
      <c r="BU20" s="493" cm="1">
        <f t="array" ref="BU20">IF(11=11,IF(AW20="","",SUMPRODUCT(--ISNUMBER(SEARCH(" "&amp;DT945:DT1044&amp;" ",BZ20)))),"")</f>
        <v>0</v>
      </c>
      <c r="BV20" s="493" cm="1">
        <f t="array" ref="BV20">IF(11=11,IF(AW20="","",SUMPRODUCT(--ISNUMBER(SEARCH(" "&amp;DT1045:DT1144&amp;" ",BZ20)))),"")</f>
        <v>0</v>
      </c>
      <c r="BW20" s="493" cm="1">
        <f t="array" ref="BW20">IF(11=11,IF(AW20="","",SUMPRODUCT(--ISNUMBER(SEARCH(" "&amp;DT1145:DT1244&amp;" ",BZ20)))),"")</f>
        <v>0</v>
      </c>
      <c r="BX20" s="493" cm="1">
        <f t="array" ref="BX20">IF(11=11,IF(AW20="","",SUMPRODUCT(--ISNUMBER(SEARCH(" "&amp;DT1245:DT1344&amp;" ",BZ20)))),"")</f>
        <v>0</v>
      </c>
      <c r="BY20" s="493" cm="1">
        <f t="array" ref="BY20">IF(11=11,IF(AW20="","",SUMPRODUCT(--ISNUMBER(SEARCH(" "&amp;DT1345:DT1372&amp;" ",BZ20)))),"")</f>
        <v>0</v>
      </c>
      <c r="BZ20" s="493" t="str">
        <f>IF(11=11,IF(AW20="","",SUBSTITUTE(SUBSTITUTE(SUBSTITUTE(SUBSTITUTE(SUBSTITUTE(SUBSTITUTE(SUBSTITUTE(SUBSTITUTE(SUBSTITUTE(BC20," "&amp;DT1374&amp;" "," ")," "&amp;DT1373&amp;" "," ")," "&amp;DT1379&amp;" "," ")," "&amp;DT1380&amp;" "," ")," "&amp;DT1376&amp;" "," ")," "&amp;DT1378&amp;" "," ")," "&amp;DT1375&amp;" "," ")," "&amp;DT1377&amp;" "," ")," "&amp;DT1381&amp;" "," ")),"")</f>
        <v xml:space="preserve"> basilic coupe surgele </v>
      </c>
      <c r="CA20" s="493" cm="1">
        <f t="array" ref="CA20">IF(11=11,IF(AW20="","",SUMPRODUCT(--ISNUMBER(SEARCH(" "&amp;DT1382:DT1392&amp;" ",BZ20)))),"")</f>
        <v>0</v>
      </c>
      <c r="CB20" s="493" t="str" cm="1">
        <f t="array" ref="CB20">IF(11=11,IF(AW20="","",IF(SUM(BP20:BY20)+SUMPRODUCT(--ISNUMBER(SEARCH(" "&amp;DT2430:DT2431&amp;" ",BZ20)))&gt;0,"X",IF(CA20&gt;0,"?",""))),"")</f>
        <v/>
      </c>
      <c r="CC20" s="493" cm="1">
        <f t="array" ref="CC20">IF(11=11,IF(AW20="","",SUMPRODUCT(--ISNUMBER(SEARCH(" "&amp;DT1393:DT1413&amp;" ",BC20)))),"")</f>
        <v>0</v>
      </c>
      <c r="CD20" s="493" t="str">
        <f>IF(11=11,IF(AW20="","",IF((CC20)-(0)&gt;0,"X",IF((0)-(0)&gt;0,"?",""))),"")</f>
        <v/>
      </c>
      <c r="CE20" s="493" cm="1">
        <f t="array" ref="CE20">IF(11=11,IF(AW20="","",SUMPRODUCT(--ISNUMBER(SEARCH(" "&amp;DT1414:DT1451&amp;" ",CF20)))),"")</f>
        <v>0</v>
      </c>
      <c r="CF20" s="493" t="str">
        <f>IF(11=11,IF(AW20="","",SUBSTITUTE(SUBSTITUTE(BC20," "&amp;DT1452&amp;" "," ")," "&amp;DT1453&amp;" "," ")),"")</f>
        <v xml:space="preserve"> basilic coupe surgele </v>
      </c>
      <c r="CG20" s="493" cm="1">
        <f t="array" ref="CG20">IF(11=11,IF(AW20="","",SUMPRODUCT(--ISNUMBER(SEARCH(" "&amp;DT1454:DT1464&amp;" ",CF20)))),"")</f>
        <v>0</v>
      </c>
      <c r="CH20" s="493" t="str">
        <f>IF(11=11,IF(AW20="","",IF(CE20&gt;0,"X",IF(CG20&gt;0,"?",""))),"")</f>
        <v/>
      </c>
      <c r="CI20" s="493" cm="1">
        <f t="array" ref="CI20">IF(11=11,IF(AW20="","",SUMPRODUCT(--ISNUMBER(SEARCH(" "&amp;DT1465:DT1564&amp;" ",CL20)))),"")</f>
        <v>0</v>
      </c>
      <c r="CJ20" s="493" cm="1">
        <f t="array" ref="CJ20">IF(11=11,IF(AW20="","",SUMPRODUCT(--ISNUMBER(SEARCH(" "&amp;DT1565:DT1664&amp;" ",CL20)))),"")</f>
        <v>0</v>
      </c>
      <c r="CK20" s="493" cm="1">
        <f t="array" ref="CK20">IF(11=11,IF(AW20="","",SUMPRODUCT(--ISNUMBER(SEARCH(" "&amp;DT1665:DT1748&amp;" ",CL20)))),"")</f>
        <v>0</v>
      </c>
      <c r="CL20" s="493" t="str">
        <f>IF(11=11,IF(AW20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20,"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xml:space="preserve"> basilic coupe surgele </v>
      </c>
      <c r="CM20" s="493" cm="1">
        <f t="array" ref="CM20">IF(11=11,IF(AW20="","",SUMPRODUCT(--ISNUMBER(SEARCH(" "&amp;DT1799:DT1878&amp;" ",CN20)))+SUMPRODUCT(--ISNUMBER(SEARCH(" "&amp;DT2449:DT2462&amp;" ",CN20)))),"")</f>
        <v>0</v>
      </c>
      <c r="CN20" s="493" t="str">
        <f>IF(11=11,IF(AW20="","",SUBSTITUTE(SUBSTITUTE(SUBSTITUTE(SUBSTITUTE(SUBSTITUTE(SUBSTITUTE(SUBSTITUTE(SUBSTITUTE(SUBSTITUTE(SUBSTITUTE(SUBSTITUTE(SUBSTITUTE(SUBSTITUTE(CL20," "&amp;DT1885&amp;" "," ")," "&amp;DT1883&amp;" "," ")," "&amp;DT2447&amp;" "," ")," "&amp;DT2448&amp;" "," ")," "&amp;DT1880&amp;" "," ")," "&amp;DT1884&amp;" "," ")," "&amp;DT1886&amp;" "," ")," "&amp;DT1881&amp;" "," ")," "&amp;DT1879&amp;" "," ")," "&amp;DT1376&amp;" "," ")," "&amp;DT1887&amp;" "," ")," "&amp;DT1375&amp;" "," ")," "&amp;DT1882&amp;" "," ")),"")</f>
        <v xml:space="preserve"> basilic coupe surgele </v>
      </c>
      <c r="CO20" s="493" t="str" cm="1">
        <f t="array" ref="CO20">IF(11=11,IF(AW20="","",IF(SUM(CI20:CK20)+SUMPRODUCT(--ISNUMBER(SEARCH(" "&amp;DT2432:DT2433&amp;" ",CL20)))&gt;0,"X",IF(CM20&gt;0,"?",""))),"")</f>
        <v/>
      </c>
      <c r="CP20" s="493" cm="1">
        <f t="array" ref="CP20">IF(11=11,IF(AW20="","",SUMPRODUCT(--ISNUMBER(SEARCH(" "&amp;DT1888:DT1945&amp;" ",CQ20)))),"")</f>
        <v>0</v>
      </c>
      <c r="CQ20" s="493" t="str">
        <f>IF(11=11,IF(AW20="","",SUBSTITUTE(SUBSTITUTE(SUBSTITUTE(SUBSTITUTE(SUBSTITUTE(SUBSTITUTE(SUBSTITUTE(SUBSTITUTE(SUBSTITUTE(SUBSTITUTE(SUBSTITUTE(SUBSTITUTE(SUBSTITUTE(SUBSTITUTE(SUBSTITUTE(SUBSTITUTE(SUBSTITUTE(SUBSTITUTE(SUBSTITUTE(SUBSTITUTE(SUBSTITUTE(SUBSTITUTE(SUBSTITUTE(BC20,"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xml:space="preserve"> basilic coupe surgele </v>
      </c>
      <c r="CR20" s="493" cm="1">
        <f t="array" ref="CR20">IF(11=11,IF(AW20="","",SUMPRODUCT(--ISNUMBER(SEARCH(" "&amp;DT1969:DT1985&amp;" ",CQ20)))),"")</f>
        <v>0</v>
      </c>
      <c r="CS20" s="493" t="str">
        <f>IF(11=11,IF(AW20="","",IF(CP20&gt;0,"X",IF(CR20&gt;0,"?",""))),"")</f>
        <v/>
      </c>
      <c r="CT20" s="493" cm="1">
        <f t="array" ref="CT20">IF(11=11,IF(AW20="","",SUMPRODUCT(--ISNUMBER(SEARCH(" "&amp;DT1986:DT1999&amp;" ",BC20)))),"")</f>
        <v>0</v>
      </c>
      <c r="CU20" s="493" cm="1">
        <f t="array" ref="CU20">IF(11=11,IF(AW20="","",SUMPRODUCT(--ISNUMBER(SEARCH(" "&amp;DT2000:DT2014&amp;" ",BC20)))),"")</f>
        <v>0</v>
      </c>
      <c r="CV20" s="493" t="str">
        <f>IF(11=11,IF(AW20="","",IF((CT20)-(0)&gt;0,"X",IF((CU20)-(0)&gt;0,"?",""))),"")</f>
        <v/>
      </c>
      <c r="CW20" s="493" cm="1">
        <f t="array" ref="CW20">IF(11=11,IF(AW20="","",SUMPRODUCT(--ISNUMBER(SEARCH(" "&amp;DT2015:DT2032&amp;" ",BC20)))),"")</f>
        <v>0</v>
      </c>
      <c r="CX20" s="493" cm="1">
        <f t="array" ref="CX20">IF(11=11,IF(AW20="","",SUMPRODUCT(--ISNUMBER(SEARCH(" "&amp;DT2033:DT2047&amp;" ",BC20)))),"")</f>
        <v>0</v>
      </c>
      <c r="CY20" s="493" t="str">
        <f>IF(11=11,IF(AW20="","",IF((CW20)-(0)&gt;0,"X",IF((CX20)-(0)&gt;0,"?",""))),"")</f>
        <v/>
      </c>
      <c r="CZ20" s="493" cm="1">
        <f t="array" ref="CZ20">IF(11=11,IF(AW20="","",SUMPRODUCT(--ISNUMBER(SEARCH(" "&amp;DT2048:DT2066&amp;" ",BC20)))),"")</f>
        <v>0</v>
      </c>
      <c r="DA20" s="493" cm="1">
        <f t="array" ref="DA20">IF(11=11,IF(AW20="","",SUMPRODUCT(--ISNUMBER(SEARCH(" "&amp;DT2067:DT2081&amp;" ",BC20)))),"")</f>
        <v>0</v>
      </c>
      <c r="DB20" s="493" t="str">
        <f>IF(11=11,IF(AW20="","",IF((CZ20)-(0)&gt;0,"X",IF((DA20)-(0)&gt;0,"?",""))),"")</f>
        <v/>
      </c>
      <c r="DC20" s="493" cm="1">
        <f t="array" ref="DC20">IF(11=11,IF(AW20="","",SUMPRODUCT(--ISNUMBER(SEARCH(" "&amp;DT2082:DT2102&amp;" ",BC20)))),"")</f>
        <v>0</v>
      </c>
      <c r="DD20" s="493" cm="1">
        <f t="array" ref="DD20">IF(11=11,IF(AW20="","",SUMPRODUCT(--ISNUMBER(SEARCH(" "&amp;DT2103:DT2142&amp;" ",SUBSTITUTE(SUBSTITUTE(BC20," "&amp;DT1376&amp;" "," ")," "&amp;DT1375&amp;" "," "))))+--ISNUMBER(SEARCH("poiré",AX20))),"")</f>
        <v>0</v>
      </c>
      <c r="DE20" s="493" t="str">
        <f>IF(11=11,IF(AW20="","",IF(OR(DC20&gt;0,ISNUMBER(SEARCH(" vinaigre de vin ",BC20)),ISNUMBER(SEARCH(" vinaigre au vin ",BC20))),"X",IF(DD20&gt;0,"?",""))),"")</f>
        <v/>
      </c>
      <c r="DF20" s="493" cm="1">
        <f t="array" ref="DF20">IF(11=11,IF(AW20="","",SUMPRODUCT(--ISNUMBER(SEARCH(" "&amp;DT2143:DT2155&amp;" ",BC20)))),"")</f>
        <v>0</v>
      </c>
      <c r="DG20" s="493" cm="1">
        <f t="array" ref="DG20">IF(11=11,IF(AW20="","",SUMPRODUCT(--ISNUMBER(SEARCH(" "&amp;DT2156:DT2161&amp;" ",BC20)))),"")</f>
        <v>0</v>
      </c>
      <c r="DH20" s="493" t="str">
        <f>IF(11=11,IF(AW20="","",IF((DF20)-(0)&gt;0,"X",IF((DG20)-(0)&gt;0,"?",""))),"")</f>
        <v/>
      </c>
      <c r="DI20" s="493" cm="1">
        <f t="array" ref="DI20">IF(11=11,IF(AW20="","",SUMPRODUCT(--ISNUMBER(SEARCH(" "&amp;DT2162:DT2261&amp;" ",DL20)))),"")</f>
        <v>0</v>
      </c>
      <c r="DJ20" s="493" cm="1">
        <f t="array" ref="DJ20">IF(11=11,IF(AW20="","",SUMPRODUCT(--ISNUMBER(SEARCH(" "&amp;DT2262:DT2361&amp;" ",DL20)))),"")</f>
        <v>0</v>
      </c>
      <c r="DK20" s="493" cm="1">
        <f t="array" ref="DK20">IF(11=11,IF(AW20="","",SUMPRODUCT(--ISNUMBER(SEARCH(" "&amp;DT2362:DT2404&amp;" ",DL20)))),"")</f>
        <v>0</v>
      </c>
      <c r="DL20" s="493" t="str">
        <f>IF(11=11,IF(AW20="","",SUBSTITUTE(SUBSTITUTE(SUBSTITUTE(SUBSTITUTE(SUBSTITUTE(SUBSTITUTE(SUBSTITUTE(SUBSTITUTE(SUBSTITUTE(SUBSTITUTE(SUBSTITUTE(SUBSTITUTE(SUBSTITUTE(SUBSTITUTE(SUBSTITUTE(SUBSTITUTE(BC20," "&amp;DT2410&amp;" "," ")," "&amp;DT2409&amp;" "," ")," "&amp;DT2408&amp;" "," ")," "&amp;DT2415&amp;" "," ")," "&amp;DT2407&amp;" "," ")," "&amp;DT2419&amp;" "," ")," "&amp;DT2406&amp;" "," ")," "&amp;DT2411&amp;" "," ")," "&amp;DT2414&amp;" "," ")," "&amp;DT2405&amp;" "," ")," "&amp;DT2413&amp;" "," ")," "&amp;DT2420&amp;" "," ")," "&amp;DT2417&amp;" "," ")," "&amp;DT2412&amp;" "," ")," "&amp;DT2416&amp;" "," ")," "&amp;DT2418&amp;" "," ")),"")</f>
        <v xml:space="preserve"> basilic coupe surgele </v>
      </c>
      <c r="DM20" s="493" cm="1">
        <f t="array" ref="DM20">IF(11=11,IF(AW20="","",SUMPRODUCT(--ISNUMBER(SEARCH(" "&amp;DT2421:DT2425&amp;" ",DL20)))),"")</f>
        <v>0</v>
      </c>
      <c r="DN20" s="493" t="str">
        <f>IF(11=11,IF(AW20="","",IF(SUM(DI20:DK20)&gt;0,"X",IF(DM20&gt;0,"?",""))),"")</f>
        <v/>
      </c>
      <c r="DO20" s="494"/>
      <c r="DP20" s="496" t="s">
        <v>1168</v>
      </c>
      <c r="DQ20" s="496" t="s">
        <v>1083</v>
      </c>
      <c r="DR20" s="496" t="s">
        <v>689</v>
      </c>
      <c r="DS20" s="496" t="s">
        <v>702</v>
      </c>
      <c r="DT20" s="496" t="s">
        <v>702</v>
      </c>
      <c r="DU20" s="496" t="s">
        <v>1085</v>
      </c>
      <c r="DV20" s="496" t="s">
        <v>1086</v>
      </c>
      <c r="DW20" s="496" t="s">
        <v>1087</v>
      </c>
      <c r="DX20" s="497" t="s">
        <v>1088</v>
      </c>
      <c r="DZ20" s="543">
        <v>1</v>
      </c>
      <c r="EB20" s="493"/>
      <c r="EC20" s="493"/>
    </row>
    <row r="21" spans="1:133" ht="21" customHeight="1">
      <c r="B21" s="1363"/>
      <c r="C21" s="17"/>
      <c r="D21" s="17"/>
      <c r="E21" s="818" t="str">
        <f t="shared" si="4"/>
        <v>A</v>
      </c>
      <c r="F21" s="724" t="str">
        <f>F12</f>
        <v>M MACÉDOINE DE LÉGUMES AU COULIS DE TOMATE | HORS D'ŒUVRE texture modifiée-cuidité-MACEDOINE| Auteur &gt; Annette et Jean Pierre DOMERGUES - 45000 ORLÉANS 1981</v>
      </c>
      <c r="G21" s="725">
        <f>G12</f>
        <v>10</v>
      </c>
      <c r="H21" s="724" t="str">
        <f>H12</f>
        <v>couverts</v>
      </c>
      <c r="I21" s="726" t="str">
        <f>I12</f>
        <v>Recette mère ►  Textures modifiées</v>
      </c>
      <c r="J21" s="791"/>
      <c r="K21" s="809"/>
      <c r="L21" s="793" t="str">
        <f t="shared" si="1"/>
        <v/>
      </c>
      <c r="M21" s="794">
        <v>50</v>
      </c>
      <c r="N21" s="810" t="s">
        <v>790</v>
      </c>
      <c r="O21" s="796">
        <v>1</v>
      </c>
      <c r="P21" s="811" t="str">
        <f>ROWS(P16:P21)&amp;" ►"</f>
        <v>6 ►</v>
      </c>
      <c r="Q21" s="798" t="s">
        <v>6503</v>
      </c>
      <c r="R21" s="799" t="s">
        <v>789</v>
      </c>
      <c r="S21" s="800">
        <f>IF(U28=0,0,(U21/U28)*T15*1000)</f>
        <v>32.743942370661429</v>
      </c>
      <c r="T21" s="813">
        <f>IF(U28=0, 0, (J21*O21)/(U28*T15))</f>
        <v>0</v>
      </c>
      <c r="U21" s="802">
        <f t="array" ref="U21">IFERROR(_xlfn.XLOOKUP(UPPER(TRIM(N21)),UPPER(TRIM(J29:Y29)),J30:Y30,_xlfn.XLOOKUP(UPPER(TRIM(N21)),UPPER(TRIM(J31:Y31)),J32:Y32,0))*M21*IF(J21&gt;0,J21,1),0)</f>
        <v>0.05</v>
      </c>
      <c r="V21" s="814">
        <f>IF(X11&lt;&gt;0,J21*O21*O11,0)</f>
        <v>0</v>
      </c>
      <c r="W21" s="815">
        <f t="shared" si="2"/>
        <v>0</v>
      </c>
      <c r="X21" s="805">
        <f>IF(OR(ISBLANK(X11),X11=0),0,U21*O21*O11)</f>
        <v>2.5000000000000001E-2</v>
      </c>
      <c r="Y21" s="816" t="str">
        <f>IF(N21="","",IF(COUNTIF(Q29:Y29,SUBSTITUTE(TRIM(N21)," (s)",""))+COUNTIF(Q31:Y31,SUBSTITUTE(TRIM(N21)," (s)",""))&gt;0,IF(ROUND(X21,3)&gt;=1,ROUND(X21,3)&amp;" L",MAX(1,ROUND(X21*100,0))&amp;" cl"),IF(COUNTIF(J29:O29,SUBSTITUTE(TRIM(N21)," (s)",""))+COUNTIF(J31:O31,SUBSTITUTE(TRIM(N21)," (s)",""))&gt;0,IF(ROUND(X21,3)&gt;=1,ROUND(X21,3)&amp;" Kg",MAX(1,ROUND(X21*1000,0))&amp;" g"),"")))</f>
        <v>25 g</v>
      </c>
      <c r="AA21" s="822" t="s">
        <v>791</v>
      </c>
      <c r="AC21" s="509">
        <v>6</v>
      </c>
      <c r="AD21" s="808" t="s">
        <v>6503</v>
      </c>
      <c r="AE21" s="679" t="str">
        <f t="shared" si="3"/>
        <v>sel fin</v>
      </c>
      <c r="AF21" s="512" t="str">
        <f>IF(12=12,IF(AD21="","",IF(AG21="X",""&amp;"Céréales contenant du gluten","")&amp;IF(AH21="X",IF(COUNTIF(AG21:AG21,"X")&gt;0,", ","")&amp;"Crustacés","")&amp;IF(AI21="X",IF(COUNTIF(AG21:AH21,"X")&gt;0,", ","")&amp;"Œufs","")&amp;IF(AJ21="X",IF(COUNTIF(AG21:AI21,"X")&gt;0,", ","")&amp;"Poissons","")&amp;IF(AK21="X",IF(COUNTIF(AG21:AJ21,"X")&gt;0,", ","")&amp;"Arachides","")&amp;IF(AL21="X",IF(COUNTIF(AG21:AK21,"X")&gt;0,", ","")&amp;"Soja","")&amp;IF(AM21="X",IF(COUNTIF(AG21:AL21,"X")&gt;0,", ","")&amp;"Lait","")&amp;IF(AN21="X",IF(COUNTIF(AG21:AM21,"X")&gt;0,", ","")&amp;"Fruits à coque","")&amp;IF(AO21="X",IF(COUNTIF(AG21:AN21,"X")&gt;0,", ","")&amp;"Céleri","")&amp;IF(AP21="X",IF(COUNTIF(AG21:AO21,"X")&gt;0,", ","")&amp;"Moutarde","")&amp;IF(AQ21="X",IF(COUNTIF(AG21:AP21,"X")&gt;0,", ","")&amp;"Sésame","")&amp;IF(AR21="X",IF(COUNTIF(AG21:AQ21,"X")&gt;0,", ","")&amp;"Sulfites","")&amp;IF(AS21="X",IF(COUNTIF(AG21:AR21,"X")&gt;0,", ","")&amp;"Lupin","")&amp;IF(AT21="X",IF(COUNTIF(AG21:AS21,"X")&gt;0,", ","")&amp;"Mollusques","")),"")</f>
        <v/>
      </c>
      <c r="AG21" s="513" t="str">
        <f>IF(12=12,IF(AD21="","",BH21),"")</f>
        <v/>
      </c>
      <c r="AH21" s="513" t="str">
        <f>IF(12=12,IF(AD21="","",BK21),"")</f>
        <v/>
      </c>
      <c r="AI21" s="513" t="str">
        <f>IF(12=12,IF(AD21="","",BO21),"")</f>
        <v/>
      </c>
      <c r="AJ21" s="513" t="str">
        <f>IF(12=12,IF(AD21="","",IF(ISNUMBER(SEARCH(" colin ",BC21)),"X",CB21)),"")</f>
        <v/>
      </c>
      <c r="AK21" s="513" t="str">
        <f>IF(12=12,IF(AD21="","",CD21),"")</f>
        <v/>
      </c>
      <c r="AL21" s="513" t="str">
        <f>IF(12=12,IF(AD21="","",CH21),"")</f>
        <v/>
      </c>
      <c r="AM21" s="513" t="str">
        <f>IF(12=12,IF(AD21="","",CO21),"")</f>
        <v/>
      </c>
      <c r="AN21" s="513" t="str">
        <f>IF(12=12,IF(AD21="","",CS21),"")</f>
        <v/>
      </c>
      <c r="AO21" s="513" t="str">
        <f>IF(12=12,IF(AD21="","",CV21),"")</f>
        <v/>
      </c>
      <c r="AP21" s="513" t="str">
        <f>IF(12=12,IF(AD21="","",CY21),"")</f>
        <v/>
      </c>
      <c r="AQ21" s="513" t="str">
        <f>IF(12=12,IF(AD21="","",DB21),"")</f>
        <v/>
      </c>
      <c r="AR21" s="513" t="str">
        <f>IF(12=12,IF(AD21="","",DE21),"")</f>
        <v/>
      </c>
      <c r="AS21" s="513" t="str">
        <f>IF(12=12,IF(AD21="","",DH21),"")</f>
        <v/>
      </c>
      <c r="AT21" s="513" t="str">
        <f>IF(12=12,IF(AD21="","",DN21),"")</f>
        <v/>
      </c>
      <c r="AU21" s="514" t="str">
        <f>IF(12=12,IF(AD21="","",IF(AG21="?",""&amp;"Céréales contenant du gluten","")&amp;IF(AH21="?",IF(COUNTIF(AG21:AG21,"~?")&gt;0,", ","")&amp;"Crustacés","")&amp;IF(AI21="?",IF(COUNTIF(AG21:AH21,"~?")&gt;0,", ","")&amp;"Œufs","")&amp;IF(AJ21="?",IF(COUNTIF(AG21:AI21,"~?")&gt;0,", ","")&amp;"Poissons","")&amp;IF(AK21="?",IF(COUNTIF(AG21:AJ21,"~?")&gt;0,", ","")&amp;"Arachides","")&amp;IF(AL21="?",IF(COUNTIF(AG21:AK21,"~?")&gt;0,", ","")&amp;"Soja","")&amp;IF(AM21="?",IF(COUNTIF(AG21:AL21,"~?")&gt;0,", ","")&amp;"Lait","")&amp;IF(AN21="?",IF(COUNTIF(AG21:AM21,"~?")&gt;0,", ","")&amp;"Fruits à coque","")&amp;IF(AO21="?",IF(COUNTIF(AG21:AN21,"~?")&gt;0,", ","")&amp;"Céleri","")&amp;IF(AP21="?",IF(COUNTIF(AG21:AO21,"~?")&gt;0,", ","")&amp;"Moutarde","")&amp;IF(AQ21="?",IF(COUNTIF(AG21:AP21,"~?")&gt;0,", ","")&amp;"Sésame","")&amp;IF(AR21="?",IF(COUNTIF(AG21:AQ21,"~?")&gt;0,", ","")&amp;"Sulfites","")&amp;IF(AS21="?",IF(COUNTIF(AG21:AR21,"~?")&gt;0,", ","")&amp;"Lupin","")&amp;IF(AT21="?",IF(COUNTIF(AG21:AS21,"~?")&gt;0,", ","")&amp;"Mollusques","")),"")</f>
        <v/>
      </c>
      <c r="AW21" s="493" t="str">
        <f>IF(12=12,IF(AD21="","",AD21),"")</f>
        <v>sel fin</v>
      </c>
      <c r="AX21" s="493" t="str">
        <f>IF(12=12,LOWER(CLEAN(SUBSTITUTE(SUBSTITUTE(SUBSTITUTE(SUBSTITUTE(AW21,CHAR(160)," ")," "," "),CHAR(10)," "),CHAR(13)," "))),"")</f>
        <v>sel fin</v>
      </c>
      <c r="AY21" s="493" t="str">
        <f>IF(12=12,SUBSTITUTE(SUBSTITUTE(SUBSTITUTE(SUBSTITUTE(SUBSTITUTE(SUBSTITUTE(SUBSTITUTE(SUBSTITUTE(SUBSTITUTE(SUBSTITUTE(SUBSTITUTE(SUBSTITUTE(AX21,"œ","oe"),"æ","ae"),"à","a"),"á","a"),"â","a"),"ä","a"),"ã","a"),"ç","c"),"è","e"),"é","e"),"ê","e"),"ë","e"),"")</f>
        <v>sel fin</v>
      </c>
      <c r="AZ21" s="493" t="str">
        <f>IF(12=12,SUBSTITUTE(SUBSTITUTE(SUBSTITUTE(SUBSTITUTE(SUBSTITUTE(SUBSTITUTE(SUBSTITUTE(SUBSTITUTE(SUBSTITUTE(SUBSTITUTE(SUBSTITUTE(SUBSTITUTE(SUBSTITUTE(SUBSTITUTE(SUBSTITUTE(SUBSTITUTE(AY21,"ì","i"),"í","i"),"î","i"),"ï","i"),"ñ","n"),"ò","o"),"ó","o"),"ô","o"),"ö","o"),"õ","o"),"ù","u"),"ú","u"),"û","u"),"ü","u"),"ý","y"),"ÿ","y"),"")</f>
        <v>sel fin</v>
      </c>
      <c r="BA21" s="493" t="str">
        <f>IF(12=12,SUBSTITUTE(SUBSTITUTE(SUBSTITUTE(SUBSTITUTE(SUBSTITUTE(SUBSTITUTE(SUBSTITUTE(SUBSTITUTE(SUBSTITUTE(SUBSTITUTE(SUBSTITUTE(SUBSTITUTE(SUBSTITUTE(SUBSTITUTE(AZ21,"’"," "),"`"," "),"–"," "),"—"," "),"-"," "),"'"," "),"/"," "),"_"," "),","," "),"."," "),"("," "),")"," "),";"," "),":"," "),"")</f>
        <v>sel fin</v>
      </c>
      <c r="BB21" s="493" t="str">
        <f>IF(12=12,SUBSTITUTE(SUBSTITUTE(SUBSTITUTE(SUBSTITUTE(SUBSTITUTE(SUBSTITUTE(SUBSTITUTE(SUBSTITUTE(SUBSTITUTE(SUBSTITUTE(SUBSTITUTE(SUBSTITUTE(SUBSTITUTE(SUBSTITUTE(SUBSTITUTE(BA21,"!"," "),"?"," "),"+"," "),"*"," "),"&amp;"," "),"["," "),"]"," "),"{"," "),"}"," "),"%"," "),"="," "),"\"," "),"|"," "),"&lt;"," "),"&gt;"," "),"")</f>
        <v>sel fin</v>
      </c>
      <c r="BC21" s="493" t="str">
        <f>IF(12=12," "&amp;TRIM(SUBSTITUTE(SUBSTITUTE(SUBSTITUTE(SUBSTITUTE(SUBSTITUTE(SUBSTITUTE(BB21,CHAR(34)," "),"  "," "),"  "," "),"  "," "),"  "," "),"  "," "))&amp;" ","")</f>
        <v xml:space="preserve"> sel fin </v>
      </c>
      <c r="BD21" s="493" cm="1">
        <f t="array" ref="BD21">IF(12=12,IF(AW21="","",SUMPRODUCT(--ISNUMBER(SEARCH(" "&amp;DT11:DT110&amp;" ",BF21)))),"")</f>
        <v>0</v>
      </c>
      <c r="BE21" s="493" cm="1">
        <f t="array" ref="BE21">IF(12=12,IF(AW21="","",SUMPRODUCT(--ISNUMBER(SEARCH(" "&amp;DT111:DT160&amp;" ",BF21)))),"")</f>
        <v>0</v>
      </c>
      <c r="BF21" s="493" t="str">
        <f>IF(AW21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21,"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xml:space="preserve"> sel fin </v>
      </c>
      <c r="BG21" s="493" cm="1">
        <f t="array" ref="BG21">IF(AW21="","",SUMPRODUCT(--ISNUMBER(SEARCH(" "&amp;DT193:DT214&amp;" ",BF21)))+--ISNUMBER(SEARCH(" "&amp;DT2463&amp;" ",BF21)))</f>
        <v>0</v>
      </c>
      <c r="BH21" s="493" t="str" cm="1">
        <f t="array" ref="BH21">IF(12=12,IF(AW21="","",IF(SUM(BD21:BE21)+SUMPRODUCT(--ISNUMBER(SEARCH(" "&amp;DT2427:DT2429&amp;" ",BF21)))&gt;0,"X",IF(BG21&gt;0,"?",""))),"")</f>
        <v/>
      </c>
      <c r="BI21" s="493" cm="1">
        <f t="array" ref="BI21">IF(12=12,IF(AW21="","",SUMPRODUCT(--ISNUMBER(SEARCH(" "&amp;DT215:DT314&amp;" ",BC21)))),"")</f>
        <v>0</v>
      </c>
      <c r="BJ21" s="493" cm="1">
        <f t="array" ref="BJ21">IF(12=12,IF(AW21="","",SUMPRODUCT(--ISNUMBER(SEARCH(" "&amp;DT315:DT349&amp;" ",BC21)))),"")</f>
        <v>0</v>
      </c>
      <c r="BK21" s="493" t="str">
        <f>IF(12=12,IF(AW21="","",IF((SUM(BI21:BJ21))-(0)&gt;0,"X",IF((0)-(0)&gt;0,"?",""))),"")</f>
        <v/>
      </c>
      <c r="BL21" s="493" cm="1">
        <f t="array" ref="BL21">IF(12=12,IF(AW21="","",SUMPRODUCT(--ISNUMBER(SEARCH(" "&amp;DT350:DT407&amp;" ",BC21)))),"")</f>
        <v>0</v>
      </c>
      <c r="BM21" s="493" cm="1">
        <f t="array" ref="BM21">IF(12=12,IF(AW21="","",SUMPRODUCT(--ISNUMBER(SEARCH(" "&amp;DT408:DT435&amp;" ",BN21)))+SUMPRODUCT(--ISNUMBER(SEARCH(" "&amp;DT2449:DT2462&amp;" ",BN21)))),"")</f>
        <v>0</v>
      </c>
      <c r="BN21" s="493" t="str">
        <f>IF(12=12,IF(AW21="","",SUBSTITUTE(SUBSTITUTE(SUBSTITUTE(SUBSTITUTE(SUBSTITUTE(SUBSTITUTE(SUBSTITUTE(SUBSTITUTE(SUBSTITUTE(SUBSTITUTE(SUBSTITUTE(SUBSTITUTE(SUBSTITUTE(SUBSTITUTE(BC21," "&amp;DT2464&amp;" "," ")," "&amp;DT442&amp;" "," ")," "&amp;DT440&amp;" "," ")," "&amp;DT2447&amp;" "," ")," "&amp;DT2448&amp;" "," ")," "&amp;DT437&amp;" "," ")," "&amp;DT441&amp;" "," ")," "&amp;DT443&amp;" "," ")," "&amp;DT438&amp;" "," ")," "&amp;DT436&amp;" "," ")," "&amp;DT1376&amp;" "," ")," "&amp;DT444&amp;" "," ")," "&amp;DT1375&amp;" "," ")," "&amp;DT439&amp;" "," ")),"")</f>
        <v xml:space="preserve"> sel fin </v>
      </c>
      <c r="BO21" s="493" t="str">
        <f>IF(12=12,IF(AW21="","",IF(BL21&gt;0,"X",IF(BM21&gt;0,"?",""))),"")</f>
        <v/>
      </c>
      <c r="BP21" s="493" cm="1">
        <f t="array" ref="BP21">IF(12=12,IF(AW21="","",SUMPRODUCT(--ISNUMBER(SEARCH(" "&amp;DT445:DT544&amp;" ",BZ21)))),"")</f>
        <v>0</v>
      </c>
      <c r="BQ21" s="493" cm="1">
        <f t="array" ref="BQ21">IF(12=12,IF(AW21="","",SUMPRODUCT(--ISNUMBER(SEARCH(" "&amp;DT545:DT644&amp;" ",BZ21)))),"")</f>
        <v>0</v>
      </c>
      <c r="BR21" s="493" cm="1">
        <f t="array" ref="BR21">IF(12=12,IF(AW21="","",SUMPRODUCT(--ISNUMBER(SEARCH(" "&amp;DT645:DT744&amp;" ",BZ21)))),"")</f>
        <v>0</v>
      </c>
      <c r="BS21" s="493" cm="1">
        <f t="array" ref="BS21">IF(12=12,IF(AW21="","",SUMPRODUCT(--ISNUMBER(SEARCH(" "&amp;DT745:DT844&amp;" ",BZ21)))),"")</f>
        <v>0</v>
      </c>
      <c r="BT21" s="493" cm="1">
        <f t="array" ref="BT21">IF(12=12,IF(AW21="","",SUMPRODUCT(--ISNUMBER(SEARCH(" "&amp;DT845:DT944&amp;" ",BZ21)))),"")</f>
        <v>0</v>
      </c>
      <c r="BU21" s="493" cm="1">
        <f t="array" ref="BU21">IF(12=12,IF(AW21="","",SUMPRODUCT(--ISNUMBER(SEARCH(" "&amp;DT945:DT1044&amp;" ",BZ21)))),"")</f>
        <v>0</v>
      </c>
      <c r="BV21" s="493" cm="1">
        <f t="array" ref="BV21">IF(12=12,IF(AW21="","",SUMPRODUCT(--ISNUMBER(SEARCH(" "&amp;DT1045:DT1144&amp;" ",BZ21)))),"")</f>
        <v>0</v>
      </c>
      <c r="BW21" s="493" cm="1">
        <f t="array" ref="BW21">IF(12=12,IF(AW21="","",SUMPRODUCT(--ISNUMBER(SEARCH(" "&amp;DT1145:DT1244&amp;" ",BZ21)))),"")</f>
        <v>0</v>
      </c>
      <c r="BX21" s="493" cm="1">
        <f t="array" ref="BX21">IF(12=12,IF(AW21="","",SUMPRODUCT(--ISNUMBER(SEARCH(" "&amp;DT1245:DT1344&amp;" ",BZ21)))),"")</f>
        <v>0</v>
      </c>
      <c r="BY21" s="493" cm="1">
        <f t="array" ref="BY21">IF(12=12,IF(AW21="","",SUMPRODUCT(--ISNUMBER(SEARCH(" "&amp;DT1345:DT1372&amp;" ",BZ21)))),"")</f>
        <v>0</v>
      </c>
      <c r="BZ21" s="493" t="str">
        <f>IF(12=12,IF(AW21="","",SUBSTITUTE(SUBSTITUTE(SUBSTITUTE(SUBSTITUTE(SUBSTITUTE(SUBSTITUTE(SUBSTITUTE(SUBSTITUTE(SUBSTITUTE(BC21," "&amp;DT1374&amp;" "," ")," "&amp;DT1373&amp;" "," ")," "&amp;DT1379&amp;" "," ")," "&amp;DT1380&amp;" "," ")," "&amp;DT1376&amp;" "," ")," "&amp;DT1378&amp;" "," ")," "&amp;DT1375&amp;" "," ")," "&amp;DT1377&amp;" "," ")," "&amp;DT1381&amp;" "," ")),"")</f>
        <v xml:space="preserve"> sel fin </v>
      </c>
      <c r="CA21" s="493" cm="1">
        <f t="array" ref="CA21">IF(12=12,IF(AW21="","",SUMPRODUCT(--ISNUMBER(SEARCH(" "&amp;DT1382:DT1392&amp;" ",BZ21)))),"")</f>
        <v>0</v>
      </c>
      <c r="CB21" s="493" t="str" cm="1">
        <f t="array" ref="CB21">IF(12=12,IF(AW21="","",IF(SUM(BP21:BY21)+SUMPRODUCT(--ISNUMBER(SEARCH(" "&amp;DT2430:DT2431&amp;" ",BZ21)))&gt;0,"X",IF(CA21&gt;0,"?",""))),"")</f>
        <v/>
      </c>
      <c r="CC21" s="493" cm="1">
        <f t="array" ref="CC21">IF(12=12,IF(AW21="","",SUMPRODUCT(--ISNUMBER(SEARCH(" "&amp;DT1393:DT1413&amp;" ",BC21)))),"")</f>
        <v>0</v>
      </c>
      <c r="CD21" s="493" t="str">
        <f>IF(12=12,IF(AW21="","",IF((CC21)-(0)&gt;0,"X",IF((0)-(0)&gt;0,"?",""))),"")</f>
        <v/>
      </c>
      <c r="CE21" s="493" cm="1">
        <f t="array" ref="CE21">IF(12=12,IF(AW21="","",SUMPRODUCT(--ISNUMBER(SEARCH(" "&amp;DT1414:DT1451&amp;" ",CF21)))),"")</f>
        <v>0</v>
      </c>
      <c r="CF21" s="493" t="str">
        <f>IF(12=12,IF(AW21="","",SUBSTITUTE(SUBSTITUTE(BC21," "&amp;DT1452&amp;" "," ")," "&amp;DT1453&amp;" "," ")),"")</f>
        <v xml:space="preserve"> sel fin </v>
      </c>
      <c r="CG21" s="493" cm="1">
        <f t="array" ref="CG21">IF(12=12,IF(AW21="","",SUMPRODUCT(--ISNUMBER(SEARCH(" "&amp;DT1454:DT1464&amp;" ",CF21)))),"")</f>
        <v>0</v>
      </c>
      <c r="CH21" s="493" t="str">
        <f>IF(12=12,IF(AW21="","",IF(CE21&gt;0,"X",IF(CG21&gt;0,"?",""))),"")</f>
        <v/>
      </c>
      <c r="CI21" s="493" cm="1">
        <f t="array" ref="CI21">IF(12=12,IF(AW21="","",SUMPRODUCT(--ISNUMBER(SEARCH(" "&amp;DT1465:DT1564&amp;" ",CL21)))),"")</f>
        <v>0</v>
      </c>
      <c r="CJ21" s="493" cm="1">
        <f t="array" ref="CJ21">IF(12=12,IF(AW21="","",SUMPRODUCT(--ISNUMBER(SEARCH(" "&amp;DT1565:DT1664&amp;" ",CL21)))),"")</f>
        <v>0</v>
      </c>
      <c r="CK21" s="493" cm="1">
        <f t="array" ref="CK21">IF(12=12,IF(AW21="","",SUMPRODUCT(--ISNUMBER(SEARCH(" "&amp;DT1665:DT1748&amp;" ",CL21)))),"")</f>
        <v>0</v>
      </c>
      <c r="CL21" s="493" t="str">
        <f>IF(12=12,IF(AW21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21,"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xml:space="preserve"> sel fin </v>
      </c>
      <c r="CM21" s="493" cm="1">
        <f t="array" ref="CM21">IF(12=12,IF(AW21="","",SUMPRODUCT(--ISNUMBER(SEARCH(" "&amp;DT1799:DT1878&amp;" ",CN21)))+SUMPRODUCT(--ISNUMBER(SEARCH(" "&amp;DT2449:DT2462&amp;" ",CN21)))),"")</f>
        <v>0</v>
      </c>
      <c r="CN21" s="493" t="str">
        <f>IF(12=12,IF(AW21="","",SUBSTITUTE(SUBSTITUTE(SUBSTITUTE(SUBSTITUTE(SUBSTITUTE(SUBSTITUTE(SUBSTITUTE(SUBSTITUTE(SUBSTITUTE(SUBSTITUTE(SUBSTITUTE(SUBSTITUTE(SUBSTITUTE(CL21," "&amp;DT1885&amp;" "," ")," "&amp;DT1883&amp;" "," ")," "&amp;DT2447&amp;" "," ")," "&amp;DT2448&amp;" "," ")," "&amp;DT1880&amp;" "," ")," "&amp;DT1884&amp;" "," ")," "&amp;DT1886&amp;" "," ")," "&amp;DT1881&amp;" "," ")," "&amp;DT1879&amp;" "," ")," "&amp;DT1376&amp;" "," ")," "&amp;DT1887&amp;" "," ")," "&amp;DT1375&amp;" "," ")," "&amp;DT1882&amp;" "," ")),"")</f>
        <v xml:space="preserve"> sel fin </v>
      </c>
      <c r="CO21" s="493" t="str" cm="1">
        <f t="array" ref="CO21">IF(12=12,IF(AW21="","",IF(SUM(CI21:CK21)+SUMPRODUCT(--ISNUMBER(SEARCH(" "&amp;DT2432:DT2433&amp;" ",CL21)))&gt;0,"X",IF(CM21&gt;0,"?",""))),"")</f>
        <v/>
      </c>
      <c r="CP21" s="493" cm="1">
        <f t="array" ref="CP21">IF(12=12,IF(AW21="","",SUMPRODUCT(--ISNUMBER(SEARCH(" "&amp;DT1888:DT1945&amp;" ",CQ21)))),"")</f>
        <v>0</v>
      </c>
      <c r="CQ21" s="493" t="str">
        <f>IF(12=12,IF(AW21="","",SUBSTITUTE(SUBSTITUTE(SUBSTITUTE(SUBSTITUTE(SUBSTITUTE(SUBSTITUTE(SUBSTITUTE(SUBSTITUTE(SUBSTITUTE(SUBSTITUTE(SUBSTITUTE(SUBSTITUTE(SUBSTITUTE(SUBSTITUTE(SUBSTITUTE(SUBSTITUTE(SUBSTITUTE(SUBSTITUTE(SUBSTITUTE(SUBSTITUTE(SUBSTITUTE(SUBSTITUTE(SUBSTITUTE(BC21,"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xml:space="preserve"> sel fin </v>
      </c>
      <c r="CR21" s="493" cm="1">
        <f t="array" ref="CR21">IF(12=12,IF(AW21="","",SUMPRODUCT(--ISNUMBER(SEARCH(" "&amp;DT1969:DT1985&amp;" ",CQ21)))),"")</f>
        <v>0</v>
      </c>
      <c r="CS21" s="493" t="str">
        <f>IF(12=12,IF(AW21="","",IF(CP21&gt;0,"X",IF(CR21&gt;0,"?",""))),"")</f>
        <v/>
      </c>
      <c r="CT21" s="493" cm="1">
        <f t="array" ref="CT21">IF(12=12,IF(AW21="","",SUMPRODUCT(--ISNUMBER(SEARCH(" "&amp;DT1986:DT1999&amp;" ",BC21)))),"")</f>
        <v>0</v>
      </c>
      <c r="CU21" s="493" cm="1">
        <f t="array" ref="CU21">IF(12=12,IF(AW21="","",SUMPRODUCT(--ISNUMBER(SEARCH(" "&amp;DT2000:DT2014&amp;" ",BC21)))),"")</f>
        <v>0</v>
      </c>
      <c r="CV21" s="493" t="str">
        <f>IF(12=12,IF(AW21="","",IF((CT21)-(0)&gt;0,"X",IF((CU21)-(0)&gt;0,"?",""))),"")</f>
        <v/>
      </c>
      <c r="CW21" s="493" cm="1">
        <f t="array" ref="CW21">IF(12=12,IF(AW21="","",SUMPRODUCT(--ISNUMBER(SEARCH(" "&amp;DT2015:DT2032&amp;" ",BC21)))),"")</f>
        <v>0</v>
      </c>
      <c r="CX21" s="493" cm="1">
        <f t="array" ref="CX21">IF(12=12,IF(AW21="","",SUMPRODUCT(--ISNUMBER(SEARCH(" "&amp;DT2033:DT2047&amp;" ",BC21)))),"")</f>
        <v>0</v>
      </c>
      <c r="CY21" s="493" t="str">
        <f>IF(12=12,IF(AW21="","",IF((CW21)-(0)&gt;0,"X",IF((CX21)-(0)&gt;0,"?",""))),"")</f>
        <v/>
      </c>
      <c r="CZ21" s="493" cm="1">
        <f t="array" ref="CZ21">IF(12=12,IF(AW21="","",SUMPRODUCT(--ISNUMBER(SEARCH(" "&amp;DT2048:DT2066&amp;" ",BC21)))),"")</f>
        <v>0</v>
      </c>
      <c r="DA21" s="493" cm="1">
        <f t="array" ref="DA21">IF(12=12,IF(AW21="","",SUMPRODUCT(--ISNUMBER(SEARCH(" "&amp;DT2067:DT2081&amp;" ",BC21)))),"")</f>
        <v>0</v>
      </c>
      <c r="DB21" s="493" t="str">
        <f>IF(12=12,IF(AW21="","",IF((CZ21)-(0)&gt;0,"X",IF((DA21)-(0)&gt;0,"?",""))),"")</f>
        <v/>
      </c>
      <c r="DC21" s="493" cm="1">
        <f t="array" ref="DC21">IF(12=12,IF(AW21="","",SUMPRODUCT(--ISNUMBER(SEARCH(" "&amp;DT2082:DT2102&amp;" ",BC21)))),"")</f>
        <v>0</v>
      </c>
      <c r="DD21" s="493" cm="1">
        <f t="array" ref="DD21">IF(12=12,IF(AW21="","",SUMPRODUCT(--ISNUMBER(SEARCH(" "&amp;DT2103:DT2142&amp;" ",SUBSTITUTE(SUBSTITUTE(BC21," "&amp;DT1376&amp;" "," ")," "&amp;DT1375&amp;" "," "))))+--ISNUMBER(SEARCH("poiré",AX21))),"")</f>
        <v>0</v>
      </c>
      <c r="DE21" s="493" t="str">
        <f>IF(12=12,IF(AW21="","",IF(OR(DC21&gt;0,ISNUMBER(SEARCH(" vinaigre de vin ",BC21)),ISNUMBER(SEARCH(" vinaigre au vin ",BC21))),"X",IF(DD21&gt;0,"?",""))),"")</f>
        <v/>
      </c>
      <c r="DF21" s="493" cm="1">
        <f t="array" ref="DF21">IF(12=12,IF(AW21="","",SUMPRODUCT(--ISNUMBER(SEARCH(" "&amp;DT2143:DT2155&amp;" ",BC21)))),"")</f>
        <v>0</v>
      </c>
      <c r="DG21" s="493" cm="1">
        <f t="array" ref="DG21">IF(12=12,IF(AW21="","",SUMPRODUCT(--ISNUMBER(SEARCH(" "&amp;DT2156:DT2161&amp;" ",BC21)))),"")</f>
        <v>0</v>
      </c>
      <c r="DH21" s="493" t="str">
        <f>IF(12=12,IF(AW21="","",IF((DF21)-(0)&gt;0,"X",IF((DG21)-(0)&gt;0,"?",""))),"")</f>
        <v/>
      </c>
      <c r="DI21" s="493" cm="1">
        <f t="array" ref="DI21">IF(12=12,IF(AW21="","",SUMPRODUCT(--ISNUMBER(SEARCH(" "&amp;DT2162:DT2261&amp;" ",DL21)))),"")</f>
        <v>0</v>
      </c>
      <c r="DJ21" s="493" cm="1">
        <f t="array" ref="DJ21">IF(12=12,IF(AW21="","",SUMPRODUCT(--ISNUMBER(SEARCH(" "&amp;DT2262:DT2361&amp;" ",DL21)))),"")</f>
        <v>0</v>
      </c>
      <c r="DK21" s="493" cm="1">
        <f t="array" ref="DK21">IF(12=12,IF(AW21="","",SUMPRODUCT(--ISNUMBER(SEARCH(" "&amp;DT2362:DT2404&amp;" ",DL21)))),"")</f>
        <v>0</v>
      </c>
      <c r="DL21" s="493" t="str">
        <f>IF(12=12,IF(AW21="","",SUBSTITUTE(SUBSTITUTE(SUBSTITUTE(SUBSTITUTE(SUBSTITUTE(SUBSTITUTE(SUBSTITUTE(SUBSTITUTE(SUBSTITUTE(SUBSTITUTE(SUBSTITUTE(SUBSTITUTE(SUBSTITUTE(SUBSTITUTE(SUBSTITUTE(SUBSTITUTE(BC21," "&amp;DT2410&amp;" "," ")," "&amp;DT2409&amp;" "," ")," "&amp;DT2408&amp;" "," ")," "&amp;DT2415&amp;" "," ")," "&amp;DT2407&amp;" "," ")," "&amp;DT2419&amp;" "," ")," "&amp;DT2406&amp;" "," ")," "&amp;DT2411&amp;" "," ")," "&amp;DT2414&amp;" "," ")," "&amp;DT2405&amp;" "," ")," "&amp;DT2413&amp;" "," ")," "&amp;DT2420&amp;" "," ")," "&amp;DT2417&amp;" "," ")," "&amp;DT2412&amp;" "," ")," "&amp;DT2416&amp;" "," ")," "&amp;DT2418&amp;" "," ")),"")</f>
        <v xml:space="preserve"> sel fin </v>
      </c>
      <c r="DM21" s="493" cm="1">
        <f t="array" ref="DM21">IF(12=12,IF(AW21="","",SUMPRODUCT(--ISNUMBER(SEARCH(" "&amp;DT2421:DT2425&amp;" ",DL21)))),"")</f>
        <v>0</v>
      </c>
      <c r="DN21" s="493" t="str">
        <f>IF(12=12,IF(AW21="","",IF(SUM(DI21:DK21)&gt;0,"X",IF(DM21&gt;0,"?",""))),"")</f>
        <v/>
      </c>
      <c r="DO21" s="494"/>
      <c r="DP21" s="496" t="s">
        <v>1169</v>
      </c>
      <c r="DQ21" s="496" t="s">
        <v>1083</v>
      </c>
      <c r="DR21" s="496" t="s">
        <v>689</v>
      </c>
      <c r="DS21" s="496" t="s">
        <v>884</v>
      </c>
      <c r="DT21" s="496" t="s">
        <v>884</v>
      </c>
      <c r="DU21" s="496" t="s">
        <v>1085</v>
      </c>
      <c r="DV21" s="496" t="s">
        <v>1086</v>
      </c>
      <c r="DW21" s="496" t="s">
        <v>1087</v>
      </c>
      <c r="DX21" s="497" t="s">
        <v>1088</v>
      </c>
      <c r="DZ21" s="543">
        <v>1</v>
      </c>
      <c r="EB21" s="493"/>
      <c r="EC21" s="493"/>
    </row>
    <row r="22" spans="1:133" ht="21" customHeight="1">
      <c r="B22" s="823" t="s">
        <v>734</v>
      </c>
      <c r="C22" s="17"/>
      <c r="D22" s="17"/>
      <c r="E22" s="818" t="str">
        <f t="shared" si="4"/>
        <v>A</v>
      </c>
      <c r="F22" s="724" t="str">
        <f>F12</f>
        <v>M MACÉDOINE DE LÉGUMES AU COULIS DE TOMATE | HORS D'ŒUVRE texture modifiée-cuidité-MACEDOINE| Auteur &gt; Annette et Jean Pierre DOMERGUES - 45000 ORLÉANS 1981</v>
      </c>
      <c r="G22" s="725">
        <f>G12</f>
        <v>10</v>
      </c>
      <c r="H22" s="724" t="str">
        <f>H12</f>
        <v>couverts</v>
      </c>
      <c r="I22" s="726" t="str">
        <f>I12</f>
        <v>Recette mère ►  Textures modifiées</v>
      </c>
      <c r="J22" s="791"/>
      <c r="K22" s="809"/>
      <c r="L22" s="793" t="str">
        <f t="shared" si="1"/>
        <v/>
      </c>
      <c r="M22" s="794">
        <v>25</v>
      </c>
      <c r="N22" s="810" t="s">
        <v>790</v>
      </c>
      <c r="O22" s="796">
        <v>1</v>
      </c>
      <c r="P22" s="811" t="str">
        <f>ROWS(P16:P22)&amp;" ►"</f>
        <v>7 ►</v>
      </c>
      <c r="Q22" s="798" t="s">
        <v>271</v>
      </c>
      <c r="R22" s="799" t="s">
        <v>789</v>
      </c>
      <c r="S22" s="800">
        <f>IF(U28=0,0,(U22/U28)*T15*1000)</f>
        <v>16.371971185330715</v>
      </c>
      <c r="T22" s="813">
        <f>IF(U28=0, 0, (J22*O22)/(U28*T15))</f>
        <v>0</v>
      </c>
      <c r="U22" s="802">
        <f t="array" ref="U22">IFERROR(_xlfn.XLOOKUP(UPPER(TRIM(N22)),UPPER(TRIM(J29:Y29)),J30:Y30,_xlfn.XLOOKUP(UPPER(TRIM(N22)),UPPER(TRIM(J31:Y31)),J32:Y32,0))*M22*IF(J22&gt;0,J22,1),0)</f>
        <v>2.5000000000000001E-2</v>
      </c>
      <c r="V22" s="819">
        <f>IF(X11&lt;&gt;0,J22*O22*O11,0)</f>
        <v>0</v>
      </c>
      <c r="W22" s="820">
        <f t="shared" si="2"/>
        <v>0</v>
      </c>
      <c r="X22" s="805">
        <f>IF(OR(ISBLANK(X11),X11=0),0,U22*O22*O11)</f>
        <v>1.2500000000000001E-2</v>
      </c>
      <c r="Y22" s="824" t="str">
        <f>IF(N22="","",IF(COUNTIF(Q29:Y29,SUBSTITUTE(TRIM(N22)," (s)",""))+COUNTIF(Q31:Y31,SUBSTITUTE(TRIM(N22)," (s)",""))&gt;0,IF(ROUND(X22,3)&gt;=1,ROUND(X22,3)&amp;" L",MAX(1,ROUND(X22*100,0))&amp;" cl"),IF(COUNTIF(J29:O29,SUBSTITUTE(TRIM(N22)," (s)",""))+COUNTIF(J31:O31,SUBSTITUTE(TRIM(N22)," (s)",""))&gt;0,IF(ROUND(X22,3)&gt;=1,ROUND(X22,3)&amp;" Kg",MAX(1,ROUND(X22*1000,0))&amp;" g"),"")))</f>
        <v>13 g</v>
      </c>
      <c r="AA22" s="822"/>
      <c r="AC22" s="509">
        <v>7</v>
      </c>
      <c r="AD22" s="808" t="s">
        <v>271</v>
      </c>
      <c r="AE22" s="679" t="str">
        <f t="shared" si="3"/>
        <v>poivre blanc moulu</v>
      </c>
      <c r="AF22" s="512" t="str">
        <f>IF(13=13,IF(AD22="","",IF(AG22="X",""&amp;"Céréales contenant du gluten","")&amp;IF(AH22="X",IF(COUNTIF(AG22:AG22,"X")&gt;0,", ","")&amp;"Crustacés","")&amp;IF(AI22="X",IF(COUNTIF(AG22:AH22,"X")&gt;0,", ","")&amp;"Œufs","")&amp;IF(AJ22="X",IF(COUNTIF(AG22:AI22,"X")&gt;0,", ","")&amp;"Poissons","")&amp;IF(AK22="X",IF(COUNTIF(AG22:AJ22,"X")&gt;0,", ","")&amp;"Arachides","")&amp;IF(AL22="X",IF(COUNTIF(AG22:AK22,"X")&gt;0,", ","")&amp;"Soja","")&amp;IF(AM22="X",IF(COUNTIF(AG22:AL22,"X")&gt;0,", ","")&amp;"Lait","")&amp;IF(AN22="X",IF(COUNTIF(AG22:AM22,"X")&gt;0,", ","")&amp;"Fruits à coque","")&amp;IF(AO22="X",IF(COUNTIF(AG22:AN22,"X")&gt;0,", ","")&amp;"Céleri","")&amp;IF(AP22="X",IF(COUNTIF(AG22:AO22,"X")&gt;0,", ","")&amp;"Moutarde","")&amp;IF(AQ22="X",IF(COUNTIF(AG22:AP22,"X")&gt;0,", ","")&amp;"Sésame","")&amp;IF(AR22="X",IF(COUNTIF(AG22:AQ22,"X")&gt;0,", ","")&amp;"Sulfites","")&amp;IF(AS22="X",IF(COUNTIF(AG22:AR22,"X")&gt;0,", ","")&amp;"Lupin","")&amp;IF(AT22="X",IF(COUNTIF(AG22:AS22,"X")&gt;0,", ","")&amp;"Mollusques","")),"")</f>
        <v/>
      </c>
      <c r="AG22" s="513" t="str">
        <f>IF(13=13,IF(AD22="","",BH22),"")</f>
        <v/>
      </c>
      <c r="AH22" s="513" t="str">
        <f>IF(13=13,IF(AD22="","",BK22),"")</f>
        <v/>
      </c>
      <c r="AI22" s="513" t="str">
        <f>IF(13=13,IF(AD22="","",BO22),"")</f>
        <v/>
      </c>
      <c r="AJ22" s="513" t="str">
        <f>IF(13=13,IF(AD22="","",IF(ISNUMBER(SEARCH(" colin ",BC22)),"X",CB22)),"")</f>
        <v/>
      </c>
      <c r="AK22" s="513" t="str">
        <f>IF(13=13,IF(AD22="","",CD22),"")</f>
        <v/>
      </c>
      <c r="AL22" s="513" t="str">
        <f>IF(13=13,IF(AD22="","",CH22),"")</f>
        <v/>
      </c>
      <c r="AM22" s="513" t="str">
        <f>IF(13=13,IF(AD22="","",CO22),"")</f>
        <v/>
      </c>
      <c r="AN22" s="513" t="str">
        <f>IF(13=13,IF(AD22="","",CS22),"")</f>
        <v/>
      </c>
      <c r="AO22" s="513" t="str">
        <f>IF(13=13,IF(AD22="","",CV22),"")</f>
        <v/>
      </c>
      <c r="AP22" s="513" t="str">
        <f>IF(13=13,IF(AD22="","",CY22),"")</f>
        <v/>
      </c>
      <c r="AQ22" s="513" t="str">
        <f>IF(13=13,IF(AD22="","",DB22),"")</f>
        <v/>
      </c>
      <c r="AR22" s="513" t="str">
        <f>IF(13=13,IF(AD22="","",DE22),"")</f>
        <v/>
      </c>
      <c r="AS22" s="513" t="str">
        <f>IF(13=13,IF(AD22="","",DH22),"")</f>
        <v/>
      </c>
      <c r="AT22" s="513" t="str">
        <f>IF(13=13,IF(AD22="","",DN22),"")</f>
        <v/>
      </c>
      <c r="AU22" s="514" t="str">
        <f>IF(13=13,IF(AD22="","",IF(AG22="?",""&amp;"Céréales contenant du gluten","")&amp;IF(AH22="?",IF(COUNTIF(AG22:AG22,"~?")&gt;0,", ","")&amp;"Crustacés","")&amp;IF(AI22="?",IF(COUNTIF(AG22:AH22,"~?")&gt;0,", ","")&amp;"Œufs","")&amp;IF(AJ22="?",IF(COUNTIF(AG22:AI22,"~?")&gt;0,", ","")&amp;"Poissons","")&amp;IF(AK22="?",IF(COUNTIF(AG22:AJ22,"~?")&gt;0,", ","")&amp;"Arachides","")&amp;IF(AL22="?",IF(COUNTIF(AG22:AK22,"~?")&gt;0,", ","")&amp;"Soja","")&amp;IF(AM22="?",IF(COUNTIF(AG22:AL22,"~?")&gt;0,", ","")&amp;"Lait","")&amp;IF(AN22="?",IF(COUNTIF(AG22:AM22,"~?")&gt;0,", ","")&amp;"Fruits à coque","")&amp;IF(AO22="?",IF(COUNTIF(AG22:AN22,"~?")&gt;0,", ","")&amp;"Céleri","")&amp;IF(AP22="?",IF(COUNTIF(AG22:AO22,"~?")&gt;0,", ","")&amp;"Moutarde","")&amp;IF(AQ22="?",IF(COUNTIF(AG22:AP22,"~?")&gt;0,", ","")&amp;"Sésame","")&amp;IF(AR22="?",IF(COUNTIF(AG22:AQ22,"~?")&gt;0,", ","")&amp;"Sulfites","")&amp;IF(AS22="?",IF(COUNTIF(AG22:AR22,"~?")&gt;0,", ","")&amp;"Lupin","")&amp;IF(AT22="?",IF(COUNTIF(AG22:AS22,"~?")&gt;0,", ","")&amp;"Mollusques","")),"")</f>
        <v/>
      </c>
      <c r="AW22" s="493" t="str">
        <f>IF(13=13,IF(AD22="","",AD22),"")</f>
        <v>poivre blanc moulu</v>
      </c>
      <c r="AX22" s="493" t="str">
        <f>IF(13=13,LOWER(CLEAN(SUBSTITUTE(SUBSTITUTE(SUBSTITUTE(SUBSTITUTE(AW22,CHAR(160)," ")," "," "),CHAR(10)," "),CHAR(13)," "))),"")</f>
        <v>poivre blanc moulu</v>
      </c>
      <c r="AY22" s="493" t="str">
        <f>IF(13=13,SUBSTITUTE(SUBSTITUTE(SUBSTITUTE(SUBSTITUTE(SUBSTITUTE(SUBSTITUTE(SUBSTITUTE(SUBSTITUTE(SUBSTITUTE(SUBSTITUTE(SUBSTITUTE(SUBSTITUTE(AX22,"œ","oe"),"æ","ae"),"à","a"),"á","a"),"â","a"),"ä","a"),"ã","a"),"ç","c"),"è","e"),"é","e"),"ê","e"),"ë","e"),"")</f>
        <v>poivre blanc moulu</v>
      </c>
      <c r="AZ22" s="493" t="str">
        <f>IF(13=13,SUBSTITUTE(SUBSTITUTE(SUBSTITUTE(SUBSTITUTE(SUBSTITUTE(SUBSTITUTE(SUBSTITUTE(SUBSTITUTE(SUBSTITUTE(SUBSTITUTE(SUBSTITUTE(SUBSTITUTE(SUBSTITUTE(SUBSTITUTE(SUBSTITUTE(SUBSTITUTE(AY22,"ì","i"),"í","i"),"î","i"),"ï","i"),"ñ","n"),"ò","o"),"ó","o"),"ô","o"),"ö","o"),"õ","o"),"ù","u"),"ú","u"),"û","u"),"ü","u"),"ý","y"),"ÿ","y"),"")</f>
        <v>poivre blanc moulu</v>
      </c>
      <c r="BA22" s="493" t="str">
        <f>IF(13=13,SUBSTITUTE(SUBSTITUTE(SUBSTITUTE(SUBSTITUTE(SUBSTITUTE(SUBSTITUTE(SUBSTITUTE(SUBSTITUTE(SUBSTITUTE(SUBSTITUTE(SUBSTITUTE(SUBSTITUTE(SUBSTITUTE(SUBSTITUTE(AZ22,"’"," "),"`"," "),"–"," "),"—"," "),"-"," "),"'"," "),"/"," "),"_"," "),","," "),"."," "),"("," "),")"," "),";"," "),":"," "),"")</f>
        <v>poivre blanc moulu</v>
      </c>
      <c r="BB22" s="493" t="str">
        <f>IF(13=13,SUBSTITUTE(SUBSTITUTE(SUBSTITUTE(SUBSTITUTE(SUBSTITUTE(SUBSTITUTE(SUBSTITUTE(SUBSTITUTE(SUBSTITUTE(SUBSTITUTE(SUBSTITUTE(SUBSTITUTE(SUBSTITUTE(SUBSTITUTE(SUBSTITUTE(BA22,"!"," "),"?"," "),"+"," "),"*"," "),"&amp;"," "),"["," "),"]"," "),"{"," "),"}"," "),"%"," "),"="," "),"\"," "),"|"," "),"&lt;"," "),"&gt;"," "),"")</f>
        <v>poivre blanc moulu</v>
      </c>
      <c r="BC22" s="493" t="str">
        <f>IF(13=13," "&amp;TRIM(SUBSTITUTE(SUBSTITUTE(SUBSTITUTE(SUBSTITUTE(SUBSTITUTE(SUBSTITUTE(BB22,CHAR(34)," "),"  "," "),"  "," "),"  "," "),"  "," "),"  "," "))&amp;" ","")</f>
        <v xml:space="preserve"> poivre blanc moulu </v>
      </c>
      <c r="BD22" s="493" cm="1">
        <f t="array" ref="BD22">IF(13=13,IF(AW22="","",SUMPRODUCT(--ISNUMBER(SEARCH(" "&amp;DT11:DT110&amp;" ",BF22)))),"")</f>
        <v>0</v>
      </c>
      <c r="BE22" s="493" cm="1">
        <f t="array" ref="BE22">IF(13=13,IF(AW22="","",SUMPRODUCT(--ISNUMBER(SEARCH(" "&amp;DT111:DT160&amp;" ",BF22)))),"")</f>
        <v>0</v>
      </c>
      <c r="BF22" s="493" t="str">
        <f>IF(AW22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22,"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xml:space="preserve"> poivre blanc moulu </v>
      </c>
      <c r="BG22" s="493" cm="1">
        <f t="array" ref="BG22">IF(AW22="","",SUMPRODUCT(--ISNUMBER(SEARCH(" "&amp;DT193:DT214&amp;" ",BF22)))+--ISNUMBER(SEARCH(" "&amp;DT2463&amp;" ",BF22)))</f>
        <v>0</v>
      </c>
      <c r="BH22" s="493" t="str" cm="1">
        <f t="array" ref="BH22">IF(13=13,IF(AW22="","",IF(SUM(BD22:BE22)+SUMPRODUCT(--ISNUMBER(SEARCH(" "&amp;DT2427:DT2429&amp;" ",BF22)))&gt;0,"X",IF(BG22&gt;0,"?",""))),"")</f>
        <v/>
      </c>
      <c r="BI22" s="493" cm="1">
        <f t="array" ref="BI22">IF(13=13,IF(AW22="","",SUMPRODUCT(--ISNUMBER(SEARCH(" "&amp;DT215:DT314&amp;" ",BC22)))),"")</f>
        <v>0</v>
      </c>
      <c r="BJ22" s="493" cm="1">
        <f t="array" ref="BJ22">IF(13=13,IF(AW22="","",SUMPRODUCT(--ISNUMBER(SEARCH(" "&amp;DT315:DT349&amp;" ",BC22)))),"")</f>
        <v>0</v>
      </c>
      <c r="BK22" s="493" t="str">
        <f>IF(13=13,IF(AW22="","",IF((SUM(BI22:BJ22))-(0)&gt;0,"X",IF((0)-(0)&gt;0,"?",""))),"")</f>
        <v/>
      </c>
      <c r="BL22" s="493" cm="1">
        <f t="array" ref="BL22">IF(13=13,IF(AW22="","",SUMPRODUCT(--ISNUMBER(SEARCH(" "&amp;DT350:DT407&amp;" ",BC22)))),"")</f>
        <v>0</v>
      </c>
      <c r="BM22" s="493" cm="1">
        <f t="array" ref="BM22">IF(13=13,IF(AW22="","",SUMPRODUCT(--ISNUMBER(SEARCH(" "&amp;DT408:DT435&amp;" ",BN22)))+SUMPRODUCT(--ISNUMBER(SEARCH(" "&amp;DT2449:DT2462&amp;" ",BN22)))),"")</f>
        <v>0</v>
      </c>
      <c r="BN22" s="493" t="str">
        <f>IF(13=13,IF(AW22="","",SUBSTITUTE(SUBSTITUTE(SUBSTITUTE(SUBSTITUTE(SUBSTITUTE(SUBSTITUTE(SUBSTITUTE(SUBSTITUTE(SUBSTITUTE(SUBSTITUTE(SUBSTITUTE(SUBSTITUTE(SUBSTITUTE(SUBSTITUTE(BC22," "&amp;DT2464&amp;" "," ")," "&amp;DT442&amp;" "," ")," "&amp;DT440&amp;" "," ")," "&amp;DT2447&amp;" "," ")," "&amp;DT2448&amp;" "," ")," "&amp;DT437&amp;" "," ")," "&amp;DT441&amp;" "," ")," "&amp;DT443&amp;" "," ")," "&amp;DT438&amp;" "," ")," "&amp;DT436&amp;" "," ")," "&amp;DT1376&amp;" "," ")," "&amp;DT444&amp;" "," ")," "&amp;DT1375&amp;" "," ")," "&amp;DT439&amp;" "," ")),"")</f>
        <v xml:space="preserve"> poivre blanc moulu </v>
      </c>
      <c r="BO22" s="493" t="str">
        <f>IF(13=13,IF(AW22="","",IF(BL22&gt;0,"X",IF(BM22&gt;0,"?",""))),"")</f>
        <v/>
      </c>
      <c r="BP22" s="493" cm="1">
        <f t="array" ref="BP22">IF(13=13,IF(AW22="","",SUMPRODUCT(--ISNUMBER(SEARCH(" "&amp;DT445:DT544&amp;" ",BZ22)))),"")</f>
        <v>0</v>
      </c>
      <c r="BQ22" s="493" cm="1">
        <f t="array" ref="BQ22">IF(13=13,IF(AW22="","",SUMPRODUCT(--ISNUMBER(SEARCH(" "&amp;DT545:DT644&amp;" ",BZ22)))),"")</f>
        <v>0</v>
      </c>
      <c r="BR22" s="493" cm="1">
        <f t="array" ref="BR22">IF(13=13,IF(AW22="","",SUMPRODUCT(--ISNUMBER(SEARCH(" "&amp;DT645:DT744&amp;" ",BZ22)))),"")</f>
        <v>0</v>
      </c>
      <c r="BS22" s="493" cm="1">
        <f t="array" ref="BS22">IF(13=13,IF(AW22="","",SUMPRODUCT(--ISNUMBER(SEARCH(" "&amp;DT745:DT844&amp;" ",BZ22)))),"")</f>
        <v>0</v>
      </c>
      <c r="BT22" s="493" cm="1">
        <f t="array" ref="BT22">IF(13=13,IF(AW22="","",SUMPRODUCT(--ISNUMBER(SEARCH(" "&amp;DT845:DT944&amp;" ",BZ22)))),"")</f>
        <v>0</v>
      </c>
      <c r="BU22" s="493" cm="1">
        <f t="array" ref="BU22">IF(13=13,IF(AW22="","",SUMPRODUCT(--ISNUMBER(SEARCH(" "&amp;DT945:DT1044&amp;" ",BZ22)))),"")</f>
        <v>0</v>
      </c>
      <c r="BV22" s="493" cm="1">
        <f t="array" ref="BV22">IF(13=13,IF(AW22="","",SUMPRODUCT(--ISNUMBER(SEARCH(" "&amp;DT1045:DT1144&amp;" ",BZ22)))),"")</f>
        <v>0</v>
      </c>
      <c r="BW22" s="493" cm="1">
        <f t="array" ref="BW22">IF(13=13,IF(AW22="","",SUMPRODUCT(--ISNUMBER(SEARCH(" "&amp;DT1145:DT1244&amp;" ",BZ22)))),"")</f>
        <v>0</v>
      </c>
      <c r="BX22" s="493" cm="1">
        <f t="array" ref="BX22">IF(13=13,IF(AW22="","",SUMPRODUCT(--ISNUMBER(SEARCH(" "&amp;DT1245:DT1344&amp;" ",BZ22)))),"")</f>
        <v>0</v>
      </c>
      <c r="BY22" s="493" cm="1">
        <f t="array" ref="BY22">IF(13=13,IF(AW22="","",SUMPRODUCT(--ISNUMBER(SEARCH(" "&amp;DT1345:DT1372&amp;" ",BZ22)))),"")</f>
        <v>0</v>
      </c>
      <c r="BZ22" s="493" t="str">
        <f>IF(13=13,IF(AW22="","",SUBSTITUTE(SUBSTITUTE(SUBSTITUTE(SUBSTITUTE(SUBSTITUTE(SUBSTITUTE(SUBSTITUTE(SUBSTITUTE(SUBSTITUTE(BC22," "&amp;DT1374&amp;" "," ")," "&amp;DT1373&amp;" "," ")," "&amp;DT1379&amp;" "," ")," "&amp;DT1380&amp;" "," ")," "&amp;DT1376&amp;" "," ")," "&amp;DT1378&amp;" "," ")," "&amp;DT1375&amp;" "," ")," "&amp;DT1377&amp;" "," ")," "&amp;DT1381&amp;" "," ")),"")</f>
        <v xml:space="preserve"> poivre blanc moulu </v>
      </c>
      <c r="CA22" s="493" cm="1">
        <f t="array" ref="CA22">IF(13=13,IF(AW22="","",SUMPRODUCT(--ISNUMBER(SEARCH(" "&amp;DT1382:DT1392&amp;" ",BZ22)))),"")</f>
        <v>0</v>
      </c>
      <c r="CB22" s="493" t="str" cm="1">
        <f t="array" ref="CB22">IF(13=13,IF(AW22="","",IF(SUM(BP22:BY22)+SUMPRODUCT(--ISNUMBER(SEARCH(" "&amp;DT2430:DT2431&amp;" ",BZ22)))&gt;0,"X",IF(CA22&gt;0,"?",""))),"")</f>
        <v/>
      </c>
      <c r="CC22" s="493" cm="1">
        <f t="array" ref="CC22">IF(13=13,IF(AW22="","",SUMPRODUCT(--ISNUMBER(SEARCH(" "&amp;DT1393:DT1413&amp;" ",BC22)))),"")</f>
        <v>0</v>
      </c>
      <c r="CD22" s="493" t="str">
        <f>IF(13=13,IF(AW22="","",IF((CC22)-(0)&gt;0,"X",IF((0)-(0)&gt;0,"?",""))),"")</f>
        <v/>
      </c>
      <c r="CE22" s="493" cm="1">
        <f t="array" ref="CE22">IF(13=13,IF(AW22="","",SUMPRODUCT(--ISNUMBER(SEARCH(" "&amp;DT1414:DT1451&amp;" ",CF22)))),"")</f>
        <v>0</v>
      </c>
      <c r="CF22" s="493" t="str">
        <f>IF(13=13,IF(AW22="","",SUBSTITUTE(SUBSTITUTE(BC22," "&amp;DT1452&amp;" "," ")," "&amp;DT1453&amp;" "," ")),"")</f>
        <v xml:space="preserve"> poivre blanc moulu </v>
      </c>
      <c r="CG22" s="493" cm="1">
        <f t="array" ref="CG22">IF(13=13,IF(AW22="","",SUMPRODUCT(--ISNUMBER(SEARCH(" "&amp;DT1454:DT1464&amp;" ",CF22)))),"")</f>
        <v>0</v>
      </c>
      <c r="CH22" s="493" t="str">
        <f>IF(13=13,IF(AW22="","",IF(CE22&gt;0,"X",IF(CG22&gt;0,"?",""))),"")</f>
        <v/>
      </c>
      <c r="CI22" s="493" cm="1">
        <f t="array" ref="CI22">IF(13=13,IF(AW22="","",SUMPRODUCT(--ISNUMBER(SEARCH(" "&amp;DT1465:DT1564&amp;" ",CL22)))),"")</f>
        <v>0</v>
      </c>
      <c r="CJ22" s="493" cm="1">
        <f t="array" ref="CJ22">IF(13=13,IF(AW22="","",SUMPRODUCT(--ISNUMBER(SEARCH(" "&amp;DT1565:DT1664&amp;" ",CL22)))),"")</f>
        <v>0</v>
      </c>
      <c r="CK22" s="493" cm="1">
        <f t="array" ref="CK22">IF(13=13,IF(AW22="","",SUMPRODUCT(--ISNUMBER(SEARCH(" "&amp;DT1665:DT1748&amp;" ",CL22)))),"")</f>
        <v>0</v>
      </c>
      <c r="CL22" s="493" t="str">
        <f>IF(13=13,IF(AW22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22,"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xml:space="preserve"> poivre blanc moulu </v>
      </c>
      <c r="CM22" s="493" cm="1">
        <f t="array" ref="CM22">IF(13=13,IF(AW22="","",SUMPRODUCT(--ISNUMBER(SEARCH(" "&amp;DT1799:DT1878&amp;" ",CN22)))+SUMPRODUCT(--ISNUMBER(SEARCH(" "&amp;DT2449:DT2462&amp;" ",CN22)))),"")</f>
        <v>0</v>
      </c>
      <c r="CN22" s="493" t="str">
        <f>IF(13=13,IF(AW22="","",SUBSTITUTE(SUBSTITUTE(SUBSTITUTE(SUBSTITUTE(SUBSTITUTE(SUBSTITUTE(SUBSTITUTE(SUBSTITUTE(SUBSTITUTE(SUBSTITUTE(SUBSTITUTE(SUBSTITUTE(SUBSTITUTE(CL22," "&amp;DT1885&amp;" "," ")," "&amp;DT1883&amp;" "," ")," "&amp;DT2447&amp;" "," ")," "&amp;DT2448&amp;" "," ")," "&amp;DT1880&amp;" "," ")," "&amp;DT1884&amp;" "," ")," "&amp;DT1886&amp;" "," ")," "&amp;DT1881&amp;" "," ")," "&amp;DT1879&amp;" "," ")," "&amp;DT1376&amp;" "," ")," "&amp;DT1887&amp;" "," ")," "&amp;DT1375&amp;" "," ")," "&amp;DT1882&amp;" "," ")),"")</f>
        <v xml:space="preserve"> poivre blanc moulu </v>
      </c>
      <c r="CO22" s="493" t="str" cm="1">
        <f t="array" ref="CO22">IF(13=13,IF(AW22="","",IF(SUM(CI22:CK22)+SUMPRODUCT(--ISNUMBER(SEARCH(" "&amp;DT2432:DT2433&amp;" ",CL22)))&gt;0,"X",IF(CM22&gt;0,"?",""))),"")</f>
        <v/>
      </c>
      <c r="CP22" s="493" cm="1">
        <f t="array" ref="CP22">IF(13=13,IF(AW22="","",SUMPRODUCT(--ISNUMBER(SEARCH(" "&amp;DT1888:DT1945&amp;" ",CQ22)))),"")</f>
        <v>0</v>
      </c>
      <c r="CQ22" s="493" t="str">
        <f>IF(13=13,IF(AW22="","",SUBSTITUTE(SUBSTITUTE(SUBSTITUTE(SUBSTITUTE(SUBSTITUTE(SUBSTITUTE(SUBSTITUTE(SUBSTITUTE(SUBSTITUTE(SUBSTITUTE(SUBSTITUTE(SUBSTITUTE(SUBSTITUTE(SUBSTITUTE(SUBSTITUTE(SUBSTITUTE(SUBSTITUTE(SUBSTITUTE(SUBSTITUTE(SUBSTITUTE(SUBSTITUTE(SUBSTITUTE(SUBSTITUTE(BC22,"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xml:space="preserve"> poivre blanc moulu </v>
      </c>
      <c r="CR22" s="493" cm="1">
        <f t="array" ref="CR22">IF(13=13,IF(AW22="","",SUMPRODUCT(--ISNUMBER(SEARCH(" "&amp;DT1969:DT1985&amp;" ",CQ22)))),"")</f>
        <v>0</v>
      </c>
      <c r="CS22" s="493" t="str">
        <f>IF(13=13,IF(AW22="","",IF(CP22&gt;0,"X",IF(CR22&gt;0,"?",""))),"")</f>
        <v/>
      </c>
      <c r="CT22" s="493" cm="1">
        <f t="array" ref="CT22">IF(13=13,IF(AW22="","",SUMPRODUCT(--ISNUMBER(SEARCH(" "&amp;DT1986:DT1999&amp;" ",BC22)))),"")</f>
        <v>0</v>
      </c>
      <c r="CU22" s="493" cm="1">
        <f t="array" ref="CU22">IF(13=13,IF(AW22="","",SUMPRODUCT(--ISNUMBER(SEARCH(" "&amp;DT2000:DT2014&amp;" ",BC22)))),"")</f>
        <v>0</v>
      </c>
      <c r="CV22" s="493" t="str">
        <f>IF(13=13,IF(AW22="","",IF((CT22)-(0)&gt;0,"X",IF((CU22)-(0)&gt;0,"?",""))),"")</f>
        <v/>
      </c>
      <c r="CW22" s="493" cm="1">
        <f t="array" ref="CW22">IF(13=13,IF(AW22="","",SUMPRODUCT(--ISNUMBER(SEARCH(" "&amp;DT2015:DT2032&amp;" ",BC22)))),"")</f>
        <v>0</v>
      </c>
      <c r="CX22" s="493" cm="1">
        <f t="array" ref="CX22">IF(13=13,IF(AW22="","",SUMPRODUCT(--ISNUMBER(SEARCH(" "&amp;DT2033:DT2047&amp;" ",BC22)))),"")</f>
        <v>0</v>
      </c>
      <c r="CY22" s="493" t="str">
        <f>IF(13=13,IF(AW22="","",IF((CW22)-(0)&gt;0,"X",IF((CX22)-(0)&gt;0,"?",""))),"")</f>
        <v/>
      </c>
      <c r="CZ22" s="493" cm="1">
        <f t="array" ref="CZ22">IF(13=13,IF(AW22="","",SUMPRODUCT(--ISNUMBER(SEARCH(" "&amp;DT2048:DT2066&amp;" ",BC22)))),"")</f>
        <v>0</v>
      </c>
      <c r="DA22" s="493" cm="1">
        <f t="array" ref="DA22">IF(13=13,IF(AW22="","",SUMPRODUCT(--ISNUMBER(SEARCH(" "&amp;DT2067:DT2081&amp;" ",BC22)))),"")</f>
        <v>0</v>
      </c>
      <c r="DB22" s="493" t="str">
        <f>IF(13=13,IF(AW22="","",IF((CZ22)-(0)&gt;0,"X",IF((DA22)-(0)&gt;0,"?",""))),"")</f>
        <v/>
      </c>
      <c r="DC22" s="493" cm="1">
        <f t="array" ref="DC22">IF(13=13,IF(AW22="","",SUMPRODUCT(--ISNUMBER(SEARCH(" "&amp;DT2082:DT2102&amp;" ",BC22)))),"")</f>
        <v>0</v>
      </c>
      <c r="DD22" s="493" cm="1">
        <f t="array" ref="DD22">IF(13=13,IF(AW22="","",SUMPRODUCT(--ISNUMBER(SEARCH(" "&amp;DT2103:DT2142&amp;" ",SUBSTITUTE(SUBSTITUTE(BC22," "&amp;DT1376&amp;" "," ")," "&amp;DT1375&amp;" "," "))))+--ISNUMBER(SEARCH("poiré",AX22))),"")</f>
        <v>0</v>
      </c>
      <c r="DE22" s="493" t="str">
        <f>IF(13=13,IF(AW22="","",IF(OR(DC22&gt;0,ISNUMBER(SEARCH(" vinaigre de vin ",BC22)),ISNUMBER(SEARCH(" vinaigre au vin ",BC22))),"X",IF(DD22&gt;0,"?",""))),"")</f>
        <v/>
      </c>
      <c r="DF22" s="493" cm="1">
        <f t="array" ref="DF22">IF(13=13,IF(AW22="","",SUMPRODUCT(--ISNUMBER(SEARCH(" "&amp;DT2143:DT2155&amp;" ",BC22)))),"")</f>
        <v>0</v>
      </c>
      <c r="DG22" s="493" cm="1">
        <f t="array" ref="DG22">IF(13=13,IF(AW22="","",SUMPRODUCT(--ISNUMBER(SEARCH(" "&amp;DT2156:DT2161&amp;" ",BC22)))),"")</f>
        <v>0</v>
      </c>
      <c r="DH22" s="493" t="str">
        <f>IF(13=13,IF(AW22="","",IF((DF22)-(0)&gt;0,"X",IF((DG22)-(0)&gt;0,"?",""))),"")</f>
        <v/>
      </c>
      <c r="DI22" s="493" cm="1">
        <f t="array" ref="DI22">IF(13=13,IF(AW22="","",SUMPRODUCT(--ISNUMBER(SEARCH(" "&amp;DT2162:DT2261&amp;" ",DL22)))),"")</f>
        <v>0</v>
      </c>
      <c r="DJ22" s="493" cm="1">
        <f t="array" ref="DJ22">IF(13=13,IF(AW22="","",SUMPRODUCT(--ISNUMBER(SEARCH(" "&amp;DT2262:DT2361&amp;" ",DL22)))),"")</f>
        <v>0</v>
      </c>
      <c r="DK22" s="493" cm="1">
        <f t="array" ref="DK22">IF(13=13,IF(AW22="","",SUMPRODUCT(--ISNUMBER(SEARCH(" "&amp;DT2362:DT2404&amp;" ",DL22)))),"")</f>
        <v>0</v>
      </c>
      <c r="DL22" s="493" t="str">
        <f>IF(13=13,IF(AW22="","",SUBSTITUTE(SUBSTITUTE(SUBSTITUTE(SUBSTITUTE(SUBSTITUTE(SUBSTITUTE(SUBSTITUTE(SUBSTITUTE(SUBSTITUTE(SUBSTITUTE(SUBSTITUTE(SUBSTITUTE(SUBSTITUTE(SUBSTITUTE(SUBSTITUTE(SUBSTITUTE(BC22," "&amp;DT2410&amp;" "," ")," "&amp;DT2409&amp;" "," ")," "&amp;DT2408&amp;" "," ")," "&amp;DT2415&amp;" "," ")," "&amp;DT2407&amp;" "," ")," "&amp;DT2419&amp;" "," ")," "&amp;DT2406&amp;" "," ")," "&amp;DT2411&amp;" "," ")," "&amp;DT2414&amp;" "," ")," "&amp;DT2405&amp;" "," ")," "&amp;DT2413&amp;" "," ")," "&amp;DT2420&amp;" "," ")," "&amp;DT2417&amp;" "," ")," "&amp;DT2412&amp;" "," ")," "&amp;DT2416&amp;" "," ")," "&amp;DT2418&amp;" "," ")),"")</f>
        <v xml:space="preserve"> poivre blanc moulu </v>
      </c>
      <c r="DM22" s="493" cm="1">
        <f t="array" ref="DM22">IF(13=13,IF(AW22="","",SUMPRODUCT(--ISNUMBER(SEARCH(" "&amp;DT2421:DT2425&amp;" ",DL22)))),"")</f>
        <v>0</v>
      </c>
      <c r="DN22" s="493" t="str">
        <f>IF(13=13,IF(AW22="","",IF(SUM(DI22:DK22)&gt;0,"X",IF(DM22&gt;0,"?",""))),"")</f>
        <v/>
      </c>
      <c r="DO22" s="494"/>
      <c r="DP22" s="496" t="s">
        <v>1170</v>
      </c>
      <c r="DQ22" s="496" t="s">
        <v>1083</v>
      </c>
      <c r="DR22" s="496" t="s">
        <v>689</v>
      </c>
      <c r="DS22" s="496" t="s">
        <v>309</v>
      </c>
      <c r="DT22" s="496" t="s">
        <v>309</v>
      </c>
      <c r="DU22" s="496" t="s">
        <v>1085</v>
      </c>
      <c r="DV22" s="496" t="s">
        <v>1086</v>
      </c>
      <c r="DW22" s="496" t="s">
        <v>1087</v>
      </c>
      <c r="DX22" s="497" t="s">
        <v>1088</v>
      </c>
      <c r="DZ22" s="543">
        <v>1</v>
      </c>
      <c r="EB22" s="493"/>
      <c r="EC22" s="493"/>
    </row>
    <row r="23" spans="1:133" ht="21" customHeight="1">
      <c r="B23" s="17"/>
      <c r="C23" s="17"/>
      <c r="D23" s="17"/>
      <c r="E23" s="818" t="str">
        <f t="shared" si="4"/>
        <v>►</v>
      </c>
      <c r="F23" s="724" t="str">
        <f>F12</f>
        <v>M MACÉDOINE DE LÉGUMES AU COULIS DE TOMATE | HORS D'ŒUVRE texture modifiée-cuidité-MACEDOINE| Auteur &gt; Annette et Jean Pierre DOMERGUES - 45000 ORLÉANS 1981</v>
      </c>
      <c r="G23" s="725">
        <f>G12</f>
        <v>10</v>
      </c>
      <c r="H23" s="724" t="str">
        <f>H12</f>
        <v>couverts</v>
      </c>
      <c r="I23" s="726" t="str">
        <f>I12</f>
        <v>Recette mère ►  Textures modifiées</v>
      </c>
      <c r="J23" s="791"/>
      <c r="K23" s="809"/>
      <c r="L23" s="793" t="str">
        <f t="shared" si="1"/>
        <v/>
      </c>
      <c r="M23" s="794">
        <v>2</v>
      </c>
      <c r="N23" s="810" t="s">
        <v>790</v>
      </c>
      <c r="O23" s="796">
        <v>1</v>
      </c>
      <c r="P23" s="811" t="str">
        <f>ROWS(P16:P23)&amp;" ►"</f>
        <v>8 ►</v>
      </c>
      <c r="Q23" s="798"/>
      <c r="R23" s="799"/>
      <c r="S23" s="800">
        <f>IF(U28=0,0,(U23/U28)*T15*1000)</f>
        <v>1.3097576948264571</v>
      </c>
      <c r="T23" s="813">
        <f>IF(U28=0, 0, (J23*O23)/(U28*T15))</f>
        <v>0</v>
      </c>
      <c r="U23" s="802">
        <f t="array" ref="U23">IFERROR(_xlfn.XLOOKUP(UPPER(TRIM(N23)),UPPER(TRIM(J29:Y29)),J30:Y30,_xlfn.XLOOKUP(UPPER(TRIM(N23)),UPPER(TRIM(J31:Y31)),J32:Y32,0))*M23*IF(J23&gt;0,J23,1),0)</f>
        <v>2E-3</v>
      </c>
      <c r="V23" s="814">
        <f>IF(X11&lt;&gt;0,J23*O23*O11,0)</f>
        <v>0</v>
      </c>
      <c r="W23" s="815">
        <f t="shared" si="2"/>
        <v>0</v>
      </c>
      <c r="X23" s="805">
        <f>IF(OR(ISBLANK(X11),X11=0),0,U23*O23*O11)</f>
        <v>1E-3</v>
      </c>
      <c r="Y23" s="816" t="str">
        <f>IF(N23="","",IF(COUNTIF(Q29:Y29,SUBSTITUTE(TRIM(N23)," (s)",""))+COUNTIF(Q31:Y31,SUBSTITUTE(TRIM(N23)," (s)",""))&gt;0,IF(ROUND(X23,3)&gt;=1,ROUND(X23,3)&amp;" L",MAX(1,ROUND(X23*100,0))&amp;" cl"),IF(COUNTIF(J29:O29,SUBSTITUTE(TRIM(N23)," (s)",""))+COUNTIF(J31:O31,SUBSTITUTE(TRIM(N23)," (s)",""))&gt;0,IF(ROUND(X23,3)&gt;=1,ROUND(X23,3)&amp;" Kg",MAX(1,ROUND(X23*1000,0))&amp;" g"),"")))</f>
        <v>1 g</v>
      </c>
      <c r="AA23" s="689"/>
      <c r="AC23" s="509">
        <v>8</v>
      </c>
      <c r="AD23" s="808"/>
      <c r="AE23" s="679" t="str">
        <f t="shared" si="3"/>
        <v/>
      </c>
      <c r="AF23" s="512" t="str">
        <f>IF(14=14,IF(AD23="","",IF(AG23="X",""&amp;"Céréales contenant du gluten","")&amp;IF(AH23="X",IF(COUNTIF(AG23:AG23,"X")&gt;0,", ","")&amp;"Crustacés","")&amp;IF(AI23="X",IF(COUNTIF(AG23:AH23,"X")&gt;0,", ","")&amp;"Œufs","")&amp;IF(AJ23="X",IF(COUNTIF(AG23:AI23,"X")&gt;0,", ","")&amp;"Poissons","")&amp;IF(AK23="X",IF(COUNTIF(AG23:AJ23,"X")&gt;0,", ","")&amp;"Arachides","")&amp;IF(AL23="X",IF(COUNTIF(AG23:AK23,"X")&gt;0,", ","")&amp;"Soja","")&amp;IF(AM23="X",IF(COUNTIF(AG23:AL23,"X")&gt;0,", ","")&amp;"Lait","")&amp;IF(AN23="X",IF(COUNTIF(AG23:AM23,"X")&gt;0,", ","")&amp;"Fruits à coque","")&amp;IF(AO23="X",IF(COUNTIF(AG23:AN23,"X")&gt;0,", ","")&amp;"Céleri","")&amp;IF(AP23="X",IF(COUNTIF(AG23:AO23,"X")&gt;0,", ","")&amp;"Moutarde","")&amp;IF(AQ23="X",IF(COUNTIF(AG23:AP23,"X")&gt;0,", ","")&amp;"Sésame","")&amp;IF(AR23="X",IF(COUNTIF(AG23:AQ23,"X")&gt;0,", ","")&amp;"Sulfites","")&amp;IF(AS23="X",IF(COUNTIF(AG23:AR23,"X")&gt;0,", ","")&amp;"Lupin","")&amp;IF(AT23="X",IF(COUNTIF(AG23:AS23,"X")&gt;0,", ","")&amp;"Mollusques","")),"")</f>
        <v/>
      </c>
      <c r="AG23" s="513" t="str">
        <f>IF(14=14,IF(AD23="","",BH23),"")</f>
        <v/>
      </c>
      <c r="AH23" s="513" t="str">
        <f>IF(14=14,IF(AD23="","",BK23),"")</f>
        <v/>
      </c>
      <c r="AI23" s="513" t="str">
        <f>IF(14=14,IF(AD23="","",BO23),"")</f>
        <v/>
      </c>
      <c r="AJ23" s="513" t="str">
        <f>IF(14=14,IF(AD23="","",IF(ISNUMBER(SEARCH(" colin ",BC23)),"X",CB23)),"")</f>
        <v/>
      </c>
      <c r="AK23" s="513" t="str">
        <f>IF(14=14,IF(AD23="","",CD23),"")</f>
        <v/>
      </c>
      <c r="AL23" s="513" t="str">
        <f>IF(14=14,IF(AD23="","",CH23),"")</f>
        <v/>
      </c>
      <c r="AM23" s="513" t="str">
        <f>IF(14=14,IF(AD23="","",CO23),"")</f>
        <v/>
      </c>
      <c r="AN23" s="513" t="str">
        <f>IF(14=14,IF(AD23="","",CS23),"")</f>
        <v/>
      </c>
      <c r="AO23" s="513" t="str">
        <f>IF(14=14,IF(AD23="","",CV23),"")</f>
        <v/>
      </c>
      <c r="AP23" s="513" t="str">
        <f>IF(14=14,IF(AD23="","",CY23),"")</f>
        <v/>
      </c>
      <c r="AQ23" s="513" t="str">
        <f>IF(14=14,IF(AD23="","",DB23),"")</f>
        <v/>
      </c>
      <c r="AR23" s="513" t="str">
        <f>IF(14=14,IF(AD23="","",DE23),"")</f>
        <v/>
      </c>
      <c r="AS23" s="513" t="str">
        <f>IF(14=14,IF(AD23="","",DH23),"")</f>
        <v/>
      </c>
      <c r="AT23" s="513" t="str">
        <f>IF(14=14,IF(AD23="","",DN23),"")</f>
        <v/>
      </c>
      <c r="AU23" s="514" t="str">
        <f>IF(14=14,IF(AD23="","",IF(AG23="?",""&amp;"Céréales contenant du gluten","")&amp;IF(AH23="?",IF(COUNTIF(AG23:AG23,"~?")&gt;0,", ","")&amp;"Crustacés","")&amp;IF(AI23="?",IF(COUNTIF(AG23:AH23,"~?")&gt;0,", ","")&amp;"Œufs","")&amp;IF(AJ23="?",IF(COUNTIF(AG23:AI23,"~?")&gt;0,", ","")&amp;"Poissons","")&amp;IF(AK23="?",IF(COUNTIF(AG23:AJ23,"~?")&gt;0,", ","")&amp;"Arachides","")&amp;IF(AL23="?",IF(COUNTIF(AG23:AK23,"~?")&gt;0,", ","")&amp;"Soja","")&amp;IF(AM23="?",IF(COUNTIF(AG23:AL23,"~?")&gt;0,", ","")&amp;"Lait","")&amp;IF(AN23="?",IF(COUNTIF(AG23:AM23,"~?")&gt;0,", ","")&amp;"Fruits à coque","")&amp;IF(AO23="?",IF(COUNTIF(AG23:AN23,"~?")&gt;0,", ","")&amp;"Céleri","")&amp;IF(AP23="?",IF(COUNTIF(AG23:AO23,"~?")&gt;0,", ","")&amp;"Moutarde","")&amp;IF(AQ23="?",IF(COUNTIF(AG23:AP23,"~?")&gt;0,", ","")&amp;"Sésame","")&amp;IF(AR23="?",IF(COUNTIF(AG23:AQ23,"~?")&gt;0,", ","")&amp;"Sulfites","")&amp;IF(AS23="?",IF(COUNTIF(AG23:AR23,"~?")&gt;0,", ","")&amp;"Lupin","")&amp;IF(AT23="?",IF(COUNTIF(AG23:AS23,"~?")&gt;0,", ","")&amp;"Mollusques","")),"")</f>
        <v/>
      </c>
      <c r="AW23" s="493" t="str">
        <f>IF(14=14,IF(AD23="","",AD23),"")</f>
        <v/>
      </c>
      <c r="AX23" s="493" t="str">
        <f>IF(14=14,LOWER(CLEAN(SUBSTITUTE(SUBSTITUTE(SUBSTITUTE(SUBSTITUTE(AW23,CHAR(160)," ")," "," "),CHAR(10)," "),CHAR(13)," "))),"")</f>
        <v/>
      </c>
      <c r="AY23" s="493" t="str">
        <f>IF(14=14,SUBSTITUTE(SUBSTITUTE(SUBSTITUTE(SUBSTITUTE(SUBSTITUTE(SUBSTITUTE(SUBSTITUTE(SUBSTITUTE(SUBSTITUTE(SUBSTITUTE(SUBSTITUTE(SUBSTITUTE(AX23,"œ","oe"),"æ","ae"),"à","a"),"á","a"),"â","a"),"ä","a"),"ã","a"),"ç","c"),"è","e"),"é","e"),"ê","e"),"ë","e"),"")</f>
        <v/>
      </c>
      <c r="AZ23" s="493" t="str">
        <f>IF(14=14,SUBSTITUTE(SUBSTITUTE(SUBSTITUTE(SUBSTITUTE(SUBSTITUTE(SUBSTITUTE(SUBSTITUTE(SUBSTITUTE(SUBSTITUTE(SUBSTITUTE(SUBSTITUTE(SUBSTITUTE(SUBSTITUTE(SUBSTITUTE(SUBSTITUTE(SUBSTITUTE(AY23,"ì","i"),"í","i"),"î","i"),"ï","i"),"ñ","n"),"ò","o"),"ó","o"),"ô","o"),"ö","o"),"õ","o"),"ù","u"),"ú","u"),"û","u"),"ü","u"),"ý","y"),"ÿ","y"),"")</f>
        <v/>
      </c>
      <c r="BA23" s="493" t="str">
        <f>IF(14=14,SUBSTITUTE(SUBSTITUTE(SUBSTITUTE(SUBSTITUTE(SUBSTITUTE(SUBSTITUTE(SUBSTITUTE(SUBSTITUTE(SUBSTITUTE(SUBSTITUTE(SUBSTITUTE(SUBSTITUTE(SUBSTITUTE(SUBSTITUTE(AZ23,"’"," "),"`"," "),"–"," "),"—"," "),"-"," "),"'"," "),"/"," "),"_"," "),","," "),"."," "),"("," "),")"," "),";"," "),":"," "),"")</f>
        <v/>
      </c>
      <c r="BB23" s="493" t="str">
        <f>IF(14=14,SUBSTITUTE(SUBSTITUTE(SUBSTITUTE(SUBSTITUTE(SUBSTITUTE(SUBSTITUTE(SUBSTITUTE(SUBSTITUTE(SUBSTITUTE(SUBSTITUTE(SUBSTITUTE(SUBSTITUTE(SUBSTITUTE(SUBSTITUTE(SUBSTITUTE(BA23,"!"," "),"?"," "),"+"," "),"*"," "),"&amp;"," "),"["," "),"]"," "),"{"," "),"}"," "),"%"," "),"="," "),"\"," "),"|"," "),"&lt;"," "),"&gt;"," "),"")</f>
        <v/>
      </c>
      <c r="BC23" s="493" t="str">
        <f>IF(14=14," "&amp;TRIM(SUBSTITUTE(SUBSTITUTE(SUBSTITUTE(SUBSTITUTE(SUBSTITUTE(SUBSTITUTE(BB23,CHAR(34)," "),"  "," "),"  "," "),"  "," "),"  "," "),"  "," "))&amp;" ","")</f>
        <v xml:space="preserve">  </v>
      </c>
      <c r="BD23" s="493" t="str" cm="1">
        <f t="array" ref="BD23">IF(14=14,IF(AW23="","",SUMPRODUCT(--ISNUMBER(SEARCH(" "&amp;DT11:DT110&amp;" ",BF23)))),"")</f>
        <v/>
      </c>
      <c r="BE23" s="493" t="str" cm="1">
        <f t="array" ref="BE23">IF(14=14,IF(AW23="","",SUMPRODUCT(--ISNUMBER(SEARCH(" "&amp;DT111:DT160&amp;" ",BF23)))),"")</f>
        <v/>
      </c>
      <c r="BF23" s="493" t="str">
        <f>IF(AW23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23,"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23" s="493" t="str" cm="1">
        <f t="array" ref="BG23">IF(AW23="","",SUMPRODUCT(--ISNUMBER(SEARCH(" "&amp;DT193:DT214&amp;" ",BF23)))+--ISNUMBER(SEARCH(" "&amp;DT2463&amp;" ",BF23)))</f>
        <v/>
      </c>
      <c r="BH23" s="493" t="str" cm="1">
        <f t="array" ref="BH23">IF(14=14,IF(AW23="","",IF(SUM(BD23:BE23)+SUMPRODUCT(--ISNUMBER(SEARCH(" "&amp;DT2427:DT2429&amp;" ",BF23)))&gt;0,"X",IF(BG23&gt;0,"?",""))),"")</f>
        <v/>
      </c>
      <c r="BI23" s="493" t="str" cm="1">
        <f t="array" ref="BI23">IF(14=14,IF(AW23="","",SUMPRODUCT(--ISNUMBER(SEARCH(" "&amp;DT215:DT314&amp;" ",BC23)))),"")</f>
        <v/>
      </c>
      <c r="BJ23" s="493" t="str" cm="1">
        <f t="array" ref="BJ23">IF(14=14,IF(AW23="","",SUMPRODUCT(--ISNUMBER(SEARCH(" "&amp;DT315:DT349&amp;" ",BC23)))),"")</f>
        <v/>
      </c>
      <c r="BK23" s="493" t="str">
        <f>IF(14=14,IF(AW23="","",IF((SUM(BI23:BJ23))-(0)&gt;0,"X",IF((0)-(0)&gt;0,"?",""))),"")</f>
        <v/>
      </c>
      <c r="BL23" s="493" t="str" cm="1">
        <f t="array" ref="BL23">IF(14=14,IF(AW23="","",SUMPRODUCT(--ISNUMBER(SEARCH(" "&amp;DT350:DT407&amp;" ",BC23)))),"")</f>
        <v/>
      </c>
      <c r="BM23" s="493" t="str" cm="1">
        <f t="array" ref="BM23">IF(14=14,IF(AW23="","",SUMPRODUCT(--ISNUMBER(SEARCH(" "&amp;DT408:DT435&amp;" ",BN23)))+SUMPRODUCT(--ISNUMBER(SEARCH(" "&amp;DT2449:DT2462&amp;" ",BN23)))),"")</f>
        <v/>
      </c>
      <c r="BN23" s="493" t="str">
        <f>IF(14=14,IF(AW23="","",SUBSTITUTE(SUBSTITUTE(SUBSTITUTE(SUBSTITUTE(SUBSTITUTE(SUBSTITUTE(SUBSTITUTE(SUBSTITUTE(SUBSTITUTE(SUBSTITUTE(SUBSTITUTE(SUBSTITUTE(SUBSTITUTE(SUBSTITUTE(BC23," "&amp;DT2464&amp;" "," ")," "&amp;DT442&amp;" "," ")," "&amp;DT440&amp;" "," ")," "&amp;DT2447&amp;" "," ")," "&amp;DT2448&amp;" "," ")," "&amp;DT437&amp;" "," ")," "&amp;DT441&amp;" "," ")," "&amp;DT443&amp;" "," ")," "&amp;DT438&amp;" "," ")," "&amp;DT436&amp;" "," ")," "&amp;DT1376&amp;" "," ")," "&amp;DT444&amp;" "," ")," "&amp;DT1375&amp;" "," ")," "&amp;DT439&amp;" "," ")),"")</f>
        <v/>
      </c>
      <c r="BO23" s="493" t="str">
        <f>IF(14=14,IF(AW23="","",IF(BL23&gt;0,"X",IF(BM23&gt;0,"?",""))),"")</f>
        <v/>
      </c>
      <c r="BP23" s="493" t="str" cm="1">
        <f t="array" ref="BP23">IF(14=14,IF(AW23="","",SUMPRODUCT(--ISNUMBER(SEARCH(" "&amp;DT445:DT544&amp;" ",BZ23)))),"")</f>
        <v/>
      </c>
      <c r="BQ23" s="493" t="str" cm="1">
        <f t="array" ref="BQ23">IF(14=14,IF(AW23="","",SUMPRODUCT(--ISNUMBER(SEARCH(" "&amp;DT545:DT644&amp;" ",BZ23)))),"")</f>
        <v/>
      </c>
      <c r="BR23" s="493" t="str" cm="1">
        <f t="array" ref="BR23">IF(14=14,IF(AW23="","",SUMPRODUCT(--ISNUMBER(SEARCH(" "&amp;DT645:DT744&amp;" ",BZ23)))),"")</f>
        <v/>
      </c>
      <c r="BS23" s="493" t="str" cm="1">
        <f t="array" ref="BS23">IF(14=14,IF(AW23="","",SUMPRODUCT(--ISNUMBER(SEARCH(" "&amp;DT745:DT844&amp;" ",BZ23)))),"")</f>
        <v/>
      </c>
      <c r="BT23" s="493" t="str" cm="1">
        <f t="array" ref="BT23">IF(14=14,IF(AW23="","",SUMPRODUCT(--ISNUMBER(SEARCH(" "&amp;DT845:DT944&amp;" ",BZ23)))),"")</f>
        <v/>
      </c>
      <c r="BU23" s="493" t="str" cm="1">
        <f t="array" ref="BU23">IF(14=14,IF(AW23="","",SUMPRODUCT(--ISNUMBER(SEARCH(" "&amp;DT945:DT1044&amp;" ",BZ23)))),"")</f>
        <v/>
      </c>
      <c r="BV23" s="493" t="str" cm="1">
        <f t="array" ref="BV23">IF(14=14,IF(AW23="","",SUMPRODUCT(--ISNUMBER(SEARCH(" "&amp;DT1045:DT1144&amp;" ",BZ23)))),"")</f>
        <v/>
      </c>
      <c r="BW23" s="493" t="str" cm="1">
        <f t="array" ref="BW23">IF(14=14,IF(AW23="","",SUMPRODUCT(--ISNUMBER(SEARCH(" "&amp;DT1145:DT1244&amp;" ",BZ23)))),"")</f>
        <v/>
      </c>
      <c r="BX23" s="493" t="str" cm="1">
        <f t="array" ref="BX23">IF(14=14,IF(AW23="","",SUMPRODUCT(--ISNUMBER(SEARCH(" "&amp;DT1245:DT1344&amp;" ",BZ23)))),"")</f>
        <v/>
      </c>
      <c r="BY23" s="493" t="str" cm="1">
        <f t="array" ref="BY23">IF(14=14,IF(AW23="","",SUMPRODUCT(--ISNUMBER(SEARCH(" "&amp;DT1345:DT1372&amp;" ",BZ23)))),"")</f>
        <v/>
      </c>
      <c r="BZ23" s="493" t="str">
        <f>IF(14=14,IF(AW23="","",SUBSTITUTE(SUBSTITUTE(SUBSTITUTE(SUBSTITUTE(SUBSTITUTE(SUBSTITUTE(SUBSTITUTE(SUBSTITUTE(SUBSTITUTE(BC23," "&amp;DT1374&amp;" "," ")," "&amp;DT1373&amp;" "," ")," "&amp;DT1379&amp;" "," ")," "&amp;DT1380&amp;" "," ")," "&amp;DT1376&amp;" "," ")," "&amp;DT1378&amp;" "," ")," "&amp;DT1375&amp;" "," ")," "&amp;DT1377&amp;" "," ")," "&amp;DT1381&amp;" "," ")),"")</f>
        <v/>
      </c>
      <c r="CA23" s="493" t="str" cm="1">
        <f t="array" ref="CA23">IF(14=14,IF(AW23="","",SUMPRODUCT(--ISNUMBER(SEARCH(" "&amp;DT1382:DT1392&amp;" ",BZ23)))),"")</f>
        <v/>
      </c>
      <c r="CB23" s="493" t="str" cm="1">
        <f t="array" ref="CB23">IF(14=14,IF(AW23="","",IF(SUM(BP23:BY23)+SUMPRODUCT(--ISNUMBER(SEARCH(" "&amp;DT2430:DT2431&amp;" ",BZ23)))&gt;0,"X",IF(CA23&gt;0,"?",""))),"")</f>
        <v/>
      </c>
      <c r="CC23" s="493" t="str" cm="1">
        <f t="array" ref="CC23">IF(14=14,IF(AW23="","",SUMPRODUCT(--ISNUMBER(SEARCH(" "&amp;DT1393:DT1413&amp;" ",BC23)))),"")</f>
        <v/>
      </c>
      <c r="CD23" s="493" t="str">
        <f>IF(14=14,IF(AW23="","",IF((CC23)-(0)&gt;0,"X",IF((0)-(0)&gt;0,"?",""))),"")</f>
        <v/>
      </c>
      <c r="CE23" s="493" t="str" cm="1">
        <f t="array" ref="CE23">IF(14=14,IF(AW23="","",SUMPRODUCT(--ISNUMBER(SEARCH(" "&amp;DT1414:DT1451&amp;" ",CF23)))),"")</f>
        <v/>
      </c>
      <c r="CF23" s="493" t="str">
        <f>IF(14=14,IF(AW23="","",SUBSTITUTE(SUBSTITUTE(BC23," "&amp;DT1452&amp;" "," ")," "&amp;DT1453&amp;" "," ")),"")</f>
        <v/>
      </c>
      <c r="CG23" s="493" t="str" cm="1">
        <f t="array" ref="CG23">IF(14=14,IF(AW23="","",SUMPRODUCT(--ISNUMBER(SEARCH(" "&amp;DT1454:DT1464&amp;" ",CF23)))),"")</f>
        <v/>
      </c>
      <c r="CH23" s="493" t="str">
        <f>IF(14=14,IF(AW23="","",IF(CE23&gt;0,"X",IF(CG23&gt;0,"?",""))),"")</f>
        <v/>
      </c>
      <c r="CI23" s="493" t="str" cm="1">
        <f t="array" ref="CI23">IF(14=14,IF(AW23="","",SUMPRODUCT(--ISNUMBER(SEARCH(" "&amp;DT1465:DT1564&amp;" ",CL23)))),"")</f>
        <v/>
      </c>
      <c r="CJ23" s="493" t="str" cm="1">
        <f t="array" ref="CJ23">IF(14=14,IF(AW23="","",SUMPRODUCT(--ISNUMBER(SEARCH(" "&amp;DT1565:DT1664&amp;" ",CL23)))),"")</f>
        <v/>
      </c>
      <c r="CK23" s="493" t="str" cm="1">
        <f t="array" ref="CK23">IF(14=14,IF(AW23="","",SUMPRODUCT(--ISNUMBER(SEARCH(" "&amp;DT1665:DT1748&amp;" ",CL23)))),"")</f>
        <v/>
      </c>
      <c r="CL23" s="493" t="str">
        <f>IF(14=14,IF(AW23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23,"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23" s="493" t="str" cm="1">
        <f t="array" ref="CM23">IF(14=14,IF(AW23="","",SUMPRODUCT(--ISNUMBER(SEARCH(" "&amp;DT1799:DT1878&amp;" ",CN23)))+SUMPRODUCT(--ISNUMBER(SEARCH(" "&amp;DT2449:DT2462&amp;" ",CN23)))),"")</f>
        <v/>
      </c>
      <c r="CN23" s="493" t="str">
        <f>IF(14=14,IF(AW23="","",SUBSTITUTE(SUBSTITUTE(SUBSTITUTE(SUBSTITUTE(SUBSTITUTE(SUBSTITUTE(SUBSTITUTE(SUBSTITUTE(SUBSTITUTE(SUBSTITUTE(SUBSTITUTE(SUBSTITUTE(SUBSTITUTE(CL23," "&amp;DT1885&amp;" "," ")," "&amp;DT1883&amp;" "," ")," "&amp;DT2447&amp;" "," ")," "&amp;DT2448&amp;" "," ")," "&amp;DT1880&amp;" "," ")," "&amp;DT1884&amp;" "," ")," "&amp;DT1886&amp;" "," ")," "&amp;DT1881&amp;" "," ")," "&amp;DT1879&amp;" "," ")," "&amp;DT1376&amp;" "," ")," "&amp;DT1887&amp;" "," ")," "&amp;DT1375&amp;" "," ")," "&amp;DT1882&amp;" "," ")),"")</f>
        <v/>
      </c>
      <c r="CO23" s="493" t="str" cm="1">
        <f t="array" ref="CO23">IF(14=14,IF(AW23="","",IF(SUM(CI23:CK23)+SUMPRODUCT(--ISNUMBER(SEARCH(" "&amp;DT2432:DT2433&amp;" ",CL23)))&gt;0,"X",IF(CM23&gt;0,"?",""))),"")</f>
        <v/>
      </c>
      <c r="CP23" s="493" t="str" cm="1">
        <f t="array" ref="CP23">IF(14=14,IF(AW23="","",SUMPRODUCT(--ISNUMBER(SEARCH(" "&amp;DT1888:DT1945&amp;" ",CQ23)))),"")</f>
        <v/>
      </c>
      <c r="CQ23" s="493" t="str">
        <f>IF(14=14,IF(AW23="","",SUBSTITUTE(SUBSTITUTE(SUBSTITUTE(SUBSTITUTE(SUBSTITUTE(SUBSTITUTE(SUBSTITUTE(SUBSTITUTE(SUBSTITUTE(SUBSTITUTE(SUBSTITUTE(SUBSTITUTE(SUBSTITUTE(SUBSTITUTE(SUBSTITUTE(SUBSTITUTE(SUBSTITUTE(SUBSTITUTE(SUBSTITUTE(SUBSTITUTE(SUBSTITUTE(SUBSTITUTE(SUBSTITUTE(BC23,"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23" s="493" t="str" cm="1">
        <f t="array" ref="CR23">IF(14=14,IF(AW23="","",SUMPRODUCT(--ISNUMBER(SEARCH(" "&amp;DT1969:DT1985&amp;" ",CQ23)))),"")</f>
        <v/>
      </c>
      <c r="CS23" s="493" t="str">
        <f>IF(14=14,IF(AW23="","",IF(CP23&gt;0,"X",IF(CR23&gt;0,"?",""))),"")</f>
        <v/>
      </c>
      <c r="CT23" s="493" t="str" cm="1">
        <f t="array" ref="CT23">IF(14=14,IF(AW23="","",SUMPRODUCT(--ISNUMBER(SEARCH(" "&amp;DT1986:DT1999&amp;" ",BC23)))),"")</f>
        <v/>
      </c>
      <c r="CU23" s="493" t="str" cm="1">
        <f t="array" ref="CU23">IF(14=14,IF(AW23="","",SUMPRODUCT(--ISNUMBER(SEARCH(" "&amp;DT2000:DT2014&amp;" ",BC23)))),"")</f>
        <v/>
      </c>
      <c r="CV23" s="493" t="str">
        <f>IF(14=14,IF(AW23="","",IF((CT23)-(0)&gt;0,"X",IF((CU23)-(0)&gt;0,"?",""))),"")</f>
        <v/>
      </c>
      <c r="CW23" s="493" t="str" cm="1">
        <f t="array" ref="CW23">IF(14=14,IF(AW23="","",SUMPRODUCT(--ISNUMBER(SEARCH(" "&amp;DT2015:DT2032&amp;" ",BC23)))),"")</f>
        <v/>
      </c>
      <c r="CX23" s="493" t="str" cm="1">
        <f t="array" ref="CX23">IF(14=14,IF(AW23="","",SUMPRODUCT(--ISNUMBER(SEARCH(" "&amp;DT2033:DT2047&amp;" ",BC23)))),"")</f>
        <v/>
      </c>
      <c r="CY23" s="493" t="str">
        <f>IF(14=14,IF(AW23="","",IF((CW23)-(0)&gt;0,"X",IF((CX23)-(0)&gt;0,"?",""))),"")</f>
        <v/>
      </c>
      <c r="CZ23" s="493" t="str" cm="1">
        <f t="array" ref="CZ23">IF(14=14,IF(AW23="","",SUMPRODUCT(--ISNUMBER(SEARCH(" "&amp;DT2048:DT2066&amp;" ",BC23)))),"")</f>
        <v/>
      </c>
      <c r="DA23" s="493" t="str" cm="1">
        <f t="array" ref="DA23">IF(14=14,IF(AW23="","",SUMPRODUCT(--ISNUMBER(SEARCH(" "&amp;DT2067:DT2081&amp;" ",BC23)))),"")</f>
        <v/>
      </c>
      <c r="DB23" s="493" t="str">
        <f>IF(14=14,IF(AW23="","",IF((CZ23)-(0)&gt;0,"X",IF((DA23)-(0)&gt;0,"?",""))),"")</f>
        <v/>
      </c>
      <c r="DC23" s="493" t="str" cm="1">
        <f t="array" ref="DC23">IF(14=14,IF(AW23="","",SUMPRODUCT(--ISNUMBER(SEARCH(" "&amp;DT2082:DT2102&amp;" ",BC23)))),"")</f>
        <v/>
      </c>
      <c r="DD23" s="493" t="str" cm="1">
        <f t="array" ref="DD23">IF(14=14,IF(AW23="","",SUMPRODUCT(--ISNUMBER(SEARCH(" "&amp;DT2103:DT2142&amp;" ",SUBSTITUTE(SUBSTITUTE(BC23," "&amp;DT1376&amp;" "," ")," "&amp;DT1375&amp;" "," "))))+--ISNUMBER(SEARCH("poiré",AX23))),"")</f>
        <v/>
      </c>
      <c r="DE23" s="493" t="str">
        <f>IF(14=14,IF(AW23="","",IF(OR(DC23&gt;0,ISNUMBER(SEARCH(" vinaigre de vin ",BC23)),ISNUMBER(SEARCH(" vinaigre au vin ",BC23))),"X",IF(DD23&gt;0,"?",""))),"")</f>
        <v/>
      </c>
      <c r="DF23" s="493" t="str" cm="1">
        <f t="array" ref="DF23">IF(14=14,IF(AW23="","",SUMPRODUCT(--ISNUMBER(SEARCH(" "&amp;DT2143:DT2155&amp;" ",BC23)))),"")</f>
        <v/>
      </c>
      <c r="DG23" s="493" t="str" cm="1">
        <f t="array" ref="DG23">IF(14=14,IF(AW23="","",SUMPRODUCT(--ISNUMBER(SEARCH(" "&amp;DT2156:DT2161&amp;" ",BC23)))),"")</f>
        <v/>
      </c>
      <c r="DH23" s="493" t="str">
        <f>IF(14=14,IF(AW23="","",IF((DF23)-(0)&gt;0,"X",IF((DG23)-(0)&gt;0,"?",""))),"")</f>
        <v/>
      </c>
      <c r="DI23" s="493" t="str" cm="1">
        <f t="array" ref="DI23">IF(14=14,IF(AW23="","",SUMPRODUCT(--ISNUMBER(SEARCH(" "&amp;DT2162:DT2261&amp;" ",DL23)))),"")</f>
        <v/>
      </c>
      <c r="DJ23" s="493" t="str" cm="1">
        <f t="array" ref="DJ23">IF(14=14,IF(AW23="","",SUMPRODUCT(--ISNUMBER(SEARCH(" "&amp;DT2262:DT2361&amp;" ",DL23)))),"")</f>
        <v/>
      </c>
      <c r="DK23" s="493" t="str" cm="1">
        <f t="array" ref="DK23">IF(14=14,IF(AW23="","",SUMPRODUCT(--ISNUMBER(SEARCH(" "&amp;DT2362:DT2404&amp;" ",DL23)))),"")</f>
        <v/>
      </c>
      <c r="DL23" s="493" t="str">
        <f>IF(14=14,IF(AW23="","",SUBSTITUTE(SUBSTITUTE(SUBSTITUTE(SUBSTITUTE(SUBSTITUTE(SUBSTITUTE(SUBSTITUTE(SUBSTITUTE(SUBSTITUTE(SUBSTITUTE(SUBSTITUTE(SUBSTITUTE(SUBSTITUTE(SUBSTITUTE(SUBSTITUTE(SUBSTITUTE(BC23," "&amp;DT2410&amp;" "," ")," "&amp;DT2409&amp;" "," ")," "&amp;DT2408&amp;" "," ")," "&amp;DT2415&amp;" "," ")," "&amp;DT2407&amp;" "," ")," "&amp;DT2419&amp;" "," ")," "&amp;DT2406&amp;" "," ")," "&amp;DT2411&amp;" "," ")," "&amp;DT2414&amp;" "," ")," "&amp;DT2405&amp;" "," ")," "&amp;DT2413&amp;" "," ")," "&amp;DT2420&amp;" "," ")," "&amp;DT2417&amp;" "," ")," "&amp;DT2412&amp;" "," ")," "&amp;DT2416&amp;" "," ")," "&amp;DT2418&amp;" "," ")),"")</f>
        <v/>
      </c>
      <c r="DM23" s="493" t="str" cm="1">
        <f t="array" ref="DM23">IF(14=14,IF(AW23="","",SUMPRODUCT(--ISNUMBER(SEARCH(" "&amp;DT2421:DT2425&amp;" ",DL23)))),"")</f>
        <v/>
      </c>
      <c r="DN23" s="493" t="str">
        <f>IF(14=14,IF(AW23="","",IF(SUM(DI23:DK23)&gt;0,"X",IF(DM23&gt;0,"?",""))),"")</f>
        <v/>
      </c>
      <c r="DO23" s="494"/>
      <c r="DP23" s="496" t="s">
        <v>1171</v>
      </c>
      <c r="DQ23" s="496" t="s">
        <v>1083</v>
      </c>
      <c r="DR23" s="496" t="s">
        <v>689</v>
      </c>
      <c r="DS23" s="496" t="s">
        <v>703</v>
      </c>
      <c r="DT23" s="496" t="s">
        <v>703</v>
      </c>
      <c r="DU23" s="496" t="s">
        <v>1085</v>
      </c>
      <c r="DV23" s="496" t="s">
        <v>1086</v>
      </c>
      <c r="DW23" s="496" t="s">
        <v>1087</v>
      </c>
      <c r="DX23" s="497" t="s">
        <v>1088</v>
      </c>
      <c r="DZ23" s="543">
        <v>1</v>
      </c>
      <c r="EB23" s="493"/>
      <c r="EC23" s="493"/>
    </row>
    <row r="24" spans="1:133" ht="21" customHeight="1">
      <c r="E24" s="818" t="str">
        <f t="shared" si="4"/>
        <v>►</v>
      </c>
      <c r="F24" s="724" t="str">
        <f>F12</f>
        <v>M MACÉDOINE DE LÉGUMES AU COULIS DE TOMATE | HORS D'ŒUVRE texture modifiée-cuidité-MACEDOINE| Auteur &gt; Annette et Jean Pierre DOMERGUES - 45000 ORLÉANS 1981</v>
      </c>
      <c r="G24" s="725">
        <f>G12</f>
        <v>10</v>
      </c>
      <c r="H24" s="724" t="str">
        <f>H12</f>
        <v>couverts</v>
      </c>
      <c r="I24" s="726" t="str">
        <f>I12</f>
        <v>Recette mère ►  Textures modifiées</v>
      </c>
      <c r="J24" s="791"/>
      <c r="K24" s="809"/>
      <c r="L24" s="793" t="str">
        <f t="shared" si="1"/>
        <v/>
      </c>
      <c r="M24" s="794"/>
      <c r="N24" s="795"/>
      <c r="O24" s="796">
        <v>1</v>
      </c>
      <c r="P24" s="811" t="str">
        <f>ROWS(P16:P24)&amp;" ►"</f>
        <v>9 ►</v>
      </c>
      <c r="Q24" s="798"/>
      <c r="R24" s="799"/>
      <c r="S24" s="800">
        <f>IF(U28=0,0,(U24/U28)*T15*1000)</f>
        <v>0</v>
      </c>
      <c r="T24" s="813">
        <f>IF(U28=0, 0, (J24*O24)/(U28*T15))</f>
        <v>0</v>
      </c>
      <c r="U24" s="802">
        <f t="array" ref="U24">IFERROR(_xlfn.XLOOKUP(UPPER(TRIM(N24)),UPPER(TRIM(J29:Y29)),J30:Y30,_xlfn.XLOOKUP(UPPER(TRIM(N24)),UPPER(TRIM(J31:Y31)),J32:Y32,0))*M24*IF(J24&gt;0,J24,1),0)</f>
        <v>0</v>
      </c>
      <c r="V24" s="819">
        <f>IF(X11&lt;&gt;0,J24*O24*O11,0)</f>
        <v>0</v>
      </c>
      <c r="W24" s="820">
        <f t="shared" si="2"/>
        <v>0</v>
      </c>
      <c r="X24" s="805">
        <f>IF(OR(ISBLANK(X11),X11=0),0,U24*O24*O11)</f>
        <v>0</v>
      </c>
      <c r="Y24" s="824" t="str">
        <f>IF(N24="","",IF(COUNTIF(Q29:Y29,SUBSTITUTE(TRIM(N24)," (s)",""))+COUNTIF(Q31:Y31,SUBSTITUTE(TRIM(N24)," (s)",""))&gt;0,IF(ROUND(X24,3)&gt;=1,ROUND(X24,3)&amp;" L",MAX(1,ROUND(X24*100,0))&amp;" cl"),IF(COUNTIF(J29:O29,SUBSTITUTE(TRIM(N24)," (s)",""))+COUNTIF(J31:O31,SUBSTITUTE(TRIM(N24)," (s)",""))&gt;0,IF(ROUND(X24,3)&gt;=1,ROUND(X24,3)&amp;" Kg",MAX(1,ROUND(X24*1000,0))&amp;" g"),"")))</f>
        <v/>
      </c>
      <c r="AA24" s="1364" t="s">
        <v>687</v>
      </c>
      <c r="AC24" s="509">
        <v>9</v>
      </c>
      <c r="AD24" s="808"/>
      <c r="AE24" s="679" t="str">
        <f t="shared" si="3"/>
        <v/>
      </c>
      <c r="AF24" s="512" t="str">
        <f>IF(15=15,IF(AD24="","",IF(AG24="X",""&amp;"Céréales contenant du gluten","")&amp;IF(AH24="X",IF(COUNTIF(AG24:AG24,"X")&gt;0,", ","")&amp;"Crustacés","")&amp;IF(AI24="X",IF(COUNTIF(AG24:AH24,"X")&gt;0,", ","")&amp;"Œufs","")&amp;IF(AJ24="X",IF(COUNTIF(AG24:AI24,"X")&gt;0,", ","")&amp;"Poissons","")&amp;IF(AK24="X",IF(COUNTIF(AG24:AJ24,"X")&gt;0,", ","")&amp;"Arachides","")&amp;IF(AL24="X",IF(COUNTIF(AG24:AK24,"X")&gt;0,", ","")&amp;"Soja","")&amp;IF(AM24="X",IF(COUNTIF(AG24:AL24,"X")&gt;0,", ","")&amp;"Lait","")&amp;IF(AN24="X",IF(COUNTIF(AG24:AM24,"X")&gt;0,", ","")&amp;"Fruits à coque","")&amp;IF(AO24="X",IF(COUNTIF(AG24:AN24,"X")&gt;0,", ","")&amp;"Céleri","")&amp;IF(AP24="X",IF(COUNTIF(AG24:AO24,"X")&gt;0,", ","")&amp;"Moutarde","")&amp;IF(AQ24="X",IF(COUNTIF(AG24:AP24,"X")&gt;0,", ","")&amp;"Sésame","")&amp;IF(AR24="X",IF(COUNTIF(AG24:AQ24,"X")&gt;0,", ","")&amp;"Sulfites","")&amp;IF(AS24="X",IF(COUNTIF(AG24:AR24,"X")&gt;0,", ","")&amp;"Lupin","")&amp;IF(AT24="X",IF(COUNTIF(AG24:AS24,"X")&gt;0,", ","")&amp;"Mollusques","")),"")</f>
        <v/>
      </c>
      <c r="AG24" s="513" t="str">
        <f>IF(15=15,IF(AD24="","",BH24),"")</f>
        <v/>
      </c>
      <c r="AH24" s="513" t="str">
        <f>IF(15=15,IF(AD24="","",BK24),"")</f>
        <v/>
      </c>
      <c r="AI24" s="513" t="str">
        <f>IF(15=15,IF(AD24="","",BO24),"")</f>
        <v/>
      </c>
      <c r="AJ24" s="513" t="str">
        <f>IF(15=15,IF(AD24="","",IF(ISNUMBER(SEARCH(" colin ",BC24)),"X",CB24)),"")</f>
        <v/>
      </c>
      <c r="AK24" s="513" t="str">
        <f>IF(15=15,IF(AD24="","",CD24),"")</f>
        <v/>
      </c>
      <c r="AL24" s="513" t="str">
        <f>IF(15=15,IF(AD24="","",CH24),"")</f>
        <v/>
      </c>
      <c r="AM24" s="513" t="str">
        <f>IF(15=15,IF(AD24="","",CO24),"")</f>
        <v/>
      </c>
      <c r="AN24" s="513" t="str">
        <f>IF(15=15,IF(AD24="","",CS24),"")</f>
        <v/>
      </c>
      <c r="AO24" s="513" t="str">
        <f>IF(15=15,IF(AD24="","",CV24),"")</f>
        <v/>
      </c>
      <c r="AP24" s="513" t="str">
        <f>IF(15=15,IF(AD24="","",CY24),"")</f>
        <v/>
      </c>
      <c r="AQ24" s="513" t="str">
        <f>IF(15=15,IF(AD24="","",DB24),"")</f>
        <v/>
      </c>
      <c r="AR24" s="513" t="str">
        <f>IF(15=15,IF(AD24="","",DE24),"")</f>
        <v/>
      </c>
      <c r="AS24" s="513" t="str">
        <f>IF(15=15,IF(AD24="","",DH24),"")</f>
        <v/>
      </c>
      <c r="AT24" s="513" t="str">
        <f>IF(15=15,IF(AD24="","",DN24),"")</f>
        <v/>
      </c>
      <c r="AU24" s="514" t="str">
        <f>IF(15=15,IF(AD24="","",IF(AG24="?",""&amp;"Céréales contenant du gluten","")&amp;IF(AH24="?",IF(COUNTIF(AG24:AG24,"~?")&gt;0,", ","")&amp;"Crustacés","")&amp;IF(AI24="?",IF(COUNTIF(AG24:AH24,"~?")&gt;0,", ","")&amp;"Œufs","")&amp;IF(AJ24="?",IF(COUNTIF(AG24:AI24,"~?")&gt;0,", ","")&amp;"Poissons","")&amp;IF(AK24="?",IF(COUNTIF(AG24:AJ24,"~?")&gt;0,", ","")&amp;"Arachides","")&amp;IF(AL24="?",IF(COUNTIF(AG24:AK24,"~?")&gt;0,", ","")&amp;"Soja","")&amp;IF(AM24="?",IF(COUNTIF(AG24:AL24,"~?")&gt;0,", ","")&amp;"Lait","")&amp;IF(AN24="?",IF(COUNTIF(AG24:AM24,"~?")&gt;0,", ","")&amp;"Fruits à coque","")&amp;IF(AO24="?",IF(COUNTIF(AG24:AN24,"~?")&gt;0,", ","")&amp;"Céleri","")&amp;IF(AP24="?",IF(COUNTIF(AG24:AO24,"~?")&gt;0,", ","")&amp;"Moutarde","")&amp;IF(AQ24="?",IF(COUNTIF(AG24:AP24,"~?")&gt;0,", ","")&amp;"Sésame","")&amp;IF(AR24="?",IF(COUNTIF(AG24:AQ24,"~?")&gt;0,", ","")&amp;"Sulfites","")&amp;IF(AS24="?",IF(COUNTIF(AG24:AR24,"~?")&gt;0,", ","")&amp;"Lupin","")&amp;IF(AT24="?",IF(COUNTIF(AG24:AS24,"~?")&gt;0,", ","")&amp;"Mollusques","")),"")</f>
        <v/>
      </c>
      <c r="AW24" s="493" t="str">
        <f>IF(15=15,IF(AD24="","",AD24),"")</f>
        <v/>
      </c>
      <c r="AX24" s="493" t="str">
        <f>IF(15=15,LOWER(CLEAN(SUBSTITUTE(SUBSTITUTE(SUBSTITUTE(SUBSTITUTE(AW24,CHAR(160)," ")," "," "),CHAR(10)," "),CHAR(13)," "))),"")</f>
        <v/>
      </c>
      <c r="AY24" s="493" t="str">
        <f>IF(15=15,SUBSTITUTE(SUBSTITUTE(SUBSTITUTE(SUBSTITUTE(SUBSTITUTE(SUBSTITUTE(SUBSTITUTE(SUBSTITUTE(SUBSTITUTE(SUBSTITUTE(SUBSTITUTE(SUBSTITUTE(AX24,"œ","oe"),"æ","ae"),"à","a"),"á","a"),"â","a"),"ä","a"),"ã","a"),"ç","c"),"è","e"),"é","e"),"ê","e"),"ë","e"),"")</f>
        <v/>
      </c>
      <c r="AZ24" s="493" t="str">
        <f>IF(15=15,SUBSTITUTE(SUBSTITUTE(SUBSTITUTE(SUBSTITUTE(SUBSTITUTE(SUBSTITUTE(SUBSTITUTE(SUBSTITUTE(SUBSTITUTE(SUBSTITUTE(SUBSTITUTE(SUBSTITUTE(SUBSTITUTE(SUBSTITUTE(SUBSTITUTE(SUBSTITUTE(AY24,"ì","i"),"í","i"),"î","i"),"ï","i"),"ñ","n"),"ò","o"),"ó","o"),"ô","o"),"ö","o"),"õ","o"),"ù","u"),"ú","u"),"û","u"),"ü","u"),"ý","y"),"ÿ","y"),"")</f>
        <v/>
      </c>
      <c r="BA24" s="493" t="str">
        <f>IF(15=15,SUBSTITUTE(SUBSTITUTE(SUBSTITUTE(SUBSTITUTE(SUBSTITUTE(SUBSTITUTE(SUBSTITUTE(SUBSTITUTE(SUBSTITUTE(SUBSTITUTE(SUBSTITUTE(SUBSTITUTE(SUBSTITUTE(SUBSTITUTE(AZ24,"’"," "),"`"," "),"–"," "),"—"," "),"-"," "),"'"," "),"/"," "),"_"," "),","," "),"."," "),"("," "),")"," "),";"," "),":"," "),"")</f>
        <v/>
      </c>
      <c r="BB24" s="493" t="str">
        <f>IF(15=15,SUBSTITUTE(SUBSTITUTE(SUBSTITUTE(SUBSTITUTE(SUBSTITUTE(SUBSTITUTE(SUBSTITUTE(SUBSTITUTE(SUBSTITUTE(SUBSTITUTE(SUBSTITUTE(SUBSTITUTE(SUBSTITUTE(SUBSTITUTE(SUBSTITUTE(BA24,"!"," "),"?"," "),"+"," "),"*"," "),"&amp;"," "),"["," "),"]"," "),"{"," "),"}"," "),"%"," "),"="," "),"\"," "),"|"," "),"&lt;"," "),"&gt;"," "),"")</f>
        <v/>
      </c>
      <c r="BC24" s="493" t="str">
        <f>IF(15=15," "&amp;TRIM(SUBSTITUTE(SUBSTITUTE(SUBSTITUTE(SUBSTITUTE(SUBSTITUTE(SUBSTITUTE(BB24,CHAR(34)," "),"  "," "),"  "," "),"  "," "),"  "," "),"  "," "))&amp;" ","")</f>
        <v xml:space="preserve">  </v>
      </c>
      <c r="BD24" s="493" t="str" cm="1">
        <f t="array" ref="BD24">IF(15=15,IF(AW24="","",SUMPRODUCT(--ISNUMBER(SEARCH(" "&amp;DT11:DT110&amp;" ",BF24)))),"")</f>
        <v/>
      </c>
      <c r="BE24" s="493" t="str" cm="1">
        <f t="array" ref="BE24">IF(15=15,IF(AW24="","",SUMPRODUCT(--ISNUMBER(SEARCH(" "&amp;DT111:DT160&amp;" ",BF24)))),"")</f>
        <v/>
      </c>
      <c r="BF24" s="493" t="str">
        <f>IF(AW24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24,"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24" s="493" t="str" cm="1">
        <f t="array" ref="BG24">IF(AW24="","",SUMPRODUCT(--ISNUMBER(SEARCH(" "&amp;DT193:DT214&amp;" ",BF24)))+--ISNUMBER(SEARCH(" "&amp;DT2463&amp;" ",BF24)))</f>
        <v/>
      </c>
      <c r="BH24" s="493" t="str" cm="1">
        <f t="array" ref="BH24">IF(15=15,IF(AW24="","",IF(SUM(BD24:BE24)+SUMPRODUCT(--ISNUMBER(SEARCH(" "&amp;DT2427:DT2429&amp;" ",BF24)))&gt;0,"X",IF(BG24&gt;0,"?",""))),"")</f>
        <v/>
      </c>
      <c r="BI24" s="493" t="str" cm="1">
        <f t="array" ref="BI24">IF(15=15,IF(AW24="","",SUMPRODUCT(--ISNUMBER(SEARCH(" "&amp;DT215:DT314&amp;" ",BC24)))),"")</f>
        <v/>
      </c>
      <c r="BJ24" s="493" t="str" cm="1">
        <f t="array" ref="BJ24">IF(15=15,IF(AW24="","",SUMPRODUCT(--ISNUMBER(SEARCH(" "&amp;DT315:DT349&amp;" ",BC24)))),"")</f>
        <v/>
      </c>
      <c r="BK24" s="493" t="str">
        <f>IF(15=15,IF(AW24="","",IF((SUM(BI24:BJ24))-(0)&gt;0,"X",IF((0)-(0)&gt;0,"?",""))),"")</f>
        <v/>
      </c>
      <c r="BL24" s="493" t="str" cm="1">
        <f t="array" ref="BL24">IF(15=15,IF(AW24="","",SUMPRODUCT(--ISNUMBER(SEARCH(" "&amp;DT350:DT407&amp;" ",BC24)))),"")</f>
        <v/>
      </c>
      <c r="BM24" s="493" t="str" cm="1">
        <f t="array" ref="BM24">IF(15=15,IF(AW24="","",SUMPRODUCT(--ISNUMBER(SEARCH(" "&amp;DT408:DT435&amp;" ",BN24)))+SUMPRODUCT(--ISNUMBER(SEARCH(" "&amp;DT2449:DT2462&amp;" ",BN24)))),"")</f>
        <v/>
      </c>
      <c r="BN24" s="493" t="str">
        <f>IF(15=15,IF(AW24="","",SUBSTITUTE(SUBSTITUTE(SUBSTITUTE(SUBSTITUTE(SUBSTITUTE(SUBSTITUTE(SUBSTITUTE(SUBSTITUTE(SUBSTITUTE(SUBSTITUTE(SUBSTITUTE(SUBSTITUTE(SUBSTITUTE(SUBSTITUTE(BC24," "&amp;DT2464&amp;" "," ")," "&amp;DT442&amp;" "," ")," "&amp;DT440&amp;" "," ")," "&amp;DT2447&amp;" "," ")," "&amp;DT2448&amp;" "," ")," "&amp;DT437&amp;" "," ")," "&amp;DT441&amp;" "," ")," "&amp;DT443&amp;" "," ")," "&amp;DT438&amp;" "," ")," "&amp;DT436&amp;" "," ")," "&amp;DT1376&amp;" "," ")," "&amp;DT444&amp;" "," ")," "&amp;DT1375&amp;" "," ")," "&amp;DT439&amp;" "," ")),"")</f>
        <v/>
      </c>
      <c r="BO24" s="493" t="str">
        <f>IF(15=15,IF(AW24="","",IF(BL24&gt;0,"X",IF(BM24&gt;0,"?",""))),"")</f>
        <v/>
      </c>
      <c r="BP24" s="493" t="str" cm="1">
        <f t="array" ref="BP24">IF(15=15,IF(AW24="","",SUMPRODUCT(--ISNUMBER(SEARCH(" "&amp;DT445:DT544&amp;" ",BZ24)))),"")</f>
        <v/>
      </c>
      <c r="BQ24" s="493" t="str" cm="1">
        <f t="array" ref="BQ24">IF(15=15,IF(AW24="","",SUMPRODUCT(--ISNUMBER(SEARCH(" "&amp;DT545:DT644&amp;" ",BZ24)))),"")</f>
        <v/>
      </c>
      <c r="BR24" s="493" t="str" cm="1">
        <f t="array" ref="BR24">IF(15=15,IF(AW24="","",SUMPRODUCT(--ISNUMBER(SEARCH(" "&amp;DT645:DT744&amp;" ",BZ24)))),"")</f>
        <v/>
      </c>
      <c r="BS24" s="493" t="str" cm="1">
        <f t="array" ref="BS24">IF(15=15,IF(AW24="","",SUMPRODUCT(--ISNUMBER(SEARCH(" "&amp;DT745:DT844&amp;" ",BZ24)))),"")</f>
        <v/>
      </c>
      <c r="BT24" s="493" t="str" cm="1">
        <f t="array" ref="BT24">IF(15=15,IF(AW24="","",SUMPRODUCT(--ISNUMBER(SEARCH(" "&amp;DT845:DT944&amp;" ",BZ24)))),"")</f>
        <v/>
      </c>
      <c r="BU24" s="493" t="str" cm="1">
        <f t="array" ref="BU24">IF(15=15,IF(AW24="","",SUMPRODUCT(--ISNUMBER(SEARCH(" "&amp;DT945:DT1044&amp;" ",BZ24)))),"")</f>
        <v/>
      </c>
      <c r="BV24" s="493" t="str" cm="1">
        <f t="array" ref="BV24">IF(15=15,IF(AW24="","",SUMPRODUCT(--ISNUMBER(SEARCH(" "&amp;DT1045:DT1144&amp;" ",BZ24)))),"")</f>
        <v/>
      </c>
      <c r="BW24" s="493" t="str" cm="1">
        <f t="array" ref="BW24">IF(15=15,IF(AW24="","",SUMPRODUCT(--ISNUMBER(SEARCH(" "&amp;DT1145:DT1244&amp;" ",BZ24)))),"")</f>
        <v/>
      </c>
      <c r="BX24" s="493" t="str" cm="1">
        <f t="array" ref="BX24">IF(15=15,IF(AW24="","",SUMPRODUCT(--ISNUMBER(SEARCH(" "&amp;DT1245:DT1344&amp;" ",BZ24)))),"")</f>
        <v/>
      </c>
      <c r="BY24" s="493" t="str" cm="1">
        <f t="array" ref="BY24">IF(15=15,IF(AW24="","",SUMPRODUCT(--ISNUMBER(SEARCH(" "&amp;DT1345:DT1372&amp;" ",BZ24)))),"")</f>
        <v/>
      </c>
      <c r="BZ24" s="493" t="str">
        <f>IF(15=15,IF(AW24="","",SUBSTITUTE(SUBSTITUTE(SUBSTITUTE(SUBSTITUTE(SUBSTITUTE(SUBSTITUTE(SUBSTITUTE(SUBSTITUTE(SUBSTITUTE(BC24," "&amp;DT1374&amp;" "," ")," "&amp;DT1373&amp;" "," ")," "&amp;DT1379&amp;" "," ")," "&amp;DT1380&amp;" "," ")," "&amp;DT1376&amp;" "," ")," "&amp;DT1378&amp;" "," ")," "&amp;DT1375&amp;" "," ")," "&amp;DT1377&amp;" "," ")," "&amp;DT1381&amp;" "," ")),"")</f>
        <v/>
      </c>
      <c r="CA24" s="493" t="str" cm="1">
        <f t="array" ref="CA24">IF(15=15,IF(AW24="","",SUMPRODUCT(--ISNUMBER(SEARCH(" "&amp;DT1382:DT1392&amp;" ",BZ24)))),"")</f>
        <v/>
      </c>
      <c r="CB24" s="493" t="str" cm="1">
        <f t="array" ref="CB24">IF(15=15,IF(AW24="","",IF(SUM(BP24:BY24)+SUMPRODUCT(--ISNUMBER(SEARCH(" "&amp;DT2430:DT2431&amp;" ",BZ24)))&gt;0,"X",IF(CA24&gt;0,"?",""))),"")</f>
        <v/>
      </c>
      <c r="CC24" s="493" t="str" cm="1">
        <f t="array" ref="CC24">IF(15=15,IF(AW24="","",SUMPRODUCT(--ISNUMBER(SEARCH(" "&amp;DT1393:DT1413&amp;" ",BC24)))),"")</f>
        <v/>
      </c>
      <c r="CD24" s="493" t="str">
        <f>IF(15=15,IF(AW24="","",IF((CC24)-(0)&gt;0,"X",IF((0)-(0)&gt;0,"?",""))),"")</f>
        <v/>
      </c>
      <c r="CE24" s="493" t="str" cm="1">
        <f t="array" ref="CE24">IF(15=15,IF(AW24="","",SUMPRODUCT(--ISNUMBER(SEARCH(" "&amp;DT1414:DT1451&amp;" ",CF24)))),"")</f>
        <v/>
      </c>
      <c r="CF24" s="493" t="str">
        <f>IF(15=15,IF(AW24="","",SUBSTITUTE(SUBSTITUTE(BC24," "&amp;DT1452&amp;" "," ")," "&amp;DT1453&amp;" "," ")),"")</f>
        <v/>
      </c>
      <c r="CG24" s="493" t="str" cm="1">
        <f t="array" ref="CG24">IF(15=15,IF(AW24="","",SUMPRODUCT(--ISNUMBER(SEARCH(" "&amp;DT1454:DT1464&amp;" ",CF24)))),"")</f>
        <v/>
      </c>
      <c r="CH24" s="493" t="str">
        <f>IF(15=15,IF(AW24="","",IF(CE24&gt;0,"X",IF(CG24&gt;0,"?",""))),"")</f>
        <v/>
      </c>
      <c r="CI24" s="493" t="str" cm="1">
        <f t="array" ref="CI24">IF(15=15,IF(AW24="","",SUMPRODUCT(--ISNUMBER(SEARCH(" "&amp;DT1465:DT1564&amp;" ",CL24)))),"")</f>
        <v/>
      </c>
      <c r="CJ24" s="493" t="str" cm="1">
        <f t="array" ref="CJ24">IF(15=15,IF(AW24="","",SUMPRODUCT(--ISNUMBER(SEARCH(" "&amp;DT1565:DT1664&amp;" ",CL24)))),"")</f>
        <v/>
      </c>
      <c r="CK24" s="493" t="str" cm="1">
        <f t="array" ref="CK24">IF(15=15,IF(AW24="","",SUMPRODUCT(--ISNUMBER(SEARCH(" "&amp;DT1665:DT1748&amp;" ",CL24)))),"")</f>
        <v/>
      </c>
      <c r="CL24" s="493" t="str">
        <f>IF(15=15,IF(AW24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24,"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24" s="493" t="str" cm="1">
        <f t="array" ref="CM24">IF(15=15,IF(AW24="","",SUMPRODUCT(--ISNUMBER(SEARCH(" "&amp;DT1799:DT1878&amp;" ",CN24)))+SUMPRODUCT(--ISNUMBER(SEARCH(" "&amp;DT2449:DT2462&amp;" ",CN24)))),"")</f>
        <v/>
      </c>
      <c r="CN24" s="493" t="str">
        <f>IF(15=15,IF(AW24="","",SUBSTITUTE(SUBSTITUTE(SUBSTITUTE(SUBSTITUTE(SUBSTITUTE(SUBSTITUTE(SUBSTITUTE(SUBSTITUTE(SUBSTITUTE(SUBSTITUTE(SUBSTITUTE(SUBSTITUTE(SUBSTITUTE(CL24," "&amp;DT1885&amp;" "," ")," "&amp;DT1883&amp;" "," ")," "&amp;DT2447&amp;" "," ")," "&amp;DT2448&amp;" "," ")," "&amp;DT1880&amp;" "," ")," "&amp;DT1884&amp;" "," ")," "&amp;DT1886&amp;" "," ")," "&amp;DT1881&amp;" "," ")," "&amp;DT1879&amp;" "," ")," "&amp;DT1376&amp;" "," ")," "&amp;DT1887&amp;" "," ")," "&amp;DT1375&amp;" "," ")," "&amp;DT1882&amp;" "," ")),"")</f>
        <v/>
      </c>
      <c r="CO24" s="493" t="str" cm="1">
        <f t="array" ref="CO24">IF(15=15,IF(AW24="","",IF(SUM(CI24:CK24)+SUMPRODUCT(--ISNUMBER(SEARCH(" "&amp;DT2432:DT2433&amp;" ",CL24)))&gt;0,"X",IF(CM24&gt;0,"?",""))),"")</f>
        <v/>
      </c>
      <c r="CP24" s="493" t="str" cm="1">
        <f t="array" ref="CP24">IF(15=15,IF(AW24="","",SUMPRODUCT(--ISNUMBER(SEARCH(" "&amp;DT1888:DT1945&amp;" ",CQ24)))),"")</f>
        <v/>
      </c>
      <c r="CQ24" s="493" t="str">
        <f>IF(15=15,IF(AW24="","",SUBSTITUTE(SUBSTITUTE(SUBSTITUTE(SUBSTITUTE(SUBSTITUTE(SUBSTITUTE(SUBSTITUTE(SUBSTITUTE(SUBSTITUTE(SUBSTITUTE(SUBSTITUTE(SUBSTITUTE(SUBSTITUTE(SUBSTITUTE(SUBSTITUTE(SUBSTITUTE(SUBSTITUTE(SUBSTITUTE(SUBSTITUTE(SUBSTITUTE(SUBSTITUTE(SUBSTITUTE(SUBSTITUTE(BC24,"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24" s="493" t="str" cm="1">
        <f t="array" ref="CR24">IF(15=15,IF(AW24="","",SUMPRODUCT(--ISNUMBER(SEARCH(" "&amp;DT1969:DT1985&amp;" ",CQ24)))),"")</f>
        <v/>
      </c>
      <c r="CS24" s="493" t="str">
        <f>IF(15=15,IF(AW24="","",IF(CP24&gt;0,"X",IF(CR24&gt;0,"?",""))),"")</f>
        <v/>
      </c>
      <c r="CT24" s="493" t="str" cm="1">
        <f t="array" ref="CT24">IF(15=15,IF(AW24="","",SUMPRODUCT(--ISNUMBER(SEARCH(" "&amp;DT1986:DT1999&amp;" ",BC24)))),"")</f>
        <v/>
      </c>
      <c r="CU24" s="493" t="str" cm="1">
        <f t="array" ref="CU24">IF(15=15,IF(AW24="","",SUMPRODUCT(--ISNUMBER(SEARCH(" "&amp;DT2000:DT2014&amp;" ",BC24)))),"")</f>
        <v/>
      </c>
      <c r="CV24" s="493" t="str">
        <f>IF(15=15,IF(AW24="","",IF((CT24)-(0)&gt;0,"X",IF((CU24)-(0)&gt;0,"?",""))),"")</f>
        <v/>
      </c>
      <c r="CW24" s="493" t="str" cm="1">
        <f t="array" ref="CW24">IF(15=15,IF(AW24="","",SUMPRODUCT(--ISNUMBER(SEARCH(" "&amp;DT2015:DT2032&amp;" ",BC24)))),"")</f>
        <v/>
      </c>
      <c r="CX24" s="493" t="str" cm="1">
        <f t="array" ref="CX24">IF(15=15,IF(AW24="","",SUMPRODUCT(--ISNUMBER(SEARCH(" "&amp;DT2033:DT2047&amp;" ",BC24)))),"")</f>
        <v/>
      </c>
      <c r="CY24" s="493" t="str">
        <f>IF(15=15,IF(AW24="","",IF((CW24)-(0)&gt;0,"X",IF((CX24)-(0)&gt;0,"?",""))),"")</f>
        <v/>
      </c>
      <c r="CZ24" s="493" t="str" cm="1">
        <f t="array" ref="CZ24">IF(15=15,IF(AW24="","",SUMPRODUCT(--ISNUMBER(SEARCH(" "&amp;DT2048:DT2066&amp;" ",BC24)))),"")</f>
        <v/>
      </c>
      <c r="DA24" s="493" t="str" cm="1">
        <f t="array" ref="DA24">IF(15=15,IF(AW24="","",SUMPRODUCT(--ISNUMBER(SEARCH(" "&amp;DT2067:DT2081&amp;" ",BC24)))),"")</f>
        <v/>
      </c>
      <c r="DB24" s="493" t="str">
        <f>IF(15=15,IF(AW24="","",IF((CZ24)-(0)&gt;0,"X",IF((DA24)-(0)&gt;0,"?",""))),"")</f>
        <v/>
      </c>
      <c r="DC24" s="493" t="str" cm="1">
        <f t="array" ref="DC24">IF(15=15,IF(AW24="","",SUMPRODUCT(--ISNUMBER(SEARCH(" "&amp;DT2082:DT2102&amp;" ",BC24)))),"")</f>
        <v/>
      </c>
      <c r="DD24" s="493" t="str" cm="1">
        <f t="array" ref="DD24">IF(15=15,IF(AW24="","",SUMPRODUCT(--ISNUMBER(SEARCH(" "&amp;DT2103:DT2142&amp;" ",SUBSTITUTE(SUBSTITUTE(BC24," "&amp;DT1376&amp;" "," ")," "&amp;DT1375&amp;" "," "))))+--ISNUMBER(SEARCH("poiré",AX24))),"")</f>
        <v/>
      </c>
      <c r="DE24" s="493" t="str">
        <f>IF(15=15,IF(AW24="","",IF(OR(DC24&gt;0,ISNUMBER(SEARCH(" vinaigre de vin ",BC24)),ISNUMBER(SEARCH(" vinaigre au vin ",BC24))),"X",IF(DD24&gt;0,"?",""))),"")</f>
        <v/>
      </c>
      <c r="DF24" s="493" t="str" cm="1">
        <f t="array" ref="DF24">IF(15=15,IF(AW24="","",SUMPRODUCT(--ISNUMBER(SEARCH(" "&amp;DT2143:DT2155&amp;" ",BC24)))),"")</f>
        <v/>
      </c>
      <c r="DG24" s="493" t="str" cm="1">
        <f t="array" ref="DG24">IF(15=15,IF(AW24="","",SUMPRODUCT(--ISNUMBER(SEARCH(" "&amp;DT2156:DT2161&amp;" ",BC24)))),"")</f>
        <v/>
      </c>
      <c r="DH24" s="493" t="str">
        <f>IF(15=15,IF(AW24="","",IF((DF24)-(0)&gt;0,"X",IF((DG24)-(0)&gt;0,"?",""))),"")</f>
        <v/>
      </c>
      <c r="DI24" s="493" t="str" cm="1">
        <f t="array" ref="DI24">IF(15=15,IF(AW24="","",SUMPRODUCT(--ISNUMBER(SEARCH(" "&amp;DT2162:DT2261&amp;" ",DL24)))),"")</f>
        <v/>
      </c>
      <c r="DJ24" s="493" t="str" cm="1">
        <f t="array" ref="DJ24">IF(15=15,IF(AW24="","",SUMPRODUCT(--ISNUMBER(SEARCH(" "&amp;DT2262:DT2361&amp;" ",DL24)))),"")</f>
        <v/>
      </c>
      <c r="DK24" s="493" t="str" cm="1">
        <f t="array" ref="DK24">IF(15=15,IF(AW24="","",SUMPRODUCT(--ISNUMBER(SEARCH(" "&amp;DT2362:DT2404&amp;" ",DL24)))),"")</f>
        <v/>
      </c>
      <c r="DL24" s="493" t="str">
        <f>IF(15=15,IF(AW24="","",SUBSTITUTE(SUBSTITUTE(SUBSTITUTE(SUBSTITUTE(SUBSTITUTE(SUBSTITUTE(SUBSTITUTE(SUBSTITUTE(SUBSTITUTE(SUBSTITUTE(SUBSTITUTE(SUBSTITUTE(SUBSTITUTE(SUBSTITUTE(SUBSTITUTE(SUBSTITUTE(BC24," "&amp;DT2410&amp;" "," ")," "&amp;DT2409&amp;" "," ")," "&amp;DT2408&amp;" "," ")," "&amp;DT2415&amp;" "," ")," "&amp;DT2407&amp;" "," ")," "&amp;DT2419&amp;" "," ")," "&amp;DT2406&amp;" "," ")," "&amp;DT2411&amp;" "," ")," "&amp;DT2414&amp;" "," ")," "&amp;DT2405&amp;" "," ")," "&amp;DT2413&amp;" "," ")," "&amp;DT2420&amp;" "," ")," "&amp;DT2417&amp;" "," ")," "&amp;DT2412&amp;" "," ")," "&amp;DT2416&amp;" "," ")," "&amp;DT2418&amp;" "," ")),"")</f>
        <v/>
      </c>
      <c r="DM24" s="493" t="str" cm="1">
        <f t="array" ref="DM24">IF(15=15,IF(AW24="","",SUMPRODUCT(--ISNUMBER(SEARCH(" "&amp;DT2421:DT2425&amp;" ",DL24)))),"")</f>
        <v/>
      </c>
      <c r="DN24" s="493" t="str">
        <f>IF(15=15,IF(AW24="","",IF(SUM(DI24:DK24)&gt;0,"X",IF(DM24&gt;0,"?",""))),"")</f>
        <v/>
      </c>
      <c r="DO24" s="494"/>
      <c r="DP24" s="496" t="s">
        <v>1172</v>
      </c>
      <c r="DQ24" s="496" t="s">
        <v>1083</v>
      </c>
      <c r="DR24" s="496" t="s">
        <v>689</v>
      </c>
      <c r="DS24" s="496" t="s">
        <v>310</v>
      </c>
      <c r="DT24" s="496" t="s">
        <v>29</v>
      </c>
      <c r="DU24" s="496" t="s">
        <v>1085</v>
      </c>
      <c r="DV24" s="496" t="s">
        <v>1086</v>
      </c>
      <c r="DW24" s="496" t="s">
        <v>1087</v>
      </c>
      <c r="DX24" s="497" t="s">
        <v>1088</v>
      </c>
      <c r="DZ24" s="543">
        <v>1</v>
      </c>
      <c r="EB24" s="493"/>
      <c r="EC24" s="493"/>
    </row>
    <row r="25" spans="1:133" ht="21" customHeight="1">
      <c r="E25" s="818" t="str">
        <f t="shared" si="4"/>
        <v>►</v>
      </c>
      <c r="F25" s="724" t="str">
        <f>F12</f>
        <v>M MACÉDOINE DE LÉGUMES AU COULIS DE TOMATE | HORS D'ŒUVRE texture modifiée-cuidité-MACEDOINE| Auteur &gt; Annette et Jean Pierre DOMERGUES - 45000 ORLÉANS 1981</v>
      </c>
      <c r="G25" s="725">
        <f>G12</f>
        <v>10</v>
      </c>
      <c r="H25" s="724" t="str">
        <f>H12</f>
        <v>couverts</v>
      </c>
      <c r="I25" s="726" t="str">
        <f>I12</f>
        <v>Recette mère ►  Textures modifiées</v>
      </c>
      <c r="J25" s="791"/>
      <c r="K25" s="809"/>
      <c r="L25" s="793" t="str">
        <f t="shared" si="1"/>
        <v/>
      </c>
      <c r="M25" s="794"/>
      <c r="N25" s="795"/>
      <c r="O25" s="796">
        <v>1</v>
      </c>
      <c r="P25" s="811" t="str">
        <f>ROWS(P16:P25)&amp;" ►"</f>
        <v>10 ►</v>
      </c>
      <c r="Q25" s="798"/>
      <c r="R25" s="799"/>
      <c r="S25" s="800">
        <f>IF(U28=0,0,(U25/U28)*T15*1000)</f>
        <v>0</v>
      </c>
      <c r="T25" s="813">
        <f>IF(U28=0, 0, (J25*O25)/(U28*T15))</f>
        <v>0</v>
      </c>
      <c r="U25" s="802">
        <f t="array" ref="U25">IFERROR(_xlfn.XLOOKUP(UPPER(TRIM(N25)),UPPER(TRIM(J29:Y29)),J30:Y30,_xlfn.XLOOKUP(UPPER(TRIM(N25)),UPPER(TRIM(J31:Y31)),J32:Y32,0))*M25*IF(J25&gt;0,J25,1),0)</f>
        <v>0</v>
      </c>
      <c r="V25" s="814">
        <f>IF(X11&lt;&gt;0,J25*O25*O11,0)</f>
        <v>0</v>
      </c>
      <c r="W25" s="815">
        <f t="shared" si="2"/>
        <v>0</v>
      </c>
      <c r="X25" s="805">
        <f>IF(OR(ISBLANK(X11),X11=0),0,U25*O25*O11)</f>
        <v>0</v>
      </c>
      <c r="Y25" s="816" t="str">
        <f>IF(N25="","",IF(COUNTIF(Q29:Y29,SUBSTITUTE(TRIM(N25)," (s)",""))+COUNTIF(Q31:Y31,SUBSTITUTE(TRIM(N25)," (s)",""))&gt;0,IF(ROUND(X25,3)&gt;=1,ROUND(X25,3)&amp;" L",MAX(1,ROUND(X25*100,0))&amp;" cl"),IF(COUNTIF(J29:O29,SUBSTITUTE(TRIM(N25)," (s)",""))+COUNTIF(J31:O31,SUBSTITUTE(TRIM(N25)," (s)",""))&gt;0,IF(ROUND(X25,3)&gt;=1,ROUND(X25,3)&amp;" Kg",MAX(1,ROUND(X25*1000,0))&amp;" g"),"")))</f>
        <v/>
      </c>
      <c r="AA25" s="1362"/>
      <c r="AC25" s="509">
        <v>10</v>
      </c>
      <c r="AD25" s="808"/>
      <c r="AE25" s="679" t="str">
        <f t="shared" si="3"/>
        <v/>
      </c>
      <c r="AF25" s="512" t="str">
        <f>IF(16=16,IF(AD25="","",IF(AG25="X",""&amp;"Céréales contenant du gluten","")&amp;IF(AH25="X",IF(COUNTIF(AG25:AG25,"X")&gt;0,", ","")&amp;"Crustacés","")&amp;IF(AI25="X",IF(COUNTIF(AG25:AH25,"X")&gt;0,", ","")&amp;"Œufs","")&amp;IF(AJ25="X",IF(COUNTIF(AG25:AI25,"X")&gt;0,", ","")&amp;"Poissons","")&amp;IF(AK25="X",IF(COUNTIF(AG25:AJ25,"X")&gt;0,", ","")&amp;"Arachides","")&amp;IF(AL25="X",IF(COUNTIF(AG25:AK25,"X")&gt;0,", ","")&amp;"Soja","")&amp;IF(AM25="X",IF(COUNTIF(AG25:AL25,"X")&gt;0,", ","")&amp;"Lait","")&amp;IF(AN25="X",IF(COUNTIF(AG25:AM25,"X")&gt;0,", ","")&amp;"Fruits à coque","")&amp;IF(AO25="X",IF(COUNTIF(AG25:AN25,"X")&gt;0,", ","")&amp;"Céleri","")&amp;IF(AP25="X",IF(COUNTIF(AG25:AO25,"X")&gt;0,", ","")&amp;"Moutarde","")&amp;IF(AQ25="X",IF(COUNTIF(AG25:AP25,"X")&gt;0,", ","")&amp;"Sésame","")&amp;IF(AR25="X",IF(COUNTIF(AG25:AQ25,"X")&gt;0,", ","")&amp;"Sulfites","")&amp;IF(AS25="X",IF(COUNTIF(AG25:AR25,"X")&gt;0,", ","")&amp;"Lupin","")&amp;IF(AT25="X",IF(COUNTIF(AG25:AS25,"X")&gt;0,", ","")&amp;"Mollusques","")),"")</f>
        <v/>
      </c>
      <c r="AG25" s="513" t="str">
        <f>IF(16=16,IF(AD25="","",BH25),"")</f>
        <v/>
      </c>
      <c r="AH25" s="513" t="str">
        <f>IF(16=16,IF(AD25="","",BK25),"")</f>
        <v/>
      </c>
      <c r="AI25" s="513" t="str">
        <f>IF(16=16,IF(AD25="","",BO25),"")</f>
        <v/>
      </c>
      <c r="AJ25" s="513" t="str">
        <f>IF(16=16,IF(AD25="","",IF(ISNUMBER(SEARCH(" colin ",BC25)),"X",CB25)),"")</f>
        <v/>
      </c>
      <c r="AK25" s="513" t="str">
        <f>IF(16=16,IF(AD25="","",CD25),"")</f>
        <v/>
      </c>
      <c r="AL25" s="513" t="str">
        <f>IF(16=16,IF(AD25="","",CH25),"")</f>
        <v/>
      </c>
      <c r="AM25" s="513" t="str">
        <f>IF(16=16,IF(AD25="","",CO25),"")</f>
        <v/>
      </c>
      <c r="AN25" s="513" t="str">
        <f>IF(16=16,IF(AD25="","",CS25),"")</f>
        <v/>
      </c>
      <c r="AO25" s="513" t="str">
        <f>IF(16=16,IF(AD25="","",CV25),"")</f>
        <v/>
      </c>
      <c r="AP25" s="513" t="str">
        <f>IF(16=16,IF(AD25="","",CY25),"")</f>
        <v/>
      </c>
      <c r="AQ25" s="513" t="str">
        <f>IF(16=16,IF(AD25="","",DB25),"")</f>
        <v/>
      </c>
      <c r="AR25" s="513" t="str">
        <f>IF(16=16,IF(AD25="","",DE25),"")</f>
        <v/>
      </c>
      <c r="AS25" s="513" t="str">
        <f>IF(16=16,IF(AD25="","",DH25),"")</f>
        <v/>
      </c>
      <c r="AT25" s="513" t="str">
        <f>IF(16=16,IF(AD25="","",DN25),"")</f>
        <v/>
      </c>
      <c r="AU25" s="514" t="str">
        <f>IF(16=16,IF(AD25="","",IF(AG25="?",""&amp;"Céréales contenant du gluten","")&amp;IF(AH25="?",IF(COUNTIF(AG25:AG25,"~?")&gt;0,", ","")&amp;"Crustacés","")&amp;IF(AI25="?",IF(COUNTIF(AG25:AH25,"~?")&gt;0,", ","")&amp;"Œufs","")&amp;IF(AJ25="?",IF(COUNTIF(AG25:AI25,"~?")&gt;0,", ","")&amp;"Poissons","")&amp;IF(AK25="?",IF(COUNTIF(AG25:AJ25,"~?")&gt;0,", ","")&amp;"Arachides","")&amp;IF(AL25="?",IF(COUNTIF(AG25:AK25,"~?")&gt;0,", ","")&amp;"Soja","")&amp;IF(AM25="?",IF(COUNTIF(AG25:AL25,"~?")&gt;0,", ","")&amp;"Lait","")&amp;IF(AN25="?",IF(COUNTIF(AG25:AM25,"~?")&gt;0,", ","")&amp;"Fruits à coque","")&amp;IF(AO25="?",IF(COUNTIF(AG25:AN25,"~?")&gt;0,", ","")&amp;"Céleri","")&amp;IF(AP25="?",IF(COUNTIF(AG25:AO25,"~?")&gt;0,", ","")&amp;"Moutarde","")&amp;IF(AQ25="?",IF(COUNTIF(AG25:AP25,"~?")&gt;0,", ","")&amp;"Sésame","")&amp;IF(AR25="?",IF(COUNTIF(AG25:AQ25,"~?")&gt;0,", ","")&amp;"Sulfites","")&amp;IF(AS25="?",IF(COUNTIF(AG25:AR25,"~?")&gt;0,", ","")&amp;"Lupin","")&amp;IF(AT25="?",IF(COUNTIF(AG25:AS25,"~?")&gt;0,", ","")&amp;"Mollusques","")),"")</f>
        <v/>
      </c>
      <c r="AW25" s="493" t="str">
        <f>IF(16=16,IF(AD25="","",AD25),"")</f>
        <v/>
      </c>
      <c r="AX25" s="493" t="str">
        <f>IF(16=16,LOWER(CLEAN(SUBSTITUTE(SUBSTITUTE(SUBSTITUTE(SUBSTITUTE(AW25,CHAR(160)," ")," "," "),CHAR(10)," "),CHAR(13)," "))),"")</f>
        <v/>
      </c>
      <c r="AY25" s="493" t="str">
        <f>IF(16=16,SUBSTITUTE(SUBSTITUTE(SUBSTITUTE(SUBSTITUTE(SUBSTITUTE(SUBSTITUTE(SUBSTITUTE(SUBSTITUTE(SUBSTITUTE(SUBSTITUTE(SUBSTITUTE(SUBSTITUTE(AX25,"œ","oe"),"æ","ae"),"à","a"),"á","a"),"â","a"),"ä","a"),"ã","a"),"ç","c"),"è","e"),"é","e"),"ê","e"),"ë","e"),"")</f>
        <v/>
      </c>
      <c r="AZ25" s="493" t="str">
        <f>IF(16=16,SUBSTITUTE(SUBSTITUTE(SUBSTITUTE(SUBSTITUTE(SUBSTITUTE(SUBSTITUTE(SUBSTITUTE(SUBSTITUTE(SUBSTITUTE(SUBSTITUTE(SUBSTITUTE(SUBSTITUTE(SUBSTITUTE(SUBSTITUTE(SUBSTITUTE(SUBSTITUTE(AY25,"ì","i"),"í","i"),"î","i"),"ï","i"),"ñ","n"),"ò","o"),"ó","o"),"ô","o"),"ö","o"),"õ","o"),"ù","u"),"ú","u"),"û","u"),"ü","u"),"ý","y"),"ÿ","y"),"")</f>
        <v/>
      </c>
      <c r="BA25" s="493" t="str">
        <f>IF(16=16,SUBSTITUTE(SUBSTITUTE(SUBSTITUTE(SUBSTITUTE(SUBSTITUTE(SUBSTITUTE(SUBSTITUTE(SUBSTITUTE(SUBSTITUTE(SUBSTITUTE(SUBSTITUTE(SUBSTITUTE(SUBSTITUTE(SUBSTITUTE(AZ25,"’"," "),"`"," "),"–"," "),"—"," "),"-"," "),"'"," "),"/"," "),"_"," "),","," "),"."," "),"("," "),")"," "),";"," "),":"," "),"")</f>
        <v/>
      </c>
      <c r="BB25" s="493" t="str">
        <f>IF(16=16,SUBSTITUTE(SUBSTITUTE(SUBSTITUTE(SUBSTITUTE(SUBSTITUTE(SUBSTITUTE(SUBSTITUTE(SUBSTITUTE(SUBSTITUTE(SUBSTITUTE(SUBSTITUTE(SUBSTITUTE(SUBSTITUTE(SUBSTITUTE(SUBSTITUTE(BA25,"!"," "),"?"," "),"+"," "),"*"," "),"&amp;"," "),"["," "),"]"," "),"{"," "),"}"," "),"%"," "),"="," "),"\"," "),"|"," "),"&lt;"," "),"&gt;"," "),"")</f>
        <v/>
      </c>
      <c r="BC25" s="493" t="str">
        <f>IF(16=16," "&amp;TRIM(SUBSTITUTE(SUBSTITUTE(SUBSTITUTE(SUBSTITUTE(SUBSTITUTE(SUBSTITUTE(BB25,CHAR(34)," "),"  "," "),"  "," "),"  "," "),"  "," "),"  "," "))&amp;" ","")</f>
        <v xml:space="preserve">  </v>
      </c>
      <c r="BD25" s="493" t="str" cm="1">
        <f t="array" ref="BD25">IF(16=16,IF(AW25="","",SUMPRODUCT(--ISNUMBER(SEARCH(" "&amp;DT11:DT110&amp;" ",BF25)))),"")</f>
        <v/>
      </c>
      <c r="BE25" s="493" t="str" cm="1">
        <f t="array" ref="BE25">IF(16=16,IF(AW25="","",SUMPRODUCT(--ISNUMBER(SEARCH(" "&amp;DT111:DT160&amp;" ",BF25)))),"")</f>
        <v/>
      </c>
      <c r="BF25" s="493" t="str">
        <f>IF(AW25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25,"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25" s="493" t="str" cm="1">
        <f t="array" ref="BG25">IF(AW25="","",SUMPRODUCT(--ISNUMBER(SEARCH(" "&amp;DT193:DT214&amp;" ",BF25)))+--ISNUMBER(SEARCH(" "&amp;DT2463&amp;" ",BF25)))</f>
        <v/>
      </c>
      <c r="BH25" s="493" t="str" cm="1">
        <f t="array" ref="BH25">IF(16=16,IF(AW25="","",IF(SUM(BD25:BE25)+SUMPRODUCT(--ISNUMBER(SEARCH(" "&amp;DT2427:DT2429&amp;" ",BF25)))&gt;0,"X",IF(BG25&gt;0,"?",""))),"")</f>
        <v/>
      </c>
      <c r="BI25" s="493" t="str" cm="1">
        <f t="array" ref="BI25">IF(16=16,IF(AW25="","",SUMPRODUCT(--ISNUMBER(SEARCH(" "&amp;DT215:DT314&amp;" ",BC25)))),"")</f>
        <v/>
      </c>
      <c r="BJ25" s="493" t="str" cm="1">
        <f t="array" ref="BJ25">IF(16=16,IF(AW25="","",SUMPRODUCT(--ISNUMBER(SEARCH(" "&amp;DT315:DT349&amp;" ",BC25)))),"")</f>
        <v/>
      </c>
      <c r="BK25" s="493" t="str">
        <f>IF(16=16,IF(AW25="","",IF((SUM(BI25:BJ25))-(0)&gt;0,"X",IF((0)-(0)&gt;0,"?",""))),"")</f>
        <v/>
      </c>
      <c r="BL25" s="493" t="str" cm="1">
        <f t="array" ref="BL25">IF(16=16,IF(AW25="","",SUMPRODUCT(--ISNUMBER(SEARCH(" "&amp;DT350:DT407&amp;" ",BC25)))),"")</f>
        <v/>
      </c>
      <c r="BM25" s="493" t="str" cm="1">
        <f t="array" ref="BM25">IF(16=16,IF(AW25="","",SUMPRODUCT(--ISNUMBER(SEARCH(" "&amp;DT408:DT435&amp;" ",BN25)))+SUMPRODUCT(--ISNUMBER(SEARCH(" "&amp;DT2449:DT2462&amp;" ",BN25)))),"")</f>
        <v/>
      </c>
      <c r="BN25" s="493" t="str">
        <f>IF(16=16,IF(AW25="","",SUBSTITUTE(SUBSTITUTE(SUBSTITUTE(SUBSTITUTE(SUBSTITUTE(SUBSTITUTE(SUBSTITUTE(SUBSTITUTE(SUBSTITUTE(SUBSTITUTE(SUBSTITUTE(SUBSTITUTE(SUBSTITUTE(SUBSTITUTE(BC25," "&amp;DT2464&amp;" "," ")," "&amp;DT442&amp;" "," ")," "&amp;DT440&amp;" "," ")," "&amp;DT2447&amp;" "," ")," "&amp;DT2448&amp;" "," ")," "&amp;DT437&amp;" "," ")," "&amp;DT441&amp;" "," ")," "&amp;DT443&amp;" "," ")," "&amp;DT438&amp;" "," ")," "&amp;DT436&amp;" "," ")," "&amp;DT1376&amp;" "," ")," "&amp;DT444&amp;" "," ")," "&amp;DT1375&amp;" "," ")," "&amp;DT439&amp;" "," ")),"")</f>
        <v/>
      </c>
      <c r="BO25" s="493" t="str">
        <f>IF(16=16,IF(AW25="","",IF(BL25&gt;0,"X",IF(BM25&gt;0,"?",""))),"")</f>
        <v/>
      </c>
      <c r="BP25" s="493" t="str" cm="1">
        <f t="array" ref="BP25">IF(16=16,IF(AW25="","",SUMPRODUCT(--ISNUMBER(SEARCH(" "&amp;DT445:DT544&amp;" ",BZ25)))),"")</f>
        <v/>
      </c>
      <c r="BQ25" s="493" t="str" cm="1">
        <f t="array" ref="BQ25">IF(16=16,IF(AW25="","",SUMPRODUCT(--ISNUMBER(SEARCH(" "&amp;DT545:DT644&amp;" ",BZ25)))),"")</f>
        <v/>
      </c>
      <c r="BR25" s="493" t="str" cm="1">
        <f t="array" ref="BR25">IF(16=16,IF(AW25="","",SUMPRODUCT(--ISNUMBER(SEARCH(" "&amp;DT645:DT744&amp;" ",BZ25)))),"")</f>
        <v/>
      </c>
      <c r="BS25" s="493" t="str" cm="1">
        <f t="array" ref="BS25">IF(16=16,IF(AW25="","",SUMPRODUCT(--ISNUMBER(SEARCH(" "&amp;DT745:DT844&amp;" ",BZ25)))),"")</f>
        <v/>
      </c>
      <c r="BT25" s="493" t="str" cm="1">
        <f t="array" ref="BT25">IF(16=16,IF(AW25="","",SUMPRODUCT(--ISNUMBER(SEARCH(" "&amp;DT845:DT944&amp;" ",BZ25)))),"")</f>
        <v/>
      </c>
      <c r="BU25" s="493" t="str" cm="1">
        <f t="array" ref="BU25">IF(16=16,IF(AW25="","",SUMPRODUCT(--ISNUMBER(SEARCH(" "&amp;DT945:DT1044&amp;" ",BZ25)))),"")</f>
        <v/>
      </c>
      <c r="BV25" s="493" t="str" cm="1">
        <f t="array" ref="BV25">IF(16=16,IF(AW25="","",SUMPRODUCT(--ISNUMBER(SEARCH(" "&amp;DT1045:DT1144&amp;" ",BZ25)))),"")</f>
        <v/>
      </c>
      <c r="BW25" s="493" t="str" cm="1">
        <f t="array" ref="BW25">IF(16=16,IF(AW25="","",SUMPRODUCT(--ISNUMBER(SEARCH(" "&amp;DT1145:DT1244&amp;" ",BZ25)))),"")</f>
        <v/>
      </c>
      <c r="BX25" s="493" t="str" cm="1">
        <f t="array" ref="BX25">IF(16=16,IF(AW25="","",SUMPRODUCT(--ISNUMBER(SEARCH(" "&amp;DT1245:DT1344&amp;" ",BZ25)))),"")</f>
        <v/>
      </c>
      <c r="BY25" s="493" t="str" cm="1">
        <f t="array" ref="BY25">IF(16=16,IF(AW25="","",SUMPRODUCT(--ISNUMBER(SEARCH(" "&amp;DT1345:DT1372&amp;" ",BZ25)))),"")</f>
        <v/>
      </c>
      <c r="BZ25" s="493" t="str">
        <f>IF(16=16,IF(AW25="","",SUBSTITUTE(SUBSTITUTE(SUBSTITUTE(SUBSTITUTE(SUBSTITUTE(SUBSTITUTE(SUBSTITUTE(SUBSTITUTE(SUBSTITUTE(BC25," "&amp;DT1374&amp;" "," ")," "&amp;DT1373&amp;" "," ")," "&amp;DT1379&amp;" "," ")," "&amp;DT1380&amp;" "," ")," "&amp;DT1376&amp;" "," ")," "&amp;DT1378&amp;" "," ")," "&amp;DT1375&amp;" "," ")," "&amp;DT1377&amp;" "," ")," "&amp;DT1381&amp;" "," ")),"")</f>
        <v/>
      </c>
      <c r="CA25" s="493" t="str" cm="1">
        <f t="array" ref="CA25">IF(16=16,IF(AW25="","",SUMPRODUCT(--ISNUMBER(SEARCH(" "&amp;DT1382:DT1392&amp;" ",BZ25)))),"")</f>
        <v/>
      </c>
      <c r="CB25" s="493" t="str" cm="1">
        <f t="array" ref="CB25">IF(16=16,IF(AW25="","",IF(SUM(BP25:BY25)+SUMPRODUCT(--ISNUMBER(SEARCH(" "&amp;DT2430:DT2431&amp;" ",BZ25)))&gt;0,"X",IF(CA25&gt;0,"?",""))),"")</f>
        <v/>
      </c>
      <c r="CC25" s="493" t="str" cm="1">
        <f t="array" ref="CC25">IF(16=16,IF(AW25="","",SUMPRODUCT(--ISNUMBER(SEARCH(" "&amp;DT1393:DT1413&amp;" ",BC25)))),"")</f>
        <v/>
      </c>
      <c r="CD25" s="493" t="str">
        <f>IF(16=16,IF(AW25="","",IF((CC25)-(0)&gt;0,"X",IF((0)-(0)&gt;0,"?",""))),"")</f>
        <v/>
      </c>
      <c r="CE25" s="493" t="str" cm="1">
        <f t="array" ref="CE25">IF(16=16,IF(AW25="","",SUMPRODUCT(--ISNUMBER(SEARCH(" "&amp;DT1414:DT1451&amp;" ",CF25)))),"")</f>
        <v/>
      </c>
      <c r="CF25" s="493" t="str">
        <f>IF(16=16,IF(AW25="","",SUBSTITUTE(SUBSTITUTE(BC25," "&amp;DT1452&amp;" "," ")," "&amp;DT1453&amp;" "," ")),"")</f>
        <v/>
      </c>
      <c r="CG25" s="493" t="str" cm="1">
        <f t="array" ref="CG25">IF(16=16,IF(AW25="","",SUMPRODUCT(--ISNUMBER(SEARCH(" "&amp;DT1454:DT1464&amp;" ",CF25)))),"")</f>
        <v/>
      </c>
      <c r="CH25" s="493" t="str">
        <f>IF(16=16,IF(AW25="","",IF(CE25&gt;0,"X",IF(CG25&gt;0,"?",""))),"")</f>
        <v/>
      </c>
      <c r="CI25" s="493" t="str" cm="1">
        <f t="array" ref="CI25">IF(16=16,IF(AW25="","",SUMPRODUCT(--ISNUMBER(SEARCH(" "&amp;DT1465:DT1564&amp;" ",CL25)))),"")</f>
        <v/>
      </c>
      <c r="CJ25" s="493" t="str" cm="1">
        <f t="array" ref="CJ25">IF(16=16,IF(AW25="","",SUMPRODUCT(--ISNUMBER(SEARCH(" "&amp;DT1565:DT1664&amp;" ",CL25)))),"")</f>
        <v/>
      </c>
      <c r="CK25" s="493" t="str" cm="1">
        <f t="array" ref="CK25">IF(16=16,IF(AW25="","",SUMPRODUCT(--ISNUMBER(SEARCH(" "&amp;DT1665:DT1748&amp;" ",CL25)))),"")</f>
        <v/>
      </c>
      <c r="CL25" s="493" t="str">
        <f>IF(16=16,IF(AW25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25,"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25" s="493" t="str" cm="1">
        <f t="array" ref="CM25">IF(16=16,IF(AW25="","",SUMPRODUCT(--ISNUMBER(SEARCH(" "&amp;DT1799:DT1878&amp;" ",CN25)))+SUMPRODUCT(--ISNUMBER(SEARCH(" "&amp;DT2449:DT2462&amp;" ",CN25)))),"")</f>
        <v/>
      </c>
      <c r="CN25" s="493" t="str">
        <f>IF(16=16,IF(AW25="","",SUBSTITUTE(SUBSTITUTE(SUBSTITUTE(SUBSTITUTE(SUBSTITUTE(SUBSTITUTE(SUBSTITUTE(SUBSTITUTE(SUBSTITUTE(SUBSTITUTE(SUBSTITUTE(SUBSTITUTE(SUBSTITUTE(CL25," "&amp;DT1885&amp;" "," ")," "&amp;DT1883&amp;" "," ")," "&amp;DT2447&amp;" "," ")," "&amp;DT2448&amp;" "," ")," "&amp;DT1880&amp;" "," ")," "&amp;DT1884&amp;" "," ")," "&amp;DT1886&amp;" "," ")," "&amp;DT1881&amp;" "," ")," "&amp;DT1879&amp;" "," ")," "&amp;DT1376&amp;" "," ")," "&amp;DT1887&amp;" "," ")," "&amp;DT1375&amp;" "," ")," "&amp;DT1882&amp;" "," ")),"")</f>
        <v/>
      </c>
      <c r="CO25" s="493" t="str" cm="1">
        <f t="array" ref="CO25">IF(16=16,IF(AW25="","",IF(SUM(CI25:CK25)+SUMPRODUCT(--ISNUMBER(SEARCH(" "&amp;DT2432:DT2433&amp;" ",CL25)))&gt;0,"X",IF(CM25&gt;0,"?",""))),"")</f>
        <v/>
      </c>
      <c r="CP25" s="493" t="str" cm="1">
        <f t="array" ref="CP25">IF(16=16,IF(AW25="","",SUMPRODUCT(--ISNUMBER(SEARCH(" "&amp;DT1888:DT1945&amp;" ",CQ25)))),"")</f>
        <v/>
      </c>
      <c r="CQ25" s="493" t="str">
        <f>IF(16=16,IF(AW25="","",SUBSTITUTE(SUBSTITUTE(SUBSTITUTE(SUBSTITUTE(SUBSTITUTE(SUBSTITUTE(SUBSTITUTE(SUBSTITUTE(SUBSTITUTE(SUBSTITUTE(SUBSTITUTE(SUBSTITUTE(SUBSTITUTE(SUBSTITUTE(SUBSTITUTE(SUBSTITUTE(SUBSTITUTE(SUBSTITUTE(SUBSTITUTE(SUBSTITUTE(SUBSTITUTE(SUBSTITUTE(SUBSTITUTE(BC25,"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25" s="493" t="str" cm="1">
        <f t="array" ref="CR25">IF(16=16,IF(AW25="","",SUMPRODUCT(--ISNUMBER(SEARCH(" "&amp;DT1969:DT1985&amp;" ",CQ25)))),"")</f>
        <v/>
      </c>
      <c r="CS25" s="493" t="str">
        <f>IF(16=16,IF(AW25="","",IF(CP25&gt;0,"X",IF(CR25&gt;0,"?",""))),"")</f>
        <v/>
      </c>
      <c r="CT25" s="493" t="str" cm="1">
        <f t="array" ref="CT25">IF(16=16,IF(AW25="","",SUMPRODUCT(--ISNUMBER(SEARCH(" "&amp;DT1986:DT1999&amp;" ",BC25)))),"")</f>
        <v/>
      </c>
      <c r="CU25" s="493" t="str" cm="1">
        <f t="array" ref="CU25">IF(16=16,IF(AW25="","",SUMPRODUCT(--ISNUMBER(SEARCH(" "&amp;DT2000:DT2014&amp;" ",BC25)))),"")</f>
        <v/>
      </c>
      <c r="CV25" s="493" t="str">
        <f>IF(16=16,IF(AW25="","",IF((CT25)-(0)&gt;0,"X",IF((CU25)-(0)&gt;0,"?",""))),"")</f>
        <v/>
      </c>
      <c r="CW25" s="493" t="str" cm="1">
        <f t="array" ref="CW25">IF(16=16,IF(AW25="","",SUMPRODUCT(--ISNUMBER(SEARCH(" "&amp;DT2015:DT2032&amp;" ",BC25)))),"")</f>
        <v/>
      </c>
      <c r="CX25" s="493" t="str" cm="1">
        <f t="array" ref="CX25">IF(16=16,IF(AW25="","",SUMPRODUCT(--ISNUMBER(SEARCH(" "&amp;DT2033:DT2047&amp;" ",BC25)))),"")</f>
        <v/>
      </c>
      <c r="CY25" s="493" t="str">
        <f>IF(16=16,IF(AW25="","",IF((CW25)-(0)&gt;0,"X",IF((CX25)-(0)&gt;0,"?",""))),"")</f>
        <v/>
      </c>
      <c r="CZ25" s="493" t="str" cm="1">
        <f t="array" ref="CZ25">IF(16=16,IF(AW25="","",SUMPRODUCT(--ISNUMBER(SEARCH(" "&amp;DT2048:DT2066&amp;" ",BC25)))),"")</f>
        <v/>
      </c>
      <c r="DA25" s="493" t="str" cm="1">
        <f t="array" ref="DA25">IF(16=16,IF(AW25="","",SUMPRODUCT(--ISNUMBER(SEARCH(" "&amp;DT2067:DT2081&amp;" ",BC25)))),"")</f>
        <v/>
      </c>
      <c r="DB25" s="493" t="str">
        <f>IF(16=16,IF(AW25="","",IF((CZ25)-(0)&gt;0,"X",IF((DA25)-(0)&gt;0,"?",""))),"")</f>
        <v/>
      </c>
      <c r="DC25" s="493" t="str" cm="1">
        <f t="array" ref="DC25">IF(16=16,IF(AW25="","",SUMPRODUCT(--ISNUMBER(SEARCH(" "&amp;DT2082:DT2102&amp;" ",BC25)))),"")</f>
        <v/>
      </c>
      <c r="DD25" s="493" t="str" cm="1">
        <f t="array" ref="DD25">IF(16=16,IF(AW25="","",SUMPRODUCT(--ISNUMBER(SEARCH(" "&amp;DT2103:DT2142&amp;" ",SUBSTITUTE(SUBSTITUTE(BC25," "&amp;DT1376&amp;" "," ")," "&amp;DT1375&amp;" "," "))))+--ISNUMBER(SEARCH("poiré",AX25))),"")</f>
        <v/>
      </c>
      <c r="DE25" s="493" t="str">
        <f>IF(16=16,IF(AW25="","",IF(OR(DC25&gt;0,ISNUMBER(SEARCH(" vinaigre de vin ",BC25)),ISNUMBER(SEARCH(" vinaigre au vin ",BC25))),"X",IF(DD25&gt;0,"?",""))),"")</f>
        <v/>
      </c>
      <c r="DF25" s="493" t="str" cm="1">
        <f t="array" ref="DF25">IF(16=16,IF(AW25="","",SUMPRODUCT(--ISNUMBER(SEARCH(" "&amp;DT2143:DT2155&amp;" ",BC25)))),"")</f>
        <v/>
      </c>
      <c r="DG25" s="493" t="str" cm="1">
        <f t="array" ref="DG25">IF(16=16,IF(AW25="","",SUMPRODUCT(--ISNUMBER(SEARCH(" "&amp;DT2156:DT2161&amp;" ",BC25)))),"")</f>
        <v/>
      </c>
      <c r="DH25" s="493" t="str">
        <f>IF(16=16,IF(AW25="","",IF((DF25)-(0)&gt;0,"X",IF((DG25)-(0)&gt;0,"?",""))),"")</f>
        <v/>
      </c>
      <c r="DI25" s="493" t="str" cm="1">
        <f t="array" ref="DI25">IF(16=16,IF(AW25="","",SUMPRODUCT(--ISNUMBER(SEARCH(" "&amp;DT2162:DT2261&amp;" ",DL25)))),"")</f>
        <v/>
      </c>
      <c r="DJ25" s="493" t="str" cm="1">
        <f t="array" ref="DJ25">IF(16=16,IF(AW25="","",SUMPRODUCT(--ISNUMBER(SEARCH(" "&amp;DT2262:DT2361&amp;" ",DL25)))),"")</f>
        <v/>
      </c>
      <c r="DK25" s="493" t="str" cm="1">
        <f t="array" ref="DK25">IF(16=16,IF(AW25="","",SUMPRODUCT(--ISNUMBER(SEARCH(" "&amp;DT2362:DT2404&amp;" ",DL25)))),"")</f>
        <v/>
      </c>
      <c r="DL25" s="493" t="str">
        <f>IF(16=16,IF(AW25="","",SUBSTITUTE(SUBSTITUTE(SUBSTITUTE(SUBSTITUTE(SUBSTITUTE(SUBSTITUTE(SUBSTITUTE(SUBSTITUTE(SUBSTITUTE(SUBSTITUTE(SUBSTITUTE(SUBSTITUTE(SUBSTITUTE(SUBSTITUTE(SUBSTITUTE(SUBSTITUTE(BC25," "&amp;DT2410&amp;" "," ")," "&amp;DT2409&amp;" "," ")," "&amp;DT2408&amp;" "," ")," "&amp;DT2415&amp;" "," ")," "&amp;DT2407&amp;" "," ")," "&amp;DT2419&amp;" "," ")," "&amp;DT2406&amp;" "," ")," "&amp;DT2411&amp;" "," ")," "&amp;DT2414&amp;" "," ")," "&amp;DT2405&amp;" "," ")," "&amp;DT2413&amp;" "," ")," "&amp;DT2420&amp;" "," ")," "&amp;DT2417&amp;" "," ")," "&amp;DT2412&amp;" "," ")," "&amp;DT2416&amp;" "," ")," "&amp;DT2418&amp;" "," ")),"")</f>
        <v/>
      </c>
      <c r="DM25" s="493" t="str" cm="1">
        <f t="array" ref="DM25">IF(16=16,IF(AW25="","",SUMPRODUCT(--ISNUMBER(SEARCH(" "&amp;DT2421:DT2425&amp;" ",DL25)))),"")</f>
        <v/>
      </c>
      <c r="DN25" s="493" t="str">
        <f>IF(16=16,IF(AW25="","",IF(SUM(DI25:DK25)&gt;0,"X",IF(DM25&gt;0,"?",""))),"")</f>
        <v/>
      </c>
      <c r="DO25" s="494"/>
      <c r="DP25" s="496" t="s">
        <v>1173</v>
      </c>
      <c r="DQ25" s="496" t="s">
        <v>1083</v>
      </c>
      <c r="DR25" s="496" t="s">
        <v>689</v>
      </c>
      <c r="DS25" s="496" t="s">
        <v>183</v>
      </c>
      <c r="DT25" s="496" t="s">
        <v>183</v>
      </c>
      <c r="DU25" s="496" t="s">
        <v>1085</v>
      </c>
      <c r="DV25" s="496" t="s">
        <v>1086</v>
      </c>
      <c r="DW25" s="496" t="s">
        <v>1087</v>
      </c>
      <c r="DX25" s="497" t="s">
        <v>1088</v>
      </c>
      <c r="DZ25" s="543">
        <v>1</v>
      </c>
      <c r="EB25" s="493"/>
      <c r="EC25" s="493"/>
    </row>
    <row r="26" spans="1:133" ht="21" customHeight="1">
      <c r="E26" s="716" t="s">
        <v>737</v>
      </c>
      <c r="F26" s="724" t="str">
        <f>F12</f>
        <v>M MACÉDOINE DE LÉGUMES AU COULIS DE TOMATE | HORS D'ŒUVRE texture modifiée-cuidité-MACEDOINE| Auteur &gt; Annette et Jean Pierre DOMERGUES - 45000 ORLÉANS 1981</v>
      </c>
      <c r="G26" s="725">
        <f>G12</f>
        <v>10</v>
      </c>
      <c r="H26" s="724" t="str">
        <f>H12</f>
        <v>couverts</v>
      </c>
      <c r="I26" s="726" t="str">
        <f>I12</f>
        <v>Recette mère ►  Textures modifiées</v>
      </c>
      <c r="J26" s="791"/>
      <c r="K26" s="809"/>
      <c r="L26" s="793" t="str">
        <f t="shared" si="1"/>
        <v/>
      </c>
      <c r="M26" s="794"/>
      <c r="N26" s="795"/>
      <c r="O26" s="796">
        <v>1</v>
      </c>
      <c r="P26" s="811" t="str">
        <f>ROWS(P16:P26)&amp;" ►"</f>
        <v>11 ►</v>
      </c>
      <c r="Q26" s="798"/>
      <c r="R26" s="799"/>
      <c r="S26" s="800">
        <f>IF(U28=0,0,(U26/U28)*T15*1000)</f>
        <v>0</v>
      </c>
      <c r="T26" s="813">
        <f>IF(U28=0, 0, (J26*O26)/(U28*T15))</f>
        <v>0</v>
      </c>
      <c r="U26" s="802">
        <f t="array" ref="U26">IFERROR(_xlfn.XLOOKUP(UPPER(TRIM(N26)),UPPER(TRIM(J29:Y29)),J30:Y30,_xlfn.XLOOKUP(UPPER(TRIM(N26)),UPPER(TRIM(J31:Y31)),J32:Y32,0))*M26*IF(J26&gt;0,J26,1),0)</f>
        <v>0</v>
      </c>
      <c r="V26" s="814">
        <f>IF(X11&lt;&gt;0,J26*O26*O11,0)</f>
        <v>0</v>
      </c>
      <c r="W26" s="815">
        <f t="shared" si="2"/>
        <v>0</v>
      </c>
      <c r="X26" s="805">
        <f>IF(OR(ISBLANK(X11),X11=0),0,U26*O26*O11)</f>
        <v>0</v>
      </c>
      <c r="Y26" s="816" t="str">
        <f>IF(N26="","",IF(COUNTIF(Q29:Y29,SUBSTITUTE(TRIM(N26)," (s)",""))+COUNTIF(Q31:Y31,SUBSTITUTE(TRIM(N26)," (s)",""))&gt;0,IF(ROUND(X26,3)&gt;=1,ROUND(X26,3)&amp;" L",MAX(1,ROUND(X26*100,0))&amp;" cl"),IF(COUNTIF(J29:O29,SUBSTITUTE(TRIM(N26)," (s)",""))+COUNTIF(J31:O31,SUBSTITUTE(TRIM(N26)," (s)",""))&gt;0,IF(ROUND(X26,3)&gt;=1,ROUND(X26,3)&amp;" Kg",MAX(1,ROUND(X26*1000,0))&amp;" g"),"")))</f>
        <v/>
      </c>
      <c r="AA26" s="1362"/>
      <c r="AC26" s="509">
        <v>11</v>
      </c>
      <c r="AD26" s="808"/>
      <c r="AE26" s="679" t="str">
        <f t="shared" si="3"/>
        <v/>
      </c>
      <c r="AF26" s="512" t="str">
        <f>IF(17=17,IF(AD26="","",IF(AG26="X",""&amp;"Céréales contenant du gluten","")&amp;IF(AH26="X",IF(COUNTIF(AG26:AG26,"X")&gt;0,", ","")&amp;"Crustacés","")&amp;IF(AI26="X",IF(COUNTIF(AG26:AH26,"X")&gt;0,", ","")&amp;"Œufs","")&amp;IF(AJ26="X",IF(COUNTIF(AG26:AI26,"X")&gt;0,", ","")&amp;"Poissons","")&amp;IF(AK26="X",IF(COUNTIF(AG26:AJ26,"X")&gt;0,", ","")&amp;"Arachides","")&amp;IF(AL26="X",IF(COUNTIF(AG26:AK26,"X")&gt;0,", ","")&amp;"Soja","")&amp;IF(AM26="X",IF(COUNTIF(AG26:AL26,"X")&gt;0,", ","")&amp;"Lait","")&amp;IF(AN26="X",IF(COUNTIF(AG26:AM26,"X")&gt;0,", ","")&amp;"Fruits à coque","")&amp;IF(AO26="X",IF(COUNTIF(AG26:AN26,"X")&gt;0,", ","")&amp;"Céleri","")&amp;IF(AP26="X",IF(COUNTIF(AG26:AO26,"X")&gt;0,", ","")&amp;"Moutarde","")&amp;IF(AQ26="X",IF(COUNTIF(AG26:AP26,"X")&gt;0,", ","")&amp;"Sésame","")&amp;IF(AR26="X",IF(COUNTIF(AG26:AQ26,"X")&gt;0,", ","")&amp;"Sulfites","")&amp;IF(AS26="X",IF(COUNTIF(AG26:AR26,"X")&gt;0,", ","")&amp;"Lupin","")&amp;IF(AT26="X",IF(COUNTIF(AG26:AS26,"X")&gt;0,", ","")&amp;"Mollusques","")),"")</f>
        <v/>
      </c>
      <c r="AG26" s="513" t="str">
        <f>IF(17=17,IF(AD26="","",BH26),"")</f>
        <v/>
      </c>
      <c r="AH26" s="513" t="str">
        <f>IF(17=17,IF(AD26="","",BK26),"")</f>
        <v/>
      </c>
      <c r="AI26" s="513" t="str">
        <f>IF(17=17,IF(AD26="","",BO26),"")</f>
        <v/>
      </c>
      <c r="AJ26" s="513" t="str">
        <f>IF(17=17,IF(AD26="","",IF(ISNUMBER(SEARCH(" colin ",BC26)),"X",CB26)),"")</f>
        <v/>
      </c>
      <c r="AK26" s="513" t="str">
        <f>IF(17=17,IF(AD26="","",CD26),"")</f>
        <v/>
      </c>
      <c r="AL26" s="513" t="str">
        <f>IF(17=17,IF(AD26="","",CH26),"")</f>
        <v/>
      </c>
      <c r="AM26" s="513" t="str">
        <f>IF(17=17,IF(AD26="","",CO26),"")</f>
        <v/>
      </c>
      <c r="AN26" s="513" t="str">
        <f>IF(17=17,IF(AD26="","",CS26),"")</f>
        <v/>
      </c>
      <c r="AO26" s="513" t="str">
        <f>IF(17=17,IF(AD26="","",CV26),"")</f>
        <v/>
      </c>
      <c r="AP26" s="513" t="str">
        <f>IF(17=17,IF(AD26="","",CY26),"")</f>
        <v/>
      </c>
      <c r="AQ26" s="513" t="str">
        <f>IF(17=17,IF(AD26="","",DB26),"")</f>
        <v/>
      </c>
      <c r="AR26" s="513" t="str">
        <f>IF(17=17,IF(AD26="","",DE26),"")</f>
        <v/>
      </c>
      <c r="AS26" s="513" t="str">
        <f>IF(17=17,IF(AD26="","",DH26),"")</f>
        <v/>
      </c>
      <c r="AT26" s="513" t="str">
        <f>IF(17=17,IF(AD26="","",DN26),"")</f>
        <v/>
      </c>
      <c r="AU26" s="514" t="str">
        <f>IF(17=17,IF(AD26="","",IF(AG26="?",""&amp;"Céréales contenant du gluten","")&amp;IF(AH26="?",IF(COUNTIF(AG26:AG26,"~?")&gt;0,", ","")&amp;"Crustacés","")&amp;IF(AI26="?",IF(COUNTIF(AG26:AH26,"~?")&gt;0,", ","")&amp;"Œufs","")&amp;IF(AJ26="?",IF(COUNTIF(AG26:AI26,"~?")&gt;0,", ","")&amp;"Poissons","")&amp;IF(AK26="?",IF(COUNTIF(AG26:AJ26,"~?")&gt;0,", ","")&amp;"Arachides","")&amp;IF(AL26="?",IF(COUNTIF(AG26:AK26,"~?")&gt;0,", ","")&amp;"Soja","")&amp;IF(AM26="?",IF(COUNTIF(AG26:AL26,"~?")&gt;0,", ","")&amp;"Lait","")&amp;IF(AN26="?",IF(COUNTIF(AG26:AM26,"~?")&gt;0,", ","")&amp;"Fruits à coque","")&amp;IF(AO26="?",IF(COUNTIF(AG26:AN26,"~?")&gt;0,", ","")&amp;"Céleri","")&amp;IF(AP26="?",IF(COUNTIF(AG26:AO26,"~?")&gt;0,", ","")&amp;"Moutarde","")&amp;IF(AQ26="?",IF(COUNTIF(AG26:AP26,"~?")&gt;0,", ","")&amp;"Sésame","")&amp;IF(AR26="?",IF(COUNTIF(AG26:AQ26,"~?")&gt;0,", ","")&amp;"Sulfites","")&amp;IF(AS26="?",IF(COUNTIF(AG26:AR26,"~?")&gt;0,", ","")&amp;"Lupin","")&amp;IF(AT26="?",IF(COUNTIF(AG26:AS26,"~?")&gt;0,", ","")&amp;"Mollusques","")),"")</f>
        <v/>
      </c>
      <c r="AW26" s="493" t="str">
        <f>IF(17=17,IF(AD26="","",AD26),"")</f>
        <v/>
      </c>
      <c r="AX26" s="493" t="str">
        <f>IF(17=17,LOWER(CLEAN(SUBSTITUTE(SUBSTITUTE(SUBSTITUTE(SUBSTITUTE(AW26,CHAR(160)," ")," "," "),CHAR(10)," "),CHAR(13)," "))),"")</f>
        <v/>
      </c>
      <c r="AY26" s="493" t="str">
        <f>IF(17=17,SUBSTITUTE(SUBSTITUTE(SUBSTITUTE(SUBSTITUTE(SUBSTITUTE(SUBSTITUTE(SUBSTITUTE(SUBSTITUTE(SUBSTITUTE(SUBSTITUTE(SUBSTITUTE(SUBSTITUTE(AX26,"œ","oe"),"æ","ae"),"à","a"),"á","a"),"â","a"),"ä","a"),"ã","a"),"ç","c"),"è","e"),"é","e"),"ê","e"),"ë","e"),"")</f>
        <v/>
      </c>
      <c r="AZ26" s="493" t="str">
        <f>IF(17=17,SUBSTITUTE(SUBSTITUTE(SUBSTITUTE(SUBSTITUTE(SUBSTITUTE(SUBSTITUTE(SUBSTITUTE(SUBSTITUTE(SUBSTITUTE(SUBSTITUTE(SUBSTITUTE(SUBSTITUTE(SUBSTITUTE(SUBSTITUTE(SUBSTITUTE(SUBSTITUTE(AY26,"ì","i"),"í","i"),"î","i"),"ï","i"),"ñ","n"),"ò","o"),"ó","o"),"ô","o"),"ö","o"),"õ","o"),"ù","u"),"ú","u"),"û","u"),"ü","u"),"ý","y"),"ÿ","y"),"")</f>
        <v/>
      </c>
      <c r="BA26" s="493" t="str">
        <f>IF(17=17,SUBSTITUTE(SUBSTITUTE(SUBSTITUTE(SUBSTITUTE(SUBSTITUTE(SUBSTITUTE(SUBSTITUTE(SUBSTITUTE(SUBSTITUTE(SUBSTITUTE(SUBSTITUTE(SUBSTITUTE(SUBSTITUTE(SUBSTITUTE(AZ26,"’"," "),"`"," "),"–"," "),"—"," "),"-"," "),"'"," "),"/"," "),"_"," "),","," "),"."," "),"("," "),")"," "),";"," "),":"," "),"")</f>
        <v/>
      </c>
      <c r="BB26" s="493" t="str">
        <f>IF(17=17,SUBSTITUTE(SUBSTITUTE(SUBSTITUTE(SUBSTITUTE(SUBSTITUTE(SUBSTITUTE(SUBSTITUTE(SUBSTITUTE(SUBSTITUTE(SUBSTITUTE(SUBSTITUTE(SUBSTITUTE(SUBSTITUTE(SUBSTITUTE(SUBSTITUTE(BA26,"!"," "),"?"," "),"+"," "),"*"," "),"&amp;"," "),"["," "),"]"," "),"{"," "),"}"," "),"%"," "),"="," "),"\"," "),"|"," "),"&lt;"," "),"&gt;"," "),"")</f>
        <v/>
      </c>
      <c r="BC26" s="493" t="str">
        <f>IF(17=17," "&amp;TRIM(SUBSTITUTE(SUBSTITUTE(SUBSTITUTE(SUBSTITUTE(SUBSTITUTE(SUBSTITUTE(BB26,CHAR(34)," "),"  "," "),"  "," "),"  "," "),"  "," "),"  "," "))&amp;" ","")</f>
        <v xml:space="preserve">  </v>
      </c>
      <c r="BD26" s="493" t="str" cm="1">
        <f t="array" ref="BD26">IF(17=17,IF(AW26="","",SUMPRODUCT(--ISNUMBER(SEARCH(" "&amp;DT11:DT110&amp;" ",BF26)))),"")</f>
        <v/>
      </c>
      <c r="BE26" s="493" t="str" cm="1">
        <f t="array" ref="BE26">IF(17=17,IF(AW26="","",SUMPRODUCT(--ISNUMBER(SEARCH(" "&amp;DT111:DT160&amp;" ",BF26)))),"")</f>
        <v/>
      </c>
      <c r="BF26" s="493" t="str">
        <f>IF(AW26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26,"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26" s="493" t="str" cm="1">
        <f t="array" ref="BG26">IF(AW26="","",SUMPRODUCT(--ISNUMBER(SEARCH(" "&amp;DT193:DT214&amp;" ",BF26)))+--ISNUMBER(SEARCH(" "&amp;DT2463&amp;" ",BF26)))</f>
        <v/>
      </c>
      <c r="BH26" s="493" t="str" cm="1">
        <f t="array" ref="BH26">IF(17=17,IF(AW26="","",IF(SUM(BD26:BE26)+SUMPRODUCT(--ISNUMBER(SEARCH(" "&amp;DT2427:DT2429&amp;" ",BF26)))&gt;0,"X",IF(BG26&gt;0,"?",""))),"")</f>
        <v/>
      </c>
      <c r="BI26" s="493" t="str" cm="1">
        <f t="array" ref="BI26">IF(17=17,IF(AW26="","",SUMPRODUCT(--ISNUMBER(SEARCH(" "&amp;DT215:DT314&amp;" ",BC26)))),"")</f>
        <v/>
      </c>
      <c r="BJ26" s="493" t="str" cm="1">
        <f t="array" ref="BJ26">IF(17=17,IF(AW26="","",SUMPRODUCT(--ISNUMBER(SEARCH(" "&amp;DT315:DT349&amp;" ",BC26)))),"")</f>
        <v/>
      </c>
      <c r="BK26" s="493" t="str">
        <f>IF(17=17,IF(AW26="","",IF((SUM(BI26:BJ26))-(0)&gt;0,"X",IF((0)-(0)&gt;0,"?",""))),"")</f>
        <v/>
      </c>
      <c r="BL26" s="493" t="str" cm="1">
        <f t="array" ref="BL26">IF(17=17,IF(AW26="","",SUMPRODUCT(--ISNUMBER(SEARCH(" "&amp;DT350:DT407&amp;" ",BC26)))),"")</f>
        <v/>
      </c>
      <c r="BM26" s="493" t="str" cm="1">
        <f t="array" ref="BM26">IF(17=17,IF(AW26="","",SUMPRODUCT(--ISNUMBER(SEARCH(" "&amp;DT408:DT435&amp;" ",BN26)))+SUMPRODUCT(--ISNUMBER(SEARCH(" "&amp;DT2449:DT2462&amp;" ",BN26)))),"")</f>
        <v/>
      </c>
      <c r="BN26" s="493" t="str">
        <f>IF(17=17,IF(AW26="","",SUBSTITUTE(SUBSTITUTE(SUBSTITUTE(SUBSTITUTE(SUBSTITUTE(SUBSTITUTE(SUBSTITUTE(SUBSTITUTE(SUBSTITUTE(SUBSTITUTE(SUBSTITUTE(SUBSTITUTE(SUBSTITUTE(SUBSTITUTE(BC26," "&amp;DT2464&amp;" "," ")," "&amp;DT442&amp;" "," ")," "&amp;DT440&amp;" "," ")," "&amp;DT2447&amp;" "," ")," "&amp;DT2448&amp;" "," ")," "&amp;DT437&amp;" "," ")," "&amp;DT441&amp;" "," ")," "&amp;DT443&amp;" "," ")," "&amp;DT438&amp;" "," ")," "&amp;DT436&amp;" "," ")," "&amp;DT1376&amp;" "," ")," "&amp;DT444&amp;" "," ")," "&amp;DT1375&amp;" "," ")," "&amp;DT439&amp;" "," ")),"")</f>
        <v/>
      </c>
      <c r="BO26" s="493" t="str">
        <f>IF(17=17,IF(AW26="","",IF(BL26&gt;0,"X",IF(BM26&gt;0,"?",""))),"")</f>
        <v/>
      </c>
      <c r="BP26" s="493" t="str" cm="1">
        <f t="array" ref="BP26">IF(17=17,IF(AW26="","",SUMPRODUCT(--ISNUMBER(SEARCH(" "&amp;DT445:DT544&amp;" ",BZ26)))),"")</f>
        <v/>
      </c>
      <c r="BQ26" s="493" t="str" cm="1">
        <f t="array" ref="BQ26">IF(17=17,IF(AW26="","",SUMPRODUCT(--ISNUMBER(SEARCH(" "&amp;DT545:DT644&amp;" ",BZ26)))),"")</f>
        <v/>
      </c>
      <c r="BR26" s="493" t="str" cm="1">
        <f t="array" ref="BR26">IF(17=17,IF(AW26="","",SUMPRODUCT(--ISNUMBER(SEARCH(" "&amp;DT645:DT744&amp;" ",BZ26)))),"")</f>
        <v/>
      </c>
      <c r="BS26" s="493" t="str" cm="1">
        <f t="array" ref="BS26">IF(17=17,IF(AW26="","",SUMPRODUCT(--ISNUMBER(SEARCH(" "&amp;DT745:DT844&amp;" ",BZ26)))),"")</f>
        <v/>
      </c>
      <c r="BT26" s="493" t="str" cm="1">
        <f t="array" ref="BT26">IF(17=17,IF(AW26="","",SUMPRODUCT(--ISNUMBER(SEARCH(" "&amp;DT845:DT944&amp;" ",BZ26)))),"")</f>
        <v/>
      </c>
      <c r="BU26" s="493" t="str" cm="1">
        <f t="array" ref="BU26">IF(17=17,IF(AW26="","",SUMPRODUCT(--ISNUMBER(SEARCH(" "&amp;DT945:DT1044&amp;" ",BZ26)))),"")</f>
        <v/>
      </c>
      <c r="BV26" s="493" t="str" cm="1">
        <f t="array" ref="BV26">IF(17=17,IF(AW26="","",SUMPRODUCT(--ISNUMBER(SEARCH(" "&amp;DT1045:DT1144&amp;" ",BZ26)))),"")</f>
        <v/>
      </c>
      <c r="BW26" s="493" t="str" cm="1">
        <f t="array" ref="BW26">IF(17=17,IF(AW26="","",SUMPRODUCT(--ISNUMBER(SEARCH(" "&amp;DT1145:DT1244&amp;" ",BZ26)))),"")</f>
        <v/>
      </c>
      <c r="BX26" s="493" t="str" cm="1">
        <f t="array" ref="BX26">IF(17=17,IF(AW26="","",SUMPRODUCT(--ISNUMBER(SEARCH(" "&amp;DT1245:DT1344&amp;" ",BZ26)))),"")</f>
        <v/>
      </c>
      <c r="BY26" s="493" t="str" cm="1">
        <f t="array" ref="BY26">IF(17=17,IF(AW26="","",SUMPRODUCT(--ISNUMBER(SEARCH(" "&amp;DT1345:DT1372&amp;" ",BZ26)))),"")</f>
        <v/>
      </c>
      <c r="BZ26" s="493" t="str">
        <f>IF(17=17,IF(AW26="","",SUBSTITUTE(SUBSTITUTE(SUBSTITUTE(SUBSTITUTE(SUBSTITUTE(SUBSTITUTE(SUBSTITUTE(SUBSTITUTE(SUBSTITUTE(BC26," "&amp;DT1374&amp;" "," ")," "&amp;DT1373&amp;" "," ")," "&amp;DT1379&amp;" "," ")," "&amp;DT1380&amp;" "," ")," "&amp;DT1376&amp;" "," ")," "&amp;DT1378&amp;" "," ")," "&amp;DT1375&amp;" "," ")," "&amp;DT1377&amp;" "," ")," "&amp;DT1381&amp;" "," ")),"")</f>
        <v/>
      </c>
      <c r="CA26" s="493" t="str" cm="1">
        <f t="array" ref="CA26">IF(17=17,IF(AW26="","",SUMPRODUCT(--ISNUMBER(SEARCH(" "&amp;DT1382:DT1392&amp;" ",BZ26)))),"")</f>
        <v/>
      </c>
      <c r="CB26" s="493" t="str" cm="1">
        <f t="array" ref="CB26">IF(17=17,IF(AW26="","",IF(SUM(BP26:BY26)+SUMPRODUCT(--ISNUMBER(SEARCH(" "&amp;DT2430:DT2431&amp;" ",BZ26)))&gt;0,"X",IF(CA26&gt;0,"?",""))),"")</f>
        <v/>
      </c>
      <c r="CC26" s="493" t="str" cm="1">
        <f t="array" ref="CC26">IF(17=17,IF(AW26="","",SUMPRODUCT(--ISNUMBER(SEARCH(" "&amp;DT1393:DT1413&amp;" ",BC26)))),"")</f>
        <v/>
      </c>
      <c r="CD26" s="493" t="str">
        <f>IF(17=17,IF(AW26="","",IF((CC26)-(0)&gt;0,"X",IF((0)-(0)&gt;0,"?",""))),"")</f>
        <v/>
      </c>
      <c r="CE26" s="493" t="str" cm="1">
        <f t="array" ref="CE26">IF(17=17,IF(AW26="","",SUMPRODUCT(--ISNUMBER(SEARCH(" "&amp;DT1414:DT1451&amp;" ",CF26)))),"")</f>
        <v/>
      </c>
      <c r="CF26" s="493" t="str">
        <f>IF(17=17,IF(AW26="","",SUBSTITUTE(SUBSTITUTE(BC26," "&amp;DT1452&amp;" "," ")," "&amp;DT1453&amp;" "," ")),"")</f>
        <v/>
      </c>
      <c r="CG26" s="493" t="str" cm="1">
        <f t="array" ref="CG26">IF(17=17,IF(AW26="","",SUMPRODUCT(--ISNUMBER(SEARCH(" "&amp;DT1454:DT1464&amp;" ",CF26)))),"")</f>
        <v/>
      </c>
      <c r="CH26" s="493" t="str">
        <f>IF(17=17,IF(AW26="","",IF(CE26&gt;0,"X",IF(CG26&gt;0,"?",""))),"")</f>
        <v/>
      </c>
      <c r="CI26" s="493" t="str" cm="1">
        <f t="array" ref="CI26">IF(17=17,IF(AW26="","",SUMPRODUCT(--ISNUMBER(SEARCH(" "&amp;DT1465:DT1564&amp;" ",CL26)))),"")</f>
        <v/>
      </c>
      <c r="CJ26" s="493" t="str" cm="1">
        <f t="array" ref="CJ26">IF(17=17,IF(AW26="","",SUMPRODUCT(--ISNUMBER(SEARCH(" "&amp;DT1565:DT1664&amp;" ",CL26)))),"")</f>
        <v/>
      </c>
      <c r="CK26" s="493" t="str" cm="1">
        <f t="array" ref="CK26">IF(17=17,IF(AW26="","",SUMPRODUCT(--ISNUMBER(SEARCH(" "&amp;DT1665:DT1748&amp;" ",CL26)))),"")</f>
        <v/>
      </c>
      <c r="CL26" s="493" t="str">
        <f>IF(17=17,IF(AW26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26,"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26" s="493" t="str" cm="1">
        <f t="array" ref="CM26">IF(17=17,IF(AW26="","",SUMPRODUCT(--ISNUMBER(SEARCH(" "&amp;DT1799:DT1878&amp;" ",CN26)))+SUMPRODUCT(--ISNUMBER(SEARCH(" "&amp;DT2449:DT2462&amp;" ",CN26)))),"")</f>
        <v/>
      </c>
      <c r="CN26" s="493" t="str">
        <f>IF(17=17,IF(AW26="","",SUBSTITUTE(SUBSTITUTE(SUBSTITUTE(SUBSTITUTE(SUBSTITUTE(SUBSTITUTE(SUBSTITUTE(SUBSTITUTE(SUBSTITUTE(SUBSTITUTE(SUBSTITUTE(SUBSTITUTE(SUBSTITUTE(CL26," "&amp;DT1885&amp;" "," ")," "&amp;DT1883&amp;" "," ")," "&amp;DT2447&amp;" "," ")," "&amp;DT2448&amp;" "," ")," "&amp;DT1880&amp;" "," ")," "&amp;DT1884&amp;" "," ")," "&amp;DT1886&amp;" "," ")," "&amp;DT1881&amp;" "," ")," "&amp;DT1879&amp;" "," ")," "&amp;DT1376&amp;" "," ")," "&amp;DT1887&amp;" "," ")," "&amp;DT1375&amp;" "," ")," "&amp;DT1882&amp;" "," ")),"")</f>
        <v/>
      </c>
      <c r="CO26" s="493" t="str" cm="1">
        <f t="array" ref="CO26">IF(17=17,IF(AW26="","",IF(SUM(CI26:CK26)+SUMPRODUCT(--ISNUMBER(SEARCH(" "&amp;DT2432:DT2433&amp;" ",CL26)))&gt;0,"X",IF(CM26&gt;0,"?",""))),"")</f>
        <v/>
      </c>
      <c r="CP26" s="493" t="str" cm="1">
        <f t="array" ref="CP26">IF(17=17,IF(AW26="","",SUMPRODUCT(--ISNUMBER(SEARCH(" "&amp;DT1888:DT1945&amp;" ",CQ26)))),"")</f>
        <v/>
      </c>
      <c r="CQ26" s="493" t="str">
        <f>IF(17=17,IF(AW26="","",SUBSTITUTE(SUBSTITUTE(SUBSTITUTE(SUBSTITUTE(SUBSTITUTE(SUBSTITUTE(SUBSTITUTE(SUBSTITUTE(SUBSTITUTE(SUBSTITUTE(SUBSTITUTE(SUBSTITUTE(SUBSTITUTE(SUBSTITUTE(SUBSTITUTE(SUBSTITUTE(SUBSTITUTE(SUBSTITUTE(SUBSTITUTE(SUBSTITUTE(SUBSTITUTE(SUBSTITUTE(SUBSTITUTE(BC26,"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26" s="493" t="str" cm="1">
        <f t="array" ref="CR26">IF(17=17,IF(AW26="","",SUMPRODUCT(--ISNUMBER(SEARCH(" "&amp;DT1969:DT1985&amp;" ",CQ26)))),"")</f>
        <v/>
      </c>
      <c r="CS26" s="493" t="str">
        <f>IF(17=17,IF(AW26="","",IF(CP26&gt;0,"X",IF(CR26&gt;0,"?",""))),"")</f>
        <v/>
      </c>
      <c r="CT26" s="493" t="str" cm="1">
        <f t="array" ref="CT26">IF(17=17,IF(AW26="","",SUMPRODUCT(--ISNUMBER(SEARCH(" "&amp;DT1986:DT1999&amp;" ",BC26)))),"")</f>
        <v/>
      </c>
      <c r="CU26" s="493" t="str" cm="1">
        <f t="array" ref="CU26">IF(17=17,IF(AW26="","",SUMPRODUCT(--ISNUMBER(SEARCH(" "&amp;DT2000:DT2014&amp;" ",BC26)))),"")</f>
        <v/>
      </c>
      <c r="CV26" s="493" t="str">
        <f>IF(17=17,IF(AW26="","",IF((CT26)-(0)&gt;0,"X",IF((CU26)-(0)&gt;0,"?",""))),"")</f>
        <v/>
      </c>
      <c r="CW26" s="493" t="str" cm="1">
        <f t="array" ref="CW26">IF(17=17,IF(AW26="","",SUMPRODUCT(--ISNUMBER(SEARCH(" "&amp;DT2015:DT2032&amp;" ",BC26)))),"")</f>
        <v/>
      </c>
      <c r="CX26" s="493" t="str" cm="1">
        <f t="array" ref="CX26">IF(17=17,IF(AW26="","",SUMPRODUCT(--ISNUMBER(SEARCH(" "&amp;DT2033:DT2047&amp;" ",BC26)))),"")</f>
        <v/>
      </c>
      <c r="CY26" s="493" t="str">
        <f>IF(17=17,IF(AW26="","",IF((CW26)-(0)&gt;0,"X",IF((CX26)-(0)&gt;0,"?",""))),"")</f>
        <v/>
      </c>
      <c r="CZ26" s="493" t="str" cm="1">
        <f t="array" ref="CZ26">IF(17=17,IF(AW26="","",SUMPRODUCT(--ISNUMBER(SEARCH(" "&amp;DT2048:DT2066&amp;" ",BC26)))),"")</f>
        <v/>
      </c>
      <c r="DA26" s="493" t="str" cm="1">
        <f t="array" ref="DA26">IF(17=17,IF(AW26="","",SUMPRODUCT(--ISNUMBER(SEARCH(" "&amp;DT2067:DT2081&amp;" ",BC26)))),"")</f>
        <v/>
      </c>
      <c r="DB26" s="493" t="str">
        <f>IF(17=17,IF(AW26="","",IF((CZ26)-(0)&gt;0,"X",IF((DA26)-(0)&gt;0,"?",""))),"")</f>
        <v/>
      </c>
      <c r="DC26" s="493" t="str" cm="1">
        <f t="array" ref="DC26">IF(17=17,IF(AW26="","",SUMPRODUCT(--ISNUMBER(SEARCH(" "&amp;DT2082:DT2102&amp;" ",BC26)))),"")</f>
        <v/>
      </c>
      <c r="DD26" s="493" t="str" cm="1">
        <f t="array" ref="DD26">IF(17=17,IF(AW26="","",SUMPRODUCT(--ISNUMBER(SEARCH(" "&amp;DT2103:DT2142&amp;" ",SUBSTITUTE(SUBSTITUTE(BC26," "&amp;DT1376&amp;" "," ")," "&amp;DT1375&amp;" "," "))))+--ISNUMBER(SEARCH("poiré",AX26))),"")</f>
        <v/>
      </c>
      <c r="DE26" s="493" t="str">
        <f>IF(17=17,IF(AW26="","",IF(OR(DC26&gt;0,ISNUMBER(SEARCH(" vinaigre de vin ",BC26)),ISNUMBER(SEARCH(" vinaigre au vin ",BC26))),"X",IF(DD26&gt;0,"?",""))),"")</f>
        <v/>
      </c>
      <c r="DF26" s="493" t="str" cm="1">
        <f t="array" ref="DF26">IF(17=17,IF(AW26="","",SUMPRODUCT(--ISNUMBER(SEARCH(" "&amp;DT2143:DT2155&amp;" ",BC26)))),"")</f>
        <v/>
      </c>
      <c r="DG26" s="493" t="str" cm="1">
        <f t="array" ref="DG26">IF(17=17,IF(AW26="","",SUMPRODUCT(--ISNUMBER(SEARCH(" "&amp;DT2156:DT2161&amp;" ",BC26)))),"")</f>
        <v/>
      </c>
      <c r="DH26" s="493" t="str">
        <f>IF(17=17,IF(AW26="","",IF((DF26)-(0)&gt;0,"X",IF((DG26)-(0)&gt;0,"?",""))),"")</f>
        <v/>
      </c>
      <c r="DI26" s="493" t="str" cm="1">
        <f t="array" ref="DI26">IF(17=17,IF(AW26="","",SUMPRODUCT(--ISNUMBER(SEARCH(" "&amp;DT2162:DT2261&amp;" ",DL26)))),"")</f>
        <v/>
      </c>
      <c r="DJ26" s="493" t="str" cm="1">
        <f t="array" ref="DJ26">IF(17=17,IF(AW26="","",SUMPRODUCT(--ISNUMBER(SEARCH(" "&amp;DT2262:DT2361&amp;" ",DL26)))),"")</f>
        <v/>
      </c>
      <c r="DK26" s="493" t="str" cm="1">
        <f t="array" ref="DK26">IF(17=17,IF(AW26="","",SUMPRODUCT(--ISNUMBER(SEARCH(" "&amp;DT2362:DT2404&amp;" ",DL26)))),"")</f>
        <v/>
      </c>
      <c r="DL26" s="493" t="str">
        <f>IF(17=17,IF(AW26="","",SUBSTITUTE(SUBSTITUTE(SUBSTITUTE(SUBSTITUTE(SUBSTITUTE(SUBSTITUTE(SUBSTITUTE(SUBSTITUTE(SUBSTITUTE(SUBSTITUTE(SUBSTITUTE(SUBSTITUTE(SUBSTITUTE(SUBSTITUTE(SUBSTITUTE(SUBSTITUTE(BC26," "&amp;DT2410&amp;" "," ")," "&amp;DT2409&amp;" "," ")," "&amp;DT2408&amp;" "," ")," "&amp;DT2415&amp;" "," ")," "&amp;DT2407&amp;" "," ")," "&amp;DT2419&amp;" "," ")," "&amp;DT2406&amp;" "," ")," "&amp;DT2411&amp;" "," ")," "&amp;DT2414&amp;" "," ")," "&amp;DT2405&amp;" "," ")," "&amp;DT2413&amp;" "," ")," "&amp;DT2420&amp;" "," ")," "&amp;DT2417&amp;" "," ")," "&amp;DT2412&amp;" "," ")," "&amp;DT2416&amp;" "," ")," "&amp;DT2418&amp;" "," ")),"")</f>
        <v/>
      </c>
      <c r="DM26" s="493" t="str" cm="1">
        <f t="array" ref="DM26">IF(17=17,IF(AW26="","",SUMPRODUCT(--ISNUMBER(SEARCH(" "&amp;DT2421:DT2425&amp;" ",DL26)))),"")</f>
        <v/>
      </c>
      <c r="DN26" s="493" t="str">
        <f>IF(17=17,IF(AW26="","",IF(SUM(DI26:DK26)&gt;0,"X",IF(DM26&gt;0,"?",""))),"")</f>
        <v/>
      </c>
      <c r="DO26" s="494"/>
      <c r="DP26" s="496" t="s">
        <v>1174</v>
      </c>
      <c r="DQ26" s="496" t="s">
        <v>1083</v>
      </c>
      <c r="DR26" s="496" t="s">
        <v>689</v>
      </c>
      <c r="DS26" s="496" t="s">
        <v>1175</v>
      </c>
      <c r="DT26" s="496" t="s">
        <v>1175</v>
      </c>
      <c r="DU26" s="496" t="s">
        <v>1151</v>
      </c>
      <c r="DV26" s="496" t="s">
        <v>1152</v>
      </c>
      <c r="DW26" s="496" t="s">
        <v>1087</v>
      </c>
      <c r="DX26" s="497" t="s">
        <v>1153</v>
      </c>
      <c r="DZ26" s="543">
        <v>1</v>
      </c>
      <c r="EB26" s="493"/>
      <c r="EC26" s="493"/>
    </row>
    <row r="27" spans="1:133" ht="21" customHeight="1">
      <c r="E27" s="716" t="s">
        <v>737</v>
      </c>
      <c r="F27" s="724" t="str">
        <f>F12</f>
        <v>M MACÉDOINE DE LÉGUMES AU COULIS DE TOMATE | HORS D'ŒUVRE texture modifiée-cuidité-MACEDOINE| Auteur &gt; Annette et Jean Pierre DOMERGUES - 45000 ORLÉANS 1981</v>
      </c>
      <c r="G27" s="725">
        <f>G12</f>
        <v>10</v>
      </c>
      <c r="H27" s="724" t="str">
        <f>H12</f>
        <v>couverts</v>
      </c>
      <c r="I27" s="726" t="str">
        <f>I12</f>
        <v>Recette mère ►  Textures modifiées</v>
      </c>
      <c r="J27" s="826"/>
      <c r="K27" s="827"/>
      <c r="L27" s="793" t="str">
        <f t="shared" si="1"/>
        <v/>
      </c>
      <c r="M27" s="828"/>
      <c r="N27" s="795"/>
      <c r="O27" s="829">
        <v>1</v>
      </c>
      <c r="P27" s="811" t="str">
        <f>ROWS(P16:P27)&amp;" ►"</f>
        <v>12 ►</v>
      </c>
      <c r="Q27" s="798"/>
      <c r="R27" s="799"/>
      <c r="S27" s="800">
        <f>IF(U28=0,0,(U27/U28)*T15*1000)</f>
        <v>0</v>
      </c>
      <c r="T27" s="813">
        <f>IF(U28=0, 0, (J27*O27)/(U28*T15))</f>
        <v>0</v>
      </c>
      <c r="U27" s="802">
        <f t="array" ref="U27">IFERROR(_xlfn.XLOOKUP(UPPER(TRIM(N27)),UPPER(TRIM(J29:Y29)),J30:Y30,_xlfn.XLOOKUP(UPPER(TRIM(N27)),UPPER(TRIM(J31:Y31)),J32:Y32,0))*M27*IF(J27&gt;0,J27,1),0)</f>
        <v>0</v>
      </c>
      <c r="V27" s="819">
        <f>IF(X11&lt;&gt;0,J27*O27*O11,0)</f>
        <v>0</v>
      </c>
      <c r="W27" s="820">
        <f t="shared" si="2"/>
        <v>0</v>
      </c>
      <c r="X27" s="805">
        <f>IF(OR(ISBLANK(X11),X11=0),0,U27*O27*O11)</f>
        <v>0</v>
      </c>
      <c r="Y27" s="830" t="str">
        <f>IF(N27="","",IF(COUNTIF(Q29:Y29,SUBSTITUTE(TRIM(N27)," (s)",""))+COUNTIF(Q31:Y31,SUBSTITUTE(TRIM(N27)," (s)",""))&gt;0,IF(ROUND(X27,3)&gt;=1,ROUND(X27,3)&amp;" L",MAX(1,ROUND(X27*100,0))&amp;" cl"),IF(COUNTIF(J29:O29,SUBSTITUTE(TRIM(N27)," (s)",""))+COUNTIF(J31:O31,SUBSTITUTE(TRIM(N27)," (s)",""))&gt;0,IF(ROUND(X27,3)&gt;=1,ROUND(X27,3)&amp;" Kg",MAX(1,ROUND(X27*1000,0))&amp;" g"),"")))</f>
        <v/>
      </c>
      <c r="AA27" s="1362"/>
      <c r="AC27" s="509">
        <v>12</v>
      </c>
      <c r="AD27" s="808"/>
      <c r="AE27" s="679" t="str">
        <f t="shared" si="3"/>
        <v/>
      </c>
      <c r="AF27" s="512" t="str">
        <f>IF(18=18,IF(AD27="","",IF(AG27="X",""&amp;"Céréales contenant du gluten","")&amp;IF(AH27="X",IF(COUNTIF(AG27:AG27,"X")&gt;0,", ","")&amp;"Crustacés","")&amp;IF(AI27="X",IF(COUNTIF(AG27:AH27,"X")&gt;0,", ","")&amp;"Œufs","")&amp;IF(AJ27="X",IF(COUNTIF(AG27:AI27,"X")&gt;0,", ","")&amp;"Poissons","")&amp;IF(AK27="X",IF(COUNTIF(AG27:AJ27,"X")&gt;0,", ","")&amp;"Arachides","")&amp;IF(AL27="X",IF(COUNTIF(AG27:AK27,"X")&gt;0,", ","")&amp;"Soja","")&amp;IF(AM27="X",IF(COUNTIF(AG27:AL27,"X")&gt;0,", ","")&amp;"Lait","")&amp;IF(AN27="X",IF(COUNTIF(AG27:AM27,"X")&gt;0,", ","")&amp;"Fruits à coque","")&amp;IF(AO27="X",IF(COUNTIF(AG27:AN27,"X")&gt;0,", ","")&amp;"Céleri","")&amp;IF(AP27="X",IF(COUNTIF(AG27:AO27,"X")&gt;0,", ","")&amp;"Moutarde","")&amp;IF(AQ27="X",IF(COUNTIF(AG27:AP27,"X")&gt;0,", ","")&amp;"Sésame","")&amp;IF(AR27="X",IF(COUNTIF(AG27:AQ27,"X")&gt;0,", ","")&amp;"Sulfites","")&amp;IF(AS27="X",IF(COUNTIF(AG27:AR27,"X")&gt;0,", ","")&amp;"Lupin","")&amp;IF(AT27="X",IF(COUNTIF(AG27:AS27,"X")&gt;0,", ","")&amp;"Mollusques","")),"")</f>
        <v/>
      </c>
      <c r="AG27" s="513" t="str">
        <f>IF(18=18,IF(AD27="","",BH27),"")</f>
        <v/>
      </c>
      <c r="AH27" s="513" t="str">
        <f>IF(18=18,IF(AD27="","",BK27),"")</f>
        <v/>
      </c>
      <c r="AI27" s="513" t="str">
        <f>IF(18=18,IF(AD27="","",BO27),"")</f>
        <v/>
      </c>
      <c r="AJ27" s="513" t="str">
        <f>IF(18=18,IF(AD27="","",IF(ISNUMBER(SEARCH(" colin ",BC27)),"X",CB27)),"")</f>
        <v/>
      </c>
      <c r="AK27" s="513" t="str">
        <f>IF(18=18,IF(AD27="","",CD27),"")</f>
        <v/>
      </c>
      <c r="AL27" s="513" t="str">
        <f>IF(18=18,IF(AD27="","",CH27),"")</f>
        <v/>
      </c>
      <c r="AM27" s="513" t="str">
        <f>IF(18=18,IF(AD27="","",CO27),"")</f>
        <v/>
      </c>
      <c r="AN27" s="513" t="str">
        <f>IF(18=18,IF(AD27="","",CS27),"")</f>
        <v/>
      </c>
      <c r="AO27" s="513" t="str">
        <f>IF(18=18,IF(AD27="","",CV27),"")</f>
        <v/>
      </c>
      <c r="AP27" s="513" t="str">
        <f>IF(18=18,IF(AD27="","",CY27),"")</f>
        <v/>
      </c>
      <c r="AQ27" s="513" t="str">
        <f>IF(18=18,IF(AD27="","",DB27),"")</f>
        <v/>
      </c>
      <c r="AR27" s="513" t="str">
        <f>IF(18=18,IF(AD27="","",DE27),"")</f>
        <v/>
      </c>
      <c r="AS27" s="513" t="str">
        <f>IF(18=18,IF(AD27="","",DH27),"")</f>
        <v/>
      </c>
      <c r="AT27" s="513" t="str">
        <f>IF(18=18,IF(AD27="","",DN27),"")</f>
        <v/>
      </c>
      <c r="AU27" s="514" t="str">
        <f>IF(18=18,IF(AD27="","",IF(AG27="?",""&amp;"Céréales contenant du gluten","")&amp;IF(AH27="?",IF(COUNTIF(AG27:AG27,"~?")&gt;0,", ","")&amp;"Crustacés","")&amp;IF(AI27="?",IF(COUNTIF(AG27:AH27,"~?")&gt;0,", ","")&amp;"Œufs","")&amp;IF(AJ27="?",IF(COUNTIF(AG27:AI27,"~?")&gt;0,", ","")&amp;"Poissons","")&amp;IF(AK27="?",IF(COUNTIF(AG27:AJ27,"~?")&gt;0,", ","")&amp;"Arachides","")&amp;IF(AL27="?",IF(COUNTIF(AG27:AK27,"~?")&gt;0,", ","")&amp;"Soja","")&amp;IF(AM27="?",IF(COUNTIF(AG27:AL27,"~?")&gt;0,", ","")&amp;"Lait","")&amp;IF(AN27="?",IF(COUNTIF(AG27:AM27,"~?")&gt;0,", ","")&amp;"Fruits à coque","")&amp;IF(AO27="?",IF(COUNTIF(AG27:AN27,"~?")&gt;0,", ","")&amp;"Céleri","")&amp;IF(AP27="?",IF(COUNTIF(AG27:AO27,"~?")&gt;0,", ","")&amp;"Moutarde","")&amp;IF(AQ27="?",IF(COUNTIF(AG27:AP27,"~?")&gt;0,", ","")&amp;"Sésame","")&amp;IF(AR27="?",IF(COUNTIF(AG27:AQ27,"~?")&gt;0,", ","")&amp;"Sulfites","")&amp;IF(AS27="?",IF(COUNTIF(AG27:AR27,"~?")&gt;0,", ","")&amp;"Lupin","")&amp;IF(AT27="?",IF(COUNTIF(AG27:AS27,"~?")&gt;0,", ","")&amp;"Mollusques","")),"")</f>
        <v/>
      </c>
      <c r="AW27" s="493" t="str">
        <f>IF(18=18,IF(AD27="","",AD27),"")</f>
        <v/>
      </c>
      <c r="AX27" s="493" t="str">
        <f>IF(18=18,LOWER(CLEAN(SUBSTITUTE(SUBSTITUTE(SUBSTITUTE(SUBSTITUTE(AW27,CHAR(160)," ")," "," "),CHAR(10)," "),CHAR(13)," "))),"")</f>
        <v/>
      </c>
      <c r="AY27" s="493" t="str">
        <f>IF(18=18,SUBSTITUTE(SUBSTITUTE(SUBSTITUTE(SUBSTITUTE(SUBSTITUTE(SUBSTITUTE(SUBSTITUTE(SUBSTITUTE(SUBSTITUTE(SUBSTITUTE(SUBSTITUTE(SUBSTITUTE(AX27,"œ","oe"),"æ","ae"),"à","a"),"á","a"),"â","a"),"ä","a"),"ã","a"),"ç","c"),"è","e"),"é","e"),"ê","e"),"ë","e"),"")</f>
        <v/>
      </c>
      <c r="AZ27" s="493" t="str">
        <f>IF(18=18,SUBSTITUTE(SUBSTITUTE(SUBSTITUTE(SUBSTITUTE(SUBSTITUTE(SUBSTITUTE(SUBSTITUTE(SUBSTITUTE(SUBSTITUTE(SUBSTITUTE(SUBSTITUTE(SUBSTITUTE(SUBSTITUTE(SUBSTITUTE(SUBSTITUTE(SUBSTITUTE(AY27,"ì","i"),"í","i"),"î","i"),"ï","i"),"ñ","n"),"ò","o"),"ó","o"),"ô","o"),"ö","o"),"õ","o"),"ù","u"),"ú","u"),"û","u"),"ü","u"),"ý","y"),"ÿ","y"),"")</f>
        <v/>
      </c>
      <c r="BA27" s="493" t="str">
        <f>IF(18=18,SUBSTITUTE(SUBSTITUTE(SUBSTITUTE(SUBSTITUTE(SUBSTITUTE(SUBSTITUTE(SUBSTITUTE(SUBSTITUTE(SUBSTITUTE(SUBSTITUTE(SUBSTITUTE(SUBSTITUTE(SUBSTITUTE(SUBSTITUTE(AZ27,"’"," "),"`"," "),"–"," "),"—"," "),"-"," "),"'"," "),"/"," "),"_"," "),","," "),"."," "),"("," "),")"," "),";"," "),":"," "),"")</f>
        <v/>
      </c>
      <c r="BB27" s="493" t="str">
        <f>IF(18=18,SUBSTITUTE(SUBSTITUTE(SUBSTITUTE(SUBSTITUTE(SUBSTITUTE(SUBSTITUTE(SUBSTITUTE(SUBSTITUTE(SUBSTITUTE(SUBSTITUTE(SUBSTITUTE(SUBSTITUTE(SUBSTITUTE(SUBSTITUTE(SUBSTITUTE(BA27,"!"," "),"?"," "),"+"," "),"*"," "),"&amp;"," "),"["," "),"]"," "),"{"," "),"}"," "),"%"," "),"="," "),"\"," "),"|"," "),"&lt;"," "),"&gt;"," "),"")</f>
        <v/>
      </c>
      <c r="BC27" s="493" t="str">
        <f>IF(18=18," "&amp;TRIM(SUBSTITUTE(SUBSTITUTE(SUBSTITUTE(SUBSTITUTE(SUBSTITUTE(SUBSTITUTE(BB27,CHAR(34)," "),"  "," "),"  "," "),"  "," "),"  "," "),"  "," "))&amp;" ","")</f>
        <v xml:space="preserve">  </v>
      </c>
      <c r="BD27" s="493" t="str" cm="1">
        <f t="array" ref="BD27">IF(18=18,IF(AW27="","",SUMPRODUCT(--ISNUMBER(SEARCH(" "&amp;DT11:DT110&amp;" ",BF27)))),"")</f>
        <v/>
      </c>
      <c r="BE27" s="493" t="str" cm="1">
        <f t="array" ref="BE27">IF(18=18,IF(AW27="","",SUMPRODUCT(--ISNUMBER(SEARCH(" "&amp;DT111:DT160&amp;" ",BF27)))),"")</f>
        <v/>
      </c>
      <c r="BF27" s="493" t="str">
        <f>IF(AW27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27,"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27" s="493" t="str" cm="1">
        <f t="array" ref="BG27">IF(AW27="","",SUMPRODUCT(--ISNUMBER(SEARCH(" "&amp;DT193:DT214&amp;" ",BF27)))+--ISNUMBER(SEARCH(" "&amp;DT2463&amp;" ",BF27)))</f>
        <v/>
      </c>
      <c r="BH27" s="493" t="str" cm="1">
        <f t="array" ref="BH27">IF(18=18,IF(AW27="","",IF(SUM(BD27:BE27)+SUMPRODUCT(--ISNUMBER(SEARCH(" "&amp;DT2427:DT2429&amp;" ",BF27)))&gt;0,"X",IF(BG27&gt;0,"?",""))),"")</f>
        <v/>
      </c>
      <c r="BI27" s="493" t="str" cm="1">
        <f t="array" ref="BI27">IF(18=18,IF(AW27="","",SUMPRODUCT(--ISNUMBER(SEARCH(" "&amp;DT215:DT314&amp;" ",BC27)))),"")</f>
        <v/>
      </c>
      <c r="BJ27" s="493" t="str" cm="1">
        <f t="array" ref="BJ27">IF(18=18,IF(AW27="","",SUMPRODUCT(--ISNUMBER(SEARCH(" "&amp;DT315:DT349&amp;" ",BC27)))),"")</f>
        <v/>
      </c>
      <c r="BK27" s="493" t="str">
        <f>IF(18=18,IF(AW27="","",IF((SUM(BI27:BJ27))-(0)&gt;0,"X",IF((0)-(0)&gt;0,"?",""))),"")</f>
        <v/>
      </c>
      <c r="BL27" s="493" t="str" cm="1">
        <f t="array" ref="BL27">IF(18=18,IF(AW27="","",SUMPRODUCT(--ISNUMBER(SEARCH(" "&amp;DT350:DT407&amp;" ",BC27)))),"")</f>
        <v/>
      </c>
      <c r="BM27" s="493" t="str" cm="1">
        <f t="array" ref="BM27">IF(18=18,IF(AW27="","",SUMPRODUCT(--ISNUMBER(SEARCH(" "&amp;DT408:DT435&amp;" ",BN27)))+SUMPRODUCT(--ISNUMBER(SEARCH(" "&amp;DT2449:DT2462&amp;" ",BN27)))),"")</f>
        <v/>
      </c>
      <c r="BN27" s="493" t="str">
        <f>IF(18=18,IF(AW27="","",SUBSTITUTE(SUBSTITUTE(SUBSTITUTE(SUBSTITUTE(SUBSTITUTE(SUBSTITUTE(SUBSTITUTE(SUBSTITUTE(SUBSTITUTE(SUBSTITUTE(SUBSTITUTE(SUBSTITUTE(SUBSTITUTE(SUBSTITUTE(BC27," "&amp;DT2464&amp;" "," ")," "&amp;DT442&amp;" "," ")," "&amp;DT440&amp;" "," ")," "&amp;DT2447&amp;" "," ")," "&amp;DT2448&amp;" "," ")," "&amp;DT437&amp;" "," ")," "&amp;DT441&amp;" "," ")," "&amp;DT443&amp;" "," ")," "&amp;DT438&amp;" "," ")," "&amp;DT436&amp;" "," ")," "&amp;DT1376&amp;" "," ")," "&amp;DT444&amp;" "," ")," "&amp;DT1375&amp;" "," ")," "&amp;DT439&amp;" "," ")),"")</f>
        <v/>
      </c>
      <c r="BO27" s="493" t="str">
        <f>IF(18=18,IF(AW27="","",IF(BL27&gt;0,"X",IF(BM27&gt;0,"?",""))),"")</f>
        <v/>
      </c>
      <c r="BP27" s="493" t="str" cm="1">
        <f t="array" ref="BP27">IF(18=18,IF(AW27="","",SUMPRODUCT(--ISNUMBER(SEARCH(" "&amp;DT445:DT544&amp;" ",BZ27)))),"")</f>
        <v/>
      </c>
      <c r="BQ27" s="493" t="str" cm="1">
        <f t="array" ref="BQ27">IF(18=18,IF(AW27="","",SUMPRODUCT(--ISNUMBER(SEARCH(" "&amp;DT545:DT644&amp;" ",BZ27)))),"")</f>
        <v/>
      </c>
      <c r="BR27" s="493" t="str" cm="1">
        <f t="array" ref="BR27">IF(18=18,IF(AW27="","",SUMPRODUCT(--ISNUMBER(SEARCH(" "&amp;DT645:DT744&amp;" ",BZ27)))),"")</f>
        <v/>
      </c>
      <c r="BS27" s="493" t="str" cm="1">
        <f t="array" ref="BS27">IF(18=18,IF(AW27="","",SUMPRODUCT(--ISNUMBER(SEARCH(" "&amp;DT745:DT844&amp;" ",BZ27)))),"")</f>
        <v/>
      </c>
      <c r="BT27" s="493" t="str" cm="1">
        <f t="array" ref="BT27">IF(18=18,IF(AW27="","",SUMPRODUCT(--ISNUMBER(SEARCH(" "&amp;DT845:DT944&amp;" ",BZ27)))),"")</f>
        <v/>
      </c>
      <c r="BU27" s="493" t="str" cm="1">
        <f t="array" ref="BU27">IF(18=18,IF(AW27="","",SUMPRODUCT(--ISNUMBER(SEARCH(" "&amp;DT945:DT1044&amp;" ",BZ27)))),"")</f>
        <v/>
      </c>
      <c r="BV27" s="493" t="str" cm="1">
        <f t="array" ref="BV27">IF(18=18,IF(AW27="","",SUMPRODUCT(--ISNUMBER(SEARCH(" "&amp;DT1045:DT1144&amp;" ",BZ27)))),"")</f>
        <v/>
      </c>
      <c r="BW27" s="493" t="str" cm="1">
        <f t="array" ref="BW27">IF(18=18,IF(AW27="","",SUMPRODUCT(--ISNUMBER(SEARCH(" "&amp;DT1145:DT1244&amp;" ",BZ27)))),"")</f>
        <v/>
      </c>
      <c r="BX27" s="493" t="str" cm="1">
        <f t="array" ref="BX27">IF(18=18,IF(AW27="","",SUMPRODUCT(--ISNUMBER(SEARCH(" "&amp;DT1245:DT1344&amp;" ",BZ27)))),"")</f>
        <v/>
      </c>
      <c r="BY27" s="493" t="str" cm="1">
        <f t="array" ref="BY27">IF(18=18,IF(AW27="","",SUMPRODUCT(--ISNUMBER(SEARCH(" "&amp;DT1345:DT1372&amp;" ",BZ27)))),"")</f>
        <v/>
      </c>
      <c r="BZ27" s="493" t="str">
        <f>IF(18=18,IF(AW27="","",SUBSTITUTE(SUBSTITUTE(SUBSTITUTE(SUBSTITUTE(SUBSTITUTE(SUBSTITUTE(SUBSTITUTE(SUBSTITUTE(SUBSTITUTE(BC27," "&amp;DT1374&amp;" "," ")," "&amp;DT1373&amp;" "," ")," "&amp;DT1379&amp;" "," ")," "&amp;DT1380&amp;" "," ")," "&amp;DT1376&amp;" "," ")," "&amp;DT1378&amp;" "," ")," "&amp;DT1375&amp;" "," ")," "&amp;DT1377&amp;" "," ")," "&amp;DT1381&amp;" "," ")),"")</f>
        <v/>
      </c>
      <c r="CA27" s="493" t="str" cm="1">
        <f t="array" ref="CA27">IF(18=18,IF(AW27="","",SUMPRODUCT(--ISNUMBER(SEARCH(" "&amp;DT1382:DT1392&amp;" ",BZ27)))),"")</f>
        <v/>
      </c>
      <c r="CB27" s="493" t="str" cm="1">
        <f t="array" ref="CB27">IF(18=18,IF(AW27="","",IF(SUM(BP27:BY27)+SUMPRODUCT(--ISNUMBER(SEARCH(" "&amp;DT2430:DT2431&amp;" ",BZ27)))&gt;0,"X",IF(CA27&gt;0,"?",""))),"")</f>
        <v/>
      </c>
      <c r="CC27" s="493" t="str" cm="1">
        <f t="array" ref="CC27">IF(18=18,IF(AW27="","",SUMPRODUCT(--ISNUMBER(SEARCH(" "&amp;DT1393:DT1413&amp;" ",BC27)))),"")</f>
        <v/>
      </c>
      <c r="CD27" s="493" t="str">
        <f>IF(18=18,IF(AW27="","",IF((CC27)-(0)&gt;0,"X",IF((0)-(0)&gt;0,"?",""))),"")</f>
        <v/>
      </c>
      <c r="CE27" s="493" t="str" cm="1">
        <f t="array" ref="CE27">IF(18=18,IF(AW27="","",SUMPRODUCT(--ISNUMBER(SEARCH(" "&amp;DT1414:DT1451&amp;" ",CF27)))),"")</f>
        <v/>
      </c>
      <c r="CF27" s="493" t="str">
        <f>IF(18=18,IF(AW27="","",SUBSTITUTE(SUBSTITUTE(BC27," "&amp;DT1452&amp;" "," ")," "&amp;DT1453&amp;" "," ")),"")</f>
        <v/>
      </c>
      <c r="CG27" s="493" t="str" cm="1">
        <f t="array" ref="CG27">IF(18=18,IF(AW27="","",SUMPRODUCT(--ISNUMBER(SEARCH(" "&amp;DT1454:DT1464&amp;" ",CF27)))),"")</f>
        <v/>
      </c>
      <c r="CH27" s="493" t="str">
        <f>IF(18=18,IF(AW27="","",IF(CE27&gt;0,"X",IF(CG27&gt;0,"?",""))),"")</f>
        <v/>
      </c>
      <c r="CI27" s="493" t="str" cm="1">
        <f t="array" ref="CI27">IF(18=18,IF(AW27="","",SUMPRODUCT(--ISNUMBER(SEARCH(" "&amp;DT1465:DT1564&amp;" ",CL27)))),"")</f>
        <v/>
      </c>
      <c r="CJ27" s="493" t="str" cm="1">
        <f t="array" ref="CJ27">IF(18=18,IF(AW27="","",SUMPRODUCT(--ISNUMBER(SEARCH(" "&amp;DT1565:DT1664&amp;" ",CL27)))),"")</f>
        <v/>
      </c>
      <c r="CK27" s="493" t="str" cm="1">
        <f t="array" ref="CK27">IF(18=18,IF(AW27="","",SUMPRODUCT(--ISNUMBER(SEARCH(" "&amp;DT1665:DT1748&amp;" ",CL27)))),"")</f>
        <v/>
      </c>
      <c r="CL27" s="493" t="str">
        <f>IF(18=18,IF(AW27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27,"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27" s="493" t="str" cm="1">
        <f t="array" ref="CM27">IF(18=18,IF(AW27="","",SUMPRODUCT(--ISNUMBER(SEARCH(" "&amp;DT1799:DT1878&amp;" ",CN27)))+SUMPRODUCT(--ISNUMBER(SEARCH(" "&amp;DT2449:DT2462&amp;" ",CN27)))),"")</f>
        <v/>
      </c>
      <c r="CN27" s="493" t="str">
        <f>IF(18=18,IF(AW27="","",SUBSTITUTE(SUBSTITUTE(SUBSTITUTE(SUBSTITUTE(SUBSTITUTE(SUBSTITUTE(SUBSTITUTE(SUBSTITUTE(SUBSTITUTE(SUBSTITUTE(SUBSTITUTE(SUBSTITUTE(SUBSTITUTE(CL27," "&amp;DT1885&amp;" "," ")," "&amp;DT1883&amp;" "," ")," "&amp;DT2447&amp;" "," ")," "&amp;DT2448&amp;" "," ")," "&amp;DT1880&amp;" "," ")," "&amp;DT1884&amp;" "," ")," "&amp;DT1886&amp;" "," ")," "&amp;DT1881&amp;" "," ")," "&amp;DT1879&amp;" "," ")," "&amp;DT1376&amp;" "," ")," "&amp;DT1887&amp;" "," ")," "&amp;DT1375&amp;" "," ")," "&amp;DT1882&amp;" "," ")),"")</f>
        <v/>
      </c>
      <c r="CO27" s="493" t="str" cm="1">
        <f t="array" ref="CO27">IF(18=18,IF(AW27="","",IF(SUM(CI27:CK27)+SUMPRODUCT(--ISNUMBER(SEARCH(" "&amp;DT2432:DT2433&amp;" ",CL27)))&gt;0,"X",IF(CM27&gt;0,"?",""))),"")</f>
        <v/>
      </c>
      <c r="CP27" s="493" t="str" cm="1">
        <f t="array" ref="CP27">IF(18=18,IF(AW27="","",SUMPRODUCT(--ISNUMBER(SEARCH(" "&amp;DT1888:DT1945&amp;" ",CQ27)))),"")</f>
        <v/>
      </c>
      <c r="CQ27" s="493" t="str">
        <f>IF(18=18,IF(AW27="","",SUBSTITUTE(SUBSTITUTE(SUBSTITUTE(SUBSTITUTE(SUBSTITUTE(SUBSTITUTE(SUBSTITUTE(SUBSTITUTE(SUBSTITUTE(SUBSTITUTE(SUBSTITUTE(SUBSTITUTE(SUBSTITUTE(SUBSTITUTE(SUBSTITUTE(SUBSTITUTE(SUBSTITUTE(SUBSTITUTE(SUBSTITUTE(SUBSTITUTE(SUBSTITUTE(SUBSTITUTE(SUBSTITUTE(BC27,"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27" s="493" t="str" cm="1">
        <f t="array" ref="CR27">IF(18=18,IF(AW27="","",SUMPRODUCT(--ISNUMBER(SEARCH(" "&amp;DT1969:DT1985&amp;" ",CQ27)))),"")</f>
        <v/>
      </c>
      <c r="CS27" s="493" t="str">
        <f>IF(18=18,IF(AW27="","",IF(CP27&gt;0,"X",IF(CR27&gt;0,"?",""))),"")</f>
        <v/>
      </c>
      <c r="CT27" s="493" t="str" cm="1">
        <f t="array" ref="CT27">IF(18=18,IF(AW27="","",SUMPRODUCT(--ISNUMBER(SEARCH(" "&amp;DT1986:DT1999&amp;" ",BC27)))),"")</f>
        <v/>
      </c>
      <c r="CU27" s="493" t="str" cm="1">
        <f t="array" ref="CU27">IF(18=18,IF(AW27="","",SUMPRODUCT(--ISNUMBER(SEARCH(" "&amp;DT2000:DT2014&amp;" ",BC27)))),"")</f>
        <v/>
      </c>
      <c r="CV27" s="493" t="str">
        <f>IF(18=18,IF(AW27="","",IF((CT27)-(0)&gt;0,"X",IF((CU27)-(0)&gt;0,"?",""))),"")</f>
        <v/>
      </c>
      <c r="CW27" s="493" t="str" cm="1">
        <f t="array" ref="CW27">IF(18=18,IF(AW27="","",SUMPRODUCT(--ISNUMBER(SEARCH(" "&amp;DT2015:DT2032&amp;" ",BC27)))),"")</f>
        <v/>
      </c>
      <c r="CX27" s="493" t="str" cm="1">
        <f t="array" ref="CX27">IF(18=18,IF(AW27="","",SUMPRODUCT(--ISNUMBER(SEARCH(" "&amp;DT2033:DT2047&amp;" ",BC27)))),"")</f>
        <v/>
      </c>
      <c r="CY27" s="493" t="str">
        <f>IF(18=18,IF(AW27="","",IF((CW27)-(0)&gt;0,"X",IF((CX27)-(0)&gt;0,"?",""))),"")</f>
        <v/>
      </c>
      <c r="CZ27" s="493" t="str" cm="1">
        <f t="array" ref="CZ27">IF(18=18,IF(AW27="","",SUMPRODUCT(--ISNUMBER(SEARCH(" "&amp;DT2048:DT2066&amp;" ",BC27)))),"")</f>
        <v/>
      </c>
      <c r="DA27" s="493" t="str" cm="1">
        <f t="array" ref="DA27">IF(18=18,IF(AW27="","",SUMPRODUCT(--ISNUMBER(SEARCH(" "&amp;DT2067:DT2081&amp;" ",BC27)))),"")</f>
        <v/>
      </c>
      <c r="DB27" s="493" t="str">
        <f>IF(18=18,IF(AW27="","",IF((CZ27)-(0)&gt;0,"X",IF((DA27)-(0)&gt;0,"?",""))),"")</f>
        <v/>
      </c>
      <c r="DC27" s="493" t="str" cm="1">
        <f t="array" ref="DC27">IF(18=18,IF(AW27="","",SUMPRODUCT(--ISNUMBER(SEARCH(" "&amp;DT2082:DT2102&amp;" ",BC27)))),"")</f>
        <v/>
      </c>
      <c r="DD27" s="493" t="str" cm="1">
        <f t="array" ref="DD27">IF(18=18,IF(AW27="","",SUMPRODUCT(--ISNUMBER(SEARCH(" "&amp;DT2103:DT2142&amp;" ",SUBSTITUTE(SUBSTITUTE(BC27," "&amp;DT1376&amp;" "," ")," "&amp;DT1375&amp;" "," "))))+--ISNUMBER(SEARCH("poiré",AX27))),"")</f>
        <v/>
      </c>
      <c r="DE27" s="493" t="str">
        <f>IF(18=18,IF(AW27="","",IF(OR(DC27&gt;0,ISNUMBER(SEARCH(" vinaigre de vin ",BC27)),ISNUMBER(SEARCH(" vinaigre au vin ",BC27))),"X",IF(DD27&gt;0,"?",""))),"")</f>
        <v/>
      </c>
      <c r="DF27" s="493" t="str" cm="1">
        <f t="array" ref="DF27">IF(18=18,IF(AW27="","",SUMPRODUCT(--ISNUMBER(SEARCH(" "&amp;DT2143:DT2155&amp;" ",BC27)))),"")</f>
        <v/>
      </c>
      <c r="DG27" s="493" t="str" cm="1">
        <f t="array" ref="DG27">IF(18=18,IF(AW27="","",SUMPRODUCT(--ISNUMBER(SEARCH(" "&amp;DT2156:DT2161&amp;" ",BC27)))),"")</f>
        <v/>
      </c>
      <c r="DH27" s="493" t="str">
        <f>IF(18=18,IF(AW27="","",IF((DF27)-(0)&gt;0,"X",IF((DG27)-(0)&gt;0,"?",""))),"")</f>
        <v/>
      </c>
      <c r="DI27" s="493" t="str" cm="1">
        <f t="array" ref="DI27">IF(18=18,IF(AW27="","",SUMPRODUCT(--ISNUMBER(SEARCH(" "&amp;DT2162:DT2261&amp;" ",DL27)))),"")</f>
        <v/>
      </c>
      <c r="DJ27" s="493" t="str" cm="1">
        <f t="array" ref="DJ27">IF(18=18,IF(AW27="","",SUMPRODUCT(--ISNUMBER(SEARCH(" "&amp;DT2262:DT2361&amp;" ",DL27)))),"")</f>
        <v/>
      </c>
      <c r="DK27" s="493" t="str" cm="1">
        <f t="array" ref="DK27">IF(18=18,IF(AW27="","",SUMPRODUCT(--ISNUMBER(SEARCH(" "&amp;DT2362:DT2404&amp;" ",DL27)))),"")</f>
        <v/>
      </c>
      <c r="DL27" s="493" t="str">
        <f>IF(18=18,IF(AW27="","",SUBSTITUTE(SUBSTITUTE(SUBSTITUTE(SUBSTITUTE(SUBSTITUTE(SUBSTITUTE(SUBSTITUTE(SUBSTITUTE(SUBSTITUTE(SUBSTITUTE(SUBSTITUTE(SUBSTITUTE(SUBSTITUTE(SUBSTITUTE(SUBSTITUTE(SUBSTITUTE(BC27," "&amp;DT2410&amp;" "," ")," "&amp;DT2409&amp;" "," ")," "&amp;DT2408&amp;" "," ")," "&amp;DT2415&amp;" "," ")," "&amp;DT2407&amp;" "," ")," "&amp;DT2419&amp;" "," ")," "&amp;DT2406&amp;" "," ")," "&amp;DT2411&amp;" "," ")," "&amp;DT2414&amp;" "," ")," "&amp;DT2405&amp;" "," ")," "&amp;DT2413&amp;" "," ")," "&amp;DT2420&amp;" "," ")," "&amp;DT2417&amp;" "," ")," "&amp;DT2412&amp;" "," ")," "&amp;DT2416&amp;" "," ")," "&amp;DT2418&amp;" "," ")),"")</f>
        <v/>
      </c>
      <c r="DM27" s="493" t="str" cm="1">
        <f t="array" ref="DM27">IF(18=18,IF(AW27="","",SUMPRODUCT(--ISNUMBER(SEARCH(" "&amp;DT2421:DT2425&amp;" ",DL27)))),"")</f>
        <v/>
      </c>
      <c r="DN27" s="493" t="str">
        <f>IF(18=18,IF(AW27="","",IF(SUM(DI27:DK27)&gt;0,"X",IF(DM27&gt;0,"?",""))),"")</f>
        <v/>
      </c>
      <c r="DO27" s="494"/>
      <c r="DP27" s="496" t="s">
        <v>1176</v>
      </c>
      <c r="DQ27" s="496" t="s">
        <v>1083</v>
      </c>
      <c r="DR27" s="496" t="s">
        <v>689</v>
      </c>
      <c r="DS27" s="496" t="s">
        <v>1177</v>
      </c>
      <c r="DT27" s="496" t="s">
        <v>1177</v>
      </c>
      <c r="DU27" s="496" t="s">
        <v>1151</v>
      </c>
      <c r="DV27" s="496" t="s">
        <v>1152</v>
      </c>
      <c r="DW27" s="496" t="s">
        <v>1087</v>
      </c>
      <c r="DX27" s="497" t="s">
        <v>1153</v>
      </c>
      <c r="DZ27" s="543">
        <v>1</v>
      </c>
      <c r="EB27" s="493"/>
      <c r="EC27" s="493"/>
    </row>
    <row r="28" spans="1:133" ht="21" customHeight="1">
      <c r="A28" t="s">
        <v>254</v>
      </c>
      <c r="E28" s="716" t="s">
        <v>737</v>
      </c>
      <c r="F28" s="724" t="str">
        <f>F12</f>
        <v>M MACÉDOINE DE LÉGUMES AU COULIS DE TOMATE | HORS D'ŒUVRE texture modifiée-cuidité-MACEDOINE| Auteur &gt; Annette et Jean Pierre DOMERGUES - 45000 ORLÉANS 1981</v>
      </c>
      <c r="G28" s="725">
        <f>G12</f>
        <v>10</v>
      </c>
      <c r="H28" s="724" t="str">
        <f>H12</f>
        <v>couverts</v>
      </c>
      <c r="I28" s="726" t="str">
        <f>I12</f>
        <v>Recette mère ►  Textures modifiées</v>
      </c>
      <c r="J28" s="831" t="s">
        <v>792</v>
      </c>
      <c r="K28" s="832"/>
      <c r="L28" s="832"/>
      <c r="M28" s="832"/>
      <c r="N28" s="832"/>
      <c r="O28" s="832"/>
      <c r="P28" s="832"/>
      <c r="Q28" s="833" t="s">
        <v>793</v>
      </c>
      <c r="R28" s="833"/>
      <c r="S28" s="834"/>
      <c r="T28" s="834"/>
      <c r="U28" s="835">
        <f>SUM(U16:U27)</f>
        <v>1.5269999999999999</v>
      </c>
      <c r="V28" s="836"/>
      <c r="W28" s="836" t="str">
        <f>"Total " &amp; X13&amp;" &gt;"</f>
        <v>Total Col.20 &gt;</v>
      </c>
      <c r="X28" s="837">
        <f>SUM(X16:X27)</f>
        <v>0.76349999999999996</v>
      </c>
      <c r="Y28" s="838"/>
      <c r="AA28" s="1364" t="s">
        <v>6504</v>
      </c>
      <c r="AC28" s="509">
        <v>13</v>
      </c>
      <c r="AD28" s="808"/>
      <c r="AE28" s="679" t="str">
        <f t="shared" si="3"/>
        <v/>
      </c>
      <c r="AF28" s="512" t="str">
        <f>IF(19=19,IF(AD28="","",IF(AG28="X",""&amp;"Céréales contenant du gluten","")&amp;IF(AH28="X",IF(COUNTIF(AG28:AG28,"X")&gt;0,", ","")&amp;"Crustacés","")&amp;IF(AI28="X",IF(COUNTIF(AG28:AH28,"X")&gt;0,", ","")&amp;"Œufs","")&amp;IF(AJ28="X",IF(COUNTIF(AG28:AI28,"X")&gt;0,", ","")&amp;"Poissons","")&amp;IF(AK28="X",IF(COUNTIF(AG28:AJ28,"X")&gt;0,", ","")&amp;"Arachides","")&amp;IF(AL28="X",IF(COUNTIF(AG28:AK28,"X")&gt;0,", ","")&amp;"Soja","")&amp;IF(AM28="X",IF(COUNTIF(AG28:AL28,"X")&gt;0,", ","")&amp;"Lait","")&amp;IF(AN28="X",IF(COUNTIF(AG28:AM28,"X")&gt;0,", ","")&amp;"Fruits à coque","")&amp;IF(AO28="X",IF(COUNTIF(AG28:AN28,"X")&gt;0,", ","")&amp;"Céleri","")&amp;IF(AP28="X",IF(COUNTIF(AG28:AO28,"X")&gt;0,", ","")&amp;"Moutarde","")&amp;IF(AQ28="X",IF(COUNTIF(AG28:AP28,"X")&gt;0,", ","")&amp;"Sésame","")&amp;IF(AR28="X",IF(COUNTIF(AG28:AQ28,"X")&gt;0,", ","")&amp;"Sulfites","")&amp;IF(AS28="X",IF(COUNTIF(AG28:AR28,"X")&gt;0,", ","")&amp;"Lupin","")&amp;IF(AT28="X",IF(COUNTIF(AG28:AS28,"X")&gt;0,", ","")&amp;"Mollusques","")),"")</f>
        <v/>
      </c>
      <c r="AG28" s="513" t="str">
        <f>IF(19=19,IF(AD28="","",BH28),"")</f>
        <v/>
      </c>
      <c r="AH28" s="513" t="str">
        <f>IF(19=19,IF(AD28="","",BK28),"")</f>
        <v/>
      </c>
      <c r="AI28" s="513" t="str">
        <f>IF(19=19,IF(AD28="","",BO28),"")</f>
        <v/>
      </c>
      <c r="AJ28" s="513" t="str">
        <f>IF(19=19,IF(AD28="","",IF(ISNUMBER(SEARCH(" colin ",BC28)),"X",CB28)),"")</f>
        <v/>
      </c>
      <c r="AK28" s="513" t="str">
        <f>IF(19=19,IF(AD28="","",CD28),"")</f>
        <v/>
      </c>
      <c r="AL28" s="513" t="str">
        <f>IF(19=19,IF(AD28="","",CH28),"")</f>
        <v/>
      </c>
      <c r="AM28" s="513" t="str">
        <f>IF(19=19,IF(AD28="","",CO28),"")</f>
        <v/>
      </c>
      <c r="AN28" s="513" t="str">
        <f>IF(19=19,IF(AD28="","",CS28),"")</f>
        <v/>
      </c>
      <c r="AO28" s="513" t="str">
        <f>IF(19=19,IF(AD28="","",CV28),"")</f>
        <v/>
      </c>
      <c r="AP28" s="513" t="str">
        <f>IF(19=19,IF(AD28="","",CY28),"")</f>
        <v/>
      </c>
      <c r="AQ28" s="513" t="str">
        <f>IF(19=19,IF(AD28="","",DB28),"")</f>
        <v/>
      </c>
      <c r="AR28" s="513" t="str">
        <f>IF(19=19,IF(AD28="","",DE28),"")</f>
        <v/>
      </c>
      <c r="AS28" s="513" t="str">
        <f>IF(19=19,IF(AD28="","",DH28),"")</f>
        <v/>
      </c>
      <c r="AT28" s="513" t="str">
        <f>IF(19=19,IF(AD28="","",DN28),"")</f>
        <v/>
      </c>
      <c r="AU28" s="514" t="str">
        <f>IF(19=19,IF(AD28="","",IF(AG28="?",""&amp;"Céréales contenant du gluten","")&amp;IF(AH28="?",IF(COUNTIF(AG28:AG28,"~?")&gt;0,", ","")&amp;"Crustacés","")&amp;IF(AI28="?",IF(COUNTIF(AG28:AH28,"~?")&gt;0,", ","")&amp;"Œufs","")&amp;IF(AJ28="?",IF(COUNTIF(AG28:AI28,"~?")&gt;0,", ","")&amp;"Poissons","")&amp;IF(AK28="?",IF(COUNTIF(AG28:AJ28,"~?")&gt;0,", ","")&amp;"Arachides","")&amp;IF(AL28="?",IF(COUNTIF(AG28:AK28,"~?")&gt;0,", ","")&amp;"Soja","")&amp;IF(AM28="?",IF(COUNTIF(AG28:AL28,"~?")&gt;0,", ","")&amp;"Lait","")&amp;IF(AN28="?",IF(COUNTIF(AG28:AM28,"~?")&gt;0,", ","")&amp;"Fruits à coque","")&amp;IF(AO28="?",IF(COUNTIF(AG28:AN28,"~?")&gt;0,", ","")&amp;"Céleri","")&amp;IF(AP28="?",IF(COUNTIF(AG28:AO28,"~?")&gt;0,", ","")&amp;"Moutarde","")&amp;IF(AQ28="?",IF(COUNTIF(AG28:AP28,"~?")&gt;0,", ","")&amp;"Sésame","")&amp;IF(AR28="?",IF(COUNTIF(AG28:AQ28,"~?")&gt;0,", ","")&amp;"Sulfites","")&amp;IF(AS28="?",IF(COUNTIF(AG28:AR28,"~?")&gt;0,", ","")&amp;"Lupin","")&amp;IF(AT28="?",IF(COUNTIF(AG28:AS28,"~?")&gt;0,", ","")&amp;"Mollusques","")),"")</f>
        <v/>
      </c>
      <c r="AW28" s="493" t="str">
        <f>IF(19=19,IF(AD28="","",AD28),"")</f>
        <v/>
      </c>
      <c r="AX28" s="493" t="str">
        <f>IF(19=19,LOWER(CLEAN(SUBSTITUTE(SUBSTITUTE(SUBSTITUTE(SUBSTITUTE(AW28,CHAR(160)," ")," "," "),CHAR(10)," "),CHAR(13)," "))),"")</f>
        <v/>
      </c>
      <c r="AY28" s="493" t="str">
        <f>IF(19=19,SUBSTITUTE(SUBSTITUTE(SUBSTITUTE(SUBSTITUTE(SUBSTITUTE(SUBSTITUTE(SUBSTITUTE(SUBSTITUTE(SUBSTITUTE(SUBSTITUTE(SUBSTITUTE(SUBSTITUTE(AX28,"œ","oe"),"æ","ae"),"à","a"),"á","a"),"â","a"),"ä","a"),"ã","a"),"ç","c"),"è","e"),"é","e"),"ê","e"),"ë","e"),"")</f>
        <v/>
      </c>
      <c r="AZ28" s="493" t="str">
        <f>IF(19=19,SUBSTITUTE(SUBSTITUTE(SUBSTITUTE(SUBSTITUTE(SUBSTITUTE(SUBSTITUTE(SUBSTITUTE(SUBSTITUTE(SUBSTITUTE(SUBSTITUTE(SUBSTITUTE(SUBSTITUTE(SUBSTITUTE(SUBSTITUTE(SUBSTITUTE(SUBSTITUTE(AY28,"ì","i"),"í","i"),"î","i"),"ï","i"),"ñ","n"),"ò","o"),"ó","o"),"ô","o"),"ö","o"),"õ","o"),"ù","u"),"ú","u"),"û","u"),"ü","u"),"ý","y"),"ÿ","y"),"")</f>
        <v/>
      </c>
      <c r="BA28" s="493" t="str">
        <f>IF(19=19,SUBSTITUTE(SUBSTITUTE(SUBSTITUTE(SUBSTITUTE(SUBSTITUTE(SUBSTITUTE(SUBSTITUTE(SUBSTITUTE(SUBSTITUTE(SUBSTITUTE(SUBSTITUTE(SUBSTITUTE(SUBSTITUTE(SUBSTITUTE(AZ28,"’"," "),"`"," "),"–"," "),"—"," "),"-"," "),"'"," "),"/"," "),"_"," "),","," "),"."," "),"("," "),")"," "),";"," "),":"," "),"")</f>
        <v/>
      </c>
      <c r="BB28" s="493" t="str">
        <f>IF(19=19,SUBSTITUTE(SUBSTITUTE(SUBSTITUTE(SUBSTITUTE(SUBSTITUTE(SUBSTITUTE(SUBSTITUTE(SUBSTITUTE(SUBSTITUTE(SUBSTITUTE(SUBSTITUTE(SUBSTITUTE(SUBSTITUTE(SUBSTITUTE(SUBSTITUTE(BA28,"!"," "),"?"," "),"+"," "),"*"," "),"&amp;"," "),"["," "),"]"," "),"{"," "),"}"," "),"%"," "),"="," "),"\"," "),"|"," "),"&lt;"," "),"&gt;"," "),"")</f>
        <v/>
      </c>
      <c r="BC28" s="493" t="str">
        <f>IF(19=19," "&amp;TRIM(SUBSTITUTE(SUBSTITUTE(SUBSTITUTE(SUBSTITUTE(SUBSTITUTE(SUBSTITUTE(BB28,CHAR(34)," "),"  "," "),"  "," "),"  "," "),"  "," "),"  "," "))&amp;" ","")</f>
        <v xml:space="preserve">  </v>
      </c>
      <c r="BD28" s="493" t="str" cm="1">
        <f t="array" ref="BD28">IF(19=19,IF(AW28="","",SUMPRODUCT(--ISNUMBER(SEARCH(" "&amp;DT11:DT110&amp;" ",BF28)))),"")</f>
        <v/>
      </c>
      <c r="BE28" s="493" t="str" cm="1">
        <f t="array" ref="BE28">IF(19=19,IF(AW28="","",SUMPRODUCT(--ISNUMBER(SEARCH(" "&amp;DT111:DT160&amp;" ",BF28)))),"")</f>
        <v/>
      </c>
      <c r="BF28" s="493" t="str">
        <f>IF(AW28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28,"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28" s="493" t="str" cm="1">
        <f t="array" ref="BG28">IF(AW28="","",SUMPRODUCT(--ISNUMBER(SEARCH(" "&amp;DT193:DT214&amp;" ",BF28)))+--ISNUMBER(SEARCH(" "&amp;DT2463&amp;" ",BF28)))</f>
        <v/>
      </c>
      <c r="BH28" s="493" t="str" cm="1">
        <f t="array" ref="BH28">IF(19=19,IF(AW28="","",IF(SUM(BD28:BE28)+SUMPRODUCT(--ISNUMBER(SEARCH(" "&amp;DT2427:DT2429&amp;" ",BF28)))&gt;0,"X",IF(BG28&gt;0,"?",""))),"")</f>
        <v/>
      </c>
      <c r="BI28" s="493" t="str" cm="1">
        <f t="array" ref="BI28">IF(19=19,IF(AW28="","",SUMPRODUCT(--ISNUMBER(SEARCH(" "&amp;DT215:DT314&amp;" ",BC28)))),"")</f>
        <v/>
      </c>
      <c r="BJ28" s="493" t="str" cm="1">
        <f t="array" ref="BJ28">IF(19=19,IF(AW28="","",SUMPRODUCT(--ISNUMBER(SEARCH(" "&amp;DT315:DT349&amp;" ",BC28)))),"")</f>
        <v/>
      </c>
      <c r="BK28" s="493" t="str">
        <f>IF(19=19,IF(AW28="","",IF((SUM(BI28:BJ28))-(0)&gt;0,"X",IF((0)-(0)&gt;0,"?",""))),"")</f>
        <v/>
      </c>
      <c r="BL28" s="493" t="str" cm="1">
        <f t="array" ref="BL28">IF(19=19,IF(AW28="","",SUMPRODUCT(--ISNUMBER(SEARCH(" "&amp;DT350:DT407&amp;" ",BC28)))),"")</f>
        <v/>
      </c>
      <c r="BM28" s="493" t="str" cm="1">
        <f t="array" ref="BM28">IF(19=19,IF(AW28="","",SUMPRODUCT(--ISNUMBER(SEARCH(" "&amp;DT408:DT435&amp;" ",BN28)))+SUMPRODUCT(--ISNUMBER(SEARCH(" "&amp;DT2449:DT2462&amp;" ",BN28)))),"")</f>
        <v/>
      </c>
      <c r="BN28" s="493" t="str">
        <f>IF(19=19,IF(AW28="","",SUBSTITUTE(SUBSTITUTE(SUBSTITUTE(SUBSTITUTE(SUBSTITUTE(SUBSTITUTE(SUBSTITUTE(SUBSTITUTE(SUBSTITUTE(SUBSTITUTE(SUBSTITUTE(SUBSTITUTE(SUBSTITUTE(SUBSTITUTE(BC28," "&amp;DT2464&amp;" "," ")," "&amp;DT442&amp;" "," ")," "&amp;DT440&amp;" "," ")," "&amp;DT2447&amp;" "," ")," "&amp;DT2448&amp;" "," ")," "&amp;DT437&amp;" "," ")," "&amp;DT441&amp;" "," ")," "&amp;DT443&amp;" "," ")," "&amp;DT438&amp;" "," ")," "&amp;DT436&amp;" "," ")," "&amp;DT1376&amp;" "," ")," "&amp;DT444&amp;" "," ")," "&amp;DT1375&amp;" "," ")," "&amp;DT439&amp;" "," ")),"")</f>
        <v/>
      </c>
      <c r="BO28" s="493" t="str">
        <f>IF(19=19,IF(AW28="","",IF(BL28&gt;0,"X",IF(BM28&gt;0,"?",""))),"")</f>
        <v/>
      </c>
      <c r="BP28" s="493" t="str" cm="1">
        <f t="array" ref="BP28">IF(19=19,IF(AW28="","",SUMPRODUCT(--ISNUMBER(SEARCH(" "&amp;DT445:DT544&amp;" ",BZ28)))),"")</f>
        <v/>
      </c>
      <c r="BQ28" s="493" t="str" cm="1">
        <f t="array" ref="BQ28">IF(19=19,IF(AW28="","",SUMPRODUCT(--ISNUMBER(SEARCH(" "&amp;DT545:DT644&amp;" ",BZ28)))),"")</f>
        <v/>
      </c>
      <c r="BR28" s="493" t="str" cm="1">
        <f t="array" ref="BR28">IF(19=19,IF(AW28="","",SUMPRODUCT(--ISNUMBER(SEARCH(" "&amp;DT645:DT744&amp;" ",BZ28)))),"")</f>
        <v/>
      </c>
      <c r="BS28" s="493" t="str" cm="1">
        <f t="array" ref="BS28">IF(19=19,IF(AW28="","",SUMPRODUCT(--ISNUMBER(SEARCH(" "&amp;DT745:DT844&amp;" ",BZ28)))),"")</f>
        <v/>
      </c>
      <c r="BT28" s="493" t="str" cm="1">
        <f t="array" ref="BT28">IF(19=19,IF(AW28="","",SUMPRODUCT(--ISNUMBER(SEARCH(" "&amp;DT845:DT944&amp;" ",BZ28)))),"")</f>
        <v/>
      </c>
      <c r="BU28" s="493" t="str" cm="1">
        <f t="array" ref="BU28">IF(19=19,IF(AW28="","",SUMPRODUCT(--ISNUMBER(SEARCH(" "&amp;DT945:DT1044&amp;" ",BZ28)))),"")</f>
        <v/>
      </c>
      <c r="BV28" s="493" t="str" cm="1">
        <f t="array" ref="BV28">IF(19=19,IF(AW28="","",SUMPRODUCT(--ISNUMBER(SEARCH(" "&amp;DT1045:DT1144&amp;" ",BZ28)))),"")</f>
        <v/>
      </c>
      <c r="BW28" s="493" t="str" cm="1">
        <f t="array" ref="BW28">IF(19=19,IF(AW28="","",SUMPRODUCT(--ISNUMBER(SEARCH(" "&amp;DT1145:DT1244&amp;" ",BZ28)))),"")</f>
        <v/>
      </c>
      <c r="BX28" s="493" t="str" cm="1">
        <f t="array" ref="BX28">IF(19=19,IF(AW28="","",SUMPRODUCT(--ISNUMBER(SEARCH(" "&amp;DT1245:DT1344&amp;" ",BZ28)))),"")</f>
        <v/>
      </c>
      <c r="BY28" s="493" t="str" cm="1">
        <f t="array" ref="BY28">IF(19=19,IF(AW28="","",SUMPRODUCT(--ISNUMBER(SEARCH(" "&amp;DT1345:DT1372&amp;" ",BZ28)))),"")</f>
        <v/>
      </c>
      <c r="BZ28" s="493" t="str">
        <f>IF(19=19,IF(AW28="","",SUBSTITUTE(SUBSTITUTE(SUBSTITUTE(SUBSTITUTE(SUBSTITUTE(SUBSTITUTE(SUBSTITUTE(SUBSTITUTE(SUBSTITUTE(BC28," "&amp;DT1374&amp;" "," ")," "&amp;DT1373&amp;" "," ")," "&amp;DT1379&amp;" "," ")," "&amp;DT1380&amp;" "," ")," "&amp;DT1376&amp;" "," ")," "&amp;DT1378&amp;" "," ")," "&amp;DT1375&amp;" "," ")," "&amp;DT1377&amp;" "," ")," "&amp;DT1381&amp;" "," ")),"")</f>
        <v/>
      </c>
      <c r="CA28" s="493" t="str" cm="1">
        <f t="array" ref="CA28">IF(19=19,IF(AW28="","",SUMPRODUCT(--ISNUMBER(SEARCH(" "&amp;DT1382:DT1392&amp;" ",BZ28)))),"")</f>
        <v/>
      </c>
      <c r="CB28" s="493" t="str" cm="1">
        <f t="array" ref="CB28">IF(19=19,IF(AW28="","",IF(SUM(BP28:BY28)+SUMPRODUCT(--ISNUMBER(SEARCH(" "&amp;DT2430:DT2431&amp;" ",BZ28)))&gt;0,"X",IF(CA28&gt;0,"?",""))),"")</f>
        <v/>
      </c>
      <c r="CC28" s="493" t="str" cm="1">
        <f t="array" ref="CC28">IF(19=19,IF(AW28="","",SUMPRODUCT(--ISNUMBER(SEARCH(" "&amp;DT1393:DT1413&amp;" ",BC28)))),"")</f>
        <v/>
      </c>
      <c r="CD28" s="493" t="str">
        <f>IF(19=19,IF(AW28="","",IF((CC28)-(0)&gt;0,"X",IF((0)-(0)&gt;0,"?",""))),"")</f>
        <v/>
      </c>
      <c r="CE28" s="493" t="str" cm="1">
        <f t="array" ref="CE28">IF(19=19,IF(AW28="","",SUMPRODUCT(--ISNUMBER(SEARCH(" "&amp;DT1414:DT1451&amp;" ",CF28)))),"")</f>
        <v/>
      </c>
      <c r="CF28" s="493" t="str">
        <f>IF(19=19,IF(AW28="","",SUBSTITUTE(SUBSTITUTE(BC28," "&amp;DT1452&amp;" "," ")," "&amp;DT1453&amp;" "," ")),"")</f>
        <v/>
      </c>
      <c r="CG28" s="493" t="str" cm="1">
        <f t="array" ref="CG28">IF(19=19,IF(AW28="","",SUMPRODUCT(--ISNUMBER(SEARCH(" "&amp;DT1454:DT1464&amp;" ",CF28)))),"")</f>
        <v/>
      </c>
      <c r="CH28" s="493" t="str">
        <f>IF(19=19,IF(AW28="","",IF(CE28&gt;0,"X",IF(CG28&gt;0,"?",""))),"")</f>
        <v/>
      </c>
      <c r="CI28" s="493" t="str" cm="1">
        <f t="array" ref="CI28">IF(19=19,IF(AW28="","",SUMPRODUCT(--ISNUMBER(SEARCH(" "&amp;DT1465:DT1564&amp;" ",CL28)))),"")</f>
        <v/>
      </c>
      <c r="CJ28" s="493" t="str" cm="1">
        <f t="array" ref="CJ28">IF(19=19,IF(AW28="","",SUMPRODUCT(--ISNUMBER(SEARCH(" "&amp;DT1565:DT1664&amp;" ",CL28)))),"")</f>
        <v/>
      </c>
      <c r="CK28" s="493" t="str" cm="1">
        <f t="array" ref="CK28">IF(19=19,IF(AW28="","",SUMPRODUCT(--ISNUMBER(SEARCH(" "&amp;DT1665:DT1748&amp;" ",CL28)))),"")</f>
        <v/>
      </c>
      <c r="CL28" s="493" t="str">
        <f>IF(19=19,IF(AW28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28,"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28" s="493" t="str" cm="1">
        <f t="array" ref="CM28">IF(19=19,IF(AW28="","",SUMPRODUCT(--ISNUMBER(SEARCH(" "&amp;DT1799:DT1878&amp;" ",CN28)))+SUMPRODUCT(--ISNUMBER(SEARCH(" "&amp;DT2449:DT2462&amp;" ",CN28)))),"")</f>
        <v/>
      </c>
      <c r="CN28" s="493" t="str">
        <f>IF(19=19,IF(AW28="","",SUBSTITUTE(SUBSTITUTE(SUBSTITUTE(SUBSTITUTE(SUBSTITUTE(SUBSTITUTE(SUBSTITUTE(SUBSTITUTE(SUBSTITUTE(SUBSTITUTE(SUBSTITUTE(SUBSTITUTE(SUBSTITUTE(CL28," "&amp;DT1885&amp;" "," ")," "&amp;DT1883&amp;" "," ")," "&amp;DT2447&amp;" "," ")," "&amp;DT2448&amp;" "," ")," "&amp;DT1880&amp;" "," ")," "&amp;DT1884&amp;" "," ")," "&amp;DT1886&amp;" "," ")," "&amp;DT1881&amp;" "," ")," "&amp;DT1879&amp;" "," ")," "&amp;DT1376&amp;" "," ")," "&amp;DT1887&amp;" "," ")," "&amp;DT1375&amp;" "," ")," "&amp;DT1882&amp;" "," ")),"")</f>
        <v/>
      </c>
      <c r="CO28" s="493" t="str" cm="1">
        <f t="array" ref="CO28">IF(19=19,IF(AW28="","",IF(SUM(CI28:CK28)+SUMPRODUCT(--ISNUMBER(SEARCH(" "&amp;DT2432:DT2433&amp;" ",CL28)))&gt;0,"X",IF(CM28&gt;0,"?",""))),"")</f>
        <v/>
      </c>
      <c r="CP28" s="493" t="str" cm="1">
        <f t="array" ref="CP28">IF(19=19,IF(AW28="","",SUMPRODUCT(--ISNUMBER(SEARCH(" "&amp;DT1888:DT1945&amp;" ",CQ28)))),"")</f>
        <v/>
      </c>
      <c r="CQ28" s="493" t="str">
        <f>IF(19=19,IF(AW28="","",SUBSTITUTE(SUBSTITUTE(SUBSTITUTE(SUBSTITUTE(SUBSTITUTE(SUBSTITUTE(SUBSTITUTE(SUBSTITUTE(SUBSTITUTE(SUBSTITUTE(SUBSTITUTE(SUBSTITUTE(SUBSTITUTE(SUBSTITUTE(SUBSTITUTE(SUBSTITUTE(SUBSTITUTE(SUBSTITUTE(SUBSTITUTE(SUBSTITUTE(SUBSTITUTE(SUBSTITUTE(SUBSTITUTE(BC28,"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28" s="493" t="str" cm="1">
        <f t="array" ref="CR28">IF(19=19,IF(AW28="","",SUMPRODUCT(--ISNUMBER(SEARCH(" "&amp;DT1969:DT1985&amp;" ",CQ28)))),"")</f>
        <v/>
      </c>
      <c r="CS28" s="493" t="str">
        <f>IF(19=19,IF(AW28="","",IF(CP28&gt;0,"X",IF(CR28&gt;0,"?",""))),"")</f>
        <v/>
      </c>
      <c r="CT28" s="493" t="str" cm="1">
        <f t="array" ref="CT28">IF(19=19,IF(AW28="","",SUMPRODUCT(--ISNUMBER(SEARCH(" "&amp;DT1986:DT1999&amp;" ",BC28)))),"")</f>
        <v/>
      </c>
      <c r="CU28" s="493" t="str" cm="1">
        <f t="array" ref="CU28">IF(19=19,IF(AW28="","",SUMPRODUCT(--ISNUMBER(SEARCH(" "&amp;DT2000:DT2014&amp;" ",BC28)))),"")</f>
        <v/>
      </c>
      <c r="CV28" s="493" t="str">
        <f>IF(19=19,IF(AW28="","",IF((CT28)-(0)&gt;0,"X",IF((CU28)-(0)&gt;0,"?",""))),"")</f>
        <v/>
      </c>
      <c r="CW28" s="493" t="str" cm="1">
        <f t="array" ref="CW28">IF(19=19,IF(AW28="","",SUMPRODUCT(--ISNUMBER(SEARCH(" "&amp;DT2015:DT2032&amp;" ",BC28)))),"")</f>
        <v/>
      </c>
      <c r="CX28" s="493" t="str" cm="1">
        <f t="array" ref="CX28">IF(19=19,IF(AW28="","",SUMPRODUCT(--ISNUMBER(SEARCH(" "&amp;DT2033:DT2047&amp;" ",BC28)))),"")</f>
        <v/>
      </c>
      <c r="CY28" s="493" t="str">
        <f>IF(19=19,IF(AW28="","",IF((CW28)-(0)&gt;0,"X",IF((CX28)-(0)&gt;0,"?",""))),"")</f>
        <v/>
      </c>
      <c r="CZ28" s="493" t="str" cm="1">
        <f t="array" ref="CZ28">IF(19=19,IF(AW28="","",SUMPRODUCT(--ISNUMBER(SEARCH(" "&amp;DT2048:DT2066&amp;" ",BC28)))),"")</f>
        <v/>
      </c>
      <c r="DA28" s="493" t="str" cm="1">
        <f t="array" ref="DA28">IF(19=19,IF(AW28="","",SUMPRODUCT(--ISNUMBER(SEARCH(" "&amp;DT2067:DT2081&amp;" ",BC28)))),"")</f>
        <v/>
      </c>
      <c r="DB28" s="493" t="str">
        <f>IF(19=19,IF(AW28="","",IF((CZ28)-(0)&gt;0,"X",IF((DA28)-(0)&gt;0,"?",""))),"")</f>
        <v/>
      </c>
      <c r="DC28" s="493" t="str" cm="1">
        <f t="array" ref="DC28">IF(19=19,IF(AW28="","",SUMPRODUCT(--ISNUMBER(SEARCH(" "&amp;DT2082:DT2102&amp;" ",BC28)))),"")</f>
        <v/>
      </c>
      <c r="DD28" s="493" t="str" cm="1">
        <f t="array" ref="DD28">IF(19=19,IF(AW28="","",SUMPRODUCT(--ISNUMBER(SEARCH(" "&amp;DT2103:DT2142&amp;" ",SUBSTITUTE(SUBSTITUTE(BC28," "&amp;DT1376&amp;" "," ")," "&amp;DT1375&amp;" "," "))))+--ISNUMBER(SEARCH("poiré",AX28))),"")</f>
        <v/>
      </c>
      <c r="DE28" s="493" t="str">
        <f>IF(19=19,IF(AW28="","",IF(OR(DC28&gt;0,ISNUMBER(SEARCH(" vinaigre de vin ",BC28)),ISNUMBER(SEARCH(" vinaigre au vin ",BC28))),"X",IF(DD28&gt;0,"?",""))),"")</f>
        <v/>
      </c>
      <c r="DF28" s="493" t="str" cm="1">
        <f t="array" ref="DF28">IF(19=19,IF(AW28="","",SUMPRODUCT(--ISNUMBER(SEARCH(" "&amp;DT2143:DT2155&amp;" ",BC28)))),"")</f>
        <v/>
      </c>
      <c r="DG28" s="493" t="str" cm="1">
        <f t="array" ref="DG28">IF(19=19,IF(AW28="","",SUMPRODUCT(--ISNUMBER(SEARCH(" "&amp;DT2156:DT2161&amp;" ",BC28)))),"")</f>
        <v/>
      </c>
      <c r="DH28" s="493" t="str">
        <f>IF(19=19,IF(AW28="","",IF((DF28)-(0)&gt;0,"X",IF((DG28)-(0)&gt;0,"?",""))),"")</f>
        <v/>
      </c>
      <c r="DI28" s="493" t="str" cm="1">
        <f t="array" ref="DI28">IF(19=19,IF(AW28="","",SUMPRODUCT(--ISNUMBER(SEARCH(" "&amp;DT2162:DT2261&amp;" ",DL28)))),"")</f>
        <v/>
      </c>
      <c r="DJ28" s="493" t="str" cm="1">
        <f t="array" ref="DJ28">IF(19=19,IF(AW28="","",SUMPRODUCT(--ISNUMBER(SEARCH(" "&amp;DT2262:DT2361&amp;" ",DL28)))),"")</f>
        <v/>
      </c>
      <c r="DK28" s="493" t="str" cm="1">
        <f t="array" ref="DK28">IF(19=19,IF(AW28="","",SUMPRODUCT(--ISNUMBER(SEARCH(" "&amp;DT2362:DT2404&amp;" ",DL28)))),"")</f>
        <v/>
      </c>
      <c r="DL28" s="493" t="str">
        <f>IF(19=19,IF(AW28="","",SUBSTITUTE(SUBSTITUTE(SUBSTITUTE(SUBSTITUTE(SUBSTITUTE(SUBSTITUTE(SUBSTITUTE(SUBSTITUTE(SUBSTITUTE(SUBSTITUTE(SUBSTITUTE(SUBSTITUTE(SUBSTITUTE(SUBSTITUTE(SUBSTITUTE(SUBSTITUTE(BC28," "&amp;DT2410&amp;" "," ")," "&amp;DT2409&amp;" "," ")," "&amp;DT2408&amp;" "," ")," "&amp;DT2415&amp;" "," ")," "&amp;DT2407&amp;" "," ")," "&amp;DT2419&amp;" "," ")," "&amp;DT2406&amp;" "," ")," "&amp;DT2411&amp;" "," ")," "&amp;DT2414&amp;" "," ")," "&amp;DT2405&amp;" "," ")," "&amp;DT2413&amp;" "," ")," "&amp;DT2420&amp;" "," ")," "&amp;DT2417&amp;" "," ")," "&amp;DT2412&amp;" "," ")," "&amp;DT2416&amp;" "," ")," "&amp;DT2418&amp;" "," ")),"")</f>
        <v/>
      </c>
      <c r="DM28" s="493" t="str" cm="1">
        <f t="array" ref="DM28">IF(19=19,IF(AW28="","",SUMPRODUCT(--ISNUMBER(SEARCH(" "&amp;DT2421:DT2425&amp;" ",DL28)))),"")</f>
        <v/>
      </c>
      <c r="DN28" s="493" t="str">
        <f>IF(19=19,IF(AW28="","",IF(SUM(DI28:DK28)&gt;0,"X",IF(DM28&gt;0,"?",""))),"")</f>
        <v/>
      </c>
      <c r="DO28" s="494"/>
      <c r="DP28" s="496" t="s">
        <v>1178</v>
      </c>
      <c r="DQ28" s="496" t="s">
        <v>1083</v>
      </c>
      <c r="DR28" s="496" t="s">
        <v>689</v>
      </c>
      <c r="DS28" s="496" t="s">
        <v>1179</v>
      </c>
      <c r="DT28" s="496" t="s">
        <v>1179</v>
      </c>
      <c r="DU28" s="496" t="s">
        <v>1085</v>
      </c>
      <c r="DV28" s="496" t="s">
        <v>1086</v>
      </c>
      <c r="DW28" s="496" t="s">
        <v>1087</v>
      </c>
      <c r="DX28" s="497" t="s">
        <v>1088</v>
      </c>
      <c r="DZ28" s="543">
        <v>1</v>
      </c>
      <c r="EB28" s="493"/>
      <c r="EC28" s="493"/>
    </row>
    <row r="29" spans="1:133" ht="21" customHeight="1">
      <c r="A29" t="s">
        <v>825</v>
      </c>
      <c r="E29" s="716" t="s">
        <v>737</v>
      </c>
      <c r="F29" s="724" t="str">
        <f>F12</f>
        <v>M MACÉDOINE DE LÉGUMES AU COULIS DE TOMATE | HORS D'ŒUVRE texture modifiée-cuidité-MACEDOINE| Auteur &gt; Annette et Jean Pierre DOMERGUES - 45000 ORLÉANS 1981</v>
      </c>
      <c r="G29" s="725">
        <f>G12</f>
        <v>10</v>
      </c>
      <c r="H29" s="724" t="str">
        <f>H12</f>
        <v>couverts</v>
      </c>
      <c r="I29" s="726" t="str">
        <f>I12</f>
        <v>Recette mère ►  Textures modifiées</v>
      </c>
      <c r="J29" s="839" t="s">
        <v>794</v>
      </c>
      <c r="K29" s="810" t="s">
        <v>790</v>
      </c>
      <c r="L29" s="840" t="s">
        <v>795</v>
      </c>
      <c r="M29" s="841" t="s">
        <v>796</v>
      </c>
      <c r="N29" s="842" t="s">
        <v>797</v>
      </c>
      <c r="O29" s="842" t="s">
        <v>798</v>
      </c>
      <c r="P29" s="840" t="s">
        <v>795</v>
      </c>
      <c r="Q29" s="843" t="s">
        <v>799</v>
      </c>
      <c r="R29" s="843" t="s">
        <v>800</v>
      </c>
      <c r="S29" s="843" t="s">
        <v>801</v>
      </c>
      <c r="T29" s="843" t="s">
        <v>802</v>
      </c>
      <c r="U29" s="844" t="s">
        <v>803</v>
      </c>
      <c r="V29" s="844" t="s">
        <v>804</v>
      </c>
      <c r="W29" s="845" t="s">
        <v>805</v>
      </c>
      <c r="X29" s="844" t="s">
        <v>806</v>
      </c>
      <c r="Y29" s="844" t="s">
        <v>807</v>
      </c>
      <c r="AA29" s="1362"/>
      <c r="AC29" s="509">
        <v>14</v>
      </c>
      <c r="AD29" s="808"/>
      <c r="AE29" s="679" t="str">
        <f t="shared" si="3"/>
        <v/>
      </c>
      <c r="AF29" s="512" t="str">
        <f>IF(20=20,IF(AD29="","",IF(AG29="X",""&amp;"Céréales contenant du gluten","")&amp;IF(AH29="X",IF(COUNTIF(AG29:AG29,"X")&gt;0,", ","")&amp;"Crustacés","")&amp;IF(AI29="X",IF(COUNTIF(AG29:AH29,"X")&gt;0,", ","")&amp;"Œufs","")&amp;IF(AJ29="X",IF(COUNTIF(AG29:AI29,"X")&gt;0,", ","")&amp;"Poissons","")&amp;IF(AK29="X",IF(COUNTIF(AG29:AJ29,"X")&gt;0,", ","")&amp;"Arachides","")&amp;IF(AL29="X",IF(COUNTIF(AG29:AK29,"X")&gt;0,", ","")&amp;"Soja","")&amp;IF(AM29="X",IF(COUNTIF(AG29:AL29,"X")&gt;0,", ","")&amp;"Lait","")&amp;IF(AN29="X",IF(COUNTIF(AG29:AM29,"X")&gt;0,", ","")&amp;"Fruits à coque","")&amp;IF(AO29="X",IF(COUNTIF(AG29:AN29,"X")&gt;0,", ","")&amp;"Céleri","")&amp;IF(AP29="X",IF(COUNTIF(AG29:AO29,"X")&gt;0,", ","")&amp;"Moutarde","")&amp;IF(AQ29="X",IF(COUNTIF(AG29:AP29,"X")&gt;0,", ","")&amp;"Sésame","")&amp;IF(AR29="X",IF(COUNTIF(AG29:AQ29,"X")&gt;0,", ","")&amp;"Sulfites","")&amp;IF(AS29="X",IF(COUNTIF(AG29:AR29,"X")&gt;0,", ","")&amp;"Lupin","")&amp;IF(AT29="X",IF(COUNTIF(AG29:AS29,"X")&gt;0,", ","")&amp;"Mollusques","")),"")</f>
        <v/>
      </c>
      <c r="AG29" s="513" t="str">
        <f>IF(20=20,IF(AD29="","",BH29),"")</f>
        <v/>
      </c>
      <c r="AH29" s="513" t="str">
        <f>IF(20=20,IF(AD29="","",BK29),"")</f>
        <v/>
      </c>
      <c r="AI29" s="513" t="str">
        <f>IF(20=20,IF(AD29="","",BO29),"")</f>
        <v/>
      </c>
      <c r="AJ29" s="513" t="str">
        <f>IF(20=20,IF(AD29="","",IF(ISNUMBER(SEARCH(" colin ",BC29)),"X",CB29)),"")</f>
        <v/>
      </c>
      <c r="AK29" s="513" t="str">
        <f>IF(20=20,IF(AD29="","",CD29),"")</f>
        <v/>
      </c>
      <c r="AL29" s="513" t="str">
        <f>IF(20=20,IF(AD29="","",CH29),"")</f>
        <v/>
      </c>
      <c r="AM29" s="513" t="str">
        <f>IF(20=20,IF(AD29="","",CO29),"")</f>
        <v/>
      </c>
      <c r="AN29" s="513" t="str">
        <f>IF(20=20,IF(AD29="","",CS29),"")</f>
        <v/>
      </c>
      <c r="AO29" s="513" t="str">
        <f>IF(20=20,IF(AD29="","",CV29),"")</f>
        <v/>
      </c>
      <c r="AP29" s="513" t="str">
        <f>IF(20=20,IF(AD29="","",CY29),"")</f>
        <v/>
      </c>
      <c r="AQ29" s="513" t="str">
        <f>IF(20=20,IF(AD29="","",DB29),"")</f>
        <v/>
      </c>
      <c r="AR29" s="513" t="str">
        <f>IF(20=20,IF(AD29="","",DE29),"")</f>
        <v/>
      </c>
      <c r="AS29" s="513" t="str">
        <f>IF(20=20,IF(AD29="","",DH29),"")</f>
        <v/>
      </c>
      <c r="AT29" s="513" t="str">
        <f>IF(20=20,IF(AD29="","",DN29),"")</f>
        <v/>
      </c>
      <c r="AU29" s="514" t="str">
        <f>IF(20=20,IF(AD29="","",IF(AG29="?",""&amp;"Céréales contenant du gluten","")&amp;IF(AH29="?",IF(COUNTIF(AG29:AG29,"~?")&gt;0,", ","")&amp;"Crustacés","")&amp;IF(AI29="?",IF(COUNTIF(AG29:AH29,"~?")&gt;0,", ","")&amp;"Œufs","")&amp;IF(AJ29="?",IF(COUNTIF(AG29:AI29,"~?")&gt;0,", ","")&amp;"Poissons","")&amp;IF(AK29="?",IF(COUNTIF(AG29:AJ29,"~?")&gt;0,", ","")&amp;"Arachides","")&amp;IF(AL29="?",IF(COUNTIF(AG29:AK29,"~?")&gt;0,", ","")&amp;"Soja","")&amp;IF(AM29="?",IF(COUNTIF(AG29:AL29,"~?")&gt;0,", ","")&amp;"Lait","")&amp;IF(AN29="?",IF(COUNTIF(AG29:AM29,"~?")&gt;0,", ","")&amp;"Fruits à coque","")&amp;IF(AO29="?",IF(COUNTIF(AG29:AN29,"~?")&gt;0,", ","")&amp;"Céleri","")&amp;IF(AP29="?",IF(COUNTIF(AG29:AO29,"~?")&gt;0,", ","")&amp;"Moutarde","")&amp;IF(AQ29="?",IF(COUNTIF(AG29:AP29,"~?")&gt;0,", ","")&amp;"Sésame","")&amp;IF(AR29="?",IF(COUNTIF(AG29:AQ29,"~?")&gt;0,", ","")&amp;"Sulfites","")&amp;IF(AS29="?",IF(COUNTIF(AG29:AR29,"~?")&gt;0,", ","")&amp;"Lupin","")&amp;IF(AT29="?",IF(COUNTIF(AG29:AS29,"~?")&gt;0,", ","")&amp;"Mollusques","")),"")</f>
        <v/>
      </c>
      <c r="AW29" s="493" t="str">
        <f>IF(20=20,IF(AD29="","",AD29),"")</f>
        <v/>
      </c>
      <c r="AX29" s="493" t="str">
        <f>IF(20=20,LOWER(CLEAN(SUBSTITUTE(SUBSTITUTE(SUBSTITUTE(SUBSTITUTE(AW29,CHAR(160)," ")," "," "),CHAR(10)," "),CHAR(13)," "))),"")</f>
        <v/>
      </c>
      <c r="AY29" s="493" t="str">
        <f>IF(20=20,SUBSTITUTE(SUBSTITUTE(SUBSTITUTE(SUBSTITUTE(SUBSTITUTE(SUBSTITUTE(SUBSTITUTE(SUBSTITUTE(SUBSTITUTE(SUBSTITUTE(SUBSTITUTE(SUBSTITUTE(AX29,"œ","oe"),"æ","ae"),"à","a"),"á","a"),"â","a"),"ä","a"),"ã","a"),"ç","c"),"è","e"),"é","e"),"ê","e"),"ë","e"),"")</f>
        <v/>
      </c>
      <c r="AZ29" s="493" t="str">
        <f>IF(20=20,SUBSTITUTE(SUBSTITUTE(SUBSTITUTE(SUBSTITUTE(SUBSTITUTE(SUBSTITUTE(SUBSTITUTE(SUBSTITUTE(SUBSTITUTE(SUBSTITUTE(SUBSTITUTE(SUBSTITUTE(SUBSTITUTE(SUBSTITUTE(SUBSTITUTE(SUBSTITUTE(AY29,"ì","i"),"í","i"),"î","i"),"ï","i"),"ñ","n"),"ò","o"),"ó","o"),"ô","o"),"ö","o"),"õ","o"),"ù","u"),"ú","u"),"û","u"),"ü","u"),"ý","y"),"ÿ","y"),"")</f>
        <v/>
      </c>
      <c r="BA29" s="493" t="str">
        <f>IF(20=20,SUBSTITUTE(SUBSTITUTE(SUBSTITUTE(SUBSTITUTE(SUBSTITUTE(SUBSTITUTE(SUBSTITUTE(SUBSTITUTE(SUBSTITUTE(SUBSTITUTE(SUBSTITUTE(SUBSTITUTE(SUBSTITUTE(SUBSTITUTE(AZ29,"’"," "),"`"," "),"–"," "),"—"," "),"-"," "),"'"," "),"/"," "),"_"," "),","," "),"."," "),"("," "),")"," "),";"," "),":"," "),"")</f>
        <v/>
      </c>
      <c r="BB29" s="493" t="str">
        <f>IF(20=20,SUBSTITUTE(SUBSTITUTE(SUBSTITUTE(SUBSTITUTE(SUBSTITUTE(SUBSTITUTE(SUBSTITUTE(SUBSTITUTE(SUBSTITUTE(SUBSTITUTE(SUBSTITUTE(SUBSTITUTE(SUBSTITUTE(SUBSTITUTE(SUBSTITUTE(BA29,"!"," "),"?"," "),"+"," "),"*"," "),"&amp;"," "),"["," "),"]"," "),"{"," "),"}"," "),"%"," "),"="," "),"\"," "),"|"," "),"&lt;"," "),"&gt;"," "),"")</f>
        <v/>
      </c>
      <c r="BC29" s="493" t="str">
        <f>IF(20=20," "&amp;TRIM(SUBSTITUTE(SUBSTITUTE(SUBSTITUTE(SUBSTITUTE(SUBSTITUTE(SUBSTITUTE(BB29,CHAR(34)," "),"  "," "),"  "," "),"  "," "),"  "," "),"  "," "))&amp;" ","")</f>
        <v xml:space="preserve">  </v>
      </c>
      <c r="BD29" s="493" t="str" cm="1">
        <f t="array" ref="BD29">IF(20=20,IF(AW29="","",SUMPRODUCT(--ISNUMBER(SEARCH(" "&amp;DT11:DT110&amp;" ",BF29)))),"")</f>
        <v/>
      </c>
      <c r="BE29" s="493" t="str" cm="1">
        <f t="array" ref="BE29">IF(20=20,IF(AW29="","",SUMPRODUCT(--ISNUMBER(SEARCH(" "&amp;DT111:DT160&amp;" ",BF29)))),"")</f>
        <v/>
      </c>
      <c r="BF29" s="493" t="str">
        <f>IF(AW29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29,"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29" s="493" t="str" cm="1">
        <f t="array" ref="BG29">IF(AW29="","",SUMPRODUCT(--ISNUMBER(SEARCH(" "&amp;DT193:DT214&amp;" ",BF29)))+--ISNUMBER(SEARCH(" "&amp;DT2463&amp;" ",BF29)))</f>
        <v/>
      </c>
      <c r="BH29" s="493" t="str" cm="1">
        <f t="array" ref="BH29">IF(20=20,IF(AW29="","",IF(SUM(BD29:BE29)+SUMPRODUCT(--ISNUMBER(SEARCH(" "&amp;DT2427:DT2429&amp;" ",BF29)))&gt;0,"X",IF(BG29&gt;0,"?",""))),"")</f>
        <v/>
      </c>
      <c r="BI29" s="493" t="str" cm="1">
        <f t="array" ref="BI29">IF(20=20,IF(AW29="","",SUMPRODUCT(--ISNUMBER(SEARCH(" "&amp;DT215:DT314&amp;" ",BC29)))),"")</f>
        <v/>
      </c>
      <c r="BJ29" s="493" t="str" cm="1">
        <f t="array" ref="BJ29">IF(20=20,IF(AW29="","",SUMPRODUCT(--ISNUMBER(SEARCH(" "&amp;DT315:DT349&amp;" ",BC29)))),"")</f>
        <v/>
      </c>
      <c r="BK29" s="493" t="str">
        <f>IF(20=20,IF(AW29="","",IF((SUM(BI29:BJ29))-(0)&gt;0,"X",IF((0)-(0)&gt;0,"?",""))),"")</f>
        <v/>
      </c>
      <c r="BL29" s="493" t="str" cm="1">
        <f t="array" ref="BL29">IF(20=20,IF(AW29="","",SUMPRODUCT(--ISNUMBER(SEARCH(" "&amp;DT350:DT407&amp;" ",BC29)))),"")</f>
        <v/>
      </c>
      <c r="BM29" s="493" t="str" cm="1">
        <f t="array" ref="BM29">IF(20=20,IF(AW29="","",SUMPRODUCT(--ISNUMBER(SEARCH(" "&amp;DT408:DT435&amp;" ",BN29)))+SUMPRODUCT(--ISNUMBER(SEARCH(" "&amp;DT2449:DT2462&amp;" ",BN29)))),"")</f>
        <v/>
      </c>
      <c r="BN29" s="493" t="str">
        <f>IF(20=20,IF(AW29="","",SUBSTITUTE(SUBSTITUTE(SUBSTITUTE(SUBSTITUTE(SUBSTITUTE(SUBSTITUTE(SUBSTITUTE(SUBSTITUTE(SUBSTITUTE(SUBSTITUTE(SUBSTITUTE(SUBSTITUTE(SUBSTITUTE(SUBSTITUTE(BC29," "&amp;DT2464&amp;" "," ")," "&amp;DT442&amp;" "," ")," "&amp;DT440&amp;" "," ")," "&amp;DT2447&amp;" "," ")," "&amp;DT2448&amp;" "," ")," "&amp;DT437&amp;" "," ")," "&amp;DT441&amp;" "," ")," "&amp;DT443&amp;" "," ")," "&amp;DT438&amp;" "," ")," "&amp;DT436&amp;" "," ")," "&amp;DT1376&amp;" "," ")," "&amp;DT444&amp;" "," ")," "&amp;DT1375&amp;" "," ")," "&amp;DT439&amp;" "," ")),"")</f>
        <v/>
      </c>
      <c r="BO29" s="493" t="str">
        <f>IF(20=20,IF(AW29="","",IF(BL29&gt;0,"X",IF(BM29&gt;0,"?",""))),"")</f>
        <v/>
      </c>
      <c r="BP29" s="493" t="str" cm="1">
        <f t="array" ref="BP29">IF(20=20,IF(AW29="","",SUMPRODUCT(--ISNUMBER(SEARCH(" "&amp;DT445:DT544&amp;" ",BZ29)))),"")</f>
        <v/>
      </c>
      <c r="BQ29" s="493" t="str" cm="1">
        <f t="array" ref="BQ29">IF(20=20,IF(AW29="","",SUMPRODUCT(--ISNUMBER(SEARCH(" "&amp;DT545:DT644&amp;" ",BZ29)))),"")</f>
        <v/>
      </c>
      <c r="BR29" s="493" t="str" cm="1">
        <f t="array" ref="BR29">IF(20=20,IF(AW29="","",SUMPRODUCT(--ISNUMBER(SEARCH(" "&amp;DT645:DT744&amp;" ",BZ29)))),"")</f>
        <v/>
      </c>
      <c r="BS29" s="493" t="str" cm="1">
        <f t="array" ref="BS29">IF(20=20,IF(AW29="","",SUMPRODUCT(--ISNUMBER(SEARCH(" "&amp;DT745:DT844&amp;" ",BZ29)))),"")</f>
        <v/>
      </c>
      <c r="BT29" s="493" t="str" cm="1">
        <f t="array" ref="BT29">IF(20=20,IF(AW29="","",SUMPRODUCT(--ISNUMBER(SEARCH(" "&amp;DT845:DT944&amp;" ",BZ29)))),"")</f>
        <v/>
      </c>
      <c r="BU29" s="493" t="str" cm="1">
        <f t="array" ref="BU29">IF(20=20,IF(AW29="","",SUMPRODUCT(--ISNUMBER(SEARCH(" "&amp;DT945:DT1044&amp;" ",BZ29)))),"")</f>
        <v/>
      </c>
      <c r="BV29" s="493" t="str" cm="1">
        <f t="array" ref="BV29">IF(20=20,IF(AW29="","",SUMPRODUCT(--ISNUMBER(SEARCH(" "&amp;DT1045:DT1144&amp;" ",BZ29)))),"")</f>
        <v/>
      </c>
      <c r="BW29" s="493" t="str" cm="1">
        <f t="array" ref="BW29">IF(20=20,IF(AW29="","",SUMPRODUCT(--ISNUMBER(SEARCH(" "&amp;DT1145:DT1244&amp;" ",BZ29)))),"")</f>
        <v/>
      </c>
      <c r="BX29" s="493" t="str" cm="1">
        <f t="array" ref="BX29">IF(20=20,IF(AW29="","",SUMPRODUCT(--ISNUMBER(SEARCH(" "&amp;DT1245:DT1344&amp;" ",BZ29)))),"")</f>
        <v/>
      </c>
      <c r="BY29" s="493" t="str" cm="1">
        <f t="array" ref="BY29">IF(20=20,IF(AW29="","",SUMPRODUCT(--ISNUMBER(SEARCH(" "&amp;DT1345:DT1372&amp;" ",BZ29)))),"")</f>
        <v/>
      </c>
      <c r="BZ29" s="493" t="str">
        <f>IF(20=20,IF(AW29="","",SUBSTITUTE(SUBSTITUTE(SUBSTITUTE(SUBSTITUTE(SUBSTITUTE(SUBSTITUTE(SUBSTITUTE(SUBSTITUTE(SUBSTITUTE(BC29," "&amp;DT1374&amp;" "," ")," "&amp;DT1373&amp;" "," ")," "&amp;DT1379&amp;" "," ")," "&amp;DT1380&amp;" "," ")," "&amp;DT1376&amp;" "," ")," "&amp;DT1378&amp;" "," ")," "&amp;DT1375&amp;" "," ")," "&amp;DT1377&amp;" "," ")," "&amp;DT1381&amp;" "," ")),"")</f>
        <v/>
      </c>
      <c r="CA29" s="493" t="str" cm="1">
        <f t="array" ref="CA29">IF(20=20,IF(AW29="","",SUMPRODUCT(--ISNUMBER(SEARCH(" "&amp;DT1382:DT1392&amp;" ",BZ29)))),"")</f>
        <v/>
      </c>
      <c r="CB29" s="493" t="str" cm="1">
        <f t="array" ref="CB29">IF(20=20,IF(AW29="","",IF(SUM(BP29:BY29)+SUMPRODUCT(--ISNUMBER(SEARCH(" "&amp;DT2430:DT2431&amp;" ",BZ29)))&gt;0,"X",IF(CA29&gt;0,"?",""))),"")</f>
        <v/>
      </c>
      <c r="CC29" s="493" t="str" cm="1">
        <f t="array" ref="CC29">IF(20=20,IF(AW29="","",SUMPRODUCT(--ISNUMBER(SEARCH(" "&amp;DT1393:DT1413&amp;" ",BC29)))),"")</f>
        <v/>
      </c>
      <c r="CD29" s="493" t="str">
        <f>IF(20=20,IF(AW29="","",IF((CC29)-(0)&gt;0,"X",IF((0)-(0)&gt;0,"?",""))),"")</f>
        <v/>
      </c>
      <c r="CE29" s="493" t="str" cm="1">
        <f t="array" ref="CE29">IF(20=20,IF(AW29="","",SUMPRODUCT(--ISNUMBER(SEARCH(" "&amp;DT1414:DT1451&amp;" ",CF29)))),"")</f>
        <v/>
      </c>
      <c r="CF29" s="493" t="str">
        <f>IF(20=20,IF(AW29="","",SUBSTITUTE(SUBSTITUTE(BC29," "&amp;DT1452&amp;" "," ")," "&amp;DT1453&amp;" "," ")),"")</f>
        <v/>
      </c>
      <c r="CG29" s="493" t="str" cm="1">
        <f t="array" ref="CG29">IF(20=20,IF(AW29="","",SUMPRODUCT(--ISNUMBER(SEARCH(" "&amp;DT1454:DT1464&amp;" ",CF29)))),"")</f>
        <v/>
      </c>
      <c r="CH29" s="493" t="str">
        <f>IF(20=20,IF(AW29="","",IF(CE29&gt;0,"X",IF(CG29&gt;0,"?",""))),"")</f>
        <v/>
      </c>
      <c r="CI29" s="493" t="str" cm="1">
        <f t="array" ref="CI29">IF(20=20,IF(AW29="","",SUMPRODUCT(--ISNUMBER(SEARCH(" "&amp;DT1465:DT1564&amp;" ",CL29)))),"")</f>
        <v/>
      </c>
      <c r="CJ29" s="493" t="str" cm="1">
        <f t="array" ref="CJ29">IF(20=20,IF(AW29="","",SUMPRODUCT(--ISNUMBER(SEARCH(" "&amp;DT1565:DT1664&amp;" ",CL29)))),"")</f>
        <v/>
      </c>
      <c r="CK29" s="493" t="str" cm="1">
        <f t="array" ref="CK29">IF(20=20,IF(AW29="","",SUMPRODUCT(--ISNUMBER(SEARCH(" "&amp;DT1665:DT1748&amp;" ",CL29)))),"")</f>
        <v/>
      </c>
      <c r="CL29" s="493" t="str">
        <f>IF(20=20,IF(AW29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29,"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29" s="493" t="str" cm="1">
        <f t="array" ref="CM29">IF(20=20,IF(AW29="","",SUMPRODUCT(--ISNUMBER(SEARCH(" "&amp;DT1799:DT1878&amp;" ",CN29)))+SUMPRODUCT(--ISNUMBER(SEARCH(" "&amp;DT2449:DT2462&amp;" ",CN29)))),"")</f>
        <v/>
      </c>
      <c r="CN29" s="493" t="str">
        <f>IF(20=20,IF(AW29="","",SUBSTITUTE(SUBSTITUTE(SUBSTITUTE(SUBSTITUTE(SUBSTITUTE(SUBSTITUTE(SUBSTITUTE(SUBSTITUTE(SUBSTITUTE(SUBSTITUTE(SUBSTITUTE(SUBSTITUTE(SUBSTITUTE(CL29," "&amp;DT1885&amp;" "," ")," "&amp;DT1883&amp;" "," ")," "&amp;DT2447&amp;" "," ")," "&amp;DT2448&amp;" "," ")," "&amp;DT1880&amp;" "," ")," "&amp;DT1884&amp;" "," ")," "&amp;DT1886&amp;" "," ")," "&amp;DT1881&amp;" "," ")," "&amp;DT1879&amp;" "," ")," "&amp;DT1376&amp;" "," ")," "&amp;DT1887&amp;" "," ")," "&amp;DT1375&amp;" "," ")," "&amp;DT1882&amp;" "," ")),"")</f>
        <v/>
      </c>
      <c r="CO29" s="493" t="str" cm="1">
        <f t="array" ref="CO29">IF(20=20,IF(AW29="","",IF(SUM(CI29:CK29)+SUMPRODUCT(--ISNUMBER(SEARCH(" "&amp;DT2432:DT2433&amp;" ",CL29)))&gt;0,"X",IF(CM29&gt;0,"?",""))),"")</f>
        <v/>
      </c>
      <c r="CP29" s="493" t="str" cm="1">
        <f t="array" ref="CP29">IF(20=20,IF(AW29="","",SUMPRODUCT(--ISNUMBER(SEARCH(" "&amp;DT1888:DT1945&amp;" ",CQ29)))),"")</f>
        <v/>
      </c>
      <c r="CQ29" s="493" t="str">
        <f>IF(20=20,IF(AW29="","",SUBSTITUTE(SUBSTITUTE(SUBSTITUTE(SUBSTITUTE(SUBSTITUTE(SUBSTITUTE(SUBSTITUTE(SUBSTITUTE(SUBSTITUTE(SUBSTITUTE(SUBSTITUTE(SUBSTITUTE(SUBSTITUTE(SUBSTITUTE(SUBSTITUTE(SUBSTITUTE(SUBSTITUTE(SUBSTITUTE(SUBSTITUTE(SUBSTITUTE(SUBSTITUTE(SUBSTITUTE(SUBSTITUTE(BC29,"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29" s="493" t="str" cm="1">
        <f t="array" ref="CR29">IF(20=20,IF(AW29="","",SUMPRODUCT(--ISNUMBER(SEARCH(" "&amp;DT1969:DT1985&amp;" ",CQ29)))),"")</f>
        <v/>
      </c>
      <c r="CS29" s="493" t="str">
        <f>IF(20=20,IF(AW29="","",IF(CP29&gt;0,"X",IF(CR29&gt;0,"?",""))),"")</f>
        <v/>
      </c>
      <c r="CT29" s="493" t="str" cm="1">
        <f t="array" ref="CT29">IF(20=20,IF(AW29="","",SUMPRODUCT(--ISNUMBER(SEARCH(" "&amp;DT1986:DT1999&amp;" ",BC29)))),"")</f>
        <v/>
      </c>
      <c r="CU29" s="493" t="str" cm="1">
        <f t="array" ref="CU29">IF(20=20,IF(AW29="","",SUMPRODUCT(--ISNUMBER(SEARCH(" "&amp;DT2000:DT2014&amp;" ",BC29)))),"")</f>
        <v/>
      </c>
      <c r="CV29" s="493" t="str">
        <f>IF(20=20,IF(AW29="","",IF((CT29)-(0)&gt;0,"X",IF((CU29)-(0)&gt;0,"?",""))),"")</f>
        <v/>
      </c>
      <c r="CW29" s="493" t="str" cm="1">
        <f t="array" ref="CW29">IF(20=20,IF(AW29="","",SUMPRODUCT(--ISNUMBER(SEARCH(" "&amp;DT2015:DT2032&amp;" ",BC29)))),"")</f>
        <v/>
      </c>
      <c r="CX29" s="493" t="str" cm="1">
        <f t="array" ref="CX29">IF(20=20,IF(AW29="","",SUMPRODUCT(--ISNUMBER(SEARCH(" "&amp;DT2033:DT2047&amp;" ",BC29)))),"")</f>
        <v/>
      </c>
      <c r="CY29" s="493" t="str">
        <f>IF(20=20,IF(AW29="","",IF((CW29)-(0)&gt;0,"X",IF((CX29)-(0)&gt;0,"?",""))),"")</f>
        <v/>
      </c>
      <c r="CZ29" s="493" t="str" cm="1">
        <f t="array" ref="CZ29">IF(20=20,IF(AW29="","",SUMPRODUCT(--ISNUMBER(SEARCH(" "&amp;DT2048:DT2066&amp;" ",BC29)))),"")</f>
        <v/>
      </c>
      <c r="DA29" s="493" t="str" cm="1">
        <f t="array" ref="DA29">IF(20=20,IF(AW29="","",SUMPRODUCT(--ISNUMBER(SEARCH(" "&amp;DT2067:DT2081&amp;" ",BC29)))),"")</f>
        <v/>
      </c>
      <c r="DB29" s="493" t="str">
        <f>IF(20=20,IF(AW29="","",IF((CZ29)-(0)&gt;0,"X",IF((DA29)-(0)&gt;0,"?",""))),"")</f>
        <v/>
      </c>
      <c r="DC29" s="493" t="str" cm="1">
        <f t="array" ref="DC29">IF(20=20,IF(AW29="","",SUMPRODUCT(--ISNUMBER(SEARCH(" "&amp;DT2082:DT2102&amp;" ",BC29)))),"")</f>
        <v/>
      </c>
      <c r="DD29" s="493" t="str" cm="1">
        <f t="array" ref="DD29">IF(20=20,IF(AW29="","",SUMPRODUCT(--ISNUMBER(SEARCH(" "&amp;DT2103:DT2142&amp;" ",SUBSTITUTE(SUBSTITUTE(BC29," "&amp;DT1376&amp;" "," ")," "&amp;DT1375&amp;" "," "))))+--ISNUMBER(SEARCH("poiré",AX29))),"")</f>
        <v/>
      </c>
      <c r="DE29" s="493" t="str">
        <f>IF(20=20,IF(AW29="","",IF(OR(DC29&gt;0,ISNUMBER(SEARCH(" vinaigre de vin ",BC29)),ISNUMBER(SEARCH(" vinaigre au vin ",BC29))),"X",IF(DD29&gt;0,"?",""))),"")</f>
        <v/>
      </c>
      <c r="DF29" s="493" t="str" cm="1">
        <f t="array" ref="DF29">IF(20=20,IF(AW29="","",SUMPRODUCT(--ISNUMBER(SEARCH(" "&amp;DT2143:DT2155&amp;" ",BC29)))),"")</f>
        <v/>
      </c>
      <c r="DG29" s="493" t="str" cm="1">
        <f t="array" ref="DG29">IF(20=20,IF(AW29="","",SUMPRODUCT(--ISNUMBER(SEARCH(" "&amp;DT2156:DT2161&amp;" ",BC29)))),"")</f>
        <v/>
      </c>
      <c r="DH29" s="493" t="str">
        <f>IF(20=20,IF(AW29="","",IF((DF29)-(0)&gt;0,"X",IF((DG29)-(0)&gt;0,"?",""))),"")</f>
        <v/>
      </c>
      <c r="DI29" s="493" t="str" cm="1">
        <f t="array" ref="DI29">IF(20=20,IF(AW29="","",SUMPRODUCT(--ISNUMBER(SEARCH(" "&amp;DT2162:DT2261&amp;" ",DL29)))),"")</f>
        <v/>
      </c>
      <c r="DJ29" s="493" t="str" cm="1">
        <f t="array" ref="DJ29">IF(20=20,IF(AW29="","",SUMPRODUCT(--ISNUMBER(SEARCH(" "&amp;DT2262:DT2361&amp;" ",DL29)))),"")</f>
        <v/>
      </c>
      <c r="DK29" s="493" t="str" cm="1">
        <f t="array" ref="DK29">IF(20=20,IF(AW29="","",SUMPRODUCT(--ISNUMBER(SEARCH(" "&amp;DT2362:DT2404&amp;" ",DL29)))),"")</f>
        <v/>
      </c>
      <c r="DL29" s="493" t="str">
        <f>IF(20=20,IF(AW29="","",SUBSTITUTE(SUBSTITUTE(SUBSTITUTE(SUBSTITUTE(SUBSTITUTE(SUBSTITUTE(SUBSTITUTE(SUBSTITUTE(SUBSTITUTE(SUBSTITUTE(SUBSTITUTE(SUBSTITUTE(SUBSTITUTE(SUBSTITUTE(SUBSTITUTE(SUBSTITUTE(BC29," "&amp;DT2410&amp;" "," ")," "&amp;DT2409&amp;" "," ")," "&amp;DT2408&amp;" "," ")," "&amp;DT2415&amp;" "," ")," "&amp;DT2407&amp;" "," ")," "&amp;DT2419&amp;" "," ")," "&amp;DT2406&amp;" "," ")," "&amp;DT2411&amp;" "," ")," "&amp;DT2414&amp;" "," ")," "&amp;DT2405&amp;" "," ")," "&amp;DT2413&amp;" "," ")," "&amp;DT2420&amp;" "," ")," "&amp;DT2417&amp;" "," ")," "&amp;DT2412&amp;" "," ")," "&amp;DT2416&amp;" "," ")," "&amp;DT2418&amp;" "," ")),"")</f>
        <v/>
      </c>
      <c r="DM29" s="493" t="str" cm="1">
        <f t="array" ref="DM29">IF(20=20,IF(AW29="","",SUMPRODUCT(--ISNUMBER(SEARCH(" "&amp;DT2421:DT2425&amp;" ",DL29)))),"")</f>
        <v/>
      </c>
      <c r="DN29" s="493" t="str">
        <f>IF(20=20,IF(AW29="","",IF(SUM(DI29:DK29)&gt;0,"X",IF(DM29&gt;0,"?",""))),"")</f>
        <v/>
      </c>
      <c r="DO29" s="494"/>
      <c r="DP29" s="496" t="s">
        <v>1180</v>
      </c>
      <c r="DQ29" s="496" t="s">
        <v>1083</v>
      </c>
      <c r="DR29" s="496" t="s">
        <v>689</v>
      </c>
      <c r="DS29" s="496" t="s">
        <v>1181</v>
      </c>
      <c r="DT29" s="496" t="s">
        <v>1181</v>
      </c>
      <c r="DU29" s="496" t="s">
        <v>1085</v>
      </c>
      <c r="DV29" s="496" t="s">
        <v>1086</v>
      </c>
      <c r="DW29" s="496" t="s">
        <v>1087</v>
      </c>
      <c r="DX29" s="497" t="s">
        <v>1088</v>
      </c>
      <c r="DZ29" s="543">
        <v>1</v>
      </c>
      <c r="EB29" s="493"/>
      <c r="EC29" s="493"/>
    </row>
    <row r="30" spans="1:133" ht="21" customHeight="1">
      <c r="E30" s="716" t="s">
        <v>737</v>
      </c>
      <c r="F30" s="724" t="str">
        <f>F12</f>
        <v>M MACÉDOINE DE LÉGUMES AU COULIS DE TOMATE | HORS D'ŒUVRE texture modifiée-cuidité-MACEDOINE| Auteur &gt; Annette et Jean Pierre DOMERGUES - 45000 ORLÉANS 1981</v>
      </c>
      <c r="G30" s="725">
        <f>G12</f>
        <v>10</v>
      </c>
      <c r="H30" s="724" t="str">
        <f>H12</f>
        <v>couverts</v>
      </c>
      <c r="I30" s="726" t="str">
        <f>I12</f>
        <v>Recette mère ►  Textures modifiées</v>
      </c>
      <c r="J30" s="846">
        <v>1</v>
      </c>
      <c r="K30" s="847">
        <v>1E-3</v>
      </c>
      <c r="L30" s="848">
        <v>0</v>
      </c>
      <c r="M30" s="847">
        <v>0.25</v>
      </c>
      <c r="N30" s="847">
        <v>0.33333000000000002</v>
      </c>
      <c r="O30" s="847">
        <v>0.5</v>
      </c>
      <c r="P30" s="848">
        <v>0</v>
      </c>
      <c r="Q30" s="849">
        <v>1</v>
      </c>
      <c r="R30" s="849">
        <v>0.1</v>
      </c>
      <c r="S30" s="849">
        <v>0.01</v>
      </c>
      <c r="T30" s="849">
        <v>1E-3</v>
      </c>
      <c r="U30" s="849">
        <v>0.5</v>
      </c>
      <c r="V30" s="849">
        <v>0.25</v>
      </c>
      <c r="W30" s="849">
        <v>0.33300000000000002</v>
      </c>
      <c r="X30" s="850">
        <v>0.2</v>
      </c>
      <c r="Y30" s="850">
        <v>0.1</v>
      </c>
      <c r="AA30" s="1362"/>
      <c r="AC30" s="509">
        <v>15</v>
      </c>
      <c r="AD30" s="808"/>
      <c r="AE30" s="679" t="str">
        <f t="shared" si="3"/>
        <v/>
      </c>
      <c r="AF30" s="512" t="str">
        <f>IF(21=21,IF(AD30="","",IF(AG30="X",""&amp;"Céréales contenant du gluten","")&amp;IF(AH30="X",IF(COUNTIF(AG30:AG30,"X")&gt;0,", ","")&amp;"Crustacés","")&amp;IF(AI30="X",IF(COUNTIF(AG30:AH30,"X")&gt;0,", ","")&amp;"Œufs","")&amp;IF(AJ30="X",IF(COUNTIF(AG30:AI30,"X")&gt;0,", ","")&amp;"Poissons","")&amp;IF(AK30="X",IF(COUNTIF(AG30:AJ30,"X")&gt;0,", ","")&amp;"Arachides","")&amp;IF(AL30="X",IF(COUNTIF(AG30:AK30,"X")&gt;0,", ","")&amp;"Soja","")&amp;IF(AM30="X",IF(COUNTIF(AG30:AL30,"X")&gt;0,", ","")&amp;"Lait","")&amp;IF(AN30="X",IF(COUNTIF(AG30:AM30,"X")&gt;0,", ","")&amp;"Fruits à coque","")&amp;IF(AO30="X",IF(COUNTIF(AG30:AN30,"X")&gt;0,", ","")&amp;"Céleri","")&amp;IF(AP30="X",IF(COUNTIF(AG30:AO30,"X")&gt;0,", ","")&amp;"Moutarde","")&amp;IF(AQ30="X",IF(COUNTIF(AG30:AP30,"X")&gt;0,", ","")&amp;"Sésame","")&amp;IF(AR30="X",IF(COUNTIF(AG30:AQ30,"X")&gt;0,", ","")&amp;"Sulfites","")&amp;IF(AS30="X",IF(COUNTIF(AG30:AR30,"X")&gt;0,", ","")&amp;"Lupin","")&amp;IF(AT30="X",IF(COUNTIF(AG30:AS30,"X")&gt;0,", ","")&amp;"Mollusques","")),"")</f>
        <v/>
      </c>
      <c r="AG30" s="513" t="str">
        <f>IF(21=21,IF(AD30="","",BH30),"")</f>
        <v/>
      </c>
      <c r="AH30" s="513" t="str">
        <f>IF(21=21,IF(AD30="","",BK30),"")</f>
        <v/>
      </c>
      <c r="AI30" s="513" t="str">
        <f>IF(21=21,IF(AD30="","",BO30),"")</f>
        <v/>
      </c>
      <c r="AJ30" s="513" t="str">
        <f>IF(21=21,IF(AD30="","",IF(ISNUMBER(SEARCH(" colin ",BC30)),"X",CB30)),"")</f>
        <v/>
      </c>
      <c r="AK30" s="513" t="str">
        <f>IF(21=21,IF(AD30="","",CD30),"")</f>
        <v/>
      </c>
      <c r="AL30" s="513" t="str">
        <f>IF(21=21,IF(AD30="","",CH30),"")</f>
        <v/>
      </c>
      <c r="AM30" s="513" t="str">
        <f>IF(21=21,IF(AD30="","",CO30),"")</f>
        <v/>
      </c>
      <c r="AN30" s="513" t="str">
        <f>IF(21=21,IF(AD30="","",CS30),"")</f>
        <v/>
      </c>
      <c r="AO30" s="513" t="str">
        <f>IF(21=21,IF(AD30="","",CV30),"")</f>
        <v/>
      </c>
      <c r="AP30" s="513" t="str">
        <f>IF(21=21,IF(AD30="","",CY30),"")</f>
        <v/>
      </c>
      <c r="AQ30" s="513" t="str">
        <f>IF(21=21,IF(AD30="","",DB30),"")</f>
        <v/>
      </c>
      <c r="AR30" s="513" t="str">
        <f>IF(21=21,IF(AD30="","",DE30),"")</f>
        <v/>
      </c>
      <c r="AS30" s="513" t="str">
        <f>IF(21=21,IF(AD30="","",DH30),"")</f>
        <v/>
      </c>
      <c r="AT30" s="513" t="str">
        <f>IF(21=21,IF(AD30="","",DN30),"")</f>
        <v/>
      </c>
      <c r="AU30" s="514" t="str">
        <f>IF(21=21,IF(AD30="","",IF(AG30="?",""&amp;"Céréales contenant du gluten","")&amp;IF(AH30="?",IF(COUNTIF(AG30:AG30,"~?")&gt;0,", ","")&amp;"Crustacés","")&amp;IF(AI30="?",IF(COUNTIF(AG30:AH30,"~?")&gt;0,", ","")&amp;"Œufs","")&amp;IF(AJ30="?",IF(COUNTIF(AG30:AI30,"~?")&gt;0,", ","")&amp;"Poissons","")&amp;IF(AK30="?",IF(COUNTIF(AG30:AJ30,"~?")&gt;0,", ","")&amp;"Arachides","")&amp;IF(AL30="?",IF(COUNTIF(AG30:AK30,"~?")&gt;0,", ","")&amp;"Soja","")&amp;IF(AM30="?",IF(COUNTIF(AG30:AL30,"~?")&gt;0,", ","")&amp;"Lait","")&amp;IF(AN30="?",IF(COUNTIF(AG30:AM30,"~?")&gt;0,", ","")&amp;"Fruits à coque","")&amp;IF(AO30="?",IF(COUNTIF(AG30:AN30,"~?")&gt;0,", ","")&amp;"Céleri","")&amp;IF(AP30="?",IF(COUNTIF(AG30:AO30,"~?")&gt;0,", ","")&amp;"Moutarde","")&amp;IF(AQ30="?",IF(COUNTIF(AG30:AP30,"~?")&gt;0,", ","")&amp;"Sésame","")&amp;IF(AR30="?",IF(COUNTIF(AG30:AQ30,"~?")&gt;0,", ","")&amp;"Sulfites","")&amp;IF(AS30="?",IF(COUNTIF(AG30:AR30,"~?")&gt;0,", ","")&amp;"Lupin","")&amp;IF(AT30="?",IF(COUNTIF(AG30:AS30,"~?")&gt;0,", ","")&amp;"Mollusques","")),"")</f>
        <v/>
      </c>
      <c r="AW30" s="493" t="str">
        <f>IF(21=21,IF(AD30="","",AD30),"")</f>
        <v/>
      </c>
      <c r="AX30" s="493" t="str">
        <f>IF(21=21,LOWER(CLEAN(SUBSTITUTE(SUBSTITUTE(SUBSTITUTE(SUBSTITUTE(AW30,CHAR(160)," ")," "," "),CHAR(10)," "),CHAR(13)," "))),"")</f>
        <v/>
      </c>
      <c r="AY30" s="493" t="str">
        <f>IF(21=21,SUBSTITUTE(SUBSTITUTE(SUBSTITUTE(SUBSTITUTE(SUBSTITUTE(SUBSTITUTE(SUBSTITUTE(SUBSTITUTE(SUBSTITUTE(SUBSTITUTE(SUBSTITUTE(SUBSTITUTE(AX30,"œ","oe"),"æ","ae"),"à","a"),"á","a"),"â","a"),"ä","a"),"ã","a"),"ç","c"),"è","e"),"é","e"),"ê","e"),"ë","e"),"")</f>
        <v/>
      </c>
      <c r="AZ30" s="493" t="str">
        <f>IF(21=21,SUBSTITUTE(SUBSTITUTE(SUBSTITUTE(SUBSTITUTE(SUBSTITUTE(SUBSTITUTE(SUBSTITUTE(SUBSTITUTE(SUBSTITUTE(SUBSTITUTE(SUBSTITUTE(SUBSTITUTE(SUBSTITUTE(SUBSTITUTE(SUBSTITUTE(SUBSTITUTE(AY30,"ì","i"),"í","i"),"î","i"),"ï","i"),"ñ","n"),"ò","o"),"ó","o"),"ô","o"),"ö","o"),"õ","o"),"ù","u"),"ú","u"),"û","u"),"ü","u"),"ý","y"),"ÿ","y"),"")</f>
        <v/>
      </c>
      <c r="BA30" s="493" t="str">
        <f>IF(21=21,SUBSTITUTE(SUBSTITUTE(SUBSTITUTE(SUBSTITUTE(SUBSTITUTE(SUBSTITUTE(SUBSTITUTE(SUBSTITUTE(SUBSTITUTE(SUBSTITUTE(SUBSTITUTE(SUBSTITUTE(SUBSTITUTE(SUBSTITUTE(AZ30,"’"," "),"`"," "),"–"," "),"—"," "),"-"," "),"'"," "),"/"," "),"_"," "),","," "),"."," "),"("," "),")"," "),";"," "),":"," "),"")</f>
        <v/>
      </c>
      <c r="BB30" s="493" t="str">
        <f>IF(21=21,SUBSTITUTE(SUBSTITUTE(SUBSTITUTE(SUBSTITUTE(SUBSTITUTE(SUBSTITUTE(SUBSTITUTE(SUBSTITUTE(SUBSTITUTE(SUBSTITUTE(SUBSTITUTE(SUBSTITUTE(SUBSTITUTE(SUBSTITUTE(SUBSTITUTE(BA30,"!"," "),"?"," "),"+"," "),"*"," "),"&amp;"," "),"["," "),"]"," "),"{"," "),"}"," "),"%"," "),"="," "),"\"," "),"|"," "),"&lt;"," "),"&gt;"," "),"")</f>
        <v/>
      </c>
      <c r="BC30" s="493" t="str">
        <f>IF(21=21," "&amp;TRIM(SUBSTITUTE(SUBSTITUTE(SUBSTITUTE(SUBSTITUTE(SUBSTITUTE(SUBSTITUTE(BB30,CHAR(34)," "),"  "," "),"  "," "),"  "," "),"  "," "),"  "," "))&amp;" ","")</f>
        <v xml:space="preserve">  </v>
      </c>
      <c r="BD30" s="493" t="str" cm="1">
        <f t="array" ref="BD30">IF(21=21,IF(AW30="","",SUMPRODUCT(--ISNUMBER(SEARCH(" "&amp;DT11:DT110&amp;" ",BF30)))),"")</f>
        <v/>
      </c>
      <c r="BE30" s="493" t="str" cm="1">
        <f t="array" ref="BE30">IF(21=21,IF(AW30="","",SUMPRODUCT(--ISNUMBER(SEARCH(" "&amp;DT111:DT160&amp;" ",BF30)))),"")</f>
        <v/>
      </c>
      <c r="BF30" s="493" t="str">
        <f>IF(AW30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30,"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30" s="493" t="str" cm="1">
        <f t="array" ref="BG30">IF(AW30="","",SUMPRODUCT(--ISNUMBER(SEARCH(" "&amp;DT193:DT214&amp;" ",BF30)))+--ISNUMBER(SEARCH(" "&amp;DT2463&amp;" ",BF30)))</f>
        <v/>
      </c>
      <c r="BH30" s="493" t="str" cm="1">
        <f t="array" ref="BH30">IF(21=21,IF(AW30="","",IF(SUM(BD30:BE30)+SUMPRODUCT(--ISNUMBER(SEARCH(" "&amp;DT2427:DT2429&amp;" ",BF30)))&gt;0,"X",IF(BG30&gt;0,"?",""))),"")</f>
        <v/>
      </c>
      <c r="BI30" s="493" t="str" cm="1">
        <f t="array" ref="BI30">IF(21=21,IF(AW30="","",SUMPRODUCT(--ISNUMBER(SEARCH(" "&amp;DT215:DT314&amp;" ",BC30)))),"")</f>
        <v/>
      </c>
      <c r="BJ30" s="493" t="str" cm="1">
        <f t="array" ref="BJ30">IF(21=21,IF(AW30="","",SUMPRODUCT(--ISNUMBER(SEARCH(" "&amp;DT315:DT349&amp;" ",BC30)))),"")</f>
        <v/>
      </c>
      <c r="BK30" s="493" t="str">
        <f>IF(21=21,IF(AW30="","",IF((SUM(BI30:BJ30))-(0)&gt;0,"X",IF((0)-(0)&gt;0,"?",""))),"")</f>
        <v/>
      </c>
      <c r="BL30" s="493" t="str" cm="1">
        <f t="array" ref="BL30">IF(21=21,IF(AW30="","",SUMPRODUCT(--ISNUMBER(SEARCH(" "&amp;DT350:DT407&amp;" ",BC30)))),"")</f>
        <v/>
      </c>
      <c r="BM30" s="493" t="str" cm="1">
        <f t="array" ref="BM30">IF(21=21,IF(AW30="","",SUMPRODUCT(--ISNUMBER(SEARCH(" "&amp;DT408:DT435&amp;" ",BN30)))+SUMPRODUCT(--ISNUMBER(SEARCH(" "&amp;DT2449:DT2462&amp;" ",BN30)))),"")</f>
        <v/>
      </c>
      <c r="BN30" s="493" t="str">
        <f>IF(21=21,IF(AW30="","",SUBSTITUTE(SUBSTITUTE(SUBSTITUTE(SUBSTITUTE(SUBSTITUTE(SUBSTITUTE(SUBSTITUTE(SUBSTITUTE(SUBSTITUTE(SUBSTITUTE(SUBSTITUTE(SUBSTITUTE(SUBSTITUTE(SUBSTITUTE(BC30," "&amp;DT2464&amp;" "," ")," "&amp;DT442&amp;" "," ")," "&amp;DT440&amp;" "," ")," "&amp;DT2447&amp;" "," ")," "&amp;DT2448&amp;" "," ")," "&amp;DT437&amp;" "," ")," "&amp;DT441&amp;" "," ")," "&amp;DT443&amp;" "," ")," "&amp;DT438&amp;" "," ")," "&amp;DT436&amp;" "," ")," "&amp;DT1376&amp;" "," ")," "&amp;DT444&amp;" "," ")," "&amp;DT1375&amp;" "," ")," "&amp;DT439&amp;" "," ")),"")</f>
        <v/>
      </c>
      <c r="BO30" s="493" t="str">
        <f>IF(21=21,IF(AW30="","",IF(BL30&gt;0,"X",IF(BM30&gt;0,"?",""))),"")</f>
        <v/>
      </c>
      <c r="BP30" s="493" t="str" cm="1">
        <f t="array" ref="BP30">IF(21=21,IF(AW30="","",SUMPRODUCT(--ISNUMBER(SEARCH(" "&amp;DT445:DT544&amp;" ",BZ30)))),"")</f>
        <v/>
      </c>
      <c r="BQ30" s="493" t="str" cm="1">
        <f t="array" ref="BQ30">IF(21=21,IF(AW30="","",SUMPRODUCT(--ISNUMBER(SEARCH(" "&amp;DT545:DT644&amp;" ",BZ30)))),"")</f>
        <v/>
      </c>
      <c r="BR30" s="493" t="str" cm="1">
        <f t="array" ref="BR30">IF(21=21,IF(AW30="","",SUMPRODUCT(--ISNUMBER(SEARCH(" "&amp;DT645:DT744&amp;" ",BZ30)))),"")</f>
        <v/>
      </c>
      <c r="BS30" s="493" t="str" cm="1">
        <f t="array" ref="BS30">IF(21=21,IF(AW30="","",SUMPRODUCT(--ISNUMBER(SEARCH(" "&amp;DT745:DT844&amp;" ",BZ30)))),"")</f>
        <v/>
      </c>
      <c r="BT30" s="493" t="str" cm="1">
        <f t="array" ref="BT30">IF(21=21,IF(AW30="","",SUMPRODUCT(--ISNUMBER(SEARCH(" "&amp;DT845:DT944&amp;" ",BZ30)))),"")</f>
        <v/>
      </c>
      <c r="BU30" s="493" t="str" cm="1">
        <f t="array" ref="BU30">IF(21=21,IF(AW30="","",SUMPRODUCT(--ISNUMBER(SEARCH(" "&amp;DT945:DT1044&amp;" ",BZ30)))),"")</f>
        <v/>
      </c>
      <c r="BV30" s="493" t="str" cm="1">
        <f t="array" ref="BV30">IF(21=21,IF(AW30="","",SUMPRODUCT(--ISNUMBER(SEARCH(" "&amp;DT1045:DT1144&amp;" ",BZ30)))),"")</f>
        <v/>
      </c>
      <c r="BW30" s="493" t="str" cm="1">
        <f t="array" ref="BW30">IF(21=21,IF(AW30="","",SUMPRODUCT(--ISNUMBER(SEARCH(" "&amp;DT1145:DT1244&amp;" ",BZ30)))),"")</f>
        <v/>
      </c>
      <c r="BX30" s="493" t="str" cm="1">
        <f t="array" ref="BX30">IF(21=21,IF(AW30="","",SUMPRODUCT(--ISNUMBER(SEARCH(" "&amp;DT1245:DT1344&amp;" ",BZ30)))),"")</f>
        <v/>
      </c>
      <c r="BY30" s="493" t="str" cm="1">
        <f t="array" ref="BY30">IF(21=21,IF(AW30="","",SUMPRODUCT(--ISNUMBER(SEARCH(" "&amp;DT1345:DT1372&amp;" ",BZ30)))),"")</f>
        <v/>
      </c>
      <c r="BZ30" s="493" t="str">
        <f>IF(21=21,IF(AW30="","",SUBSTITUTE(SUBSTITUTE(SUBSTITUTE(SUBSTITUTE(SUBSTITUTE(SUBSTITUTE(SUBSTITUTE(SUBSTITUTE(SUBSTITUTE(BC30," "&amp;DT1374&amp;" "," ")," "&amp;DT1373&amp;" "," ")," "&amp;DT1379&amp;" "," ")," "&amp;DT1380&amp;" "," ")," "&amp;DT1376&amp;" "," ")," "&amp;DT1378&amp;" "," ")," "&amp;DT1375&amp;" "," ")," "&amp;DT1377&amp;" "," ")," "&amp;DT1381&amp;" "," ")),"")</f>
        <v/>
      </c>
      <c r="CA30" s="493" t="str" cm="1">
        <f t="array" ref="CA30">IF(21=21,IF(AW30="","",SUMPRODUCT(--ISNUMBER(SEARCH(" "&amp;DT1382:DT1392&amp;" ",BZ30)))),"")</f>
        <v/>
      </c>
      <c r="CB30" s="493" t="str" cm="1">
        <f t="array" ref="CB30">IF(21=21,IF(AW30="","",IF(SUM(BP30:BY30)+SUMPRODUCT(--ISNUMBER(SEARCH(" "&amp;DT2430:DT2431&amp;" ",BZ30)))&gt;0,"X",IF(CA30&gt;0,"?",""))),"")</f>
        <v/>
      </c>
      <c r="CC30" s="493" t="str" cm="1">
        <f t="array" ref="CC30">IF(21=21,IF(AW30="","",SUMPRODUCT(--ISNUMBER(SEARCH(" "&amp;DT1393:DT1413&amp;" ",BC30)))),"")</f>
        <v/>
      </c>
      <c r="CD30" s="493" t="str">
        <f>IF(21=21,IF(AW30="","",IF((CC30)-(0)&gt;0,"X",IF((0)-(0)&gt;0,"?",""))),"")</f>
        <v/>
      </c>
      <c r="CE30" s="493" t="str" cm="1">
        <f t="array" ref="CE30">IF(21=21,IF(AW30="","",SUMPRODUCT(--ISNUMBER(SEARCH(" "&amp;DT1414:DT1451&amp;" ",CF30)))),"")</f>
        <v/>
      </c>
      <c r="CF30" s="493" t="str">
        <f>IF(21=21,IF(AW30="","",SUBSTITUTE(SUBSTITUTE(BC30," "&amp;DT1452&amp;" "," ")," "&amp;DT1453&amp;" "," ")),"")</f>
        <v/>
      </c>
      <c r="CG30" s="493" t="str" cm="1">
        <f t="array" ref="CG30">IF(21=21,IF(AW30="","",SUMPRODUCT(--ISNUMBER(SEARCH(" "&amp;DT1454:DT1464&amp;" ",CF30)))),"")</f>
        <v/>
      </c>
      <c r="CH30" s="493" t="str">
        <f>IF(21=21,IF(AW30="","",IF(CE30&gt;0,"X",IF(CG30&gt;0,"?",""))),"")</f>
        <v/>
      </c>
      <c r="CI30" s="493" t="str" cm="1">
        <f t="array" ref="CI30">IF(21=21,IF(AW30="","",SUMPRODUCT(--ISNUMBER(SEARCH(" "&amp;DT1465:DT1564&amp;" ",CL30)))),"")</f>
        <v/>
      </c>
      <c r="CJ30" s="493" t="str" cm="1">
        <f t="array" ref="CJ30">IF(21=21,IF(AW30="","",SUMPRODUCT(--ISNUMBER(SEARCH(" "&amp;DT1565:DT1664&amp;" ",CL30)))),"")</f>
        <v/>
      </c>
      <c r="CK30" s="493" t="str" cm="1">
        <f t="array" ref="CK30">IF(21=21,IF(AW30="","",SUMPRODUCT(--ISNUMBER(SEARCH(" "&amp;DT1665:DT1748&amp;" ",CL30)))),"")</f>
        <v/>
      </c>
      <c r="CL30" s="493" t="str">
        <f>IF(21=21,IF(AW30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30,"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30" s="493" t="str" cm="1">
        <f t="array" ref="CM30">IF(21=21,IF(AW30="","",SUMPRODUCT(--ISNUMBER(SEARCH(" "&amp;DT1799:DT1878&amp;" ",CN30)))+SUMPRODUCT(--ISNUMBER(SEARCH(" "&amp;DT2449:DT2462&amp;" ",CN30)))),"")</f>
        <v/>
      </c>
      <c r="CN30" s="493" t="str">
        <f>IF(21=21,IF(AW30="","",SUBSTITUTE(SUBSTITUTE(SUBSTITUTE(SUBSTITUTE(SUBSTITUTE(SUBSTITUTE(SUBSTITUTE(SUBSTITUTE(SUBSTITUTE(SUBSTITUTE(SUBSTITUTE(SUBSTITUTE(SUBSTITUTE(CL30," "&amp;DT1885&amp;" "," ")," "&amp;DT1883&amp;" "," ")," "&amp;DT2447&amp;" "," ")," "&amp;DT2448&amp;" "," ")," "&amp;DT1880&amp;" "," ")," "&amp;DT1884&amp;" "," ")," "&amp;DT1886&amp;" "," ")," "&amp;DT1881&amp;" "," ")," "&amp;DT1879&amp;" "," ")," "&amp;DT1376&amp;" "," ")," "&amp;DT1887&amp;" "," ")," "&amp;DT1375&amp;" "," ")," "&amp;DT1882&amp;" "," ")),"")</f>
        <v/>
      </c>
      <c r="CO30" s="493" t="str" cm="1">
        <f t="array" ref="CO30">IF(21=21,IF(AW30="","",IF(SUM(CI30:CK30)+SUMPRODUCT(--ISNUMBER(SEARCH(" "&amp;DT2432:DT2433&amp;" ",CL30)))&gt;0,"X",IF(CM30&gt;0,"?",""))),"")</f>
        <v/>
      </c>
      <c r="CP30" s="493" t="str" cm="1">
        <f t="array" ref="CP30">IF(21=21,IF(AW30="","",SUMPRODUCT(--ISNUMBER(SEARCH(" "&amp;DT1888:DT1945&amp;" ",CQ30)))),"")</f>
        <v/>
      </c>
      <c r="CQ30" s="493" t="str">
        <f>IF(21=21,IF(AW30="","",SUBSTITUTE(SUBSTITUTE(SUBSTITUTE(SUBSTITUTE(SUBSTITUTE(SUBSTITUTE(SUBSTITUTE(SUBSTITUTE(SUBSTITUTE(SUBSTITUTE(SUBSTITUTE(SUBSTITUTE(SUBSTITUTE(SUBSTITUTE(SUBSTITUTE(SUBSTITUTE(SUBSTITUTE(SUBSTITUTE(SUBSTITUTE(SUBSTITUTE(SUBSTITUTE(SUBSTITUTE(SUBSTITUTE(BC30,"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30" s="493" t="str" cm="1">
        <f t="array" ref="CR30">IF(21=21,IF(AW30="","",SUMPRODUCT(--ISNUMBER(SEARCH(" "&amp;DT1969:DT1985&amp;" ",CQ30)))),"")</f>
        <v/>
      </c>
      <c r="CS30" s="493" t="str">
        <f>IF(21=21,IF(AW30="","",IF(CP30&gt;0,"X",IF(CR30&gt;0,"?",""))),"")</f>
        <v/>
      </c>
      <c r="CT30" s="493" t="str" cm="1">
        <f t="array" ref="CT30">IF(21=21,IF(AW30="","",SUMPRODUCT(--ISNUMBER(SEARCH(" "&amp;DT1986:DT1999&amp;" ",BC30)))),"")</f>
        <v/>
      </c>
      <c r="CU30" s="493" t="str" cm="1">
        <f t="array" ref="CU30">IF(21=21,IF(AW30="","",SUMPRODUCT(--ISNUMBER(SEARCH(" "&amp;DT2000:DT2014&amp;" ",BC30)))),"")</f>
        <v/>
      </c>
      <c r="CV30" s="493" t="str">
        <f>IF(21=21,IF(AW30="","",IF((CT30)-(0)&gt;0,"X",IF((CU30)-(0)&gt;0,"?",""))),"")</f>
        <v/>
      </c>
      <c r="CW30" s="493" t="str" cm="1">
        <f t="array" ref="CW30">IF(21=21,IF(AW30="","",SUMPRODUCT(--ISNUMBER(SEARCH(" "&amp;DT2015:DT2032&amp;" ",BC30)))),"")</f>
        <v/>
      </c>
      <c r="CX30" s="493" t="str" cm="1">
        <f t="array" ref="CX30">IF(21=21,IF(AW30="","",SUMPRODUCT(--ISNUMBER(SEARCH(" "&amp;DT2033:DT2047&amp;" ",BC30)))),"")</f>
        <v/>
      </c>
      <c r="CY30" s="493" t="str">
        <f>IF(21=21,IF(AW30="","",IF((CW30)-(0)&gt;0,"X",IF((CX30)-(0)&gt;0,"?",""))),"")</f>
        <v/>
      </c>
      <c r="CZ30" s="493" t="str" cm="1">
        <f t="array" ref="CZ30">IF(21=21,IF(AW30="","",SUMPRODUCT(--ISNUMBER(SEARCH(" "&amp;DT2048:DT2066&amp;" ",BC30)))),"")</f>
        <v/>
      </c>
      <c r="DA30" s="493" t="str" cm="1">
        <f t="array" ref="DA30">IF(21=21,IF(AW30="","",SUMPRODUCT(--ISNUMBER(SEARCH(" "&amp;DT2067:DT2081&amp;" ",BC30)))),"")</f>
        <v/>
      </c>
      <c r="DB30" s="493" t="str">
        <f>IF(21=21,IF(AW30="","",IF((CZ30)-(0)&gt;0,"X",IF((DA30)-(0)&gt;0,"?",""))),"")</f>
        <v/>
      </c>
      <c r="DC30" s="493" t="str" cm="1">
        <f t="array" ref="DC30">IF(21=21,IF(AW30="","",SUMPRODUCT(--ISNUMBER(SEARCH(" "&amp;DT2082:DT2102&amp;" ",BC30)))),"")</f>
        <v/>
      </c>
      <c r="DD30" s="493" t="str" cm="1">
        <f t="array" ref="DD30">IF(21=21,IF(AW30="","",SUMPRODUCT(--ISNUMBER(SEARCH(" "&amp;DT2103:DT2142&amp;" ",SUBSTITUTE(SUBSTITUTE(BC30," "&amp;DT1376&amp;" "," ")," "&amp;DT1375&amp;" "," "))))+--ISNUMBER(SEARCH("poiré",AX30))),"")</f>
        <v/>
      </c>
      <c r="DE30" s="493" t="str">
        <f>IF(21=21,IF(AW30="","",IF(OR(DC30&gt;0,ISNUMBER(SEARCH(" vinaigre de vin ",BC30)),ISNUMBER(SEARCH(" vinaigre au vin ",BC30))),"X",IF(DD30&gt;0,"?",""))),"")</f>
        <v/>
      </c>
      <c r="DF30" s="493" t="str" cm="1">
        <f t="array" ref="DF30">IF(21=21,IF(AW30="","",SUMPRODUCT(--ISNUMBER(SEARCH(" "&amp;DT2143:DT2155&amp;" ",BC30)))),"")</f>
        <v/>
      </c>
      <c r="DG30" s="493" t="str" cm="1">
        <f t="array" ref="DG30">IF(21=21,IF(AW30="","",SUMPRODUCT(--ISNUMBER(SEARCH(" "&amp;DT2156:DT2161&amp;" ",BC30)))),"")</f>
        <v/>
      </c>
      <c r="DH30" s="493" t="str">
        <f>IF(21=21,IF(AW30="","",IF((DF30)-(0)&gt;0,"X",IF((DG30)-(0)&gt;0,"?",""))),"")</f>
        <v/>
      </c>
      <c r="DI30" s="493" t="str" cm="1">
        <f t="array" ref="DI30">IF(21=21,IF(AW30="","",SUMPRODUCT(--ISNUMBER(SEARCH(" "&amp;DT2162:DT2261&amp;" ",DL30)))),"")</f>
        <v/>
      </c>
      <c r="DJ30" s="493" t="str" cm="1">
        <f t="array" ref="DJ30">IF(21=21,IF(AW30="","",SUMPRODUCT(--ISNUMBER(SEARCH(" "&amp;DT2262:DT2361&amp;" ",DL30)))),"")</f>
        <v/>
      </c>
      <c r="DK30" s="493" t="str" cm="1">
        <f t="array" ref="DK30">IF(21=21,IF(AW30="","",SUMPRODUCT(--ISNUMBER(SEARCH(" "&amp;DT2362:DT2404&amp;" ",DL30)))),"")</f>
        <v/>
      </c>
      <c r="DL30" s="493" t="str">
        <f>IF(21=21,IF(AW30="","",SUBSTITUTE(SUBSTITUTE(SUBSTITUTE(SUBSTITUTE(SUBSTITUTE(SUBSTITUTE(SUBSTITUTE(SUBSTITUTE(SUBSTITUTE(SUBSTITUTE(SUBSTITUTE(SUBSTITUTE(SUBSTITUTE(SUBSTITUTE(SUBSTITUTE(SUBSTITUTE(BC30," "&amp;DT2410&amp;" "," ")," "&amp;DT2409&amp;" "," ")," "&amp;DT2408&amp;" "," ")," "&amp;DT2415&amp;" "," ")," "&amp;DT2407&amp;" "," ")," "&amp;DT2419&amp;" "," ")," "&amp;DT2406&amp;" "," ")," "&amp;DT2411&amp;" "," ")," "&amp;DT2414&amp;" "," ")," "&amp;DT2405&amp;" "," ")," "&amp;DT2413&amp;" "," ")," "&amp;DT2420&amp;" "," ")," "&amp;DT2417&amp;" "," ")," "&amp;DT2412&amp;" "," ")," "&amp;DT2416&amp;" "," ")," "&amp;DT2418&amp;" "," ")),"")</f>
        <v/>
      </c>
      <c r="DM30" s="493" t="str" cm="1">
        <f t="array" ref="DM30">IF(21=21,IF(AW30="","",SUMPRODUCT(--ISNUMBER(SEARCH(" "&amp;DT2421:DT2425&amp;" ",DL30)))),"")</f>
        <v/>
      </c>
      <c r="DN30" s="493" t="str">
        <f>IF(21=21,IF(AW30="","",IF(SUM(DI30:DK30)&gt;0,"X",IF(DM30&gt;0,"?",""))),"")</f>
        <v/>
      </c>
      <c r="DO30" s="494"/>
      <c r="DP30" s="496" t="s">
        <v>1182</v>
      </c>
      <c r="DQ30" s="496" t="s">
        <v>1083</v>
      </c>
      <c r="DR30" s="496" t="s">
        <v>689</v>
      </c>
      <c r="DS30" s="496" t="s">
        <v>888</v>
      </c>
      <c r="DT30" s="496" t="s">
        <v>888</v>
      </c>
      <c r="DU30" s="496" t="s">
        <v>1085</v>
      </c>
      <c r="DV30" s="496" t="s">
        <v>1086</v>
      </c>
      <c r="DW30" s="496" t="s">
        <v>1087</v>
      </c>
      <c r="DX30" s="497" t="s">
        <v>1088</v>
      </c>
      <c r="DZ30" s="543">
        <v>1</v>
      </c>
      <c r="EB30" s="493"/>
      <c r="EC30" s="493"/>
    </row>
    <row r="31" spans="1:133" ht="21" customHeight="1">
      <c r="E31" s="716" t="s">
        <v>737</v>
      </c>
      <c r="F31" s="724" t="str">
        <f>F12</f>
        <v>M MACÉDOINE DE LÉGUMES AU COULIS DE TOMATE | HORS D'ŒUVRE texture modifiée-cuidité-MACEDOINE| Auteur &gt; Annette et Jean Pierre DOMERGUES - 45000 ORLÉANS 1981</v>
      </c>
      <c r="G31" s="725">
        <f>G12</f>
        <v>10</v>
      </c>
      <c r="H31" s="724" t="str">
        <f>H12</f>
        <v>couverts</v>
      </c>
      <c r="I31" s="726" t="str">
        <f>I12</f>
        <v>Recette mère ►  Textures modifiées</v>
      </c>
      <c r="J31" s="851" t="s">
        <v>808</v>
      </c>
      <c r="K31" s="851" t="s">
        <v>809</v>
      </c>
      <c r="L31" s="840" t="s">
        <v>795</v>
      </c>
      <c r="M31" s="851" t="s">
        <v>810</v>
      </c>
      <c r="N31" s="851" t="s">
        <v>811</v>
      </c>
      <c r="O31" s="851" t="s">
        <v>812</v>
      </c>
      <c r="P31" s="840" t="s">
        <v>795</v>
      </c>
      <c r="Q31" s="852" t="s">
        <v>813</v>
      </c>
      <c r="R31" s="853" t="s">
        <v>814</v>
      </c>
      <c r="S31" s="853" t="s">
        <v>815</v>
      </c>
      <c r="T31" s="844" t="s">
        <v>816</v>
      </c>
      <c r="U31" s="844" t="s">
        <v>807</v>
      </c>
      <c r="V31" s="844" t="s">
        <v>817</v>
      </c>
      <c r="W31" s="854" t="s">
        <v>818</v>
      </c>
      <c r="X31" s="855" t="s">
        <v>819</v>
      </c>
      <c r="Y31" s="856" t="s">
        <v>820</v>
      </c>
      <c r="AA31" s="1361" t="s">
        <v>688</v>
      </c>
      <c r="AC31" s="509">
        <v>16</v>
      </c>
      <c r="AD31" s="808"/>
      <c r="AE31" s="679" t="str">
        <f t="shared" si="3"/>
        <v/>
      </c>
      <c r="AF31" s="512" t="str">
        <f>IF(22=22,IF(AD31="","",IF(AG31="X",""&amp;"Céréales contenant du gluten","")&amp;IF(AH31="X",IF(COUNTIF(AG31:AG31,"X")&gt;0,", ","")&amp;"Crustacés","")&amp;IF(AI31="X",IF(COUNTIF(AG31:AH31,"X")&gt;0,", ","")&amp;"Œufs","")&amp;IF(AJ31="X",IF(COUNTIF(AG31:AI31,"X")&gt;0,", ","")&amp;"Poissons","")&amp;IF(AK31="X",IF(COUNTIF(AG31:AJ31,"X")&gt;0,", ","")&amp;"Arachides","")&amp;IF(AL31="X",IF(COUNTIF(AG31:AK31,"X")&gt;0,", ","")&amp;"Soja","")&amp;IF(AM31="X",IF(COUNTIF(AG31:AL31,"X")&gt;0,", ","")&amp;"Lait","")&amp;IF(AN31="X",IF(COUNTIF(AG31:AM31,"X")&gt;0,", ","")&amp;"Fruits à coque","")&amp;IF(AO31="X",IF(COUNTIF(AG31:AN31,"X")&gt;0,", ","")&amp;"Céleri","")&amp;IF(AP31="X",IF(COUNTIF(AG31:AO31,"X")&gt;0,", ","")&amp;"Moutarde","")&amp;IF(AQ31="X",IF(COUNTIF(AG31:AP31,"X")&gt;0,", ","")&amp;"Sésame","")&amp;IF(AR31="X",IF(COUNTIF(AG31:AQ31,"X")&gt;0,", ","")&amp;"Sulfites","")&amp;IF(AS31="X",IF(COUNTIF(AG31:AR31,"X")&gt;0,", ","")&amp;"Lupin","")&amp;IF(AT31="X",IF(COUNTIF(AG31:AS31,"X")&gt;0,", ","")&amp;"Mollusques","")),"")</f>
        <v/>
      </c>
      <c r="AG31" s="513" t="str">
        <f>IF(22=22,IF(AD31="","",BH31),"")</f>
        <v/>
      </c>
      <c r="AH31" s="513" t="str">
        <f>IF(22=22,IF(AD31="","",BK31),"")</f>
        <v/>
      </c>
      <c r="AI31" s="513" t="str">
        <f>IF(22=22,IF(AD31="","",BO31),"")</f>
        <v/>
      </c>
      <c r="AJ31" s="513" t="str">
        <f>IF(22=22,IF(AD31="","",IF(ISNUMBER(SEARCH(" colin ",BC31)),"X",CB31)),"")</f>
        <v/>
      </c>
      <c r="AK31" s="513" t="str">
        <f>IF(22=22,IF(AD31="","",CD31),"")</f>
        <v/>
      </c>
      <c r="AL31" s="513" t="str">
        <f>IF(22=22,IF(AD31="","",CH31),"")</f>
        <v/>
      </c>
      <c r="AM31" s="513" t="str">
        <f>IF(22=22,IF(AD31="","",CO31),"")</f>
        <v/>
      </c>
      <c r="AN31" s="513" t="str">
        <f>IF(22=22,IF(AD31="","",CS31),"")</f>
        <v/>
      </c>
      <c r="AO31" s="513" t="str">
        <f>IF(22=22,IF(AD31="","",CV31),"")</f>
        <v/>
      </c>
      <c r="AP31" s="513" t="str">
        <f>IF(22=22,IF(AD31="","",CY31),"")</f>
        <v/>
      </c>
      <c r="AQ31" s="513" t="str">
        <f>IF(22=22,IF(AD31="","",DB31),"")</f>
        <v/>
      </c>
      <c r="AR31" s="513" t="str">
        <f>IF(22=22,IF(AD31="","",DE31),"")</f>
        <v/>
      </c>
      <c r="AS31" s="513" t="str">
        <f>IF(22=22,IF(AD31="","",DH31),"")</f>
        <v/>
      </c>
      <c r="AT31" s="513" t="str">
        <f>IF(22=22,IF(AD31="","",DN31),"")</f>
        <v/>
      </c>
      <c r="AU31" s="514" t="str">
        <f>IF(22=22,IF(AD31="","",IF(AG31="?",""&amp;"Céréales contenant du gluten","")&amp;IF(AH31="?",IF(COUNTIF(AG31:AG31,"~?")&gt;0,", ","")&amp;"Crustacés","")&amp;IF(AI31="?",IF(COUNTIF(AG31:AH31,"~?")&gt;0,", ","")&amp;"Œufs","")&amp;IF(AJ31="?",IF(COUNTIF(AG31:AI31,"~?")&gt;0,", ","")&amp;"Poissons","")&amp;IF(AK31="?",IF(COUNTIF(AG31:AJ31,"~?")&gt;0,", ","")&amp;"Arachides","")&amp;IF(AL31="?",IF(COUNTIF(AG31:AK31,"~?")&gt;0,", ","")&amp;"Soja","")&amp;IF(AM31="?",IF(COUNTIF(AG31:AL31,"~?")&gt;0,", ","")&amp;"Lait","")&amp;IF(AN31="?",IF(COUNTIF(AG31:AM31,"~?")&gt;0,", ","")&amp;"Fruits à coque","")&amp;IF(AO31="?",IF(COUNTIF(AG31:AN31,"~?")&gt;0,", ","")&amp;"Céleri","")&amp;IF(AP31="?",IF(COUNTIF(AG31:AO31,"~?")&gt;0,", ","")&amp;"Moutarde","")&amp;IF(AQ31="?",IF(COUNTIF(AG31:AP31,"~?")&gt;0,", ","")&amp;"Sésame","")&amp;IF(AR31="?",IF(COUNTIF(AG31:AQ31,"~?")&gt;0,", ","")&amp;"Sulfites","")&amp;IF(AS31="?",IF(COUNTIF(AG31:AR31,"~?")&gt;0,", ","")&amp;"Lupin","")&amp;IF(AT31="?",IF(COUNTIF(AG31:AS31,"~?")&gt;0,", ","")&amp;"Mollusques","")),"")</f>
        <v/>
      </c>
      <c r="AW31" s="493" t="str">
        <f>IF(22=22,IF(AD31="","",AD31),"")</f>
        <v/>
      </c>
      <c r="AX31" s="493" t="str">
        <f>IF(22=22,LOWER(CLEAN(SUBSTITUTE(SUBSTITUTE(SUBSTITUTE(SUBSTITUTE(AW31,CHAR(160)," ")," "," "),CHAR(10)," "),CHAR(13)," "))),"")</f>
        <v/>
      </c>
      <c r="AY31" s="493" t="str">
        <f>IF(22=22,SUBSTITUTE(SUBSTITUTE(SUBSTITUTE(SUBSTITUTE(SUBSTITUTE(SUBSTITUTE(SUBSTITUTE(SUBSTITUTE(SUBSTITUTE(SUBSTITUTE(SUBSTITUTE(SUBSTITUTE(AX31,"œ","oe"),"æ","ae"),"à","a"),"á","a"),"â","a"),"ä","a"),"ã","a"),"ç","c"),"è","e"),"é","e"),"ê","e"),"ë","e"),"")</f>
        <v/>
      </c>
      <c r="AZ31" s="493" t="str">
        <f>IF(22=22,SUBSTITUTE(SUBSTITUTE(SUBSTITUTE(SUBSTITUTE(SUBSTITUTE(SUBSTITUTE(SUBSTITUTE(SUBSTITUTE(SUBSTITUTE(SUBSTITUTE(SUBSTITUTE(SUBSTITUTE(SUBSTITUTE(SUBSTITUTE(SUBSTITUTE(SUBSTITUTE(AY31,"ì","i"),"í","i"),"î","i"),"ï","i"),"ñ","n"),"ò","o"),"ó","o"),"ô","o"),"ö","o"),"õ","o"),"ù","u"),"ú","u"),"û","u"),"ü","u"),"ý","y"),"ÿ","y"),"")</f>
        <v/>
      </c>
      <c r="BA31" s="493" t="str">
        <f>IF(22=22,SUBSTITUTE(SUBSTITUTE(SUBSTITUTE(SUBSTITUTE(SUBSTITUTE(SUBSTITUTE(SUBSTITUTE(SUBSTITUTE(SUBSTITUTE(SUBSTITUTE(SUBSTITUTE(SUBSTITUTE(SUBSTITUTE(SUBSTITUTE(AZ31,"’"," "),"`"," "),"–"," "),"—"," "),"-"," "),"'"," "),"/"," "),"_"," "),","," "),"."," "),"("," "),")"," "),";"," "),":"," "),"")</f>
        <v/>
      </c>
      <c r="BB31" s="493" t="str">
        <f>IF(22=22,SUBSTITUTE(SUBSTITUTE(SUBSTITUTE(SUBSTITUTE(SUBSTITUTE(SUBSTITUTE(SUBSTITUTE(SUBSTITUTE(SUBSTITUTE(SUBSTITUTE(SUBSTITUTE(SUBSTITUTE(SUBSTITUTE(SUBSTITUTE(SUBSTITUTE(BA31,"!"," "),"?"," "),"+"," "),"*"," "),"&amp;"," "),"["," "),"]"," "),"{"," "),"}"," "),"%"," "),"="," "),"\"," "),"|"," "),"&lt;"," "),"&gt;"," "),"")</f>
        <v/>
      </c>
      <c r="BC31" s="493" t="str">
        <f>IF(22=22," "&amp;TRIM(SUBSTITUTE(SUBSTITUTE(SUBSTITUTE(SUBSTITUTE(SUBSTITUTE(SUBSTITUTE(BB31,CHAR(34)," "),"  "," "),"  "," "),"  "," "),"  "," "),"  "," "))&amp;" ","")</f>
        <v xml:space="preserve">  </v>
      </c>
      <c r="BD31" s="493" t="str" cm="1">
        <f t="array" ref="BD31">IF(22=22,IF(AW31="","",SUMPRODUCT(--ISNUMBER(SEARCH(" "&amp;DT11:DT110&amp;" ",BF31)))),"")</f>
        <v/>
      </c>
      <c r="BE31" s="493" t="str" cm="1">
        <f t="array" ref="BE31">IF(22=22,IF(AW31="","",SUMPRODUCT(--ISNUMBER(SEARCH(" "&amp;DT111:DT160&amp;" ",BF31)))),"")</f>
        <v/>
      </c>
      <c r="BF31" s="493" t="str">
        <f>IF(AW31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31,"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31" s="493" t="str" cm="1">
        <f t="array" ref="BG31">IF(AW31="","",SUMPRODUCT(--ISNUMBER(SEARCH(" "&amp;DT193:DT214&amp;" ",BF31)))+--ISNUMBER(SEARCH(" "&amp;DT2463&amp;" ",BF31)))</f>
        <v/>
      </c>
      <c r="BH31" s="493" t="str" cm="1">
        <f t="array" ref="BH31">IF(22=22,IF(AW31="","",IF(SUM(BD31:BE31)+SUMPRODUCT(--ISNUMBER(SEARCH(" "&amp;DT2427:DT2429&amp;" ",BF31)))&gt;0,"X",IF(BG31&gt;0,"?",""))),"")</f>
        <v/>
      </c>
      <c r="BI31" s="493" t="str" cm="1">
        <f t="array" ref="BI31">IF(22=22,IF(AW31="","",SUMPRODUCT(--ISNUMBER(SEARCH(" "&amp;DT215:DT314&amp;" ",BC31)))),"")</f>
        <v/>
      </c>
      <c r="BJ31" s="493" t="str" cm="1">
        <f t="array" ref="BJ31">IF(22=22,IF(AW31="","",SUMPRODUCT(--ISNUMBER(SEARCH(" "&amp;DT315:DT349&amp;" ",BC31)))),"")</f>
        <v/>
      </c>
      <c r="BK31" s="493" t="str">
        <f>IF(22=22,IF(AW31="","",IF((SUM(BI31:BJ31))-(0)&gt;0,"X",IF((0)-(0)&gt;0,"?",""))),"")</f>
        <v/>
      </c>
      <c r="BL31" s="493" t="str" cm="1">
        <f t="array" ref="BL31">IF(22=22,IF(AW31="","",SUMPRODUCT(--ISNUMBER(SEARCH(" "&amp;DT350:DT407&amp;" ",BC31)))),"")</f>
        <v/>
      </c>
      <c r="BM31" s="493" t="str" cm="1">
        <f t="array" ref="BM31">IF(22=22,IF(AW31="","",SUMPRODUCT(--ISNUMBER(SEARCH(" "&amp;DT408:DT435&amp;" ",BN31)))+SUMPRODUCT(--ISNUMBER(SEARCH(" "&amp;DT2449:DT2462&amp;" ",BN31)))),"")</f>
        <v/>
      </c>
      <c r="BN31" s="493" t="str">
        <f>IF(22=22,IF(AW31="","",SUBSTITUTE(SUBSTITUTE(SUBSTITUTE(SUBSTITUTE(SUBSTITUTE(SUBSTITUTE(SUBSTITUTE(SUBSTITUTE(SUBSTITUTE(SUBSTITUTE(SUBSTITUTE(SUBSTITUTE(SUBSTITUTE(SUBSTITUTE(BC31," "&amp;DT2464&amp;" "," ")," "&amp;DT442&amp;" "," ")," "&amp;DT440&amp;" "," ")," "&amp;DT2447&amp;" "," ")," "&amp;DT2448&amp;" "," ")," "&amp;DT437&amp;" "," ")," "&amp;DT441&amp;" "," ")," "&amp;DT443&amp;" "," ")," "&amp;DT438&amp;" "," ")," "&amp;DT436&amp;" "," ")," "&amp;DT1376&amp;" "," ")," "&amp;DT444&amp;" "," ")," "&amp;DT1375&amp;" "," ")," "&amp;DT439&amp;" "," ")),"")</f>
        <v/>
      </c>
      <c r="BO31" s="493" t="str">
        <f>IF(22=22,IF(AW31="","",IF(BL31&gt;0,"X",IF(BM31&gt;0,"?",""))),"")</f>
        <v/>
      </c>
      <c r="BP31" s="493" t="str" cm="1">
        <f t="array" ref="BP31">IF(22=22,IF(AW31="","",SUMPRODUCT(--ISNUMBER(SEARCH(" "&amp;DT445:DT544&amp;" ",BZ31)))),"")</f>
        <v/>
      </c>
      <c r="BQ31" s="493" t="str" cm="1">
        <f t="array" ref="BQ31">IF(22=22,IF(AW31="","",SUMPRODUCT(--ISNUMBER(SEARCH(" "&amp;DT545:DT644&amp;" ",BZ31)))),"")</f>
        <v/>
      </c>
      <c r="BR31" s="493" t="str" cm="1">
        <f t="array" ref="BR31">IF(22=22,IF(AW31="","",SUMPRODUCT(--ISNUMBER(SEARCH(" "&amp;DT645:DT744&amp;" ",BZ31)))),"")</f>
        <v/>
      </c>
      <c r="BS31" s="493" t="str" cm="1">
        <f t="array" ref="BS31">IF(22=22,IF(AW31="","",SUMPRODUCT(--ISNUMBER(SEARCH(" "&amp;DT745:DT844&amp;" ",BZ31)))),"")</f>
        <v/>
      </c>
      <c r="BT31" s="493" t="str" cm="1">
        <f t="array" ref="BT31">IF(22=22,IF(AW31="","",SUMPRODUCT(--ISNUMBER(SEARCH(" "&amp;DT845:DT944&amp;" ",BZ31)))),"")</f>
        <v/>
      </c>
      <c r="BU31" s="493" t="str" cm="1">
        <f t="array" ref="BU31">IF(22=22,IF(AW31="","",SUMPRODUCT(--ISNUMBER(SEARCH(" "&amp;DT945:DT1044&amp;" ",BZ31)))),"")</f>
        <v/>
      </c>
      <c r="BV31" s="493" t="str" cm="1">
        <f t="array" ref="BV31">IF(22=22,IF(AW31="","",SUMPRODUCT(--ISNUMBER(SEARCH(" "&amp;DT1045:DT1144&amp;" ",BZ31)))),"")</f>
        <v/>
      </c>
      <c r="BW31" s="493" t="str" cm="1">
        <f t="array" ref="BW31">IF(22=22,IF(AW31="","",SUMPRODUCT(--ISNUMBER(SEARCH(" "&amp;DT1145:DT1244&amp;" ",BZ31)))),"")</f>
        <v/>
      </c>
      <c r="BX31" s="493" t="str" cm="1">
        <f t="array" ref="BX31">IF(22=22,IF(AW31="","",SUMPRODUCT(--ISNUMBER(SEARCH(" "&amp;DT1245:DT1344&amp;" ",BZ31)))),"")</f>
        <v/>
      </c>
      <c r="BY31" s="493" t="str" cm="1">
        <f t="array" ref="BY31">IF(22=22,IF(AW31="","",SUMPRODUCT(--ISNUMBER(SEARCH(" "&amp;DT1345:DT1372&amp;" ",BZ31)))),"")</f>
        <v/>
      </c>
      <c r="BZ31" s="493" t="str">
        <f>IF(22=22,IF(AW31="","",SUBSTITUTE(SUBSTITUTE(SUBSTITUTE(SUBSTITUTE(SUBSTITUTE(SUBSTITUTE(SUBSTITUTE(SUBSTITUTE(SUBSTITUTE(BC31," "&amp;DT1374&amp;" "," ")," "&amp;DT1373&amp;" "," ")," "&amp;DT1379&amp;" "," ")," "&amp;DT1380&amp;" "," ")," "&amp;DT1376&amp;" "," ")," "&amp;DT1378&amp;" "," ")," "&amp;DT1375&amp;" "," ")," "&amp;DT1377&amp;" "," ")," "&amp;DT1381&amp;" "," ")),"")</f>
        <v/>
      </c>
      <c r="CA31" s="493" t="str" cm="1">
        <f t="array" ref="CA31">IF(22=22,IF(AW31="","",SUMPRODUCT(--ISNUMBER(SEARCH(" "&amp;DT1382:DT1392&amp;" ",BZ31)))),"")</f>
        <v/>
      </c>
      <c r="CB31" s="493" t="str" cm="1">
        <f t="array" ref="CB31">IF(22=22,IF(AW31="","",IF(SUM(BP31:BY31)+SUMPRODUCT(--ISNUMBER(SEARCH(" "&amp;DT2430:DT2431&amp;" ",BZ31)))&gt;0,"X",IF(CA31&gt;0,"?",""))),"")</f>
        <v/>
      </c>
      <c r="CC31" s="493" t="str" cm="1">
        <f t="array" ref="CC31">IF(22=22,IF(AW31="","",SUMPRODUCT(--ISNUMBER(SEARCH(" "&amp;DT1393:DT1413&amp;" ",BC31)))),"")</f>
        <v/>
      </c>
      <c r="CD31" s="493" t="str">
        <f>IF(22=22,IF(AW31="","",IF((CC31)-(0)&gt;0,"X",IF((0)-(0)&gt;0,"?",""))),"")</f>
        <v/>
      </c>
      <c r="CE31" s="493" t="str" cm="1">
        <f t="array" ref="CE31">IF(22=22,IF(AW31="","",SUMPRODUCT(--ISNUMBER(SEARCH(" "&amp;DT1414:DT1451&amp;" ",CF31)))),"")</f>
        <v/>
      </c>
      <c r="CF31" s="493" t="str">
        <f>IF(22=22,IF(AW31="","",SUBSTITUTE(SUBSTITUTE(BC31," "&amp;DT1452&amp;" "," ")," "&amp;DT1453&amp;" "," ")),"")</f>
        <v/>
      </c>
      <c r="CG31" s="493" t="str" cm="1">
        <f t="array" ref="CG31">IF(22=22,IF(AW31="","",SUMPRODUCT(--ISNUMBER(SEARCH(" "&amp;DT1454:DT1464&amp;" ",CF31)))),"")</f>
        <v/>
      </c>
      <c r="CH31" s="493" t="str">
        <f>IF(22=22,IF(AW31="","",IF(CE31&gt;0,"X",IF(CG31&gt;0,"?",""))),"")</f>
        <v/>
      </c>
      <c r="CI31" s="493" t="str" cm="1">
        <f t="array" ref="CI31">IF(22=22,IF(AW31="","",SUMPRODUCT(--ISNUMBER(SEARCH(" "&amp;DT1465:DT1564&amp;" ",CL31)))),"")</f>
        <v/>
      </c>
      <c r="CJ31" s="493" t="str" cm="1">
        <f t="array" ref="CJ31">IF(22=22,IF(AW31="","",SUMPRODUCT(--ISNUMBER(SEARCH(" "&amp;DT1565:DT1664&amp;" ",CL31)))),"")</f>
        <v/>
      </c>
      <c r="CK31" s="493" t="str" cm="1">
        <f t="array" ref="CK31">IF(22=22,IF(AW31="","",SUMPRODUCT(--ISNUMBER(SEARCH(" "&amp;DT1665:DT1748&amp;" ",CL31)))),"")</f>
        <v/>
      </c>
      <c r="CL31" s="493" t="str">
        <f>IF(22=22,IF(AW31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31,"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31" s="493" t="str" cm="1">
        <f t="array" ref="CM31">IF(22=22,IF(AW31="","",SUMPRODUCT(--ISNUMBER(SEARCH(" "&amp;DT1799:DT1878&amp;" ",CN31)))+SUMPRODUCT(--ISNUMBER(SEARCH(" "&amp;DT2449:DT2462&amp;" ",CN31)))),"")</f>
        <v/>
      </c>
      <c r="CN31" s="493" t="str">
        <f>IF(22=22,IF(AW31="","",SUBSTITUTE(SUBSTITUTE(SUBSTITUTE(SUBSTITUTE(SUBSTITUTE(SUBSTITUTE(SUBSTITUTE(SUBSTITUTE(SUBSTITUTE(SUBSTITUTE(SUBSTITUTE(SUBSTITUTE(SUBSTITUTE(CL31," "&amp;DT1885&amp;" "," ")," "&amp;DT1883&amp;" "," ")," "&amp;DT2447&amp;" "," ")," "&amp;DT2448&amp;" "," ")," "&amp;DT1880&amp;" "," ")," "&amp;DT1884&amp;" "," ")," "&amp;DT1886&amp;" "," ")," "&amp;DT1881&amp;" "," ")," "&amp;DT1879&amp;" "," ")," "&amp;DT1376&amp;" "," ")," "&amp;DT1887&amp;" "," ")," "&amp;DT1375&amp;" "," ")," "&amp;DT1882&amp;" "," ")),"")</f>
        <v/>
      </c>
      <c r="CO31" s="493" t="str" cm="1">
        <f t="array" ref="CO31">IF(22=22,IF(AW31="","",IF(SUM(CI31:CK31)+SUMPRODUCT(--ISNUMBER(SEARCH(" "&amp;DT2432:DT2433&amp;" ",CL31)))&gt;0,"X",IF(CM31&gt;0,"?",""))),"")</f>
        <v/>
      </c>
      <c r="CP31" s="493" t="str" cm="1">
        <f t="array" ref="CP31">IF(22=22,IF(AW31="","",SUMPRODUCT(--ISNUMBER(SEARCH(" "&amp;DT1888:DT1945&amp;" ",CQ31)))),"")</f>
        <v/>
      </c>
      <c r="CQ31" s="493" t="str">
        <f>IF(22=22,IF(AW31="","",SUBSTITUTE(SUBSTITUTE(SUBSTITUTE(SUBSTITUTE(SUBSTITUTE(SUBSTITUTE(SUBSTITUTE(SUBSTITUTE(SUBSTITUTE(SUBSTITUTE(SUBSTITUTE(SUBSTITUTE(SUBSTITUTE(SUBSTITUTE(SUBSTITUTE(SUBSTITUTE(SUBSTITUTE(SUBSTITUTE(SUBSTITUTE(SUBSTITUTE(SUBSTITUTE(SUBSTITUTE(SUBSTITUTE(BC31,"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31" s="493" t="str" cm="1">
        <f t="array" ref="CR31">IF(22=22,IF(AW31="","",SUMPRODUCT(--ISNUMBER(SEARCH(" "&amp;DT1969:DT1985&amp;" ",CQ31)))),"")</f>
        <v/>
      </c>
      <c r="CS31" s="493" t="str">
        <f>IF(22=22,IF(AW31="","",IF(CP31&gt;0,"X",IF(CR31&gt;0,"?",""))),"")</f>
        <v/>
      </c>
      <c r="CT31" s="493" t="str" cm="1">
        <f t="array" ref="CT31">IF(22=22,IF(AW31="","",SUMPRODUCT(--ISNUMBER(SEARCH(" "&amp;DT1986:DT1999&amp;" ",BC31)))),"")</f>
        <v/>
      </c>
      <c r="CU31" s="493" t="str" cm="1">
        <f t="array" ref="CU31">IF(22=22,IF(AW31="","",SUMPRODUCT(--ISNUMBER(SEARCH(" "&amp;DT2000:DT2014&amp;" ",BC31)))),"")</f>
        <v/>
      </c>
      <c r="CV31" s="493" t="str">
        <f>IF(22=22,IF(AW31="","",IF((CT31)-(0)&gt;0,"X",IF((CU31)-(0)&gt;0,"?",""))),"")</f>
        <v/>
      </c>
      <c r="CW31" s="493" t="str" cm="1">
        <f t="array" ref="CW31">IF(22=22,IF(AW31="","",SUMPRODUCT(--ISNUMBER(SEARCH(" "&amp;DT2015:DT2032&amp;" ",BC31)))),"")</f>
        <v/>
      </c>
      <c r="CX31" s="493" t="str" cm="1">
        <f t="array" ref="CX31">IF(22=22,IF(AW31="","",SUMPRODUCT(--ISNUMBER(SEARCH(" "&amp;DT2033:DT2047&amp;" ",BC31)))),"")</f>
        <v/>
      </c>
      <c r="CY31" s="493" t="str">
        <f>IF(22=22,IF(AW31="","",IF((CW31)-(0)&gt;0,"X",IF((CX31)-(0)&gt;0,"?",""))),"")</f>
        <v/>
      </c>
      <c r="CZ31" s="493" t="str" cm="1">
        <f t="array" ref="CZ31">IF(22=22,IF(AW31="","",SUMPRODUCT(--ISNUMBER(SEARCH(" "&amp;DT2048:DT2066&amp;" ",BC31)))),"")</f>
        <v/>
      </c>
      <c r="DA31" s="493" t="str" cm="1">
        <f t="array" ref="DA31">IF(22=22,IF(AW31="","",SUMPRODUCT(--ISNUMBER(SEARCH(" "&amp;DT2067:DT2081&amp;" ",BC31)))),"")</f>
        <v/>
      </c>
      <c r="DB31" s="493" t="str">
        <f>IF(22=22,IF(AW31="","",IF((CZ31)-(0)&gt;0,"X",IF((DA31)-(0)&gt;0,"?",""))),"")</f>
        <v/>
      </c>
      <c r="DC31" s="493" t="str" cm="1">
        <f t="array" ref="DC31">IF(22=22,IF(AW31="","",SUMPRODUCT(--ISNUMBER(SEARCH(" "&amp;DT2082:DT2102&amp;" ",BC31)))),"")</f>
        <v/>
      </c>
      <c r="DD31" s="493" t="str" cm="1">
        <f t="array" ref="DD31">IF(22=22,IF(AW31="","",SUMPRODUCT(--ISNUMBER(SEARCH(" "&amp;DT2103:DT2142&amp;" ",SUBSTITUTE(SUBSTITUTE(BC31," "&amp;DT1376&amp;" "," ")," "&amp;DT1375&amp;" "," "))))+--ISNUMBER(SEARCH("poiré",AX31))),"")</f>
        <v/>
      </c>
      <c r="DE31" s="493" t="str">
        <f>IF(22=22,IF(AW31="","",IF(OR(DC31&gt;0,ISNUMBER(SEARCH(" vinaigre de vin ",BC31)),ISNUMBER(SEARCH(" vinaigre au vin ",BC31))),"X",IF(DD31&gt;0,"?",""))),"")</f>
        <v/>
      </c>
      <c r="DF31" s="493" t="str" cm="1">
        <f t="array" ref="DF31">IF(22=22,IF(AW31="","",SUMPRODUCT(--ISNUMBER(SEARCH(" "&amp;DT2143:DT2155&amp;" ",BC31)))),"")</f>
        <v/>
      </c>
      <c r="DG31" s="493" t="str" cm="1">
        <f t="array" ref="DG31">IF(22=22,IF(AW31="","",SUMPRODUCT(--ISNUMBER(SEARCH(" "&amp;DT2156:DT2161&amp;" ",BC31)))),"")</f>
        <v/>
      </c>
      <c r="DH31" s="493" t="str">
        <f>IF(22=22,IF(AW31="","",IF((DF31)-(0)&gt;0,"X",IF((DG31)-(0)&gt;0,"?",""))),"")</f>
        <v/>
      </c>
      <c r="DI31" s="493" t="str" cm="1">
        <f t="array" ref="DI31">IF(22=22,IF(AW31="","",SUMPRODUCT(--ISNUMBER(SEARCH(" "&amp;DT2162:DT2261&amp;" ",DL31)))),"")</f>
        <v/>
      </c>
      <c r="DJ31" s="493" t="str" cm="1">
        <f t="array" ref="DJ31">IF(22=22,IF(AW31="","",SUMPRODUCT(--ISNUMBER(SEARCH(" "&amp;DT2262:DT2361&amp;" ",DL31)))),"")</f>
        <v/>
      </c>
      <c r="DK31" s="493" t="str" cm="1">
        <f t="array" ref="DK31">IF(22=22,IF(AW31="","",SUMPRODUCT(--ISNUMBER(SEARCH(" "&amp;DT2362:DT2404&amp;" ",DL31)))),"")</f>
        <v/>
      </c>
      <c r="DL31" s="493" t="str">
        <f>IF(22=22,IF(AW31="","",SUBSTITUTE(SUBSTITUTE(SUBSTITUTE(SUBSTITUTE(SUBSTITUTE(SUBSTITUTE(SUBSTITUTE(SUBSTITUTE(SUBSTITUTE(SUBSTITUTE(SUBSTITUTE(SUBSTITUTE(SUBSTITUTE(SUBSTITUTE(SUBSTITUTE(SUBSTITUTE(BC31," "&amp;DT2410&amp;" "," ")," "&amp;DT2409&amp;" "," ")," "&amp;DT2408&amp;" "," ")," "&amp;DT2415&amp;" "," ")," "&amp;DT2407&amp;" "," ")," "&amp;DT2419&amp;" "," ")," "&amp;DT2406&amp;" "," ")," "&amp;DT2411&amp;" "," ")," "&amp;DT2414&amp;" "," ")," "&amp;DT2405&amp;" "," ")," "&amp;DT2413&amp;" "," ")," "&amp;DT2420&amp;" "," ")," "&amp;DT2417&amp;" "," ")," "&amp;DT2412&amp;" "," ")," "&amp;DT2416&amp;" "," ")," "&amp;DT2418&amp;" "," ")),"")</f>
        <v/>
      </c>
      <c r="DM31" s="493" t="str" cm="1">
        <f t="array" ref="DM31">IF(22=22,IF(AW31="","",SUMPRODUCT(--ISNUMBER(SEARCH(" "&amp;DT2421:DT2425&amp;" ",DL31)))),"")</f>
        <v/>
      </c>
      <c r="DN31" s="493" t="str">
        <f>IF(22=22,IF(AW31="","",IF(SUM(DI31:DK31)&gt;0,"X",IF(DM31&gt;0,"?",""))),"")</f>
        <v/>
      </c>
      <c r="DO31" s="494"/>
      <c r="DP31" s="496" t="s">
        <v>1183</v>
      </c>
      <c r="DQ31" s="496" t="s">
        <v>1083</v>
      </c>
      <c r="DR31" s="496" t="s">
        <v>689</v>
      </c>
      <c r="DS31" s="496" t="s">
        <v>889</v>
      </c>
      <c r="DT31" s="496" t="s">
        <v>889</v>
      </c>
      <c r="DU31" s="496" t="s">
        <v>1085</v>
      </c>
      <c r="DV31" s="496" t="s">
        <v>1086</v>
      </c>
      <c r="DW31" s="496" t="s">
        <v>1087</v>
      </c>
      <c r="DX31" s="497" t="s">
        <v>1088</v>
      </c>
      <c r="DZ31" s="543">
        <v>1</v>
      </c>
      <c r="EB31" s="493"/>
      <c r="EC31" s="493"/>
    </row>
    <row r="32" spans="1:133" ht="21" customHeight="1">
      <c r="E32" s="716" t="s">
        <v>737</v>
      </c>
      <c r="F32" s="724" t="str">
        <f>F12</f>
        <v>M MACÉDOINE DE LÉGUMES AU COULIS DE TOMATE | HORS D'ŒUVRE texture modifiée-cuidité-MACEDOINE| Auteur &gt; Annette et Jean Pierre DOMERGUES - 45000 ORLÉANS 1981</v>
      </c>
      <c r="G32" s="725">
        <f>G12</f>
        <v>10</v>
      </c>
      <c r="H32" s="724" t="str">
        <f>H12</f>
        <v>couverts</v>
      </c>
      <c r="I32" s="726" t="str">
        <f>I12</f>
        <v>Recette mère ►  Textures modifiées</v>
      </c>
      <c r="J32" s="857">
        <v>2.835E-2</v>
      </c>
      <c r="K32" s="858">
        <v>0.13</v>
      </c>
      <c r="L32" s="859">
        <v>0</v>
      </c>
      <c r="M32" s="858">
        <v>0.2</v>
      </c>
      <c r="N32" s="858">
        <v>0.23</v>
      </c>
      <c r="O32" s="858">
        <v>0.22500000000000001</v>
      </c>
      <c r="P32" s="859">
        <v>0</v>
      </c>
      <c r="Q32" s="860">
        <v>0.35</v>
      </c>
      <c r="R32" s="860">
        <v>5.0000000000000001E-3</v>
      </c>
      <c r="S32" s="860">
        <v>5.0000000000000001E-3</v>
      </c>
      <c r="T32" s="860">
        <v>1.4999999999999999E-2</v>
      </c>
      <c r="U32" s="860">
        <v>0.1</v>
      </c>
      <c r="V32" s="860">
        <v>0.22500000000000001</v>
      </c>
      <c r="W32" s="860">
        <v>4.0000000000000001E-3</v>
      </c>
      <c r="X32" s="850">
        <v>1E-3</v>
      </c>
      <c r="Y32" s="850">
        <v>4.4999999999999998E-2</v>
      </c>
      <c r="AA32" s="1362"/>
      <c r="AC32" s="509">
        <v>17</v>
      </c>
      <c r="AD32" s="808"/>
      <c r="AE32" s="679" t="str">
        <f t="shared" si="3"/>
        <v/>
      </c>
      <c r="AF32" s="512" t="str">
        <f>IF(23=23,IF(AD32="","",IF(AG32="X",""&amp;"Céréales contenant du gluten","")&amp;IF(AH32="X",IF(COUNTIF(AG32:AG32,"X")&gt;0,", ","")&amp;"Crustacés","")&amp;IF(AI32="X",IF(COUNTIF(AG32:AH32,"X")&gt;0,", ","")&amp;"Œufs","")&amp;IF(AJ32="X",IF(COUNTIF(AG32:AI32,"X")&gt;0,", ","")&amp;"Poissons","")&amp;IF(AK32="X",IF(COUNTIF(AG32:AJ32,"X")&gt;0,", ","")&amp;"Arachides","")&amp;IF(AL32="X",IF(COUNTIF(AG32:AK32,"X")&gt;0,", ","")&amp;"Soja","")&amp;IF(AM32="X",IF(COUNTIF(AG32:AL32,"X")&gt;0,", ","")&amp;"Lait","")&amp;IF(AN32="X",IF(COUNTIF(AG32:AM32,"X")&gt;0,", ","")&amp;"Fruits à coque","")&amp;IF(AO32="X",IF(COUNTIF(AG32:AN32,"X")&gt;0,", ","")&amp;"Céleri","")&amp;IF(AP32="X",IF(COUNTIF(AG32:AO32,"X")&gt;0,", ","")&amp;"Moutarde","")&amp;IF(AQ32="X",IF(COUNTIF(AG32:AP32,"X")&gt;0,", ","")&amp;"Sésame","")&amp;IF(AR32="X",IF(COUNTIF(AG32:AQ32,"X")&gt;0,", ","")&amp;"Sulfites","")&amp;IF(AS32="X",IF(COUNTIF(AG32:AR32,"X")&gt;0,", ","")&amp;"Lupin","")&amp;IF(AT32="X",IF(COUNTIF(AG32:AS32,"X")&gt;0,", ","")&amp;"Mollusques","")),"")</f>
        <v/>
      </c>
      <c r="AG32" s="513" t="str">
        <f>IF(23=23,IF(AD32="","",BH32),"")</f>
        <v/>
      </c>
      <c r="AH32" s="513" t="str">
        <f>IF(23=23,IF(AD32="","",BK32),"")</f>
        <v/>
      </c>
      <c r="AI32" s="513" t="str">
        <f>IF(23=23,IF(AD32="","",BO32),"")</f>
        <v/>
      </c>
      <c r="AJ32" s="513" t="str">
        <f>IF(23=23,IF(AD32="","",IF(ISNUMBER(SEARCH(" colin ",BC32)),"X",CB32)),"")</f>
        <v/>
      </c>
      <c r="AK32" s="513" t="str">
        <f>IF(23=23,IF(AD32="","",CD32),"")</f>
        <v/>
      </c>
      <c r="AL32" s="513" t="str">
        <f>IF(23=23,IF(AD32="","",CH32),"")</f>
        <v/>
      </c>
      <c r="AM32" s="513" t="str">
        <f>IF(23=23,IF(AD32="","",CO32),"")</f>
        <v/>
      </c>
      <c r="AN32" s="513" t="str">
        <f>IF(23=23,IF(AD32="","",CS32),"")</f>
        <v/>
      </c>
      <c r="AO32" s="513" t="str">
        <f>IF(23=23,IF(AD32="","",CV32),"")</f>
        <v/>
      </c>
      <c r="AP32" s="513" t="str">
        <f>IF(23=23,IF(AD32="","",CY32),"")</f>
        <v/>
      </c>
      <c r="AQ32" s="513" t="str">
        <f>IF(23=23,IF(AD32="","",DB32),"")</f>
        <v/>
      </c>
      <c r="AR32" s="513" t="str">
        <f>IF(23=23,IF(AD32="","",DE32),"")</f>
        <v/>
      </c>
      <c r="AS32" s="513" t="str">
        <f>IF(23=23,IF(AD32="","",DH32),"")</f>
        <v/>
      </c>
      <c r="AT32" s="513" t="str">
        <f>IF(23=23,IF(AD32="","",DN32),"")</f>
        <v/>
      </c>
      <c r="AU32" s="514" t="str">
        <f>IF(23=23,IF(AD32="","",IF(AG32="?",""&amp;"Céréales contenant du gluten","")&amp;IF(AH32="?",IF(COUNTIF(AG32:AG32,"~?")&gt;0,", ","")&amp;"Crustacés","")&amp;IF(AI32="?",IF(COUNTIF(AG32:AH32,"~?")&gt;0,", ","")&amp;"Œufs","")&amp;IF(AJ32="?",IF(COUNTIF(AG32:AI32,"~?")&gt;0,", ","")&amp;"Poissons","")&amp;IF(AK32="?",IF(COUNTIF(AG32:AJ32,"~?")&gt;0,", ","")&amp;"Arachides","")&amp;IF(AL32="?",IF(COUNTIF(AG32:AK32,"~?")&gt;0,", ","")&amp;"Soja","")&amp;IF(AM32="?",IF(COUNTIF(AG32:AL32,"~?")&gt;0,", ","")&amp;"Lait","")&amp;IF(AN32="?",IF(COUNTIF(AG32:AM32,"~?")&gt;0,", ","")&amp;"Fruits à coque","")&amp;IF(AO32="?",IF(COUNTIF(AG32:AN32,"~?")&gt;0,", ","")&amp;"Céleri","")&amp;IF(AP32="?",IF(COUNTIF(AG32:AO32,"~?")&gt;0,", ","")&amp;"Moutarde","")&amp;IF(AQ32="?",IF(COUNTIF(AG32:AP32,"~?")&gt;0,", ","")&amp;"Sésame","")&amp;IF(AR32="?",IF(COUNTIF(AG32:AQ32,"~?")&gt;0,", ","")&amp;"Sulfites","")&amp;IF(AS32="?",IF(COUNTIF(AG32:AR32,"~?")&gt;0,", ","")&amp;"Lupin","")&amp;IF(AT32="?",IF(COUNTIF(AG32:AS32,"~?")&gt;0,", ","")&amp;"Mollusques","")),"")</f>
        <v/>
      </c>
      <c r="AW32" s="493" t="str">
        <f>IF(23=23,IF(AD32="","",AD32),"")</f>
        <v/>
      </c>
      <c r="AX32" s="493" t="str">
        <f>IF(23=23,LOWER(CLEAN(SUBSTITUTE(SUBSTITUTE(SUBSTITUTE(SUBSTITUTE(AW32,CHAR(160)," ")," "," "),CHAR(10)," "),CHAR(13)," "))),"")</f>
        <v/>
      </c>
      <c r="AY32" s="493" t="str">
        <f>IF(23=23,SUBSTITUTE(SUBSTITUTE(SUBSTITUTE(SUBSTITUTE(SUBSTITUTE(SUBSTITUTE(SUBSTITUTE(SUBSTITUTE(SUBSTITUTE(SUBSTITUTE(SUBSTITUTE(SUBSTITUTE(AX32,"œ","oe"),"æ","ae"),"à","a"),"á","a"),"â","a"),"ä","a"),"ã","a"),"ç","c"),"è","e"),"é","e"),"ê","e"),"ë","e"),"")</f>
        <v/>
      </c>
      <c r="AZ32" s="493" t="str">
        <f>IF(23=23,SUBSTITUTE(SUBSTITUTE(SUBSTITUTE(SUBSTITUTE(SUBSTITUTE(SUBSTITUTE(SUBSTITUTE(SUBSTITUTE(SUBSTITUTE(SUBSTITUTE(SUBSTITUTE(SUBSTITUTE(SUBSTITUTE(SUBSTITUTE(SUBSTITUTE(SUBSTITUTE(AY32,"ì","i"),"í","i"),"î","i"),"ï","i"),"ñ","n"),"ò","o"),"ó","o"),"ô","o"),"ö","o"),"õ","o"),"ù","u"),"ú","u"),"û","u"),"ü","u"),"ý","y"),"ÿ","y"),"")</f>
        <v/>
      </c>
      <c r="BA32" s="493" t="str">
        <f>IF(23=23,SUBSTITUTE(SUBSTITUTE(SUBSTITUTE(SUBSTITUTE(SUBSTITUTE(SUBSTITUTE(SUBSTITUTE(SUBSTITUTE(SUBSTITUTE(SUBSTITUTE(SUBSTITUTE(SUBSTITUTE(SUBSTITUTE(SUBSTITUTE(AZ32,"’"," "),"`"," "),"–"," "),"—"," "),"-"," "),"'"," "),"/"," "),"_"," "),","," "),"."," "),"("," "),")"," "),";"," "),":"," "),"")</f>
        <v/>
      </c>
      <c r="BB32" s="493" t="str">
        <f>IF(23=23,SUBSTITUTE(SUBSTITUTE(SUBSTITUTE(SUBSTITUTE(SUBSTITUTE(SUBSTITUTE(SUBSTITUTE(SUBSTITUTE(SUBSTITUTE(SUBSTITUTE(SUBSTITUTE(SUBSTITUTE(SUBSTITUTE(SUBSTITUTE(SUBSTITUTE(BA32,"!"," "),"?"," "),"+"," "),"*"," "),"&amp;"," "),"["," "),"]"," "),"{"," "),"}"," "),"%"," "),"="," "),"\"," "),"|"," "),"&lt;"," "),"&gt;"," "),"")</f>
        <v/>
      </c>
      <c r="BC32" s="493" t="str">
        <f>IF(23=23," "&amp;TRIM(SUBSTITUTE(SUBSTITUTE(SUBSTITUTE(SUBSTITUTE(SUBSTITUTE(SUBSTITUTE(BB32,CHAR(34)," "),"  "," "),"  "," "),"  "," "),"  "," "),"  "," "))&amp;" ","")</f>
        <v xml:space="preserve">  </v>
      </c>
      <c r="BD32" s="493" t="str" cm="1">
        <f t="array" ref="BD32">IF(23=23,IF(AW32="","",SUMPRODUCT(--ISNUMBER(SEARCH(" "&amp;DT11:DT110&amp;" ",BF32)))),"")</f>
        <v/>
      </c>
      <c r="BE32" s="493" t="str" cm="1">
        <f t="array" ref="BE32">IF(23=23,IF(AW32="","",SUMPRODUCT(--ISNUMBER(SEARCH(" "&amp;DT111:DT160&amp;" ",BF32)))),"")</f>
        <v/>
      </c>
      <c r="BF32" s="493" t="str">
        <f>IF(AW32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32,"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32" s="493" t="str" cm="1">
        <f t="array" ref="BG32">IF(AW32="","",SUMPRODUCT(--ISNUMBER(SEARCH(" "&amp;DT193:DT214&amp;" ",BF32)))+--ISNUMBER(SEARCH(" "&amp;DT2463&amp;" ",BF32)))</f>
        <v/>
      </c>
      <c r="BH32" s="493" t="str" cm="1">
        <f t="array" ref="BH32">IF(23=23,IF(AW32="","",IF(SUM(BD32:BE32)+SUMPRODUCT(--ISNUMBER(SEARCH(" "&amp;DT2427:DT2429&amp;" ",BF32)))&gt;0,"X",IF(BG32&gt;0,"?",""))),"")</f>
        <v/>
      </c>
      <c r="BI32" s="493" t="str" cm="1">
        <f t="array" ref="BI32">IF(23=23,IF(AW32="","",SUMPRODUCT(--ISNUMBER(SEARCH(" "&amp;DT215:DT314&amp;" ",BC32)))),"")</f>
        <v/>
      </c>
      <c r="BJ32" s="493" t="str" cm="1">
        <f t="array" ref="BJ32">IF(23=23,IF(AW32="","",SUMPRODUCT(--ISNUMBER(SEARCH(" "&amp;DT315:DT349&amp;" ",BC32)))),"")</f>
        <v/>
      </c>
      <c r="BK32" s="493" t="str">
        <f>IF(23=23,IF(AW32="","",IF((SUM(BI32:BJ32))-(0)&gt;0,"X",IF((0)-(0)&gt;0,"?",""))),"")</f>
        <v/>
      </c>
      <c r="BL32" s="493" t="str" cm="1">
        <f t="array" ref="BL32">IF(23=23,IF(AW32="","",SUMPRODUCT(--ISNUMBER(SEARCH(" "&amp;DT350:DT407&amp;" ",BC32)))),"")</f>
        <v/>
      </c>
      <c r="BM32" s="493" t="str" cm="1">
        <f t="array" ref="BM32">IF(23=23,IF(AW32="","",SUMPRODUCT(--ISNUMBER(SEARCH(" "&amp;DT408:DT435&amp;" ",BN32)))+SUMPRODUCT(--ISNUMBER(SEARCH(" "&amp;DT2449:DT2462&amp;" ",BN32)))),"")</f>
        <v/>
      </c>
      <c r="BN32" s="493" t="str">
        <f>IF(23=23,IF(AW32="","",SUBSTITUTE(SUBSTITUTE(SUBSTITUTE(SUBSTITUTE(SUBSTITUTE(SUBSTITUTE(SUBSTITUTE(SUBSTITUTE(SUBSTITUTE(SUBSTITUTE(SUBSTITUTE(SUBSTITUTE(SUBSTITUTE(SUBSTITUTE(BC32," "&amp;DT2464&amp;" "," ")," "&amp;DT442&amp;" "," ")," "&amp;DT440&amp;" "," ")," "&amp;DT2447&amp;" "," ")," "&amp;DT2448&amp;" "," ")," "&amp;DT437&amp;" "," ")," "&amp;DT441&amp;" "," ")," "&amp;DT443&amp;" "," ")," "&amp;DT438&amp;" "," ")," "&amp;DT436&amp;" "," ")," "&amp;DT1376&amp;" "," ")," "&amp;DT444&amp;" "," ")," "&amp;DT1375&amp;" "," ")," "&amp;DT439&amp;" "," ")),"")</f>
        <v/>
      </c>
      <c r="BO32" s="493" t="str">
        <f>IF(23=23,IF(AW32="","",IF(BL32&gt;0,"X",IF(BM32&gt;0,"?",""))),"")</f>
        <v/>
      </c>
      <c r="BP32" s="493" t="str" cm="1">
        <f t="array" ref="BP32">IF(23=23,IF(AW32="","",SUMPRODUCT(--ISNUMBER(SEARCH(" "&amp;DT445:DT544&amp;" ",BZ32)))),"")</f>
        <v/>
      </c>
      <c r="BQ32" s="493" t="str" cm="1">
        <f t="array" ref="BQ32">IF(23=23,IF(AW32="","",SUMPRODUCT(--ISNUMBER(SEARCH(" "&amp;DT545:DT644&amp;" ",BZ32)))),"")</f>
        <v/>
      </c>
      <c r="BR32" s="493" t="str" cm="1">
        <f t="array" ref="BR32">IF(23=23,IF(AW32="","",SUMPRODUCT(--ISNUMBER(SEARCH(" "&amp;DT645:DT744&amp;" ",BZ32)))),"")</f>
        <v/>
      </c>
      <c r="BS32" s="493" t="str" cm="1">
        <f t="array" ref="BS32">IF(23=23,IF(AW32="","",SUMPRODUCT(--ISNUMBER(SEARCH(" "&amp;DT745:DT844&amp;" ",BZ32)))),"")</f>
        <v/>
      </c>
      <c r="BT32" s="493" t="str" cm="1">
        <f t="array" ref="BT32">IF(23=23,IF(AW32="","",SUMPRODUCT(--ISNUMBER(SEARCH(" "&amp;DT845:DT944&amp;" ",BZ32)))),"")</f>
        <v/>
      </c>
      <c r="BU32" s="493" t="str" cm="1">
        <f t="array" ref="BU32">IF(23=23,IF(AW32="","",SUMPRODUCT(--ISNUMBER(SEARCH(" "&amp;DT945:DT1044&amp;" ",BZ32)))),"")</f>
        <v/>
      </c>
      <c r="BV32" s="493" t="str" cm="1">
        <f t="array" ref="BV32">IF(23=23,IF(AW32="","",SUMPRODUCT(--ISNUMBER(SEARCH(" "&amp;DT1045:DT1144&amp;" ",BZ32)))),"")</f>
        <v/>
      </c>
      <c r="BW32" s="493" t="str" cm="1">
        <f t="array" ref="BW32">IF(23=23,IF(AW32="","",SUMPRODUCT(--ISNUMBER(SEARCH(" "&amp;DT1145:DT1244&amp;" ",BZ32)))),"")</f>
        <v/>
      </c>
      <c r="BX32" s="493" t="str" cm="1">
        <f t="array" ref="BX32">IF(23=23,IF(AW32="","",SUMPRODUCT(--ISNUMBER(SEARCH(" "&amp;DT1245:DT1344&amp;" ",BZ32)))),"")</f>
        <v/>
      </c>
      <c r="BY32" s="493" t="str" cm="1">
        <f t="array" ref="BY32">IF(23=23,IF(AW32="","",SUMPRODUCT(--ISNUMBER(SEARCH(" "&amp;DT1345:DT1372&amp;" ",BZ32)))),"")</f>
        <v/>
      </c>
      <c r="BZ32" s="493" t="str">
        <f>IF(23=23,IF(AW32="","",SUBSTITUTE(SUBSTITUTE(SUBSTITUTE(SUBSTITUTE(SUBSTITUTE(SUBSTITUTE(SUBSTITUTE(SUBSTITUTE(SUBSTITUTE(BC32," "&amp;DT1374&amp;" "," ")," "&amp;DT1373&amp;" "," ")," "&amp;DT1379&amp;" "," ")," "&amp;DT1380&amp;" "," ")," "&amp;DT1376&amp;" "," ")," "&amp;DT1378&amp;" "," ")," "&amp;DT1375&amp;" "," ")," "&amp;DT1377&amp;" "," ")," "&amp;DT1381&amp;" "," ")),"")</f>
        <v/>
      </c>
      <c r="CA32" s="493" t="str" cm="1">
        <f t="array" ref="CA32">IF(23=23,IF(AW32="","",SUMPRODUCT(--ISNUMBER(SEARCH(" "&amp;DT1382:DT1392&amp;" ",BZ32)))),"")</f>
        <v/>
      </c>
      <c r="CB32" s="493" t="str" cm="1">
        <f t="array" ref="CB32">IF(23=23,IF(AW32="","",IF(SUM(BP32:BY32)+SUMPRODUCT(--ISNUMBER(SEARCH(" "&amp;DT2430:DT2431&amp;" ",BZ32)))&gt;0,"X",IF(CA32&gt;0,"?",""))),"")</f>
        <v/>
      </c>
      <c r="CC32" s="493" t="str" cm="1">
        <f t="array" ref="CC32">IF(23=23,IF(AW32="","",SUMPRODUCT(--ISNUMBER(SEARCH(" "&amp;DT1393:DT1413&amp;" ",BC32)))),"")</f>
        <v/>
      </c>
      <c r="CD32" s="493" t="str">
        <f>IF(23=23,IF(AW32="","",IF((CC32)-(0)&gt;0,"X",IF((0)-(0)&gt;0,"?",""))),"")</f>
        <v/>
      </c>
      <c r="CE32" s="493" t="str" cm="1">
        <f t="array" ref="CE32">IF(23=23,IF(AW32="","",SUMPRODUCT(--ISNUMBER(SEARCH(" "&amp;DT1414:DT1451&amp;" ",CF32)))),"")</f>
        <v/>
      </c>
      <c r="CF32" s="493" t="str">
        <f>IF(23=23,IF(AW32="","",SUBSTITUTE(SUBSTITUTE(BC32," "&amp;DT1452&amp;" "," ")," "&amp;DT1453&amp;" "," ")),"")</f>
        <v/>
      </c>
      <c r="CG32" s="493" t="str" cm="1">
        <f t="array" ref="CG32">IF(23=23,IF(AW32="","",SUMPRODUCT(--ISNUMBER(SEARCH(" "&amp;DT1454:DT1464&amp;" ",CF32)))),"")</f>
        <v/>
      </c>
      <c r="CH32" s="493" t="str">
        <f>IF(23=23,IF(AW32="","",IF(CE32&gt;0,"X",IF(CG32&gt;0,"?",""))),"")</f>
        <v/>
      </c>
      <c r="CI32" s="493" t="str" cm="1">
        <f t="array" ref="CI32">IF(23=23,IF(AW32="","",SUMPRODUCT(--ISNUMBER(SEARCH(" "&amp;DT1465:DT1564&amp;" ",CL32)))),"")</f>
        <v/>
      </c>
      <c r="CJ32" s="493" t="str" cm="1">
        <f t="array" ref="CJ32">IF(23=23,IF(AW32="","",SUMPRODUCT(--ISNUMBER(SEARCH(" "&amp;DT1565:DT1664&amp;" ",CL32)))),"")</f>
        <v/>
      </c>
      <c r="CK32" s="493" t="str" cm="1">
        <f t="array" ref="CK32">IF(23=23,IF(AW32="","",SUMPRODUCT(--ISNUMBER(SEARCH(" "&amp;DT1665:DT1748&amp;" ",CL32)))),"")</f>
        <v/>
      </c>
      <c r="CL32" s="493" t="str">
        <f>IF(23=23,IF(AW32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32,"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32" s="493" t="str" cm="1">
        <f t="array" ref="CM32">IF(23=23,IF(AW32="","",SUMPRODUCT(--ISNUMBER(SEARCH(" "&amp;DT1799:DT1878&amp;" ",CN32)))+SUMPRODUCT(--ISNUMBER(SEARCH(" "&amp;DT2449:DT2462&amp;" ",CN32)))),"")</f>
        <v/>
      </c>
      <c r="CN32" s="493" t="str">
        <f>IF(23=23,IF(AW32="","",SUBSTITUTE(SUBSTITUTE(SUBSTITUTE(SUBSTITUTE(SUBSTITUTE(SUBSTITUTE(SUBSTITUTE(SUBSTITUTE(SUBSTITUTE(SUBSTITUTE(SUBSTITUTE(SUBSTITUTE(SUBSTITUTE(CL32," "&amp;DT1885&amp;" "," ")," "&amp;DT1883&amp;" "," ")," "&amp;DT2447&amp;" "," ")," "&amp;DT2448&amp;" "," ")," "&amp;DT1880&amp;" "," ")," "&amp;DT1884&amp;" "," ")," "&amp;DT1886&amp;" "," ")," "&amp;DT1881&amp;" "," ")," "&amp;DT1879&amp;" "," ")," "&amp;DT1376&amp;" "," ")," "&amp;DT1887&amp;" "," ")," "&amp;DT1375&amp;" "," ")," "&amp;DT1882&amp;" "," ")),"")</f>
        <v/>
      </c>
      <c r="CO32" s="493" t="str" cm="1">
        <f t="array" ref="CO32">IF(23=23,IF(AW32="","",IF(SUM(CI32:CK32)+SUMPRODUCT(--ISNUMBER(SEARCH(" "&amp;DT2432:DT2433&amp;" ",CL32)))&gt;0,"X",IF(CM32&gt;0,"?",""))),"")</f>
        <v/>
      </c>
      <c r="CP32" s="493" t="str" cm="1">
        <f t="array" ref="CP32">IF(23=23,IF(AW32="","",SUMPRODUCT(--ISNUMBER(SEARCH(" "&amp;DT1888:DT1945&amp;" ",CQ32)))),"")</f>
        <v/>
      </c>
      <c r="CQ32" s="493" t="str">
        <f>IF(23=23,IF(AW32="","",SUBSTITUTE(SUBSTITUTE(SUBSTITUTE(SUBSTITUTE(SUBSTITUTE(SUBSTITUTE(SUBSTITUTE(SUBSTITUTE(SUBSTITUTE(SUBSTITUTE(SUBSTITUTE(SUBSTITUTE(SUBSTITUTE(SUBSTITUTE(SUBSTITUTE(SUBSTITUTE(SUBSTITUTE(SUBSTITUTE(SUBSTITUTE(SUBSTITUTE(SUBSTITUTE(SUBSTITUTE(SUBSTITUTE(BC32,"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32" s="493" t="str" cm="1">
        <f t="array" ref="CR32">IF(23=23,IF(AW32="","",SUMPRODUCT(--ISNUMBER(SEARCH(" "&amp;DT1969:DT1985&amp;" ",CQ32)))),"")</f>
        <v/>
      </c>
      <c r="CS32" s="493" t="str">
        <f>IF(23=23,IF(AW32="","",IF(CP32&gt;0,"X",IF(CR32&gt;0,"?",""))),"")</f>
        <v/>
      </c>
      <c r="CT32" s="493" t="str" cm="1">
        <f t="array" ref="CT32">IF(23=23,IF(AW32="","",SUMPRODUCT(--ISNUMBER(SEARCH(" "&amp;DT1986:DT1999&amp;" ",BC32)))),"")</f>
        <v/>
      </c>
      <c r="CU32" s="493" t="str" cm="1">
        <f t="array" ref="CU32">IF(23=23,IF(AW32="","",SUMPRODUCT(--ISNUMBER(SEARCH(" "&amp;DT2000:DT2014&amp;" ",BC32)))),"")</f>
        <v/>
      </c>
      <c r="CV32" s="493" t="str">
        <f>IF(23=23,IF(AW32="","",IF((CT32)-(0)&gt;0,"X",IF((CU32)-(0)&gt;0,"?",""))),"")</f>
        <v/>
      </c>
      <c r="CW32" s="493" t="str" cm="1">
        <f t="array" ref="CW32">IF(23=23,IF(AW32="","",SUMPRODUCT(--ISNUMBER(SEARCH(" "&amp;DT2015:DT2032&amp;" ",BC32)))),"")</f>
        <v/>
      </c>
      <c r="CX32" s="493" t="str" cm="1">
        <f t="array" ref="CX32">IF(23=23,IF(AW32="","",SUMPRODUCT(--ISNUMBER(SEARCH(" "&amp;DT2033:DT2047&amp;" ",BC32)))),"")</f>
        <v/>
      </c>
      <c r="CY32" s="493" t="str">
        <f>IF(23=23,IF(AW32="","",IF((CW32)-(0)&gt;0,"X",IF((CX32)-(0)&gt;0,"?",""))),"")</f>
        <v/>
      </c>
      <c r="CZ32" s="493" t="str" cm="1">
        <f t="array" ref="CZ32">IF(23=23,IF(AW32="","",SUMPRODUCT(--ISNUMBER(SEARCH(" "&amp;DT2048:DT2066&amp;" ",BC32)))),"")</f>
        <v/>
      </c>
      <c r="DA32" s="493" t="str" cm="1">
        <f t="array" ref="DA32">IF(23=23,IF(AW32="","",SUMPRODUCT(--ISNUMBER(SEARCH(" "&amp;DT2067:DT2081&amp;" ",BC32)))),"")</f>
        <v/>
      </c>
      <c r="DB32" s="493" t="str">
        <f>IF(23=23,IF(AW32="","",IF((CZ32)-(0)&gt;0,"X",IF((DA32)-(0)&gt;0,"?",""))),"")</f>
        <v/>
      </c>
      <c r="DC32" s="493" t="str" cm="1">
        <f t="array" ref="DC32">IF(23=23,IF(AW32="","",SUMPRODUCT(--ISNUMBER(SEARCH(" "&amp;DT2082:DT2102&amp;" ",BC32)))),"")</f>
        <v/>
      </c>
      <c r="DD32" s="493" t="str" cm="1">
        <f t="array" ref="DD32">IF(23=23,IF(AW32="","",SUMPRODUCT(--ISNUMBER(SEARCH(" "&amp;DT2103:DT2142&amp;" ",SUBSTITUTE(SUBSTITUTE(BC32," "&amp;DT1376&amp;" "," ")," "&amp;DT1375&amp;" "," "))))+--ISNUMBER(SEARCH("poiré",AX32))),"")</f>
        <v/>
      </c>
      <c r="DE32" s="493" t="str">
        <f>IF(23=23,IF(AW32="","",IF(OR(DC32&gt;0,ISNUMBER(SEARCH(" vinaigre de vin ",BC32)),ISNUMBER(SEARCH(" vinaigre au vin ",BC32))),"X",IF(DD32&gt;0,"?",""))),"")</f>
        <v/>
      </c>
      <c r="DF32" s="493" t="str" cm="1">
        <f t="array" ref="DF32">IF(23=23,IF(AW32="","",SUMPRODUCT(--ISNUMBER(SEARCH(" "&amp;DT2143:DT2155&amp;" ",BC32)))),"")</f>
        <v/>
      </c>
      <c r="DG32" s="493" t="str" cm="1">
        <f t="array" ref="DG32">IF(23=23,IF(AW32="","",SUMPRODUCT(--ISNUMBER(SEARCH(" "&amp;DT2156:DT2161&amp;" ",BC32)))),"")</f>
        <v/>
      </c>
      <c r="DH32" s="493" t="str">
        <f>IF(23=23,IF(AW32="","",IF((DF32)-(0)&gt;0,"X",IF((DG32)-(0)&gt;0,"?",""))),"")</f>
        <v/>
      </c>
      <c r="DI32" s="493" t="str" cm="1">
        <f t="array" ref="DI32">IF(23=23,IF(AW32="","",SUMPRODUCT(--ISNUMBER(SEARCH(" "&amp;DT2162:DT2261&amp;" ",DL32)))),"")</f>
        <v/>
      </c>
      <c r="DJ32" s="493" t="str" cm="1">
        <f t="array" ref="DJ32">IF(23=23,IF(AW32="","",SUMPRODUCT(--ISNUMBER(SEARCH(" "&amp;DT2262:DT2361&amp;" ",DL32)))),"")</f>
        <v/>
      </c>
      <c r="DK32" s="493" t="str" cm="1">
        <f t="array" ref="DK32">IF(23=23,IF(AW32="","",SUMPRODUCT(--ISNUMBER(SEARCH(" "&amp;DT2362:DT2404&amp;" ",DL32)))),"")</f>
        <v/>
      </c>
      <c r="DL32" s="493" t="str">
        <f>IF(23=23,IF(AW32="","",SUBSTITUTE(SUBSTITUTE(SUBSTITUTE(SUBSTITUTE(SUBSTITUTE(SUBSTITUTE(SUBSTITUTE(SUBSTITUTE(SUBSTITUTE(SUBSTITUTE(SUBSTITUTE(SUBSTITUTE(SUBSTITUTE(SUBSTITUTE(SUBSTITUTE(SUBSTITUTE(BC32," "&amp;DT2410&amp;" "," ")," "&amp;DT2409&amp;" "," ")," "&amp;DT2408&amp;" "," ")," "&amp;DT2415&amp;" "," ")," "&amp;DT2407&amp;" "," ")," "&amp;DT2419&amp;" "," ")," "&amp;DT2406&amp;" "," ")," "&amp;DT2411&amp;" "," ")," "&amp;DT2414&amp;" "," ")," "&amp;DT2405&amp;" "," ")," "&amp;DT2413&amp;" "," ")," "&amp;DT2420&amp;" "," ")," "&amp;DT2417&amp;" "," ")," "&amp;DT2412&amp;" "," ")," "&amp;DT2416&amp;" "," ")," "&amp;DT2418&amp;" "," ")),"")</f>
        <v/>
      </c>
      <c r="DM32" s="493" t="str" cm="1">
        <f t="array" ref="DM32">IF(23=23,IF(AW32="","",SUMPRODUCT(--ISNUMBER(SEARCH(" "&amp;DT2421:DT2425&amp;" ",DL32)))),"")</f>
        <v/>
      </c>
      <c r="DN32" s="493" t="str">
        <f>IF(23=23,IF(AW32="","",IF(SUM(DI32:DK32)&gt;0,"X",IF(DM32&gt;0,"?",""))),"")</f>
        <v/>
      </c>
      <c r="DO32" s="494"/>
      <c r="DP32" s="496" t="s">
        <v>1184</v>
      </c>
      <c r="DQ32" s="496" t="s">
        <v>1083</v>
      </c>
      <c r="DR32" s="496" t="s">
        <v>689</v>
      </c>
      <c r="DS32" s="496" t="s">
        <v>1185</v>
      </c>
      <c r="DT32" s="496" t="s">
        <v>1185</v>
      </c>
      <c r="DU32" s="496" t="s">
        <v>1085</v>
      </c>
      <c r="DV32" s="496" t="s">
        <v>1086</v>
      </c>
      <c r="DW32" s="496" t="s">
        <v>1087</v>
      </c>
      <c r="DX32" s="497" t="s">
        <v>1088</v>
      </c>
      <c r="DZ32" s="543">
        <v>1</v>
      </c>
      <c r="EB32" s="493"/>
      <c r="EC32" s="493"/>
    </row>
    <row r="33" spans="5:133" ht="21" customHeight="1">
      <c r="E33" s="716" t="s">
        <v>737</v>
      </c>
      <c r="F33" s="861" t="str">
        <f t="shared" ref="F33:Q33" si="5">SUBSTITUTE(ADDRESS(1,COLUMN(),4),"1","")</f>
        <v>F</v>
      </c>
      <c r="G33" s="861" t="str">
        <f t="shared" si="5"/>
        <v>G</v>
      </c>
      <c r="H33" s="861" t="str">
        <f t="shared" si="5"/>
        <v>H</v>
      </c>
      <c r="I33" s="861" t="str">
        <f t="shared" si="5"/>
        <v>I</v>
      </c>
      <c r="J33" s="861" t="str">
        <f t="shared" si="5"/>
        <v>J</v>
      </c>
      <c r="K33" s="861" t="str">
        <f t="shared" si="5"/>
        <v>K</v>
      </c>
      <c r="L33" s="861" t="str">
        <f t="shared" si="5"/>
        <v>L</v>
      </c>
      <c r="M33" s="861" t="str">
        <f t="shared" si="5"/>
        <v>M</v>
      </c>
      <c r="N33" s="861" t="str">
        <f t="shared" si="5"/>
        <v>N</v>
      </c>
      <c r="O33" s="861" t="str">
        <f t="shared" si="5"/>
        <v>O</v>
      </c>
      <c r="P33" s="861" t="str">
        <f t="shared" si="5"/>
        <v>P</v>
      </c>
      <c r="Q33" s="861" t="str">
        <f t="shared" si="5"/>
        <v>Q</v>
      </c>
      <c r="R33" s="861"/>
      <c r="S33" s="861" t="str">
        <f t="shared" ref="S33:Y33" si="6">SUBSTITUTE(ADDRESS(1,COLUMN(),4),"1","")</f>
        <v>S</v>
      </c>
      <c r="T33" s="861" t="str">
        <f t="shared" si="6"/>
        <v>T</v>
      </c>
      <c r="U33" s="861" t="str">
        <f t="shared" si="6"/>
        <v>U</v>
      </c>
      <c r="V33" s="861" t="str">
        <f t="shared" si="6"/>
        <v>V</v>
      </c>
      <c r="W33" s="861" t="str">
        <f t="shared" si="6"/>
        <v>W</v>
      </c>
      <c r="X33" s="861" t="str">
        <f t="shared" si="6"/>
        <v>X</v>
      </c>
      <c r="Y33" s="862" t="str">
        <f t="shared" si="6"/>
        <v>Y</v>
      </c>
      <c r="AA33" s="1362"/>
      <c r="AC33" s="509">
        <v>18</v>
      </c>
      <c r="AD33" s="808"/>
      <c r="AE33" s="679" t="str">
        <f t="shared" si="3"/>
        <v/>
      </c>
      <c r="AF33" s="512" t="str">
        <f>IF(24=24,IF(AD33="","",IF(AG33="X",""&amp;"Céréales contenant du gluten","")&amp;IF(AH33="X",IF(COUNTIF(AG33:AG33,"X")&gt;0,", ","")&amp;"Crustacés","")&amp;IF(AI33="X",IF(COUNTIF(AG33:AH33,"X")&gt;0,", ","")&amp;"Œufs","")&amp;IF(AJ33="X",IF(COUNTIF(AG33:AI33,"X")&gt;0,", ","")&amp;"Poissons","")&amp;IF(AK33="X",IF(COUNTIF(AG33:AJ33,"X")&gt;0,", ","")&amp;"Arachides","")&amp;IF(AL33="X",IF(COUNTIF(AG33:AK33,"X")&gt;0,", ","")&amp;"Soja","")&amp;IF(AM33="X",IF(COUNTIF(AG33:AL33,"X")&gt;0,", ","")&amp;"Lait","")&amp;IF(AN33="X",IF(COUNTIF(AG33:AM33,"X")&gt;0,", ","")&amp;"Fruits à coque","")&amp;IF(AO33="X",IF(COUNTIF(AG33:AN33,"X")&gt;0,", ","")&amp;"Céleri","")&amp;IF(AP33="X",IF(COUNTIF(AG33:AO33,"X")&gt;0,", ","")&amp;"Moutarde","")&amp;IF(AQ33="X",IF(COUNTIF(AG33:AP33,"X")&gt;0,", ","")&amp;"Sésame","")&amp;IF(AR33="X",IF(COUNTIF(AG33:AQ33,"X")&gt;0,", ","")&amp;"Sulfites","")&amp;IF(AS33="X",IF(COUNTIF(AG33:AR33,"X")&gt;0,", ","")&amp;"Lupin","")&amp;IF(AT33="X",IF(COUNTIF(AG33:AS33,"X")&gt;0,", ","")&amp;"Mollusques","")),"")</f>
        <v/>
      </c>
      <c r="AG33" s="513" t="str">
        <f>IF(24=24,IF(AD33="","",BH33),"")</f>
        <v/>
      </c>
      <c r="AH33" s="513" t="str">
        <f>IF(24=24,IF(AD33="","",BK33),"")</f>
        <v/>
      </c>
      <c r="AI33" s="513" t="str">
        <f>IF(24=24,IF(AD33="","",BO33),"")</f>
        <v/>
      </c>
      <c r="AJ33" s="513" t="str">
        <f>IF(24=24,IF(AD33="","",IF(ISNUMBER(SEARCH(" colin ",BC33)),"X",CB33)),"")</f>
        <v/>
      </c>
      <c r="AK33" s="513" t="str">
        <f>IF(24=24,IF(AD33="","",CD33),"")</f>
        <v/>
      </c>
      <c r="AL33" s="513" t="str">
        <f>IF(24=24,IF(AD33="","",CH33),"")</f>
        <v/>
      </c>
      <c r="AM33" s="513" t="str">
        <f>IF(24=24,IF(AD33="","",CO33),"")</f>
        <v/>
      </c>
      <c r="AN33" s="513" t="str">
        <f>IF(24=24,IF(AD33="","",CS33),"")</f>
        <v/>
      </c>
      <c r="AO33" s="513" t="str">
        <f>IF(24=24,IF(AD33="","",CV33),"")</f>
        <v/>
      </c>
      <c r="AP33" s="513" t="str">
        <f>IF(24=24,IF(AD33="","",CY33),"")</f>
        <v/>
      </c>
      <c r="AQ33" s="513" t="str">
        <f>IF(24=24,IF(AD33="","",DB33),"")</f>
        <v/>
      </c>
      <c r="AR33" s="513" t="str">
        <f>IF(24=24,IF(AD33="","",DE33),"")</f>
        <v/>
      </c>
      <c r="AS33" s="513" t="str">
        <f>IF(24=24,IF(AD33="","",DH33),"")</f>
        <v/>
      </c>
      <c r="AT33" s="513" t="str">
        <f>IF(24=24,IF(AD33="","",DN33),"")</f>
        <v/>
      </c>
      <c r="AU33" s="514" t="str">
        <f>IF(24=24,IF(AD33="","",IF(AG33="?",""&amp;"Céréales contenant du gluten","")&amp;IF(AH33="?",IF(COUNTIF(AG33:AG33,"~?")&gt;0,", ","")&amp;"Crustacés","")&amp;IF(AI33="?",IF(COUNTIF(AG33:AH33,"~?")&gt;0,", ","")&amp;"Œufs","")&amp;IF(AJ33="?",IF(COUNTIF(AG33:AI33,"~?")&gt;0,", ","")&amp;"Poissons","")&amp;IF(AK33="?",IF(COUNTIF(AG33:AJ33,"~?")&gt;0,", ","")&amp;"Arachides","")&amp;IF(AL33="?",IF(COUNTIF(AG33:AK33,"~?")&gt;0,", ","")&amp;"Soja","")&amp;IF(AM33="?",IF(COUNTIF(AG33:AL33,"~?")&gt;0,", ","")&amp;"Lait","")&amp;IF(AN33="?",IF(COUNTIF(AG33:AM33,"~?")&gt;0,", ","")&amp;"Fruits à coque","")&amp;IF(AO33="?",IF(COUNTIF(AG33:AN33,"~?")&gt;0,", ","")&amp;"Céleri","")&amp;IF(AP33="?",IF(COUNTIF(AG33:AO33,"~?")&gt;0,", ","")&amp;"Moutarde","")&amp;IF(AQ33="?",IF(COUNTIF(AG33:AP33,"~?")&gt;0,", ","")&amp;"Sésame","")&amp;IF(AR33="?",IF(COUNTIF(AG33:AQ33,"~?")&gt;0,", ","")&amp;"Sulfites","")&amp;IF(AS33="?",IF(COUNTIF(AG33:AR33,"~?")&gt;0,", ","")&amp;"Lupin","")&amp;IF(AT33="?",IF(COUNTIF(AG33:AS33,"~?")&gt;0,", ","")&amp;"Mollusques","")),"")</f>
        <v/>
      </c>
      <c r="AW33" s="493" t="str">
        <f>IF(24=24,IF(AD33="","",AD33),"")</f>
        <v/>
      </c>
      <c r="AX33" s="493" t="str">
        <f>IF(24=24,LOWER(CLEAN(SUBSTITUTE(SUBSTITUTE(SUBSTITUTE(SUBSTITUTE(AW33,CHAR(160)," ")," "," "),CHAR(10)," "),CHAR(13)," "))),"")</f>
        <v/>
      </c>
      <c r="AY33" s="493" t="str">
        <f>IF(24=24,SUBSTITUTE(SUBSTITUTE(SUBSTITUTE(SUBSTITUTE(SUBSTITUTE(SUBSTITUTE(SUBSTITUTE(SUBSTITUTE(SUBSTITUTE(SUBSTITUTE(SUBSTITUTE(SUBSTITUTE(AX33,"œ","oe"),"æ","ae"),"à","a"),"á","a"),"â","a"),"ä","a"),"ã","a"),"ç","c"),"è","e"),"é","e"),"ê","e"),"ë","e"),"")</f>
        <v/>
      </c>
      <c r="AZ33" s="493" t="str">
        <f>IF(24=24,SUBSTITUTE(SUBSTITUTE(SUBSTITUTE(SUBSTITUTE(SUBSTITUTE(SUBSTITUTE(SUBSTITUTE(SUBSTITUTE(SUBSTITUTE(SUBSTITUTE(SUBSTITUTE(SUBSTITUTE(SUBSTITUTE(SUBSTITUTE(SUBSTITUTE(SUBSTITUTE(AY33,"ì","i"),"í","i"),"î","i"),"ï","i"),"ñ","n"),"ò","o"),"ó","o"),"ô","o"),"ö","o"),"õ","o"),"ù","u"),"ú","u"),"û","u"),"ü","u"),"ý","y"),"ÿ","y"),"")</f>
        <v/>
      </c>
      <c r="BA33" s="493" t="str">
        <f>IF(24=24,SUBSTITUTE(SUBSTITUTE(SUBSTITUTE(SUBSTITUTE(SUBSTITUTE(SUBSTITUTE(SUBSTITUTE(SUBSTITUTE(SUBSTITUTE(SUBSTITUTE(SUBSTITUTE(SUBSTITUTE(SUBSTITUTE(SUBSTITUTE(AZ33,"’"," "),"`"," "),"–"," "),"—"," "),"-"," "),"'"," "),"/"," "),"_"," "),","," "),"."," "),"("," "),")"," "),";"," "),":"," "),"")</f>
        <v/>
      </c>
      <c r="BB33" s="493" t="str">
        <f>IF(24=24,SUBSTITUTE(SUBSTITUTE(SUBSTITUTE(SUBSTITUTE(SUBSTITUTE(SUBSTITUTE(SUBSTITUTE(SUBSTITUTE(SUBSTITUTE(SUBSTITUTE(SUBSTITUTE(SUBSTITUTE(SUBSTITUTE(SUBSTITUTE(SUBSTITUTE(BA33,"!"," "),"?"," "),"+"," "),"*"," "),"&amp;"," "),"["," "),"]"," "),"{"," "),"}"," "),"%"," "),"="," "),"\"," "),"|"," "),"&lt;"," "),"&gt;"," "),"")</f>
        <v/>
      </c>
      <c r="BC33" s="493" t="str">
        <f>IF(24=24," "&amp;TRIM(SUBSTITUTE(SUBSTITUTE(SUBSTITUTE(SUBSTITUTE(SUBSTITUTE(SUBSTITUTE(BB33,CHAR(34)," "),"  "," "),"  "," "),"  "," "),"  "," "),"  "," "))&amp;" ","")</f>
        <v xml:space="preserve">  </v>
      </c>
      <c r="BD33" s="493" t="str" cm="1">
        <f t="array" ref="BD33">IF(24=24,IF(AW33="","",SUMPRODUCT(--ISNUMBER(SEARCH(" "&amp;DT11:DT110&amp;" ",BF33)))),"")</f>
        <v/>
      </c>
      <c r="BE33" s="493" t="str" cm="1">
        <f t="array" ref="BE33">IF(24=24,IF(AW33="","",SUMPRODUCT(--ISNUMBER(SEARCH(" "&amp;DT111:DT160&amp;" ",BF33)))),"")</f>
        <v/>
      </c>
      <c r="BF33" s="493" t="str">
        <f>IF(AW33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33,"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33" s="493" t="str" cm="1">
        <f t="array" ref="BG33">IF(AW33="","",SUMPRODUCT(--ISNUMBER(SEARCH(" "&amp;DT193:DT214&amp;" ",BF33)))+--ISNUMBER(SEARCH(" "&amp;DT2463&amp;" ",BF33)))</f>
        <v/>
      </c>
      <c r="BH33" s="493" t="str" cm="1">
        <f t="array" ref="BH33">IF(24=24,IF(AW33="","",IF(SUM(BD33:BE33)+SUMPRODUCT(--ISNUMBER(SEARCH(" "&amp;DT2427:DT2429&amp;" ",BF33)))&gt;0,"X",IF(BG33&gt;0,"?",""))),"")</f>
        <v/>
      </c>
      <c r="BI33" s="493" t="str" cm="1">
        <f t="array" ref="BI33">IF(24=24,IF(AW33="","",SUMPRODUCT(--ISNUMBER(SEARCH(" "&amp;DT215:DT314&amp;" ",BC33)))),"")</f>
        <v/>
      </c>
      <c r="BJ33" s="493" t="str" cm="1">
        <f t="array" ref="BJ33">IF(24=24,IF(AW33="","",SUMPRODUCT(--ISNUMBER(SEARCH(" "&amp;DT315:DT349&amp;" ",BC33)))),"")</f>
        <v/>
      </c>
      <c r="BK33" s="493" t="str">
        <f>IF(24=24,IF(AW33="","",IF((SUM(BI33:BJ33))-(0)&gt;0,"X",IF((0)-(0)&gt;0,"?",""))),"")</f>
        <v/>
      </c>
      <c r="BL33" s="493" t="str" cm="1">
        <f t="array" ref="BL33">IF(24=24,IF(AW33="","",SUMPRODUCT(--ISNUMBER(SEARCH(" "&amp;DT350:DT407&amp;" ",BC33)))),"")</f>
        <v/>
      </c>
      <c r="BM33" s="493" t="str" cm="1">
        <f t="array" ref="BM33">IF(24=24,IF(AW33="","",SUMPRODUCT(--ISNUMBER(SEARCH(" "&amp;DT408:DT435&amp;" ",BN33)))+SUMPRODUCT(--ISNUMBER(SEARCH(" "&amp;DT2449:DT2462&amp;" ",BN33)))),"")</f>
        <v/>
      </c>
      <c r="BN33" s="493" t="str">
        <f>IF(24=24,IF(AW33="","",SUBSTITUTE(SUBSTITUTE(SUBSTITUTE(SUBSTITUTE(SUBSTITUTE(SUBSTITUTE(SUBSTITUTE(SUBSTITUTE(SUBSTITUTE(SUBSTITUTE(SUBSTITUTE(SUBSTITUTE(SUBSTITUTE(SUBSTITUTE(BC33," "&amp;DT2464&amp;" "," ")," "&amp;DT442&amp;" "," ")," "&amp;DT440&amp;" "," ")," "&amp;DT2447&amp;" "," ")," "&amp;DT2448&amp;" "," ")," "&amp;DT437&amp;" "," ")," "&amp;DT441&amp;" "," ")," "&amp;DT443&amp;" "," ")," "&amp;DT438&amp;" "," ")," "&amp;DT436&amp;" "," ")," "&amp;DT1376&amp;" "," ")," "&amp;DT444&amp;" "," ")," "&amp;DT1375&amp;" "," ")," "&amp;DT439&amp;" "," ")),"")</f>
        <v/>
      </c>
      <c r="BO33" s="493" t="str">
        <f>IF(24=24,IF(AW33="","",IF(BL33&gt;0,"X",IF(BM33&gt;0,"?",""))),"")</f>
        <v/>
      </c>
      <c r="BP33" s="493" t="str" cm="1">
        <f t="array" ref="BP33">IF(24=24,IF(AW33="","",SUMPRODUCT(--ISNUMBER(SEARCH(" "&amp;DT445:DT544&amp;" ",BZ33)))),"")</f>
        <v/>
      </c>
      <c r="BQ33" s="493" t="str" cm="1">
        <f t="array" ref="BQ33">IF(24=24,IF(AW33="","",SUMPRODUCT(--ISNUMBER(SEARCH(" "&amp;DT545:DT644&amp;" ",BZ33)))),"")</f>
        <v/>
      </c>
      <c r="BR33" s="493" t="str" cm="1">
        <f t="array" ref="BR33">IF(24=24,IF(AW33="","",SUMPRODUCT(--ISNUMBER(SEARCH(" "&amp;DT645:DT744&amp;" ",BZ33)))),"")</f>
        <v/>
      </c>
      <c r="BS33" s="493" t="str" cm="1">
        <f t="array" ref="BS33">IF(24=24,IF(AW33="","",SUMPRODUCT(--ISNUMBER(SEARCH(" "&amp;DT745:DT844&amp;" ",BZ33)))),"")</f>
        <v/>
      </c>
      <c r="BT33" s="493" t="str" cm="1">
        <f t="array" ref="BT33">IF(24=24,IF(AW33="","",SUMPRODUCT(--ISNUMBER(SEARCH(" "&amp;DT845:DT944&amp;" ",BZ33)))),"")</f>
        <v/>
      </c>
      <c r="BU33" s="493" t="str" cm="1">
        <f t="array" ref="BU33">IF(24=24,IF(AW33="","",SUMPRODUCT(--ISNUMBER(SEARCH(" "&amp;DT945:DT1044&amp;" ",BZ33)))),"")</f>
        <v/>
      </c>
      <c r="BV33" s="493" t="str" cm="1">
        <f t="array" ref="BV33">IF(24=24,IF(AW33="","",SUMPRODUCT(--ISNUMBER(SEARCH(" "&amp;DT1045:DT1144&amp;" ",BZ33)))),"")</f>
        <v/>
      </c>
      <c r="BW33" s="493" t="str" cm="1">
        <f t="array" ref="BW33">IF(24=24,IF(AW33="","",SUMPRODUCT(--ISNUMBER(SEARCH(" "&amp;DT1145:DT1244&amp;" ",BZ33)))),"")</f>
        <v/>
      </c>
      <c r="BX33" s="493" t="str" cm="1">
        <f t="array" ref="BX33">IF(24=24,IF(AW33="","",SUMPRODUCT(--ISNUMBER(SEARCH(" "&amp;DT1245:DT1344&amp;" ",BZ33)))),"")</f>
        <v/>
      </c>
      <c r="BY33" s="493" t="str" cm="1">
        <f t="array" ref="BY33">IF(24=24,IF(AW33="","",SUMPRODUCT(--ISNUMBER(SEARCH(" "&amp;DT1345:DT1372&amp;" ",BZ33)))),"")</f>
        <v/>
      </c>
      <c r="BZ33" s="493" t="str">
        <f>IF(24=24,IF(AW33="","",SUBSTITUTE(SUBSTITUTE(SUBSTITUTE(SUBSTITUTE(SUBSTITUTE(SUBSTITUTE(SUBSTITUTE(SUBSTITUTE(SUBSTITUTE(BC33," "&amp;DT1374&amp;" "," ")," "&amp;DT1373&amp;" "," ")," "&amp;DT1379&amp;" "," ")," "&amp;DT1380&amp;" "," ")," "&amp;DT1376&amp;" "," ")," "&amp;DT1378&amp;" "," ")," "&amp;DT1375&amp;" "," ")," "&amp;DT1377&amp;" "," ")," "&amp;DT1381&amp;" "," ")),"")</f>
        <v/>
      </c>
      <c r="CA33" s="493" t="str" cm="1">
        <f t="array" ref="CA33">IF(24=24,IF(AW33="","",SUMPRODUCT(--ISNUMBER(SEARCH(" "&amp;DT1382:DT1392&amp;" ",BZ33)))),"")</f>
        <v/>
      </c>
      <c r="CB33" s="493" t="str" cm="1">
        <f t="array" ref="CB33">IF(24=24,IF(AW33="","",IF(SUM(BP33:BY33)+SUMPRODUCT(--ISNUMBER(SEARCH(" "&amp;DT2430:DT2431&amp;" ",BZ33)))&gt;0,"X",IF(CA33&gt;0,"?",""))),"")</f>
        <v/>
      </c>
      <c r="CC33" s="493" t="str" cm="1">
        <f t="array" ref="CC33">IF(24=24,IF(AW33="","",SUMPRODUCT(--ISNUMBER(SEARCH(" "&amp;DT1393:DT1413&amp;" ",BC33)))),"")</f>
        <v/>
      </c>
      <c r="CD33" s="493" t="str">
        <f>IF(24=24,IF(AW33="","",IF((CC33)-(0)&gt;0,"X",IF((0)-(0)&gt;0,"?",""))),"")</f>
        <v/>
      </c>
      <c r="CE33" s="493" t="str" cm="1">
        <f t="array" ref="CE33">IF(24=24,IF(AW33="","",SUMPRODUCT(--ISNUMBER(SEARCH(" "&amp;DT1414:DT1451&amp;" ",CF33)))),"")</f>
        <v/>
      </c>
      <c r="CF33" s="493" t="str">
        <f>IF(24=24,IF(AW33="","",SUBSTITUTE(SUBSTITUTE(BC33," "&amp;DT1452&amp;" "," ")," "&amp;DT1453&amp;" "," ")),"")</f>
        <v/>
      </c>
      <c r="CG33" s="493" t="str" cm="1">
        <f t="array" ref="CG33">IF(24=24,IF(AW33="","",SUMPRODUCT(--ISNUMBER(SEARCH(" "&amp;DT1454:DT1464&amp;" ",CF33)))),"")</f>
        <v/>
      </c>
      <c r="CH33" s="493" t="str">
        <f>IF(24=24,IF(AW33="","",IF(CE33&gt;0,"X",IF(CG33&gt;0,"?",""))),"")</f>
        <v/>
      </c>
      <c r="CI33" s="493" t="str" cm="1">
        <f t="array" ref="CI33">IF(24=24,IF(AW33="","",SUMPRODUCT(--ISNUMBER(SEARCH(" "&amp;DT1465:DT1564&amp;" ",CL33)))),"")</f>
        <v/>
      </c>
      <c r="CJ33" s="493" t="str" cm="1">
        <f t="array" ref="CJ33">IF(24=24,IF(AW33="","",SUMPRODUCT(--ISNUMBER(SEARCH(" "&amp;DT1565:DT1664&amp;" ",CL33)))),"")</f>
        <v/>
      </c>
      <c r="CK33" s="493" t="str" cm="1">
        <f t="array" ref="CK33">IF(24=24,IF(AW33="","",SUMPRODUCT(--ISNUMBER(SEARCH(" "&amp;DT1665:DT1748&amp;" ",CL33)))),"")</f>
        <v/>
      </c>
      <c r="CL33" s="493" t="str">
        <f>IF(24=24,IF(AW33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33,"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33" s="493" t="str" cm="1">
        <f t="array" ref="CM33">IF(24=24,IF(AW33="","",SUMPRODUCT(--ISNUMBER(SEARCH(" "&amp;DT1799:DT1878&amp;" ",CN33)))+SUMPRODUCT(--ISNUMBER(SEARCH(" "&amp;DT2449:DT2462&amp;" ",CN33)))),"")</f>
        <v/>
      </c>
      <c r="CN33" s="493" t="str">
        <f>IF(24=24,IF(AW33="","",SUBSTITUTE(SUBSTITUTE(SUBSTITUTE(SUBSTITUTE(SUBSTITUTE(SUBSTITUTE(SUBSTITUTE(SUBSTITUTE(SUBSTITUTE(SUBSTITUTE(SUBSTITUTE(SUBSTITUTE(SUBSTITUTE(CL33," "&amp;DT1885&amp;" "," ")," "&amp;DT1883&amp;" "," ")," "&amp;DT2447&amp;" "," ")," "&amp;DT2448&amp;" "," ")," "&amp;DT1880&amp;" "," ")," "&amp;DT1884&amp;" "," ")," "&amp;DT1886&amp;" "," ")," "&amp;DT1881&amp;" "," ")," "&amp;DT1879&amp;" "," ")," "&amp;DT1376&amp;" "," ")," "&amp;DT1887&amp;" "," ")," "&amp;DT1375&amp;" "," ")," "&amp;DT1882&amp;" "," ")),"")</f>
        <v/>
      </c>
      <c r="CO33" s="493" t="str" cm="1">
        <f t="array" ref="CO33">IF(24=24,IF(AW33="","",IF(SUM(CI33:CK33)+SUMPRODUCT(--ISNUMBER(SEARCH(" "&amp;DT2432:DT2433&amp;" ",CL33)))&gt;0,"X",IF(CM33&gt;0,"?",""))),"")</f>
        <v/>
      </c>
      <c r="CP33" s="493" t="str" cm="1">
        <f t="array" ref="CP33">IF(24=24,IF(AW33="","",SUMPRODUCT(--ISNUMBER(SEARCH(" "&amp;DT1888:DT1945&amp;" ",CQ33)))),"")</f>
        <v/>
      </c>
      <c r="CQ33" s="493" t="str">
        <f>IF(24=24,IF(AW33="","",SUBSTITUTE(SUBSTITUTE(SUBSTITUTE(SUBSTITUTE(SUBSTITUTE(SUBSTITUTE(SUBSTITUTE(SUBSTITUTE(SUBSTITUTE(SUBSTITUTE(SUBSTITUTE(SUBSTITUTE(SUBSTITUTE(SUBSTITUTE(SUBSTITUTE(SUBSTITUTE(SUBSTITUTE(SUBSTITUTE(SUBSTITUTE(SUBSTITUTE(SUBSTITUTE(SUBSTITUTE(SUBSTITUTE(BC33,"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33" s="493" t="str" cm="1">
        <f t="array" ref="CR33">IF(24=24,IF(AW33="","",SUMPRODUCT(--ISNUMBER(SEARCH(" "&amp;DT1969:DT1985&amp;" ",CQ33)))),"")</f>
        <v/>
      </c>
      <c r="CS33" s="493" t="str">
        <f>IF(24=24,IF(AW33="","",IF(CP33&gt;0,"X",IF(CR33&gt;0,"?",""))),"")</f>
        <v/>
      </c>
      <c r="CT33" s="493" t="str" cm="1">
        <f t="array" ref="CT33">IF(24=24,IF(AW33="","",SUMPRODUCT(--ISNUMBER(SEARCH(" "&amp;DT1986:DT1999&amp;" ",BC33)))),"")</f>
        <v/>
      </c>
      <c r="CU33" s="493" t="str" cm="1">
        <f t="array" ref="CU33">IF(24=24,IF(AW33="","",SUMPRODUCT(--ISNUMBER(SEARCH(" "&amp;DT2000:DT2014&amp;" ",BC33)))),"")</f>
        <v/>
      </c>
      <c r="CV33" s="493" t="str">
        <f>IF(24=24,IF(AW33="","",IF((CT33)-(0)&gt;0,"X",IF((CU33)-(0)&gt;0,"?",""))),"")</f>
        <v/>
      </c>
      <c r="CW33" s="493" t="str" cm="1">
        <f t="array" ref="CW33">IF(24=24,IF(AW33="","",SUMPRODUCT(--ISNUMBER(SEARCH(" "&amp;DT2015:DT2032&amp;" ",BC33)))),"")</f>
        <v/>
      </c>
      <c r="CX33" s="493" t="str" cm="1">
        <f t="array" ref="CX33">IF(24=24,IF(AW33="","",SUMPRODUCT(--ISNUMBER(SEARCH(" "&amp;DT2033:DT2047&amp;" ",BC33)))),"")</f>
        <v/>
      </c>
      <c r="CY33" s="493" t="str">
        <f>IF(24=24,IF(AW33="","",IF((CW33)-(0)&gt;0,"X",IF((CX33)-(0)&gt;0,"?",""))),"")</f>
        <v/>
      </c>
      <c r="CZ33" s="493" t="str" cm="1">
        <f t="array" ref="CZ33">IF(24=24,IF(AW33="","",SUMPRODUCT(--ISNUMBER(SEARCH(" "&amp;DT2048:DT2066&amp;" ",BC33)))),"")</f>
        <v/>
      </c>
      <c r="DA33" s="493" t="str" cm="1">
        <f t="array" ref="DA33">IF(24=24,IF(AW33="","",SUMPRODUCT(--ISNUMBER(SEARCH(" "&amp;DT2067:DT2081&amp;" ",BC33)))),"")</f>
        <v/>
      </c>
      <c r="DB33" s="493" t="str">
        <f>IF(24=24,IF(AW33="","",IF((CZ33)-(0)&gt;0,"X",IF((DA33)-(0)&gt;0,"?",""))),"")</f>
        <v/>
      </c>
      <c r="DC33" s="493" t="str" cm="1">
        <f t="array" ref="DC33">IF(24=24,IF(AW33="","",SUMPRODUCT(--ISNUMBER(SEARCH(" "&amp;DT2082:DT2102&amp;" ",BC33)))),"")</f>
        <v/>
      </c>
      <c r="DD33" s="493" t="str" cm="1">
        <f t="array" ref="DD33">IF(24=24,IF(AW33="","",SUMPRODUCT(--ISNUMBER(SEARCH(" "&amp;DT2103:DT2142&amp;" ",SUBSTITUTE(SUBSTITUTE(BC33," "&amp;DT1376&amp;" "," ")," "&amp;DT1375&amp;" "," "))))+--ISNUMBER(SEARCH("poiré",AX33))),"")</f>
        <v/>
      </c>
      <c r="DE33" s="493" t="str">
        <f>IF(24=24,IF(AW33="","",IF(OR(DC33&gt;0,ISNUMBER(SEARCH(" vinaigre de vin ",BC33)),ISNUMBER(SEARCH(" vinaigre au vin ",BC33))),"X",IF(DD33&gt;0,"?",""))),"")</f>
        <v/>
      </c>
      <c r="DF33" s="493" t="str" cm="1">
        <f t="array" ref="DF33">IF(24=24,IF(AW33="","",SUMPRODUCT(--ISNUMBER(SEARCH(" "&amp;DT2143:DT2155&amp;" ",BC33)))),"")</f>
        <v/>
      </c>
      <c r="DG33" s="493" t="str" cm="1">
        <f t="array" ref="DG33">IF(24=24,IF(AW33="","",SUMPRODUCT(--ISNUMBER(SEARCH(" "&amp;DT2156:DT2161&amp;" ",BC33)))),"")</f>
        <v/>
      </c>
      <c r="DH33" s="493" t="str">
        <f>IF(24=24,IF(AW33="","",IF((DF33)-(0)&gt;0,"X",IF((DG33)-(0)&gt;0,"?",""))),"")</f>
        <v/>
      </c>
      <c r="DI33" s="493" t="str" cm="1">
        <f t="array" ref="DI33">IF(24=24,IF(AW33="","",SUMPRODUCT(--ISNUMBER(SEARCH(" "&amp;DT2162:DT2261&amp;" ",DL33)))),"")</f>
        <v/>
      </c>
      <c r="DJ33" s="493" t="str" cm="1">
        <f t="array" ref="DJ33">IF(24=24,IF(AW33="","",SUMPRODUCT(--ISNUMBER(SEARCH(" "&amp;DT2262:DT2361&amp;" ",DL33)))),"")</f>
        <v/>
      </c>
      <c r="DK33" s="493" t="str" cm="1">
        <f t="array" ref="DK33">IF(24=24,IF(AW33="","",SUMPRODUCT(--ISNUMBER(SEARCH(" "&amp;DT2362:DT2404&amp;" ",DL33)))),"")</f>
        <v/>
      </c>
      <c r="DL33" s="493" t="str">
        <f>IF(24=24,IF(AW33="","",SUBSTITUTE(SUBSTITUTE(SUBSTITUTE(SUBSTITUTE(SUBSTITUTE(SUBSTITUTE(SUBSTITUTE(SUBSTITUTE(SUBSTITUTE(SUBSTITUTE(SUBSTITUTE(SUBSTITUTE(SUBSTITUTE(SUBSTITUTE(SUBSTITUTE(SUBSTITUTE(BC33," "&amp;DT2410&amp;" "," ")," "&amp;DT2409&amp;" "," ")," "&amp;DT2408&amp;" "," ")," "&amp;DT2415&amp;" "," ")," "&amp;DT2407&amp;" "," ")," "&amp;DT2419&amp;" "," ")," "&amp;DT2406&amp;" "," ")," "&amp;DT2411&amp;" "," ")," "&amp;DT2414&amp;" "," ")," "&amp;DT2405&amp;" "," ")," "&amp;DT2413&amp;" "," ")," "&amp;DT2420&amp;" "," ")," "&amp;DT2417&amp;" "," ")," "&amp;DT2412&amp;" "," ")," "&amp;DT2416&amp;" "," ")," "&amp;DT2418&amp;" "," ")),"")</f>
        <v/>
      </c>
      <c r="DM33" s="493" t="str" cm="1">
        <f t="array" ref="DM33">IF(24=24,IF(AW33="","",SUMPRODUCT(--ISNUMBER(SEARCH(" "&amp;DT2421:DT2425&amp;" ",DL33)))),"")</f>
        <v/>
      </c>
      <c r="DN33" s="493" t="str">
        <f>IF(24=24,IF(AW33="","",IF(SUM(DI33:DK33)&gt;0,"X",IF(DM33&gt;0,"?",""))),"")</f>
        <v/>
      </c>
      <c r="DO33" s="494"/>
      <c r="DP33" s="496" t="s">
        <v>1187</v>
      </c>
      <c r="DQ33" s="496" t="s">
        <v>1083</v>
      </c>
      <c r="DR33" s="496" t="s">
        <v>689</v>
      </c>
      <c r="DS33" s="496" t="s">
        <v>890</v>
      </c>
      <c r="DT33" s="496" t="s">
        <v>890</v>
      </c>
      <c r="DU33" s="496" t="s">
        <v>1085</v>
      </c>
      <c r="DV33" s="496" t="s">
        <v>1086</v>
      </c>
      <c r="DW33" s="496" t="s">
        <v>1087</v>
      </c>
      <c r="DX33" s="497" t="s">
        <v>1088</v>
      </c>
      <c r="DZ33" s="543">
        <v>1</v>
      </c>
      <c r="EB33" s="493"/>
      <c r="EC33" s="493"/>
    </row>
    <row r="34" spans="5:133" ht="21" customHeight="1">
      <c r="E34" s="716" t="s">
        <v>737</v>
      </c>
      <c r="F34" s="863">
        <f t="shared" ref="F34:Q34" ca="1" si="7">CELL("largeur",F34)</f>
        <v>3</v>
      </c>
      <c r="G34" s="863">
        <f t="shared" ca="1" si="7"/>
        <v>3</v>
      </c>
      <c r="H34" s="863">
        <f t="shared" ca="1" si="7"/>
        <v>3</v>
      </c>
      <c r="I34" s="863">
        <f t="shared" ca="1" si="7"/>
        <v>5</v>
      </c>
      <c r="J34" s="863">
        <f t="shared" ca="1" si="7"/>
        <v>12</v>
      </c>
      <c r="K34" s="863">
        <f t="shared" ca="1" si="7"/>
        <v>12</v>
      </c>
      <c r="L34" s="863">
        <f t="shared" ca="1" si="7"/>
        <v>3</v>
      </c>
      <c r="M34" s="863">
        <f t="shared" ca="1" si="7"/>
        <v>9</v>
      </c>
      <c r="N34" s="863">
        <f t="shared" ca="1" si="7"/>
        <v>12</v>
      </c>
      <c r="O34" s="863">
        <f t="shared" ca="1" si="7"/>
        <v>13</v>
      </c>
      <c r="P34" s="863">
        <f t="shared" ca="1" si="7"/>
        <v>6</v>
      </c>
      <c r="Q34" s="863">
        <f t="shared" ca="1" si="7"/>
        <v>40</v>
      </c>
      <c r="R34" s="863"/>
      <c r="S34" s="863">
        <f t="shared" ref="S34:Y34" ca="1" si="8">CELL("largeur",S34)</f>
        <v>10</v>
      </c>
      <c r="T34" s="863">
        <f t="shared" ca="1" si="8"/>
        <v>9</v>
      </c>
      <c r="U34" s="863">
        <f t="shared" ca="1" si="8"/>
        <v>11</v>
      </c>
      <c r="V34" s="863">
        <f t="shared" ca="1" si="8"/>
        <v>13</v>
      </c>
      <c r="W34" s="863">
        <f t="shared" ca="1" si="8"/>
        <v>13</v>
      </c>
      <c r="X34" s="863">
        <f t="shared" ca="1" si="8"/>
        <v>13</v>
      </c>
      <c r="Y34" s="864">
        <f t="shared" ca="1" si="8"/>
        <v>17</v>
      </c>
      <c r="AA34" s="732"/>
      <c r="AC34" s="509">
        <v>19</v>
      </c>
      <c r="AD34" s="808"/>
      <c r="AE34" s="679" t="str">
        <f t="shared" si="3"/>
        <v/>
      </c>
      <c r="AF34" s="512" t="str">
        <f>IF(25=25,IF(AD34="","",IF(AG34="X",""&amp;"Céréales contenant du gluten","")&amp;IF(AH34="X",IF(COUNTIF(AG34:AG34,"X")&gt;0,", ","")&amp;"Crustacés","")&amp;IF(AI34="X",IF(COUNTIF(AG34:AH34,"X")&gt;0,", ","")&amp;"Œufs","")&amp;IF(AJ34="X",IF(COUNTIF(AG34:AI34,"X")&gt;0,", ","")&amp;"Poissons","")&amp;IF(AK34="X",IF(COUNTIF(AG34:AJ34,"X")&gt;0,", ","")&amp;"Arachides","")&amp;IF(AL34="X",IF(COUNTIF(AG34:AK34,"X")&gt;0,", ","")&amp;"Soja","")&amp;IF(AM34="X",IF(COUNTIF(AG34:AL34,"X")&gt;0,", ","")&amp;"Lait","")&amp;IF(AN34="X",IF(COUNTIF(AG34:AM34,"X")&gt;0,", ","")&amp;"Fruits à coque","")&amp;IF(AO34="X",IF(COUNTIF(AG34:AN34,"X")&gt;0,", ","")&amp;"Céleri","")&amp;IF(AP34="X",IF(COUNTIF(AG34:AO34,"X")&gt;0,", ","")&amp;"Moutarde","")&amp;IF(AQ34="X",IF(COUNTIF(AG34:AP34,"X")&gt;0,", ","")&amp;"Sésame","")&amp;IF(AR34="X",IF(COUNTIF(AG34:AQ34,"X")&gt;0,", ","")&amp;"Sulfites","")&amp;IF(AS34="X",IF(COUNTIF(AG34:AR34,"X")&gt;0,", ","")&amp;"Lupin","")&amp;IF(AT34="X",IF(COUNTIF(AG34:AS34,"X")&gt;0,", ","")&amp;"Mollusques","")),"")</f>
        <v/>
      </c>
      <c r="AG34" s="513" t="str">
        <f>IF(25=25,IF(AD34="","",BH34),"")</f>
        <v/>
      </c>
      <c r="AH34" s="513" t="str">
        <f>IF(25=25,IF(AD34="","",BK34),"")</f>
        <v/>
      </c>
      <c r="AI34" s="513" t="str">
        <f>IF(25=25,IF(AD34="","",BO34),"")</f>
        <v/>
      </c>
      <c r="AJ34" s="513" t="str">
        <f>IF(25=25,IF(AD34="","",IF(ISNUMBER(SEARCH(" colin ",BC34)),"X",CB34)),"")</f>
        <v/>
      </c>
      <c r="AK34" s="513" t="str">
        <f>IF(25=25,IF(AD34="","",CD34),"")</f>
        <v/>
      </c>
      <c r="AL34" s="513" t="str">
        <f>IF(25=25,IF(AD34="","",CH34),"")</f>
        <v/>
      </c>
      <c r="AM34" s="513" t="str">
        <f>IF(25=25,IF(AD34="","",CO34),"")</f>
        <v/>
      </c>
      <c r="AN34" s="513" t="str">
        <f>IF(25=25,IF(AD34="","",CS34),"")</f>
        <v/>
      </c>
      <c r="AO34" s="513" t="str">
        <f>IF(25=25,IF(AD34="","",CV34),"")</f>
        <v/>
      </c>
      <c r="AP34" s="513" t="str">
        <f>IF(25=25,IF(AD34="","",CY34),"")</f>
        <v/>
      </c>
      <c r="AQ34" s="513" t="str">
        <f>IF(25=25,IF(AD34="","",DB34),"")</f>
        <v/>
      </c>
      <c r="AR34" s="513" t="str">
        <f>IF(25=25,IF(AD34="","",DE34),"")</f>
        <v/>
      </c>
      <c r="AS34" s="513" t="str">
        <f>IF(25=25,IF(AD34="","",DH34),"")</f>
        <v/>
      </c>
      <c r="AT34" s="513" t="str">
        <f>IF(25=25,IF(AD34="","",DN34),"")</f>
        <v/>
      </c>
      <c r="AU34" s="514" t="str">
        <f>IF(25=25,IF(AD34="","",IF(AG34="?",""&amp;"Céréales contenant du gluten","")&amp;IF(AH34="?",IF(COUNTIF(AG34:AG34,"~?")&gt;0,", ","")&amp;"Crustacés","")&amp;IF(AI34="?",IF(COUNTIF(AG34:AH34,"~?")&gt;0,", ","")&amp;"Œufs","")&amp;IF(AJ34="?",IF(COUNTIF(AG34:AI34,"~?")&gt;0,", ","")&amp;"Poissons","")&amp;IF(AK34="?",IF(COUNTIF(AG34:AJ34,"~?")&gt;0,", ","")&amp;"Arachides","")&amp;IF(AL34="?",IF(COUNTIF(AG34:AK34,"~?")&gt;0,", ","")&amp;"Soja","")&amp;IF(AM34="?",IF(COUNTIF(AG34:AL34,"~?")&gt;0,", ","")&amp;"Lait","")&amp;IF(AN34="?",IF(COUNTIF(AG34:AM34,"~?")&gt;0,", ","")&amp;"Fruits à coque","")&amp;IF(AO34="?",IF(COUNTIF(AG34:AN34,"~?")&gt;0,", ","")&amp;"Céleri","")&amp;IF(AP34="?",IF(COUNTIF(AG34:AO34,"~?")&gt;0,", ","")&amp;"Moutarde","")&amp;IF(AQ34="?",IF(COUNTIF(AG34:AP34,"~?")&gt;0,", ","")&amp;"Sésame","")&amp;IF(AR34="?",IF(COUNTIF(AG34:AQ34,"~?")&gt;0,", ","")&amp;"Sulfites","")&amp;IF(AS34="?",IF(COUNTIF(AG34:AR34,"~?")&gt;0,", ","")&amp;"Lupin","")&amp;IF(AT34="?",IF(COUNTIF(AG34:AS34,"~?")&gt;0,", ","")&amp;"Mollusques","")),"")</f>
        <v/>
      </c>
      <c r="AW34" s="493" t="str">
        <f>IF(25=25,IF(AD34="","",AD34),"")</f>
        <v/>
      </c>
      <c r="AX34" s="493" t="str">
        <f>IF(25=25,LOWER(CLEAN(SUBSTITUTE(SUBSTITUTE(SUBSTITUTE(SUBSTITUTE(AW34,CHAR(160)," ")," "," "),CHAR(10)," "),CHAR(13)," "))),"")</f>
        <v/>
      </c>
      <c r="AY34" s="493" t="str">
        <f>IF(25=25,SUBSTITUTE(SUBSTITUTE(SUBSTITUTE(SUBSTITUTE(SUBSTITUTE(SUBSTITUTE(SUBSTITUTE(SUBSTITUTE(SUBSTITUTE(SUBSTITUTE(SUBSTITUTE(SUBSTITUTE(AX34,"œ","oe"),"æ","ae"),"à","a"),"á","a"),"â","a"),"ä","a"),"ã","a"),"ç","c"),"è","e"),"é","e"),"ê","e"),"ë","e"),"")</f>
        <v/>
      </c>
      <c r="AZ34" s="493" t="str">
        <f>IF(25=25,SUBSTITUTE(SUBSTITUTE(SUBSTITUTE(SUBSTITUTE(SUBSTITUTE(SUBSTITUTE(SUBSTITUTE(SUBSTITUTE(SUBSTITUTE(SUBSTITUTE(SUBSTITUTE(SUBSTITUTE(SUBSTITUTE(SUBSTITUTE(SUBSTITUTE(SUBSTITUTE(AY34,"ì","i"),"í","i"),"î","i"),"ï","i"),"ñ","n"),"ò","o"),"ó","o"),"ô","o"),"ö","o"),"õ","o"),"ù","u"),"ú","u"),"û","u"),"ü","u"),"ý","y"),"ÿ","y"),"")</f>
        <v/>
      </c>
      <c r="BA34" s="493" t="str">
        <f>IF(25=25,SUBSTITUTE(SUBSTITUTE(SUBSTITUTE(SUBSTITUTE(SUBSTITUTE(SUBSTITUTE(SUBSTITUTE(SUBSTITUTE(SUBSTITUTE(SUBSTITUTE(SUBSTITUTE(SUBSTITUTE(SUBSTITUTE(SUBSTITUTE(AZ34,"’"," "),"`"," "),"–"," "),"—"," "),"-"," "),"'"," "),"/"," "),"_"," "),","," "),"."," "),"("," "),")"," "),";"," "),":"," "),"")</f>
        <v/>
      </c>
      <c r="BB34" s="493" t="str">
        <f>IF(25=25,SUBSTITUTE(SUBSTITUTE(SUBSTITUTE(SUBSTITUTE(SUBSTITUTE(SUBSTITUTE(SUBSTITUTE(SUBSTITUTE(SUBSTITUTE(SUBSTITUTE(SUBSTITUTE(SUBSTITUTE(SUBSTITUTE(SUBSTITUTE(SUBSTITUTE(BA34,"!"," "),"?"," "),"+"," "),"*"," "),"&amp;"," "),"["," "),"]"," "),"{"," "),"}"," "),"%"," "),"="," "),"\"," "),"|"," "),"&lt;"," "),"&gt;"," "),"")</f>
        <v/>
      </c>
      <c r="BC34" s="493" t="str">
        <f>IF(25=25," "&amp;TRIM(SUBSTITUTE(SUBSTITUTE(SUBSTITUTE(SUBSTITUTE(SUBSTITUTE(SUBSTITUTE(BB34,CHAR(34)," "),"  "," "),"  "," "),"  "," "),"  "," "),"  "," "))&amp;" ","")</f>
        <v xml:space="preserve">  </v>
      </c>
      <c r="BD34" s="493" t="str" cm="1">
        <f t="array" ref="BD34">IF(25=25,IF(AW34="","",SUMPRODUCT(--ISNUMBER(SEARCH(" "&amp;DT11:DT110&amp;" ",BF34)))),"")</f>
        <v/>
      </c>
      <c r="BE34" s="493" t="str" cm="1">
        <f t="array" ref="BE34">IF(25=25,IF(AW34="","",SUMPRODUCT(--ISNUMBER(SEARCH(" "&amp;DT111:DT160&amp;" ",BF34)))),"")</f>
        <v/>
      </c>
      <c r="BF34" s="493" t="str">
        <f>IF(AW34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34,"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34" s="493" t="str" cm="1">
        <f t="array" ref="BG34">IF(AW34="","",SUMPRODUCT(--ISNUMBER(SEARCH(" "&amp;DT193:DT214&amp;" ",BF34)))+--ISNUMBER(SEARCH(" "&amp;DT2463&amp;" ",BF34)))</f>
        <v/>
      </c>
      <c r="BH34" s="493" t="str" cm="1">
        <f t="array" ref="BH34">IF(25=25,IF(AW34="","",IF(SUM(BD34:BE34)+SUMPRODUCT(--ISNUMBER(SEARCH(" "&amp;DT2427:DT2429&amp;" ",BF34)))&gt;0,"X",IF(BG34&gt;0,"?",""))),"")</f>
        <v/>
      </c>
      <c r="BI34" s="493" t="str" cm="1">
        <f t="array" ref="BI34">IF(25=25,IF(AW34="","",SUMPRODUCT(--ISNUMBER(SEARCH(" "&amp;DT215:DT314&amp;" ",BC34)))),"")</f>
        <v/>
      </c>
      <c r="BJ34" s="493" t="str" cm="1">
        <f t="array" ref="BJ34">IF(25=25,IF(AW34="","",SUMPRODUCT(--ISNUMBER(SEARCH(" "&amp;DT315:DT349&amp;" ",BC34)))),"")</f>
        <v/>
      </c>
      <c r="BK34" s="493" t="str">
        <f>IF(25=25,IF(AW34="","",IF((SUM(BI34:BJ34))-(0)&gt;0,"X",IF((0)-(0)&gt;0,"?",""))),"")</f>
        <v/>
      </c>
      <c r="BL34" s="493" t="str" cm="1">
        <f t="array" ref="BL34">IF(25=25,IF(AW34="","",SUMPRODUCT(--ISNUMBER(SEARCH(" "&amp;DT350:DT407&amp;" ",BC34)))),"")</f>
        <v/>
      </c>
      <c r="BM34" s="493" t="str" cm="1">
        <f t="array" ref="BM34">IF(25=25,IF(AW34="","",SUMPRODUCT(--ISNUMBER(SEARCH(" "&amp;DT408:DT435&amp;" ",BN34)))+SUMPRODUCT(--ISNUMBER(SEARCH(" "&amp;DT2449:DT2462&amp;" ",BN34)))),"")</f>
        <v/>
      </c>
      <c r="BN34" s="493" t="str">
        <f>IF(25=25,IF(AW34="","",SUBSTITUTE(SUBSTITUTE(SUBSTITUTE(SUBSTITUTE(SUBSTITUTE(SUBSTITUTE(SUBSTITUTE(SUBSTITUTE(SUBSTITUTE(SUBSTITUTE(SUBSTITUTE(SUBSTITUTE(SUBSTITUTE(SUBSTITUTE(BC34," "&amp;DT2464&amp;" "," ")," "&amp;DT442&amp;" "," ")," "&amp;DT440&amp;" "," ")," "&amp;DT2447&amp;" "," ")," "&amp;DT2448&amp;" "," ")," "&amp;DT437&amp;" "," ")," "&amp;DT441&amp;" "," ")," "&amp;DT443&amp;" "," ")," "&amp;DT438&amp;" "," ")," "&amp;DT436&amp;" "," ")," "&amp;DT1376&amp;" "," ")," "&amp;DT444&amp;" "," ")," "&amp;DT1375&amp;" "," ")," "&amp;DT439&amp;" "," ")),"")</f>
        <v/>
      </c>
      <c r="BO34" s="493" t="str">
        <f>IF(25=25,IF(AW34="","",IF(BL34&gt;0,"X",IF(BM34&gt;0,"?",""))),"")</f>
        <v/>
      </c>
      <c r="BP34" s="493" t="str" cm="1">
        <f t="array" ref="BP34">IF(25=25,IF(AW34="","",SUMPRODUCT(--ISNUMBER(SEARCH(" "&amp;DT445:DT544&amp;" ",BZ34)))),"")</f>
        <v/>
      </c>
      <c r="BQ34" s="493" t="str" cm="1">
        <f t="array" ref="BQ34">IF(25=25,IF(AW34="","",SUMPRODUCT(--ISNUMBER(SEARCH(" "&amp;DT545:DT644&amp;" ",BZ34)))),"")</f>
        <v/>
      </c>
      <c r="BR34" s="493" t="str" cm="1">
        <f t="array" ref="BR34">IF(25=25,IF(AW34="","",SUMPRODUCT(--ISNUMBER(SEARCH(" "&amp;DT645:DT744&amp;" ",BZ34)))),"")</f>
        <v/>
      </c>
      <c r="BS34" s="493" t="str" cm="1">
        <f t="array" ref="BS34">IF(25=25,IF(AW34="","",SUMPRODUCT(--ISNUMBER(SEARCH(" "&amp;DT745:DT844&amp;" ",BZ34)))),"")</f>
        <v/>
      </c>
      <c r="BT34" s="493" t="str" cm="1">
        <f t="array" ref="BT34">IF(25=25,IF(AW34="","",SUMPRODUCT(--ISNUMBER(SEARCH(" "&amp;DT845:DT944&amp;" ",BZ34)))),"")</f>
        <v/>
      </c>
      <c r="BU34" s="493" t="str" cm="1">
        <f t="array" ref="BU34">IF(25=25,IF(AW34="","",SUMPRODUCT(--ISNUMBER(SEARCH(" "&amp;DT945:DT1044&amp;" ",BZ34)))),"")</f>
        <v/>
      </c>
      <c r="BV34" s="493" t="str" cm="1">
        <f t="array" ref="BV34">IF(25=25,IF(AW34="","",SUMPRODUCT(--ISNUMBER(SEARCH(" "&amp;DT1045:DT1144&amp;" ",BZ34)))),"")</f>
        <v/>
      </c>
      <c r="BW34" s="493" t="str" cm="1">
        <f t="array" ref="BW34">IF(25=25,IF(AW34="","",SUMPRODUCT(--ISNUMBER(SEARCH(" "&amp;DT1145:DT1244&amp;" ",BZ34)))),"")</f>
        <v/>
      </c>
      <c r="BX34" s="493" t="str" cm="1">
        <f t="array" ref="BX34">IF(25=25,IF(AW34="","",SUMPRODUCT(--ISNUMBER(SEARCH(" "&amp;DT1245:DT1344&amp;" ",BZ34)))),"")</f>
        <v/>
      </c>
      <c r="BY34" s="493" t="str" cm="1">
        <f t="array" ref="BY34">IF(25=25,IF(AW34="","",SUMPRODUCT(--ISNUMBER(SEARCH(" "&amp;DT1345:DT1372&amp;" ",BZ34)))),"")</f>
        <v/>
      </c>
      <c r="BZ34" s="493" t="str">
        <f>IF(25=25,IF(AW34="","",SUBSTITUTE(SUBSTITUTE(SUBSTITUTE(SUBSTITUTE(SUBSTITUTE(SUBSTITUTE(SUBSTITUTE(SUBSTITUTE(SUBSTITUTE(BC34," "&amp;DT1374&amp;" "," ")," "&amp;DT1373&amp;" "," ")," "&amp;DT1379&amp;" "," ")," "&amp;DT1380&amp;" "," ")," "&amp;DT1376&amp;" "," ")," "&amp;DT1378&amp;" "," ")," "&amp;DT1375&amp;" "," ")," "&amp;DT1377&amp;" "," ")," "&amp;DT1381&amp;" "," ")),"")</f>
        <v/>
      </c>
      <c r="CA34" s="493" t="str" cm="1">
        <f t="array" ref="CA34">IF(25=25,IF(AW34="","",SUMPRODUCT(--ISNUMBER(SEARCH(" "&amp;DT1382:DT1392&amp;" ",BZ34)))),"")</f>
        <v/>
      </c>
      <c r="CB34" s="493" t="str" cm="1">
        <f t="array" ref="CB34">IF(25=25,IF(AW34="","",IF(SUM(BP34:BY34)+SUMPRODUCT(--ISNUMBER(SEARCH(" "&amp;DT2430:DT2431&amp;" ",BZ34)))&gt;0,"X",IF(CA34&gt;0,"?",""))),"")</f>
        <v/>
      </c>
      <c r="CC34" s="493" t="str" cm="1">
        <f t="array" ref="CC34">IF(25=25,IF(AW34="","",SUMPRODUCT(--ISNUMBER(SEARCH(" "&amp;DT1393:DT1413&amp;" ",BC34)))),"")</f>
        <v/>
      </c>
      <c r="CD34" s="493" t="str">
        <f>IF(25=25,IF(AW34="","",IF((CC34)-(0)&gt;0,"X",IF((0)-(0)&gt;0,"?",""))),"")</f>
        <v/>
      </c>
      <c r="CE34" s="493" t="str" cm="1">
        <f t="array" ref="CE34">IF(25=25,IF(AW34="","",SUMPRODUCT(--ISNUMBER(SEARCH(" "&amp;DT1414:DT1451&amp;" ",CF34)))),"")</f>
        <v/>
      </c>
      <c r="CF34" s="493" t="str">
        <f>IF(25=25,IF(AW34="","",SUBSTITUTE(SUBSTITUTE(BC34," "&amp;DT1452&amp;" "," ")," "&amp;DT1453&amp;" "," ")),"")</f>
        <v/>
      </c>
      <c r="CG34" s="493" t="str" cm="1">
        <f t="array" ref="CG34">IF(25=25,IF(AW34="","",SUMPRODUCT(--ISNUMBER(SEARCH(" "&amp;DT1454:DT1464&amp;" ",CF34)))),"")</f>
        <v/>
      </c>
      <c r="CH34" s="493" t="str">
        <f>IF(25=25,IF(AW34="","",IF(CE34&gt;0,"X",IF(CG34&gt;0,"?",""))),"")</f>
        <v/>
      </c>
      <c r="CI34" s="493" t="str" cm="1">
        <f t="array" ref="CI34">IF(25=25,IF(AW34="","",SUMPRODUCT(--ISNUMBER(SEARCH(" "&amp;DT1465:DT1564&amp;" ",CL34)))),"")</f>
        <v/>
      </c>
      <c r="CJ34" s="493" t="str" cm="1">
        <f t="array" ref="CJ34">IF(25=25,IF(AW34="","",SUMPRODUCT(--ISNUMBER(SEARCH(" "&amp;DT1565:DT1664&amp;" ",CL34)))),"")</f>
        <v/>
      </c>
      <c r="CK34" s="493" t="str" cm="1">
        <f t="array" ref="CK34">IF(25=25,IF(AW34="","",SUMPRODUCT(--ISNUMBER(SEARCH(" "&amp;DT1665:DT1748&amp;" ",CL34)))),"")</f>
        <v/>
      </c>
      <c r="CL34" s="493" t="str">
        <f>IF(25=25,IF(AW34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34,"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34" s="493" t="str" cm="1">
        <f t="array" ref="CM34">IF(25=25,IF(AW34="","",SUMPRODUCT(--ISNUMBER(SEARCH(" "&amp;DT1799:DT1878&amp;" ",CN34)))+SUMPRODUCT(--ISNUMBER(SEARCH(" "&amp;DT2449:DT2462&amp;" ",CN34)))),"")</f>
        <v/>
      </c>
      <c r="CN34" s="493" t="str">
        <f>IF(25=25,IF(AW34="","",SUBSTITUTE(SUBSTITUTE(SUBSTITUTE(SUBSTITUTE(SUBSTITUTE(SUBSTITUTE(SUBSTITUTE(SUBSTITUTE(SUBSTITUTE(SUBSTITUTE(SUBSTITUTE(SUBSTITUTE(SUBSTITUTE(CL34," "&amp;DT1885&amp;" "," ")," "&amp;DT1883&amp;" "," ")," "&amp;DT2447&amp;" "," ")," "&amp;DT2448&amp;" "," ")," "&amp;DT1880&amp;" "," ")," "&amp;DT1884&amp;" "," ")," "&amp;DT1886&amp;" "," ")," "&amp;DT1881&amp;" "," ")," "&amp;DT1879&amp;" "," ")," "&amp;DT1376&amp;" "," ")," "&amp;DT1887&amp;" "," ")," "&amp;DT1375&amp;" "," ")," "&amp;DT1882&amp;" "," ")),"")</f>
        <v/>
      </c>
      <c r="CO34" s="493" t="str" cm="1">
        <f t="array" ref="CO34">IF(25=25,IF(AW34="","",IF(SUM(CI34:CK34)+SUMPRODUCT(--ISNUMBER(SEARCH(" "&amp;DT2432:DT2433&amp;" ",CL34)))&gt;0,"X",IF(CM34&gt;0,"?",""))),"")</f>
        <v/>
      </c>
      <c r="CP34" s="493" t="str" cm="1">
        <f t="array" ref="CP34">IF(25=25,IF(AW34="","",SUMPRODUCT(--ISNUMBER(SEARCH(" "&amp;DT1888:DT1945&amp;" ",CQ34)))),"")</f>
        <v/>
      </c>
      <c r="CQ34" s="493" t="str">
        <f>IF(25=25,IF(AW34="","",SUBSTITUTE(SUBSTITUTE(SUBSTITUTE(SUBSTITUTE(SUBSTITUTE(SUBSTITUTE(SUBSTITUTE(SUBSTITUTE(SUBSTITUTE(SUBSTITUTE(SUBSTITUTE(SUBSTITUTE(SUBSTITUTE(SUBSTITUTE(SUBSTITUTE(SUBSTITUTE(SUBSTITUTE(SUBSTITUTE(SUBSTITUTE(SUBSTITUTE(SUBSTITUTE(SUBSTITUTE(SUBSTITUTE(BC34,"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34" s="493" t="str" cm="1">
        <f t="array" ref="CR34">IF(25=25,IF(AW34="","",SUMPRODUCT(--ISNUMBER(SEARCH(" "&amp;DT1969:DT1985&amp;" ",CQ34)))),"")</f>
        <v/>
      </c>
      <c r="CS34" s="493" t="str">
        <f>IF(25=25,IF(AW34="","",IF(CP34&gt;0,"X",IF(CR34&gt;0,"?",""))),"")</f>
        <v/>
      </c>
      <c r="CT34" s="493" t="str" cm="1">
        <f t="array" ref="CT34">IF(25=25,IF(AW34="","",SUMPRODUCT(--ISNUMBER(SEARCH(" "&amp;DT1986:DT1999&amp;" ",BC34)))),"")</f>
        <v/>
      </c>
      <c r="CU34" s="493" t="str" cm="1">
        <f t="array" ref="CU34">IF(25=25,IF(AW34="","",SUMPRODUCT(--ISNUMBER(SEARCH(" "&amp;DT2000:DT2014&amp;" ",BC34)))),"")</f>
        <v/>
      </c>
      <c r="CV34" s="493" t="str">
        <f>IF(25=25,IF(AW34="","",IF((CT34)-(0)&gt;0,"X",IF((CU34)-(0)&gt;0,"?",""))),"")</f>
        <v/>
      </c>
      <c r="CW34" s="493" t="str" cm="1">
        <f t="array" ref="CW34">IF(25=25,IF(AW34="","",SUMPRODUCT(--ISNUMBER(SEARCH(" "&amp;DT2015:DT2032&amp;" ",BC34)))),"")</f>
        <v/>
      </c>
      <c r="CX34" s="493" t="str" cm="1">
        <f t="array" ref="CX34">IF(25=25,IF(AW34="","",SUMPRODUCT(--ISNUMBER(SEARCH(" "&amp;DT2033:DT2047&amp;" ",BC34)))),"")</f>
        <v/>
      </c>
      <c r="CY34" s="493" t="str">
        <f>IF(25=25,IF(AW34="","",IF((CW34)-(0)&gt;0,"X",IF((CX34)-(0)&gt;0,"?",""))),"")</f>
        <v/>
      </c>
      <c r="CZ34" s="493" t="str" cm="1">
        <f t="array" ref="CZ34">IF(25=25,IF(AW34="","",SUMPRODUCT(--ISNUMBER(SEARCH(" "&amp;DT2048:DT2066&amp;" ",BC34)))),"")</f>
        <v/>
      </c>
      <c r="DA34" s="493" t="str" cm="1">
        <f t="array" ref="DA34">IF(25=25,IF(AW34="","",SUMPRODUCT(--ISNUMBER(SEARCH(" "&amp;DT2067:DT2081&amp;" ",BC34)))),"")</f>
        <v/>
      </c>
      <c r="DB34" s="493" t="str">
        <f>IF(25=25,IF(AW34="","",IF((CZ34)-(0)&gt;0,"X",IF((DA34)-(0)&gt;0,"?",""))),"")</f>
        <v/>
      </c>
      <c r="DC34" s="493" t="str" cm="1">
        <f t="array" ref="DC34">IF(25=25,IF(AW34="","",SUMPRODUCT(--ISNUMBER(SEARCH(" "&amp;DT2082:DT2102&amp;" ",BC34)))),"")</f>
        <v/>
      </c>
      <c r="DD34" s="493" t="str" cm="1">
        <f t="array" ref="DD34">IF(25=25,IF(AW34="","",SUMPRODUCT(--ISNUMBER(SEARCH(" "&amp;DT2103:DT2142&amp;" ",SUBSTITUTE(SUBSTITUTE(BC34," "&amp;DT1376&amp;" "," ")," "&amp;DT1375&amp;" "," "))))+--ISNUMBER(SEARCH("poiré",AX34))),"")</f>
        <v/>
      </c>
      <c r="DE34" s="493" t="str">
        <f>IF(25=25,IF(AW34="","",IF(OR(DC34&gt;0,ISNUMBER(SEARCH(" vinaigre de vin ",BC34)),ISNUMBER(SEARCH(" vinaigre au vin ",BC34))),"X",IF(DD34&gt;0,"?",""))),"")</f>
        <v/>
      </c>
      <c r="DF34" s="493" t="str" cm="1">
        <f t="array" ref="DF34">IF(25=25,IF(AW34="","",SUMPRODUCT(--ISNUMBER(SEARCH(" "&amp;DT2143:DT2155&amp;" ",BC34)))),"")</f>
        <v/>
      </c>
      <c r="DG34" s="493" t="str" cm="1">
        <f t="array" ref="DG34">IF(25=25,IF(AW34="","",SUMPRODUCT(--ISNUMBER(SEARCH(" "&amp;DT2156:DT2161&amp;" ",BC34)))),"")</f>
        <v/>
      </c>
      <c r="DH34" s="493" t="str">
        <f>IF(25=25,IF(AW34="","",IF((DF34)-(0)&gt;0,"X",IF((DG34)-(0)&gt;0,"?",""))),"")</f>
        <v/>
      </c>
      <c r="DI34" s="493" t="str" cm="1">
        <f t="array" ref="DI34">IF(25=25,IF(AW34="","",SUMPRODUCT(--ISNUMBER(SEARCH(" "&amp;DT2162:DT2261&amp;" ",DL34)))),"")</f>
        <v/>
      </c>
      <c r="DJ34" s="493" t="str" cm="1">
        <f t="array" ref="DJ34">IF(25=25,IF(AW34="","",SUMPRODUCT(--ISNUMBER(SEARCH(" "&amp;DT2262:DT2361&amp;" ",DL34)))),"")</f>
        <v/>
      </c>
      <c r="DK34" s="493" t="str" cm="1">
        <f t="array" ref="DK34">IF(25=25,IF(AW34="","",SUMPRODUCT(--ISNUMBER(SEARCH(" "&amp;DT2362:DT2404&amp;" ",DL34)))),"")</f>
        <v/>
      </c>
      <c r="DL34" s="493" t="str">
        <f>IF(25=25,IF(AW34="","",SUBSTITUTE(SUBSTITUTE(SUBSTITUTE(SUBSTITUTE(SUBSTITUTE(SUBSTITUTE(SUBSTITUTE(SUBSTITUTE(SUBSTITUTE(SUBSTITUTE(SUBSTITUTE(SUBSTITUTE(SUBSTITUTE(SUBSTITUTE(SUBSTITUTE(SUBSTITUTE(BC34," "&amp;DT2410&amp;" "," ")," "&amp;DT2409&amp;" "," ")," "&amp;DT2408&amp;" "," ")," "&amp;DT2415&amp;" "," ")," "&amp;DT2407&amp;" "," ")," "&amp;DT2419&amp;" "," ")," "&amp;DT2406&amp;" "," ")," "&amp;DT2411&amp;" "," ")," "&amp;DT2414&amp;" "," ")," "&amp;DT2405&amp;" "," ")," "&amp;DT2413&amp;" "," ")," "&amp;DT2420&amp;" "," ")," "&amp;DT2417&amp;" "," ")," "&amp;DT2412&amp;" "," ")," "&amp;DT2416&amp;" "," ")," "&amp;DT2418&amp;" "," ")),"")</f>
        <v/>
      </c>
      <c r="DM34" s="493" t="str" cm="1">
        <f t="array" ref="DM34">IF(25=25,IF(AW34="","",SUMPRODUCT(--ISNUMBER(SEARCH(" "&amp;DT2421:DT2425&amp;" ",DL34)))),"")</f>
        <v/>
      </c>
      <c r="DN34" s="493" t="str">
        <f>IF(25=25,IF(AW34="","",IF(SUM(DI34:DK34)&gt;0,"X",IF(DM34&gt;0,"?",""))),"")</f>
        <v/>
      </c>
      <c r="DO34" s="494"/>
      <c r="DP34" s="496" t="s">
        <v>1188</v>
      </c>
      <c r="DQ34" s="496" t="s">
        <v>1083</v>
      </c>
      <c r="DR34" s="496" t="s">
        <v>689</v>
      </c>
      <c r="DS34" s="496" t="s">
        <v>891</v>
      </c>
      <c r="DT34" s="496" t="s">
        <v>891</v>
      </c>
      <c r="DU34" s="496" t="s">
        <v>1085</v>
      </c>
      <c r="DV34" s="496" t="s">
        <v>1086</v>
      </c>
      <c r="DW34" s="496" t="s">
        <v>1087</v>
      </c>
      <c r="DX34" s="497" t="s">
        <v>1088</v>
      </c>
      <c r="DZ34" s="543">
        <v>1</v>
      </c>
      <c r="EB34" s="493"/>
      <c r="EC34" s="493"/>
    </row>
    <row r="35" spans="5:133" ht="21" customHeight="1">
      <c r="E35" s="865" t="s">
        <v>737</v>
      </c>
      <c r="F35" s="866" t="str">
        <f>F12</f>
        <v>M MACÉDOINE DE LÉGUMES AU COULIS DE TOMATE | HORS D'ŒUVRE texture modifiée-cuidité-MACEDOINE| Auteur &gt; Annette et Jean Pierre DOMERGUES - 45000 ORLÉANS 1981</v>
      </c>
      <c r="G35" s="866">
        <f>G12</f>
        <v>10</v>
      </c>
      <c r="H35" s="867" t="str">
        <f>H12</f>
        <v>couverts</v>
      </c>
      <c r="I35" s="868" t="str">
        <f>I12</f>
        <v>Recette mère ►  Textures modifiées</v>
      </c>
      <c r="J35" s="869"/>
      <c r="K35" s="869"/>
      <c r="L35" s="869"/>
      <c r="M35" s="869"/>
      <c r="N35" s="869"/>
      <c r="O35" s="870" t="s">
        <v>736</v>
      </c>
      <c r="P35" s="871" t="s">
        <v>821</v>
      </c>
      <c r="Q35" s="872"/>
      <c r="R35" s="872"/>
      <c r="S35" s="873"/>
      <c r="T35" s="873"/>
      <c r="U35" s="874"/>
      <c r="V35" s="874"/>
      <c r="W35" s="875"/>
      <c r="X35" s="875"/>
      <c r="Y35" s="876" t="s">
        <v>822</v>
      </c>
      <c r="AA35" s="732"/>
      <c r="AC35" s="509">
        <v>20</v>
      </c>
      <c r="AD35" s="808"/>
      <c r="AE35" s="679" t="str">
        <f t="shared" si="3"/>
        <v/>
      </c>
      <c r="AF35" s="512" t="str">
        <f>IF(26=26,IF(AD35="","",IF(AG35="X",""&amp;"Céréales contenant du gluten","")&amp;IF(AH35="X",IF(COUNTIF(AG35:AG35,"X")&gt;0,", ","")&amp;"Crustacés","")&amp;IF(AI35="X",IF(COUNTIF(AG35:AH35,"X")&gt;0,", ","")&amp;"Œufs","")&amp;IF(AJ35="X",IF(COUNTIF(AG35:AI35,"X")&gt;0,", ","")&amp;"Poissons","")&amp;IF(AK35="X",IF(COUNTIF(AG35:AJ35,"X")&gt;0,", ","")&amp;"Arachides","")&amp;IF(AL35="X",IF(COUNTIF(AG35:AK35,"X")&gt;0,", ","")&amp;"Soja","")&amp;IF(AM35="X",IF(COUNTIF(AG35:AL35,"X")&gt;0,", ","")&amp;"Lait","")&amp;IF(AN35="X",IF(COUNTIF(AG35:AM35,"X")&gt;0,", ","")&amp;"Fruits à coque","")&amp;IF(AO35="X",IF(COUNTIF(AG35:AN35,"X")&gt;0,", ","")&amp;"Céleri","")&amp;IF(AP35="X",IF(COUNTIF(AG35:AO35,"X")&gt;0,", ","")&amp;"Moutarde","")&amp;IF(AQ35="X",IF(COUNTIF(AG35:AP35,"X")&gt;0,", ","")&amp;"Sésame","")&amp;IF(AR35="X",IF(COUNTIF(AG35:AQ35,"X")&gt;0,", ","")&amp;"Sulfites","")&amp;IF(AS35="X",IF(COUNTIF(AG35:AR35,"X")&gt;0,", ","")&amp;"Lupin","")&amp;IF(AT35="X",IF(COUNTIF(AG35:AS35,"X")&gt;0,", ","")&amp;"Mollusques","")),"")</f>
        <v/>
      </c>
      <c r="AG35" s="513" t="str">
        <f>IF(26=26,IF(AD35="","",BH35),"")</f>
        <v/>
      </c>
      <c r="AH35" s="513" t="str">
        <f>IF(26=26,IF(AD35="","",BK35),"")</f>
        <v/>
      </c>
      <c r="AI35" s="513" t="str">
        <f>IF(26=26,IF(AD35="","",BO35),"")</f>
        <v/>
      </c>
      <c r="AJ35" s="513" t="str">
        <f>IF(26=26,IF(AD35="","",IF(ISNUMBER(SEARCH(" colin ",BC35)),"X",CB35)),"")</f>
        <v/>
      </c>
      <c r="AK35" s="513" t="str">
        <f>IF(26=26,IF(AD35="","",CD35),"")</f>
        <v/>
      </c>
      <c r="AL35" s="513" t="str">
        <f>IF(26=26,IF(AD35="","",CH35),"")</f>
        <v/>
      </c>
      <c r="AM35" s="513" t="str">
        <f>IF(26=26,IF(AD35="","",CO35),"")</f>
        <v/>
      </c>
      <c r="AN35" s="513" t="str">
        <f>IF(26=26,IF(AD35="","",CS35),"")</f>
        <v/>
      </c>
      <c r="AO35" s="513" t="str">
        <f>IF(26=26,IF(AD35="","",CV35),"")</f>
        <v/>
      </c>
      <c r="AP35" s="513" t="str">
        <f>IF(26=26,IF(AD35="","",CY35),"")</f>
        <v/>
      </c>
      <c r="AQ35" s="513" t="str">
        <f>IF(26=26,IF(AD35="","",DB35),"")</f>
        <v/>
      </c>
      <c r="AR35" s="513" t="str">
        <f>IF(26=26,IF(AD35="","",DE35),"")</f>
        <v/>
      </c>
      <c r="AS35" s="513" t="str">
        <f>IF(26=26,IF(AD35="","",DH35),"")</f>
        <v/>
      </c>
      <c r="AT35" s="513" t="str">
        <f>IF(26=26,IF(AD35="","",DN35),"")</f>
        <v/>
      </c>
      <c r="AU35" s="514" t="str">
        <f>IF(26=26,IF(AD35="","",IF(AG35="?",""&amp;"Céréales contenant du gluten","")&amp;IF(AH35="?",IF(COUNTIF(AG35:AG35,"~?")&gt;0,", ","")&amp;"Crustacés","")&amp;IF(AI35="?",IF(COUNTIF(AG35:AH35,"~?")&gt;0,", ","")&amp;"Œufs","")&amp;IF(AJ35="?",IF(COUNTIF(AG35:AI35,"~?")&gt;0,", ","")&amp;"Poissons","")&amp;IF(AK35="?",IF(COUNTIF(AG35:AJ35,"~?")&gt;0,", ","")&amp;"Arachides","")&amp;IF(AL35="?",IF(COUNTIF(AG35:AK35,"~?")&gt;0,", ","")&amp;"Soja","")&amp;IF(AM35="?",IF(COUNTIF(AG35:AL35,"~?")&gt;0,", ","")&amp;"Lait","")&amp;IF(AN35="?",IF(COUNTIF(AG35:AM35,"~?")&gt;0,", ","")&amp;"Fruits à coque","")&amp;IF(AO35="?",IF(COUNTIF(AG35:AN35,"~?")&gt;0,", ","")&amp;"Céleri","")&amp;IF(AP35="?",IF(COUNTIF(AG35:AO35,"~?")&gt;0,", ","")&amp;"Moutarde","")&amp;IF(AQ35="?",IF(COUNTIF(AG35:AP35,"~?")&gt;0,", ","")&amp;"Sésame","")&amp;IF(AR35="?",IF(COUNTIF(AG35:AQ35,"~?")&gt;0,", ","")&amp;"Sulfites","")&amp;IF(AS35="?",IF(COUNTIF(AG35:AR35,"~?")&gt;0,", ","")&amp;"Lupin","")&amp;IF(AT35="?",IF(COUNTIF(AG35:AS35,"~?")&gt;0,", ","")&amp;"Mollusques","")),"")</f>
        <v/>
      </c>
      <c r="AW35" s="493" t="str">
        <f>IF(26=26,IF(AD35="","",AD35),"")</f>
        <v/>
      </c>
      <c r="AX35" s="493" t="str">
        <f>IF(26=26,LOWER(CLEAN(SUBSTITUTE(SUBSTITUTE(SUBSTITUTE(SUBSTITUTE(AW35,CHAR(160)," ")," "," "),CHAR(10)," "),CHAR(13)," "))),"")</f>
        <v/>
      </c>
      <c r="AY35" s="493" t="str">
        <f>IF(26=26,SUBSTITUTE(SUBSTITUTE(SUBSTITUTE(SUBSTITUTE(SUBSTITUTE(SUBSTITUTE(SUBSTITUTE(SUBSTITUTE(SUBSTITUTE(SUBSTITUTE(SUBSTITUTE(SUBSTITUTE(AX35,"œ","oe"),"æ","ae"),"à","a"),"á","a"),"â","a"),"ä","a"),"ã","a"),"ç","c"),"è","e"),"é","e"),"ê","e"),"ë","e"),"")</f>
        <v/>
      </c>
      <c r="AZ35" s="493" t="str">
        <f>IF(26=26,SUBSTITUTE(SUBSTITUTE(SUBSTITUTE(SUBSTITUTE(SUBSTITUTE(SUBSTITUTE(SUBSTITUTE(SUBSTITUTE(SUBSTITUTE(SUBSTITUTE(SUBSTITUTE(SUBSTITUTE(SUBSTITUTE(SUBSTITUTE(SUBSTITUTE(SUBSTITUTE(AY35,"ì","i"),"í","i"),"î","i"),"ï","i"),"ñ","n"),"ò","o"),"ó","o"),"ô","o"),"ö","o"),"õ","o"),"ù","u"),"ú","u"),"û","u"),"ü","u"),"ý","y"),"ÿ","y"),"")</f>
        <v/>
      </c>
      <c r="BA35" s="493" t="str">
        <f>IF(26=26,SUBSTITUTE(SUBSTITUTE(SUBSTITUTE(SUBSTITUTE(SUBSTITUTE(SUBSTITUTE(SUBSTITUTE(SUBSTITUTE(SUBSTITUTE(SUBSTITUTE(SUBSTITUTE(SUBSTITUTE(SUBSTITUTE(SUBSTITUTE(AZ35,"’"," "),"`"," "),"–"," "),"—"," "),"-"," "),"'"," "),"/"," "),"_"," "),","," "),"."," "),"("," "),")"," "),";"," "),":"," "),"")</f>
        <v/>
      </c>
      <c r="BB35" s="493" t="str">
        <f>IF(26=26,SUBSTITUTE(SUBSTITUTE(SUBSTITUTE(SUBSTITUTE(SUBSTITUTE(SUBSTITUTE(SUBSTITUTE(SUBSTITUTE(SUBSTITUTE(SUBSTITUTE(SUBSTITUTE(SUBSTITUTE(SUBSTITUTE(SUBSTITUTE(SUBSTITUTE(BA35,"!"," "),"?"," "),"+"," "),"*"," "),"&amp;"," "),"["," "),"]"," "),"{"," "),"}"," "),"%"," "),"="," "),"\"," "),"|"," "),"&lt;"," "),"&gt;"," "),"")</f>
        <v/>
      </c>
      <c r="BC35" s="493" t="str">
        <f>IF(26=26," "&amp;TRIM(SUBSTITUTE(SUBSTITUTE(SUBSTITUTE(SUBSTITUTE(SUBSTITUTE(SUBSTITUTE(BB35,CHAR(34)," "),"  "," "),"  "," "),"  "," "),"  "," "),"  "," "))&amp;" ","")</f>
        <v xml:space="preserve">  </v>
      </c>
      <c r="BD35" s="493" t="str" cm="1">
        <f t="array" ref="BD35">IF(26=26,IF(AW35="","",SUMPRODUCT(--ISNUMBER(SEARCH(" "&amp;DT11:DT110&amp;" ",BF35)))),"")</f>
        <v/>
      </c>
      <c r="BE35" s="493" t="str" cm="1">
        <f t="array" ref="BE35">IF(26=26,IF(AW35="","",SUMPRODUCT(--ISNUMBER(SEARCH(" "&amp;DT111:DT160&amp;" ",BF35)))),"")</f>
        <v/>
      </c>
      <c r="BF35" s="493" t="str">
        <f>IF(AW35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35,"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35" s="493" t="str" cm="1">
        <f t="array" ref="BG35">IF(AW35="","",SUMPRODUCT(--ISNUMBER(SEARCH(" "&amp;DT193:DT214&amp;" ",BF35)))+--ISNUMBER(SEARCH(" "&amp;DT2463&amp;" ",BF35)))</f>
        <v/>
      </c>
      <c r="BH35" s="493" t="str" cm="1">
        <f t="array" ref="BH35">IF(26=26,IF(AW35="","",IF(SUM(BD35:BE35)+SUMPRODUCT(--ISNUMBER(SEARCH(" "&amp;DT2427:DT2429&amp;" ",BF35)))&gt;0,"X",IF(BG35&gt;0,"?",""))),"")</f>
        <v/>
      </c>
      <c r="BI35" s="493" t="str" cm="1">
        <f t="array" ref="BI35">IF(26=26,IF(AW35="","",SUMPRODUCT(--ISNUMBER(SEARCH(" "&amp;DT215:DT314&amp;" ",BC35)))),"")</f>
        <v/>
      </c>
      <c r="BJ35" s="493" t="str" cm="1">
        <f t="array" ref="BJ35">IF(26=26,IF(AW35="","",SUMPRODUCT(--ISNUMBER(SEARCH(" "&amp;DT315:DT349&amp;" ",BC35)))),"")</f>
        <v/>
      </c>
      <c r="BK35" s="493" t="str">
        <f>IF(26=26,IF(AW35="","",IF((SUM(BI35:BJ35))-(0)&gt;0,"X",IF((0)-(0)&gt;0,"?",""))),"")</f>
        <v/>
      </c>
      <c r="BL35" s="493" t="str" cm="1">
        <f t="array" ref="BL35">IF(26=26,IF(AW35="","",SUMPRODUCT(--ISNUMBER(SEARCH(" "&amp;DT350:DT407&amp;" ",BC35)))),"")</f>
        <v/>
      </c>
      <c r="BM35" s="493" t="str" cm="1">
        <f t="array" ref="BM35">IF(26=26,IF(AW35="","",SUMPRODUCT(--ISNUMBER(SEARCH(" "&amp;DT408:DT435&amp;" ",BN35)))+SUMPRODUCT(--ISNUMBER(SEARCH(" "&amp;DT2449:DT2462&amp;" ",BN35)))),"")</f>
        <v/>
      </c>
      <c r="BN35" s="493" t="str">
        <f>IF(26=26,IF(AW35="","",SUBSTITUTE(SUBSTITUTE(SUBSTITUTE(SUBSTITUTE(SUBSTITUTE(SUBSTITUTE(SUBSTITUTE(SUBSTITUTE(SUBSTITUTE(SUBSTITUTE(SUBSTITUTE(SUBSTITUTE(SUBSTITUTE(SUBSTITUTE(BC35," "&amp;DT2464&amp;" "," ")," "&amp;DT442&amp;" "," ")," "&amp;DT440&amp;" "," ")," "&amp;DT2447&amp;" "," ")," "&amp;DT2448&amp;" "," ")," "&amp;DT437&amp;" "," ")," "&amp;DT441&amp;" "," ")," "&amp;DT443&amp;" "," ")," "&amp;DT438&amp;" "," ")," "&amp;DT436&amp;" "," ")," "&amp;DT1376&amp;" "," ")," "&amp;DT444&amp;" "," ")," "&amp;DT1375&amp;" "," ")," "&amp;DT439&amp;" "," ")),"")</f>
        <v/>
      </c>
      <c r="BO35" s="493" t="str">
        <f>IF(26=26,IF(AW35="","",IF(BL35&gt;0,"X",IF(BM35&gt;0,"?",""))),"")</f>
        <v/>
      </c>
      <c r="BP35" s="493" t="str" cm="1">
        <f t="array" ref="BP35">IF(26=26,IF(AW35="","",SUMPRODUCT(--ISNUMBER(SEARCH(" "&amp;DT445:DT544&amp;" ",BZ35)))),"")</f>
        <v/>
      </c>
      <c r="BQ35" s="493" t="str" cm="1">
        <f t="array" ref="BQ35">IF(26=26,IF(AW35="","",SUMPRODUCT(--ISNUMBER(SEARCH(" "&amp;DT545:DT644&amp;" ",BZ35)))),"")</f>
        <v/>
      </c>
      <c r="BR35" s="493" t="str" cm="1">
        <f t="array" ref="BR35">IF(26=26,IF(AW35="","",SUMPRODUCT(--ISNUMBER(SEARCH(" "&amp;DT645:DT744&amp;" ",BZ35)))),"")</f>
        <v/>
      </c>
      <c r="BS35" s="493" t="str" cm="1">
        <f t="array" ref="BS35">IF(26=26,IF(AW35="","",SUMPRODUCT(--ISNUMBER(SEARCH(" "&amp;DT745:DT844&amp;" ",BZ35)))),"")</f>
        <v/>
      </c>
      <c r="BT35" s="493" t="str" cm="1">
        <f t="array" ref="BT35">IF(26=26,IF(AW35="","",SUMPRODUCT(--ISNUMBER(SEARCH(" "&amp;DT845:DT944&amp;" ",BZ35)))),"")</f>
        <v/>
      </c>
      <c r="BU35" s="493" t="str" cm="1">
        <f t="array" ref="BU35">IF(26=26,IF(AW35="","",SUMPRODUCT(--ISNUMBER(SEARCH(" "&amp;DT945:DT1044&amp;" ",BZ35)))),"")</f>
        <v/>
      </c>
      <c r="BV35" s="493" t="str" cm="1">
        <f t="array" ref="BV35">IF(26=26,IF(AW35="","",SUMPRODUCT(--ISNUMBER(SEARCH(" "&amp;DT1045:DT1144&amp;" ",BZ35)))),"")</f>
        <v/>
      </c>
      <c r="BW35" s="493" t="str" cm="1">
        <f t="array" ref="BW35">IF(26=26,IF(AW35="","",SUMPRODUCT(--ISNUMBER(SEARCH(" "&amp;DT1145:DT1244&amp;" ",BZ35)))),"")</f>
        <v/>
      </c>
      <c r="BX35" s="493" t="str" cm="1">
        <f t="array" ref="BX35">IF(26=26,IF(AW35="","",SUMPRODUCT(--ISNUMBER(SEARCH(" "&amp;DT1245:DT1344&amp;" ",BZ35)))),"")</f>
        <v/>
      </c>
      <c r="BY35" s="493" t="str" cm="1">
        <f t="array" ref="BY35">IF(26=26,IF(AW35="","",SUMPRODUCT(--ISNUMBER(SEARCH(" "&amp;DT1345:DT1372&amp;" ",BZ35)))),"")</f>
        <v/>
      </c>
      <c r="BZ35" s="493" t="str">
        <f>IF(26=26,IF(AW35="","",SUBSTITUTE(SUBSTITUTE(SUBSTITUTE(SUBSTITUTE(SUBSTITUTE(SUBSTITUTE(SUBSTITUTE(SUBSTITUTE(SUBSTITUTE(BC35," "&amp;DT1374&amp;" "," ")," "&amp;DT1373&amp;" "," ")," "&amp;DT1379&amp;" "," ")," "&amp;DT1380&amp;" "," ")," "&amp;DT1376&amp;" "," ")," "&amp;DT1378&amp;" "," ")," "&amp;DT1375&amp;" "," ")," "&amp;DT1377&amp;" "," ")," "&amp;DT1381&amp;" "," ")),"")</f>
        <v/>
      </c>
      <c r="CA35" s="493" t="str" cm="1">
        <f t="array" ref="CA35">IF(26=26,IF(AW35="","",SUMPRODUCT(--ISNUMBER(SEARCH(" "&amp;DT1382:DT1392&amp;" ",BZ35)))),"")</f>
        <v/>
      </c>
      <c r="CB35" s="493" t="str" cm="1">
        <f t="array" ref="CB35">IF(26=26,IF(AW35="","",IF(SUM(BP35:BY35)+SUMPRODUCT(--ISNUMBER(SEARCH(" "&amp;DT2430:DT2431&amp;" ",BZ35)))&gt;0,"X",IF(CA35&gt;0,"?",""))),"")</f>
        <v/>
      </c>
      <c r="CC35" s="493" t="str" cm="1">
        <f t="array" ref="CC35">IF(26=26,IF(AW35="","",SUMPRODUCT(--ISNUMBER(SEARCH(" "&amp;DT1393:DT1413&amp;" ",BC35)))),"")</f>
        <v/>
      </c>
      <c r="CD35" s="493" t="str">
        <f>IF(26=26,IF(AW35="","",IF((CC35)-(0)&gt;0,"X",IF((0)-(0)&gt;0,"?",""))),"")</f>
        <v/>
      </c>
      <c r="CE35" s="493" t="str" cm="1">
        <f t="array" ref="CE35">IF(26=26,IF(AW35="","",SUMPRODUCT(--ISNUMBER(SEARCH(" "&amp;DT1414:DT1451&amp;" ",CF35)))),"")</f>
        <v/>
      </c>
      <c r="CF35" s="493" t="str">
        <f>IF(26=26,IF(AW35="","",SUBSTITUTE(SUBSTITUTE(BC35," "&amp;DT1452&amp;" "," ")," "&amp;DT1453&amp;" "," ")),"")</f>
        <v/>
      </c>
      <c r="CG35" s="493" t="str" cm="1">
        <f t="array" ref="CG35">IF(26=26,IF(AW35="","",SUMPRODUCT(--ISNUMBER(SEARCH(" "&amp;DT1454:DT1464&amp;" ",CF35)))),"")</f>
        <v/>
      </c>
      <c r="CH35" s="493" t="str">
        <f>IF(26=26,IF(AW35="","",IF(CE35&gt;0,"X",IF(CG35&gt;0,"?",""))),"")</f>
        <v/>
      </c>
      <c r="CI35" s="493" t="str" cm="1">
        <f t="array" ref="CI35">IF(26=26,IF(AW35="","",SUMPRODUCT(--ISNUMBER(SEARCH(" "&amp;DT1465:DT1564&amp;" ",CL35)))),"")</f>
        <v/>
      </c>
      <c r="CJ35" s="493" t="str" cm="1">
        <f t="array" ref="CJ35">IF(26=26,IF(AW35="","",SUMPRODUCT(--ISNUMBER(SEARCH(" "&amp;DT1565:DT1664&amp;" ",CL35)))),"")</f>
        <v/>
      </c>
      <c r="CK35" s="493" t="str" cm="1">
        <f t="array" ref="CK35">IF(26=26,IF(AW35="","",SUMPRODUCT(--ISNUMBER(SEARCH(" "&amp;DT1665:DT1748&amp;" ",CL35)))),"")</f>
        <v/>
      </c>
      <c r="CL35" s="493" t="str">
        <f>IF(26=26,IF(AW35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35,"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35" s="493" t="str" cm="1">
        <f t="array" ref="CM35">IF(26=26,IF(AW35="","",SUMPRODUCT(--ISNUMBER(SEARCH(" "&amp;DT1799:DT1878&amp;" ",CN35)))+SUMPRODUCT(--ISNUMBER(SEARCH(" "&amp;DT2449:DT2462&amp;" ",CN35)))),"")</f>
        <v/>
      </c>
      <c r="CN35" s="493" t="str">
        <f>IF(26=26,IF(AW35="","",SUBSTITUTE(SUBSTITUTE(SUBSTITUTE(SUBSTITUTE(SUBSTITUTE(SUBSTITUTE(SUBSTITUTE(SUBSTITUTE(SUBSTITUTE(SUBSTITUTE(SUBSTITUTE(SUBSTITUTE(SUBSTITUTE(CL35," "&amp;DT1885&amp;" "," ")," "&amp;DT1883&amp;" "," ")," "&amp;DT2447&amp;" "," ")," "&amp;DT2448&amp;" "," ")," "&amp;DT1880&amp;" "," ")," "&amp;DT1884&amp;" "," ")," "&amp;DT1886&amp;" "," ")," "&amp;DT1881&amp;" "," ")," "&amp;DT1879&amp;" "," ")," "&amp;DT1376&amp;" "," ")," "&amp;DT1887&amp;" "," ")," "&amp;DT1375&amp;" "," ")," "&amp;DT1882&amp;" "," ")),"")</f>
        <v/>
      </c>
      <c r="CO35" s="493" t="str" cm="1">
        <f t="array" ref="CO35">IF(26=26,IF(AW35="","",IF(SUM(CI35:CK35)+SUMPRODUCT(--ISNUMBER(SEARCH(" "&amp;DT2432:DT2433&amp;" ",CL35)))&gt;0,"X",IF(CM35&gt;0,"?",""))),"")</f>
        <v/>
      </c>
      <c r="CP35" s="493" t="str" cm="1">
        <f t="array" ref="CP35">IF(26=26,IF(AW35="","",SUMPRODUCT(--ISNUMBER(SEARCH(" "&amp;DT1888:DT1945&amp;" ",CQ35)))),"")</f>
        <v/>
      </c>
      <c r="CQ35" s="493" t="str">
        <f>IF(26=26,IF(AW35="","",SUBSTITUTE(SUBSTITUTE(SUBSTITUTE(SUBSTITUTE(SUBSTITUTE(SUBSTITUTE(SUBSTITUTE(SUBSTITUTE(SUBSTITUTE(SUBSTITUTE(SUBSTITUTE(SUBSTITUTE(SUBSTITUTE(SUBSTITUTE(SUBSTITUTE(SUBSTITUTE(SUBSTITUTE(SUBSTITUTE(SUBSTITUTE(SUBSTITUTE(SUBSTITUTE(SUBSTITUTE(SUBSTITUTE(BC35,"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35" s="493" t="str" cm="1">
        <f t="array" ref="CR35">IF(26=26,IF(AW35="","",SUMPRODUCT(--ISNUMBER(SEARCH(" "&amp;DT1969:DT1985&amp;" ",CQ35)))),"")</f>
        <v/>
      </c>
      <c r="CS35" s="493" t="str">
        <f>IF(26=26,IF(AW35="","",IF(CP35&gt;0,"X",IF(CR35&gt;0,"?",""))),"")</f>
        <v/>
      </c>
      <c r="CT35" s="493" t="str" cm="1">
        <f t="array" ref="CT35">IF(26=26,IF(AW35="","",SUMPRODUCT(--ISNUMBER(SEARCH(" "&amp;DT1986:DT1999&amp;" ",BC35)))),"")</f>
        <v/>
      </c>
      <c r="CU35" s="493" t="str" cm="1">
        <f t="array" ref="CU35">IF(26=26,IF(AW35="","",SUMPRODUCT(--ISNUMBER(SEARCH(" "&amp;DT2000:DT2014&amp;" ",BC35)))),"")</f>
        <v/>
      </c>
      <c r="CV35" s="493" t="str">
        <f>IF(26=26,IF(AW35="","",IF((CT35)-(0)&gt;0,"X",IF((CU35)-(0)&gt;0,"?",""))),"")</f>
        <v/>
      </c>
      <c r="CW35" s="493" t="str" cm="1">
        <f t="array" ref="CW35">IF(26=26,IF(AW35="","",SUMPRODUCT(--ISNUMBER(SEARCH(" "&amp;DT2015:DT2032&amp;" ",BC35)))),"")</f>
        <v/>
      </c>
      <c r="CX35" s="493" t="str" cm="1">
        <f t="array" ref="CX35">IF(26=26,IF(AW35="","",SUMPRODUCT(--ISNUMBER(SEARCH(" "&amp;DT2033:DT2047&amp;" ",BC35)))),"")</f>
        <v/>
      </c>
      <c r="CY35" s="493" t="str">
        <f>IF(26=26,IF(AW35="","",IF((CW35)-(0)&gt;0,"X",IF((CX35)-(0)&gt;0,"?",""))),"")</f>
        <v/>
      </c>
      <c r="CZ35" s="493" t="str" cm="1">
        <f t="array" ref="CZ35">IF(26=26,IF(AW35="","",SUMPRODUCT(--ISNUMBER(SEARCH(" "&amp;DT2048:DT2066&amp;" ",BC35)))),"")</f>
        <v/>
      </c>
      <c r="DA35" s="493" t="str" cm="1">
        <f t="array" ref="DA35">IF(26=26,IF(AW35="","",SUMPRODUCT(--ISNUMBER(SEARCH(" "&amp;DT2067:DT2081&amp;" ",BC35)))),"")</f>
        <v/>
      </c>
      <c r="DB35" s="493" t="str">
        <f>IF(26=26,IF(AW35="","",IF((CZ35)-(0)&gt;0,"X",IF((DA35)-(0)&gt;0,"?",""))),"")</f>
        <v/>
      </c>
      <c r="DC35" s="493" t="str" cm="1">
        <f t="array" ref="DC35">IF(26=26,IF(AW35="","",SUMPRODUCT(--ISNUMBER(SEARCH(" "&amp;DT2082:DT2102&amp;" ",BC35)))),"")</f>
        <v/>
      </c>
      <c r="DD35" s="493" t="str" cm="1">
        <f t="array" ref="DD35">IF(26=26,IF(AW35="","",SUMPRODUCT(--ISNUMBER(SEARCH(" "&amp;DT2103:DT2142&amp;" ",SUBSTITUTE(SUBSTITUTE(BC35," "&amp;DT1376&amp;" "," ")," "&amp;DT1375&amp;" "," "))))+--ISNUMBER(SEARCH("poiré",AX35))),"")</f>
        <v/>
      </c>
      <c r="DE35" s="493" t="str">
        <f>IF(26=26,IF(AW35="","",IF(OR(DC35&gt;0,ISNUMBER(SEARCH(" vinaigre de vin ",BC35)),ISNUMBER(SEARCH(" vinaigre au vin ",BC35))),"X",IF(DD35&gt;0,"?",""))),"")</f>
        <v/>
      </c>
      <c r="DF35" s="493" t="str" cm="1">
        <f t="array" ref="DF35">IF(26=26,IF(AW35="","",SUMPRODUCT(--ISNUMBER(SEARCH(" "&amp;DT2143:DT2155&amp;" ",BC35)))),"")</f>
        <v/>
      </c>
      <c r="DG35" s="493" t="str" cm="1">
        <f t="array" ref="DG35">IF(26=26,IF(AW35="","",SUMPRODUCT(--ISNUMBER(SEARCH(" "&amp;DT2156:DT2161&amp;" ",BC35)))),"")</f>
        <v/>
      </c>
      <c r="DH35" s="493" t="str">
        <f>IF(26=26,IF(AW35="","",IF((DF35)-(0)&gt;0,"X",IF((DG35)-(0)&gt;0,"?",""))),"")</f>
        <v/>
      </c>
      <c r="DI35" s="493" t="str" cm="1">
        <f t="array" ref="DI35">IF(26=26,IF(AW35="","",SUMPRODUCT(--ISNUMBER(SEARCH(" "&amp;DT2162:DT2261&amp;" ",DL35)))),"")</f>
        <v/>
      </c>
      <c r="DJ35" s="493" t="str" cm="1">
        <f t="array" ref="DJ35">IF(26=26,IF(AW35="","",SUMPRODUCT(--ISNUMBER(SEARCH(" "&amp;DT2262:DT2361&amp;" ",DL35)))),"")</f>
        <v/>
      </c>
      <c r="DK35" s="493" t="str" cm="1">
        <f t="array" ref="DK35">IF(26=26,IF(AW35="","",SUMPRODUCT(--ISNUMBER(SEARCH(" "&amp;DT2362:DT2404&amp;" ",DL35)))),"")</f>
        <v/>
      </c>
      <c r="DL35" s="493" t="str">
        <f>IF(26=26,IF(AW35="","",SUBSTITUTE(SUBSTITUTE(SUBSTITUTE(SUBSTITUTE(SUBSTITUTE(SUBSTITUTE(SUBSTITUTE(SUBSTITUTE(SUBSTITUTE(SUBSTITUTE(SUBSTITUTE(SUBSTITUTE(SUBSTITUTE(SUBSTITUTE(SUBSTITUTE(SUBSTITUTE(BC35," "&amp;DT2410&amp;" "," ")," "&amp;DT2409&amp;" "," ")," "&amp;DT2408&amp;" "," ")," "&amp;DT2415&amp;" "," ")," "&amp;DT2407&amp;" "," ")," "&amp;DT2419&amp;" "," ")," "&amp;DT2406&amp;" "," ")," "&amp;DT2411&amp;" "," ")," "&amp;DT2414&amp;" "," ")," "&amp;DT2405&amp;" "," ")," "&amp;DT2413&amp;" "," ")," "&amp;DT2420&amp;" "," ")," "&amp;DT2417&amp;" "," ")," "&amp;DT2412&amp;" "," ")," "&amp;DT2416&amp;" "," ")," "&amp;DT2418&amp;" "," ")),"")</f>
        <v/>
      </c>
      <c r="DM35" s="493" t="str" cm="1">
        <f t="array" ref="DM35">IF(26=26,IF(AW35="","",SUMPRODUCT(--ISNUMBER(SEARCH(" "&amp;DT2421:DT2425&amp;" ",DL35)))),"")</f>
        <v/>
      </c>
      <c r="DN35" s="493" t="str">
        <f>IF(26=26,IF(AW35="","",IF(SUM(DI35:DK35)&gt;0,"X",IF(DM35&gt;0,"?",""))),"")</f>
        <v/>
      </c>
      <c r="DO35" s="494"/>
      <c r="DP35" s="496" t="s">
        <v>1189</v>
      </c>
      <c r="DQ35" s="496" t="s">
        <v>1083</v>
      </c>
      <c r="DR35" s="496" t="s">
        <v>689</v>
      </c>
      <c r="DS35" s="496" t="s">
        <v>198</v>
      </c>
      <c r="DT35" s="496" t="s">
        <v>198</v>
      </c>
      <c r="DU35" s="496" t="s">
        <v>1085</v>
      </c>
      <c r="DV35" s="496" t="s">
        <v>1086</v>
      </c>
      <c r="DW35" s="496" t="s">
        <v>1087</v>
      </c>
      <c r="DX35" s="497" t="s">
        <v>1088</v>
      </c>
      <c r="DZ35" s="543">
        <v>1</v>
      </c>
      <c r="EB35" s="493"/>
      <c r="EC35" s="493"/>
    </row>
    <row r="36" spans="5:133" ht="21" customHeight="1">
      <c r="E36" s="865" t="s">
        <v>737</v>
      </c>
      <c r="F36" s="877" t="str">
        <f>F12</f>
        <v>M MACÉDOINE DE LÉGUMES AU COULIS DE TOMATE | HORS D'ŒUVRE texture modifiée-cuidité-MACEDOINE| Auteur &gt; Annette et Jean Pierre DOMERGUES - 45000 ORLÉANS 1981</v>
      </c>
      <c r="G36" s="877">
        <f>G12</f>
        <v>10</v>
      </c>
      <c r="H36" s="878" t="str">
        <f>H12</f>
        <v>couverts</v>
      </c>
      <c r="I36" s="879" t="str">
        <f>I12</f>
        <v>Recette mère ►  Textures modifiées</v>
      </c>
      <c r="J36" s="880"/>
      <c r="K36" s="880"/>
      <c r="L36" s="881"/>
      <c r="M36" s="882" t="s">
        <v>823</v>
      </c>
      <c r="N36" s="883">
        <f ca="1">SUM(P34:Y34)</f>
        <v>132</v>
      </c>
      <c r="O36" s="884">
        <v>0</v>
      </c>
      <c r="P36" s="885" t="s">
        <v>745</v>
      </c>
      <c r="Q36" s="886"/>
      <c r="R36" s="886"/>
      <c r="S36" s="886"/>
      <c r="T36" s="886"/>
      <c r="U36" s="886"/>
      <c r="V36" s="886"/>
      <c r="W36" s="732"/>
      <c r="X36" s="887" t="s">
        <v>824</v>
      </c>
      <c r="Y36" s="888" t="s">
        <v>825</v>
      </c>
      <c r="AA36" s="732"/>
      <c r="AC36" s="509">
        <v>21</v>
      </c>
      <c r="AD36" s="808"/>
      <c r="AE36" s="679" t="str">
        <f t="shared" si="3"/>
        <v/>
      </c>
      <c r="AF36" s="512" t="str">
        <f>IF(27=27,IF(AD36="","",IF(AG36="X",""&amp;"Céréales contenant du gluten","")&amp;IF(AH36="X",IF(COUNTIF(AG36:AG36,"X")&gt;0,", ","")&amp;"Crustacés","")&amp;IF(AI36="X",IF(COUNTIF(AG36:AH36,"X")&gt;0,", ","")&amp;"Œufs","")&amp;IF(AJ36="X",IF(COUNTIF(AG36:AI36,"X")&gt;0,", ","")&amp;"Poissons","")&amp;IF(AK36="X",IF(COUNTIF(AG36:AJ36,"X")&gt;0,", ","")&amp;"Arachides","")&amp;IF(AL36="X",IF(COUNTIF(AG36:AK36,"X")&gt;0,", ","")&amp;"Soja","")&amp;IF(AM36="X",IF(COUNTIF(AG36:AL36,"X")&gt;0,", ","")&amp;"Lait","")&amp;IF(AN36="X",IF(COUNTIF(AG36:AM36,"X")&gt;0,", ","")&amp;"Fruits à coque","")&amp;IF(AO36="X",IF(COUNTIF(AG36:AN36,"X")&gt;0,", ","")&amp;"Céleri","")&amp;IF(AP36="X",IF(COUNTIF(AG36:AO36,"X")&gt;0,", ","")&amp;"Moutarde","")&amp;IF(AQ36="X",IF(COUNTIF(AG36:AP36,"X")&gt;0,", ","")&amp;"Sésame","")&amp;IF(AR36="X",IF(COUNTIF(AG36:AQ36,"X")&gt;0,", ","")&amp;"Sulfites","")&amp;IF(AS36="X",IF(COUNTIF(AG36:AR36,"X")&gt;0,", ","")&amp;"Lupin","")&amp;IF(AT36="X",IF(COUNTIF(AG36:AS36,"X")&gt;0,", ","")&amp;"Mollusques","")),"")</f>
        <v/>
      </c>
      <c r="AG36" s="513" t="str">
        <f>IF(27=27,IF(AD36="","",BH36),"")</f>
        <v/>
      </c>
      <c r="AH36" s="513" t="str">
        <f>IF(27=27,IF(AD36="","",BK36),"")</f>
        <v/>
      </c>
      <c r="AI36" s="513" t="str">
        <f>IF(27=27,IF(AD36="","",BO36),"")</f>
        <v/>
      </c>
      <c r="AJ36" s="513" t="str">
        <f>IF(27=27,IF(AD36="","",IF(ISNUMBER(SEARCH(" colin ",BC36)),"X",CB36)),"")</f>
        <v/>
      </c>
      <c r="AK36" s="513" t="str">
        <f>IF(27=27,IF(AD36="","",CD36),"")</f>
        <v/>
      </c>
      <c r="AL36" s="513" t="str">
        <f>IF(27=27,IF(AD36="","",CH36),"")</f>
        <v/>
      </c>
      <c r="AM36" s="513" t="str">
        <f>IF(27=27,IF(AD36="","",CO36),"")</f>
        <v/>
      </c>
      <c r="AN36" s="513" t="str">
        <f>IF(27=27,IF(AD36="","",CS36),"")</f>
        <v/>
      </c>
      <c r="AO36" s="513" t="str">
        <f>IF(27=27,IF(AD36="","",CV36),"")</f>
        <v/>
      </c>
      <c r="AP36" s="513" t="str">
        <f>IF(27=27,IF(AD36="","",CY36),"")</f>
        <v/>
      </c>
      <c r="AQ36" s="513" t="str">
        <f>IF(27=27,IF(AD36="","",DB36),"")</f>
        <v/>
      </c>
      <c r="AR36" s="513" t="str">
        <f>IF(27=27,IF(AD36="","",DE36),"")</f>
        <v/>
      </c>
      <c r="AS36" s="513" t="str">
        <f>IF(27=27,IF(AD36="","",DH36),"")</f>
        <v/>
      </c>
      <c r="AT36" s="513" t="str">
        <f>IF(27=27,IF(AD36="","",DN36),"")</f>
        <v/>
      </c>
      <c r="AU36" s="514" t="str">
        <f>IF(27=27,IF(AD36="","",IF(AG36="?",""&amp;"Céréales contenant du gluten","")&amp;IF(AH36="?",IF(COUNTIF(AG36:AG36,"~?")&gt;0,", ","")&amp;"Crustacés","")&amp;IF(AI36="?",IF(COUNTIF(AG36:AH36,"~?")&gt;0,", ","")&amp;"Œufs","")&amp;IF(AJ36="?",IF(COUNTIF(AG36:AI36,"~?")&gt;0,", ","")&amp;"Poissons","")&amp;IF(AK36="?",IF(COUNTIF(AG36:AJ36,"~?")&gt;0,", ","")&amp;"Arachides","")&amp;IF(AL36="?",IF(COUNTIF(AG36:AK36,"~?")&gt;0,", ","")&amp;"Soja","")&amp;IF(AM36="?",IF(COUNTIF(AG36:AL36,"~?")&gt;0,", ","")&amp;"Lait","")&amp;IF(AN36="?",IF(COUNTIF(AG36:AM36,"~?")&gt;0,", ","")&amp;"Fruits à coque","")&amp;IF(AO36="?",IF(COUNTIF(AG36:AN36,"~?")&gt;0,", ","")&amp;"Céleri","")&amp;IF(AP36="?",IF(COUNTIF(AG36:AO36,"~?")&gt;0,", ","")&amp;"Moutarde","")&amp;IF(AQ36="?",IF(COUNTIF(AG36:AP36,"~?")&gt;0,", ","")&amp;"Sésame","")&amp;IF(AR36="?",IF(COUNTIF(AG36:AQ36,"~?")&gt;0,", ","")&amp;"Sulfites","")&amp;IF(AS36="?",IF(COUNTIF(AG36:AR36,"~?")&gt;0,", ","")&amp;"Lupin","")&amp;IF(AT36="?",IF(COUNTIF(AG36:AS36,"~?")&gt;0,", ","")&amp;"Mollusques","")),"")</f>
        <v/>
      </c>
      <c r="AW36" s="493" t="str">
        <f>IF(27=27,IF(AD36="","",AD36),"")</f>
        <v/>
      </c>
      <c r="AX36" s="493" t="str">
        <f>IF(27=27,LOWER(CLEAN(SUBSTITUTE(SUBSTITUTE(SUBSTITUTE(SUBSTITUTE(AW36,CHAR(160)," ")," "," "),CHAR(10)," "),CHAR(13)," "))),"")</f>
        <v/>
      </c>
      <c r="AY36" s="493" t="str">
        <f>IF(27=27,SUBSTITUTE(SUBSTITUTE(SUBSTITUTE(SUBSTITUTE(SUBSTITUTE(SUBSTITUTE(SUBSTITUTE(SUBSTITUTE(SUBSTITUTE(SUBSTITUTE(SUBSTITUTE(SUBSTITUTE(AX36,"œ","oe"),"æ","ae"),"à","a"),"á","a"),"â","a"),"ä","a"),"ã","a"),"ç","c"),"è","e"),"é","e"),"ê","e"),"ë","e"),"")</f>
        <v/>
      </c>
      <c r="AZ36" s="493" t="str">
        <f>IF(27=27,SUBSTITUTE(SUBSTITUTE(SUBSTITUTE(SUBSTITUTE(SUBSTITUTE(SUBSTITUTE(SUBSTITUTE(SUBSTITUTE(SUBSTITUTE(SUBSTITUTE(SUBSTITUTE(SUBSTITUTE(SUBSTITUTE(SUBSTITUTE(SUBSTITUTE(SUBSTITUTE(AY36,"ì","i"),"í","i"),"î","i"),"ï","i"),"ñ","n"),"ò","o"),"ó","o"),"ô","o"),"ö","o"),"õ","o"),"ù","u"),"ú","u"),"û","u"),"ü","u"),"ý","y"),"ÿ","y"),"")</f>
        <v/>
      </c>
      <c r="BA36" s="493" t="str">
        <f>IF(27=27,SUBSTITUTE(SUBSTITUTE(SUBSTITUTE(SUBSTITUTE(SUBSTITUTE(SUBSTITUTE(SUBSTITUTE(SUBSTITUTE(SUBSTITUTE(SUBSTITUTE(SUBSTITUTE(SUBSTITUTE(SUBSTITUTE(SUBSTITUTE(AZ36,"’"," "),"`"," "),"–"," "),"—"," "),"-"," "),"'"," "),"/"," "),"_"," "),","," "),"."," "),"("," "),")"," "),";"," "),":"," "),"")</f>
        <v/>
      </c>
      <c r="BB36" s="493" t="str">
        <f>IF(27=27,SUBSTITUTE(SUBSTITUTE(SUBSTITUTE(SUBSTITUTE(SUBSTITUTE(SUBSTITUTE(SUBSTITUTE(SUBSTITUTE(SUBSTITUTE(SUBSTITUTE(SUBSTITUTE(SUBSTITUTE(SUBSTITUTE(SUBSTITUTE(SUBSTITUTE(BA36,"!"," "),"?"," "),"+"," "),"*"," "),"&amp;"," "),"["," "),"]"," "),"{"," "),"}"," "),"%"," "),"="," "),"\"," "),"|"," "),"&lt;"," "),"&gt;"," "),"")</f>
        <v/>
      </c>
      <c r="BC36" s="493" t="str">
        <f>IF(27=27," "&amp;TRIM(SUBSTITUTE(SUBSTITUTE(SUBSTITUTE(SUBSTITUTE(SUBSTITUTE(SUBSTITUTE(BB36,CHAR(34)," "),"  "," "),"  "," "),"  "," "),"  "," "),"  "," "))&amp;" ","")</f>
        <v xml:space="preserve">  </v>
      </c>
      <c r="BD36" s="493" t="str" cm="1">
        <f t="array" ref="BD36">IF(27=27,IF(AW36="","",SUMPRODUCT(--ISNUMBER(SEARCH(" "&amp;DT11:DT110&amp;" ",BF36)))),"")</f>
        <v/>
      </c>
      <c r="BE36" s="493" t="str" cm="1">
        <f t="array" ref="BE36">IF(27=27,IF(AW36="","",SUMPRODUCT(--ISNUMBER(SEARCH(" "&amp;DT111:DT160&amp;" ",BF36)))),"")</f>
        <v/>
      </c>
      <c r="BF36" s="493" t="str">
        <f>IF(AW36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36,"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36" s="493" t="str" cm="1">
        <f t="array" ref="BG36">IF(AW36="","",SUMPRODUCT(--ISNUMBER(SEARCH(" "&amp;DT193:DT214&amp;" ",BF36)))+--ISNUMBER(SEARCH(" "&amp;DT2463&amp;" ",BF36)))</f>
        <v/>
      </c>
      <c r="BH36" s="493" t="str" cm="1">
        <f t="array" ref="BH36">IF(27=27,IF(AW36="","",IF(SUM(BD36:BE36)+SUMPRODUCT(--ISNUMBER(SEARCH(" "&amp;DT2427:DT2429&amp;" ",BF36)))&gt;0,"X",IF(BG36&gt;0,"?",""))),"")</f>
        <v/>
      </c>
      <c r="BI36" s="493" t="str" cm="1">
        <f t="array" ref="BI36">IF(27=27,IF(AW36="","",SUMPRODUCT(--ISNUMBER(SEARCH(" "&amp;DT215:DT314&amp;" ",BC36)))),"")</f>
        <v/>
      </c>
      <c r="BJ36" s="493" t="str" cm="1">
        <f t="array" ref="BJ36">IF(27=27,IF(AW36="","",SUMPRODUCT(--ISNUMBER(SEARCH(" "&amp;DT315:DT349&amp;" ",BC36)))),"")</f>
        <v/>
      </c>
      <c r="BK36" s="493" t="str">
        <f>IF(27=27,IF(AW36="","",IF((SUM(BI36:BJ36))-(0)&gt;0,"X",IF((0)-(0)&gt;0,"?",""))),"")</f>
        <v/>
      </c>
      <c r="BL36" s="493" t="str" cm="1">
        <f t="array" ref="BL36">IF(27=27,IF(AW36="","",SUMPRODUCT(--ISNUMBER(SEARCH(" "&amp;DT350:DT407&amp;" ",BC36)))),"")</f>
        <v/>
      </c>
      <c r="BM36" s="493" t="str" cm="1">
        <f t="array" ref="BM36">IF(27=27,IF(AW36="","",SUMPRODUCT(--ISNUMBER(SEARCH(" "&amp;DT408:DT435&amp;" ",BN36)))+SUMPRODUCT(--ISNUMBER(SEARCH(" "&amp;DT2449:DT2462&amp;" ",BN36)))),"")</f>
        <v/>
      </c>
      <c r="BN36" s="493" t="str">
        <f>IF(27=27,IF(AW36="","",SUBSTITUTE(SUBSTITUTE(SUBSTITUTE(SUBSTITUTE(SUBSTITUTE(SUBSTITUTE(SUBSTITUTE(SUBSTITUTE(SUBSTITUTE(SUBSTITUTE(SUBSTITUTE(SUBSTITUTE(SUBSTITUTE(SUBSTITUTE(BC36," "&amp;DT2464&amp;" "," ")," "&amp;DT442&amp;" "," ")," "&amp;DT440&amp;" "," ")," "&amp;DT2447&amp;" "," ")," "&amp;DT2448&amp;" "," ")," "&amp;DT437&amp;" "," ")," "&amp;DT441&amp;" "," ")," "&amp;DT443&amp;" "," ")," "&amp;DT438&amp;" "," ")," "&amp;DT436&amp;" "," ")," "&amp;DT1376&amp;" "," ")," "&amp;DT444&amp;" "," ")," "&amp;DT1375&amp;" "," ")," "&amp;DT439&amp;" "," ")),"")</f>
        <v/>
      </c>
      <c r="BO36" s="493" t="str">
        <f>IF(27=27,IF(AW36="","",IF(BL36&gt;0,"X",IF(BM36&gt;0,"?",""))),"")</f>
        <v/>
      </c>
      <c r="BP36" s="493" t="str" cm="1">
        <f t="array" ref="BP36">IF(27=27,IF(AW36="","",SUMPRODUCT(--ISNUMBER(SEARCH(" "&amp;DT445:DT544&amp;" ",BZ36)))),"")</f>
        <v/>
      </c>
      <c r="BQ36" s="493" t="str" cm="1">
        <f t="array" ref="BQ36">IF(27=27,IF(AW36="","",SUMPRODUCT(--ISNUMBER(SEARCH(" "&amp;DT545:DT644&amp;" ",BZ36)))),"")</f>
        <v/>
      </c>
      <c r="BR36" s="493" t="str" cm="1">
        <f t="array" ref="BR36">IF(27=27,IF(AW36="","",SUMPRODUCT(--ISNUMBER(SEARCH(" "&amp;DT645:DT744&amp;" ",BZ36)))),"")</f>
        <v/>
      </c>
      <c r="BS36" s="493" t="str" cm="1">
        <f t="array" ref="BS36">IF(27=27,IF(AW36="","",SUMPRODUCT(--ISNUMBER(SEARCH(" "&amp;DT745:DT844&amp;" ",BZ36)))),"")</f>
        <v/>
      </c>
      <c r="BT36" s="493" t="str" cm="1">
        <f t="array" ref="BT36">IF(27=27,IF(AW36="","",SUMPRODUCT(--ISNUMBER(SEARCH(" "&amp;DT845:DT944&amp;" ",BZ36)))),"")</f>
        <v/>
      </c>
      <c r="BU36" s="493" t="str" cm="1">
        <f t="array" ref="BU36">IF(27=27,IF(AW36="","",SUMPRODUCT(--ISNUMBER(SEARCH(" "&amp;DT945:DT1044&amp;" ",BZ36)))),"")</f>
        <v/>
      </c>
      <c r="BV36" s="493" t="str" cm="1">
        <f t="array" ref="BV36">IF(27=27,IF(AW36="","",SUMPRODUCT(--ISNUMBER(SEARCH(" "&amp;DT1045:DT1144&amp;" ",BZ36)))),"")</f>
        <v/>
      </c>
      <c r="BW36" s="493" t="str" cm="1">
        <f t="array" ref="BW36">IF(27=27,IF(AW36="","",SUMPRODUCT(--ISNUMBER(SEARCH(" "&amp;DT1145:DT1244&amp;" ",BZ36)))),"")</f>
        <v/>
      </c>
      <c r="BX36" s="493" t="str" cm="1">
        <f t="array" ref="BX36">IF(27=27,IF(AW36="","",SUMPRODUCT(--ISNUMBER(SEARCH(" "&amp;DT1245:DT1344&amp;" ",BZ36)))),"")</f>
        <v/>
      </c>
      <c r="BY36" s="493" t="str" cm="1">
        <f t="array" ref="BY36">IF(27=27,IF(AW36="","",SUMPRODUCT(--ISNUMBER(SEARCH(" "&amp;DT1345:DT1372&amp;" ",BZ36)))),"")</f>
        <v/>
      </c>
      <c r="BZ36" s="493" t="str">
        <f>IF(27=27,IF(AW36="","",SUBSTITUTE(SUBSTITUTE(SUBSTITUTE(SUBSTITUTE(SUBSTITUTE(SUBSTITUTE(SUBSTITUTE(SUBSTITUTE(SUBSTITUTE(BC36," "&amp;DT1374&amp;" "," ")," "&amp;DT1373&amp;" "," ")," "&amp;DT1379&amp;" "," ")," "&amp;DT1380&amp;" "," ")," "&amp;DT1376&amp;" "," ")," "&amp;DT1378&amp;" "," ")," "&amp;DT1375&amp;" "," ")," "&amp;DT1377&amp;" "," ")," "&amp;DT1381&amp;" "," ")),"")</f>
        <v/>
      </c>
      <c r="CA36" s="493" t="str" cm="1">
        <f t="array" ref="CA36">IF(27=27,IF(AW36="","",SUMPRODUCT(--ISNUMBER(SEARCH(" "&amp;DT1382:DT1392&amp;" ",BZ36)))),"")</f>
        <v/>
      </c>
      <c r="CB36" s="493" t="str" cm="1">
        <f t="array" ref="CB36">IF(27=27,IF(AW36="","",IF(SUM(BP36:BY36)+SUMPRODUCT(--ISNUMBER(SEARCH(" "&amp;DT2430:DT2431&amp;" ",BZ36)))&gt;0,"X",IF(CA36&gt;0,"?",""))),"")</f>
        <v/>
      </c>
      <c r="CC36" s="493" t="str" cm="1">
        <f t="array" ref="CC36">IF(27=27,IF(AW36="","",SUMPRODUCT(--ISNUMBER(SEARCH(" "&amp;DT1393:DT1413&amp;" ",BC36)))),"")</f>
        <v/>
      </c>
      <c r="CD36" s="493" t="str">
        <f>IF(27=27,IF(AW36="","",IF((CC36)-(0)&gt;0,"X",IF((0)-(0)&gt;0,"?",""))),"")</f>
        <v/>
      </c>
      <c r="CE36" s="493" t="str" cm="1">
        <f t="array" ref="CE36">IF(27=27,IF(AW36="","",SUMPRODUCT(--ISNUMBER(SEARCH(" "&amp;DT1414:DT1451&amp;" ",CF36)))),"")</f>
        <v/>
      </c>
      <c r="CF36" s="493" t="str">
        <f>IF(27=27,IF(AW36="","",SUBSTITUTE(SUBSTITUTE(BC36," "&amp;DT1452&amp;" "," ")," "&amp;DT1453&amp;" "," ")),"")</f>
        <v/>
      </c>
      <c r="CG36" s="493" t="str" cm="1">
        <f t="array" ref="CG36">IF(27=27,IF(AW36="","",SUMPRODUCT(--ISNUMBER(SEARCH(" "&amp;DT1454:DT1464&amp;" ",CF36)))),"")</f>
        <v/>
      </c>
      <c r="CH36" s="493" t="str">
        <f>IF(27=27,IF(AW36="","",IF(CE36&gt;0,"X",IF(CG36&gt;0,"?",""))),"")</f>
        <v/>
      </c>
      <c r="CI36" s="493" t="str" cm="1">
        <f t="array" ref="CI36">IF(27=27,IF(AW36="","",SUMPRODUCT(--ISNUMBER(SEARCH(" "&amp;DT1465:DT1564&amp;" ",CL36)))),"")</f>
        <v/>
      </c>
      <c r="CJ36" s="493" t="str" cm="1">
        <f t="array" ref="CJ36">IF(27=27,IF(AW36="","",SUMPRODUCT(--ISNUMBER(SEARCH(" "&amp;DT1565:DT1664&amp;" ",CL36)))),"")</f>
        <v/>
      </c>
      <c r="CK36" s="493" t="str" cm="1">
        <f t="array" ref="CK36">IF(27=27,IF(AW36="","",SUMPRODUCT(--ISNUMBER(SEARCH(" "&amp;DT1665:DT1748&amp;" ",CL36)))),"")</f>
        <v/>
      </c>
      <c r="CL36" s="493" t="str">
        <f>IF(27=27,IF(AW36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36,"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36" s="493" t="str" cm="1">
        <f t="array" ref="CM36">IF(27=27,IF(AW36="","",SUMPRODUCT(--ISNUMBER(SEARCH(" "&amp;DT1799:DT1878&amp;" ",CN36)))+SUMPRODUCT(--ISNUMBER(SEARCH(" "&amp;DT2449:DT2462&amp;" ",CN36)))),"")</f>
        <v/>
      </c>
      <c r="CN36" s="493" t="str">
        <f>IF(27=27,IF(AW36="","",SUBSTITUTE(SUBSTITUTE(SUBSTITUTE(SUBSTITUTE(SUBSTITUTE(SUBSTITUTE(SUBSTITUTE(SUBSTITUTE(SUBSTITUTE(SUBSTITUTE(SUBSTITUTE(SUBSTITUTE(SUBSTITUTE(CL36," "&amp;DT1885&amp;" "," ")," "&amp;DT1883&amp;" "," ")," "&amp;DT2447&amp;" "," ")," "&amp;DT2448&amp;" "," ")," "&amp;DT1880&amp;" "," ")," "&amp;DT1884&amp;" "," ")," "&amp;DT1886&amp;" "," ")," "&amp;DT1881&amp;" "," ")," "&amp;DT1879&amp;" "," ")," "&amp;DT1376&amp;" "," ")," "&amp;DT1887&amp;" "," ")," "&amp;DT1375&amp;" "," ")," "&amp;DT1882&amp;" "," ")),"")</f>
        <v/>
      </c>
      <c r="CO36" s="493" t="str" cm="1">
        <f t="array" ref="CO36">IF(27=27,IF(AW36="","",IF(SUM(CI36:CK36)+SUMPRODUCT(--ISNUMBER(SEARCH(" "&amp;DT2432:DT2433&amp;" ",CL36)))&gt;0,"X",IF(CM36&gt;0,"?",""))),"")</f>
        <v/>
      </c>
      <c r="CP36" s="493" t="str" cm="1">
        <f t="array" ref="CP36">IF(27=27,IF(AW36="","",SUMPRODUCT(--ISNUMBER(SEARCH(" "&amp;DT1888:DT1945&amp;" ",CQ36)))),"")</f>
        <v/>
      </c>
      <c r="CQ36" s="493" t="str">
        <f>IF(27=27,IF(AW36="","",SUBSTITUTE(SUBSTITUTE(SUBSTITUTE(SUBSTITUTE(SUBSTITUTE(SUBSTITUTE(SUBSTITUTE(SUBSTITUTE(SUBSTITUTE(SUBSTITUTE(SUBSTITUTE(SUBSTITUTE(SUBSTITUTE(SUBSTITUTE(SUBSTITUTE(SUBSTITUTE(SUBSTITUTE(SUBSTITUTE(SUBSTITUTE(SUBSTITUTE(SUBSTITUTE(SUBSTITUTE(SUBSTITUTE(BC36,"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36" s="493" t="str" cm="1">
        <f t="array" ref="CR36">IF(27=27,IF(AW36="","",SUMPRODUCT(--ISNUMBER(SEARCH(" "&amp;DT1969:DT1985&amp;" ",CQ36)))),"")</f>
        <v/>
      </c>
      <c r="CS36" s="493" t="str">
        <f>IF(27=27,IF(AW36="","",IF(CP36&gt;0,"X",IF(CR36&gt;0,"?",""))),"")</f>
        <v/>
      </c>
      <c r="CT36" s="493" t="str" cm="1">
        <f t="array" ref="CT36">IF(27=27,IF(AW36="","",SUMPRODUCT(--ISNUMBER(SEARCH(" "&amp;DT1986:DT1999&amp;" ",BC36)))),"")</f>
        <v/>
      </c>
      <c r="CU36" s="493" t="str" cm="1">
        <f t="array" ref="CU36">IF(27=27,IF(AW36="","",SUMPRODUCT(--ISNUMBER(SEARCH(" "&amp;DT2000:DT2014&amp;" ",BC36)))),"")</f>
        <v/>
      </c>
      <c r="CV36" s="493" t="str">
        <f>IF(27=27,IF(AW36="","",IF((CT36)-(0)&gt;0,"X",IF((CU36)-(0)&gt;0,"?",""))),"")</f>
        <v/>
      </c>
      <c r="CW36" s="493" t="str" cm="1">
        <f t="array" ref="CW36">IF(27=27,IF(AW36="","",SUMPRODUCT(--ISNUMBER(SEARCH(" "&amp;DT2015:DT2032&amp;" ",BC36)))),"")</f>
        <v/>
      </c>
      <c r="CX36" s="493" t="str" cm="1">
        <f t="array" ref="CX36">IF(27=27,IF(AW36="","",SUMPRODUCT(--ISNUMBER(SEARCH(" "&amp;DT2033:DT2047&amp;" ",BC36)))),"")</f>
        <v/>
      </c>
      <c r="CY36" s="493" t="str">
        <f>IF(27=27,IF(AW36="","",IF((CW36)-(0)&gt;0,"X",IF((CX36)-(0)&gt;0,"?",""))),"")</f>
        <v/>
      </c>
      <c r="CZ36" s="493" t="str" cm="1">
        <f t="array" ref="CZ36">IF(27=27,IF(AW36="","",SUMPRODUCT(--ISNUMBER(SEARCH(" "&amp;DT2048:DT2066&amp;" ",BC36)))),"")</f>
        <v/>
      </c>
      <c r="DA36" s="493" t="str" cm="1">
        <f t="array" ref="DA36">IF(27=27,IF(AW36="","",SUMPRODUCT(--ISNUMBER(SEARCH(" "&amp;DT2067:DT2081&amp;" ",BC36)))),"")</f>
        <v/>
      </c>
      <c r="DB36" s="493" t="str">
        <f>IF(27=27,IF(AW36="","",IF((CZ36)-(0)&gt;0,"X",IF((DA36)-(0)&gt;0,"?",""))),"")</f>
        <v/>
      </c>
      <c r="DC36" s="493" t="str" cm="1">
        <f t="array" ref="DC36">IF(27=27,IF(AW36="","",SUMPRODUCT(--ISNUMBER(SEARCH(" "&amp;DT2082:DT2102&amp;" ",BC36)))),"")</f>
        <v/>
      </c>
      <c r="DD36" s="493" t="str" cm="1">
        <f t="array" ref="DD36">IF(27=27,IF(AW36="","",SUMPRODUCT(--ISNUMBER(SEARCH(" "&amp;DT2103:DT2142&amp;" ",SUBSTITUTE(SUBSTITUTE(BC36," "&amp;DT1376&amp;" "," ")," "&amp;DT1375&amp;" "," "))))+--ISNUMBER(SEARCH("poiré",AX36))),"")</f>
        <v/>
      </c>
      <c r="DE36" s="493" t="str">
        <f>IF(27=27,IF(AW36="","",IF(OR(DC36&gt;0,ISNUMBER(SEARCH(" vinaigre de vin ",BC36)),ISNUMBER(SEARCH(" vinaigre au vin ",BC36))),"X",IF(DD36&gt;0,"?",""))),"")</f>
        <v/>
      </c>
      <c r="DF36" s="493" t="str" cm="1">
        <f t="array" ref="DF36">IF(27=27,IF(AW36="","",SUMPRODUCT(--ISNUMBER(SEARCH(" "&amp;DT2143:DT2155&amp;" ",BC36)))),"")</f>
        <v/>
      </c>
      <c r="DG36" s="493" t="str" cm="1">
        <f t="array" ref="DG36">IF(27=27,IF(AW36="","",SUMPRODUCT(--ISNUMBER(SEARCH(" "&amp;DT2156:DT2161&amp;" ",BC36)))),"")</f>
        <v/>
      </c>
      <c r="DH36" s="493" t="str">
        <f>IF(27=27,IF(AW36="","",IF((DF36)-(0)&gt;0,"X",IF((DG36)-(0)&gt;0,"?",""))),"")</f>
        <v/>
      </c>
      <c r="DI36" s="493" t="str" cm="1">
        <f t="array" ref="DI36">IF(27=27,IF(AW36="","",SUMPRODUCT(--ISNUMBER(SEARCH(" "&amp;DT2162:DT2261&amp;" ",DL36)))),"")</f>
        <v/>
      </c>
      <c r="DJ36" s="493" t="str" cm="1">
        <f t="array" ref="DJ36">IF(27=27,IF(AW36="","",SUMPRODUCT(--ISNUMBER(SEARCH(" "&amp;DT2262:DT2361&amp;" ",DL36)))),"")</f>
        <v/>
      </c>
      <c r="DK36" s="493" t="str" cm="1">
        <f t="array" ref="DK36">IF(27=27,IF(AW36="","",SUMPRODUCT(--ISNUMBER(SEARCH(" "&amp;DT2362:DT2404&amp;" ",DL36)))),"")</f>
        <v/>
      </c>
      <c r="DL36" s="493" t="str">
        <f>IF(27=27,IF(AW36="","",SUBSTITUTE(SUBSTITUTE(SUBSTITUTE(SUBSTITUTE(SUBSTITUTE(SUBSTITUTE(SUBSTITUTE(SUBSTITUTE(SUBSTITUTE(SUBSTITUTE(SUBSTITUTE(SUBSTITUTE(SUBSTITUTE(SUBSTITUTE(SUBSTITUTE(SUBSTITUTE(BC36," "&amp;DT2410&amp;" "," ")," "&amp;DT2409&amp;" "," ")," "&amp;DT2408&amp;" "," ")," "&amp;DT2415&amp;" "," ")," "&amp;DT2407&amp;" "," ")," "&amp;DT2419&amp;" "," ")," "&amp;DT2406&amp;" "," ")," "&amp;DT2411&amp;" "," ")," "&amp;DT2414&amp;" "," ")," "&amp;DT2405&amp;" "," ")," "&amp;DT2413&amp;" "," ")," "&amp;DT2420&amp;" "," ")," "&amp;DT2417&amp;" "," ")," "&amp;DT2412&amp;" "," ")," "&amp;DT2416&amp;" "," ")," "&amp;DT2418&amp;" "," ")),"")</f>
        <v/>
      </c>
      <c r="DM36" s="493" t="str" cm="1">
        <f t="array" ref="DM36">IF(27=27,IF(AW36="","",SUMPRODUCT(--ISNUMBER(SEARCH(" "&amp;DT2421:DT2425&amp;" ",DL36)))),"")</f>
        <v/>
      </c>
      <c r="DN36" s="493" t="str">
        <f>IF(27=27,IF(AW36="","",IF(SUM(DI36:DK36)&gt;0,"X",IF(DM36&gt;0,"?",""))),"")</f>
        <v/>
      </c>
      <c r="DO36" s="494"/>
      <c r="DP36" s="496" t="s">
        <v>1190</v>
      </c>
      <c r="DQ36" s="496" t="s">
        <v>1083</v>
      </c>
      <c r="DR36" s="496" t="s">
        <v>689</v>
      </c>
      <c r="DS36" s="496" t="s">
        <v>1191</v>
      </c>
      <c r="DT36" s="496" t="s">
        <v>1192</v>
      </c>
      <c r="DU36" s="496" t="s">
        <v>1085</v>
      </c>
      <c r="DV36" s="496" t="s">
        <v>1086</v>
      </c>
      <c r="DW36" s="496" t="s">
        <v>1087</v>
      </c>
      <c r="DX36" s="497" t="s">
        <v>1088</v>
      </c>
      <c r="DZ36" s="543">
        <v>1</v>
      </c>
      <c r="EB36" s="493"/>
      <c r="EC36" s="493"/>
    </row>
    <row r="37" spans="5:133" ht="21" customHeight="1">
      <c r="E37" s="865" t="s">
        <v>737</v>
      </c>
      <c r="F37" s="877" t="str">
        <f>F12</f>
        <v>M MACÉDOINE DE LÉGUMES AU COULIS DE TOMATE | HORS D'ŒUVRE texture modifiée-cuidité-MACEDOINE| Auteur &gt; Annette et Jean Pierre DOMERGUES - 45000 ORLÉANS 1981</v>
      </c>
      <c r="G37" s="877">
        <f>G12</f>
        <v>10</v>
      </c>
      <c r="H37" s="878" t="str">
        <f>H12</f>
        <v>couverts</v>
      </c>
      <c r="I37" s="879" t="str">
        <f>I12</f>
        <v>Recette mère ►  Textures modifiées</v>
      </c>
      <c r="J37" s="889"/>
      <c r="K37" s="890" t="s">
        <v>826</v>
      </c>
      <c r="L37" s="891">
        <f>ROWS(P37:P37)</f>
        <v>1</v>
      </c>
      <c r="M37" s="889"/>
      <c r="N37" s="892" t="str">
        <f t="array" ref="N37">SUMPRODUCT(--(P37:W37&lt;&gt;""), LEN(TRIM(SUBSTITUTE(P37:W37, CHAR(160), "")))) &amp; " Car."</f>
        <v>0 Car.</v>
      </c>
      <c r="O37" s="893" t="str">
        <f>IF(ISBLANK(P37),"",LARGE(O36:O36,1)+1)</f>
        <v/>
      </c>
      <c r="P37" s="886"/>
      <c r="Q37" s="886"/>
      <c r="R37" s="886"/>
      <c r="S37" s="886"/>
      <c r="T37" s="886"/>
      <c r="U37" s="886"/>
      <c r="V37" s="886"/>
      <c r="W37" s="732"/>
      <c r="X37" s="894" t="s">
        <v>827</v>
      </c>
      <c r="Y37" s="888" t="s">
        <v>825</v>
      </c>
      <c r="AA37" s="732"/>
      <c r="AC37" s="509">
        <v>22</v>
      </c>
      <c r="AD37" s="808"/>
      <c r="AE37" s="679" t="str">
        <f t="shared" si="3"/>
        <v/>
      </c>
      <c r="AF37" s="512" t="str">
        <f>IF(28=28,IF(AD37="","",IF(AG37="X",""&amp;"Céréales contenant du gluten","")&amp;IF(AH37="X",IF(COUNTIF(AG37:AG37,"X")&gt;0,", ","")&amp;"Crustacés","")&amp;IF(AI37="X",IF(COUNTIF(AG37:AH37,"X")&gt;0,", ","")&amp;"Œufs","")&amp;IF(AJ37="X",IF(COUNTIF(AG37:AI37,"X")&gt;0,", ","")&amp;"Poissons","")&amp;IF(AK37="X",IF(COUNTIF(AG37:AJ37,"X")&gt;0,", ","")&amp;"Arachides","")&amp;IF(AL37="X",IF(COUNTIF(AG37:AK37,"X")&gt;0,", ","")&amp;"Soja","")&amp;IF(AM37="X",IF(COUNTIF(AG37:AL37,"X")&gt;0,", ","")&amp;"Lait","")&amp;IF(AN37="X",IF(COUNTIF(AG37:AM37,"X")&gt;0,", ","")&amp;"Fruits à coque","")&amp;IF(AO37="X",IF(COUNTIF(AG37:AN37,"X")&gt;0,", ","")&amp;"Céleri","")&amp;IF(AP37="X",IF(COUNTIF(AG37:AO37,"X")&gt;0,", ","")&amp;"Moutarde","")&amp;IF(AQ37="X",IF(COUNTIF(AG37:AP37,"X")&gt;0,", ","")&amp;"Sésame","")&amp;IF(AR37="X",IF(COUNTIF(AG37:AQ37,"X")&gt;0,", ","")&amp;"Sulfites","")&amp;IF(AS37="X",IF(COUNTIF(AG37:AR37,"X")&gt;0,", ","")&amp;"Lupin","")&amp;IF(AT37="X",IF(COUNTIF(AG37:AS37,"X")&gt;0,", ","")&amp;"Mollusques","")),"")</f>
        <v/>
      </c>
      <c r="AG37" s="513" t="str">
        <f>IF(28=28,IF(AD37="","",BH37),"")</f>
        <v/>
      </c>
      <c r="AH37" s="513" t="str">
        <f>IF(28=28,IF(AD37="","",BK37),"")</f>
        <v/>
      </c>
      <c r="AI37" s="513" t="str">
        <f>IF(28=28,IF(AD37="","",BO37),"")</f>
        <v/>
      </c>
      <c r="AJ37" s="513" t="str">
        <f>IF(28=28,IF(AD37="","",IF(ISNUMBER(SEARCH(" colin ",BC37)),"X",CB37)),"")</f>
        <v/>
      </c>
      <c r="AK37" s="513" t="str">
        <f>IF(28=28,IF(AD37="","",CD37),"")</f>
        <v/>
      </c>
      <c r="AL37" s="513" t="str">
        <f>IF(28=28,IF(AD37="","",CH37),"")</f>
        <v/>
      </c>
      <c r="AM37" s="513" t="str">
        <f>IF(28=28,IF(AD37="","",CO37),"")</f>
        <v/>
      </c>
      <c r="AN37" s="513" t="str">
        <f>IF(28=28,IF(AD37="","",CS37),"")</f>
        <v/>
      </c>
      <c r="AO37" s="513" t="str">
        <f>IF(28=28,IF(AD37="","",CV37),"")</f>
        <v/>
      </c>
      <c r="AP37" s="513" t="str">
        <f>IF(28=28,IF(AD37="","",CY37),"")</f>
        <v/>
      </c>
      <c r="AQ37" s="513" t="str">
        <f>IF(28=28,IF(AD37="","",DB37),"")</f>
        <v/>
      </c>
      <c r="AR37" s="513" t="str">
        <f>IF(28=28,IF(AD37="","",DE37),"")</f>
        <v/>
      </c>
      <c r="AS37" s="513" t="str">
        <f>IF(28=28,IF(AD37="","",DH37),"")</f>
        <v/>
      </c>
      <c r="AT37" s="513" t="str">
        <f>IF(28=28,IF(AD37="","",DN37),"")</f>
        <v/>
      </c>
      <c r="AU37" s="514" t="str">
        <f>IF(28=28,IF(AD37="","",IF(AG37="?",""&amp;"Céréales contenant du gluten","")&amp;IF(AH37="?",IF(COUNTIF(AG37:AG37,"~?")&gt;0,", ","")&amp;"Crustacés","")&amp;IF(AI37="?",IF(COUNTIF(AG37:AH37,"~?")&gt;0,", ","")&amp;"Œufs","")&amp;IF(AJ37="?",IF(COUNTIF(AG37:AI37,"~?")&gt;0,", ","")&amp;"Poissons","")&amp;IF(AK37="?",IF(COUNTIF(AG37:AJ37,"~?")&gt;0,", ","")&amp;"Arachides","")&amp;IF(AL37="?",IF(COUNTIF(AG37:AK37,"~?")&gt;0,", ","")&amp;"Soja","")&amp;IF(AM37="?",IF(COUNTIF(AG37:AL37,"~?")&gt;0,", ","")&amp;"Lait","")&amp;IF(AN37="?",IF(COUNTIF(AG37:AM37,"~?")&gt;0,", ","")&amp;"Fruits à coque","")&amp;IF(AO37="?",IF(COUNTIF(AG37:AN37,"~?")&gt;0,", ","")&amp;"Céleri","")&amp;IF(AP37="?",IF(COUNTIF(AG37:AO37,"~?")&gt;0,", ","")&amp;"Moutarde","")&amp;IF(AQ37="?",IF(COUNTIF(AG37:AP37,"~?")&gt;0,", ","")&amp;"Sésame","")&amp;IF(AR37="?",IF(COUNTIF(AG37:AQ37,"~?")&gt;0,", ","")&amp;"Sulfites","")&amp;IF(AS37="?",IF(COUNTIF(AG37:AR37,"~?")&gt;0,", ","")&amp;"Lupin","")&amp;IF(AT37="?",IF(COUNTIF(AG37:AS37,"~?")&gt;0,", ","")&amp;"Mollusques","")),"")</f>
        <v/>
      </c>
      <c r="AW37" s="493" t="str">
        <f>IF(28=28,IF(AD37="","",AD37),"")</f>
        <v/>
      </c>
      <c r="AX37" s="493" t="str">
        <f>IF(28=28,LOWER(CLEAN(SUBSTITUTE(SUBSTITUTE(SUBSTITUTE(SUBSTITUTE(AW37,CHAR(160)," ")," "," "),CHAR(10)," "),CHAR(13)," "))),"")</f>
        <v/>
      </c>
      <c r="AY37" s="493" t="str">
        <f>IF(28=28,SUBSTITUTE(SUBSTITUTE(SUBSTITUTE(SUBSTITUTE(SUBSTITUTE(SUBSTITUTE(SUBSTITUTE(SUBSTITUTE(SUBSTITUTE(SUBSTITUTE(SUBSTITUTE(SUBSTITUTE(AX37,"œ","oe"),"æ","ae"),"à","a"),"á","a"),"â","a"),"ä","a"),"ã","a"),"ç","c"),"è","e"),"é","e"),"ê","e"),"ë","e"),"")</f>
        <v/>
      </c>
      <c r="AZ37" s="493" t="str">
        <f>IF(28=28,SUBSTITUTE(SUBSTITUTE(SUBSTITUTE(SUBSTITUTE(SUBSTITUTE(SUBSTITUTE(SUBSTITUTE(SUBSTITUTE(SUBSTITUTE(SUBSTITUTE(SUBSTITUTE(SUBSTITUTE(SUBSTITUTE(SUBSTITUTE(SUBSTITUTE(SUBSTITUTE(AY37,"ì","i"),"í","i"),"î","i"),"ï","i"),"ñ","n"),"ò","o"),"ó","o"),"ô","o"),"ö","o"),"õ","o"),"ù","u"),"ú","u"),"û","u"),"ü","u"),"ý","y"),"ÿ","y"),"")</f>
        <v/>
      </c>
      <c r="BA37" s="493" t="str">
        <f>IF(28=28,SUBSTITUTE(SUBSTITUTE(SUBSTITUTE(SUBSTITUTE(SUBSTITUTE(SUBSTITUTE(SUBSTITUTE(SUBSTITUTE(SUBSTITUTE(SUBSTITUTE(SUBSTITUTE(SUBSTITUTE(SUBSTITUTE(SUBSTITUTE(AZ37,"’"," "),"`"," "),"–"," "),"—"," "),"-"," "),"'"," "),"/"," "),"_"," "),","," "),"."," "),"("," "),")"," "),";"," "),":"," "),"")</f>
        <v/>
      </c>
      <c r="BB37" s="493" t="str">
        <f>IF(28=28,SUBSTITUTE(SUBSTITUTE(SUBSTITUTE(SUBSTITUTE(SUBSTITUTE(SUBSTITUTE(SUBSTITUTE(SUBSTITUTE(SUBSTITUTE(SUBSTITUTE(SUBSTITUTE(SUBSTITUTE(SUBSTITUTE(SUBSTITUTE(SUBSTITUTE(BA37,"!"," "),"?"," "),"+"," "),"*"," "),"&amp;"," "),"["," "),"]"," "),"{"," "),"}"," "),"%"," "),"="," "),"\"," "),"|"," "),"&lt;"," "),"&gt;"," "),"")</f>
        <v/>
      </c>
      <c r="BC37" s="493" t="str">
        <f>IF(28=28," "&amp;TRIM(SUBSTITUTE(SUBSTITUTE(SUBSTITUTE(SUBSTITUTE(SUBSTITUTE(SUBSTITUTE(BB37,CHAR(34)," "),"  "," "),"  "," "),"  "," "),"  "," "),"  "," "))&amp;" ","")</f>
        <v xml:space="preserve">  </v>
      </c>
      <c r="BD37" s="493" t="str" cm="1">
        <f t="array" ref="BD37">IF(28=28,IF(AW37="","",SUMPRODUCT(--ISNUMBER(SEARCH(" "&amp;DT11:DT110&amp;" ",BF37)))),"")</f>
        <v/>
      </c>
      <c r="BE37" s="493" t="str" cm="1">
        <f t="array" ref="BE37">IF(28=28,IF(AW37="","",SUMPRODUCT(--ISNUMBER(SEARCH(" "&amp;DT111:DT160&amp;" ",BF37)))),"")</f>
        <v/>
      </c>
      <c r="BF37" s="493" t="str">
        <f>IF(AW37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37,"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37" s="493" t="str" cm="1">
        <f t="array" ref="BG37">IF(AW37="","",SUMPRODUCT(--ISNUMBER(SEARCH(" "&amp;DT193:DT214&amp;" ",BF37)))+--ISNUMBER(SEARCH(" "&amp;DT2463&amp;" ",BF37)))</f>
        <v/>
      </c>
      <c r="BH37" s="493" t="str" cm="1">
        <f t="array" ref="BH37">IF(28=28,IF(AW37="","",IF(SUM(BD37:BE37)+SUMPRODUCT(--ISNUMBER(SEARCH(" "&amp;DT2427:DT2429&amp;" ",BF37)))&gt;0,"X",IF(BG37&gt;0,"?",""))),"")</f>
        <v/>
      </c>
      <c r="BI37" s="493" t="str" cm="1">
        <f t="array" ref="BI37">IF(28=28,IF(AW37="","",SUMPRODUCT(--ISNUMBER(SEARCH(" "&amp;DT215:DT314&amp;" ",BC37)))),"")</f>
        <v/>
      </c>
      <c r="BJ37" s="493" t="str" cm="1">
        <f t="array" ref="BJ37">IF(28=28,IF(AW37="","",SUMPRODUCT(--ISNUMBER(SEARCH(" "&amp;DT315:DT349&amp;" ",BC37)))),"")</f>
        <v/>
      </c>
      <c r="BK37" s="493" t="str">
        <f>IF(28=28,IF(AW37="","",IF((SUM(BI37:BJ37))-(0)&gt;0,"X",IF((0)-(0)&gt;0,"?",""))),"")</f>
        <v/>
      </c>
      <c r="BL37" s="493" t="str" cm="1">
        <f t="array" ref="BL37">IF(28=28,IF(AW37="","",SUMPRODUCT(--ISNUMBER(SEARCH(" "&amp;DT350:DT407&amp;" ",BC37)))),"")</f>
        <v/>
      </c>
      <c r="BM37" s="493" t="str" cm="1">
        <f t="array" ref="BM37">IF(28=28,IF(AW37="","",SUMPRODUCT(--ISNUMBER(SEARCH(" "&amp;DT408:DT435&amp;" ",BN37)))+SUMPRODUCT(--ISNUMBER(SEARCH(" "&amp;DT2449:DT2462&amp;" ",BN37)))),"")</f>
        <v/>
      </c>
      <c r="BN37" s="493" t="str">
        <f>IF(28=28,IF(AW37="","",SUBSTITUTE(SUBSTITUTE(SUBSTITUTE(SUBSTITUTE(SUBSTITUTE(SUBSTITUTE(SUBSTITUTE(SUBSTITUTE(SUBSTITUTE(SUBSTITUTE(SUBSTITUTE(SUBSTITUTE(SUBSTITUTE(SUBSTITUTE(BC37," "&amp;DT2464&amp;" "," ")," "&amp;DT442&amp;" "," ")," "&amp;DT440&amp;" "," ")," "&amp;DT2447&amp;" "," ")," "&amp;DT2448&amp;" "," ")," "&amp;DT437&amp;" "," ")," "&amp;DT441&amp;" "," ")," "&amp;DT443&amp;" "," ")," "&amp;DT438&amp;" "," ")," "&amp;DT436&amp;" "," ")," "&amp;DT1376&amp;" "," ")," "&amp;DT444&amp;" "," ")," "&amp;DT1375&amp;" "," ")," "&amp;DT439&amp;" "," ")),"")</f>
        <v/>
      </c>
      <c r="BO37" s="493" t="str">
        <f>IF(28=28,IF(AW37="","",IF(BL37&gt;0,"X",IF(BM37&gt;0,"?",""))),"")</f>
        <v/>
      </c>
      <c r="BP37" s="493" t="str" cm="1">
        <f t="array" ref="BP37">IF(28=28,IF(AW37="","",SUMPRODUCT(--ISNUMBER(SEARCH(" "&amp;DT445:DT544&amp;" ",BZ37)))),"")</f>
        <v/>
      </c>
      <c r="BQ37" s="493" t="str" cm="1">
        <f t="array" ref="BQ37">IF(28=28,IF(AW37="","",SUMPRODUCT(--ISNUMBER(SEARCH(" "&amp;DT545:DT644&amp;" ",BZ37)))),"")</f>
        <v/>
      </c>
      <c r="BR37" s="493" t="str" cm="1">
        <f t="array" ref="BR37">IF(28=28,IF(AW37="","",SUMPRODUCT(--ISNUMBER(SEARCH(" "&amp;DT645:DT744&amp;" ",BZ37)))),"")</f>
        <v/>
      </c>
      <c r="BS37" s="493" t="str" cm="1">
        <f t="array" ref="BS37">IF(28=28,IF(AW37="","",SUMPRODUCT(--ISNUMBER(SEARCH(" "&amp;DT745:DT844&amp;" ",BZ37)))),"")</f>
        <v/>
      </c>
      <c r="BT37" s="493" t="str" cm="1">
        <f t="array" ref="BT37">IF(28=28,IF(AW37="","",SUMPRODUCT(--ISNUMBER(SEARCH(" "&amp;DT845:DT944&amp;" ",BZ37)))),"")</f>
        <v/>
      </c>
      <c r="BU37" s="493" t="str" cm="1">
        <f t="array" ref="BU37">IF(28=28,IF(AW37="","",SUMPRODUCT(--ISNUMBER(SEARCH(" "&amp;DT945:DT1044&amp;" ",BZ37)))),"")</f>
        <v/>
      </c>
      <c r="BV37" s="493" t="str" cm="1">
        <f t="array" ref="BV37">IF(28=28,IF(AW37="","",SUMPRODUCT(--ISNUMBER(SEARCH(" "&amp;DT1045:DT1144&amp;" ",BZ37)))),"")</f>
        <v/>
      </c>
      <c r="BW37" s="493" t="str" cm="1">
        <f t="array" ref="BW37">IF(28=28,IF(AW37="","",SUMPRODUCT(--ISNUMBER(SEARCH(" "&amp;DT1145:DT1244&amp;" ",BZ37)))),"")</f>
        <v/>
      </c>
      <c r="BX37" s="493" t="str" cm="1">
        <f t="array" ref="BX37">IF(28=28,IF(AW37="","",SUMPRODUCT(--ISNUMBER(SEARCH(" "&amp;DT1245:DT1344&amp;" ",BZ37)))),"")</f>
        <v/>
      </c>
      <c r="BY37" s="493" t="str" cm="1">
        <f t="array" ref="BY37">IF(28=28,IF(AW37="","",SUMPRODUCT(--ISNUMBER(SEARCH(" "&amp;DT1345:DT1372&amp;" ",BZ37)))),"")</f>
        <v/>
      </c>
      <c r="BZ37" s="493" t="str">
        <f>IF(28=28,IF(AW37="","",SUBSTITUTE(SUBSTITUTE(SUBSTITUTE(SUBSTITUTE(SUBSTITUTE(SUBSTITUTE(SUBSTITUTE(SUBSTITUTE(SUBSTITUTE(BC37," "&amp;DT1374&amp;" "," ")," "&amp;DT1373&amp;" "," ")," "&amp;DT1379&amp;" "," ")," "&amp;DT1380&amp;" "," ")," "&amp;DT1376&amp;" "," ")," "&amp;DT1378&amp;" "," ")," "&amp;DT1375&amp;" "," ")," "&amp;DT1377&amp;" "," ")," "&amp;DT1381&amp;" "," ")),"")</f>
        <v/>
      </c>
      <c r="CA37" s="493" t="str" cm="1">
        <f t="array" ref="CA37">IF(28=28,IF(AW37="","",SUMPRODUCT(--ISNUMBER(SEARCH(" "&amp;DT1382:DT1392&amp;" ",BZ37)))),"")</f>
        <v/>
      </c>
      <c r="CB37" s="493" t="str" cm="1">
        <f t="array" ref="CB37">IF(28=28,IF(AW37="","",IF(SUM(BP37:BY37)+SUMPRODUCT(--ISNUMBER(SEARCH(" "&amp;DT2430:DT2431&amp;" ",BZ37)))&gt;0,"X",IF(CA37&gt;0,"?",""))),"")</f>
        <v/>
      </c>
      <c r="CC37" s="493" t="str" cm="1">
        <f t="array" ref="CC37">IF(28=28,IF(AW37="","",SUMPRODUCT(--ISNUMBER(SEARCH(" "&amp;DT1393:DT1413&amp;" ",BC37)))),"")</f>
        <v/>
      </c>
      <c r="CD37" s="493" t="str">
        <f>IF(28=28,IF(AW37="","",IF((CC37)-(0)&gt;0,"X",IF((0)-(0)&gt;0,"?",""))),"")</f>
        <v/>
      </c>
      <c r="CE37" s="493" t="str" cm="1">
        <f t="array" ref="CE37">IF(28=28,IF(AW37="","",SUMPRODUCT(--ISNUMBER(SEARCH(" "&amp;DT1414:DT1451&amp;" ",CF37)))),"")</f>
        <v/>
      </c>
      <c r="CF37" s="493" t="str">
        <f>IF(28=28,IF(AW37="","",SUBSTITUTE(SUBSTITUTE(BC37," "&amp;DT1452&amp;" "," ")," "&amp;DT1453&amp;" "," ")),"")</f>
        <v/>
      </c>
      <c r="CG37" s="493" t="str" cm="1">
        <f t="array" ref="CG37">IF(28=28,IF(AW37="","",SUMPRODUCT(--ISNUMBER(SEARCH(" "&amp;DT1454:DT1464&amp;" ",CF37)))),"")</f>
        <v/>
      </c>
      <c r="CH37" s="493" t="str">
        <f>IF(28=28,IF(AW37="","",IF(CE37&gt;0,"X",IF(CG37&gt;0,"?",""))),"")</f>
        <v/>
      </c>
      <c r="CI37" s="493" t="str" cm="1">
        <f t="array" ref="CI37">IF(28=28,IF(AW37="","",SUMPRODUCT(--ISNUMBER(SEARCH(" "&amp;DT1465:DT1564&amp;" ",CL37)))),"")</f>
        <v/>
      </c>
      <c r="CJ37" s="493" t="str" cm="1">
        <f t="array" ref="CJ37">IF(28=28,IF(AW37="","",SUMPRODUCT(--ISNUMBER(SEARCH(" "&amp;DT1565:DT1664&amp;" ",CL37)))),"")</f>
        <v/>
      </c>
      <c r="CK37" s="493" t="str" cm="1">
        <f t="array" ref="CK37">IF(28=28,IF(AW37="","",SUMPRODUCT(--ISNUMBER(SEARCH(" "&amp;DT1665:DT1748&amp;" ",CL37)))),"")</f>
        <v/>
      </c>
      <c r="CL37" s="493" t="str">
        <f>IF(28=28,IF(AW37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37,"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37" s="493" t="str" cm="1">
        <f t="array" ref="CM37">IF(28=28,IF(AW37="","",SUMPRODUCT(--ISNUMBER(SEARCH(" "&amp;DT1799:DT1878&amp;" ",CN37)))+SUMPRODUCT(--ISNUMBER(SEARCH(" "&amp;DT2449:DT2462&amp;" ",CN37)))),"")</f>
        <v/>
      </c>
      <c r="CN37" s="493" t="str">
        <f>IF(28=28,IF(AW37="","",SUBSTITUTE(SUBSTITUTE(SUBSTITUTE(SUBSTITUTE(SUBSTITUTE(SUBSTITUTE(SUBSTITUTE(SUBSTITUTE(SUBSTITUTE(SUBSTITUTE(SUBSTITUTE(SUBSTITUTE(SUBSTITUTE(CL37," "&amp;DT1885&amp;" "," ")," "&amp;DT1883&amp;" "," ")," "&amp;DT2447&amp;" "," ")," "&amp;DT2448&amp;" "," ")," "&amp;DT1880&amp;" "," ")," "&amp;DT1884&amp;" "," ")," "&amp;DT1886&amp;" "," ")," "&amp;DT1881&amp;" "," ")," "&amp;DT1879&amp;" "," ")," "&amp;DT1376&amp;" "," ")," "&amp;DT1887&amp;" "," ")," "&amp;DT1375&amp;" "," ")," "&amp;DT1882&amp;" "," ")),"")</f>
        <v/>
      </c>
      <c r="CO37" s="493" t="str" cm="1">
        <f t="array" ref="CO37">IF(28=28,IF(AW37="","",IF(SUM(CI37:CK37)+SUMPRODUCT(--ISNUMBER(SEARCH(" "&amp;DT2432:DT2433&amp;" ",CL37)))&gt;0,"X",IF(CM37&gt;0,"?",""))),"")</f>
        <v/>
      </c>
      <c r="CP37" s="493" t="str" cm="1">
        <f t="array" ref="CP37">IF(28=28,IF(AW37="","",SUMPRODUCT(--ISNUMBER(SEARCH(" "&amp;DT1888:DT1945&amp;" ",CQ37)))),"")</f>
        <v/>
      </c>
      <c r="CQ37" s="493" t="str">
        <f>IF(28=28,IF(AW37="","",SUBSTITUTE(SUBSTITUTE(SUBSTITUTE(SUBSTITUTE(SUBSTITUTE(SUBSTITUTE(SUBSTITUTE(SUBSTITUTE(SUBSTITUTE(SUBSTITUTE(SUBSTITUTE(SUBSTITUTE(SUBSTITUTE(SUBSTITUTE(SUBSTITUTE(SUBSTITUTE(SUBSTITUTE(SUBSTITUTE(SUBSTITUTE(SUBSTITUTE(SUBSTITUTE(SUBSTITUTE(SUBSTITUTE(BC37,"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37" s="493" t="str" cm="1">
        <f t="array" ref="CR37">IF(28=28,IF(AW37="","",SUMPRODUCT(--ISNUMBER(SEARCH(" "&amp;DT1969:DT1985&amp;" ",CQ37)))),"")</f>
        <v/>
      </c>
      <c r="CS37" s="493" t="str">
        <f>IF(28=28,IF(AW37="","",IF(CP37&gt;0,"X",IF(CR37&gt;0,"?",""))),"")</f>
        <v/>
      </c>
      <c r="CT37" s="493" t="str" cm="1">
        <f t="array" ref="CT37">IF(28=28,IF(AW37="","",SUMPRODUCT(--ISNUMBER(SEARCH(" "&amp;DT1986:DT1999&amp;" ",BC37)))),"")</f>
        <v/>
      </c>
      <c r="CU37" s="493" t="str" cm="1">
        <f t="array" ref="CU37">IF(28=28,IF(AW37="","",SUMPRODUCT(--ISNUMBER(SEARCH(" "&amp;DT2000:DT2014&amp;" ",BC37)))),"")</f>
        <v/>
      </c>
      <c r="CV37" s="493" t="str">
        <f>IF(28=28,IF(AW37="","",IF((CT37)-(0)&gt;0,"X",IF((CU37)-(0)&gt;0,"?",""))),"")</f>
        <v/>
      </c>
      <c r="CW37" s="493" t="str" cm="1">
        <f t="array" ref="CW37">IF(28=28,IF(AW37="","",SUMPRODUCT(--ISNUMBER(SEARCH(" "&amp;DT2015:DT2032&amp;" ",BC37)))),"")</f>
        <v/>
      </c>
      <c r="CX37" s="493" t="str" cm="1">
        <f t="array" ref="CX37">IF(28=28,IF(AW37="","",SUMPRODUCT(--ISNUMBER(SEARCH(" "&amp;DT2033:DT2047&amp;" ",BC37)))),"")</f>
        <v/>
      </c>
      <c r="CY37" s="493" t="str">
        <f>IF(28=28,IF(AW37="","",IF((CW37)-(0)&gt;0,"X",IF((CX37)-(0)&gt;0,"?",""))),"")</f>
        <v/>
      </c>
      <c r="CZ37" s="493" t="str" cm="1">
        <f t="array" ref="CZ37">IF(28=28,IF(AW37="","",SUMPRODUCT(--ISNUMBER(SEARCH(" "&amp;DT2048:DT2066&amp;" ",BC37)))),"")</f>
        <v/>
      </c>
      <c r="DA37" s="493" t="str" cm="1">
        <f t="array" ref="DA37">IF(28=28,IF(AW37="","",SUMPRODUCT(--ISNUMBER(SEARCH(" "&amp;DT2067:DT2081&amp;" ",BC37)))),"")</f>
        <v/>
      </c>
      <c r="DB37" s="493" t="str">
        <f>IF(28=28,IF(AW37="","",IF((CZ37)-(0)&gt;0,"X",IF((DA37)-(0)&gt;0,"?",""))),"")</f>
        <v/>
      </c>
      <c r="DC37" s="493" t="str" cm="1">
        <f t="array" ref="DC37">IF(28=28,IF(AW37="","",SUMPRODUCT(--ISNUMBER(SEARCH(" "&amp;DT2082:DT2102&amp;" ",BC37)))),"")</f>
        <v/>
      </c>
      <c r="DD37" s="493" t="str" cm="1">
        <f t="array" ref="DD37">IF(28=28,IF(AW37="","",SUMPRODUCT(--ISNUMBER(SEARCH(" "&amp;DT2103:DT2142&amp;" ",SUBSTITUTE(SUBSTITUTE(BC37," "&amp;DT1376&amp;" "," ")," "&amp;DT1375&amp;" "," "))))+--ISNUMBER(SEARCH("poiré",AX37))),"")</f>
        <v/>
      </c>
      <c r="DE37" s="493" t="str">
        <f>IF(28=28,IF(AW37="","",IF(OR(DC37&gt;0,ISNUMBER(SEARCH(" vinaigre de vin ",BC37)),ISNUMBER(SEARCH(" vinaigre au vin ",BC37))),"X",IF(DD37&gt;0,"?",""))),"")</f>
        <v/>
      </c>
      <c r="DF37" s="493" t="str" cm="1">
        <f t="array" ref="DF37">IF(28=28,IF(AW37="","",SUMPRODUCT(--ISNUMBER(SEARCH(" "&amp;DT2143:DT2155&amp;" ",BC37)))),"")</f>
        <v/>
      </c>
      <c r="DG37" s="493" t="str" cm="1">
        <f t="array" ref="DG37">IF(28=28,IF(AW37="","",SUMPRODUCT(--ISNUMBER(SEARCH(" "&amp;DT2156:DT2161&amp;" ",BC37)))),"")</f>
        <v/>
      </c>
      <c r="DH37" s="493" t="str">
        <f>IF(28=28,IF(AW37="","",IF((DF37)-(0)&gt;0,"X",IF((DG37)-(0)&gt;0,"?",""))),"")</f>
        <v/>
      </c>
      <c r="DI37" s="493" t="str" cm="1">
        <f t="array" ref="DI37">IF(28=28,IF(AW37="","",SUMPRODUCT(--ISNUMBER(SEARCH(" "&amp;DT2162:DT2261&amp;" ",DL37)))),"")</f>
        <v/>
      </c>
      <c r="DJ37" s="493" t="str" cm="1">
        <f t="array" ref="DJ37">IF(28=28,IF(AW37="","",SUMPRODUCT(--ISNUMBER(SEARCH(" "&amp;DT2262:DT2361&amp;" ",DL37)))),"")</f>
        <v/>
      </c>
      <c r="DK37" s="493" t="str" cm="1">
        <f t="array" ref="DK37">IF(28=28,IF(AW37="","",SUMPRODUCT(--ISNUMBER(SEARCH(" "&amp;DT2362:DT2404&amp;" ",DL37)))),"")</f>
        <v/>
      </c>
      <c r="DL37" s="493" t="str">
        <f>IF(28=28,IF(AW37="","",SUBSTITUTE(SUBSTITUTE(SUBSTITUTE(SUBSTITUTE(SUBSTITUTE(SUBSTITUTE(SUBSTITUTE(SUBSTITUTE(SUBSTITUTE(SUBSTITUTE(SUBSTITUTE(SUBSTITUTE(SUBSTITUTE(SUBSTITUTE(SUBSTITUTE(SUBSTITUTE(BC37," "&amp;DT2410&amp;" "," ")," "&amp;DT2409&amp;" "," ")," "&amp;DT2408&amp;" "," ")," "&amp;DT2415&amp;" "," ")," "&amp;DT2407&amp;" "," ")," "&amp;DT2419&amp;" "," ")," "&amp;DT2406&amp;" "," ")," "&amp;DT2411&amp;" "," ")," "&amp;DT2414&amp;" "," ")," "&amp;DT2405&amp;" "," ")," "&amp;DT2413&amp;" "," ")," "&amp;DT2420&amp;" "," ")," "&amp;DT2417&amp;" "," ")," "&amp;DT2412&amp;" "," ")," "&amp;DT2416&amp;" "," ")," "&amp;DT2418&amp;" "," ")),"")</f>
        <v/>
      </c>
      <c r="DM37" s="493" t="str" cm="1">
        <f t="array" ref="DM37">IF(28=28,IF(AW37="","",SUMPRODUCT(--ISNUMBER(SEARCH(" "&amp;DT2421:DT2425&amp;" ",DL37)))),"")</f>
        <v/>
      </c>
      <c r="DN37" s="493" t="str">
        <f>IF(28=28,IF(AW37="","",IF(SUM(DI37:DK37)&gt;0,"X",IF(DM37&gt;0,"?",""))),"")</f>
        <v/>
      </c>
      <c r="DO37" s="494"/>
      <c r="DP37" s="496" t="s">
        <v>1193</v>
      </c>
      <c r="DQ37" s="496" t="s">
        <v>1083</v>
      </c>
      <c r="DR37" s="496" t="s">
        <v>689</v>
      </c>
      <c r="DS37" s="496" t="s">
        <v>311</v>
      </c>
      <c r="DT37" s="496" t="s">
        <v>311</v>
      </c>
      <c r="DU37" s="496" t="s">
        <v>1085</v>
      </c>
      <c r="DV37" s="496" t="s">
        <v>1086</v>
      </c>
      <c r="DW37" s="496" t="s">
        <v>1087</v>
      </c>
      <c r="DX37" s="497" t="s">
        <v>1088</v>
      </c>
      <c r="DZ37" s="543">
        <v>1</v>
      </c>
      <c r="EB37" s="493"/>
      <c r="EC37" s="493"/>
    </row>
    <row r="38" spans="5:133" ht="21" customHeight="1">
      <c r="E38" s="865" t="s">
        <v>737</v>
      </c>
      <c r="F38" s="877" t="str">
        <f>F12</f>
        <v>M MACÉDOINE DE LÉGUMES AU COULIS DE TOMATE | HORS D'ŒUVRE texture modifiée-cuidité-MACEDOINE| Auteur &gt; Annette et Jean Pierre DOMERGUES - 45000 ORLÉANS 1981</v>
      </c>
      <c r="G38" s="877">
        <f>G12</f>
        <v>10</v>
      </c>
      <c r="H38" s="878" t="str">
        <f>H12</f>
        <v>couverts</v>
      </c>
      <c r="I38" s="879" t="str">
        <f>I12</f>
        <v>Recette mère ►  Textures modifiées</v>
      </c>
      <c r="J38" s="889"/>
      <c r="K38" s="889"/>
      <c r="L38" s="891">
        <f>ROWS(P37:P38)</f>
        <v>2</v>
      </c>
      <c r="M38" s="889"/>
      <c r="N38" s="892" t="str">
        <f t="array" ref="N38">SUMPRODUCT(--(P38:W38&lt;&gt;""), LEN(TRIM(SUBSTITUTE(P38:W38, CHAR(160), "")))) &amp; " Car."</f>
        <v>33 Car.</v>
      </c>
      <c r="O38" s="893">
        <f>IF(ISBLANK(P38),"",LARGE(O36:O37,1)+1)</f>
        <v>1</v>
      </c>
      <c r="P38" s="886" t="s">
        <v>274</v>
      </c>
      <c r="Q38" s="886"/>
      <c r="R38" s="886"/>
      <c r="S38" s="886"/>
      <c r="T38" s="886"/>
      <c r="U38" s="886"/>
      <c r="V38" s="886"/>
      <c r="W38" s="886"/>
      <c r="X38" s="895" t="s">
        <v>828</v>
      </c>
      <c r="Y38" s="896">
        <v>3.472222222222222E-3</v>
      </c>
      <c r="AA38" s="897"/>
      <c r="AC38" s="509">
        <v>23</v>
      </c>
      <c r="AD38" s="808"/>
      <c r="AE38" s="679" t="str">
        <f t="shared" si="3"/>
        <v/>
      </c>
      <c r="AF38" s="512" t="str">
        <f>IF(29=29,IF(AD38="","",IF(AG38="X",""&amp;"Céréales contenant du gluten","")&amp;IF(AH38="X",IF(COUNTIF(AG38:AG38,"X")&gt;0,", ","")&amp;"Crustacés","")&amp;IF(AI38="X",IF(COUNTIF(AG38:AH38,"X")&gt;0,", ","")&amp;"Œufs","")&amp;IF(AJ38="X",IF(COUNTIF(AG38:AI38,"X")&gt;0,", ","")&amp;"Poissons","")&amp;IF(AK38="X",IF(COUNTIF(AG38:AJ38,"X")&gt;0,", ","")&amp;"Arachides","")&amp;IF(AL38="X",IF(COUNTIF(AG38:AK38,"X")&gt;0,", ","")&amp;"Soja","")&amp;IF(AM38="X",IF(COUNTIF(AG38:AL38,"X")&gt;0,", ","")&amp;"Lait","")&amp;IF(AN38="X",IF(COUNTIF(AG38:AM38,"X")&gt;0,", ","")&amp;"Fruits à coque","")&amp;IF(AO38="X",IF(COUNTIF(AG38:AN38,"X")&gt;0,", ","")&amp;"Céleri","")&amp;IF(AP38="X",IF(COUNTIF(AG38:AO38,"X")&gt;0,", ","")&amp;"Moutarde","")&amp;IF(AQ38="X",IF(COUNTIF(AG38:AP38,"X")&gt;0,", ","")&amp;"Sésame","")&amp;IF(AR38="X",IF(COUNTIF(AG38:AQ38,"X")&gt;0,", ","")&amp;"Sulfites","")&amp;IF(AS38="X",IF(COUNTIF(AG38:AR38,"X")&gt;0,", ","")&amp;"Lupin","")&amp;IF(AT38="X",IF(COUNTIF(AG38:AS38,"X")&gt;0,", ","")&amp;"Mollusques","")),"")</f>
        <v/>
      </c>
      <c r="AG38" s="513" t="str">
        <f>IF(29=29,IF(AD38="","",BH38),"")</f>
        <v/>
      </c>
      <c r="AH38" s="513" t="str">
        <f>IF(29=29,IF(AD38="","",BK38),"")</f>
        <v/>
      </c>
      <c r="AI38" s="513" t="str">
        <f>IF(29=29,IF(AD38="","",BO38),"")</f>
        <v/>
      </c>
      <c r="AJ38" s="513" t="str">
        <f>IF(29=29,IF(AD38="","",IF(ISNUMBER(SEARCH(" colin ",BC38)),"X",CB38)),"")</f>
        <v/>
      </c>
      <c r="AK38" s="513" t="str">
        <f>IF(29=29,IF(AD38="","",CD38),"")</f>
        <v/>
      </c>
      <c r="AL38" s="513" t="str">
        <f>IF(29=29,IF(AD38="","",CH38),"")</f>
        <v/>
      </c>
      <c r="AM38" s="513" t="str">
        <f>IF(29=29,IF(AD38="","",CO38),"")</f>
        <v/>
      </c>
      <c r="AN38" s="513" t="str">
        <f>IF(29=29,IF(AD38="","",CS38),"")</f>
        <v/>
      </c>
      <c r="AO38" s="513" t="str">
        <f>IF(29=29,IF(AD38="","",CV38),"")</f>
        <v/>
      </c>
      <c r="AP38" s="513" t="str">
        <f>IF(29=29,IF(AD38="","",CY38),"")</f>
        <v/>
      </c>
      <c r="AQ38" s="513" t="str">
        <f>IF(29=29,IF(AD38="","",DB38),"")</f>
        <v/>
      </c>
      <c r="AR38" s="513" t="str">
        <f>IF(29=29,IF(AD38="","",DE38),"")</f>
        <v/>
      </c>
      <c r="AS38" s="513" t="str">
        <f>IF(29=29,IF(AD38="","",DH38),"")</f>
        <v/>
      </c>
      <c r="AT38" s="513" t="str">
        <f>IF(29=29,IF(AD38="","",DN38),"")</f>
        <v/>
      </c>
      <c r="AU38" s="514" t="str">
        <f>IF(29=29,IF(AD38="","",IF(AG38="?",""&amp;"Céréales contenant du gluten","")&amp;IF(AH38="?",IF(COUNTIF(AG38:AG38,"~?")&gt;0,", ","")&amp;"Crustacés","")&amp;IF(AI38="?",IF(COUNTIF(AG38:AH38,"~?")&gt;0,", ","")&amp;"Œufs","")&amp;IF(AJ38="?",IF(COUNTIF(AG38:AI38,"~?")&gt;0,", ","")&amp;"Poissons","")&amp;IF(AK38="?",IF(COUNTIF(AG38:AJ38,"~?")&gt;0,", ","")&amp;"Arachides","")&amp;IF(AL38="?",IF(COUNTIF(AG38:AK38,"~?")&gt;0,", ","")&amp;"Soja","")&amp;IF(AM38="?",IF(COUNTIF(AG38:AL38,"~?")&gt;0,", ","")&amp;"Lait","")&amp;IF(AN38="?",IF(COUNTIF(AG38:AM38,"~?")&gt;0,", ","")&amp;"Fruits à coque","")&amp;IF(AO38="?",IF(COUNTIF(AG38:AN38,"~?")&gt;0,", ","")&amp;"Céleri","")&amp;IF(AP38="?",IF(COUNTIF(AG38:AO38,"~?")&gt;0,", ","")&amp;"Moutarde","")&amp;IF(AQ38="?",IF(COUNTIF(AG38:AP38,"~?")&gt;0,", ","")&amp;"Sésame","")&amp;IF(AR38="?",IF(COUNTIF(AG38:AQ38,"~?")&gt;0,", ","")&amp;"Sulfites","")&amp;IF(AS38="?",IF(COUNTIF(AG38:AR38,"~?")&gt;0,", ","")&amp;"Lupin","")&amp;IF(AT38="?",IF(COUNTIF(AG38:AS38,"~?")&gt;0,", ","")&amp;"Mollusques","")),"")</f>
        <v/>
      </c>
      <c r="AW38" s="493" t="str">
        <f>IF(29=29,IF(AD38="","",AD38),"")</f>
        <v/>
      </c>
      <c r="AX38" s="493" t="str">
        <f>IF(29=29,LOWER(CLEAN(SUBSTITUTE(SUBSTITUTE(SUBSTITUTE(SUBSTITUTE(AW38,CHAR(160)," ")," "," "),CHAR(10)," "),CHAR(13)," "))),"")</f>
        <v/>
      </c>
      <c r="AY38" s="493" t="str">
        <f>IF(29=29,SUBSTITUTE(SUBSTITUTE(SUBSTITUTE(SUBSTITUTE(SUBSTITUTE(SUBSTITUTE(SUBSTITUTE(SUBSTITUTE(SUBSTITUTE(SUBSTITUTE(SUBSTITUTE(SUBSTITUTE(AX38,"œ","oe"),"æ","ae"),"à","a"),"á","a"),"â","a"),"ä","a"),"ã","a"),"ç","c"),"è","e"),"é","e"),"ê","e"),"ë","e"),"")</f>
        <v/>
      </c>
      <c r="AZ38" s="493" t="str">
        <f>IF(29=29,SUBSTITUTE(SUBSTITUTE(SUBSTITUTE(SUBSTITUTE(SUBSTITUTE(SUBSTITUTE(SUBSTITUTE(SUBSTITUTE(SUBSTITUTE(SUBSTITUTE(SUBSTITUTE(SUBSTITUTE(SUBSTITUTE(SUBSTITUTE(SUBSTITUTE(SUBSTITUTE(AY38,"ì","i"),"í","i"),"î","i"),"ï","i"),"ñ","n"),"ò","o"),"ó","o"),"ô","o"),"ö","o"),"õ","o"),"ù","u"),"ú","u"),"û","u"),"ü","u"),"ý","y"),"ÿ","y"),"")</f>
        <v/>
      </c>
      <c r="BA38" s="493" t="str">
        <f>IF(29=29,SUBSTITUTE(SUBSTITUTE(SUBSTITUTE(SUBSTITUTE(SUBSTITUTE(SUBSTITUTE(SUBSTITUTE(SUBSTITUTE(SUBSTITUTE(SUBSTITUTE(SUBSTITUTE(SUBSTITUTE(SUBSTITUTE(SUBSTITUTE(AZ38,"’"," "),"`"," "),"–"," "),"—"," "),"-"," "),"'"," "),"/"," "),"_"," "),","," "),"."," "),"("," "),")"," "),";"," "),":"," "),"")</f>
        <v/>
      </c>
      <c r="BB38" s="493" t="str">
        <f>IF(29=29,SUBSTITUTE(SUBSTITUTE(SUBSTITUTE(SUBSTITUTE(SUBSTITUTE(SUBSTITUTE(SUBSTITUTE(SUBSTITUTE(SUBSTITUTE(SUBSTITUTE(SUBSTITUTE(SUBSTITUTE(SUBSTITUTE(SUBSTITUTE(SUBSTITUTE(BA38,"!"," "),"?"," "),"+"," "),"*"," "),"&amp;"," "),"["," "),"]"," "),"{"," "),"}"," "),"%"," "),"="," "),"\"," "),"|"," "),"&lt;"," "),"&gt;"," "),"")</f>
        <v/>
      </c>
      <c r="BC38" s="493" t="str">
        <f>IF(29=29," "&amp;TRIM(SUBSTITUTE(SUBSTITUTE(SUBSTITUTE(SUBSTITUTE(SUBSTITUTE(SUBSTITUTE(BB38,CHAR(34)," "),"  "," "),"  "," "),"  "," "),"  "," "),"  "," "))&amp;" ","")</f>
        <v xml:space="preserve">  </v>
      </c>
      <c r="BD38" s="493" t="str" cm="1">
        <f t="array" ref="BD38">IF(29=29,IF(AW38="","",SUMPRODUCT(--ISNUMBER(SEARCH(" "&amp;DT11:DT110&amp;" ",BF38)))),"")</f>
        <v/>
      </c>
      <c r="BE38" s="493" t="str" cm="1">
        <f t="array" ref="BE38">IF(29=29,IF(AW38="","",SUMPRODUCT(--ISNUMBER(SEARCH(" "&amp;DT111:DT160&amp;" ",BF38)))),"")</f>
        <v/>
      </c>
      <c r="BF38" s="493" t="str">
        <f>IF(AW38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38,"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38" s="493" t="str" cm="1">
        <f t="array" ref="BG38">IF(AW38="","",SUMPRODUCT(--ISNUMBER(SEARCH(" "&amp;DT193:DT214&amp;" ",BF38)))+--ISNUMBER(SEARCH(" "&amp;DT2463&amp;" ",BF38)))</f>
        <v/>
      </c>
      <c r="BH38" s="493" t="str" cm="1">
        <f t="array" ref="BH38">IF(29=29,IF(AW38="","",IF(SUM(BD38:BE38)+SUMPRODUCT(--ISNUMBER(SEARCH(" "&amp;DT2427:DT2429&amp;" ",BF38)))&gt;0,"X",IF(BG38&gt;0,"?",""))),"")</f>
        <v/>
      </c>
      <c r="BI38" s="493" t="str" cm="1">
        <f t="array" ref="BI38">IF(29=29,IF(AW38="","",SUMPRODUCT(--ISNUMBER(SEARCH(" "&amp;DT215:DT314&amp;" ",BC38)))),"")</f>
        <v/>
      </c>
      <c r="BJ38" s="493" t="str" cm="1">
        <f t="array" ref="BJ38">IF(29=29,IF(AW38="","",SUMPRODUCT(--ISNUMBER(SEARCH(" "&amp;DT315:DT349&amp;" ",BC38)))),"")</f>
        <v/>
      </c>
      <c r="BK38" s="493" t="str">
        <f>IF(29=29,IF(AW38="","",IF((SUM(BI38:BJ38))-(0)&gt;0,"X",IF((0)-(0)&gt;0,"?",""))),"")</f>
        <v/>
      </c>
      <c r="BL38" s="493" t="str" cm="1">
        <f t="array" ref="BL38">IF(29=29,IF(AW38="","",SUMPRODUCT(--ISNUMBER(SEARCH(" "&amp;DT350:DT407&amp;" ",BC38)))),"")</f>
        <v/>
      </c>
      <c r="BM38" s="493" t="str" cm="1">
        <f t="array" ref="BM38">IF(29=29,IF(AW38="","",SUMPRODUCT(--ISNUMBER(SEARCH(" "&amp;DT408:DT435&amp;" ",BN38)))+SUMPRODUCT(--ISNUMBER(SEARCH(" "&amp;DT2449:DT2462&amp;" ",BN38)))),"")</f>
        <v/>
      </c>
      <c r="BN38" s="493" t="str">
        <f>IF(29=29,IF(AW38="","",SUBSTITUTE(SUBSTITUTE(SUBSTITUTE(SUBSTITUTE(SUBSTITUTE(SUBSTITUTE(SUBSTITUTE(SUBSTITUTE(SUBSTITUTE(SUBSTITUTE(SUBSTITUTE(SUBSTITUTE(SUBSTITUTE(SUBSTITUTE(BC38," "&amp;DT2464&amp;" "," ")," "&amp;DT442&amp;" "," ")," "&amp;DT440&amp;" "," ")," "&amp;DT2447&amp;" "," ")," "&amp;DT2448&amp;" "," ")," "&amp;DT437&amp;" "," ")," "&amp;DT441&amp;" "," ")," "&amp;DT443&amp;" "," ")," "&amp;DT438&amp;" "," ")," "&amp;DT436&amp;" "," ")," "&amp;DT1376&amp;" "," ")," "&amp;DT444&amp;" "," ")," "&amp;DT1375&amp;" "," ")," "&amp;DT439&amp;" "," ")),"")</f>
        <v/>
      </c>
      <c r="BO38" s="493" t="str">
        <f>IF(29=29,IF(AW38="","",IF(BL38&gt;0,"X",IF(BM38&gt;0,"?",""))),"")</f>
        <v/>
      </c>
      <c r="BP38" s="493" t="str" cm="1">
        <f t="array" ref="BP38">IF(29=29,IF(AW38="","",SUMPRODUCT(--ISNUMBER(SEARCH(" "&amp;DT445:DT544&amp;" ",BZ38)))),"")</f>
        <v/>
      </c>
      <c r="BQ38" s="493" t="str" cm="1">
        <f t="array" ref="BQ38">IF(29=29,IF(AW38="","",SUMPRODUCT(--ISNUMBER(SEARCH(" "&amp;DT545:DT644&amp;" ",BZ38)))),"")</f>
        <v/>
      </c>
      <c r="BR38" s="493" t="str" cm="1">
        <f t="array" ref="BR38">IF(29=29,IF(AW38="","",SUMPRODUCT(--ISNUMBER(SEARCH(" "&amp;DT645:DT744&amp;" ",BZ38)))),"")</f>
        <v/>
      </c>
      <c r="BS38" s="493" t="str" cm="1">
        <f t="array" ref="BS38">IF(29=29,IF(AW38="","",SUMPRODUCT(--ISNUMBER(SEARCH(" "&amp;DT745:DT844&amp;" ",BZ38)))),"")</f>
        <v/>
      </c>
      <c r="BT38" s="493" t="str" cm="1">
        <f t="array" ref="BT38">IF(29=29,IF(AW38="","",SUMPRODUCT(--ISNUMBER(SEARCH(" "&amp;DT845:DT944&amp;" ",BZ38)))),"")</f>
        <v/>
      </c>
      <c r="BU38" s="493" t="str" cm="1">
        <f t="array" ref="BU38">IF(29=29,IF(AW38="","",SUMPRODUCT(--ISNUMBER(SEARCH(" "&amp;DT945:DT1044&amp;" ",BZ38)))),"")</f>
        <v/>
      </c>
      <c r="BV38" s="493" t="str" cm="1">
        <f t="array" ref="BV38">IF(29=29,IF(AW38="","",SUMPRODUCT(--ISNUMBER(SEARCH(" "&amp;DT1045:DT1144&amp;" ",BZ38)))),"")</f>
        <v/>
      </c>
      <c r="BW38" s="493" t="str" cm="1">
        <f t="array" ref="BW38">IF(29=29,IF(AW38="","",SUMPRODUCT(--ISNUMBER(SEARCH(" "&amp;DT1145:DT1244&amp;" ",BZ38)))),"")</f>
        <v/>
      </c>
      <c r="BX38" s="493" t="str" cm="1">
        <f t="array" ref="BX38">IF(29=29,IF(AW38="","",SUMPRODUCT(--ISNUMBER(SEARCH(" "&amp;DT1245:DT1344&amp;" ",BZ38)))),"")</f>
        <v/>
      </c>
      <c r="BY38" s="493" t="str" cm="1">
        <f t="array" ref="BY38">IF(29=29,IF(AW38="","",SUMPRODUCT(--ISNUMBER(SEARCH(" "&amp;DT1345:DT1372&amp;" ",BZ38)))),"")</f>
        <v/>
      </c>
      <c r="BZ38" s="493" t="str">
        <f>IF(29=29,IF(AW38="","",SUBSTITUTE(SUBSTITUTE(SUBSTITUTE(SUBSTITUTE(SUBSTITUTE(SUBSTITUTE(SUBSTITUTE(SUBSTITUTE(SUBSTITUTE(BC38," "&amp;DT1374&amp;" "," ")," "&amp;DT1373&amp;" "," ")," "&amp;DT1379&amp;" "," ")," "&amp;DT1380&amp;" "," ")," "&amp;DT1376&amp;" "," ")," "&amp;DT1378&amp;" "," ")," "&amp;DT1375&amp;" "," ")," "&amp;DT1377&amp;" "," ")," "&amp;DT1381&amp;" "," ")),"")</f>
        <v/>
      </c>
      <c r="CA38" s="493" t="str" cm="1">
        <f t="array" ref="CA38">IF(29=29,IF(AW38="","",SUMPRODUCT(--ISNUMBER(SEARCH(" "&amp;DT1382:DT1392&amp;" ",BZ38)))),"")</f>
        <v/>
      </c>
      <c r="CB38" s="493" t="str" cm="1">
        <f t="array" ref="CB38">IF(29=29,IF(AW38="","",IF(SUM(BP38:BY38)+SUMPRODUCT(--ISNUMBER(SEARCH(" "&amp;DT2430:DT2431&amp;" ",BZ38)))&gt;0,"X",IF(CA38&gt;0,"?",""))),"")</f>
        <v/>
      </c>
      <c r="CC38" s="493" t="str" cm="1">
        <f t="array" ref="CC38">IF(29=29,IF(AW38="","",SUMPRODUCT(--ISNUMBER(SEARCH(" "&amp;DT1393:DT1413&amp;" ",BC38)))),"")</f>
        <v/>
      </c>
      <c r="CD38" s="493" t="str">
        <f>IF(29=29,IF(AW38="","",IF((CC38)-(0)&gt;0,"X",IF((0)-(0)&gt;0,"?",""))),"")</f>
        <v/>
      </c>
      <c r="CE38" s="493" t="str" cm="1">
        <f t="array" ref="CE38">IF(29=29,IF(AW38="","",SUMPRODUCT(--ISNUMBER(SEARCH(" "&amp;DT1414:DT1451&amp;" ",CF38)))),"")</f>
        <v/>
      </c>
      <c r="CF38" s="493" t="str">
        <f>IF(29=29,IF(AW38="","",SUBSTITUTE(SUBSTITUTE(BC38," "&amp;DT1452&amp;" "," ")," "&amp;DT1453&amp;" "," ")),"")</f>
        <v/>
      </c>
      <c r="CG38" s="493" t="str" cm="1">
        <f t="array" ref="CG38">IF(29=29,IF(AW38="","",SUMPRODUCT(--ISNUMBER(SEARCH(" "&amp;DT1454:DT1464&amp;" ",CF38)))),"")</f>
        <v/>
      </c>
      <c r="CH38" s="493" t="str">
        <f>IF(29=29,IF(AW38="","",IF(CE38&gt;0,"X",IF(CG38&gt;0,"?",""))),"")</f>
        <v/>
      </c>
      <c r="CI38" s="493" t="str" cm="1">
        <f t="array" ref="CI38">IF(29=29,IF(AW38="","",SUMPRODUCT(--ISNUMBER(SEARCH(" "&amp;DT1465:DT1564&amp;" ",CL38)))),"")</f>
        <v/>
      </c>
      <c r="CJ38" s="493" t="str" cm="1">
        <f t="array" ref="CJ38">IF(29=29,IF(AW38="","",SUMPRODUCT(--ISNUMBER(SEARCH(" "&amp;DT1565:DT1664&amp;" ",CL38)))),"")</f>
        <v/>
      </c>
      <c r="CK38" s="493" t="str" cm="1">
        <f t="array" ref="CK38">IF(29=29,IF(AW38="","",SUMPRODUCT(--ISNUMBER(SEARCH(" "&amp;DT1665:DT1748&amp;" ",CL38)))),"")</f>
        <v/>
      </c>
      <c r="CL38" s="493" t="str">
        <f>IF(29=29,IF(AW38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38,"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38" s="493" t="str" cm="1">
        <f t="array" ref="CM38">IF(29=29,IF(AW38="","",SUMPRODUCT(--ISNUMBER(SEARCH(" "&amp;DT1799:DT1878&amp;" ",CN38)))+SUMPRODUCT(--ISNUMBER(SEARCH(" "&amp;DT2449:DT2462&amp;" ",CN38)))),"")</f>
        <v/>
      </c>
      <c r="CN38" s="493" t="str">
        <f>IF(29=29,IF(AW38="","",SUBSTITUTE(SUBSTITUTE(SUBSTITUTE(SUBSTITUTE(SUBSTITUTE(SUBSTITUTE(SUBSTITUTE(SUBSTITUTE(SUBSTITUTE(SUBSTITUTE(SUBSTITUTE(SUBSTITUTE(SUBSTITUTE(CL38," "&amp;DT1885&amp;" "," ")," "&amp;DT1883&amp;" "," ")," "&amp;DT2447&amp;" "," ")," "&amp;DT2448&amp;" "," ")," "&amp;DT1880&amp;" "," ")," "&amp;DT1884&amp;" "," ")," "&amp;DT1886&amp;" "," ")," "&amp;DT1881&amp;" "," ")," "&amp;DT1879&amp;" "," ")," "&amp;DT1376&amp;" "," ")," "&amp;DT1887&amp;" "," ")," "&amp;DT1375&amp;" "," ")," "&amp;DT1882&amp;" "," ")),"")</f>
        <v/>
      </c>
      <c r="CO38" s="493" t="str" cm="1">
        <f t="array" ref="CO38">IF(29=29,IF(AW38="","",IF(SUM(CI38:CK38)+SUMPRODUCT(--ISNUMBER(SEARCH(" "&amp;DT2432:DT2433&amp;" ",CL38)))&gt;0,"X",IF(CM38&gt;0,"?",""))),"")</f>
        <v/>
      </c>
      <c r="CP38" s="493" t="str" cm="1">
        <f t="array" ref="CP38">IF(29=29,IF(AW38="","",SUMPRODUCT(--ISNUMBER(SEARCH(" "&amp;DT1888:DT1945&amp;" ",CQ38)))),"")</f>
        <v/>
      </c>
      <c r="CQ38" s="493" t="str">
        <f>IF(29=29,IF(AW38="","",SUBSTITUTE(SUBSTITUTE(SUBSTITUTE(SUBSTITUTE(SUBSTITUTE(SUBSTITUTE(SUBSTITUTE(SUBSTITUTE(SUBSTITUTE(SUBSTITUTE(SUBSTITUTE(SUBSTITUTE(SUBSTITUTE(SUBSTITUTE(SUBSTITUTE(SUBSTITUTE(SUBSTITUTE(SUBSTITUTE(SUBSTITUTE(SUBSTITUTE(SUBSTITUTE(SUBSTITUTE(SUBSTITUTE(BC38,"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38" s="493" t="str" cm="1">
        <f t="array" ref="CR38">IF(29=29,IF(AW38="","",SUMPRODUCT(--ISNUMBER(SEARCH(" "&amp;DT1969:DT1985&amp;" ",CQ38)))),"")</f>
        <v/>
      </c>
      <c r="CS38" s="493" t="str">
        <f>IF(29=29,IF(AW38="","",IF(CP38&gt;0,"X",IF(CR38&gt;0,"?",""))),"")</f>
        <v/>
      </c>
      <c r="CT38" s="493" t="str" cm="1">
        <f t="array" ref="CT38">IF(29=29,IF(AW38="","",SUMPRODUCT(--ISNUMBER(SEARCH(" "&amp;DT1986:DT1999&amp;" ",BC38)))),"")</f>
        <v/>
      </c>
      <c r="CU38" s="493" t="str" cm="1">
        <f t="array" ref="CU38">IF(29=29,IF(AW38="","",SUMPRODUCT(--ISNUMBER(SEARCH(" "&amp;DT2000:DT2014&amp;" ",BC38)))),"")</f>
        <v/>
      </c>
      <c r="CV38" s="493" t="str">
        <f>IF(29=29,IF(AW38="","",IF((CT38)-(0)&gt;0,"X",IF((CU38)-(0)&gt;0,"?",""))),"")</f>
        <v/>
      </c>
      <c r="CW38" s="493" t="str" cm="1">
        <f t="array" ref="CW38">IF(29=29,IF(AW38="","",SUMPRODUCT(--ISNUMBER(SEARCH(" "&amp;DT2015:DT2032&amp;" ",BC38)))),"")</f>
        <v/>
      </c>
      <c r="CX38" s="493" t="str" cm="1">
        <f t="array" ref="CX38">IF(29=29,IF(AW38="","",SUMPRODUCT(--ISNUMBER(SEARCH(" "&amp;DT2033:DT2047&amp;" ",BC38)))),"")</f>
        <v/>
      </c>
      <c r="CY38" s="493" t="str">
        <f>IF(29=29,IF(AW38="","",IF((CW38)-(0)&gt;0,"X",IF((CX38)-(0)&gt;0,"?",""))),"")</f>
        <v/>
      </c>
      <c r="CZ38" s="493" t="str" cm="1">
        <f t="array" ref="CZ38">IF(29=29,IF(AW38="","",SUMPRODUCT(--ISNUMBER(SEARCH(" "&amp;DT2048:DT2066&amp;" ",BC38)))),"")</f>
        <v/>
      </c>
      <c r="DA38" s="493" t="str" cm="1">
        <f t="array" ref="DA38">IF(29=29,IF(AW38="","",SUMPRODUCT(--ISNUMBER(SEARCH(" "&amp;DT2067:DT2081&amp;" ",BC38)))),"")</f>
        <v/>
      </c>
      <c r="DB38" s="493" t="str">
        <f>IF(29=29,IF(AW38="","",IF((CZ38)-(0)&gt;0,"X",IF((DA38)-(0)&gt;0,"?",""))),"")</f>
        <v/>
      </c>
      <c r="DC38" s="493" t="str" cm="1">
        <f t="array" ref="DC38">IF(29=29,IF(AW38="","",SUMPRODUCT(--ISNUMBER(SEARCH(" "&amp;DT2082:DT2102&amp;" ",BC38)))),"")</f>
        <v/>
      </c>
      <c r="DD38" s="493" t="str" cm="1">
        <f t="array" ref="DD38">IF(29=29,IF(AW38="","",SUMPRODUCT(--ISNUMBER(SEARCH(" "&amp;DT2103:DT2142&amp;" ",SUBSTITUTE(SUBSTITUTE(BC38," "&amp;DT1376&amp;" "," ")," "&amp;DT1375&amp;" "," "))))+--ISNUMBER(SEARCH("poiré",AX38))),"")</f>
        <v/>
      </c>
      <c r="DE38" s="493" t="str">
        <f>IF(29=29,IF(AW38="","",IF(OR(DC38&gt;0,ISNUMBER(SEARCH(" vinaigre de vin ",BC38)),ISNUMBER(SEARCH(" vinaigre au vin ",BC38))),"X",IF(DD38&gt;0,"?",""))),"")</f>
        <v/>
      </c>
      <c r="DF38" s="493" t="str" cm="1">
        <f t="array" ref="DF38">IF(29=29,IF(AW38="","",SUMPRODUCT(--ISNUMBER(SEARCH(" "&amp;DT2143:DT2155&amp;" ",BC38)))),"")</f>
        <v/>
      </c>
      <c r="DG38" s="493" t="str" cm="1">
        <f t="array" ref="DG38">IF(29=29,IF(AW38="","",SUMPRODUCT(--ISNUMBER(SEARCH(" "&amp;DT2156:DT2161&amp;" ",BC38)))),"")</f>
        <v/>
      </c>
      <c r="DH38" s="493" t="str">
        <f>IF(29=29,IF(AW38="","",IF((DF38)-(0)&gt;0,"X",IF((DG38)-(0)&gt;0,"?",""))),"")</f>
        <v/>
      </c>
      <c r="DI38" s="493" t="str" cm="1">
        <f t="array" ref="DI38">IF(29=29,IF(AW38="","",SUMPRODUCT(--ISNUMBER(SEARCH(" "&amp;DT2162:DT2261&amp;" ",DL38)))),"")</f>
        <v/>
      </c>
      <c r="DJ38" s="493" t="str" cm="1">
        <f t="array" ref="DJ38">IF(29=29,IF(AW38="","",SUMPRODUCT(--ISNUMBER(SEARCH(" "&amp;DT2262:DT2361&amp;" ",DL38)))),"")</f>
        <v/>
      </c>
      <c r="DK38" s="493" t="str" cm="1">
        <f t="array" ref="DK38">IF(29=29,IF(AW38="","",SUMPRODUCT(--ISNUMBER(SEARCH(" "&amp;DT2362:DT2404&amp;" ",DL38)))),"")</f>
        <v/>
      </c>
      <c r="DL38" s="493" t="str">
        <f>IF(29=29,IF(AW38="","",SUBSTITUTE(SUBSTITUTE(SUBSTITUTE(SUBSTITUTE(SUBSTITUTE(SUBSTITUTE(SUBSTITUTE(SUBSTITUTE(SUBSTITUTE(SUBSTITUTE(SUBSTITUTE(SUBSTITUTE(SUBSTITUTE(SUBSTITUTE(SUBSTITUTE(SUBSTITUTE(BC38," "&amp;DT2410&amp;" "," ")," "&amp;DT2409&amp;" "," ")," "&amp;DT2408&amp;" "," ")," "&amp;DT2415&amp;" "," ")," "&amp;DT2407&amp;" "," ")," "&amp;DT2419&amp;" "," ")," "&amp;DT2406&amp;" "," ")," "&amp;DT2411&amp;" "," ")," "&amp;DT2414&amp;" "," ")," "&amp;DT2405&amp;" "," ")," "&amp;DT2413&amp;" "," ")," "&amp;DT2420&amp;" "," ")," "&amp;DT2417&amp;" "," ")," "&amp;DT2412&amp;" "," ")," "&amp;DT2416&amp;" "," ")," "&amp;DT2418&amp;" "," ")),"")</f>
        <v/>
      </c>
      <c r="DM38" s="493" t="str" cm="1">
        <f t="array" ref="DM38">IF(29=29,IF(AW38="","",SUMPRODUCT(--ISNUMBER(SEARCH(" "&amp;DT2421:DT2425&amp;" ",DL38)))),"")</f>
        <v/>
      </c>
      <c r="DN38" s="493" t="str">
        <f>IF(29=29,IF(AW38="","",IF(SUM(DI38:DK38)&gt;0,"X",IF(DM38&gt;0,"?",""))),"")</f>
        <v/>
      </c>
      <c r="DO38" s="494"/>
      <c r="DP38" s="496" t="s">
        <v>1194</v>
      </c>
      <c r="DQ38" s="496" t="s">
        <v>1083</v>
      </c>
      <c r="DR38" s="496" t="s">
        <v>689</v>
      </c>
      <c r="DS38" s="496" t="s">
        <v>893</v>
      </c>
      <c r="DT38" s="496" t="s">
        <v>893</v>
      </c>
      <c r="DU38" s="496" t="s">
        <v>1085</v>
      </c>
      <c r="DV38" s="496" t="s">
        <v>1086</v>
      </c>
      <c r="DW38" s="496" t="s">
        <v>1087</v>
      </c>
      <c r="DX38" s="497" t="s">
        <v>1088</v>
      </c>
      <c r="DZ38" s="543">
        <v>1</v>
      </c>
      <c r="EB38" s="493"/>
      <c r="EC38" s="493"/>
    </row>
    <row r="39" spans="5:133" ht="21" customHeight="1">
      <c r="E39" s="865" t="s">
        <v>737</v>
      </c>
      <c r="F39" s="877" t="str">
        <f>F12</f>
        <v>M MACÉDOINE DE LÉGUMES AU COULIS DE TOMATE | HORS D'ŒUVRE texture modifiée-cuidité-MACEDOINE| Auteur &gt; Annette et Jean Pierre DOMERGUES - 45000 ORLÉANS 1981</v>
      </c>
      <c r="G39" s="877">
        <f>G12</f>
        <v>10</v>
      </c>
      <c r="H39" s="878" t="str">
        <f>H12</f>
        <v>couverts</v>
      </c>
      <c r="I39" s="879" t="str">
        <f>I12</f>
        <v>Recette mère ►  Textures modifiées</v>
      </c>
      <c r="J39" s="889"/>
      <c r="K39" s="889"/>
      <c r="L39" s="891">
        <f>ROWS(P37:P39)</f>
        <v>3</v>
      </c>
      <c r="M39" s="889"/>
      <c r="N39" s="892" t="str">
        <f t="array" ref="N39">SUMPRODUCT(--(P39:W39&lt;&gt;""), LEN(TRIM(SUBSTITUTE(P39:W39, CHAR(160), "")))) &amp; " Car."</f>
        <v>68 Car.</v>
      </c>
      <c r="O39" s="893">
        <f>IF(ISBLANK(P39),"",LARGE(O36:O38,1)+1)</f>
        <v>2</v>
      </c>
      <c r="P39" s="886" t="s">
        <v>276</v>
      </c>
      <c r="Q39" s="886"/>
      <c r="R39" s="886"/>
      <c r="S39" s="886"/>
      <c r="T39" s="886"/>
      <c r="U39" s="886"/>
      <c r="V39" s="886"/>
      <c r="W39" s="886"/>
      <c r="X39" s="895" t="s">
        <v>829</v>
      </c>
      <c r="Y39" s="898">
        <v>1.041666666666667E-2</v>
      </c>
      <c r="AA39" s="899"/>
      <c r="AC39" s="509">
        <v>24</v>
      </c>
      <c r="AD39" s="808"/>
      <c r="AE39" s="679" t="str">
        <f t="shared" si="3"/>
        <v/>
      </c>
      <c r="AF39" s="512" t="str">
        <f>IF(30=30,IF(AD39="","",IF(AG39="X",""&amp;"Céréales contenant du gluten","")&amp;IF(AH39="X",IF(COUNTIF(AG39:AG39,"X")&gt;0,", ","")&amp;"Crustacés","")&amp;IF(AI39="X",IF(COUNTIF(AG39:AH39,"X")&gt;0,", ","")&amp;"Œufs","")&amp;IF(AJ39="X",IF(COUNTIF(AG39:AI39,"X")&gt;0,", ","")&amp;"Poissons","")&amp;IF(AK39="X",IF(COUNTIF(AG39:AJ39,"X")&gt;0,", ","")&amp;"Arachides","")&amp;IF(AL39="X",IF(COUNTIF(AG39:AK39,"X")&gt;0,", ","")&amp;"Soja","")&amp;IF(AM39="X",IF(COUNTIF(AG39:AL39,"X")&gt;0,", ","")&amp;"Lait","")&amp;IF(AN39="X",IF(COUNTIF(AG39:AM39,"X")&gt;0,", ","")&amp;"Fruits à coque","")&amp;IF(AO39="X",IF(COUNTIF(AG39:AN39,"X")&gt;0,", ","")&amp;"Céleri","")&amp;IF(AP39="X",IF(COUNTIF(AG39:AO39,"X")&gt;0,", ","")&amp;"Moutarde","")&amp;IF(AQ39="X",IF(COUNTIF(AG39:AP39,"X")&gt;0,", ","")&amp;"Sésame","")&amp;IF(AR39="X",IF(COUNTIF(AG39:AQ39,"X")&gt;0,", ","")&amp;"Sulfites","")&amp;IF(AS39="X",IF(COUNTIF(AG39:AR39,"X")&gt;0,", ","")&amp;"Lupin","")&amp;IF(AT39="X",IF(COUNTIF(AG39:AS39,"X")&gt;0,", ","")&amp;"Mollusques","")),"")</f>
        <v/>
      </c>
      <c r="AG39" s="513" t="str">
        <f>IF(30=30,IF(AD39="","",BH39),"")</f>
        <v/>
      </c>
      <c r="AH39" s="513" t="str">
        <f>IF(30=30,IF(AD39="","",BK39),"")</f>
        <v/>
      </c>
      <c r="AI39" s="513" t="str">
        <f>IF(30=30,IF(AD39="","",BO39),"")</f>
        <v/>
      </c>
      <c r="AJ39" s="513" t="str">
        <f>IF(30=30,IF(AD39="","",IF(ISNUMBER(SEARCH(" colin ",BC39)),"X",CB39)),"")</f>
        <v/>
      </c>
      <c r="AK39" s="513" t="str">
        <f>IF(30=30,IF(AD39="","",CD39),"")</f>
        <v/>
      </c>
      <c r="AL39" s="513" t="str">
        <f>IF(30=30,IF(AD39="","",CH39),"")</f>
        <v/>
      </c>
      <c r="AM39" s="513" t="str">
        <f>IF(30=30,IF(AD39="","",CO39),"")</f>
        <v/>
      </c>
      <c r="AN39" s="513" t="str">
        <f>IF(30=30,IF(AD39="","",CS39),"")</f>
        <v/>
      </c>
      <c r="AO39" s="513" t="str">
        <f>IF(30=30,IF(AD39="","",CV39),"")</f>
        <v/>
      </c>
      <c r="AP39" s="513" t="str">
        <f>IF(30=30,IF(AD39="","",CY39),"")</f>
        <v/>
      </c>
      <c r="AQ39" s="513" t="str">
        <f>IF(30=30,IF(AD39="","",DB39),"")</f>
        <v/>
      </c>
      <c r="AR39" s="513" t="str">
        <f>IF(30=30,IF(AD39="","",DE39),"")</f>
        <v/>
      </c>
      <c r="AS39" s="513" t="str">
        <f>IF(30=30,IF(AD39="","",DH39),"")</f>
        <v/>
      </c>
      <c r="AT39" s="513" t="str">
        <f>IF(30=30,IF(AD39="","",DN39),"")</f>
        <v/>
      </c>
      <c r="AU39" s="514" t="str">
        <f>IF(30=30,IF(AD39="","",IF(AG39="?",""&amp;"Céréales contenant du gluten","")&amp;IF(AH39="?",IF(COUNTIF(AG39:AG39,"~?")&gt;0,", ","")&amp;"Crustacés","")&amp;IF(AI39="?",IF(COUNTIF(AG39:AH39,"~?")&gt;0,", ","")&amp;"Œufs","")&amp;IF(AJ39="?",IF(COUNTIF(AG39:AI39,"~?")&gt;0,", ","")&amp;"Poissons","")&amp;IF(AK39="?",IF(COUNTIF(AG39:AJ39,"~?")&gt;0,", ","")&amp;"Arachides","")&amp;IF(AL39="?",IF(COUNTIF(AG39:AK39,"~?")&gt;0,", ","")&amp;"Soja","")&amp;IF(AM39="?",IF(COUNTIF(AG39:AL39,"~?")&gt;0,", ","")&amp;"Lait","")&amp;IF(AN39="?",IF(COUNTIF(AG39:AM39,"~?")&gt;0,", ","")&amp;"Fruits à coque","")&amp;IF(AO39="?",IF(COUNTIF(AG39:AN39,"~?")&gt;0,", ","")&amp;"Céleri","")&amp;IF(AP39="?",IF(COUNTIF(AG39:AO39,"~?")&gt;0,", ","")&amp;"Moutarde","")&amp;IF(AQ39="?",IF(COUNTIF(AG39:AP39,"~?")&gt;0,", ","")&amp;"Sésame","")&amp;IF(AR39="?",IF(COUNTIF(AG39:AQ39,"~?")&gt;0,", ","")&amp;"Sulfites","")&amp;IF(AS39="?",IF(COUNTIF(AG39:AR39,"~?")&gt;0,", ","")&amp;"Lupin","")&amp;IF(AT39="?",IF(COUNTIF(AG39:AS39,"~?")&gt;0,", ","")&amp;"Mollusques","")),"")</f>
        <v/>
      </c>
      <c r="AW39" s="493" t="str">
        <f>IF(30=30,IF(AD39="","",AD39),"")</f>
        <v/>
      </c>
      <c r="AX39" s="493" t="str">
        <f>IF(30=30,LOWER(CLEAN(SUBSTITUTE(SUBSTITUTE(SUBSTITUTE(SUBSTITUTE(AW39,CHAR(160)," ")," "," "),CHAR(10)," "),CHAR(13)," "))),"")</f>
        <v/>
      </c>
      <c r="AY39" s="493" t="str">
        <f>IF(30=30,SUBSTITUTE(SUBSTITUTE(SUBSTITUTE(SUBSTITUTE(SUBSTITUTE(SUBSTITUTE(SUBSTITUTE(SUBSTITUTE(SUBSTITUTE(SUBSTITUTE(SUBSTITUTE(SUBSTITUTE(AX39,"œ","oe"),"æ","ae"),"à","a"),"á","a"),"â","a"),"ä","a"),"ã","a"),"ç","c"),"è","e"),"é","e"),"ê","e"),"ë","e"),"")</f>
        <v/>
      </c>
      <c r="AZ39" s="493" t="str">
        <f>IF(30=30,SUBSTITUTE(SUBSTITUTE(SUBSTITUTE(SUBSTITUTE(SUBSTITUTE(SUBSTITUTE(SUBSTITUTE(SUBSTITUTE(SUBSTITUTE(SUBSTITUTE(SUBSTITUTE(SUBSTITUTE(SUBSTITUTE(SUBSTITUTE(SUBSTITUTE(SUBSTITUTE(AY39,"ì","i"),"í","i"),"î","i"),"ï","i"),"ñ","n"),"ò","o"),"ó","o"),"ô","o"),"ö","o"),"õ","o"),"ù","u"),"ú","u"),"û","u"),"ü","u"),"ý","y"),"ÿ","y"),"")</f>
        <v/>
      </c>
      <c r="BA39" s="493" t="str">
        <f>IF(30=30,SUBSTITUTE(SUBSTITUTE(SUBSTITUTE(SUBSTITUTE(SUBSTITUTE(SUBSTITUTE(SUBSTITUTE(SUBSTITUTE(SUBSTITUTE(SUBSTITUTE(SUBSTITUTE(SUBSTITUTE(SUBSTITUTE(SUBSTITUTE(AZ39,"’"," "),"`"," "),"–"," "),"—"," "),"-"," "),"'"," "),"/"," "),"_"," "),","," "),"."," "),"("," "),")"," "),";"," "),":"," "),"")</f>
        <v/>
      </c>
      <c r="BB39" s="493" t="str">
        <f>IF(30=30,SUBSTITUTE(SUBSTITUTE(SUBSTITUTE(SUBSTITUTE(SUBSTITUTE(SUBSTITUTE(SUBSTITUTE(SUBSTITUTE(SUBSTITUTE(SUBSTITUTE(SUBSTITUTE(SUBSTITUTE(SUBSTITUTE(SUBSTITUTE(SUBSTITUTE(BA39,"!"," "),"?"," "),"+"," "),"*"," "),"&amp;"," "),"["," "),"]"," "),"{"," "),"}"," "),"%"," "),"="," "),"\"," "),"|"," "),"&lt;"," "),"&gt;"," "),"")</f>
        <v/>
      </c>
      <c r="BC39" s="493" t="str">
        <f>IF(30=30," "&amp;TRIM(SUBSTITUTE(SUBSTITUTE(SUBSTITUTE(SUBSTITUTE(SUBSTITUTE(SUBSTITUTE(BB39,CHAR(34)," "),"  "," "),"  "," "),"  "," "),"  "," "),"  "," "))&amp;" ","")</f>
        <v xml:space="preserve">  </v>
      </c>
      <c r="BD39" s="493" t="str" cm="1">
        <f t="array" ref="BD39">IF(30=30,IF(AW39="","",SUMPRODUCT(--ISNUMBER(SEARCH(" "&amp;DT11:DT110&amp;" ",BF39)))),"")</f>
        <v/>
      </c>
      <c r="BE39" s="493" t="str" cm="1">
        <f t="array" ref="BE39">IF(30=30,IF(AW39="","",SUMPRODUCT(--ISNUMBER(SEARCH(" "&amp;DT111:DT160&amp;" ",BF39)))),"")</f>
        <v/>
      </c>
      <c r="BF39" s="493" t="str">
        <f>IF(AW39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39,"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39" s="493" t="str" cm="1">
        <f t="array" ref="BG39">IF(AW39="","",SUMPRODUCT(--ISNUMBER(SEARCH(" "&amp;DT193:DT214&amp;" ",BF39)))+--ISNUMBER(SEARCH(" "&amp;DT2463&amp;" ",BF39)))</f>
        <v/>
      </c>
      <c r="BH39" s="493" t="str" cm="1">
        <f t="array" ref="BH39">IF(30=30,IF(AW39="","",IF(SUM(BD39:BE39)+SUMPRODUCT(--ISNUMBER(SEARCH(" "&amp;DT2427:DT2429&amp;" ",BF39)))&gt;0,"X",IF(BG39&gt;0,"?",""))),"")</f>
        <v/>
      </c>
      <c r="BI39" s="493" t="str" cm="1">
        <f t="array" ref="BI39">IF(30=30,IF(AW39="","",SUMPRODUCT(--ISNUMBER(SEARCH(" "&amp;DT215:DT314&amp;" ",BC39)))),"")</f>
        <v/>
      </c>
      <c r="BJ39" s="493" t="str" cm="1">
        <f t="array" ref="BJ39">IF(30=30,IF(AW39="","",SUMPRODUCT(--ISNUMBER(SEARCH(" "&amp;DT315:DT349&amp;" ",BC39)))),"")</f>
        <v/>
      </c>
      <c r="BK39" s="493" t="str">
        <f>IF(30=30,IF(AW39="","",IF((SUM(BI39:BJ39))-(0)&gt;0,"X",IF((0)-(0)&gt;0,"?",""))),"")</f>
        <v/>
      </c>
      <c r="BL39" s="493" t="str" cm="1">
        <f t="array" ref="BL39">IF(30=30,IF(AW39="","",SUMPRODUCT(--ISNUMBER(SEARCH(" "&amp;DT350:DT407&amp;" ",BC39)))),"")</f>
        <v/>
      </c>
      <c r="BM39" s="493" t="str" cm="1">
        <f t="array" ref="BM39">IF(30=30,IF(AW39="","",SUMPRODUCT(--ISNUMBER(SEARCH(" "&amp;DT408:DT435&amp;" ",BN39)))+SUMPRODUCT(--ISNUMBER(SEARCH(" "&amp;DT2449:DT2462&amp;" ",BN39)))),"")</f>
        <v/>
      </c>
      <c r="BN39" s="493" t="str">
        <f>IF(30=30,IF(AW39="","",SUBSTITUTE(SUBSTITUTE(SUBSTITUTE(SUBSTITUTE(SUBSTITUTE(SUBSTITUTE(SUBSTITUTE(SUBSTITUTE(SUBSTITUTE(SUBSTITUTE(SUBSTITUTE(SUBSTITUTE(SUBSTITUTE(SUBSTITUTE(BC39," "&amp;DT2464&amp;" "," ")," "&amp;DT442&amp;" "," ")," "&amp;DT440&amp;" "," ")," "&amp;DT2447&amp;" "," ")," "&amp;DT2448&amp;" "," ")," "&amp;DT437&amp;" "," ")," "&amp;DT441&amp;" "," ")," "&amp;DT443&amp;" "," ")," "&amp;DT438&amp;" "," ")," "&amp;DT436&amp;" "," ")," "&amp;DT1376&amp;" "," ")," "&amp;DT444&amp;" "," ")," "&amp;DT1375&amp;" "," ")," "&amp;DT439&amp;" "," ")),"")</f>
        <v/>
      </c>
      <c r="BO39" s="493" t="str">
        <f>IF(30=30,IF(AW39="","",IF(BL39&gt;0,"X",IF(BM39&gt;0,"?",""))),"")</f>
        <v/>
      </c>
      <c r="BP39" s="493" t="str" cm="1">
        <f t="array" ref="BP39">IF(30=30,IF(AW39="","",SUMPRODUCT(--ISNUMBER(SEARCH(" "&amp;DT445:DT544&amp;" ",BZ39)))),"")</f>
        <v/>
      </c>
      <c r="BQ39" s="493" t="str" cm="1">
        <f t="array" ref="BQ39">IF(30=30,IF(AW39="","",SUMPRODUCT(--ISNUMBER(SEARCH(" "&amp;DT545:DT644&amp;" ",BZ39)))),"")</f>
        <v/>
      </c>
      <c r="BR39" s="493" t="str" cm="1">
        <f t="array" ref="BR39">IF(30=30,IF(AW39="","",SUMPRODUCT(--ISNUMBER(SEARCH(" "&amp;DT645:DT744&amp;" ",BZ39)))),"")</f>
        <v/>
      </c>
      <c r="BS39" s="493" t="str" cm="1">
        <f t="array" ref="BS39">IF(30=30,IF(AW39="","",SUMPRODUCT(--ISNUMBER(SEARCH(" "&amp;DT745:DT844&amp;" ",BZ39)))),"")</f>
        <v/>
      </c>
      <c r="BT39" s="493" t="str" cm="1">
        <f t="array" ref="BT39">IF(30=30,IF(AW39="","",SUMPRODUCT(--ISNUMBER(SEARCH(" "&amp;DT845:DT944&amp;" ",BZ39)))),"")</f>
        <v/>
      </c>
      <c r="BU39" s="493" t="str" cm="1">
        <f t="array" ref="BU39">IF(30=30,IF(AW39="","",SUMPRODUCT(--ISNUMBER(SEARCH(" "&amp;DT945:DT1044&amp;" ",BZ39)))),"")</f>
        <v/>
      </c>
      <c r="BV39" s="493" t="str" cm="1">
        <f t="array" ref="BV39">IF(30=30,IF(AW39="","",SUMPRODUCT(--ISNUMBER(SEARCH(" "&amp;DT1045:DT1144&amp;" ",BZ39)))),"")</f>
        <v/>
      </c>
      <c r="BW39" s="493" t="str" cm="1">
        <f t="array" ref="BW39">IF(30=30,IF(AW39="","",SUMPRODUCT(--ISNUMBER(SEARCH(" "&amp;DT1145:DT1244&amp;" ",BZ39)))),"")</f>
        <v/>
      </c>
      <c r="BX39" s="493" t="str" cm="1">
        <f t="array" ref="BX39">IF(30=30,IF(AW39="","",SUMPRODUCT(--ISNUMBER(SEARCH(" "&amp;DT1245:DT1344&amp;" ",BZ39)))),"")</f>
        <v/>
      </c>
      <c r="BY39" s="493" t="str" cm="1">
        <f t="array" ref="BY39">IF(30=30,IF(AW39="","",SUMPRODUCT(--ISNUMBER(SEARCH(" "&amp;DT1345:DT1372&amp;" ",BZ39)))),"")</f>
        <v/>
      </c>
      <c r="BZ39" s="493" t="str">
        <f>IF(30=30,IF(AW39="","",SUBSTITUTE(SUBSTITUTE(SUBSTITUTE(SUBSTITUTE(SUBSTITUTE(SUBSTITUTE(SUBSTITUTE(SUBSTITUTE(SUBSTITUTE(BC39," "&amp;DT1374&amp;" "," ")," "&amp;DT1373&amp;" "," ")," "&amp;DT1379&amp;" "," ")," "&amp;DT1380&amp;" "," ")," "&amp;DT1376&amp;" "," ")," "&amp;DT1378&amp;" "," ")," "&amp;DT1375&amp;" "," ")," "&amp;DT1377&amp;" "," ")," "&amp;DT1381&amp;" "," ")),"")</f>
        <v/>
      </c>
      <c r="CA39" s="493" t="str" cm="1">
        <f t="array" ref="CA39">IF(30=30,IF(AW39="","",SUMPRODUCT(--ISNUMBER(SEARCH(" "&amp;DT1382:DT1392&amp;" ",BZ39)))),"")</f>
        <v/>
      </c>
      <c r="CB39" s="493" t="str" cm="1">
        <f t="array" ref="CB39">IF(30=30,IF(AW39="","",IF(SUM(BP39:BY39)+SUMPRODUCT(--ISNUMBER(SEARCH(" "&amp;DT2430:DT2431&amp;" ",BZ39)))&gt;0,"X",IF(CA39&gt;0,"?",""))),"")</f>
        <v/>
      </c>
      <c r="CC39" s="493" t="str" cm="1">
        <f t="array" ref="CC39">IF(30=30,IF(AW39="","",SUMPRODUCT(--ISNUMBER(SEARCH(" "&amp;DT1393:DT1413&amp;" ",BC39)))),"")</f>
        <v/>
      </c>
      <c r="CD39" s="493" t="str">
        <f>IF(30=30,IF(AW39="","",IF((CC39)-(0)&gt;0,"X",IF((0)-(0)&gt;0,"?",""))),"")</f>
        <v/>
      </c>
      <c r="CE39" s="493" t="str" cm="1">
        <f t="array" ref="CE39">IF(30=30,IF(AW39="","",SUMPRODUCT(--ISNUMBER(SEARCH(" "&amp;DT1414:DT1451&amp;" ",CF39)))),"")</f>
        <v/>
      </c>
      <c r="CF39" s="493" t="str">
        <f>IF(30=30,IF(AW39="","",SUBSTITUTE(SUBSTITUTE(BC39," "&amp;DT1452&amp;" "," ")," "&amp;DT1453&amp;" "," ")),"")</f>
        <v/>
      </c>
      <c r="CG39" s="493" t="str" cm="1">
        <f t="array" ref="CG39">IF(30=30,IF(AW39="","",SUMPRODUCT(--ISNUMBER(SEARCH(" "&amp;DT1454:DT1464&amp;" ",CF39)))),"")</f>
        <v/>
      </c>
      <c r="CH39" s="493" t="str">
        <f>IF(30=30,IF(AW39="","",IF(CE39&gt;0,"X",IF(CG39&gt;0,"?",""))),"")</f>
        <v/>
      </c>
      <c r="CI39" s="493" t="str" cm="1">
        <f t="array" ref="CI39">IF(30=30,IF(AW39="","",SUMPRODUCT(--ISNUMBER(SEARCH(" "&amp;DT1465:DT1564&amp;" ",CL39)))),"")</f>
        <v/>
      </c>
      <c r="CJ39" s="493" t="str" cm="1">
        <f t="array" ref="CJ39">IF(30=30,IF(AW39="","",SUMPRODUCT(--ISNUMBER(SEARCH(" "&amp;DT1565:DT1664&amp;" ",CL39)))),"")</f>
        <v/>
      </c>
      <c r="CK39" s="493" t="str" cm="1">
        <f t="array" ref="CK39">IF(30=30,IF(AW39="","",SUMPRODUCT(--ISNUMBER(SEARCH(" "&amp;DT1665:DT1748&amp;" ",CL39)))),"")</f>
        <v/>
      </c>
      <c r="CL39" s="493" t="str">
        <f>IF(30=30,IF(AW39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39,"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39" s="493" t="str" cm="1">
        <f t="array" ref="CM39">IF(30=30,IF(AW39="","",SUMPRODUCT(--ISNUMBER(SEARCH(" "&amp;DT1799:DT1878&amp;" ",CN39)))+SUMPRODUCT(--ISNUMBER(SEARCH(" "&amp;DT2449:DT2462&amp;" ",CN39)))),"")</f>
        <v/>
      </c>
      <c r="CN39" s="493" t="str">
        <f>IF(30=30,IF(AW39="","",SUBSTITUTE(SUBSTITUTE(SUBSTITUTE(SUBSTITUTE(SUBSTITUTE(SUBSTITUTE(SUBSTITUTE(SUBSTITUTE(SUBSTITUTE(SUBSTITUTE(SUBSTITUTE(SUBSTITUTE(SUBSTITUTE(CL39," "&amp;DT1885&amp;" "," ")," "&amp;DT1883&amp;" "," ")," "&amp;DT2447&amp;" "," ")," "&amp;DT2448&amp;" "," ")," "&amp;DT1880&amp;" "," ")," "&amp;DT1884&amp;" "," ")," "&amp;DT1886&amp;" "," ")," "&amp;DT1881&amp;" "," ")," "&amp;DT1879&amp;" "," ")," "&amp;DT1376&amp;" "," ")," "&amp;DT1887&amp;" "," ")," "&amp;DT1375&amp;" "," ")," "&amp;DT1882&amp;" "," ")),"")</f>
        <v/>
      </c>
      <c r="CO39" s="493" t="str" cm="1">
        <f t="array" ref="CO39">IF(30=30,IF(AW39="","",IF(SUM(CI39:CK39)+SUMPRODUCT(--ISNUMBER(SEARCH(" "&amp;DT2432:DT2433&amp;" ",CL39)))&gt;0,"X",IF(CM39&gt;0,"?",""))),"")</f>
        <v/>
      </c>
      <c r="CP39" s="493" t="str" cm="1">
        <f t="array" ref="CP39">IF(30=30,IF(AW39="","",SUMPRODUCT(--ISNUMBER(SEARCH(" "&amp;DT1888:DT1945&amp;" ",CQ39)))),"")</f>
        <v/>
      </c>
      <c r="CQ39" s="493" t="str">
        <f>IF(30=30,IF(AW39="","",SUBSTITUTE(SUBSTITUTE(SUBSTITUTE(SUBSTITUTE(SUBSTITUTE(SUBSTITUTE(SUBSTITUTE(SUBSTITUTE(SUBSTITUTE(SUBSTITUTE(SUBSTITUTE(SUBSTITUTE(SUBSTITUTE(SUBSTITUTE(SUBSTITUTE(SUBSTITUTE(SUBSTITUTE(SUBSTITUTE(SUBSTITUTE(SUBSTITUTE(SUBSTITUTE(SUBSTITUTE(SUBSTITUTE(BC39,"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39" s="493" t="str" cm="1">
        <f t="array" ref="CR39">IF(30=30,IF(AW39="","",SUMPRODUCT(--ISNUMBER(SEARCH(" "&amp;DT1969:DT1985&amp;" ",CQ39)))),"")</f>
        <v/>
      </c>
      <c r="CS39" s="493" t="str">
        <f>IF(30=30,IF(AW39="","",IF(CP39&gt;0,"X",IF(CR39&gt;0,"?",""))),"")</f>
        <v/>
      </c>
      <c r="CT39" s="493" t="str" cm="1">
        <f t="array" ref="CT39">IF(30=30,IF(AW39="","",SUMPRODUCT(--ISNUMBER(SEARCH(" "&amp;DT1986:DT1999&amp;" ",BC39)))),"")</f>
        <v/>
      </c>
      <c r="CU39" s="493" t="str" cm="1">
        <f t="array" ref="CU39">IF(30=30,IF(AW39="","",SUMPRODUCT(--ISNUMBER(SEARCH(" "&amp;DT2000:DT2014&amp;" ",BC39)))),"")</f>
        <v/>
      </c>
      <c r="CV39" s="493" t="str">
        <f>IF(30=30,IF(AW39="","",IF((CT39)-(0)&gt;0,"X",IF((CU39)-(0)&gt;0,"?",""))),"")</f>
        <v/>
      </c>
      <c r="CW39" s="493" t="str" cm="1">
        <f t="array" ref="CW39">IF(30=30,IF(AW39="","",SUMPRODUCT(--ISNUMBER(SEARCH(" "&amp;DT2015:DT2032&amp;" ",BC39)))),"")</f>
        <v/>
      </c>
      <c r="CX39" s="493" t="str" cm="1">
        <f t="array" ref="CX39">IF(30=30,IF(AW39="","",SUMPRODUCT(--ISNUMBER(SEARCH(" "&amp;DT2033:DT2047&amp;" ",BC39)))),"")</f>
        <v/>
      </c>
      <c r="CY39" s="493" t="str">
        <f>IF(30=30,IF(AW39="","",IF((CW39)-(0)&gt;0,"X",IF((CX39)-(0)&gt;0,"?",""))),"")</f>
        <v/>
      </c>
      <c r="CZ39" s="493" t="str" cm="1">
        <f t="array" ref="CZ39">IF(30=30,IF(AW39="","",SUMPRODUCT(--ISNUMBER(SEARCH(" "&amp;DT2048:DT2066&amp;" ",BC39)))),"")</f>
        <v/>
      </c>
      <c r="DA39" s="493" t="str" cm="1">
        <f t="array" ref="DA39">IF(30=30,IF(AW39="","",SUMPRODUCT(--ISNUMBER(SEARCH(" "&amp;DT2067:DT2081&amp;" ",BC39)))),"")</f>
        <v/>
      </c>
      <c r="DB39" s="493" t="str">
        <f>IF(30=30,IF(AW39="","",IF((CZ39)-(0)&gt;0,"X",IF((DA39)-(0)&gt;0,"?",""))),"")</f>
        <v/>
      </c>
      <c r="DC39" s="493" t="str" cm="1">
        <f t="array" ref="DC39">IF(30=30,IF(AW39="","",SUMPRODUCT(--ISNUMBER(SEARCH(" "&amp;DT2082:DT2102&amp;" ",BC39)))),"")</f>
        <v/>
      </c>
      <c r="DD39" s="493" t="str" cm="1">
        <f t="array" ref="DD39">IF(30=30,IF(AW39="","",SUMPRODUCT(--ISNUMBER(SEARCH(" "&amp;DT2103:DT2142&amp;" ",SUBSTITUTE(SUBSTITUTE(BC39," "&amp;DT1376&amp;" "," ")," "&amp;DT1375&amp;" "," "))))+--ISNUMBER(SEARCH("poiré",AX39))),"")</f>
        <v/>
      </c>
      <c r="DE39" s="493" t="str">
        <f>IF(30=30,IF(AW39="","",IF(OR(DC39&gt;0,ISNUMBER(SEARCH(" vinaigre de vin ",BC39)),ISNUMBER(SEARCH(" vinaigre au vin ",BC39))),"X",IF(DD39&gt;0,"?",""))),"")</f>
        <v/>
      </c>
      <c r="DF39" s="493" t="str" cm="1">
        <f t="array" ref="DF39">IF(30=30,IF(AW39="","",SUMPRODUCT(--ISNUMBER(SEARCH(" "&amp;DT2143:DT2155&amp;" ",BC39)))),"")</f>
        <v/>
      </c>
      <c r="DG39" s="493" t="str" cm="1">
        <f t="array" ref="DG39">IF(30=30,IF(AW39="","",SUMPRODUCT(--ISNUMBER(SEARCH(" "&amp;DT2156:DT2161&amp;" ",BC39)))),"")</f>
        <v/>
      </c>
      <c r="DH39" s="493" t="str">
        <f>IF(30=30,IF(AW39="","",IF((DF39)-(0)&gt;0,"X",IF((DG39)-(0)&gt;0,"?",""))),"")</f>
        <v/>
      </c>
      <c r="DI39" s="493" t="str" cm="1">
        <f t="array" ref="DI39">IF(30=30,IF(AW39="","",SUMPRODUCT(--ISNUMBER(SEARCH(" "&amp;DT2162:DT2261&amp;" ",DL39)))),"")</f>
        <v/>
      </c>
      <c r="DJ39" s="493" t="str" cm="1">
        <f t="array" ref="DJ39">IF(30=30,IF(AW39="","",SUMPRODUCT(--ISNUMBER(SEARCH(" "&amp;DT2262:DT2361&amp;" ",DL39)))),"")</f>
        <v/>
      </c>
      <c r="DK39" s="493" t="str" cm="1">
        <f t="array" ref="DK39">IF(30=30,IF(AW39="","",SUMPRODUCT(--ISNUMBER(SEARCH(" "&amp;DT2362:DT2404&amp;" ",DL39)))),"")</f>
        <v/>
      </c>
      <c r="DL39" s="493" t="str">
        <f>IF(30=30,IF(AW39="","",SUBSTITUTE(SUBSTITUTE(SUBSTITUTE(SUBSTITUTE(SUBSTITUTE(SUBSTITUTE(SUBSTITUTE(SUBSTITUTE(SUBSTITUTE(SUBSTITUTE(SUBSTITUTE(SUBSTITUTE(SUBSTITUTE(SUBSTITUTE(SUBSTITUTE(SUBSTITUTE(BC39," "&amp;DT2410&amp;" "," ")," "&amp;DT2409&amp;" "," ")," "&amp;DT2408&amp;" "," ")," "&amp;DT2415&amp;" "," ")," "&amp;DT2407&amp;" "," ")," "&amp;DT2419&amp;" "," ")," "&amp;DT2406&amp;" "," ")," "&amp;DT2411&amp;" "," ")," "&amp;DT2414&amp;" "," ")," "&amp;DT2405&amp;" "," ")," "&amp;DT2413&amp;" "," ")," "&amp;DT2420&amp;" "," ")," "&amp;DT2417&amp;" "," ")," "&amp;DT2412&amp;" "," ")," "&amp;DT2416&amp;" "," ")," "&amp;DT2418&amp;" "," ")),"")</f>
        <v/>
      </c>
      <c r="DM39" s="493" t="str" cm="1">
        <f t="array" ref="DM39">IF(30=30,IF(AW39="","",SUMPRODUCT(--ISNUMBER(SEARCH(" "&amp;DT2421:DT2425&amp;" ",DL39)))),"")</f>
        <v/>
      </c>
      <c r="DN39" s="493" t="str">
        <f>IF(30=30,IF(AW39="","",IF(SUM(DI39:DK39)&gt;0,"X",IF(DM39&gt;0,"?",""))),"")</f>
        <v/>
      </c>
      <c r="DO39" s="494"/>
      <c r="DP39" s="496" t="s">
        <v>1195</v>
      </c>
      <c r="DQ39" s="496" t="s">
        <v>1083</v>
      </c>
      <c r="DR39" s="496" t="s">
        <v>689</v>
      </c>
      <c r="DS39" s="496" t="s">
        <v>187</v>
      </c>
      <c r="DT39" s="496" t="s">
        <v>187</v>
      </c>
      <c r="DU39" s="496" t="s">
        <v>1085</v>
      </c>
      <c r="DV39" s="496" t="s">
        <v>1086</v>
      </c>
      <c r="DW39" s="496" t="s">
        <v>1087</v>
      </c>
      <c r="DX39" s="497" t="s">
        <v>1088</v>
      </c>
      <c r="DZ39" s="543">
        <v>1</v>
      </c>
      <c r="EB39" s="493"/>
      <c r="EC39" s="493"/>
    </row>
    <row r="40" spans="5:133" ht="21" customHeight="1">
      <c r="E40" s="865" t="s">
        <v>737</v>
      </c>
      <c r="F40" s="877" t="str">
        <f>F12</f>
        <v>M MACÉDOINE DE LÉGUMES AU COULIS DE TOMATE | HORS D'ŒUVRE texture modifiée-cuidité-MACEDOINE| Auteur &gt; Annette et Jean Pierre DOMERGUES - 45000 ORLÉANS 1981</v>
      </c>
      <c r="G40" s="877">
        <f>G12</f>
        <v>10</v>
      </c>
      <c r="H40" s="878" t="str">
        <f>H12</f>
        <v>couverts</v>
      </c>
      <c r="I40" s="879" t="str">
        <f>I12</f>
        <v>Recette mère ►  Textures modifiées</v>
      </c>
      <c r="J40" s="889"/>
      <c r="K40" s="889"/>
      <c r="L40" s="891">
        <f>ROWS(P37:P40)</f>
        <v>4</v>
      </c>
      <c r="M40" s="889"/>
      <c r="N40" s="892" t="str">
        <f t="array" ref="N40">SUMPRODUCT(--(P40:W40&lt;&gt;""), LEN(TRIM(SUBSTITUTE(P40:W40, CHAR(160), "")))) &amp; " Car."</f>
        <v>20 Car.</v>
      </c>
      <c r="O40" s="893">
        <f>IF(ISBLANK(P40),"",LARGE(O36:O39,1)+1)</f>
        <v>3</v>
      </c>
      <c r="P40" s="886" t="s">
        <v>278</v>
      </c>
      <c r="Q40" s="900"/>
      <c r="R40" s="886"/>
      <c r="S40" s="886"/>
      <c r="T40" s="886"/>
      <c r="U40" s="886"/>
      <c r="V40" s="886"/>
      <c r="W40" s="886"/>
      <c r="X40" s="895" t="s">
        <v>830</v>
      </c>
      <c r="Y40" s="901">
        <v>2.0833333333333329E-2</v>
      </c>
      <c r="AA40" s="899"/>
      <c r="AC40" s="509">
        <v>25</v>
      </c>
      <c r="AD40" s="808"/>
      <c r="AE40" s="679" t="str">
        <f t="shared" si="3"/>
        <v/>
      </c>
      <c r="AF40" s="512" t="str">
        <f>IF(31=31,IF(AD40="","",IF(AG40="X",""&amp;"Céréales contenant du gluten","")&amp;IF(AH40="X",IF(COUNTIF(AG40:AG40,"X")&gt;0,", ","")&amp;"Crustacés","")&amp;IF(AI40="X",IF(COUNTIF(AG40:AH40,"X")&gt;0,", ","")&amp;"Œufs","")&amp;IF(AJ40="X",IF(COUNTIF(AG40:AI40,"X")&gt;0,", ","")&amp;"Poissons","")&amp;IF(AK40="X",IF(COUNTIF(AG40:AJ40,"X")&gt;0,", ","")&amp;"Arachides","")&amp;IF(AL40="X",IF(COUNTIF(AG40:AK40,"X")&gt;0,", ","")&amp;"Soja","")&amp;IF(AM40="X",IF(COUNTIF(AG40:AL40,"X")&gt;0,", ","")&amp;"Lait","")&amp;IF(AN40="X",IF(COUNTIF(AG40:AM40,"X")&gt;0,", ","")&amp;"Fruits à coque","")&amp;IF(AO40="X",IF(COUNTIF(AG40:AN40,"X")&gt;0,", ","")&amp;"Céleri","")&amp;IF(AP40="X",IF(COUNTIF(AG40:AO40,"X")&gt;0,", ","")&amp;"Moutarde","")&amp;IF(AQ40="X",IF(COUNTIF(AG40:AP40,"X")&gt;0,", ","")&amp;"Sésame","")&amp;IF(AR40="X",IF(COUNTIF(AG40:AQ40,"X")&gt;0,", ","")&amp;"Sulfites","")&amp;IF(AS40="X",IF(COUNTIF(AG40:AR40,"X")&gt;0,", ","")&amp;"Lupin","")&amp;IF(AT40="X",IF(COUNTIF(AG40:AS40,"X")&gt;0,", ","")&amp;"Mollusques","")),"")</f>
        <v/>
      </c>
      <c r="AG40" s="513" t="str">
        <f>IF(31=31,IF(AD40="","",BH40),"")</f>
        <v/>
      </c>
      <c r="AH40" s="513" t="str">
        <f>IF(31=31,IF(AD40="","",BK40),"")</f>
        <v/>
      </c>
      <c r="AI40" s="513" t="str">
        <f>IF(31=31,IF(AD40="","",BO40),"")</f>
        <v/>
      </c>
      <c r="AJ40" s="513" t="str">
        <f>IF(31=31,IF(AD40="","",IF(ISNUMBER(SEARCH(" colin ",BC40)),"X",CB40)),"")</f>
        <v/>
      </c>
      <c r="AK40" s="513" t="str">
        <f>IF(31=31,IF(AD40="","",CD40),"")</f>
        <v/>
      </c>
      <c r="AL40" s="513" t="str">
        <f>IF(31=31,IF(AD40="","",CH40),"")</f>
        <v/>
      </c>
      <c r="AM40" s="513" t="str">
        <f>IF(31=31,IF(AD40="","",CO40),"")</f>
        <v/>
      </c>
      <c r="AN40" s="513" t="str">
        <f>IF(31=31,IF(AD40="","",CS40),"")</f>
        <v/>
      </c>
      <c r="AO40" s="513" t="str">
        <f>IF(31=31,IF(AD40="","",CV40),"")</f>
        <v/>
      </c>
      <c r="AP40" s="513" t="str">
        <f>IF(31=31,IF(AD40="","",CY40),"")</f>
        <v/>
      </c>
      <c r="AQ40" s="513" t="str">
        <f>IF(31=31,IF(AD40="","",DB40),"")</f>
        <v/>
      </c>
      <c r="AR40" s="513" t="str">
        <f>IF(31=31,IF(AD40="","",DE40),"")</f>
        <v/>
      </c>
      <c r="AS40" s="513" t="str">
        <f>IF(31=31,IF(AD40="","",DH40),"")</f>
        <v/>
      </c>
      <c r="AT40" s="513" t="str">
        <f>IF(31=31,IF(AD40="","",DN40),"")</f>
        <v/>
      </c>
      <c r="AU40" s="514" t="str">
        <f>IF(31=31,IF(AD40="","",IF(AG40="?",""&amp;"Céréales contenant du gluten","")&amp;IF(AH40="?",IF(COUNTIF(AG40:AG40,"~?")&gt;0,", ","")&amp;"Crustacés","")&amp;IF(AI40="?",IF(COUNTIF(AG40:AH40,"~?")&gt;0,", ","")&amp;"Œufs","")&amp;IF(AJ40="?",IF(COUNTIF(AG40:AI40,"~?")&gt;0,", ","")&amp;"Poissons","")&amp;IF(AK40="?",IF(COUNTIF(AG40:AJ40,"~?")&gt;0,", ","")&amp;"Arachides","")&amp;IF(AL40="?",IF(COUNTIF(AG40:AK40,"~?")&gt;0,", ","")&amp;"Soja","")&amp;IF(AM40="?",IF(COUNTIF(AG40:AL40,"~?")&gt;0,", ","")&amp;"Lait","")&amp;IF(AN40="?",IF(COUNTIF(AG40:AM40,"~?")&gt;0,", ","")&amp;"Fruits à coque","")&amp;IF(AO40="?",IF(COUNTIF(AG40:AN40,"~?")&gt;0,", ","")&amp;"Céleri","")&amp;IF(AP40="?",IF(COUNTIF(AG40:AO40,"~?")&gt;0,", ","")&amp;"Moutarde","")&amp;IF(AQ40="?",IF(COUNTIF(AG40:AP40,"~?")&gt;0,", ","")&amp;"Sésame","")&amp;IF(AR40="?",IF(COUNTIF(AG40:AQ40,"~?")&gt;0,", ","")&amp;"Sulfites","")&amp;IF(AS40="?",IF(COUNTIF(AG40:AR40,"~?")&gt;0,", ","")&amp;"Lupin","")&amp;IF(AT40="?",IF(COUNTIF(AG40:AS40,"~?")&gt;0,", ","")&amp;"Mollusques","")),"")</f>
        <v/>
      </c>
      <c r="AW40" s="493" t="str">
        <f>IF(31=31,IF(AD40="","",AD40),"")</f>
        <v/>
      </c>
      <c r="AX40" s="493" t="str">
        <f>IF(31=31,LOWER(CLEAN(SUBSTITUTE(SUBSTITUTE(SUBSTITUTE(SUBSTITUTE(AW40,CHAR(160)," ")," "," "),CHAR(10)," "),CHAR(13)," "))),"")</f>
        <v/>
      </c>
      <c r="AY40" s="493" t="str">
        <f>IF(31=31,SUBSTITUTE(SUBSTITUTE(SUBSTITUTE(SUBSTITUTE(SUBSTITUTE(SUBSTITUTE(SUBSTITUTE(SUBSTITUTE(SUBSTITUTE(SUBSTITUTE(SUBSTITUTE(SUBSTITUTE(AX40,"œ","oe"),"æ","ae"),"à","a"),"á","a"),"â","a"),"ä","a"),"ã","a"),"ç","c"),"è","e"),"é","e"),"ê","e"),"ë","e"),"")</f>
        <v/>
      </c>
      <c r="AZ40" s="493" t="str">
        <f>IF(31=31,SUBSTITUTE(SUBSTITUTE(SUBSTITUTE(SUBSTITUTE(SUBSTITUTE(SUBSTITUTE(SUBSTITUTE(SUBSTITUTE(SUBSTITUTE(SUBSTITUTE(SUBSTITUTE(SUBSTITUTE(SUBSTITUTE(SUBSTITUTE(SUBSTITUTE(SUBSTITUTE(AY40,"ì","i"),"í","i"),"î","i"),"ï","i"),"ñ","n"),"ò","o"),"ó","o"),"ô","o"),"ö","o"),"õ","o"),"ù","u"),"ú","u"),"û","u"),"ü","u"),"ý","y"),"ÿ","y"),"")</f>
        <v/>
      </c>
      <c r="BA40" s="493" t="str">
        <f>IF(31=31,SUBSTITUTE(SUBSTITUTE(SUBSTITUTE(SUBSTITUTE(SUBSTITUTE(SUBSTITUTE(SUBSTITUTE(SUBSTITUTE(SUBSTITUTE(SUBSTITUTE(SUBSTITUTE(SUBSTITUTE(SUBSTITUTE(SUBSTITUTE(AZ40,"’"," "),"`"," "),"–"," "),"—"," "),"-"," "),"'"," "),"/"," "),"_"," "),","," "),"."," "),"("," "),")"," "),";"," "),":"," "),"")</f>
        <v/>
      </c>
      <c r="BB40" s="493" t="str">
        <f>IF(31=31,SUBSTITUTE(SUBSTITUTE(SUBSTITUTE(SUBSTITUTE(SUBSTITUTE(SUBSTITUTE(SUBSTITUTE(SUBSTITUTE(SUBSTITUTE(SUBSTITUTE(SUBSTITUTE(SUBSTITUTE(SUBSTITUTE(SUBSTITUTE(SUBSTITUTE(BA40,"!"," "),"?"," "),"+"," "),"*"," "),"&amp;"," "),"["," "),"]"," "),"{"," "),"}"," "),"%"," "),"="," "),"\"," "),"|"," "),"&lt;"," "),"&gt;"," "),"")</f>
        <v/>
      </c>
      <c r="BC40" s="493" t="str">
        <f>IF(31=31," "&amp;TRIM(SUBSTITUTE(SUBSTITUTE(SUBSTITUTE(SUBSTITUTE(SUBSTITUTE(SUBSTITUTE(BB40,CHAR(34)," "),"  "," "),"  "," "),"  "," "),"  "," "),"  "," "))&amp;" ","")</f>
        <v xml:space="preserve">  </v>
      </c>
      <c r="BD40" s="493" t="str" cm="1">
        <f t="array" ref="BD40">IF(31=31,IF(AW40="","",SUMPRODUCT(--ISNUMBER(SEARCH(" "&amp;DT11:DT110&amp;" ",BF40)))),"")</f>
        <v/>
      </c>
      <c r="BE40" s="493" t="str" cm="1">
        <f t="array" ref="BE40">IF(31=31,IF(AW40="","",SUMPRODUCT(--ISNUMBER(SEARCH(" "&amp;DT111:DT160&amp;" ",BF40)))),"")</f>
        <v/>
      </c>
      <c r="BF40" s="493" t="str">
        <f>IF(AW40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40,"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40" s="493" t="str" cm="1">
        <f t="array" ref="BG40">IF(AW40="","",SUMPRODUCT(--ISNUMBER(SEARCH(" "&amp;DT193:DT214&amp;" ",BF40)))+--ISNUMBER(SEARCH(" "&amp;DT2463&amp;" ",BF40)))</f>
        <v/>
      </c>
      <c r="BH40" s="493" t="str" cm="1">
        <f t="array" ref="BH40">IF(31=31,IF(AW40="","",IF(SUM(BD40:BE40)+SUMPRODUCT(--ISNUMBER(SEARCH(" "&amp;DT2427:DT2429&amp;" ",BF40)))&gt;0,"X",IF(BG40&gt;0,"?",""))),"")</f>
        <v/>
      </c>
      <c r="BI40" s="493" t="str" cm="1">
        <f t="array" ref="BI40">IF(31=31,IF(AW40="","",SUMPRODUCT(--ISNUMBER(SEARCH(" "&amp;DT215:DT314&amp;" ",BC40)))),"")</f>
        <v/>
      </c>
      <c r="BJ40" s="493" t="str" cm="1">
        <f t="array" ref="BJ40">IF(31=31,IF(AW40="","",SUMPRODUCT(--ISNUMBER(SEARCH(" "&amp;DT315:DT349&amp;" ",BC40)))),"")</f>
        <v/>
      </c>
      <c r="BK40" s="493" t="str">
        <f>IF(31=31,IF(AW40="","",IF((SUM(BI40:BJ40))-(0)&gt;0,"X",IF((0)-(0)&gt;0,"?",""))),"")</f>
        <v/>
      </c>
      <c r="BL40" s="493" t="str" cm="1">
        <f t="array" ref="BL40">IF(31=31,IF(AW40="","",SUMPRODUCT(--ISNUMBER(SEARCH(" "&amp;DT350:DT407&amp;" ",BC40)))),"")</f>
        <v/>
      </c>
      <c r="BM40" s="493" t="str" cm="1">
        <f t="array" ref="BM40">IF(31=31,IF(AW40="","",SUMPRODUCT(--ISNUMBER(SEARCH(" "&amp;DT408:DT435&amp;" ",BN40)))+SUMPRODUCT(--ISNUMBER(SEARCH(" "&amp;DT2449:DT2462&amp;" ",BN40)))),"")</f>
        <v/>
      </c>
      <c r="BN40" s="493" t="str">
        <f>IF(31=31,IF(AW40="","",SUBSTITUTE(SUBSTITUTE(SUBSTITUTE(SUBSTITUTE(SUBSTITUTE(SUBSTITUTE(SUBSTITUTE(SUBSTITUTE(SUBSTITUTE(SUBSTITUTE(SUBSTITUTE(SUBSTITUTE(SUBSTITUTE(SUBSTITUTE(BC40," "&amp;DT2464&amp;" "," ")," "&amp;DT442&amp;" "," ")," "&amp;DT440&amp;" "," ")," "&amp;DT2447&amp;" "," ")," "&amp;DT2448&amp;" "," ")," "&amp;DT437&amp;" "," ")," "&amp;DT441&amp;" "," ")," "&amp;DT443&amp;" "," ")," "&amp;DT438&amp;" "," ")," "&amp;DT436&amp;" "," ")," "&amp;DT1376&amp;" "," ")," "&amp;DT444&amp;" "," ")," "&amp;DT1375&amp;" "," ")," "&amp;DT439&amp;" "," ")),"")</f>
        <v/>
      </c>
      <c r="BO40" s="493" t="str">
        <f>IF(31=31,IF(AW40="","",IF(BL40&gt;0,"X",IF(BM40&gt;0,"?",""))),"")</f>
        <v/>
      </c>
      <c r="BP40" s="493" t="str" cm="1">
        <f t="array" ref="BP40">IF(31=31,IF(AW40="","",SUMPRODUCT(--ISNUMBER(SEARCH(" "&amp;DT445:DT544&amp;" ",BZ40)))),"")</f>
        <v/>
      </c>
      <c r="BQ40" s="493" t="str" cm="1">
        <f t="array" ref="BQ40">IF(31=31,IF(AW40="","",SUMPRODUCT(--ISNUMBER(SEARCH(" "&amp;DT545:DT644&amp;" ",BZ40)))),"")</f>
        <v/>
      </c>
      <c r="BR40" s="493" t="str" cm="1">
        <f t="array" ref="BR40">IF(31=31,IF(AW40="","",SUMPRODUCT(--ISNUMBER(SEARCH(" "&amp;DT645:DT744&amp;" ",BZ40)))),"")</f>
        <v/>
      </c>
      <c r="BS40" s="493" t="str" cm="1">
        <f t="array" ref="BS40">IF(31=31,IF(AW40="","",SUMPRODUCT(--ISNUMBER(SEARCH(" "&amp;DT745:DT844&amp;" ",BZ40)))),"")</f>
        <v/>
      </c>
      <c r="BT40" s="493" t="str" cm="1">
        <f t="array" ref="BT40">IF(31=31,IF(AW40="","",SUMPRODUCT(--ISNUMBER(SEARCH(" "&amp;DT845:DT944&amp;" ",BZ40)))),"")</f>
        <v/>
      </c>
      <c r="BU40" s="493" t="str" cm="1">
        <f t="array" ref="BU40">IF(31=31,IF(AW40="","",SUMPRODUCT(--ISNUMBER(SEARCH(" "&amp;DT945:DT1044&amp;" ",BZ40)))),"")</f>
        <v/>
      </c>
      <c r="BV40" s="493" t="str" cm="1">
        <f t="array" ref="BV40">IF(31=31,IF(AW40="","",SUMPRODUCT(--ISNUMBER(SEARCH(" "&amp;DT1045:DT1144&amp;" ",BZ40)))),"")</f>
        <v/>
      </c>
      <c r="BW40" s="493" t="str" cm="1">
        <f t="array" ref="BW40">IF(31=31,IF(AW40="","",SUMPRODUCT(--ISNUMBER(SEARCH(" "&amp;DT1145:DT1244&amp;" ",BZ40)))),"")</f>
        <v/>
      </c>
      <c r="BX40" s="493" t="str" cm="1">
        <f t="array" ref="BX40">IF(31=31,IF(AW40="","",SUMPRODUCT(--ISNUMBER(SEARCH(" "&amp;DT1245:DT1344&amp;" ",BZ40)))),"")</f>
        <v/>
      </c>
      <c r="BY40" s="493" t="str" cm="1">
        <f t="array" ref="BY40">IF(31=31,IF(AW40="","",SUMPRODUCT(--ISNUMBER(SEARCH(" "&amp;DT1345:DT1372&amp;" ",BZ40)))),"")</f>
        <v/>
      </c>
      <c r="BZ40" s="493" t="str">
        <f>IF(31=31,IF(AW40="","",SUBSTITUTE(SUBSTITUTE(SUBSTITUTE(SUBSTITUTE(SUBSTITUTE(SUBSTITUTE(SUBSTITUTE(SUBSTITUTE(SUBSTITUTE(BC40," "&amp;DT1374&amp;" "," ")," "&amp;DT1373&amp;" "," ")," "&amp;DT1379&amp;" "," ")," "&amp;DT1380&amp;" "," ")," "&amp;DT1376&amp;" "," ")," "&amp;DT1378&amp;" "," ")," "&amp;DT1375&amp;" "," ")," "&amp;DT1377&amp;" "," ")," "&amp;DT1381&amp;" "," ")),"")</f>
        <v/>
      </c>
      <c r="CA40" s="493" t="str" cm="1">
        <f t="array" ref="CA40">IF(31=31,IF(AW40="","",SUMPRODUCT(--ISNUMBER(SEARCH(" "&amp;DT1382:DT1392&amp;" ",BZ40)))),"")</f>
        <v/>
      </c>
      <c r="CB40" s="493" t="str" cm="1">
        <f t="array" ref="CB40">IF(31=31,IF(AW40="","",IF(SUM(BP40:BY40)+SUMPRODUCT(--ISNUMBER(SEARCH(" "&amp;DT2430:DT2431&amp;" ",BZ40)))&gt;0,"X",IF(CA40&gt;0,"?",""))),"")</f>
        <v/>
      </c>
      <c r="CC40" s="493" t="str" cm="1">
        <f t="array" ref="CC40">IF(31=31,IF(AW40="","",SUMPRODUCT(--ISNUMBER(SEARCH(" "&amp;DT1393:DT1413&amp;" ",BC40)))),"")</f>
        <v/>
      </c>
      <c r="CD40" s="493" t="str">
        <f>IF(31=31,IF(AW40="","",IF((CC40)-(0)&gt;0,"X",IF((0)-(0)&gt;0,"?",""))),"")</f>
        <v/>
      </c>
      <c r="CE40" s="493" t="str" cm="1">
        <f t="array" ref="CE40">IF(31=31,IF(AW40="","",SUMPRODUCT(--ISNUMBER(SEARCH(" "&amp;DT1414:DT1451&amp;" ",CF40)))),"")</f>
        <v/>
      </c>
      <c r="CF40" s="493" t="str">
        <f>IF(31=31,IF(AW40="","",SUBSTITUTE(SUBSTITUTE(BC40," "&amp;DT1452&amp;" "," ")," "&amp;DT1453&amp;" "," ")),"")</f>
        <v/>
      </c>
      <c r="CG40" s="493" t="str" cm="1">
        <f t="array" ref="CG40">IF(31=31,IF(AW40="","",SUMPRODUCT(--ISNUMBER(SEARCH(" "&amp;DT1454:DT1464&amp;" ",CF40)))),"")</f>
        <v/>
      </c>
      <c r="CH40" s="493" t="str">
        <f>IF(31=31,IF(AW40="","",IF(CE40&gt;0,"X",IF(CG40&gt;0,"?",""))),"")</f>
        <v/>
      </c>
      <c r="CI40" s="493" t="str" cm="1">
        <f t="array" ref="CI40">IF(31=31,IF(AW40="","",SUMPRODUCT(--ISNUMBER(SEARCH(" "&amp;DT1465:DT1564&amp;" ",CL40)))),"")</f>
        <v/>
      </c>
      <c r="CJ40" s="493" t="str" cm="1">
        <f t="array" ref="CJ40">IF(31=31,IF(AW40="","",SUMPRODUCT(--ISNUMBER(SEARCH(" "&amp;DT1565:DT1664&amp;" ",CL40)))),"")</f>
        <v/>
      </c>
      <c r="CK40" s="493" t="str" cm="1">
        <f t="array" ref="CK40">IF(31=31,IF(AW40="","",SUMPRODUCT(--ISNUMBER(SEARCH(" "&amp;DT1665:DT1748&amp;" ",CL40)))),"")</f>
        <v/>
      </c>
      <c r="CL40" s="493" t="str">
        <f>IF(31=31,IF(AW40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40,"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40" s="493" t="str" cm="1">
        <f t="array" ref="CM40">IF(31=31,IF(AW40="","",SUMPRODUCT(--ISNUMBER(SEARCH(" "&amp;DT1799:DT1878&amp;" ",CN40)))+SUMPRODUCT(--ISNUMBER(SEARCH(" "&amp;DT2449:DT2462&amp;" ",CN40)))),"")</f>
        <v/>
      </c>
      <c r="CN40" s="493" t="str">
        <f>IF(31=31,IF(AW40="","",SUBSTITUTE(SUBSTITUTE(SUBSTITUTE(SUBSTITUTE(SUBSTITUTE(SUBSTITUTE(SUBSTITUTE(SUBSTITUTE(SUBSTITUTE(SUBSTITUTE(SUBSTITUTE(SUBSTITUTE(SUBSTITUTE(CL40," "&amp;DT1885&amp;" "," ")," "&amp;DT1883&amp;" "," ")," "&amp;DT2447&amp;" "," ")," "&amp;DT2448&amp;" "," ")," "&amp;DT1880&amp;" "," ")," "&amp;DT1884&amp;" "," ")," "&amp;DT1886&amp;" "," ")," "&amp;DT1881&amp;" "," ")," "&amp;DT1879&amp;" "," ")," "&amp;DT1376&amp;" "," ")," "&amp;DT1887&amp;" "," ")," "&amp;DT1375&amp;" "," ")," "&amp;DT1882&amp;" "," ")),"")</f>
        <v/>
      </c>
      <c r="CO40" s="493" t="str" cm="1">
        <f t="array" ref="CO40">IF(31=31,IF(AW40="","",IF(SUM(CI40:CK40)+SUMPRODUCT(--ISNUMBER(SEARCH(" "&amp;DT2432:DT2433&amp;" ",CL40)))&gt;0,"X",IF(CM40&gt;0,"?",""))),"")</f>
        <v/>
      </c>
      <c r="CP40" s="493" t="str" cm="1">
        <f t="array" ref="CP40">IF(31=31,IF(AW40="","",SUMPRODUCT(--ISNUMBER(SEARCH(" "&amp;DT1888:DT1945&amp;" ",CQ40)))),"")</f>
        <v/>
      </c>
      <c r="CQ40" s="493" t="str">
        <f>IF(31=31,IF(AW40="","",SUBSTITUTE(SUBSTITUTE(SUBSTITUTE(SUBSTITUTE(SUBSTITUTE(SUBSTITUTE(SUBSTITUTE(SUBSTITUTE(SUBSTITUTE(SUBSTITUTE(SUBSTITUTE(SUBSTITUTE(SUBSTITUTE(SUBSTITUTE(SUBSTITUTE(SUBSTITUTE(SUBSTITUTE(SUBSTITUTE(SUBSTITUTE(SUBSTITUTE(SUBSTITUTE(SUBSTITUTE(SUBSTITUTE(BC40,"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40" s="493" t="str" cm="1">
        <f t="array" ref="CR40">IF(31=31,IF(AW40="","",SUMPRODUCT(--ISNUMBER(SEARCH(" "&amp;DT1969:DT1985&amp;" ",CQ40)))),"")</f>
        <v/>
      </c>
      <c r="CS40" s="493" t="str">
        <f>IF(31=31,IF(AW40="","",IF(CP40&gt;0,"X",IF(CR40&gt;0,"?",""))),"")</f>
        <v/>
      </c>
      <c r="CT40" s="493" t="str" cm="1">
        <f t="array" ref="CT40">IF(31=31,IF(AW40="","",SUMPRODUCT(--ISNUMBER(SEARCH(" "&amp;DT1986:DT1999&amp;" ",BC40)))),"")</f>
        <v/>
      </c>
      <c r="CU40" s="493" t="str" cm="1">
        <f t="array" ref="CU40">IF(31=31,IF(AW40="","",SUMPRODUCT(--ISNUMBER(SEARCH(" "&amp;DT2000:DT2014&amp;" ",BC40)))),"")</f>
        <v/>
      </c>
      <c r="CV40" s="493" t="str">
        <f>IF(31=31,IF(AW40="","",IF((CT40)-(0)&gt;0,"X",IF((CU40)-(0)&gt;0,"?",""))),"")</f>
        <v/>
      </c>
      <c r="CW40" s="493" t="str" cm="1">
        <f t="array" ref="CW40">IF(31=31,IF(AW40="","",SUMPRODUCT(--ISNUMBER(SEARCH(" "&amp;DT2015:DT2032&amp;" ",BC40)))),"")</f>
        <v/>
      </c>
      <c r="CX40" s="493" t="str" cm="1">
        <f t="array" ref="CX40">IF(31=31,IF(AW40="","",SUMPRODUCT(--ISNUMBER(SEARCH(" "&amp;DT2033:DT2047&amp;" ",BC40)))),"")</f>
        <v/>
      </c>
      <c r="CY40" s="493" t="str">
        <f>IF(31=31,IF(AW40="","",IF((CW40)-(0)&gt;0,"X",IF((CX40)-(0)&gt;0,"?",""))),"")</f>
        <v/>
      </c>
      <c r="CZ40" s="493" t="str" cm="1">
        <f t="array" ref="CZ40">IF(31=31,IF(AW40="","",SUMPRODUCT(--ISNUMBER(SEARCH(" "&amp;DT2048:DT2066&amp;" ",BC40)))),"")</f>
        <v/>
      </c>
      <c r="DA40" s="493" t="str" cm="1">
        <f t="array" ref="DA40">IF(31=31,IF(AW40="","",SUMPRODUCT(--ISNUMBER(SEARCH(" "&amp;DT2067:DT2081&amp;" ",BC40)))),"")</f>
        <v/>
      </c>
      <c r="DB40" s="493" t="str">
        <f>IF(31=31,IF(AW40="","",IF((CZ40)-(0)&gt;0,"X",IF((DA40)-(0)&gt;0,"?",""))),"")</f>
        <v/>
      </c>
      <c r="DC40" s="493" t="str" cm="1">
        <f t="array" ref="DC40">IF(31=31,IF(AW40="","",SUMPRODUCT(--ISNUMBER(SEARCH(" "&amp;DT2082:DT2102&amp;" ",BC40)))),"")</f>
        <v/>
      </c>
      <c r="DD40" s="493" t="str" cm="1">
        <f t="array" ref="DD40">IF(31=31,IF(AW40="","",SUMPRODUCT(--ISNUMBER(SEARCH(" "&amp;DT2103:DT2142&amp;" ",SUBSTITUTE(SUBSTITUTE(BC40," "&amp;DT1376&amp;" "," ")," "&amp;DT1375&amp;" "," "))))+--ISNUMBER(SEARCH("poiré",AX40))),"")</f>
        <v/>
      </c>
      <c r="DE40" s="493" t="str">
        <f>IF(31=31,IF(AW40="","",IF(OR(DC40&gt;0,ISNUMBER(SEARCH(" vinaigre de vin ",BC40)),ISNUMBER(SEARCH(" vinaigre au vin ",BC40))),"X",IF(DD40&gt;0,"?",""))),"")</f>
        <v/>
      </c>
      <c r="DF40" s="493" t="str" cm="1">
        <f t="array" ref="DF40">IF(31=31,IF(AW40="","",SUMPRODUCT(--ISNUMBER(SEARCH(" "&amp;DT2143:DT2155&amp;" ",BC40)))),"")</f>
        <v/>
      </c>
      <c r="DG40" s="493" t="str" cm="1">
        <f t="array" ref="DG40">IF(31=31,IF(AW40="","",SUMPRODUCT(--ISNUMBER(SEARCH(" "&amp;DT2156:DT2161&amp;" ",BC40)))),"")</f>
        <v/>
      </c>
      <c r="DH40" s="493" t="str">
        <f>IF(31=31,IF(AW40="","",IF((DF40)-(0)&gt;0,"X",IF((DG40)-(0)&gt;0,"?",""))),"")</f>
        <v/>
      </c>
      <c r="DI40" s="493" t="str" cm="1">
        <f t="array" ref="DI40">IF(31=31,IF(AW40="","",SUMPRODUCT(--ISNUMBER(SEARCH(" "&amp;DT2162:DT2261&amp;" ",DL40)))),"")</f>
        <v/>
      </c>
      <c r="DJ40" s="493" t="str" cm="1">
        <f t="array" ref="DJ40">IF(31=31,IF(AW40="","",SUMPRODUCT(--ISNUMBER(SEARCH(" "&amp;DT2262:DT2361&amp;" ",DL40)))),"")</f>
        <v/>
      </c>
      <c r="DK40" s="493" t="str" cm="1">
        <f t="array" ref="DK40">IF(31=31,IF(AW40="","",SUMPRODUCT(--ISNUMBER(SEARCH(" "&amp;DT2362:DT2404&amp;" ",DL40)))),"")</f>
        <v/>
      </c>
      <c r="DL40" s="493" t="str">
        <f>IF(31=31,IF(AW40="","",SUBSTITUTE(SUBSTITUTE(SUBSTITUTE(SUBSTITUTE(SUBSTITUTE(SUBSTITUTE(SUBSTITUTE(SUBSTITUTE(SUBSTITUTE(SUBSTITUTE(SUBSTITUTE(SUBSTITUTE(SUBSTITUTE(SUBSTITUTE(SUBSTITUTE(SUBSTITUTE(BC40," "&amp;DT2410&amp;" "," ")," "&amp;DT2409&amp;" "," ")," "&amp;DT2408&amp;" "," ")," "&amp;DT2415&amp;" "," ")," "&amp;DT2407&amp;" "," ")," "&amp;DT2419&amp;" "," ")," "&amp;DT2406&amp;" "," ")," "&amp;DT2411&amp;" "," ")," "&amp;DT2414&amp;" "," ")," "&amp;DT2405&amp;" "," ")," "&amp;DT2413&amp;" "," ")," "&amp;DT2420&amp;" "," ")," "&amp;DT2417&amp;" "," ")," "&amp;DT2412&amp;" "," ")," "&amp;DT2416&amp;" "," ")," "&amp;DT2418&amp;" "," ")),"")</f>
        <v/>
      </c>
      <c r="DM40" s="493" t="str" cm="1">
        <f t="array" ref="DM40">IF(31=31,IF(AW40="","",SUMPRODUCT(--ISNUMBER(SEARCH(" "&amp;DT2421:DT2425&amp;" ",DL40)))),"")</f>
        <v/>
      </c>
      <c r="DN40" s="493" t="str">
        <f>IF(31=31,IF(AW40="","",IF(SUM(DI40:DK40)&gt;0,"X",IF(DM40&gt;0,"?",""))),"")</f>
        <v/>
      </c>
      <c r="DO40" s="494"/>
      <c r="DP40" s="496" t="s">
        <v>1196</v>
      </c>
      <c r="DQ40" s="496" t="s">
        <v>1083</v>
      </c>
      <c r="DR40" s="496" t="s">
        <v>689</v>
      </c>
      <c r="DS40" s="496" t="s">
        <v>1197</v>
      </c>
      <c r="DT40" s="496" t="s">
        <v>1197</v>
      </c>
      <c r="DU40" s="496" t="s">
        <v>1085</v>
      </c>
      <c r="DV40" s="496" t="s">
        <v>1086</v>
      </c>
      <c r="DW40" s="496" t="s">
        <v>1087</v>
      </c>
      <c r="DX40" s="497" t="s">
        <v>1088</v>
      </c>
      <c r="DZ40" s="543">
        <v>1</v>
      </c>
      <c r="EB40" s="493"/>
      <c r="EC40" s="493"/>
    </row>
    <row r="41" spans="5:133" ht="21" customHeight="1">
      <c r="E41" s="865" t="s">
        <v>737</v>
      </c>
      <c r="F41" s="877" t="str">
        <f>F12</f>
        <v>M MACÉDOINE DE LÉGUMES AU COULIS DE TOMATE | HORS D'ŒUVRE texture modifiée-cuidité-MACEDOINE| Auteur &gt; Annette et Jean Pierre DOMERGUES - 45000 ORLÉANS 1981</v>
      </c>
      <c r="G41" s="877">
        <f>G12</f>
        <v>10</v>
      </c>
      <c r="H41" s="878" t="str">
        <f>H12</f>
        <v>couverts</v>
      </c>
      <c r="I41" s="879" t="str">
        <f>I12</f>
        <v>Recette mère ►  Textures modifiées</v>
      </c>
      <c r="J41" s="889"/>
      <c r="K41" s="889"/>
      <c r="L41" s="891">
        <f>ROWS(P37:P41)</f>
        <v>5</v>
      </c>
      <c r="M41" s="889"/>
      <c r="N41" s="892" t="str">
        <f t="array" ref="N41">SUMPRODUCT(--(P41:W41&lt;&gt;""), LEN(TRIM(SUBSTITUTE(P41:W41, CHAR(160), "")))) &amp; " Car."</f>
        <v>86 Car.</v>
      </c>
      <c r="O41" s="893">
        <f>IF(ISBLANK(P41),"",LARGE(O36:O40,1)+1)</f>
        <v>4</v>
      </c>
      <c r="P41" s="886" t="s">
        <v>279</v>
      </c>
      <c r="Q41" s="886"/>
      <c r="R41" s="886"/>
      <c r="S41" s="886"/>
      <c r="T41" s="886"/>
      <c r="U41" s="886"/>
      <c r="V41" s="886"/>
      <c r="W41" s="886"/>
      <c r="X41" s="902" t="s">
        <v>831</v>
      </c>
      <c r="Y41" s="903">
        <f>Y38+Y39+Y40</f>
        <v>3.4722222222222224E-2</v>
      </c>
      <c r="AA41" s="899"/>
      <c r="AC41" s="509">
        <v>26</v>
      </c>
      <c r="AD41" s="808"/>
      <c r="AE41" s="679" t="str">
        <f t="shared" si="3"/>
        <v/>
      </c>
      <c r="AF41" s="512" t="str">
        <f>IF(32=32,IF(AD41="","",IF(AG41="X",""&amp;"Céréales contenant du gluten","")&amp;IF(AH41="X",IF(COUNTIF(AG41:AG41,"X")&gt;0,", ","")&amp;"Crustacés","")&amp;IF(AI41="X",IF(COUNTIF(AG41:AH41,"X")&gt;0,", ","")&amp;"Œufs","")&amp;IF(AJ41="X",IF(COUNTIF(AG41:AI41,"X")&gt;0,", ","")&amp;"Poissons","")&amp;IF(AK41="X",IF(COUNTIF(AG41:AJ41,"X")&gt;0,", ","")&amp;"Arachides","")&amp;IF(AL41="X",IF(COUNTIF(AG41:AK41,"X")&gt;0,", ","")&amp;"Soja","")&amp;IF(AM41="X",IF(COUNTIF(AG41:AL41,"X")&gt;0,", ","")&amp;"Lait","")&amp;IF(AN41="X",IF(COUNTIF(AG41:AM41,"X")&gt;0,", ","")&amp;"Fruits à coque","")&amp;IF(AO41="X",IF(COUNTIF(AG41:AN41,"X")&gt;0,", ","")&amp;"Céleri","")&amp;IF(AP41="X",IF(COUNTIF(AG41:AO41,"X")&gt;0,", ","")&amp;"Moutarde","")&amp;IF(AQ41="X",IF(COUNTIF(AG41:AP41,"X")&gt;0,", ","")&amp;"Sésame","")&amp;IF(AR41="X",IF(COUNTIF(AG41:AQ41,"X")&gt;0,", ","")&amp;"Sulfites","")&amp;IF(AS41="X",IF(COUNTIF(AG41:AR41,"X")&gt;0,", ","")&amp;"Lupin","")&amp;IF(AT41="X",IF(COUNTIF(AG41:AS41,"X")&gt;0,", ","")&amp;"Mollusques","")),"")</f>
        <v/>
      </c>
      <c r="AG41" s="513" t="str">
        <f>IF(32=32,IF(AD41="","",BH41),"")</f>
        <v/>
      </c>
      <c r="AH41" s="513" t="str">
        <f>IF(32=32,IF(AD41="","",BK41),"")</f>
        <v/>
      </c>
      <c r="AI41" s="513" t="str">
        <f>IF(32=32,IF(AD41="","",BO41),"")</f>
        <v/>
      </c>
      <c r="AJ41" s="513" t="str">
        <f>IF(32=32,IF(AD41="","",IF(ISNUMBER(SEARCH(" colin ",BC41)),"X",CB41)),"")</f>
        <v/>
      </c>
      <c r="AK41" s="513" t="str">
        <f>IF(32=32,IF(AD41="","",CD41),"")</f>
        <v/>
      </c>
      <c r="AL41" s="513" t="str">
        <f>IF(32=32,IF(AD41="","",CH41),"")</f>
        <v/>
      </c>
      <c r="AM41" s="513" t="str">
        <f>IF(32=32,IF(AD41="","",CO41),"")</f>
        <v/>
      </c>
      <c r="AN41" s="513" t="str">
        <f>IF(32=32,IF(AD41="","",CS41),"")</f>
        <v/>
      </c>
      <c r="AO41" s="513" t="str">
        <f>IF(32=32,IF(AD41="","",CV41),"")</f>
        <v/>
      </c>
      <c r="AP41" s="513" t="str">
        <f>IF(32=32,IF(AD41="","",CY41),"")</f>
        <v/>
      </c>
      <c r="AQ41" s="513" t="str">
        <f>IF(32=32,IF(AD41="","",DB41),"")</f>
        <v/>
      </c>
      <c r="AR41" s="513" t="str">
        <f>IF(32=32,IF(AD41="","",DE41),"")</f>
        <v/>
      </c>
      <c r="AS41" s="513" t="str">
        <f>IF(32=32,IF(AD41="","",DH41),"")</f>
        <v/>
      </c>
      <c r="AT41" s="513" t="str">
        <f>IF(32=32,IF(AD41="","",DN41),"")</f>
        <v/>
      </c>
      <c r="AU41" s="514" t="str">
        <f>IF(32=32,IF(AD41="","",IF(AG41="?",""&amp;"Céréales contenant du gluten","")&amp;IF(AH41="?",IF(COUNTIF(AG41:AG41,"~?")&gt;0,", ","")&amp;"Crustacés","")&amp;IF(AI41="?",IF(COUNTIF(AG41:AH41,"~?")&gt;0,", ","")&amp;"Œufs","")&amp;IF(AJ41="?",IF(COUNTIF(AG41:AI41,"~?")&gt;0,", ","")&amp;"Poissons","")&amp;IF(AK41="?",IF(COUNTIF(AG41:AJ41,"~?")&gt;0,", ","")&amp;"Arachides","")&amp;IF(AL41="?",IF(COUNTIF(AG41:AK41,"~?")&gt;0,", ","")&amp;"Soja","")&amp;IF(AM41="?",IF(COUNTIF(AG41:AL41,"~?")&gt;0,", ","")&amp;"Lait","")&amp;IF(AN41="?",IF(COUNTIF(AG41:AM41,"~?")&gt;0,", ","")&amp;"Fruits à coque","")&amp;IF(AO41="?",IF(COUNTIF(AG41:AN41,"~?")&gt;0,", ","")&amp;"Céleri","")&amp;IF(AP41="?",IF(COUNTIF(AG41:AO41,"~?")&gt;0,", ","")&amp;"Moutarde","")&amp;IF(AQ41="?",IF(COUNTIF(AG41:AP41,"~?")&gt;0,", ","")&amp;"Sésame","")&amp;IF(AR41="?",IF(COUNTIF(AG41:AQ41,"~?")&gt;0,", ","")&amp;"Sulfites","")&amp;IF(AS41="?",IF(COUNTIF(AG41:AR41,"~?")&gt;0,", ","")&amp;"Lupin","")&amp;IF(AT41="?",IF(COUNTIF(AG41:AS41,"~?")&gt;0,", ","")&amp;"Mollusques","")),"")</f>
        <v/>
      </c>
      <c r="AW41" s="493" t="str">
        <f>IF(32=32,IF(AD41="","",AD41),"")</f>
        <v/>
      </c>
      <c r="AX41" s="493" t="str">
        <f>IF(32=32,LOWER(CLEAN(SUBSTITUTE(SUBSTITUTE(SUBSTITUTE(SUBSTITUTE(AW41,CHAR(160)," ")," "," "),CHAR(10)," "),CHAR(13)," "))),"")</f>
        <v/>
      </c>
      <c r="AY41" s="493" t="str">
        <f>IF(32=32,SUBSTITUTE(SUBSTITUTE(SUBSTITUTE(SUBSTITUTE(SUBSTITUTE(SUBSTITUTE(SUBSTITUTE(SUBSTITUTE(SUBSTITUTE(SUBSTITUTE(SUBSTITUTE(SUBSTITUTE(AX41,"œ","oe"),"æ","ae"),"à","a"),"á","a"),"â","a"),"ä","a"),"ã","a"),"ç","c"),"è","e"),"é","e"),"ê","e"),"ë","e"),"")</f>
        <v/>
      </c>
      <c r="AZ41" s="493" t="str">
        <f>IF(32=32,SUBSTITUTE(SUBSTITUTE(SUBSTITUTE(SUBSTITUTE(SUBSTITUTE(SUBSTITUTE(SUBSTITUTE(SUBSTITUTE(SUBSTITUTE(SUBSTITUTE(SUBSTITUTE(SUBSTITUTE(SUBSTITUTE(SUBSTITUTE(SUBSTITUTE(SUBSTITUTE(AY41,"ì","i"),"í","i"),"î","i"),"ï","i"),"ñ","n"),"ò","o"),"ó","o"),"ô","o"),"ö","o"),"õ","o"),"ù","u"),"ú","u"),"û","u"),"ü","u"),"ý","y"),"ÿ","y"),"")</f>
        <v/>
      </c>
      <c r="BA41" s="493" t="str">
        <f>IF(32=32,SUBSTITUTE(SUBSTITUTE(SUBSTITUTE(SUBSTITUTE(SUBSTITUTE(SUBSTITUTE(SUBSTITUTE(SUBSTITUTE(SUBSTITUTE(SUBSTITUTE(SUBSTITUTE(SUBSTITUTE(SUBSTITUTE(SUBSTITUTE(AZ41,"’"," "),"`"," "),"–"," "),"—"," "),"-"," "),"'"," "),"/"," "),"_"," "),","," "),"."," "),"("," "),")"," "),";"," "),":"," "),"")</f>
        <v/>
      </c>
      <c r="BB41" s="493" t="str">
        <f>IF(32=32,SUBSTITUTE(SUBSTITUTE(SUBSTITUTE(SUBSTITUTE(SUBSTITUTE(SUBSTITUTE(SUBSTITUTE(SUBSTITUTE(SUBSTITUTE(SUBSTITUTE(SUBSTITUTE(SUBSTITUTE(SUBSTITUTE(SUBSTITUTE(SUBSTITUTE(BA41,"!"," "),"?"," "),"+"," "),"*"," "),"&amp;"," "),"["," "),"]"," "),"{"," "),"}"," "),"%"," "),"="," "),"\"," "),"|"," "),"&lt;"," "),"&gt;"," "),"")</f>
        <v/>
      </c>
      <c r="BC41" s="493" t="str">
        <f>IF(32=32," "&amp;TRIM(SUBSTITUTE(SUBSTITUTE(SUBSTITUTE(SUBSTITUTE(SUBSTITUTE(SUBSTITUTE(BB41,CHAR(34)," "),"  "," "),"  "," "),"  "," "),"  "," "),"  "," "))&amp;" ","")</f>
        <v xml:space="preserve">  </v>
      </c>
      <c r="BD41" s="493" t="str" cm="1">
        <f t="array" ref="BD41">IF(32=32,IF(AW41="","",SUMPRODUCT(--ISNUMBER(SEARCH(" "&amp;DT11:DT110&amp;" ",BF41)))),"")</f>
        <v/>
      </c>
      <c r="BE41" s="493" t="str" cm="1">
        <f t="array" ref="BE41">IF(32=32,IF(AW41="","",SUMPRODUCT(--ISNUMBER(SEARCH(" "&amp;DT111:DT160&amp;" ",BF41)))),"")</f>
        <v/>
      </c>
      <c r="BF41" s="493" t="str">
        <f>IF(AW41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41,"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41" s="493" t="str" cm="1">
        <f t="array" ref="BG41">IF(AW41="","",SUMPRODUCT(--ISNUMBER(SEARCH(" "&amp;DT193:DT214&amp;" ",BF41)))+--ISNUMBER(SEARCH(" "&amp;DT2463&amp;" ",BF41)))</f>
        <v/>
      </c>
      <c r="BH41" s="493" t="str" cm="1">
        <f t="array" ref="BH41">IF(32=32,IF(AW41="","",IF(SUM(BD41:BE41)+SUMPRODUCT(--ISNUMBER(SEARCH(" "&amp;DT2427:DT2429&amp;" ",BF41)))&gt;0,"X",IF(BG41&gt;0,"?",""))),"")</f>
        <v/>
      </c>
      <c r="BI41" s="493" t="str" cm="1">
        <f t="array" ref="BI41">IF(32=32,IF(AW41="","",SUMPRODUCT(--ISNUMBER(SEARCH(" "&amp;DT215:DT314&amp;" ",BC41)))),"")</f>
        <v/>
      </c>
      <c r="BJ41" s="493" t="str" cm="1">
        <f t="array" ref="BJ41">IF(32=32,IF(AW41="","",SUMPRODUCT(--ISNUMBER(SEARCH(" "&amp;DT315:DT349&amp;" ",BC41)))),"")</f>
        <v/>
      </c>
      <c r="BK41" s="493" t="str">
        <f>IF(32=32,IF(AW41="","",IF((SUM(BI41:BJ41))-(0)&gt;0,"X",IF((0)-(0)&gt;0,"?",""))),"")</f>
        <v/>
      </c>
      <c r="BL41" s="493" t="str" cm="1">
        <f t="array" ref="BL41">IF(32=32,IF(AW41="","",SUMPRODUCT(--ISNUMBER(SEARCH(" "&amp;DT350:DT407&amp;" ",BC41)))),"")</f>
        <v/>
      </c>
      <c r="BM41" s="493" t="str" cm="1">
        <f t="array" ref="BM41">IF(32=32,IF(AW41="","",SUMPRODUCT(--ISNUMBER(SEARCH(" "&amp;DT408:DT435&amp;" ",BN41)))+SUMPRODUCT(--ISNUMBER(SEARCH(" "&amp;DT2449:DT2462&amp;" ",BN41)))),"")</f>
        <v/>
      </c>
      <c r="BN41" s="493" t="str">
        <f>IF(32=32,IF(AW41="","",SUBSTITUTE(SUBSTITUTE(SUBSTITUTE(SUBSTITUTE(SUBSTITUTE(SUBSTITUTE(SUBSTITUTE(SUBSTITUTE(SUBSTITUTE(SUBSTITUTE(SUBSTITUTE(SUBSTITUTE(SUBSTITUTE(SUBSTITUTE(BC41," "&amp;DT2464&amp;" "," ")," "&amp;DT442&amp;" "," ")," "&amp;DT440&amp;" "," ")," "&amp;DT2447&amp;" "," ")," "&amp;DT2448&amp;" "," ")," "&amp;DT437&amp;" "," ")," "&amp;DT441&amp;" "," ")," "&amp;DT443&amp;" "," ")," "&amp;DT438&amp;" "," ")," "&amp;DT436&amp;" "," ")," "&amp;DT1376&amp;" "," ")," "&amp;DT444&amp;" "," ")," "&amp;DT1375&amp;" "," ")," "&amp;DT439&amp;" "," ")),"")</f>
        <v/>
      </c>
      <c r="BO41" s="493" t="str">
        <f>IF(32=32,IF(AW41="","",IF(BL41&gt;0,"X",IF(BM41&gt;0,"?",""))),"")</f>
        <v/>
      </c>
      <c r="BP41" s="493" t="str" cm="1">
        <f t="array" ref="BP41">IF(32=32,IF(AW41="","",SUMPRODUCT(--ISNUMBER(SEARCH(" "&amp;DT445:DT544&amp;" ",BZ41)))),"")</f>
        <v/>
      </c>
      <c r="BQ41" s="493" t="str" cm="1">
        <f t="array" ref="BQ41">IF(32=32,IF(AW41="","",SUMPRODUCT(--ISNUMBER(SEARCH(" "&amp;DT545:DT644&amp;" ",BZ41)))),"")</f>
        <v/>
      </c>
      <c r="BR41" s="493" t="str" cm="1">
        <f t="array" ref="BR41">IF(32=32,IF(AW41="","",SUMPRODUCT(--ISNUMBER(SEARCH(" "&amp;DT645:DT744&amp;" ",BZ41)))),"")</f>
        <v/>
      </c>
      <c r="BS41" s="493" t="str" cm="1">
        <f t="array" ref="BS41">IF(32=32,IF(AW41="","",SUMPRODUCT(--ISNUMBER(SEARCH(" "&amp;DT745:DT844&amp;" ",BZ41)))),"")</f>
        <v/>
      </c>
      <c r="BT41" s="493" t="str" cm="1">
        <f t="array" ref="BT41">IF(32=32,IF(AW41="","",SUMPRODUCT(--ISNUMBER(SEARCH(" "&amp;DT845:DT944&amp;" ",BZ41)))),"")</f>
        <v/>
      </c>
      <c r="BU41" s="493" t="str" cm="1">
        <f t="array" ref="BU41">IF(32=32,IF(AW41="","",SUMPRODUCT(--ISNUMBER(SEARCH(" "&amp;DT945:DT1044&amp;" ",BZ41)))),"")</f>
        <v/>
      </c>
      <c r="BV41" s="493" t="str" cm="1">
        <f t="array" ref="BV41">IF(32=32,IF(AW41="","",SUMPRODUCT(--ISNUMBER(SEARCH(" "&amp;DT1045:DT1144&amp;" ",BZ41)))),"")</f>
        <v/>
      </c>
      <c r="BW41" s="493" t="str" cm="1">
        <f t="array" ref="BW41">IF(32=32,IF(AW41="","",SUMPRODUCT(--ISNUMBER(SEARCH(" "&amp;DT1145:DT1244&amp;" ",BZ41)))),"")</f>
        <v/>
      </c>
      <c r="BX41" s="493" t="str" cm="1">
        <f t="array" ref="BX41">IF(32=32,IF(AW41="","",SUMPRODUCT(--ISNUMBER(SEARCH(" "&amp;DT1245:DT1344&amp;" ",BZ41)))),"")</f>
        <v/>
      </c>
      <c r="BY41" s="493" t="str" cm="1">
        <f t="array" ref="BY41">IF(32=32,IF(AW41="","",SUMPRODUCT(--ISNUMBER(SEARCH(" "&amp;DT1345:DT1372&amp;" ",BZ41)))),"")</f>
        <v/>
      </c>
      <c r="BZ41" s="493" t="str">
        <f>IF(32=32,IF(AW41="","",SUBSTITUTE(SUBSTITUTE(SUBSTITUTE(SUBSTITUTE(SUBSTITUTE(SUBSTITUTE(SUBSTITUTE(SUBSTITUTE(SUBSTITUTE(BC41," "&amp;DT1374&amp;" "," ")," "&amp;DT1373&amp;" "," ")," "&amp;DT1379&amp;" "," ")," "&amp;DT1380&amp;" "," ")," "&amp;DT1376&amp;" "," ")," "&amp;DT1378&amp;" "," ")," "&amp;DT1375&amp;" "," ")," "&amp;DT1377&amp;" "," ")," "&amp;DT1381&amp;" "," ")),"")</f>
        <v/>
      </c>
      <c r="CA41" s="493" t="str" cm="1">
        <f t="array" ref="CA41">IF(32=32,IF(AW41="","",SUMPRODUCT(--ISNUMBER(SEARCH(" "&amp;DT1382:DT1392&amp;" ",BZ41)))),"")</f>
        <v/>
      </c>
      <c r="CB41" s="493" t="str" cm="1">
        <f t="array" ref="CB41">IF(32=32,IF(AW41="","",IF(SUM(BP41:BY41)+SUMPRODUCT(--ISNUMBER(SEARCH(" "&amp;DT2430:DT2431&amp;" ",BZ41)))&gt;0,"X",IF(CA41&gt;0,"?",""))),"")</f>
        <v/>
      </c>
      <c r="CC41" s="493" t="str" cm="1">
        <f t="array" ref="CC41">IF(32=32,IF(AW41="","",SUMPRODUCT(--ISNUMBER(SEARCH(" "&amp;DT1393:DT1413&amp;" ",BC41)))),"")</f>
        <v/>
      </c>
      <c r="CD41" s="493" t="str">
        <f>IF(32=32,IF(AW41="","",IF((CC41)-(0)&gt;0,"X",IF((0)-(0)&gt;0,"?",""))),"")</f>
        <v/>
      </c>
      <c r="CE41" s="493" t="str" cm="1">
        <f t="array" ref="CE41">IF(32=32,IF(AW41="","",SUMPRODUCT(--ISNUMBER(SEARCH(" "&amp;DT1414:DT1451&amp;" ",CF41)))),"")</f>
        <v/>
      </c>
      <c r="CF41" s="493" t="str">
        <f>IF(32=32,IF(AW41="","",SUBSTITUTE(SUBSTITUTE(BC41," "&amp;DT1452&amp;" "," ")," "&amp;DT1453&amp;" "," ")),"")</f>
        <v/>
      </c>
      <c r="CG41" s="493" t="str" cm="1">
        <f t="array" ref="CG41">IF(32=32,IF(AW41="","",SUMPRODUCT(--ISNUMBER(SEARCH(" "&amp;DT1454:DT1464&amp;" ",CF41)))),"")</f>
        <v/>
      </c>
      <c r="CH41" s="493" t="str">
        <f>IF(32=32,IF(AW41="","",IF(CE41&gt;0,"X",IF(CG41&gt;0,"?",""))),"")</f>
        <v/>
      </c>
      <c r="CI41" s="493" t="str" cm="1">
        <f t="array" ref="CI41">IF(32=32,IF(AW41="","",SUMPRODUCT(--ISNUMBER(SEARCH(" "&amp;DT1465:DT1564&amp;" ",CL41)))),"")</f>
        <v/>
      </c>
      <c r="CJ41" s="493" t="str" cm="1">
        <f t="array" ref="CJ41">IF(32=32,IF(AW41="","",SUMPRODUCT(--ISNUMBER(SEARCH(" "&amp;DT1565:DT1664&amp;" ",CL41)))),"")</f>
        <v/>
      </c>
      <c r="CK41" s="493" t="str" cm="1">
        <f t="array" ref="CK41">IF(32=32,IF(AW41="","",SUMPRODUCT(--ISNUMBER(SEARCH(" "&amp;DT1665:DT1748&amp;" ",CL41)))),"")</f>
        <v/>
      </c>
      <c r="CL41" s="493" t="str">
        <f>IF(32=32,IF(AW41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41,"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41" s="493" t="str" cm="1">
        <f t="array" ref="CM41">IF(32=32,IF(AW41="","",SUMPRODUCT(--ISNUMBER(SEARCH(" "&amp;DT1799:DT1878&amp;" ",CN41)))+SUMPRODUCT(--ISNUMBER(SEARCH(" "&amp;DT2449:DT2462&amp;" ",CN41)))),"")</f>
        <v/>
      </c>
      <c r="CN41" s="493" t="str">
        <f>IF(32=32,IF(AW41="","",SUBSTITUTE(SUBSTITUTE(SUBSTITUTE(SUBSTITUTE(SUBSTITUTE(SUBSTITUTE(SUBSTITUTE(SUBSTITUTE(SUBSTITUTE(SUBSTITUTE(SUBSTITUTE(SUBSTITUTE(SUBSTITUTE(CL41," "&amp;DT1885&amp;" "," ")," "&amp;DT1883&amp;" "," ")," "&amp;DT2447&amp;" "," ")," "&amp;DT2448&amp;" "," ")," "&amp;DT1880&amp;" "," ")," "&amp;DT1884&amp;" "," ")," "&amp;DT1886&amp;" "," ")," "&amp;DT1881&amp;" "," ")," "&amp;DT1879&amp;" "," ")," "&amp;DT1376&amp;" "," ")," "&amp;DT1887&amp;" "," ")," "&amp;DT1375&amp;" "," ")," "&amp;DT1882&amp;" "," ")),"")</f>
        <v/>
      </c>
      <c r="CO41" s="493" t="str" cm="1">
        <f t="array" ref="CO41">IF(32=32,IF(AW41="","",IF(SUM(CI41:CK41)+SUMPRODUCT(--ISNUMBER(SEARCH(" "&amp;DT2432:DT2433&amp;" ",CL41)))&gt;0,"X",IF(CM41&gt;0,"?",""))),"")</f>
        <v/>
      </c>
      <c r="CP41" s="493" t="str" cm="1">
        <f t="array" ref="CP41">IF(32=32,IF(AW41="","",SUMPRODUCT(--ISNUMBER(SEARCH(" "&amp;DT1888:DT1945&amp;" ",CQ41)))),"")</f>
        <v/>
      </c>
      <c r="CQ41" s="493" t="str">
        <f>IF(32=32,IF(AW41="","",SUBSTITUTE(SUBSTITUTE(SUBSTITUTE(SUBSTITUTE(SUBSTITUTE(SUBSTITUTE(SUBSTITUTE(SUBSTITUTE(SUBSTITUTE(SUBSTITUTE(SUBSTITUTE(SUBSTITUTE(SUBSTITUTE(SUBSTITUTE(SUBSTITUTE(SUBSTITUTE(SUBSTITUTE(SUBSTITUTE(SUBSTITUTE(SUBSTITUTE(SUBSTITUTE(SUBSTITUTE(SUBSTITUTE(BC41,"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41" s="493" t="str" cm="1">
        <f t="array" ref="CR41">IF(32=32,IF(AW41="","",SUMPRODUCT(--ISNUMBER(SEARCH(" "&amp;DT1969:DT1985&amp;" ",CQ41)))),"")</f>
        <v/>
      </c>
      <c r="CS41" s="493" t="str">
        <f>IF(32=32,IF(AW41="","",IF(CP41&gt;0,"X",IF(CR41&gt;0,"?",""))),"")</f>
        <v/>
      </c>
      <c r="CT41" s="493" t="str" cm="1">
        <f t="array" ref="CT41">IF(32=32,IF(AW41="","",SUMPRODUCT(--ISNUMBER(SEARCH(" "&amp;DT1986:DT1999&amp;" ",BC41)))),"")</f>
        <v/>
      </c>
      <c r="CU41" s="493" t="str" cm="1">
        <f t="array" ref="CU41">IF(32=32,IF(AW41="","",SUMPRODUCT(--ISNUMBER(SEARCH(" "&amp;DT2000:DT2014&amp;" ",BC41)))),"")</f>
        <v/>
      </c>
      <c r="CV41" s="493" t="str">
        <f>IF(32=32,IF(AW41="","",IF((CT41)-(0)&gt;0,"X",IF((CU41)-(0)&gt;0,"?",""))),"")</f>
        <v/>
      </c>
      <c r="CW41" s="493" t="str" cm="1">
        <f t="array" ref="CW41">IF(32=32,IF(AW41="","",SUMPRODUCT(--ISNUMBER(SEARCH(" "&amp;DT2015:DT2032&amp;" ",BC41)))),"")</f>
        <v/>
      </c>
      <c r="CX41" s="493" t="str" cm="1">
        <f t="array" ref="CX41">IF(32=32,IF(AW41="","",SUMPRODUCT(--ISNUMBER(SEARCH(" "&amp;DT2033:DT2047&amp;" ",BC41)))),"")</f>
        <v/>
      </c>
      <c r="CY41" s="493" t="str">
        <f>IF(32=32,IF(AW41="","",IF((CW41)-(0)&gt;0,"X",IF((CX41)-(0)&gt;0,"?",""))),"")</f>
        <v/>
      </c>
      <c r="CZ41" s="493" t="str" cm="1">
        <f t="array" ref="CZ41">IF(32=32,IF(AW41="","",SUMPRODUCT(--ISNUMBER(SEARCH(" "&amp;DT2048:DT2066&amp;" ",BC41)))),"")</f>
        <v/>
      </c>
      <c r="DA41" s="493" t="str" cm="1">
        <f t="array" ref="DA41">IF(32=32,IF(AW41="","",SUMPRODUCT(--ISNUMBER(SEARCH(" "&amp;DT2067:DT2081&amp;" ",BC41)))),"")</f>
        <v/>
      </c>
      <c r="DB41" s="493" t="str">
        <f>IF(32=32,IF(AW41="","",IF((CZ41)-(0)&gt;0,"X",IF((DA41)-(0)&gt;0,"?",""))),"")</f>
        <v/>
      </c>
      <c r="DC41" s="493" t="str" cm="1">
        <f t="array" ref="DC41">IF(32=32,IF(AW41="","",SUMPRODUCT(--ISNUMBER(SEARCH(" "&amp;DT2082:DT2102&amp;" ",BC41)))),"")</f>
        <v/>
      </c>
      <c r="DD41" s="493" t="str" cm="1">
        <f t="array" ref="DD41">IF(32=32,IF(AW41="","",SUMPRODUCT(--ISNUMBER(SEARCH(" "&amp;DT2103:DT2142&amp;" ",SUBSTITUTE(SUBSTITUTE(BC41," "&amp;DT1376&amp;" "," ")," "&amp;DT1375&amp;" "," "))))+--ISNUMBER(SEARCH("poiré",AX41))),"")</f>
        <v/>
      </c>
      <c r="DE41" s="493" t="str">
        <f>IF(32=32,IF(AW41="","",IF(OR(DC41&gt;0,ISNUMBER(SEARCH(" vinaigre de vin ",BC41)),ISNUMBER(SEARCH(" vinaigre au vin ",BC41))),"X",IF(DD41&gt;0,"?",""))),"")</f>
        <v/>
      </c>
      <c r="DF41" s="493" t="str" cm="1">
        <f t="array" ref="DF41">IF(32=32,IF(AW41="","",SUMPRODUCT(--ISNUMBER(SEARCH(" "&amp;DT2143:DT2155&amp;" ",BC41)))),"")</f>
        <v/>
      </c>
      <c r="DG41" s="493" t="str" cm="1">
        <f t="array" ref="DG41">IF(32=32,IF(AW41="","",SUMPRODUCT(--ISNUMBER(SEARCH(" "&amp;DT2156:DT2161&amp;" ",BC41)))),"")</f>
        <v/>
      </c>
      <c r="DH41" s="493" t="str">
        <f>IF(32=32,IF(AW41="","",IF((DF41)-(0)&gt;0,"X",IF((DG41)-(0)&gt;0,"?",""))),"")</f>
        <v/>
      </c>
      <c r="DI41" s="493" t="str" cm="1">
        <f t="array" ref="DI41">IF(32=32,IF(AW41="","",SUMPRODUCT(--ISNUMBER(SEARCH(" "&amp;DT2162:DT2261&amp;" ",DL41)))),"")</f>
        <v/>
      </c>
      <c r="DJ41" s="493" t="str" cm="1">
        <f t="array" ref="DJ41">IF(32=32,IF(AW41="","",SUMPRODUCT(--ISNUMBER(SEARCH(" "&amp;DT2262:DT2361&amp;" ",DL41)))),"")</f>
        <v/>
      </c>
      <c r="DK41" s="493" t="str" cm="1">
        <f t="array" ref="DK41">IF(32=32,IF(AW41="","",SUMPRODUCT(--ISNUMBER(SEARCH(" "&amp;DT2362:DT2404&amp;" ",DL41)))),"")</f>
        <v/>
      </c>
      <c r="DL41" s="493" t="str">
        <f>IF(32=32,IF(AW41="","",SUBSTITUTE(SUBSTITUTE(SUBSTITUTE(SUBSTITUTE(SUBSTITUTE(SUBSTITUTE(SUBSTITUTE(SUBSTITUTE(SUBSTITUTE(SUBSTITUTE(SUBSTITUTE(SUBSTITUTE(SUBSTITUTE(SUBSTITUTE(SUBSTITUTE(SUBSTITUTE(BC41," "&amp;DT2410&amp;" "," ")," "&amp;DT2409&amp;" "," ")," "&amp;DT2408&amp;" "," ")," "&amp;DT2415&amp;" "," ")," "&amp;DT2407&amp;" "," ")," "&amp;DT2419&amp;" "," ")," "&amp;DT2406&amp;" "," ")," "&amp;DT2411&amp;" "," ")," "&amp;DT2414&amp;" "," ")," "&amp;DT2405&amp;" "," ")," "&amp;DT2413&amp;" "," ")," "&amp;DT2420&amp;" "," ")," "&amp;DT2417&amp;" "," ")," "&amp;DT2412&amp;" "," ")," "&amp;DT2416&amp;" "," ")," "&amp;DT2418&amp;" "," ")),"")</f>
        <v/>
      </c>
      <c r="DM41" s="493" t="str" cm="1">
        <f t="array" ref="DM41">IF(32=32,IF(AW41="","",SUMPRODUCT(--ISNUMBER(SEARCH(" "&amp;DT2421:DT2425&amp;" ",DL41)))),"")</f>
        <v/>
      </c>
      <c r="DN41" s="493" t="str">
        <f>IF(32=32,IF(AW41="","",IF(SUM(DI41:DK41)&gt;0,"X",IF(DM41&gt;0,"?",""))),"")</f>
        <v/>
      </c>
      <c r="DO41" s="494"/>
      <c r="DP41" s="496" t="s">
        <v>1198</v>
      </c>
      <c r="DQ41" s="496" t="s">
        <v>1083</v>
      </c>
      <c r="DR41" s="496" t="s">
        <v>689</v>
      </c>
      <c r="DS41" s="496" t="s">
        <v>1199</v>
      </c>
      <c r="DT41" s="496" t="s">
        <v>1199</v>
      </c>
      <c r="DU41" s="496" t="s">
        <v>1085</v>
      </c>
      <c r="DV41" s="496" t="s">
        <v>1086</v>
      </c>
      <c r="DW41" s="496" t="s">
        <v>1087</v>
      </c>
      <c r="DX41" s="497" t="s">
        <v>1088</v>
      </c>
      <c r="DZ41" s="543">
        <v>1</v>
      </c>
      <c r="EB41" s="493"/>
      <c r="EC41" s="493"/>
    </row>
    <row r="42" spans="5:133" ht="21" customHeight="1">
      <c r="E42" s="865" t="s">
        <v>737</v>
      </c>
      <c r="F42" s="877" t="str">
        <f>F12</f>
        <v>M MACÉDOINE DE LÉGUMES AU COULIS DE TOMATE | HORS D'ŒUVRE texture modifiée-cuidité-MACEDOINE| Auteur &gt; Annette et Jean Pierre DOMERGUES - 45000 ORLÉANS 1981</v>
      </c>
      <c r="G42" s="877">
        <f>G12</f>
        <v>10</v>
      </c>
      <c r="H42" s="878" t="str">
        <f>H12</f>
        <v>couverts</v>
      </c>
      <c r="I42" s="879" t="str">
        <f>I12</f>
        <v>Recette mère ►  Textures modifiées</v>
      </c>
      <c r="J42" s="889"/>
      <c r="K42" s="889"/>
      <c r="L42" s="891">
        <f>ROWS(P37:P42)</f>
        <v>6</v>
      </c>
      <c r="M42" s="889"/>
      <c r="N42" s="892" t="str">
        <f t="array" ref="N42">SUMPRODUCT(--(P42:W42&lt;&gt;""), LEN(TRIM(SUBSTITUTE(P42:W42, CHAR(160), "")))) &amp; " Car."</f>
        <v>4 Car.</v>
      </c>
      <c r="O42" s="893">
        <f>IF(ISBLANK(P42),"",LARGE(O36:O41,1)+1)</f>
        <v>5</v>
      </c>
      <c r="P42" s="886" t="s">
        <v>6505</v>
      </c>
      <c r="Q42" s="900"/>
      <c r="R42" s="886"/>
      <c r="S42" s="886"/>
      <c r="T42" s="886"/>
      <c r="U42" s="886"/>
      <c r="V42" s="886"/>
      <c r="W42" s="886"/>
      <c r="X42" s="886"/>
      <c r="Y42" s="904"/>
      <c r="AA42" s="899"/>
      <c r="AC42" s="509">
        <v>27</v>
      </c>
      <c r="AD42" s="808"/>
      <c r="AE42" s="679" t="str">
        <f t="shared" si="3"/>
        <v/>
      </c>
      <c r="AF42" s="512" t="str">
        <f>IF(33=33,IF(AD42="","",IF(AG42="X",""&amp;"Céréales contenant du gluten","")&amp;IF(AH42="X",IF(COUNTIF(AG42:AG42,"X")&gt;0,", ","")&amp;"Crustacés","")&amp;IF(AI42="X",IF(COUNTIF(AG42:AH42,"X")&gt;0,", ","")&amp;"Œufs","")&amp;IF(AJ42="X",IF(COUNTIF(AG42:AI42,"X")&gt;0,", ","")&amp;"Poissons","")&amp;IF(AK42="X",IF(COUNTIF(AG42:AJ42,"X")&gt;0,", ","")&amp;"Arachides","")&amp;IF(AL42="X",IF(COUNTIF(AG42:AK42,"X")&gt;0,", ","")&amp;"Soja","")&amp;IF(AM42="X",IF(COUNTIF(AG42:AL42,"X")&gt;0,", ","")&amp;"Lait","")&amp;IF(AN42="X",IF(COUNTIF(AG42:AM42,"X")&gt;0,", ","")&amp;"Fruits à coque","")&amp;IF(AO42="X",IF(COUNTIF(AG42:AN42,"X")&gt;0,", ","")&amp;"Céleri","")&amp;IF(AP42="X",IF(COUNTIF(AG42:AO42,"X")&gt;0,", ","")&amp;"Moutarde","")&amp;IF(AQ42="X",IF(COUNTIF(AG42:AP42,"X")&gt;0,", ","")&amp;"Sésame","")&amp;IF(AR42="X",IF(COUNTIF(AG42:AQ42,"X")&gt;0,", ","")&amp;"Sulfites","")&amp;IF(AS42="X",IF(COUNTIF(AG42:AR42,"X")&gt;0,", ","")&amp;"Lupin","")&amp;IF(AT42="X",IF(COUNTIF(AG42:AS42,"X")&gt;0,", ","")&amp;"Mollusques","")),"")</f>
        <v/>
      </c>
      <c r="AG42" s="513" t="str">
        <f>IF(33=33,IF(AD42="","",BH42),"")</f>
        <v/>
      </c>
      <c r="AH42" s="513" t="str">
        <f>IF(33=33,IF(AD42="","",BK42),"")</f>
        <v/>
      </c>
      <c r="AI42" s="513" t="str">
        <f>IF(33=33,IF(AD42="","",BO42),"")</f>
        <v/>
      </c>
      <c r="AJ42" s="513" t="str">
        <f>IF(33=33,IF(AD42="","",IF(ISNUMBER(SEARCH(" colin ",BC42)),"X",CB42)),"")</f>
        <v/>
      </c>
      <c r="AK42" s="513" t="str">
        <f>IF(33=33,IF(AD42="","",CD42),"")</f>
        <v/>
      </c>
      <c r="AL42" s="513" t="str">
        <f>IF(33=33,IF(AD42="","",CH42),"")</f>
        <v/>
      </c>
      <c r="AM42" s="513" t="str">
        <f>IF(33=33,IF(AD42="","",CO42),"")</f>
        <v/>
      </c>
      <c r="AN42" s="513" t="str">
        <f>IF(33=33,IF(AD42="","",CS42),"")</f>
        <v/>
      </c>
      <c r="AO42" s="513" t="str">
        <f>IF(33=33,IF(AD42="","",CV42),"")</f>
        <v/>
      </c>
      <c r="AP42" s="513" t="str">
        <f>IF(33=33,IF(AD42="","",CY42),"")</f>
        <v/>
      </c>
      <c r="AQ42" s="513" t="str">
        <f>IF(33=33,IF(AD42="","",DB42),"")</f>
        <v/>
      </c>
      <c r="AR42" s="513" t="str">
        <f>IF(33=33,IF(AD42="","",DE42),"")</f>
        <v/>
      </c>
      <c r="AS42" s="513" t="str">
        <f>IF(33=33,IF(AD42="","",DH42),"")</f>
        <v/>
      </c>
      <c r="AT42" s="513" t="str">
        <f>IF(33=33,IF(AD42="","",DN42),"")</f>
        <v/>
      </c>
      <c r="AU42" s="514" t="str">
        <f>IF(33=33,IF(AD42="","",IF(AG42="?",""&amp;"Céréales contenant du gluten","")&amp;IF(AH42="?",IF(COUNTIF(AG42:AG42,"~?")&gt;0,", ","")&amp;"Crustacés","")&amp;IF(AI42="?",IF(COUNTIF(AG42:AH42,"~?")&gt;0,", ","")&amp;"Œufs","")&amp;IF(AJ42="?",IF(COUNTIF(AG42:AI42,"~?")&gt;0,", ","")&amp;"Poissons","")&amp;IF(AK42="?",IF(COUNTIF(AG42:AJ42,"~?")&gt;0,", ","")&amp;"Arachides","")&amp;IF(AL42="?",IF(COUNTIF(AG42:AK42,"~?")&gt;0,", ","")&amp;"Soja","")&amp;IF(AM42="?",IF(COUNTIF(AG42:AL42,"~?")&gt;0,", ","")&amp;"Lait","")&amp;IF(AN42="?",IF(COUNTIF(AG42:AM42,"~?")&gt;0,", ","")&amp;"Fruits à coque","")&amp;IF(AO42="?",IF(COUNTIF(AG42:AN42,"~?")&gt;0,", ","")&amp;"Céleri","")&amp;IF(AP42="?",IF(COUNTIF(AG42:AO42,"~?")&gt;0,", ","")&amp;"Moutarde","")&amp;IF(AQ42="?",IF(COUNTIF(AG42:AP42,"~?")&gt;0,", ","")&amp;"Sésame","")&amp;IF(AR42="?",IF(COUNTIF(AG42:AQ42,"~?")&gt;0,", ","")&amp;"Sulfites","")&amp;IF(AS42="?",IF(COUNTIF(AG42:AR42,"~?")&gt;0,", ","")&amp;"Lupin","")&amp;IF(AT42="?",IF(COUNTIF(AG42:AS42,"~?")&gt;0,", ","")&amp;"Mollusques","")),"")</f>
        <v/>
      </c>
      <c r="AW42" s="493" t="str">
        <f>IF(33=33,IF(AD42="","",AD42),"")</f>
        <v/>
      </c>
      <c r="AX42" s="493" t="str">
        <f>IF(33=33,LOWER(CLEAN(SUBSTITUTE(SUBSTITUTE(SUBSTITUTE(SUBSTITUTE(AW42,CHAR(160)," ")," "," "),CHAR(10)," "),CHAR(13)," "))),"")</f>
        <v/>
      </c>
      <c r="AY42" s="493" t="str">
        <f>IF(33=33,SUBSTITUTE(SUBSTITUTE(SUBSTITUTE(SUBSTITUTE(SUBSTITUTE(SUBSTITUTE(SUBSTITUTE(SUBSTITUTE(SUBSTITUTE(SUBSTITUTE(SUBSTITUTE(SUBSTITUTE(AX42,"œ","oe"),"æ","ae"),"à","a"),"á","a"),"â","a"),"ä","a"),"ã","a"),"ç","c"),"è","e"),"é","e"),"ê","e"),"ë","e"),"")</f>
        <v/>
      </c>
      <c r="AZ42" s="493" t="str">
        <f>IF(33=33,SUBSTITUTE(SUBSTITUTE(SUBSTITUTE(SUBSTITUTE(SUBSTITUTE(SUBSTITUTE(SUBSTITUTE(SUBSTITUTE(SUBSTITUTE(SUBSTITUTE(SUBSTITUTE(SUBSTITUTE(SUBSTITUTE(SUBSTITUTE(SUBSTITUTE(SUBSTITUTE(AY42,"ì","i"),"í","i"),"î","i"),"ï","i"),"ñ","n"),"ò","o"),"ó","o"),"ô","o"),"ö","o"),"õ","o"),"ù","u"),"ú","u"),"û","u"),"ü","u"),"ý","y"),"ÿ","y"),"")</f>
        <v/>
      </c>
      <c r="BA42" s="493" t="str">
        <f>IF(33=33,SUBSTITUTE(SUBSTITUTE(SUBSTITUTE(SUBSTITUTE(SUBSTITUTE(SUBSTITUTE(SUBSTITUTE(SUBSTITUTE(SUBSTITUTE(SUBSTITUTE(SUBSTITUTE(SUBSTITUTE(SUBSTITUTE(SUBSTITUTE(AZ42,"’"," "),"`"," "),"–"," "),"—"," "),"-"," "),"'"," "),"/"," "),"_"," "),","," "),"."," "),"("," "),")"," "),";"," "),":"," "),"")</f>
        <v/>
      </c>
      <c r="BB42" s="493" t="str">
        <f>IF(33=33,SUBSTITUTE(SUBSTITUTE(SUBSTITUTE(SUBSTITUTE(SUBSTITUTE(SUBSTITUTE(SUBSTITUTE(SUBSTITUTE(SUBSTITUTE(SUBSTITUTE(SUBSTITUTE(SUBSTITUTE(SUBSTITUTE(SUBSTITUTE(SUBSTITUTE(BA42,"!"," "),"?"," "),"+"," "),"*"," "),"&amp;"," "),"["," "),"]"," "),"{"," "),"}"," "),"%"," "),"="," "),"\"," "),"|"," "),"&lt;"," "),"&gt;"," "),"")</f>
        <v/>
      </c>
      <c r="BC42" s="493" t="str">
        <f>IF(33=33," "&amp;TRIM(SUBSTITUTE(SUBSTITUTE(SUBSTITUTE(SUBSTITUTE(SUBSTITUTE(SUBSTITUTE(BB42,CHAR(34)," "),"  "," "),"  "," "),"  "," "),"  "," "),"  "," "))&amp;" ","")</f>
        <v xml:space="preserve">  </v>
      </c>
      <c r="BD42" s="493" t="str" cm="1">
        <f t="array" ref="BD42">IF(33=33,IF(AW42="","",SUMPRODUCT(--ISNUMBER(SEARCH(" "&amp;DT11:DT110&amp;" ",BF42)))),"")</f>
        <v/>
      </c>
      <c r="BE42" s="493" t="str" cm="1">
        <f t="array" ref="BE42">IF(33=33,IF(AW42="","",SUMPRODUCT(--ISNUMBER(SEARCH(" "&amp;DT111:DT160&amp;" ",BF42)))),"")</f>
        <v/>
      </c>
      <c r="BF42" s="493" t="str">
        <f>IF(AW42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42,"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42" s="493" t="str" cm="1">
        <f t="array" ref="BG42">IF(AW42="","",SUMPRODUCT(--ISNUMBER(SEARCH(" "&amp;DT193:DT214&amp;" ",BF42)))+--ISNUMBER(SEARCH(" "&amp;DT2463&amp;" ",BF42)))</f>
        <v/>
      </c>
      <c r="BH42" s="493" t="str" cm="1">
        <f t="array" ref="BH42">IF(33=33,IF(AW42="","",IF(SUM(BD42:BE42)+SUMPRODUCT(--ISNUMBER(SEARCH(" "&amp;DT2427:DT2429&amp;" ",BF42)))&gt;0,"X",IF(BG42&gt;0,"?",""))),"")</f>
        <v/>
      </c>
      <c r="BI42" s="493" t="str" cm="1">
        <f t="array" ref="BI42">IF(33=33,IF(AW42="","",SUMPRODUCT(--ISNUMBER(SEARCH(" "&amp;DT215:DT314&amp;" ",BC42)))),"")</f>
        <v/>
      </c>
      <c r="BJ42" s="493" t="str" cm="1">
        <f t="array" ref="BJ42">IF(33=33,IF(AW42="","",SUMPRODUCT(--ISNUMBER(SEARCH(" "&amp;DT315:DT349&amp;" ",BC42)))),"")</f>
        <v/>
      </c>
      <c r="BK42" s="493" t="str">
        <f>IF(33=33,IF(AW42="","",IF((SUM(BI42:BJ42))-(0)&gt;0,"X",IF((0)-(0)&gt;0,"?",""))),"")</f>
        <v/>
      </c>
      <c r="BL42" s="493" t="str" cm="1">
        <f t="array" ref="BL42">IF(33=33,IF(AW42="","",SUMPRODUCT(--ISNUMBER(SEARCH(" "&amp;DT350:DT407&amp;" ",BC42)))),"")</f>
        <v/>
      </c>
      <c r="BM42" s="493" t="str" cm="1">
        <f t="array" ref="BM42">IF(33=33,IF(AW42="","",SUMPRODUCT(--ISNUMBER(SEARCH(" "&amp;DT408:DT435&amp;" ",BN42)))+SUMPRODUCT(--ISNUMBER(SEARCH(" "&amp;DT2449:DT2462&amp;" ",BN42)))),"")</f>
        <v/>
      </c>
      <c r="BN42" s="493" t="str">
        <f>IF(33=33,IF(AW42="","",SUBSTITUTE(SUBSTITUTE(SUBSTITUTE(SUBSTITUTE(SUBSTITUTE(SUBSTITUTE(SUBSTITUTE(SUBSTITUTE(SUBSTITUTE(SUBSTITUTE(SUBSTITUTE(SUBSTITUTE(SUBSTITUTE(SUBSTITUTE(BC42," "&amp;DT2464&amp;" "," ")," "&amp;DT442&amp;" "," ")," "&amp;DT440&amp;" "," ")," "&amp;DT2447&amp;" "," ")," "&amp;DT2448&amp;" "," ")," "&amp;DT437&amp;" "," ")," "&amp;DT441&amp;" "," ")," "&amp;DT443&amp;" "," ")," "&amp;DT438&amp;" "," ")," "&amp;DT436&amp;" "," ")," "&amp;DT1376&amp;" "," ")," "&amp;DT444&amp;" "," ")," "&amp;DT1375&amp;" "," ")," "&amp;DT439&amp;" "," ")),"")</f>
        <v/>
      </c>
      <c r="BO42" s="493" t="str">
        <f>IF(33=33,IF(AW42="","",IF(BL42&gt;0,"X",IF(BM42&gt;0,"?",""))),"")</f>
        <v/>
      </c>
      <c r="BP42" s="493" t="str" cm="1">
        <f t="array" ref="BP42">IF(33=33,IF(AW42="","",SUMPRODUCT(--ISNUMBER(SEARCH(" "&amp;DT445:DT544&amp;" ",BZ42)))),"")</f>
        <v/>
      </c>
      <c r="BQ42" s="493" t="str" cm="1">
        <f t="array" ref="BQ42">IF(33=33,IF(AW42="","",SUMPRODUCT(--ISNUMBER(SEARCH(" "&amp;DT545:DT644&amp;" ",BZ42)))),"")</f>
        <v/>
      </c>
      <c r="BR42" s="493" t="str" cm="1">
        <f t="array" ref="BR42">IF(33=33,IF(AW42="","",SUMPRODUCT(--ISNUMBER(SEARCH(" "&amp;DT645:DT744&amp;" ",BZ42)))),"")</f>
        <v/>
      </c>
      <c r="BS42" s="493" t="str" cm="1">
        <f t="array" ref="BS42">IF(33=33,IF(AW42="","",SUMPRODUCT(--ISNUMBER(SEARCH(" "&amp;DT745:DT844&amp;" ",BZ42)))),"")</f>
        <v/>
      </c>
      <c r="BT42" s="493" t="str" cm="1">
        <f t="array" ref="BT42">IF(33=33,IF(AW42="","",SUMPRODUCT(--ISNUMBER(SEARCH(" "&amp;DT845:DT944&amp;" ",BZ42)))),"")</f>
        <v/>
      </c>
      <c r="BU42" s="493" t="str" cm="1">
        <f t="array" ref="BU42">IF(33=33,IF(AW42="","",SUMPRODUCT(--ISNUMBER(SEARCH(" "&amp;DT945:DT1044&amp;" ",BZ42)))),"")</f>
        <v/>
      </c>
      <c r="BV42" s="493" t="str" cm="1">
        <f t="array" ref="BV42">IF(33=33,IF(AW42="","",SUMPRODUCT(--ISNUMBER(SEARCH(" "&amp;DT1045:DT1144&amp;" ",BZ42)))),"")</f>
        <v/>
      </c>
      <c r="BW42" s="493" t="str" cm="1">
        <f t="array" ref="BW42">IF(33=33,IF(AW42="","",SUMPRODUCT(--ISNUMBER(SEARCH(" "&amp;DT1145:DT1244&amp;" ",BZ42)))),"")</f>
        <v/>
      </c>
      <c r="BX42" s="493" t="str" cm="1">
        <f t="array" ref="BX42">IF(33=33,IF(AW42="","",SUMPRODUCT(--ISNUMBER(SEARCH(" "&amp;DT1245:DT1344&amp;" ",BZ42)))),"")</f>
        <v/>
      </c>
      <c r="BY42" s="493" t="str" cm="1">
        <f t="array" ref="BY42">IF(33=33,IF(AW42="","",SUMPRODUCT(--ISNUMBER(SEARCH(" "&amp;DT1345:DT1372&amp;" ",BZ42)))),"")</f>
        <v/>
      </c>
      <c r="BZ42" s="493" t="str">
        <f>IF(33=33,IF(AW42="","",SUBSTITUTE(SUBSTITUTE(SUBSTITUTE(SUBSTITUTE(SUBSTITUTE(SUBSTITUTE(SUBSTITUTE(SUBSTITUTE(SUBSTITUTE(BC42," "&amp;DT1374&amp;" "," ")," "&amp;DT1373&amp;" "," ")," "&amp;DT1379&amp;" "," ")," "&amp;DT1380&amp;" "," ")," "&amp;DT1376&amp;" "," ")," "&amp;DT1378&amp;" "," ")," "&amp;DT1375&amp;" "," ")," "&amp;DT1377&amp;" "," ")," "&amp;DT1381&amp;" "," ")),"")</f>
        <v/>
      </c>
      <c r="CA42" s="493" t="str" cm="1">
        <f t="array" ref="CA42">IF(33=33,IF(AW42="","",SUMPRODUCT(--ISNUMBER(SEARCH(" "&amp;DT1382:DT1392&amp;" ",BZ42)))),"")</f>
        <v/>
      </c>
      <c r="CB42" s="493" t="str" cm="1">
        <f t="array" ref="CB42">IF(33=33,IF(AW42="","",IF(SUM(BP42:BY42)+SUMPRODUCT(--ISNUMBER(SEARCH(" "&amp;DT2430:DT2431&amp;" ",BZ42)))&gt;0,"X",IF(CA42&gt;0,"?",""))),"")</f>
        <v/>
      </c>
      <c r="CC42" s="493" t="str" cm="1">
        <f t="array" ref="CC42">IF(33=33,IF(AW42="","",SUMPRODUCT(--ISNUMBER(SEARCH(" "&amp;DT1393:DT1413&amp;" ",BC42)))),"")</f>
        <v/>
      </c>
      <c r="CD42" s="493" t="str">
        <f>IF(33=33,IF(AW42="","",IF((CC42)-(0)&gt;0,"X",IF((0)-(0)&gt;0,"?",""))),"")</f>
        <v/>
      </c>
      <c r="CE42" s="493" t="str" cm="1">
        <f t="array" ref="CE42">IF(33=33,IF(AW42="","",SUMPRODUCT(--ISNUMBER(SEARCH(" "&amp;DT1414:DT1451&amp;" ",CF42)))),"")</f>
        <v/>
      </c>
      <c r="CF42" s="493" t="str">
        <f>IF(33=33,IF(AW42="","",SUBSTITUTE(SUBSTITUTE(BC42," "&amp;DT1452&amp;" "," ")," "&amp;DT1453&amp;" "," ")),"")</f>
        <v/>
      </c>
      <c r="CG42" s="493" t="str" cm="1">
        <f t="array" ref="CG42">IF(33=33,IF(AW42="","",SUMPRODUCT(--ISNUMBER(SEARCH(" "&amp;DT1454:DT1464&amp;" ",CF42)))),"")</f>
        <v/>
      </c>
      <c r="CH42" s="493" t="str">
        <f>IF(33=33,IF(AW42="","",IF(CE42&gt;0,"X",IF(CG42&gt;0,"?",""))),"")</f>
        <v/>
      </c>
      <c r="CI42" s="493" t="str" cm="1">
        <f t="array" ref="CI42">IF(33=33,IF(AW42="","",SUMPRODUCT(--ISNUMBER(SEARCH(" "&amp;DT1465:DT1564&amp;" ",CL42)))),"")</f>
        <v/>
      </c>
      <c r="CJ42" s="493" t="str" cm="1">
        <f t="array" ref="CJ42">IF(33=33,IF(AW42="","",SUMPRODUCT(--ISNUMBER(SEARCH(" "&amp;DT1565:DT1664&amp;" ",CL42)))),"")</f>
        <v/>
      </c>
      <c r="CK42" s="493" t="str" cm="1">
        <f t="array" ref="CK42">IF(33=33,IF(AW42="","",SUMPRODUCT(--ISNUMBER(SEARCH(" "&amp;DT1665:DT1748&amp;" ",CL42)))),"")</f>
        <v/>
      </c>
      <c r="CL42" s="493" t="str">
        <f>IF(33=33,IF(AW42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42,"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42" s="493" t="str" cm="1">
        <f t="array" ref="CM42">IF(33=33,IF(AW42="","",SUMPRODUCT(--ISNUMBER(SEARCH(" "&amp;DT1799:DT1878&amp;" ",CN42)))+SUMPRODUCT(--ISNUMBER(SEARCH(" "&amp;DT2449:DT2462&amp;" ",CN42)))),"")</f>
        <v/>
      </c>
      <c r="CN42" s="493" t="str">
        <f>IF(33=33,IF(AW42="","",SUBSTITUTE(SUBSTITUTE(SUBSTITUTE(SUBSTITUTE(SUBSTITUTE(SUBSTITUTE(SUBSTITUTE(SUBSTITUTE(SUBSTITUTE(SUBSTITUTE(SUBSTITUTE(SUBSTITUTE(SUBSTITUTE(CL42," "&amp;DT1885&amp;" "," ")," "&amp;DT1883&amp;" "," ")," "&amp;DT2447&amp;" "," ")," "&amp;DT2448&amp;" "," ")," "&amp;DT1880&amp;" "," ")," "&amp;DT1884&amp;" "," ")," "&amp;DT1886&amp;" "," ")," "&amp;DT1881&amp;" "," ")," "&amp;DT1879&amp;" "," ")," "&amp;DT1376&amp;" "," ")," "&amp;DT1887&amp;" "," ")," "&amp;DT1375&amp;" "," ")," "&amp;DT1882&amp;" "," ")),"")</f>
        <v/>
      </c>
      <c r="CO42" s="493" t="str" cm="1">
        <f t="array" ref="CO42">IF(33=33,IF(AW42="","",IF(SUM(CI42:CK42)+SUMPRODUCT(--ISNUMBER(SEARCH(" "&amp;DT2432:DT2433&amp;" ",CL42)))&gt;0,"X",IF(CM42&gt;0,"?",""))),"")</f>
        <v/>
      </c>
      <c r="CP42" s="493" t="str" cm="1">
        <f t="array" ref="CP42">IF(33=33,IF(AW42="","",SUMPRODUCT(--ISNUMBER(SEARCH(" "&amp;DT1888:DT1945&amp;" ",CQ42)))),"")</f>
        <v/>
      </c>
      <c r="CQ42" s="493" t="str">
        <f>IF(33=33,IF(AW42="","",SUBSTITUTE(SUBSTITUTE(SUBSTITUTE(SUBSTITUTE(SUBSTITUTE(SUBSTITUTE(SUBSTITUTE(SUBSTITUTE(SUBSTITUTE(SUBSTITUTE(SUBSTITUTE(SUBSTITUTE(SUBSTITUTE(SUBSTITUTE(SUBSTITUTE(SUBSTITUTE(SUBSTITUTE(SUBSTITUTE(SUBSTITUTE(SUBSTITUTE(SUBSTITUTE(SUBSTITUTE(SUBSTITUTE(BC42,"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42" s="493" t="str" cm="1">
        <f t="array" ref="CR42">IF(33=33,IF(AW42="","",SUMPRODUCT(--ISNUMBER(SEARCH(" "&amp;DT1969:DT1985&amp;" ",CQ42)))),"")</f>
        <v/>
      </c>
      <c r="CS42" s="493" t="str">
        <f>IF(33=33,IF(AW42="","",IF(CP42&gt;0,"X",IF(CR42&gt;0,"?",""))),"")</f>
        <v/>
      </c>
      <c r="CT42" s="493" t="str" cm="1">
        <f t="array" ref="CT42">IF(33=33,IF(AW42="","",SUMPRODUCT(--ISNUMBER(SEARCH(" "&amp;DT1986:DT1999&amp;" ",BC42)))),"")</f>
        <v/>
      </c>
      <c r="CU42" s="493" t="str" cm="1">
        <f t="array" ref="CU42">IF(33=33,IF(AW42="","",SUMPRODUCT(--ISNUMBER(SEARCH(" "&amp;DT2000:DT2014&amp;" ",BC42)))),"")</f>
        <v/>
      </c>
      <c r="CV42" s="493" t="str">
        <f>IF(33=33,IF(AW42="","",IF((CT42)-(0)&gt;0,"X",IF((CU42)-(0)&gt;0,"?",""))),"")</f>
        <v/>
      </c>
      <c r="CW42" s="493" t="str" cm="1">
        <f t="array" ref="CW42">IF(33=33,IF(AW42="","",SUMPRODUCT(--ISNUMBER(SEARCH(" "&amp;DT2015:DT2032&amp;" ",BC42)))),"")</f>
        <v/>
      </c>
      <c r="CX42" s="493" t="str" cm="1">
        <f t="array" ref="CX42">IF(33=33,IF(AW42="","",SUMPRODUCT(--ISNUMBER(SEARCH(" "&amp;DT2033:DT2047&amp;" ",BC42)))),"")</f>
        <v/>
      </c>
      <c r="CY42" s="493" t="str">
        <f>IF(33=33,IF(AW42="","",IF((CW42)-(0)&gt;0,"X",IF((CX42)-(0)&gt;0,"?",""))),"")</f>
        <v/>
      </c>
      <c r="CZ42" s="493" t="str" cm="1">
        <f t="array" ref="CZ42">IF(33=33,IF(AW42="","",SUMPRODUCT(--ISNUMBER(SEARCH(" "&amp;DT2048:DT2066&amp;" ",BC42)))),"")</f>
        <v/>
      </c>
      <c r="DA42" s="493" t="str" cm="1">
        <f t="array" ref="DA42">IF(33=33,IF(AW42="","",SUMPRODUCT(--ISNUMBER(SEARCH(" "&amp;DT2067:DT2081&amp;" ",BC42)))),"")</f>
        <v/>
      </c>
      <c r="DB42" s="493" t="str">
        <f>IF(33=33,IF(AW42="","",IF((CZ42)-(0)&gt;0,"X",IF((DA42)-(0)&gt;0,"?",""))),"")</f>
        <v/>
      </c>
      <c r="DC42" s="493" t="str" cm="1">
        <f t="array" ref="DC42">IF(33=33,IF(AW42="","",SUMPRODUCT(--ISNUMBER(SEARCH(" "&amp;DT2082:DT2102&amp;" ",BC42)))),"")</f>
        <v/>
      </c>
      <c r="DD42" s="493" t="str" cm="1">
        <f t="array" ref="DD42">IF(33=33,IF(AW42="","",SUMPRODUCT(--ISNUMBER(SEARCH(" "&amp;DT2103:DT2142&amp;" ",SUBSTITUTE(SUBSTITUTE(BC42," "&amp;DT1376&amp;" "," ")," "&amp;DT1375&amp;" "," "))))+--ISNUMBER(SEARCH("poiré",AX42))),"")</f>
        <v/>
      </c>
      <c r="DE42" s="493" t="str">
        <f>IF(33=33,IF(AW42="","",IF(OR(DC42&gt;0,ISNUMBER(SEARCH(" vinaigre de vin ",BC42)),ISNUMBER(SEARCH(" vinaigre au vin ",BC42))),"X",IF(DD42&gt;0,"?",""))),"")</f>
        <v/>
      </c>
      <c r="DF42" s="493" t="str" cm="1">
        <f t="array" ref="DF42">IF(33=33,IF(AW42="","",SUMPRODUCT(--ISNUMBER(SEARCH(" "&amp;DT2143:DT2155&amp;" ",BC42)))),"")</f>
        <v/>
      </c>
      <c r="DG42" s="493" t="str" cm="1">
        <f t="array" ref="DG42">IF(33=33,IF(AW42="","",SUMPRODUCT(--ISNUMBER(SEARCH(" "&amp;DT2156:DT2161&amp;" ",BC42)))),"")</f>
        <v/>
      </c>
      <c r="DH42" s="493" t="str">
        <f>IF(33=33,IF(AW42="","",IF((DF42)-(0)&gt;0,"X",IF((DG42)-(0)&gt;0,"?",""))),"")</f>
        <v/>
      </c>
      <c r="DI42" s="493" t="str" cm="1">
        <f t="array" ref="DI42">IF(33=33,IF(AW42="","",SUMPRODUCT(--ISNUMBER(SEARCH(" "&amp;DT2162:DT2261&amp;" ",DL42)))),"")</f>
        <v/>
      </c>
      <c r="DJ42" s="493" t="str" cm="1">
        <f t="array" ref="DJ42">IF(33=33,IF(AW42="","",SUMPRODUCT(--ISNUMBER(SEARCH(" "&amp;DT2262:DT2361&amp;" ",DL42)))),"")</f>
        <v/>
      </c>
      <c r="DK42" s="493" t="str" cm="1">
        <f t="array" ref="DK42">IF(33=33,IF(AW42="","",SUMPRODUCT(--ISNUMBER(SEARCH(" "&amp;DT2362:DT2404&amp;" ",DL42)))),"")</f>
        <v/>
      </c>
      <c r="DL42" s="493" t="str">
        <f>IF(33=33,IF(AW42="","",SUBSTITUTE(SUBSTITUTE(SUBSTITUTE(SUBSTITUTE(SUBSTITUTE(SUBSTITUTE(SUBSTITUTE(SUBSTITUTE(SUBSTITUTE(SUBSTITUTE(SUBSTITUTE(SUBSTITUTE(SUBSTITUTE(SUBSTITUTE(SUBSTITUTE(SUBSTITUTE(BC42," "&amp;DT2410&amp;" "," ")," "&amp;DT2409&amp;" "," ")," "&amp;DT2408&amp;" "," ")," "&amp;DT2415&amp;" "," ")," "&amp;DT2407&amp;" "," ")," "&amp;DT2419&amp;" "," ")," "&amp;DT2406&amp;" "," ")," "&amp;DT2411&amp;" "," ")," "&amp;DT2414&amp;" "," ")," "&amp;DT2405&amp;" "," ")," "&amp;DT2413&amp;" "," ")," "&amp;DT2420&amp;" "," ")," "&amp;DT2417&amp;" "," ")," "&amp;DT2412&amp;" "," ")," "&amp;DT2416&amp;" "," ")," "&amp;DT2418&amp;" "," ")),"")</f>
        <v/>
      </c>
      <c r="DM42" s="493" t="str" cm="1">
        <f t="array" ref="DM42">IF(33=33,IF(AW42="","",SUMPRODUCT(--ISNUMBER(SEARCH(" "&amp;DT2421:DT2425&amp;" ",DL42)))),"")</f>
        <v/>
      </c>
      <c r="DN42" s="493" t="str">
        <f>IF(33=33,IF(AW42="","",IF(SUM(DI42:DK42)&gt;0,"X",IF(DM42&gt;0,"?",""))),"")</f>
        <v/>
      </c>
      <c r="DO42" s="494"/>
      <c r="DP42" s="496" t="s">
        <v>1200</v>
      </c>
      <c r="DQ42" s="496" t="s">
        <v>1083</v>
      </c>
      <c r="DR42" s="496" t="s">
        <v>689</v>
      </c>
      <c r="DS42" s="496" t="s">
        <v>1201</v>
      </c>
      <c r="DT42" s="496" t="s">
        <v>895</v>
      </c>
      <c r="DU42" s="496" t="s">
        <v>1085</v>
      </c>
      <c r="DV42" s="496" t="s">
        <v>1086</v>
      </c>
      <c r="DW42" s="496" t="s">
        <v>1087</v>
      </c>
      <c r="DX42" s="497" t="s">
        <v>1088</v>
      </c>
      <c r="DZ42" s="543">
        <v>1</v>
      </c>
      <c r="EB42" s="493"/>
      <c r="EC42" s="493"/>
    </row>
    <row r="43" spans="5:133" ht="21" customHeight="1">
      <c r="E43" s="865" t="s">
        <v>737</v>
      </c>
      <c r="F43" s="877" t="str">
        <f>F12</f>
        <v>M MACÉDOINE DE LÉGUMES AU COULIS DE TOMATE | HORS D'ŒUVRE texture modifiée-cuidité-MACEDOINE| Auteur &gt; Annette et Jean Pierre DOMERGUES - 45000 ORLÉANS 1981</v>
      </c>
      <c r="G43" s="877">
        <f>G12</f>
        <v>10</v>
      </c>
      <c r="H43" s="878" t="str">
        <f>H12</f>
        <v>couverts</v>
      </c>
      <c r="I43" s="879" t="str">
        <f>I12</f>
        <v>Recette mère ►  Textures modifiées</v>
      </c>
      <c r="J43" s="889"/>
      <c r="K43" s="889"/>
      <c r="L43" s="891">
        <f>ROWS(P37:P43)</f>
        <v>7</v>
      </c>
      <c r="M43" s="889"/>
      <c r="N43" s="892" t="str">
        <f t="array" ref="N43">SUMPRODUCT(--(P43:W43&lt;&gt;""), LEN(TRIM(SUBSTITUTE(P43:W43, CHAR(160), "")))) &amp; " Car."</f>
        <v>64 Car.</v>
      </c>
      <c r="O43" s="893">
        <f>IF(ISBLANK(P43),"",LARGE(O36:O42,1)+1)</f>
        <v>6</v>
      </c>
      <c r="P43" s="886" t="s">
        <v>281</v>
      </c>
      <c r="Q43" s="886"/>
      <c r="R43" s="886"/>
      <c r="S43" s="886"/>
      <c r="T43" s="886"/>
      <c r="U43" s="886"/>
      <c r="V43" s="886"/>
      <c r="W43" s="886"/>
      <c r="X43" s="886"/>
      <c r="Y43" s="904"/>
      <c r="AA43" s="899"/>
      <c r="AC43" s="509">
        <v>28</v>
      </c>
      <c r="AD43" s="808"/>
      <c r="AE43" s="679" t="str">
        <f t="shared" si="3"/>
        <v/>
      </c>
      <c r="AF43" s="512" t="str">
        <f>IF(34=34,IF(AD43="","",IF(AG43="X",""&amp;"Céréales contenant du gluten","")&amp;IF(AH43="X",IF(COUNTIF(AG43:AG43,"X")&gt;0,", ","")&amp;"Crustacés","")&amp;IF(AI43="X",IF(COUNTIF(AG43:AH43,"X")&gt;0,", ","")&amp;"Œufs","")&amp;IF(AJ43="X",IF(COUNTIF(AG43:AI43,"X")&gt;0,", ","")&amp;"Poissons","")&amp;IF(AK43="X",IF(COUNTIF(AG43:AJ43,"X")&gt;0,", ","")&amp;"Arachides","")&amp;IF(AL43="X",IF(COUNTIF(AG43:AK43,"X")&gt;0,", ","")&amp;"Soja","")&amp;IF(AM43="X",IF(COUNTIF(AG43:AL43,"X")&gt;0,", ","")&amp;"Lait","")&amp;IF(AN43="X",IF(COUNTIF(AG43:AM43,"X")&gt;0,", ","")&amp;"Fruits à coque","")&amp;IF(AO43="X",IF(COUNTIF(AG43:AN43,"X")&gt;0,", ","")&amp;"Céleri","")&amp;IF(AP43="X",IF(COUNTIF(AG43:AO43,"X")&gt;0,", ","")&amp;"Moutarde","")&amp;IF(AQ43="X",IF(COUNTIF(AG43:AP43,"X")&gt;0,", ","")&amp;"Sésame","")&amp;IF(AR43="X",IF(COUNTIF(AG43:AQ43,"X")&gt;0,", ","")&amp;"Sulfites","")&amp;IF(AS43="X",IF(COUNTIF(AG43:AR43,"X")&gt;0,", ","")&amp;"Lupin","")&amp;IF(AT43="X",IF(COUNTIF(AG43:AS43,"X")&gt;0,", ","")&amp;"Mollusques","")),"")</f>
        <v/>
      </c>
      <c r="AG43" s="513" t="str">
        <f>IF(34=34,IF(AD43="","",BH43),"")</f>
        <v/>
      </c>
      <c r="AH43" s="513" t="str">
        <f>IF(34=34,IF(AD43="","",BK43),"")</f>
        <v/>
      </c>
      <c r="AI43" s="513" t="str">
        <f>IF(34=34,IF(AD43="","",BO43),"")</f>
        <v/>
      </c>
      <c r="AJ43" s="513" t="str">
        <f>IF(34=34,IF(AD43="","",IF(ISNUMBER(SEARCH(" colin ",BC43)),"X",CB43)),"")</f>
        <v/>
      </c>
      <c r="AK43" s="513" t="str">
        <f>IF(34=34,IF(AD43="","",CD43),"")</f>
        <v/>
      </c>
      <c r="AL43" s="513" t="str">
        <f>IF(34=34,IF(AD43="","",CH43),"")</f>
        <v/>
      </c>
      <c r="AM43" s="513" t="str">
        <f>IF(34=34,IF(AD43="","",CO43),"")</f>
        <v/>
      </c>
      <c r="AN43" s="513" t="str">
        <f>IF(34=34,IF(AD43="","",CS43),"")</f>
        <v/>
      </c>
      <c r="AO43" s="513" t="str">
        <f>IF(34=34,IF(AD43="","",CV43),"")</f>
        <v/>
      </c>
      <c r="AP43" s="513" t="str">
        <f>IF(34=34,IF(AD43="","",CY43),"")</f>
        <v/>
      </c>
      <c r="AQ43" s="513" t="str">
        <f>IF(34=34,IF(AD43="","",DB43),"")</f>
        <v/>
      </c>
      <c r="AR43" s="513" t="str">
        <f>IF(34=34,IF(AD43="","",DE43),"")</f>
        <v/>
      </c>
      <c r="AS43" s="513" t="str">
        <f>IF(34=34,IF(AD43="","",DH43),"")</f>
        <v/>
      </c>
      <c r="AT43" s="513" t="str">
        <f>IF(34=34,IF(AD43="","",DN43),"")</f>
        <v/>
      </c>
      <c r="AU43" s="514" t="str">
        <f>IF(34=34,IF(AD43="","",IF(AG43="?",""&amp;"Céréales contenant du gluten","")&amp;IF(AH43="?",IF(COUNTIF(AG43:AG43,"~?")&gt;0,", ","")&amp;"Crustacés","")&amp;IF(AI43="?",IF(COUNTIF(AG43:AH43,"~?")&gt;0,", ","")&amp;"Œufs","")&amp;IF(AJ43="?",IF(COUNTIF(AG43:AI43,"~?")&gt;0,", ","")&amp;"Poissons","")&amp;IF(AK43="?",IF(COUNTIF(AG43:AJ43,"~?")&gt;0,", ","")&amp;"Arachides","")&amp;IF(AL43="?",IF(COUNTIF(AG43:AK43,"~?")&gt;0,", ","")&amp;"Soja","")&amp;IF(AM43="?",IF(COUNTIF(AG43:AL43,"~?")&gt;0,", ","")&amp;"Lait","")&amp;IF(AN43="?",IF(COUNTIF(AG43:AM43,"~?")&gt;0,", ","")&amp;"Fruits à coque","")&amp;IF(AO43="?",IF(COUNTIF(AG43:AN43,"~?")&gt;0,", ","")&amp;"Céleri","")&amp;IF(AP43="?",IF(COUNTIF(AG43:AO43,"~?")&gt;0,", ","")&amp;"Moutarde","")&amp;IF(AQ43="?",IF(COUNTIF(AG43:AP43,"~?")&gt;0,", ","")&amp;"Sésame","")&amp;IF(AR43="?",IF(COUNTIF(AG43:AQ43,"~?")&gt;0,", ","")&amp;"Sulfites","")&amp;IF(AS43="?",IF(COUNTIF(AG43:AR43,"~?")&gt;0,", ","")&amp;"Lupin","")&amp;IF(AT43="?",IF(COUNTIF(AG43:AS43,"~?")&gt;0,", ","")&amp;"Mollusques","")),"")</f>
        <v/>
      </c>
      <c r="AW43" s="493" t="str">
        <f>IF(34=34,IF(AD43="","",AD43),"")</f>
        <v/>
      </c>
      <c r="AX43" s="493" t="str">
        <f>IF(34=34,LOWER(CLEAN(SUBSTITUTE(SUBSTITUTE(SUBSTITUTE(SUBSTITUTE(AW43,CHAR(160)," ")," "," "),CHAR(10)," "),CHAR(13)," "))),"")</f>
        <v/>
      </c>
      <c r="AY43" s="493" t="str">
        <f>IF(34=34,SUBSTITUTE(SUBSTITUTE(SUBSTITUTE(SUBSTITUTE(SUBSTITUTE(SUBSTITUTE(SUBSTITUTE(SUBSTITUTE(SUBSTITUTE(SUBSTITUTE(SUBSTITUTE(SUBSTITUTE(AX43,"œ","oe"),"æ","ae"),"à","a"),"á","a"),"â","a"),"ä","a"),"ã","a"),"ç","c"),"è","e"),"é","e"),"ê","e"),"ë","e"),"")</f>
        <v/>
      </c>
      <c r="AZ43" s="493" t="str">
        <f>IF(34=34,SUBSTITUTE(SUBSTITUTE(SUBSTITUTE(SUBSTITUTE(SUBSTITUTE(SUBSTITUTE(SUBSTITUTE(SUBSTITUTE(SUBSTITUTE(SUBSTITUTE(SUBSTITUTE(SUBSTITUTE(SUBSTITUTE(SUBSTITUTE(SUBSTITUTE(SUBSTITUTE(AY43,"ì","i"),"í","i"),"î","i"),"ï","i"),"ñ","n"),"ò","o"),"ó","o"),"ô","o"),"ö","o"),"õ","o"),"ù","u"),"ú","u"),"û","u"),"ü","u"),"ý","y"),"ÿ","y"),"")</f>
        <v/>
      </c>
      <c r="BA43" s="493" t="str">
        <f>IF(34=34,SUBSTITUTE(SUBSTITUTE(SUBSTITUTE(SUBSTITUTE(SUBSTITUTE(SUBSTITUTE(SUBSTITUTE(SUBSTITUTE(SUBSTITUTE(SUBSTITUTE(SUBSTITUTE(SUBSTITUTE(SUBSTITUTE(SUBSTITUTE(AZ43,"’"," "),"`"," "),"–"," "),"—"," "),"-"," "),"'"," "),"/"," "),"_"," "),","," "),"."," "),"("," "),")"," "),";"," "),":"," "),"")</f>
        <v/>
      </c>
      <c r="BB43" s="493" t="str">
        <f>IF(34=34,SUBSTITUTE(SUBSTITUTE(SUBSTITUTE(SUBSTITUTE(SUBSTITUTE(SUBSTITUTE(SUBSTITUTE(SUBSTITUTE(SUBSTITUTE(SUBSTITUTE(SUBSTITUTE(SUBSTITUTE(SUBSTITUTE(SUBSTITUTE(SUBSTITUTE(BA43,"!"," "),"?"," "),"+"," "),"*"," "),"&amp;"," "),"["," "),"]"," "),"{"," "),"}"," "),"%"," "),"="," "),"\"," "),"|"," "),"&lt;"," "),"&gt;"," "),"")</f>
        <v/>
      </c>
      <c r="BC43" s="493" t="str">
        <f>IF(34=34," "&amp;TRIM(SUBSTITUTE(SUBSTITUTE(SUBSTITUTE(SUBSTITUTE(SUBSTITUTE(SUBSTITUTE(BB43,CHAR(34)," "),"  "," "),"  "," "),"  "," "),"  "," "),"  "," "))&amp;" ","")</f>
        <v xml:space="preserve">  </v>
      </c>
      <c r="BD43" s="493" t="str" cm="1">
        <f t="array" ref="BD43">IF(34=34,IF(AW43="","",SUMPRODUCT(--ISNUMBER(SEARCH(" "&amp;DT11:DT110&amp;" ",BF43)))),"")</f>
        <v/>
      </c>
      <c r="BE43" s="493" t="str" cm="1">
        <f t="array" ref="BE43">IF(34=34,IF(AW43="","",SUMPRODUCT(--ISNUMBER(SEARCH(" "&amp;DT111:DT160&amp;" ",BF43)))),"")</f>
        <v/>
      </c>
      <c r="BF43" s="493" t="str">
        <f>IF(AW43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43,"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43" s="493" t="str" cm="1">
        <f t="array" ref="BG43">IF(AW43="","",SUMPRODUCT(--ISNUMBER(SEARCH(" "&amp;DT193:DT214&amp;" ",BF43)))+--ISNUMBER(SEARCH(" "&amp;DT2463&amp;" ",BF43)))</f>
        <v/>
      </c>
      <c r="BH43" s="493" t="str" cm="1">
        <f t="array" ref="BH43">IF(34=34,IF(AW43="","",IF(SUM(BD43:BE43)+SUMPRODUCT(--ISNUMBER(SEARCH(" "&amp;DT2427:DT2429&amp;" ",BF43)))&gt;0,"X",IF(BG43&gt;0,"?",""))),"")</f>
        <v/>
      </c>
      <c r="BI43" s="493" t="str" cm="1">
        <f t="array" ref="BI43">IF(34=34,IF(AW43="","",SUMPRODUCT(--ISNUMBER(SEARCH(" "&amp;DT215:DT314&amp;" ",BC43)))),"")</f>
        <v/>
      </c>
      <c r="BJ43" s="493" t="str" cm="1">
        <f t="array" ref="BJ43">IF(34=34,IF(AW43="","",SUMPRODUCT(--ISNUMBER(SEARCH(" "&amp;DT315:DT349&amp;" ",BC43)))),"")</f>
        <v/>
      </c>
      <c r="BK43" s="493" t="str">
        <f>IF(34=34,IF(AW43="","",IF((SUM(BI43:BJ43))-(0)&gt;0,"X",IF((0)-(0)&gt;0,"?",""))),"")</f>
        <v/>
      </c>
      <c r="BL43" s="493" t="str" cm="1">
        <f t="array" ref="BL43">IF(34=34,IF(AW43="","",SUMPRODUCT(--ISNUMBER(SEARCH(" "&amp;DT350:DT407&amp;" ",BC43)))),"")</f>
        <v/>
      </c>
      <c r="BM43" s="493" t="str" cm="1">
        <f t="array" ref="BM43">IF(34=34,IF(AW43="","",SUMPRODUCT(--ISNUMBER(SEARCH(" "&amp;DT408:DT435&amp;" ",BN43)))+SUMPRODUCT(--ISNUMBER(SEARCH(" "&amp;DT2449:DT2462&amp;" ",BN43)))),"")</f>
        <v/>
      </c>
      <c r="BN43" s="493" t="str">
        <f>IF(34=34,IF(AW43="","",SUBSTITUTE(SUBSTITUTE(SUBSTITUTE(SUBSTITUTE(SUBSTITUTE(SUBSTITUTE(SUBSTITUTE(SUBSTITUTE(SUBSTITUTE(SUBSTITUTE(SUBSTITUTE(SUBSTITUTE(SUBSTITUTE(SUBSTITUTE(BC43," "&amp;DT2464&amp;" "," ")," "&amp;DT442&amp;" "," ")," "&amp;DT440&amp;" "," ")," "&amp;DT2447&amp;" "," ")," "&amp;DT2448&amp;" "," ")," "&amp;DT437&amp;" "," ")," "&amp;DT441&amp;" "," ")," "&amp;DT443&amp;" "," ")," "&amp;DT438&amp;" "," ")," "&amp;DT436&amp;" "," ")," "&amp;DT1376&amp;" "," ")," "&amp;DT444&amp;" "," ")," "&amp;DT1375&amp;" "," ")," "&amp;DT439&amp;" "," ")),"")</f>
        <v/>
      </c>
      <c r="BO43" s="493" t="str">
        <f>IF(34=34,IF(AW43="","",IF(BL43&gt;0,"X",IF(BM43&gt;0,"?",""))),"")</f>
        <v/>
      </c>
      <c r="BP43" s="493" t="str" cm="1">
        <f t="array" ref="BP43">IF(34=34,IF(AW43="","",SUMPRODUCT(--ISNUMBER(SEARCH(" "&amp;DT445:DT544&amp;" ",BZ43)))),"")</f>
        <v/>
      </c>
      <c r="BQ43" s="493" t="str" cm="1">
        <f t="array" ref="BQ43">IF(34=34,IF(AW43="","",SUMPRODUCT(--ISNUMBER(SEARCH(" "&amp;DT545:DT644&amp;" ",BZ43)))),"")</f>
        <v/>
      </c>
      <c r="BR43" s="493" t="str" cm="1">
        <f t="array" ref="BR43">IF(34=34,IF(AW43="","",SUMPRODUCT(--ISNUMBER(SEARCH(" "&amp;DT645:DT744&amp;" ",BZ43)))),"")</f>
        <v/>
      </c>
      <c r="BS43" s="493" t="str" cm="1">
        <f t="array" ref="BS43">IF(34=34,IF(AW43="","",SUMPRODUCT(--ISNUMBER(SEARCH(" "&amp;DT745:DT844&amp;" ",BZ43)))),"")</f>
        <v/>
      </c>
      <c r="BT43" s="493" t="str" cm="1">
        <f t="array" ref="BT43">IF(34=34,IF(AW43="","",SUMPRODUCT(--ISNUMBER(SEARCH(" "&amp;DT845:DT944&amp;" ",BZ43)))),"")</f>
        <v/>
      </c>
      <c r="BU43" s="493" t="str" cm="1">
        <f t="array" ref="BU43">IF(34=34,IF(AW43="","",SUMPRODUCT(--ISNUMBER(SEARCH(" "&amp;DT945:DT1044&amp;" ",BZ43)))),"")</f>
        <v/>
      </c>
      <c r="BV43" s="493" t="str" cm="1">
        <f t="array" ref="BV43">IF(34=34,IF(AW43="","",SUMPRODUCT(--ISNUMBER(SEARCH(" "&amp;DT1045:DT1144&amp;" ",BZ43)))),"")</f>
        <v/>
      </c>
      <c r="BW43" s="493" t="str" cm="1">
        <f t="array" ref="BW43">IF(34=34,IF(AW43="","",SUMPRODUCT(--ISNUMBER(SEARCH(" "&amp;DT1145:DT1244&amp;" ",BZ43)))),"")</f>
        <v/>
      </c>
      <c r="BX43" s="493" t="str" cm="1">
        <f t="array" ref="BX43">IF(34=34,IF(AW43="","",SUMPRODUCT(--ISNUMBER(SEARCH(" "&amp;DT1245:DT1344&amp;" ",BZ43)))),"")</f>
        <v/>
      </c>
      <c r="BY43" s="493" t="str" cm="1">
        <f t="array" ref="BY43">IF(34=34,IF(AW43="","",SUMPRODUCT(--ISNUMBER(SEARCH(" "&amp;DT1345:DT1372&amp;" ",BZ43)))),"")</f>
        <v/>
      </c>
      <c r="BZ43" s="493" t="str">
        <f>IF(34=34,IF(AW43="","",SUBSTITUTE(SUBSTITUTE(SUBSTITUTE(SUBSTITUTE(SUBSTITUTE(SUBSTITUTE(SUBSTITUTE(SUBSTITUTE(SUBSTITUTE(BC43," "&amp;DT1374&amp;" "," ")," "&amp;DT1373&amp;" "," ")," "&amp;DT1379&amp;" "," ")," "&amp;DT1380&amp;" "," ")," "&amp;DT1376&amp;" "," ")," "&amp;DT1378&amp;" "," ")," "&amp;DT1375&amp;" "," ")," "&amp;DT1377&amp;" "," ")," "&amp;DT1381&amp;" "," ")),"")</f>
        <v/>
      </c>
      <c r="CA43" s="493" t="str" cm="1">
        <f t="array" ref="CA43">IF(34=34,IF(AW43="","",SUMPRODUCT(--ISNUMBER(SEARCH(" "&amp;DT1382:DT1392&amp;" ",BZ43)))),"")</f>
        <v/>
      </c>
      <c r="CB43" s="493" t="str" cm="1">
        <f t="array" ref="CB43">IF(34=34,IF(AW43="","",IF(SUM(BP43:BY43)+SUMPRODUCT(--ISNUMBER(SEARCH(" "&amp;DT2430:DT2431&amp;" ",BZ43)))&gt;0,"X",IF(CA43&gt;0,"?",""))),"")</f>
        <v/>
      </c>
      <c r="CC43" s="493" t="str" cm="1">
        <f t="array" ref="CC43">IF(34=34,IF(AW43="","",SUMPRODUCT(--ISNUMBER(SEARCH(" "&amp;DT1393:DT1413&amp;" ",BC43)))),"")</f>
        <v/>
      </c>
      <c r="CD43" s="493" t="str">
        <f>IF(34=34,IF(AW43="","",IF((CC43)-(0)&gt;0,"X",IF((0)-(0)&gt;0,"?",""))),"")</f>
        <v/>
      </c>
      <c r="CE43" s="493" t="str" cm="1">
        <f t="array" ref="CE43">IF(34=34,IF(AW43="","",SUMPRODUCT(--ISNUMBER(SEARCH(" "&amp;DT1414:DT1451&amp;" ",CF43)))),"")</f>
        <v/>
      </c>
      <c r="CF43" s="493" t="str">
        <f>IF(34=34,IF(AW43="","",SUBSTITUTE(SUBSTITUTE(BC43," "&amp;DT1452&amp;" "," ")," "&amp;DT1453&amp;" "," ")),"")</f>
        <v/>
      </c>
      <c r="CG43" s="493" t="str" cm="1">
        <f t="array" ref="CG43">IF(34=34,IF(AW43="","",SUMPRODUCT(--ISNUMBER(SEARCH(" "&amp;DT1454:DT1464&amp;" ",CF43)))),"")</f>
        <v/>
      </c>
      <c r="CH43" s="493" t="str">
        <f>IF(34=34,IF(AW43="","",IF(CE43&gt;0,"X",IF(CG43&gt;0,"?",""))),"")</f>
        <v/>
      </c>
      <c r="CI43" s="493" t="str" cm="1">
        <f t="array" ref="CI43">IF(34=34,IF(AW43="","",SUMPRODUCT(--ISNUMBER(SEARCH(" "&amp;DT1465:DT1564&amp;" ",CL43)))),"")</f>
        <v/>
      </c>
      <c r="CJ43" s="493" t="str" cm="1">
        <f t="array" ref="CJ43">IF(34=34,IF(AW43="","",SUMPRODUCT(--ISNUMBER(SEARCH(" "&amp;DT1565:DT1664&amp;" ",CL43)))),"")</f>
        <v/>
      </c>
      <c r="CK43" s="493" t="str" cm="1">
        <f t="array" ref="CK43">IF(34=34,IF(AW43="","",SUMPRODUCT(--ISNUMBER(SEARCH(" "&amp;DT1665:DT1748&amp;" ",CL43)))),"")</f>
        <v/>
      </c>
      <c r="CL43" s="493" t="str">
        <f>IF(34=34,IF(AW43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43,"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43" s="493" t="str" cm="1">
        <f t="array" ref="CM43">IF(34=34,IF(AW43="","",SUMPRODUCT(--ISNUMBER(SEARCH(" "&amp;DT1799:DT1878&amp;" ",CN43)))+SUMPRODUCT(--ISNUMBER(SEARCH(" "&amp;DT2449:DT2462&amp;" ",CN43)))),"")</f>
        <v/>
      </c>
      <c r="CN43" s="493" t="str">
        <f>IF(34=34,IF(AW43="","",SUBSTITUTE(SUBSTITUTE(SUBSTITUTE(SUBSTITUTE(SUBSTITUTE(SUBSTITUTE(SUBSTITUTE(SUBSTITUTE(SUBSTITUTE(SUBSTITUTE(SUBSTITUTE(SUBSTITUTE(SUBSTITUTE(CL43," "&amp;DT1885&amp;" "," ")," "&amp;DT1883&amp;" "," ")," "&amp;DT2447&amp;" "," ")," "&amp;DT2448&amp;" "," ")," "&amp;DT1880&amp;" "," ")," "&amp;DT1884&amp;" "," ")," "&amp;DT1886&amp;" "," ")," "&amp;DT1881&amp;" "," ")," "&amp;DT1879&amp;" "," ")," "&amp;DT1376&amp;" "," ")," "&amp;DT1887&amp;" "," ")," "&amp;DT1375&amp;" "," ")," "&amp;DT1882&amp;" "," ")),"")</f>
        <v/>
      </c>
      <c r="CO43" s="493" t="str" cm="1">
        <f t="array" ref="CO43">IF(34=34,IF(AW43="","",IF(SUM(CI43:CK43)+SUMPRODUCT(--ISNUMBER(SEARCH(" "&amp;DT2432:DT2433&amp;" ",CL43)))&gt;0,"X",IF(CM43&gt;0,"?",""))),"")</f>
        <v/>
      </c>
      <c r="CP43" s="493" t="str" cm="1">
        <f t="array" ref="CP43">IF(34=34,IF(AW43="","",SUMPRODUCT(--ISNUMBER(SEARCH(" "&amp;DT1888:DT1945&amp;" ",CQ43)))),"")</f>
        <v/>
      </c>
      <c r="CQ43" s="493" t="str">
        <f>IF(34=34,IF(AW43="","",SUBSTITUTE(SUBSTITUTE(SUBSTITUTE(SUBSTITUTE(SUBSTITUTE(SUBSTITUTE(SUBSTITUTE(SUBSTITUTE(SUBSTITUTE(SUBSTITUTE(SUBSTITUTE(SUBSTITUTE(SUBSTITUTE(SUBSTITUTE(SUBSTITUTE(SUBSTITUTE(SUBSTITUTE(SUBSTITUTE(SUBSTITUTE(SUBSTITUTE(SUBSTITUTE(SUBSTITUTE(SUBSTITUTE(BC43,"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43" s="493" t="str" cm="1">
        <f t="array" ref="CR43">IF(34=34,IF(AW43="","",SUMPRODUCT(--ISNUMBER(SEARCH(" "&amp;DT1969:DT1985&amp;" ",CQ43)))),"")</f>
        <v/>
      </c>
      <c r="CS43" s="493" t="str">
        <f>IF(34=34,IF(AW43="","",IF(CP43&gt;0,"X",IF(CR43&gt;0,"?",""))),"")</f>
        <v/>
      </c>
      <c r="CT43" s="493" t="str" cm="1">
        <f t="array" ref="CT43">IF(34=34,IF(AW43="","",SUMPRODUCT(--ISNUMBER(SEARCH(" "&amp;DT1986:DT1999&amp;" ",BC43)))),"")</f>
        <v/>
      </c>
      <c r="CU43" s="493" t="str" cm="1">
        <f t="array" ref="CU43">IF(34=34,IF(AW43="","",SUMPRODUCT(--ISNUMBER(SEARCH(" "&amp;DT2000:DT2014&amp;" ",BC43)))),"")</f>
        <v/>
      </c>
      <c r="CV43" s="493" t="str">
        <f>IF(34=34,IF(AW43="","",IF((CT43)-(0)&gt;0,"X",IF((CU43)-(0)&gt;0,"?",""))),"")</f>
        <v/>
      </c>
      <c r="CW43" s="493" t="str" cm="1">
        <f t="array" ref="CW43">IF(34=34,IF(AW43="","",SUMPRODUCT(--ISNUMBER(SEARCH(" "&amp;DT2015:DT2032&amp;" ",BC43)))),"")</f>
        <v/>
      </c>
      <c r="CX43" s="493" t="str" cm="1">
        <f t="array" ref="CX43">IF(34=34,IF(AW43="","",SUMPRODUCT(--ISNUMBER(SEARCH(" "&amp;DT2033:DT2047&amp;" ",BC43)))),"")</f>
        <v/>
      </c>
      <c r="CY43" s="493" t="str">
        <f>IF(34=34,IF(AW43="","",IF((CW43)-(0)&gt;0,"X",IF((CX43)-(0)&gt;0,"?",""))),"")</f>
        <v/>
      </c>
      <c r="CZ43" s="493" t="str" cm="1">
        <f t="array" ref="CZ43">IF(34=34,IF(AW43="","",SUMPRODUCT(--ISNUMBER(SEARCH(" "&amp;DT2048:DT2066&amp;" ",BC43)))),"")</f>
        <v/>
      </c>
      <c r="DA43" s="493" t="str" cm="1">
        <f t="array" ref="DA43">IF(34=34,IF(AW43="","",SUMPRODUCT(--ISNUMBER(SEARCH(" "&amp;DT2067:DT2081&amp;" ",BC43)))),"")</f>
        <v/>
      </c>
      <c r="DB43" s="493" t="str">
        <f>IF(34=34,IF(AW43="","",IF((CZ43)-(0)&gt;0,"X",IF((DA43)-(0)&gt;0,"?",""))),"")</f>
        <v/>
      </c>
      <c r="DC43" s="493" t="str" cm="1">
        <f t="array" ref="DC43">IF(34=34,IF(AW43="","",SUMPRODUCT(--ISNUMBER(SEARCH(" "&amp;DT2082:DT2102&amp;" ",BC43)))),"")</f>
        <v/>
      </c>
      <c r="DD43" s="493" t="str" cm="1">
        <f t="array" ref="DD43">IF(34=34,IF(AW43="","",SUMPRODUCT(--ISNUMBER(SEARCH(" "&amp;DT2103:DT2142&amp;" ",SUBSTITUTE(SUBSTITUTE(BC43," "&amp;DT1376&amp;" "," ")," "&amp;DT1375&amp;" "," "))))+--ISNUMBER(SEARCH("poiré",AX43))),"")</f>
        <v/>
      </c>
      <c r="DE43" s="493" t="str">
        <f>IF(34=34,IF(AW43="","",IF(OR(DC43&gt;0,ISNUMBER(SEARCH(" vinaigre de vin ",BC43)),ISNUMBER(SEARCH(" vinaigre au vin ",BC43))),"X",IF(DD43&gt;0,"?",""))),"")</f>
        <v/>
      </c>
      <c r="DF43" s="493" t="str" cm="1">
        <f t="array" ref="DF43">IF(34=34,IF(AW43="","",SUMPRODUCT(--ISNUMBER(SEARCH(" "&amp;DT2143:DT2155&amp;" ",BC43)))),"")</f>
        <v/>
      </c>
      <c r="DG43" s="493" t="str" cm="1">
        <f t="array" ref="DG43">IF(34=34,IF(AW43="","",SUMPRODUCT(--ISNUMBER(SEARCH(" "&amp;DT2156:DT2161&amp;" ",BC43)))),"")</f>
        <v/>
      </c>
      <c r="DH43" s="493" t="str">
        <f>IF(34=34,IF(AW43="","",IF((DF43)-(0)&gt;0,"X",IF((DG43)-(0)&gt;0,"?",""))),"")</f>
        <v/>
      </c>
      <c r="DI43" s="493" t="str" cm="1">
        <f t="array" ref="DI43">IF(34=34,IF(AW43="","",SUMPRODUCT(--ISNUMBER(SEARCH(" "&amp;DT2162:DT2261&amp;" ",DL43)))),"")</f>
        <v/>
      </c>
      <c r="DJ43" s="493" t="str" cm="1">
        <f t="array" ref="DJ43">IF(34=34,IF(AW43="","",SUMPRODUCT(--ISNUMBER(SEARCH(" "&amp;DT2262:DT2361&amp;" ",DL43)))),"")</f>
        <v/>
      </c>
      <c r="DK43" s="493" t="str" cm="1">
        <f t="array" ref="DK43">IF(34=34,IF(AW43="","",SUMPRODUCT(--ISNUMBER(SEARCH(" "&amp;DT2362:DT2404&amp;" ",DL43)))),"")</f>
        <v/>
      </c>
      <c r="DL43" s="493" t="str">
        <f>IF(34=34,IF(AW43="","",SUBSTITUTE(SUBSTITUTE(SUBSTITUTE(SUBSTITUTE(SUBSTITUTE(SUBSTITUTE(SUBSTITUTE(SUBSTITUTE(SUBSTITUTE(SUBSTITUTE(SUBSTITUTE(SUBSTITUTE(SUBSTITUTE(SUBSTITUTE(SUBSTITUTE(SUBSTITUTE(BC43," "&amp;DT2410&amp;" "," ")," "&amp;DT2409&amp;" "," ")," "&amp;DT2408&amp;" "," ")," "&amp;DT2415&amp;" "," ")," "&amp;DT2407&amp;" "," ")," "&amp;DT2419&amp;" "," ")," "&amp;DT2406&amp;" "," ")," "&amp;DT2411&amp;" "," ")," "&amp;DT2414&amp;" "," ")," "&amp;DT2405&amp;" "," ")," "&amp;DT2413&amp;" "," ")," "&amp;DT2420&amp;" "," ")," "&amp;DT2417&amp;" "," ")," "&amp;DT2412&amp;" "," ")," "&amp;DT2416&amp;" "," ")," "&amp;DT2418&amp;" "," ")),"")</f>
        <v/>
      </c>
      <c r="DM43" s="493" t="str" cm="1">
        <f t="array" ref="DM43">IF(34=34,IF(AW43="","",SUMPRODUCT(--ISNUMBER(SEARCH(" "&amp;DT2421:DT2425&amp;" ",DL43)))),"")</f>
        <v/>
      </c>
      <c r="DN43" s="493" t="str">
        <f>IF(34=34,IF(AW43="","",IF(SUM(DI43:DK43)&gt;0,"X",IF(DM43&gt;0,"?",""))),"")</f>
        <v/>
      </c>
      <c r="DO43" s="494"/>
      <c r="DP43" s="496" t="s">
        <v>1202</v>
      </c>
      <c r="DQ43" s="496" t="s">
        <v>1083</v>
      </c>
      <c r="DR43" s="496" t="s">
        <v>689</v>
      </c>
      <c r="DS43" s="496" t="s">
        <v>1203</v>
      </c>
      <c r="DT43" s="496" t="s">
        <v>896</v>
      </c>
      <c r="DU43" s="496" t="s">
        <v>1085</v>
      </c>
      <c r="DV43" s="496" t="s">
        <v>1086</v>
      </c>
      <c r="DW43" s="496" t="s">
        <v>1087</v>
      </c>
      <c r="DX43" s="497" t="s">
        <v>1088</v>
      </c>
      <c r="DZ43" s="543">
        <v>1</v>
      </c>
      <c r="EB43" s="493"/>
      <c r="EC43" s="493"/>
    </row>
    <row r="44" spans="5:133" ht="21" customHeight="1">
      <c r="E44" s="865" t="s">
        <v>737</v>
      </c>
      <c r="F44" s="877" t="str">
        <f>F12</f>
        <v>M MACÉDOINE DE LÉGUMES AU COULIS DE TOMATE | HORS D'ŒUVRE texture modifiée-cuidité-MACEDOINE| Auteur &gt; Annette et Jean Pierre DOMERGUES - 45000 ORLÉANS 1981</v>
      </c>
      <c r="G44" s="877">
        <f>G12</f>
        <v>10</v>
      </c>
      <c r="H44" s="878" t="str">
        <f>H12</f>
        <v>couverts</v>
      </c>
      <c r="I44" s="879" t="str">
        <f>I12</f>
        <v>Recette mère ►  Textures modifiées</v>
      </c>
      <c r="J44" s="889"/>
      <c r="K44" s="889"/>
      <c r="L44" s="891">
        <f>ROWS(P37:P44)</f>
        <v>8</v>
      </c>
      <c r="M44" s="889"/>
      <c r="N44" s="892" t="str">
        <f t="array" ref="N44">SUMPRODUCT(--(P44:W44&lt;&gt;""), LEN(TRIM(SUBSTITUTE(P44:W44, CHAR(160), "")))) &amp; " Car."</f>
        <v>79 Car.</v>
      </c>
      <c r="O44" s="893">
        <f>IF(ISBLANK(P44),"",LARGE(O36:O43,1)+1)</f>
        <v>7</v>
      </c>
      <c r="P44" s="886" t="s">
        <v>381</v>
      </c>
      <c r="Q44" s="886"/>
      <c r="R44" s="886"/>
      <c r="S44" s="886"/>
      <c r="T44" s="886"/>
      <c r="U44" s="886"/>
      <c r="V44" s="886"/>
      <c r="W44" s="886"/>
      <c r="X44" s="886"/>
      <c r="Y44" s="904"/>
      <c r="AA44" s="899"/>
      <c r="AC44" s="509">
        <v>29</v>
      </c>
      <c r="AD44" s="808"/>
      <c r="AE44" s="679" t="str">
        <f t="shared" si="3"/>
        <v/>
      </c>
      <c r="AF44" s="512" t="str">
        <f>IF(35=35,IF(AD44="","",IF(AG44="X",""&amp;"Céréales contenant du gluten","")&amp;IF(AH44="X",IF(COUNTIF(AG44:AG44,"X")&gt;0,", ","")&amp;"Crustacés","")&amp;IF(AI44="X",IF(COUNTIF(AG44:AH44,"X")&gt;0,", ","")&amp;"Œufs","")&amp;IF(AJ44="X",IF(COUNTIF(AG44:AI44,"X")&gt;0,", ","")&amp;"Poissons","")&amp;IF(AK44="X",IF(COUNTIF(AG44:AJ44,"X")&gt;0,", ","")&amp;"Arachides","")&amp;IF(AL44="X",IF(COUNTIF(AG44:AK44,"X")&gt;0,", ","")&amp;"Soja","")&amp;IF(AM44="X",IF(COUNTIF(AG44:AL44,"X")&gt;0,", ","")&amp;"Lait","")&amp;IF(AN44="X",IF(COUNTIF(AG44:AM44,"X")&gt;0,", ","")&amp;"Fruits à coque","")&amp;IF(AO44="X",IF(COUNTIF(AG44:AN44,"X")&gt;0,", ","")&amp;"Céleri","")&amp;IF(AP44="X",IF(COUNTIF(AG44:AO44,"X")&gt;0,", ","")&amp;"Moutarde","")&amp;IF(AQ44="X",IF(COUNTIF(AG44:AP44,"X")&gt;0,", ","")&amp;"Sésame","")&amp;IF(AR44="X",IF(COUNTIF(AG44:AQ44,"X")&gt;0,", ","")&amp;"Sulfites","")&amp;IF(AS44="X",IF(COUNTIF(AG44:AR44,"X")&gt;0,", ","")&amp;"Lupin","")&amp;IF(AT44="X",IF(COUNTIF(AG44:AS44,"X")&gt;0,", ","")&amp;"Mollusques","")),"")</f>
        <v/>
      </c>
      <c r="AG44" s="513" t="str">
        <f>IF(35=35,IF(AD44="","",BH44),"")</f>
        <v/>
      </c>
      <c r="AH44" s="513" t="str">
        <f>IF(35=35,IF(AD44="","",BK44),"")</f>
        <v/>
      </c>
      <c r="AI44" s="513" t="str">
        <f>IF(35=35,IF(AD44="","",BO44),"")</f>
        <v/>
      </c>
      <c r="AJ44" s="513" t="str">
        <f>IF(35=35,IF(AD44="","",IF(ISNUMBER(SEARCH(" colin ",BC44)),"X",CB44)),"")</f>
        <v/>
      </c>
      <c r="AK44" s="513" t="str">
        <f>IF(35=35,IF(AD44="","",CD44),"")</f>
        <v/>
      </c>
      <c r="AL44" s="513" t="str">
        <f>IF(35=35,IF(AD44="","",CH44),"")</f>
        <v/>
      </c>
      <c r="AM44" s="513" t="str">
        <f>IF(35=35,IF(AD44="","",CO44),"")</f>
        <v/>
      </c>
      <c r="AN44" s="513" t="str">
        <f>IF(35=35,IF(AD44="","",CS44),"")</f>
        <v/>
      </c>
      <c r="AO44" s="513" t="str">
        <f>IF(35=35,IF(AD44="","",CV44),"")</f>
        <v/>
      </c>
      <c r="AP44" s="513" t="str">
        <f>IF(35=35,IF(AD44="","",CY44),"")</f>
        <v/>
      </c>
      <c r="AQ44" s="513" t="str">
        <f>IF(35=35,IF(AD44="","",DB44),"")</f>
        <v/>
      </c>
      <c r="AR44" s="513" t="str">
        <f>IF(35=35,IF(AD44="","",DE44),"")</f>
        <v/>
      </c>
      <c r="AS44" s="513" t="str">
        <f>IF(35=35,IF(AD44="","",DH44),"")</f>
        <v/>
      </c>
      <c r="AT44" s="513" t="str">
        <f>IF(35=35,IF(AD44="","",DN44),"")</f>
        <v/>
      </c>
      <c r="AU44" s="514" t="str">
        <f>IF(35=35,IF(AD44="","",IF(AG44="?",""&amp;"Céréales contenant du gluten","")&amp;IF(AH44="?",IF(COUNTIF(AG44:AG44,"~?")&gt;0,", ","")&amp;"Crustacés","")&amp;IF(AI44="?",IF(COUNTIF(AG44:AH44,"~?")&gt;0,", ","")&amp;"Œufs","")&amp;IF(AJ44="?",IF(COUNTIF(AG44:AI44,"~?")&gt;0,", ","")&amp;"Poissons","")&amp;IF(AK44="?",IF(COUNTIF(AG44:AJ44,"~?")&gt;0,", ","")&amp;"Arachides","")&amp;IF(AL44="?",IF(COUNTIF(AG44:AK44,"~?")&gt;0,", ","")&amp;"Soja","")&amp;IF(AM44="?",IF(COUNTIF(AG44:AL44,"~?")&gt;0,", ","")&amp;"Lait","")&amp;IF(AN44="?",IF(COUNTIF(AG44:AM44,"~?")&gt;0,", ","")&amp;"Fruits à coque","")&amp;IF(AO44="?",IF(COUNTIF(AG44:AN44,"~?")&gt;0,", ","")&amp;"Céleri","")&amp;IF(AP44="?",IF(COUNTIF(AG44:AO44,"~?")&gt;0,", ","")&amp;"Moutarde","")&amp;IF(AQ44="?",IF(COUNTIF(AG44:AP44,"~?")&gt;0,", ","")&amp;"Sésame","")&amp;IF(AR44="?",IF(COUNTIF(AG44:AQ44,"~?")&gt;0,", ","")&amp;"Sulfites","")&amp;IF(AS44="?",IF(COUNTIF(AG44:AR44,"~?")&gt;0,", ","")&amp;"Lupin","")&amp;IF(AT44="?",IF(COUNTIF(AG44:AS44,"~?")&gt;0,", ","")&amp;"Mollusques","")),"")</f>
        <v/>
      </c>
      <c r="AW44" s="493" t="str">
        <f>IF(35=35,IF(AD44="","",AD44),"")</f>
        <v/>
      </c>
      <c r="AX44" s="493" t="str">
        <f>IF(35=35,LOWER(CLEAN(SUBSTITUTE(SUBSTITUTE(SUBSTITUTE(SUBSTITUTE(AW44,CHAR(160)," ")," "," "),CHAR(10)," "),CHAR(13)," "))),"")</f>
        <v/>
      </c>
      <c r="AY44" s="493" t="str">
        <f>IF(35=35,SUBSTITUTE(SUBSTITUTE(SUBSTITUTE(SUBSTITUTE(SUBSTITUTE(SUBSTITUTE(SUBSTITUTE(SUBSTITUTE(SUBSTITUTE(SUBSTITUTE(SUBSTITUTE(SUBSTITUTE(AX44,"œ","oe"),"æ","ae"),"à","a"),"á","a"),"â","a"),"ä","a"),"ã","a"),"ç","c"),"è","e"),"é","e"),"ê","e"),"ë","e"),"")</f>
        <v/>
      </c>
      <c r="AZ44" s="493" t="str">
        <f>IF(35=35,SUBSTITUTE(SUBSTITUTE(SUBSTITUTE(SUBSTITUTE(SUBSTITUTE(SUBSTITUTE(SUBSTITUTE(SUBSTITUTE(SUBSTITUTE(SUBSTITUTE(SUBSTITUTE(SUBSTITUTE(SUBSTITUTE(SUBSTITUTE(SUBSTITUTE(SUBSTITUTE(AY44,"ì","i"),"í","i"),"î","i"),"ï","i"),"ñ","n"),"ò","o"),"ó","o"),"ô","o"),"ö","o"),"õ","o"),"ù","u"),"ú","u"),"û","u"),"ü","u"),"ý","y"),"ÿ","y"),"")</f>
        <v/>
      </c>
      <c r="BA44" s="493" t="str">
        <f>IF(35=35,SUBSTITUTE(SUBSTITUTE(SUBSTITUTE(SUBSTITUTE(SUBSTITUTE(SUBSTITUTE(SUBSTITUTE(SUBSTITUTE(SUBSTITUTE(SUBSTITUTE(SUBSTITUTE(SUBSTITUTE(SUBSTITUTE(SUBSTITUTE(AZ44,"’"," "),"`"," "),"–"," "),"—"," "),"-"," "),"'"," "),"/"," "),"_"," "),","," "),"."," "),"("," "),")"," "),";"," "),":"," "),"")</f>
        <v/>
      </c>
      <c r="BB44" s="493" t="str">
        <f>IF(35=35,SUBSTITUTE(SUBSTITUTE(SUBSTITUTE(SUBSTITUTE(SUBSTITUTE(SUBSTITUTE(SUBSTITUTE(SUBSTITUTE(SUBSTITUTE(SUBSTITUTE(SUBSTITUTE(SUBSTITUTE(SUBSTITUTE(SUBSTITUTE(SUBSTITUTE(BA44,"!"," "),"?"," "),"+"," "),"*"," "),"&amp;"," "),"["," "),"]"," "),"{"," "),"}"," "),"%"," "),"="," "),"\"," "),"|"," "),"&lt;"," "),"&gt;"," "),"")</f>
        <v/>
      </c>
      <c r="BC44" s="493" t="str">
        <f>IF(35=35," "&amp;TRIM(SUBSTITUTE(SUBSTITUTE(SUBSTITUTE(SUBSTITUTE(SUBSTITUTE(SUBSTITUTE(BB44,CHAR(34)," "),"  "," "),"  "," "),"  "," "),"  "," "),"  "," "))&amp;" ","")</f>
        <v xml:space="preserve">  </v>
      </c>
      <c r="BD44" s="493" t="str" cm="1">
        <f t="array" ref="BD44">IF(35=35,IF(AW44="","",SUMPRODUCT(--ISNUMBER(SEARCH(" "&amp;DT11:DT110&amp;" ",BF44)))),"")</f>
        <v/>
      </c>
      <c r="BE44" s="493" t="str" cm="1">
        <f t="array" ref="BE44">IF(35=35,IF(AW44="","",SUMPRODUCT(--ISNUMBER(SEARCH(" "&amp;DT111:DT160&amp;" ",BF44)))),"")</f>
        <v/>
      </c>
      <c r="BF44" s="493" t="str">
        <f>IF(AW44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44,"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44" s="493" t="str" cm="1">
        <f t="array" ref="BG44">IF(AW44="","",SUMPRODUCT(--ISNUMBER(SEARCH(" "&amp;DT193:DT214&amp;" ",BF44)))+--ISNUMBER(SEARCH(" "&amp;DT2463&amp;" ",BF44)))</f>
        <v/>
      </c>
      <c r="BH44" s="493" t="str" cm="1">
        <f t="array" ref="BH44">IF(35=35,IF(AW44="","",IF(SUM(BD44:BE44)+SUMPRODUCT(--ISNUMBER(SEARCH(" "&amp;DT2427:DT2429&amp;" ",BF44)))&gt;0,"X",IF(BG44&gt;0,"?",""))),"")</f>
        <v/>
      </c>
      <c r="BI44" s="493" t="str" cm="1">
        <f t="array" ref="BI44">IF(35=35,IF(AW44="","",SUMPRODUCT(--ISNUMBER(SEARCH(" "&amp;DT215:DT314&amp;" ",BC44)))),"")</f>
        <v/>
      </c>
      <c r="BJ44" s="493" t="str" cm="1">
        <f t="array" ref="BJ44">IF(35=35,IF(AW44="","",SUMPRODUCT(--ISNUMBER(SEARCH(" "&amp;DT315:DT349&amp;" ",BC44)))),"")</f>
        <v/>
      </c>
      <c r="BK44" s="493" t="str">
        <f>IF(35=35,IF(AW44="","",IF((SUM(BI44:BJ44))-(0)&gt;0,"X",IF((0)-(0)&gt;0,"?",""))),"")</f>
        <v/>
      </c>
      <c r="BL44" s="493" t="str" cm="1">
        <f t="array" ref="BL44">IF(35=35,IF(AW44="","",SUMPRODUCT(--ISNUMBER(SEARCH(" "&amp;DT350:DT407&amp;" ",BC44)))),"")</f>
        <v/>
      </c>
      <c r="BM44" s="493" t="str" cm="1">
        <f t="array" ref="BM44">IF(35=35,IF(AW44="","",SUMPRODUCT(--ISNUMBER(SEARCH(" "&amp;DT408:DT435&amp;" ",BN44)))+SUMPRODUCT(--ISNUMBER(SEARCH(" "&amp;DT2449:DT2462&amp;" ",BN44)))),"")</f>
        <v/>
      </c>
      <c r="BN44" s="493" t="str">
        <f>IF(35=35,IF(AW44="","",SUBSTITUTE(SUBSTITUTE(SUBSTITUTE(SUBSTITUTE(SUBSTITUTE(SUBSTITUTE(SUBSTITUTE(SUBSTITUTE(SUBSTITUTE(SUBSTITUTE(SUBSTITUTE(SUBSTITUTE(SUBSTITUTE(SUBSTITUTE(BC44," "&amp;DT2464&amp;" "," ")," "&amp;DT442&amp;" "," ")," "&amp;DT440&amp;" "," ")," "&amp;DT2447&amp;" "," ")," "&amp;DT2448&amp;" "," ")," "&amp;DT437&amp;" "," ")," "&amp;DT441&amp;" "," ")," "&amp;DT443&amp;" "," ")," "&amp;DT438&amp;" "," ")," "&amp;DT436&amp;" "," ")," "&amp;DT1376&amp;" "," ")," "&amp;DT444&amp;" "," ")," "&amp;DT1375&amp;" "," ")," "&amp;DT439&amp;" "," ")),"")</f>
        <v/>
      </c>
      <c r="BO44" s="493" t="str">
        <f>IF(35=35,IF(AW44="","",IF(BL44&gt;0,"X",IF(BM44&gt;0,"?",""))),"")</f>
        <v/>
      </c>
      <c r="BP44" s="493" t="str" cm="1">
        <f t="array" ref="BP44">IF(35=35,IF(AW44="","",SUMPRODUCT(--ISNUMBER(SEARCH(" "&amp;DT445:DT544&amp;" ",BZ44)))),"")</f>
        <v/>
      </c>
      <c r="BQ44" s="493" t="str" cm="1">
        <f t="array" ref="BQ44">IF(35=35,IF(AW44="","",SUMPRODUCT(--ISNUMBER(SEARCH(" "&amp;DT545:DT644&amp;" ",BZ44)))),"")</f>
        <v/>
      </c>
      <c r="BR44" s="493" t="str" cm="1">
        <f t="array" ref="BR44">IF(35=35,IF(AW44="","",SUMPRODUCT(--ISNUMBER(SEARCH(" "&amp;DT645:DT744&amp;" ",BZ44)))),"")</f>
        <v/>
      </c>
      <c r="BS44" s="493" t="str" cm="1">
        <f t="array" ref="BS44">IF(35=35,IF(AW44="","",SUMPRODUCT(--ISNUMBER(SEARCH(" "&amp;DT745:DT844&amp;" ",BZ44)))),"")</f>
        <v/>
      </c>
      <c r="BT44" s="493" t="str" cm="1">
        <f t="array" ref="BT44">IF(35=35,IF(AW44="","",SUMPRODUCT(--ISNUMBER(SEARCH(" "&amp;DT845:DT944&amp;" ",BZ44)))),"")</f>
        <v/>
      </c>
      <c r="BU44" s="493" t="str" cm="1">
        <f t="array" ref="BU44">IF(35=35,IF(AW44="","",SUMPRODUCT(--ISNUMBER(SEARCH(" "&amp;DT945:DT1044&amp;" ",BZ44)))),"")</f>
        <v/>
      </c>
      <c r="BV44" s="493" t="str" cm="1">
        <f t="array" ref="BV44">IF(35=35,IF(AW44="","",SUMPRODUCT(--ISNUMBER(SEARCH(" "&amp;DT1045:DT1144&amp;" ",BZ44)))),"")</f>
        <v/>
      </c>
      <c r="BW44" s="493" t="str" cm="1">
        <f t="array" ref="BW44">IF(35=35,IF(AW44="","",SUMPRODUCT(--ISNUMBER(SEARCH(" "&amp;DT1145:DT1244&amp;" ",BZ44)))),"")</f>
        <v/>
      </c>
      <c r="BX44" s="493" t="str" cm="1">
        <f t="array" ref="BX44">IF(35=35,IF(AW44="","",SUMPRODUCT(--ISNUMBER(SEARCH(" "&amp;DT1245:DT1344&amp;" ",BZ44)))),"")</f>
        <v/>
      </c>
      <c r="BY44" s="493" t="str" cm="1">
        <f t="array" ref="BY44">IF(35=35,IF(AW44="","",SUMPRODUCT(--ISNUMBER(SEARCH(" "&amp;DT1345:DT1372&amp;" ",BZ44)))),"")</f>
        <v/>
      </c>
      <c r="BZ44" s="493" t="str">
        <f>IF(35=35,IF(AW44="","",SUBSTITUTE(SUBSTITUTE(SUBSTITUTE(SUBSTITUTE(SUBSTITUTE(SUBSTITUTE(SUBSTITUTE(SUBSTITUTE(SUBSTITUTE(BC44," "&amp;DT1374&amp;" "," ")," "&amp;DT1373&amp;" "," ")," "&amp;DT1379&amp;" "," ")," "&amp;DT1380&amp;" "," ")," "&amp;DT1376&amp;" "," ")," "&amp;DT1378&amp;" "," ")," "&amp;DT1375&amp;" "," ")," "&amp;DT1377&amp;" "," ")," "&amp;DT1381&amp;" "," ")),"")</f>
        <v/>
      </c>
      <c r="CA44" s="493" t="str" cm="1">
        <f t="array" ref="CA44">IF(35=35,IF(AW44="","",SUMPRODUCT(--ISNUMBER(SEARCH(" "&amp;DT1382:DT1392&amp;" ",BZ44)))),"")</f>
        <v/>
      </c>
      <c r="CB44" s="493" t="str" cm="1">
        <f t="array" ref="CB44">IF(35=35,IF(AW44="","",IF(SUM(BP44:BY44)+SUMPRODUCT(--ISNUMBER(SEARCH(" "&amp;DT2430:DT2431&amp;" ",BZ44)))&gt;0,"X",IF(CA44&gt;0,"?",""))),"")</f>
        <v/>
      </c>
      <c r="CC44" s="493" t="str" cm="1">
        <f t="array" ref="CC44">IF(35=35,IF(AW44="","",SUMPRODUCT(--ISNUMBER(SEARCH(" "&amp;DT1393:DT1413&amp;" ",BC44)))),"")</f>
        <v/>
      </c>
      <c r="CD44" s="493" t="str">
        <f>IF(35=35,IF(AW44="","",IF((CC44)-(0)&gt;0,"X",IF((0)-(0)&gt;0,"?",""))),"")</f>
        <v/>
      </c>
      <c r="CE44" s="493" t="str" cm="1">
        <f t="array" ref="CE44">IF(35=35,IF(AW44="","",SUMPRODUCT(--ISNUMBER(SEARCH(" "&amp;DT1414:DT1451&amp;" ",CF44)))),"")</f>
        <v/>
      </c>
      <c r="CF44" s="493" t="str">
        <f>IF(35=35,IF(AW44="","",SUBSTITUTE(SUBSTITUTE(BC44," "&amp;DT1452&amp;" "," ")," "&amp;DT1453&amp;" "," ")),"")</f>
        <v/>
      </c>
      <c r="CG44" s="493" t="str" cm="1">
        <f t="array" ref="CG44">IF(35=35,IF(AW44="","",SUMPRODUCT(--ISNUMBER(SEARCH(" "&amp;DT1454:DT1464&amp;" ",CF44)))),"")</f>
        <v/>
      </c>
      <c r="CH44" s="493" t="str">
        <f>IF(35=35,IF(AW44="","",IF(CE44&gt;0,"X",IF(CG44&gt;0,"?",""))),"")</f>
        <v/>
      </c>
      <c r="CI44" s="493" t="str" cm="1">
        <f t="array" ref="CI44">IF(35=35,IF(AW44="","",SUMPRODUCT(--ISNUMBER(SEARCH(" "&amp;DT1465:DT1564&amp;" ",CL44)))),"")</f>
        <v/>
      </c>
      <c r="CJ44" s="493" t="str" cm="1">
        <f t="array" ref="CJ44">IF(35=35,IF(AW44="","",SUMPRODUCT(--ISNUMBER(SEARCH(" "&amp;DT1565:DT1664&amp;" ",CL44)))),"")</f>
        <v/>
      </c>
      <c r="CK44" s="493" t="str" cm="1">
        <f t="array" ref="CK44">IF(35=35,IF(AW44="","",SUMPRODUCT(--ISNUMBER(SEARCH(" "&amp;DT1665:DT1748&amp;" ",CL44)))),"")</f>
        <v/>
      </c>
      <c r="CL44" s="493" t="str">
        <f>IF(35=35,IF(AW44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44,"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44" s="493" t="str" cm="1">
        <f t="array" ref="CM44">IF(35=35,IF(AW44="","",SUMPRODUCT(--ISNUMBER(SEARCH(" "&amp;DT1799:DT1878&amp;" ",CN44)))+SUMPRODUCT(--ISNUMBER(SEARCH(" "&amp;DT2449:DT2462&amp;" ",CN44)))),"")</f>
        <v/>
      </c>
      <c r="CN44" s="493" t="str">
        <f>IF(35=35,IF(AW44="","",SUBSTITUTE(SUBSTITUTE(SUBSTITUTE(SUBSTITUTE(SUBSTITUTE(SUBSTITUTE(SUBSTITUTE(SUBSTITUTE(SUBSTITUTE(SUBSTITUTE(SUBSTITUTE(SUBSTITUTE(SUBSTITUTE(CL44," "&amp;DT1885&amp;" "," ")," "&amp;DT1883&amp;" "," ")," "&amp;DT2447&amp;" "," ")," "&amp;DT2448&amp;" "," ")," "&amp;DT1880&amp;" "," ")," "&amp;DT1884&amp;" "," ")," "&amp;DT1886&amp;" "," ")," "&amp;DT1881&amp;" "," ")," "&amp;DT1879&amp;" "," ")," "&amp;DT1376&amp;" "," ")," "&amp;DT1887&amp;" "," ")," "&amp;DT1375&amp;" "," ")," "&amp;DT1882&amp;" "," ")),"")</f>
        <v/>
      </c>
      <c r="CO44" s="493" t="str" cm="1">
        <f t="array" ref="CO44">IF(35=35,IF(AW44="","",IF(SUM(CI44:CK44)+SUMPRODUCT(--ISNUMBER(SEARCH(" "&amp;DT2432:DT2433&amp;" ",CL44)))&gt;0,"X",IF(CM44&gt;0,"?",""))),"")</f>
        <v/>
      </c>
      <c r="CP44" s="493" t="str" cm="1">
        <f t="array" ref="CP44">IF(35=35,IF(AW44="","",SUMPRODUCT(--ISNUMBER(SEARCH(" "&amp;DT1888:DT1945&amp;" ",CQ44)))),"")</f>
        <v/>
      </c>
      <c r="CQ44" s="493" t="str">
        <f>IF(35=35,IF(AW44="","",SUBSTITUTE(SUBSTITUTE(SUBSTITUTE(SUBSTITUTE(SUBSTITUTE(SUBSTITUTE(SUBSTITUTE(SUBSTITUTE(SUBSTITUTE(SUBSTITUTE(SUBSTITUTE(SUBSTITUTE(SUBSTITUTE(SUBSTITUTE(SUBSTITUTE(SUBSTITUTE(SUBSTITUTE(SUBSTITUTE(SUBSTITUTE(SUBSTITUTE(SUBSTITUTE(SUBSTITUTE(SUBSTITUTE(BC44,"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44" s="493" t="str" cm="1">
        <f t="array" ref="CR44">IF(35=35,IF(AW44="","",SUMPRODUCT(--ISNUMBER(SEARCH(" "&amp;DT1969:DT1985&amp;" ",CQ44)))),"")</f>
        <v/>
      </c>
      <c r="CS44" s="493" t="str">
        <f>IF(35=35,IF(AW44="","",IF(CP44&gt;0,"X",IF(CR44&gt;0,"?",""))),"")</f>
        <v/>
      </c>
      <c r="CT44" s="493" t="str" cm="1">
        <f t="array" ref="CT44">IF(35=35,IF(AW44="","",SUMPRODUCT(--ISNUMBER(SEARCH(" "&amp;DT1986:DT1999&amp;" ",BC44)))),"")</f>
        <v/>
      </c>
      <c r="CU44" s="493" t="str" cm="1">
        <f t="array" ref="CU44">IF(35=35,IF(AW44="","",SUMPRODUCT(--ISNUMBER(SEARCH(" "&amp;DT2000:DT2014&amp;" ",BC44)))),"")</f>
        <v/>
      </c>
      <c r="CV44" s="493" t="str">
        <f>IF(35=35,IF(AW44="","",IF((CT44)-(0)&gt;0,"X",IF((CU44)-(0)&gt;0,"?",""))),"")</f>
        <v/>
      </c>
      <c r="CW44" s="493" t="str" cm="1">
        <f t="array" ref="CW44">IF(35=35,IF(AW44="","",SUMPRODUCT(--ISNUMBER(SEARCH(" "&amp;DT2015:DT2032&amp;" ",BC44)))),"")</f>
        <v/>
      </c>
      <c r="CX44" s="493" t="str" cm="1">
        <f t="array" ref="CX44">IF(35=35,IF(AW44="","",SUMPRODUCT(--ISNUMBER(SEARCH(" "&amp;DT2033:DT2047&amp;" ",BC44)))),"")</f>
        <v/>
      </c>
      <c r="CY44" s="493" t="str">
        <f>IF(35=35,IF(AW44="","",IF((CW44)-(0)&gt;0,"X",IF((CX44)-(0)&gt;0,"?",""))),"")</f>
        <v/>
      </c>
      <c r="CZ44" s="493" t="str" cm="1">
        <f t="array" ref="CZ44">IF(35=35,IF(AW44="","",SUMPRODUCT(--ISNUMBER(SEARCH(" "&amp;DT2048:DT2066&amp;" ",BC44)))),"")</f>
        <v/>
      </c>
      <c r="DA44" s="493" t="str" cm="1">
        <f t="array" ref="DA44">IF(35=35,IF(AW44="","",SUMPRODUCT(--ISNUMBER(SEARCH(" "&amp;DT2067:DT2081&amp;" ",BC44)))),"")</f>
        <v/>
      </c>
      <c r="DB44" s="493" t="str">
        <f>IF(35=35,IF(AW44="","",IF((CZ44)-(0)&gt;0,"X",IF((DA44)-(0)&gt;0,"?",""))),"")</f>
        <v/>
      </c>
      <c r="DC44" s="493" t="str" cm="1">
        <f t="array" ref="DC44">IF(35=35,IF(AW44="","",SUMPRODUCT(--ISNUMBER(SEARCH(" "&amp;DT2082:DT2102&amp;" ",BC44)))),"")</f>
        <v/>
      </c>
      <c r="DD44" s="493" t="str" cm="1">
        <f t="array" ref="DD44">IF(35=35,IF(AW44="","",SUMPRODUCT(--ISNUMBER(SEARCH(" "&amp;DT2103:DT2142&amp;" ",SUBSTITUTE(SUBSTITUTE(BC44," "&amp;DT1376&amp;" "," ")," "&amp;DT1375&amp;" "," "))))+--ISNUMBER(SEARCH("poiré",AX44))),"")</f>
        <v/>
      </c>
      <c r="DE44" s="493" t="str">
        <f>IF(35=35,IF(AW44="","",IF(OR(DC44&gt;0,ISNUMBER(SEARCH(" vinaigre de vin ",BC44)),ISNUMBER(SEARCH(" vinaigre au vin ",BC44))),"X",IF(DD44&gt;0,"?",""))),"")</f>
        <v/>
      </c>
      <c r="DF44" s="493" t="str" cm="1">
        <f t="array" ref="DF44">IF(35=35,IF(AW44="","",SUMPRODUCT(--ISNUMBER(SEARCH(" "&amp;DT2143:DT2155&amp;" ",BC44)))),"")</f>
        <v/>
      </c>
      <c r="DG44" s="493" t="str" cm="1">
        <f t="array" ref="DG44">IF(35=35,IF(AW44="","",SUMPRODUCT(--ISNUMBER(SEARCH(" "&amp;DT2156:DT2161&amp;" ",BC44)))),"")</f>
        <v/>
      </c>
      <c r="DH44" s="493" t="str">
        <f>IF(35=35,IF(AW44="","",IF((DF44)-(0)&gt;0,"X",IF((DG44)-(0)&gt;0,"?",""))),"")</f>
        <v/>
      </c>
      <c r="DI44" s="493" t="str" cm="1">
        <f t="array" ref="DI44">IF(35=35,IF(AW44="","",SUMPRODUCT(--ISNUMBER(SEARCH(" "&amp;DT2162:DT2261&amp;" ",DL44)))),"")</f>
        <v/>
      </c>
      <c r="DJ44" s="493" t="str" cm="1">
        <f t="array" ref="DJ44">IF(35=35,IF(AW44="","",SUMPRODUCT(--ISNUMBER(SEARCH(" "&amp;DT2262:DT2361&amp;" ",DL44)))),"")</f>
        <v/>
      </c>
      <c r="DK44" s="493" t="str" cm="1">
        <f t="array" ref="DK44">IF(35=35,IF(AW44="","",SUMPRODUCT(--ISNUMBER(SEARCH(" "&amp;DT2362:DT2404&amp;" ",DL44)))),"")</f>
        <v/>
      </c>
      <c r="DL44" s="493" t="str">
        <f>IF(35=35,IF(AW44="","",SUBSTITUTE(SUBSTITUTE(SUBSTITUTE(SUBSTITUTE(SUBSTITUTE(SUBSTITUTE(SUBSTITUTE(SUBSTITUTE(SUBSTITUTE(SUBSTITUTE(SUBSTITUTE(SUBSTITUTE(SUBSTITUTE(SUBSTITUTE(SUBSTITUTE(SUBSTITUTE(BC44," "&amp;DT2410&amp;" "," ")," "&amp;DT2409&amp;" "," ")," "&amp;DT2408&amp;" "," ")," "&amp;DT2415&amp;" "," ")," "&amp;DT2407&amp;" "," ")," "&amp;DT2419&amp;" "," ")," "&amp;DT2406&amp;" "," ")," "&amp;DT2411&amp;" "," ")," "&amp;DT2414&amp;" "," ")," "&amp;DT2405&amp;" "," ")," "&amp;DT2413&amp;" "," ")," "&amp;DT2420&amp;" "," ")," "&amp;DT2417&amp;" "," ")," "&amp;DT2412&amp;" "," ")," "&amp;DT2416&amp;" "," ")," "&amp;DT2418&amp;" "," ")),"")</f>
        <v/>
      </c>
      <c r="DM44" s="493" t="str" cm="1">
        <f t="array" ref="DM44">IF(35=35,IF(AW44="","",SUMPRODUCT(--ISNUMBER(SEARCH(" "&amp;DT2421:DT2425&amp;" ",DL44)))),"")</f>
        <v/>
      </c>
      <c r="DN44" s="493" t="str">
        <f>IF(35=35,IF(AW44="","",IF(SUM(DI44:DK44)&gt;0,"X",IF(DM44&gt;0,"?",""))),"")</f>
        <v/>
      </c>
      <c r="DO44" s="494"/>
      <c r="DP44" s="496" t="s">
        <v>1204</v>
      </c>
      <c r="DQ44" s="496" t="s">
        <v>1083</v>
      </c>
      <c r="DR44" s="496" t="s">
        <v>689</v>
      </c>
      <c r="DS44" s="496" t="s">
        <v>897</v>
      </c>
      <c r="DT44" s="496" t="s">
        <v>897</v>
      </c>
      <c r="DU44" s="496" t="s">
        <v>1085</v>
      </c>
      <c r="DV44" s="496" t="s">
        <v>1086</v>
      </c>
      <c r="DW44" s="496" t="s">
        <v>1087</v>
      </c>
      <c r="DX44" s="497" t="s">
        <v>1088</v>
      </c>
      <c r="DZ44" s="543">
        <v>1</v>
      </c>
      <c r="EB44" s="493"/>
      <c r="EC44" s="493"/>
    </row>
    <row r="45" spans="5:133" ht="21" customHeight="1">
      <c r="E45" s="865" t="s">
        <v>737</v>
      </c>
      <c r="F45" s="877" t="str">
        <f>F12</f>
        <v>M MACÉDOINE DE LÉGUMES AU COULIS DE TOMATE | HORS D'ŒUVRE texture modifiée-cuidité-MACEDOINE| Auteur &gt; Annette et Jean Pierre DOMERGUES - 45000 ORLÉANS 1981</v>
      </c>
      <c r="G45" s="877">
        <f>G12</f>
        <v>10</v>
      </c>
      <c r="H45" s="878" t="str">
        <f>H12</f>
        <v>couverts</v>
      </c>
      <c r="I45" s="879" t="str">
        <f>I12</f>
        <v>Recette mère ►  Textures modifiées</v>
      </c>
      <c r="J45" s="889"/>
      <c r="K45" s="889"/>
      <c r="L45" s="891">
        <f>ROWS(P37:P45)</f>
        <v>9</v>
      </c>
      <c r="M45" s="889"/>
      <c r="N45" s="892" t="str">
        <f t="array" ref="N45">SUMPRODUCT(--(P45:W45&lt;&gt;""), LEN(TRIM(SUBSTITUTE(P45:W45, CHAR(160), "")))) &amp; " Car."</f>
        <v>44 Car.</v>
      </c>
      <c r="O45" s="893">
        <f>IF(ISBLANK(P45),"",LARGE(O36:O44,1)+1)</f>
        <v>8</v>
      </c>
      <c r="P45" s="886" t="s">
        <v>283</v>
      </c>
      <c r="Q45" s="886"/>
      <c r="R45" s="886"/>
      <c r="S45" s="886"/>
      <c r="T45" s="886"/>
      <c r="U45" s="886"/>
      <c r="V45" s="886"/>
      <c r="W45" s="886"/>
      <c r="X45" s="886"/>
      <c r="Y45" s="904"/>
      <c r="AA45" s="899"/>
      <c r="AC45" s="509">
        <v>30</v>
      </c>
      <c r="AD45" s="808"/>
      <c r="AE45" s="679" t="str">
        <f t="shared" si="3"/>
        <v/>
      </c>
      <c r="AF45" s="512" t="str">
        <f>IF(36=36,IF(AD45="","",IF(AG45="X",""&amp;"Céréales contenant du gluten","")&amp;IF(AH45="X",IF(COUNTIF(AG45:AG45,"X")&gt;0,", ","")&amp;"Crustacés","")&amp;IF(AI45="X",IF(COUNTIF(AG45:AH45,"X")&gt;0,", ","")&amp;"Œufs","")&amp;IF(AJ45="X",IF(COUNTIF(AG45:AI45,"X")&gt;0,", ","")&amp;"Poissons","")&amp;IF(AK45="X",IF(COUNTIF(AG45:AJ45,"X")&gt;0,", ","")&amp;"Arachides","")&amp;IF(AL45="X",IF(COUNTIF(AG45:AK45,"X")&gt;0,", ","")&amp;"Soja","")&amp;IF(AM45="X",IF(COUNTIF(AG45:AL45,"X")&gt;0,", ","")&amp;"Lait","")&amp;IF(AN45="X",IF(COUNTIF(AG45:AM45,"X")&gt;0,", ","")&amp;"Fruits à coque","")&amp;IF(AO45="X",IF(COUNTIF(AG45:AN45,"X")&gt;0,", ","")&amp;"Céleri","")&amp;IF(AP45="X",IF(COUNTIF(AG45:AO45,"X")&gt;0,", ","")&amp;"Moutarde","")&amp;IF(AQ45="X",IF(COUNTIF(AG45:AP45,"X")&gt;0,", ","")&amp;"Sésame","")&amp;IF(AR45="X",IF(COUNTIF(AG45:AQ45,"X")&gt;0,", ","")&amp;"Sulfites","")&amp;IF(AS45="X",IF(COUNTIF(AG45:AR45,"X")&gt;0,", ","")&amp;"Lupin","")&amp;IF(AT45="X",IF(COUNTIF(AG45:AS45,"X")&gt;0,", ","")&amp;"Mollusques","")),"")</f>
        <v/>
      </c>
      <c r="AG45" s="513" t="str">
        <f>IF(36=36,IF(AD45="","",BH45),"")</f>
        <v/>
      </c>
      <c r="AH45" s="513" t="str">
        <f>IF(36=36,IF(AD45="","",BK45),"")</f>
        <v/>
      </c>
      <c r="AI45" s="513" t="str">
        <f>IF(36=36,IF(AD45="","",BO45),"")</f>
        <v/>
      </c>
      <c r="AJ45" s="513" t="str">
        <f>IF(36=36,IF(AD45="","",IF(ISNUMBER(SEARCH(" colin ",BC45)),"X",CB45)),"")</f>
        <v/>
      </c>
      <c r="AK45" s="513" t="str">
        <f>IF(36=36,IF(AD45="","",CD45),"")</f>
        <v/>
      </c>
      <c r="AL45" s="513" t="str">
        <f>IF(36=36,IF(AD45="","",CH45),"")</f>
        <v/>
      </c>
      <c r="AM45" s="513" t="str">
        <f>IF(36=36,IF(AD45="","",CO45),"")</f>
        <v/>
      </c>
      <c r="AN45" s="513" t="str">
        <f>IF(36=36,IF(AD45="","",CS45),"")</f>
        <v/>
      </c>
      <c r="AO45" s="513" t="str">
        <f>IF(36=36,IF(AD45="","",CV45),"")</f>
        <v/>
      </c>
      <c r="AP45" s="513" t="str">
        <f>IF(36=36,IF(AD45="","",CY45),"")</f>
        <v/>
      </c>
      <c r="AQ45" s="513" t="str">
        <f>IF(36=36,IF(AD45="","",DB45),"")</f>
        <v/>
      </c>
      <c r="AR45" s="513" t="str">
        <f>IF(36=36,IF(AD45="","",DE45),"")</f>
        <v/>
      </c>
      <c r="AS45" s="513" t="str">
        <f>IF(36=36,IF(AD45="","",DH45),"")</f>
        <v/>
      </c>
      <c r="AT45" s="513" t="str">
        <f>IF(36=36,IF(AD45="","",DN45),"")</f>
        <v/>
      </c>
      <c r="AU45" s="514" t="str">
        <f>IF(36=36,IF(AD45="","",IF(AG45="?",""&amp;"Céréales contenant du gluten","")&amp;IF(AH45="?",IF(COUNTIF(AG45:AG45,"~?")&gt;0,", ","")&amp;"Crustacés","")&amp;IF(AI45="?",IF(COUNTIF(AG45:AH45,"~?")&gt;0,", ","")&amp;"Œufs","")&amp;IF(AJ45="?",IF(COUNTIF(AG45:AI45,"~?")&gt;0,", ","")&amp;"Poissons","")&amp;IF(AK45="?",IF(COUNTIF(AG45:AJ45,"~?")&gt;0,", ","")&amp;"Arachides","")&amp;IF(AL45="?",IF(COUNTIF(AG45:AK45,"~?")&gt;0,", ","")&amp;"Soja","")&amp;IF(AM45="?",IF(COUNTIF(AG45:AL45,"~?")&gt;0,", ","")&amp;"Lait","")&amp;IF(AN45="?",IF(COUNTIF(AG45:AM45,"~?")&gt;0,", ","")&amp;"Fruits à coque","")&amp;IF(AO45="?",IF(COUNTIF(AG45:AN45,"~?")&gt;0,", ","")&amp;"Céleri","")&amp;IF(AP45="?",IF(COUNTIF(AG45:AO45,"~?")&gt;0,", ","")&amp;"Moutarde","")&amp;IF(AQ45="?",IF(COUNTIF(AG45:AP45,"~?")&gt;0,", ","")&amp;"Sésame","")&amp;IF(AR45="?",IF(COUNTIF(AG45:AQ45,"~?")&gt;0,", ","")&amp;"Sulfites","")&amp;IF(AS45="?",IF(COUNTIF(AG45:AR45,"~?")&gt;0,", ","")&amp;"Lupin","")&amp;IF(AT45="?",IF(COUNTIF(AG45:AS45,"~?")&gt;0,", ","")&amp;"Mollusques","")),"")</f>
        <v/>
      </c>
      <c r="AW45" s="493" t="str">
        <f>IF(36=36,IF(AD45="","",AD45),"")</f>
        <v/>
      </c>
      <c r="AX45" s="493" t="str">
        <f>IF(36=36,LOWER(CLEAN(SUBSTITUTE(SUBSTITUTE(SUBSTITUTE(SUBSTITUTE(AW45,CHAR(160)," ")," "," "),CHAR(10)," "),CHAR(13)," "))),"")</f>
        <v/>
      </c>
      <c r="AY45" s="493" t="str">
        <f>IF(36=36,SUBSTITUTE(SUBSTITUTE(SUBSTITUTE(SUBSTITUTE(SUBSTITUTE(SUBSTITUTE(SUBSTITUTE(SUBSTITUTE(SUBSTITUTE(SUBSTITUTE(SUBSTITUTE(SUBSTITUTE(AX45,"œ","oe"),"æ","ae"),"à","a"),"á","a"),"â","a"),"ä","a"),"ã","a"),"ç","c"),"è","e"),"é","e"),"ê","e"),"ë","e"),"")</f>
        <v/>
      </c>
      <c r="AZ45" s="493" t="str">
        <f>IF(36=36,SUBSTITUTE(SUBSTITUTE(SUBSTITUTE(SUBSTITUTE(SUBSTITUTE(SUBSTITUTE(SUBSTITUTE(SUBSTITUTE(SUBSTITUTE(SUBSTITUTE(SUBSTITUTE(SUBSTITUTE(SUBSTITUTE(SUBSTITUTE(SUBSTITUTE(SUBSTITUTE(AY45,"ì","i"),"í","i"),"î","i"),"ï","i"),"ñ","n"),"ò","o"),"ó","o"),"ô","o"),"ö","o"),"õ","o"),"ù","u"),"ú","u"),"û","u"),"ü","u"),"ý","y"),"ÿ","y"),"")</f>
        <v/>
      </c>
      <c r="BA45" s="493" t="str">
        <f>IF(36=36,SUBSTITUTE(SUBSTITUTE(SUBSTITUTE(SUBSTITUTE(SUBSTITUTE(SUBSTITUTE(SUBSTITUTE(SUBSTITUTE(SUBSTITUTE(SUBSTITUTE(SUBSTITUTE(SUBSTITUTE(SUBSTITUTE(SUBSTITUTE(AZ45,"’"," "),"`"," "),"–"," "),"—"," "),"-"," "),"'"," "),"/"," "),"_"," "),","," "),"."," "),"("," "),")"," "),";"," "),":"," "),"")</f>
        <v/>
      </c>
      <c r="BB45" s="493" t="str">
        <f>IF(36=36,SUBSTITUTE(SUBSTITUTE(SUBSTITUTE(SUBSTITUTE(SUBSTITUTE(SUBSTITUTE(SUBSTITUTE(SUBSTITUTE(SUBSTITUTE(SUBSTITUTE(SUBSTITUTE(SUBSTITUTE(SUBSTITUTE(SUBSTITUTE(SUBSTITUTE(BA45,"!"," "),"?"," "),"+"," "),"*"," "),"&amp;"," "),"["," "),"]"," "),"{"," "),"}"," "),"%"," "),"="," "),"\"," "),"|"," "),"&lt;"," "),"&gt;"," "),"")</f>
        <v/>
      </c>
      <c r="BC45" s="493" t="str">
        <f>IF(36=36," "&amp;TRIM(SUBSTITUTE(SUBSTITUTE(SUBSTITUTE(SUBSTITUTE(SUBSTITUTE(SUBSTITUTE(BB45,CHAR(34)," "),"  "," "),"  "," "),"  "," "),"  "," "),"  "," "))&amp;" ","")</f>
        <v xml:space="preserve">  </v>
      </c>
      <c r="BD45" s="493" t="str" cm="1">
        <f t="array" ref="BD45">IF(36=36,IF(AW45="","",SUMPRODUCT(--ISNUMBER(SEARCH(" "&amp;DT11:DT110&amp;" ",BF45)))),"")</f>
        <v/>
      </c>
      <c r="BE45" s="493" t="str" cm="1">
        <f t="array" ref="BE45">IF(36=36,IF(AW45="","",SUMPRODUCT(--ISNUMBER(SEARCH(" "&amp;DT111:DT160&amp;" ",BF45)))),"")</f>
        <v/>
      </c>
      <c r="BF45" s="493" t="str">
        <f>IF(AW45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45,"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45" s="493" t="str" cm="1">
        <f t="array" ref="BG45">IF(AW45="","",SUMPRODUCT(--ISNUMBER(SEARCH(" "&amp;DT193:DT214&amp;" ",BF45)))+--ISNUMBER(SEARCH(" "&amp;DT2463&amp;" ",BF45)))</f>
        <v/>
      </c>
      <c r="BH45" s="493" t="str" cm="1">
        <f t="array" ref="BH45">IF(36=36,IF(AW45="","",IF(SUM(BD45:BE45)+SUMPRODUCT(--ISNUMBER(SEARCH(" "&amp;DT2427:DT2429&amp;" ",BF45)))&gt;0,"X",IF(BG45&gt;0,"?",""))),"")</f>
        <v/>
      </c>
      <c r="BI45" s="493" t="str" cm="1">
        <f t="array" ref="BI45">IF(36=36,IF(AW45="","",SUMPRODUCT(--ISNUMBER(SEARCH(" "&amp;DT215:DT314&amp;" ",BC45)))),"")</f>
        <v/>
      </c>
      <c r="BJ45" s="493" t="str" cm="1">
        <f t="array" ref="BJ45">IF(36=36,IF(AW45="","",SUMPRODUCT(--ISNUMBER(SEARCH(" "&amp;DT315:DT349&amp;" ",BC45)))),"")</f>
        <v/>
      </c>
      <c r="BK45" s="493" t="str">
        <f>IF(36=36,IF(AW45="","",IF((SUM(BI45:BJ45))-(0)&gt;0,"X",IF((0)-(0)&gt;0,"?",""))),"")</f>
        <v/>
      </c>
      <c r="BL45" s="493" t="str" cm="1">
        <f t="array" ref="BL45">IF(36=36,IF(AW45="","",SUMPRODUCT(--ISNUMBER(SEARCH(" "&amp;DT350:DT407&amp;" ",BC45)))),"")</f>
        <v/>
      </c>
      <c r="BM45" s="493" t="str" cm="1">
        <f t="array" ref="BM45">IF(36=36,IF(AW45="","",SUMPRODUCT(--ISNUMBER(SEARCH(" "&amp;DT408:DT435&amp;" ",BN45)))+SUMPRODUCT(--ISNUMBER(SEARCH(" "&amp;DT2449:DT2462&amp;" ",BN45)))),"")</f>
        <v/>
      </c>
      <c r="BN45" s="493" t="str">
        <f>IF(36=36,IF(AW45="","",SUBSTITUTE(SUBSTITUTE(SUBSTITUTE(SUBSTITUTE(SUBSTITUTE(SUBSTITUTE(SUBSTITUTE(SUBSTITUTE(SUBSTITUTE(SUBSTITUTE(SUBSTITUTE(SUBSTITUTE(SUBSTITUTE(SUBSTITUTE(BC45," "&amp;DT2464&amp;" "," ")," "&amp;DT442&amp;" "," ")," "&amp;DT440&amp;" "," ")," "&amp;DT2447&amp;" "," ")," "&amp;DT2448&amp;" "," ")," "&amp;DT437&amp;" "," ")," "&amp;DT441&amp;" "," ")," "&amp;DT443&amp;" "," ")," "&amp;DT438&amp;" "," ")," "&amp;DT436&amp;" "," ")," "&amp;DT1376&amp;" "," ")," "&amp;DT444&amp;" "," ")," "&amp;DT1375&amp;" "," ")," "&amp;DT439&amp;" "," ")),"")</f>
        <v/>
      </c>
      <c r="BO45" s="493" t="str">
        <f>IF(36=36,IF(AW45="","",IF(BL45&gt;0,"X",IF(BM45&gt;0,"?",""))),"")</f>
        <v/>
      </c>
      <c r="BP45" s="493" t="str" cm="1">
        <f t="array" ref="BP45">IF(36=36,IF(AW45="","",SUMPRODUCT(--ISNUMBER(SEARCH(" "&amp;DT445:DT544&amp;" ",BZ45)))),"")</f>
        <v/>
      </c>
      <c r="BQ45" s="493" t="str" cm="1">
        <f t="array" ref="BQ45">IF(36=36,IF(AW45="","",SUMPRODUCT(--ISNUMBER(SEARCH(" "&amp;DT545:DT644&amp;" ",BZ45)))),"")</f>
        <v/>
      </c>
      <c r="BR45" s="493" t="str" cm="1">
        <f t="array" ref="BR45">IF(36=36,IF(AW45="","",SUMPRODUCT(--ISNUMBER(SEARCH(" "&amp;DT645:DT744&amp;" ",BZ45)))),"")</f>
        <v/>
      </c>
      <c r="BS45" s="493" t="str" cm="1">
        <f t="array" ref="BS45">IF(36=36,IF(AW45="","",SUMPRODUCT(--ISNUMBER(SEARCH(" "&amp;DT745:DT844&amp;" ",BZ45)))),"")</f>
        <v/>
      </c>
      <c r="BT45" s="493" t="str" cm="1">
        <f t="array" ref="BT45">IF(36=36,IF(AW45="","",SUMPRODUCT(--ISNUMBER(SEARCH(" "&amp;DT845:DT944&amp;" ",BZ45)))),"")</f>
        <v/>
      </c>
      <c r="BU45" s="493" t="str" cm="1">
        <f t="array" ref="BU45">IF(36=36,IF(AW45="","",SUMPRODUCT(--ISNUMBER(SEARCH(" "&amp;DT945:DT1044&amp;" ",BZ45)))),"")</f>
        <v/>
      </c>
      <c r="BV45" s="493" t="str" cm="1">
        <f t="array" ref="BV45">IF(36=36,IF(AW45="","",SUMPRODUCT(--ISNUMBER(SEARCH(" "&amp;DT1045:DT1144&amp;" ",BZ45)))),"")</f>
        <v/>
      </c>
      <c r="BW45" s="493" t="str" cm="1">
        <f t="array" ref="BW45">IF(36=36,IF(AW45="","",SUMPRODUCT(--ISNUMBER(SEARCH(" "&amp;DT1145:DT1244&amp;" ",BZ45)))),"")</f>
        <v/>
      </c>
      <c r="BX45" s="493" t="str" cm="1">
        <f t="array" ref="BX45">IF(36=36,IF(AW45="","",SUMPRODUCT(--ISNUMBER(SEARCH(" "&amp;DT1245:DT1344&amp;" ",BZ45)))),"")</f>
        <v/>
      </c>
      <c r="BY45" s="493" t="str" cm="1">
        <f t="array" ref="BY45">IF(36=36,IF(AW45="","",SUMPRODUCT(--ISNUMBER(SEARCH(" "&amp;DT1345:DT1372&amp;" ",BZ45)))),"")</f>
        <v/>
      </c>
      <c r="BZ45" s="493" t="str">
        <f>IF(36=36,IF(AW45="","",SUBSTITUTE(SUBSTITUTE(SUBSTITUTE(SUBSTITUTE(SUBSTITUTE(SUBSTITUTE(SUBSTITUTE(SUBSTITUTE(SUBSTITUTE(BC45," "&amp;DT1374&amp;" "," ")," "&amp;DT1373&amp;" "," ")," "&amp;DT1379&amp;" "," ")," "&amp;DT1380&amp;" "," ")," "&amp;DT1376&amp;" "," ")," "&amp;DT1378&amp;" "," ")," "&amp;DT1375&amp;" "," ")," "&amp;DT1377&amp;" "," ")," "&amp;DT1381&amp;" "," ")),"")</f>
        <v/>
      </c>
      <c r="CA45" s="493" t="str" cm="1">
        <f t="array" ref="CA45">IF(36=36,IF(AW45="","",SUMPRODUCT(--ISNUMBER(SEARCH(" "&amp;DT1382:DT1392&amp;" ",BZ45)))),"")</f>
        <v/>
      </c>
      <c r="CB45" s="493" t="str" cm="1">
        <f t="array" ref="CB45">IF(36=36,IF(AW45="","",IF(SUM(BP45:BY45)+SUMPRODUCT(--ISNUMBER(SEARCH(" "&amp;DT2430:DT2431&amp;" ",BZ45)))&gt;0,"X",IF(CA45&gt;0,"?",""))),"")</f>
        <v/>
      </c>
      <c r="CC45" s="493" t="str" cm="1">
        <f t="array" ref="CC45">IF(36=36,IF(AW45="","",SUMPRODUCT(--ISNUMBER(SEARCH(" "&amp;DT1393:DT1413&amp;" ",BC45)))),"")</f>
        <v/>
      </c>
      <c r="CD45" s="493" t="str">
        <f>IF(36=36,IF(AW45="","",IF((CC45)-(0)&gt;0,"X",IF((0)-(0)&gt;0,"?",""))),"")</f>
        <v/>
      </c>
      <c r="CE45" s="493" t="str" cm="1">
        <f t="array" ref="CE45">IF(36=36,IF(AW45="","",SUMPRODUCT(--ISNUMBER(SEARCH(" "&amp;DT1414:DT1451&amp;" ",CF45)))),"")</f>
        <v/>
      </c>
      <c r="CF45" s="493" t="str">
        <f>IF(36=36,IF(AW45="","",SUBSTITUTE(SUBSTITUTE(BC45," "&amp;DT1452&amp;" "," ")," "&amp;DT1453&amp;" "," ")),"")</f>
        <v/>
      </c>
      <c r="CG45" s="493" t="str" cm="1">
        <f t="array" ref="CG45">IF(36=36,IF(AW45="","",SUMPRODUCT(--ISNUMBER(SEARCH(" "&amp;DT1454:DT1464&amp;" ",CF45)))),"")</f>
        <v/>
      </c>
      <c r="CH45" s="493" t="str">
        <f>IF(36=36,IF(AW45="","",IF(CE45&gt;0,"X",IF(CG45&gt;0,"?",""))),"")</f>
        <v/>
      </c>
      <c r="CI45" s="493" t="str" cm="1">
        <f t="array" ref="CI45">IF(36=36,IF(AW45="","",SUMPRODUCT(--ISNUMBER(SEARCH(" "&amp;DT1465:DT1564&amp;" ",CL45)))),"")</f>
        <v/>
      </c>
      <c r="CJ45" s="493" t="str" cm="1">
        <f t="array" ref="CJ45">IF(36=36,IF(AW45="","",SUMPRODUCT(--ISNUMBER(SEARCH(" "&amp;DT1565:DT1664&amp;" ",CL45)))),"")</f>
        <v/>
      </c>
      <c r="CK45" s="493" t="str" cm="1">
        <f t="array" ref="CK45">IF(36=36,IF(AW45="","",SUMPRODUCT(--ISNUMBER(SEARCH(" "&amp;DT1665:DT1748&amp;" ",CL45)))),"")</f>
        <v/>
      </c>
      <c r="CL45" s="493" t="str">
        <f>IF(36=36,IF(AW45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45,"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45" s="493" t="str" cm="1">
        <f t="array" ref="CM45">IF(36=36,IF(AW45="","",SUMPRODUCT(--ISNUMBER(SEARCH(" "&amp;DT1799:DT1878&amp;" ",CN45)))+SUMPRODUCT(--ISNUMBER(SEARCH(" "&amp;DT2449:DT2462&amp;" ",CN45)))),"")</f>
        <v/>
      </c>
      <c r="CN45" s="493" t="str">
        <f>IF(36=36,IF(AW45="","",SUBSTITUTE(SUBSTITUTE(SUBSTITUTE(SUBSTITUTE(SUBSTITUTE(SUBSTITUTE(SUBSTITUTE(SUBSTITUTE(SUBSTITUTE(SUBSTITUTE(SUBSTITUTE(SUBSTITUTE(SUBSTITUTE(CL45," "&amp;DT1885&amp;" "," ")," "&amp;DT1883&amp;" "," ")," "&amp;DT2447&amp;" "," ")," "&amp;DT2448&amp;" "," ")," "&amp;DT1880&amp;" "," ")," "&amp;DT1884&amp;" "," ")," "&amp;DT1886&amp;" "," ")," "&amp;DT1881&amp;" "," ")," "&amp;DT1879&amp;" "," ")," "&amp;DT1376&amp;" "," ")," "&amp;DT1887&amp;" "," ")," "&amp;DT1375&amp;" "," ")," "&amp;DT1882&amp;" "," ")),"")</f>
        <v/>
      </c>
      <c r="CO45" s="493" t="str" cm="1">
        <f t="array" ref="CO45">IF(36=36,IF(AW45="","",IF(SUM(CI45:CK45)+SUMPRODUCT(--ISNUMBER(SEARCH(" "&amp;DT2432:DT2433&amp;" ",CL45)))&gt;0,"X",IF(CM45&gt;0,"?",""))),"")</f>
        <v/>
      </c>
      <c r="CP45" s="493" t="str" cm="1">
        <f t="array" ref="CP45">IF(36=36,IF(AW45="","",SUMPRODUCT(--ISNUMBER(SEARCH(" "&amp;DT1888:DT1945&amp;" ",CQ45)))),"")</f>
        <v/>
      </c>
      <c r="CQ45" s="493" t="str">
        <f>IF(36=36,IF(AW45="","",SUBSTITUTE(SUBSTITUTE(SUBSTITUTE(SUBSTITUTE(SUBSTITUTE(SUBSTITUTE(SUBSTITUTE(SUBSTITUTE(SUBSTITUTE(SUBSTITUTE(SUBSTITUTE(SUBSTITUTE(SUBSTITUTE(SUBSTITUTE(SUBSTITUTE(SUBSTITUTE(SUBSTITUTE(SUBSTITUTE(SUBSTITUTE(SUBSTITUTE(SUBSTITUTE(SUBSTITUTE(SUBSTITUTE(BC45,"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45" s="493" t="str" cm="1">
        <f t="array" ref="CR45">IF(36=36,IF(AW45="","",SUMPRODUCT(--ISNUMBER(SEARCH(" "&amp;DT1969:DT1985&amp;" ",CQ45)))),"")</f>
        <v/>
      </c>
      <c r="CS45" s="493" t="str">
        <f>IF(36=36,IF(AW45="","",IF(CP45&gt;0,"X",IF(CR45&gt;0,"?",""))),"")</f>
        <v/>
      </c>
      <c r="CT45" s="493" t="str" cm="1">
        <f t="array" ref="CT45">IF(36=36,IF(AW45="","",SUMPRODUCT(--ISNUMBER(SEARCH(" "&amp;DT1986:DT1999&amp;" ",BC45)))),"")</f>
        <v/>
      </c>
      <c r="CU45" s="493" t="str" cm="1">
        <f t="array" ref="CU45">IF(36=36,IF(AW45="","",SUMPRODUCT(--ISNUMBER(SEARCH(" "&amp;DT2000:DT2014&amp;" ",BC45)))),"")</f>
        <v/>
      </c>
      <c r="CV45" s="493" t="str">
        <f>IF(36=36,IF(AW45="","",IF((CT45)-(0)&gt;0,"X",IF((CU45)-(0)&gt;0,"?",""))),"")</f>
        <v/>
      </c>
      <c r="CW45" s="493" t="str" cm="1">
        <f t="array" ref="CW45">IF(36=36,IF(AW45="","",SUMPRODUCT(--ISNUMBER(SEARCH(" "&amp;DT2015:DT2032&amp;" ",BC45)))),"")</f>
        <v/>
      </c>
      <c r="CX45" s="493" t="str" cm="1">
        <f t="array" ref="CX45">IF(36=36,IF(AW45="","",SUMPRODUCT(--ISNUMBER(SEARCH(" "&amp;DT2033:DT2047&amp;" ",BC45)))),"")</f>
        <v/>
      </c>
      <c r="CY45" s="493" t="str">
        <f>IF(36=36,IF(AW45="","",IF((CW45)-(0)&gt;0,"X",IF((CX45)-(0)&gt;0,"?",""))),"")</f>
        <v/>
      </c>
      <c r="CZ45" s="493" t="str" cm="1">
        <f t="array" ref="CZ45">IF(36=36,IF(AW45="","",SUMPRODUCT(--ISNUMBER(SEARCH(" "&amp;DT2048:DT2066&amp;" ",BC45)))),"")</f>
        <v/>
      </c>
      <c r="DA45" s="493" t="str" cm="1">
        <f t="array" ref="DA45">IF(36=36,IF(AW45="","",SUMPRODUCT(--ISNUMBER(SEARCH(" "&amp;DT2067:DT2081&amp;" ",BC45)))),"")</f>
        <v/>
      </c>
      <c r="DB45" s="493" t="str">
        <f>IF(36=36,IF(AW45="","",IF((CZ45)-(0)&gt;0,"X",IF((DA45)-(0)&gt;0,"?",""))),"")</f>
        <v/>
      </c>
      <c r="DC45" s="493" t="str" cm="1">
        <f t="array" ref="DC45">IF(36=36,IF(AW45="","",SUMPRODUCT(--ISNUMBER(SEARCH(" "&amp;DT2082:DT2102&amp;" ",BC45)))),"")</f>
        <v/>
      </c>
      <c r="DD45" s="493" t="str" cm="1">
        <f t="array" ref="DD45">IF(36=36,IF(AW45="","",SUMPRODUCT(--ISNUMBER(SEARCH(" "&amp;DT2103:DT2142&amp;" ",SUBSTITUTE(SUBSTITUTE(BC45," "&amp;DT1376&amp;" "," ")," "&amp;DT1375&amp;" "," "))))+--ISNUMBER(SEARCH("poiré",AX45))),"")</f>
        <v/>
      </c>
      <c r="DE45" s="493" t="str">
        <f>IF(36=36,IF(AW45="","",IF(OR(DC45&gt;0,ISNUMBER(SEARCH(" vinaigre de vin ",BC45)),ISNUMBER(SEARCH(" vinaigre au vin ",BC45))),"X",IF(DD45&gt;0,"?",""))),"")</f>
        <v/>
      </c>
      <c r="DF45" s="493" t="str" cm="1">
        <f t="array" ref="DF45">IF(36=36,IF(AW45="","",SUMPRODUCT(--ISNUMBER(SEARCH(" "&amp;DT2143:DT2155&amp;" ",BC45)))),"")</f>
        <v/>
      </c>
      <c r="DG45" s="493" t="str" cm="1">
        <f t="array" ref="DG45">IF(36=36,IF(AW45="","",SUMPRODUCT(--ISNUMBER(SEARCH(" "&amp;DT2156:DT2161&amp;" ",BC45)))),"")</f>
        <v/>
      </c>
      <c r="DH45" s="493" t="str">
        <f>IF(36=36,IF(AW45="","",IF((DF45)-(0)&gt;0,"X",IF((DG45)-(0)&gt;0,"?",""))),"")</f>
        <v/>
      </c>
      <c r="DI45" s="493" t="str" cm="1">
        <f t="array" ref="DI45">IF(36=36,IF(AW45="","",SUMPRODUCT(--ISNUMBER(SEARCH(" "&amp;DT2162:DT2261&amp;" ",DL45)))),"")</f>
        <v/>
      </c>
      <c r="DJ45" s="493" t="str" cm="1">
        <f t="array" ref="DJ45">IF(36=36,IF(AW45="","",SUMPRODUCT(--ISNUMBER(SEARCH(" "&amp;DT2262:DT2361&amp;" ",DL45)))),"")</f>
        <v/>
      </c>
      <c r="DK45" s="493" t="str" cm="1">
        <f t="array" ref="DK45">IF(36=36,IF(AW45="","",SUMPRODUCT(--ISNUMBER(SEARCH(" "&amp;DT2362:DT2404&amp;" ",DL45)))),"")</f>
        <v/>
      </c>
      <c r="DL45" s="493" t="str">
        <f>IF(36=36,IF(AW45="","",SUBSTITUTE(SUBSTITUTE(SUBSTITUTE(SUBSTITUTE(SUBSTITUTE(SUBSTITUTE(SUBSTITUTE(SUBSTITUTE(SUBSTITUTE(SUBSTITUTE(SUBSTITUTE(SUBSTITUTE(SUBSTITUTE(SUBSTITUTE(SUBSTITUTE(SUBSTITUTE(BC45," "&amp;DT2410&amp;" "," ")," "&amp;DT2409&amp;" "," ")," "&amp;DT2408&amp;" "," ")," "&amp;DT2415&amp;" "," ")," "&amp;DT2407&amp;" "," ")," "&amp;DT2419&amp;" "," ")," "&amp;DT2406&amp;" "," ")," "&amp;DT2411&amp;" "," ")," "&amp;DT2414&amp;" "," ")," "&amp;DT2405&amp;" "," ")," "&amp;DT2413&amp;" "," ")," "&amp;DT2420&amp;" "," ")," "&amp;DT2417&amp;" "," ")," "&amp;DT2412&amp;" "," ")," "&amp;DT2416&amp;" "," ")," "&amp;DT2418&amp;" "," ")),"")</f>
        <v/>
      </c>
      <c r="DM45" s="493" t="str" cm="1">
        <f t="array" ref="DM45">IF(36=36,IF(AW45="","",SUMPRODUCT(--ISNUMBER(SEARCH(" "&amp;DT2421:DT2425&amp;" ",DL45)))),"")</f>
        <v/>
      </c>
      <c r="DN45" s="493" t="str">
        <f>IF(36=36,IF(AW45="","",IF(SUM(DI45:DK45)&gt;0,"X",IF(DM45&gt;0,"?",""))),"")</f>
        <v/>
      </c>
      <c r="DO45" s="494"/>
      <c r="DP45" s="496" t="s">
        <v>1205</v>
      </c>
      <c r="DQ45" s="496" t="s">
        <v>1083</v>
      </c>
      <c r="DR45" s="496" t="s">
        <v>689</v>
      </c>
      <c r="DS45" s="496" t="s">
        <v>1206</v>
      </c>
      <c r="DT45" s="496" t="s">
        <v>312</v>
      </c>
      <c r="DU45" s="496" t="s">
        <v>1085</v>
      </c>
      <c r="DV45" s="496" t="s">
        <v>1086</v>
      </c>
      <c r="DW45" s="496" t="s">
        <v>1087</v>
      </c>
      <c r="DX45" s="497" t="s">
        <v>1088</v>
      </c>
      <c r="DZ45" s="543">
        <v>1</v>
      </c>
      <c r="EB45" s="493"/>
      <c r="EC45" s="493"/>
    </row>
    <row r="46" spans="5:133" ht="21" customHeight="1">
      <c r="E46" s="865" t="s">
        <v>737</v>
      </c>
      <c r="F46" s="877" t="str">
        <f>F12</f>
        <v>M MACÉDOINE DE LÉGUMES AU COULIS DE TOMATE | HORS D'ŒUVRE texture modifiée-cuidité-MACEDOINE| Auteur &gt; Annette et Jean Pierre DOMERGUES - 45000 ORLÉANS 1981</v>
      </c>
      <c r="G46" s="877">
        <f>G12</f>
        <v>10</v>
      </c>
      <c r="H46" s="878" t="str">
        <f>H12</f>
        <v>couverts</v>
      </c>
      <c r="I46" s="879" t="str">
        <f>I12</f>
        <v>Recette mère ►  Textures modifiées</v>
      </c>
      <c r="J46" s="889"/>
      <c r="K46" s="889"/>
      <c r="L46" s="891">
        <f>ROWS(P37:P46)</f>
        <v>10</v>
      </c>
      <c r="M46" s="889"/>
      <c r="N46" s="892" t="str">
        <f t="array" ref="N46">SUMPRODUCT(--(P46:W46&lt;&gt;""), LEN(TRIM(SUBSTITUTE(P46:W46, CHAR(160), "")))) &amp; " Car."</f>
        <v>52 Car.</v>
      </c>
      <c r="O46" s="893">
        <f>IF(ISBLANK(P46),"",LARGE(O36:O45,1)+1)</f>
        <v>9</v>
      </c>
      <c r="P46" s="886" t="s">
        <v>285</v>
      </c>
      <c r="Q46" s="886"/>
      <c r="R46" s="886"/>
      <c r="S46" s="886"/>
      <c r="T46" s="886"/>
      <c r="U46" s="886"/>
      <c r="V46" s="886"/>
      <c r="W46" s="886"/>
      <c r="X46" s="886"/>
      <c r="Y46" s="904"/>
      <c r="AA46" s="899"/>
      <c r="AC46" s="509">
        <v>31</v>
      </c>
      <c r="AD46" s="808"/>
      <c r="AE46" s="679" t="str">
        <f t="shared" si="3"/>
        <v/>
      </c>
      <c r="AF46" s="512" t="str">
        <f>IF(37=37,IF(AD46="","",IF(AG46="X",""&amp;"Céréales contenant du gluten","")&amp;IF(AH46="X",IF(COUNTIF(AG46:AG46,"X")&gt;0,", ","")&amp;"Crustacés","")&amp;IF(AI46="X",IF(COUNTIF(AG46:AH46,"X")&gt;0,", ","")&amp;"Œufs","")&amp;IF(AJ46="X",IF(COUNTIF(AG46:AI46,"X")&gt;0,", ","")&amp;"Poissons","")&amp;IF(AK46="X",IF(COUNTIF(AG46:AJ46,"X")&gt;0,", ","")&amp;"Arachides","")&amp;IF(AL46="X",IF(COUNTIF(AG46:AK46,"X")&gt;0,", ","")&amp;"Soja","")&amp;IF(AM46="X",IF(COUNTIF(AG46:AL46,"X")&gt;0,", ","")&amp;"Lait","")&amp;IF(AN46="X",IF(COUNTIF(AG46:AM46,"X")&gt;0,", ","")&amp;"Fruits à coque","")&amp;IF(AO46="X",IF(COUNTIF(AG46:AN46,"X")&gt;0,", ","")&amp;"Céleri","")&amp;IF(AP46="X",IF(COUNTIF(AG46:AO46,"X")&gt;0,", ","")&amp;"Moutarde","")&amp;IF(AQ46="X",IF(COUNTIF(AG46:AP46,"X")&gt;0,", ","")&amp;"Sésame","")&amp;IF(AR46="X",IF(COUNTIF(AG46:AQ46,"X")&gt;0,", ","")&amp;"Sulfites","")&amp;IF(AS46="X",IF(COUNTIF(AG46:AR46,"X")&gt;0,", ","")&amp;"Lupin","")&amp;IF(AT46="X",IF(COUNTIF(AG46:AS46,"X")&gt;0,", ","")&amp;"Mollusques","")),"")</f>
        <v/>
      </c>
      <c r="AG46" s="513" t="str">
        <f>IF(37=37,IF(AD46="","",BH46),"")</f>
        <v/>
      </c>
      <c r="AH46" s="513" t="str">
        <f>IF(37=37,IF(AD46="","",BK46),"")</f>
        <v/>
      </c>
      <c r="AI46" s="513" t="str">
        <f>IF(37=37,IF(AD46="","",BO46),"")</f>
        <v/>
      </c>
      <c r="AJ46" s="513" t="str">
        <f>IF(37=37,IF(AD46="","",IF(ISNUMBER(SEARCH(" colin ",BC46)),"X",CB46)),"")</f>
        <v/>
      </c>
      <c r="AK46" s="513" t="str">
        <f>IF(37=37,IF(AD46="","",CD46),"")</f>
        <v/>
      </c>
      <c r="AL46" s="513" t="str">
        <f>IF(37=37,IF(AD46="","",CH46),"")</f>
        <v/>
      </c>
      <c r="AM46" s="513" t="str">
        <f>IF(37=37,IF(AD46="","",CO46),"")</f>
        <v/>
      </c>
      <c r="AN46" s="513" t="str">
        <f>IF(37=37,IF(AD46="","",CS46),"")</f>
        <v/>
      </c>
      <c r="AO46" s="513" t="str">
        <f>IF(37=37,IF(AD46="","",CV46),"")</f>
        <v/>
      </c>
      <c r="AP46" s="513" t="str">
        <f>IF(37=37,IF(AD46="","",CY46),"")</f>
        <v/>
      </c>
      <c r="AQ46" s="513" t="str">
        <f>IF(37=37,IF(AD46="","",DB46),"")</f>
        <v/>
      </c>
      <c r="AR46" s="513" t="str">
        <f>IF(37=37,IF(AD46="","",DE46),"")</f>
        <v/>
      </c>
      <c r="AS46" s="513" t="str">
        <f>IF(37=37,IF(AD46="","",DH46),"")</f>
        <v/>
      </c>
      <c r="AT46" s="513" t="str">
        <f>IF(37=37,IF(AD46="","",DN46),"")</f>
        <v/>
      </c>
      <c r="AU46" s="514" t="str">
        <f>IF(37=37,IF(AD46="","",IF(AG46="?",""&amp;"Céréales contenant du gluten","")&amp;IF(AH46="?",IF(COUNTIF(AG46:AG46,"~?")&gt;0,", ","")&amp;"Crustacés","")&amp;IF(AI46="?",IF(COUNTIF(AG46:AH46,"~?")&gt;0,", ","")&amp;"Œufs","")&amp;IF(AJ46="?",IF(COUNTIF(AG46:AI46,"~?")&gt;0,", ","")&amp;"Poissons","")&amp;IF(AK46="?",IF(COUNTIF(AG46:AJ46,"~?")&gt;0,", ","")&amp;"Arachides","")&amp;IF(AL46="?",IF(COUNTIF(AG46:AK46,"~?")&gt;0,", ","")&amp;"Soja","")&amp;IF(AM46="?",IF(COUNTIF(AG46:AL46,"~?")&gt;0,", ","")&amp;"Lait","")&amp;IF(AN46="?",IF(COUNTIF(AG46:AM46,"~?")&gt;0,", ","")&amp;"Fruits à coque","")&amp;IF(AO46="?",IF(COUNTIF(AG46:AN46,"~?")&gt;0,", ","")&amp;"Céleri","")&amp;IF(AP46="?",IF(COUNTIF(AG46:AO46,"~?")&gt;0,", ","")&amp;"Moutarde","")&amp;IF(AQ46="?",IF(COUNTIF(AG46:AP46,"~?")&gt;0,", ","")&amp;"Sésame","")&amp;IF(AR46="?",IF(COUNTIF(AG46:AQ46,"~?")&gt;0,", ","")&amp;"Sulfites","")&amp;IF(AS46="?",IF(COUNTIF(AG46:AR46,"~?")&gt;0,", ","")&amp;"Lupin","")&amp;IF(AT46="?",IF(COUNTIF(AG46:AS46,"~?")&gt;0,", ","")&amp;"Mollusques","")),"")</f>
        <v/>
      </c>
      <c r="AW46" s="493" t="str">
        <f>IF(37=37,IF(AD46="","",AD46),"")</f>
        <v/>
      </c>
      <c r="AX46" s="493" t="str">
        <f>IF(37=37,LOWER(CLEAN(SUBSTITUTE(SUBSTITUTE(SUBSTITUTE(SUBSTITUTE(AW46,CHAR(160)," ")," "," "),CHAR(10)," "),CHAR(13)," "))),"")</f>
        <v/>
      </c>
      <c r="AY46" s="493" t="str">
        <f>IF(37=37,SUBSTITUTE(SUBSTITUTE(SUBSTITUTE(SUBSTITUTE(SUBSTITUTE(SUBSTITUTE(SUBSTITUTE(SUBSTITUTE(SUBSTITUTE(SUBSTITUTE(SUBSTITUTE(SUBSTITUTE(AX46,"œ","oe"),"æ","ae"),"à","a"),"á","a"),"â","a"),"ä","a"),"ã","a"),"ç","c"),"è","e"),"é","e"),"ê","e"),"ë","e"),"")</f>
        <v/>
      </c>
      <c r="AZ46" s="493" t="str">
        <f>IF(37=37,SUBSTITUTE(SUBSTITUTE(SUBSTITUTE(SUBSTITUTE(SUBSTITUTE(SUBSTITUTE(SUBSTITUTE(SUBSTITUTE(SUBSTITUTE(SUBSTITUTE(SUBSTITUTE(SUBSTITUTE(SUBSTITUTE(SUBSTITUTE(SUBSTITUTE(SUBSTITUTE(AY46,"ì","i"),"í","i"),"î","i"),"ï","i"),"ñ","n"),"ò","o"),"ó","o"),"ô","o"),"ö","o"),"õ","o"),"ù","u"),"ú","u"),"û","u"),"ü","u"),"ý","y"),"ÿ","y"),"")</f>
        <v/>
      </c>
      <c r="BA46" s="493" t="str">
        <f>IF(37=37,SUBSTITUTE(SUBSTITUTE(SUBSTITUTE(SUBSTITUTE(SUBSTITUTE(SUBSTITUTE(SUBSTITUTE(SUBSTITUTE(SUBSTITUTE(SUBSTITUTE(SUBSTITUTE(SUBSTITUTE(SUBSTITUTE(SUBSTITUTE(AZ46,"’"," "),"`"," "),"–"," "),"—"," "),"-"," "),"'"," "),"/"," "),"_"," "),","," "),"."," "),"("," "),")"," "),";"," "),":"," "),"")</f>
        <v/>
      </c>
      <c r="BB46" s="493" t="str">
        <f>IF(37=37,SUBSTITUTE(SUBSTITUTE(SUBSTITUTE(SUBSTITUTE(SUBSTITUTE(SUBSTITUTE(SUBSTITUTE(SUBSTITUTE(SUBSTITUTE(SUBSTITUTE(SUBSTITUTE(SUBSTITUTE(SUBSTITUTE(SUBSTITUTE(SUBSTITUTE(BA46,"!"," "),"?"," "),"+"," "),"*"," "),"&amp;"," "),"["," "),"]"," "),"{"," "),"}"," "),"%"," "),"="," "),"\"," "),"|"," "),"&lt;"," "),"&gt;"," "),"")</f>
        <v/>
      </c>
      <c r="BC46" s="493" t="str">
        <f>IF(37=37," "&amp;TRIM(SUBSTITUTE(SUBSTITUTE(SUBSTITUTE(SUBSTITUTE(SUBSTITUTE(SUBSTITUTE(BB46,CHAR(34)," "),"  "," "),"  "," "),"  "," "),"  "," "),"  "," "))&amp;" ","")</f>
        <v xml:space="preserve">  </v>
      </c>
      <c r="BD46" s="493" t="str" cm="1">
        <f t="array" ref="BD46">IF(37=37,IF(AW46="","",SUMPRODUCT(--ISNUMBER(SEARCH(" "&amp;DT11:DT110&amp;" ",BF46)))),"")</f>
        <v/>
      </c>
      <c r="BE46" s="493" t="str" cm="1">
        <f t="array" ref="BE46">IF(37=37,IF(AW46="","",SUMPRODUCT(--ISNUMBER(SEARCH(" "&amp;DT111:DT160&amp;" ",BF46)))),"")</f>
        <v/>
      </c>
      <c r="BF46" s="493" t="str">
        <f>IF(AW46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46,"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46" s="493" t="str" cm="1">
        <f t="array" ref="BG46">IF(AW46="","",SUMPRODUCT(--ISNUMBER(SEARCH(" "&amp;DT193:DT214&amp;" ",BF46)))+--ISNUMBER(SEARCH(" "&amp;DT2463&amp;" ",BF46)))</f>
        <v/>
      </c>
      <c r="BH46" s="493" t="str" cm="1">
        <f t="array" ref="BH46">IF(37=37,IF(AW46="","",IF(SUM(BD46:BE46)+SUMPRODUCT(--ISNUMBER(SEARCH(" "&amp;DT2427:DT2429&amp;" ",BF46)))&gt;0,"X",IF(BG46&gt;0,"?",""))),"")</f>
        <v/>
      </c>
      <c r="BI46" s="493" t="str" cm="1">
        <f t="array" ref="BI46">IF(37=37,IF(AW46="","",SUMPRODUCT(--ISNUMBER(SEARCH(" "&amp;DT215:DT314&amp;" ",BC46)))),"")</f>
        <v/>
      </c>
      <c r="BJ46" s="493" t="str" cm="1">
        <f t="array" ref="BJ46">IF(37=37,IF(AW46="","",SUMPRODUCT(--ISNUMBER(SEARCH(" "&amp;DT315:DT349&amp;" ",BC46)))),"")</f>
        <v/>
      </c>
      <c r="BK46" s="493" t="str">
        <f>IF(37=37,IF(AW46="","",IF((SUM(BI46:BJ46))-(0)&gt;0,"X",IF((0)-(0)&gt;0,"?",""))),"")</f>
        <v/>
      </c>
      <c r="BL46" s="493" t="str" cm="1">
        <f t="array" ref="BL46">IF(37=37,IF(AW46="","",SUMPRODUCT(--ISNUMBER(SEARCH(" "&amp;DT350:DT407&amp;" ",BC46)))),"")</f>
        <v/>
      </c>
      <c r="BM46" s="493" t="str" cm="1">
        <f t="array" ref="BM46">IF(37=37,IF(AW46="","",SUMPRODUCT(--ISNUMBER(SEARCH(" "&amp;DT408:DT435&amp;" ",BN46)))+SUMPRODUCT(--ISNUMBER(SEARCH(" "&amp;DT2449:DT2462&amp;" ",BN46)))),"")</f>
        <v/>
      </c>
      <c r="BN46" s="493" t="str">
        <f>IF(37=37,IF(AW46="","",SUBSTITUTE(SUBSTITUTE(SUBSTITUTE(SUBSTITUTE(SUBSTITUTE(SUBSTITUTE(SUBSTITUTE(SUBSTITUTE(SUBSTITUTE(SUBSTITUTE(SUBSTITUTE(SUBSTITUTE(SUBSTITUTE(SUBSTITUTE(BC46," "&amp;DT2464&amp;" "," ")," "&amp;DT442&amp;" "," ")," "&amp;DT440&amp;" "," ")," "&amp;DT2447&amp;" "," ")," "&amp;DT2448&amp;" "," ")," "&amp;DT437&amp;" "," ")," "&amp;DT441&amp;" "," ")," "&amp;DT443&amp;" "," ")," "&amp;DT438&amp;" "," ")," "&amp;DT436&amp;" "," ")," "&amp;DT1376&amp;" "," ")," "&amp;DT444&amp;" "," ")," "&amp;DT1375&amp;" "," ")," "&amp;DT439&amp;" "," ")),"")</f>
        <v/>
      </c>
      <c r="BO46" s="493" t="str">
        <f>IF(37=37,IF(AW46="","",IF(BL46&gt;0,"X",IF(BM46&gt;0,"?",""))),"")</f>
        <v/>
      </c>
      <c r="BP46" s="493" t="str" cm="1">
        <f t="array" ref="BP46">IF(37=37,IF(AW46="","",SUMPRODUCT(--ISNUMBER(SEARCH(" "&amp;DT445:DT544&amp;" ",BZ46)))),"")</f>
        <v/>
      </c>
      <c r="BQ46" s="493" t="str" cm="1">
        <f t="array" ref="BQ46">IF(37=37,IF(AW46="","",SUMPRODUCT(--ISNUMBER(SEARCH(" "&amp;DT545:DT644&amp;" ",BZ46)))),"")</f>
        <v/>
      </c>
      <c r="BR46" s="493" t="str" cm="1">
        <f t="array" ref="BR46">IF(37=37,IF(AW46="","",SUMPRODUCT(--ISNUMBER(SEARCH(" "&amp;DT645:DT744&amp;" ",BZ46)))),"")</f>
        <v/>
      </c>
      <c r="BS46" s="493" t="str" cm="1">
        <f t="array" ref="BS46">IF(37=37,IF(AW46="","",SUMPRODUCT(--ISNUMBER(SEARCH(" "&amp;DT745:DT844&amp;" ",BZ46)))),"")</f>
        <v/>
      </c>
      <c r="BT46" s="493" t="str" cm="1">
        <f t="array" ref="BT46">IF(37=37,IF(AW46="","",SUMPRODUCT(--ISNUMBER(SEARCH(" "&amp;DT845:DT944&amp;" ",BZ46)))),"")</f>
        <v/>
      </c>
      <c r="BU46" s="493" t="str" cm="1">
        <f t="array" ref="BU46">IF(37=37,IF(AW46="","",SUMPRODUCT(--ISNUMBER(SEARCH(" "&amp;DT945:DT1044&amp;" ",BZ46)))),"")</f>
        <v/>
      </c>
      <c r="BV46" s="493" t="str" cm="1">
        <f t="array" ref="BV46">IF(37=37,IF(AW46="","",SUMPRODUCT(--ISNUMBER(SEARCH(" "&amp;DT1045:DT1144&amp;" ",BZ46)))),"")</f>
        <v/>
      </c>
      <c r="BW46" s="493" t="str" cm="1">
        <f t="array" ref="BW46">IF(37=37,IF(AW46="","",SUMPRODUCT(--ISNUMBER(SEARCH(" "&amp;DT1145:DT1244&amp;" ",BZ46)))),"")</f>
        <v/>
      </c>
      <c r="BX46" s="493" t="str" cm="1">
        <f t="array" ref="BX46">IF(37=37,IF(AW46="","",SUMPRODUCT(--ISNUMBER(SEARCH(" "&amp;DT1245:DT1344&amp;" ",BZ46)))),"")</f>
        <v/>
      </c>
      <c r="BY46" s="493" t="str" cm="1">
        <f t="array" ref="BY46">IF(37=37,IF(AW46="","",SUMPRODUCT(--ISNUMBER(SEARCH(" "&amp;DT1345:DT1372&amp;" ",BZ46)))),"")</f>
        <v/>
      </c>
      <c r="BZ46" s="493" t="str">
        <f>IF(37=37,IF(AW46="","",SUBSTITUTE(SUBSTITUTE(SUBSTITUTE(SUBSTITUTE(SUBSTITUTE(SUBSTITUTE(SUBSTITUTE(SUBSTITUTE(SUBSTITUTE(BC46," "&amp;DT1374&amp;" "," ")," "&amp;DT1373&amp;" "," ")," "&amp;DT1379&amp;" "," ")," "&amp;DT1380&amp;" "," ")," "&amp;DT1376&amp;" "," ")," "&amp;DT1378&amp;" "," ")," "&amp;DT1375&amp;" "," ")," "&amp;DT1377&amp;" "," ")," "&amp;DT1381&amp;" "," ")),"")</f>
        <v/>
      </c>
      <c r="CA46" s="493" t="str" cm="1">
        <f t="array" ref="CA46">IF(37=37,IF(AW46="","",SUMPRODUCT(--ISNUMBER(SEARCH(" "&amp;DT1382:DT1392&amp;" ",BZ46)))),"")</f>
        <v/>
      </c>
      <c r="CB46" s="493" t="str" cm="1">
        <f t="array" ref="CB46">IF(37=37,IF(AW46="","",IF(SUM(BP46:BY46)+SUMPRODUCT(--ISNUMBER(SEARCH(" "&amp;DT2430:DT2431&amp;" ",BZ46)))&gt;0,"X",IF(CA46&gt;0,"?",""))),"")</f>
        <v/>
      </c>
      <c r="CC46" s="493" t="str" cm="1">
        <f t="array" ref="CC46">IF(37=37,IF(AW46="","",SUMPRODUCT(--ISNUMBER(SEARCH(" "&amp;DT1393:DT1413&amp;" ",BC46)))),"")</f>
        <v/>
      </c>
      <c r="CD46" s="493" t="str">
        <f>IF(37=37,IF(AW46="","",IF((CC46)-(0)&gt;0,"X",IF((0)-(0)&gt;0,"?",""))),"")</f>
        <v/>
      </c>
      <c r="CE46" s="493" t="str" cm="1">
        <f t="array" ref="CE46">IF(37=37,IF(AW46="","",SUMPRODUCT(--ISNUMBER(SEARCH(" "&amp;DT1414:DT1451&amp;" ",CF46)))),"")</f>
        <v/>
      </c>
      <c r="CF46" s="493" t="str">
        <f>IF(37=37,IF(AW46="","",SUBSTITUTE(SUBSTITUTE(BC46," "&amp;DT1452&amp;" "," ")," "&amp;DT1453&amp;" "," ")),"")</f>
        <v/>
      </c>
      <c r="CG46" s="493" t="str" cm="1">
        <f t="array" ref="CG46">IF(37=37,IF(AW46="","",SUMPRODUCT(--ISNUMBER(SEARCH(" "&amp;DT1454:DT1464&amp;" ",CF46)))),"")</f>
        <v/>
      </c>
      <c r="CH46" s="493" t="str">
        <f>IF(37=37,IF(AW46="","",IF(CE46&gt;0,"X",IF(CG46&gt;0,"?",""))),"")</f>
        <v/>
      </c>
      <c r="CI46" s="493" t="str" cm="1">
        <f t="array" ref="CI46">IF(37=37,IF(AW46="","",SUMPRODUCT(--ISNUMBER(SEARCH(" "&amp;DT1465:DT1564&amp;" ",CL46)))),"")</f>
        <v/>
      </c>
      <c r="CJ46" s="493" t="str" cm="1">
        <f t="array" ref="CJ46">IF(37=37,IF(AW46="","",SUMPRODUCT(--ISNUMBER(SEARCH(" "&amp;DT1565:DT1664&amp;" ",CL46)))),"")</f>
        <v/>
      </c>
      <c r="CK46" s="493" t="str" cm="1">
        <f t="array" ref="CK46">IF(37=37,IF(AW46="","",SUMPRODUCT(--ISNUMBER(SEARCH(" "&amp;DT1665:DT1748&amp;" ",CL46)))),"")</f>
        <v/>
      </c>
      <c r="CL46" s="493" t="str">
        <f>IF(37=37,IF(AW46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46,"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46" s="493" t="str" cm="1">
        <f t="array" ref="CM46">IF(37=37,IF(AW46="","",SUMPRODUCT(--ISNUMBER(SEARCH(" "&amp;DT1799:DT1878&amp;" ",CN46)))+SUMPRODUCT(--ISNUMBER(SEARCH(" "&amp;DT2449:DT2462&amp;" ",CN46)))),"")</f>
        <v/>
      </c>
      <c r="CN46" s="493" t="str">
        <f>IF(37=37,IF(AW46="","",SUBSTITUTE(SUBSTITUTE(SUBSTITUTE(SUBSTITUTE(SUBSTITUTE(SUBSTITUTE(SUBSTITUTE(SUBSTITUTE(SUBSTITUTE(SUBSTITUTE(SUBSTITUTE(SUBSTITUTE(SUBSTITUTE(CL46," "&amp;DT1885&amp;" "," ")," "&amp;DT1883&amp;" "," ")," "&amp;DT2447&amp;" "," ")," "&amp;DT2448&amp;" "," ")," "&amp;DT1880&amp;" "," ")," "&amp;DT1884&amp;" "," ")," "&amp;DT1886&amp;" "," ")," "&amp;DT1881&amp;" "," ")," "&amp;DT1879&amp;" "," ")," "&amp;DT1376&amp;" "," ")," "&amp;DT1887&amp;" "," ")," "&amp;DT1375&amp;" "," ")," "&amp;DT1882&amp;" "," ")),"")</f>
        <v/>
      </c>
      <c r="CO46" s="493" t="str" cm="1">
        <f t="array" ref="CO46">IF(37=37,IF(AW46="","",IF(SUM(CI46:CK46)+SUMPRODUCT(--ISNUMBER(SEARCH(" "&amp;DT2432:DT2433&amp;" ",CL46)))&gt;0,"X",IF(CM46&gt;0,"?",""))),"")</f>
        <v/>
      </c>
      <c r="CP46" s="493" t="str" cm="1">
        <f t="array" ref="CP46">IF(37=37,IF(AW46="","",SUMPRODUCT(--ISNUMBER(SEARCH(" "&amp;DT1888:DT1945&amp;" ",CQ46)))),"")</f>
        <v/>
      </c>
      <c r="CQ46" s="493" t="str">
        <f>IF(37=37,IF(AW46="","",SUBSTITUTE(SUBSTITUTE(SUBSTITUTE(SUBSTITUTE(SUBSTITUTE(SUBSTITUTE(SUBSTITUTE(SUBSTITUTE(SUBSTITUTE(SUBSTITUTE(SUBSTITUTE(SUBSTITUTE(SUBSTITUTE(SUBSTITUTE(SUBSTITUTE(SUBSTITUTE(SUBSTITUTE(SUBSTITUTE(SUBSTITUTE(SUBSTITUTE(SUBSTITUTE(SUBSTITUTE(SUBSTITUTE(BC46,"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46" s="493" t="str" cm="1">
        <f t="array" ref="CR46">IF(37=37,IF(AW46="","",SUMPRODUCT(--ISNUMBER(SEARCH(" "&amp;DT1969:DT1985&amp;" ",CQ46)))),"")</f>
        <v/>
      </c>
      <c r="CS46" s="493" t="str">
        <f>IF(37=37,IF(AW46="","",IF(CP46&gt;0,"X",IF(CR46&gt;0,"?",""))),"")</f>
        <v/>
      </c>
      <c r="CT46" s="493" t="str" cm="1">
        <f t="array" ref="CT46">IF(37=37,IF(AW46="","",SUMPRODUCT(--ISNUMBER(SEARCH(" "&amp;DT1986:DT1999&amp;" ",BC46)))),"")</f>
        <v/>
      </c>
      <c r="CU46" s="493" t="str" cm="1">
        <f t="array" ref="CU46">IF(37=37,IF(AW46="","",SUMPRODUCT(--ISNUMBER(SEARCH(" "&amp;DT2000:DT2014&amp;" ",BC46)))),"")</f>
        <v/>
      </c>
      <c r="CV46" s="493" t="str">
        <f>IF(37=37,IF(AW46="","",IF((CT46)-(0)&gt;0,"X",IF((CU46)-(0)&gt;0,"?",""))),"")</f>
        <v/>
      </c>
      <c r="CW46" s="493" t="str" cm="1">
        <f t="array" ref="CW46">IF(37=37,IF(AW46="","",SUMPRODUCT(--ISNUMBER(SEARCH(" "&amp;DT2015:DT2032&amp;" ",BC46)))),"")</f>
        <v/>
      </c>
      <c r="CX46" s="493" t="str" cm="1">
        <f t="array" ref="CX46">IF(37=37,IF(AW46="","",SUMPRODUCT(--ISNUMBER(SEARCH(" "&amp;DT2033:DT2047&amp;" ",BC46)))),"")</f>
        <v/>
      </c>
      <c r="CY46" s="493" t="str">
        <f>IF(37=37,IF(AW46="","",IF((CW46)-(0)&gt;0,"X",IF((CX46)-(0)&gt;0,"?",""))),"")</f>
        <v/>
      </c>
      <c r="CZ46" s="493" t="str" cm="1">
        <f t="array" ref="CZ46">IF(37=37,IF(AW46="","",SUMPRODUCT(--ISNUMBER(SEARCH(" "&amp;DT2048:DT2066&amp;" ",BC46)))),"")</f>
        <v/>
      </c>
      <c r="DA46" s="493" t="str" cm="1">
        <f t="array" ref="DA46">IF(37=37,IF(AW46="","",SUMPRODUCT(--ISNUMBER(SEARCH(" "&amp;DT2067:DT2081&amp;" ",BC46)))),"")</f>
        <v/>
      </c>
      <c r="DB46" s="493" t="str">
        <f>IF(37=37,IF(AW46="","",IF((CZ46)-(0)&gt;0,"X",IF((DA46)-(0)&gt;0,"?",""))),"")</f>
        <v/>
      </c>
      <c r="DC46" s="493" t="str" cm="1">
        <f t="array" ref="DC46">IF(37=37,IF(AW46="","",SUMPRODUCT(--ISNUMBER(SEARCH(" "&amp;DT2082:DT2102&amp;" ",BC46)))),"")</f>
        <v/>
      </c>
      <c r="DD46" s="493" t="str" cm="1">
        <f t="array" ref="DD46">IF(37=37,IF(AW46="","",SUMPRODUCT(--ISNUMBER(SEARCH(" "&amp;DT2103:DT2142&amp;" ",SUBSTITUTE(SUBSTITUTE(BC46," "&amp;DT1376&amp;" "," ")," "&amp;DT1375&amp;" "," "))))+--ISNUMBER(SEARCH("poiré",AX46))),"")</f>
        <v/>
      </c>
      <c r="DE46" s="493" t="str">
        <f>IF(37=37,IF(AW46="","",IF(OR(DC46&gt;0,ISNUMBER(SEARCH(" vinaigre de vin ",BC46)),ISNUMBER(SEARCH(" vinaigre au vin ",BC46))),"X",IF(DD46&gt;0,"?",""))),"")</f>
        <v/>
      </c>
      <c r="DF46" s="493" t="str" cm="1">
        <f t="array" ref="DF46">IF(37=37,IF(AW46="","",SUMPRODUCT(--ISNUMBER(SEARCH(" "&amp;DT2143:DT2155&amp;" ",BC46)))),"")</f>
        <v/>
      </c>
      <c r="DG46" s="493" t="str" cm="1">
        <f t="array" ref="DG46">IF(37=37,IF(AW46="","",SUMPRODUCT(--ISNUMBER(SEARCH(" "&amp;DT2156:DT2161&amp;" ",BC46)))),"")</f>
        <v/>
      </c>
      <c r="DH46" s="493" t="str">
        <f>IF(37=37,IF(AW46="","",IF((DF46)-(0)&gt;0,"X",IF((DG46)-(0)&gt;0,"?",""))),"")</f>
        <v/>
      </c>
      <c r="DI46" s="493" t="str" cm="1">
        <f t="array" ref="DI46">IF(37=37,IF(AW46="","",SUMPRODUCT(--ISNUMBER(SEARCH(" "&amp;DT2162:DT2261&amp;" ",DL46)))),"")</f>
        <v/>
      </c>
      <c r="DJ46" s="493" t="str" cm="1">
        <f t="array" ref="DJ46">IF(37=37,IF(AW46="","",SUMPRODUCT(--ISNUMBER(SEARCH(" "&amp;DT2262:DT2361&amp;" ",DL46)))),"")</f>
        <v/>
      </c>
      <c r="DK46" s="493" t="str" cm="1">
        <f t="array" ref="DK46">IF(37=37,IF(AW46="","",SUMPRODUCT(--ISNUMBER(SEARCH(" "&amp;DT2362:DT2404&amp;" ",DL46)))),"")</f>
        <v/>
      </c>
      <c r="DL46" s="493" t="str">
        <f>IF(37=37,IF(AW46="","",SUBSTITUTE(SUBSTITUTE(SUBSTITUTE(SUBSTITUTE(SUBSTITUTE(SUBSTITUTE(SUBSTITUTE(SUBSTITUTE(SUBSTITUTE(SUBSTITUTE(SUBSTITUTE(SUBSTITUTE(SUBSTITUTE(SUBSTITUTE(SUBSTITUTE(SUBSTITUTE(BC46," "&amp;DT2410&amp;" "," ")," "&amp;DT2409&amp;" "," ")," "&amp;DT2408&amp;" "," ")," "&amp;DT2415&amp;" "," ")," "&amp;DT2407&amp;" "," ")," "&amp;DT2419&amp;" "," ")," "&amp;DT2406&amp;" "," ")," "&amp;DT2411&amp;" "," ")," "&amp;DT2414&amp;" "," ")," "&amp;DT2405&amp;" "," ")," "&amp;DT2413&amp;" "," ")," "&amp;DT2420&amp;" "," ")," "&amp;DT2417&amp;" "," ")," "&amp;DT2412&amp;" "," ")," "&amp;DT2416&amp;" "," ")," "&amp;DT2418&amp;" "," ")),"")</f>
        <v/>
      </c>
      <c r="DM46" s="493" t="str" cm="1">
        <f t="array" ref="DM46">IF(37=37,IF(AW46="","",SUMPRODUCT(--ISNUMBER(SEARCH(" "&amp;DT2421:DT2425&amp;" ",DL46)))),"")</f>
        <v/>
      </c>
      <c r="DN46" s="493" t="str">
        <f>IF(37=37,IF(AW46="","",IF(SUM(DI46:DK46)&gt;0,"X",IF(DM46&gt;0,"?",""))),"")</f>
        <v/>
      </c>
      <c r="DO46" s="494"/>
      <c r="DP46" s="496" t="s">
        <v>1207</v>
      </c>
      <c r="DQ46" s="496" t="s">
        <v>1083</v>
      </c>
      <c r="DR46" s="496" t="s">
        <v>689</v>
      </c>
      <c r="DS46" s="496" t="s">
        <v>321</v>
      </c>
      <c r="DT46" s="496" t="s">
        <v>320</v>
      </c>
      <c r="DU46" s="496" t="s">
        <v>1085</v>
      </c>
      <c r="DV46" s="496" t="s">
        <v>1086</v>
      </c>
      <c r="DW46" s="496" t="s">
        <v>1087</v>
      </c>
      <c r="DX46" s="497" t="s">
        <v>1088</v>
      </c>
      <c r="DZ46" s="543">
        <v>1</v>
      </c>
      <c r="EB46" s="493"/>
      <c r="EC46" s="493"/>
    </row>
    <row r="47" spans="5:133" ht="21" customHeight="1">
      <c r="E47" s="865" t="s">
        <v>737</v>
      </c>
      <c r="F47" s="877" t="str">
        <f>F12</f>
        <v>M MACÉDOINE DE LÉGUMES AU COULIS DE TOMATE | HORS D'ŒUVRE texture modifiée-cuidité-MACEDOINE| Auteur &gt; Annette et Jean Pierre DOMERGUES - 45000 ORLÉANS 1981</v>
      </c>
      <c r="G47" s="905">
        <f>G12</f>
        <v>10</v>
      </c>
      <c r="H47" s="878" t="str">
        <f>H12</f>
        <v>couverts</v>
      </c>
      <c r="I47" s="879" t="str">
        <f>I12</f>
        <v>Recette mère ►  Textures modifiées</v>
      </c>
      <c r="J47" s="889"/>
      <c r="K47" s="889"/>
      <c r="L47" s="891">
        <f>ROWS(P37:P47)</f>
        <v>11</v>
      </c>
      <c r="M47" s="889"/>
      <c r="N47" s="892" t="str">
        <f t="array" ref="N47">SUMPRODUCT(--(P47:W47&lt;&gt;""), LEN(TRIM(SUBSTITUTE(P47:W47, CHAR(160), "")))) &amp; " Car."</f>
        <v>4 Car.</v>
      </c>
      <c r="O47" s="893">
        <f>IF(ISBLANK(P47),"",LARGE(O36:O46,1)+1)</f>
        <v>10</v>
      </c>
      <c r="P47" s="886" t="s">
        <v>6505</v>
      </c>
      <c r="Q47" s="886"/>
      <c r="R47" s="886"/>
      <c r="S47" s="886"/>
      <c r="T47" s="886"/>
      <c r="U47" s="886"/>
      <c r="V47" s="886"/>
      <c r="W47" s="886"/>
      <c r="X47" s="886"/>
      <c r="Y47" s="904"/>
      <c r="AA47" s="899"/>
      <c r="AC47" s="509">
        <v>32</v>
      </c>
      <c r="AD47" s="808"/>
      <c r="AE47" s="679" t="str">
        <f t="shared" si="3"/>
        <v/>
      </c>
      <c r="AF47" s="512" t="str">
        <f>IF(38=38,IF(AD47="","",IF(AG47="X",""&amp;"Céréales contenant du gluten","")&amp;IF(AH47="X",IF(COUNTIF(AG47:AG47,"X")&gt;0,", ","")&amp;"Crustacés","")&amp;IF(AI47="X",IF(COUNTIF(AG47:AH47,"X")&gt;0,", ","")&amp;"Œufs","")&amp;IF(AJ47="X",IF(COUNTIF(AG47:AI47,"X")&gt;0,", ","")&amp;"Poissons","")&amp;IF(AK47="X",IF(COUNTIF(AG47:AJ47,"X")&gt;0,", ","")&amp;"Arachides","")&amp;IF(AL47="X",IF(COUNTIF(AG47:AK47,"X")&gt;0,", ","")&amp;"Soja","")&amp;IF(AM47="X",IF(COUNTIF(AG47:AL47,"X")&gt;0,", ","")&amp;"Lait","")&amp;IF(AN47="X",IF(COUNTIF(AG47:AM47,"X")&gt;0,", ","")&amp;"Fruits à coque","")&amp;IF(AO47="X",IF(COUNTIF(AG47:AN47,"X")&gt;0,", ","")&amp;"Céleri","")&amp;IF(AP47="X",IF(COUNTIF(AG47:AO47,"X")&gt;0,", ","")&amp;"Moutarde","")&amp;IF(AQ47="X",IF(COUNTIF(AG47:AP47,"X")&gt;0,", ","")&amp;"Sésame","")&amp;IF(AR47="X",IF(COUNTIF(AG47:AQ47,"X")&gt;0,", ","")&amp;"Sulfites","")&amp;IF(AS47="X",IF(COUNTIF(AG47:AR47,"X")&gt;0,", ","")&amp;"Lupin","")&amp;IF(AT47="X",IF(COUNTIF(AG47:AS47,"X")&gt;0,", ","")&amp;"Mollusques","")),"")</f>
        <v/>
      </c>
      <c r="AG47" s="513" t="str">
        <f>IF(38=38,IF(AD47="","",BH47),"")</f>
        <v/>
      </c>
      <c r="AH47" s="513" t="str">
        <f>IF(38=38,IF(AD47="","",BK47),"")</f>
        <v/>
      </c>
      <c r="AI47" s="513" t="str">
        <f>IF(38=38,IF(AD47="","",BO47),"")</f>
        <v/>
      </c>
      <c r="AJ47" s="513" t="str">
        <f>IF(38=38,IF(AD47="","",IF(ISNUMBER(SEARCH(" colin ",BC47)),"X",CB47)),"")</f>
        <v/>
      </c>
      <c r="AK47" s="513" t="str">
        <f>IF(38=38,IF(AD47="","",CD47),"")</f>
        <v/>
      </c>
      <c r="AL47" s="513" t="str">
        <f>IF(38=38,IF(AD47="","",CH47),"")</f>
        <v/>
      </c>
      <c r="AM47" s="513" t="str">
        <f>IF(38=38,IF(AD47="","",CO47),"")</f>
        <v/>
      </c>
      <c r="AN47" s="513" t="str">
        <f>IF(38=38,IF(AD47="","",CS47),"")</f>
        <v/>
      </c>
      <c r="AO47" s="513" t="str">
        <f>IF(38=38,IF(AD47="","",CV47),"")</f>
        <v/>
      </c>
      <c r="AP47" s="513" t="str">
        <f>IF(38=38,IF(AD47="","",CY47),"")</f>
        <v/>
      </c>
      <c r="AQ47" s="513" t="str">
        <f>IF(38=38,IF(AD47="","",DB47),"")</f>
        <v/>
      </c>
      <c r="AR47" s="513" t="str">
        <f>IF(38=38,IF(AD47="","",DE47),"")</f>
        <v/>
      </c>
      <c r="AS47" s="513" t="str">
        <f>IF(38=38,IF(AD47="","",DH47),"")</f>
        <v/>
      </c>
      <c r="AT47" s="513" t="str">
        <f>IF(38=38,IF(AD47="","",DN47),"")</f>
        <v/>
      </c>
      <c r="AU47" s="514" t="str">
        <f>IF(38=38,IF(AD47="","",IF(AG47="?",""&amp;"Céréales contenant du gluten","")&amp;IF(AH47="?",IF(COUNTIF(AG47:AG47,"~?")&gt;0,", ","")&amp;"Crustacés","")&amp;IF(AI47="?",IF(COUNTIF(AG47:AH47,"~?")&gt;0,", ","")&amp;"Œufs","")&amp;IF(AJ47="?",IF(COUNTIF(AG47:AI47,"~?")&gt;0,", ","")&amp;"Poissons","")&amp;IF(AK47="?",IF(COUNTIF(AG47:AJ47,"~?")&gt;0,", ","")&amp;"Arachides","")&amp;IF(AL47="?",IF(COUNTIF(AG47:AK47,"~?")&gt;0,", ","")&amp;"Soja","")&amp;IF(AM47="?",IF(COUNTIF(AG47:AL47,"~?")&gt;0,", ","")&amp;"Lait","")&amp;IF(AN47="?",IF(COUNTIF(AG47:AM47,"~?")&gt;0,", ","")&amp;"Fruits à coque","")&amp;IF(AO47="?",IF(COUNTIF(AG47:AN47,"~?")&gt;0,", ","")&amp;"Céleri","")&amp;IF(AP47="?",IF(COUNTIF(AG47:AO47,"~?")&gt;0,", ","")&amp;"Moutarde","")&amp;IF(AQ47="?",IF(COUNTIF(AG47:AP47,"~?")&gt;0,", ","")&amp;"Sésame","")&amp;IF(AR47="?",IF(COUNTIF(AG47:AQ47,"~?")&gt;0,", ","")&amp;"Sulfites","")&amp;IF(AS47="?",IF(COUNTIF(AG47:AR47,"~?")&gt;0,", ","")&amp;"Lupin","")&amp;IF(AT47="?",IF(COUNTIF(AG47:AS47,"~?")&gt;0,", ","")&amp;"Mollusques","")),"")</f>
        <v/>
      </c>
      <c r="AW47" s="493" t="str">
        <f>IF(38=38,IF(AD47="","",AD47),"")</f>
        <v/>
      </c>
      <c r="AX47" s="493" t="str">
        <f>IF(38=38,LOWER(CLEAN(SUBSTITUTE(SUBSTITUTE(SUBSTITUTE(SUBSTITUTE(AW47,CHAR(160)," ")," "," "),CHAR(10)," "),CHAR(13)," "))),"")</f>
        <v/>
      </c>
      <c r="AY47" s="493" t="str">
        <f>IF(38=38,SUBSTITUTE(SUBSTITUTE(SUBSTITUTE(SUBSTITUTE(SUBSTITUTE(SUBSTITUTE(SUBSTITUTE(SUBSTITUTE(SUBSTITUTE(SUBSTITUTE(SUBSTITUTE(SUBSTITUTE(AX47,"œ","oe"),"æ","ae"),"à","a"),"á","a"),"â","a"),"ä","a"),"ã","a"),"ç","c"),"è","e"),"é","e"),"ê","e"),"ë","e"),"")</f>
        <v/>
      </c>
      <c r="AZ47" s="493" t="str">
        <f>IF(38=38,SUBSTITUTE(SUBSTITUTE(SUBSTITUTE(SUBSTITUTE(SUBSTITUTE(SUBSTITUTE(SUBSTITUTE(SUBSTITUTE(SUBSTITUTE(SUBSTITUTE(SUBSTITUTE(SUBSTITUTE(SUBSTITUTE(SUBSTITUTE(SUBSTITUTE(SUBSTITUTE(AY47,"ì","i"),"í","i"),"î","i"),"ï","i"),"ñ","n"),"ò","o"),"ó","o"),"ô","o"),"ö","o"),"õ","o"),"ù","u"),"ú","u"),"û","u"),"ü","u"),"ý","y"),"ÿ","y"),"")</f>
        <v/>
      </c>
      <c r="BA47" s="493" t="str">
        <f>IF(38=38,SUBSTITUTE(SUBSTITUTE(SUBSTITUTE(SUBSTITUTE(SUBSTITUTE(SUBSTITUTE(SUBSTITUTE(SUBSTITUTE(SUBSTITUTE(SUBSTITUTE(SUBSTITUTE(SUBSTITUTE(SUBSTITUTE(SUBSTITUTE(AZ47,"’"," "),"`"," "),"–"," "),"—"," "),"-"," "),"'"," "),"/"," "),"_"," "),","," "),"."," "),"("," "),")"," "),";"," "),":"," "),"")</f>
        <v/>
      </c>
      <c r="BB47" s="493" t="str">
        <f>IF(38=38,SUBSTITUTE(SUBSTITUTE(SUBSTITUTE(SUBSTITUTE(SUBSTITUTE(SUBSTITUTE(SUBSTITUTE(SUBSTITUTE(SUBSTITUTE(SUBSTITUTE(SUBSTITUTE(SUBSTITUTE(SUBSTITUTE(SUBSTITUTE(SUBSTITUTE(BA47,"!"," "),"?"," "),"+"," "),"*"," "),"&amp;"," "),"["," "),"]"," "),"{"," "),"}"," "),"%"," "),"="," "),"\"," "),"|"," "),"&lt;"," "),"&gt;"," "),"")</f>
        <v/>
      </c>
      <c r="BC47" s="493" t="str">
        <f>IF(38=38," "&amp;TRIM(SUBSTITUTE(SUBSTITUTE(SUBSTITUTE(SUBSTITUTE(SUBSTITUTE(SUBSTITUTE(BB47,CHAR(34)," "),"  "," "),"  "," "),"  "," "),"  "," "),"  "," "))&amp;" ","")</f>
        <v xml:space="preserve">  </v>
      </c>
      <c r="BD47" s="493" t="str" cm="1">
        <f t="array" ref="BD47">IF(38=38,IF(AW47="","",SUMPRODUCT(--ISNUMBER(SEARCH(" "&amp;DT11:DT110&amp;" ",BF47)))),"")</f>
        <v/>
      </c>
      <c r="BE47" s="493" t="str" cm="1">
        <f t="array" ref="BE47">IF(38=38,IF(AW47="","",SUMPRODUCT(--ISNUMBER(SEARCH(" "&amp;DT111:DT160&amp;" ",BF47)))),"")</f>
        <v/>
      </c>
      <c r="BF47" s="493" t="str">
        <f>IF(AW47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47,"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47" s="493" t="str" cm="1">
        <f t="array" ref="BG47">IF(AW47="","",SUMPRODUCT(--ISNUMBER(SEARCH(" "&amp;DT193:DT214&amp;" ",BF47)))+--ISNUMBER(SEARCH(" "&amp;DT2463&amp;" ",BF47)))</f>
        <v/>
      </c>
      <c r="BH47" s="493" t="str" cm="1">
        <f t="array" ref="BH47">IF(38=38,IF(AW47="","",IF(SUM(BD47:BE47)+SUMPRODUCT(--ISNUMBER(SEARCH(" "&amp;DT2427:DT2429&amp;" ",BF47)))&gt;0,"X",IF(BG47&gt;0,"?",""))),"")</f>
        <v/>
      </c>
      <c r="BI47" s="493" t="str" cm="1">
        <f t="array" ref="BI47">IF(38=38,IF(AW47="","",SUMPRODUCT(--ISNUMBER(SEARCH(" "&amp;DT215:DT314&amp;" ",BC47)))),"")</f>
        <v/>
      </c>
      <c r="BJ47" s="493" t="str" cm="1">
        <f t="array" ref="BJ47">IF(38=38,IF(AW47="","",SUMPRODUCT(--ISNUMBER(SEARCH(" "&amp;DT315:DT349&amp;" ",BC47)))),"")</f>
        <v/>
      </c>
      <c r="BK47" s="493" t="str">
        <f>IF(38=38,IF(AW47="","",IF((SUM(BI47:BJ47))-(0)&gt;0,"X",IF((0)-(0)&gt;0,"?",""))),"")</f>
        <v/>
      </c>
      <c r="BL47" s="493" t="str" cm="1">
        <f t="array" ref="BL47">IF(38=38,IF(AW47="","",SUMPRODUCT(--ISNUMBER(SEARCH(" "&amp;DT350:DT407&amp;" ",BC47)))),"")</f>
        <v/>
      </c>
      <c r="BM47" s="493" t="str" cm="1">
        <f t="array" ref="BM47">IF(38=38,IF(AW47="","",SUMPRODUCT(--ISNUMBER(SEARCH(" "&amp;DT408:DT435&amp;" ",BN47)))+SUMPRODUCT(--ISNUMBER(SEARCH(" "&amp;DT2449:DT2462&amp;" ",BN47)))),"")</f>
        <v/>
      </c>
      <c r="BN47" s="493" t="str">
        <f>IF(38=38,IF(AW47="","",SUBSTITUTE(SUBSTITUTE(SUBSTITUTE(SUBSTITUTE(SUBSTITUTE(SUBSTITUTE(SUBSTITUTE(SUBSTITUTE(SUBSTITUTE(SUBSTITUTE(SUBSTITUTE(SUBSTITUTE(SUBSTITUTE(SUBSTITUTE(BC47," "&amp;DT2464&amp;" "," ")," "&amp;DT442&amp;" "," ")," "&amp;DT440&amp;" "," ")," "&amp;DT2447&amp;" "," ")," "&amp;DT2448&amp;" "," ")," "&amp;DT437&amp;" "," ")," "&amp;DT441&amp;" "," ")," "&amp;DT443&amp;" "," ")," "&amp;DT438&amp;" "," ")," "&amp;DT436&amp;" "," ")," "&amp;DT1376&amp;" "," ")," "&amp;DT444&amp;" "," ")," "&amp;DT1375&amp;" "," ")," "&amp;DT439&amp;" "," ")),"")</f>
        <v/>
      </c>
      <c r="BO47" s="493" t="str">
        <f>IF(38=38,IF(AW47="","",IF(BL47&gt;0,"X",IF(BM47&gt;0,"?",""))),"")</f>
        <v/>
      </c>
      <c r="BP47" s="493" t="str" cm="1">
        <f t="array" ref="BP47">IF(38=38,IF(AW47="","",SUMPRODUCT(--ISNUMBER(SEARCH(" "&amp;DT445:DT544&amp;" ",BZ47)))),"")</f>
        <v/>
      </c>
      <c r="BQ47" s="493" t="str" cm="1">
        <f t="array" ref="BQ47">IF(38=38,IF(AW47="","",SUMPRODUCT(--ISNUMBER(SEARCH(" "&amp;DT545:DT644&amp;" ",BZ47)))),"")</f>
        <v/>
      </c>
      <c r="BR47" s="493" t="str" cm="1">
        <f t="array" ref="BR47">IF(38=38,IF(AW47="","",SUMPRODUCT(--ISNUMBER(SEARCH(" "&amp;DT645:DT744&amp;" ",BZ47)))),"")</f>
        <v/>
      </c>
      <c r="BS47" s="493" t="str" cm="1">
        <f t="array" ref="BS47">IF(38=38,IF(AW47="","",SUMPRODUCT(--ISNUMBER(SEARCH(" "&amp;DT745:DT844&amp;" ",BZ47)))),"")</f>
        <v/>
      </c>
      <c r="BT47" s="493" t="str" cm="1">
        <f t="array" ref="BT47">IF(38=38,IF(AW47="","",SUMPRODUCT(--ISNUMBER(SEARCH(" "&amp;DT845:DT944&amp;" ",BZ47)))),"")</f>
        <v/>
      </c>
      <c r="BU47" s="493" t="str" cm="1">
        <f t="array" ref="BU47">IF(38=38,IF(AW47="","",SUMPRODUCT(--ISNUMBER(SEARCH(" "&amp;DT945:DT1044&amp;" ",BZ47)))),"")</f>
        <v/>
      </c>
      <c r="BV47" s="493" t="str" cm="1">
        <f t="array" ref="BV47">IF(38=38,IF(AW47="","",SUMPRODUCT(--ISNUMBER(SEARCH(" "&amp;DT1045:DT1144&amp;" ",BZ47)))),"")</f>
        <v/>
      </c>
      <c r="BW47" s="493" t="str" cm="1">
        <f t="array" ref="BW47">IF(38=38,IF(AW47="","",SUMPRODUCT(--ISNUMBER(SEARCH(" "&amp;DT1145:DT1244&amp;" ",BZ47)))),"")</f>
        <v/>
      </c>
      <c r="BX47" s="493" t="str" cm="1">
        <f t="array" ref="BX47">IF(38=38,IF(AW47="","",SUMPRODUCT(--ISNUMBER(SEARCH(" "&amp;DT1245:DT1344&amp;" ",BZ47)))),"")</f>
        <v/>
      </c>
      <c r="BY47" s="493" t="str" cm="1">
        <f t="array" ref="BY47">IF(38=38,IF(AW47="","",SUMPRODUCT(--ISNUMBER(SEARCH(" "&amp;DT1345:DT1372&amp;" ",BZ47)))),"")</f>
        <v/>
      </c>
      <c r="BZ47" s="493" t="str">
        <f>IF(38=38,IF(AW47="","",SUBSTITUTE(SUBSTITUTE(SUBSTITUTE(SUBSTITUTE(SUBSTITUTE(SUBSTITUTE(SUBSTITUTE(SUBSTITUTE(SUBSTITUTE(BC47," "&amp;DT1374&amp;" "," ")," "&amp;DT1373&amp;" "," ")," "&amp;DT1379&amp;" "," ")," "&amp;DT1380&amp;" "," ")," "&amp;DT1376&amp;" "," ")," "&amp;DT1378&amp;" "," ")," "&amp;DT1375&amp;" "," ")," "&amp;DT1377&amp;" "," ")," "&amp;DT1381&amp;" "," ")),"")</f>
        <v/>
      </c>
      <c r="CA47" s="493" t="str" cm="1">
        <f t="array" ref="CA47">IF(38=38,IF(AW47="","",SUMPRODUCT(--ISNUMBER(SEARCH(" "&amp;DT1382:DT1392&amp;" ",BZ47)))),"")</f>
        <v/>
      </c>
      <c r="CB47" s="493" t="str" cm="1">
        <f t="array" ref="CB47">IF(38=38,IF(AW47="","",IF(SUM(BP47:BY47)+SUMPRODUCT(--ISNUMBER(SEARCH(" "&amp;DT2430:DT2431&amp;" ",BZ47)))&gt;0,"X",IF(CA47&gt;0,"?",""))),"")</f>
        <v/>
      </c>
      <c r="CC47" s="493" t="str" cm="1">
        <f t="array" ref="CC47">IF(38=38,IF(AW47="","",SUMPRODUCT(--ISNUMBER(SEARCH(" "&amp;DT1393:DT1413&amp;" ",BC47)))),"")</f>
        <v/>
      </c>
      <c r="CD47" s="493" t="str">
        <f>IF(38=38,IF(AW47="","",IF((CC47)-(0)&gt;0,"X",IF((0)-(0)&gt;0,"?",""))),"")</f>
        <v/>
      </c>
      <c r="CE47" s="493" t="str" cm="1">
        <f t="array" ref="CE47">IF(38=38,IF(AW47="","",SUMPRODUCT(--ISNUMBER(SEARCH(" "&amp;DT1414:DT1451&amp;" ",CF47)))),"")</f>
        <v/>
      </c>
      <c r="CF47" s="493" t="str">
        <f>IF(38=38,IF(AW47="","",SUBSTITUTE(SUBSTITUTE(BC47," "&amp;DT1452&amp;" "," ")," "&amp;DT1453&amp;" "," ")),"")</f>
        <v/>
      </c>
      <c r="CG47" s="493" t="str" cm="1">
        <f t="array" ref="CG47">IF(38=38,IF(AW47="","",SUMPRODUCT(--ISNUMBER(SEARCH(" "&amp;DT1454:DT1464&amp;" ",CF47)))),"")</f>
        <v/>
      </c>
      <c r="CH47" s="493" t="str">
        <f>IF(38=38,IF(AW47="","",IF(CE47&gt;0,"X",IF(CG47&gt;0,"?",""))),"")</f>
        <v/>
      </c>
      <c r="CI47" s="493" t="str" cm="1">
        <f t="array" ref="CI47">IF(38=38,IF(AW47="","",SUMPRODUCT(--ISNUMBER(SEARCH(" "&amp;DT1465:DT1564&amp;" ",CL47)))),"")</f>
        <v/>
      </c>
      <c r="CJ47" s="493" t="str" cm="1">
        <f t="array" ref="CJ47">IF(38=38,IF(AW47="","",SUMPRODUCT(--ISNUMBER(SEARCH(" "&amp;DT1565:DT1664&amp;" ",CL47)))),"")</f>
        <v/>
      </c>
      <c r="CK47" s="493" t="str" cm="1">
        <f t="array" ref="CK47">IF(38=38,IF(AW47="","",SUMPRODUCT(--ISNUMBER(SEARCH(" "&amp;DT1665:DT1748&amp;" ",CL47)))),"")</f>
        <v/>
      </c>
      <c r="CL47" s="493" t="str">
        <f>IF(38=38,IF(AW47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47,"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47" s="493" t="str" cm="1">
        <f t="array" ref="CM47">IF(38=38,IF(AW47="","",SUMPRODUCT(--ISNUMBER(SEARCH(" "&amp;DT1799:DT1878&amp;" ",CN47)))+SUMPRODUCT(--ISNUMBER(SEARCH(" "&amp;DT2449:DT2462&amp;" ",CN47)))),"")</f>
        <v/>
      </c>
      <c r="CN47" s="493" t="str">
        <f>IF(38=38,IF(AW47="","",SUBSTITUTE(SUBSTITUTE(SUBSTITUTE(SUBSTITUTE(SUBSTITUTE(SUBSTITUTE(SUBSTITUTE(SUBSTITUTE(SUBSTITUTE(SUBSTITUTE(SUBSTITUTE(SUBSTITUTE(SUBSTITUTE(CL47," "&amp;DT1885&amp;" "," ")," "&amp;DT1883&amp;" "," ")," "&amp;DT2447&amp;" "," ")," "&amp;DT2448&amp;" "," ")," "&amp;DT1880&amp;" "," ")," "&amp;DT1884&amp;" "," ")," "&amp;DT1886&amp;" "," ")," "&amp;DT1881&amp;" "," ")," "&amp;DT1879&amp;" "," ")," "&amp;DT1376&amp;" "," ")," "&amp;DT1887&amp;" "," ")," "&amp;DT1375&amp;" "," ")," "&amp;DT1882&amp;" "," ")),"")</f>
        <v/>
      </c>
      <c r="CO47" s="493" t="str" cm="1">
        <f t="array" ref="CO47">IF(38=38,IF(AW47="","",IF(SUM(CI47:CK47)+SUMPRODUCT(--ISNUMBER(SEARCH(" "&amp;DT2432:DT2433&amp;" ",CL47)))&gt;0,"X",IF(CM47&gt;0,"?",""))),"")</f>
        <v/>
      </c>
      <c r="CP47" s="493" t="str" cm="1">
        <f t="array" ref="CP47">IF(38=38,IF(AW47="","",SUMPRODUCT(--ISNUMBER(SEARCH(" "&amp;DT1888:DT1945&amp;" ",CQ47)))),"")</f>
        <v/>
      </c>
      <c r="CQ47" s="493" t="str">
        <f>IF(38=38,IF(AW47="","",SUBSTITUTE(SUBSTITUTE(SUBSTITUTE(SUBSTITUTE(SUBSTITUTE(SUBSTITUTE(SUBSTITUTE(SUBSTITUTE(SUBSTITUTE(SUBSTITUTE(SUBSTITUTE(SUBSTITUTE(SUBSTITUTE(SUBSTITUTE(SUBSTITUTE(SUBSTITUTE(SUBSTITUTE(SUBSTITUTE(SUBSTITUTE(SUBSTITUTE(SUBSTITUTE(SUBSTITUTE(SUBSTITUTE(BC47,"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47" s="493" t="str" cm="1">
        <f t="array" ref="CR47">IF(38=38,IF(AW47="","",SUMPRODUCT(--ISNUMBER(SEARCH(" "&amp;DT1969:DT1985&amp;" ",CQ47)))),"")</f>
        <v/>
      </c>
      <c r="CS47" s="493" t="str">
        <f>IF(38=38,IF(AW47="","",IF(CP47&gt;0,"X",IF(CR47&gt;0,"?",""))),"")</f>
        <v/>
      </c>
      <c r="CT47" s="493" t="str" cm="1">
        <f t="array" ref="CT47">IF(38=38,IF(AW47="","",SUMPRODUCT(--ISNUMBER(SEARCH(" "&amp;DT1986:DT1999&amp;" ",BC47)))),"")</f>
        <v/>
      </c>
      <c r="CU47" s="493" t="str" cm="1">
        <f t="array" ref="CU47">IF(38=38,IF(AW47="","",SUMPRODUCT(--ISNUMBER(SEARCH(" "&amp;DT2000:DT2014&amp;" ",BC47)))),"")</f>
        <v/>
      </c>
      <c r="CV47" s="493" t="str">
        <f>IF(38=38,IF(AW47="","",IF((CT47)-(0)&gt;0,"X",IF((CU47)-(0)&gt;0,"?",""))),"")</f>
        <v/>
      </c>
      <c r="CW47" s="493" t="str" cm="1">
        <f t="array" ref="CW47">IF(38=38,IF(AW47="","",SUMPRODUCT(--ISNUMBER(SEARCH(" "&amp;DT2015:DT2032&amp;" ",BC47)))),"")</f>
        <v/>
      </c>
      <c r="CX47" s="493" t="str" cm="1">
        <f t="array" ref="CX47">IF(38=38,IF(AW47="","",SUMPRODUCT(--ISNUMBER(SEARCH(" "&amp;DT2033:DT2047&amp;" ",BC47)))),"")</f>
        <v/>
      </c>
      <c r="CY47" s="493" t="str">
        <f>IF(38=38,IF(AW47="","",IF((CW47)-(0)&gt;0,"X",IF((CX47)-(0)&gt;0,"?",""))),"")</f>
        <v/>
      </c>
      <c r="CZ47" s="493" t="str" cm="1">
        <f t="array" ref="CZ47">IF(38=38,IF(AW47="","",SUMPRODUCT(--ISNUMBER(SEARCH(" "&amp;DT2048:DT2066&amp;" ",BC47)))),"")</f>
        <v/>
      </c>
      <c r="DA47" s="493" t="str" cm="1">
        <f t="array" ref="DA47">IF(38=38,IF(AW47="","",SUMPRODUCT(--ISNUMBER(SEARCH(" "&amp;DT2067:DT2081&amp;" ",BC47)))),"")</f>
        <v/>
      </c>
      <c r="DB47" s="493" t="str">
        <f>IF(38=38,IF(AW47="","",IF((CZ47)-(0)&gt;0,"X",IF((DA47)-(0)&gt;0,"?",""))),"")</f>
        <v/>
      </c>
      <c r="DC47" s="493" t="str" cm="1">
        <f t="array" ref="DC47">IF(38=38,IF(AW47="","",SUMPRODUCT(--ISNUMBER(SEARCH(" "&amp;DT2082:DT2102&amp;" ",BC47)))),"")</f>
        <v/>
      </c>
      <c r="DD47" s="493" t="str" cm="1">
        <f t="array" ref="DD47">IF(38=38,IF(AW47="","",SUMPRODUCT(--ISNUMBER(SEARCH(" "&amp;DT2103:DT2142&amp;" ",SUBSTITUTE(SUBSTITUTE(BC47," "&amp;DT1376&amp;" "," ")," "&amp;DT1375&amp;" "," "))))+--ISNUMBER(SEARCH("poiré",AX47))),"")</f>
        <v/>
      </c>
      <c r="DE47" s="493" t="str">
        <f>IF(38=38,IF(AW47="","",IF(OR(DC47&gt;0,ISNUMBER(SEARCH(" vinaigre de vin ",BC47)),ISNUMBER(SEARCH(" vinaigre au vin ",BC47))),"X",IF(DD47&gt;0,"?",""))),"")</f>
        <v/>
      </c>
      <c r="DF47" s="493" t="str" cm="1">
        <f t="array" ref="DF47">IF(38=38,IF(AW47="","",SUMPRODUCT(--ISNUMBER(SEARCH(" "&amp;DT2143:DT2155&amp;" ",BC47)))),"")</f>
        <v/>
      </c>
      <c r="DG47" s="493" t="str" cm="1">
        <f t="array" ref="DG47">IF(38=38,IF(AW47="","",SUMPRODUCT(--ISNUMBER(SEARCH(" "&amp;DT2156:DT2161&amp;" ",BC47)))),"")</f>
        <v/>
      </c>
      <c r="DH47" s="493" t="str">
        <f>IF(38=38,IF(AW47="","",IF((DF47)-(0)&gt;0,"X",IF((DG47)-(0)&gt;0,"?",""))),"")</f>
        <v/>
      </c>
      <c r="DI47" s="493" t="str" cm="1">
        <f t="array" ref="DI47">IF(38=38,IF(AW47="","",SUMPRODUCT(--ISNUMBER(SEARCH(" "&amp;DT2162:DT2261&amp;" ",DL47)))),"")</f>
        <v/>
      </c>
      <c r="DJ47" s="493" t="str" cm="1">
        <f t="array" ref="DJ47">IF(38=38,IF(AW47="","",SUMPRODUCT(--ISNUMBER(SEARCH(" "&amp;DT2262:DT2361&amp;" ",DL47)))),"")</f>
        <v/>
      </c>
      <c r="DK47" s="493" t="str" cm="1">
        <f t="array" ref="DK47">IF(38=38,IF(AW47="","",SUMPRODUCT(--ISNUMBER(SEARCH(" "&amp;DT2362:DT2404&amp;" ",DL47)))),"")</f>
        <v/>
      </c>
      <c r="DL47" s="493" t="str">
        <f>IF(38=38,IF(AW47="","",SUBSTITUTE(SUBSTITUTE(SUBSTITUTE(SUBSTITUTE(SUBSTITUTE(SUBSTITUTE(SUBSTITUTE(SUBSTITUTE(SUBSTITUTE(SUBSTITUTE(SUBSTITUTE(SUBSTITUTE(SUBSTITUTE(SUBSTITUTE(SUBSTITUTE(SUBSTITUTE(BC47," "&amp;DT2410&amp;" "," ")," "&amp;DT2409&amp;" "," ")," "&amp;DT2408&amp;" "," ")," "&amp;DT2415&amp;" "," ")," "&amp;DT2407&amp;" "," ")," "&amp;DT2419&amp;" "," ")," "&amp;DT2406&amp;" "," ")," "&amp;DT2411&amp;" "," ")," "&amp;DT2414&amp;" "," ")," "&amp;DT2405&amp;" "," ")," "&amp;DT2413&amp;" "," ")," "&amp;DT2420&amp;" "," ")," "&amp;DT2417&amp;" "," ")," "&amp;DT2412&amp;" "," ")," "&amp;DT2416&amp;" "," ")," "&amp;DT2418&amp;" "," ")),"")</f>
        <v/>
      </c>
      <c r="DM47" s="493" t="str" cm="1">
        <f t="array" ref="DM47">IF(38=38,IF(AW47="","",SUMPRODUCT(--ISNUMBER(SEARCH(" "&amp;DT2421:DT2425&amp;" ",DL47)))),"")</f>
        <v/>
      </c>
      <c r="DN47" s="493" t="str">
        <f>IF(38=38,IF(AW47="","",IF(SUM(DI47:DK47)&gt;0,"X",IF(DM47&gt;0,"?",""))),"")</f>
        <v/>
      </c>
      <c r="DO47" s="494"/>
      <c r="DP47" s="496" t="s">
        <v>1208</v>
      </c>
      <c r="DQ47" s="496" t="s">
        <v>1083</v>
      </c>
      <c r="DR47" s="496" t="s">
        <v>689</v>
      </c>
      <c r="DS47" s="496" t="s">
        <v>899</v>
      </c>
      <c r="DT47" s="496" t="s">
        <v>899</v>
      </c>
      <c r="DU47" s="496" t="s">
        <v>1085</v>
      </c>
      <c r="DV47" s="496" t="s">
        <v>1086</v>
      </c>
      <c r="DW47" s="496" t="s">
        <v>1087</v>
      </c>
      <c r="DX47" s="497" t="s">
        <v>1088</v>
      </c>
      <c r="DZ47" s="543">
        <v>1</v>
      </c>
      <c r="EB47" s="493"/>
      <c r="EC47" s="493"/>
    </row>
    <row r="48" spans="5:133" ht="21" customHeight="1">
      <c r="E48" s="865" t="s">
        <v>737</v>
      </c>
      <c r="F48" s="877" t="str">
        <f>F12</f>
        <v>M MACÉDOINE DE LÉGUMES AU COULIS DE TOMATE | HORS D'ŒUVRE texture modifiée-cuidité-MACEDOINE| Auteur &gt; Annette et Jean Pierre DOMERGUES - 45000 ORLÉANS 1981</v>
      </c>
      <c r="G48" s="877">
        <f>G12</f>
        <v>10</v>
      </c>
      <c r="H48" s="878" t="str">
        <f>H12</f>
        <v>couverts</v>
      </c>
      <c r="I48" s="879" t="str">
        <f>I12</f>
        <v>Recette mère ►  Textures modifiées</v>
      </c>
      <c r="J48" s="889"/>
      <c r="K48" s="889"/>
      <c r="L48" s="891">
        <f>ROWS(P37:P48)</f>
        <v>12</v>
      </c>
      <c r="M48" s="889"/>
      <c r="N48" s="892" t="str">
        <f t="array" ref="N48">SUMPRODUCT(--(P48:W48&lt;&gt;""), LEN(TRIM(SUBSTITUTE(P48:W48, CHAR(160), "")))) &amp; " Car."</f>
        <v>67 Car.</v>
      </c>
      <c r="O48" s="893">
        <f>IF(ISBLANK(P48),"",LARGE(O36:O47,1)+1)</f>
        <v>11</v>
      </c>
      <c r="P48" s="886" t="s">
        <v>6506</v>
      </c>
      <c r="Q48" s="886"/>
      <c r="R48" s="886"/>
      <c r="S48" s="886"/>
      <c r="T48" s="886"/>
      <c r="U48" s="886"/>
      <c r="V48" s="886"/>
      <c r="W48" s="886"/>
      <c r="X48" s="886"/>
      <c r="Y48" s="904"/>
      <c r="AA48" s="897"/>
      <c r="AC48" s="509">
        <v>33</v>
      </c>
      <c r="AD48" s="808"/>
      <c r="AE48" s="679" t="str">
        <f t="shared" ref="AE48:AE75" si="9">IF(7=7,IF(AD48="","",TRIM(IF(RIGHT(TRIM(AD48),1)="?",LEFT(TRIM(AD48),LEN(TRIM(AD48))-1),TRIM(AD48)))&amp;IF(COUNTIF(AG48:AT48,"X")&gt;0," *",IF(OR(AG48="?",AH48="?",AI48="?",AJ48="?",AK48="?",AL48="?",AM48="?",AN48="?",AO48="?",AP48="?",AQ48="?",AR48="?",AS48="?",AT48="?")," ?",""))),"")</f>
        <v/>
      </c>
      <c r="AF48" s="512" t="str">
        <f>IF(39=39,IF(AD48="","",IF(AG48="X",""&amp;"Céréales contenant du gluten","")&amp;IF(AH48="X",IF(COUNTIF(AG48:AG48,"X")&gt;0,", ","")&amp;"Crustacés","")&amp;IF(AI48="X",IF(COUNTIF(AG48:AH48,"X")&gt;0,", ","")&amp;"Œufs","")&amp;IF(AJ48="X",IF(COUNTIF(AG48:AI48,"X")&gt;0,", ","")&amp;"Poissons","")&amp;IF(AK48="X",IF(COUNTIF(AG48:AJ48,"X")&gt;0,", ","")&amp;"Arachides","")&amp;IF(AL48="X",IF(COUNTIF(AG48:AK48,"X")&gt;0,", ","")&amp;"Soja","")&amp;IF(AM48="X",IF(COUNTIF(AG48:AL48,"X")&gt;0,", ","")&amp;"Lait","")&amp;IF(AN48="X",IF(COUNTIF(AG48:AM48,"X")&gt;0,", ","")&amp;"Fruits à coque","")&amp;IF(AO48="X",IF(COUNTIF(AG48:AN48,"X")&gt;0,", ","")&amp;"Céleri","")&amp;IF(AP48="X",IF(COUNTIF(AG48:AO48,"X")&gt;0,", ","")&amp;"Moutarde","")&amp;IF(AQ48="X",IF(COUNTIF(AG48:AP48,"X")&gt;0,", ","")&amp;"Sésame","")&amp;IF(AR48="X",IF(COUNTIF(AG48:AQ48,"X")&gt;0,", ","")&amp;"Sulfites","")&amp;IF(AS48="X",IF(COUNTIF(AG48:AR48,"X")&gt;0,", ","")&amp;"Lupin","")&amp;IF(AT48="X",IF(COUNTIF(AG48:AS48,"X")&gt;0,", ","")&amp;"Mollusques","")),"")</f>
        <v/>
      </c>
      <c r="AG48" s="513" t="str">
        <f>IF(39=39,IF(AD48="","",BH48),"")</f>
        <v/>
      </c>
      <c r="AH48" s="513" t="str">
        <f>IF(39=39,IF(AD48="","",BK48),"")</f>
        <v/>
      </c>
      <c r="AI48" s="513" t="str">
        <f>IF(39=39,IF(AD48="","",BO48),"")</f>
        <v/>
      </c>
      <c r="AJ48" s="513" t="str">
        <f>IF(39=39,IF(AD48="","",IF(ISNUMBER(SEARCH(" colin ",BC48)),"X",CB48)),"")</f>
        <v/>
      </c>
      <c r="AK48" s="513" t="str">
        <f>IF(39=39,IF(AD48="","",CD48),"")</f>
        <v/>
      </c>
      <c r="AL48" s="513" t="str">
        <f>IF(39=39,IF(AD48="","",CH48),"")</f>
        <v/>
      </c>
      <c r="AM48" s="513" t="str">
        <f>IF(39=39,IF(AD48="","",CO48),"")</f>
        <v/>
      </c>
      <c r="AN48" s="513" t="str">
        <f>IF(39=39,IF(AD48="","",CS48),"")</f>
        <v/>
      </c>
      <c r="AO48" s="513" t="str">
        <f>IF(39=39,IF(AD48="","",CV48),"")</f>
        <v/>
      </c>
      <c r="AP48" s="513" t="str">
        <f>IF(39=39,IF(AD48="","",CY48),"")</f>
        <v/>
      </c>
      <c r="AQ48" s="513" t="str">
        <f>IF(39=39,IF(AD48="","",DB48),"")</f>
        <v/>
      </c>
      <c r="AR48" s="513" t="str">
        <f>IF(39=39,IF(AD48="","",DE48),"")</f>
        <v/>
      </c>
      <c r="AS48" s="513" t="str">
        <f>IF(39=39,IF(AD48="","",DH48),"")</f>
        <v/>
      </c>
      <c r="AT48" s="513" t="str">
        <f>IF(39=39,IF(AD48="","",DN48),"")</f>
        <v/>
      </c>
      <c r="AU48" s="514" t="str">
        <f>IF(39=39,IF(AD48="","",IF(AG48="?",""&amp;"Céréales contenant du gluten","")&amp;IF(AH48="?",IF(COUNTIF(AG48:AG48,"~?")&gt;0,", ","")&amp;"Crustacés","")&amp;IF(AI48="?",IF(COUNTIF(AG48:AH48,"~?")&gt;0,", ","")&amp;"Œufs","")&amp;IF(AJ48="?",IF(COUNTIF(AG48:AI48,"~?")&gt;0,", ","")&amp;"Poissons","")&amp;IF(AK48="?",IF(COUNTIF(AG48:AJ48,"~?")&gt;0,", ","")&amp;"Arachides","")&amp;IF(AL48="?",IF(COUNTIF(AG48:AK48,"~?")&gt;0,", ","")&amp;"Soja","")&amp;IF(AM48="?",IF(COUNTIF(AG48:AL48,"~?")&gt;0,", ","")&amp;"Lait","")&amp;IF(AN48="?",IF(COUNTIF(AG48:AM48,"~?")&gt;0,", ","")&amp;"Fruits à coque","")&amp;IF(AO48="?",IF(COUNTIF(AG48:AN48,"~?")&gt;0,", ","")&amp;"Céleri","")&amp;IF(AP48="?",IF(COUNTIF(AG48:AO48,"~?")&gt;0,", ","")&amp;"Moutarde","")&amp;IF(AQ48="?",IF(COUNTIF(AG48:AP48,"~?")&gt;0,", ","")&amp;"Sésame","")&amp;IF(AR48="?",IF(COUNTIF(AG48:AQ48,"~?")&gt;0,", ","")&amp;"Sulfites","")&amp;IF(AS48="?",IF(COUNTIF(AG48:AR48,"~?")&gt;0,", ","")&amp;"Lupin","")&amp;IF(AT48="?",IF(COUNTIF(AG48:AS48,"~?")&gt;0,", ","")&amp;"Mollusques","")),"")</f>
        <v/>
      </c>
      <c r="AW48" s="493" t="str">
        <f>IF(39=39,IF(AD48="","",AD48),"")</f>
        <v/>
      </c>
      <c r="AX48" s="493" t="str">
        <f>IF(39=39,LOWER(CLEAN(SUBSTITUTE(SUBSTITUTE(SUBSTITUTE(SUBSTITUTE(AW48,CHAR(160)," ")," "," "),CHAR(10)," "),CHAR(13)," "))),"")</f>
        <v/>
      </c>
      <c r="AY48" s="493" t="str">
        <f>IF(39=39,SUBSTITUTE(SUBSTITUTE(SUBSTITUTE(SUBSTITUTE(SUBSTITUTE(SUBSTITUTE(SUBSTITUTE(SUBSTITUTE(SUBSTITUTE(SUBSTITUTE(SUBSTITUTE(SUBSTITUTE(AX48,"œ","oe"),"æ","ae"),"à","a"),"á","a"),"â","a"),"ä","a"),"ã","a"),"ç","c"),"è","e"),"é","e"),"ê","e"),"ë","e"),"")</f>
        <v/>
      </c>
      <c r="AZ48" s="493" t="str">
        <f>IF(39=39,SUBSTITUTE(SUBSTITUTE(SUBSTITUTE(SUBSTITUTE(SUBSTITUTE(SUBSTITUTE(SUBSTITUTE(SUBSTITUTE(SUBSTITUTE(SUBSTITUTE(SUBSTITUTE(SUBSTITUTE(SUBSTITUTE(SUBSTITUTE(SUBSTITUTE(SUBSTITUTE(AY48,"ì","i"),"í","i"),"î","i"),"ï","i"),"ñ","n"),"ò","o"),"ó","o"),"ô","o"),"ö","o"),"õ","o"),"ù","u"),"ú","u"),"û","u"),"ü","u"),"ý","y"),"ÿ","y"),"")</f>
        <v/>
      </c>
      <c r="BA48" s="493" t="str">
        <f>IF(39=39,SUBSTITUTE(SUBSTITUTE(SUBSTITUTE(SUBSTITUTE(SUBSTITUTE(SUBSTITUTE(SUBSTITUTE(SUBSTITUTE(SUBSTITUTE(SUBSTITUTE(SUBSTITUTE(SUBSTITUTE(SUBSTITUTE(SUBSTITUTE(AZ48,"’"," "),"`"," "),"–"," "),"—"," "),"-"," "),"'"," "),"/"," "),"_"," "),","," "),"."," "),"("," "),")"," "),";"," "),":"," "),"")</f>
        <v/>
      </c>
      <c r="BB48" s="493" t="str">
        <f>IF(39=39,SUBSTITUTE(SUBSTITUTE(SUBSTITUTE(SUBSTITUTE(SUBSTITUTE(SUBSTITUTE(SUBSTITUTE(SUBSTITUTE(SUBSTITUTE(SUBSTITUTE(SUBSTITUTE(SUBSTITUTE(SUBSTITUTE(SUBSTITUTE(SUBSTITUTE(BA48,"!"," "),"?"," "),"+"," "),"*"," "),"&amp;"," "),"["," "),"]"," "),"{"," "),"}"," "),"%"," "),"="," "),"\"," "),"|"," "),"&lt;"," "),"&gt;"," "),"")</f>
        <v/>
      </c>
      <c r="BC48" s="493" t="str">
        <f>IF(39=39," "&amp;TRIM(SUBSTITUTE(SUBSTITUTE(SUBSTITUTE(SUBSTITUTE(SUBSTITUTE(SUBSTITUTE(BB48,CHAR(34)," "),"  "," "),"  "," "),"  "," "),"  "," "),"  "," "))&amp;" ","")</f>
        <v xml:space="preserve">  </v>
      </c>
      <c r="BD48" s="493" t="str" cm="1">
        <f t="array" ref="BD48">IF(39=39,IF(AW48="","",SUMPRODUCT(--ISNUMBER(SEARCH(" "&amp;DT11:DT110&amp;" ",BF48)))),"")</f>
        <v/>
      </c>
      <c r="BE48" s="493" t="str" cm="1">
        <f t="array" ref="BE48">IF(39=39,IF(AW48="","",SUMPRODUCT(--ISNUMBER(SEARCH(" "&amp;DT111:DT160&amp;" ",BF48)))),"")</f>
        <v/>
      </c>
      <c r="BF48" s="493" t="str">
        <f>IF(AW48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48,"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48" s="493" t="str" cm="1">
        <f t="array" ref="BG48">IF(AW48="","",SUMPRODUCT(--ISNUMBER(SEARCH(" "&amp;DT193:DT214&amp;" ",BF48)))+--ISNUMBER(SEARCH(" "&amp;DT2463&amp;" ",BF48)))</f>
        <v/>
      </c>
      <c r="BH48" s="493" t="str" cm="1">
        <f t="array" ref="BH48">IF(39=39,IF(AW48="","",IF(SUM(BD48:BE48)+SUMPRODUCT(--ISNUMBER(SEARCH(" "&amp;DT2427:DT2429&amp;" ",BF48)))&gt;0,"X",IF(BG48&gt;0,"?",""))),"")</f>
        <v/>
      </c>
      <c r="BI48" s="493" t="str" cm="1">
        <f t="array" ref="BI48">IF(39=39,IF(AW48="","",SUMPRODUCT(--ISNUMBER(SEARCH(" "&amp;DT215:DT314&amp;" ",BC48)))),"")</f>
        <v/>
      </c>
      <c r="BJ48" s="493" t="str" cm="1">
        <f t="array" ref="BJ48">IF(39=39,IF(AW48="","",SUMPRODUCT(--ISNUMBER(SEARCH(" "&amp;DT315:DT349&amp;" ",BC48)))),"")</f>
        <v/>
      </c>
      <c r="BK48" s="493" t="str">
        <f>IF(39=39,IF(AW48="","",IF((SUM(BI48:BJ48))-(0)&gt;0,"X",IF((0)-(0)&gt;0,"?",""))),"")</f>
        <v/>
      </c>
      <c r="BL48" s="493" t="str" cm="1">
        <f t="array" ref="BL48">IF(39=39,IF(AW48="","",SUMPRODUCT(--ISNUMBER(SEARCH(" "&amp;DT350:DT407&amp;" ",BC48)))),"")</f>
        <v/>
      </c>
      <c r="BM48" s="493" t="str" cm="1">
        <f t="array" ref="BM48">IF(39=39,IF(AW48="","",SUMPRODUCT(--ISNUMBER(SEARCH(" "&amp;DT408:DT435&amp;" ",BN48)))+SUMPRODUCT(--ISNUMBER(SEARCH(" "&amp;DT2449:DT2462&amp;" ",BN48)))),"")</f>
        <v/>
      </c>
      <c r="BN48" s="493" t="str">
        <f>IF(39=39,IF(AW48="","",SUBSTITUTE(SUBSTITUTE(SUBSTITUTE(SUBSTITUTE(SUBSTITUTE(SUBSTITUTE(SUBSTITUTE(SUBSTITUTE(SUBSTITUTE(SUBSTITUTE(SUBSTITUTE(SUBSTITUTE(SUBSTITUTE(SUBSTITUTE(BC48," "&amp;DT2464&amp;" "," ")," "&amp;DT442&amp;" "," ")," "&amp;DT440&amp;" "," ")," "&amp;DT2447&amp;" "," ")," "&amp;DT2448&amp;" "," ")," "&amp;DT437&amp;" "," ")," "&amp;DT441&amp;" "," ")," "&amp;DT443&amp;" "," ")," "&amp;DT438&amp;" "," ")," "&amp;DT436&amp;" "," ")," "&amp;DT1376&amp;" "," ")," "&amp;DT444&amp;" "," ")," "&amp;DT1375&amp;" "," ")," "&amp;DT439&amp;" "," ")),"")</f>
        <v/>
      </c>
      <c r="BO48" s="493" t="str">
        <f>IF(39=39,IF(AW48="","",IF(BL48&gt;0,"X",IF(BM48&gt;0,"?",""))),"")</f>
        <v/>
      </c>
      <c r="BP48" s="493" t="str" cm="1">
        <f t="array" ref="BP48">IF(39=39,IF(AW48="","",SUMPRODUCT(--ISNUMBER(SEARCH(" "&amp;DT445:DT544&amp;" ",BZ48)))),"")</f>
        <v/>
      </c>
      <c r="BQ48" s="493" t="str" cm="1">
        <f t="array" ref="BQ48">IF(39=39,IF(AW48="","",SUMPRODUCT(--ISNUMBER(SEARCH(" "&amp;DT545:DT644&amp;" ",BZ48)))),"")</f>
        <v/>
      </c>
      <c r="BR48" s="493" t="str" cm="1">
        <f t="array" ref="BR48">IF(39=39,IF(AW48="","",SUMPRODUCT(--ISNUMBER(SEARCH(" "&amp;DT645:DT744&amp;" ",BZ48)))),"")</f>
        <v/>
      </c>
      <c r="BS48" s="493" t="str" cm="1">
        <f t="array" ref="BS48">IF(39=39,IF(AW48="","",SUMPRODUCT(--ISNUMBER(SEARCH(" "&amp;DT745:DT844&amp;" ",BZ48)))),"")</f>
        <v/>
      </c>
      <c r="BT48" s="493" t="str" cm="1">
        <f t="array" ref="BT48">IF(39=39,IF(AW48="","",SUMPRODUCT(--ISNUMBER(SEARCH(" "&amp;DT845:DT944&amp;" ",BZ48)))),"")</f>
        <v/>
      </c>
      <c r="BU48" s="493" t="str" cm="1">
        <f t="array" ref="BU48">IF(39=39,IF(AW48="","",SUMPRODUCT(--ISNUMBER(SEARCH(" "&amp;DT945:DT1044&amp;" ",BZ48)))),"")</f>
        <v/>
      </c>
      <c r="BV48" s="493" t="str" cm="1">
        <f t="array" ref="BV48">IF(39=39,IF(AW48="","",SUMPRODUCT(--ISNUMBER(SEARCH(" "&amp;DT1045:DT1144&amp;" ",BZ48)))),"")</f>
        <v/>
      </c>
      <c r="BW48" s="493" t="str" cm="1">
        <f t="array" ref="BW48">IF(39=39,IF(AW48="","",SUMPRODUCT(--ISNUMBER(SEARCH(" "&amp;DT1145:DT1244&amp;" ",BZ48)))),"")</f>
        <v/>
      </c>
      <c r="BX48" s="493" t="str" cm="1">
        <f t="array" ref="BX48">IF(39=39,IF(AW48="","",SUMPRODUCT(--ISNUMBER(SEARCH(" "&amp;DT1245:DT1344&amp;" ",BZ48)))),"")</f>
        <v/>
      </c>
      <c r="BY48" s="493" t="str" cm="1">
        <f t="array" ref="BY48">IF(39=39,IF(AW48="","",SUMPRODUCT(--ISNUMBER(SEARCH(" "&amp;DT1345:DT1372&amp;" ",BZ48)))),"")</f>
        <v/>
      </c>
      <c r="BZ48" s="493" t="str">
        <f>IF(39=39,IF(AW48="","",SUBSTITUTE(SUBSTITUTE(SUBSTITUTE(SUBSTITUTE(SUBSTITUTE(SUBSTITUTE(SUBSTITUTE(SUBSTITUTE(SUBSTITUTE(BC48," "&amp;DT1374&amp;" "," ")," "&amp;DT1373&amp;" "," ")," "&amp;DT1379&amp;" "," ")," "&amp;DT1380&amp;" "," ")," "&amp;DT1376&amp;" "," ")," "&amp;DT1378&amp;" "," ")," "&amp;DT1375&amp;" "," ")," "&amp;DT1377&amp;" "," ")," "&amp;DT1381&amp;" "," ")),"")</f>
        <v/>
      </c>
      <c r="CA48" s="493" t="str" cm="1">
        <f t="array" ref="CA48">IF(39=39,IF(AW48="","",SUMPRODUCT(--ISNUMBER(SEARCH(" "&amp;DT1382:DT1392&amp;" ",BZ48)))),"")</f>
        <v/>
      </c>
      <c r="CB48" s="493" t="str" cm="1">
        <f t="array" ref="CB48">IF(39=39,IF(AW48="","",IF(SUM(BP48:BY48)+SUMPRODUCT(--ISNUMBER(SEARCH(" "&amp;DT2430:DT2431&amp;" ",BZ48)))&gt;0,"X",IF(CA48&gt;0,"?",""))),"")</f>
        <v/>
      </c>
      <c r="CC48" s="493" t="str" cm="1">
        <f t="array" ref="CC48">IF(39=39,IF(AW48="","",SUMPRODUCT(--ISNUMBER(SEARCH(" "&amp;DT1393:DT1413&amp;" ",BC48)))),"")</f>
        <v/>
      </c>
      <c r="CD48" s="493" t="str">
        <f>IF(39=39,IF(AW48="","",IF((CC48)-(0)&gt;0,"X",IF((0)-(0)&gt;0,"?",""))),"")</f>
        <v/>
      </c>
      <c r="CE48" s="493" t="str" cm="1">
        <f t="array" ref="CE48">IF(39=39,IF(AW48="","",SUMPRODUCT(--ISNUMBER(SEARCH(" "&amp;DT1414:DT1451&amp;" ",CF48)))),"")</f>
        <v/>
      </c>
      <c r="CF48" s="493" t="str">
        <f>IF(39=39,IF(AW48="","",SUBSTITUTE(SUBSTITUTE(BC48," "&amp;DT1452&amp;" "," ")," "&amp;DT1453&amp;" "," ")),"")</f>
        <v/>
      </c>
      <c r="CG48" s="493" t="str" cm="1">
        <f t="array" ref="CG48">IF(39=39,IF(AW48="","",SUMPRODUCT(--ISNUMBER(SEARCH(" "&amp;DT1454:DT1464&amp;" ",CF48)))),"")</f>
        <v/>
      </c>
      <c r="CH48" s="493" t="str">
        <f>IF(39=39,IF(AW48="","",IF(CE48&gt;0,"X",IF(CG48&gt;0,"?",""))),"")</f>
        <v/>
      </c>
      <c r="CI48" s="493" t="str" cm="1">
        <f t="array" ref="CI48">IF(39=39,IF(AW48="","",SUMPRODUCT(--ISNUMBER(SEARCH(" "&amp;DT1465:DT1564&amp;" ",CL48)))),"")</f>
        <v/>
      </c>
      <c r="CJ48" s="493" t="str" cm="1">
        <f t="array" ref="CJ48">IF(39=39,IF(AW48="","",SUMPRODUCT(--ISNUMBER(SEARCH(" "&amp;DT1565:DT1664&amp;" ",CL48)))),"")</f>
        <v/>
      </c>
      <c r="CK48" s="493" t="str" cm="1">
        <f t="array" ref="CK48">IF(39=39,IF(AW48="","",SUMPRODUCT(--ISNUMBER(SEARCH(" "&amp;DT1665:DT1748&amp;" ",CL48)))),"")</f>
        <v/>
      </c>
      <c r="CL48" s="493" t="str">
        <f>IF(39=39,IF(AW48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48,"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48" s="493" t="str" cm="1">
        <f t="array" ref="CM48">IF(39=39,IF(AW48="","",SUMPRODUCT(--ISNUMBER(SEARCH(" "&amp;DT1799:DT1878&amp;" ",CN48)))+SUMPRODUCT(--ISNUMBER(SEARCH(" "&amp;DT2449:DT2462&amp;" ",CN48)))),"")</f>
        <v/>
      </c>
      <c r="CN48" s="493" t="str">
        <f>IF(39=39,IF(AW48="","",SUBSTITUTE(SUBSTITUTE(SUBSTITUTE(SUBSTITUTE(SUBSTITUTE(SUBSTITUTE(SUBSTITUTE(SUBSTITUTE(SUBSTITUTE(SUBSTITUTE(SUBSTITUTE(SUBSTITUTE(SUBSTITUTE(CL48," "&amp;DT1885&amp;" "," ")," "&amp;DT1883&amp;" "," ")," "&amp;DT2447&amp;" "," ")," "&amp;DT2448&amp;" "," ")," "&amp;DT1880&amp;" "," ")," "&amp;DT1884&amp;" "," ")," "&amp;DT1886&amp;" "," ")," "&amp;DT1881&amp;" "," ")," "&amp;DT1879&amp;" "," ")," "&amp;DT1376&amp;" "," ")," "&amp;DT1887&amp;" "," ")," "&amp;DT1375&amp;" "," ")," "&amp;DT1882&amp;" "," ")),"")</f>
        <v/>
      </c>
      <c r="CO48" s="493" t="str" cm="1">
        <f t="array" ref="CO48">IF(39=39,IF(AW48="","",IF(SUM(CI48:CK48)+SUMPRODUCT(--ISNUMBER(SEARCH(" "&amp;DT2432:DT2433&amp;" ",CL48)))&gt;0,"X",IF(CM48&gt;0,"?",""))),"")</f>
        <v/>
      </c>
      <c r="CP48" s="493" t="str" cm="1">
        <f t="array" ref="CP48">IF(39=39,IF(AW48="","",SUMPRODUCT(--ISNUMBER(SEARCH(" "&amp;DT1888:DT1945&amp;" ",CQ48)))),"")</f>
        <v/>
      </c>
      <c r="CQ48" s="493" t="str">
        <f>IF(39=39,IF(AW48="","",SUBSTITUTE(SUBSTITUTE(SUBSTITUTE(SUBSTITUTE(SUBSTITUTE(SUBSTITUTE(SUBSTITUTE(SUBSTITUTE(SUBSTITUTE(SUBSTITUTE(SUBSTITUTE(SUBSTITUTE(SUBSTITUTE(SUBSTITUTE(SUBSTITUTE(SUBSTITUTE(SUBSTITUTE(SUBSTITUTE(SUBSTITUTE(SUBSTITUTE(SUBSTITUTE(SUBSTITUTE(SUBSTITUTE(BC48,"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48" s="493" t="str" cm="1">
        <f t="array" ref="CR48">IF(39=39,IF(AW48="","",SUMPRODUCT(--ISNUMBER(SEARCH(" "&amp;DT1969:DT1985&amp;" ",CQ48)))),"")</f>
        <v/>
      </c>
      <c r="CS48" s="493" t="str">
        <f>IF(39=39,IF(AW48="","",IF(CP48&gt;0,"X",IF(CR48&gt;0,"?",""))),"")</f>
        <v/>
      </c>
      <c r="CT48" s="493" t="str" cm="1">
        <f t="array" ref="CT48">IF(39=39,IF(AW48="","",SUMPRODUCT(--ISNUMBER(SEARCH(" "&amp;DT1986:DT1999&amp;" ",BC48)))),"")</f>
        <v/>
      </c>
      <c r="CU48" s="493" t="str" cm="1">
        <f t="array" ref="CU48">IF(39=39,IF(AW48="","",SUMPRODUCT(--ISNUMBER(SEARCH(" "&amp;DT2000:DT2014&amp;" ",BC48)))),"")</f>
        <v/>
      </c>
      <c r="CV48" s="493" t="str">
        <f>IF(39=39,IF(AW48="","",IF((CT48)-(0)&gt;0,"X",IF((CU48)-(0)&gt;0,"?",""))),"")</f>
        <v/>
      </c>
      <c r="CW48" s="493" t="str" cm="1">
        <f t="array" ref="CW48">IF(39=39,IF(AW48="","",SUMPRODUCT(--ISNUMBER(SEARCH(" "&amp;DT2015:DT2032&amp;" ",BC48)))),"")</f>
        <v/>
      </c>
      <c r="CX48" s="493" t="str" cm="1">
        <f t="array" ref="CX48">IF(39=39,IF(AW48="","",SUMPRODUCT(--ISNUMBER(SEARCH(" "&amp;DT2033:DT2047&amp;" ",BC48)))),"")</f>
        <v/>
      </c>
      <c r="CY48" s="493" t="str">
        <f>IF(39=39,IF(AW48="","",IF((CW48)-(0)&gt;0,"X",IF((CX48)-(0)&gt;0,"?",""))),"")</f>
        <v/>
      </c>
      <c r="CZ48" s="493" t="str" cm="1">
        <f t="array" ref="CZ48">IF(39=39,IF(AW48="","",SUMPRODUCT(--ISNUMBER(SEARCH(" "&amp;DT2048:DT2066&amp;" ",BC48)))),"")</f>
        <v/>
      </c>
      <c r="DA48" s="493" t="str" cm="1">
        <f t="array" ref="DA48">IF(39=39,IF(AW48="","",SUMPRODUCT(--ISNUMBER(SEARCH(" "&amp;DT2067:DT2081&amp;" ",BC48)))),"")</f>
        <v/>
      </c>
      <c r="DB48" s="493" t="str">
        <f>IF(39=39,IF(AW48="","",IF((CZ48)-(0)&gt;0,"X",IF((DA48)-(0)&gt;0,"?",""))),"")</f>
        <v/>
      </c>
      <c r="DC48" s="493" t="str" cm="1">
        <f t="array" ref="DC48">IF(39=39,IF(AW48="","",SUMPRODUCT(--ISNUMBER(SEARCH(" "&amp;DT2082:DT2102&amp;" ",BC48)))),"")</f>
        <v/>
      </c>
      <c r="DD48" s="493" t="str" cm="1">
        <f t="array" ref="DD48">IF(39=39,IF(AW48="","",SUMPRODUCT(--ISNUMBER(SEARCH(" "&amp;DT2103:DT2142&amp;" ",SUBSTITUTE(SUBSTITUTE(BC48," "&amp;DT1376&amp;" "," ")," "&amp;DT1375&amp;" "," "))))+--ISNUMBER(SEARCH("poiré",AX48))),"")</f>
        <v/>
      </c>
      <c r="DE48" s="493" t="str">
        <f>IF(39=39,IF(AW48="","",IF(OR(DC48&gt;0,ISNUMBER(SEARCH(" vinaigre de vin ",BC48)),ISNUMBER(SEARCH(" vinaigre au vin ",BC48))),"X",IF(DD48&gt;0,"?",""))),"")</f>
        <v/>
      </c>
      <c r="DF48" s="493" t="str" cm="1">
        <f t="array" ref="DF48">IF(39=39,IF(AW48="","",SUMPRODUCT(--ISNUMBER(SEARCH(" "&amp;DT2143:DT2155&amp;" ",BC48)))),"")</f>
        <v/>
      </c>
      <c r="DG48" s="493" t="str" cm="1">
        <f t="array" ref="DG48">IF(39=39,IF(AW48="","",SUMPRODUCT(--ISNUMBER(SEARCH(" "&amp;DT2156:DT2161&amp;" ",BC48)))),"")</f>
        <v/>
      </c>
      <c r="DH48" s="493" t="str">
        <f>IF(39=39,IF(AW48="","",IF((DF48)-(0)&gt;0,"X",IF((DG48)-(0)&gt;0,"?",""))),"")</f>
        <v/>
      </c>
      <c r="DI48" s="493" t="str" cm="1">
        <f t="array" ref="DI48">IF(39=39,IF(AW48="","",SUMPRODUCT(--ISNUMBER(SEARCH(" "&amp;DT2162:DT2261&amp;" ",DL48)))),"")</f>
        <v/>
      </c>
      <c r="DJ48" s="493" t="str" cm="1">
        <f t="array" ref="DJ48">IF(39=39,IF(AW48="","",SUMPRODUCT(--ISNUMBER(SEARCH(" "&amp;DT2262:DT2361&amp;" ",DL48)))),"")</f>
        <v/>
      </c>
      <c r="DK48" s="493" t="str" cm="1">
        <f t="array" ref="DK48">IF(39=39,IF(AW48="","",SUMPRODUCT(--ISNUMBER(SEARCH(" "&amp;DT2362:DT2404&amp;" ",DL48)))),"")</f>
        <v/>
      </c>
      <c r="DL48" s="493" t="str">
        <f>IF(39=39,IF(AW48="","",SUBSTITUTE(SUBSTITUTE(SUBSTITUTE(SUBSTITUTE(SUBSTITUTE(SUBSTITUTE(SUBSTITUTE(SUBSTITUTE(SUBSTITUTE(SUBSTITUTE(SUBSTITUTE(SUBSTITUTE(SUBSTITUTE(SUBSTITUTE(SUBSTITUTE(SUBSTITUTE(BC48," "&amp;DT2410&amp;" "," ")," "&amp;DT2409&amp;" "," ")," "&amp;DT2408&amp;" "," ")," "&amp;DT2415&amp;" "," ")," "&amp;DT2407&amp;" "," ")," "&amp;DT2419&amp;" "," ")," "&amp;DT2406&amp;" "," ")," "&amp;DT2411&amp;" "," ")," "&amp;DT2414&amp;" "," ")," "&amp;DT2405&amp;" "," ")," "&amp;DT2413&amp;" "," ")," "&amp;DT2420&amp;" "," ")," "&amp;DT2417&amp;" "," ")," "&amp;DT2412&amp;" "," ")," "&amp;DT2416&amp;" "," ")," "&amp;DT2418&amp;" "," ")),"")</f>
        <v/>
      </c>
      <c r="DM48" s="493" t="str" cm="1">
        <f t="array" ref="DM48">IF(39=39,IF(AW48="","",SUMPRODUCT(--ISNUMBER(SEARCH(" "&amp;DT2421:DT2425&amp;" ",DL48)))),"")</f>
        <v/>
      </c>
      <c r="DN48" s="493" t="str">
        <f>IF(39=39,IF(AW48="","",IF(SUM(DI48:DK48)&gt;0,"X",IF(DM48&gt;0,"?",""))),"")</f>
        <v/>
      </c>
      <c r="DO48" s="494"/>
      <c r="DP48" s="496" t="s">
        <v>1209</v>
      </c>
      <c r="DQ48" s="496" t="s">
        <v>1083</v>
      </c>
      <c r="DR48" s="496" t="s">
        <v>689</v>
      </c>
      <c r="DS48" s="496" t="s">
        <v>1210</v>
      </c>
      <c r="DT48" s="496" t="s">
        <v>900</v>
      </c>
      <c r="DU48" s="496" t="s">
        <v>1085</v>
      </c>
      <c r="DV48" s="496" t="s">
        <v>1086</v>
      </c>
      <c r="DW48" s="496" t="s">
        <v>1087</v>
      </c>
      <c r="DX48" s="497" t="s">
        <v>1088</v>
      </c>
      <c r="DZ48" s="543">
        <v>1</v>
      </c>
      <c r="EB48" s="493"/>
      <c r="EC48" s="493"/>
    </row>
    <row r="49" spans="5:133" ht="21" customHeight="1">
      <c r="E49" s="865" t="s">
        <v>737</v>
      </c>
      <c r="F49" s="877" t="str">
        <f>F12</f>
        <v>M MACÉDOINE DE LÉGUMES AU COULIS DE TOMATE | HORS D'ŒUVRE texture modifiée-cuidité-MACEDOINE| Auteur &gt; Annette et Jean Pierre DOMERGUES - 45000 ORLÉANS 1981</v>
      </c>
      <c r="G49" s="877">
        <f>G12</f>
        <v>10</v>
      </c>
      <c r="H49" s="878" t="str">
        <f>H12</f>
        <v>couverts</v>
      </c>
      <c r="I49" s="879" t="str">
        <f>I12</f>
        <v>Recette mère ►  Textures modifiées</v>
      </c>
      <c r="J49" s="889"/>
      <c r="K49" s="889"/>
      <c r="L49" s="891">
        <f>ROWS(P37:P49)</f>
        <v>13</v>
      </c>
      <c r="M49" s="889"/>
      <c r="N49" s="892" t="str">
        <f t="array" ref="N49">SUMPRODUCT(--(P49:W49&lt;&gt;""), LEN(TRIM(SUBSTITUTE(P49:W49, CHAR(160), "")))) &amp; " Car."</f>
        <v>65 Car.</v>
      </c>
      <c r="O49" s="893">
        <f>IF(ISBLANK(P49),"",LARGE(O36:O48,1)+1)</f>
        <v>12</v>
      </c>
      <c r="P49" s="886" t="s">
        <v>6507</v>
      </c>
      <c r="Q49" s="886"/>
      <c r="R49" s="886"/>
      <c r="S49" s="886"/>
      <c r="T49" s="886"/>
      <c r="U49" s="886"/>
      <c r="V49" s="886"/>
      <c r="W49" s="886"/>
      <c r="X49" s="886"/>
      <c r="Y49" s="904"/>
      <c r="AA49" s="897"/>
      <c r="AC49" s="509">
        <v>34</v>
      </c>
      <c r="AD49" s="808"/>
      <c r="AE49" s="679" t="str">
        <f t="shared" si="9"/>
        <v/>
      </c>
      <c r="AF49" s="512" t="str">
        <f>IF(40=40,IF(AD49="","",IF(AG49="X",""&amp;"Céréales contenant du gluten","")&amp;IF(AH49="X",IF(COUNTIF(AG49:AG49,"X")&gt;0,", ","")&amp;"Crustacés","")&amp;IF(AI49="X",IF(COUNTIF(AG49:AH49,"X")&gt;0,", ","")&amp;"Œufs","")&amp;IF(AJ49="X",IF(COUNTIF(AG49:AI49,"X")&gt;0,", ","")&amp;"Poissons","")&amp;IF(AK49="X",IF(COUNTIF(AG49:AJ49,"X")&gt;0,", ","")&amp;"Arachides","")&amp;IF(AL49="X",IF(COUNTIF(AG49:AK49,"X")&gt;0,", ","")&amp;"Soja","")&amp;IF(AM49="X",IF(COUNTIF(AG49:AL49,"X")&gt;0,", ","")&amp;"Lait","")&amp;IF(AN49="X",IF(COUNTIF(AG49:AM49,"X")&gt;0,", ","")&amp;"Fruits à coque","")&amp;IF(AO49="X",IF(COUNTIF(AG49:AN49,"X")&gt;0,", ","")&amp;"Céleri","")&amp;IF(AP49="X",IF(COUNTIF(AG49:AO49,"X")&gt;0,", ","")&amp;"Moutarde","")&amp;IF(AQ49="X",IF(COUNTIF(AG49:AP49,"X")&gt;0,", ","")&amp;"Sésame","")&amp;IF(AR49="X",IF(COUNTIF(AG49:AQ49,"X")&gt;0,", ","")&amp;"Sulfites","")&amp;IF(AS49="X",IF(COUNTIF(AG49:AR49,"X")&gt;0,", ","")&amp;"Lupin","")&amp;IF(AT49="X",IF(COUNTIF(AG49:AS49,"X")&gt;0,", ","")&amp;"Mollusques","")),"")</f>
        <v/>
      </c>
      <c r="AG49" s="513" t="str">
        <f>IF(40=40,IF(AD49="","",BH49),"")</f>
        <v/>
      </c>
      <c r="AH49" s="513" t="str">
        <f>IF(40=40,IF(AD49="","",BK49),"")</f>
        <v/>
      </c>
      <c r="AI49" s="513" t="str">
        <f>IF(40=40,IF(AD49="","",BO49),"")</f>
        <v/>
      </c>
      <c r="AJ49" s="513" t="str">
        <f>IF(40=40,IF(AD49="","",IF(ISNUMBER(SEARCH(" colin ",BC49)),"X",CB49)),"")</f>
        <v/>
      </c>
      <c r="AK49" s="513" t="str">
        <f>IF(40=40,IF(AD49="","",CD49),"")</f>
        <v/>
      </c>
      <c r="AL49" s="513" t="str">
        <f>IF(40=40,IF(AD49="","",CH49),"")</f>
        <v/>
      </c>
      <c r="AM49" s="513" t="str">
        <f>IF(40=40,IF(AD49="","",CO49),"")</f>
        <v/>
      </c>
      <c r="AN49" s="513" t="str">
        <f>IF(40=40,IF(AD49="","",CS49),"")</f>
        <v/>
      </c>
      <c r="AO49" s="513" t="str">
        <f>IF(40=40,IF(AD49="","",CV49),"")</f>
        <v/>
      </c>
      <c r="AP49" s="513" t="str">
        <f>IF(40=40,IF(AD49="","",CY49),"")</f>
        <v/>
      </c>
      <c r="AQ49" s="513" t="str">
        <f>IF(40=40,IF(AD49="","",DB49),"")</f>
        <v/>
      </c>
      <c r="AR49" s="513" t="str">
        <f>IF(40=40,IF(AD49="","",DE49),"")</f>
        <v/>
      </c>
      <c r="AS49" s="513" t="str">
        <f>IF(40=40,IF(AD49="","",DH49),"")</f>
        <v/>
      </c>
      <c r="AT49" s="513" t="str">
        <f>IF(40=40,IF(AD49="","",DN49),"")</f>
        <v/>
      </c>
      <c r="AU49" s="514" t="str">
        <f>IF(40=40,IF(AD49="","",IF(AG49="?",""&amp;"Céréales contenant du gluten","")&amp;IF(AH49="?",IF(COUNTIF(AG49:AG49,"~?")&gt;0,", ","")&amp;"Crustacés","")&amp;IF(AI49="?",IF(COUNTIF(AG49:AH49,"~?")&gt;0,", ","")&amp;"Œufs","")&amp;IF(AJ49="?",IF(COUNTIF(AG49:AI49,"~?")&gt;0,", ","")&amp;"Poissons","")&amp;IF(AK49="?",IF(COUNTIF(AG49:AJ49,"~?")&gt;0,", ","")&amp;"Arachides","")&amp;IF(AL49="?",IF(COUNTIF(AG49:AK49,"~?")&gt;0,", ","")&amp;"Soja","")&amp;IF(AM49="?",IF(COUNTIF(AG49:AL49,"~?")&gt;0,", ","")&amp;"Lait","")&amp;IF(AN49="?",IF(COUNTIF(AG49:AM49,"~?")&gt;0,", ","")&amp;"Fruits à coque","")&amp;IF(AO49="?",IF(COUNTIF(AG49:AN49,"~?")&gt;0,", ","")&amp;"Céleri","")&amp;IF(AP49="?",IF(COUNTIF(AG49:AO49,"~?")&gt;0,", ","")&amp;"Moutarde","")&amp;IF(AQ49="?",IF(COUNTIF(AG49:AP49,"~?")&gt;0,", ","")&amp;"Sésame","")&amp;IF(AR49="?",IF(COUNTIF(AG49:AQ49,"~?")&gt;0,", ","")&amp;"Sulfites","")&amp;IF(AS49="?",IF(COUNTIF(AG49:AR49,"~?")&gt;0,", ","")&amp;"Lupin","")&amp;IF(AT49="?",IF(COUNTIF(AG49:AS49,"~?")&gt;0,", ","")&amp;"Mollusques","")),"")</f>
        <v/>
      </c>
      <c r="AW49" s="493" t="str">
        <f>IF(40=40,IF(AD49="","",AD49),"")</f>
        <v/>
      </c>
      <c r="AX49" s="493" t="str">
        <f>IF(40=40,LOWER(CLEAN(SUBSTITUTE(SUBSTITUTE(SUBSTITUTE(SUBSTITUTE(AW49,CHAR(160)," ")," "," "),CHAR(10)," "),CHAR(13)," "))),"")</f>
        <v/>
      </c>
      <c r="AY49" s="493" t="str">
        <f>IF(40=40,SUBSTITUTE(SUBSTITUTE(SUBSTITUTE(SUBSTITUTE(SUBSTITUTE(SUBSTITUTE(SUBSTITUTE(SUBSTITUTE(SUBSTITUTE(SUBSTITUTE(SUBSTITUTE(SUBSTITUTE(AX49,"œ","oe"),"æ","ae"),"à","a"),"á","a"),"â","a"),"ä","a"),"ã","a"),"ç","c"),"è","e"),"é","e"),"ê","e"),"ë","e"),"")</f>
        <v/>
      </c>
      <c r="AZ49" s="493" t="str">
        <f>IF(40=40,SUBSTITUTE(SUBSTITUTE(SUBSTITUTE(SUBSTITUTE(SUBSTITUTE(SUBSTITUTE(SUBSTITUTE(SUBSTITUTE(SUBSTITUTE(SUBSTITUTE(SUBSTITUTE(SUBSTITUTE(SUBSTITUTE(SUBSTITUTE(SUBSTITUTE(SUBSTITUTE(AY49,"ì","i"),"í","i"),"î","i"),"ï","i"),"ñ","n"),"ò","o"),"ó","o"),"ô","o"),"ö","o"),"õ","o"),"ù","u"),"ú","u"),"û","u"),"ü","u"),"ý","y"),"ÿ","y"),"")</f>
        <v/>
      </c>
      <c r="BA49" s="493" t="str">
        <f>IF(40=40,SUBSTITUTE(SUBSTITUTE(SUBSTITUTE(SUBSTITUTE(SUBSTITUTE(SUBSTITUTE(SUBSTITUTE(SUBSTITUTE(SUBSTITUTE(SUBSTITUTE(SUBSTITUTE(SUBSTITUTE(SUBSTITUTE(SUBSTITUTE(AZ49,"’"," "),"`"," "),"–"," "),"—"," "),"-"," "),"'"," "),"/"," "),"_"," "),","," "),"."," "),"("," "),")"," "),";"," "),":"," "),"")</f>
        <v/>
      </c>
      <c r="BB49" s="493" t="str">
        <f>IF(40=40,SUBSTITUTE(SUBSTITUTE(SUBSTITUTE(SUBSTITUTE(SUBSTITUTE(SUBSTITUTE(SUBSTITUTE(SUBSTITUTE(SUBSTITUTE(SUBSTITUTE(SUBSTITUTE(SUBSTITUTE(SUBSTITUTE(SUBSTITUTE(SUBSTITUTE(BA49,"!"," "),"?"," "),"+"," "),"*"," "),"&amp;"," "),"["," "),"]"," "),"{"," "),"}"," "),"%"," "),"="," "),"\"," "),"|"," "),"&lt;"," "),"&gt;"," "),"")</f>
        <v/>
      </c>
      <c r="BC49" s="493" t="str">
        <f>IF(40=40," "&amp;TRIM(SUBSTITUTE(SUBSTITUTE(SUBSTITUTE(SUBSTITUTE(SUBSTITUTE(SUBSTITUTE(BB49,CHAR(34)," "),"  "," "),"  "," "),"  "," "),"  "," "),"  "," "))&amp;" ","")</f>
        <v xml:space="preserve">  </v>
      </c>
      <c r="BD49" s="493" t="str" cm="1">
        <f t="array" ref="BD49">IF(40=40,IF(AW49="","",SUMPRODUCT(--ISNUMBER(SEARCH(" "&amp;DT11:DT110&amp;" ",BF49)))),"")</f>
        <v/>
      </c>
      <c r="BE49" s="493" t="str" cm="1">
        <f t="array" ref="BE49">IF(40=40,IF(AW49="","",SUMPRODUCT(--ISNUMBER(SEARCH(" "&amp;DT111:DT160&amp;" ",BF49)))),"")</f>
        <v/>
      </c>
      <c r="BF49" s="493" t="str">
        <f>IF(AW49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49,"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49" s="493" t="str" cm="1">
        <f t="array" ref="BG49">IF(AW49="","",SUMPRODUCT(--ISNUMBER(SEARCH(" "&amp;DT193:DT214&amp;" ",BF49)))+--ISNUMBER(SEARCH(" "&amp;DT2463&amp;" ",BF49)))</f>
        <v/>
      </c>
      <c r="BH49" s="493" t="str" cm="1">
        <f t="array" ref="BH49">IF(40=40,IF(AW49="","",IF(SUM(BD49:BE49)+SUMPRODUCT(--ISNUMBER(SEARCH(" "&amp;DT2427:DT2429&amp;" ",BF49)))&gt;0,"X",IF(BG49&gt;0,"?",""))),"")</f>
        <v/>
      </c>
      <c r="BI49" s="493" t="str" cm="1">
        <f t="array" ref="BI49">IF(40=40,IF(AW49="","",SUMPRODUCT(--ISNUMBER(SEARCH(" "&amp;DT215:DT314&amp;" ",BC49)))),"")</f>
        <v/>
      </c>
      <c r="BJ49" s="493" t="str" cm="1">
        <f t="array" ref="BJ49">IF(40=40,IF(AW49="","",SUMPRODUCT(--ISNUMBER(SEARCH(" "&amp;DT315:DT349&amp;" ",BC49)))),"")</f>
        <v/>
      </c>
      <c r="BK49" s="493" t="str">
        <f>IF(40=40,IF(AW49="","",IF((SUM(BI49:BJ49))-(0)&gt;0,"X",IF((0)-(0)&gt;0,"?",""))),"")</f>
        <v/>
      </c>
      <c r="BL49" s="493" t="str" cm="1">
        <f t="array" ref="BL49">IF(40=40,IF(AW49="","",SUMPRODUCT(--ISNUMBER(SEARCH(" "&amp;DT350:DT407&amp;" ",BC49)))),"")</f>
        <v/>
      </c>
      <c r="BM49" s="493" t="str" cm="1">
        <f t="array" ref="BM49">IF(40=40,IF(AW49="","",SUMPRODUCT(--ISNUMBER(SEARCH(" "&amp;DT408:DT435&amp;" ",BN49)))+SUMPRODUCT(--ISNUMBER(SEARCH(" "&amp;DT2449:DT2462&amp;" ",BN49)))),"")</f>
        <v/>
      </c>
      <c r="BN49" s="493" t="str">
        <f>IF(40=40,IF(AW49="","",SUBSTITUTE(SUBSTITUTE(SUBSTITUTE(SUBSTITUTE(SUBSTITUTE(SUBSTITUTE(SUBSTITUTE(SUBSTITUTE(SUBSTITUTE(SUBSTITUTE(SUBSTITUTE(SUBSTITUTE(SUBSTITUTE(SUBSTITUTE(BC49," "&amp;DT2464&amp;" "," ")," "&amp;DT442&amp;" "," ")," "&amp;DT440&amp;" "," ")," "&amp;DT2447&amp;" "," ")," "&amp;DT2448&amp;" "," ")," "&amp;DT437&amp;" "," ")," "&amp;DT441&amp;" "," ")," "&amp;DT443&amp;" "," ")," "&amp;DT438&amp;" "," ")," "&amp;DT436&amp;" "," ")," "&amp;DT1376&amp;" "," ")," "&amp;DT444&amp;" "," ")," "&amp;DT1375&amp;" "," ")," "&amp;DT439&amp;" "," ")),"")</f>
        <v/>
      </c>
      <c r="BO49" s="493" t="str">
        <f>IF(40=40,IF(AW49="","",IF(BL49&gt;0,"X",IF(BM49&gt;0,"?",""))),"")</f>
        <v/>
      </c>
      <c r="BP49" s="493" t="str" cm="1">
        <f t="array" ref="BP49">IF(40=40,IF(AW49="","",SUMPRODUCT(--ISNUMBER(SEARCH(" "&amp;DT445:DT544&amp;" ",BZ49)))),"")</f>
        <v/>
      </c>
      <c r="BQ49" s="493" t="str" cm="1">
        <f t="array" ref="BQ49">IF(40=40,IF(AW49="","",SUMPRODUCT(--ISNUMBER(SEARCH(" "&amp;DT545:DT644&amp;" ",BZ49)))),"")</f>
        <v/>
      </c>
      <c r="BR49" s="493" t="str" cm="1">
        <f t="array" ref="BR49">IF(40=40,IF(AW49="","",SUMPRODUCT(--ISNUMBER(SEARCH(" "&amp;DT645:DT744&amp;" ",BZ49)))),"")</f>
        <v/>
      </c>
      <c r="BS49" s="493" t="str" cm="1">
        <f t="array" ref="BS49">IF(40=40,IF(AW49="","",SUMPRODUCT(--ISNUMBER(SEARCH(" "&amp;DT745:DT844&amp;" ",BZ49)))),"")</f>
        <v/>
      </c>
      <c r="BT49" s="493" t="str" cm="1">
        <f t="array" ref="BT49">IF(40=40,IF(AW49="","",SUMPRODUCT(--ISNUMBER(SEARCH(" "&amp;DT845:DT944&amp;" ",BZ49)))),"")</f>
        <v/>
      </c>
      <c r="BU49" s="493" t="str" cm="1">
        <f t="array" ref="BU49">IF(40=40,IF(AW49="","",SUMPRODUCT(--ISNUMBER(SEARCH(" "&amp;DT945:DT1044&amp;" ",BZ49)))),"")</f>
        <v/>
      </c>
      <c r="BV49" s="493" t="str" cm="1">
        <f t="array" ref="BV49">IF(40=40,IF(AW49="","",SUMPRODUCT(--ISNUMBER(SEARCH(" "&amp;DT1045:DT1144&amp;" ",BZ49)))),"")</f>
        <v/>
      </c>
      <c r="BW49" s="493" t="str" cm="1">
        <f t="array" ref="BW49">IF(40=40,IF(AW49="","",SUMPRODUCT(--ISNUMBER(SEARCH(" "&amp;DT1145:DT1244&amp;" ",BZ49)))),"")</f>
        <v/>
      </c>
      <c r="BX49" s="493" t="str" cm="1">
        <f t="array" ref="BX49">IF(40=40,IF(AW49="","",SUMPRODUCT(--ISNUMBER(SEARCH(" "&amp;DT1245:DT1344&amp;" ",BZ49)))),"")</f>
        <v/>
      </c>
      <c r="BY49" s="493" t="str" cm="1">
        <f t="array" ref="BY49">IF(40=40,IF(AW49="","",SUMPRODUCT(--ISNUMBER(SEARCH(" "&amp;DT1345:DT1372&amp;" ",BZ49)))),"")</f>
        <v/>
      </c>
      <c r="BZ49" s="493" t="str">
        <f>IF(40=40,IF(AW49="","",SUBSTITUTE(SUBSTITUTE(SUBSTITUTE(SUBSTITUTE(SUBSTITUTE(SUBSTITUTE(SUBSTITUTE(SUBSTITUTE(SUBSTITUTE(BC49," "&amp;DT1374&amp;" "," ")," "&amp;DT1373&amp;" "," ")," "&amp;DT1379&amp;" "," ")," "&amp;DT1380&amp;" "," ")," "&amp;DT1376&amp;" "," ")," "&amp;DT1378&amp;" "," ")," "&amp;DT1375&amp;" "," ")," "&amp;DT1377&amp;" "," ")," "&amp;DT1381&amp;" "," ")),"")</f>
        <v/>
      </c>
      <c r="CA49" s="493" t="str" cm="1">
        <f t="array" ref="CA49">IF(40=40,IF(AW49="","",SUMPRODUCT(--ISNUMBER(SEARCH(" "&amp;DT1382:DT1392&amp;" ",BZ49)))),"")</f>
        <v/>
      </c>
      <c r="CB49" s="493" t="str" cm="1">
        <f t="array" ref="CB49">IF(40=40,IF(AW49="","",IF(SUM(BP49:BY49)+SUMPRODUCT(--ISNUMBER(SEARCH(" "&amp;DT2430:DT2431&amp;" ",BZ49)))&gt;0,"X",IF(CA49&gt;0,"?",""))),"")</f>
        <v/>
      </c>
      <c r="CC49" s="493" t="str" cm="1">
        <f t="array" ref="CC49">IF(40=40,IF(AW49="","",SUMPRODUCT(--ISNUMBER(SEARCH(" "&amp;DT1393:DT1413&amp;" ",BC49)))),"")</f>
        <v/>
      </c>
      <c r="CD49" s="493" t="str">
        <f>IF(40=40,IF(AW49="","",IF((CC49)-(0)&gt;0,"X",IF((0)-(0)&gt;0,"?",""))),"")</f>
        <v/>
      </c>
      <c r="CE49" s="493" t="str" cm="1">
        <f t="array" ref="CE49">IF(40=40,IF(AW49="","",SUMPRODUCT(--ISNUMBER(SEARCH(" "&amp;DT1414:DT1451&amp;" ",CF49)))),"")</f>
        <v/>
      </c>
      <c r="CF49" s="493" t="str">
        <f>IF(40=40,IF(AW49="","",SUBSTITUTE(SUBSTITUTE(BC49," "&amp;DT1452&amp;" "," ")," "&amp;DT1453&amp;" "," ")),"")</f>
        <v/>
      </c>
      <c r="CG49" s="493" t="str" cm="1">
        <f t="array" ref="CG49">IF(40=40,IF(AW49="","",SUMPRODUCT(--ISNUMBER(SEARCH(" "&amp;DT1454:DT1464&amp;" ",CF49)))),"")</f>
        <v/>
      </c>
      <c r="CH49" s="493" t="str">
        <f>IF(40=40,IF(AW49="","",IF(CE49&gt;0,"X",IF(CG49&gt;0,"?",""))),"")</f>
        <v/>
      </c>
      <c r="CI49" s="493" t="str" cm="1">
        <f t="array" ref="CI49">IF(40=40,IF(AW49="","",SUMPRODUCT(--ISNUMBER(SEARCH(" "&amp;DT1465:DT1564&amp;" ",CL49)))),"")</f>
        <v/>
      </c>
      <c r="CJ49" s="493" t="str" cm="1">
        <f t="array" ref="CJ49">IF(40=40,IF(AW49="","",SUMPRODUCT(--ISNUMBER(SEARCH(" "&amp;DT1565:DT1664&amp;" ",CL49)))),"")</f>
        <v/>
      </c>
      <c r="CK49" s="493" t="str" cm="1">
        <f t="array" ref="CK49">IF(40=40,IF(AW49="","",SUMPRODUCT(--ISNUMBER(SEARCH(" "&amp;DT1665:DT1748&amp;" ",CL49)))),"")</f>
        <v/>
      </c>
      <c r="CL49" s="493" t="str">
        <f>IF(40=40,IF(AW49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49,"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49" s="493" t="str" cm="1">
        <f t="array" ref="CM49">IF(40=40,IF(AW49="","",SUMPRODUCT(--ISNUMBER(SEARCH(" "&amp;DT1799:DT1878&amp;" ",CN49)))+SUMPRODUCT(--ISNUMBER(SEARCH(" "&amp;DT2449:DT2462&amp;" ",CN49)))),"")</f>
        <v/>
      </c>
      <c r="CN49" s="493" t="str">
        <f>IF(40=40,IF(AW49="","",SUBSTITUTE(SUBSTITUTE(SUBSTITUTE(SUBSTITUTE(SUBSTITUTE(SUBSTITUTE(SUBSTITUTE(SUBSTITUTE(SUBSTITUTE(SUBSTITUTE(SUBSTITUTE(SUBSTITUTE(SUBSTITUTE(CL49," "&amp;DT1885&amp;" "," ")," "&amp;DT1883&amp;" "," ")," "&amp;DT2447&amp;" "," ")," "&amp;DT2448&amp;" "," ")," "&amp;DT1880&amp;" "," ")," "&amp;DT1884&amp;" "," ")," "&amp;DT1886&amp;" "," ")," "&amp;DT1881&amp;" "," ")," "&amp;DT1879&amp;" "," ")," "&amp;DT1376&amp;" "," ")," "&amp;DT1887&amp;" "," ")," "&amp;DT1375&amp;" "," ")," "&amp;DT1882&amp;" "," ")),"")</f>
        <v/>
      </c>
      <c r="CO49" s="493" t="str" cm="1">
        <f t="array" ref="CO49">IF(40=40,IF(AW49="","",IF(SUM(CI49:CK49)+SUMPRODUCT(--ISNUMBER(SEARCH(" "&amp;DT2432:DT2433&amp;" ",CL49)))&gt;0,"X",IF(CM49&gt;0,"?",""))),"")</f>
        <v/>
      </c>
      <c r="CP49" s="493" t="str" cm="1">
        <f t="array" ref="CP49">IF(40=40,IF(AW49="","",SUMPRODUCT(--ISNUMBER(SEARCH(" "&amp;DT1888:DT1945&amp;" ",CQ49)))),"")</f>
        <v/>
      </c>
      <c r="CQ49" s="493" t="str">
        <f>IF(40=40,IF(AW49="","",SUBSTITUTE(SUBSTITUTE(SUBSTITUTE(SUBSTITUTE(SUBSTITUTE(SUBSTITUTE(SUBSTITUTE(SUBSTITUTE(SUBSTITUTE(SUBSTITUTE(SUBSTITUTE(SUBSTITUTE(SUBSTITUTE(SUBSTITUTE(SUBSTITUTE(SUBSTITUTE(SUBSTITUTE(SUBSTITUTE(SUBSTITUTE(SUBSTITUTE(SUBSTITUTE(SUBSTITUTE(SUBSTITUTE(BC49,"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49" s="493" t="str" cm="1">
        <f t="array" ref="CR49">IF(40=40,IF(AW49="","",SUMPRODUCT(--ISNUMBER(SEARCH(" "&amp;DT1969:DT1985&amp;" ",CQ49)))),"")</f>
        <v/>
      </c>
      <c r="CS49" s="493" t="str">
        <f>IF(40=40,IF(AW49="","",IF(CP49&gt;0,"X",IF(CR49&gt;0,"?",""))),"")</f>
        <v/>
      </c>
      <c r="CT49" s="493" t="str" cm="1">
        <f t="array" ref="CT49">IF(40=40,IF(AW49="","",SUMPRODUCT(--ISNUMBER(SEARCH(" "&amp;DT1986:DT1999&amp;" ",BC49)))),"")</f>
        <v/>
      </c>
      <c r="CU49" s="493" t="str" cm="1">
        <f t="array" ref="CU49">IF(40=40,IF(AW49="","",SUMPRODUCT(--ISNUMBER(SEARCH(" "&amp;DT2000:DT2014&amp;" ",BC49)))),"")</f>
        <v/>
      </c>
      <c r="CV49" s="493" t="str">
        <f>IF(40=40,IF(AW49="","",IF((CT49)-(0)&gt;0,"X",IF((CU49)-(0)&gt;0,"?",""))),"")</f>
        <v/>
      </c>
      <c r="CW49" s="493" t="str" cm="1">
        <f t="array" ref="CW49">IF(40=40,IF(AW49="","",SUMPRODUCT(--ISNUMBER(SEARCH(" "&amp;DT2015:DT2032&amp;" ",BC49)))),"")</f>
        <v/>
      </c>
      <c r="CX49" s="493" t="str" cm="1">
        <f t="array" ref="CX49">IF(40=40,IF(AW49="","",SUMPRODUCT(--ISNUMBER(SEARCH(" "&amp;DT2033:DT2047&amp;" ",BC49)))),"")</f>
        <v/>
      </c>
      <c r="CY49" s="493" t="str">
        <f>IF(40=40,IF(AW49="","",IF((CW49)-(0)&gt;0,"X",IF((CX49)-(0)&gt;0,"?",""))),"")</f>
        <v/>
      </c>
      <c r="CZ49" s="493" t="str" cm="1">
        <f t="array" ref="CZ49">IF(40=40,IF(AW49="","",SUMPRODUCT(--ISNUMBER(SEARCH(" "&amp;DT2048:DT2066&amp;" ",BC49)))),"")</f>
        <v/>
      </c>
      <c r="DA49" s="493" t="str" cm="1">
        <f t="array" ref="DA49">IF(40=40,IF(AW49="","",SUMPRODUCT(--ISNUMBER(SEARCH(" "&amp;DT2067:DT2081&amp;" ",BC49)))),"")</f>
        <v/>
      </c>
      <c r="DB49" s="493" t="str">
        <f>IF(40=40,IF(AW49="","",IF((CZ49)-(0)&gt;0,"X",IF((DA49)-(0)&gt;0,"?",""))),"")</f>
        <v/>
      </c>
      <c r="DC49" s="493" t="str" cm="1">
        <f t="array" ref="DC49">IF(40=40,IF(AW49="","",SUMPRODUCT(--ISNUMBER(SEARCH(" "&amp;DT2082:DT2102&amp;" ",BC49)))),"")</f>
        <v/>
      </c>
      <c r="DD49" s="493" t="str" cm="1">
        <f t="array" ref="DD49">IF(40=40,IF(AW49="","",SUMPRODUCT(--ISNUMBER(SEARCH(" "&amp;DT2103:DT2142&amp;" ",SUBSTITUTE(SUBSTITUTE(BC49," "&amp;DT1376&amp;" "," ")," "&amp;DT1375&amp;" "," "))))+--ISNUMBER(SEARCH("poiré",AX49))),"")</f>
        <v/>
      </c>
      <c r="DE49" s="493" t="str">
        <f>IF(40=40,IF(AW49="","",IF(OR(DC49&gt;0,ISNUMBER(SEARCH(" vinaigre de vin ",BC49)),ISNUMBER(SEARCH(" vinaigre au vin ",BC49))),"X",IF(DD49&gt;0,"?",""))),"")</f>
        <v/>
      </c>
      <c r="DF49" s="493" t="str" cm="1">
        <f t="array" ref="DF49">IF(40=40,IF(AW49="","",SUMPRODUCT(--ISNUMBER(SEARCH(" "&amp;DT2143:DT2155&amp;" ",BC49)))),"")</f>
        <v/>
      </c>
      <c r="DG49" s="493" t="str" cm="1">
        <f t="array" ref="DG49">IF(40=40,IF(AW49="","",SUMPRODUCT(--ISNUMBER(SEARCH(" "&amp;DT2156:DT2161&amp;" ",BC49)))),"")</f>
        <v/>
      </c>
      <c r="DH49" s="493" t="str">
        <f>IF(40=40,IF(AW49="","",IF((DF49)-(0)&gt;0,"X",IF((DG49)-(0)&gt;0,"?",""))),"")</f>
        <v/>
      </c>
      <c r="DI49" s="493" t="str" cm="1">
        <f t="array" ref="DI49">IF(40=40,IF(AW49="","",SUMPRODUCT(--ISNUMBER(SEARCH(" "&amp;DT2162:DT2261&amp;" ",DL49)))),"")</f>
        <v/>
      </c>
      <c r="DJ49" s="493" t="str" cm="1">
        <f t="array" ref="DJ49">IF(40=40,IF(AW49="","",SUMPRODUCT(--ISNUMBER(SEARCH(" "&amp;DT2262:DT2361&amp;" ",DL49)))),"")</f>
        <v/>
      </c>
      <c r="DK49" s="493" t="str" cm="1">
        <f t="array" ref="DK49">IF(40=40,IF(AW49="","",SUMPRODUCT(--ISNUMBER(SEARCH(" "&amp;DT2362:DT2404&amp;" ",DL49)))),"")</f>
        <v/>
      </c>
      <c r="DL49" s="493" t="str">
        <f>IF(40=40,IF(AW49="","",SUBSTITUTE(SUBSTITUTE(SUBSTITUTE(SUBSTITUTE(SUBSTITUTE(SUBSTITUTE(SUBSTITUTE(SUBSTITUTE(SUBSTITUTE(SUBSTITUTE(SUBSTITUTE(SUBSTITUTE(SUBSTITUTE(SUBSTITUTE(SUBSTITUTE(SUBSTITUTE(BC49," "&amp;DT2410&amp;" "," ")," "&amp;DT2409&amp;" "," ")," "&amp;DT2408&amp;" "," ")," "&amp;DT2415&amp;" "," ")," "&amp;DT2407&amp;" "," ")," "&amp;DT2419&amp;" "," ")," "&amp;DT2406&amp;" "," ")," "&amp;DT2411&amp;" "," ")," "&amp;DT2414&amp;" "," ")," "&amp;DT2405&amp;" "," ")," "&amp;DT2413&amp;" "," ")," "&amp;DT2420&amp;" "," ")," "&amp;DT2417&amp;" "," ")," "&amp;DT2412&amp;" "," ")," "&amp;DT2416&amp;" "," ")," "&amp;DT2418&amp;" "," ")),"")</f>
        <v/>
      </c>
      <c r="DM49" s="493" t="str" cm="1">
        <f t="array" ref="DM49">IF(40=40,IF(AW49="","",SUMPRODUCT(--ISNUMBER(SEARCH(" "&amp;DT2421:DT2425&amp;" ",DL49)))),"")</f>
        <v/>
      </c>
      <c r="DN49" s="493" t="str">
        <f>IF(40=40,IF(AW49="","",IF(SUM(DI49:DK49)&gt;0,"X",IF(DM49&gt;0,"?",""))),"")</f>
        <v/>
      </c>
      <c r="DO49" s="494"/>
      <c r="DP49" s="496" t="s">
        <v>1211</v>
      </c>
      <c r="DQ49" s="496" t="s">
        <v>1083</v>
      </c>
      <c r="DR49" s="496" t="s">
        <v>689</v>
      </c>
      <c r="DS49" s="496" t="s">
        <v>1212</v>
      </c>
      <c r="DT49" s="496" t="s">
        <v>901</v>
      </c>
      <c r="DU49" s="496" t="s">
        <v>1085</v>
      </c>
      <c r="DV49" s="496" t="s">
        <v>1086</v>
      </c>
      <c r="DW49" s="496" t="s">
        <v>1087</v>
      </c>
      <c r="DX49" s="497" t="s">
        <v>1088</v>
      </c>
      <c r="DZ49" s="543">
        <v>1</v>
      </c>
      <c r="EB49" s="493"/>
      <c r="EC49" s="493"/>
    </row>
    <row r="50" spans="5:133" ht="21" customHeight="1">
      <c r="E50" s="865" t="s">
        <v>737</v>
      </c>
      <c r="F50" s="877" t="str">
        <f>F12</f>
        <v>M MACÉDOINE DE LÉGUMES AU COULIS DE TOMATE | HORS D'ŒUVRE texture modifiée-cuidité-MACEDOINE| Auteur &gt; Annette et Jean Pierre DOMERGUES - 45000 ORLÉANS 1981</v>
      </c>
      <c r="G50" s="877">
        <f>G12</f>
        <v>10</v>
      </c>
      <c r="H50" s="878" t="str">
        <f>H12</f>
        <v>couverts</v>
      </c>
      <c r="I50" s="879" t="str">
        <f>I12</f>
        <v>Recette mère ►  Textures modifiées</v>
      </c>
      <c r="J50" s="889"/>
      <c r="K50" s="889"/>
      <c r="L50" s="891">
        <f>ROWS(P37:P50)</f>
        <v>14</v>
      </c>
      <c r="M50" s="889"/>
      <c r="N50" s="892" t="str">
        <f t="array" ref="N50">SUMPRODUCT(--(P50:W50&lt;&gt;""), LEN(TRIM(SUBSTITUTE(P50:W50, CHAR(160), "")))) &amp; " Car."</f>
        <v>41 Car.</v>
      </c>
      <c r="O50" s="893">
        <f>IF(ISBLANK(P50),"",LARGE(O36:O49,1)+1)</f>
        <v>13</v>
      </c>
      <c r="P50" s="886" t="s">
        <v>286</v>
      </c>
      <c r="Q50" s="886"/>
      <c r="R50" s="886"/>
      <c r="S50" s="886"/>
      <c r="T50" s="886"/>
      <c r="U50" s="886"/>
      <c r="V50" s="886"/>
      <c r="W50" s="886"/>
      <c r="X50" s="886"/>
      <c r="Y50" s="904"/>
      <c r="AA50" s="899"/>
      <c r="AC50" s="509">
        <v>35</v>
      </c>
      <c r="AD50" s="808"/>
      <c r="AE50" s="679" t="str">
        <f t="shared" si="9"/>
        <v/>
      </c>
      <c r="AF50" s="512" t="str">
        <f>IF(41=41,IF(AD50="","",IF(AG50="X",""&amp;"Céréales contenant du gluten","")&amp;IF(AH50="X",IF(COUNTIF(AG50:AG50,"X")&gt;0,", ","")&amp;"Crustacés","")&amp;IF(AI50="X",IF(COUNTIF(AG50:AH50,"X")&gt;0,", ","")&amp;"Œufs","")&amp;IF(AJ50="X",IF(COUNTIF(AG50:AI50,"X")&gt;0,", ","")&amp;"Poissons","")&amp;IF(AK50="X",IF(COUNTIF(AG50:AJ50,"X")&gt;0,", ","")&amp;"Arachides","")&amp;IF(AL50="X",IF(COUNTIF(AG50:AK50,"X")&gt;0,", ","")&amp;"Soja","")&amp;IF(AM50="X",IF(COUNTIF(AG50:AL50,"X")&gt;0,", ","")&amp;"Lait","")&amp;IF(AN50="X",IF(COUNTIF(AG50:AM50,"X")&gt;0,", ","")&amp;"Fruits à coque","")&amp;IF(AO50="X",IF(COUNTIF(AG50:AN50,"X")&gt;0,", ","")&amp;"Céleri","")&amp;IF(AP50="X",IF(COUNTIF(AG50:AO50,"X")&gt;0,", ","")&amp;"Moutarde","")&amp;IF(AQ50="X",IF(COUNTIF(AG50:AP50,"X")&gt;0,", ","")&amp;"Sésame","")&amp;IF(AR50="X",IF(COUNTIF(AG50:AQ50,"X")&gt;0,", ","")&amp;"Sulfites","")&amp;IF(AS50="X",IF(COUNTIF(AG50:AR50,"X")&gt;0,", ","")&amp;"Lupin","")&amp;IF(AT50="X",IF(COUNTIF(AG50:AS50,"X")&gt;0,", ","")&amp;"Mollusques","")),"")</f>
        <v/>
      </c>
      <c r="AG50" s="513" t="str">
        <f>IF(41=41,IF(AD50="","",BH50),"")</f>
        <v/>
      </c>
      <c r="AH50" s="513" t="str">
        <f>IF(41=41,IF(AD50="","",BK50),"")</f>
        <v/>
      </c>
      <c r="AI50" s="513" t="str">
        <f>IF(41=41,IF(AD50="","",BO50),"")</f>
        <v/>
      </c>
      <c r="AJ50" s="513" t="str">
        <f>IF(41=41,IF(AD50="","",IF(ISNUMBER(SEARCH(" colin ",BC50)),"X",CB50)),"")</f>
        <v/>
      </c>
      <c r="AK50" s="513" t="str">
        <f>IF(41=41,IF(AD50="","",CD50),"")</f>
        <v/>
      </c>
      <c r="AL50" s="513" t="str">
        <f>IF(41=41,IF(AD50="","",CH50),"")</f>
        <v/>
      </c>
      <c r="AM50" s="513" t="str">
        <f>IF(41=41,IF(AD50="","",CO50),"")</f>
        <v/>
      </c>
      <c r="AN50" s="513" t="str">
        <f>IF(41=41,IF(AD50="","",CS50),"")</f>
        <v/>
      </c>
      <c r="AO50" s="513" t="str">
        <f>IF(41=41,IF(AD50="","",CV50),"")</f>
        <v/>
      </c>
      <c r="AP50" s="513" t="str">
        <f>IF(41=41,IF(AD50="","",CY50),"")</f>
        <v/>
      </c>
      <c r="AQ50" s="513" t="str">
        <f>IF(41=41,IF(AD50="","",DB50),"")</f>
        <v/>
      </c>
      <c r="AR50" s="513" t="str">
        <f>IF(41=41,IF(AD50="","",DE50),"")</f>
        <v/>
      </c>
      <c r="AS50" s="513" t="str">
        <f>IF(41=41,IF(AD50="","",DH50),"")</f>
        <v/>
      </c>
      <c r="AT50" s="513" t="str">
        <f>IF(41=41,IF(AD50="","",DN50),"")</f>
        <v/>
      </c>
      <c r="AU50" s="514" t="str">
        <f>IF(41=41,IF(AD50="","",IF(AG50="?",""&amp;"Céréales contenant du gluten","")&amp;IF(AH50="?",IF(COUNTIF(AG50:AG50,"~?")&gt;0,", ","")&amp;"Crustacés","")&amp;IF(AI50="?",IF(COUNTIF(AG50:AH50,"~?")&gt;0,", ","")&amp;"Œufs","")&amp;IF(AJ50="?",IF(COUNTIF(AG50:AI50,"~?")&gt;0,", ","")&amp;"Poissons","")&amp;IF(AK50="?",IF(COUNTIF(AG50:AJ50,"~?")&gt;0,", ","")&amp;"Arachides","")&amp;IF(AL50="?",IF(COUNTIF(AG50:AK50,"~?")&gt;0,", ","")&amp;"Soja","")&amp;IF(AM50="?",IF(COUNTIF(AG50:AL50,"~?")&gt;0,", ","")&amp;"Lait","")&amp;IF(AN50="?",IF(COUNTIF(AG50:AM50,"~?")&gt;0,", ","")&amp;"Fruits à coque","")&amp;IF(AO50="?",IF(COUNTIF(AG50:AN50,"~?")&gt;0,", ","")&amp;"Céleri","")&amp;IF(AP50="?",IF(COUNTIF(AG50:AO50,"~?")&gt;0,", ","")&amp;"Moutarde","")&amp;IF(AQ50="?",IF(COUNTIF(AG50:AP50,"~?")&gt;0,", ","")&amp;"Sésame","")&amp;IF(AR50="?",IF(COUNTIF(AG50:AQ50,"~?")&gt;0,", ","")&amp;"Sulfites","")&amp;IF(AS50="?",IF(COUNTIF(AG50:AR50,"~?")&gt;0,", ","")&amp;"Lupin","")&amp;IF(AT50="?",IF(COUNTIF(AG50:AS50,"~?")&gt;0,", ","")&amp;"Mollusques","")),"")</f>
        <v/>
      </c>
      <c r="AW50" s="493" t="str">
        <f>IF(41=41,IF(AD50="","",AD50),"")</f>
        <v/>
      </c>
      <c r="AX50" s="493" t="str">
        <f>IF(41=41,LOWER(CLEAN(SUBSTITUTE(SUBSTITUTE(SUBSTITUTE(SUBSTITUTE(AW50,CHAR(160)," ")," "," "),CHAR(10)," "),CHAR(13)," "))),"")</f>
        <v/>
      </c>
      <c r="AY50" s="493" t="str">
        <f>IF(41=41,SUBSTITUTE(SUBSTITUTE(SUBSTITUTE(SUBSTITUTE(SUBSTITUTE(SUBSTITUTE(SUBSTITUTE(SUBSTITUTE(SUBSTITUTE(SUBSTITUTE(SUBSTITUTE(SUBSTITUTE(AX50,"œ","oe"),"æ","ae"),"à","a"),"á","a"),"â","a"),"ä","a"),"ã","a"),"ç","c"),"è","e"),"é","e"),"ê","e"),"ë","e"),"")</f>
        <v/>
      </c>
      <c r="AZ50" s="493" t="str">
        <f>IF(41=41,SUBSTITUTE(SUBSTITUTE(SUBSTITUTE(SUBSTITUTE(SUBSTITUTE(SUBSTITUTE(SUBSTITUTE(SUBSTITUTE(SUBSTITUTE(SUBSTITUTE(SUBSTITUTE(SUBSTITUTE(SUBSTITUTE(SUBSTITUTE(SUBSTITUTE(SUBSTITUTE(AY50,"ì","i"),"í","i"),"î","i"),"ï","i"),"ñ","n"),"ò","o"),"ó","o"),"ô","o"),"ö","o"),"õ","o"),"ù","u"),"ú","u"),"û","u"),"ü","u"),"ý","y"),"ÿ","y"),"")</f>
        <v/>
      </c>
      <c r="BA50" s="493" t="str">
        <f>IF(41=41,SUBSTITUTE(SUBSTITUTE(SUBSTITUTE(SUBSTITUTE(SUBSTITUTE(SUBSTITUTE(SUBSTITUTE(SUBSTITUTE(SUBSTITUTE(SUBSTITUTE(SUBSTITUTE(SUBSTITUTE(SUBSTITUTE(SUBSTITUTE(AZ50,"’"," "),"`"," "),"–"," "),"—"," "),"-"," "),"'"," "),"/"," "),"_"," "),","," "),"."," "),"("," "),")"," "),";"," "),":"," "),"")</f>
        <v/>
      </c>
      <c r="BB50" s="493" t="str">
        <f>IF(41=41,SUBSTITUTE(SUBSTITUTE(SUBSTITUTE(SUBSTITUTE(SUBSTITUTE(SUBSTITUTE(SUBSTITUTE(SUBSTITUTE(SUBSTITUTE(SUBSTITUTE(SUBSTITUTE(SUBSTITUTE(SUBSTITUTE(SUBSTITUTE(SUBSTITUTE(BA50,"!"," "),"?"," "),"+"," "),"*"," "),"&amp;"," "),"["," "),"]"," "),"{"," "),"}"," "),"%"," "),"="," "),"\"," "),"|"," "),"&lt;"," "),"&gt;"," "),"")</f>
        <v/>
      </c>
      <c r="BC50" s="493" t="str">
        <f>IF(41=41," "&amp;TRIM(SUBSTITUTE(SUBSTITUTE(SUBSTITUTE(SUBSTITUTE(SUBSTITUTE(SUBSTITUTE(BB50,CHAR(34)," "),"  "," "),"  "," "),"  "," "),"  "," "),"  "," "))&amp;" ","")</f>
        <v xml:space="preserve">  </v>
      </c>
      <c r="BD50" s="493" t="str" cm="1">
        <f t="array" ref="BD50">IF(41=41,IF(AW50="","",SUMPRODUCT(--ISNUMBER(SEARCH(" "&amp;DT11:DT110&amp;" ",BF50)))),"")</f>
        <v/>
      </c>
      <c r="BE50" s="493" t="str" cm="1">
        <f t="array" ref="BE50">IF(41=41,IF(AW50="","",SUMPRODUCT(--ISNUMBER(SEARCH(" "&amp;DT111:DT160&amp;" ",BF50)))),"")</f>
        <v/>
      </c>
      <c r="BF50" s="493" t="str">
        <f>IF(AW50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50,"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50" s="493" t="str" cm="1">
        <f t="array" ref="BG50">IF(AW50="","",SUMPRODUCT(--ISNUMBER(SEARCH(" "&amp;DT193:DT214&amp;" ",BF50)))+--ISNUMBER(SEARCH(" "&amp;DT2463&amp;" ",BF50)))</f>
        <v/>
      </c>
      <c r="BH50" s="493" t="str" cm="1">
        <f t="array" ref="BH50">IF(41=41,IF(AW50="","",IF(SUM(BD50:BE50)+SUMPRODUCT(--ISNUMBER(SEARCH(" "&amp;DT2427:DT2429&amp;" ",BF50)))&gt;0,"X",IF(BG50&gt;0,"?",""))),"")</f>
        <v/>
      </c>
      <c r="BI50" s="493" t="str" cm="1">
        <f t="array" ref="BI50">IF(41=41,IF(AW50="","",SUMPRODUCT(--ISNUMBER(SEARCH(" "&amp;DT215:DT314&amp;" ",BC50)))),"")</f>
        <v/>
      </c>
      <c r="BJ50" s="493" t="str" cm="1">
        <f t="array" ref="BJ50">IF(41=41,IF(AW50="","",SUMPRODUCT(--ISNUMBER(SEARCH(" "&amp;DT315:DT349&amp;" ",BC50)))),"")</f>
        <v/>
      </c>
      <c r="BK50" s="493" t="str">
        <f>IF(41=41,IF(AW50="","",IF((SUM(BI50:BJ50))-(0)&gt;0,"X",IF((0)-(0)&gt;0,"?",""))),"")</f>
        <v/>
      </c>
      <c r="BL50" s="493" t="str" cm="1">
        <f t="array" ref="BL50">IF(41=41,IF(AW50="","",SUMPRODUCT(--ISNUMBER(SEARCH(" "&amp;DT350:DT407&amp;" ",BC50)))),"")</f>
        <v/>
      </c>
      <c r="BM50" s="493" t="str" cm="1">
        <f t="array" ref="BM50">IF(41=41,IF(AW50="","",SUMPRODUCT(--ISNUMBER(SEARCH(" "&amp;DT408:DT435&amp;" ",BN50)))+SUMPRODUCT(--ISNUMBER(SEARCH(" "&amp;DT2449:DT2462&amp;" ",BN50)))),"")</f>
        <v/>
      </c>
      <c r="BN50" s="493" t="str">
        <f>IF(41=41,IF(AW50="","",SUBSTITUTE(SUBSTITUTE(SUBSTITUTE(SUBSTITUTE(SUBSTITUTE(SUBSTITUTE(SUBSTITUTE(SUBSTITUTE(SUBSTITUTE(SUBSTITUTE(SUBSTITUTE(SUBSTITUTE(SUBSTITUTE(SUBSTITUTE(BC50," "&amp;DT2464&amp;" "," ")," "&amp;DT442&amp;" "," ")," "&amp;DT440&amp;" "," ")," "&amp;DT2447&amp;" "," ")," "&amp;DT2448&amp;" "," ")," "&amp;DT437&amp;" "," ")," "&amp;DT441&amp;" "," ")," "&amp;DT443&amp;" "," ")," "&amp;DT438&amp;" "," ")," "&amp;DT436&amp;" "," ")," "&amp;DT1376&amp;" "," ")," "&amp;DT444&amp;" "," ")," "&amp;DT1375&amp;" "," ")," "&amp;DT439&amp;" "," ")),"")</f>
        <v/>
      </c>
      <c r="BO50" s="493" t="str">
        <f>IF(41=41,IF(AW50="","",IF(BL50&gt;0,"X",IF(BM50&gt;0,"?",""))),"")</f>
        <v/>
      </c>
      <c r="BP50" s="493" t="str" cm="1">
        <f t="array" ref="BP50">IF(41=41,IF(AW50="","",SUMPRODUCT(--ISNUMBER(SEARCH(" "&amp;DT445:DT544&amp;" ",BZ50)))),"")</f>
        <v/>
      </c>
      <c r="BQ50" s="493" t="str" cm="1">
        <f t="array" ref="BQ50">IF(41=41,IF(AW50="","",SUMPRODUCT(--ISNUMBER(SEARCH(" "&amp;DT545:DT644&amp;" ",BZ50)))),"")</f>
        <v/>
      </c>
      <c r="BR50" s="493" t="str" cm="1">
        <f t="array" ref="BR50">IF(41=41,IF(AW50="","",SUMPRODUCT(--ISNUMBER(SEARCH(" "&amp;DT645:DT744&amp;" ",BZ50)))),"")</f>
        <v/>
      </c>
      <c r="BS50" s="493" t="str" cm="1">
        <f t="array" ref="BS50">IF(41=41,IF(AW50="","",SUMPRODUCT(--ISNUMBER(SEARCH(" "&amp;DT745:DT844&amp;" ",BZ50)))),"")</f>
        <v/>
      </c>
      <c r="BT50" s="493" t="str" cm="1">
        <f t="array" ref="BT50">IF(41=41,IF(AW50="","",SUMPRODUCT(--ISNUMBER(SEARCH(" "&amp;DT845:DT944&amp;" ",BZ50)))),"")</f>
        <v/>
      </c>
      <c r="BU50" s="493" t="str" cm="1">
        <f t="array" ref="BU50">IF(41=41,IF(AW50="","",SUMPRODUCT(--ISNUMBER(SEARCH(" "&amp;DT945:DT1044&amp;" ",BZ50)))),"")</f>
        <v/>
      </c>
      <c r="BV50" s="493" t="str" cm="1">
        <f t="array" ref="BV50">IF(41=41,IF(AW50="","",SUMPRODUCT(--ISNUMBER(SEARCH(" "&amp;DT1045:DT1144&amp;" ",BZ50)))),"")</f>
        <v/>
      </c>
      <c r="BW50" s="493" t="str" cm="1">
        <f t="array" ref="BW50">IF(41=41,IF(AW50="","",SUMPRODUCT(--ISNUMBER(SEARCH(" "&amp;DT1145:DT1244&amp;" ",BZ50)))),"")</f>
        <v/>
      </c>
      <c r="BX50" s="493" t="str" cm="1">
        <f t="array" ref="BX50">IF(41=41,IF(AW50="","",SUMPRODUCT(--ISNUMBER(SEARCH(" "&amp;DT1245:DT1344&amp;" ",BZ50)))),"")</f>
        <v/>
      </c>
      <c r="BY50" s="493" t="str" cm="1">
        <f t="array" ref="BY50">IF(41=41,IF(AW50="","",SUMPRODUCT(--ISNUMBER(SEARCH(" "&amp;DT1345:DT1372&amp;" ",BZ50)))),"")</f>
        <v/>
      </c>
      <c r="BZ50" s="493" t="str">
        <f>IF(41=41,IF(AW50="","",SUBSTITUTE(SUBSTITUTE(SUBSTITUTE(SUBSTITUTE(SUBSTITUTE(SUBSTITUTE(SUBSTITUTE(SUBSTITUTE(SUBSTITUTE(BC50," "&amp;DT1374&amp;" "," ")," "&amp;DT1373&amp;" "," ")," "&amp;DT1379&amp;" "," ")," "&amp;DT1380&amp;" "," ")," "&amp;DT1376&amp;" "," ")," "&amp;DT1378&amp;" "," ")," "&amp;DT1375&amp;" "," ")," "&amp;DT1377&amp;" "," ")," "&amp;DT1381&amp;" "," ")),"")</f>
        <v/>
      </c>
      <c r="CA50" s="493" t="str" cm="1">
        <f t="array" ref="CA50">IF(41=41,IF(AW50="","",SUMPRODUCT(--ISNUMBER(SEARCH(" "&amp;DT1382:DT1392&amp;" ",BZ50)))),"")</f>
        <v/>
      </c>
      <c r="CB50" s="493" t="str" cm="1">
        <f t="array" ref="CB50">IF(41=41,IF(AW50="","",IF(SUM(BP50:BY50)+SUMPRODUCT(--ISNUMBER(SEARCH(" "&amp;DT2430:DT2431&amp;" ",BZ50)))&gt;0,"X",IF(CA50&gt;0,"?",""))),"")</f>
        <v/>
      </c>
      <c r="CC50" s="493" t="str" cm="1">
        <f t="array" ref="CC50">IF(41=41,IF(AW50="","",SUMPRODUCT(--ISNUMBER(SEARCH(" "&amp;DT1393:DT1413&amp;" ",BC50)))),"")</f>
        <v/>
      </c>
      <c r="CD50" s="493" t="str">
        <f>IF(41=41,IF(AW50="","",IF((CC50)-(0)&gt;0,"X",IF((0)-(0)&gt;0,"?",""))),"")</f>
        <v/>
      </c>
      <c r="CE50" s="493" t="str" cm="1">
        <f t="array" ref="CE50">IF(41=41,IF(AW50="","",SUMPRODUCT(--ISNUMBER(SEARCH(" "&amp;DT1414:DT1451&amp;" ",CF50)))),"")</f>
        <v/>
      </c>
      <c r="CF50" s="493" t="str">
        <f>IF(41=41,IF(AW50="","",SUBSTITUTE(SUBSTITUTE(BC50," "&amp;DT1452&amp;" "," ")," "&amp;DT1453&amp;" "," ")),"")</f>
        <v/>
      </c>
      <c r="CG50" s="493" t="str" cm="1">
        <f t="array" ref="CG50">IF(41=41,IF(AW50="","",SUMPRODUCT(--ISNUMBER(SEARCH(" "&amp;DT1454:DT1464&amp;" ",CF50)))),"")</f>
        <v/>
      </c>
      <c r="CH50" s="493" t="str">
        <f>IF(41=41,IF(AW50="","",IF(CE50&gt;0,"X",IF(CG50&gt;0,"?",""))),"")</f>
        <v/>
      </c>
      <c r="CI50" s="493" t="str" cm="1">
        <f t="array" ref="CI50">IF(41=41,IF(AW50="","",SUMPRODUCT(--ISNUMBER(SEARCH(" "&amp;DT1465:DT1564&amp;" ",CL50)))),"")</f>
        <v/>
      </c>
      <c r="CJ50" s="493" t="str" cm="1">
        <f t="array" ref="CJ50">IF(41=41,IF(AW50="","",SUMPRODUCT(--ISNUMBER(SEARCH(" "&amp;DT1565:DT1664&amp;" ",CL50)))),"")</f>
        <v/>
      </c>
      <c r="CK50" s="493" t="str" cm="1">
        <f t="array" ref="CK50">IF(41=41,IF(AW50="","",SUMPRODUCT(--ISNUMBER(SEARCH(" "&amp;DT1665:DT1748&amp;" ",CL50)))),"")</f>
        <v/>
      </c>
      <c r="CL50" s="493" t="str">
        <f>IF(41=41,IF(AW50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50,"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50" s="493" t="str" cm="1">
        <f t="array" ref="CM50">IF(41=41,IF(AW50="","",SUMPRODUCT(--ISNUMBER(SEARCH(" "&amp;DT1799:DT1878&amp;" ",CN50)))+SUMPRODUCT(--ISNUMBER(SEARCH(" "&amp;DT2449:DT2462&amp;" ",CN50)))),"")</f>
        <v/>
      </c>
      <c r="CN50" s="493" t="str">
        <f>IF(41=41,IF(AW50="","",SUBSTITUTE(SUBSTITUTE(SUBSTITUTE(SUBSTITUTE(SUBSTITUTE(SUBSTITUTE(SUBSTITUTE(SUBSTITUTE(SUBSTITUTE(SUBSTITUTE(SUBSTITUTE(SUBSTITUTE(SUBSTITUTE(CL50," "&amp;DT1885&amp;" "," ")," "&amp;DT1883&amp;" "," ")," "&amp;DT2447&amp;" "," ")," "&amp;DT2448&amp;" "," ")," "&amp;DT1880&amp;" "," ")," "&amp;DT1884&amp;" "," ")," "&amp;DT1886&amp;" "," ")," "&amp;DT1881&amp;" "," ")," "&amp;DT1879&amp;" "," ")," "&amp;DT1376&amp;" "," ")," "&amp;DT1887&amp;" "," ")," "&amp;DT1375&amp;" "," ")," "&amp;DT1882&amp;" "," ")),"")</f>
        <v/>
      </c>
      <c r="CO50" s="493" t="str" cm="1">
        <f t="array" ref="CO50">IF(41=41,IF(AW50="","",IF(SUM(CI50:CK50)+SUMPRODUCT(--ISNUMBER(SEARCH(" "&amp;DT2432:DT2433&amp;" ",CL50)))&gt;0,"X",IF(CM50&gt;0,"?",""))),"")</f>
        <v/>
      </c>
      <c r="CP50" s="493" t="str" cm="1">
        <f t="array" ref="CP50">IF(41=41,IF(AW50="","",SUMPRODUCT(--ISNUMBER(SEARCH(" "&amp;DT1888:DT1945&amp;" ",CQ50)))),"")</f>
        <v/>
      </c>
      <c r="CQ50" s="493" t="str">
        <f>IF(41=41,IF(AW50="","",SUBSTITUTE(SUBSTITUTE(SUBSTITUTE(SUBSTITUTE(SUBSTITUTE(SUBSTITUTE(SUBSTITUTE(SUBSTITUTE(SUBSTITUTE(SUBSTITUTE(SUBSTITUTE(SUBSTITUTE(SUBSTITUTE(SUBSTITUTE(SUBSTITUTE(SUBSTITUTE(SUBSTITUTE(SUBSTITUTE(SUBSTITUTE(SUBSTITUTE(SUBSTITUTE(SUBSTITUTE(SUBSTITUTE(BC50,"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50" s="493" t="str" cm="1">
        <f t="array" ref="CR50">IF(41=41,IF(AW50="","",SUMPRODUCT(--ISNUMBER(SEARCH(" "&amp;DT1969:DT1985&amp;" ",CQ50)))),"")</f>
        <v/>
      </c>
      <c r="CS50" s="493" t="str">
        <f>IF(41=41,IF(AW50="","",IF(CP50&gt;0,"X",IF(CR50&gt;0,"?",""))),"")</f>
        <v/>
      </c>
      <c r="CT50" s="493" t="str" cm="1">
        <f t="array" ref="CT50">IF(41=41,IF(AW50="","",SUMPRODUCT(--ISNUMBER(SEARCH(" "&amp;DT1986:DT1999&amp;" ",BC50)))),"")</f>
        <v/>
      </c>
      <c r="CU50" s="493" t="str" cm="1">
        <f t="array" ref="CU50">IF(41=41,IF(AW50="","",SUMPRODUCT(--ISNUMBER(SEARCH(" "&amp;DT2000:DT2014&amp;" ",BC50)))),"")</f>
        <v/>
      </c>
      <c r="CV50" s="493" t="str">
        <f>IF(41=41,IF(AW50="","",IF((CT50)-(0)&gt;0,"X",IF((CU50)-(0)&gt;0,"?",""))),"")</f>
        <v/>
      </c>
      <c r="CW50" s="493" t="str" cm="1">
        <f t="array" ref="CW50">IF(41=41,IF(AW50="","",SUMPRODUCT(--ISNUMBER(SEARCH(" "&amp;DT2015:DT2032&amp;" ",BC50)))),"")</f>
        <v/>
      </c>
      <c r="CX50" s="493" t="str" cm="1">
        <f t="array" ref="CX50">IF(41=41,IF(AW50="","",SUMPRODUCT(--ISNUMBER(SEARCH(" "&amp;DT2033:DT2047&amp;" ",BC50)))),"")</f>
        <v/>
      </c>
      <c r="CY50" s="493" t="str">
        <f>IF(41=41,IF(AW50="","",IF((CW50)-(0)&gt;0,"X",IF((CX50)-(0)&gt;0,"?",""))),"")</f>
        <v/>
      </c>
      <c r="CZ50" s="493" t="str" cm="1">
        <f t="array" ref="CZ50">IF(41=41,IF(AW50="","",SUMPRODUCT(--ISNUMBER(SEARCH(" "&amp;DT2048:DT2066&amp;" ",BC50)))),"")</f>
        <v/>
      </c>
      <c r="DA50" s="493" t="str" cm="1">
        <f t="array" ref="DA50">IF(41=41,IF(AW50="","",SUMPRODUCT(--ISNUMBER(SEARCH(" "&amp;DT2067:DT2081&amp;" ",BC50)))),"")</f>
        <v/>
      </c>
      <c r="DB50" s="493" t="str">
        <f>IF(41=41,IF(AW50="","",IF((CZ50)-(0)&gt;0,"X",IF((DA50)-(0)&gt;0,"?",""))),"")</f>
        <v/>
      </c>
      <c r="DC50" s="493" t="str" cm="1">
        <f t="array" ref="DC50">IF(41=41,IF(AW50="","",SUMPRODUCT(--ISNUMBER(SEARCH(" "&amp;DT2082:DT2102&amp;" ",BC50)))),"")</f>
        <v/>
      </c>
      <c r="DD50" s="493" t="str" cm="1">
        <f t="array" ref="DD50">IF(41=41,IF(AW50="","",SUMPRODUCT(--ISNUMBER(SEARCH(" "&amp;DT2103:DT2142&amp;" ",SUBSTITUTE(SUBSTITUTE(BC50," "&amp;DT1376&amp;" "," ")," "&amp;DT1375&amp;" "," "))))+--ISNUMBER(SEARCH("poiré",AX50))),"")</f>
        <v/>
      </c>
      <c r="DE50" s="493" t="str">
        <f>IF(41=41,IF(AW50="","",IF(OR(DC50&gt;0,ISNUMBER(SEARCH(" vinaigre de vin ",BC50)),ISNUMBER(SEARCH(" vinaigre au vin ",BC50))),"X",IF(DD50&gt;0,"?",""))),"")</f>
        <v/>
      </c>
      <c r="DF50" s="493" t="str" cm="1">
        <f t="array" ref="DF50">IF(41=41,IF(AW50="","",SUMPRODUCT(--ISNUMBER(SEARCH(" "&amp;DT2143:DT2155&amp;" ",BC50)))),"")</f>
        <v/>
      </c>
      <c r="DG50" s="493" t="str" cm="1">
        <f t="array" ref="DG50">IF(41=41,IF(AW50="","",SUMPRODUCT(--ISNUMBER(SEARCH(" "&amp;DT2156:DT2161&amp;" ",BC50)))),"")</f>
        <v/>
      </c>
      <c r="DH50" s="493" t="str">
        <f>IF(41=41,IF(AW50="","",IF((DF50)-(0)&gt;0,"X",IF((DG50)-(0)&gt;0,"?",""))),"")</f>
        <v/>
      </c>
      <c r="DI50" s="493" t="str" cm="1">
        <f t="array" ref="DI50">IF(41=41,IF(AW50="","",SUMPRODUCT(--ISNUMBER(SEARCH(" "&amp;DT2162:DT2261&amp;" ",DL50)))),"")</f>
        <v/>
      </c>
      <c r="DJ50" s="493" t="str" cm="1">
        <f t="array" ref="DJ50">IF(41=41,IF(AW50="","",SUMPRODUCT(--ISNUMBER(SEARCH(" "&amp;DT2262:DT2361&amp;" ",DL50)))),"")</f>
        <v/>
      </c>
      <c r="DK50" s="493" t="str" cm="1">
        <f t="array" ref="DK50">IF(41=41,IF(AW50="","",SUMPRODUCT(--ISNUMBER(SEARCH(" "&amp;DT2362:DT2404&amp;" ",DL50)))),"")</f>
        <v/>
      </c>
      <c r="DL50" s="493" t="str">
        <f>IF(41=41,IF(AW50="","",SUBSTITUTE(SUBSTITUTE(SUBSTITUTE(SUBSTITUTE(SUBSTITUTE(SUBSTITUTE(SUBSTITUTE(SUBSTITUTE(SUBSTITUTE(SUBSTITUTE(SUBSTITUTE(SUBSTITUTE(SUBSTITUTE(SUBSTITUTE(SUBSTITUTE(SUBSTITUTE(BC50," "&amp;DT2410&amp;" "," ")," "&amp;DT2409&amp;" "," ")," "&amp;DT2408&amp;" "," ")," "&amp;DT2415&amp;" "," ")," "&amp;DT2407&amp;" "," ")," "&amp;DT2419&amp;" "," ")," "&amp;DT2406&amp;" "," ")," "&amp;DT2411&amp;" "," ")," "&amp;DT2414&amp;" "," ")," "&amp;DT2405&amp;" "," ")," "&amp;DT2413&amp;" "," ")," "&amp;DT2420&amp;" "," ")," "&amp;DT2417&amp;" "," ")," "&amp;DT2412&amp;" "," ")," "&amp;DT2416&amp;" "," ")," "&amp;DT2418&amp;" "," ")),"")</f>
        <v/>
      </c>
      <c r="DM50" s="493" t="str" cm="1">
        <f t="array" ref="DM50">IF(41=41,IF(AW50="","",SUMPRODUCT(--ISNUMBER(SEARCH(" "&amp;DT2421:DT2425&amp;" ",DL50)))),"")</f>
        <v/>
      </c>
      <c r="DN50" s="493" t="str">
        <f>IF(41=41,IF(AW50="","",IF(SUM(DI50:DK50)&gt;0,"X",IF(DM50&gt;0,"?",""))),"")</f>
        <v/>
      </c>
      <c r="DO50" s="494"/>
      <c r="DP50" s="496" t="s">
        <v>1213</v>
      </c>
      <c r="DQ50" s="496" t="s">
        <v>1083</v>
      </c>
      <c r="DR50" s="496" t="s">
        <v>689</v>
      </c>
      <c r="DS50" s="496" t="s">
        <v>1214</v>
      </c>
      <c r="DT50" s="496" t="s">
        <v>1214</v>
      </c>
      <c r="DU50" s="496" t="s">
        <v>1085</v>
      </c>
      <c r="DV50" s="496" t="s">
        <v>1086</v>
      </c>
      <c r="DW50" s="496" t="s">
        <v>1087</v>
      </c>
      <c r="DX50" s="497" t="s">
        <v>1088</v>
      </c>
      <c r="DZ50" s="543">
        <v>1</v>
      </c>
      <c r="EB50" s="493"/>
      <c r="EC50" s="493"/>
    </row>
    <row r="51" spans="5:133" ht="21" customHeight="1">
      <c r="E51" s="865" t="s">
        <v>737</v>
      </c>
      <c r="F51" s="877" t="str">
        <f>F12</f>
        <v>M MACÉDOINE DE LÉGUMES AU COULIS DE TOMATE | HORS D'ŒUVRE texture modifiée-cuidité-MACEDOINE| Auteur &gt; Annette et Jean Pierre DOMERGUES - 45000 ORLÉANS 1981</v>
      </c>
      <c r="G51" s="877">
        <f>G12</f>
        <v>10</v>
      </c>
      <c r="H51" s="878" t="str">
        <f>H12</f>
        <v>couverts</v>
      </c>
      <c r="I51" s="879" t="str">
        <f>I12</f>
        <v>Recette mère ►  Textures modifiées</v>
      </c>
      <c r="J51" s="889"/>
      <c r="K51" s="889"/>
      <c r="L51" s="891">
        <f>ROWS(P37:P51)</f>
        <v>15</v>
      </c>
      <c r="M51" s="889"/>
      <c r="N51" s="892" t="str">
        <f t="array" ref="N51">SUMPRODUCT(--(P51:W51&lt;&gt;""), LEN(TRIM(SUBSTITUTE(P51:W51, CHAR(160), "")))) &amp; " Car."</f>
        <v>98 Car.</v>
      </c>
      <c r="O51" s="893">
        <f>IF(ISBLANK(P51),"",LARGE(O36:O50,1)+1)</f>
        <v>14</v>
      </c>
      <c r="P51" s="886" t="s">
        <v>287</v>
      </c>
      <c r="Q51" s="886" t="s">
        <v>832</v>
      </c>
      <c r="R51" s="886"/>
      <c r="S51" s="886"/>
      <c r="T51" s="886"/>
      <c r="U51" s="886"/>
      <c r="V51" s="886"/>
      <c r="W51" s="886"/>
      <c r="X51" s="886"/>
      <c r="Y51" s="904"/>
      <c r="AA51" s="899"/>
      <c r="AC51" s="509">
        <v>36</v>
      </c>
      <c r="AD51" s="808"/>
      <c r="AE51" s="679" t="str">
        <f t="shared" si="9"/>
        <v/>
      </c>
      <c r="AF51" s="512" t="str">
        <f>IF(42=42,IF(AD51="","",IF(AG51="X",""&amp;"Céréales contenant du gluten","")&amp;IF(AH51="X",IF(COUNTIF(AG51:AG51,"X")&gt;0,", ","")&amp;"Crustacés","")&amp;IF(AI51="X",IF(COUNTIF(AG51:AH51,"X")&gt;0,", ","")&amp;"Œufs","")&amp;IF(AJ51="X",IF(COUNTIF(AG51:AI51,"X")&gt;0,", ","")&amp;"Poissons","")&amp;IF(AK51="X",IF(COUNTIF(AG51:AJ51,"X")&gt;0,", ","")&amp;"Arachides","")&amp;IF(AL51="X",IF(COUNTIF(AG51:AK51,"X")&gt;0,", ","")&amp;"Soja","")&amp;IF(AM51="X",IF(COUNTIF(AG51:AL51,"X")&gt;0,", ","")&amp;"Lait","")&amp;IF(AN51="X",IF(COUNTIF(AG51:AM51,"X")&gt;0,", ","")&amp;"Fruits à coque","")&amp;IF(AO51="X",IF(COUNTIF(AG51:AN51,"X")&gt;0,", ","")&amp;"Céleri","")&amp;IF(AP51="X",IF(COUNTIF(AG51:AO51,"X")&gt;0,", ","")&amp;"Moutarde","")&amp;IF(AQ51="X",IF(COUNTIF(AG51:AP51,"X")&gt;0,", ","")&amp;"Sésame","")&amp;IF(AR51="X",IF(COUNTIF(AG51:AQ51,"X")&gt;0,", ","")&amp;"Sulfites","")&amp;IF(AS51="X",IF(COUNTIF(AG51:AR51,"X")&gt;0,", ","")&amp;"Lupin","")&amp;IF(AT51="X",IF(COUNTIF(AG51:AS51,"X")&gt;0,", ","")&amp;"Mollusques","")),"")</f>
        <v/>
      </c>
      <c r="AG51" s="513" t="str">
        <f>IF(42=42,IF(AD51="","",BH51),"")</f>
        <v/>
      </c>
      <c r="AH51" s="513" t="str">
        <f>IF(42=42,IF(AD51="","",BK51),"")</f>
        <v/>
      </c>
      <c r="AI51" s="513" t="str">
        <f>IF(42=42,IF(AD51="","",BO51),"")</f>
        <v/>
      </c>
      <c r="AJ51" s="513" t="str">
        <f>IF(42=42,IF(AD51="","",IF(ISNUMBER(SEARCH(" colin ",BC51)),"X",CB51)),"")</f>
        <v/>
      </c>
      <c r="AK51" s="513" t="str">
        <f>IF(42=42,IF(AD51="","",CD51),"")</f>
        <v/>
      </c>
      <c r="AL51" s="513" t="str">
        <f>IF(42=42,IF(AD51="","",CH51),"")</f>
        <v/>
      </c>
      <c r="AM51" s="513" t="str">
        <f>IF(42=42,IF(AD51="","",CO51),"")</f>
        <v/>
      </c>
      <c r="AN51" s="513" t="str">
        <f>IF(42=42,IF(AD51="","",CS51),"")</f>
        <v/>
      </c>
      <c r="AO51" s="513" t="str">
        <f>IF(42=42,IF(AD51="","",CV51),"")</f>
        <v/>
      </c>
      <c r="AP51" s="513" t="str">
        <f>IF(42=42,IF(AD51="","",CY51),"")</f>
        <v/>
      </c>
      <c r="AQ51" s="513" t="str">
        <f>IF(42=42,IF(AD51="","",DB51),"")</f>
        <v/>
      </c>
      <c r="AR51" s="513" t="str">
        <f>IF(42=42,IF(AD51="","",DE51),"")</f>
        <v/>
      </c>
      <c r="AS51" s="513" t="str">
        <f>IF(42=42,IF(AD51="","",DH51),"")</f>
        <v/>
      </c>
      <c r="AT51" s="513" t="str">
        <f>IF(42=42,IF(AD51="","",DN51),"")</f>
        <v/>
      </c>
      <c r="AU51" s="514" t="str">
        <f>IF(42=42,IF(AD51="","",IF(AG51="?",""&amp;"Céréales contenant du gluten","")&amp;IF(AH51="?",IF(COUNTIF(AG51:AG51,"~?")&gt;0,", ","")&amp;"Crustacés","")&amp;IF(AI51="?",IF(COUNTIF(AG51:AH51,"~?")&gt;0,", ","")&amp;"Œufs","")&amp;IF(AJ51="?",IF(COUNTIF(AG51:AI51,"~?")&gt;0,", ","")&amp;"Poissons","")&amp;IF(AK51="?",IF(COUNTIF(AG51:AJ51,"~?")&gt;0,", ","")&amp;"Arachides","")&amp;IF(AL51="?",IF(COUNTIF(AG51:AK51,"~?")&gt;0,", ","")&amp;"Soja","")&amp;IF(AM51="?",IF(COUNTIF(AG51:AL51,"~?")&gt;0,", ","")&amp;"Lait","")&amp;IF(AN51="?",IF(COUNTIF(AG51:AM51,"~?")&gt;0,", ","")&amp;"Fruits à coque","")&amp;IF(AO51="?",IF(COUNTIF(AG51:AN51,"~?")&gt;0,", ","")&amp;"Céleri","")&amp;IF(AP51="?",IF(COUNTIF(AG51:AO51,"~?")&gt;0,", ","")&amp;"Moutarde","")&amp;IF(AQ51="?",IF(COUNTIF(AG51:AP51,"~?")&gt;0,", ","")&amp;"Sésame","")&amp;IF(AR51="?",IF(COUNTIF(AG51:AQ51,"~?")&gt;0,", ","")&amp;"Sulfites","")&amp;IF(AS51="?",IF(COUNTIF(AG51:AR51,"~?")&gt;0,", ","")&amp;"Lupin","")&amp;IF(AT51="?",IF(COUNTIF(AG51:AS51,"~?")&gt;0,", ","")&amp;"Mollusques","")),"")</f>
        <v/>
      </c>
      <c r="AW51" s="493" t="str">
        <f>IF(42=42,IF(AD51="","",AD51),"")</f>
        <v/>
      </c>
      <c r="AX51" s="493" t="str">
        <f>IF(42=42,LOWER(CLEAN(SUBSTITUTE(SUBSTITUTE(SUBSTITUTE(SUBSTITUTE(AW51,CHAR(160)," ")," "," "),CHAR(10)," "),CHAR(13)," "))),"")</f>
        <v/>
      </c>
      <c r="AY51" s="493" t="str">
        <f>IF(42=42,SUBSTITUTE(SUBSTITUTE(SUBSTITUTE(SUBSTITUTE(SUBSTITUTE(SUBSTITUTE(SUBSTITUTE(SUBSTITUTE(SUBSTITUTE(SUBSTITUTE(SUBSTITUTE(SUBSTITUTE(AX51,"œ","oe"),"æ","ae"),"à","a"),"á","a"),"â","a"),"ä","a"),"ã","a"),"ç","c"),"è","e"),"é","e"),"ê","e"),"ë","e"),"")</f>
        <v/>
      </c>
      <c r="AZ51" s="493" t="str">
        <f>IF(42=42,SUBSTITUTE(SUBSTITUTE(SUBSTITUTE(SUBSTITUTE(SUBSTITUTE(SUBSTITUTE(SUBSTITUTE(SUBSTITUTE(SUBSTITUTE(SUBSTITUTE(SUBSTITUTE(SUBSTITUTE(SUBSTITUTE(SUBSTITUTE(SUBSTITUTE(SUBSTITUTE(AY51,"ì","i"),"í","i"),"î","i"),"ï","i"),"ñ","n"),"ò","o"),"ó","o"),"ô","o"),"ö","o"),"õ","o"),"ù","u"),"ú","u"),"û","u"),"ü","u"),"ý","y"),"ÿ","y"),"")</f>
        <v/>
      </c>
      <c r="BA51" s="493" t="str">
        <f>IF(42=42,SUBSTITUTE(SUBSTITUTE(SUBSTITUTE(SUBSTITUTE(SUBSTITUTE(SUBSTITUTE(SUBSTITUTE(SUBSTITUTE(SUBSTITUTE(SUBSTITUTE(SUBSTITUTE(SUBSTITUTE(SUBSTITUTE(SUBSTITUTE(AZ51,"’"," "),"`"," "),"–"," "),"—"," "),"-"," "),"'"," "),"/"," "),"_"," "),","," "),"."," "),"("," "),")"," "),";"," "),":"," "),"")</f>
        <v/>
      </c>
      <c r="BB51" s="493" t="str">
        <f>IF(42=42,SUBSTITUTE(SUBSTITUTE(SUBSTITUTE(SUBSTITUTE(SUBSTITUTE(SUBSTITUTE(SUBSTITUTE(SUBSTITUTE(SUBSTITUTE(SUBSTITUTE(SUBSTITUTE(SUBSTITUTE(SUBSTITUTE(SUBSTITUTE(SUBSTITUTE(BA51,"!"," "),"?"," "),"+"," "),"*"," "),"&amp;"," "),"["," "),"]"," "),"{"," "),"}"," "),"%"," "),"="," "),"\"," "),"|"," "),"&lt;"," "),"&gt;"," "),"")</f>
        <v/>
      </c>
      <c r="BC51" s="493" t="str">
        <f>IF(42=42," "&amp;TRIM(SUBSTITUTE(SUBSTITUTE(SUBSTITUTE(SUBSTITUTE(SUBSTITUTE(SUBSTITUTE(BB51,CHAR(34)," "),"  "," "),"  "," "),"  "," "),"  "," "),"  "," "))&amp;" ","")</f>
        <v xml:space="preserve">  </v>
      </c>
      <c r="BD51" s="493" t="str" cm="1">
        <f t="array" ref="BD51">IF(42=42,IF(AW51="","",SUMPRODUCT(--ISNUMBER(SEARCH(" "&amp;DT11:DT110&amp;" ",BF51)))),"")</f>
        <v/>
      </c>
      <c r="BE51" s="493" t="str" cm="1">
        <f t="array" ref="BE51">IF(42=42,IF(AW51="","",SUMPRODUCT(--ISNUMBER(SEARCH(" "&amp;DT111:DT160&amp;" ",BF51)))),"")</f>
        <v/>
      </c>
      <c r="BF51" s="493" t="str">
        <f>IF(AW51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51,"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51" s="493" t="str" cm="1">
        <f t="array" ref="BG51">IF(AW51="","",SUMPRODUCT(--ISNUMBER(SEARCH(" "&amp;DT193:DT214&amp;" ",BF51)))+--ISNUMBER(SEARCH(" "&amp;DT2463&amp;" ",BF51)))</f>
        <v/>
      </c>
      <c r="BH51" s="493" t="str" cm="1">
        <f t="array" ref="BH51">IF(42=42,IF(AW51="","",IF(SUM(BD51:BE51)+SUMPRODUCT(--ISNUMBER(SEARCH(" "&amp;DT2427:DT2429&amp;" ",BF51)))&gt;0,"X",IF(BG51&gt;0,"?",""))),"")</f>
        <v/>
      </c>
      <c r="BI51" s="493" t="str" cm="1">
        <f t="array" ref="BI51">IF(42=42,IF(AW51="","",SUMPRODUCT(--ISNUMBER(SEARCH(" "&amp;DT215:DT314&amp;" ",BC51)))),"")</f>
        <v/>
      </c>
      <c r="BJ51" s="493" t="str" cm="1">
        <f t="array" ref="BJ51">IF(42=42,IF(AW51="","",SUMPRODUCT(--ISNUMBER(SEARCH(" "&amp;DT315:DT349&amp;" ",BC51)))),"")</f>
        <v/>
      </c>
      <c r="BK51" s="493" t="str">
        <f>IF(42=42,IF(AW51="","",IF((SUM(BI51:BJ51))-(0)&gt;0,"X",IF((0)-(0)&gt;0,"?",""))),"")</f>
        <v/>
      </c>
      <c r="BL51" s="493" t="str" cm="1">
        <f t="array" ref="BL51">IF(42=42,IF(AW51="","",SUMPRODUCT(--ISNUMBER(SEARCH(" "&amp;DT350:DT407&amp;" ",BC51)))),"")</f>
        <v/>
      </c>
      <c r="BM51" s="493" t="str" cm="1">
        <f t="array" ref="BM51">IF(42=42,IF(AW51="","",SUMPRODUCT(--ISNUMBER(SEARCH(" "&amp;DT408:DT435&amp;" ",BN51)))+SUMPRODUCT(--ISNUMBER(SEARCH(" "&amp;DT2449:DT2462&amp;" ",BN51)))),"")</f>
        <v/>
      </c>
      <c r="BN51" s="493" t="str">
        <f>IF(42=42,IF(AW51="","",SUBSTITUTE(SUBSTITUTE(SUBSTITUTE(SUBSTITUTE(SUBSTITUTE(SUBSTITUTE(SUBSTITUTE(SUBSTITUTE(SUBSTITUTE(SUBSTITUTE(SUBSTITUTE(SUBSTITUTE(SUBSTITUTE(SUBSTITUTE(BC51," "&amp;DT2464&amp;" "," ")," "&amp;DT442&amp;" "," ")," "&amp;DT440&amp;" "," ")," "&amp;DT2447&amp;" "," ")," "&amp;DT2448&amp;" "," ")," "&amp;DT437&amp;" "," ")," "&amp;DT441&amp;" "," ")," "&amp;DT443&amp;" "," ")," "&amp;DT438&amp;" "," ")," "&amp;DT436&amp;" "," ")," "&amp;DT1376&amp;" "," ")," "&amp;DT444&amp;" "," ")," "&amp;DT1375&amp;" "," ")," "&amp;DT439&amp;" "," ")),"")</f>
        <v/>
      </c>
      <c r="BO51" s="493" t="str">
        <f>IF(42=42,IF(AW51="","",IF(BL51&gt;0,"X",IF(BM51&gt;0,"?",""))),"")</f>
        <v/>
      </c>
      <c r="BP51" s="493" t="str" cm="1">
        <f t="array" ref="BP51">IF(42=42,IF(AW51="","",SUMPRODUCT(--ISNUMBER(SEARCH(" "&amp;DT445:DT544&amp;" ",BZ51)))),"")</f>
        <v/>
      </c>
      <c r="BQ51" s="493" t="str" cm="1">
        <f t="array" ref="BQ51">IF(42=42,IF(AW51="","",SUMPRODUCT(--ISNUMBER(SEARCH(" "&amp;DT545:DT644&amp;" ",BZ51)))),"")</f>
        <v/>
      </c>
      <c r="BR51" s="493" t="str" cm="1">
        <f t="array" ref="BR51">IF(42=42,IF(AW51="","",SUMPRODUCT(--ISNUMBER(SEARCH(" "&amp;DT645:DT744&amp;" ",BZ51)))),"")</f>
        <v/>
      </c>
      <c r="BS51" s="493" t="str" cm="1">
        <f t="array" ref="BS51">IF(42=42,IF(AW51="","",SUMPRODUCT(--ISNUMBER(SEARCH(" "&amp;DT745:DT844&amp;" ",BZ51)))),"")</f>
        <v/>
      </c>
      <c r="BT51" s="493" t="str" cm="1">
        <f t="array" ref="BT51">IF(42=42,IF(AW51="","",SUMPRODUCT(--ISNUMBER(SEARCH(" "&amp;DT845:DT944&amp;" ",BZ51)))),"")</f>
        <v/>
      </c>
      <c r="BU51" s="493" t="str" cm="1">
        <f t="array" ref="BU51">IF(42=42,IF(AW51="","",SUMPRODUCT(--ISNUMBER(SEARCH(" "&amp;DT945:DT1044&amp;" ",BZ51)))),"")</f>
        <v/>
      </c>
      <c r="BV51" s="493" t="str" cm="1">
        <f t="array" ref="BV51">IF(42=42,IF(AW51="","",SUMPRODUCT(--ISNUMBER(SEARCH(" "&amp;DT1045:DT1144&amp;" ",BZ51)))),"")</f>
        <v/>
      </c>
      <c r="BW51" s="493" t="str" cm="1">
        <f t="array" ref="BW51">IF(42=42,IF(AW51="","",SUMPRODUCT(--ISNUMBER(SEARCH(" "&amp;DT1145:DT1244&amp;" ",BZ51)))),"")</f>
        <v/>
      </c>
      <c r="BX51" s="493" t="str" cm="1">
        <f t="array" ref="BX51">IF(42=42,IF(AW51="","",SUMPRODUCT(--ISNUMBER(SEARCH(" "&amp;DT1245:DT1344&amp;" ",BZ51)))),"")</f>
        <v/>
      </c>
      <c r="BY51" s="493" t="str" cm="1">
        <f t="array" ref="BY51">IF(42=42,IF(AW51="","",SUMPRODUCT(--ISNUMBER(SEARCH(" "&amp;DT1345:DT1372&amp;" ",BZ51)))),"")</f>
        <v/>
      </c>
      <c r="BZ51" s="493" t="str">
        <f>IF(42=42,IF(AW51="","",SUBSTITUTE(SUBSTITUTE(SUBSTITUTE(SUBSTITUTE(SUBSTITUTE(SUBSTITUTE(SUBSTITUTE(SUBSTITUTE(SUBSTITUTE(BC51," "&amp;DT1374&amp;" "," ")," "&amp;DT1373&amp;" "," ")," "&amp;DT1379&amp;" "," ")," "&amp;DT1380&amp;" "," ")," "&amp;DT1376&amp;" "," ")," "&amp;DT1378&amp;" "," ")," "&amp;DT1375&amp;" "," ")," "&amp;DT1377&amp;" "," ")," "&amp;DT1381&amp;" "," ")),"")</f>
        <v/>
      </c>
      <c r="CA51" s="493" t="str" cm="1">
        <f t="array" ref="CA51">IF(42=42,IF(AW51="","",SUMPRODUCT(--ISNUMBER(SEARCH(" "&amp;DT1382:DT1392&amp;" ",BZ51)))),"")</f>
        <v/>
      </c>
      <c r="CB51" s="493" t="str" cm="1">
        <f t="array" ref="CB51">IF(42=42,IF(AW51="","",IF(SUM(BP51:BY51)+SUMPRODUCT(--ISNUMBER(SEARCH(" "&amp;DT2430:DT2431&amp;" ",BZ51)))&gt;0,"X",IF(CA51&gt;0,"?",""))),"")</f>
        <v/>
      </c>
      <c r="CC51" s="493" t="str" cm="1">
        <f t="array" ref="CC51">IF(42=42,IF(AW51="","",SUMPRODUCT(--ISNUMBER(SEARCH(" "&amp;DT1393:DT1413&amp;" ",BC51)))),"")</f>
        <v/>
      </c>
      <c r="CD51" s="493" t="str">
        <f>IF(42=42,IF(AW51="","",IF((CC51)-(0)&gt;0,"X",IF((0)-(0)&gt;0,"?",""))),"")</f>
        <v/>
      </c>
      <c r="CE51" s="493" t="str" cm="1">
        <f t="array" ref="CE51">IF(42=42,IF(AW51="","",SUMPRODUCT(--ISNUMBER(SEARCH(" "&amp;DT1414:DT1451&amp;" ",CF51)))),"")</f>
        <v/>
      </c>
      <c r="CF51" s="493" t="str">
        <f>IF(42=42,IF(AW51="","",SUBSTITUTE(SUBSTITUTE(BC51," "&amp;DT1452&amp;" "," ")," "&amp;DT1453&amp;" "," ")),"")</f>
        <v/>
      </c>
      <c r="CG51" s="493" t="str" cm="1">
        <f t="array" ref="CG51">IF(42=42,IF(AW51="","",SUMPRODUCT(--ISNUMBER(SEARCH(" "&amp;DT1454:DT1464&amp;" ",CF51)))),"")</f>
        <v/>
      </c>
      <c r="CH51" s="493" t="str">
        <f>IF(42=42,IF(AW51="","",IF(CE51&gt;0,"X",IF(CG51&gt;0,"?",""))),"")</f>
        <v/>
      </c>
      <c r="CI51" s="493" t="str" cm="1">
        <f t="array" ref="CI51">IF(42=42,IF(AW51="","",SUMPRODUCT(--ISNUMBER(SEARCH(" "&amp;DT1465:DT1564&amp;" ",CL51)))),"")</f>
        <v/>
      </c>
      <c r="CJ51" s="493" t="str" cm="1">
        <f t="array" ref="CJ51">IF(42=42,IF(AW51="","",SUMPRODUCT(--ISNUMBER(SEARCH(" "&amp;DT1565:DT1664&amp;" ",CL51)))),"")</f>
        <v/>
      </c>
      <c r="CK51" s="493" t="str" cm="1">
        <f t="array" ref="CK51">IF(42=42,IF(AW51="","",SUMPRODUCT(--ISNUMBER(SEARCH(" "&amp;DT1665:DT1748&amp;" ",CL51)))),"")</f>
        <v/>
      </c>
      <c r="CL51" s="493" t="str">
        <f>IF(42=42,IF(AW51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51,"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51" s="493" t="str" cm="1">
        <f t="array" ref="CM51">IF(42=42,IF(AW51="","",SUMPRODUCT(--ISNUMBER(SEARCH(" "&amp;DT1799:DT1878&amp;" ",CN51)))+SUMPRODUCT(--ISNUMBER(SEARCH(" "&amp;DT2449:DT2462&amp;" ",CN51)))),"")</f>
        <v/>
      </c>
      <c r="CN51" s="493" t="str">
        <f>IF(42=42,IF(AW51="","",SUBSTITUTE(SUBSTITUTE(SUBSTITUTE(SUBSTITUTE(SUBSTITUTE(SUBSTITUTE(SUBSTITUTE(SUBSTITUTE(SUBSTITUTE(SUBSTITUTE(SUBSTITUTE(SUBSTITUTE(SUBSTITUTE(CL51," "&amp;DT1885&amp;" "," ")," "&amp;DT1883&amp;" "," ")," "&amp;DT2447&amp;" "," ")," "&amp;DT2448&amp;" "," ")," "&amp;DT1880&amp;" "," ")," "&amp;DT1884&amp;" "," ")," "&amp;DT1886&amp;" "," ")," "&amp;DT1881&amp;" "," ")," "&amp;DT1879&amp;" "," ")," "&amp;DT1376&amp;" "," ")," "&amp;DT1887&amp;" "," ")," "&amp;DT1375&amp;" "," ")," "&amp;DT1882&amp;" "," ")),"")</f>
        <v/>
      </c>
      <c r="CO51" s="493" t="str" cm="1">
        <f t="array" ref="CO51">IF(42=42,IF(AW51="","",IF(SUM(CI51:CK51)+SUMPRODUCT(--ISNUMBER(SEARCH(" "&amp;DT2432:DT2433&amp;" ",CL51)))&gt;0,"X",IF(CM51&gt;0,"?",""))),"")</f>
        <v/>
      </c>
      <c r="CP51" s="493" t="str" cm="1">
        <f t="array" ref="CP51">IF(42=42,IF(AW51="","",SUMPRODUCT(--ISNUMBER(SEARCH(" "&amp;DT1888:DT1945&amp;" ",CQ51)))),"")</f>
        <v/>
      </c>
      <c r="CQ51" s="493" t="str">
        <f>IF(42=42,IF(AW51="","",SUBSTITUTE(SUBSTITUTE(SUBSTITUTE(SUBSTITUTE(SUBSTITUTE(SUBSTITUTE(SUBSTITUTE(SUBSTITUTE(SUBSTITUTE(SUBSTITUTE(SUBSTITUTE(SUBSTITUTE(SUBSTITUTE(SUBSTITUTE(SUBSTITUTE(SUBSTITUTE(SUBSTITUTE(SUBSTITUTE(SUBSTITUTE(SUBSTITUTE(SUBSTITUTE(SUBSTITUTE(SUBSTITUTE(BC51,"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51" s="493" t="str" cm="1">
        <f t="array" ref="CR51">IF(42=42,IF(AW51="","",SUMPRODUCT(--ISNUMBER(SEARCH(" "&amp;DT1969:DT1985&amp;" ",CQ51)))),"")</f>
        <v/>
      </c>
      <c r="CS51" s="493" t="str">
        <f>IF(42=42,IF(AW51="","",IF(CP51&gt;0,"X",IF(CR51&gt;0,"?",""))),"")</f>
        <v/>
      </c>
      <c r="CT51" s="493" t="str" cm="1">
        <f t="array" ref="CT51">IF(42=42,IF(AW51="","",SUMPRODUCT(--ISNUMBER(SEARCH(" "&amp;DT1986:DT1999&amp;" ",BC51)))),"")</f>
        <v/>
      </c>
      <c r="CU51" s="493" t="str" cm="1">
        <f t="array" ref="CU51">IF(42=42,IF(AW51="","",SUMPRODUCT(--ISNUMBER(SEARCH(" "&amp;DT2000:DT2014&amp;" ",BC51)))),"")</f>
        <v/>
      </c>
      <c r="CV51" s="493" t="str">
        <f>IF(42=42,IF(AW51="","",IF((CT51)-(0)&gt;0,"X",IF((CU51)-(0)&gt;0,"?",""))),"")</f>
        <v/>
      </c>
      <c r="CW51" s="493" t="str" cm="1">
        <f t="array" ref="CW51">IF(42=42,IF(AW51="","",SUMPRODUCT(--ISNUMBER(SEARCH(" "&amp;DT2015:DT2032&amp;" ",BC51)))),"")</f>
        <v/>
      </c>
      <c r="CX51" s="493" t="str" cm="1">
        <f t="array" ref="CX51">IF(42=42,IF(AW51="","",SUMPRODUCT(--ISNUMBER(SEARCH(" "&amp;DT2033:DT2047&amp;" ",BC51)))),"")</f>
        <v/>
      </c>
      <c r="CY51" s="493" t="str">
        <f>IF(42=42,IF(AW51="","",IF((CW51)-(0)&gt;0,"X",IF((CX51)-(0)&gt;0,"?",""))),"")</f>
        <v/>
      </c>
      <c r="CZ51" s="493" t="str" cm="1">
        <f t="array" ref="CZ51">IF(42=42,IF(AW51="","",SUMPRODUCT(--ISNUMBER(SEARCH(" "&amp;DT2048:DT2066&amp;" ",BC51)))),"")</f>
        <v/>
      </c>
      <c r="DA51" s="493" t="str" cm="1">
        <f t="array" ref="DA51">IF(42=42,IF(AW51="","",SUMPRODUCT(--ISNUMBER(SEARCH(" "&amp;DT2067:DT2081&amp;" ",BC51)))),"")</f>
        <v/>
      </c>
      <c r="DB51" s="493" t="str">
        <f>IF(42=42,IF(AW51="","",IF((CZ51)-(0)&gt;0,"X",IF((DA51)-(0)&gt;0,"?",""))),"")</f>
        <v/>
      </c>
      <c r="DC51" s="493" t="str" cm="1">
        <f t="array" ref="DC51">IF(42=42,IF(AW51="","",SUMPRODUCT(--ISNUMBER(SEARCH(" "&amp;DT2082:DT2102&amp;" ",BC51)))),"")</f>
        <v/>
      </c>
      <c r="DD51" s="493" t="str" cm="1">
        <f t="array" ref="DD51">IF(42=42,IF(AW51="","",SUMPRODUCT(--ISNUMBER(SEARCH(" "&amp;DT2103:DT2142&amp;" ",SUBSTITUTE(SUBSTITUTE(BC51," "&amp;DT1376&amp;" "," ")," "&amp;DT1375&amp;" "," "))))+--ISNUMBER(SEARCH("poiré",AX51))),"")</f>
        <v/>
      </c>
      <c r="DE51" s="493" t="str">
        <f>IF(42=42,IF(AW51="","",IF(OR(DC51&gt;0,ISNUMBER(SEARCH(" vinaigre de vin ",BC51)),ISNUMBER(SEARCH(" vinaigre au vin ",BC51))),"X",IF(DD51&gt;0,"?",""))),"")</f>
        <v/>
      </c>
      <c r="DF51" s="493" t="str" cm="1">
        <f t="array" ref="DF51">IF(42=42,IF(AW51="","",SUMPRODUCT(--ISNUMBER(SEARCH(" "&amp;DT2143:DT2155&amp;" ",BC51)))),"")</f>
        <v/>
      </c>
      <c r="DG51" s="493" t="str" cm="1">
        <f t="array" ref="DG51">IF(42=42,IF(AW51="","",SUMPRODUCT(--ISNUMBER(SEARCH(" "&amp;DT2156:DT2161&amp;" ",BC51)))),"")</f>
        <v/>
      </c>
      <c r="DH51" s="493" t="str">
        <f>IF(42=42,IF(AW51="","",IF((DF51)-(0)&gt;0,"X",IF((DG51)-(0)&gt;0,"?",""))),"")</f>
        <v/>
      </c>
      <c r="DI51" s="493" t="str" cm="1">
        <f t="array" ref="DI51">IF(42=42,IF(AW51="","",SUMPRODUCT(--ISNUMBER(SEARCH(" "&amp;DT2162:DT2261&amp;" ",DL51)))),"")</f>
        <v/>
      </c>
      <c r="DJ51" s="493" t="str" cm="1">
        <f t="array" ref="DJ51">IF(42=42,IF(AW51="","",SUMPRODUCT(--ISNUMBER(SEARCH(" "&amp;DT2262:DT2361&amp;" ",DL51)))),"")</f>
        <v/>
      </c>
      <c r="DK51" s="493" t="str" cm="1">
        <f t="array" ref="DK51">IF(42=42,IF(AW51="","",SUMPRODUCT(--ISNUMBER(SEARCH(" "&amp;DT2362:DT2404&amp;" ",DL51)))),"")</f>
        <v/>
      </c>
      <c r="DL51" s="493" t="str">
        <f>IF(42=42,IF(AW51="","",SUBSTITUTE(SUBSTITUTE(SUBSTITUTE(SUBSTITUTE(SUBSTITUTE(SUBSTITUTE(SUBSTITUTE(SUBSTITUTE(SUBSTITUTE(SUBSTITUTE(SUBSTITUTE(SUBSTITUTE(SUBSTITUTE(SUBSTITUTE(SUBSTITUTE(SUBSTITUTE(BC51," "&amp;DT2410&amp;" "," ")," "&amp;DT2409&amp;" "," ")," "&amp;DT2408&amp;" "," ")," "&amp;DT2415&amp;" "," ")," "&amp;DT2407&amp;" "," ")," "&amp;DT2419&amp;" "," ")," "&amp;DT2406&amp;" "," ")," "&amp;DT2411&amp;" "," ")," "&amp;DT2414&amp;" "," ")," "&amp;DT2405&amp;" "," ")," "&amp;DT2413&amp;" "," ")," "&amp;DT2420&amp;" "," ")," "&amp;DT2417&amp;" "," ")," "&amp;DT2412&amp;" "," ")," "&amp;DT2416&amp;" "," ")," "&amp;DT2418&amp;" "," ")),"")</f>
        <v/>
      </c>
      <c r="DM51" s="493" t="str" cm="1">
        <f t="array" ref="DM51">IF(42=42,IF(AW51="","",SUMPRODUCT(--ISNUMBER(SEARCH(" "&amp;DT2421:DT2425&amp;" ",DL51)))),"")</f>
        <v/>
      </c>
      <c r="DN51" s="493" t="str">
        <f>IF(42=42,IF(AW51="","",IF(SUM(DI51:DK51)&gt;0,"X",IF(DM51&gt;0,"?",""))),"")</f>
        <v/>
      </c>
      <c r="DO51" s="494"/>
      <c r="DP51" s="496" t="s">
        <v>1215</v>
      </c>
      <c r="DQ51" s="496" t="s">
        <v>1083</v>
      </c>
      <c r="DR51" s="496" t="s">
        <v>689</v>
      </c>
      <c r="DS51" s="496" t="s">
        <v>1216</v>
      </c>
      <c r="DT51" s="496" t="s">
        <v>66</v>
      </c>
      <c r="DU51" s="496" t="s">
        <v>1085</v>
      </c>
      <c r="DV51" s="496" t="s">
        <v>1086</v>
      </c>
      <c r="DW51" s="496" t="s">
        <v>1087</v>
      </c>
      <c r="DX51" s="497" t="s">
        <v>1088</v>
      </c>
      <c r="DZ51" s="543">
        <v>1</v>
      </c>
      <c r="EB51" s="493"/>
      <c r="EC51" s="493"/>
    </row>
    <row r="52" spans="5:133" ht="21" customHeight="1">
      <c r="E52" s="865" t="s">
        <v>737</v>
      </c>
      <c r="F52" s="877" t="str">
        <f>F12</f>
        <v>M MACÉDOINE DE LÉGUMES AU COULIS DE TOMATE | HORS D'ŒUVRE texture modifiée-cuidité-MACEDOINE| Auteur &gt; Annette et Jean Pierre DOMERGUES - 45000 ORLÉANS 1981</v>
      </c>
      <c r="G52" s="877">
        <f>G12</f>
        <v>10</v>
      </c>
      <c r="H52" s="878" t="str">
        <f>H12</f>
        <v>couverts</v>
      </c>
      <c r="I52" s="879" t="str">
        <f>I12</f>
        <v>Recette mère ►  Textures modifiées</v>
      </c>
      <c r="J52" s="889"/>
      <c r="K52" s="889"/>
      <c r="L52" s="891">
        <f>ROWS(P37:P52)</f>
        <v>16</v>
      </c>
      <c r="M52" s="889"/>
      <c r="N52" s="892" t="str">
        <f t="array" ref="N52">SUMPRODUCT(--(P52:W52&lt;&gt;""), LEN(TRIM(SUBSTITUTE(P52:W52, CHAR(160), "")))) &amp; " Car."</f>
        <v>49 Car.</v>
      </c>
      <c r="O52" s="893">
        <f>IF(ISBLANK(P52),"",LARGE(O36:O51,1)+1)</f>
        <v>15</v>
      </c>
      <c r="P52" s="886" t="s">
        <v>289</v>
      </c>
      <c r="Q52" s="886"/>
      <c r="R52" s="886"/>
      <c r="S52" s="886"/>
      <c r="T52" s="886"/>
      <c r="U52" s="886"/>
      <c r="V52" s="886"/>
      <c r="W52" s="886"/>
      <c r="X52" s="886"/>
      <c r="Y52" s="904"/>
      <c r="AA52" s="899"/>
      <c r="AC52" s="509">
        <v>37</v>
      </c>
      <c r="AD52" s="808"/>
      <c r="AE52" s="679" t="str">
        <f t="shared" si="9"/>
        <v/>
      </c>
      <c r="AF52" s="512" t="str">
        <f>IF(43=43,IF(AD52="","",IF(AG52="X",""&amp;"Céréales contenant du gluten","")&amp;IF(AH52="X",IF(COUNTIF(AG52:AG52,"X")&gt;0,", ","")&amp;"Crustacés","")&amp;IF(AI52="X",IF(COUNTIF(AG52:AH52,"X")&gt;0,", ","")&amp;"Œufs","")&amp;IF(AJ52="X",IF(COUNTIF(AG52:AI52,"X")&gt;0,", ","")&amp;"Poissons","")&amp;IF(AK52="X",IF(COUNTIF(AG52:AJ52,"X")&gt;0,", ","")&amp;"Arachides","")&amp;IF(AL52="X",IF(COUNTIF(AG52:AK52,"X")&gt;0,", ","")&amp;"Soja","")&amp;IF(AM52="X",IF(COUNTIF(AG52:AL52,"X")&gt;0,", ","")&amp;"Lait","")&amp;IF(AN52="X",IF(COUNTIF(AG52:AM52,"X")&gt;0,", ","")&amp;"Fruits à coque","")&amp;IF(AO52="X",IF(COUNTIF(AG52:AN52,"X")&gt;0,", ","")&amp;"Céleri","")&amp;IF(AP52="X",IF(COUNTIF(AG52:AO52,"X")&gt;0,", ","")&amp;"Moutarde","")&amp;IF(AQ52="X",IF(COUNTIF(AG52:AP52,"X")&gt;0,", ","")&amp;"Sésame","")&amp;IF(AR52="X",IF(COUNTIF(AG52:AQ52,"X")&gt;0,", ","")&amp;"Sulfites","")&amp;IF(AS52="X",IF(COUNTIF(AG52:AR52,"X")&gt;0,", ","")&amp;"Lupin","")&amp;IF(AT52="X",IF(COUNTIF(AG52:AS52,"X")&gt;0,", ","")&amp;"Mollusques","")),"")</f>
        <v/>
      </c>
      <c r="AG52" s="513" t="str">
        <f>IF(43=43,IF(AD52="","",BH52),"")</f>
        <v/>
      </c>
      <c r="AH52" s="513" t="str">
        <f>IF(43=43,IF(AD52="","",BK52),"")</f>
        <v/>
      </c>
      <c r="AI52" s="513" t="str">
        <f>IF(43=43,IF(AD52="","",BO52),"")</f>
        <v/>
      </c>
      <c r="AJ52" s="513" t="str">
        <f>IF(43=43,IF(AD52="","",IF(ISNUMBER(SEARCH(" colin ",BC52)),"X",CB52)),"")</f>
        <v/>
      </c>
      <c r="AK52" s="513" t="str">
        <f>IF(43=43,IF(AD52="","",CD52),"")</f>
        <v/>
      </c>
      <c r="AL52" s="513" t="str">
        <f>IF(43=43,IF(AD52="","",CH52),"")</f>
        <v/>
      </c>
      <c r="AM52" s="513" t="str">
        <f>IF(43=43,IF(AD52="","",CO52),"")</f>
        <v/>
      </c>
      <c r="AN52" s="513" t="str">
        <f>IF(43=43,IF(AD52="","",CS52),"")</f>
        <v/>
      </c>
      <c r="AO52" s="513" t="str">
        <f>IF(43=43,IF(AD52="","",CV52),"")</f>
        <v/>
      </c>
      <c r="AP52" s="513" t="str">
        <f>IF(43=43,IF(AD52="","",CY52),"")</f>
        <v/>
      </c>
      <c r="AQ52" s="513" t="str">
        <f>IF(43=43,IF(AD52="","",DB52),"")</f>
        <v/>
      </c>
      <c r="AR52" s="513" t="str">
        <f>IF(43=43,IF(AD52="","",DE52),"")</f>
        <v/>
      </c>
      <c r="AS52" s="513" t="str">
        <f>IF(43=43,IF(AD52="","",DH52),"")</f>
        <v/>
      </c>
      <c r="AT52" s="513" t="str">
        <f>IF(43=43,IF(AD52="","",DN52),"")</f>
        <v/>
      </c>
      <c r="AU52" s="514" t="str">
        <f>IF(43=43,IF(AD52="","",IF(AG52="?",""&amp;"Céréales contenant du gluten","")&amp;IF(AH52="?",IF(COUNTIF(AG52:AG52,"~?")&gt;0,", ","")&amp;"Crustacés","")&amp;IF(AI52="?",IF(COUNTIF(AG52:AH52,"~?")&gt;0,", ","")&amp;"Œufs","")&amp;IF(AJ52="?",IF(COUNTIF(AG52:AI52,"~?")&gt;0,", ","")&amp;"Poissons","")&amp;IF(AK52="?",IF(COUNTIF(AG52:AJ52,"~?")&gt;0,", ","")&amp;"Arachides","")&amp;IF(AL52="?",IF(COUNTIF(AG52:AK52,"~?")&gt;0,", ","")&amp;"Soja","")&amp;IF(AM52="?",IF(COUNTIF(AG52:AL52,"~?")&gt;0,", ","")&amp;"Lait","")&amp;IF(AN52="?",IF(COUNTIF(AG52:AM52,"~?")&gt;0,", ","")&amp;"Fruits à coque","")&amp;IF(AO52="?",IF(COUNTIF(AG52:AN52,"~?")&gt;0,", ","")&amp;"Céleri","")&amp;IF(AP52="?",IF(COUNTIF(AG52:AO52,"~?")&gt;0,", ","")&amp;"Moutarde","")&amp;IF(AQ52="?",IF(COUNTIF(AG52:AP52,"~?")&gt;0,", ","")&amp;"Sésame","")&amp;IF(AR52="?",IF(COUNTIF(AG52:AQ52,"~?")&gt;0,", ","")&amp;"Sulfites","")&amp;IF(AS52="?",IF(COUNTIF(AG52:AR52,"~?")&gt;0,", ","")&amp;"Lupin","")&amp;IF(AT52="?",IF(COUNTIF(AG52:AS52,"~?")&gt;0,", ","")&amp;"Mollusques","")),"")</f>
        <v/>
      </c>
      <c r="AW52" s="493" t="str">
        <f>IF(43=43,IF(AD52="","",AD52),"")</f>
        <v/>
      </c>
      <c r="AX52" s="493" t="str">
        <f>IF(43=43,LOWER(CLEAN(SUBSTITUTE(SUBSTITUTE(SUBSTITUTE(SUBSTITUTE(AW52,CHAR(160)," ")," "," "),CHAR(10)," "),CHAR(13)," "))),"")</f>
        <v/>
      </c>
      <c r="AY52" s="493" t="str">
        <f>IF(43=43,SUBSTITUTE(SUBSTITUTE(SUBSTITUTE(SUBSTITUTE(SUBSTITUTE(SUBSTITUTE(SUBSTITUTE(SUBSTITUTE(SUBSTITUTE(SUBSTITUTE(SUBSTITUTE(SUBSTITUTE(AX52,"œ","oe"),"æ","ae"),"à","a"),"á","a"),"â","a"),"ä","a"),"ã","a"),"ç","c"),"è","e"),"é","e"),"ê","e"),"ë","e"),"")</f>
        <v/>
      </c>
      <c r="AZ52" s="493" t="str">
        <f>IF(43=43,SUBSTITUTE(SUBSTITUTE(SUBSTITUTE(SUBSTITUTE(SUBSTITUTE(SUBSTITUTE(SUBSTITUTE(SUBSTITUTE(SUBSTITUTE(SUBSTITUTE(SUBSTITUTE(SUBSTITUTE(SUBSTITUTE(SUBSTITUTE(SUBSTITUTE(SUBSTITUTE(AY52,"ì","i"),"í","i"),"î","i"),"ï","i"),"ñ","n"),"ò","o"),"ó","o"),"ô","o"),"ö","o"),"õ","o"),"ù","u"),"ú","u"),"û","u"),"ü","u"),"ý","y"),"ÿ","y"),"")</f>
        <v/>
      </c>
      <c r="BA52" s="493" t="str">
        <f>IF(43=43,SUBSTITUTE(SUBSTITUTE(SUBSTITUTE(SUBSTITUTE(SUBSTITUTE(SUBSTITUTE(SUBSTITUTE(SUBSTITUTE(SUBSTITUTE(SUBSTITUTE(SUBSTITUTE(SUBSTITUTE(SUBSTITUTE(SUBSTITUTE(AZ52,"’"," "),"`"," "),"–"," "),"—"," "),"-"," "),"'"," "),"/"," "),"_"," "),","," "),"."," "),"("," "),")"," "),";"," "),":"," "),"")</f>
        <v/>
      </c>
      <c r="BB52" s="493" t="str">
        <f>IF(43=43,SUBSTITUTE(SUBSTITUTE(SUBSTITUTE(SUBSTITUTE(SUBSTITUTE(SUBSTITUTE(SUBSTITUTE(SUBSTITUTE(SUBSTITUTE(SUBSTITUTE(SUBSTITUTE(SUBSTITUTE(SUBSTITUTE(SUBSTITUTE(SUBSTITUTE(BA52,"!"," "),"?"," "),"+"," "),"*"," "),"&amp;"," "),"["," "),"]"," "),"{"," "),"}"," "),"%"," "),"="," "),"\"," "),"|"," "),"&lt;"," "),"&gt;"," "),"")</f>
        <v/>
      </c>
      <c r="BC52" s="493" t="str">
        <f>IF(43=43," "&amp;TRIM(SUBSTITUTE(SUBSTITUTE(SUBSTITUTE(SUBSTITUTE(SUBSTITUTE(SUBSTITUTE(BB52,CHAR(34)," "),"  "," "),"  "," "),"  "," "),"  "," "),"  "," "))&amp;" ","")</f>
        <v xml:space="preserve">  </v>
      </c>
      <c r="BD52" s="493" t="str" cm="1">
        <f t="array" ref="BD52">IF(43=43,IF(AW52="","",SUMPRODUCT(--ISNUMBER(SEARCH(" "&amp;DT11:DT110&amp;" ",BF52)))),"")</f>
        <v/>
      </c>
      <c r="BE52" s="493" t="str" cm="1">
        <f t="array" ref="BE52">IF(43=43,IF(AW52="","",SUMPRODUCT(--ISNUMBER(SEARCH(" "&amp;DT111:DT160&amp;" ",BF52)))),"")</f>
        <v/>
      </c>
      <c r="BF52" s="493" t="str">
        <f>IF(AW52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52,"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52" s="493" t="str" cm="1">
        <f t="array" ref="BG52">IF(AW52="","",SUMPRODUCT(--ISNUMBER(SEARCH(" "&amp;DT193:DT214&amp;" ",BF52)))+--ISNUMBER(SEARCH(" "&amp;DT2463&amp;" ",BF52)))</f>
        <v/>
      </c>
      <c r="BH52" s="493" t="str" cm="1">
        <f t="array" ref="BH52">IF(43=43,IF(AW52="","",IF(SUM(BD52:BE52)+SUMPRODUCT(--ISNUMBER(SEARCH(" "&amp;DT2427:DT2429&amp;" ",BF52)))&gt;0,"X",IF(BG52&gt;0,"?",""))),"")</f>
        <v/>
      </c>
      <c r="BI52" s="493" t="str" cm="1">
        <f t="array" ref="BI52">IF(43=43,IF(AW52="","",SUMPRODUCT(--ISNUMBER(SEARCH(" "&amp;DT215:DT314&amp;" ",BC52)))),"")</f>
        <v/>
      </c>
      <c r="BJ52" s="493" t="str" cm="1">
        <f t="array" ref="BJ52">IF(43=43,IF(AW52="","",SUMPRODUCT(--ISNUMBER(SEARCH(" "&amp;DT315:DT349&amp;" ",BC52)))),"")</f>
        <v/>
      </c>
      <c r="BK52" s="493" t="str">
        <f>IF(43=43,IF(AW52="","",IF((SUM(BI52:BJ52))-(0)&gt;0,"X",IF((0)-(0)&gt;0,"?",""))),"")</f>
        <v/>
      </c>
      <c r="BL52" s="493" t="str" cm="1">
        <f t="array" ref="BL52">IF(43=43,IF(AW52="","",SUMPRODUCT(--ISNUMBER(SEARCH(" "&amp;DT350:DT407&amp;" ",BC52)))),"")</f>
        <v/>
      </c>
      <c r="BM52" s="493" t="str" cm="1">
        <f t="array" ref="BM52">IF(43=43,IF(AW52="","",SUMPRODUCT(--ISNUMBER(SEARCH(" "&amp;DT408:DT435&amp;" ",BN52)))+SUMPRODUCT(--ISNUMBER(SEARCH(" "&amp;DT2449:DT2462&amp;" ",BN52)))),"")</f>
        <v/>
      </c>
      <c r="BN52" s="493" t="str">
        <f>IF(43=43,IF(AW52="","",SUBSTITUTE(SUBSTITUTE(SUBSTITUTE(SUBSTITUTE(SUBSTITUTE(SUBSTITUTE(SUBSTITUTE(SUBSTITUTE(SUBSTITUTE(SUBSTITUTE(SUBSTITUTE(SUBSTITUTE(SUBSTITUTE(SUBSTITUTE(BC52," "&amp;DT2464&amp;" "," ")," "&amp;DT442&amp;" "," ")," "&amp;DT440&amp;" "," ")," "&amp;DT2447&amp;" "," ")," "&amp;DT2448&amp;" "," ")," "&amp;DT437&amp;" "," ")," "&amp;DT441&amp;" "," ")," "&amp;DT443&amp;" "," ")," "&amp;DT438&amp;" "," ")," "&amp;DT436&amp;" "," ")," "&amp;DT1376&amp;" "," ")," "&amp;DT444&amp;" "," ")," "&amp;DT1375&amp;" "," ")," "&amp;DT439&amp;" "," ")),"")</f>
        <v/>
      </c>
      <c r="BO52" s="493" t="str">
        <f>IF(43=43,IF(AW52="","",IF(BL52&gt;0,"X",IF(BM52&gt;0,"?",""))),"")</f>
        <v/>
      </c>
      <c r="BP52" s="493" t="str" cm="1">
        <f t="array" ref="BP52">IF(43=43,IF(AW52="","",SUMPRODUCT(--ISNUMBER(SEARCH(" "&amp;DT445:DT544&amp;" ",BZ52)))),"")</f>
        <v/>
      </c>
      <c r="BQ52" s="493" t="str" cm="1">
        <f t="array" ref="BQ52">IF(43=43,IF(AW52="","",SUMPRODUCT(--ISNUMBER(SEARCH(" "&amp;DT545:DT644&amp;" ",BZ52)))),"")</f>
        <v/>
      </c>
      <c r="BR52" s="493" t="str" cm="1">
        <f t="array" ref="BR52">IF(43=43,IF(AW52="","",SUMPRODUCT(--ISNUMBER(SEARCH(" "&amp;DT645:DT744&amp;" ",BZ52)))),"")</f>
        <v/>
      </c>
      <c r="BS52" s="493" t="str" cm="1">
        <f t="array" ref="BS52">IF(43=43,IF(AW52="","",SUMPRODUCT(--ISNUMBER(SEARCH(" "&amp;DT745:DT844&amp;" ",BZ52)))),"")</f>
        <v/>
      </c>
      <c r="BT52" s="493" t="str" cm="1">
        <f t="array" ref="BT52">IF(43=43,IF(AW52="","",SUMPRODUCT(--ISNUMBER(SEARCH(" "&amp;DT845:DT944&amp;" ",BZ52)))),"")</f>
        <v/>
      </c>
      <c r="BU52" s="493" t="str" cm="1">
        <f t="array" ref="BU52">IF(43=43,IF(AW52="","",SUMPRODUCT(--ISNUMBER(SEARCH(" "&amp;DT945:DT1044&amp;" ",BZ52)))),"")</f>
        <v/>
      </c>
      <c r="BV52" s="493" t="str" cm="1">
        <f t="array" ref="BV52">IF(43=43,IF(AW52="","",SUMPRODUCT(--ISNUMBER(SEARCH(" "&amp;DT1045:DT1144&amp;" ",BZ52)))),"")</f>
        <v/>
      </c>
      <c r="BW52" s="493" t="str" cm="1">
        <f t="array" ref="BW52">IF(43=43,IF(AW52="","",SUMPRODUCT(--ISNUMBER(SEARCH(" "&amp;DT1145:DT1244&amp;" ",BZ52)))),"")</f>
        <v/>
      </c>
      <c r="BX52" s="493" t="str" cm="1">
        <f t="array" ref="BX52">IF(43=43,IF(AW52="","",SUMPRODUCT(--ISNUMBER(SEARCH(" "&amp;DT1245:DT1344&amp;" ",BZ52)))),"")</f>
        <v/>
      </c>
      <c r="BY52" s="493" t="str" cm="1">
        <f t="array" ref="BY52">IF(43=43,IF(AW52="","",SUMPRODUCT(--ISNUMBER(SEARCH(" "&amp;DT1345:DT1372&amp;" ",BZ52)))),"")</f>
        <v/>
      </c>
      <c r="BZ52" s="493" t="str">
        <f>IF(43=43,IF(AW52="","",SUBSTITUTE(SUBSTITUTE(SUBSTITUTE(SUBSTITUTE(SUBSTITUTE(SUBSTITUTE(SUBSTITUTE(SUBSTITUTE(SUBSTITUTE(BC52," "&amp;DT1374&amp;" "," ")," "&amp;DT1373&amp;" "," ")," "&amp;DT1379&amp;" "," ")," "&amp;DT1380&amp;" "," ")," "&amp;DT1376&amp;" "," ")," "&amp;DT1378&amp;" "," ")," "&amp;DT1375&amp;" "," ")," "&amp;DT1377&amp;" "," ")," "&amp;DT1381&amp;" "," ")),"")</f>
        <v/>
      </c>
      <c r="CA52" s="493" t="str" cm="1">
        <f t="array" ref="CA52">IF(43=43,IF(AW52="","",SUMPRODUCT(--ISNUMBER(SEARCH(" "&amp;DT1382:DT1392&amp;" ",BZ52)))),"")</f>
        <v/>
      </c>
      <c r="CB52" s="493" t="str" cm="1">
        <f t="array" ref="CB52">IF(43=43,IF(AW52="","",IF(SUM(BP52:BY52)+SUMPRODUCT(--ISNUMBER(SEARCH(" "&amp;DT2430:DT2431&amp;" ",BZ52)))&gt;0,"X",IF(CA52&gt;0,"?",""))),"")</f>
        <v/>
      </c>
      <c r="CC52" s="493" t="str" cm="1">
        <f t="array" ref="CC52">IF(43=43,IF(AW52="","",SUMPRODUCT(--ISNUMBER(SEARCH(" "&amp;DT1393:DT1413&amp;" ",BC52)))),"")</f>
        <v/>
      </c>
      <c r="CD52" s="493" t="str">
        <f>IF(43=43,IF(AW52="","",IF((CC52)-(0)&gt;0,"X",IF((0)-(0)&gt;0,"?",""))),"")</f>
        <v/>
      </c>
      <c r="CE52" s="493" t="str" cm="1">
        <f t="array" ref="CE52">IF(43=43,IF(AW52="","",SUMPRODUCT(--ISNUMBER(SEARCH(" "&amp;DT1414:DT1451&amp;" ",CF52)))),"")</f>
        <v/>
      </c>
      <c r="CF52" s="493" t="str">
        <f>IF(43=43,IF(AW52="","",SUBSTITUTE(SUBSTITUTE(BC52," "&amp;DT1452&amp;" "," ")," "&amp;DT1453&amp;" "," ")),"")</f>
        <v/>
      </c>
      <c r="CG52" s="493" t="str" cm="1">
        <f t="array" ref="CG52">IF(43=43,IF(AW52="","",SUMPRODUCT(--ISNUMBER(SEARCH(" "&amp;DT1454:DT1464&amp;" ",CF52)))),"")</f>
        <v/>
      </c>
      <c r="CH52" s="493" t="str">
        <f>IF(43=43,IF(AW52="","",IF(CE52&gt;0,"X",IF(CG52&gt;0,"?",""))),"")</f>
        <v/>
      </c>
      <c r="CI52" s="493" t="str" cm="1">
        <f t="array" ref="CI52">IF(43=43,IF(AW52="","",SUMPRODUCT(--ISNUMBER(SEARCH(" "&amp;DT1465:DT1564&amp;" ",CL52)))),"")</f>
        <v/>
      </c>
      <c r="CJ52" s="493" t="str" cm="1">
        <f t="array" ref="CJ52">IF(43=43,IF(AW52="","",SUMPRODUCT(--ISNUMBER(SEARCH(" "&amp;DT1565:DT1664&amp;" ",CL52)))),"")</f>
        <v/>
      </c>
      <c r="CK52" s="493" t="str" cm="1">
        <f t="array" ref="CK52">IF(43=43,IF(AW52="","",SUMPRODUCT(--ISNUMBER(SEARCH(" "&amp;DT1665:DT1748&amp;" ",CL52)))),"")</f>
        <v/>
      </c>
      <c r="CL52" s="493" t="str">
        <f>IF(43=43,IF(AW52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52,"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52" s="493" t="str" cm="1">
        <f t="array" ref="CM52">IF(43=43,IF(AW52="","",SUMPRODUCT(--ISNUMBER(SEARCH(" "&amp;DT1799:DT1878&amp;" ",CN52)))+SUMPRODUCT(--ISNUMBER(SEARCH(" "&amp;DT2449:DT2462&amp;" ",CN52)))),"")</f>
        <v/>
      </c>
      <c r="CN52" s="493" t="str">
        <f>IF(43=43,IF(AW52="","",SUBSTITUTE(SUBSTITUTE(SUBSTITUTE(SUBSTITUTE(SUBSTITUTE(SUBSTITUTE(SUBSTITUTE(SUBSTITUTE(SUBSTITUTE(SUBSTITUTE(SUBSTITUTE(SUBSTITUTE(SUBSTITUTE(CL52," "&amp;DT1885&amp;" "," ")," "&amp;DT1883&amp;" "," ")," "&amp;DT2447&amp;" "," ")," "&amp;DT2448&amp;" "," ")," "&amp;DT1880&amp;" "," ")," "&amp;DT1884&amp;" "," ")," "&amp;DT1886&amp;" "," ")," "&amp;DT1881&amp;" "," ")," "&amp;DT1879&amp;" "," ")," "&amp;DT1376&amp;" "," ")," "&amp;DT1887&amp;" "," ")," "&amp;DT1375&amp;" "," ")," "&amp;DT1882&amp;" "," ")),"")</f>
        <v/>
      </c>
      <c r="CO52" s="493" t="str" cm="1">
        <f t="array" ref="CO52">IF(43=43,IF(AW52="","",IF(SUM(CI52:CK52)+SUMPRODUCT(--ISNUMBER(SEARCH(" "&amp;DT2432:DT2433&amp;" ",CL52)))&gt;0,"X",IF(CM52&gt;0,"?",""))),"")</f>
        <v/>
      </c>
      <c r="CP52" s="493" t="str" cm="1">
        <f t="array" ref="CP52">IF(43=43,IF(AW52="","",SUMPRODUCT(--ISNUMBER(SEARCH(" "&amp;DT1888:DT1945&amp;" ",CQ52)))),"")</f>
        <v/>
      </c>
      <c r="CQ52" s="493" t="str">
        <f>IF(43=43,IF(AW52="","",SUBSTITUTE(SUBSTITUTE(SUBSTITUTE(SUBSTITUTE(SUBSTITUTE(SUBSTITUTE(SUBSTITUTE(SUBSTITUTE(SUBSTITUTE(SUBSTITUTE(SUBSTITUTE(SUBSTITUTE(SUBSTITUTE(SUBSTITUTE(SUBSTITUTE(SUBSTITUTE(SUBSTITUTE(SUBSTITUTE(SUBSTITUTE(SUBSTITUTE(SUBSTITUTE(SUBSTITUTE(SUBSTITUTE(BC52,"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52" s="493" t="str" cm="1">
        <f t="array" ref="CR52">IF(43=43,IF(AW52="","",SUMPRODUCT(--ISNUMBER(SEARCH(" "&amp;DT1969:DT1985&amp;" ",CQ52)))),"")</f>
        <v/>
      </c>
      <c r="CS52" s="493" t="str">
        <f>IF(43=43,IF(AW52="","",IF(CP52&gt;0,"X",IF(CR52&gt;0,"?",""))),"")</f>
        <v/>
      </c>
      <c r="CT52" s="493" t="str" cm="1">
        <f t="array" ref="CT52">IF(43=43,IF(AW52="","",SUMPRODUCT(--ISNUMBER(SEARCH(" "&amp;DT1986:DT1999&amp;" ",BC52)))),"")</f>
        <v/>
      </c>
      <c r="CU52" s="493" t="str" cm="1">
        <f t="array" ref="CU52">IF(43=43,IF(AW52="","",SUMPRODUCT(--ISNUMBER(SEARCH(" "&amp;DT2000:DT2014&amp;" ",BC52)))),"")</f>
        <v/>
      </c>
      <c r="CV52" s="493" t="str">
        <f>IF(43=43,IF(AW52="","",IF((CT52)-(0)&gt;0,"X",IF((CU52)-(0)&gt;0,"?",""))),"")</f>
        <v/>
      </c>
      <c r="CW52" s="493" t="str" cm="1">
        <f t="array" ref="CW52">IF(43=43,IF(AW52="","",SUMPRODUCT(--ISNUMBER(SEARCH(" "&amp;DT2015:DT2032&amp;" ",BC52)))),"")</f>
        <v/>
      </c>
      <c r="CX52" s="493" t="str" cm="1">
        <f t="array" ref="CX52">IF(43=43,IF(AW52="","",SUMPRODUCT(--ISNUMBER(SEARCH(" "&amp;DT2033:DT2047&amp;" ",BC52)))),"")</f>
        <v/>
      </c>
      <c r="CY52" s="493" t="str">
        <f>IF(43=43,IF(AW52="","",IF((CW52)-(0)&gt;0,"X",IF((CX52)-(0)&gt;0,"?",""))),"")</f>
        <v/>
      </c>
      <c r="CZ52" s="493" t="str" cm="1">
        <f t="array" ref="CZ52">IF(43=43,IF(AW52="","",SUMPRODUCT(--ISNUMBER(SEARCH(" "&amp;DT2048:DT2066&amp;" ",BC52)))),"")</f>
        <v/>
      </c>
      <c r="DA52" s="493" t="str" cm="1">
        <f t="array" ref="DA52">IF(43=43,IF(AW52="","",SUMPRODUCT(--ISNUMBER(SEARCH(" "&amp;DT2067:DT2081&amp;" ",BC52)))),"")</f>
        <v/>
      </c>
      <c r="DB52" s="493" t="str">
        <f>IF(43=43,IF(AW52="","",IF((CZ52)-(0)&gt;0,"X",IF((DA52)-(0)&gt;0,"?",""))),"")</f>
        <v/>
      </c>
      <c r="DC52" s="493" t="str" cm="1">
        <f t="array" ref="DC52">IF(43=43,IF(AW52="","",SUMPRODUCT(--ISNUMBER(SEARCH(" "&amp;DT2082:DT2102&amp;" ",BC52)))),"")</f>
        <v/>
      </c>
      <c r="DD52" s="493" t="str" cm="1">
        <f t="array" ref="DD52">IF(43=43,IF(AW52="","",SUMPRODUCT(--ISNUMBER(SEARCH(" "&amp;DT2103:DT2142&amp;" ",SUBSTITUTE(SUBSTITUTE(BC52," "&amp;DT1376&amp;" "," ")," "&amp;DT1375&amp;" "," "))))+--ISNUMBER(SEARCH("poiré",AX52))),"")</f>
        <v/>
      </c>
      <c r="DE52" s="493" t="str">
        <f>IF(43=43,IF(AW52="","",IF(OR(DC52&gt;0,ISNUMBER(SEARCH(" vinaigre de vin ",BC52)),ISNUMBER(SEARCH(" vinaigre au vin ",BC52))),"X",IF(DD52&gt;0,"?",""))),"")</f>
        <v/>
      </c>
      <c r="DF52" s="493" t="str" cm="1">
        <f t="array" ref="DF52">IF(43=43,IF(AW52="","",SUMPRODUCT(--ISNUMBER(SEARCH(" "&amp;DT2143:DT2155&amp;" ",BC52)))),"")</f>
        <v/>
      </c>
      <c r="DG52" s="493" t="str" cm="1">
        <f t="array" ref="DG52">IF(43=43,IF(AW52="","",SUMPRODUCT(--ISNUMBER(SEARCH(" "&amp;DT2156:DT2161&amp;" ",BC52)))),"")</f>
        <v/>
      </c>
      <c r="DH52" s="493" t="str">
        <f>IF(43=43,IF(AW52="","",IF((DF52)-(0)&gt;0,"X",IF((DG52)-(0)&gt;0,"?",""))),"")</f>
        <v/>
      </c>
      <c r="DI52" s="493" t="str" cm="1">
        <f t="array" ref="DI52">IF(43=43,IF(AW52="","",SUMPRODUCT(--ISNUMBER(SEARCH(" "&amp;DT2162:DT2261&amp;" ",DL52)))),"")</f>
        <v/>
      </c>
      <c r="DJ52" s="493" t="str" cm="1">
        <f t="array" ref="DJ52">IF(43=43,IF(AW52="","",SUMPRODUCT(--ISNUMBER(SEARCH(" "&amp;DT2262:DT2361&amp;" ",DL52)))),"")</f>
        <v/>
      </c>
      <c r="DK52" s="493" t="str" cm="1">
        <f t="array" ref="DK52">IF(43=43,IF(AW52="","",SUMPRODUCT(--ISNUMBER(SEARCH(" "&amp;DT2362:DT2404&amp;" ",DL52)))),"")</f>
        <v/>
      </c>
      <c r="DL52" s="493" t="str">
        <f>IF(43=43,IF(AW52="","",SUBSTITUTE(SUBSTITUTE(SUBSTITUTE(SUBSTITUTE(SUBSTITUTE(SUBSTITUTE(SUBSTITUTE(SUBSTITUTE(SUBSTITUTE(SUBSTITUTE(SUBSTITUTE(SUBSTITUTE(SUBSTITUTE(SUBSTITUTE(SUBSTITUTE(SUBSTITUTE(BC52," "&amp;DT2410&amp;" "," ")," "&amp;DT2409&amp;" "," ")," "&amp;DT2408&amp;" "," ")," "&amp;DT2415&amp;" "," ")," "&amp;DT2407&amp;" "," ")," "&amp;DT2419&amp;" "," ")," "&amp;DT2406&amp;" "," ")," "&amp;DT2411&amp;" "," ")," "&amp;DT2414&amp;" "," ")," "&amp;DT2405&amp;" "," ")," "&amp;DT2413&amp;" "," ")," "&amp;DT2420&amp;" "," ")," "&amp;DT2417&amp;" "," ")," "&amp;DT2412&amp;" "," ")," "&amp;DT2416&amp;" "," ")," "&amp;DT2418&amp;" "," ")),"")</f>
        <v/>
      </c>
      <c r="DM52" s="493" t="str" cm="1">
        <f t="array" ref="DM52">IF(43=43,IF(AW52="","",SUMPRODUCT(--ISNUMBER(SEARCH(" "&amp;DT2421:DT2425&amp;" ",DL52)))),"")</f>
        <v/>
      </c>
      <c r="DN52" s="493" t="str">
        <f>IF(43=43,IF(AW52="","",IF(SUM(DI52:DK52)&gt;0,"X",IF(DM52&gt;0,"?",""))),"")</f>
        <v/>
      </c>
      <c r="DO52" s="494"/>
      <c r="DP52" s="496" t="s">
        <v>1217</v>
      </c>
      <c r="DQ52" s="496" t="s">
        <v>1083</v>
      </c>
      <c r="DR52" s="496" t="s">
        <v>689</v>
      </c>
      <c r="DS52" s="496" t="s">
        <v>170</v>
      </c>
      <c r="DT52" s="496" t="s">
        <v>170</v>
      </c>
      <c r="DU52" s="496" t="s">
        <v>1085</v>
      </c>
      <c r="DV52" s="496" t="s">
        <v>1086</v>
      </c>
      <c r="DW52" s="496" t="s">
        <v>1087</v>
      </c>
      <c r="DX52" s="497" t="s">
        <v>1088</v>
      </c>
      <c r="DZ52" s="543">
        <v>1</v>
      </c>
      <c r="EB52" s="493"/>
      <c r="EC52" s="493"/>
    </row>
    <row r="53" spans="5:133" ht="21" customHeight="1">
      <c r="E53" s="865" t="s">
        <v>737</v>
      </c>
      <c r="F53" s="877" t="str">
        <f>F12</f>
        <v>M MACÉDOINE DE LÉGUMES AU COULIS DE TOMATE | HORS D'ŒUVRE texture modifiée-cuidité-MACEDOINE| Auteur &gt; Annette et Jean Pierre DOMERGUES - 45000 ORLÉANS 1981</v>
      </c>
      <c r="G53" s="877">
        <f>G12</f>
        <v>10</v>
      </c>
      <c r="H53" s="878" t="str">
        <f>H12</f>
        <v>couverts</v>
      </c>
      <c r="I53" s="879" t="str">
        <f>I12</f>
        <v>Recette mère ►  Textures modifiées</v>
      </c>
      <c r="J53" s="889"/>
      <c r="K53" s="889"/>
      <c r="L53" s="891">
        <f>ROWS(P37:P53)</f>
        <v>17</v>
      </c>
      <c r="M53" s="889"/>
      <c r="N53" s="892" t="str">
        <f t="array" ref="N53">SUMPRODUCT(--(P53:W53&lt;&gt;""), LEN(TRIM(SUBSTITUTE(P53:W53, CHAR(160), "")))) &amp; " Car."</f>
        <v>0 Car.</v>
      </c>
      <c r="O53" s="893"/>
      <c r="P53" s="886"/>
      <c r="Q53" s="886"/>
      <c r="R53" s="886"/>
      <c r="S53" s="886"/>
      <c r="T53" s="886"/>
      <c r="U53" s="886"/>
      <c r="V53" s="886"/>
      <c r="W53" s="886"/>
      <c r="X53" s="886"/>
      <c r="Y53" s="904"/>
      <c r="AA53" s="899"/>
      <c r="AC53" s="509">
        <v>38</v>
      </c>
      <c r="AD53" s="808"/>
      <c r="AE53" s="679" t="str">
        <f t="shared" si="9"/>
        <v/>
      </c>
      <c r="AF53" s="512" t="str">
        <f>IF(44=44,IF(AD53="","",IF(AG53="X",""&amp;"Céréales contenant du gluten","")&amp;IF(AH53="X",IF(COUNTIF(AG53:AG53,"X")&gt;0,", ","")&amp;"Crustacés","")&amp;IF(AI53="X",IF(COUNTIF(AG53:AH53,"X")&gt;0,", ","")&amp;"Œufs","")&amp;IF(AJ53="X",IF(COUNTIF(AG53:AI53,"X")&gt;0,", ","")&amp;"Poissons","")&amp;IF(AK53="X",IF(COUNTIF(AG53:AJ53,"X")&gt;0,", ","")&amp;"Arachides","")&amp;IF(AL53="X",IF(COUNTIF(AG53:AK53,"X")&gt;0,", ","")&amp;"Soja","")&amp;IF(AM53="X",IF(COUNTIF(AG53:AL53,"X")&gt;0,", ","")&amp;"Lait","")&amp;IF(AN53="X",IF(COUNTIF(AG53:AM53,"X")&gt;0,", ","")&amp;"Fruits à coque","")&amp;IF(AO53="X",IF(COUNTIF(AG53:AN53,"X")&gt;0,", ","")&amp;"Céleri","")&amp;IF(AP53="X",IF(COUNTIF(AG53:AO53,"X")&gt;0,", ","")&amp;"Moutarde","")&amp;IF(AQ53="X",IF(COUNTIF(AG53:AP53,"X")&gt;0,", ","")&amp;"Sésame","")&amp;IF(AR53="X",IF(COUNTIF(AG53:AQ53,"X")&gt;0,", ","")&amp;"Sulfites","")&amp;IF(AS53="X",IF(COUNTIF(AG53:AR53,"X")&gt;0,", ","")&amp;"Lupin","")&amp;IF(AT53="X",IF(COUNTIF(AG53:AS53,"X")&gt;0,", ","")&amp;"Mollusques","")),"")</f>
        <v/>
      </c>
      <c r="AG53" s="513" t="str">
        <f>IF(44=44,IF(AD53="","",BH53),"")</f>
        <v/>
      </c>
      <c r="AH53" s="513" t="str">
        <f>IF(44=44,IF(AD53="","",BK53),"")</f>
        <v/>
      </c>
      <c r="AI53" s="513" t="str">
        <f>IF(44=44,IF(AD53="","",BO53),"")</f>
        <v/>
      </c>
      <c r="AJ53" s="513" t="str">
        <f>IF(44=44,IF(AD53="","",IF(ISNUMBER(SEARCH(" colin ",BC53)),"X",CB53)),"")</f>
        <v/>
      </c>
      <c r="AK53" s="513" t="str">
        <f>IF(44=44,IF(AD53="","",CD53),"")</f>
        <v/>
      </c>
      <c r="AL53" s="513" t="str">
        <f>IF(44=44,IF(AD53="","",CH53),"")</f>
        <v/>
      </c>
      <c r="AM53" s="513" t="str">
        <f>IF(44=44,IF(AD53="","",CO53),"")</f>
        <v/>
      </c>
      <c r="AN53" s="513" t="str">
        <f>IF(44=44,IF(AD53="","",CS53),"")</f>
        <v/>
      </c>
      <c r="AO53" s="513" t="str">
        <f>IF(44=44,IF(AD53="","",CV53),"")</f>
        <v/>
      </c>
      <c r="AP53" s="513" t="str">
        <f>IF(44=44,IF(AD53="","",CY53),"")</f>
        <v/>
      </c>
      <c r="AQ53" s="513" t="str">
        <f>IF(44=44,IF(AD53="","",DB53),"")</f>
        <v/>
      </c>
      <c r="AR53" s="513" t="str">
        <f>IF(44=44,IF(AD53="","",DE53),"")</f>
        <v/>
      </c>
      <c r="AS53" s="513" t="str">
        <f>IF(44=44,IF(AD53="","",DH53),"")</f>
        <v/>
      </c>
      <c r="AT53" s="513" t="str">
        <f>IF(44=44,IF(AD53="","",DN53),"")</f>
        <v/>
      </c>
      <c r="AU53" s="514" t="str">
        <f>IF(44=44,IF(AD53="","",IF(AG53="?",""&amp;"Céréales contenant du gluten","")&amp;IF(AH53="?",IF(COUNTIF(AG53:AG53,"~?")&gt;0,", ","")&amp;"Crustacés","")&amp;IF(AI53="?",IF(COUNTIF(AG53:AH53,"~?")&gt;0,", ","")&amp;"Œufs","")&amp;IF(AJ53="?",IF(COUNTIF(AG53:AI53,"~?")&gt;0,", ","")&amp;"Poissons","")&amp;IF(AK53="?",IF(COUNTIF(AG53:AJ53,"~?")&gt;0,", ","")&amp;"Arachides","")&amp;IF(AL53="?",IF(COUNTIF(AG53:AK53,"~?")&gt;0,", ","")&amp;"Soja","")&amp;IF(AM53="?",IF(COUNTIF(AG53:AL53,"~?")&gt;0,", ","")&amp;"Lait","")&amp;IF(AN53="?",IF(COUNTIF(AG53:AM53,"~?")&gt;0,", ","")&amp;"Fruits à coque","")&amp;IF(AO53="?",IF(COUNTIF(AG53:AN53,"~?")&gt;0,", ","")&amp;"Céleri","")&amp;IF(AP53="?",IF(COUNTIF(AG53:AO53,"~?")&gt;0,", ","")&amp;"Moutarde","")&amp;IF(AQ53="?",IF(COUNTIF(AG53:AP53,"~?")&gt;0,", ","")&amp;"Sésame","")&amp;IF(AR53="?",IF(COUNTIF(AG53:AQ53,"~?")&gt;0,", ","")&amp;"Sulfites","")&amp;IF(AS53="?",IF(COUNTIF(AG53:AR53,"~?")&gt;0,", ","")&amp;"Lupin","")&amp;IF(AT53="?",IF(COUNTIF(AG53:AS53,"~?")&gt;0,", ","")&amp;"Mollusques","")),"")</f>
        <v/>
      </c>
      <c r="AW53" s="493" t="str">
        <f>IF(44=44,IF(AD53="","",AD53),"")</f>
        <v/>
      </c>
      <c r="AX53" s="493" t="str">
        <f>IF(44=44,LOWER(CLEAN(SUBSTITUTE(SUBSTITUTE(SUBSTITUTE(SUBSTITUTE(AW53,CHAR(160)," ")," "," "),CHAR(10)," "),CHAR(13)," "))),"")</f>
        <v/>
      </c>
      <c r="AY53" s="493" t="str">
        <f>IF(44=44,SUBSTITUTE(SUBSTITUTE(SUBSTITUTE(SUBSTITUTE(SUBSTITUTE(SUBSTITUTE(SUBSTITUTE(SUBSTITUTE(SUBSTITUTE(SUBSTITUTE(SUBSTITUTE(SUBSTITUTE(AX53,"œ","oe"),"æ","ae"),"à","a"),"á","a"),"â","a"),"ä","a"),"ã","a"),"ç","c"),"è","e"),"é","e"),"ê","e"),"ë","e"),"")</f>
        <v/>
      </c>
      <c r="AZ53" s="493" t="str">
        <f>IF(44=44,SUBSTITUTE(SUBSTITUTE(SUBSTITUTE(SUBSTITUTE(SUBSTITUTE(SUBSTITUTE(SUBSTITUTE(SUBSTITUTE(SUBSTITUTE(SUBSTITUTE(SUBSTITUTE(SUBSTITUTE(SUBSTITUTE(SUBSTITUTE(SUBSTITUTE(SUBSTITUTE(AY53,"ì","i"),"í","i"),"î","i"),"ï","i"),"ñ","n"),"ò","o"),"ó","o"),"ô","o"),"ö","o"),"õ","o"),"ù","u"),"ú","u"),"û","u"),"ü","u"),"ý","y"),"ÿ","y"),"")</f>
        <v/>
      </c>
      <c r="BA53" s="493" t="str">
        <f>IF(44=44,SUBSTITUTE(SUBSTITUTE(SUBSTITUTE(SUBSTITUTE(SUBSTITUTE(SUBSTITUTE(SUBSTITUTE(SUBSTITUTE(SUBSTITUTE(SUBSTITUTE(SUBSTITUTE(SUBSTITUTE(SUBSTITUTE(SUBSTITUTE(AZ53,"’"," "),"`"," "),"–"," "),"—"," "),"-"," "),"'"," "),"/"," "),"_"," "),","," "),"."," "),"("," "),")"," "),";"," "),":"," "),"")</f>
        <v/>
      </c>
      <c r="BB53" s="493" t="str">
        <f>IF(44=44,SUBSTITUTE(SUBSTITUTE(SUBSTITUTE(SUBSTITUTE(SUBSTITUTE(SUBSTITUTE(SUBSTITUTE(SUBSTITUTE(SUBSTITUTE(SUBSTITUTE(SUBSTITUTE(SUBSTITUTE(SUBSTITUTE(SUBSTITUTE(SUBSTITUTE(BA53,"!"," "),"?"," "),"+"," "),"*"," "),"&amp;"," "),"["," "),"]"," "),"{"," "),"}"," "),"%"," "),"="," "),"\"," "),"|"," "),"&lt;"," "),"&gt;"," "),"")</f>
        <v/>
      </c>
      <c r="BC53" s="493" t="str">
        <f>IF(44=44," "&amp;TRIM(SUBSTITUTE(SUBSTITUTE(SUBSTITUTE(SUBSTITUTE(SUBSTITUTE(SUBSTITUTE(BB53,CHAR(34)," "),"  "," "),"  "," "),"  "," "),"  "," "),"  "," "))&amp;" ","")</f>
        <v xml:space="preserve">  </v>
      </c>
      <c r="BD53" s="493" t="str" cm="1">
        <f t="array" ref="BD53">IF(44=44,IF(AW53="","",SUMPRODUCT(--ISNUMBER(SEARCH(" "&amp;DT11:DT110&amp;" ",BF53)))),"")</f>
        <v/>
      </c>
      <c r="BE53" s="493" t="str" cm="1">
        <f t="array" ref="BE53">IF(44=44,IF(AW53="","",SUMPRODUCT(--ISNUMBER(SEARCH(" "&amp;DT111:DT160&amp;" ",BF53)))),"")</f>
        <v/>
      </c>
      <c r="BF53" s="493" t="str">
        <f>IF(AW53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53,"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53" s="493" t="str" cm="1">
        <f t="array" ref="BG53">IF(AW53="","",SUMPRODUCT(--ISNUMBER(SEARCH(" "&amp;DT193:DT214&amp;" ",BF53)))+--ISNUMBER(SEARCH(" "&amp;DT2463&amp;" ",BF53)))</f>
        <v/>
      </c>
      <c r="BH53" s="493" t="str" cm="1">
        <f t="array" ref="BH53">IF(44=44,IF(AW53="","",IF(SUM(BD53:BE53)+SUMPRODUCT(--ISNUMBER(SEARCH(" "&amp;DT2427:DT2429&amp;" ",BF53)))&gt;0,"X",IF(BG53&gt;0,"?",""))),"")</f>
        <v/>
      </c>
      <c r="BI53" s="493" t="str" cm="1">
        <f t="array" ref="BI53">IF(44=44,IF(AW53="","",SUMPRODUCT(--ISNUMBER(SEARCH(" "&amp;DT215:DT314&amp;" ",BC53)))),"")</f>
        <v/>
      </c>
      <c r="BJ53" s="493" t="str" cm="1">
        <f t="array" ref="BJ53">IF(44=44,IF(AW53="","",SUMPRODUCT(--ISNUMBER(SEARCH(" "&amp;DT315:DT349&amp;" ",BC53)))),"")</f>
        <v/>
      </c>
      <c r="BK53" s="493" t="str">
        <f>IF(44=44,IF(AW53="","",IF((SUM(BI53:BJ53))-(0)&gt;0,"X",IF((0)-(0)&gt;0,"?",""))),"")</f>
        <v/>
      </c>
      <c r="BL53" s="493" t="str" cm="1">
        <f t="array" ref="BL53">IF(44=44,IF(AW53="","",SUMPRODUCT(--ISNUMBER(SEARCH(" "&amp;DT350:DT407&amp;" ",BC53)))),"")</f>
        <v/>
      </c>
      <c r="BM53" s="493" t="str" cm="1">
        <f t="array" ref="BM53">IF(44=44,IF(AW53="","",SUMPRODUCT(--ISNUMBER(SEARCH(" "&amp;DT408:DT435&amp;" ",BN53)))+SUMPRODUCT(--ISNUMBER(SEARCH(" "&amp;DT2449:DT2462&amp;" ",BN53)))),"")</f>
        <v/>
      </c>
      <c r="BN53" s="493" t="str">
        <f>IF(44=44,IF(AW53="","",SUBSTITUTE(SUBSTITUTE(SUBSTITUTE(SUBSTITUTE(SUBSTITUTE(SUBSTITUTE(SUBSTITUTE(SUBSTITUTE(SUBSTITUTE(SUBSTITUTE(SUBSTITUTE(SUBSTITUTE(SUBSTITUTE(SUBSTITUTE(BC53," "&amp;DT2464&amp;" "," ")," "&amp;DT442&amp;" "," ")," "&amp;DT440&amp;" "," ")," "&amp;DT2447&amp;" "," ")," "&amp;DT2448&amp;" "," ")," "&amp;DT437&amp;" "," ")," "&amp;DT441&amp;" "," ")," "&amp;DT443&amp;" "," ")," "&amp;DT438&amp;" "," ")," "&amp;DT436&amp;" "," ")," "&amp;DT1376&amp;" "," ")," "&amp;DT444&amp;" "," ")," "&amp;DT1375&amp;" "," ")," "&amp;DT439&amp;" "," ")),"")</f>
        <v/>
      </c>
      <c r="BO53" s="493" t="str">
        <f>IF(44=44,IF(AW53="","",IF(BL53&gt;0,"X",IF(BM53&gt;0,"?",""))),"")</f>
        <v/>
      </c>
      <c r="BP53" s="493" t="str" cm="1">
        <f t="array" ref="BP53">IF(44=44,IF(AW53="","",SUMPRODUCT(--ISNUMBER(SEARCH(" "&amp;DT445:DT544&amp;" ",BZ53)))),"")</f>
        <v/>
      </c>
      <c r="BQ53" s="493" t="str" cm="1">
        <f t="array" ref="BQ53">IF(44=44,IF(AW53="","",SUMPRODUCT(--ISNUMBER(SEARCH(" "&amp;DT545:DT644&amp;" ",BZ53)))),"")</f>
        <v/>
      </c>
      <c r="BR53" s="493" t="str" cm="1">
        <f t="array" ref="BR53">IF(44=44,IF(AW53="","",SUMPRODUCT(--ISNUMBER(SEARCH(" "&amp;DT645:DT744&amp;" ",BZ53)))),"")</f>
        <v/>
      </c>
      <c r="BS53" s="493" t="str" cm="1">
        <f t="array" ref="BS53">IF(44=44,IF(AW53="","",SUMPRODUCT(--ISNUMBER(SEARCH(" "&amp;DT745:DT844&amp;" ",BZ53)))),"")</f>
        <v/>
      </c>
      <c r="BT53" s="493" t="str" cm="1">
        <f t="array" ref="BT53">IF(44=44,IF(AW53="","",SUMPRODUCT(--ISNUMBER(SEARCH(" "&amp;DT845:DT944&amp;" ",BZ53)))),"")</f>
        <v/>
      </c>
      <c r="BU53" s="493" t="str" cm="1">
        <f t="array" ref="BU53">IF(44=44,IF(AW53="","",SUMPRODUCT(--ISNUMBER(SEARCH(" "&amp;DT945:DT1044&amp;" ",BZ53)))),"")</f>
        <v/>
      </c>
      <c r="BV53" s="493" t="str" cm="1">
        <f t="array" ref="BV53">IF(44=44,IF(AW53="","",SUMPRODUCT(--ISNUMBER(SEARCH(" "&amp;DT1045:DT1144&amp;" ",BZ53)))),"")</f>
        <v/>
      </c>
      <c r="BW53" s="493" t="str" cm="1">
        <f t="array" ref="BW53">IF(44=44,IF(AW53="","",SUMPRODUCT(--ISNUMBER(SEARCH(" "&amp;DT1145:DT1244&amp;" ",BZ53)))),"")</f>
        <v/>
      </c>
      <c r="BX53" s="493" t="str" cm="1">
        <f t="array" ref="BX53">IF(44=44,IF(AW53="","",SUMPRODUCT(--ISNUMBER(SEARCH(" "&amp;DT1245:DT1344&amp;" ",BZ53)))),"")</f>
        <v/>
      </c>
      <c r="BY53" s="493" t="str" cm="1">
        <f t="array" ref="BY53">IF(44=44,IF(AW53="","",SUMPRODUCT(--ISNUMBER(SEARCH(" "&amp;DT1345:DT1372&amp;" ",BZ53)))),"")</f>
        <v/>
      </c>
      <c r="BZ53" s="493" t="str">
        <f>IF(44=44,IF(AW53="","",SUBSTITUTE(SUBSTITUTE(SUBSTITUTE(SUBSTITUTE(SUBSTITUTE(SUBSTITUTE(SUBSTITUTE(SUBSTITUTE(SUBSTITUTE(BC53," "&amp;DT1374&amp;" "," ")," "&amp;DT1373&amp;" "," ")," "&amp;DT1379&amp;" "," ")," "&amp;DT1380&amp;" "," ")," "&amp;DT1376&amp;" "," ")," "&amp;DT1378&amp;" "," ")," "&amp;DT1375&amp;" "," ")," "&amp;DT1377&amp;" "," ")," "&amp;DT1381&amp;" "," ")),"")</f>
        <v/>
      </c>
      <c r="CA53" s="493" t="str" cm="1">
        <f t="array" ref="CA53">IF(44=44,IF(AW53="","",SUMPRODUCT(--ISNUMBER(SEARCH(" "&amp;DT1382:DT1392&amp;" ",BZ53)))),"")</f>
        <v/>
      </c>
      <c r="CB53" s="493" t="str" cm="1">
        <f t="array" ref="CB53">IF(44=44,IF(AW53="","",IF(SUM(BP53:BY53)+SUMPRODUCT(--ISNUMBER(SEARCH(" "&amp;DT2430:DT2431&amp;" ",BZ53)))&gt;0,"X",IF(CA53&gt;0,"?",""))),"")</f>
        <v/>
      </c>
      <c r="CC53" s="493" t="str" cm="1">
        <f t="array" ref="CC53">IF(44=44,IF(AW53="","",SUMPRODUCT(--ISNUMBER(SEARCH(" "&amp;DT1393:DT1413&amp;" ",BC53)))),"")</f>
        <v/>
      </c>
      <c r="CD53" s="493" t="str">
        <f>IF(44=44,IF(AW53="","",IF((CC53)-(0)&gt;0,"X",IF((0)-(0)&gt;0,"?",""))),"")</f>
        <v/>
      </c>
      <c r="CE53" s="493" t="str" cm="1">
        <f t="array" ref="CE53">IF(44=44,IF(AW53="","",SUMPRODUCT(--ISNUMBER(SEARCH(" "&amp;DT1414:DT1451&amp;" ",CF53)))),"")</f>
        <v/>
      </c>
      <c r="CF53" s="493" t="str">
        <f>IF(44=44,IF(AW53="","",SUBSTITUTE(SUBSTITUTE(BC53," "&amp;DT1452&amp;" "," ")," "&amp;DT1453&amp;" "," ")),"")</f>
        <v/>
      </c>
      <c r="CG53" s="493" t="str" cm="1">
        <f t="array" ref="CG53">IF(44=44,IF(AW53="","",SUMPRODUCT(--ISNUMBER(SEARCH(" "&amp;DT1454:DT1464&amp;" ",CF53)))),"")</f>
        <v/>
      </c>
      <c r="CH53" s="493" t="str">
        <f>IF(44=44,IF(AW53="","",IF(CE53&gt;0,"X",IF(CG53&gt;0,"?",""))),"")</f>
        <v/>
      </c>
      <c r="CI53" s="493" t="str" cm="1">
        <f t="array" ref="CI53">IF(44=44,IF(AW53="","",SUMPRODUCT(--ISNUMBER(SEARCH(" "&amp;DT1465:DT1564&amp;" ",CL53)))),"")</f>
        <v/>
      </c>
      <c r="CJ53" s="493" t="str" cm="1">
        <f t="array" ref="CJ53">IF(44=44,IF(AW53="","",SUMPRODUCT(--ISNUMBER(SEARCH(" "&amp;DT1565:DT1664&amp;" ",CL53)))),"")</f>
        <v/>
      </c>
      <c r="CK53" s="493" t="str" cm="1">
        <f t="array" ref="CK53">IF(44=44,IF(AW53="","",SUMPRODUCT(--ISNUMBER(SEARCH(" "&amp;DT1665:DT1748&amp;" ",CL53)))),"")</f>
        <v/>
      </c>
      <c r="CL53" s="493" t="str">
        <f>IF(44=44,IF(AW53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53,"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53" s="493" t="str" cm="1">
        <f t="array" ref="CM53">IF(44=44,IF(AW53="","",SUMPRODUCT(--ISNUMBER(SEARCH(" "&amp;DT1799:DT1878&amp;" ",CN53)))+SUMPRODUCT(--ISNUMBER(SEARCH(" "&amp;DT2449:DT2462&amp;" ",CN53)))),"")</f>
        <v/>
      </c>
      <c r="CN53" s="493" t="str">
        <f>IF(44=44,IF(AW53="","",SUBSTITUTE(SUBSTITUTE(SUBSTITUTE(SUBSTITUTE(SUBSTITUTE(SUBSTITUTE(SUBSTITUTE(SUBSTITUTE(SUBSTITUTE(SUBSTITUTE(SUBSTITUTE(SUBSTITUTE(SUBSTITUTE(CL53," "&amp;DT1885&amp;" "," ")," "&amp;DT1883&amp;" "," ")," "&amp;DT2447&amp;" "," ")," "&amp;DT2448&amp;" "," ")," "&amp;DT1880&amp;" "," ")," "&amp;DT1884&amp;" "," ")," "&amp;DT1886&amp;" "," ")," "&amp;DT1881&amp;" "," ")," "&amp;DT1879&amp;" "," ")," "&amp;DT1376&amp;" "," ")," "&amp;DT1887&amp;" "," ")," "&amp;DT1375&amp;" "," ")," "&amp;DT1882&amp;" "," ")),"")</f>
        <v/>
      </c>
      <c r="CO53" s="493" t="str" cm="1">
        <f t="array" ref="CO53">IF(44=44,IF(AW53="","",IF(SUM(CI53:CK53)+SUMPRODUCT(--ISNUMBER(SEARCH(" "&amp;DT2432:DT2433&amp;" ",CL53)))&gt;0,"X",IF(CM53&gt;0,"?",""))),"")</f>
        <v/>
      </c>
      <c r="CP53" s="493" t="str" cm="1">
        <f t="array" ref="CP53">IF(44=44,IF(AW53="","",SUMPRODUCT(--ISNUMBER(SEARCH(" "&amp;DT1888:DT1945&amp;" ",CQ53)))),"")</f>
        <v/>
      </c>
      <c r="CQ53" s="493" t="str">
        <f>IF(44=44,IF(AW53="","",SUBSTITUTE(SUBSTITUTE(SUBSTITUTE(SUBSTITUTE(SUBSTITUTE(SUBSTITUTE(SUBSTITUTE(SUBSTITUTE(SUBSTITUTE(SUBSTITUTE(SUBSTITUTE(SUBSTITUTE(SUBSTITUTE(SUBSTITUTE(SUBSTITUTE(SUBSTITUTE(SUBSTITUTE(SUBSTITUTE(SUBSTITUTE(SUBSTITUTE(SUBSTITUTE(SUBSTITUTE(SUBSTITUTE(BC53,"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53" s="493" t="str" cm="1">
        <f t="array" ref="CR53">IF(44=44,IF(AW53="","",SUMPRODUCT(--ISNUMBER(SEARCH(" "&amp;DT1969:DT1985&amp;" ",CQ53)))),"")</f>
        <v/>
      </c>
      <c r="CS53" s="493" t="str">
        <f>IF(44=44,IF(AW53="","",IF(CP53&gt;0,"X",IF(CR53&gt;0,"?",""))),"")</f>
        <v/>
      </c>
      <c r="CT53" s="493" t="str" cm="1">
        <f t="array" ref="CT53">IF(44=44,IF(AW53="","",SUMPRODUCT(--ISNUMBER(SEARCH(" "&amp;DT1986:DT1999&amp;" ",BC53)))),"")</f>
        <v/>
      </c>
      <c r="CU53" s="493" t="str" cm="1">
        <f t="array" ref="CU53">IF(44=44,IF(AW53="","",SUMPRODUCT(--ISNUMBER(SEARCH(" "&amp;DT2000:DT2014&amp;" ",BC53)))),"")</f>
        <v/>
      </c>
      <c r="CV53" s="493" t="str">
        <f>IF(44=44,IF(AW53="","",IF((CT53)-(0)&gt;0,"X",IF((CU53)-(0)&gt;0,"?",""))),"")</f>
        <v/>
      </c>
      <c r="CW53" s="493" t="str" cm="1">
        <f t="array" ref="CW53">IF(44=44,IF(AW53="","",SUMPRODUCT(--ISNUMBER(SEARCH(" "&amp;DT2015:DT2032&amp;" ",BC53)))),"")</f>
        <v/>
      </c>
      <c r="CX53" s="493" t="str" cm="1">
        <f t="array" ref="CX53">IF(44=44,IF(AW53="","",SUMPRODUCT(--ISNUMBER(SEARCH(" "&amp;DT2033:DT2047&amp;" ",BC53)))),"")</f>
        <v/>
      </c>
      <c r="CY53" s="493" t="str">
        <f>IF(44=44,IF(AW53="","",IF((CW53)-(0)&gt;0,"X",IF((CX53)-(0)&gt;0,"?",""))),"")</f>
        <v/>
      </c>
      <c r="CZ53" s="493" t="str" cm="1">
        <f t="array" ref="CZ53">IF(44=44,IF(AW53="","",SUMPRODUCT(--ISNUMBER(SEARCH(" "&amp;DT2048:DT2066&amp;" ",BC53)))),"")</f>
        <v/>
      </c>
      <c r="DA53" s="493" t="str" cm="1">
        <f t="array" ref="DA53">IF(44=44,IF(AW53="","",SUMPRODUCT(--ISNUMBER(SEARCH(" "&amp;DT2067:DT2081&amp;" ",BC53)))),"")</f>
        <v/>
      </c>
      <c r="DB53" s="493" t="str">
        <f>IF(44=44,IF(AW53="","",IF((CZ53)-(0)&gt;0,"X",IF((DA53)-(0)&gt;0,"?",""))),"")</f>
        <v/>
      </c>
      <c r="DC53" s="493" t="str" cm="1">
        <f t="array" ref="DC53">IF(44=44,IF(AW53="","",SUMPRODUCT(--ISNUMBER(SEARCH(" "&amp;DT2082:DT2102&amp;" ",BC53)))),"")</f>
        <v/>
      </c>
      <c r="DD53" s="493" t="str" cm="1">
        <f t="array" ref="DD53">IF(44=44,IF(AW53="","",SUMPRODUCT(--ISNUMBER(SEARCH(" "&amp;DT2103:DT2142&amp;" ",SUBSTITUTE(SUBSTITUTE(BC53," "&amp;DT1376&amp;" "," ")," "&amp;DT1375&amp;" "," "))))+--ISNUMBER(SEARCH("poiré",AX53))),"")</f>
        <v/>
      </c>
      <c r="DE53" s="493" t="str">
        <f>IF(44=44,IF(AW53="","",IF(OR(DC53&gt;0,ISNUMBER(SEARCH(" vinaigre de vin ",BC53)),ISNUMBER(SEARCH(" vinaigre au vin ",BC53))),"X",IF(DD53&gt;0,"?",""))),"")</f>
        <v/>
      </c>
      <c r="DF53" s="493" t="str" cm="1">
        <f t="array" ref="DF53">IF(44=44,IF(AW53="","",SUMPRODUCT(--ISNUMBER(SEARCH(" "&amp;DT2143:DT2155&amp;" ",BC53)))),"")</f>
        <v/>
      </c>
      <c r="DG53" s="493" t="str" cm="1">
        <f t="array" ref="DG53">IF(44=44,IF(AW53="","",SUMPRODUCT(--ISNUMBER(SEARCH(" "&amp;DT2156:DT2161&amp;" ",BC53)))),"")</f>
        <v/>
      </c>
      <c r="DH53" s="493" t="str">
        <f>IF(44=44,IF(AW53="","",IF((DF53)-(0)&gt;0,"X",IF((DG53)-(0)&gt;0,"?",""))),"")</f>
        <v/>
      </c>
      <c r="DI53" s="493" t="str" cm="1">
        <f t="array" ref="DI53">IF(44=44,IF(AW53="","",SUMPRODUCT(--ISNUMBER(SEARCH(" "&amp;DT2162:DT2261&amp;" ",DL53)))),"")</f>
        <v/>
      </c>
      <c r="DJ53" s="493" t="str" cm="1">
        <f t="array" ref="DJ53">IF(44=44,IF(AW53="","",SUMPRODUCT(--ISNUMBER(SEARCH(" "&amp;DT2262:DT2361&amp;" ",DL53)))),"")</f>
        <v/>
      </c>
      <c r="DK53" s="493" t="str" cm="1">
        <f t="array" ref="DK53">IF(44=44,IF(AW53="","",SUMPRODUCT(--ISNUMBER(SEARCH(" "&amp;DT2362:DT2404&amp;" ",DL53)))),"")</f>
        <v/>
      </c>
      <c r="DL53" s="493" t="str">
        <f>IF(44=44,IF(AW53="","",SUBSTITUTE(SUBSTITUTE(SUBSTITUTE(SUBSTITUTE(SUBSTITUTE(SUBSTITUTE(SUBSTITUTE(SUBSTITUTE(SUBSTITUTE(SUBSTITUTE(SUBSTITUTE(SUBSTITUTE(SUBSTITUTE(SUBSTITUTE(SUBSTITUTE(SUBSTITUTE(BC53," "&amp;DT2410&amp;" "," ")," "&amp;DT2409&amp;" "," ")," "&amp;DT2408&amp;" "," ")," "&amp;DT2415&amp;" "," ")," "&amp;DT2407&amp;" "," ")," "&amp;DT2419&amp;" "," ")," "&amp;DT2406&amp;" "," ")," "&amp;DT2411&amp;" "," ")," "&amp;DT2414&amp;" "," ")," "&amp;DT2405&amp;" "," ")," "&amp;DT2413&amp;" "," ")," "&amp;DT2420&amp;" "," ")," "&amp;DT2417&amp;" "," ")," "&amp;DT2412&amp;" "," ")," "&amp;DT2416&amp;" "," ")," "&amp;DT2418&amp;" "," ")),"")</f>
        <v/>
      </c>
      <c r="DM53" s="493" t="str" cm="1">
        <f t="array" ref="DM53">IF(44=44,IF(AW53="","",SUMPRODUCT(--ISNUMBER(SEARCH(" "&amp;DT2421:DT2425&amp;" ",DL53)))),"")</f>
        <v/>
      </c>
      <c r="DN53" s="493" t="str">
        <f>IF(44=44,IF(AW53="","",IF(SUM(DI53:DK53)&gt;0,"X",IF(DM53&gt;0,"?",""))),"")</f>
        <v/>
      </c>
      <c r="DO53" s="494"/>
      <c r="DP53" s="496" t="s">
        <v>1218</v>
      </c>
      <c r="DQ53" s="496" t="s">
        <v>1083</v>
      </c>
      <c r="DR53" s="496" t="s">
        <v>689</v>
      </c>
      <c r="DS53" s="496" t="s">
        <v>5880</v>
      </c>
      <c r="DT53" s="496" t="s">
        <v>5881</v>
      </c>
      <c r="DU53" s="496" t="s">
        <v>1085</v>
      </c>
      <c r="DV53" s="496" t="s">
        <v>5882</v>
      </c>
      <c r="DW53" s="496" t="s">
        <v>1087</v>
      </c>
      <c r="DX53" s="497" t="s">
        <v>1088</v>
      </c>
      <c r="DZ53" s="543">
        <v>1</v>
      </c>
      <c r="EB53" s="493"/>
      <c r="EC53" s="493"/>
    </row>
    <row r="54" spans="5:133" ht="21" customHeight="1">
      <c r="E54" s="865" t="s">
        <v>737</v>
      </c>
      <c r="F54" s="877" t="str">
        <f>F12</f>
        <v>M MACÉDOINE DE LÉGUMES AU COULIS DE TOMATE | HORS D'ŒUVRE texture modifiée-cuidité-MACEDOINE| Auteur &gt; Annette et Jean Pierre DOMERGUES - 45000 ORLÉANS 1981</v>
      </c>
      <c r="G54" s="877">
        <f>G12</f>
        <v>10</v>
      </c>
      <c r="H54" s="878" t="str">
        <f>H12</f>
        <v>couverts</v>
      </c>
      <c r="I54" s="879" t="str">
        <f>I12</f>
        <v>Recette mère ►  Textures modifiées</v>
      </c>
      <c r="J54" s="889"/>
      <c r="K54" s="889"/>
      <c r="L54" s="891">
        <f>ROWS(P37:P54)</f>
        <v>18</v>
      </c>
      <c r="M54" s="889"/>
      <c r="N54" s="892" t="str">
        <f t="array" ref="N54">SUMPRODUCT(--(P54:W54&lt;&gt;""), LEN(TRIM(SUBSTITUTE(P54:W54, CHAR(160), "")))) &amp; " Car."</f>
        <v>78 Car.</v>
      </c>
      <c r="O54" s="893"/>
      <c r="P54" s="886"/>
      <c r="Q54" s="886" t="s">
        <v>832</v>
      </c>
      <c r="R54" s="886"/>
      <c r="S54" s="886"/>
      <c r="T54" s="886"/>
      <c r="U54" s="886"/>
      <c r="V54" s="886"/>
      <c r="W54" s="886"/>
      <c r="X54" s="886"/>
      <c r="Y54" s="904"/>
      <c r="AA54" s="899"/>
      <c r="AC54" s="509">
        <v>39</v>
      </c>
      <c r="AD54" s="808"/>
      <c r="AE54" s="679" t="str">
        <f t="shared" si="9"/>
        <v/>
      </c>
      <c r="AF54" s="512" t="str">
        <f>IF(45=45,IF(AD54="","",IF(AG54="X",""&amp;"Céréales contenant du gluten","")&amp;IF(AH54="X",IF(COUNTIF(AG54:AG54,"X")&gt;0,", ","")&amp;"Crustacés","")&amp;IF(AI54="X",IF(COUNTIF(AG54:AH54,"X")&gt;0,", ","")&amp;"Œufs","")&amp;IF(AJ54="X",IF(COUNTIF(AG54:AI54,"X")&gt;0,", ","")&amp;"Poissons","")&amp;IF(AK54="X",IF(COUNTIF(AG54:AJ54,"X")&gt;0,", ","")&amp;"Arachides","")&amp;IF(AL54="X",IF(COUNTIF(AG54:AK54,"X")&gt;0,", ","")&amp;"Soja","")&amp;IF(AM54="X",IF(COUNTIF(AG54:AL54,"X")&gt;0,", ","")&amp;"Lait","")&amp;IF(AN54="X",IF(COUNTIF(AG54:AM54,"X")&gt;0,", ","")&amp;"Fruits à coque","")&amp;IF(AO54="X",IF(COUNTIF(AG54:AN54,"X")&gt;0,", ","")&amp;"Céleri","")&amp;IF(AP54="X",IF(COUNTIF(AG54:AO54,"X")&gt;0,", ","")&amp;"Moutarde","")&amp;IF(AQ54="X",IF(COUNTIF(AG54:AP54,"X")&gt;0,", ","")&amp;"Sésame","")&amp;IF(AR54="X",IF(COUNTIF(AG54:AQ54,"X")&gt;0,", ","")&amp;"Sulfites","")&amp;IF(AS54="X",IF(COUNTIF(AG54:AR54,"X")&gt;0,", ","")&amp;"Lupin","")&amp;IF(AT54="X",IF(COUNTIF(AG54:AS54,"X")&gt;0,", ","")&amp;"Mollusques","")),"")</f>
        <v/>
      </c>
      <c r="AG54" s="513" t="str">
        <f>IF(45=45,IF(AD54="","",BH54),"")</f>
        <v/>
      </c>
      <c r="AH54" s="513" t="str">
        <f>IF(45=45,IF(AD54="","",BK54),"")</f>
        <v/>
      </c>
      <c r="AI54" s="513" t="str">
        <f>IF(45=45,IF(AD54="","",BO54),"")</f>
        <v/>
      </c>
      <c r="AJ54" s="513" t="str">
        <f>IF(45=45,IF(AD54="","",IF(ISNUMBER(SEARCH(" colin ",BC54)),"X",CB54)),"")</f>
        <v/>
      </c>
      <c r="AK54" s="513" t="str">
        <f>IF(45=45,IF(AD54="","",CD54),"")</f>
        <v/>
      </c>
      <c r="AL54" s="513" t="str">
        <f>IF(45=45,IF(AD54="","",CH54),"")</f>
        <v/>
      </c>
      <c r="AM54" s="513" t="str">
        <f>IF(45=45,IF(AD54="","",CO54),"")</f>
        <v/>
      </c>
      <c r="AN54" s="513" t="str">
        <f>IF(45=45,IF(AD54="","",CS54),"")</f>
        <v/>
      </c>
      <c r="AO54" s="513" t="str">
        <f>IF(45=45,IF(AD54="","",CV54),"")</f>
        <v/>
      </c>
      <c r="AP54" s="513" t="str">
        <f>IF(45=45,IF(AD54="","",CY54),"")</f>
        <v/>
      </c>
      <c r="AQ54" s="513" t="str">
        <f>IF(45=45,IF(AD54="","",DB54),"")</f>
        <v/>
      </c>
      <c r="AR54" s="513" t="str">
        <f>IF(45=45,IF(AD54="","",DE54),"")</f>
        <v/>
      </c>
      <c r="AS54" s="513" t="str">
        <f>IF(45=45,IF(AD54="","",DH54),"")</f>
        <v/>
      </c>
      <c r="AT54" s="513" t="str">
        <f>IF(45=45,IF(AD54="","",DN54),"")</f>
        <v/>
      </c>
      <c r="AU54" s="514" t="str">
        <f>IF(45=45,IF(AD54="","",IF(AG54="?",""&amp;"Céréales contenant du gluten","")&amp;IF(AH54="?",IF(COUNTIF(AG54:AG54,"~?")&gt;0,", ","")&amp;"Crustacés","")&amp;IF(AI54="?",IF(COUNTIF(AG54:AH54,"~?")&gt;0,", ","")&amp;"Œufs","")&amp;IF(AJ54="?",IF(COUNTIF(AG54:AI54,"~?")&gt;0,", ","")&amp;"Poissons","")&amp;IF(AK54="?",IF(COUNTIF(AG54:AJ54,"~?")&gt;0,", ","")&amp;"Arachides","")&amp;IF(AL54="?",IF(COUNTIF(AG54:AK54,"~?")&gt;0,", ","")&amp;"Soja","")&amp;IF(AM54="?",IF(COUNTIF(AG54:AL54,"~?")&gt;0,", ","")&amp;"Lait","")&amp;IF(AN54="?",IF(COUNTIF(AG54:AM54,"~?")&gt;0,", ","")&amp;"Fruits à coque","")&amp;IF(AO54="?",IF(COUNTIF(AG54:AN54,"~?")&gt;0,", ","")&amp;"Céleri","")&amp;IF(AP54="?",IF(COUNTIF(AG54:AO54,"~?")&gt;0,", ","")&amp;"Moutarde","")&amp;IF(AQ54="?",IF(COUNTIF(AG54:AP54,"~?")&gt;0,", ","")&amp;"Sésame","")&amp;IF(AR54="?",IF(COUNTIF(AG54:AQ54,"~?")&gt;0,", ","")&amp;"Sulfites","")&amp;IF(AS54="?",IF(COUNTIF(AG54:AR54,"~?")&gt;0,", ","")&amp;"Lupin","")&amp;IF(AT54="?",IF(COUNTIF(AG54:AS54,"~?")&gt;0,", ","")&amp;"Mollusques","")),"")</f>
        <v/>
      </c>
      <c r="AW54" s="493" t="str">
        <f>IF(45=45,IF(AD54="","",AD54),"")</f>
        <v/>
      </c>
      <c r="AX54" s="493" t="str">
        <f>IF(45=45,LOWER(CLEAN(SUBSTITUTE(SUBSTITUTE(SUBSTITUTE(SUBSTITUTE(AW54,CHAR(160)," ")," "," "),CHAR(10)," "),CHAR(13)," "))),"")</f>
        <v/>
      </c>
      <c r="AY54" s="493" t="str">
        <f>IF(45=45,SUBSTITUTE(SUBSTITUTE(SUBSTITUTE(SUBSTITUTE(SUBSTITUTE(SUBSTITUTE(SUBSTITUTE(SUBSTITUTE(SUBSTITUTE(SUBSTITUTE(SUBSTITUTE(SUBSTITUTE(AX54,"œ","oe"),"æ","ae"),"à","a"),"á","a"),"â","a"),"ä","a"),"ã","a"),"ç","c"),"è","e"),"é","e"),"ê","e"),"ë","e"),"")</f>
        <v/>
      </c>
      <c r="AZ54" s="493" t="str">
        <f>IF(45=45,SUBSTITUTE(SUBSTITUTE(SUBSTITUTE(SUBSTITUTE(SUBSTITUTE(SUBSTITUTE(SUBSTITUTE(SUBSTITUTE(SUBSTITUTE(SUBSTITUTE(SUBSTITUTE(SUBSTITUTE(SUBSTITUTE(SUBSTITUTE(SUBSTITUTE(SUBSTITUTE(AY54,"ì","i"),"í","i"),"î","i"),"ï","i"),"ñ","n"),"ò","o"),"ó","o"),"ô","o"),"ö","o"),"õ","o"),"ù","u"),"ú","u"),"û","u"),"ü","u"),"ý","y"),"ÿ","y"),"")</f>
        <v/>
      </c>
      <c r="BA54" s="493" t="str">
        <f>IF(45=45,SUBSTITUTE(SUBSTITUTE(SUBSTITUTE(SUBSTITUTE(SUBSTITUTE(SUBSTITUTE(SUBSTITUTE(SUBSTITUTE(SUBSTITUTE(SUBSTITUTE(SUBSTITUTE(SUBSTITUTE(SUBSTITUTE(SUBSTITUTE(AZ54,"’"," "),"`"," "),"–"," "),"—"," "),"-"," "),"'"," "),"/"," "),"_"," "),","," "),"."," "),"("," "),")"," "),";"," "),":"," "),"")</f>
        <v/>
      </c>
      <c r="BB54" s="493" t="str">
        <f>IF(45=45,SUBSTITUTE(SUBSTITUTE(SUBSTITUTE(SUBSTITUTE(SUBSTITUTE(SUBSTITUTE(SUBSTITUTE(SUBSTITUTE(SUBSTITUTE(SUBSTITUTE(SUBSTITUTE(SUBSTITUTE(SUBSTITUTE(SUBSTITUTE(SUBSTITUTE(BA54,"!"," "),"?"," "),"+"," "),"*"," "),"&amp;"," "),"["," "),"]"," "),"{"," "),"}"," "),"%"," "),"="," "),"\"," "),"|"," "),"&lt;"," "),"&gt;"," "),"")</f>
        <v/>
      </c>
      <c r="BC54" s="493" t="str">
        <f>IF(45=45," "&amp;TRIM(SUBSTITUTE(SUBSTITUTE(SUBSTITUTE(SUBSTITUTE(SUBSTITUTE(SUBSTITUTE(BB54,CHAR(34)," "),"  "," "),"  "," "),"  "," "),"  "," "),"  "," "))&amp;" ","")</f>
        <v xml:space="preserve">  </v>
      </c>
      <c r="BD54" s="493" t="str" cm="1">
        <f t="array" ref="BD54">IF(45=45,IF(AW54="","",SUMPRODUCT(--ISNUMBER(SEARCH(" "&amp;DT11:DT110&amp;" ",BF54)))),"")</f>
        <v/>
      </c>
      <c r="BE54" s="493" t="str" cm="1">
        <f t="array" ref="BE54">IF(45=45,IF(AW54="","",SUMPRODUCT(--ISNUMBER(SEARCH(" "&amp;DT111:DT160&amp;" ",BF54)))),"")</f>
        <v/>
      </c>
      <c r="BF54" s="493" t="str">
        <f>IF(AW54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54,"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54" s="493" t="str" cm="1">
        <f t="array" ref="BG54">IF(AW54="","",SUMPRODUCT(--ISNUMBER(SEARCH(" "&amp;DT193:DT214&amp;" ",BF54)))+--ISNUMBER(SEARCH(" "&amp;DT2463&amp;" ",BF54)))</f>
        <v/>
      </c>
      <c r="BH54" s="493" t="str" cm="1">
        <f t="array" ref="BH54">IF(45=45,IF(AW54="","",IF(SUM(BD54:BE54)+SUMPRODUCT(--ISNUMBER(SEARCH(" "&amp;DT2427:DT2429&amp;" ",BF54)))&gt;0,"X",IF(BG54&gt;0,"?",""))),"")</f>
        <v/>
      </c>
      <c r="BI54" s="493" t="str" cm="1">
        <f t="array" ref="BI54">IF(45=45,IF(AW54="","",SUMPRODUCT(--ISNUMBER(SEARCH(" "&amp;DT215:DT314&amp;" ",BC54)))),"")</f>
        <v/>
      </c>
      <c r="BJ54" s="493" t="str" cm="1">
        <f t="array" ref="BJ54">IF(45=45,IF(AW54="","",SUMPRODUCT(--ISNUMBER(SEARCH(" "&amp;DT315:DT349&amp;" ",BC54)))),"")</f>
        <v/>
      </c>
      <c r="BK54" s="493" t="str">
        <f>IF(45=45,IF(AW54="","",IF((SUM(BI54:BJ54))-(0)&gt;0,"X",IF((0)-(0)&gt;0,"?",""))),"")</f>
        <v/>
      </c>
      <c r="BL54" s="493" t="str" cm="1">
        <f t="array" ref="BL54">IF(45=45,IF(AW54="","",SUMPRODUCT(--ISNUMBER(SEARCH(" "&amp;DT350:DT407&amp;" ",BC54)))),"")</f>
        <v/>
      </c>
      <c r="BM54" s="493" t="str" cm="1">
        <f t="array" ref="BM54">IF(45=45,IF(AW54="","",SUMPRODUCT(--ISNUMBER(SEARCH(" "&amp;DT408:DT435&amp;" ",BN54)))+SUMPRODUCT(--ISNUMBER(SEARCH(" "&amp;DT2449:DT2462&amp;" ",BN54)))),"")</f>
        <v/>
      </c>
      <c r="BN54" s="493" t="str">
        <f>IF(45=45,IF(AW54="","",SUBSTITUTE(SUBSTITUTE(SUBSTITUTE(SUBSTITUTE(SUBSTITUTE(SUBSTITUTE(SUBSTITUTE(SUBSTITUTE(SUBSTITUTE(SUBSTITUTE(SUBSTITUTE(SUBSTITUTE(SUBSTITUTE(SUBSTITUTE(BC54," "&amp;DT2464&amp;" "," ")," "&amp;DT442&amp;" "," ")," "&amp;DT440&amp;" "," ")," "&amp;DT2447&amp;" "," ")," "&amp;DT2448&amp;" "," ")," "&amp;DT437&amp;" "," ")," "&amp;DT441&amp;" "," ")," "&amp;DT443&amp;" "," ")," "&amp;DT438&amp;" "," ")," "&amp;DT436&amp;" "," ")," "&amp;DT1376&amp;" "," ")," "&amp;DT444&amp;" "," ")," "&amp;DT1375&amp;" "," ")," "&amp;DT439&amp;" "," ")),"")</f>
        <v/>
      </c>
      <c r="BO54" s="493" t="str">
        <f>IF(45=45,IF(AW54="","",IF(BL54&gt;0,"X",IF(BM54&gt;0,"?",""))),"")</f>
        <v/>
      </c>
      <c r="BP54" s="493" t="str" cm="1">
        <f t="array" ref="BP54">IF(45=45,IF(AW54="","",SUMPRODUCT(--ISNUMBER(SEARCH(" "&amp;DT445:DT544&amp;" ",BZ54)))),"")</f>
        <v/>
      </c>
      <c r="BQ54" s="493" t="str" cm="1">
        <f t="array" ref="BQ54">IF(45=45,IF(AW54="","",SUMPRODUCT(--ISNUMBER(SEARCH(" "&amp;DT545:DT644&amp;" ",BZ54)))),"")</f>
        <v/>
      </c>
      <c r="BR54" s="493" t="str" cm="1">
        <f t="array" ref="BR54">IF(45=45,IF(AW54="","",SUMPRODUCT(--ISNUMBER(SEARCH(" "&amp;DT645:DT744&amp;" ",BZ54)))),"")</f>
        <v/>
      </c>
      <c r="BS54" s="493" t="str" cm="1">
        <f t="array" ref="BS54">IF(45=45,IF(AW54="","",SUMPRODUCT(--ISNUMBER(SEARCH(" "&amp;DT745:DT844&amp;" ",BZ54)))),"")</f>
        <v/>
      </c>
      <c r="BT54" s="493" t="str" cm="1">
        <f t="array" ref="BT54">IF(45=45,IF(AW54="","",SUMPRODUCT(--ISNUMBER(SEARCH(" "&amp;DT845:DT944&amp;" ",BZ54)))),"")</f>
        <v/>
      </c>
      <c r="BU54" s="493" t="str" cm="1">
        <f t="array" ref="BU54">IF(45=45,IF(AW54="","",SUMPRODUCT(--ISNUMBER(SEARCH(" "&amp;DT945:DT1044&amp;" ",BZ54)))),"")</f>
        <v/>
      </c>
      <c r="BV54" s="493" t="str" cm="1">
        <f t="array" ref="BV54">IF(45=45,IF(AW54="","",SUMPRODUCT(--ISNUMBER(SEARCH(" "&amp;DT1045:DT1144&amp;" ",BZ54)))),"")</f>
        <v/>
      </c>
      <c r="BW54" s="493" t="str" cm="1">
        <f t="array" ref="BW54">IF(45=45,IF(AW54="","",SUMPRODUCT(--ISNUMBER(SEARCH(" "&amp;DT1145:DT1244&amp;" ",BZ54)))),"")</f>
        <v/>
      </c>
      <c r="BX54" s="493" t="str" cm="1">
        <f t="array" ref="BX54">IF(45=45,IF(AW54="","",SUMPRODUCT(--ISNUMBER(SEARCH(" "&amp;DT1245:DT1344&amp;" ",BZ54)))),"")</f>
        <v/>
      </c>
      <c r="BY54" s="493" t="str" cm="1">
        <f t="array" ref="BY54">IF(45=45,IF(AW54="","",SUMPRODUCT(--ISNUMBER(SEARCH(" "&amp;DT1345:DT1372&amp;" ",BZ54)))),"")</f>
        <v/>
      </c>
      <c r="BZ54" s="493" t="str">
        <f>IF(45=45,IF(AW54="","",SUBSTITUTE(SUBSTITUTE(SUBSTITUTE(SUBSTITUTE(SUBSTITUTE(SUBSTITUTE(SUBSTITUTE(SUBSTITUTE(SUBSTITUTE(BC54," "&amp;DT1374&amp;" "," ")," "&amp;DT1373&amp;" "," ")," "&amp;DT1379&amp;" "," ")," "&amp;DT1380&amp;" "," ")," "&amp;DT1376&amp;" "," ")," "&amp;DT1378&amp;" "," ")," "&amp;DT1375&amp;" "," ")," "&amp;DT1377&amp;" "," ")," "&amp;DT1381&amp;" "," ")),"")</f>
        <v/>
      </c>
      <c r="CA54" s="493" t="str" cm="1">
        <f t="array" ref="CA54">IF(45=45,IF(AW54="","",SUMPRODUCT(--ISNUMBER(SEARCH(" "&amp;DT1382:DT1392&amp;" ",BZ54)))),"")</f>
        <v/>
      </c>
      <c r="CB54" s="493" t="str" cm="1">
        <f t="array" ref="CB54">IF(45=45,IF(AW54="","",IF(SUM(BP54:BY54)+SUMPRODUCT(--ISNUMBER(SEARCH(" "&amp;DT2430:DT2431&amp;" ",BZ54)))&gt;0,"X",IF(CA54&gt;0,"?",""))),"")</f>
        <v/>
      </c>
      <c r="CC54" s="493" t="str" cm="1">
        <f t="array" ref="CC54">IF(45=45,IF(AW54="","",SUMPRODUCT(--ISNUMBER(SEARCH(" "&amp;DT1393:DT1413&amp;" ",BC54)))),"")</f>
        <v/>
      </c>
      <c r="CD54" s="493" t="str">
        <f>IF(45=45,IF(AW54="","",IF((CC54)-(0)&gt;0,"X",IF((0)-(0)&gt;0,"?",""))),"")</f>
        <v/>
      </c>
      <c r="CE54" s="493" t="str" cm="1">
        <f t="array" ref="CE54">IF(45=45,IF(AW54="","",SUMPRODUCT(--ISNUMBER(SEARCH(" "&amp;DT1414:DT1451&amp;" ",CF54)))),"")</f>
        <v/>
      </c>
      <c r="CF54" s="493" t="str">
        <f>IF(45=45,IF(AW54="","",SUBSTITUTE(SUBSTITUTE(BC54," "&amp;DT1452&amp;" "," ")," "&amp;DT1453&amp;" "," ")),"")</f>
        <v/>
      </c>
      <c r="CG54" s="493" t="str" cm="1">
        <f t="array" ref="CG54">IF(45=45,IF(AW54="","",SUMPRODUCT(--ISNUMBER(SEARCH(" "&amp;DT1454:DT1464&amp;" ",CF54)))),"")</f>
        <v/>
      </c>
      <c r="CH54" s="493" t="str">
        <f>IF(45=45,IF(AW54="","",IF(CE54&gt;0,"X",IF(CG54&gt;0,"?",""))),"")</f>
        <v/>
      </c>
      <c r="CI54" s="493" t="str" cm="1">
        <f t="array" ref="CI54">IF(45=45,IF(AW54="","",SUMPRODUCT(--ISNUMBER(SEARCH(" "&amp;DT1465:DT1564&amp;" ",CL54)))),"")</f>
        <v/>
      </c>
      <c r="CJ54" s="493" t="str" cm="1">
        <f t="array" ref="CJ54">IF(45=45,IF(AW54="","",SUMPRODUCT(--ISNUMBER(SEARCH(" "&amp;DT1565:DT1664&amp;" ",CL54)))),"")</f>
        <v/>
      </c>
      <c r="CK54" s="493" t="str" cm="1">
        <f t="array" ref="CK54">IF(45=45,IF(AW54="","",SUMPRODUCT(--ISNUMBER(SEARCH(" "&amp;DT1665:DT1748&amp;" ",CL54)))),"")</f>
        <v/>
      </c>
      <c r="CL54" s="493" t="str">
        <f>IF(45=45,IF(AW54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54,"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54" s="493" t="str" cm="1">
        <f t="array" ref="CM54">IF(45=45,IF(AW54="","",SUMPRODUCT(--ISNUMBER(SEARCH(" "&amp;DT1799:DT1878&amp;" ",CN54)))+SUMPRODUCT(--ISNUMBER(SEARCH(" "&amp;DT2449:DT2462&amp;" ",CN54)))),"")</f>
        <v/>
      </c>
      <c r="CN54" s="493" t="str">
        <f>IF(45=45,IF(AW54="","",SUBSTITUTE(SUBSTITUTE(SUBSTITUTE(SUBSTITUTE(SUBSTITUTE(SUBSTITUTE(SUBSTITUTE(SUBSTITUTE(SUBSTITUTE(SUBSTITUTE(SUBSTITUTE(SUBSTITUTE(SUBSTITUTE(CL54," "&amp;DT1885&amp;" "," ")," "&amp;DT1883&amp;" "," ")," "&amp;DT2447&amp;" "," ")," "&amp;DT2448&amp;" "," ")," "&amp;DT1880&amp;" "," ")," "&amp;DT1884&amp;" "," ")," "&amp;DT1886&amp;" "," ")," "&amp;DT1881&amp;" "," ")," "&amp;DT1879&amp;" "," ")," "&amp;DT1376&amp;" "," ")," "&amp;DT1887&amp;" "," ")," "&amp;DT1375&amp;" "," ")," "&amp;DT1882&amp;" "," ")),"")</f>
        <v/>
      </c>
      <c r="CO54" s="493" t="str" cm="1">
        <f t="array" ref="CO54">IF(45=45,IF(AW54="","",IF(SUM(CI54:CK54)+SUMPRODUCT(--ISNUMBER(SEARCH(" "&amp;DT2432:DT2433&amp;" ",CL54)))&gt;0,"X",IF(CM54&gt;0,"?",""))),"")</f>
        <v/>
      </c>
      <c r="CP54" s="493" t="str" cm="1">
        <f t="array" ref="CP54">IF(45=45,IF(AW54="","",SUMPRODUCT(--ISNUMBER(SEARCH(" "&amp;DT1888:DT1945&amp;" ",CQ54)))),"")</f>
        <v/>
      </c>
      <c r="CQ54" s="493" t="str">
        <f>IF(45=45,IF(AW54="","",SUBSTITUTE(SUBSTITUTE(SUBSTITUTE(SUBSTITUTE(SUBSTITUTE(SUBSTITUTE(SUBSTITUTE(SUBSTITUTE(SUBSTITUTE(SUBSTITUTE(SUBSTITUTE(SUBSTITUTE(SUBSTITUTE(SUBSTITUTE(SUBSTITUTE(SUBSTITUTE(SUBSTITUTE(SUBSTITUTE(SUBSTITUTE(SUBSTITUTE(SUBSTITUTE(SUBSTITUTE(SUBSTITUTE(BC54,"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54" s="493" t="str" cm="1">
        <f t="array" ref="CR54">IF(45=45,IF(AW54="","",SUMPRODUCT(--ISNUMBER(SEARCH(" "&amp;DT1969:DT1985&amp;" ",CQ54)))),"")</f>
        <v/>
      </c>
      <c r="CS54" s="493" t="str">
        <f>IF(45=45,IF(AW54="","",IF(CP54&gt;0,"X",IF(CR54&gt;0,"?",""))),"")</f>
        <v/>
      </c>
      <c r="CT54" s="493" t="str" cm="1">
        <f t="array" ref="CT54">IF(45=45,IF(AW54="","",SUMPRODUCT(--ISNUMBER(SEARCH(" "&amp;DT1986:DT1999&amp;" ",BC54)))),"")</f>
        <v/>
      </c>
      <c r="CU54" s="493" t="str" cm="1">
        <f t="array" ref="CU54">IF(45=45,IF(AW54="","",SUMPRODUCT(--ISNUMBER(SEARCH(" "&amp;DT2000:DT2014&amp;" ",BC54)))),"")</f>
        <v/>
      </c>
      <c r="CV54" s="493" t="str">
        <f>IF(45=45,IF(AW54="","",IF((CT54)-(0)&gt;0,"X",IF((CU54)-(0)&gt;0,"?",""))),"")</f>
        <v/>
      </c>
      <c r="CW54" s="493" t="str" cm="1">
        <f t="array" ref="CW54">IF(45=45,IF(AW54="","",SUMPRODUCT(--ISNUMBER(SEARCH(" "&amp;DT2015:DT2032&amp;" ",BC54)))),"")</f>
        <v/>
      </c>
      <c r="CX54" s="493" t="str" cm="1">
        <f t="array" ref="CX54">IF(45=45,IF(AW54="","",SUMPRODUCT(--ISNUMBER(SEARCH(" "&amp;DT2033:DT2047&amp;" ",BC54)))),"")</f>
        <v/>
      </c>
      <c r="CY54" s="493" t="str">
        <f>IF(45=45,IF(AW54="","",IF((CW54)-(0)&gt;0,"X",IF((CX54)-(0)&gt;0,"?",""))),"")</f>
        <v/>
      </c>
      <c r="CZ54" s="493" t="str" cm="1">
        <f t="array" ref="CZ54">IF(45=45,IF(AW54="","",SUMPRODUCT(--ISNUMBER(SEARCH(" "&amp;DT2048:DT2066&amp;" ",BC54)))),"")</f>
        <v/>
      </c>
      <c r="DA54" s="493" t="str" cm="1">
        <f t="array" ref="DA54">IF(45=45,IF(AW54="","",SUMPRODUCT(--ISNUMBER(SEARCH(" "&amp;DT2067:DT2081&amp;" ",BC54)))),"")</f>
        <v/>
      </c>
      <c r="DB54" s="493" t="str">
        <f>IF(45=45,IF(AW54="","",IF((CZ54)-(0)&gt;0,"X",IF((DA54)-(0)&gt;0,"?",""))),"")</f>
        <v/>
      </c>
      <c r="DC54" s="493" t="str" cm="1">
        <f t="array" ref="DC54">IF(45=45,IF(AW54="","",SUMPRODUCT(--ISNUMBER(SEARCH(" "&amp;DT2082:DT2102&amp;" ",BC54)))),"")</f>
        <v/>
      </c>
      <c r="DD54" s="493" t="str" cm="1">
        <f t="array" ref="DD54">IF(45=45,IF(AW54="","",SUMPRODUCT(--ISNUMBER(SEARCH(" "&amp;DT2103:DT2142&amp;" ",SUBSTITUTE(SUBSTITUTE(BC54," "&amp;DT1376&amp;" "," ")," "&amp;DT1375&amp;" "," "))))+--ISNUMBER(SEARCH("poiré",AX54))),"")</f>
        <v/>
      </c>
      <c r="DE54" s="493" t="str">
        <f>IF(45=45,IF(AW54="","",IF(OR(DC54&gt;0,ISNUMBER(SEARCH(" vinaigre de vin ",BC54)),ISNUMBER(SEARCH(" vinaigre au vin ",BC54))),"X",IF(DD54&gt;0,"?",""))),"")</f>
        <v/>
      </c>
      <c r="DF54" s="493" t="str" cm="1">
        <f t="array" ref="DF54">IF(45=45,IF(AW54="","",SUMPRODUCT(--ISNUMBER(SEARCH(" "&amp;DT2143:DT2155&amp;" ",BC54)))),"")</f>
        <v/>
      </c>
      <c r="DG54" s="493" t="str" cm="1">
        <f t="array" ref="DG54">IF(45=45,IF(AW54="","",SUMPRODUCT(--ISNUMBER(SEARCH(" "&amp;DT2156:DT2161&amp;" ",BC54)))),"")</f>
        <v/>
      </c>
      <c r="DH54" s="493" t="str">
        <f>IF(45=45,IF(AW54="","",IF((DF54)-(0)&gt;0,"X",IF((DG54)-(0)&gt;0,"?",""))),"")</f>
        <v/>
      </c>
      <c r="DI54" s="493" t="str" cm="1">
        <f t="array" ref="DI54">IF(45=45,IF(AW54="","",SUMPRODUCT(--ISNUMBER(SEARCH(" "&amp;DT2162:DT2261&amp;" ",DL54)))),"")</f>
        <v/>
      </c>
      <c r="DJ54" s="493" t="str" cm="1">
        <f t="array" ref="DJ54">IF(45=45,IF(AW54="","",SUMPRODUCT(--ISNUMBER(SEARCH(" "&amp;DT2262:DT2361&amp;" ",DL54)))),"")</f>
        <v/>
      </c>
      <c r="DK54" s="493" t="str" cm="1">
        <f t="array" ref="DK54">IF(45=45,IF(AW54="","",SUMPRODUCT(--ISNUMBER(SEARCH(" "&amp;DT2362:DT2404&amp;" ",DL54)))),"")</f>
        <v/>
      </c>
      <c r="DL54" s="493" t="str">
        <f>IF(45=45,IF(AW54="","",SUBSTITUTE(SUBSTITUTE(SUBSTITUTE(SUBSTITUTE(SUBSTITUTE(SUBSTITUTE(SUBSTITUTE(SUBSTITUTE(SUBSTITUTE(SUBSTITUTE(SUBSTITUTE(SUBSTITUTE(SUBSTITUTE(SUBSTITUTE(SUBSTITUTE(SUBSTITUTE(BC54," "&amp;DT2410&amp;" "," ")," "&amp;DT2409&amp;" "," ")," "&amp;DT2408&amp;" "," ")," "&amp;DT2415&amp;" "," ")," "&amp;DT2407&amp;" "," ")," "&amp;DT2419&amp;" "," ")," "&amp;DT2406&amp;" "," ")," "&amp;DT2411&amp;" "," ")," "&amp;DT2414&amp;" "," ")," "&amp;DT2405&amp;" "," ")," "&amp;DT2413&amp;" "," ")," "&amp;DT2420&amp;" "," ")," "&amp;DT2417&amp;" "," ")," "&amp;DT2412&amp;" "," ")," "&amp;DT2416&amp;" "," ")," "&amp;DT2418&amp;" "," ")),"")</f>
        <v/>
      </c>
      <c r="DM54" s="493" t="str" cm="1">
        <f t="array" ref="DM54">IF(45=45,IF(AW54="","",SUMPRODUCT(--ISNUMBER(SEARCH(" "&amp;DT2421:DT2425&amp;" ",DL54)))),"")</f>
        <v/>
      </c>
      <c r="DN54" s="493" t="str">
        <f>IF(45=45,IF(AW54="","",IF(SUM(DI54:DK54)&gt;0,"X",IF(DM54&gt;0,"?",""))),"")</f>
        <v/>
      </c>
      <c r="DO54" s="494"/>
      <c r="DP54" s="496" t="s">
        <v>1219</v>
      </c>
      <c r="DQ54" s="496" t="s">
        <v>1083</v>
      </c>
      <c r="DR54" s="496" t="s">
        <v>689</v>
      </c>
      <c r="DS54" s="496" t="s">
        <v>1220</v>
      </c>
      <c r="DT54" s="496" t="s">
        <v>1220</v>
      </c>
      <c r="DU54" s="496" t="s">
        <v>1085</v>
      </c>
      <c r="DV54" s="496" t="s">
        <v>1086</v>
      </c>
      <c r="DW54" s="496" t="s">
        <v>1087</v>
      </c>
      <c r="DX54" s="497" t="s">
        <v>1088</v>
      </c>
      <c r="DZ54" s="543">
        <v>1</v>
      </c>
      <c r="EB54" s="493"/>
      <c r="EC54" s="493"/>
    </row>
    <row r="55" spans="5:133" ht="21" customHeight="1">
      <c r="E55" s="716" t="s">
        <v>737</v>
      </c>
      <c r="F55" s="877" t="str">
        <f>F12</f>
        <v>M MACÉDOINE DE LÉGUMES AU COULIS DE TOMATE | HORS D'ŒUVRE texture modifiée-cuidité-MACEDOINE| Auteur &gt; Annette et Jean Pierre DOMERGUES - 45000 ORLÉANS 1981</v>
      </c>
      <c r="G55" s="877">
        <f>G12</f>
        <v>10</v>
      </c>
      <c r="H55" s="878" t="str">
        <f>H12</f>
        <v>couverts</v>
      </c>
      <c r="I55" s="879" t="str">
        <f>I12</f>
        <v>Recette mère ►  Textures modifiées</v>
      </c>
      <c r="J55" s="889"/>
      <c r="K55" s="889"/>
      <c r="L55" s="891">
        <f>ROWS(P37:P55)</f>
        <v>19</v>
      </c>
      <c r="M55" s="889"/>
      <c r="N55" s="892" t="str">
        <f t="array" ref="N55">SUMPRODUCT(--(P55:W55&lt;&gt;""), LEN(TRIM(SUBSTITUTE(P55:W55, CHAR(160), "")))) &amp; " Car."</f>
        <v>0 Car.</v>
      </c>
      <c r="O55" s="893" t="str">
        <f>IF(ISBLANK(P55),"",LARGE(O36:O54,1)+1)</f>
        <v/>
      </c>
      <c r="P55" s="886"/>
      <c r="Q55" s="886"/>
      <c r="R55" s="886"/>
      <c r="S55" s="886"/>
      <c r="T55" s="886"/>
      <c r="U55" s="886"/>
      <c r="V55" s="886"/>
      <c r="W55" s="886"/>
      <c r="X55" s="886"/>
      <c r="Y55" s="904"/>
      <c r="AA55" s="899"/>
      <c r="AC55" s="509">
        <v>40</v>
      </c>
      <c r="AD55" s="808"/>
      <c r="AE55" s="679" t="str">
        <f t="shared" si="9"/>
        <v/>
      </c>
      <c r="AF55" s="512" t="str">
        <f>IF(46=46,IF(AD55="","",IF(AG55="X",""&amp;"Céréales contenant du gluten","")&amp;IF(AH55="X",IF(COUNTIF(AG55:AG55,"X")&gt;0,", ","")&amp;"Crustacés","")&amp;IF(AI55="X",IF(COUNTIF(AG55:AH55,"X")&gt;0,", ","")&amp;"Œufs","")&amp;IF(AJ55="X",IF(COUNTIF(AG55:AI55,"X")&gt;0,", ","")&amp;"Poissons","")&amp;IF(AK55="X",IF(COUNTIF(AG55:AJ55,"X")&gt;0,", ","")&amp;"Arachides","")&amp;IF(AL55="X",IF(COUNTIF(AG55:AK55,"X")&gt;0,", ","")&amp;"Soja","")&amp;IF(AM55="X",IF(COUNTIF(AG55:AL55,"X")&gt;0,", ","")&amp;"Lait","")&amp;IF(AN55="X",IF(COUNTIF(AG55:AM55,"X")&gt;0,", ","")&amp;"Fruits à coque","")&amp;IF(AO55="X",IF(COUNTIF(AG55:AN55,"X")&gt;0,", ","")&amp;"Céleri","")&amp;IF(AP55="X",IF(COUNTIF(AG55:AO55,"X")&gt;0,", ","")&amp;"Moutarde","")&amp;IF(AQ55="X",IF(COUNTIF(AG55:AP55,"X")&gt;0,", ","")&amp;"Sésame","")&amp;IF(AR55="X",IF(COUNTIF(AG55:AQ55,"X")&gt;0,", ","")&amp;"Sulfites","")&amp;IF(AS55="X",IF(COUNTIF(AG55:AR55,"X")&gt;0,", ","")&amp;"Lupin","")&amp;IF(AT55="X",IF(COUNTIF(AG55:AS55,"X")&gt;0,", ","")&amp;"Mollusques","")),"")</f>
        <v/>
      </c>
      <c r="AG55" s="513" t="str">
        <f>IF(46=46,IF(AD55="","",BH55),"")</f>
        <v/>
      </c>
      <c r="AH55" s="513" t="str">
        <f>IF(46=46,IF(AD55="","",BK55),"")</f>
        <v/>
      </c>
      <c r="AI55" s="513" t="str">
        <f>IF(46=46,IF(AD55="","",BO55),"")</f>
        <v/>
      </c>
      <c r="AJ55" s="513" t="str">
        <f>IF(46=46,IF(AD55="","",IF(ISNUMBER(SEARCH(" colin ",BC55)),"X",CB55)),"")</f>
        <v/>
      </c>
      <c r="AK55" s="513" t="str">
        <f>IF(46=46,IF(AD55="","",CD55),"")</f>
        <v/>
      </c>
      <c r="AL55" s="513" t="str">
        <f>IF(46=46,IF(AD55="","",CH55),"")</f>
        <v/>
      </c>
      <c r="AM55" s="513" t="str">
        <f>IF(46=46,IF(AD55="","",CO55),"")</f>
        <v/>
      </c>
      <c r="AN55" s="513" t="str">
        <f>IF(46=46,IF(AD55="","",CS55),"")</f>
        <v/>
      </c>
      <c r="AO55" s="513" t="str">
        <f>IF(46=46,IF(AD55="","",CV55),"")</f>
        <v/>
      </c>
      <c r="AP55" s="513" t="str">
        <f>IF(46=46,IF(AD55="","",CY55),"")</f>
        <v/>
      </c>
      <c r="AQ55" s="513" t="str">
        <f>IF(46=46,IF(AD55="","",DB55),"")</f>
        <v/>
      </c>
      <c r="AR55" s="513" t="str">
        <f>IF(46=46,IF(AD55="","",DE55),"")</f>
        <v/>
      </c>
      <c r="AS55" s="513" t="str">
        <f>IF(46=46,IF(AD55="","",DH55),"")</f>
        <v/>
      </c>
      <c r="AT55" s="513" t="str">
        <f>IF(46=46,IF(AD55="","",DN55),"")</f>
        <v/>
      </c>
      <c r="AU55" s="514" t="str">
        <f>IF(46=46,IF(AD55="","",IF(AG55="?",""&amp;"Céréales contenant du gluten","")&amp;IF(AH55="?",IF(COUNTIF(AG55:AG55,"~?")&gt;0,", ","")&amp;"Crustacés","")&amp;IF(AI55="?",IF(COUNTIF(AG55:AH55,"~?")&gt;0,", ","")&amp;"Œufs","")&amp;IF(AJ55="?",IF(COUNTIF(AG55:AI55,"~?")&gt;0,", ","")&amp;"Poissons","")&amp;IF(AK55="?",IF(COUNTIF(AG55:AJ55,"~?")&gt;0,", ","")&amp;"Arachides","")&amp;IF(AL55="?",IF(COUNTIF(AG55:AK55,"~?")&gt;0,", ","")&amp;"Soja","")&amp;IF(AM55="?",IF(COUNTIF(AG55:AL55,"~?")&gt;0,", ","")&amp;"Lait","")&amp;IF(AN55="?",IF(COUNTIF(AG55:AM55,"~?")&gt;0,", ","")&amp;"Fruits à coque","")&amp;IF(AO55="?",IF(COUNTIF(AG55:AN55,"~?")&gt;0,", ","")&amp;"Céleri","")&amp;IF(AP55="?",IF(COUNTIF(AG55:AO55,"~?")&gt;0,", ","")&amp;"Moutarde","")&amp;IF(AQ55="?",IF(COUNTIF(AG55:AP55,"~?")&gt;0,", ","")&amp;"Sésame","")&amp;IF(AR55="?",IF(COUNTIF(AG55:AQ55,"~?")&gt;0,", ","")&amp;"Sulfites","")&amp;IF(AS55="?",IF(COUNTIF(AG55:AR55,"~?")&gt;0,", ","")&amp;"Lupin","")&amp;IF(AT55="?",IF(COUNTIF(AG55:AS55,"~?")&gt;0,", ","")&amp;"Mollusques","")),"")</f>
        <v/>
      </c>
      <c r="AW55" s="493" t="str">
        <f>IF(46=46,IF(AD55="","",AD55),"")</f>
        <v/>
      </c>
      <c r="AX55" s="493" t="str">
        <f>IF(46=46,LOWER(CLEAN(SUBSTITUTE(SUBSTITUTE(SUBSTITUTE(SUBSTITUTE(AW55,CHAR(160)," ")," "," "),CHAR(10)," "),CHAR(13)," "))),"")</f>
        <v/>
      </c>
      <c r="AY55" s="493" t="str">
        <f>IF(46=46,SUBSTITUTE(SUBSTITUTE(SUBSTITUTE(SUBSTITUTE(SUBSTITUTE(SUBSTITUTE(SUBSTITUTE(SUBSTITUTE(SUBSTITUTE(SUBSTITUTE(SUBSTITUTE(SUBSTITUTE(AX55,"œ","oe"),"æ","ae"),"à","a"),"á","a"),"â","a"),"ä","a"),"ã","a"),"ç","c"),"è","e"),"é","e"),"ê","e"),"ë","e"),"")</f>
        <v/>
      </c>
      <c r="AZ55" s="493" t="str">
        <f>IF(46=46,SUBSTITUTE(SUBSTITUTE(SUBSTITUTE(SUBSTITUTE(SUBSTITUTE(SUBSTITUTE(SUBSTITUTE(SUBSTITUTE(SUBSTITUTE(SUBSTITUTE(SUBSTITUTE(SUBSTITUTE(SUBSTITUTE(SUBSTITUTE(SUBSTITUTE(SUBSTITUTE(AY55,"ì","i"),"í","i"),"î","i"),"ï","i"),"ñ","n"),"ò","o"),"ó","o"),"ô","o"),"ö","o"),"õ","o"),"ù","u"),"ú","u"),"û","u"),"ü","u"),"ý","y"),"ÿ","y"),"")</f>
        <v/>
      </c>
      <c r="BA55" s="493" t="str">
        <f>IF(46=46,SUBSTITUTE(SUBSTITUTE(SUBSTITUTE(SUBSTITUTE(SUBSTITUTE(SUBSTITUTE(SUBSTITUTE(SUBSTITUTE(SUBSTITUTE(SUBSTITUTE(SUBSTITUTE(SUBSTITUTE(SUBSTITUTE(SUBSTITUTE(AZ55,"’"," "),"`"," "),"–"," "),"—"," "),"-"," "),"'"," "),"/"," "),"_"," "),","," "),"."," "),"("," "),")"," "),";"," "),":"," "),"")</f>
        <v/>
      </c>
      <c r="BB55" s="493" t="str">
        <f>IF(46=46,SUBSTITUTE(SUBSTITUTE(SUBSTITUTE(SUBSTITUTE(SUBSTITUTE(SUBSTITUTE(SUBSTITUTE(SUBSTITUTE(SUBSTITUTE(SUBSTITUTE(SUBSTITUTE(SUBSTITUTE(SUBSTITUTE(SUBSTITUTE(SUBSTITUTE(BA55,"!"," "),"?"," "),"+"," "),"*"," "),"&amp;"," "),"["," "),"]"," "),"{"," "),"}"," "),"%"," "),"="," "),"\"," "),"|"," "),"&lt;"," "),"&gt;"," "),"")</f>
        <v/>
      </c>
      <c r="BC55" s="493" t="str">
        <f>IF(46=46," "&amp;TRIM(SUBSTITUTE(SUBSTITUTE(SUBSTITUTE(SUBSTITUTE(SUBSTITUTE(SUBSTITUTE(BB55,CHAR(34)," "),"  "," "),"  "," "),"  "," "),"  "," "),"  "," "))&amp;" ","")</f>
        <v xml:space="preserve">  </v>
      </c>
      <c r="BD55" s="493" t="str" cm="1">
        <f t="array" ref="BD55">IF(46=46,IF(AW55="","",SUMPRODUCT(--ISNUMBER(SEARCH(" "&amp;DT11:DT110&amp;" ",BF55)))),"")</f>
        <v/>
      </c>
      <c r="BE55" s="493" t="str" cm="1">
        <f t="array" ref="BE55">IF(46=46,IF(AW55="","",SUMPRODUCT(--ISNUMBER(SEARCH(" "&amp;DT111:DT160&amp;" ",BF55)))),"")</f>
        <v/>
      </c>
      <c r="BF55" s="493" t="str">
        <f>IF(AW55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55,"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55" s="493" t="str" cm="1">
        <f t="array" ref="BG55">IF(AW55="","",SUMPRODUCT(--ISNUMBER(SEARCH(" "&amp;DT193:DT214&amp;" ",BF55)))+--ISNUMBER(SEARCH(" "&amp;DT2463&amp;" ",BF55)))</f>
        <v/>
      </c>
      <c r="BH55" s="493" t="str" cm="1">
        <f t="array" ref="BH55">IF(46=46,IF(AW55="","",IF(SUM(BD55:BE55)+SUMPRODUCT(--ISNUMBER(SEARCH(" "&amp;DT2427:DT2429&amp;" ",BF55)))&gt;0,"X",IF(BG55&gt;0,"?",""))),"")</f>
        <v/>
      </c>
      <c r="BI55" s="493" t="str" cm="1">
        <f t="array" ref="BI55">IF(46=46,IF(AW55="","",SUMPRODUCT(--ISNUMBER(SEARCH(" "&amp;DT215:DT314&amp;" ",BC55)))),"")</f>
        <v/>
      </c>
      <c r="BJ55" s="493" t="str" cm="1">
        <f t="array" ref="BJ55">IF(46=46,IF(AW55="","",SUMPRODUCT(--ISNUMBER(SEARCH(" "&amp;DT315:DT349&amp;" ",BC55)))),"")</f>
        <v/>
      </c>
      <c r="BK55" s="493" t="str">
        <f>IF(46=46,IF(AW55="","",IF((SUM(BI55:BJ55))-(0)&gt;0,"X",IF((0)-(0)&gt;0,"?",""))),"")</f>
        <v/>
      </c>
      <c r="BL55" s="493" t="str" cm="1">
        <f t="array" ref="BL55">IF(46=46,IF(AW55="","",SUMPRODUCT(--ISNUMBER(SEARCH(" "&amp;DT350:DT407&amp;" ",BC55)))),"")</f>
        <v/>
      </c>
      <c r="BM55" s="493" t="str" cm="1">
        <f t="array" ref="BM55">IF(46=46,IF(AW55="","",SUMPRODUCT(--ISNUMBER(SEARCH(" "&amp;DT408:DT435&amp;" ",BN55)))+SUMPRODUCT(--ISNUMBER(SEARCH(" "&amp;DT2449:DT2462&amp;" ",BN55)))),"")</f>
        <v/>
      </c>
      <c r="BN55" s="493" t="str">
        <f>IF(46=46,IF(AW55="","",SUBSTITUTE(SUBSTITUTE(SUBSTITUTE(SUBSTITUTE(SUBSTITUTE(SUBSTITUTE(SUBSTITUTE(SUBSTITUTE(SUBSTITUTE(SUBSTITUTE(SUBSTITUTE(SUBSTITUTE(SUBSTITUTE(SUBSTITUTE(BC55," "&amp;DT2464&amp;" "," ")," "&amp;DT442&amp;" "," ")," "&amp;DT440&amp;" "," ")," "&amp;DT2447&amp;" "," ")," "&amp;DT2448&amp;" "," ")," "&amp;DT437&amp;" "," ")," "&amp;DT441&amp;" "," ")," "&amp;DT443&amp;" "," ")," "&amp;DT438&amp;" "," ")," "&amp;DT436&amp;" "," ")," "&amp;DT1376&amp;" "," ")," "&amp;DT444&amp;" "," ")," "&amp;DT1375&amp;" "," ")," "&amp;DT439&amp;" "," ")),"")</f>
        <v/>
      </c>
      <c r="BO55" s="493" t="str">
        <f>IF(46=46,IF(AW55="","",IF(BL55&gt;0,"X",IF(BM55&gt;0,"?",""))),"")</f>
        <v/>
      </c>
      <c r="BP55" s="493" t="str" cm="1">
        <f t="array" ref="BP55">IF(46=46,IF(AW55="","",SUMPRODUCT(--ISNUMBER(SEARCH(" "&amp;DT445:DT544&amp;" ",BZ55)))),"")</f>
        <v/>
      </c>
      <c r="BQ55" s="493" t="str" cm="1">
        <f t="array" ref="BQ55">IF(46=46,IF(AW55="","",SUMPRODUCT(--ISNUMBER(SEARCH(" "&amp;DT545:DT644&amp;" ",BZ55)))),"")</f>
        <v/>
      </c>
      <c r="BR55" s="493" t="str" cm="1">
        <f t="array" ref="BR55">IF(46=46,IF(AW55="","",SUMPRODUCT(--ISNUMBER(SEARCH(" "&amp;DT645:DT744&amp;" ",BZ55)))),"")</f>
        <v/>
      </c>
      <c r="BS55" s="493" t="str" cm="1">
        <f t="array" ref="BS55">IF(46=46,IF(AW55="","",SUMPRODUCT(--ISNUMBER(SEARCH(" "&amp;DT745:DT844&amp;" ",BZ55)))),"")</f>
        <v/>
      </c>
      <c r="BT55" s="493" t="str" cm="1">
        <f t="array" ref="BT55">IF(46=46,IF(AW55="","",SUMPRODUCT(--ISNUMBER(SEARCH(" "&amp;DT845:DT944&amp;" ",BZ55)))),"")</f>
        <v/>
      </c>
      <c r="BU55" s="493" t="str" cm="1">
        <f t="array" ref="BU55">IF(46=46,IF(AW55="","",SUMPRODUCT(--ISNUMBER(SEARCH(" "&amp;DT945:DT1044&amp;" ",BZ55)))),"")</f>
        <v/>
      </c>
      <c r="BV55" s="493" t="str" cm="1">
        <f t="array" ref="BV55">IF(46=46,IF(AW55="","",SUMPRODUCT(--ISNUMBER(SEARCH(" "&amp;DT1045:DT1144&amp;" ",BZ55)))),"")</f>
        <v/>
      </c>
      <c r="BW55" s="493" t="str" cm="1">
        <f t="array" ref="BW55">IF(46=46,IF(AW55="","",SUMPRODUCT(--ISNUMBER(SEARCH(" "&amp;DT1145:DT1244&amp;" ",BZ55)))),"")</f>
        <v/>
      </c>
      <c r="BX55" s="493" t="str" cm="1">
        <f t="array" ref="BX55">IF(46=46,IF(AW55="","",SUMPRODUCT(--ISNUMBER(SEARCH(" "&amp;DT1245:DT1344&amp;" ",BZ55)))),"")</f>
        <v/>
      </c>
      <c r="BY55" s="493" t="str" cm="1">
        <f t="array" ref="BY55">IF(46=46,IF(AW55="","",SUMPRODUCT(--ISNUMBER(SEARCH(" "&amp;DT1345:DT1372&amp;" ",BZ55)))),"")</f>
        <v/>
      </c>
      <c r="BZ55" s="493" t="str">
        <f>IF(46=46,IF(AW55="","",SUBSTITUTE(SUBSTITUTE(SUBSTITUTE(SUBSTITUTE(SUBSTITUTE(SUBSTITUTE(SUBSTITUTE(SUBSTITUTE(SUBSTITUTE(BC55," "&amp;DT1374&amp;" "," ")," "&amp;DT1373&amp;" "," ")," "&amp;DT1379&amp;" "," ")," "&amp;DT1380&amp;" "," ")," "&amp;DT1376&amp;" "," ")," "&amp;DT1378&amp;" "," ")," "&amp;DT1375&amp;" "," ")," "&amp;DT1377&amp;" "," ")," "&amp;DT1381&amp;" "," ")),"")</f>
        <v/>
      </c>
      <c r="CA55" s="493" t="str" cm="1">
        <f t="array" ref="CA55">IF(46=46,IF(AW55="","",SUMPRODUCT(--ISNUMBER(SEARCH(" "&amp;DT1382:DT1392&amp;" ",BZ55)))),"")</f>
        <v/>
      </c>
      <c r="CB55" s="493" t="str" cm="1">
        <f t="array" ref="CB55">IF(46=46,IF(AW55="","",IF(SUM(BP55:BY55)+SUMPRODUCT(--ISNUMBER(SEARCH(" "&amp;DT2430:DT2431&amp;" ",BZ55)))&gt;0,"X",IF(CA55&gt;0,"?",""))),"")</f>
        <v/>
      </c>
      <c r="CC55" s="493" t="str" cm="1">
        <f t="array" ref="CC55">IF(46=46,IF(AW55="","",SUMPRODUCT(--ISNUMBER(SEARCH(" "&amp;DT1393:DT1413&amp;" ",BC55)))),"")</f>
        <v/>
      </c>
      <c r="CD55" s="493" t="str">
        <f>IF(46=46,IF(AW55="","",IF((CC55)-(0)&gt;0,"X",IF((0)-(0)&gt;0,"?",""))),"")</f>
        <v/>
      </c>
      <c r="CE55" s="493" t="str" cm="1">
        <f t="array" ref="CE55">IF(46=46,IF(AW55="","",SUMPRODUCT(--ISNUMBER(SEARCH(" "&amp;DT1414:DT1451&amp;" ",CF55)))),"")</f>
        <v/>
      </c>
      <c r="CF55" s="493" t="str">
        <f>IF(46=46,IF(AW55="","",SUBSTITUTE(SUBSTITUTE(BC55," "&amp;DT1452&amp;" "," ")," "&amp;DT1453&amp;" "," ")),"")</f>
        <v/>
      </c>
      <c r="CG55" s="493" t="str" cm="1">
        <f t="array" ref="CG55">IF(46=46,IF(AW55="","",SUMPRODUCT(--ISNUMBER(SEARCH(" "&amp;DT1454:DT1464&amp;" ",CF55)))),"")</f>
        <v/>
      </c>
      <c r="CH55" s="493" t="str">
        <f>IF(46=46,IF(AW55="","",IF(CE55&gt;0,"X",IF(CG55&gt;0,"?",""))),"")</f>
        <v/>
      </c>
      <c r="CI55" s="493" t="str" cm="1">
        <f t="array" ref="CI55">IF(46=46,IF(AW55="","",SUMPRODUCT(--ISNUMBER(SEARCH(" "&amp;DT1465:DT1564&amp;" ",CL55)))),"")</f>
        <v/>
      </c>
      <c r="CJ55" s="493" t="str" cm="1">
        <f t="array" ref="CJ55">IF(46=46,IF(AW55="","",SUMPRODUCT(--ISNUMBER(SEARCH(" "&amp;DT1565:DT1664&amp;" ",CL55)))),"")</f>
        <v/>
      </c>
      <c r="CK55" s="493" t="str" cm="1">
        <f t="array" ref="CK55">IF(46=46,IF(AW55="","",SUMPRODUCT(--ISNUMBER(SEARCH(" "&amp;DT1665:DT1748&amp;" ",CL55)))),"")</f>
        <v/>
      </c>
      <c r="CL55" s="493" t="str">
        <f>IF(46=46,IF(AW55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55,"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55" s="493" t="str" cm="1">
        <f t="array" ref="CM55">IF(46=46,IF(AW55="","",SUMPRODUCT(--ISNUMBER(SEARCH(" "&amp;DT1799:DT1878&amp;" ",CN55)))+SUMPRODUCT(--ISNUMBER(SEARCH(" "&amp;DT2449:DT2462&amp;" ",CN55)))),"")</f>
        <v/>
      </c>
      <c r="CN55" s="493" t="str">
        <f>IF(46=46,IF(AW55="","",SUBSTITUTE(SUBSTITUTE(SUBSTITUTE(SUBSTITUTE(SUBSTITUTE(SUBSTITUTE(SUBSTITUTE(SUBSTITUTE(SUBSTITUTE(SUBSTITUTE(SUBSTITUTE(SUBSTITUTE(SUBSTITUTE(CL55," "&amp;DT1885&amp;" "," ")," "&amp;DT1883&amp;" "," ")," "&amp;DT2447&amp;" "," ")," "&amp;DT2448&amp;" "," ")," "&amp;DT1880&amp;" "," ")," "&amp;DT1884&amp;" "," ")," "&amp;DT1886&amp;" "," ")," "&amp;DT1881&amp;" "," ")," "&amp;DT1879&amp;" "," ")," "&amp;DT1376&amp;" "," ")," "&amp;DT1887&amp;" "," ")," "&amp;DT1375&amp;" "," ")," "&amp;DT1882&amp;" "," ")),"")</f>
        <v/>
      </c>
      <c r="CO55" s="493" t="str" cm="1">
        <f t="array" ref="CO55">IF(46=46,IF(AW55="","",IF(SUM(CI55:CK55)+SUMPRODUCT(--ISNUMBER(SEARCH(" "&amp;DT2432:DT2433&amp;" ",CL55)))&gt;0,"X",IF(CM55&gt;0,"?",""))),"")</f>
        <v/>
      </c>
      <c r="CP55" s="493" t="str" cm="1">
        <f t="array" ref="CP55">IF(46=46,IF(AW55="","",SUMPRODUCT(--ISNUMBER(SEARCH(" "&amp;DT1888:DT1945&amp;" ",CQ55)))),"")</f>
        <v/>
      </c>
      <c r="CQ55" s="493" t="str">
        <f>IF(46=46,IF(AW55="","",SUBSTITUTE(SUBSTITUTE(SUBSTITUTE(SUBSTITUTE(SUBSTITUTE(SUBSTITUTE(SUBSTITUTE(SUBSTITUTE(SUBSTITUTE(SUBSTITUTE(SUBSTITUTE(SUBSTITUTE(SUBSTITUTE(SUBSTITUTE(SUBSTITUTE(SUBSTITUTE(SUBSTITUTE(SUBSTITUTE(SUBSTITUTE(SUBSTITUTE(SUBSTITUTE(SUBSTITUTE(SUBSTITUTE(BC55,"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55" s="493" t="str" cm="1">
        <f t="array" ref="CR55">IF(46=46,IF(AW55="","",SUMPRODUCT(--ISNUMBER(SEARCH(" "&amp;DT1969:DT1985&amp;" ",CQ55)))),"")</f>
        <v/>
      </c>
      <c r="CS55" s="493" t="str">
        <f>IF(46=46,IF(AW55="","",IF(CP55&gt;0,"X",IF(CR55&gt;0,"?",""))),"")</f>
        <v/>
      </c>
      <c r="CT55" s="493" t="str" cm="1">
        <f t="array" ref="CT55">IF(46=46,IF(AW55="","",SUMPRODUCT(--ISNUMBER(SEARCH(" "&amp;DT1986:DT1999&amp;" ",BC55)))),"")</f>
        <v/>
      </c>
      <c r="CU55" s="493" t="str" cm="1">
        <f t="array" ref="CU55">IF(46=46,IF(AW55="","",SUMPRODUCT(--ISNUMBER(SEARCH(" "&amp;DT2000:DT2014&amp;" ",BC55)))),"")</f>
        <v/>
      </c>
      <c r="CV55" s="493" t="str">
        <f>IF(46=46,IF(AW55="","",IF((CT55)-(0)&gt;0,"X",IF((CU55)-(0)&gt;0,"?",""))),"")</f>
        <v/>
      </c>
      <c r="CW55" s="493" t="str" cm="1">
        <f t="array" ref="CW55">IF(46=46,IF(AW55="","",SUMPRODUCT(--ISNUMBER(SEARCH(" "&amp;DT2015:DT2032&amp;" ",BC55)))),"")</f>
        <v/>
      </c>
      <c r="CX55" s="493" t="str" cm="1">
        <f t="array" ref="CX55">IF(46=46,IF(AW55="","",SUMPRODUCT(--ISNUMBER(SEARCH(" "&amp;DT2033:DT2047&amp;" ",BC55)))),"")</f>
        <v/>
      </c>
      <c r="CY55" s="493" t="str">
        <f>IF(46=46,IF(AW55="","",IF((CW55)-(0)&gt;0,"X",IF((CX55)-(0)&gt;0,"?",""))),"")</f>
        <v/>
      </c>
      <c r="CZ55" s="493" t="str" cm="1">
        <f t="array" ref="CZ55">IF(46=46,IF(AW55="","",SUMPRODUCT(--ISNUMBER(SEARCH(" "&amp;DT2048:DT2066&amp;" ",BC55)))),"")</f>
        <v/>
      </c>
      <c r="DA55" s="493" t="str" cm="1">
        <f t="array" ref="DA55">IF(46=46,IF(AW55="","",SUMPRODUCT(--ISNUMBER(SEARCH(" "&amp;DT2067:DT2081&amp;" ",BC55)))),"")</f>
        <v/>
      </c>
      <c r="DB55" s="493" t="str">
        <f>IF(46=46,IF(AW55="","",IF((CZ55)-(0)&gt;0,"X",IF((DA55)-(0)&gt;0,"?",""))),"")</f>
        <v/>
      </c>
      <c r="DC55" s="493" t="str" cm="1">
        <f t="array" ref="DC55">IF(46=46,IF(AW55="","",SUMPRODUCT(--ISNUMBER(SEARCH(" "&amp;DT2082:DT2102&amp;" ",BC55)))),"")</f>
        <v/>
      </c>
      <c r="DD55" s="493" t="str" cm="1">
        <f t="array" ref="DD55">IF(46=46,IF(AW55="","",SUMPRODUCT(--ISNUMBER(SEARCH(" "&amp;DT2103:DT2142&amp;" ",SUBSTITUTE(SUBSTITUTE(BC55," "&amp;DT1376&amp;" "," ")," "&amp;DT1375&amp;" "," "))))+--ISNUMBER(SEARCH("poiré",AX55))),"")</f>
        <v/>
      </c>
      <c r="DE55" s="493" t="str">
        <f>IF(46=46,IF(AW55="","",IF(OR(DC55&gt;0,ISNUMBER(SEARCH(" vinaigre de vin ",BC55)),ISNUMBER(SEARCH(" vinaigre au vin ",BC55))),"X",IF(DD55&gt;0,"?",""))),"")</f>
        <v/>
      </c>
      <c r="DF55" s="493" t="str" cm="1">
        <f t="array" ref="DF55">IF(46=46,IF(AW55="","",SUMPRODUCT(--ISNUMBER(SEARCH(" "&amp;DT2143:DT2155&amp;" ",BC55)))),"")</f>
        <v/>
      </c>
      <c r="DG55" s="493" t="str" cm="1">
        <f t="array" ref="DG55">IF(46=46,IF(AW55="","",SUMPRODUCT(--ISNUMBER(SEARCH(" "&amp;DT2156:DT2161&amp;" ",BC55)))),"")</f>
        <v/>
      </c>
      <c r="DH55" s="493" t="str">
        <f>IF(46=46,IF(AW55="","",IF((DF55)-(0)&gt;0,"X",IF((DG55)-(0)&gt;0,"?",""))),"")</f>
        <v/>
      </c>
      <c r="DI55" s="493" t="str" cm="1">
        <f t="array" ref="DI55">IF(46=46,IF(AW55="","",SUMPRODUCT(--ISNUMBER(SEARCH(" "&amp;DT2162:DT2261&amp;" ",DL55)))),"")</f>
        <v/>
      </c>
      <c r="DJ55" s="493" t="str" cm="1">
        <f t="array" ref="DJ55">IF(46=46,IF(AW55="","",SUMPRODUCT(--ISNUMBER(SEARCH(" "&amp;DT2262:DT2361&amp;" ",DL55)))),"")</f>
        <v/>
      </c>
      <c r="DK55" s="493" t="str" cm="1">
        <f t="array" ref="DK55">IF(46=46,IF(AW55="","",SUMPRODUCT(--ISNUMBER(SEARCH(" "&amp;DT2362:DT2404&amp;" ",DL55)))),"")</f>
        <v/>
      </c>
      <c r="DL55" s="493" t="str">
        <f>IF(46=46,IF(AW55="","",SUBSTITUTE(SUBSTITUTE(SUBSTITUTE(SUBSTITUTE(SUBSTITUTE(SUBSTITUTE(SUBSTITUTE(SUBSTITUTE(SUBSTITUTE(SUBSTITUTE(SUBSTITUTE(SUBSTITUTE(SUBSTITUTE(SUBSTITUTE(SUBSTITUTE(SUBSTITUTE(BC55," "&amp;DT2410&amp;" "," ")," "&amp;DT2409&amp;" "," ")," "&amp;DT2408&amp;" "," ")," "&amp;DT2415&amp;" "," ")," "&amp;DT2407&amp;" "," ")," "&amp;DT2419&amp;" "," ")," "&amp;DT2406&amp;" "," ")," "&amp;DT2411&amp;" "," ")," "&amp;DT2414&amp;" "," ")," "&amp;DT2405&amp;" "," ")," "&amp;DT2413&amp;" "," ")," "&amp;DT2420&amp;" "," ")," "&amp;DT2417&amp;" "," ")," "&amp;DT2412&amp;" "," ")," "&amp;DT2416&amp;" "," ")," "&amp;DT2418&amp;" "," ")),"")</f>
        <v/>
      </c>
      <c r="DM55" s="493" t="str" cm="1">
        <f t="array" ref="DM55">IF(46=46,IF(AW55="","",SUMPRODUCT(--ISNUMBER(SEARCH(" "&amp;DT2421:DT2425&amp;" ",DL55)))),"")</f>
        <v/>
      </c>
      <c r="DN55" s="493" t="str">
        <f>IF(46=46,IF(AW55="","",IF(SUM(DI55:DK55)&gt;0,"X",IF(DM55&gt;0,"?",""))),"")</f>
        <v/>
      </c>
      <c r="DO55" s="494"/>
      <c r="DP55" s="496" t="s">
        <v>1221</v>
      </c>
      <c r="DQ55" s="496" t="s">
        <v>1083</v>
      </c>
      <c r="DR55" s="496" t="s">
        <v>689</v>
      </c>
      <c r="DS55" s="496" t="s">
        <v>1222</v>
      </c>
      <c r="DT55" s="496" t="s">
        <v>1222</v>
      </c>
      <c r="DU55" s="496" t="s">
        <v>1085</v>
      </c>
      <c r="DV55" s="496" t="s">
        <v>1086</v>
      </c>
      <c r="DW55" s="496" t="s">
        <v>1087</v>
      </c>
      <c r="DX55" s="497" t="s">
        <v>1088</v>
      </c>
      <c r="DZ55" s="543">
        <v>1</v>
      </c>
      <c r="EB55" s="493"/>
      <c r="EC55" s="493"/>
    </row>
    <row r="56" spans="5:133" ht="21" customHeight="1">
      <c r="E56" s="716" t="s">
        <v>737</v>
      </c>
      <c r="F56" s="877" t="str">
        <f>F12</f>
        <v>M MACÉDOINE DE LÉGUMES AU COULIS DE TOMATE | HORS D'ŒUVRE texture modifiée-cuidité-MACEDOINE| Auteur &gt; Annette et Jean Pierre DOMERGUES - 45000 ORLÉANS 1981</v>
      </c>
      <c r="G56" s="877">
        <f>G12</f>
        <v>10</v>
      </c>
      <c r="H56" s="878" t="str">
        <f>H12</f>
        <v>couverts</v>
      </c>
      <c r="I56" s="879" t="str">
        <f>I12</f>
        <v>Recette mère ►  Textures modifiées</v>
      </c>
      <c r="J56" s="889"/>
      <c r="K56" s="889"/>
      <c r="L56" s="891">
        <f>ROWS(P37:P56)</f>
        <v>20</v>
      </c>
      <c r="M56" s="889"/>
      <c r="N56" s="892" t="str">
        <f t="array" ref="N56">SUMPRODUCT(--(P56:W56&lt;&gt;""), LEN(TRIM(SUBSTITUTE(P56:W56, CHAR(160), "")))) &amp; " Car."</f>
        <v>0 Car.</v>
      </c>
      <c r="O56" s="893" t="str">
        <f>IF(ISBLANK(P56),"",LARGE(O36:O55,1)+1)</f>
        <v/>
      </c>
      <c r="P56" s="886"/>
      <c r="Q56" s="886"/>
      <c r="R56" s="886"/>
      <c r="S56" s="886"/>
      <c r="T56" s="886"/>
      <c r="U56" s="886"/>
      <c r="V56" s="886"/>
      <c r="W56" s="886"/>
      <c r="X56" s="886"/>
      <c r="Y56" s="904"/>
      <c r="AA56" s="899"/>
      <c r="AC56" s="509">
        <v>41</v>
      </c>
      <c r="AD56" s="808"/>
      <c r="AE56" s="679" t="str">
        <f t="shared" si="9"/>
        <v/>
      </c>
      <c r="AF56" s="512" t="str">
        <f>IF(47=47,IF(AD56="","",IF(AG56="X",""&amp;"Céréales contenant du gluten","")&amp;IF(AH56="X",IF(COUNTIF(AG56:AG56,"X")&gt;0,", ","")&amp;"Crustacés","")&amp;IF(AI56="X",IF(COUNTIF(AG56:AH56,"X")&gt;0,", ","")&amp;"Œufs","")&amp;IF(AJ56="X",IF(COUNTIF(AG56:AI56,"X")&gt;0,", ","")&amp;"Poissons","")&amp;IF(AK56="X",IF(COUNTIF(AG56:AJ56,"X")&gt;0,", ","")&amp;"Arachides","")&amp;IF(AL56="X",IF(COUNTIF(AG56:AK56,"X")&gt;0,", ","")&amp;"Soja","")&amp;IF(AM56="X",IF(COUNTIF(AG56:AL56,"X")&gt;0,", ","")&amp;"Lait","")&amp;IF(AN56="X",IF(COUNTIF(AG56:AM56,"X")&gt;0,", ","")&amp;"Fruits à coque","")&amp;IF(AO56="X",IF(COUNTIF(AG56:AN56,"X")&gt;0,", ","")&amp;"Céleri","")&amp;IF(AP56="X",IF(COUNTIF(AG56:AO56,"X")&gt;0,", ","")&amp;"Moutarde","")&amp;IF(AQ56="X",IF(COUNTIF(AG56:AP56,"X")&gt;0,", ","")&amp;"Sésame","")&amp;IF(AR56="X",IF(COUNTIF(AG56:AQ56,"X")&gt;0,", ","")&amp;"Sulfites","")&amp;IF(AS56="X",IF(COUNTIF(AG56:AR56,"X")&gt;0,", ","")&amp;"Lupin","")&amp;IF(AT56="X",IF(COUNTIF(AG56:AS56,"X")&gt;0,", ","")&amp;"Mollusques","")),"")</f>
        <v/>
      </c>
      <c r="AG56" s="513" t="str">
        <f>IF(47=47,IF(AD56="","",BH56),"")</f>
        <v/>
      </c>
      <c r="AH56" s="513" t="str">
        <f>IF(47=47,IF(AD56="","",BK56),"")</f>
        <v/>
      </c>
      <c r="AI56" s="513" t="str">
        <f>IF(47=47,IF(AD56="","",BO56),"")</f>
        <v/>
      </c>
      <c r="AJ56" s="513" t="str">
        <f>IF(47=47,IF(AD56="","",IF(ISNUMBER(SEARCH(" colin ",BC56)),"X",CB56)),"")</f>
        <v/>
      </c>
      <c r="AK56" s="513" t="str">
        <f>IF(47=47,IF(AD56="","",CD56),"")</f>
        <v/>
      </c>
      <c r="AL56" s="513" t="str">
        <f>IF(47=47,IF(AD56="","",CH56),"")</f>
        <v/>
      </c>
      <c r="AM56" s="513" t="str">
        <f>IF(47=47,IF(AD56="","",CO56),"")</f>
        <v/>
      </c>
      <c r="AN56" s="513" t="str">
        <f>IF(47=47,IF(AD56="","",CS56),"")</f>
        <v/>
      </c>
      <c r="AO56" s="513" t="str">
        <f>IF(47=47,IF(AD56="","",CV56),"")</f>
        <v/>
      </c>
      <c r="AP56" s="513" t="str">
        <f>IF(47=47,IF(AD56="","",CY56),"")</f>
        <v/>
      </c>
      <c r="AQ56" s="513" t="str">
        <f>IF(47=47,IF(AD56="","",DB56),"")</f>
        <v/>
      </c>
      <c r="AR56" s="513" t="str">
        <f>IF(47=47,IF(AD56="","",DE56),"")</f>
        <v/>
      </c>
      <c r="AS56" s="513" t="str">
        <f>IF(47=47,IF(AD56="","",DH56),"")</f>
        <v/>
      </c>
      <c r="AT56" s="513" t="str">
        <f>IF(47=47,IF(AD56="","",DN56),"")</f>
        <v/>
      </c>
      <c r="AU56" s="514" t="str">
        <f>IF(47=47,IF(AD56="","",IF(AG56="?",""&amp;"Céréales contenant du gluten","")&amp;IF(AH56="?",IF(COUNTIF(AG56:AG56,"~?")&gt;0,", ","")&amp;"Crustacés","")&amp;IF(AI56="?",IF(COUNTIF(AG56:AH56,"~?")&gt;0,", ","")&amp;"Œufs","")&amp;IF(AJ56="?",IF(COUNTIF(AG56:AI56,"~?")&gt;0,", ","")&amp;"Poissons","")&amp;IF(AK56="?",IF(COUNTIF(AG56:AJ56,"~?")&gt;0,", ","")&amp;"Arachides","")&amp;IF(AL56="?",IF(COUNTIF(AG56:AK56,"~?")&gt;0,", ","")&amp;"Soja","")&amp;IF(AM56="?",IF(COUNTIF(AG56:AL56,"~?")&gt;0,", ","")&amp;"Lait","")&amp;IF(AN56="?",IF(COUNTIF(AG56:AM56,"~?")&gt;0,", ","")&amp;"Fruits à coque","")&amp;IF(AO56="?",IF(COUNTIF(AG56:AN56,"~?")&gt;0,", ","")&amp;"Céleri","")&amp;IF(AP56="?",IF(COUNTIF(AG56:AO56,"~?")&gt;0,", ","")&amp;"Moutarde","")&amp;IF(AQ56="?",IF(COUNTIF(AG56:AP56,"~?")&gt;0,", ","")&amp;"Sésame","")&amp;IF(AR56="?",IF(COUNTIF(AG56:AQ56,"~?")&gt;0,", ","")&amp;"Sulfites","")&amp;IF(AS56="?",IF(COUNTIF(AG56:AR56,"~?")&gt;0,", ","")&amp;"Lupin","")&amp;IF(AT56="?",IF(COUNTIF(AG56:AS56,"~?")&gt;0,", ","")&amp;"Mollusques","")),"")</f>
        <v/>
      </c>
      <c r="AW56" s="493" t="str">
        <f>IF(47=47,IF(AD56="","",AD56),"")</f>
        <v/>
      </c>
      <c r="AX56" s="493" t="str">
        <f>IF(47=47,LOWER(CLEAN(SUBSTITUTE(SUBSTITUTE(SUBSTITUTE(SUBSTITUTE(AW56,CHAR(160)," ")," "," "),CHAR(10)," "),CHAR(13)," "))),"")</f>
        <v/>
      </c>
      <c r="AY56" s="493" t="str">
        <f>IF(47=47,SUBSTITUTE(SUBSTITUTE(SUBSTITUTE(SUBSTITUTE(SUBSTITUTE(SUBSTITUTE(SUBSTITUTE(SUBSTITUTE(SUBSTITUTE(SUBSTITUTE(SUBSTITUTE(SUBSTITUTE(AX56,"œ","oe"),"æ","ae"),"à","a"),"á","a"),"â","a"),"ä","a"),"ã","a"),"ç","c"),"è","e"),"é","e"),"ê","e"),"ë","e"),"")</f>
        <v/>
      </c>
      <c r="AZ56" s="493" t="str">
        <f>IF(47=47,SUBSTITUTE(SUBSTITUTE(SUBSTITUTE(SUBSTITUTE(SUBSTITUTE(SUBSTITUTE(SUBSTITUTE(SUBSTITUTE(SUBSTITUTE(SUBSTITUTE(SUBSTITUTE(SUBSTITUTE(SUBSTITUTE(SUBSTITUTE(SUBSTITUTE(SUBSTITUTE(AY56,"ì","i"),"í","i"),"î","i"),"ï","i"),"ñ","n"),"ò","o"),"ó","o"),"ô","o"),"ö","o"),"õ","o"),"ù","u"),"ú","u"),"û","u"),"ü","u"),"ý","y"),"ÿ","y"),"")</f>
        <v/>
      </c>
      <c r="BA56" s="493" t="str">
        <f>IF(47=47,SUBSTITUTE(SUBSTITUTE(SUBSTITUTE(SUBSTITUTE(SUBSTITUTE(SUBSTITUTE(SUBSTITUTE(SUBSTITUTE(SUBSTITUTE(SUBSTITUTE(SUBSTITUTE(SUBSTITUTE(SUBSTITUTE(SUBSTITUTE(AZ56,"’"," "),"`"," "),"–"," "),"—"," "),"-"," "),"'"," "),"/"," "),"_"," "),","," "),"."," "),"("," "),")"," "),";"," "),":"," "),"")</f>
        <v/>
      </c>
      <c r="BB56" s="493" t="str">
        <f>IF(47=47,SUBSTITUTE(SUBSTITUTE(SUBSTITUTE(SUBSTITUTE(SUBSTITUTE(SUBSTITUTE(SUBSTITUTE(SUBSTITUTE(SUBSTITUTE(SUBSTITUTE(SUBSTITUTE(SUBSTITUTE(SUBSTITUTE(SUBSTITUTE(SUBSTITUTE(BA56,"!"," "),"?"," "),"+"," "),"*"," "),"&amp;"," "),"["," "),"]"," "),"{"," "),"}"," "),"%"," "),"="," "),"\"," "),"|"," "),"&lt;"," "),"&gt;"," "),"")</f>
        <v/>
      </c>
      <c r="BC56" s="493" t="str">
        <f>IF(47=47," "&amp;TRIM(SUBSTITUTE(SUBSTITUTE(SUBSTITUTE(SUBSTITUTE(SUBSTITUTE(SUBSTITUTE(BB56,CHAR(34)," "),"  "," "),"  "," "),"  "," "),"  "," "),"  "," "))&amp;" ","")</f>
        <v xml:space="preserve">  </v>
      </c>
      <c r="BD56" s="493" t="str" cm="1">
        <f t="array" ref="BD56">IF(47=47,IF(AW56="","",SUMPRODUCT(--ISNUMBER(SEARCH(" "&amp;DT11:DT110&amp;" ",BF56)))),"")</f>
        <v/>
      </c>
      <c r="BE56" s="493" t="str" cm="1">
        <f t="array" ref="BE56">IF(47=47,IF(AW56="","",SUMPRODUCT(--ISNUMBER(SEARCH(" "&amp;DT111:DT160&amp;" ",BF56)))),"")</f>
        <v/>
      </c>
      <c r="BF56" s="493" t="str">
        <f>IF(AW56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56,"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56" s="493" t="str" cm="1">
        <f t="array" ref="BG56">IF(AW56="","",SUMPRODUCT(--ISNUMBER(SEARCH(" "&amp;DT193:DT214&amp;" ",BF56)))+--ISNUMBER(SEARCH(" "&amp;DT2463&amp;" ",BF56)))</f>
        <v/>
      </c>
      <c r="BH56" s="493" t="str" cm="1">
        <f t="array" ref="BH56">IF(47=47,IF(AW56="","",IF(SUM(BD56:BE56)+SUMPRODUCT(--ISNUMBER(SEARCH(" "&amp;DT2427:DT2429&amp;" ",BF56)))&gt;0,"X",IF(BG56&gt;0,"?",""))),"")</f>
        <v/>
      </c>
      <c r="BI56" s="493" t="str" cm="1">
        <f t="array" ref="BI56">IF(47=47,IF(AW56="","",SUMPRODUCT(--ISNUMBER(SEARCH(" "&amp;DT215:DT314&amp;" ",BC56)))),"")</f>
        <v/>
      </c>
      <c r="BJ56" s="493" t="str" cm="1">
        <f t="array" ref="BJ56">IF(47=47,IF(AW56="","",SUMPRODUCT(--ISNUMBER(SEARCH(" "&amp;DT315:DT349&amp;" ",BC56)))),"")</f>
        <v/>
      </c>
      <c r="BK56" s="493" t="str">
        <f>IF(47=47,IF(AW56="","",IF((SUM(BI56:BJ56))-(0)&gt;0,"X",IF((0)-(0)&gt;0,"?",""))),"")</f>
        <v/>
      </c>
      <c r="BL56" s="493" t="str" cm="1">
        <f t="array" ref="BL56">IF(47=47,IF(AW56="","",SUMPRODUCT(--ISNUMBER(SEARCH(" "&amp;DT350:DT407&amp;" ",BC56)))),"")</f>
        <v/>
      </c>
      <c r="BM56" s="493" t="str" cm="1">
        <f t="array" ref="BM56">IF(47=47,IF(AW56="","",SUMPRODUCT(--ISNUMBER(SEARCH(" "&amp;DT408:DT435&amp;" ",BN56)))+SUMPRODUCT(--ISNUMBER(SEARCH(" "&amp;DT2449:DT2462&amp;" ",BN56)))),"")</f>
        <v/>
      </c>
      <c r="BN56" s="493" t="str">
        <f>IF(47=47,IF(AW56="","",SUBSTITUTE(SUBSTITUTE(SUBSTITUTE(SUBSTITUTE(SUBSTITUTE(SUBSTITUTE(SUBSTITUTE(SUBSTITUTE(SUBSTITUTE(SUBSTITUTE(SUBSTITUTE(SUBSTITUTE(SUBSTITUTE(SUBSTITUTE(BC56," "&amp;DT2464&amp;" "," ")," "&amp;DT442&amp;" "," ")," "&amp;DT440&amp;" "," ")," "&amp;DT2447&amp;" "," ")," "&amp;DT2448&amp;" "," ")," "&amp;DT437&amp;" "," ")," "&amp;DT441&amp;" "," ")," "&amp;DT443&amp;" "," ")," "&amp;DT438&amp;" "," ")," "&amp;DT436&amp;" "," ")," "&amp;DT1376&amp;" "," ")," "&amp;DT444&amp;" "," ")," "&amp;DT1375&amp;" "," ")," "&amp;DT439&amp;" "," ")),"")</f>
        <v/>
      </c>
      <c r="BO56" s="493" t="str">
        <f>IF(47=47,IF(AW56="","",IF(BL56&gt;0,"X",IF(BM56&gt;0,"?",""))),"")</f>
        <v/>
      </c>
      <c r="BP56" s="493" t="str" cm="1">
        <f t="array" ref="BP56">IF(47=47,IF(AW56="","",SUMPRODUCT(--ISNUMBER(SEARCH(" "&amp;DT445:DT544&amp;" ",BZ56)))),"")</f>
        <v/>
      </c>
      <c r="BQ56" s="493" t="str" cm="1">
        <f t="array" ref="BQ56">IF(47=47,IF(AW56="","",SUMPRODUCT(--ISNUMBER(SEARCH(" "&amp;DT545:DT644&amp;" ",BZ56)))),"")</f>
        <v/>
      </c>
      <c r="BR56" s="493" t="str" cm="1">
        <f t="array" ref="BR56">IF(47=47,IF(AW56="","",SUMPRODUCT(--ISNUMBER(SEARCH(" "&amp;DT645:DT744&amp;" ",BZ56)))),"")</f>
        <v/>
      </c>
      <c r="BS56" s="493" t="str" cm="1">
        <f t="array" ref="BS56">IF(47=47,IF(AW56="","",SUMPRODUCT(--ISNUMBER(SEARCH(" "&amp;DT745:DT844&amp;" ",BZ56)))),"")</f>
        <v/>
      </c>
      <c r="BT56" s="493" t="str" cm="1">
        <f t="array" ref="BT56">IF(47=47,IF(AW56="","",SUMPRODUCT(--ISNUMBER(SEARCH(" "&amp;DT845:DT944&amp;" ",BZ56)))),"")</f>
        <v/>
      </c>
      <c r="BU56" s="493" t="str" cm="1">
        <f t="array" ref="BU56">IF(47=47,IF(AW56="","",SUMPRODUCT(--ISNUMBER(SEARCH(" "&amp;DT945:DT1044&amp;" ",BZ56)))),"")</f>
        <v/>
      </c>
      <c r="BV56" s="493" t="str" cm="1">
        <f t="array" ref="BV56">IF(47=47,IF(AW56="","",SUMPRODUCT(--ISNUMBER(SEARCH(" "&amp;DT1045:DT1144&amp;" ",BZ56)))),"")</f>
        <v/>
      </c>
      <c r="BW56" s="493" t="str" cm="1">
        <f t="array" ref="BW56">IF(47=47,IF(AW56="","",SUMPRODUCT(--ISNUMBER(SEARCH(" "&amp;DT1145:DT1244&amp;" ",BZ56)))),"")</f>
        <v/>
      </c>
      <c r="BX56" s="493" t="str" cm="1">
        <f t="array" ref="BX56">IF(47=47,IF(AW56="","",SUMPRODUCT(--ISNUMBER(SEARCH(" "&amp;DT1245:DT1344&amp;" ",BZ56)))),"")</f>
        <v/>
      </c>
      <c r="BY56" s="493" t="str" cm="1">
        <f t="array" ref="BY56">IF(47=47,IF(AW56="","",SUMPRODUCT(--ISNUMBER(SEARCH(" "&amp;DT1345:DT1372&amp;" ",BZ56)))),"")</f>
        <v/>
      </c>
      <c r="BZ56" s="493" t="str">
        <f>IF(47=47,IF(AW56="","",SUBSTITUTE(SUBSTITUTE(SUBSTITUTE(SUBSTITUTE(SUBSTITUTE(SUBSTITUTE(SUBSTITUTE(SUBSTITUTE(SUBSTITUTE(BC56," "&amp;DT1374&amp;" "," ")," "&amp;DT1373&amp;" "," ")," "&amp;DT1379&amp;" "," ")," "&amp;DT1380&amp;" "," ")," "&amp;DT1376&amp;" "," ")," "&amp;DT1378&amp;" "," ")," "&amp;DT1375&amp;" "," ")," "&amp;DT1377&amp;" "," ")," "&amp;DT1381&amp;" "," ")),"")</f>
        <v/>
      </c>
      <c r="CA56" s="493" t="str" cm="1">
        <f t="array" ref="CA56">IF(47=47,IF(AW56="","",SUMPRODUCT(--ISNUMBER(SEARCH(" "&amp;DT1382:DT1392&amp;" ",BZ56)))),"")</f>
        <v/>
      </c>
      <c r="CB56" s="493" t="str" cm="1">
        <f t="array" ref="CB56">IF(47=47,IF(AW56="","",IF(SUM(BP56:BY56)+SUMPRODUCT(--ISNUMBER(SEARCH(" "&amp;DT2430:DT2431&amp;" ",BZ56)))&gt;0,"X",IF(CA56&gt;0,"?",""))),"")</f>
        <v/>
      </c>
      <c r="CC56" s="493" t="str" cm="1">
        <f t="array" ref="CC56">IF(47=47,IF(AW56="","",SUMPRODUCT(--ISNUMBER(SEARCH(" "&amp;DT1393:DT1413&amp;" ",BC56)))),"")</f>
        <v/>
      </c>
      <c r="CD56" s="493" t="str">
        <f>IF(47=47,IF(AW56="","",IF((CC56)-(0)&gt;0,"X",IF((0)-(0)&gt;0,"?",""))),"")</f>
        <v/>
      </c>
      <c r="CE56" s="493" t="str" cm="1">
        <f t="array" ref="CE56">IF(47=47,IF(AW56="","",SUMPRODUCT(--ISNUMBER(SEARCH(" "&amp;DT1414:DT1451&amp;" ",CF56)))),"")</f>
        <v/>
      </c>
      <c r="CF56" s="493" t="str">
        <f>IF(47=47,IF(AW56="","",SUBSTITUTE(SUBSTITUTE(BC56," "&amp;DT1452&amp;" "," ")," "&amp;DT1453&amp;" "," ")),"")</f>
        <v/>
      </c>
      <c r="CG56" s="493" t="str" cm="1">
        <f t="array" ref="CG56">IF(47=47,IF(AW56="","",SUMPRODUCT(--ISNUMBER(SEARCH(" "&amp;DT1454:DT1464&amp;" ",CF56)))),"")</f>
        <v/>
      </c>
      <c r="CH56" s="493" t="str">
        <f>IF(47=47,IF(AW56="","",IF(CE56&gt;0,"X",IF(CG56&gt;0,"?",""))),"")</f>
        <v/>
      </c>
      <c r="CI56" s="493" t="str" cm="1">
        <f t="array" ref="CI56">IF(47=47,IF(AW56="","",SUMPRODUCT(--ISNUMBER(SEARCH(" "&amp;DT1465:DT1564&amp;" ",CL56)))),"")</f>
        <v/>
      </c>
      <c r="CJ56" s="493" t="str" cm="1">
        <f t="array" ref="CJ56">IF(47=47,IF(AW56="","",SUMPRODUCT(--ISNUMBER(SEARCH(" "&amp;DT1565:DT1664&amp;" ",CL56)))),"")</f>
        <v/>
      </c>
      <c r="CK56" s="493" t="str" cm="1">
        <f t="array" ref="CK56">IF(47=47,IF(AW56="","",SUMPRODUCT(--ISNUMBER(SEARCH(" "&amp;DT1665:DT1748&amp;" ",CL56)))),"")</f>
        <v/>
      </c>
      <c r="CL56" s="493" t="str">
        <f>IF(47=47,IF(AW56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56,"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56" s="493" t="str" cm="1">
        <f t="array" ref="CM56">IF(47=47,IF(AW56="","",SUMPRODUCT(--ISNUMBER(SEARCH(" "&amp;DT1799:DT1878&amp;" ",CN56)))+SUMPRODUCT(--ISNUMBER(SEARCH(" "&amp;DT2449:DT2462&amp;" ",CN56)))),"")</f>
        <v/>
      </c>
      <c r="CN56" s="493" t="str">
        <f>IF(47=47,IF(AW56="","",SUBSTITUTE(SUBSTITUTE(SUBSTITUTE(SUBSTITUTE(SUBSTITUTE(SUBSTITUTE(SUBSTITUTE(SUBSTITUTE(SUBSTITUTE(SUBSTITUTE(SUBSTITUTE(SUBSTITUTE(SUBSTITUTE(CL56," "&amp;DT1885&amp;" "," ")," "&amp;DT1883&amp;" "," ")," "&amp;DT2447&amp;" "," ")," "&amp;DT2448&amp;" "," ")," "&amp;DT1880&amp;" "," ")," "&amp;DT1884&amp;" "," ")," "&amp;DT1886&amp;" "," ")," "&amp;DT1881&amp;" "," ")," "&amp;DT1879&amp;" "," ")," "&amp;DT1376&amp;" "," ")," "&amp;DT1887&amp;" "," ")," "&amp;DT1375&amp;" "," ")," "&amp;DT1882&amp;" "," ")),"")</f>
        <v/>
      </c>
      <c r="CO56" s="493" t="str" cm="1">
        <f t="array" ref="CO56">IF(47=47,IF(AW56="","",IF(SUM(CI56:CK56)+SUMPRODUCT(--ISNUMBER(SEARCH(" "&amp;DT2432:DT2433&amp;" ",CL56)))&gt;0,"X",IF(CM56&gt;0,"?",""))),"")</f>
        <v/>
      </c>
      <c r="CP56" s="493" t="str" cm="1">
        <f t="array" ref="CP56">IF(47=47,IF(AW56="","",SUMPRODUCT(--ISNUMBER(SEARCH(" "&amp;DT1888:DT1945&amp;" ",CQ56)))),"")</f>
        <v/>
      </c>
      <c r="CQ56" s="493" t="str">
        <f>IF(47=47,IF(AW56="","",SUBSTITUTE(SUBSTITUTE(SUBSTITUTE(SUBSTITUTE(SUBSTITUTE(SUBSTITUTE(SUBSTITUTE(SUBSTITUTE(SUBSTITUTE(SUBSTITUTE(SUBSTITUTE(SUBSTITUTE(SUBSTITUTE(SUBSTITUTE(SUBSTITUTE(SUBSTITUTE(SUBSTITUTE(SUBSTITUTE(SUBSTITUTE(SUBSTITUTE(SUBSTITUTE(SUBSTITUTE(SUBSTITUTE(BC56,"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56" s="493" t="str" cm="1">
        <f t="array" ref="CR56">IF(47=47,IF(AW56="","",SUMPRODUCT(--ISNUMBER(SEARCH(" "&amp;DT1969:DT1985&amp;" ",CQ56)))),"")</f>
        <v/>
      </c>
      <c r="CS56" s="493" t="str">
        <f>IF(47=47,IF(AW56="","",IF(CP56&gt;0,"X",IF(CR56&gt;0,"?",""))),"")</f>
        <v/>
      </c>
      <c r="CT56" s="493" t="str" cm="1">
        <f t="array" ref="CT56">IF(47=47,IF(AW56="","",SUMPRODUCT(--ISNUMBER(SEARCH(" "&amp;DT1986:DT1999&amp;" ",BC56)))),"")</f>
        <v/>
      </c>
      <c r="CU56" s="493" t="str" cm="1">
        <f t="array" ref="CU56">IF(47=47,IF(AW56="","",SUMPRODUCT(--ISNUMBER(SEARCH(" "&amp;DT2000:DT2014&amp;" ",BC56)))),"")</f>
        <v/>
      </c>
      <c r="CV56" s="493" t="str">
        <f>IF(47=47,IF(AW56="","",IF((CT56)-(0)&gt;0,"X",IF((CU56)-(0)&gt;0,"?",""))),"")</f>
        <v/>
      </c>
      <c r="CW56" s="493" t="str" cm="1">
        <f t="array" ref="CW56">IF(47=47,IF(AW56="","",SUMPRODUCT(--ISNUMBER(SEARCH(" "&amp;DT2015:DT2032&amp;" ",BC56)))),"")</f>
        <v/>
      </c>
      <c r="CX56" s="493" t="str" cm="1">
        <f t="array" ref="CX56">IF(47=47,IF(AW56="","",SUMPRODUCT(--ISNUMBER(SEARCH(" "&amp;DT2033:DT2047&amp;" ",BC56)))),"")</f>
        <v/>
      </c>
      <c r="CY56" s="493" t="str">
        <f>IF(47=47,IF(AW56="","",IF((CW56)-(0)&gt;0,"X",IF((CX56)-(0)&gt;0,"?",""))),"")</f>
        <v/>
      </c>
      <c r="CZ56" s="493" t="str" cm="1">
        <f t="array" ref="CZ56">IF(47=47,IF(AW56="","",SUMPRODUCT(--ISNUMBER(SEARCH(" "&amp;DT2048:DT2066&amp;" ",BC56)))),"")</f>
        <v/>
      </c>
      <c r="DA56" s="493" t="str" cm="1">
        <f t="array" ref="DA56">IF(47=47,IF(AW56="","",SUMPRODUCT(--ISNUMBER(SEARCH(" "&amp;DT2067:DT2081&amp;" ",BC56)))),"")</f>
        <v/>
      </c>
      <c r="DB56" s="493" t="str">
        <f>IF(47=47,IF(AW56="","",IF((CZ56)-(0)&gt;0,"X",IF((DA56)-(0)&gt;0,"?",""))),"")</f>
        <v/>
      </c>
      <c r="DC56" s="493" t="str" cm="1">
        <f t="array" ref="DC56">IF(47=47,IF(AW56="","",SUMPRODUCT(--ISNUMBER(SEARCH(" "&amp;DT2082:DT2102&amp;" ",BC56)))),"")</f>
        <v/>
      </c>
      <c r="DD56" s="493" t="str" cm="1">
        <f t="array" ref="DD56">IF(47=47,IF(AW56="","",SUMPRODUCT(--ISNUMBER(SEARCH(" "&amp;DT2103:DT2142&amp;" ",SUBSTITUTE(SUBSTITUTE(BC56," "&amp;DT1376&amp;" "," ")," "&amp;DT1375&amp;" "," "))))+--ISNUMBER(SEARCH("poiré",AX56))),"")</f>
        <v/>
      </c>
      <c r="DE56" s="493" t="str">
        <f>IF(47=47,IF(AW56="","",IF(OR(DC56&gt;0,ISNUMBER(SEARCH(" vinaigre de vin ",BC56)),ISNUMBER(SEARCH(" vinaigre au vin ",BC56))),"X",IF(DD56&gt;0,"?",""))),"")</f>
        <v/>
      </c>
      <c r="DF56" s="493" t="str" cm="1">
        <f t="array" ref="DF56">IF(47=47,IF(AW56="","",SUMPRODUCT(--ISNUMBER(SEARCH(" "&amp;DT2143:DT2155&amp;" ",BC56)))),"")</f>
        <v/>
      </c>
      <c r="DG56" s="493" t="str" cm="1">
        <f t="array" ref="DG56">IF(47=47,IF(AW56="","",SUMPRODUCT(--ISNUMBER(SEARCH(" "&amp;DT2156:DT2161&amp;" ",BC56)))),"")</f>
        <v/>
      </c>
      <c r="DH56" s="493" t="str">
        <f>IF(47=47,IF(AW56="","",IF((DF56)-(0)&gt;0,"X",IF((DG56)-(0)&gt;0,"?",""))),"")</f>
        <v/>
      </c>
      <c r="DI56" s="493" t="str" cm="1">
        <f t="array" ref="DI56">IF(47=47,IF(AW56="","",SUMPRODUCT(--ISNUMBER(SEARCH(" "&amp;DT2162:DT2261&amp;" ",DL56)))),"")</f>
        <v/>
      </c>
      <c r="DJ56" s="493" t="str" cm="1">
        <f t="array" ref="DJ56">IF(47=47,IF(AW56="","",SUMPRODUCT(--ISNUMBER(SEARCH(" "&amp;DT2262:DT2361&amp;" ",DL56)))),"")</f>
        <v/>
      </c>
      <c r="DK56" s="493" t="str" cm="1">
        <f t="array" ref="DK56">IF(47=47,IF(AW56="","",SUMPRODUCT(--ISNUMBER(SEARCH(" "&amp;DT2362:DT2404&amp;" ",DL56)))),"")</f>
        <v/>
      </c>
      <c r="DL56" s="493" t="str">
        <f>IF(47=47,IF(AW56="","",SUBSTITUTE(SUBSTITUTE(SUBSTITUTE(SUBSTITUTE(SUBSTITUTE(SUBSTITUTE(SUBSTITUTE(SUBSTITUTE(SUBSTITUTE(SUBSTITUTE(SUBSTITUTE(SUBSTITUTE(SUBSTITUTE(SUBSTITUTE(SUBSTITUTE(SUBSTITUTE(BC56," "&amp;DT2410&amp;" "," ")," "&amp;DT2409&amp;" "," ")," "&amp;DT2408&amp;" "," ")," "&amp;DT2415&amp;" "," ")," "&amp;DT2407&amp;" "," ")," "&amp;DT2419&amp;" "," ")," "&amp;DT2406&amp;" "," ")," "&amp;DT2411&amp;" "," ")," "&amp;DT2414&amp;" "," ")," "&amp;DT2405&amp;" "," ")," "&amp;DT2413&amp;" "," ")," "&amp;DT2420&amp;" "," ")," "&amp;DT2417&amp;" "," ")," "&amp;DT2412&amp;" "," ")," "&amp;DT2416&amp;" "," ")," "&amp;DT2418&amp;" "," ")),"")</f>
        <v/>
      </c>
      <c r="DM56" s="493" t="str" cm="1">
        <f t="array" ref="DM56">IF(47=47,IF(AW56="","",SUMPRODUCT(--ISNUMBER(SEARCH(" "&amp;DT2421:DT2425&amp;" ",DL56)))),"")</f>
        <v/>
      </c>
      <c r="DN56" s="493" t="str">
        <f>IF(47=47,IF(AW56="","",IF(SUM(DI56:DK56)&gt;0,"X",IF(DM56&gt;0,"?",""))),"")</f>
        <v/>
      </c>
      <c r="DO56" s="494"/>
      <c r="DP56" s="496" t="s">
        <v>1223</v>
      </c>
      <c r="DQ56" s="496" t="s">
        <v>1083</v>
      </c>
      <c r="DR56" s="496" t="s">
        <v>689</v>
      </c>
      <c r="DS56" s="496" t="s">
        <v>1224</v>
      </c>
      <c r="DT56" s="496" t="s">
        <v>1225</v>
      </c>
      <c r="DU56" s="496" t="s">
        <v>1085</v>
      </c>
      <c r="DV56" s="496" t="s">
        <v>1086</v>
      </c>
      <c r="DW56" s="496" t="s">
        <v>1087</v>
      </c>
      <c r="DX56" s="497" t="s">
        <v>1088</v>
      </c>
      <c r="DZ56" s="543">
        <v>1</v>
      </c>
      <c r="EB56" s="493"/>
      <c r="EC56" s="493"/>
    </row>
    <row r="57" spans="5:133" ht="21" customHeight="1" thickBot="1">
      <c r="E57" s="716" t="s">
        <v>737</v>
      </c>
      <c r="F57" s="877" t="str">
        <f>F12</f>
        <v>M MACÉDOINE DE LÉGUMES AU COULIS DE TOMATE | HORS D'ŒUVRE texture modifiée-cuidité-MACEDOINE| Auteur &gt; Annette et Jean Pierre DOMERGUES - 45000 ORLÉANS 1981</v>
      </c>
      <c r="G57" s="877">
        <f>G12</f>
        <v>10</v>
      </c>
      <c r="H57" s="878" t="str">
        <f>H12</f>
        <v>couverts</v>
      </c>
      <c r="I57" s="879" t="str">
        <f>I12</f>
        <v>Recette mère ►  Textures modifiées</v>
      </c>
      <c r="J57" s="906"/>
      <c r="K57" s="907" t="s">
        <v>230</v>
      </c>
      <c r="L57" s="908" t="s">
        <v>833</v>
      </c>
      <c r="M57" s="909"/>
      <c r="N57" s="909"/>
      <c r="O57" s="909"/>
      <c r="P57" s="909"/>
      <c r="Q57" s="909"/>
      <c r="R57" s="909"/>
      <c r="S57" s="909"/>
      <c r="T57" s="909"/>
      <c r="U57" s="909"/>
      <c r="V57" s="909"/>
      <c r="W57" s="909"/>
      <c r="X57" s="909"/>
      <c r="Y57" s="910"/>
      <c r="AA57" s="899"/>
      <c r="AC57" s="509">
        <v>42</v>
      </c>
      <c r="AD57" s="808"/>
      <c r="AE57" s="679" t="str">
        <f t="shared" si="9"/>
        <v/>
      </c>
      <c r="AF57" s="512" t="str">
        <f>IF(48=48,IF(AD57="","",IF(AG57="X",""&amp;"Céréales contenant du gluten","")&amp;IF(AH57="X",IF(COUNTIF(AG57:AG57,"X")&gt;0,", ","")&amp;"Crustacés","")&amp;IF(AI57="X",IF(COUNTIF(AG57:AH57,"X")&gt;0,", ","")&amp;"Œufs","")&amp;IF(AJ57="X",IF(COUNTIF(AG57:AI57,"X")&gt;0,", ","")&amp;"Poissons","")&amp;IF(AK57="X",IF(COUNTIF(AG57:AJ57,"X")&gt;0,", ","")&amp;"Arachides","")&amp;IF(AL57="X",IF(COUNTIF(AG57:AK57,"X")&gt;0,", ","")&amp;"Soja","")&amp;IF(AM57="X",IF(COUNTIF(AG57:AL57,"X")&gt;0,", ","")&amp;"Lait","")&amp;IF(AN57="X",IF(COUNTIF(AG57:AM57,"X")&gt;0,", ","")&amp;"Fruits à coque","")&amp;IF(AO57="X",IF(COUNTIF(AG57:AN57,"X")&gt;0,", ","")&amp;"Céleri","")&amp;IF(AP57="X",IF(COUNTIF(AG57:AO57,"X")&gt;0,", ","")&amp;"Moutarde","")&amp;IF(AQ57="X",IF(COUNTIF(AG57:AP57,"X")&gt;0,", ","")&amp;"Sésame","")&amp;IF(AR57="X",IF(COUNTIF(AG57:AQ57,"X")&gt;0,", ","")&amp;"Sulfites","")&amp;IF(AS57="X",IF(COUNTIF(AG57:AR57,"X")&gt;0,", ","")&amp;"Lupin","")&amp;IF(AT57="X",IF(COUNTIF(AG57:AS57,"X")&gt;0,", ","")&amp;"Mollusques","")),"")</f>
        <v/>
      </c>
      <c r="AG57" s="513" t="str">
        <f>IF(48=48,IF(AD57="","",BH57),"")</f>
        <v/>
      </c>
      <c r="AH57" s="513" t="str">
        <f>IF(48=48,IF(AD57="","",BK57),"")</f>
        <v/>
      </c>
      <c r="AI57" s="513" t="str">
        <f>IF(48=48,IF(AD57="","",BO57),"")</f>
        <v/>
      </c>
      <c r="AJ57" s="513" t="str">
        <f>IF(48=48,IF(AD57="","",IF(ISNUMBER(SEARCH(" colin ",BC57)),"X",CB57)),"")</f>
        <v/>
      </c>
      <c r="AK57" s="513" t="str">
        <f>IF(48=48,IF(AD57="","",CD57),"")</f>
        <v/>
      </c>
      <c r="AL57" s="513" t="str">
        <f>IF(48=48,IF(AD57="","",CH57),"")</f>
        <v/>
      </c>
      <c r="AM57" s="513" t="str">
        <f>IF(48=48,IF(AD57="","",CO57),"")</f>
        <v/>
      </c>
      <c r="AN57" s="513" t="str">
        <f>IF(48=48,IF(AD57="","",CS57),"")</f>
        <v/>
      </c>
      <c r="AO57" s="513" t="str">
        <f>IF(48=48,IF(AD57="","",CV57),"")</f>
        <v/>
      </c>
      <c r="AP57" s="513" t="str">
        <f>IF(48=48,IF(AD57="","",CY57),"")</f>
        <v/>
      </c>
      <c r="AQ57" s="513" t="str">
        <f>IF(48=48,IF(AD57="","",DB57),"")</f>
        <v/>
      </c>
      <c r="AR57" s="513" t="str">
        <f>IF(48=48,IF(AD57="","",DE57),"")</f>
        <v/>
      </c>
      <c r="AS57" s="513" t="str">
        <f>IF(48=48,IF(AD57="","",DH57),"")</f>
        <v/>
      </c>
      <c r="AT57" s="513" t="str">
        <f>IF(48=48,IF(AD57="","",DN57),"")</f>
        <v/>
      </c>
      <c r="AU57" s="514" t="str">
        <f>IF(48=48,IF(AD57="","",IF(AG57="?",""&amp;"Céréales contenant du gluten","")&amp;IF(AH57="?",IF(COUNTIF(AG57:AG57,"~?")&gt;0,", ","")&amp;"Crustacés","")&amp;IF(AI57="?",IF(COUNTIF(AG57:AH57,"~?")&gt;0,", ","")&amp;"Œufs","")&amp;IF(AJ57="?",IF(COUNTIF(AG57:AI57,"~?")&gt;0,", ","")&amp;"Poissons","")&amp;IF(AK57="?",IF(COUNTIF(AG57:AJ57,"~?")&gt;0,", ","")&amp;"Arachides","")&amp;IF(AL57="?",IF(COUNTIF(AG57:AK57,"~?")&gt;0,", ","")&amp;"Soja","")&amp;IF(AM57="?",IF(COUNTIF(AG57:AL57,"~?")&gt;0,", ","")&amp;"Lait","")&amp;IF(AN57="?",IF(COUNTIF(AG57:AM57,"~?")&gt;0,", ","")&amp;"Fruits à coque","")&amp;IF(AO57="?",IF(COUNTIF(AG57:AN57,"~?")&gt;0,", ","")&amp;"Céleri","")&amp;IF(AP57="?",IF(COUNTIF(AG57:AO57,"~?")&gt;0,", ","")&amp;"Moutarde","")&amp;IF(AQ57="?",IF(COUNTIF(AG57:AP57,"~?")&gt;0,", ","")&amp;"Sésame","")&amp;IF(AR57="?",IF(COUNTIF(AG57:AQ57,"~?")&gt;0,", ","")&amp;"Sulfites","")&amp;IF(AS57="?",IF(COUNTIF(AG57:AR57,"~?")&gt;0,", ","")&amp;"Lupin","")&amp;IF(AT57="?",IF(COUNTIF(AG57:AS57,"~?")&gt;0,", ","")&amp;"Mollusques","")),"")</f>
        <v/>
      </c>
      <c r="AW57" s="493" t="str">
        <f>IF(48=48,IF(AD57="","",AD57),"")</f>
        <v/>
      </c>
      <c r="AX57" s="493" t="str">
        <f>IF(48=48,LOWER(CLEAN(SUBSTITUTE(SUBSTITUTE(SUBSTITUTE(SUBSTITUTE(AW57,CHAR(160)," ")," "," "),CHAR(10)," "),CHAR(13)," "))),"")</f>
        <v/>
      </c>
      <c r="AY57" s="493" t="str">
        <f>IF(48=48,SUBSTITUTE(SUBSTITUTE(SUBSTITUTE(SUBSTITUTE(SUBSTITUTE(SUBSTITUTE(SUBSTITUTE(SUBSTITUTE(SUBSTITUTE(SUBSTITUTE(SUBSTITUTE(SUBSTITUTE(AX57,"œ","oe"),"æ","ae"),"à","a"),"á","a"),"â","a"),"ä","a"),"ã","a"),"ç","c"),"è","e"),"é","e"),"ê","e"),"ë","e"),"")</f>
        <v/>
      </c>
      <c r="AZ57" s="493" t="str">
        <f>IF(48=48,SUBSTITUTE(SUBSTITUTE(SUBSTITUTE(SUBSTITUTE(SUBSTITUTE(SUBSTITUTE(SUBSTITUTE(SUBSTITUTE(SUBSTITUTE(SUBSTITUTE(SUBSTITUTE(SUBSTITUTE(SUBSTITUTE(SUBSTITUTE(SUBSTITUTE(SUBSTITUTE(AY57,"ì","i"),"í","i"),"î","i"),"ï","i"),"ñ","n"),"ò","o"),"ó","o"),"ô","o"),"ö","o"),"õ","o"),"ù","u"),"ú","u"),"û","u"),"ü","u"),"ý","y"),"ÿ","y"),"")</f>
        <v/>
      </c>
      <c r="BA57" s="493" t="str">
        <f>IF(48=48,SUBSTITUTE(SUBSTITUTE(SUBSTITUTE(SUBSTITUTE(SUBSTITUTE(SUBSTITUTE(SUBSTITUTE(SUBSTITUTE(SUBSTITUTE(SUBSTITUTE(SUBSTITUTE(SUBSTITUTE(SUBSTITUTE(SUBSTITUTE(AZ57,"’"," "),"`"," "),"–"," "),"—"," "),"-"," "),"'"," "),"/"," "),"_"," "),","," "),"."," "),"("," "),")"," "),";"," "),":"," "),"")</f>
        <v/>
      </c>
      <c r="BB57" s="493" t="str">
        <f>IF(48=48,SUBSTITUTE(SUBSTITUTE(SUBSTITUTE(SUBSTITUTE(SUBSTITUTE(SUBSTITUTE(SUBSTITUTE(SUBSTITUTE(SUBSTITUTE(SUBSTITUTE(SUBSTITUTE(SUBSTITUTE(SUBSTITUTE(SUBSTITUTE(SUBSTITUTE(BA57,"!"," "),"?"," "),"+"," "),"*"," "),"&amp;"," "),"["," "),"]"," "),"{"," "),"}"," "),"%"," "),"="," "),"\"," "),"|"," "),"&lt;"," "),"&gt;"," "),"")</f>
        <v/>
      </c>
      <c r="BC57" s="493" t="str">
        <f>IF(48=48," "&amp;TRIM(SUBSTITUTE(SUBSTITUTE(SUBSTITUTE(SUBSTITUTE(SUBSTITUTE(SUBSTITUTE(BB57,CHAR(34)," "),"  "," "),"  "," "),"  "," "),"  "," "),"  "," "))&amp;" ","")</f>
        <v xml:space="preserve">  </v>
      </c>
      <c r="BD57" s="493" t="str" cm="1">
        <f t="array" ref="BD57">IF(48=48,IF(AW57="","",SUMPRODUCT(--ISNUMBER(SEARCH(" "&amp;DT11:DT110&amp;" ",BF57)))),"")</f>
        <v/>
      </c>
      <c r="BE57" s="493" t="str" cm="1">
        <f t="array" ref="BE57">IF(48=48,IF(AW57="","",SUMPRODUCT(--ISNUMBER(SEARCH(" "&amp;DT111:DT160&amp;" ",BF57)))),"")</f>
        <v/>
      </c>
      <c r="BF57" s="493" t="str">
        <f>IF(AW57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57,"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57" s="493" t="str" cm="1">
        <f t="array" ref="BG57">IF(AW57="","",SUMPRODUCT(--ISNUMBER(SEARCH(" "&amp;DT193:DT214&amp;" ",BF57)))+--ISNUMBER(SEARCH(" "&amp;DT2463&amp;" ",BF57)))</f>
        <v/>
      </c>
      <c r="BH57" s="493" t="str" cm="1">
        <f t="array" ref="BH57">IF(48=48,IF(AW57="","",IF(SUM(BD57:BE57)+SUMPRODUCT(--ISNUMBER(SEARCH(" "&amp;DT2427:DT2429&amp;" ",BF57)))&gt;0,"X",IF(BG57&gt;0,"?",""))),"")</f>
        <v/>
      </c>
      <c r="BI57" s="493" t="str" cm="1">
        <f t="array" ref="BI57">IF(48=48,IF(AW57="","",SUMPRODUCT(--ISNUMBER(SEARCH(" "&amp;DT215:DT314&amp;" ",BC57)))),"")</f>
        <v/>
      </c>
      <c r="BJ57" s="493" t="str" cm="1">
        <f t="array" ref="BJ57">IF(48=48,IF(AW57="","",SUMPRODUCT(--ISNUMBER(SEARCH(" "&amp;DT315:DT349&amp;" ",BC57)))),"")</f>
        <v/>
      </c>
      <c r="BK57" s="493" t="str">
        <f>IF(48=48,IF(AW57="","",IF((SUM(BI57:BJ57))-(0)&gt;0,"X",IF((0)-(0)&gt;0,"?",""))),"")</f>
        <v/>
      </c>
      <c r="BL57" s="493" t="str" cm="1">
        <f t="array" ref="BL57">IF(48=48,IF(AW57="","",SUMPRODUCT(--ISNUMBER(SEARCH(" "&amp;DT350:DT407&amp;" ",BC57)))),"")</f>
        <v/>
      </c>
      <c r="BM57" s="493" t="str" cm="1">
        <f t="array" ref="BM57">IF(48=48,IF(AW57="","",SUMPRODUCT(--ISNUMBER(SEARCH(" "&amp;DT408:DT435&amp;" ",BN57)))+SUMPRODUCT(--ISNUMBER(SEARCH(" "&amp;DT2449:DT2462&amp;" ",BN57)))),"")</f>
        <v/>
      </c>
      <c r="BN57" s="493" t="str">
        <f>IF(48=48,IF(AW57="","",SUBSTITUTE(SUBSTITUTE(SUBSTITUTE(SUBSTITUTE(SUBSTITUTE(SUBSTITUTE(SUBSTITUTE(SUBSTITUTE(SUBSTITUTE(SUBSTITUTE(SUBSTITUTE(SUBSTITUTE(SUBSTITUTE(SUBSTITUTE(BC57," "&amp;DT2464&amp;" "," ")," "&amp;DT442&amp;" "," ")," "&amp;DT440&amp;" "," ")," "&amp;DT2447&amp;" "," ")," "&amp;DT2448&amp;" "," ")," "&amp;DT437&amp;" "," ")," "&amp;DT441&amp;" "," ")," "&amp;DT443&amp;" "," ")," "&amp;DT438&amp;" "," ")," "&amp;DT436&amp;" "," ")," "&amp;DT1376&amp;" "," ")," "&amp;DT444&amp;" "," ")," "&amp;DT1375&amp;" "," ")," "&amp;DT439&amp;" "," ")),"")</f>
        <v/>
      </c>
      <c r="BO57" s="493" t="str">
        <f>IF(48=48,IF(AW57="","",IF(BL57&gt;0,"X",IF(BM57&gt;0,"?",""))),"")</f>
        <v/>
      </c>
      <c r="BP57" s="493" t="str" cm="1">
        <f t="array" ref="BP57">IF(48=48,IF(AW57="","",SUMPRODUCT(--ISNUMBER(SEARCH(" "&amp;DT445:DT544&amp;" ",BZ57)))),"")</f>
        <v/>
      </c>
      <c r="BQ57" s="493" t="str" cm="1">
        <f t="array" ref="BQ57">IF(48=48,IF(AW57="","",SUMPRODUCT(--ISNUMBER(SEARCH(" "&amp;DT545:DT644&amp;" ",BZ57)))),"")</f>
        <v/>
      </c>
      <c r="BR57" s="493" t="str" cm="1">
        <f t="array" ref="BR57">IF(48=48,IF(AW57="","",SUMPRODUCT(--ISNUMBER(SEARCH(" "&amp;DT645:DT744&amp;" ",BZ57)))),"")</f>
        <v/>
      </c>
      <c r="BS57" s="493" t="str" cm="1">
        <f t="array" ref="BS57">IF(48=48,IF(AW57="","",SUMPRODUCT(--ISNUMBER(SEARCH(" "&amp;DT745:DT844&amp;" ",BZ57)))),"")</f>
        <v/>
      </c>
      <c r="BT57" s="493" t="str" cm="1">
        <f t="array" ref="BT57">IF(48=48,IF(AW57="","",SUMPRODUCT(--ISNUMBER(SEARCH(" "&amp;DT845:DT944&amp;" ",BZ57)))),"")</f>
        <v/>
      </c>
      <c r="BU57" s="493" t="str" cm="1">
        <f t="array" ref="BU57">IF(48=48,IF(AW57="","",SUMPRODUCT(--ISNUMBER(SEARCH(" "&amp;DT945:DT1044&amp;" ",BZ57)))),"")</f>
        <v/>
      </c>
      <c r="BV57" s="493" t="str" cm="1">
        <f t="array" ref="BV57">IF(48=48,IF(AW57="","",SUMPRODUCT(--ISNUMBER(SEARCH(" "&amp;DT1045:DT1144&amp;" ",BZ57)))),"")</f>
        <v/>
      </c>
      <c r="BW57" s="493" t="str" cm="1">
        <f t="array" ref="BW57">IF(48=48,IF(AW57="","",SUMPRODUCT(--ISNUMBER(SEARCH(" "&amp;DT1145:DT1244&amp;" ",BZ57)))),"")</f>
        <v/>
      </c>
      <c r="BX57" s="493" t="str" cm="1">
        <f t="array" ref="BX57">IF(48=48,IF(AW57="","",SUMPRODUCT(--ISNUMBER(SEARCH(" "&amp;DT1245:DT1344&amp;" ",BZ57)))),"")</f>
        <v/>
      </c>
      <c r="BY57" s="493" t="str" cm="1">
        <f t="array" ref="BY57">IF(48=48,IF(AW57="","",SUMPRODUCT(--ISNUMBER(SEARCH(" "&amp;DT1345:DT1372&amp;" ",BZ57)))),"")</f>
        <v/>
      </c>
      <c r="BZ57" s="493" t="str">
        <f>IF(48=48,IF(AW57="","",SUBSTITUTE(SUBSTITUTE(SUBSTITUTE(SUBSTITUTE(SUBSTITUTE(SUBSTITUTE(SUBSTITUTE(SUBSTITUTE(SUBSTITUTE(BC57," "&amp;DT1374&amp;" "," ")," "&amp;DT1373&amp;" "," ")," "&amp;DT1379&amp;" "," ")," "&amp;DT1380&amp;" "," ")," "&amp;DT1376&amp;" "," ")," "&amp;DT1378&amp;" "," ")," "&amp;DT1375&amp;" "," ")," "&amp;DT1377&amp;" "," ")," "&amp;DT1381&amp;" "," ")),"")</f>
        <v/>
      </c>
      <c r="CA57" s="493" t="str" cm="1">
        <f t="array" ref="CA57">IF(48=48,IF(AW57="","",SUMPRODUCT(--ISNUMBER(SEARCH(" "&amp;DT1382:DT1392&amp;" ",BZ57)))),"")</f>
        <v/>
      </c>
      <c r="CB57" s="493" t="str" cm="1">
        <f t="array" ref="CB57">IF(48=48,IF(AW57="","",IF(SUM(BP57:BY57)+SUMPRODUCT(--ISNUMBER(SEARCH(" "&amp;DT2430:DT2431&amp;" ",BZ57)))&gt;0,"X",IF(CA57&gt;0,"?",""))),"")</f>
        <v/>
      </c>
      <c r="CC57" s="493" t="str" cm="1">
        <f t="array" ref="CC57">IF(48=48,IF(AW57="","",SUMPRODUCT(--ISNUMBER(SEARCH(" "&amp;DT1393:DT1413&amp;" ",BC57)))),"")</f>
        <v/>
      </c>
      <c r="CD57" s="493" t="str">
        <f>IF(48=48,IF(AW57="","",IF((CC57)-(0)&gt;0,"X",IF((0)-(0)&gt;0,"?",""))),"")</f>
        <v/>
      </c>
      <c r="CE57" s="493" t="str" cm="1">
        <f t="array" ref="CE57">IF(48=48,IF(AW57="","",SUMPRODUCT(--ISNUMBER(SEARCH(" "&amp;DT1414:DT1451&amp;" ",CF57)))),"")</f>
        <v/>
      </c>
      <c r="CF57" s="493" t="str">
        <f>IF(48=48,IF(AW57="","",SUBSTITUTE(SUBSTITUTE(BC57," "&amp;DT1452&amp;" "," ")," "&amp;DT1453&amp;" "," ")),"")</f>
        <v/>
      </c>
      <c r="CG57" s="493" t="str" cm="1">
        <f t="array" ref="CG57">IF(48=48,IF(AW57="","",SUMPRODUCT(--ISNUMBER(SEARCH(" "&amp;DT1454:DT1464&amp;" ",CF57)))),"")</f>
        <v/>
      </c>
      <c r="CH57" s="493" t="str">
        <f>IF(48=48,IF(AW57="","",IF(CE57&gt;0,"X",IF(CG57&gt;0,"?",""))),"")</f>
        <v/>
      </c>
      <c r="CI57" s="493" t="str" cm="1">
        <f t="array" ref="CI57">IF(48=48,IF(AW57="","",SUMPRODUCT(--ISNUMBER(SEARCH(" "&amp;DT1465:DT1564&amp;" ",CL57)))),"")</f>
        <v/>
      </c>
      <c r="CJ57" s="493" t="str" cm="1">
        <f t="array" ref="CJ57">IF(48=48,IF(AW57="","",SUMPRODUCT(--ISNUMBER(SEARCH(" "&amp;DT1565:DT1664&amp;" ",CL57)))),"")</f>
        <v/>
      </c>
      <c r="CK57" s="493" t="str" cm="1">
        <f t="array" ref="CK57">IF(48=48,IF(AW57="","",SUMPRODUCT(--ISNUMBER(SEARCH(" "&amp;DT1665:DT1748&amp;" ",CL57)))),"")</f>
        <v/>
      </c>
      <c r="CL57" s="493" t="str">
        <f>IF(48=48,IF(AW57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57,"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57" s="493" t="str" cm="1">
        <f t="array" ref="CM57">IF(48=48,IF(AW57="","",SUMPRODUCT(--ISNUMBER(SEARCH(" "&amp;DT1799:DT1878&amp;" ",CN57)))+SUMPRODUCT(--ISNUMBER(SEARCH(" "&amp;DT2449:DT2462&amp;" ",CN57)))),"")</f>
        <v/>
      </c>
      <c r="CN57" s="493" t="str">
        <f>IF(48=48,IF(AW57="","",SUBSTITUTE(SUBSTITUTE(SUBSTITUTE(SUBSTITUTE(SUBSTITUTE(SUBSTITUTE(SUBSTITUTE(SUBSTITUTE(SUBSTITUTE(SUBSTITUTE(SUBSTITUTE(SUBSTITUTE(SUBSTITUTE(CL57," "&amp;DT1885&amp;" "," ")," "&amp;DT1883&amp;" "," ")," "&amp;DT2447&amp;" "," ")," "&amp;DT2448&amp;" "," ")," "&amp;DT1880&amp;" "," ")," "&amp;DT1884&amp;" "," ")," "&amp;DT1886&amp;" "," ")," "&amp;DT1881&amp;" "," ")," "&amp;DT1879&amp;" "," ")," "&amp;DT1376&amp;" "," ")," "&amp;DT1887&amp;" "," ")," "&amp;DT1375&amp;" "," ")," "&amp;DT1882&amp;" "," ")),"")</f>
        <v/>
      </c>
      <c r="CO57" s="493" t="str" cm="1">
        <f t="array" ref="CO57">IF(48=48,IF(AW57="","",IF(SUM(CI57:CK57)+SUMPRODUCT(--ISNUMBER(SEARCH(" "&amp;DT2432:DT2433&amp;" ",CL57)))&gt;0,"X",IF(CM57&gt;0,"?",""))),"")</f>
        <v/>
      </c>
      <c r="CP57" s="493" t="str" cm="1">
        <f t="array" ref="CP57">IF(48=48,IF(AW57="","",SUMPRODUCT(--ISNUMBER(SEARCH(" "&amp;DT1888:DT1945&amp;" ",CQ57)))),"")</f>
        <v/>
      </c>
      <c r="CQ57" s="493" t="str">
        <f>IF(48=48,IF(AW57="","",SUBSTITUTE(SUBSTITUTE(SUBSTITUTE(SUBSTITUTE(SUBSTITUTE(SUBSTITUTE(SUBSTITUTE(SUBSTITUTE(SUBSTITUTE(SUBSTITUTE(SUBSTITUTE(SUBSTITUTE(SUBSTITUTE(SUBSTITUTE(SUBSTITUTE(SUBSTITUTE(SUBSTITUTE(SUBSTITUTE(SUBSTITUTE(SUBSTITUTE(SUBSTITUTE(SUBSTITUTE(SUBSTITUTE(BC57,"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57" s="493" t="str" cm="1">
        <f t="array" ref="CR57">IF(48=48,IF(AW57="","",SUMPRODUCT(--ISNUMBER(SEARCH(" "&amp;DT1969:DT1985&amp;" ",CQ57)))),"")</f>
        <v/>
      </c>
      <c r="CS57" s="493" t="str">
        <f>IF(48=48,IF(AW57="","",IF(CP57&gt;0,"X",IF(CR57&gt;0,"?",""))),"")</f>
        <v/>
      </c>
      <c r="CT57" s="493" t="str" cm="1">
        <f t="array" ref="CT57">IF(48=48,IF(AW57="","",SUMPRODUCT(--ISNUMBER(SEARCH(" "&amp;DT1986:DT1999&amp;" ",BC57)))),"")</f>
        <v/>
      </c>
      <c r="CU57" s="493" t="str" cm="1">
        <f t="array" ref="CU57">IF(48=48,IF(AW57="","",SUMPRODUCT(--ISNUMBER(SEARCH(" "&amp;DT2000:DT2014&amp;" ",BC57)))),"")</f>
        <v/>
      </c>
      <c r="CV57" s="493" t="str">
        <f>IF(48=48,IF(AW57="","",IF((CT57)-(0)&gt;0,"X",IF((CU57)-(0)&gt;0,"?",""))),"")</f>
        <v/>
      </c>
      <c r="CW57" s="493" t="str" cm="1">
        <f t="array" ref="CW57">IF(48=48,IF(AW57="","",SUMPRODUCT(--ISNUMBER(SEARCH(" "&amp;DT2015:DT2032&amp;" ",BC57)))),"")</f>
        <v/>
      </c>
      <c r="CX57" s="493" t="str" cm="1">
        <f t="array" ref="CX57">IF(48=48,IF(AW57="","",SUMPRODUCT(--ISNUMBER(SEARCH(" "&amp;DT2033:DT2047&amp;" ",BC57)))),"")</f>
        <v/>
      </c>
      <c r="CY57" s="493" t="str">
        <f>IF(48=48,IF(AW57="","",IF((CW57)-(0)&gt;0,"X",IF((CX57)-(0)&gt;0,"?",""))),"")</f>
        <v/>
      </c>
      <c r="CZ57" s="493" t="str" cm="1">
        <f t="array" ref="CZ57">IF(48=48,IF(AW57="","",SUMPRODUCT(--ISNUMBER(SEARCH(" "&amp;DT2048:DT2066&amp;" ",BC57)))),"")</f>
        <v/>
      </c>
      <c r="DA57" s="493" t="str" cm="1">
        <f t="array" ref="DA57">IF(48=48,IF(AW57="","",SUMPRODUCT(--ISNUMBER(SEARCH(" "&amp;DT2067:DT2081&amp;" ",BC57)))),"")</f>
        <v/>
      </c>
      <c r="DB57" s="493" t="str">
        <f>IF(48=48,IF(AW57="","",IF((CZ57)-(0)&gt;0,"X",IF((DA57)-(0)&gt;0,"?",""))),"")</f>
        <v/>
      </c>
      <c r="DC57" s="493" t="str" cm="1">
        <f t="array" ref="DC57">IF(48=48,IF(AW57="","",SUMPRODUCT(--ISNUMBER(SEARCH(" "&amp;DT2082:DT2102&amp;" ",BC57)))),"")</f>
        <v/>
      </c>
      <c r="DD57" s="493" t="str" cm="1">
        <f t="array" ref="DD57">IF(48=48,IF(AW57="","",SUMPRODUCT(--ISNUMBER(SEARCH(" "&amp;DT2103:DT2142&amp;" ",SUBSTITUTE(SUBSTITUTE(BC57," "&amp;DT1376&amp;" "," ")," "&amp;DT1375&amp;" "," "))))+--ISNUMBER(SEARCH("poiré",AX57))),"")</f>
        <v/>
      </c>
      <c r="DE57" s="493" t="str">
        <f>IF(48=48,IF(AW57="","",IF(OR(DC57&gt;0,ISNUMBER(SEARCH(" vinaigre de vin ",BC57)),ISNUMBER(SEARCH(" vinaigre au vin ",BC57))),"X",IF(DD57&gt;0,"?",""))),"")</f>
        <v/>
      </c>
      <c r="DF57" s="493" t="str" cm="1">
        <f t="array" ref="DF57">IF(48=48,IF(AW57="","",SUMPRODUCT(--ISNUMBER(SEARCH(" "&amp;DT2143:DT2155&amp;" ",BC57)))),"")</f>
        <v/>
      </c>
      <c r="DG57" s="493" t="str" cm="1">
        <f t="array" ref="DG57">IF(48=48,IF(AW57="","",SUMPRODUCT(--ISNUMBER(SEARCH(" "&amp;DT2156:DT2161&amp;" ",BC57)))),"")</f>
        <v/>
      </c>
      <c r="DH57" s="493" t="str">
        <f>IF(48=48,IF(AW57="","",IF((DF57)-(0)&gt;0,"X",IF((DG57)-(0)&gt;0,"?",""))),"")</f>
        <v/>
      </c>
      <c r="DI57" s="493" t="str" cm="1">
        <f t="array" ref="DI57">IF(48=48,IF(AW57="","",SUMPRODUCT(--ISNUMBER(SEARCH(" "&amp;DT2162:DT2261&amp;" ",DL57)))),"")</f>
        <v/>
      </c>
      <c r="DJ57" s="493" t="str" cm="1">
        <f t="array" ref="DJ57">IF(48=48,IF(AW57="","",SUMPRODUCT(--ISNUMBER(SEARCH(" "&amp;DT2262:DT2361&amp;" ",DL57)))),"")</f>
        <v/>
      </c>
      <c r="DK57" s="493" t="str" cm="1">
        <f t="array" ref="DK57">IF(48=48,IF(AW57="","",SUMPRODUCT(--ISNUMBER(SEARCH(" "&amp;DT2362:DT2404&amp;" ",DL57)))),"")</f>
        <v/>
      </c>
      <c r="DL57" s="493" t="str">
        <f>IF(48=48,IF(AW57="","",SUBSTITUTE(SUBSTITUTE(SUBSTITUTE(SUBSTITUTE(SUBSTITUTE(SUBSTITUTE(SUBSTITUTE(SUBSTITUTE(SUBSTITUTE(SUBSTITUTE(SUBSTITUTE(SUBSTITUTE(SUBSTITUTE(SUBSTITUTE(SUBSTITUTE(SUBSTITUTE(BC57," "&amp;DT2410&amp;" "," ")," "&amp;DT2409&amp;" "," ")," "&amp;DT2408&amp;" "," ")," "&amp;DT2415&amp;" "," ")," "&amp;DT2407&amp;" "," ")," "&amp;DT2419&amp;" "," ")," "&amp;DT2406&amp;" "," ")," "&amp;DT2411&amp;" "," ")," "&amp;DT2414&amp;" "," ")," "&amp;DT2405&amp;" "," ")," "&amp;DT2413&amp;" "," ")," "&amp;DT2420&amp;" "," ")," "&amp;DT2417&amp;" "," ")," "&amp;DT2412&amp;" "," ")," "&amp;DT2416&amp;" "," ")," "&amp;DT2418&amp;" "," ")),"")</f>
        <v/>
      </c>
      <c r="DM57" s="493" t="str" cm="1">
        <f t="array" ref="DM57">IF(48=48,IF(AW57="","",SUMPRODUCT(--ISNUMBER(SEARCH(" "&amp;DT2421:DT2425&amp;" ",DL57)))),"")</f>
        <v/>
      </c>
      <c r="DN57" s="493" t="str">
        <f>IF(48=48,IF(AW57="","",IF(SUM(DI57:DK57)&gt;0,"X",IF(DM57&gt;0,"?",""))),"")</f>
        <v/>
      </c>
      <c r="DO57" s="494"/>
      <c r="DP57" s="496" t="s">
        <v>1226</v>
      </c>
      <c r="DQ57" s="496" t="s">
        <v>1083</v>
      </c>
      <c r="DR57" s="496" t="s">
        <v>689</v>
      </c>
      <c r="DS57" s="496" t="s">
        <v>1227</v>
      </c>
      <c r="DT57" s="496" t="s">
        <v>1227</v>
      </c>
      <c r="DU57" s="496" t="s">
        <v>1085</v>
      </c>
      <c r="DV57" s="496" t="s">
        <v>1086</v>
      </c>
      <c r="DW57" s="496" t="s">
        <v>1087</v>
      </c>
      <c r="DX57" s="497" t="s">
        <v>1088</v>
      </c>
      <c r="DZ57" s="543">
        <v>1</v>
      </c>
      <c r="EB57" s="493"/>
      <c r="EC57" s="493"/>
    </row>
    <row r="58" spans="5:133" ht="21" customHeight="1">
      <c r="E58" s="716" t="s">
        <v>737</v>
      </c>
      <c r="F58" s="877" t="str">
        <f>F12</f>
        <v>M MACÉDOINE DE LÉGUMES AU COULIS DE TOMATE | HORS D'ŒUVRE texture modifiée-cuidité-MACEDOINE| Auteur &gt; Annette et Jean Pierre DOMERGUES - 45000 ORLÉANS 1981</v>
      </c>
      <c r="G58" s="877">
        <f>G12</f>
        <v>10</v>
      </c>
      <c r="H58" s="878" t="str">
        <f>H12</f>
        <v>couverts</v>
      </c>
      <c r="I58" s="879" t="str">
        <f>I12</f>
        <v>Recette mère ►  Textures modifiées</v>
      </c>
      <c r="J58" s="911"/>
      <c r="K58" s="912"/>
      <c r="L58" s="912"/>
      <c r="M58" s="912"/>
      <c r="N58" s="912"/>
      <c r="O58" s="912"/>
      <c r="P58" s="912"/>
      <c r="Q58" s="913" t="s">
        <v>834</v>
      </c>
      <c r="R58" s="913"/>
      <c r="S58" s="914"/>
      <c r="T58" s="914"/>
      <c r="U58" s="914"/>
      <c r="V58" s="914"/>
      <c r="W58" s="914"/>
      <c r="X58" s="914"/>
      <c r="Y58" s="915"/>
      <c r="AA58" s="899"/>
      <c r="AC58" s="509">
        <v>43</v>
      </c>
      <c r="AD58" s="808"/>
      <c r="AE58" s="679" t="str">
        <f t="shared" si="9"/>
        <v/>
      </c>
      <c r="AF58" s="512" t="str">
        <f>IF(49=49,IF(AD58="","",IF(AG58="X",""&amp;"Céréales contenant du gluten","")&amp;IF(AH58="X",IF(COUNTIF(AG58:AG58,"X")&gt;0,", ","")&amp;"Crustacés","")&amp;IF(AI58="X",IF(COUNTIF(AG58:AH58,"X")&gt;0,", ","")&amp;"Œufs","")&amp;IF(AJ58="X",IF(COUNTIF(AG58:AI58,"X")&gt;0,", ","")&amp;"Poissons","")&amp;IF(AK58="X",IF(COUNTIF(AG58:AJ58,"X")&gt;0,", ","")&amp;"Arachides","")&amp;IF(AL58="X",IF(COUNTIF(AG58:AK58,"X")&gt;0,", ","")&amp;"Soja","")&amp;IF(AM58="X",IF(COUNTIF(AG58:AL58,"X")&gt;0,", ","")&amp;"Lait","")&amp;IF(AN58="X",IF(COUNTIF(AG58:AM58,"X")&gt;0,", ","")&amp;"Fruits à coque","")&amp;IF(AO58="X",IF(COUNTIF(AG58:AN58,"X")&gt;0,", ","")&amp;"Céleri","")&amp;IF(AP58="X",IF(COUNTIF(AG58:AO58,"X")&gt;0,", ","")&amp;"Moutarde","")&amp;IF(AQ58="X",IF(COUNTIF(AG58:AP58,"X")&gt;0,", ","")&amp;"Sésame","")&amp;IF(AR58="X",IF(COUNTIF(AG58:AQ58,"X")&gt;0,", ","")&amp;"Sulfites","")&amp;IF(AS58="X",IF(COUNTIF(AG58:AR58,"X")&gt;0,", ","")&amp;"Lupin","")&amp;IF(AT58="X",IF(COUNTIF(AG58:AS58,"X")&gt;0,", ","")&amp;"Mollusques","")),"")</f>
        <v/>
      </c>
      <c r="AG58" s="513" t="str">
        <f>IF(49=49,IF(AD58="","",BH58),"")</f>
        <v/>
      </c>
      <c r="AH58" s="513" t="str">
        <f>IF(49=49,IF(AD58="","",BK58),"")</f>
        <v/>
      </c>
      <c r="AI58" s="513" t="str">
        <f>IF(49=49,IF(AD58="","",BO58),"")</f>
        <v/>
      </c>
      <c r="AJ58" s="513" t="str">
        <f>IF(49=49,IF(AD58="","",IF(ISNUMBER(SEARCH(" colin ",BC58)),"X",CB58)),"")</f>
        <v/>
      </c>
      <c r="AK58" s="513" t="str">
        <f>IF(49=49,IF(AD58="","",CD58),"")</f>
        <v/>
      </c>
      <c r="AL58" s="513" t="str">
        <f>IF(49=49,IF(AD58="","",CH58),"")</f>
        <v/>
      </c>
      <c r="AM58" s="513" t="str">
        <f>IF(49=49,IF(AD58="","",CO58),"")</f>
        <v/>
      </c>
      <c r="AN58" s="513" t="str">
        <f>IF(49=49,IF(AD58="","",CS58),"")</f>
        <v/>
      </c>
      <c r="AO58" s="513" t="str">
        <f>IF(49=49,IF(AD58="","",CV58),"")</f>
        <v/>
      </c>
      <c r="AP58" s="513" t="str">
        <f>IF(49=49,IF(AD58="","",CY58),"")</f>
        <v/>
      </c>
      <c r="AQ58" s="513" t="str">
        <f>IF(49=49,IF(AD58="","",DB58),"")</f>
        <v/>
      </c>
      <c r="AR58" s="513" t="str">
        <f>IF(49=49,IF(AD58="","",DE58),"")</f>
        <v/>
      </c>
      <c r="AS58" s="513" t="str">
        <f>IF(49=49,IF(AD58="","",DH58),"")</f>
        <v/>
      </c>
      <c r="AT58" s="513" t="str">
        <f>IF(49=49,IF(AD58="","",DN58),"")</f>
        <v/>
      </c>
      <c r="AU58" s="514" t="str">
        <f>IF(49=49,IF(AD58="","",IF(AG58="?",""&amp;"Céréales contenant du gluten","")&amp;IF(AH58="?",IF(COUNTIF(AG58:AG58,"~?")&gt;0,", ","")&amp;"Crustacés","")&amp;IF(AI58="?",IF(COUNTIF(AG58:AH58,"~?")&gt;0,", ","")&amp;"Œufs","")&amp;IF(AJ58="?",IF(COUNTIF(AG58:AI58,"~?")&gt;0,", ","")&amp;"Poissons","")&amp;IF(AK58="?",IF(COUNTIF(AG58:AJ58,"~?")&gt;0,", ","")&amp;"Arachides","")&amp;IF(AL58="?",IF(COUNTIF(AG58:AK58,"~?")&gt;0,", ","")&amp;"Soja","")&amp;IF(AM58="?",IF(COUNTIF(AG58:AL58,"~?")&gt;0,", ","")&amp;"Lait","")&amp;IF(AN58="?",IF(COUNTIF(AG58:AM58,"~?")&gt;0,", ","")&amp;"Fruits à coque","")&amp;IF(AO58="?",IF(COUNTIF(AG58:AN58,"~?")&gt;0,", ","")&amp;"Céleri","")&amp;IF(AP58="?",IF(COUNTIF(AG58:AO58,"~?")&gt;0,", ","")&amp;"Moutarde","")&amp;IF(AQ58="?",IF(COUNTIF(AG58:AP58,"~?")&gt;0,", ","")&amp;"Sésame","")&amp;IF(AR58="?",IF(COUNTIF(AG58:AQ58,"~?")&gt;0,", ","")&amp;"Sulfites","")&amp;IF(AS58="?",IF(COUNTIF(AG58:AR58,"~?")&gt;0,", ","")&amp;"Lupin","")&amp;IF(AT58="?",IF(COUNTIF(AG58:AS58,"~?")&gt;0,", ","")&amp;"Mollusques","")),"")</f>
        <v/>
      </c>
      <c r="AW58" s="493" t="str">
        <f>IF(49=49,IF(AD58="","",AD58),"")</f>
        <v/>
      </c>
      <c r="AX58" s="493" t="str">
        <f>IF(49=49,LOWER(CLEAN(SUBSTITUTE(SUBSTITUTE(SUBSTITUTE(SUBSTITUTE(AW58,CHAR(160)," ")," "," "),CHAR(10)," "),CHAR(13)," "))),"")</f>
        <v/>
      </c>
      <c r="AY58" s="493" t="str">
        <f>IF(49=49,SUBSTITUTE(SUBSTITUTE(SUBSTITUTE(SUBSTITUTE(SUBSTITUTE(SUBSTITUTE(SUBSTITUTE(SUBSTITUTE(SUBSTITUTE(SUBSTITUTE(SUBSTITUTE(SUBSTITUTE(AX58,"œ","oe"),"æ","ae"),"à","a"),"á","a"),"â","a"),"ä","a"),"ã","a"),"ç","c"),"è","e"),"é","e"),"ê","e"),"ë","e"),"")</f>
        <v/>
      </c>
      <c r="AZ58" s="493" t="str">
        <f>IF(49=49,SUBSTITUTE(SUBSTITUTE(SUBSTITUTE(SUBSTITUTE(SUBSTITUTE(SUBSTITUTE(SUBSTITUTE(SUBSTITUTE(SUBSTITUTE(SUBSTITUTE(SUBSTITUTE(SUBSTITUTE(SUBSTITUTE(SUBSTITUTE(SUBSTITUTE(SUBSTITUTE(AY58,"ì","i"),"í","i"),"î","i"),"ï","i"),"ñ","n"),"ò","o"),"ó","o"),"ô","o"),"ö","o"),"õ","o"),"ù","u"),"ú","u"),"û","u"),"ü","u"),"ý","y"),"ÿ","y"),"")</f>
        <v/>
      </c>
      <c r="BA58" s="493" t="str">
        <f>IF(49=49,SUBSTITUTE(SUBSTITUTE(SUBSTITUTE(SUBSTITUTE(SUBSTITUTE(SUBSTITUTE(SUBSTITUTE(SUBSTITUTE(SUBSTITUTE(SUBSTITUTE(SUBSTITUTE(SUBSTITUTE(SUBSTITUTE(SUBSTITUTE(AZ58,"’"," "),"`"," "),"–"," "),"—"," "),"-"," "),"'"," "),"/"," "),"_"," "),","," "),"."," "),"("," "),")"," "),";"," "),":"," "),"")</f>
        <v/>
      </c>
      <c r="BB58" s="493" t="str">
        <f>IF(49=49,SUBSTITUTE(SUBSTITUTE(SUBSTITUTE(SUBSTITUTE(SUBSTITUTE(SUBSTITUTE(SUBSTITUTE(SUBSTITUTE(SUBSTITUTE(SUBSTITUTE(SUBSTITUTE(SUBSTITUTE(SUBSTITUTE(SUBSTITUTE(SUBSTITUTE(BA58,"!"," "),"?"," "),"+"," "),"*"," "),"&amp;"," "),"["," "),"]"," "),"{"," "),"}"," "),"%"," "),"="," "),"\"," "),"|"," "),"&lt;"," "),"&gt;"," "),"")</f>
        <v/>
      </c>
      <c r="BC58" s="493" t="str">
        <f>IF(49=49," "&amp;TRIM(SUBSTITUTE(SUBSTITUTE(SUBSTITUTE(SUBSTITUTE(SUBSTITUTE(SUBSTITUTE(BB58,CHAR(34)," "),"  "," "),"  "," "),"  "," "),"  "," "),"  "," "))&amp;" ","")</f>
        <v xml:space="preserve">  </v>
      </c>
      <c r="BD58" s="493" t="str" cm="1">
        <f t="array" ref="BD58">IF(49=49,IF(AW58="","",SUMPRODUCT(--ISNUMBER(SEARCH(" "&amp;DT11:DT110&amp;" ",BF58)))),"")</f>
        <v/>
      </c>
      <c r="BE58" s="493" t="str" cm="1">
        <f t="array" ref="BE58">IF(49=49,IF(AW58="","",SUMPRODUCT(--ISNUMBER(SEARCH(" "&amp;DT111:DT160&amp;" ",BF58)))),"")</f>
        <v/>
      </c>
      <c r="BF58" s="493" t="str">
        <f>IF(AW58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58,"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58" s="493" t="str" cm="1">
        <f t="array" ref="BG58">IF(AW58="","",SUMPRODUCT(--ISNUMBER(SEARCH(" "&amp;DT193:DT214&amp;" ",BF58)))+--ISNUMBER(SEARCH(" "&amp;DT2463&amp;" ",BF58)))</f>
        <v/>
      </c>
      <c r="BH58" s="493" t="str" cm="1">
        <f t="array" ref="BH58">IF(49=49,IF(AW58="","",IF(SUM(BD58:BE58)+SUMPRODUCT(--ISNUMBER(SEARCH(" "&amp;DT2427:DT2429&amp;" ",BF58)))&gt;0,"X",IF(BG58&gt;0,"?",""))),"")</f>
        <v/>
      </c>
      <c r="BI58" s="493" t="str" cm="1">
        <f t="array" ref="BI58">IF(49=49,IF(AW58="","",SUMPRODUCT(--ISNUMBER(SEARCH(" "&amp;DT215:DT314&amp;" ",BC58)))),"")</f>
        <v/>
      </c>
      <c r="BJ58" s="493" t="str" cm="1">
        <f t="array" ref="BJ58">IF(49=49,IF(AW58="","",SUMPRODUCT(--ISNUMBER(SEARCH(" "&amp;DT315:DT349&amp;" ",BC58)))),"")</f>
        <v/>
      </c>
      <c r="BK58" s="493" t="str">
        <f>IF(49=49,IF(AW58="","",IF((SUM(BI58:BJ58))-(0)&gt;0,"X",IF((0)-(0)&gt;0,"?",""))),"")</f>
        <v/>
      </c>
      <c r="BL58" s="493" t="str" cm="1">
        <f t="array" ref="BL58">IF(49=49,IF(AW58="","",SUMPRODUCT(--ISNUMBER(SEARCH(" "&amp;DT350:DT407&amp;" ",BC58)))),"")</f>
        <v/>
      </c>
      <c r="BM58" s="493" t="str" cm="1">
        <f t="array" ref="BM58">IF(49=49,IF(AW58="","",SUMPRODUCT(--ISNUMBER(SEARCH(" "&amp;DT408:DT435&amp;" ",BN58)))+SUMPRODUCT(--ISNUMBER(SEARCH(" "&amp;DT2449:DT2462&amp;" ",BN58)))),"")</f>
        <v/>
      </c>
      <c r="BN58" s="493" t="str">
        <f>IF(49=49,IF(AW58="","",SUBSTITUTE(SUBSTITUTE(SUBSTITUTE(SUBSTITUTE(SUBSTITUTE(SUBSTITUTE(SUBSTITUTE(SUBSTITUTE(SUBSTITUTE(SUBSTITUTE(SUBSTITUTE(SUBSTITUTE(SUBSTITUTE(SUBSTITUTE(BC58," "&amp;DT2464&amp;" "," ")," "&amp;DT442&amp;" "," ")," "&amp;DT440&amp;" "," ")," "&amp;DT2447&amp;" "," ")," "&amp;DT2448&amp;" "," ")," "&amp;DT437&amp;" "," ")," "&amp;DT441&amp;" "," ")," "&amp;DT443&amp;" "," ")," "&amp;DT438&amp;" "," ")," "&amp;DT436&amp;" "," ")," "&amp;DT1376&amp;" "," ")," "&amp;DT444&amp;" "," ")," "&amp;DT1375&amp;" "," ")," "&amp;DT439&amp;" "," ")),"")</f>
        <v/>
      </c>
      <c r="BO58" s="493" t="str">
        <f>IF(49=49,IF(AW58="","",IF(BL58&gt;0,"X",IF(BM58&gt;0,"?",""))),"")</f>
        <v/>
      </c>
      <c r="BP58" s="493" t="str" cm="1">
        <f t="array" ref="BP58">IF(49=49,IF(AW58="","",SUMPRODUCT(--ISNUMBER(SEARCH(" "&amp;DT445:DT544&amp;" ",BZ58)))),"")</f>
        <v/>
      </c>
      <c r="BQ58" s="493" t="str" cm="1">
        <f t="array" ref="BQ58">IF(49=49,IF(AW58="","",SUMPRODUCT(--ISNUMBER(SEARCH(" "&amp;DT545:DT644&amp;" ",BZ58)))),"")</f>
        <v/>
      </c>
      <c r="BR58" s="493" t="str" cm="1">
        <f t="array" ref="BR58">IF(49=49,IF(AW58="","",SUMPRODUCT(--ISNUMBER(SEARCH(" "&amp;DT645:DT744&amp;" ",BZ58)))),"")</f>
        <v/>
      </c>
      <c r="BS58" s="493" t="str" cm="1">
        <f t="array" ref="BS58">IF(49=49,IF(AW58="","",SUMPRODUCT(--ISNUMBER(SEARCH(" "&amp;DT745:DT844&amp;" ",BZ58)))),"")</f>
        <v/>
      </c>
      <c r="BT58" s="493" t="str" cm="1">
        <f t="array" ref="BT58">IF(49=49,IF(AW58="","",SUMPRODUCT(--ISNUMBER(SEARCH(" "&amp;DT845:DT944&amp;" ",BZ58)))),"")</f>
        <v/>
      </c>
      <c r="BU58" s="493" t="str" cm="1">
        <f t="array" ref="BU58">IF(49=49,IF(AW58="","",SUMPRODUCT(--ISNUMBER(SEARCH(" "&amp;DT945:DT1044&amp;" ",BZ58)))),"")</f>
        <v/>
      </c>
      <c r="BV58" s="493" t="str" cm="1">
        <f t="array" ref="BV58">IF(49=49,IF(AW58="","",SUMPRODUCT(--ISNUMBER(SEARCH(" "&amp;DT1045:DT1144&amp;" ",BZ58)))),"")</f>
        <v/>
      </c>
      <c r="BW58" s="493" t="str" cm="1">
        <f t="array" ref="BW58">IF(49=49,IF(AW58="","",SUMPRODUCT(--ISNUMBER(SEARCH(" "&amp;DT1145:DT1244&amp;" ",BZ58)))),"")</f>
        <v/>
      </c>
      <c r="BX58" s="493" t="str" cm="1">
        <f t="array" ref="BX58">IF(49=49,IF(AW58="","",SUMPRODUCT(--ISNUMBER(SEARCH(" "&amp;DT1245:DT1344&amp;" ",BZ58)))),"")</f>
        <v/>
      </c>
      <c r="BY58" s="493" t="str" cm="1">
        <f t="array" ref="BY58">IF(49=49,IF(AW58="","",SUMPRODUCT(--ISNUMBER(SEARCH(" "&amp;DT1345:DT1372&amp;" ",BZ58)))),"")</f>
        <v/>
      </c>
      <c r="BZ58" s="493" t="str">
        <f>IF(49=49,IF(AW58="","",SUBSTITUTE(SUBSTITUTE(SUBSTITUTE(SUBSTITUTE(SUBSTITUTE(SUBSTITUTE(SUBSTITUTE(SUBSTITUTE(SUBSTITUTE(BC58," "&amp;DT1374&amp;" "," ")," "&amp;DT1373&amp;" "," ")," "&amp;DT1379&amp;" "," ")," "&amp;DT1380&amp;" "," ")," "&amp;DT1376&amp;" "," ")," "&amp;DT1378&amp;" "," ")," "&amp;DT1375&amp;" "," ")," "&amp;DT1377&amp;" "," ")," "&amp;DT1381&amp;" "," ")),"")</f>
        <v/>
      </c>
      <c r="CA58" s="493" t="str" cm="1">
        <f t="array" ref="CA58">IF(49=49,IF(AW58="","",SUMPRODUCT(--ISNUMBER(SEARCH(" "&amp;DT1382:DT1392&amp;" ",BZ58)))),"")</f>
        <v/>
      </c>
      <c r="CB58" s="493" t="str" cm="1">
        <f t="array" ref="CB58">IF(49=49,IF(AW58="","",IF(SUM(BP58:BY58)+SUMPRODUCT(--ISNUMBER(SEARCH(" "&amp;DT2430:DT2431&amp;" ",BZ58)))&gt;0,"X",IF(CA58&gt;0,"?",""))),"")</f>
        <v/>
      </c>
      <c r="CC58" s="493" t="str" cm="1">
        <f t="array" ref="CC58">IF(49=49,IF(AW58="","",SUMPRODUCT(--ISNUMBER(SEARCH(" "&amp;DT1393:DT1413&amp;" ",BC58)))),"")</f>
        <v/>
      </c>
      <c r="CD58" s="493" t="str">
        <f>IF(49=49,IF(AW58="","",IF((CC58)-(0)&gt;0,"X",IF((0)-(0)&gt;0,"?",""))),"")</f>
        <v/>
      </c>
      <c r="CE58" s="493" t="str" cm="1">
        <f t="array" ref="CE58">IF(49=49,IF(AW58="","",SUMPRODUCT(--ISNUMBER(SEARCH(" "&amp;DT1414:DT1451&amp;" ",CF58)))),"")</f>
        <v/>
      </c>
      <c r="CF58" s="493" t="str">
        <f>IF(49=49,IF(AW58="","",SUBSTITUTE(SUBSTITUTE(BC58," "&amp;DT1452&amp;" "," ")," "&amp;DT1453&amp;" "," ")),"")</f>
        <v/>
      </c>
      <c r="CG58" s="493" t="str" cm="1">
        <f t="array" ref="CG58">IF(49=49,IF(AW58="","",SUMPRODUCT(--ISNUMBER(SEARCH(" "&amp;DT1454:DT1464&amp;" ",CF58)))),"")</f>
        <v/>
      </c>
      <c r="CH58" s="493" t="str">
        <f>IF(49=49,IF(AW58="","",IF(CE58&gt;0,"X",IF(CG58&gt;0,"?",""))),"")</f>
        <v/>
      </c>
      <c r="CI58" s="493" t="str" cm="1">
        <f t="array" ref="CI58">IF(49=49,IF(AW58="","",SUMPRODUCT(--ISNUMBER(SEARCH(" "&amp;DT1465:DT1564&amp;" ",CL58)))),"")</f>
        <v/>
      </c>
      <c r="CJ58" s="493" t="str" cm="1">
        <f t="array" ref="CJ58">IF(49=49,IF(AW58="","",SUMPRODUCT(--ISNUMBER(SEARCH(" "&amp;DT1565:DT1664&amp;" ",CL58)))),"")</f>
        <v/>
      </c>
      <c r="CK58" s="493" t="str" cm="1">
        <f t="array" ref="CK58">IF(49=49,IF(AW58="","",SUMPRODUCT(--ISNUMBER(SEARCH(" "&amp;DT1665:DT1748&amp;" ",CL58)))),"")</f>
        <v/>
      </c>
      <c r="CL58" s="493" t="str">
        <f>IF(49=49,IF(AW58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58,"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58" s="493" t="str" cm="1">
        <f t="array" ref="CM58">IF(49=49,IF(AW58="","",SUMPRODUCT(--ISNUMBER(SEARCH(" "&amp;DT1799:DT1878&amp;" ",CN58)))+SUMPRODUCT(--ISNUMBER(SEARCH(" "&amp;DT2449:DT2462&amp;" ",CN58)))),"")</f>
        <v/>
      </c>
      <c r="CN58" s="493" t="str">
        <f>IF(49=49,IF(AW58="","",SUBSTITUTE(SUBSTITUTE(SUBSTITUTE(SUBSTITUTE(SUBSTITUTE(SUBSTITUTE(SUBSTITUTE(SUBSTITUTE(SUBSTITUTE(SUBSTITUTE(SUBSTITUTE(SUBSTITUTE(SUBSTITUTE(CL58," "&amp;DT1885&amp;" "," ")," "&amp;DT1883&amp;" "," ")," "&amp;DT2447&amp;" "," ")," "&amp;DT2448&amp;" "," ")," "&amp;DT1880&amp;" "," ")," "&amp;DT1884&amp;" "," ")," "&amp;DT1886&amp;" "," ")," "&amp;DT1881&amp;" "," ")," "&amp;DT1879&amp;" "," ")," "&amp;DT1376&amp;" "," ")," "&amp;DT1887&amp;" "," ")," "&amp;DT1375&amp;" "," ")," "&amp;DT1882&amp;" "," ")),"")</f>
        <v/>
      </c>
      <c r="CO58" s="493" t="str" cm="1">
        <f t="array" ref="CO58">IF(49=49,IF(AW58="","",IF(SUM(CI58:CK58)+SUMPRODUCT(--ISNUMBER(SEARCH(" "&amp;DT2432:DT2433&amp;" ",CL58)))&gt;0,"X",IF(CM58&gt;0,"?",""))),"")</f>
        <v/>
      </c>
      <c r="CP58" s="493" t="str" cm="1">
        <f t="array" ref="CP58">IF(49=49,IF(AW58="","",SUMPRODUCT(--ISNUMBER(SEARCH(" "&amp;DT1888:DT1945&amp;" ",CQ58)))),"")</f>
        <v/>
      </c>
      <c r="CQ58" s="493" t="str">
        <f>IF(49=49,IF(AW58="","",SUBSTITUTE(SUBSTITUTE(SUBSTITUTE(SUBSTITUTE(SUBSTITUTE(SUBSTITUTE(SUBSTITUTE(SUBSTITUTE(SUBSTITUTE(SUBSTITUTE(SUBSTITUTE(SUBSTITUTE(SUBSTITUTE(SUBSTITUTE(SUBSTITUTE(SUBSTITUTE(SUBSTITUTE(SUBSTITUTE(SUBSTITUTE(SUBSTITUTE(SUBSTITUTE(SUBSTITUTE(SUBSTITUTE(BC58,"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58" s="493" t="str" cm="1">
        <f t="array" ref="CR58">IF(49=49,IF(AW58="","",SUMPRODUCT(--ISNUMBER(SEARCH(" "&amp;DT1969:DT1985&amp;" ",CQ58)))),"")</f>
        <v/>
      </c>
      <c r="CS58" s="493" t="str">
        <f>IF(49=49,IF(AW58="","",IF(CP58&gt;0,"X",IF(CR58&gt;0,"?",""))),"")</f>
        <v/>
      </c>
      <c r="CT58" s="493" t="str" cm="1">
        <f t="array" ref="CT58">IF(49=49,IF(AW58="","",SUMPRODUCT(--ISNUMBER(SEARCH(" "&amp;DT1986:DT1999&amp;" ",BC58)))),"")</f>
        <v/>
      </c>
      <c r="CU58" s="493" t="str" cm="1">
        <f t="array" ref="CU58">IF(49=49,IF(AW58="","",SUMPRODUCT(--ISNUMBER(SEARCH(" "&amp;DT2000:DT2014&amp;" ",BC58)))),"")</f>
        <v/>
      </c>
      <c r="CV58" s="493" t="str">
        <f>IF(49=49,IF(AW58="","",IF((CT58)-(0)&gt;0,"X",IF((CU58)-(0)&gt;0,"?",""))),"")</f>
        <v/>
      </c>
      <c r="CW58" s="493" t="str" cm="1">
        <f t="array" ref="CW58">IF(49=49,IF(AW58="","",SUMPRODUCT(--ISNUMBER(SEARCH(" "&amp;DT2015:DT2032&amp;" ",BC58)))),"")</f>
        <v/>
      </c>
      <c r="CX58" s="493" t="str" cm="1">
        <f t="array" ref="CX58">IF(49=49,IF(AW58="","",SUMPRODUCT(--ISNUMBER(SEARCH(" "&amp;DT2033:DT2047&amp;" ",BC58)))),"")</f>
        <v/>
      </c>
      <c r="CY58" s="493" t="str">
        <f>IF(49=49,IF(AW58="","",IF((CW58)-(0)&gt;0,"X",IF((CX58)-(0)&gt;0,"?",""))),"")</f>
        <v/>
      </c>
      <c r="CZ58" s="493" t="str" cm="1">
        <f t="array" ref="CZ58">IF(49=49,IF(AW58="","",SUMPRODUCT(--ISNUMBER(SEARCH(" "&amp;DT2048:DT2066&amp;" ",BC58)))),"")</f>
        <v/>
      </c>
      <c r="DA58" s="493" t="str" cm="1">
        <f t="array" ref="DA58">IF(49=49,IF(AW58="","",SUMPRODUCT(--ISNUMBER(SEARCH(" "&amp;DT2067:DT2081&amp;" ",BC58)))),"")</f>
        <v/>
      </c>
      <c r="DB58" s="493" t="str">
        <f>IF(49=49,IF(AW58="","",IF((CZ58)-(0)&gt;0,"X",IF((DA58)-(0)&gt;0,"?",""))),"")</f>
        <v/>
      </c>
      <c r="DC58" s="493" t="str" cm="1">
        <f t="array" ref="DC58">IF(49=49,IF(AW58="","",SUMPRODUCT(--ISNUMBER(SEARCH(" "&amp;DT2082:DT2102&amp;" ",BC58)))),"")</f>
        <v/>
      </c>
      <c r="DD58" s="493" t="str" cm="1">
        <f t="array" ref="DD58">IF(49=49,IF(AW58="","",SUMPRODUCT(--ISNUMBER(SEARCH(" "&amp;DT2103:DT2142&amp;" ",SUBSTITUTE(SUBSTITUTE(BC58," "&amp;DT1376&amp;" "," ")," "&amp;DT1375&amp;" "," "))))+--ISNUMBER(SEARCH("poiré",AX58))),"")</f>
        <v/>
      </c>
      <c r="DE58" s="493" t="str">
        <f>IF(49=49,IF(AW58="","",IF(OR(DC58&gt;0,ISNUMBER(SEARCH(" vinaigre de vin ",BC58)),ISNUMBER(SEARCH(" vinaigre au vin ",BC58))),"X",IF(DD58&gt;0,"?",""))),"")</f>
        <v/>
      </c>
      <c r="DF58" s="493" t="str" cm="1">
        <f t="array" ref="DF58">IF(49=49,IF(AW58="","",SUMPRODUCT(--ISNUMBER(SEARCH(" "&amp;DT2143:DT2155&amp;" ",BC58)))),"")</f>
        <v/>
      </c>
      <c r="DG58" s="493" t="str" cm="1">
        <f t="array" ref="DG58">IF(49=49,IF(AW58="","",SUMPRODUCT(--ISNUMBER(SEARCH(" "&amp;DT2156:DT2161&amp;" ",BC58)))),"")</f>
        <v/>
      </c>
      <c r="DH58" s="493" t="str">
        <f>IF(49=49,IF(AW58="","",IF((DF58)-(0)&gt;0,"X",IF((DG58)-(0)&gt;0,"?",""))),"")</f>
        <v/>
      </c>
      <c r="DI58" s="493" t="str" cm="1">
        <f t="array" ref="DI58">IF(49=49,IF(AW58="","",SUMPRODUCT(--ISNUMBER(SEARCH(" "&amp;DT2162:DT2261&amp;" ",DL58)))),"")</f>
        <v/>
      </c>
      <c r="DJ58" s="493" t="str" cm="1">
        <f t="array" ref="DJ58">IF(49=49,IF(AW58="","",SUMPRODUCT(--ISNUMBER(SEARCH(" "&amp;DT2262:DT2361&amp;" ",DL58)))),"")</f>
        <v/>
      </c>
      <c r="DK58" s="493" t="str" cm="1">
        <f t="array" ref="DK58">IF(49=49,IF(AW58="","",SUMPRODUCT(--ISNUMBER(SEARCH(" "&amp;DT2362:DT2404&amp;" ",DL58)))),"")</f>
        <v/>
      </c>
      <c r="DL58" s="493" t="str">
        <f>IF(49=49,IF(AW58="","",SUBSTITUTE(SUBSTITUTE(SUBSTITUTE(SUBSTITUTE(SUBSTITUTE(SUBSTITUTE(SUBSTITUTE(SUBSTITUTE(SUBSTITUTE(SUBSTITUTE(SUBSTITUTE(SUBSTITUTE(SUBSTITUTE(SUBSTITUTE(SUBSTITUTE(SUBSTITUTE(BC58," "&amp;DT2410&amp;" "," ")," "&amp;DT2409&amp;" "," ")," "&amp;DT2408&amp;" "," ")," "&amp;DT2415&amp;" "," ")," "&amp;DT2407&amp;" "," ")," "&amp;DT2419&amp;" "," ")," "&amp;DT2406&amp;" "," ")," "&amp;DT2411&amp;" "," ")," "&amp;DT2414&amp;" "," ")," "&amp;DT2405&amp;" "," ")," "&amp;DT2413&amp;" "," ")," "&amp;DT2420&amp;" "," ")," "&amp;DT2417&amp;" "," ")," "&amp;DT2412&amp;" "," ")," "&amp;DT2416&amp;" "," ")," "&amp;DT2418&amp;" "," ")),"")</f>
        <v/>
      </c>
      <c r="DM58" s="493" t="str" cm="1">
        <f t="array" ref="DM58">IF(49=49,IF(AW58="","",SUMPRODUCT(--ISNUMBER(SEARCH(" "&amp;DT2421:DT2425&amp;" ",DL58)))),"")</f>
        <v/>
      </c>
      <c r="DN58" s="493" t="str">
        <f>IF(49=49,IF(AW58="","",IF(SUM(DI58:DK58)&gt;0,"X",IF(DM58&gt;0,"?",""))),"")</f>
        <v/>
      </c>
      <c r="DO58" s="494"/>
      <c r="DP58" s="496" t="s">
        <v>1228</v>
      </c>
      <c r="DQ58" s="496" t="s">
        <v>1083</v>
      </c>
      <c r="DR58" s="496" t="s">
        <v>689</v>
      </c>
      <c r="DS58" s="496" t="s">
        <v>1229</v>
      </c>
      <c r="DT58" s="496" t="s">
        <v>1230</v>
      </c>
      <c r="DU58" s="496" t="s">
        <v>1085</v>
      </c>
      <c r="DV58" s="496" t="s">
        <v>1086</v>
      </c>
      <c r="DW58" s="496" t="s">
        <v>1087</v>
      </c>
      <c r="DX58" s="497" t="s">
        <v>1088</v>
      </c>
      <c r="DZ58" s="543">
        <v>1</v>
      </c>
      <c r="EB58" s="493"/>
      <c r="EC58" s="493"/>
    </row>
    <row r="59" spans="5:133" ht="21" customHeight="1">
      <c r="E59" s="716" t="s">
        <v>737</v>
      </c>
      <c r="F59" s="877" t="str">
        <f>F12</f>
        <v>M MACÉDOINE DE LÉGUMES AU COULIS DE TOMATE | HORS D'ŒUVRE texture modifiée-cuidité-MACEDOINE| Auteur &gt; Annette et Jean Pierre DOMERGUES - 45000 ORLÉANS 1981</v>
      </c>
      <c r="G59" s="877">
        <f>G12</f>
        <v>10</v>
      </c>
      <c r="H59" s="878" t="str">
        <f>H12</f>
        <v>couverts</v>
      </c>
      <c r="I59" s="879" t="str">
        <f>I12</f>
        <v>Recette mère ►  Textures modifiées</v>
      </c>
      <c r="J59" s="916"/>
      <c r="K59" s="917"/>
      <c r="L59" s="918"/>
      <c r="M59" s="919" t="s">
        <v>835</v>
      </c>
      <c r="N59" s="883">
        <f ca="1">N36</f>
        <v>132</v>
      </c>
      <c r="O59" s="920" t="s">
        <v>836</v>
      </c>
      <c r="P59" s="921"/>
      <c r="Q59" s="921"/>
      <c r="R59" s="921"/>
      <c r="S59" s="921"/>
      <c r="T59" s="922"/>
      <c r="U59" s="922"/>
      <c r="V59" s="922"/>
      <c r="W59" s="923" t="str">
        <f>IF(P60="","",(LEN(TRIM(SUBSTITUTE(P60,CHAR(160)," ")))-LEN(SUBSTITUTE(TRIM(SUBSTITUTE(P60,CHAR(160)," "))," ",""))+1)&amp;" mot"&amp;IF((LEN(TRIM(SUBSTITUTE(P60,CHAR(160)," ")))-LEN(SUBSTITUTE(TRIM(SUBSTITUTE(P60,CHAR(160)," "))," ",""))+1)&gt;1,"s",""))</f>
        <v>15 mots</v>
      </c>
      <c r="X59" s="924" t="str">
        <f>IF(P60="","",LEN(TRIM(SUBSTITUTE(P60,CHAR(160),""))))&amp;" Car."</f>
        <v>89 Car.</v>
      </c>
      <c r="Y59" s="925" t="s">
        <v>837</v>
      </c>
      <c r="AA59" s="899"/>
      <c r="AC59" s="509">
        <v>44</v>
      </c>
      <c r="AD59" s="808"/>
      <c r="AE59" s="679" t="str">
        <f t="shared" si="9"/>
        <v/>
      </c>
      <c r="AF59" s="512" t="str">
        <f>IF(50=50,IF(AD59="","",IF(AG59="X",""&amp;"Céréales contenant du gluten","")&amp;IF(AH59="X",IF(COUNTIF(AG59:AG59,"X")&gt;0,", ","")&amp;"Crustacés","")&amp;IF(AI59="X",IF(COUNTIF(AG59:AH59,"X")&gt;0,", ","")&amp;"Œufs","")&amp;IF(AJ59="X",IF(COUNTIF(AG59:AI59,"X")&gt;0,", ","")&amp;"Poissons","")&amp;IF(AK59="X",IF(COUNTIF(AG59:AJ59,"X")&gt;0,", ","")&amp;"Arachides","")&amp;IF(AL59="X",IF(COUNTIF(AG59:AK59,"X")&gt;0,", ","")&amp;"Soja","")&amp;IF(AM59="X",IF(COUNTIF(AG59:AL59,"X")&gt;0,", ","")&amp;"Lait","")&amp;IF(AN59="X",IF(COUNTIF(AG59:AM59,"X")&gt;0,", ","")&amp;"Fruits à coque","")&amp;IF(AO59="X",IF(COUNTIF(AG59:AN59,"X")&gt;0,", ","")&amp;"Céleri","")&amp;IF(AP59="X",IF(COUNTIF(AG59:AO59,"X")&gt;0,", ","")&amp;"Moutarde","")&amp;IF(AQ59="X",IF(COUNTIF(AG59:AP59,"X")&gt;0,", ","")&amp;"Sésame","")&amp;IF(AR59="X",IF(COUNTIF(AG59:AQ59,"X")&gt;0,", ","")&amp;"Sulfites","")&amp;IF(AS59="X",IF(COUNTIF(AG59:AR59,"X")&gt;0,", ","")&amp;"Lupin","")&amp;IF(AT59="X",IF(COUNTIF(AG59:AS59,"X")&gt;0,", ","")&amp;"Mollusques","")),"")</f>
        <v/>
      </c>
      <c r="AG59" s="513" t="str">
        <f>IF(50=50,IF(AD59="","",BH59),"")</f>
        <v/>
      </c>
      <c r="AH59" s="513" t="str">
        <f>IF(50=50,IF(AD59="","",BK59),"")</f>
        <v/>
      </c>
      <c r="AI59" s="513" t="str">
        <f>IF(50=50,IF(AD59="","",BO59),"")</f>
        <v/>
      </c>
      <c r="AJ59" s="513" t="str">
        <f>IF(50=50,IF(AD59="","",IF(ISNUMBER(SEARCH(" colin ",BC59)),"X",CB59)),"")</f>
        <v/>
      </c>
      <c r="AK59" s="513" t="str">
        <f>IF(50=50,IF(AD59="","",CD59),"")</f>
        <v/>
      </c>
      <c r="AL59" s="513" t="str">
        <f>IF(50=50,IF(AD59="","",CH59),"")</f>
        <v/>
      </c>
      <c r="AM59" s="513" t="str">
        <f>IF(50=50,IF(AD59="","",CO59),"")</f>
        <v/>
      </c>
      <c r="AN59" s="513" t="str">
        <f>IF(50=50,IF(AD59="","",CS59),"")</f>
        <v/>
      </c>
      <c r="AO59" s="513" t="str">
        <f>IF(50=50,IF(AD59="","",CV59),"")</f>
        <v/>
      </c>
      <c r="AP59" s="513" t="str">
        <f>IF(50=50,IF(AD59="","",CY59),"")</f>
        <v/>
      </c>
      <c r="AQ59" s="513" t="str">
        <f>IF(50=50,IF(AD59="","",DB59),"")</f>
        <v/>
      </c>
      <c r="AR59" s="513" t="str">
        <f>IF(50=50,IF(AD59="","",DE59),"")</f>
        <v/>
      </c>
      <c r="AS59" s="513" t="str">
        <f>IF(50=50,IF(AD59="","",DH59),"")</f>
        <v/>
      </c>
      <c r="AT59" s="513" t="str">
        <f>IF(50=50,IF(AD59="","",DN59),"")</f>
        <v/>
      </c>
      <c r="AU59" s="514" t="str">
        <f>IF(50=50,IF(AD59="","",IF(AG59="?",""&amp;"Céréales contenant du gluten","")&amp;IF(AH59="?",IF(COUNTIF(AG59:AG59,"~?")&gt;0,", ","")&amp;"Crustacés","")&amp;IF(AI59="?",IF(COUNTIF(AG59:AH59,"~?")&gt;0,", ","")&amp;"Œufs","")&amp;IF(AJ59="?",IF(COUNTIF(AG59:AI59,"~?")&gt;0,", ","")&amp;"Poissons","")&amp;IF(AK59="?",IF(COUNTIF(AG59:AJ59,"~?")&gt;0,", ","")&amp;"Arachides","")&amp;IF(AL59="?",IF(COUNTIF(AG59:AK59,"~?")&gt;0,", ","")&amp;"Soja","")&amp;IF(AM59="?",IF(COUNTIF(AG59:AL59,"~?")&gt;0,", ","")&amp;"Lait","")&amp;IF(AN59="?",IF(COUNTIF(AG59:AM59,"~?")&gt;0,", ","")&amp;"Fruits à coque","")&amp;IF(AO59="?",IF(COUNTIF(AG59:AN59,"~?")&gt;0,", ","")&amp;"Céleri","")&amp;IF(AP59="?",IF(COUNTIF(AG59:AO59,"~?")&gt;0,", ","")&amp;"Moutarde","")&amp;IF(AQ59="?",IF(COUNTIF(AG59:AP59,"~?")&gt;0,", ","")&amp;"Sésame","")&amp;IF(AR59="?",IF(COUNTIF(AG59:AQ59,"~?")&gt;0,", ","")&amp;"Sulfites","")&amp;IF(AS59="?",IF(COUNTIF(AG59:AR59,"~?")&gt;0,", ","")&amp;"Lupin","")&amp;IF(AT59="?",IF(COUNTIF(AG59:AS59,"~?")&gt;0,", ","")&amp;"Mollusques","")),"")</f>
        <v/>
      </c>
      <c r="AW59" s="493" t="str">
        <f>IF(50=50,IF(AD59="","",AD59),"")</f>
        <v/>
      </c>
      <c r="AX59" s="493" t="str">
        <f>IF(50=50,LOWER(CLEAN(SUBSTITUTE(SUBSTITUTE(SUBSTITUTE(SUBSTITUTE(AW59,CHAR(160)," ")," "," "),CHAR(10)," "),CHAR(13)," "))),"")</f>
        <v/>
      </c>
      <c r="AY59" s="493" t="str">
        <f>IF(50=50,SUBSTITUTE(SUBSTITUTE(SUBSTITUTE(SUBSTITUTE(SUBSTITUTE(SUBSTITUTE(SUBSTITUTE(SUBSTITUTE(SUBSTITUTE(SUBSTITUTE(SUBSTITUTE(SUBSTITUTE(AX59,"œ","oe"),"æ","ae"),"à","a"),"á","a"),"â","a"),"ä","a"),"ã","a"),"ç","c"),"è","e"),"é","e"),"ê","e"),"ë","e"),"")</f>
        <v/>
      </c>
      <c r="AZ59" s="493" t="str">
        <f>IF(50=50,SUBSTITUTE(SUBSTITUTE(SUBSTITUTE(SUBSTITUTE(SUBSTITUTE(SUBSTITUTE(SUBSTITUTE(SUBSTITUTE(SUBSTITUTE(SUBSTITUTE(SUBSTITUTE(SUBSTITUTE(SUBSTITUTE(SUBSTITUTE(SUBSTITUTE(SUBSTITUTE(AY59,"ì","i"),"í","i"),"î","i"),"ï","i"),"ñ","n"),"ò","o"),"ó","o"),"ô","o"),"ö","o"),"õ","o"),"ù","u"),"ú","u"),"û","u"),"ü","u"),"ý","y"),"ÿ","y"),"")</f>
        <v/>
      </c>
      <c r="BA59" s="493" t="str">
        <f>IF(50=50,SUBSTITUTE(SUBSTITUTE(SUBSTITUTE(SUBSTITUTE(SUBSTITUTE(SUBSTITUTE(SUBSTITUTE(SUBSTITUTE(SUBSTITUTE(SUBSTITUTE(SUBSTITUTE(SUBSTITUTE(SUBSTITUTE(SUBSTITUTE(AZ59,"’"," "),"`"," "),"–"," "),"—"," "),"-"," "),"'"," "),"/"," "),"_"," "),","," "),"."," "),"("," "),")"," "),";"," "),":"," "),"")</f>
        <v/>
      </c>
      <c r="BB59" s="493" t="str">
        <f>IF(50=50,SUBSTITUTE(SUBSTITUTE(SUBSTITUTE(SUBSTITUTE(SUBSTITUTE(SUBSTITUTE(SUBSTITUTE(SUBSTITUTE(SUBSTITUTE(SUBSTITUTE(SUBSTITUTE(SUBSTITUTE(SUBSTITUTE(SUBSTITUTE(SUBSTITUTE(BA59,"!"," "),"?"," "),"+"," "),"*"," "),"&amp;"," "),"["," "),"]"," "),"{"," "),"}"," "),"%"," "),"="," "),"\"," "),"|"," "),"&lt;"," "),"&gt;"," "),"")</f>
        <v/>
      </c>
      <c r="BC59" s="493" t="str">
        <f>IF(50=50," "&amp;TRIM(SUBSTITUTE(SUBSTITUTE(SUBSTITUTE(SUBSTITUTE(SUBSTITUTE(SUBSTITUTE(BB59,CHAR(34)," "),"  "," "),"  "," "),"  "," "),"  "," "),"  "," "))&amp;" ","")</f>
        <v xml:space="preserve">  </v>
      </c>
      <c r="BD59" s="493" t="str" cm="1">
        <f t="array" ref="BD59">IF(50=50,IF(AW59="","",SUMPRODUCT(--ISNUMBER(SEARCH(" "&amp;DT11:DT110&amp;" ",BF59)))),"")</f>
        <v/>
      </c>
      <c r="BE59" s="493" t="str" cm="1">
        <f t="array" ref="BE59">IF(50=50,IF(AW59="","",SUMPRODUCT(--ISNUMBER(SEARCH(" "&amp;DT111:DT160&amp;" ",BF59)))),"")</f>
        <v/>
      </c>
      <c r="BF59" s="493" t="str">
        <f>IF(AW59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59,"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59" s="493" t="str" cm="1">
        <f t="array" ref="BG59">IF(AW59="","",SUMPRODUCT(--ISNUMBER(SEARCH(" "&amp;DT193:DT214&amp;" ",BF59)))+--ISNUMBER(SEARCH(" "&amp;DT2463&amp;" ",BF59)))</f>
        <v/>
      </c>
      <c r="BH59" s="493" t="str" cm="1">
        <f t="array" ref="BH59">IF(50=50,IF(AW59="","",IF(SUM(BD59:BE59)+SUMPRODUCT(--ISNUMBER(SEARCH(" "&amp;DT2427:DT2429&amp;" ",BF59)))&gt;0,"X",IF(BG59&gt;0,"?",""))),"")</f>
        <v/>
      </c>
      <c r="BI59" s="493" t="str" cm="1">
        <f t="array" ref="BI59">IF(50=50,IF(AW59="","",SUMPRODUCT(--ISNUMBER(SEARCH(" "&amp;DT215:DT314&amp;" ",BC59)))),"")</f>
        <v/>
      </c>
      <c r="BJ59" s="493" t="str" cm="1">
        <f t="array" ref="BJ59">IF(50=50,IF(AW59="","",SUMPRODUCT(--ISNUMBER(SEARCH(" "&amp;DT315:DT349&amp;" ",BC59)))),"")</f>
        <v/>
      </c>
      <c r="BK59" s="493" t="str">
        <f>IF(50=50,IF(AW59="","",IF((SUM(BI59:BJ59))-(0)&gt;0,"X",IF((0)-(0)&gt;0,"?",""))),"")</f>
        <v/>
      </c>
      <c r="BL59" s="493" t="str" cm="1">
        <f t="array" ref="BL59">IF(50=50,IF(AW59="","",SUMPRODUCT(--ISNUMBER(SEARCH(" "&amp;DT350:DT407&amp;" ",BC59)))),"")</f>
        <v/>
      </c>
      <c r="BM59" s="493" t="str" cm="1">
        <f t="array" ref="BM59">IF(50=50,IF(AW59="","",SUMPRODUCT(--ISNUMBER(SEARCH(" "&amp;DT408:DT435&amp;" ",BN59)))+SUMPRODUCT(--ISNUMBER(SEARCH(" "&amp;DT2449:DT2462&amp;" ",BN59)))),"")</f>
        <v/>
      </c>
      <c r="BN59" s="493" t="str">
        <f>IF(50=50,IF(AW59="","",SUBSTITUTE(SUBSTITUTE(SUBSTITUTE(SUBSTITUTE(SUBSTITUTE(SUBSTITUTE(SUBSTITUTE(SUBSTITUTE(SUBSTITUTE(SUBSTITUTE(SUBSTITUTE(SUBSTITUTE(SUBSTITUTE(SUBSTITUTE(BC59," "&amp;DT2464&amp;" "," ")," "&amp;DT442&amp;" "," ")," "&amp;DT440&amp;" "," ")," "&amp;DT2447&amp;" "," ")," "&amp;DT2448&amp;" "," ")," "&amp;DT437&amp;" "," ")," "&amp;DT441&amp;" "," ")," "&amp;DT443&amp;" "," ")," "&amp;DT438&amp;" "," ")," "&amp;DT436&amp;" "," ")," "&amp;DT1376&amp;" "," ")," "&amp;DT444&amp;" "," ")," "&amp;DT1375&amp;" "," ")," "&amp;DT439&amp;" "," ")),"")</f>
        <v/>
      </c>
      <c r="BO59" s="493" t="str">
        <f>IF(50=50,IF(AW59="","",IF(BL59&gt;0,"X",IF(BM59&gt;0,"?",""))),"")</f>
        <v/>
      </c>
      <c r="BP59" s="493" t="str" cm="1">
        <f t="array" ref="BP59">IF(50=50,IF(AW59="","",SUMPRODUCT(--ISNUMBER(SEARCH(" "&amp;DT445:DT544&amp;" ",BZ59)))),"")</f>
        <v/>
      </c>
      <c r="BQ59" s="493" t="str" cm="1">
        <f t="array" ref="BQ59">IF(50=50,IF(AW59="","",SUMPRODUCT(--ISNUMBER(SEARCH(" "&amp;DT545:DT644&amp;" ",BZ59)))),"")</f>
        <v/>
      </c>
      <c r="BR59" s="493" t="str" cm="1">
        <f t="array" ref="BR59">IF(50=50,IF(AW59="","",SUMPRODUCT(--ISNUMBER(SEARCH(" "&amp;DT645:DT744&amp;" ",BZ59)))),"")</f>
        <v/>
      </c>
      <c r="BS59" s="493" t="str" cm="1">
        <f t="array" ref="BS59">IF(50=50,IF(AW59="","",SUMPRODUCT(--ISNUMBER(SEARCH(" "&amp;DT745:DT844&amp;" ",BZ59)))),"")</f>
        <v/>
      </c>
      <c r="BT59" s="493" t="str" cm="1">
        <f t="array" ref="BT59">IF(50=50,IF(AW59="","",SUMPRODUCT(--ISNUMBER(SEARCH(" "&amp;DT845:DT944&amp;" ",BZ59)))),"")</f>
        <v/>
      </c>
      <c r="BU59" s="493" t="str" cm="1">
        <f t="array" ref="BU59">IF(50=50,IF(AW59="","",SUMPRODUCT(--ISNUMBER(SEARCH(" "&amp;DT945:DT1044&amp;" ",BZ59)))),"")</f>
        <v/>
      </c>
      <c r="BV59" s="493" t="str" cm="1">
        <f t="array" ref="BV59">IF(50=50,IF(AW59="","",SUMPRODUCT(--ISNUMBER(SEARCH(" "&amp;DT1045:DT1144&amp;" ",BZ59)))),"")</f>
        <v/>
      </c>
      <c r="BW59" s="493" t="str" cm="1">
        <f t="array" ref="BW59">IF(50=50,IF(AW59="","",SUMPRODUCT(--ISNUMBER(SEARCH(" "&amp;DT1145:DT1244&amp;" ",BZ59)))),"")</f>
        <v/>
      </c>
      <c r="BX59" s="493" t="str" cm="1">
        <f t="array" ref="BX59">IF(50=50,IF(AW59="","",SUMPRODUCT(--ISNUMBER(SEARCH(" "&amp;DT1245:DT1344&amp;" ",BZ59)))),"")</f>
        <v/>
      </c>
      <c r="BY59" s="493" t="str" cm="1">
        <f t="array" ref="BY59">IF(50=50,IF(AW59="","",SUMPRODUCT(--ISNUMBER(SEARCH(" "&amp;DT1345:DT1372&amp;" ",BZ59)))),"")</f>
        <v/>
      </c>
      <c r="BZ59" s="493" t="str">
        <f>IF(50=50,IF(AW59="","",SUBSTITUTE(SUBSTITUTE(SUBSTITUTE(SUBSTITUTE(SUBSTITUTE(SUBSTITUTE(SUBSTITUTE(SUBSTITUTE(SUBSTITUTE(BC59," "&amp;DT1374&amp;" "," ")," "&amp;DT1373&amp;" "," ")," "&amp;DT1379&amp;" "," ")," "&amp;DT1380&amp;" "," ")," "&amp;DT1376&amp;" "," ")," "&amp;DT1378&amp;" "," ")," "&amp;DT1375&amp;" "," ")," "&amp;DT1377&amp;" "," ")," "&amp;DT1381&amp;" "," ")),"")</f>
        <v/>
      </c>
      <c r="CA59" s="493" t="str" cm="1">
        <f t="array" ref="CA59">IF(50=50,IF(AW59="","",SUMPRODUCT(--ISNUMBER(SEARCH(" "&amp;DT1382:DT1392&amp;" ",BZ59)))),"")</f>
        <v/>
      </c>
      <c r="CB59" s="493" t="str" cm="1">
        <f t="array" ref="CB59">IF(50=50,IF(AW59="","",IF(SUM(BP59:BY59)+SUMPRODUCT(--ISNUMBER(SEARCH(" "&amp;DT2430:DT2431&amp;" ",BZ59)))&gt;0,"X",IF(CA59&gt;0,"?",""))),"")</f>
        <v/>
      </c>
      <c r="CC59" s="493" t="str" cm="1">
        <f t="array" ref="CC59">IF(50=50,IF(AW59="","",SUMPRODUCT(--ISNUMBER(SEARCH(" "&amp;DT1393:DT1413&amp;" ",BC59)))),"")</f>
        <v/>
      </c>
      <c r="CD59" s="493" t="str">
        <f>IF(50=50,IF(AW59="","",IF((CC59)-(0)&gt;0,"X",IF((0)-(0)&gt;0,"?",""))),"")</f>
        <v/>
      </c>
      <c r="CE59" s="493" t="str" cm="1">
        <f t="array" ref="CE59">IF(50=50,IF(AW59="","",SUMPRODUCT(--ISNUMBER(SEARCH(" "&amp;DT1414:DT1451&amp;" ",CF59)))),"")</f>
        <v/>
      </c>
      <c r="CF59" s="493" t="str">
        <f>IF(50=50,IF(AW59="","",SUBSTITUTE(SUBSTITUTE(BC59," "&amp;DT1452&amp;" "," ")," "&amp;DT1453&amp;" "," ")),"")</f>
        <v/>
      </c>
      <c r="CG59" s="493" t="str" cm="1">
        <f t="array" ref="CG59">IF(50=50,IF(AW59="","",SUMPRODUCT(--ISNUMBER(SEARCH(" "&amp;DT1454:DT1464&amp;" ",CF59)))),"")</f>
        <v/>
      </c>
      <c r="CH59" s="493" t="str">
        <f>IF(50=50,IF(AW59="","",IF(CE59&gt;0,"X",IF(CG59&gt;0,"?",""))),"")</f>
        <v/>
      </c>
      <c r="CI59" s="493" t="str" cm="1">
        <f t="array" ref="CI59">IF(50=50,IF(AW59="","",SUMPRODUCT(--ISNUMBER(SEARCH(" "&amp;DT1465:DT1564&amp;" ",CL59)))),"")</f>
        <v/>
      </c>
      <c r="CJ59" s="493" t="str" cm="1">
        <f t="array" ref="CJ59">IF(50=50,IF(AW59="","",SUMPRODUCT(--ISNUMBER(SEARCH(" "&amp;DT1565:DT1664&amp;" ",CL59)))),"")</f>
        <v/>
      </c>
      <c r="CK59" s="493" t="str" cm="1">
        <f t="array" ref="CK59">IF(50=50,IF(AW59="","",SUMPRODUCT(--ISNUMBER(SEARCH(" "&amp;DT1665:DT1748&amp;" ",CL59)))),"")</f>
        <v/>
      </c>
      <c r="CL59" s="493" t="str">
        <f>IF(50=50,IF(AW59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59,"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59" s="493" t="str" cm="1">
        <f t="array" ref="CM59">IF(50=50,IF(AW59="","",SUMPRODUCT(--ISNUMBER(SEARCH(" "&amp;DT1799:DT1878&amp;" ",CN59)))+SUMPRODUCT(--ISNUMBER(SEARCH(" "&amp;DT2449:DT2462&amp;" ",CN59)))),"")</f>
        <v/>
      </c>
      <c r="CN59" s="493" t="str">
        <f>IF(50=50,IF(AW59="","",SUBSTITUTE(SUBSTITUTE(SUBSTITUTE(SUBSTITUTE(SUBSTITUTE(SUBSTITUTE(SUBSTITUTE(SUBSTITUTE(SUBSTITUTE(SUBSTITUTE(SUBSTITUTE(SUBSTITUTE(SUBSTITUTE(CL59," "&amp;DT1885&amp;" "," ")," "&amp;DT1883&amp;" "," ")," "&amp;DT2447&amp;" "," ")," "&amp;DT2448&amp;" "," ")," "&amp;DT1880&amp;" "," ")," "&amp;DT1884&amp;" "," ")," "&amp;DT1886&amp;" "," ")," "&amp;DT1881&amp;" "," ")," "&amp;DT1879&amp;" "," ")," "&amp;DT1376&amp;" "," ")," "&amp;DT1887&amp;" "," ")," "&amp;DT1375&amp;" "," ")," "&amp;DT1882&amp;" "," ")),"")</f>
        <v/>
      </c>
      <c r="CO59" s="493" t="str" cm="1">
        <f t="array" ref="CO59">IF(50=50,IF(AW59="","",IF(SUM(CI59:CK59)+SUMPRODUCT(--ISNUMBER(SEARCH(" "&amp;DT2432:DT2433&amp;" ",CL59)))&gt;0,"X",IF(CM59&gt;0,"?",""))),"")</f>
        <v/>
      </c>
      <c r="CP59" s="493" t="str" cm="1">
        <f t="array" ref="CP59">IF(50=50,IF(AW59="","",SUMPRODUCT(--ISNUMBER(SEARCH(" "&amp;DT1888:DT1945&amp;" ",CQ59)))),"")</f>
        <v/>
      </c>
      <c r="CQ59" s="493" t="str">
        <f>IF(50=50,IF(AW59="","",SUBSTITUTE(SUBSTITUTE(SUBSTITUTE(SUBSTITUTE(SUBSTITUTE(SUBSTITUTE(SUBSTITUTE(SUBSTITUTE(SUBSTITUTE(SUBSTITUTE(SUBSTITUTE(SUBSTITUTE(SUBSTITUTE(SUBSTITUTE(SUBSTITUTE(SUBSTITUTE(SUBSTITUTE(SUBSTITUTE(SUBSTITUTE(SUBSTITUTE(SUBSTITUTE(SUBSTITUTE(SUBSTITUTE(BC59,"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59" s="493" t="str" cm="1">
        <f t="array" ref="CR59">IF(50=50,IF(AW59="","",SUMPRODUCT(--ISNUMBER(SEARCH(" "&amp;DT1969:DT1985&amp;" ",CQ59)))),"")</f>
        <v/>
      </c>
      <c r="CS59" s="493" t="str">
        <f>IF(50=50,IF(AW59="","",IF(CP59&gt;0,"X",IF(CR59&gt;0,"?",""))),"")</f>
        <v/>
      </c>
      <c r="CT59" s="493" t="str" cm="1">
        <f t="array" ref="CT59">IF(50=50,IF(AW59="","",SUMPRODUCT(--ISNUMBER(SEARCH(" "&amp;DT1986:DT1999&amp;" ",BC59)))),"")</f>
        <v/>
      </c>
      <c r="CU59" s="493" t="str" cm="1">
        <f t="array" ref="CU59">IF(50=50,IF(AW59="","",SUMPRODUCT(--ISNUMBER(SEARCH(" "&amp;DT2000:DT2014&amp;" ",BC59)))),"")</f>
        <v/>
      </c>
      <c r="CV59" s="493" t="str">
        <f>IF(50=50,IF(AW59="","",IF((CT59)-(0)&gt;0,"X",IF((CU59)-(0)&gt;0,"?",""))),"")</f>
        <v/>
      </c>
      <c r="CW59" s="493" t="str" cm="1">
        <f t="array" ref="CW59">IF(50=50,IF(AW59="","",SUMPRODUCT(--ISNUMBER(SEARCH(" "&amp;DT2015:DT2032&amp;" ",BC59)))),"")</f>
        <v/>
      </c>
      <c r="CX59" s="493" t="str" cm="1">
        <f t="array" ref="CX59">IF(50=50,IF(AW59="","",SUMPRODUCT(--ISNUMBER(SEARCH(" "&amp;DT2033:DT2047&amp;" ",BC59)))),"")</f>
        <v/>
      </c>
      <c r="CY59" s="493" t="str">
        <f>IF(50=50,IF(AW59="","",IF((CW59)-(0)&gt;0,"X",IF((CX59)-(0)&gt;0,"?",""))),"")</f>
        <v/>
      </c>
      <c r="CZ59" s="493" t="str" cm="1">
        <f t="array" ref="CZ59">IF(50=50,IF(AW59="","",SUMPRODUCT(--ISNUMBER(SEARCH(" "&amp;DT2048:DT2066&amp;" ",BC59)))),"")</f>
        <v/>
      </c>
      <c r="DA59" s="493" t="str" cm="1">
        <f t="array" ref="DA59">IF(50=50,IF(AW59="","",SUMPRODUCT(--ISNUMBER(SEARCH(" "&amp;DT2067:DT2081&amp;" ",BC59)))),"")</f>
        <v/>
      </c>
      <c r="DB59" s="493" t="str">
        <f>IF(50=50,IF(AW59="","",IF((CZ59)-(0)&gt;0,"X",IF((DA59)-(0)&gt;0,"?",""))),"")</f>
        <v/>
      </c>
      <c r="DC59" s="493" t="str" cm="1">
        <f t="array" ref="DC59">IF(50=50,IF(AW59="","",SUMPRODUCT(--ISNUMBER(SEARCH(" "&amp;DT2082:DT2102&amp;" ",BC59)))),"")</f>
        <v/>
      </c>
      <c r="DD59" s="493" t="str" cm="1">
        <f t="array" ref="DD59">IF(50=50,IF(AW59="","",SUMPRODUCT(--ISNUMBER(SEARCH(" "&amp;DT2103:DT2142&amp;" ",SUBSTITUTE(SUBSTITUTE(BC59," "&amp;DT1376&amp;" "," ")," "&amp;DT1375&amp;" "," "))))+--ISNUMBER(SEARCH("poiré",AX59))),"")</f>
        <v/>
      </c>
      <c r="DE59" s="493" t="str">
        <f>IF(50=50,IF(AW59="","",IF(OR(DC59&gt;0,ISNUMBER(SEARCH(" vinaigre de vin ",BC59)),ISNUMBER(SEARCH(" vinaigre au vin ",BC59))),"X",IF(DD59&gt;0,"?",""))),"")</f>
        <v/>
      </c>
      <c r="DF59" s="493" t="str" cm="1">
        <f t="array" ref="DF59">IF(50=50,IF(AW59="","",SUMPRODUCT(--ISNUMBER(SEARCH(" "&amp;DT2143:DT2155&amp;" ",BC59)))),"")</f>
        <v/>
      </c>
      <c r="DG59" s="493" t="str" cm="1">
        <f t="array" ref="DG59">IF(50=50,IF(AW59="","",SUMPRODUCT(--ISNUMBER(SEARCH(" "&amp;DT2156:DT2161&amp;" ",BC59)))),"")</f>
        <v/>
      </c>
      <c r="DH59" s="493" t="str">
        <f>IF(50=50,IF(AW59="","",IF((DF59)-(0)&gt;0,"X",IF((DG59)-(0)&gt;0,"?",""))),"")</f>
        <v/>
      </c>
      <c r="DI59" s="493" t="str" cm="1">
        <f t="array" ref="DI59">IF(50=50,IF(AW59="","",SUMPRODUCT(--ISNUMBER(SEARCH(" "&amp;DT2162:DT2261&amp;" ",DL59)))),"")</f>
        <v/>
      </c>
      <c r="DJ59" s="493" t="str" cm="1">
        <f t="array" ref="DJ59">IF(50=50,IF(AW59="","",SUMPRODUCT(--ISNUMBER(SEARCH(" "&amp;DT2262:DT2361&amp;" ",DL59)))),"")</f>
        <v/>
      </c>
      <c r="DK59" s="493" t="str" cm="1">
        <f t="array" ref="DK59">IF(50=50,IF(AW59="","",SUMPRODUCT(--ISNUMBER(SEARCH(" "&amp;DT2362:DT2404&amp;" ",DL59)))),"")</f>
        <v/>
      </c>
      <c r="DL59" s="493" t="str">
        <f>IF(50=50,IF(AW59="","",SUBSTITUTE(SUBSTITUTE(SUBSTITUTE(SUBSTITUTE(SUBSTITUTE(SUBSTITUTE(SUBSTITUTE(SUBSTITUTE(SUBSTITUTE(SUBSTITUTE(SUBSTITUTE(SUBSTITUTE(SUBSTITUTE(SUBSTITUTE(SUBSTITUTE(SUBSTITUTE(BC59," "&amp;DT2410&amp;" "," ")," "&amp;DT2409&amp;" "," ")," "&amp;DT2408&amp;" "," ")," "&amp;DT2415&amp;" "," ")," "&amp;DT2407&amp;" "," ")," "&amp;DT2419&amp;" "," ")," "&amp;DT2406&amp;" "," ")," "&amp;DT2411&amp;" "," ")," "&amp;DT2414&amp;" "," ")," "&amp;DT2405&amp;" "," ")," "&amp;DT2413&amp;" "," ")," "&amp;DT2420&amp;" "," ")," "&amp;DT2417&amp;" "," ")," "&amp;DT2412&amp;" "," ")," "&amp;DT2416&amp;" "," ")," "&amp;DT2418&amp;" "," ")),"")</f>
        <v/>
      </c>
      <c r="DM59" s="493" t="str" cm="1">
        <f t="array" ref="DM59">IF(50=50,IF(AW59="","",SUMPRODUCT(--ISNUMBER(SEARCH(" "&amp;DT2421:DT2425&amp;" ",DL59)))),"")</f>
        <v/>
      </c>
      <c r="DN59" s="493" t="str">
        <f>IF(50=50,IF(AW59="","",IF(SUM(DI59:DK59)&gt;0,"X",IF(DM59&gt;0,"?",""))),"")</f>
        <v/>
      </c>
      <c r="DO59" s="494"/>
      <c r="DP59" s="496" t="s">
        <v>1231</v>
      </c>
      <c r="DQ59" s="496" t="s">
        <v>1083</v>
      </c>
      <c r="DR59" s="496" t="s">
        <v>689</v>
      </c>
      <c r="DS59" s="496" t="s">
        <v>1232</v>
      </c>
      <c r="DT59" s="496" t="s">
        <v>1232</v>
      </c>
      <c r="DU59" s="496" t="s">
        <v>1085</v>
      </c>
      <c r="DV59" s="496" t="s">
        <v>1086</v>
      </c>
      <c r="DW59" s="496" t="s">
        <v>1087</v>
      </c>
      <c r="DX59" s="497" t="s">
        <v>1088</v>
      </c>
      <c r="DZ59" s="543">
        <v>1</v>
      </c>
      <c r="EB59" s="493"/>
      <c r="EC59" s="493"/>
    </row>
    <row r="60" spans="5:133" ht="21" customHeight="1">
      <c r="E60" s="716" t="s">
        <v>737</v>
      </c>
      <c r="F60" s="926" t="str">
        <f>F12</f>
        <v>M MACÉDOINE DE LÉGUMES AU COULIS DE TOMATE | HORS D'ŒUVRE texture modifiée-cuidité-MACEDOINE| Auteur &gt; Annette et Jean Pierre DOMERGUES - 45000 ORLÉANS 1981</v>
      </c>
      <c r="G60" s="926">
        <f>G12</f>
        <v>10</v>
      </c>
      <c r="H60" s="927" t="str">
        <f>H12</f>
        <v>couverts</v>
      </c>
      <c r="I60" s="928" t="str">
        <f>I12</f>
        <v>Recette mère ►  Textures modifiées</v>
      </c>
      <c r="J60" s="929"/>
      <c r="K60" s="930"/>
      <c r="L60" s="931"/>
      <c r="M60" s="932"/>
      <c r="N60" s="933"/>
      <c r="O60" s="933" t="s">
        <v>838</v>
      </c>
      <c r="P60" s="934" t="s">
        <v>839</v>
      </c>
      <c r="Q60" s="935"/>
      <c r="R60" s="935"/>
      <c r="S60" s="935"/>
      <c r="T60" s="935"/>
      <c r="U60" s="935"/>
      <c r="V60" s="935"/>
      <c r="W60" s="935"/>
      <c r="X60" s="935"/>
      <c r="Y60" s="936"/>
      <c r="AA60" s="899"/>
      <c r="AC60" s="509">
        <v>45</v>
      </c>
      <c r="AD60" s="808"/>
      <c r="AE60" s="679" t="str">
        <f t="shared" si="9"/>
        <v/>
      </c>
      <c r="AF60" s="512" t="str">
        <f>IF(51=51,IF(AD60="","",IF(AG60="X",""&amp;"Céréales contenant du gluten","")&amp;IF(AH60="X",IF(COUNTIF(AG60:AG60,"X")&gt;0,", ","")&amp;"Crustacés","")&amp;IF(AI60="X",IF(COUNTIF(AG60:AH60,"X")&gt;0,", ","")&amp;"Œufs","")&amp;IF(AJ60="X",IF(COUNTIF(AG60:AI60,"X")&gt;0,", ","")&amp;"Poissons","")&amp;IF(AK60="X",IF(COUNTIF(AG60:AJ60,"X")&gt;0,", ","")&amp;"Arachides","")&amp;IF(AL60="X",IF(COUNTIF(AG60:AK60,"X")&gt;0,", ","")&amp;"Soja","")&amp;IF(AM60="X",IF(COUNTIF(AG60:AL60,"X")&gt;0,", ","")&amp;"Lait","")&amp;IF(AN60="X",IF(COUNTIF(AG60:AM60,"X")&gt;0,", ","")&amp;"Fruits à coque","")&amp;IF(AO60="X",IF(COUNTIF(AG60:AN60,"X")&gt;0,", ","")&amp;"Céleri","")&amp;IF(AP60="X",IF(COUNTIF(AG60:AO60,"X")&gt;0,", ","")&amp;"Moutarde","")&amp;IF(AQ60="X",IF(COUNTIF(AG60:AP60,"X")&gt;0,", ","")&amp;"Sésame","")&amp;IF(AR60="X",IF(COUNTIF(AG60:AQ60,"X")&gt;0,", ","")&amp;"Sulfites","")&amp;IF(AS60="X",IF(COUNTIF(AG60:AR60,"X")&gt;0,", ","")&amp;"Lupin","")&amp;IF(AT60="X",IF(COUNTIF(AG60:AS60,"X")&gt;0,", ","")&amp;"Mollusques","")),"")</f>
        <v/>
      </c>
      <c r="AG60" s="513" t="str">
        <f>IF(51=51,IF(AD60="","",BH60),"")</f>
        <v/>
      </c>
      <c r="AH60" s="513" t="str">
        <f>IF(51=51,IF(AD60="","",BK60),"")</f>
        <v/>
      </c>
      <c r="AI60" s="513" t="str">
        <f>IF(51=51,IF(AD60="","",BO60),"")</f>
        <v/>
      </c>
      <c r="AJ60" s="513" t="str">
        <f>IF(51=51,IF(AD60="","",IF(ISNUMBER(SEARCH(" colin ",BC60)),"X",CB60)),"")</f>
        <v/>
      </c>
      <c r="AK60" s="513" t="str">
        <f>IF(51=51,IF(AD60="","",CD60),"")</f>
        <v/>
      </c>
      <c r="AL60" s="513" t="str">
        <f>IF(51=51,IF(AD60="","",CH60),"")</f>
        <v/>
      </c>
      <c r="AM60" s="513" t="str">
        <f>IF(51=51,IF(AD60="","",CO60),"")</f>
        <v/>
      </c>
      <c r="AN60" s="513" t="str">
        <f>IF(51=51,IF(AD60="","",CS60),"")</f>
        <v/>
      </c>
      <c r="AO60" s="513" t="str">
        <f>IF(51=51,IF(AD60="","",CV60),"")</f>
        <v/>
      </c>
      <c r="AP60" s="513" t="str">
        <f>IF(51=51,IF(AD60="","",CY60),"")</f>
        <v/>
      </c>
      <c r="AQ60" s="513" t="str">
        <f>IF(51=51,IF(AD60="","",DB60),"")</f>
        <v/>
      </c>
      <c r="AR60" s="513" t="str">
        <f>IF(51=51,IF(AD60="","",DE60),"")</f>
        <v/>
      </c>
      <c r="AS60" s="513" t="str">
        <f>IF(51=51,IF(AD60="","",DH60),"")</f>
        <v/>
      </c>
      <c r="AT60" s="513" t="str">
        <f>IF(51=51,IF(AD60="","",DN60),"")</f>
        <v/>
      </c>
      <c r="AU60" s="514" t="str">
        <f>IF(51=51,IF(AD60="","",IF(AG60="?",""&amp;"Céréales contenant du gluten","")&amp;IF(AH60="?",IF(COUNTIF(AG60:AG60,"~?")&gt;0,", ","")&amp;"Crustacés","")&amp;IF(AI60="?",IF(COUNTIF(AG60:AH60,"~?")&gt;0,", ","")&amp;"Œufs","")&amp;IF(AJ60="?",IF(COUNTIF(AG60:AI60,"~?")&gt;0,", ","")&amp;"Poissons","")&amp;IF(AK60="?",IF(COUNTIF(AG60:AJ60,"~?")&gt;0,", ","")&amp;"Arachides","")&amp;IF(AL60="?",IF(COUNTIF(AG60:AK60,"~?")&gt;0,", ","")&amp;"Soja","")&amp;IF(AM60="?",IF(COUNTIF(AG60:AL60,"~?")&gt;0,", ","")&amp;"Lait","")&amp;IF(AN60="?",IF(COUNTIF(AG60:AM60,"~?")&gt;0,", ","")&amp;"Fruits à coque","")&amp;IF(AO60="?",IF(COUNTIF(AG60:AN60,"~?")&gt;0,", ","")&amp;"Céleri","")&amp;IF(AP60="?",IF(COUNTIF(AG60:AO60,"~?")&gt;0,", ","")&amp;"Moutarde","")&amp;IF(AQ60="?",IF(COUNTIF(AG60:AP60,"~?")&gt;0,", ","")&amp;"Sésame","")&amp;IF(AR60="?",IF(COUNTIF(AG60:AQ60,"~?")&gt;0,", ","")&amp;"Sulfites","")&amp;IF(AS60="?",IF(COUNTIF(AG60:AR60,"~?")&gt;0,", ","")&amp;"Lupin","")&amp;IF(AT60="?",IF(COUNTIF(AG60:AS60,"~?")&gt;0,", ","")&amp;"Mollusques","")),"")</f>
        <v/>
      </c>
      <c r="AW60" s="493" t="str">
        <f>IF(51=51,IF(AD60="","",AD60),"")</f>
        <v/>
      </c>
      <c r="AX60" s="493" t="str">
        <f>IF(51=51,LOWER(CLEAN(SUBSTITUTE(SUBSTITUTE(SUBSTITUTE(SUBSTITUTE(AW60,CHAR(160)," ")," "," "),CHAR(10)," "),CHAR(13)," "))),"")</f>
        <v/>
      </c>
      <c r="AY60" s="493" t="str">
        <f>IF(51=51,SUBSTITUTE(SUBSTITUTE(SUBSTITUTE(SUBSTITUTE(SUBSTITUTE(SUBSTITUTE(SUBSTITUTE(SUBSTITUTE(SUBSTITUTE(SUBSTITUTE(SUBSTITUTE(SUBSTITUTE(AX60,"œ","oe"),"æ","ae"),"à","a"),"á","a"),"â","a"),"ä","a"),"ã","a"),"ç","c"),"è","e"),"é","e"),"ê","e"),"ë","e"),"")</f>
        <v/>
      </c>
      <c r="AZ60" s="493" t="str">
        <f>IF(51=51,SUBSTITUTE(SUBSTITUTE(SUBSTITUTE(SUBSTITUTE(SUBSTITUTE(SUBSTITUTE(SUBSTITUTE(SUBSTITUTE(SUBSTITUTE(SUBSTITUTE(SUBSTITUTE(SUBSTITUTE(SUBSTITUTE(SUBSTITUTE(SUBSTITUTE(SUBSTITUTE(AY60,"ì","i"),"í","i"),"î","i"),"ï","i"),"ñ","n"),"ò","o"),"ó","o"),"ô","o"),"ö","o"),"õ","o"),"ù","u"),"ú","u"),"û","u"),"ü","u"),"ý","y"),"ÿ","y"),"")</f>
        <v/>
      </c>
      <c r="BA60" s="493" t="str">
        <f>IF(51=51,SUBSTITUTE(SUBSTITUTE(SUBSTITUTE(SUBSTITUTE(SUBSTITUTE(SUBSTITUTE(SUBSTITUTE(SUBSTITUTE(SUBSTITUTE(SUBSTITUTE(SUBSTITUTE(SUBSTITUTE(SUBSTITUTE(SUBSTITUTE(AZ60,"’"," "),"`"," "),"–"," "),"—"," "),"-"," "),"'"," "),"/"," "),"_"," "),","," "),"."," "),"("," "),")"," "),";"," "),":"," "),"")</f>
        <v/>
      </c>
      <c r="BB60" s="493" t="str">
        <f>IF(51=51,SUBSTITUTE(SUBSTITUTE(SUBSTITUTE(SUBSTITUTE(SUBSTITUTE(SUBSTITUTE(SUBSTITUTE(SUBSTITUTE(SUBSTITUTE(SUBSTITUTE(SUBSTITUTE(SUBSTITUTE(SUBSTITUTE(SUBSTITUTE(SUBSTITUTE(BA60,"!"," "),"?"," "),"+"," "),"*"," "),"&amp;"," "),"["," "),"]"," "),"{"," "),"}"," "),"%"," "),"="," "),"\"," "),"|"," "),"&lt;"," "),"&gt;"," "),"")</f>
        <v/>
      </c>
      <c r="BC60" s="493" t="str">
        <f>IF(51=51," "&amp;TRIM(SUBSTITUTE(SUBSTITUTE(SUBSTITUTE(SUBSTITUTE(SUBSTITUTE(SUBSTITUTE(BB60,CHAR(34)," "),"  "," "),"  "," "),"  "," "),"  "," "),"  "," "))&amp;" ","")</f>
        <v xml:space="preserve">  </v>
      </c>
      <c r="BD60" s="493" t="str" cm="1">
        <f t="array" ref="BD60">IF(51=51,IF(AW60="","",SUMPRODUCT(--ISNUMBER(SEARCH(" "&amp;DT11:DT110&amp;" ",BF60)))),"")</f>
        <v/>
      </c>
      <c r="BE60" s="493" t="str" cm="1">
        <f t="array" ref="BE60">IF(51=51,IF(AW60="","",SUMPRODUCT(--ISNUMBER(SEARCH(" "&amp;DT111:DT160&amp;" ",BF60)))),"")</f>
        <v/>
      </c>
      <c r="BF60" s="493" t="str">
        <f>IF(AW60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60,"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60" s="493" t="str" cm="1">
        <f t="array" ref="BG60">IF(AW60="","",SUMPRODUCT(--ISNUMBER(SEARCH(" "&amp;DT193:DT214&amp;" ",BF60)))+--ISNUMBER(SEARCH(" "&amp;DT2463&amp;" ",BF60)))</f>
        <v/>
      </c>
      <c r="BH60" s="493" t="str" cm="1">
        <f t="array" ref="BH60">IF(51=51,IF(AW60="","",IF(SUM(BD60:BE60)+SUMPRODUCT(--ISNUMBER(SEARCH(" "&amp;DT2427:DT2429&amp;" ",BF60)))&gt;0,"X",IF(BG60&gt;0,"?",""))),"")</f>
        <v/>
      </c>
      <c r="BI60" s="493" t="str" cm="1">
        <f t="array" ref="BI60">IF(51=51,IF(AW60="","",SUMPRODUCT(--ISNUMBER(SEARCH(" "&amp;DT215:DT314&amp;" ",BC60)))),"")</f>
        <v/>
      </c>
      <c r="BJ60" s="493" t="str" cm="1">
        <f t="array" ref="BJ60">IF(51=51,IF(AW60="","",SUMPRODUCT(--ISNUMBER(SEARCH(" "&amp;DT315:DT349&amp;" ",BC60)))),"")</f>
        <v/>
      </c>
      <c r="BK60" s="493" t="str">
        <f>IF(51=51,IF(AW60="","",IF((SUM(BI60:BJ60))-(0)&gt;0,"X",IF((0)-(0)&gt;0,"?",""))),"")</f>
        <v/>
      </c>
      <c r="BL60" s="493" t="str" cm="1">
        <f t="array" ref="BL60">IF(51=51,IF(AW60="","",SUMPRODUCT(--ISNUMBER(SEARCH(" "&amp;DT350:DT407&amp;" ",BC60)))),"")</f>
        <v/>
      </c>
      <c r="BM60" s="493" t="str" cm="1">
        <f t="array" ref="BM60">IF(51=51,IF(AW60="","",SUMPRODUCT(--ISNUMBER(SEARCH(" "&amp;DT408:DT435&amp;" ",BN60)))+SUMPRODUCT(--ISNUMBER(SEARCH(" "&amp;DT2449:DT2462&amp;" ",BN60)))),"")</f>
        <v/>
      </c>
      <c r="BN60" s="493" t="str">
        <f>IF(51=51,IF(AW60="","",SUBSTITUTE(SUBSTITUTE(SUBSTITUTE(SUBSTITUTE(SUBSTITUTE(SUBSTITUTE(SUBSTITUTE(SUBSTITUTE(SUBSTITUTE(SUBSTITUTE(SUBSTITUTE(SUBSTITUTE(SUBSTITUTE(SUBSTITUTE(BC60," "&amp;DT2464&amp;" "," ")," "&amp;DT442&amp;" "," ")," "&amp;DT440&amp;" "," ")," "&amp;DT2447&amp;" "," ")," "&amp;DT2448&amp;" "," ")," "&amp;DT437&amp;" "," ")," "&amp;DT441&amp;" "," ")," "&amp;DT443&amp;" "," ")," "&amp;DT438&amp;" "," ")," "&amp;DT436&amp;" "," ")," "&amp;DT1376&amp;" "," ")," "&amp;DT444&amp;" "," ")," "&amp;DT1375&amp;" "," ")," "&amp;DT439&amp;" "," ")),"")</f>
        <v/>
      </c>
      <c r="BO60" s="493" t="str">
        <f>IF(51=51,IF(AW60="","",IF(BL60&gt;0,"X",IF(BM60&gt;0,"?",""))),"")</f>
        <v/>
      </c>
      <c r="BP60" s="493" t="str" cm="1">
        <f t="array" ref="BP60">IF(51=51,IF(AW60="","",SUMPRODUCT(--ISNUMBER(SEARCH(" "&amp;DT445:DT544&amp;" ",BZ60)))),"")</f>
        <v/>
      </c>
      <c r="BQ60" s="493" t="str" cm="1">
        <f t="array" ref="BQ60">IF(51=51,IF(AW60="","",SUMPRODUCT(--ISNUMBER(SEARCH(" "&amp;DT545:DT644&amp;" ",BZ60)))),"")</f>
        <v/>
      </c>
      <c r="BR60" s="493" t="str" cm="1">
        <f t="array" ref="BR60">IF(51=51,IF(AW60="","",SUMPRODUCT(--ISNUMBER(SEARCH(" "&amp;DT645:DT744&amp;" ",BZ60)))),"")</f>
        <v/>
      </c>
      <c r="BS60" s="493" t="str" cm="1">
        <f t="array" ref="BS60">IF(51=51,IF(AW60="","",SUMPRODUCT(--ISNUMBER(SEARCH(" "&amp;DT745:DT844&amp;" ",BZ60)))),"")</f>
        <v/>
      </c>
      <c r="BT60" s="493" t="str" cm="1">
        <f t="array" ref="BT60">IF(51=51,IF(AW60="","",SUMPRODUCT(--ISNUMBER(SEARCH(" "&amp;DT845:DT944&amp;" ",BZ60)))),"")</f>
        <v/>
      </c>
      <c r="BU60" s="493" t="str" cm="1">
        <f t="array" ref="BU60">IF(51=51,IF(AW60="","",SUMPRODUCT(--ISNUMBER(SEARCH(" "&amp;DT945:DT1044&amp;" ",BZ60)))),"")</f>
        <v/>
      </c>
      <c r="BV60" s="493" t="str" cm="1">
        <f t="array" ref="BV60">IF(51=51,IF(AW60="","",SUMPRODUCT(--ISNUMBER(SEARCH(" "&amp;DT1045:DT1144&amp;" ",BZ60)))),"")</f>
        <v/>
      </c>
      <c r="BW60" s="493" t="str" cm="1">
        <f t="array" ref="BW60">IF(51=51,IF(AW60="","",SUMPRODUCT(--ISNUMBER(SEARCH(" "&amp;DT1145:DT1244&amp;" ",BZ60)))),"")</f>
        <v/>
      </c>
      <c r="BX60" s="493" t="str" cm="1">
        <f t="array" ref="BX60">IF(51=51,IF(AW60="","",SUMPRODUCT(--ISNUMBER(SEARCH(" "&amp;DT1245:DT1344&amp;" ",BZ60)))),"")</f>
        <v/>
      </c>
      <c r="BY60" s="493" t="str" cm="1">
        <f t="array" ref="BY60">IF(51=51,IF(AW60="","",SUMPRODUCT(--ISNUMBER(SEARCH(" "&amp;DT1345:DT1372&amp;" ",BZ60)))),"")</f>
        <v/>
      </c>
      <c r="BZ60" s="493" t="str">
        <f>IF(51=51,IF(AW60="","",SUBSTITUTE(SUBSTITUTE(SUBSTITUTE(SUBSTITUTE(SUBSTITUTE(SUBSTITUTE(SUBSTITUTE(SUBSTITUTE(SUBSTITUTE(BC60," "&amp;DT1374&amp;" "," ")," "&amp;DT1373&amp;" "," ")," "&amp;DT1379&amp;" "," ")," "&amp;DT1380&amp;" "," ")," "&amp;DT1376&amp;" "," ")," "&amp;DT1378&amp;" "," ")," "&amp;DT1375&amp;" "," ")," "&amp;DT1377&amp;" "," ")," "&amp;DT1381&amp;" "," ")),"")</f>
        <v/>
      </c>
      <c r="CA60" s="493" t="str" cm="1">
        <f t="array" ref="CA60">IF(51=51,IF(AW60="","",SUMPRODUCT(--ISNUMBER(SEARCH(" "&amp;DT1382:DT1392&amp;" ",BZ60)))),"")</f>
        <v/>
      </c>
      <c r="CB60" s="493" t="str" cm="1">
        <f t="array" ref="CB60">IF(51=51,IF(AW60="","",IF(SUM(BP60:BY60)+SUMPRODUCT(--ISNUMBER(SEARCH(" "&amp;DT2430:DT2431&amp;" ",BZ60)))&gt;0,"X",IF(CA60&gt;0,"?",""))),"")</f>
        <v/>
      </c>
      <c r="CC60" s="493" t="str" cm="1">
        <f t="array" ref="CC60">IF(51=51,IF(AW60="","",SUMPRODUCT(--ISNUMBER(SEARCH(" "&amp;DT1393:DT1413&amp;" ",BC60)))),"")</f>
        <v/>
      </c>
      <c r="CD60" s="493" t="str">
        <f>IF(51=51,IF(AW60="","",IF((CC60)-(0)&gt;0,"X",IF((0)-(0)&gt;0,"?",""))),"")</f>
        <v/>
      </c>
      <c r="CE60" s="493" t="str" cm="1">
        <f t="array" ref="CE60">IF(51=51,IF(AW60="","",SUMPRODUCT(--ISNUMBER(SEARCH(" "&amp;DT1414:DT1451&amp;" ",CF60)))),"")</f>
        <v/>
      </c>
      <c r="CF60" s="493" t="str">
        <f>IF(51=51,IF(AW60="","",SUBSTITUTE(SUBSTITUTE(BC60," "&amp;DT1452&amp;" "," ")," "&amp;DT1453&amp;" "," ")),"")</f>
        <v/>
      </c>
      <c r="CG60" s="493" t="str" cm="1">
        <f t="array" ref="CG60">IF(51=51,IF(AW60="","",SUMPRODUCT(--ISNUMBER(SEARCH(" "&amp;DT1454:DT1464&amp;" ",CF60)))),"")</f>
        <v/>
      </c>
      <c r="CH60" s="493" t="str">
        <f>IF(51=51,IF(AW60="","",IF(CE60&gt;0,"X",IF(CG60&gt;0,"?",""))),"")</f>
        <v/>
      </c>
      <c r="CI60" s="493" t="str" cm="1">
        <f t="array" ref="CI60">IF(51=51,IF(AW60="","",SUMPRODUCT(--ISNUMBER(SEARCH(" "&amp;DT1465:DT1564&amp;" ",CL60)))),"")</f>
        <v/>
      </c>
      <c r="CJ60" s="493" t="str" cm="1">
        <f t="array" ref="CJ60">IF(51=51,IF(AW60="","",SUMPRODUCT(--ISNUMBER(SEARCH(" "&amp;DT1565:DT1664&amp;" ",CL60)))),"")</f>
        <v/>
      </c>
      <c r="CK60" s="493" t="str" cm="1">
        <f t="array" ref="CK60">IF(51=51,IF(AW60="","",SUMPRODUCT(--ISNUMBER(SEARCH(" "&amp;DT1665:DT1748&amp;" ",CL60)))),"")</f>
        <v/>
      </c>
      <c r="CL60" s="493" t="str">
        <f>IF(51=51,IF(AW60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60,"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60" s="493" t="str" cm="1">
        <f t="array" ref="CM60">IF(51=51,IF(AW60="","",SUMPRODUCT(--ISNUMBER(SEARCH(" "&amp;DT1799:DT1878&amp;" ",CN60)))+SUMPRODUCT(--ISNUMBER(SEARCH(" "&amp;DT2449:DT2462&amp;" ",CN60)))),"")</f>
        <v/>
      </c>
      <c r="CN60" s="493" t="str">
        <f>IF(51=51,IF(AW60="","",SUBSTITUTE(SUBSTITUTE(SUBSTITUTE(SUBSTITUTE(SUBSTITUTE(SUBSTITUTE(SUBSTITUTE(SUBSTITUTE(SUBSTITUTE(SUBSTITUTE(SUBSTITUTE(SUBSTITUTE(SUBSTITUTE(CL60," "&amp;DT1885&amp;" "," ")," "&amp;DT1883&amp;" "," ")," "&amp;DT2447&amp;" "," ")," "&amp;DT2448&amp;" "," ")," "&amp;DT1880&amp;" "," ")," "&amp;DT1884&amp;" "," ")," "&amp;DT1886&amp;" "," ")," "&amp;DT1881&amp;" "," ")," "&amp;DT1879&amp;" "," ")," "&amp;DT1376&amp;" "," ")," "&amp;DT1887&amp;" "," ")," "&amp;DT1375&amp;" "," ")," "&amp;DT1882&amp;" "," ")),"")</f>
        <v/>
      </c>
      <c r="CO60" s="493" t="str" cm="1">
        <f t="array" ref="CO60">IF(51=51,IF(AW60="","",IF(SUM(CI60:CK60)+SUMPRODUCT(--ISNUMBER(SEARCH(" "&amp;DT2432:DT2433&amp;" ",CL60)))&gt;0,"X",IF(CM60&gt;0,"?",""))),"")</f>
        <v/>
      </c>
      <c r="CP60" s="493" t="str" cm="1">
        <f t="array" ref="CP60">IF(51=51,IF(AW60="","",SUMPRODUCT(--ISNUMBER(SEARCH(" "&amp;DT1888:DT1945&amp;" ",CQ60)))),"")</f>
        <v/>
      </c>
      <c r="CQ60" s="493" t="str">
        <f>IF(51=51,IF(AW60="","",SUBSTITUTE(SUBSTITUTE(SUBSTITUTE(SUBSTITUTE(SUBSTITUTE(SUBSTITUTE(SUBSTITUTE(SUBSTITUTE(SUBSTITUTE(SUBSTITUTE(SUBSTITUTE(SUBSTITUTE(SUBSTITUTE(SUBSTITUTE(SUBSTITUTE(SUBSTITUTE(SUBSTITUTE(SUBSTITUTE(SUBSTITUTE(SUBSTITUTE(SUBSTITUTE(SUBSTITUTE(SUBSTITUTE(BC60,"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60" s="493" t="str" cm="1">
        <f t="array" ref="CR60">IF(51=51,IF(AW60="","",SUMPRODUCT(--ISNUMBER(SEARCH(" "&amp;DT1969:DT1985&amp;" ",CQ60)))),"")</f>
        <v/>
      </c>
      <c r="CS60" s="493" t="str">
        <f>IF(51=51,IF(AW60="","",IF(CP60&gt;0,"X",IF(CR60&gt;0,"?",""))),"")</f>
        <v/>
      </c>
      <c r="CT60" s="493" t="str" cm="1">
        <f t="array" ref="CT60">IF(51=51,IF(AW60="","",SUMPRODUCT(--ISNUMBER(SEARCH(" "&amp;DT1986:DT1999&amp;" ",BC60)))),"")</f>
        <v/>
      </c>
      <c r="CU60" s="493" t="str" cm="1">
        <f t="array" ref="CU60">IF(51=51,IF(AW60="","",SUMPRODUCT(--ISNUMBER(SEARCH(" "&amp;DT2000:DT2014&amp;" ",BC60)))),"")</f>
        <v/>
      </c>
      <c r="CV60" s="493" t="str">
        <f>IF(51=51,IF(AW60="","",IF((CT60)-(0)&gt;0,"X",IF((CU60)-(0)&gt;0,"?",""))),"")</f>
        <v/>
      </c>
      <c r="CW60" s="493" t="str" cm="1">
        <f t="array" ref="CW60">IF(51=51,IF(AW60="","",SUMPRODUCT(--ISNUMBER(SEARCH(" "&amp;DT2015:DT2032&amp;" ",BC60)))),"")</f>
        <v/>
      </c>
      <c r="CX60" s="493" t="str" cm="1">
        <f t="array" ref="CX60">IF(51=51,IF(AW60="","",SUMPRODUCT(--ISNUMBER(SEARCH(" "&amp;DT2033:DT2047&amp;" ",BC60)))),"")</f>
        <v/>
      </c>
      <c r="CY60" s="493" t="str">
        <f>IF(51=51,IF(AW60="","",IF((CW60)-(0)&gt;0,"X",IF((CX60)-(0)&gt;0,"?",""))),"")</f>
        <v/>
      </c>
      <c r="CZ60" s="493" t="str" cm="1">
        <f t="array" ref="CZ60">IF(51=51,IF(AW60="","",SUMPRODUCT(--ISNUMBER(SEARCH(" "&amp;DT2048:DT2066&amp;" ",BC60)))),"")</f>
        <v/>
      </c>
      <c r="DA60" s="493" t="str" cm="1">
        <f t="array" ref="DA60">IF(51=51,IF(AW60="","",SUMPRODUCT(--ISNUMBER(SEARCH(" "&amp;DT2067:DT2081&amp;" ",BC60)))),"")</f>
        <v/>
      </c>
      <c r="DB60" s="493" t="str">
        <f>IF(51=51,IF(AW60="","",IF((CZ60)-(0)&gt;0,"X",IF((DA60)-(0)&gt;0,"?",""))),"")</f>
        <v/>
      </c>
      <c r="DC60" s="493" t="str" cm="1">
        <f t="array" ref="DC60">IF(51=51,IF(AW60="","",SUMPRODUCT(--ISNUMBER(SEARCH(" "&amp;DT2082:DT2102&amp;" ",BC60)))),"")</f>
        <v/>
      </c>
      <c r="DD60" s="493" t="str" cm="1">
        <f t="array" ref="DD60">IF(51=51,IF(AW60="","",SUMPRODUCT(--ISNUMBER(SEARCH(" "&amp;DT2103:DT2142&amp;" ",SUBSTITUTE(SUBSTITUTE(BC60," "&amp;DT1376&amp;" "," ")," "&amp;DT1375&amp;" "," "))))+--ISNUMBER(SEARCH("poiré",AX60))),"")</f>
        <v/>
      </c>
      <c r="DE60" s="493" t="str">
        <f>IF(51=51,IF(AW60="","",IF(OR(DC60&gt;0,ISNUMBER(SEARCH(" vinaigre de vin ",BC60)),ISNUMBER(SEARCH(" vinaigre au vin ",BC60))),"X",IF(DD60&gt;0,"?",""))),"")</f>
        <v/>
      </c>
      <c r="DF60" s="493" t="str" cm="1">
        <f t="array" ref="DF60">IF(51=51,IF(AW60="","",SUMPRODUCT(--ISNUMBER(SEARCH(" "&amp;DT2143:DT2155&amp;" ",BC60)))),"")</f>
        <v/>
      </c>
      <c r="DG60" s="493" t="str" cm="1">
        <f t="array" ref="DG60">IF(51=51,IF(AW60="","",SUMPRODUCT(--ISNUMBER(SEARCH(" "&amp;DT2156:DT2161&amp;" ",BC60)))),"")</f>
        <v/>
      </c>
      <c r="DH60" s="493" t="str">
        <f>IF(51=51,IF(AW60="","",IF((DF60)-(0)&gt;0,"X",IF((DG60)-(0)&gt;0,"?",""))),"")</f>
        <v/>
      </c>
      <c r="DI60" s="493" t="str" cm="1">
        <f t="array" ref="DI60">IF(51=51,IF(AW60="","",SUMPRODUCT(--ISNUMBER(SEARCH(" "&amp;DT2162:DT2261&amp;" ",DL60)))),"")</f>
        <v/>
      </c>
      <c r="DJ60" s="493" t="str" cm="1">
        <f t="array" ref="DJ60">IF(51=51,IF(AW60="","",SUMPRODUCT(--ISNUMBER(SEARCH(" "&amp;DT2262:DT2361&amp;" ",DL60)))),"")</f>
        <v/>
      </c>
      <c r="DK60" s="493" t="str" cm="1">
        <f t="array" ref="DK60">IF(51=51,IF(AW60="","",SUMPRODUCT(--ISNUMBER(SEARCH(" "&amp;DT2362:DT2404&amp;" ",DL60)))),"")</f>
        <v/>
      </c>
      <c r="DL60" s="493" t="str">
        <f>IF(51=51,IF(AW60="","",SUBSTITUTE(SUBSTITUTE(SUBSTITUTE(SUBSTITUTE(SUBSTITUTE(SUBSTITUTE(SUBSTITUTE(SUBSTITUTE(SUBSTITUTE(SUBSTITUTE(SUBSTITUTE(SUBSTITUTE(SUBSTITUTE(SUBSTITUTE(SUBSTITUTE(SUBSTITUTE(BC60," "&amp;DT2410&amp;" "," ")," "&amp;DT2409&amp;" "," ")," "&amp;DT2408&amp;" "," ")," "&amp;DT2415&amp;" "," ")," "&amp;DT2407&amp;" "," ")," "&amp;DT2419&amp;" "," ")," "&amp;DT2406&amp;" "," ")," "&amp;DT2411&amp;" "," ")," "&amp;DT2414&amp;" "," ")," "&amp;DT2405&amp;" "," ")," "&amp;DT2413&amp;" "," ")," "&amp;DT2420&amp;" "," ")," "&amp;DT2417&amp;" "," ")," "&amp;DT2412&amp;" "," ")," "&amp;DT2416&amp;" "," ")," "&amp;DT2418&amp;" "," ")),"")</f>
        <v/>
      </c>
      <c r="DM60" s="493" t="str" cm="1">
        <f t="array" ref="DM60">IF(51=51,IF(AW60="","",SUMPRODUCT(--ISNUMBER(SEARCH(" "&amp;DT2421:DT2425&amp;" ",DL60)))),"")</f>
        <v/>
      </c>
      <c r="DN60" s="493" t="str">
        <f>IF(51=51,IF(AW60="","",IF(SUM(DI60:DK60)&gt;0,"X",IF(DM60&gt;0,"?",""))),"")</f>
        <v/>
      </c>
      <c r="DO60" s="494"/>
      <c r="DP60" s="496" t="s">
        <v>1233</v>
      </c>
      <c r="DQ60" s="496" t="s">
        <v>1083</v>
      </c>
      <c r="DR60" s="496" t="s">
        <v>689</v>
      </c>
      <c r="DS60" s="496" t="s">
        <v>1234</v>
      </c>
      <c r="DT60" s="496" t="s">
        <v>41</v>
      </c>
      <c r="DU60" s="496" t="s">
        <v>1085</v>
      </c>
      <c r="DV60" s="496" t="s">
        <v>1086</v>
      </c>
      <c r="DW60" s="496" t="s">
        <v>1087</v>
      </c>
      <c r="DX60" s="497" t="s">
        <v>1088</v>
      </c>
      <c r="DZ60" s="543">
        <v>1</v>
      </c>
      <c r="EB60" s="493"/>
      <c r="EC60" s="493"/>
    </row>
    <row r="61" spans="5:133" ht="21" customHeight="1" thickBot="1">
      <c r="E61" s="716" t="s">
        <v>737</v>
      </c>
      <c r="F61" s="937"/>
      <c r="G61" s="937"/>
      <c r="H61" s="937"/>
      <c r="I61" s="938"/>
      <c r="J61" s="939" t="s">
        <v>230</v>
      </c>
      <c r="K61" s="940" t="str">
        <f ca="1">CELL("nomfichier")</f>
        <v>D:\Données\1.UPRT\0-UPRT.fait\1-UPRT.FR-SITE-WEB\ff-fiches-fabrications\ff.fiches.fabrication.2023\ffr-restaurant-2026\[A-detection-controle-allergenes-restauration.xlsx.xlsx]ALLERGENES.9.Aout.2026</v>
      </c>
      <c r="L61" s="940"/>
      <c r="M61" s="940"/>
      <c r="N61" s="940"/>
      <c r="O61" s="940"/>
      <c r="P61" s="940"/>
      <c r="Q61" s="940"/>
      <c r="R61" s="940"/>
      <c r="S61" s="940"/>
      <c r="T61" s="940"/>
      <c r="U61" s="940"/>
      <c r="V61" s="940"/>
      <c r="W61" s="940"/>
      <c r="X61" s="940"/>
      <c r="Y61" s="941"/>
      <c r="AA61" s="899"/>
      <c r="AC61" s="509">
        <v>46</v>
      </c>
      <c r="AD61" s="808"/>
      <c r="AE61" s="679" t="str">
        <f t="shared" si="9"/>
        <v/>
      </c>
      <c r="AF61" s="512" t="str">
        <f>IF(52=52,IF(AD61="","",IF(AG61="X",""&amp;"Céréales contenant du gluten","")&amp;IF(AH61="X",IF(COUNTIF(AG61:AG61,"X")&gt;0,", ","")&amp;"Crustacés","")&amp;IF(AI61="X",IF(COUNTIF(AG61:AH61,"X")&gt;0,", ","")&amp;"Œufs","")&amp;IF(AJ61="X",IF(COUNTIF(AG61:AI61,"X")&gt;0,", ","")&amp;"Poissons","")&amp;IF(AK61="X",IF(COUNTIF(AG61:AJ61,"X")&gt;0,", ","")&amp;"Arachides","")&amp;IF(AL61="X",IF(COUNTIF(AG61:AK61,"X")&gt;0,", ","")&amp;"Soja","")&amp;IF(AM61="X",IF(COUNTIF(AG61:AL61,"X")&gt;0,", ","")&amp;"Lait","")&amp;IF(AN61="X",IF(COUNTIF(AG61:AM61,"X")&gt;0,", ","")&amp;"Fruits à coque","")&amp;IF(AO61="X",IF(COUNTIF(AG61:AN61,"X")&gt;0,", ","")&amp;"Céleri","")&amp;IF(AP61="X",IF(COUNTIF(AG61:AO61,"X")&gt;0,", ","")&amp;"Moutarde","")&amp;IF(AQ61="X",IF(COUNTIF(AG61:AP61,"X")&gt;0,", ","")&amp;"Sésame","")&amp;IF(AR61="X",IF(COUNTIF(AG61:AQ61,"X")&gt;0,", ","")&amp;"Sulfites","")&amp;IF(AS61="X",IF(COUNTIF(AG61:AR61,"X")&gt;0,", ","")&amp;"Lupin","")&amp;IF(AT61="X",IF(COUNTIF(AG61:AS61,"X")&gt;0,", ","")&amp;"Mollusques","")),"")</f>
        <v/>
      </c>
      <c r="AG61" s="513" t="str">
        <f>IF(52=52,IF(AD61="","",BH61),"")</f>
        <v/>
      </c>
      <c r="AH61" s="513" t="str">
        <f>IF(52=52,IF(AD61="","",BK61),"")</f>
        <v/>
      </c>
      <c r="AI61" s="513" t="str">
        <f>IF(52=52,IF(AD61="","",BO61),"")</f>
        <v/>
      </c>
      <c r="AJ61" s="513" t="str">
        <f>IF(52=52,IF(AD61="","",IF(ISNUMBER(SEARCH(" colin ",BC61)),"X",CB61)),"")</f>
        <v/>
      </c>
      <c r="AK61" s="513" t="str">
        <f>IF(52=52,IF(AD61="","",CD61),"")</f>
        <v/>
      </c>
      <c r="AL61" s="513" t="str">
        <f>IF(52=52,IF(AD61="","",CH61),"")</f>
        <v/>
      </c>
      <c r="AM61" s="513" t="str">
        <f>IF(52=52,IF(AD61="","",CO61),"")</f>
        <v/>
      </c>
      <c r="AN61" s="513" t="str">
        <f>IF(52=52,IF(AD61="","",CS61),"")</f>
        <v/>
      </c>
      <c r="AO61" s="513" t="str">
        <f>IF(52=52,IF(AD61="","",CV61),"")</f>
        <v/>
      </c>
      <c r="AP61" s="513" t="str">
        <f>IF(52=52,IF(AD61="","",CY61),"")</f>
        <v/>
      </c>
      <c r="AQ61" s="513" t="str">
        <f>IF(52=52,IF(AD61="","",DB61),"")</f>
        <v/>
      </c>
      <c r="AR61" s="513" t="str">
        <f>IF(52=52,IF(AD61="","",DE61),"")</f>
        <v/>
      </c>
      <c r="AS61" s="513" t="str">
        <f>IF(52=52,IF(AD61="","",DH61),"")</f>
        <v/>
      </c>
      <c r="AT61" s="513" t="str">
        <f>IF(52=52,IF(AD61="","",DN61),"")</f>
        <v/>
      </c>
      <c r="AU61" s="514" t="str">
        <f>IF(52=52,IF(AD61="","",IF(AG61="?",""&amp;"Céréales contenant du gluten","")&amp;IF(AH61="?",IF(COUNTIF(AG61:AG61,"~?")&gt;0,", ","")&amp;"Crustacés","")&amp;IF(AI61="?",IF(COUNTIF(AG61:AH61,"~?")&gt;0,", ","")&amp;"Œufs","")&amp;IF(AJ61="?",IF(COUNTIF(AG61:AI61,"~?")&gt;0,", ","")&amp;"Poissons","")&amp;IF(AK61="?",IF(COUNTIF(AG61:AJ61,"~?")&gt;0,", ","")&amp;"Arachides","")&amp;IF(AL61="?",IF(COUNTIF(AG61:AK61,"~?")&gt;0,", ","")&amp;"Soja","")&amp;IF(AM61="?",IF(COUNTIF(AG61:AL61,"~?")&gt;0,", ","")&amp;"Lait","")&amp;IF(AN61="?",IF(COUNTIF(AG61:AM61,"~?")&gt;0,", ","")&amp;"Fruits à coque","")&amp;IF(AO61="?",IF(COUNTIF(AG61:AN61,"~?")&gt;0,", ","")&amp;"Céleri","")&amp;IF(AP61="?",IF(COUNTIF(AG61:AO61,"~?")&gt;0,", ","")&amp;"Moutarde","")&amp;IF(AQ61="?",IF(COUNTIF(AG61:AP61,"~?")&gt;0,", ","")&amp;"Sésame","")&amp;IF(AR61="?",IF(COUNTIF(AG61:AQ61,"~?")&gt;0,", ","")&amp;"Sulfites","")&amp;IF(AS61="?",IF(COUNTIF(AG61:AR61,"~?")&gt;0,", ","")&amp;"Lupin","")&amp;IF(AT61="?",IF(COUNTIF(AG61:AS61,"~?")&gt;0,", ","")&amp;"Mollusques","")),"")</f>
        <v/>
      </c>
      <c r="AW61" s="493" t="str">
        <f>IF(52=52,IF(AD61="","",AD61),"")</f>
        <v/>
      </c>
      <c r="AX61" s="493" t="str">
        <f>IF(52=52,LOWER(CLEAN(SUBSTITUTE(SUBSTITUTE(SUBSTITUTE(SUBSTITUTE(AW61,CHAR(160)," ")," "," "),CHAR(10)," "),CHAR(13)," "))),"")</f>
        <v/>
      </c>
      <c r="AY61" s="493" t="str">
        <f>IF(52=52,SUBSTITUTE(SUBSTITUTE(SUBSTITUTE(SUBSTITUTE(SUBSTITUTE(SUBSTITUTE(SUBSTITUTE(SUBSTITUTE(SUBSTITUTE(SUBSTITUTE(SUBSTITUTE(SUBSTITUTE(AX61,"œ","oe"),"æ","ae"),"à","a"),"á","a"),"â","a"),"ä","a"),"ã","a"),"ç","c"),"è","e"),"é","e"),"ê","e"),"ë","e"),"")</f>
        <v/>
      </c>
      <c r="AZ61" s="493" t="str">
        <f>IF(52=52,SUBSTITUTE(SUBSTITUTE(SUBSTITUTE(SUBSTITUTE(SUBSTITUTE(SUBSTITUTE(SUBSTITUTE(SUBSTITUTE(SUBSTITUTE(SUBSTITUTE(SUBSTITUTE(SUBSTITUTE(SUBSTITUTE(SUBSTITUTE(SUBSTITUTE(SUBSTITUTE(AY61,"ì","i"),"í","i"),"î","i"),"ï","i"),"ñ","n"),"ò","o"),"ó","o"),"ô","o"),"ö","o"),"õ","o"),"ù","u"),"ú","u"),"û","u"),"ü","u"),"ý","y"),"ÿ","y"),"")</f>
        <v/>
      </c>
      <c r="BA61" s="493" t="str">
        <f>IF(52=52,SUBSTITUTE(SUBSTITUTE(SUBSTITUTE(SUBSTITUTE(SUBSTITUTE(SUBSTITUTE(SUBSTITUTE(SUBSTITUTE(SUBSTITUTE(SUBSTITUTE(SUBSTITUTE(SUBSTITUTE(SUBSTITUTE(SUBSTITUTE(AZ61,"’"," "),"`"," "),"–"," "),"—"," "),"-"," "),"'"," "),"/"," "),"_"," "),","," "),"."," "),"("," "),")"," "),";"," "),":"," "),"")</f>
        <v/>
      </c>
      <c r="BB61" s="493" t="str">
        <f>IF(52=52,SUBSTITUTE(SUBSTITUTE(SUBSTITUTE(SUBSTITUTE(SUBSTITUTE(SUBSTITUTE(SUBSTITUTE(SUBSTITUTE(SUBSTITUTE(SUBSTITUTE(SUBSTITUTE(SUBSTITUTE(SUBSTITUTE(SUBSTITUTE(SUBSTITUTE(BA61,"!"," "),"?"," "),"+"," "),"*"," "),"&amp;"," "),"["," "),"]"," "),"{"," "),"}"," "),"%"," "),"="," "),"\"," "),"|"," "),"&lt;"," "),"&gt;"," "),"")</f>
        <v/>
      </c>
      <c r="BC61" s="493" t="str">
        <f>IF(52=52," "&amp;TRIM(SUBSTITUTE(SUBSTITUTE(SUBSTITUTE(SUBSTITUTE(SUBSTITUTE(SUBSTITUTE(BB61,CHAR(34)," "),"  "," "),"  "," "),"  "," "),"  "," "),"  "," "))&amp;" ","")</f>
        <v xml:space="preserve">  </v>
      </c>
      <c r="BD61" s="493" t="str" cm="1">
        <f t="array" ref="BD61">IF(52=52,IF(AW61="","",SUMPRODUCT(--ISNUMBER(SEARCH(" "&amp;DT11:DT110&amp;" ",BF61)))),"")</f>
        <v/>
      </c>
      <c r="BE61" s="493" t="str" cm="1">
        <f t="array" ref="BE61">IF(52=52,IF(AW61="","",SUMPRODUCT(--ISNUMBER(SEARCH(" "&amp;DT111:DT160&amp;" ",BF61)))),"")</f>
        <v/>
      </c>
      <c r="BF61" s="493" t="str">
        <f>IF(AW61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61,"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61" s="493" t="str" cm="1">
        <f t="array" ref="BG61">IF(AW61="","",SUMPRODUCT(--ISNUMBER(SEARCH(" "&amp;DT193:DT214&amp;" ",BF61)))+--ISNUMBER(SEARCH(" "&amp;DT2463&amp;" ",BF61)))</f>
        <v/>
      </c>
      <c r="BH61" s="493" t="str" cm="1">
        <f t="array" ref="BH61">IF(52=52,IF(AW61="","",IF(SUM(BD61:BE61)+SUMPRODUCT(--ISNUMBER(SEARCH(" "&amp;DT2427:DT2429&amp;" ",BF61)))&gt;0,"X",IF(BG61&gt;0,"?",""))),"")</f>
        <v/>
      </c>
      <c r="BI61" s="493" t="str" cm="1">
        <f t="array" ref="BI61">IF(52=52,IF(AW61="","",SUMPRODUCT(--ISNUMBER(SEARCH(" "&amp;DT215:DT314&amp;" ",BC61)))),"")</f>
        <v/>
      </c>
      <c r="BJ61" s="493" t="str" cm="1">
        <f t="array" ref="BJ61">IF(52=52,IF(AW61="","",SUMPRODUCT(--ISNUMBER(SEARCH(" "&amp;DT315:DT349&amp;" ",BC61)))),"")</f>
        <v/>
      </c>
      <c r="BK61" s="493" t="str">
        <f>IF(52=52,IF(AW61="","",IF((SUM(BI61:BJ61))-(0)&gt;0,"X",IF((0)-(0)&gt;0,"?",""))),"")</f>
        <v/>
      </c>
      <c r="BL61" s="493" t="str" cm="1">
        <f t="array" ref="BL61">IF(52=52,IF(AW61="","",SUMPRODUCT(--ISNUMBER(SEARCH(" "&amp;DT350:DT407&amp;" ",BC61)))),"")</f>
        <v/>
      </c>
      <c r="BM61" s="493" t="str" cm="1">
        <f t="array" ref="BM61">IF(52=52,IF(AW61="","",SUMPRODUCT(--ISNUMBER(SEARCH(" "&amp;DT408:DT435&amp;" ",BN61)))+SUMPRODUCT(--ISNUMBER(SEARCH(" "&amp;DT2449:DT2462&amp;" ",BN61)))),"")</f>
        <v/>
      </c>
      <c r="BN61" s="493" t="str">
        <f>IF(52=52,IF(AW61="","",SUBSTITUTE(SUBSTITUTE(SUBSTITUTE(SUBSTITUTE(SUBSTITUTE(SUBSTITUTE(SUBSTITUTE(SUBSTITUTE(SUBSTITUTE(SUBSTITUTE(SUBSTITUTE(SUBSTITUTE(SUBSTITUTE(SUBSTITUTE(BC61," "&amp;DT2464&amp;" "," ")," "&amp;DT442&amp;" "," ")," "&amp;DT440&amp;" "," ")," "&amp;DT2447&amp;" "," ")," "&amp;DT2448&amp;" "," ")," "&amp;DT437&amp;" "," ")," "&amp;DT441&amp;" "," ")," "&amp;DT443&amp;" "," ")," "&amp;DT438&amp;" "," ")," "&amp;DT436&amp;" "," ")," "&amp;DT1376&amp;" "," ")," "&amp;DT444&amp;" "," ")," "&amp;DT1375&amp;" "," ")," "&amp;DT439&amp;" "," ")),"")</f>
        <v/>
      </c>
      <c r="BO61" s="493" t="str">
        <f>IF(52=52,IF(AW61="","",IF(BL61&gt;0,"X",IF(BM61&gt;0,"?",""))),"")</f>
        <v/>
      </c>
      <c r="BP61" s="493" t="str" cm="1">
        <f t="array" ref="BP61">IF(52=52,IF(AW61="","",SUMPRODUCT(--ISNUMBER(SEARCH(" "&amp;DT445:DT544&amp;" ",BZ61)))),"")</f>
        <v/>
      </c>
      <c r="BQ61" s="493" t="str" cm="1">
        <f t="array" ref="BQ61">IF(52=52,IF(AW61="","",SUMPRODUCT(--ISNUMBER(SEARCH(" "&amp;DT545:DT644&amp;" ",BZ61)))),"")</f>
        <v/>
      </c>
      <c r="BR61" s="493" t="str" cm="1">
        <f t="array" ref="BR61">IF(52=52,IF(AW61="","",SUMPRODUCT(--ISNUMBER(SEARCH(" "&amp;DT645:DT744&amp;" ",BZ61)))),"")</f>
        <v/>
      </c>
      <c r="BS61" s="493" t="str" cm="1">
        <f t="array" ref="BS61">IF(52=52,IF(AW61="","",SUMPRODUCT(--ISNUMBER(SEARCH(" "&amp;DT745:DT844&amp;" ",BZ61)))),"")</f>
        <v/>
      </c>
      <c r="BT61" s="493" t="str" cm="1">
        <f t="array" ref="BT61">IF(52=52,IF(AW61="","",SUMPRODUCT(--ISNUMBER(SEARCH(" "&amp;DT845:DT944&amp;" ",BZ61)))),"")</f>
        <v/>
      </c>
      <c r="BU61" s="493" t="str" cm="1">
        <f t="array" ref="BU61">IF(52=52,IF(AW61="","",SUMPRODUCT(--ISNUMBER(SEARCH(" "&amp;DT945:DT1044&amp;" ",BZ61)))),"")</f>
        <v/>
      </c>
      <c r="BV61" s="493" t="str" cm="1">
        <f t="array" ref="BV61">IF(52=52,IF(AW61="","",SUMPRODUCT(--ISNUMBER(SEARCH(" "&amp;DT1045:DT1144&amp;" ",BZ61)))),"")</f>
        <v/>
      </c>
      <c r="BW61" s="493" t="str" cm="1">
        <f t="array" ref="BW61">IF(52=52,IF(AW61="","",SUMPRODUCT(--ISNUMBER(SEARCH(" "&amp;DT1145:DT1244&amp;" ",BZ61)))),"")</f>
        <v/>
      </c>
      <c r="BX61" s="493" t="str" cm="1">
        <f t="array" ref="BX61">IF(52=52,IF(AW61="","",SUMPRODUCT(--ISNUMBER(SEARCH(" "&amp;DT1245:DT1344&amp;" ",BZ61)))),"")</f>
        <v/>
      </c>
      <c r="BY61" s="493" t="str" cm="1">
        <f t="array" ref="BY61">IF(52=52,IF(AW61="","",SUMPRODUCT(--ISNUMBER(SEARCH(" "&amp;DT1345:DT1372&amp;" ",BZ61)))),"")</f>
        <v/>
      </c>
      <c r="BZ61" s="493" t="str">
        <f>IF(52=52,IF(AW61="","",SUBSTITUTE(SUBSTITUTE(SUBSTITUTE(SUBSTITUTE(SUBSTITUTE(SUBSTITUTE(SUBSTITUTE(SUBSTITUTE(SUBSTITUTE(BC61," "&amp;DT1374&amp;" "," ")," "&amp;DT1373&amp;" "," ")," "&amp;DT1379&amp;" "," ")," "&amp;DT1380&amp;" "," ")," "&amp;DT1376&amp;" "," ")," "&amp;DT1378&amp;" "," ")," "&amp;DT1375&amp;" "," ")," "&amp;DT1377&amp;" "," ")," "&amp;DT1381&amp;" "," ")),"")</f>
        <v/>
      </c>
      <c r="CA61" s="493" t="str" cm="1">
        <f t="array" ref="CA61">IF(52=52,IF(AW61="","",SUMPRODUCT(--ISNUMBER(SEARCH(" "&amp;DT1382:DT1392&amp;" ",BZ61)))),"")</f>
        <v/>
      </c>
      <c r="CB61" s="493" t="str" cm="1">
        <f t="array" ref="CB61">IF(52=52,IF(AW61="","",IF(SUM(BP61:BY61)+SUMPRODUCT(--ISNUMBER(SEARCH(" "&amp;DT2430:DT2431&amp;" ",BZ61)))&gt;0,"X",IF(CA61&gt;0,"?",""))),"")</f>
        <v/>
      </c>
      <c r="CC61" s="493" t="str" cm="1">
        <f t="array" ref="CC61">IF(52=52,IF(AW61="","",SUMPRODUCT(--ISNUMBER(SEARCH(" "&amp;DT1393:DT1413&amp;" ",BC61)))),"")</f>
        <v/>
      </c>
      <c r="CD61" s="493" t="str">
        <f>IF(52=52,IF(AW61="","",IF((CC61)-(0)&gt;0,"X",IF((0)-(0)&gt;0,"?",""))),"")</f>
        <v/>
      </c>
      <c r="CE61" s="493" t="str" cm="1">
        <f t="array" ref="CE61">IF(52=52,IF(AW61="","",SUMPRODUCT(--ISNUMBER(SEARCH(" "&amp;DT1414:DT1451&amp;" ",CF61)))),"")</f>
        <v/>
      </c>
      <c r="CF61" s="493" t="str">
        <f>IF(52=52,IF(AW61="","",SUBSTITUTE(SUBSTITUTE(BC61," "&amp;DT1452&amp;" "," ")," "&amp;DT1453&amp;" "," ")),"")</f>
        <v/>
      </c>
      <c r="CG61" s="493" t="str" cm="1">
        <f t="array" ref="CG61">IF(52=52,IF(AW61="","",SUMPRODUCT(--ISNUMBER(SEARCH(" "&amp;DT1454:DT1464&amp;" ",CF61)))),"")</f>
        <v/>
      </c>
      <c r="CH61" s="493" t="str">
        <f>IF(52=52,IF(AW61="","",IF(CE61&gt;0,"X",IF(CG61&gt;0,"?",""))),"")</f>
        <v/>
      </c>
      <c r="CI61" s="493" t="str" cm="1">
        <f t="array" ref="CI61">IF(52=52,IF(AW61="","",SUMPRODUCT(--ISNUMBER(SEARCH(" "&amp;DT1465:DT1564&amp;" ",CL61)))),"")</f>
        <v/>
      </c>
      <c r="CJ61" s="493" t="str" cm="1">
        <f t="array" ref="CJ61">IF(52=52,IF(AW61="","",SUMPRODUCT(--ISNUMBER(SEARCH(" "&amp;DT1565:DT1664&amp;" ",CL61)))),"")</f>
        <v/>
      </c>
      <c r="CK61" s="493" t="str" cm="1">
        <f t="array" ref="CK61">IF(52=52,IF(AW61="","",SUMPRODUCT(--ISNUMBER(SEARCH(" "&amp;DT1665:DT1748&amp;" ",CL61)))),"")</f>
        <v/>
      </c>
      <c r="CL61" s="493" t="str">
        <f>IF(52=52,IF(AW61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61,"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61" s="493" t="str" cm="1">
        <f t="array" ref="CM61">IF(52=52,IF(AW61="","",SUMPRODUCT(--ISNUMBER(SEARCH(" "&amp;DT1799:DT1878&amp;" ",CN61)))+SUMPRODUCT(--ISNUMBER(SEARCH(" "&amp;DT2449:DT2462&amp;" ",CN61)))),"")</f>
        <v/>
      </c>
      <c r="CN61" s="493" t="str">
        <f>IF(52=52,IF(AW61="","",SUBSTITUTE(SUBSTITUTE(SUBSTITUTE(SUBSTITUTE(SUBSTITUTE(SUBSTITUTE(SUBSTITUTE(SUBSTITUTE(SUBSTITUTE(SUBSTITUTE(SUBSTITUTE(SUBSTITUTE(SUBSTITUTE(CL61," "&amp;DT1885&amp;" "," ")," "&amp;DT1883&amp;" "," ")," "&amp;DT2447&amp;" "," ")," "&amp;DT2448&amp;" "," ")," "&amp;DT1880&amp;" "," ")," "&amp;DT1884&amp;" "," ")," "&amp;DT1886&amp;" "," ")," "&amp;DT1881&amp;" "," ")," "&amp;DT1879&amp;" "," ")," "&amp;DT1376&amp;" "," ")," "&amp;DT1887&amp;" "," ")," "&amp;DT1375&amp;" "," ")," "&amp;DT1882&amp;" "," ")),"")</f>
        <v/>
      </c>
      <c r="CO61" s="493" t="str" cm="1">
        <f t="array" ref="CO61">IF(52=52,IF(AW61="","",IF(SUM(CI61:CK61)+SUMPRODUCT(--ISNUMBER(SEARCH(" "&amp;DT2432:DT2433&amp;" ",CL61)))&gt;0,"X",IF(CM61&gt;0,"?",""))),"")</f>
        <v/>
      </c>
      <c r="CP61" s="493" t="str" cm="1">
        <f t="array" ref="CP61">IF(52=52,IF(AW61="","",SUMPRODUCT(--ISNUMBER(SEARCH(" "&amp;DT1888:DT1945&amp;" ",CQ61)))),"")</f>
        <v/>
      </c>
      <c r="CQ61" s="493" t="str">
        <f>IF(52=52,IF(AW61="","",SUBSTITUTE(SUBSTITUTE(SUBSTITUTE(SUBSTITUTE(SUBSTITUTE(SUBSTITUTE(SUBSTITUTE(SUBSTITUTE(SUBSTITUTE(SUBSTITUTE(SUBSTITUTE(SUBSTITUTE(SUBSTITUTE(SUBSTITUTE(SUBSTITUTE(SUBSTITUTE(SUBSTITUTE(SUBSTITUTE(SUBSTITUTE(SUBSTITUTE(SUBSTITUTE(SUBSTITUTE(SUBSTITUTE(BC61,"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61" s="493" t="str" cm="1">
        <f t="array" ref="CR61">IF(52=52,IF(AW61="","",SUMPRODUCT(--ISNUMBER(SEARCH(" "&amp;DT1969:DT1985&amp;" ",CQ61)))),"")</f>
        <v/>
      </c>
      <c r="CS61" s="493" t="str">
        <f>IF(52=52,IF(AW61="","",IF(CP61&gt;0,"X",IF(CR61&gt;0,"?",""))),"")</f>
        <v/>
      </c>
      <c r="CT61" s="493" t="str" cm="1">
        <f t="array" ref="CT61">IF(52=52,IF(AW61="","",SUMPRODUCT(--ISNUMBER(SEARCH(" "&amp;DT1986:DT1999&amp;" ",BC61)))),"")</f>
        <v/>
      </c>
      <c r="CU61" s="493" t="str" cm="1">
        <f t="array" ref="CU61">IF(52=52,IF(AW61="","",SUMPRODUCT(--ISNUMBER(SEARCH(" "&amp;DT2000:DT2014&amp;" ",BC61)))),"")</f>
        <v/>
      </c>
      <c r="CV61" s="493" t="str">
        <f>IF(52=52,IF(AW61="","",IF((CT61)-(0)&gt;0,"X",IF((CU61)-(0)&gt;0,"?",""))),"")</f>
        <v/>
      </c>
      <c r="CW61" s="493" t="str" cm="1">
        <f t="array" ref="CW61">IF(52=52,IF(AW61="","",SUMPRODUCT(--ISNUMBER(SEARCH(" "&amp;DT2015:DT2032&amp;" ",BC61)))),"")</f>
        <v/>
      </c>
      <c r="CX61" s="493" t="str" cm="1">
        <f t="array" ref="CX61">IF(52=52,IF(AW61="","",SUMPRODUCT(--ISNUMBER(SEARCH(" "&amp;DT2033:DT2047&amp;" ",BC61)))),"")</f>
        <v/>
      </c>
      <c r="CY61" s="493" t="str">
        <f>IF(52=52,IF(AW61="","",IF((CW61)-(0)&gt;0,"X",IF((CX61)-(0)&gt;0,"?",""))),"")</f>
        <v/>
      </c>
      <c r="CZ61" s="493" t="str" cm="1">
        <f t="array" ref="CZ61">IF(52=52,IF(AW61="","",SUMPRODUCT(--ISNUMBER(SEARCH(" "&amp;DT2048:DT2066&amp;" ",BC61)))),"")</f>
        <v/>
      </c>
      <c r="DA61" s="493" t="str" cm="1">
        <f t="array" ref="DA61">IF(52=52,IF(AW61="","",SUMPRODUCT(--ISNUMBER(SEARCH(" "&amp;DT2067:DT2081&amp;" ",BC61)))),"")</f>
        <v/>
      </c>
      <c r="DB61" s="493" t="str">
        <f>IF(52=52,IF(AW61="","",IF((CZ61)-(0)&gt;0,"X",IF((DA61)-(0)&gt;0,"?",""))),"")</f>
        <v/>
      </c>
      <c r="DC61" s="493" t="str" cm="1">
        <f t="array" ref="DC61">IF(52=52,IF(AW61="","",SUMPRODUCT(--ISNUMBER(SEARCH(" "&amp;DT2082:DT2102&amp;" ",BC61)))),"")</f>
        <v/>
      </c>
      <c r="DD61" s="493" t="str" cm="1">
        <f t="array" ref="DD61">IF(52=52,IF(AW61="","",SUMPRODUCT(--ISNUMBER(SEARCH(" "&amp;DT2103:DT2142&amp;" ",SUBSTITUTE(SUBSTITUTE(BC61," "&amp;DT1376&amp;" "," ")," "&amp;DT1375&amp;" "," "))))+--ISNUMBER(SEARCH("poiré",AX61))),"")</f>
        <v/>
      </c>
      <c r="DE61" s="493" t="str">
        <f>IF(52=52,IF(AW61="","",IF(OR(DC61&gt;0,ISNUMBER(SEARCH(" vinaigre de vin ",BC61)),ISNUMBER(SEARCH(" vinaigre au vin ",BC61))),"X",IF(DD61&gt;0,"?",""))),"")</f>
        <v/>
      </c>
      <c r="DF61" s="493" t="str" cm="1">
        <f t="array" ref="DF61">IF(52=52,IF(AW61="","",SUMPRODUCT(--ISNUMBER(SEARCH(" "&amp;DT2143:DT2155&amp;" ",BC61)))),"")</f>
        <v/>
      </c>
      <c r="DG61" s="493" t="str" cm="1">
        <f t="array" ref="DG61">IF(52=52,IF(AW61="","",SUMPRODUCT(--ISNUMBER(SEARCH(" "&amp;DT2156:DT2161&amp;" ",BC61)))),"")</f>
        <v/>
      </c>
      <c r="DH61" s="493" t="str">
        <f>IF(52=52,IF(AW61="","",IF((DF61)-(0)&gt;0,"X",IF((DG61)-(0)&gt;0,"?",""))),"")</f>
        <v/>
      </c>
      <c r="DI61" s="493" t="str" cm="1">
        <f t="array" ref="DI61">IF(52=52,IF(AW61="","",SUMPRODUCT(--ISNUMBER(SEARCH(" "&amp;DT2162:DT2261&amp;" ",DL61)))),"")</f>
        <v/>
      </c>
      <c r="DJ61" s="493" t="str" cm="1">
        <f t="array" ref="DJ61">IF(52=52,IF(AW61="","",SUMPRODUCT(--ISNUMBER(SEARCH(" "&amp;DT2262:DT2361&amp;" ",DL61)))),"")</f>
        <v/>
      </c>
      <c r="DK61" s="493" t="str" cm="1">
        <f t="array" ref="DK61">IF(52=52,IF(AW61="","",SUMPRODUCT(--ISNUMBER(SEARCH(" "&amp;DT2362:DT2404&amp;" ",DL61)))),"")</f>
        <v/>
      </c>
      <c r="DL61" s="493" t="str">
        <f>IF(52=52,IF(AW61="","",SUBSTITUTE(SUBSTITUTE(SUBSTITUTE(SUBSTITUTE(SUBSTITUTE(SUBSTITUTE(SUBSTITUTE(SUBSTITUTE(SUBSTITUTE(SUBSTITUTE(SUBSTITUTE(SUBSTITUTE(SUBSTITUTE(SUBSTITUTE(SUBSTITUTE(SUBSTITUTE(BC61," "&amp;DT2410&amp;" "," ")," "&amp;DT2409&amp;" "," ")," "&amp;DT2408&amp;" "," ")," "&amp;DT2415&amp;" "," ")," "&amp;DT2407&amp;" "," ")," "&amp;DT2419&amp;" "," ")," "&amp;DT2406&amp;" "," ")," "&amp;DT2411&amp;" "," ")," "&amp;DT2414&amp;" "," ")," "&amp;DT2405&amp;" "," ")," "&amp;DT2413&amp;" "," ")," "&amp;DT2420&amp;" "," ")," "&amp;DT2417&amp;" "," ")," "&amp;DT2412&amp;" "," ")," "&amp;DT2416&amp;" "," ")," "&amp;DT2418&amp;" "," ")),"")</f>
        <v/>
      </c>
      <c r="DM61" s="493" t="str" cm="1">
        <f t="array" ref="DM61">IF(52=52,IF(AW61="","",SUMPRODUCT(--ISNUMBER(SEARCH(" "&amp;DT2421:DT2425&amp;" ",DL61)))),"")</f>
        <v/>
      </c>
      <c r="DN61" s="493" t="str">
        <f>IF(52=52,IF(AW61="","",IF(SUM(DI61:DK61)&gt;0,"X",IF(DM61&gt;0,"?",""))),"")</f>
        <v/>
      </c>
      <c r="DO61" s="494"/>
      <c r="DP61" s="496" t="s">
        <v>1235</v>
      </c>
      <c r="DQ61" s="496" t="s">
        <v>1083</v>
      </c>
      <c r="DR61" s="496" t="s">
        <v>689</v>
      </c>
      <c r="DS61" s="496" t="s">
        <v>1236</v>
      </c>
      <c r="DT61" s="496" t="s">
        <v>1236</v>
      </c>
      <c r="DU61" s="496" t="s">
        <v>1085</v>
      </c>
      <c r="DV61" s="496" t="s">
        <v>1086</v>
      </c>
      <c r="DW61" s="496" t="s">
        <v>1087</v>
      </c>
      <c r="DX61" s="497" t="s">
        <v>1088</v>
      </c>
      <c r="DZ61" s="543">
        <v>1</v>
      </c>
      <c r="EB61" s="493"/>
      <c r="EC61" s="493"/>
    </row>
    <row r="62" spans="5:133" ht="21" customHeight="1" thickBot="1">
      <c r="E62" s="942" t="s">
        <v>737</v>
      </c>
      <c r="F62" s="943" t="s">
        <v>737</v>
      </c>
      <c r="G62" s="943" t="s">
        <v>737</v>
      </c>
      <c r="H62" s="943" t="s">
        <v>737</v>
      </c>
      <c r="I62" s="943" t="s">
        <v>737</v>
      </c>
      <c r="J62" s="944" t="s">
        <v>840</v>
      </c>
      <c r="K62" s="945"/>
      <c r="L62" s="946"/>
      <c r="M62" s="947"/>
      <c r="N62" s="945"/>
      <c r="O62" s="948"/>
      <c r="P62" s="948"/>
      <c r="Q62" s="947"/>
      <c r="R62" s="947"/>
      <c r="S62" s="947"/>
      <c r="T62" s="945"/>
      <c r="U62" s="945"/>
      <c r="V62" s="945"/>
      <c r="W62" s="945"/>
      <c r="X62" s="945"/>
      <c r="Y62" s="949" t="s">
        <v>720</v>
      </c>
      <c r="AA62" s="899"/>
      <c r="AC62" s="509">
        <v>47</v>
      </c>
      <c r="AD62" s="808"/>
      <c r="AE62" s="679" t="str">
        <f t="shared" si="9"/>
        <v/>
      </c>
      <c r="AF62" s="512" t="str">
        <f>IF(53=53,IF(AD62="","",IF(AG62="X",""&amp;"Céréales contenant du gluten","")&amp;IF(AH62="X",IF(COUNTIF(AG62:AG62,"X")&gt;0,", ","")&amp;"Crustacés","")&amp;IF(AI62="X",IF(COUNTIF(AG62:AH62,"X")&gt;0,", ","")&amp;"Œufs","")&amp;IF(AJ62="X",IF(COUNTIF(AG62:AI62,"X")&gt;0,", ","")&amp;"Poissons","")&amp;IF(AK62="X",IF(COUNTIF(AG62:AJ62,"X")&gt;0,", ","")&amp;"Arachides","")&amp;IF(AL62="X",IF(COUNTIF(AG62:AK62,"X")&gt;0,", ","")&amp;"Soja","")&amp;IF(AM62="X",IF(COUNTIF(AG62:AL62,"X")&gt;0,", ","")&amp;"Lait","")&amp;IF(AN62="X",IF(COUNTIF(AG62:AM62,"X")&gt;0,", ","")&amp;"Fruits à coque","")&amp;IF(AO62="X",IF(COUNTIF(AG62:AN62,"X")&gt;0,", ","")&amp;"Céleri","")&amp;IF(AP62="X",IF(COUNTIF(AG62:AO62,"X")&gt;0,", ","")&amp;"Moutarde","")&amp;IF(AQ62="X",IF(COUNTIF(AG62:AP62,"X")&gt;0,", ","")&amp;"Sésame","")&amp;IF(AR62="X",IF(COUNTIF(AG62:AQ62,"X")&gt;0,", ","")&amp;"Sulfites","")&amp;IF(AS62="X",IF(COUNTIF(AG62:AR62,"X")&gt;0,", ","")&amp;"Lupin","")&amp;IF(AT62="X",IF(COUNTIF(AG62:AS62,"X")&gt;0,", ","")&amp;"Mollusques","")),"")</f>
        <v/>
      </c>
      <c r="AG62" s="513" t="str">
        <f>IF(53=53,IF(AD62="","",BH62),"")</f>
        <v/>
      </c>
      <c r="AH62" s="513" t="str">
        <f>IF(53=53,IF(AD62="","",BK62),"")</f>
        <v/>
      </c>
      <c r="AI62" s="513" t="str">
        <f>IF(53=53,IF(AD62="","",BO62),"")</f>
        <v/>
      </c>
      <c r="AJ62" s="513" t="str">
        <f>IF(53=53,IF(AD62="","",IF(ISNUMBER(SEARCH(" colin ",BC62)),"X",CB62)),"")</f>
        <v/>
      </c>
      <c r="AK62" s="513" t="str">
        <f>IF(53=53,IF(AD62="","",CD62),"")</f>
        <v/>
      </c>
      <c r="AL62" s="513" t="str">
        <f>IF(53=53,IF(AD62="","",CH62),"")</f>
        <v/>
      </c>
      <c r="AM62" s="513" t="str">
        <f>IF(53=53,IF(AD62="","",CO62),"")</f>
        <v/>
      </c>
      <c r="AN62" s="513" t="str">
        <f>IF(53=53,IF(AD62="","",CS62),"")</f>
        <v/>
      </c>
      <c r="AO62" s="513" t="str">
        <f>IF(53=53,IF(AD62="","",CV62),"")</f>
        <v/>
      </c>
      <c r="AP62" s="513" t="str">
        <f>IF(53=53,IF(AD62="","",CY62),"")</f>
        <v/>
      </c>
      <c r="AQ62" s="513" t="str">
        <f>IF(53=53,IF(AD62="","",DB62),"")</f>
        <v/>
      </c>
      <c r="AR62" s="513" t="str">
        <f>IF(53=53,IF(AD62="","",DE62),"")</f>
        <v/>
      </c>
      <c r="AS62" s="513" t="str">
        <f>IF(53=53,IF(AD62="","",DH62),"")</f>
        <v/>
      </c>
      <c r="AT62" s="513" t="str">
        <f>IF(53=53,IF(AD62="","",DN62),"")</f>
        <v/>
      </c>
      <c r="AU62" s="514" t="str">
        <f>IF(53=53,IF(AD62="","",IF(AG62="?",""&amp;"Céréales contenant du gluten","")&amp;IF(AH62="?",IF(COUNTIF(AG62:AG62,"~?")&gt;0,", ","")&amp;"Crustacés","")&amp;IF(AI62="?",IF(COUNTIF(AG62:AH62,"~?")&gt;0,", ","")&amp;"Œufs","")&amp;IF(AJ62="?",IF(COUNTIF(AG62:AI62,"~?")&gt;0,", ","")&amp;"Poissons","")&amp;IF(AK62="?",IF(COUNTIF(AG62:AJ62,"~?")&gt;0,", ","")&amp;"Arachides","")&amp;IF(AL62="?",IF(COUNTIF(AG62:AK62,"~?")&gt;0,", ","")&amp;"Soja","")&amp;IF(AM62="?",IF(COUNTIF(AG62:AL62,"~?")&gt;0,", ","")&amp;"Lait","")&amp;IF(AN62="?",IF(COUNTIF(AG62:AM62,"~?")&gt;0,", ","")&amp;"Fruits à coque","")&amp;IF(AO62="?",IF(COUNTIF(AG62:AN62,"~?")&gt;0,", ","")&amp;"Céleri","")&amp;IF(AP62="?",IF(COUNTIF(AG62:AO62,"~?")&gt;0,", ","")&amp;"Moutarde","")&amp;IF(AQ62="?",IF(COUNTIF(AG62:AP62,"~?")&gt;0,", ","")&amp;"Sésame","")&amp;IF(AR62="?",IF(COUNTIF(AG62:AQ62,"~?")&gt;0,", ","")&amp;"Sulfites","")&amp;IF(AS62="?",IF(COUNTIF(AG62:AR62,"~?")&gt;0,", ","")&amp;"Lupin","")&amp;IF(AT62="?",IF(COUNTIF(AG62:AS62,"~?")&gt;0,", ","")&amp;"Mollusques","")),"")</f>
        <v/>
      </c>
      <c r="AW62" s="493" t="str">
        <f>IF(53=53,IF(AD62="","",AD62),"")</f>
        <v/>
      </c>
      <c r="AX62" s="493" t="str">
        <f>IF(53=53,LOWER(CLEAN(SUBSTITUTE(SUBSTITUTE(SUBSTITUTE(SUBSTITUTE(AW62,CHAR(160)," ")," "," "),CHAR(10)," "),CHAR(13)," "))),"")</f>
        <v/>
      </c>
      <c r="AY62" s="493" t="str">
        <f>IF(53=53,SUBSTITUTE(SUBSTITUTE(SUBSTITUTE(SUBSTITUTE(SUBSTITUTE(SUBSTITUTE(SUBSTITUTE(SUBSTITUTE(SUBSTITUTE(SUBSTITUTE(SUBSTITUTE(SUBSTITUTE(AX62,"œ","oe"),"æ","ae"),"à","a"),"á","a"),"â","a"),"ä","a"),"ã","a"),"ç","c"),"è","e"),"é","e"),"ê","e"),"ë","e"),"")</f>
        <v/>
      </c>
      <c r="AZ62" s="493" t="str">
        <f>IF(53=53,SUBSTITUTE(SUBSTITUTE(SUBSTITUTE(SUBSTITUTE(SUBSTITUTE(SUBSTITUTE(SUBSTITUTE(SUBSTITUTE(SUBSTITUTE(SUBSTITUTE(SUBSTITUTE(SUBSTITUTE(SUBSTITUTE(SUBSTITUTE(SUBSTITUTE(SUBSTITUTE(AY62,"ì","i"),"í","i"),"î","i"),"ï","i"),"ñ","n"),"ò","o"),"ó","o"),"ô","o"),"ö","o"),"õ","o"),"ù","u"),"ú","u"),"û","u"),"ü","u"),"ý","y"),"ÿ","y"),"")</f>
        <v/>
      </c>
      <c r="BA62" s="493" t="str">
        <f>IF(53=53,SUBSTITUTE(SUBSTITUTE(SUBSTITUTE(SUBSTITUTE(SUBSTITUTE(SUBSTITUTE(SUBSTITUTE(SUBSTITUTE(SUBSTITUTE(SUBSTITUTE(SUBSTITUTE(SUBSTITUTE(SUBSTITUTE(SUBSTITUTE(AZ62,"’"," "),"`"," "),"–"," "),"—"," "),"-"," "),"'"," "),"/"," "),"_"," "),","," "),"."," "),"("," "),")"," "),";"," "),":"," "),"")</f>
        <v/>
      </c>
      <c r="BB62" s="493" t="str">
        <f>IF(53=53,SUBSTITUTE(SUBSTITUTE(SUBSTITUTE(SUBSTITUTE(SUBSTITUTE(SUBSTITUTE(SUBSTITUTE(SUBSTITUTE(SUBSTITUTE(SUBSTITUTE(SUBSTITUTE(SUBSTITUTE(SUBSTITUTE(SUBSTITUTE(SUBSTITUTE(BA62,"!"," "),"?"," "),"+"," "),"*"," "),"&amp;"," "),"["," "),"]"," "),"{"," "),"}"," "),"%"," "),"="," "),"\"," "),"|"," "),"&lt;"," "),"&gt;"," "),"")</f>
        <v/>
      </c>
      <c r="BC62" s="493" t="str">
        <f>IF(53=53," "&amp;TRIM(SUBSTITUTE(SUBSTITUTE(SUBSTITUTE(SUBSTITUTE(SUBSTITUTE(SUBSTITUTE(BB62,CHAR(34)," "),"  "," "),"  "," "),"  "," "),"  "," "),"  "," "))&amp;" ","")</f>
        <v xml:space="preserve">  </v>
      </c>
      <c r="BD62" s="493" t="str" cm="1">
        <f t="array" ref="BD62">IF(53=53,IF(AW62="","",SUMPRODUCT(--ISNUMBER(SEARCH(" "&amp;DT11:DT110&amp;" ",BF62)))),"")</f>
        <v/>
      </c>
      <c r="BE62" s="493" t="str" cm="1">
        <f t="array" ref="BE62">IF(53=53,IF(AW62="","",SUMPRODUCT(--ISNUMBER(SEARCH(" "&amp;DT111:DT160&amp;" ",BF62)))),"")</f>
        <v/>
      </c>
      <c r="BF62" s="493" t="str">
        <f>IF(AW62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62,"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62" s="493" t="str" cm="1">
        <f t="array" ref="BG62">IF(AW62="","",SUMPRODUCT(--ISNUMBER(SEARCH(" "&amp;DT193:DT214&amp;" ",BF62)))+--ISNUMBER(SEARCH(" "&amp;DT2463&amp;" ",BF62)))</f>
        <v/>
      </c>
      <c r="BH62" s="493" t="str" cm="1">
        <f t="array" ref="BH62">IF(53=53,IF(AW62="","",IF(SUM(BD62:BE62)+SUMPRODUCT(--ISNUMBER(SEARCH(" "&amp;DT2427:DT2429&amp;" ",BF62)))&gt;0,"X",IF(BG62&gt;0,"?",""))),"")</f>
        <v/>
      </c>
      <c r="BI62" s="493" t="str" cm="1">
        <f t="array" ref="BI62">IF(53=53,IF(AW62="","",SUMPRODUCT(--ISNUMBER(SEARCH(" "&amp;DT215:DT314&amp;" ",BC62)))),"")</f>
        <v/>
      </c>
      <c r="BJ62" s="493" t="str" cm="1">
        <f t="array" ref="BJ62">IF(53=53,IF(AW62="","",SUMPRODUCT(--ISNUMBER(SEARCH(" "&amp;DT315:DT349&amp;" ",BC62)))),"")</f>
        <v/>
      </c>
      <c r="BK62" s="493" t="str">
        <f>IF(53=53,IF(AW62="","",IF((SUM(BI62:BJ62))-(0)&gt;0,"X",IF((0)-(0)&gt;0,"?",""))),"")</f>
        <v/>
      </c>
      <c r="BL62" s="493" t="str" cm="1">
        <f t="array" ref="BL62">IF(53=53,IF(AW62="","",SUMPRODUCT(--ISNUMBER(SEARCH(" "&amp;DT350:DT407&amp;" ",BC62)))),"")</f>
        <v/>
      </c>
      <c r="BM62" s="493" t="str" cm="1">
        <f t="array" ref="BM62">IF(53=53,IF(AW62="","",SUMPRODUCT(--ISNUMBER(SEARCH(" "&amp;DT408:DT435&amp;" ",BN62)))+SUMPRODUCT(--ISNUMBER(SEARCH(" "&amp;DT2449:DT2462&amp;" ",BN62)))),"")</f>
        <v/>
      </c>
      <c r="BN62" s="493" t="str">
        <f>IF(53=53,IF(AW62="","",SUBSTITUTE(SUBSTITUTE(SUBSTITUTE(SUBSTITUTE(SUBSTITUTE(SUBSTITUTE(SUBSTITUTE(SUBSTITUTE(SUBSTITUTE(SUBSTITUTE(SUBSTITUTE(SUBSTITUTE(SUBSTITUTE(SUBSTITUTE(BC62," "&amp;DT2464&amp;" "," ")," "&amp;DT442&amp;" "," ")," "&amp;DT440&amp;" "," ")," "&amp;DT2447&amp;" "," ")," "&amp;DT2448&amp;" "," ")," "&amp;DT437&amp;" "," ")," "&amp;DT441&amp;" "," ")," "&amp;DT443&amp;" "," ")," "&amp;DT438&amp;" "," ")," "&amp;DT436&amp;" "," ")," "&amp;DT1376&amp;" "," ")," "&amp;DT444&amp;" "," ")," "&amp;DT1375&amp;" "," ")," "&amp;DT439&amp;" "," ")),"")</f>
        <v/>
      </c>
      <c r="BO62" s="493" t="str">
        <f>IF(53=53,IF(AW62="","",IF(BL62&gt;0,"X",IF(BM62&gt;0,"?",""))),"")</f>
        <v/>
      </c>
      <c r="BP62" s="493" t="str" cm="1">
        <f t="array" ref="BP62">IF(53=53,IF(AW62="","",SUMPRODUCT(--ISNUMBER(SEARCH(" "&amp;DT445:DT544&amp;" ",BZ62)))),"")</f>
        <v/>
      </c>
      <c r="BQ62" s="493" t="str" cm="1">
        <f t="array" ref="BQ62">IF(53=53,IF(AW62="","",SUMPRODUCT(--ISNUMBER(SEARCH(" "&amp;DT545:DT644&amp;" ",BZ62)))),"")</f>
        <v/>
      </c>
      <c r="BR62" s="493" t="str" cm="1">
        <f t="array" ref="BR62">IF(53=53,IF(AW62="","",SUMPRODUCT(--ISNUMBER(SEARCH(" "&amp;DT645:DT744&amp;" ",BZ62)))),"")</f>
        <v/>
      </c>
      <c r="BS62" s="493" t="str" cm="1">
        <f t="array" ref="BS62">IF(53=53,IF(AW62="","",SUMPRODUCT(--ISNUMBER(SEARCH(" "&amp;DT745:DT844&amp;" ",BZ62)))),"")</f>
        <v/>
      </c>
      <c r="BT62" s="493" t="str" cm="1">
        <f t="array" ref="BT62">IF(53=53,IF(AW62="","",SUMPRODUCT(--ISNUMBER(SEARCH(" "&amp;DT845:DT944&amp;" ",BZ62)))),"")</f>
        <v/>
      </c>
      <c r="BU62" s="493" t="str" cm="1">
        <f t="array" ref="BU62">IF(53=53,IF(AW62="","",SUMPRODUCT(--ISNUMBER(SEARCH(" "&amp;DT945:DT1044&amp;" ",BZ62)))),"")</f>
        <v/>
      </c>
      <c r="BV62" s="493" t="str" cm="1">
        <f t="array" ref="BV62">IF(53=53,IF(AW62="","",SUMPRODUCT(--ISNUMBER(SEARCH(" "&amp;DT1045:DT1144&amp;" ",BZ62)))),"")</f>
        <v/>
      </c>
      <c r="BW62" s="493" t="str" cm="1">
        <f t="array" ref="BW62">IF(53=53,IF(AW62="","",SUMPRODUCT(--ISNUMBER(SEARCH(" "&amp;DT1145:DT1244&amp;" ",BZ62)))),"")</f>
        <v/>
      </c>
      <c r="BX62" s="493" t="str" cm="1">
        <f t="array" ref="BX62">IF(53=53,IF(AW62="","",SUMPRODUCT(--ISNUMBER(SEARCH(" "&amp;DT1245:DT1344&amp;" ",BZ62)))),"")</f>
        <v/>
      </c>
      <c r="BY62" s="493" t="str" cm="1">
        <f t="array" ref="BY62">IF(53=53,IF(AW62="","",SUMPRODUCT(--ISNUMBER(SEARCH(" "&amp;DT1345:DT1372&amp;" ",BZ62)))),"")</f>
        <v/>
      </c>
      <c r="BZ62" s="493" t="str">
        <f>IF(53=53,IF(AW62="","",SUBSTITUTE(SUBSTITUTE(SUBSTITUTE(SUBSTITUTE(SUBSTITUTE(SUBSTITUTE(SUBSTITUTE(SUBSTITUTE(SUBSTITUTE(BC62," "&amp;DT1374&amp;" "," ")," "&amp;DT1373&amp;" "," ")," "&amp;DT1379&amp;" "," ")," "&amp;DT1380&amp;" "," ")," "&amp;DT1376&amp;" "," ")," "&amp;DT1378&amp;" "," ")," "&amp;DT1375&amp;" "," ")," "&amp;DT1377&amp;" "," ")," "&amp;DT1381&amp;" "," ")),"")</f>
        <v/>
      </c>
      <c r="CA62" s="493" t="str" cm="1">
        <f t="array" ref="CA62">IF(53=53,IF(AW62="","",SUMPRODUCT(--ISNUMBER(SEARCH(" "&amp;DT1382:DT1392&amp;" ",BZ62)))),"")</f>
        <v/>
      </c>
      <c r="CB62" s="493" t="str" cm="1">
        <f t="array" ref="CB62">IF(53=53,IF(AW62="","",IF(SUM(BP62:BY62)+SUMPRODUCT(--ISNUMBER(SEARCH(" "&amp;DT2430:DT2431&amp;" ",BZ62)))&gt;0,"X",IF(CA62&gt;0,"?",""))),"")</f>
        <v/>
      </c>
      <c r="CC62" s="493" t="str" cm="1">
        <f t="array" ref="CC62">IF(53=53,IF(AW62="","",SUMPRODUCT(--ISNUMBER(SEARCH(" "&amp;DT1393:DT1413&amp;" ",BC62)))),"")</f>
        <v/>
      </c>
      <c r="CD62" s="493" t="str">
        <f>IF(53=53,IF(AW62="","",IF((CC62)-(0)&gt;0,"X",IF((0)-(0)&gt;0,"?",""))),"")</f>
        <v/>
      </c>
      <c r="CE62" s="493" t="str" cm="1">
        <f t="array" ref="CE62">IF(53=53,IF(AW62="","",SUMPRODUCT(--ISNUMBER(SEARCH(" "&amp;DT1414:DT1451&amp;" ",CF62)))),"")</f>
        <v/>
      </c>
      <c r="CF62" s="493" t="str">
        <f>IF(53=53,IF(AW62="","",SUBSTITUTE(SUBSTITUTE(BC62," "&amp;DT1452&amp;" "," ")," "&amp;DT1453&amp;" "," ")),"")</f>
        <v/>
      </c>
      <c r="CG62" s="493" t="str" cm="1">
        <f t="array" ref="CG62">IF(53=53,IF(AW62="","",SUMPRODUCT(--ISNUMBER(SEARCH(" "&amp;DT1454:DT1464&amp;" ",CF62)))),"")</f>
        <v/>
      </c>
      <c r="CH62" s="493" t="str">
        <f>IF(53=53,IF(AW62="","",IF(CE62&gt;0,"X",IF(CG62&gt;0,"?",""))),"")</f>
        <v/>
      </c>
      <c r="CI62" s="493" t="str" cm="1">
        <f t="array" ref="CI62">IF(53=53,IF(AW62="","",SUMPRODUCT(--ISNUMBER(SEARCH(" "&amp;DT1465:DT1564&amp;" ",CL62)))),"")</f>
        <v/>
      </c>
      <c r="CJ62" s="493" t="str" cm="1">
        <f t="array" ref="CJ62">IF(53=53,IF(AW62="","",SUMPRODUCT(--ISNUMBER(SEARCH(" "&amp;DT1565:DT1664&amp;" ",CL62)))),"")</f>
        <v/>
      </c>
      <c r="CK62" s="493" t="str" cm="1">
        <f t="array" ref="CK62">IF(53=53,IF(AW62="","",SUMPRODUCT(--ISNUMBER(SEARCH(" "&amp;DT1665:DT1748&amp;" ",CL62)))),"")</f>
        <v/>
      </c>
      <c r="CL62" s="493" t="str">
        <f>IF(53=53,IF(AW62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62,"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62" s="493" t="str" cm="1">
        <f t="array" ref="CM62">IF(53=53,IF(AW62="","",SUMPRODUCT(--ISNUMBER(SEARCH(" "&amp;DT1799:DT1878&amp;" ",CN62)))+SUMPRODUCT(--ISNUMBER(SEARCH(" "&amp;DT2449:DT2462&amp;" ",CN62)))),"")</f>
        <v/>
      </c>
      <c r="CN62" s="493" t="str">
        <f>IF(53=53,IF(AW62="","",SUBSTITUTE(SUBSTITUTE(SUBSTITUTE(SUBSTITUTE(SUBSTITUTE(SUBSTITUTE(SUBSTITUTE(SUBSTITUTE(SUBSTITUTE(SUBSTITUTE(SUBSTITUTE(SUBSTITUTE(SUBSTITUTE(CL62," "&amp;DT1885&amp;" "," ")," "&amp;DT1883&amp;" "," ")," "&amp;DT2447&amp;" "," ")," "&amp;DT2448&amp;" "," ")," "&amp;DT1880&amp;" "," ")," "&amp;DT1884&amp;" "," ")," "&amp;DT1886&amp;" "," ")," "&amp;DT1881&amp;" "," ")," "&amp;DT1879&amp;" "," ")," "&amp;DT1376&amp;" "," ")," "&amp;DT1887&amp;" "," ")," "&amp;DT1375&amp;" "," ")," "&amp;DT1882&amp;" "," ")),"")</f>
        <v/>
      </c>
      <c r="CO62" s="493" t="str" cm="1">
        <f t="array" ref="CO62">IF(53=53,IF(AW62="","",IF(SUM(CI62:CK62)+SUMPRODUCT(--ISNUMBER(SEARCH(" "&amp;DT2432:DT2433&amp;" ",CL62)))&gt;0,"X",IF(CM62&gt;0,"?",""))),"")</f>
        <v/>
      </c>
      <c r="CP62" s="493" t="str" cm="1">
        <f t="array" ref="CP62">IF(53=53,IF(AW62="","",SUMPRODUCT(--ISNUMBER(SEARCH(" "&amp;DT1888:DT1945&amp;" ",CQ62)))),"")</f>
        <v/>
      </c>
      <c r="CQ62" s="493" t="str">
        <f>IF(53=53,IF(AW62="","",SUBSTITUTE(SUBSTITUTE(SUBSTITUTE(SUBSTITUTE(SUBSTITUTE(SUBSTITUTE(SUBSTITUTE(SUBSTITUTE(SUBSTITUTE(SUBSTITUTE(SUBSTITUTE(SUBSTITUTE(SUBSTITUTE(SUBSTITUTE(SUBSTITUTE(SUBSTITUTE(SUBSTITUTE(SUBSTITUTE(SUBSTITUTE(SUBSTITUTE(SUBSTITUTE(SUBSTITUTE(SUBSTITUTE(BC62,"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62" s="493" t="str" cm="1">
        <f t="array" ref="CR62">IF(53=53,IF(AW62="","",SUMPRODUCT(--ISNUMBER(SEARCH(" "&amp;DT1969:DT1985&amp;" ",CQ62)))),"")</f>
        <v/>
      </c>
      <c r="CS62" s="493" t="str">
        <f>IF(53=53,IF(AW62="","",IF(CP62&gt;0,"X",IF(CR62&gt;0,"?",""))),"")</f>
        <v/>
      </c>
      <c r="CT62" s="493" t="str" cm="1">
        <f t="array" ref="CT62">IF(53=53,IF(AW62="","",SUMPRODUCT(--ISNUMBER(SEARCH(" "&amp;DT1986:DT1999&amp;" ",BC62)))),"")</f>
        <v/>
      </c>
      <c r="CU62" s="493" t="str" cm="1">
        <f t="array" ref="CU62">IF(53=53,IF(AW62="","",SUMPRODUCT(--ISNUMBER(SEARCH(" "&amp;DT2000:DT2014&amp;" ",BC62)))),"")</f>
        <v/>
      </c>
      <c r="CV62" s="493" t="str">
        <f>IF(53=53,IF(AW62="","",IF((CT62)-(0)&gt;0,"X",IF((CU62)-(0)&gt;0,"?",""))),"")</f>
        <v/>
      </c>
      <c r="CW62" s="493" t="str" cm="1">
        <f t="array" ref="CW62">IF(53=53,IF(AW62="","",SUMPRODUCT(--ISNUMBER(SEARCH(" "&amp;DT2015:DT2032&amp;" ",BC62)))),"")</f>
        <v/>
      </c>
      <c r="CX62" s="493" t="str" cm="1">
        <f t="array" ref="CX62">IF(53=53,IF(AW62="","",SUMPRODUCT(--ISNUMBER(SEARCH(" "&amp;DT2033:DT2047&amp;" ",BC62)))),"")</f>
        <v/>
      </c>
      <c r="CY62" s="493" t="str">
        <f>IF(53=53,IF(AW62="","",IF((CW62)-(0)&gt;0,"X",IF((CX62)-(0)&gt;0,"?",""))),"")</f>
        <v/>
      </c>
      <c r="CZ62" s="493" t="str" cm="1">
        <f t="array" ref="CZ62">IF(53=53,IF(AW62="","",SUMPRODUCT(--ISNUMBER(SEARCH(" "&amp;DT2048:DT2066&amp;" ",BC62)))),"")</f>
        <v/>
      </c>
      <c r="DA62" s="493" t="str" cm="1">
        <f t="array" ref="DA62">IF(53=53,IF(AW62="","",SUMPRODUCT(--ISNUMBER(SEARCH(" "&amp;DT2067:DT2081&amp;" ",BC62)))),"")</f>
        <v/>
      </c>
      <c r="DB62" s="493" t="str">
        <f>IF(53=53,IF(AW62="","",IF((CZ62)-(0)&gt;0,"X",IF((DA62)-(0)&gt;0,"?",""))),"")</f>
        <v/>
      </c>
      <c r="DC62" s="493" t="str" cm="1">
        <f t="array" ref="DC62">IF(53=53,IF(AW62="","",SUMPRODUCT(--ISNUMBER(SEARCH(" "&amp;DT2082:DT2102&amp;" ",BC62)))),"")</f>
        <v/>
      </c>
      <c r="DD62" s="493" t="str" cm="1">
        <f t="array" ref="DD62">IF(53=53,IF(AW62="","",SUMPRODUCT(--ISNUMBER(SEARCH(" "&amp;DT2103:DT2142&amp;" ",SUBSTITUTE(SUBSTITUTE(BC62," "&amp;DT1376&amp;" "," ")," "&amp;DT1375&amp;" "," "))))+--ISNUMBER(SEARCH("poiré",AX62))),"")</f>
        <v/>
      </c>
      <c r="DE62" s="493" t="str">
        <f>IF(53=53,IF(AW62="","",IF(OR(DC62&gt;0,ISNUMBER(SEARCH(" vinaigre de vin ",BC62)),ISNUMBER(SEARCH(" vinaigre au vin ",BC62))),"X",IF(DD62&gt;0,"?",""))),"")</f>
        <v/>
      </c>
      <c r="DF62" s="493" t="str" cm="1">
        <f t="array" ref="DF62">IF(53=53,IF(AW62="","",SUMPRODUCT(--ISNUMBER(SEARCH(" "&amp;DT2143:DT2155&amp;" ",BC62)))),"")</f>
        <v/>
      </c>
      <c r="DG62" s="493" t="str" cm="1">
        <f t="array" ref="DG62">IF(53=53,IF(AW62="","",SUMPRODUCT(--ISNUMBER(SEARCH(" "&amp;DT2156:DT2161&amp;" ",BC62)))),"")</f>
        <v/>
      </c>
      <c r="DH62" s="493" t="str">
        <f>IF(53=53,IF(AW62="","",IF((DF62)-(0)&gt;0,"X",IF((DG62)-(0)&gt;0,"?",""))),"")</f>
        <v/>
      </c>
      <c r="DI62" s="493" t="str" cm="1">
        <f t="array" ref="DI62">IF(53=53,IF(AW62="","",SUMPRODUCT(--ISNUMBER(SEARCH(" "&amp;DT2162:DT2261&amp;" ",DL62)))),"")</f>
        <v/>
      </c>
      <c r="DJ62" s="493" t="str" cm="1">
        <f t="array" ref="DJ62">IF(53=53,IF(AW62="","",SUMPRODUCT(--ISNUMBER(SEARCH(" "&amp;DT2262:DT2361&amp;" ",DL62)))),"")</f>
        <v/>
      </c>
      <c r="DK62" s="493" t="str" cm="1">
        <f t="array" ref="DK62">IF(53=53,IF(AW62="","",SUMPRODUCT(--ISNUMBER(SEARCH(" "&amp;DT2362:DT2404&amp;" ",DL62)))),"")</f>
        <v/>
      </c>
      <c r="DL62" s="493" t="str">
        <f>IF(53=53,IF(AW62="","",SUBSTITUTE(SUBSTITUTE(SUBSTITUTE(SUBSTITUTE(SUBSTITUTE(SUBSTITUTE(SUBSTITUTE(SUBSTITUTE(SUBSTITUTE(SUBSTITUTE(SUBSTITUTE(SUBSTITUTE(SUBSTITUTE(SUBSTITUTE(SUBSTITUTE(SUBSTITUTE(BC62," "&amp;DT2410&amp;" "," ")," "&amp;DT2409&amp;" "," ")," "&amp;DT2408&amp;" "," ")," "&amp;DT2415&amp;" "," ")," "&amp;DT2407&amp;" "," ")," "&amp;DT2419&amp;" "," ")," "&amp;DT2406&amp;" "," ")," "&amp;DT2411&amp;" "," ")," "&amp;DT2414&amp;" "," ")," "&amp;DT2405&amp;" "," ")," "&amp;DT2413&amp;" "," ")," "&amp;DT2420&amp;" "," ")," "&amp;DT2417&amp;" "," ")," "&amp;DT2412&amp;" "," ")," "&amp;DT2416&amp;" "," ")," "&amp;DT2418&amp;" "," ")),"")</f>
        <v/>
      </c>
      <c r="DM62" s="493" t="str" cm="1">
        <f t="array" ref="DM62">IF(53=53,IF(AW62="","",SUMPRODUCT(--ISNUMBER(SEARCH(" "&amp;DT2421:DT2425&amp;" ",DL62)))),"")</f>
        <v/>
      </c>
      <c r="DN62" s="493" t="str">
        <f>IF(53=53,IF(AW62="","",IF(SUM(DI62:DK62)&gt;0,"X",IF(DM62&gt;0,"?",""))),"")</f>
        <v/>
      </c>
      <c r="DO62" s="494"/>
      <c r="DP62" s="496" t="s">
        <v>1237</v>
      </c>
      <c r="DQ62" s="496" t="s">
        <v>1083</v>
      </c>
      <c r="DR62" s="496" t="s">
        <v>689</v>
      </c>
      <c r="DS62" s="496" t="s">
        <v>1238</v>
      </c>
      <c r="DT62" s="496" t="s">
        <v>1238</v>
      </c>
      <c r="DU62" s="496" t="s">
        <v>1085</v>
      </c>
      <c r="DV62" s="496" t="s">
        <v>1086</v>
      </c>
      <c r="DW62" s="496" t="s">
        <v>1087</v>
      </c>
      <c r="DX62" s="497" t="s">
        <v>1088</v>
      </c>
      <c r="DZ62" s="543">
        <v>1</v>
      </c>
      <c r="EB62" s="493"/>
      <c r="EC62" s="493"/>
    </row>
    <row r="63" spans="5:133" ht="21" customHeight="1">
      <c r="E63" s="716"/>
      <c r="F63" s="724"/>
      <c r="G63" s="725"/>
      <c r="H63" s="724"/>
      <c r="I63" s="726"/>
      <c r="J63" s="950"/>
      <c r="K63" s="951"/>
      <c r="L63" s="793"/>
      <c r="M63" s="952"/>
      <c r="N63" s="953"/>
      <c r="O63" s="954"/>
      <c r="P63" s="955"/>
      <c r="Q63" s="956"/>
      <c r="R63" s="957"/>
      <c r="S63" s="800"/>
      <c r="T63" s="958"/>
      <c r="U63" s="802"/>
      <c r="V63" s="959"/>
      <c r="W63" s="960"/>
      <c r="X63" s="805"/>
      <c r="Y63" s="816"/>
      <c r="AA63" s="899"/>
      <c r="AC63" s="509">
        <v>48</v>
      </c>
      <c r="AD63" s="808"/>
      <c r="AE63" s="679" t="str">
        <f t="shared" si="9"/>
        <v/>
      </c>
      <c r="AF63" s="512" t="str">
        <f>IF(54=54,IF(AD63="","",IF(AG63="X",""&amp;"Céréales contenant du gluten","")&amp;IF(AH63="X",IF(COUNTIF(AG63:AG63,"X")&gt;0,", ","")&amp;"Crustacés","")&amp;IF(AI63="X",IF(COUNTIF(AG63:AH63,"X")&gt;0,", ","")&amp;"Œufs","")&amp;IF(AJ63="X",IF(COUNTIF(AG63:AI63,"X")&gt;0,", ","")&amp;"Poissons","")&amp;IF(AK63="X",IF(COUNTIF(AG63:AJ63,"X")&gt;0,", ","")&amp;"Arachides","")&amp;IF(AL63="X",IF(COUNTIF(AG63:AK63,"X")&gt;0,", ","")&amp;"Soja","")&amp;IF(AM63="X",IF(COUNTIF(AG63:AL63,"X")&gt;0,", ","")&amp;"Lait","")&amp;IF(AN63="X",IF(COUNTIF(AG63:AM63,"X")&gt;0,", ","")&amp;"Fruits à coque","")&amp;IF(AO63="X",IF(COUNTIF(AG63:AN63,"X")&gt;0,", ","")&amp;"Céleri","")&amp;IF(AP63="X",IF(COUNTIF(AG63:AO63,"X")&gt;0,", ","")&amp;"Moutarde","")&amp;IF(AQ63="X",IF(COUNTIF(AG63:AP63,"X")&gt;0,", ","")&amp;"Sésame","")&amp;IF(AR63="X",IF(COUNTIF(AG63:AQ63,"X")&gt;0,", ","")&amp;"Sulfites","")&amp;IF(AS63="X",IF(COUNTIF(AG63:AR63,"X")&gt;0,", ","")&amp;"Lupin","")&amp;IF(AT63="X",IF(COUNTIF(AG63:AS63,"X")&gt;0,", ","")&amp;"Mollusques","")),"")</f>
        <v/>
      </c>
      <c r="AG63" s="513" t="str">
        <f>IF(54=54,IF(AD63="","",BH63),"")</f>
        <v/>
      </c>
      <c r="AH63" s="513" t="str">
        <f>IF(54=54,IF(AD63="","",BK63),"")</f>
        <v/>
      </c>
      <c r="AI63" s="513" t="str">
        <f>IF(54=54,IF(AD63="","",BO63),"")</f>
        <v/>
      </c>
      <c r="AJ63" s="513" t="str">
        <f>IF(54=54,IF(AD63="","",IF(ISNUMBER(SEARCH(" colin ",BC63)),"X",CB63)),"")</f>
        <v/>
      </c>
      <c r="AK63" s="513" t="str">
        <f>IF(54=54,IF(AD63="","",CD63),"")</f>
        <v/>
      </c>
      <c r="AL63" s="513" t="str">
        <f>IF(54=54,IF(AD63="","",CH63),"")</f>
        <v/>
      </c>
      <c r="AM63" s="513" t="str">
        <f>IF(54=54,IF(AD63="","",CO63),"")</f>
        <v/>
      </c>
      <c r="AN63" s="513" t="str">
        <f>IF(54=54,IF(AD63="","",CS63),"")</f>
        <v/>
      </c>
      <c r="AO63" s="513" t="str">
        <f>IF(54=54,IF(AD63="","",CV63),"")</f>
        <v/>
      </c>
      <c r="AP63" s="513" t="str">
        <f>IF(54=54,IF(AD63="","",CY63),"")</f>
        <v/>
      </c>
      <c r="AQ63" s="513" t="str">
        <f>IF(54=54,IF(AD63="","",DB63),"")</f>
        <v/>
      </c>
      <c r="AR63" s="513" t="str">
        <f>IF(54=54,IF(AD63="","",DE63),"")</f>
        <v/>
      </c>
      <c r="AS63" s="513" t="str">
        <f>IF(54=54,IF(AD63="","",DH63),"")</f>
        <v/>
      </c>
      <c r="AT63" s="513" t="str">
        <f>IF(54=54,IF(AD63="","",DN63),"")</f>
        <v/>
      </c>
      <c r="AU63" s="514" t="str">
        <f>IF(54=54,IF(AD63="","",IF(AG63="?",""&amp;"Céréales contenant du gluten","")&amp;IF(AH63="?",IF(COUNTIF(AG63:AG63,"~?")&gt;0,", ","")&amp;"Crustacés","")&amp;IF(AI63="?",IF(COUNTIF(AG63:AH63,"~?")&gt;0,", ","")&amp;"Œufs","")&amp;IF(AJ63="?",IF(COUNTIF(AG63:AI63,"~?")&gt;0,", ","")&amp;"Poissons","")&amp;IF(AK63="?",IF(COUNTIF(AG63:AJ63,"~?")&gt;0,", ","")&amp;"Arachides","")&amp;IF(AL63="?",IF(COUNTIF(AG63:AK63,"~?")&gt;0,", ","")&amp;"Soja","")&amp;IF(AM63="?",IF(COUNTIF(AG63:AL63,"~?")&gt;0,", ","")&amp;"Lait","")&amp;IF(AN63="?",IF(COUNTIF(AG63:AM63,"~?")&gt;0,", ","")&amp;"Fruits à coque","")&amp;IF(AO63="?",IF(COUNTIF(AG63:AN63,"~?")&gt;0,", ","")&amp;"Céleri","")&amp;IF(AP63="?",IF(COUNTIF(AG63:AO63,"~?")&gt;0,", ","")&amp;"Moutarde","")&amp;IF(AQ63="?",IF(COUNTIF(AG63:AP63,"~?")&gt;0,", ","")&amp;"Sésame","")&amp;IF(AR63="?",IF(COUNTIF(AG63:AQ63,"~?")&gt;0,", ","")&amp;"Sulfites","")&amp;IF(AS63="?",IF(COUNTIF(AG63:AR63,"~?")&gt;0,", ","")&amp;"Lupin","")&amp;IF(AT63="?",IF(COUNTIF(AG63:AS63,"~?")&gt;0,", ","")&amp;"Mollusques","")),"")</f>
        <v/>
      </c>
      <c r="AW63" s="493" t="str">
        <f>IF(54=54,IF(AD63="","",AD63),"")</f>
        <v/>
      </c>
      <c r="AX63" s="493" t="str">
        <f>IF(54=54,LOWER(CLEAN(SUBSTITUTE(SUBSTITUTE(SUBSTITUTE(SUBSTITUTE(AW63,CHAR(160)," ")," "," "),CHAR(10)," "),CHAR(13)," "))),"")</f>
        <v/>
      </c>
      <c r="AY63" s="493" t="str">
        <f>IF(54=54,SUBSTITUTE(SUBSTITUTE(SUBSTITUTE(SUBSTITUTE(SUBSTITUTE(SUBSTITUTE(SUBSTITUTE(SUBSTITUTE(SUBSTITUTE(SUBSTITUTE(SUBSTITUTE(SUBSTITUTE(AX63,"œ","oe"),"æ","ae"),"à","a"),"á","a"),"â","a"),"ä","a"),"ã","a"),"ç","c"),"è","e"),"é","e"),"ê","e"),"ë","e"),"")</f>
        <v/>
      </c>
      <c r="AZ63" s="493" t="str">
        <f>IF(54=54,SUBSTITUTE(SUBSTITUTE(SUBSTITUTE(SUBSTITUTE(SUBSTITUTE(SUBSTITUTE(SUBSTITUTE(SUBSTITUTE(SUBSTITUTE(SUBSTITUTE(SUBSTITUTE(SUBSTITUTE(SUBSTITUTE(SUBSTITUTE(SUBSTITUTE(SUBSTITUTE(AY63,"ì","i"),"í","i"),"î","i"),"ï","i"),"ñ","n"),"ò","o"),"ó","o"),"ô","o"),"ö","o"),"õ","o"),"ù","u"),"ú","u"),"û","u"),"ü","u"),"ý","y"),"ÿ","y"),"")</f>
        <v/>
      </c>
      <c r="BA63" s="493" t="str">
        <f>IF(54=54,SUBSTITUTE(SUBSTITUTE(SUBSTITUTE(SUBSTITUTE(SUBSTITUTE(SUBSTITUTE(SUBSTITUTE(SUBSTITUTE(SUBSTITUTE(SUBSTITUTE(SUBSTITUTE(SUBSTITUTE(SUBSTITUTE(SUBSTITUTE(AZ63,"’"," "),"`"," "),"–"," "),"—"," "),"-"," "),"'"," "),"/"," "),"_"," "),","," "),"."," "),"("," "),")"," "),";"," "),":"," "),"")</f>
        <v/>
      </c>
      <c r="BB63" s="493" t="str">
        <f>IF(54=54,SUBSTITUTE(SUBSTITUTE(SUBSTITUTE(SUBSTITUTE(SUBSTITUTE(SUBSTITUTE(SUBSTITUTE(SUBSTITUTE(SUBSTITUTE(SUBSTITUTE(SUBSTITUTE(SUBSTITUTE(SUBSTITUTE(SUBSTITUTE(SUBSTITUTE(BA63,"!"," "),"?"," "),"+"," "),"*"," "),"&amp;"," "),"["," "),"]"," "),"{"," "),"}"," "),"%"," "),"="," "),"\"," "),"|"," "),"&lt;"," "),"&gt;"," "),"")</f>
        <v/>
      </c>
      <c r="BC63" s="493" t="str">
        <f>IF(54=54," "&amp;TRIM(SUBSTITUTE(SUBSTITUTE(SUBSTITUTE(SUBSTITUTE(SUBSTITUTE(SUBSTITUTE(BB63,CHAR(34)," "),"  "," "),"  "," "),"  "," "),"  "," "),"  "," "))&amp;" ","")</f>
        <v xml:space="preserve">  </v>
      </c>
      <c r="BD63" s="493" t="str" cm="1">
        <f t="array" ref="BD63">IF(54=54,IF(AW63="","",SUMPRODUCT(--ISNUMBER(SEARCH(" "&amp;DT11:DT110&amp;" ",BF63)))),"")</f>
        <v/>
      </c>
      <c r="BE63" s="493" t="str" cm="1">
        <f t="array" ref="BE63">IF(54=54,IF(AW63="","",SUMPRODUCT(--ISNUMBER(SEARCH(" "&amp;DT111:DT160&amp;" ",BF63)))),"")</f>
        <v/>
      </c>
      <c r="BF63" s="493" t="str">
        <f>IF(AW63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63,"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63" s="493" t="str" cm="1">
        <f t="array" ref="BG63">IF(AW63="","",SUMPRODUCT(--ISNUMBER(SEARCH(" "&amp;DT193:DT214&amp;" ",BF63)))+--ISNUMBER(SEARCH(" "&amp;DT2463&amp;" ",BF63)))</f>
        <v/>
      </c>
      <c r="BH63" s="493" t="str" cm="1">
        <f t="array" ref="BH63">IF(54=54,IF(AW63="","",IF(SUM(BD63:BE63)+SUMPRODUCT(--ISNUMBER(SEARCH(" "&amp;DT2427:DT2429&amp;" ",BF63)))&gt;0,"X",IF(BG63&gt;0,"?",""))),"")</f>
        <v/>
      </c>
      <c r="BI63" s="493" t="str" cm="1">
        <f t="array" ref="BI63">IF(54=54,IF(AW63="","",SUMPRODUCT(--ISNUMBER(SEARCH(" "&amp;DT215:DT314&amp;" ",BC63)))),"")</f>
        <v/>
      </c>
      <c r="BJ63" s="493" t="str" cm="1">
        <f t="array" ref="BJ63">IF(54=54,IF(AW63="","",SUMPRODUCT(--ISNUMBER(SEARCH(" "&amp;DT315:DT349&amp;" ",BC63)))),"")</f>
        <v/>
      </c>
      <c r="BK63" s="493" t="str">
        <f>IF(54=54,IF(AW63="","",IF((SUM(BI63:BJ63))-(0)&gt;0,"X",IF((0)-(0)&gt;0,"?",""))),"")</f>
        <v/>
      </c>
      <c r="BL63" s="493" t="str" cm="1">
        <f t="array" ref="BL63">IF(54=54,IF(AW63="","",SUMPRODUCT(--ISNUMBER(SEARCH(" "&amp;DT350:DT407&amp;" ",BC63)))),"")</f>
        <v/>
      </c>
      <c r="BM63" s="493" t="str" cm="1">
        <f t="array" ref="BM63">IF(54=54,IF(AW63="","",SUMPRODUCT(--ISNUMBER(SEARCH(" "&amp;DT408:DT435&amp;" ",BN63)))+SUMPRODUCT(--ISNUMBER(SEARCH(" "&amp;DT2449:DT2462&amp;" ",BN63)))),"")</f>
        <v/>
      </c>
      <c r="BN63" s="493" t="str">
        <f>IF(54=54,IF(AW63="","",SUBSTITUTE(SUBSTITUTE(SUBSTITUTE(SUBSTITUTE(SUBSTITUTE(SUBSTITUTE(SUBSTITUTE(SUBSTITUTE(SUBSTITUTE(SUBSTITUTE(SUBSTITUTE(SUBSTITUTE(SUBSTITUTE(SUBSTITUTE(BC63," "&amp;DT2464&amp;" "," ")," "&amp;DT442&amp;" "," ")," "&amp;DT440&amp;" "," ")," "&amp;DT2447&amp;" "," ")," "&amp;DT2448&amp;" "," ")," "&amp;DT437&amp;" "," ")," "&amp;DT441&amp;" "," ")," "&amp;DT443&amp;" "," ")," "&amp;DT438&amp;" "," ")," "&amp;DT436&amp;" "," ")," "&amp;DT1376&amp;" "," ")," "&amp;DT444&amp;" "," ")," "&amp;DT1375&amp;" "," ")," "&amp;DT439&amp;" "," ")),"")</f>
        <v/>
      </c>
      <c r="BO63" s="493" t="str">
        <f>IF(54=54,IF(AW63="","",IF(BL63&gt;0,"X",IF(BM63&gt;0,"?",""))),"")</f>
        <v/>
      </c>
      <c r="BP63" s="493" t="str" cm="1">
        <f t="array" ref="BP63">IF(54=54,IF(AW63="","",SUMPRODUCT(--ISNUMBER(SEARCH(" "&amp;DT445:DT544&amp;" ",BZ63)))),"")</f>
        <v/>
      </c>
      <c r="BQ63" s="493" t="str" cm="1">
        <f t="array" ref="BQ63">IF(54=54,IF(AW63="","",SUMPRODUCT(--ISNUMBER(SEARCH(" "&amp;DT545:DT644&amp;" ",BZ63)))),"")</f>
        <v/>
      </c>
      <c r="BR63" s="493" t="str" cm="1">
        <f t="array" ref="BR63">IF(54=54,IF(AW63="","",SUMPRODUCT(--ISNUMBER(SEARCH(" "&amp;DT645:DT744&amp;" ",BZ63)))),"")</f>
        <v/>
      </c>
      <c r="BS63" s="493" t="str" cm="1">
        <f t="array" ref="BS63">IF(54=54,IF(AW63="","",SUMPRODUCT(--ISNUMBER(SEARCH(" "&amp;DT745:DT844&amp;" ",BZ63)))),"")</f>
        <v/>
      </c>
      <c r="BT63" s="493" t="str" cm="1">
        <f t="array" ref="BT63">IF(54=54,IF(AW63="","",SUMPRODUCT(--ISNUMBER(SEARCH(" "&amp;DT845:DT944&amp;" ",BZ63)))),"")</f>
        <v/>
      </c>
      <c r="BU63" s="493" t="str" cm="1">
        <f t="array" ref="BU63">IF(54=54,IF(AW63="","",SUMPRODUCT(--ISNUMBER(SEARCH(" "&amp;DT945:DT1044&amp;" ",BZ63)))),"")</f>
        <v/>
      </c>
      <c r="BV63" s="493" t="str" cm="1">
        <f t="array" ref="BV63">IF(54=54,IF(AW63="","",SUMPRODUCT(--ISNUMBER(SEARCH(" "&amp;DT1045:DT1144&amp;" ",BZ63)))),"")</f>
        <v/>
      </c>
      <c r="BW63" s="493" t="str" cm="1">
        <f t="array" ref="BW63">IF(54=54,IF(AW63="","",SUMPRODUCT(--ISNUMBER(SEARCH(" "&amp;DT1145:DT1244&amp;" ",BZ63)))),"")</f>
        <v/>
      </c>
      <c r="BX63" s="493" t="str" cm="1">
        <f t="array" ref="BX63">IF(54=54,IF(AW63="","",SUMPRODUCT(--ISNUMBER(SEARCH(" "&amp;DT1245:DT1344&amp;" ",BZ63)))),"")</f>
        <v/>
      </c>
      <c r="BY63" s="493" t="str" cm="1">
        <f t="array" ref="BY63">IF(54=54,IF(AW63="","",SUMPRODUCT(--ISNUMBER(SEARCH(" "&amp;DT1345:DT1372&amp;" ",BZ63)))),"")</f>
        <v/>
      </c>
      <c r="BZ63" s="493" t="str">
        <f>IF(54=54,IF(AW63="","",SUBSTITUTE(SUBSTITUTE(SUBSTITUTE(SUBSTITUTE(SUBSTITUTE(SUBSTITUTE(SUBSTITUTE(SUBSTITUTE(SUBSTITUTE(BC63," "&amp;DT1374&amp;" "," ")," "&amp;DT1373&amp;" "," ")," "&amp;DT1379&amp;" "," ")," "&amp;DT1380&amp;" "," ")," "&amp;DT1376&amp;" "," ")," "&amp;DT1378&amp;" "," ")," "&amp;DT1375&amp;" "," ")," "&amp;DT1377&amp;" "," ")," "&amp;DT1381&amp;" "," ")),"")</f>
        <v/>
      </c>
      <c r="CA63" s="493" t="str" cm="1">
        <f t="array" ref="CA63">IF(54=54,IF(AW63="","",SUMPRODUCT(--ISNUMBER(SEARCH(" "&amp;DT1382:DT1392&amp;" ",BZ63)))),"")</f>
        <v/>
      </c>
      <c r="CB63" s="493" t="str" cm="1">
        <f t="array" ref="CB63">IF(54=54,IF(AW63="","",IF(SUM(BP63:BY63)+SUMPRODUCT(--ISNUMBER(SEARCH(" "&amp;DT2430:DT2431&amp;" ",BZ63)))&gt;0,"X",IF(CA63&gt;0,"?",""))),"")</f>
        <v/>
      </c>
      <c r="CC63" s="493" t="str" cm="1">
        <f t="array" ref="CC63">IF(54=54,IF(AW63="","",SUMPRODUCT(--ISNUMBER(SEARCH(" "&amp;DT1393:DT1413&amp;" ",BC63)))),"")</f>
        <v/>
      </c>
      <c r="CD63" s="493" t="str">
        <f>IF(54=54,IF(AW63="","",IF((CC63)-(0)&gt;0,"X",IF((0)-(0)&gt;0,"?",""))),"")</f>
        <v/>
      </c>
      <c r="CE63" s="493" t="str" cm="1">
        <f t="array" ref="CE63">IF(54=54,IF(AW63="","",SUMPRODUCT(--ISNUMBER(SEARCH(" "&amp;DT1414:DT1451&amp;" ",CF63)))),"")</f>
        <v/>
      </c>
      <c r="CF63" s="493" t="str">
        <f>IF(54=54,IF(AW63="","",SUBSTITUTE(SUBSTITUTE(BC63," "&amp;DT1452&amp;" "," ")," "&amp;DT1453&amp;" "," ")),"")</f>
        <v/>
      </c>
      <c r="CG63" s="493" t="str" cm="1">
        <f t="array" ref="CG63">IF(54=54,IF(AW63="","",SUMPRODUCT(--ISNUMBER(SEARCH(" "&amp;DT1454:DT1464&amp;" ",CF63)))),"")</f>
        <v/>
      </c>
      <c r="CH63" s="493" t="str">
        <f>IF(54=54,IF(AW63="","",IF(CE63&gt;0,"X",IF(CG63&gt;0,"?",""))),"")</f>
        <v/>
      </c>
      <c r="CI63" s="493" t="str" cm="1">
        <f t="array" ref="CI63">IF(54=54,IF(AW63="","",SUMPRODUCT(--ISNUMBER(SEARCH(" "&amp;DT1465:DT1564&amp;" ",CL63)))),"")</f>
        <v/>
      </c>
      <c r="CJ63" s="493" t="str" cm="1">
        <f t="array" ref="CJ63">IF(54=54,IF(AW63="","",SUMPRODUCT(--ISNUMBER(SEARCH(" "&amp;DT1565:DT1664&amp;" ",CL63)))),"")</f>
        <v/>
      </c>
      <c r="CK63" s="493" t="str" cm="1">
        <f t="array" ref="CK63">IF(54=54,IF(AW63="","",SUMPRODUCT(--ISNUMBER(SEARCH(" "&amp;DT1665:DT1748&amp;" ",CL63)))),"")</f>
        <v/>
      </c>
      <c r="CL63" s="493" t="str">
        <f>IF(54=54,IF(AW63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63,"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63" s="493" t="str" cm="1">
        <f t="array" ref="CM63">IF(54=54,IF(AW63="","",SUMPRODUCT(--ISNUMBER(SEARCH(" "&amp;DT1799:DT1878&amp;" ",CN63)))+SUMPRODUCT(--ISNUMBER(SEARCH(" "&amp;DT2449:DT2462&amp;" ",CN63)))),"")</f>
        <v/>
      </c>
      <c r="CN63" s="493" t="str">
        <f>IF(54=54,IF(AW63="","",SUBSTITUTE(SUBSTITUTE(SUBSTITUTE(SUBSTITUTE(SUBSTITUTE(SUBSTITUTE(SUBSTITUTE(SUBSTITUTE(SUBSTITUTE(SUBSTITUTE(SUBSTITUTE(SUBSTITUTE(SUBSTITUTE(CL63," "&amp;DT1885&amp;" "," ")," "&amp;DT1883&amp;" "," ")," "&amp;DT2447&amp;" "," ")," "&amp;DT2448&amp;" "," ")," "&amp;DT1880&amp;" "," ")," "&amp;DT1884&amp;" "," ")," "&amp;DT1886&amp;" "," ")," "&amp;DT1881&amp;" "," ")," "&amp;DT1879&amp;" "," ")," "&amp;DT1376&amp;" "," ")," "&amp;DT1887&amp;" "," ")," "&amp;DT1375&amp;" "," ")," "&amp;DT1882&amp;" "," ")),"")</f>
        <v/>
      </c>
      <c r="CO63" s="493" t="str" cm="1">
        <f t="array" ref="CO63">IF(54=54,IF(AW63="","",IF(SUM(CI63:CK63)+SUMPRODUCT(--ISNUMBER(SEARCH(" "&amp;DT2432:DT2433&amp;" ",CL63)))&gt;0,"X",IF(CM63&gt;0,"?",""))),"")</f>
        <v/>
      </c>
      <c r="CP63" s="493" t="str" cm="1">
        <f t="array" ref="CP63">IF(54=54,IF(AW63="","",SUMPRODUCT(--ISNUMBER(SEARCH(" "&amp;DT1888:DT1945&amp;" ",CQ63)))),"")</f>
        <v/>
      </c>
      <c r="CQ63" s="493" t="str">
        <f>IF(54=54,IF(AW63="","",SUBSTITUTE(SUBSTITUTE(SUBSTITUTE(SUBSTITUTE(SUBSTITUTE(SUBSTITUTE(SUBSTITUTE(SUBSTITUTE(SUBSTITUTE(SUBSTITUTE(SUBSTITUTE(SUBSTITUTE(SUBSTITUTE(SUBSTITUTE(SUBSTITUTE(SUBSTITUTE(SUBSTITUTE(SUBSTITUTE(SUBSTITUTE(SUBSTITUTE(SUBSTITUTE(SUBSTITUTE(SUBSTITUTE(BC63,"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63" s="493" t="str" cm="1">
        <f t="array" ref="CR63">IF(54=54,IF(AW63="","",SUMPRODUCT(--ISNUMBER(SEARCH(" "&amp;DT1969:DT1985&amp;" ",CQ63)))),"")</f>
        <v/>
      </c>
      <c r="CS63" s="493" t="str">
        <f>IF(54=54,IF(AW63="","",IF(CP63&gt;0,"X",IF(CR63&gt;0,"?",""))),"")</f>
        <v/>
      </c>
      <c r="CT63" s="493" t="str" cm="1">
        <f t="array" ref="CT63">IF(54=54,IF(AW63="","",SUMPRODUCT(--ISNUMBER(SEARCH(" "&amp;DT1986:DT1999&amp;" ",BC63)))),"")</f>
        <v/>
      </c>
      <c r="CU63" s="493" t="str" cm="1">
        <f t="array" ref="CU63">IF(54=54,IF(AW63="","",SUMPRODUCT(--ISNUMBER(SEARCH(" "&amp;DT2000:DT2014&amp;" ",BC63)))),"")</f>
        <v/>
      </c>
      <c r="CV63" s="493" t="str">
        <f>IF(54=54,IF(AW63="","",IF((CT63)-(0)&gt;0,"X",IF((CU63)-(0)&gt;0,"?",""))),"")</f>
        <v/>
      </c>
      <c r="CW63" s="493" t="str" cm="1">
        <f t="array" ref="CW63">IF(54=54,IF(AW63="","",SUMPRODUCT(--ISNUMBER(SEARCH(" "&amp;DT2015:DT2032&amp;" ",BC63)))),"")</f>
        <v/>
      </c>
      <c r="CX63" s="493" t="str" cm="1">
        <f t="array" ref="CX63">IF(54=54,IF(AW63="","",SUMPRODUCT(--ISNUMBER(SEARCH(" "&amp;DT2033:DT2047&amp;" ",BC63)))),"")</f>
        <v/>
      </c>
      <c r="CY63" s="493" t="str">
        <f>IF(54=54,IF(AW63="","",IF((CW63)-(0)&gt;0,"X",IF((CX63)-(0)&gt;0,"?",""))),"")</f>
        <v/>
      </c>
      <c r="CZ63" s="493" t="str" cm="1">
        <f t="array" ref="CZ63">IF(54=54,IF(AW63="","",SUMPRODUCT(--ISNUMBER(SEARCH(" "&amp;DT2048:DT2066&amp;" ",BC63)))),"")</f>
        <v/>
      </c>
      <c r="DA63" s="493" t="str" cm="1">
        <f t="array" ref="DA63">IF(54=54,IF(AW63="","",SUMPRODUCT(--ISNUMBER(SEARCH(" "&amp;DT2067:DT2081&amp;" ",BC63)))),"")</f>
        <v/>
      </c>
      <c r="DB63" s="493" t="str">
        <f>IF(54=54,IF(AW63="","",IF((CZ63)-(0)&gt;0,"X",IF((DA63)-(0)&gt;0,"?",""))),"")</f>
        <v/>
      </c>
      <c r="DC63" s="493" t="str" cm="1">
        <f t="array" ref="DC63">IF(54=54,IF(AW63="","",SUMPRODUCT(--ISNUMBER(SEARCH(" "&amp;DT2082:DT2102&amp;" ",BC63)))),"")</f>
        <v/>
      </c>
      <c r="DD63" s="493" t="str" cm="1">
        <f t="array" ref="DD63">IF(54=54,IF(AW63="","",SUMPRODUCT(--ISNUMBER(SEARCH(" "&amp;DT2103:DT2142&amp;" ",SUBSTITUTE(SUBSTITUTE(BC63," "&amp;DT1376&amp;" "," ")," "&amp;DT1375&amp;" "," "))))+--ISNUMBER(SEARCH("poiré",AX63))),"")</f>
        <v/>
      </c>
      <c r="DE63" s="493" t="str">
        <f>IF(54=54,IF(AW63="","",IF(OR(DC63&gt;0,ISNUMBER(SEARCH(" vinaigre de vin ",BC63)),ISNUMBER(SEARCH(" vinaigre au vin ",BC63))),"X",IF(DD63&gt;0,"?",""))),"")</f>
        <v/>
      </c>
      <c r="DF63" s="493" t="str" cm="1">
        <f t="array" ref="DF63">IF(54=54,IF(AW63="","",SUMPRODUCT(--ISNUMBER(SEARCH(" "&amp;DT2143:DT2155&amp;" ",BC63)))),"")</f>
        <v/>
      </c>
      <c r="DG63" s="493" t="str" cm="1">
        <f t="array" ref="DG63">IF(54=54,IF(AW63="","",SUMPRODUCT(--ISNUMBER(SEARCH(" "&amp;DT2156:DT2161&amp;" ",BC63)))),"")</f>
        <v/>
      </c>
      <c r="DH63" s="493" t="str">
        <f>IF(54=54,IF(AW63="","",IF((DF63)-(0)&gt;0,"X",IF((DG63)-(0)&gt;0,"?",""))),"")</f>
        <v/>
      </c>
      <c r="DI63" s="493" t="str" cm="1">
        <f t="array" ref="DI63">IF(54=54,IF(AW63="","",SUMPRODUCT(--ISNUMBER(SEARCH(" "&amp;DT2162:DT2261&amp;" ",DL63)))),"")</f>
        <v/>
      </c>
      <c r="DJ63" s="493" t="str" cm="1">
        <f t="array" ref="DJ63">IF(54=54,IF(AW63="","",SUMPRODUCT(--ISNUMBER(SEARCH(" "&amp;DT2262:DT2361&amp;" ",DL63)))),"")</f>
        <v/>
      </c>
      <c r="DK63" s="493" t="str" cm="1">
        <f t="array" ref="DK63">IF(54=54,IF(AW63="","",SUMPRODUCT(--ISNUMBER(SEARCH(" "&amp;DT2362:DT2404&amp;" ",DL63)))),"")</f>
        <v/>
      </c>
      <c r="DL63" s="493" t="str">
        <f>IF(54=54,IF(AW63="","",SUBSTITUTE(SUBSTITUTE(SUBSTITUTE(SUBSTITUTE(SUBSTITUTE(SUBSTITUTE(SUBSTITUTE(SUBSTITUTE(SUBSTITUTE(SUBSTITUTE(SUBSTITUTE(SUBSTITUTE(SUBSTITUTE(SUBSTITUTE(SUBSTITUTE(SUBSTITUTE(BC63," "&amp;DT2410&amp;" "," ")," "&amp;DT2409&amp;" "," ")," "&amp;DT2408&amp;" "," ")," "&amp;DT2415&amp;" "," ")," "&amp;DT2407&amp;" "," ")," "&amp;DT2419&amp;" "," ")," "&amp;DT2406&amp;" "," ")," "&amp;DT2411&amp;" "," ")," "&amp;DT2414&amp;" "," ")," "&amp;DT2405&amp;" "," ")," "&amp;DT2413&amp;" "," ")," "&amp;DT2420&amp;" "," ")," "&amp;DT2417&amp;" "," ")," "&amp;DT2412&amp;" "," ")," "&amp;DT2416&amp;" "," ")," "&amp;DT2418&amp;" "," ")),"")</f>
        <v/>
      </c>
      <c r="DM63" s="493" t="str" cm="1">
        <f t="array" ref="DM63">IF(54=54,IF(AW63="","",SUMPRODUCT(--ISNUMBER(SEARCH(" "&amp;DT2421:DT2425&amp;" ",DL63)))),"")</f>
        <v/>
      </c>
      <c r="DN63" s="493" t="str">
        <f>IF(54=54,IF(AW63="","",IF(SUM(DI63:DK63)&gt;0,"X",IF(DM63&gt;0,"?",""))),"")</f>
        <v/>
      </c>
      <c r="DO63" s="494"/>
      <c r="DP63" s="496" t="s">
        <v>1239</v>
      </c>
      <c r="DQ63" s="496" t="s">
        <v>1083</v>
      </c>
      <c r="DR63" s="496" t="s">
        <v>689</v>
      </c>
      <c r="DS63" s="496" t="s">
        <v>1240</v>
      </c>
      <c r="DT63" s="496" t="s">
        <v>1240</v>
      </c>
      <c r="DU63" s="496" t="s">
        <v>1085</v>
      </c>
      <c r="DV63" s="496" t="s">
        <v>1086</v>
      </c>
      <c r="DW63" s="496" t="s">
        <v>1087</v>
      </c>
      <c r="DX63" s="497" t="s">
        <v>1088</v>
      </c>
      <c r="DZ63" s="543">
        <v>1</v>
      </c>
      <c r="EB63" s="493"/>
      <c r="EC63" s="493"/>
    </row>
    <row r="64" spans="5:133" ht="21" customHeight="1">
      <c r="E64" s="716"/>
      <c r="F64" s="724"/>
      <c r="G64" s="725"/>
      <c r="H64" s="724"/>
      <c r="I64" s="726"/>
      <c r="J64" s="950"/>
      <c r="K64" s="951"/>
      <c r="L64" s="793"/>
      <c r="M64" s="952"/>
      <c r="N64" s="953"/>
      <c r="O64" s="954"/>
      <c r="P64" s="955"/>
      <c r="Q64" s="956"/>
      <c r="R64" s="957"/>
      <c r="S64" s="800"/>
      <c r="T64" s="958"/>
      <c r="U64" s="802"/>
      <c r="V64" s="959"/>
      <c r="W64" s="960"/>
      <c r="X64" s="805"/>
      <c r="Y64" s="816"/>
      <c r="AA64" s="899"/>
      <c r="AC64" s="509">
        <v>49</v>
      </c>
      <c r="AD64" s="808"/>
      <c r="AE64" s="679" t="str">
        <f t="shared" si="9"/>
        <v/>
      </c>
      <c r="AF64" s="512" t="str">
        <f>IF(55=55,IF(AD64="","",IF(AG64="X",""&amp;"Céréales contenant du gluten","")&amp;IF(AH64="X",IF(COUNTIF(AG64:AG64,"X")&gt;0,", ","")&amp;"Crustacés","")&amp;IF(AI64="X",IF(COUNTIF(AG64:AH64,"X")&gt;0,", ","")&amp;"Œufs","")&amp;IF(AJ64="X",IF(COUNTIF(AG64:AI64,"X")&gt;0,", ","")&amp;"Poissons","")&amp;IF(AK64="X",IF(COUNTIF(AG64:AJ64,"X")&gt;0,", ","")&amp;"Arachides","")&amp;IF(AL64="X",IF(COUNTIF(AG64:AK64,"X")&gt;0,", ","")&amp;"Soja","")&amp;IF(AM64="X",IF(COUNTIF(AG64:AL64,"X")&gt;0,", ","")&amp;"Lait","")&amp;IF(AN64="X",IF(COUNTIF(AG64:AM64,"X")&gt;0,", ","")&amp;"Fruits à coque","")&amp;IF(AO64="X",IF(COUNTIF(AG64:AN64,"X")&gt;0,", ","")&amp;"Céleri","")&amp;IF(AP64="X",IF(COUNTIF(AG64:AO64,"X")&gt;0,", ","")&amp;"Moutarde","")&amp;IF(AQ64="X",IF(COUNTIF(AG64:AP64,"X")&gt;0,", ","")&amp;"Sésame","")&amp;IF(AR64="X",IF(COUNTIF(AG64:AQ64,"X")&gt;0,", ","")&amp;"Sulfites","")&amp;IF(AS64="X",IF(COUNTIF(AG64:AR64,"X")&gt;0,", ","")&amp;"Lupin","")&amp;IF(AT64="X",IF(COUNTIF(AG64:AS64,"X")&gt;0,", ","")&amp;"Mollusques","")),"")</f>
        <v/>
      </c>
      <c r="AG64" s="513" t="str">
        <f>IF(55=55,IF(AD64="","",BH64),"")</f>
        <v/>
      </c>
      <c r="AH64" s="513" t="str">
        <f>IF(55=55,IF(AD64="","",BK64),"")</f>
        <v/>
      </c>
      <c r="AI64" s="513" t="str">
        <f>IF(55=55,IF(AD64="","",BO64),"")</f>
        <v/>
      </c>
      <c r="AJ64" s="513" t="str">
        <f>IF(55=55,IF(AD64="","",IF(ISNUMBER(SEARCH(" colin ",BC64)),"X",CB64)),"")</f>
        <v/>
      </c>
      <c r="AK64" s="513" t="str">
        <f>IF(55=55,IF(AD64="","",CD64),"")</f>
        <v/>
      </c>
      <c r="AL64" s="513" t="str">
        <f>IF(55=55,IF(AD64="","",CH64),"")</f>
        <v/>
      </c>
      <c r="AM64" s="513" t="str">
        <f>IF(55=55,IF(AD64="","",CO64),"")</f>
        <v/>
      </c>
      <c r="AN64" s="513" t="str">
        <f>IF(55=55,IF(AD64="","",CS64),"")</f>
        <v/>
      </c>
      <c r="AO64" s="513" t="str">
        <f>IF(55=55,IF(AD64="","",CV64),"")</f>
        <v/>
      </c>
      <c r="AP64" s="513" t="str">
        <f>IF(55=55,IF(AD64="","",CY64),"")</f>
        <v/>
      </c>
      <c r="AQ64" s="513" t="str">
        <f>IF(55=55,IF(AD64="","",DB64),"")</f>
        <v/>
      </c>
      <c r="AR64" s="513" t="str">
        <f>IF(55=55,IF(AD64="","",DE64),"")</f>
        <v/>
      </c>
      <c r="AS64" s="513" t="str">
        <f>IF(55=55,IF(AD64="","",DH64),"")</f>
        <v/>
      </c>
      <c r="AT64" s="513" t="str">
        <f>IF(55=55,IF(AD64="","",DN64),"")</f>
        <v/>
      </c>
      <c r="AU64" s="514" t="str">
        <f>IF(55=55,IF(AD64="","",IF(AG64="?",""&amp;"Céréales contenant du gluten","")&amp;IF(AH64="?",IF(COUNTIF(AG64:AG64,"~?")&gt;0,", ","")&amp;"Crustacés","")&amp;IF(AI64="?",IF(COUNTIF(AG64:AH64,"~?")&gt;0,", ","")&amp;"Œufs","")&amp;IF(AJ64="?",IF(COUNTIF(AG64:AI64,"~?")&gt;0,", ","")&amp;"Poissons","")&amp;IF(AK64="?",IF(COUNTIF(AG64:AJ64,"~?")&gt;0,", ","")&amp;"Arachides","")&amp;IF(AL64="?",IF(COUNTIF(AG64:AK64,"~?")&gt;0,", ","")&amp;"Soja","")&amp;IF(AM64="?",IF(COUNTIF(AG64:AL64,"~?")&gt;0,", ","")&amp;"Lait","")&amp;IF(AN64="?",IF(COUNTIF(AG64:AM64,"~?")&gt;0,", ","")&amp;"Fruits à coque","")&amp;IF(AO64="?",IF(COUNTIF(AG64:AN64,"~?")&gt;0,", ","")&amp;"Céleri","")&amp;IF(AP64="?",IF(COUNTIF(AG64:AO64,"~?")&gt;0,", ","")&amp;"Moutarde","")&amp;IF(AQ64="?",IF(COUNTIF(AG64:AP64,"~?")&gt;0,", ","")&amp;"Sésame","")&amp;IF(AR64="?",IF(COUNTIF(AG64:AQ64,"~?")&gt;0,", ","")&amp;"Sulfites","")&amp;IF(AS64="?",IF(COUNTIF(AG64:AR64,"~?")&gt;0,", ","")&amp;"Lupin","")&amp;IF(AT64="?",IF(COUNTIF(AG64:AS64,"~?")&gt;0,", ","")&amp;"Mollusques","")),"")</f>
        <v/>
      </c>
      <c r="AW64" s="493" t="str">
        <f>IF(55=55,IF(AD64="","",AD64),"")</f>
        <v/>
      </c>
      <c r="AX64" s="493" t="str">
        <f>IF(55=55,LOWER(CLEAN(SUBSTITUTE(SUBSTITUTE(SUBSTITUTE(SUBSTITUTE(AW64,CHAR(160)," ")," "," "),CHAR(10)," "),CHAR(13)," "))),"")</f>
        <v/>
      </c>
      <c r="AY64" s="493" t="str">
        <f>IF(55=55,SUBSTITUTE(SUBSTITUTE(SUBSTITUTE(SUBSTITUTE(SUBSTITUTE(SUBSTITUTE(SUBSTITUTE(SUBSTITUTE(SUBSTITUTE(SUBSTITUTE(SUBSTITUTE(SUBSTITUTE(AX64,"œ","oe"),"æ","ae"),"à","a"),"á","a"),"â","a"),"ä","a"),"ã","a"),"ç","c"),"è","e"),"é","e"),"ê","e"),"ë","e"),"")</f>
        <v/>
      </c>
      <c r="AZ64" s="493" t="str">
        <f>IF(55=55,SUBSTITUTE(SUBSTITUTE(SUBSTITUTE(SUBSTITUTE(SUBSTITUTE(SUBSTITUTE(SUBSTITUTE(SUBSTITUTE(SUBSTITUTE(SUBSTITUTE(SUBSTITUTE(SUBSTITUTE(SUBSTITUTE(SUBSTITUTE(SUBSTITUTE(SUBSTITUTE(AY64,"ì","i"),"í","i"),"î","i"),"ï","i"),"ñ","n"),"ò","o"),"ó","o"),"ô","o"),"ö","o"),"õ","o"),"ù","u"),"ú","u"),"û","u"),"ü","u"),"ý","y"),"ÿ","y"),"")</f>
        <v/>
      </c>
      <c r="BA64" s="493" t="str">
        <f>IF(55=55,SUBSTITUTE(SUBSTITUTE(SUBSTITUTE(SUBSTITUTE(SUBSTITUTE(SUBSTITUTE(SUBSTITUTE(SUBSTITUTE(SUBSTITUTE(SUBSTITUTE(SUBSTITUTE(SUBSTITUTE(SUBSTITUTE(SUBSTITUTE(AZ64,"’"," "),"`"," "),"–"," "),"—"," "),"-"," "),"'"," "),"/"," "),"_"," "),","," "),"."," "),"("," "),")"," "),";"," "),":"," "),"")</f>
        <v/>
      </c>
      <c r="BB64" s="493" t="str">
        <f>IF(55=55,SUBSTITUTE(SUBSTITUTE(SUBSTITUTE(SUBSTITUTE(SUBSTITUTE(SUBSTITUTE(SUBSTITUTE(SUBSTITUTE(SUBSTITUTE(SUBSTITUTE(SUBSTITUTE(SUBSTITUTE(SUBSTITUTE(SUBSTITUTE(SUBSTITUTE(BA64,"!"," "),"?"," "),"+"," "),"*"," "),"&amp;"," "),"["," "),"]"," "),"{"," "),"}"," "),"%"," "),"="," "),"\"," "),"|"," "),"&lt;"," "),"&gt;"," "),"")</f>
        <v/>
      </c>
      <c r="BC64" s="493" t="str">
        <f>IF(55=55," "&amp;TRIM(SUBSTITUTE(SUBSTITUTE(SUBSTITUTE(SUBSTITUTE(SUBSTITUTE(SUBSTITUTE(BB64,CHAR(34)," "),"  "," "),"  "," "),"  "," "),"  "," "),"  "," "))&amp;" ","")</f>
        <v xml:space="preserve">  </v>
      </c>
      <c r="BD64" s="493" t="str" cm="1">
        <f t="array" ref="BD64">IF(55=55,IF(AW64="","",SUMPRODUCT(--ISNUMBER(SEARCH(" "&amp;DT11:DT110&amp;" ",BF64)))),"")</f>
        <v/>
      </c>
      <c r="BE64" s="493" t="str" cm="1">
        <f t="array" ref="BE64">IF(55=55,IF(AW64="","",SUMPRODUCT(--ISNUMBER(SEARCH(" "&amp;DT111:DT160&amp;" ",BF64)))),"")</f>
        <v/>
      </c>
      <c r="BF64" s="493" t="str">
        <f>IF(AW64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64,"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64" s="493" t="str" cm="1">
        <f t="array" ref="BG64">IF(AW64="","",SUMPRODUCT(--ISNUMBER(SEARCH(" "&amp;DT193:DT214&amp;" ",BF64)))+--ISNUMBER(SEARCH(" "&amp;DT2463&amp;" ",BF64)))</f>
        <v/>
      </c>
      <c r="BH64" s="493" t="str" cm="1">
        <f t="array" ref="BH64">IF(55=55,IF(AW64="","",IF(SUM(BD64:BE64)+SUMPRODUCT(--ISNUMBER(SEARCH(" "&amp;DT2427:DT2429&amp;" ",BF64)))&gt;0,"X",IF(BG64&gt;0,"?",""))),"")</f>
        <v/>
      </c>
      <c r="BI64" s="493" t="str" cm="1">
        <f t="array" ref="BI64">IF(55=55,IF(AW64="","",SUMPRODUCT(--ISNUMBER(SEARCH(" "&amp;DT215:DT314&amp;" ",BC64)))),"")</f>
        <v/>
      </c>
      <c r="BJ64" s="493" t="str" cm="1">
        <f t="array" ref="BJ64">IF(55=55,IF(AW64="","",SUMPRODUCT(--ISNUMBER(SEARCH(" "&amp;DT315:DT349&amp;" ",BC64)))),"")</f>
        <v/>
      </c>
      <c r="BK64" s="493" t="str">
        <f>IF(55=55,IF(AW64="","",IF((SUM(BI64:BJ64))-(0)&gt;0,"X",IF((0)-(0)&gt;0,"?",""))),"")</f>
        <v/>
      </c>
      <c r="BL64" s="493" t="str" cm="1">
        <f t="array" ref="BL64">IF(55=55,IF(AW64="","",SUMPRODUCT(--ISNUMBER(SEARCH(" "&amp;DT350:DT407&amp;" ",BC64)))),"")</f>
        <v/>
      </c>
      <c r="BM64" s="493" t="str" cm="1">
        <f t="array" ref="BM64">IF(55=55,IF(AW64="","",SUMPRODUCT(--ISNUMBER(SEARCH(" "&amp;DT408:DT435&amp;" ",BN64)))+SUMPRODUCT(--ISNUMBER(SEARCH(" "&amp;DT2449:DT2462&amp;" ",BN64)))),"")</f>
        <v/>
      </c>
      <c r="BN64" s="493" t="str">
        <f>IF(55=55,IF(AW64="","",SUBSTITUTE(SUBSTITUTE(SUBSTITUTE(SUBSTITUTE(SUBSTITUTE(SUBSTITUTE(SUBSTITUTE(SUBSTITUTE(SUBSTITUTE(SUBSTITUTE(SUBSTITUTE(SUBSTITUTE(SUBSTITUTE(SUBSTITUTE(BC64," "&amp;DT2464&amp;" "," ")," "&amp;DT442&amp;" "," ")," "&amp;DT440&amp;" "," ")," "&amp;DT2447&amp;" "," ")," "&amp;DT2448&amp;" "," ")," "&amp;DT437&amp;" "," ")," "&amp;DT441&amp;" "," ")," "&amp;DT443&amp;" "," ")," "&amp;DT438&amp;" "," ")," "&amp;DT436&amp;" "," ")," "&amp;DT1376&amp;" "," ")," "&amp;DT444&amp;" "," ")," "&amp;DT1375&amp;" "," ")," "&amp;DT439&amp;" "," ")),"")</f>
        <v/>
      </c>
      <c r="BO64" s="493" t="str">
        <f>IF(55=55,IF(AW64="","",IF(BL64&gt;0,"X",IF(BM64&gt;0,"?",""))),"")</f>
        <v/>
      </c>
      <c r="BP64" s="493" t="str" cm="1">
        <f t="array" ref="BP64">IF(55=55,IF(AW64="","",SUMPRODUCT(--ISNUMBER(SEARCH(" "&amp;DT445:DT544&amp;" ",BZ64)))),"")</f>
        <v/>
      </c>
      <c r="BQ64" s="493" t="str" cm="1">
        <f t="array" ref="BQ64">IF(55=55,IF(AW64="","",SUMPRODUCT(--ISNUMBER(SEARCH(" "&amp;DT545:DT644&amp;" ",BZ64)))),"")</f>
        <v/>
      </c>
      <c r="BR64" s="493" t="str" cm="1">
        <f t="array" ref="BR64">IF(55=55,IF(AW64="","",SUMPRODUCT(--ISNUMBER(SEARCH(" "&amp;DT645:DT744&amp;" ",BZ64)))),"")</f>
        <v/>
      </c>
      <c r="BS64" s="493" t="str" cm="1">
        <f t="array" ref="BS64">IF(55=55,IF(AW64="","",SUMPRODUCT(--ISNUMBER(SEARCH(" "&amp;DT745:DT844&amp;" ",BZ64)))),"")</f>
        <v/>
      </c>
      <c r="BT64" s="493" t="str" cm="1">
        <f t="array" ref="BT64">IF(55=55,IF(AW64="","",SUMPRODUCT(--ISNUMBER(SEARCH(" "&amp;DT845:DT944&amp;" ",BZ64)))),"")</f>
        <v/>
      </c>
      <c r="BU64" s="493" t="str" cm="1">
        <f t="array" ref="BU64">IF(55=55,IF(AW64="","",SUMPRODUCT(--ISNUMBER(SEARCH(" "&amp;DT945:DT1044&amp;" ",BZ64)))),"")</f>
        <v/>
      </c>
      <c r="BV64" s="493" t="str" cm="1">
        <f t="array" ref="BV64">IF(55=55,IF(AW64="","",SUMPRODUCT(--ISNUMBER(SEARCH(" "&amp;DT1045:DT1144&amp;" ",BZ64)))),"")</f>
        <v/>
      </c>
      <c r="BW64" s="493" t="str" cm="1">
        <f t="array" ref="BW64">IF(55=55,IF(AW64="","",SUMPRODUCT(--ISNUMBER(SEARCH(" "&amp;DT1145:DT1244&amp;" ",BZ64)))),"")</f>
        <v/>
      </c>
      <c r="BX64" s="493" t="str" cm="1">
        <f t="array" ref="BX64">IF(55=55,IF(AW64="","",SUMPRODUCT(--ISNUMBER(SEARCH(" "&amp;DT1245:DT1344&amp;" ",BZ64)))),"")</f>
        <v/>
      </c>
      <c r="BY64" s="493" t="str" cm="1">
        <f t="array" ref="BY64">IF(55=55,IF(AW64="","",SUMPRODUCT(--ISNUMBER(SEARCH(" "&amp;DT1345:DT1372&amp;" ",BZ64)))),"")</f>
        <v/>
      </c>
      <c r="BZ64" s="493" t="str">
        <f>IF(55=55,IF(AW64="","",SUBSTITUTE(SUBSTITUTE(SUBSTITUTE(SUBSTITUTE(SUBSTITUTE(SUBSTITUTE(SUBSTITUTE(SUBSTITUTE(SUBSTITUTE(BC64," "&amp;DT1374&amp;" "," ")," "&amp;DT1373&amp;" "," ")," "&amp;DT1379&amp;" "," ")," "&amp;DT1380&amp;" "," ")," "&amp;DT1376&amp;" "," ")," "&amp;DT1378&amp;" "," ")," "&amp;DT1375&amp;" "," ")," "&amp;DT1377&amp;" "," ")," "&amp;DT1381&amp;" "," ")),"")</f>
        <v/>
      </c>
      <c r="CA64" s="493" t="str" cm="1">
        <f t="array" ref="CA64">IF(55=55,IF(AW64="","",SUMPRODUCT(--ISNUMBER(SEARCH(" "&amp;DT1382:DT1392&amp;" ",BZ64)))),"")</f>
        <v/>
      </c>
      <c r="CB64" s="493" t="str" cm="1">
        <f t="array" ref="CB64">IF(55=55,IF(AW64="","",IF(SUM(BP64:BY64)+SUMPRODUCT(--ISNUMBER(SEARCH(" "&amp;DT2430:DT2431&amp;" ",BZ64)))&gt;0,"X",IF(CA64&gt;0,"?",""))),"")</f>
        <v/>
      </c>
      <c r="CC64" s="493" t="str" cm="1">
        <f t="array" ref="CC64">IF(55=55,IF(AW64="","",SUMPRODUCT(--ISNUMBER(SEARCH(" "&amp;DT1393:DT1413&amp;" ",BC64)))),"")</f>
        <v/>
      </c>
      <c r="CD64" s="493" t="str">
        <f>IF(55=55,IF(AW64="","",IF((CC64)-(0)&gt;0,"X",IF((0)-(0)&gt;0,"?",""))),"")</f>
        <v/>
      </c>
      <c r="CE64" s="493" t="str" cm="1">
        <f t="array" ref="CE64">IF(55=55,IF(AW64="","",SUMPRODUCT(--ISNUMBER(SEARCH(" "&amp;DT1414:DT1451&amp;" ",CF64)))),"")</f>
        <v/>
      </c>
      <c r="CF64" s="493" t="str">
        <f>IF(55=55,IF(AW64="","",SUBSTITUTE(SUBSTITUTE(BC64," "&amp;DT1452&amp;" "," ")," "&amp;DT1453&amp;" "," ")),"")</f>
        <v/>
      </c>
      <c r="CG64" s="493" t="str" cm="1">
        <f t="array" ref="CG64">IF(55=55,IF(AW64="","",SUMPRODUCT(--ISNUMBER(SEARCH(" "&amp;DT1454:DT1464&amp;" ",CF64)))),"")</f>
        <v/>
      </c>
      <c r="CH64" s="493" t="str">
        <f>IF(55=55,IF(AW64="","",IF(CE64&gt;0,"X",IF(CG64&gt;0,"?",""))),"")</f>
        <v/>
      </c>
      <c r="CI64" s="493" t="str" cm="1">
        <f t="array" ref="CI64">IF(55=55,IF(AW64="","",SUMPRODUCT(--ISNUMBER(SEARCH(" "&amp;DT1465:DT1564&amp;" ",CL64)))),"")</f>
        <v/>
      </c>
      <c r="CJ64" s="493" t="str" cm="1">
        <f t="array" ref="CJ64">IF(55=55,IF(AW64="","",SUMPRODUCT(--ISNUMBER(SEARCH(" "&amp;DT1565:DT1664&amp;" ",CL64)))),"")</f>
        <v/>
      </c>
      <c r="CK64" s="493" t="str" cm="1">
        <f t="array" ref="CK64">IF(55=55,IF(AW64="","",SUMPRODUCT(--ISNUMBER(SEARCH(" "&amp;DT1665:DT1748&amp;" ",CL64)))),"")</f>
        <v/>
      </c>
      <c r="CL64" s="493" t="str">
        <f>IF(55=55,IF(AW64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64,"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64" s="493" t="str" cm="1">
        <f t="array" ref="CM64">IF(55=55,IF(AW64="","",SUMPRODUCT(--ISNUMBER(SEARCH(" "&amp;DT1799:DT1878&amp;" ",CN64)))+SUMPRODUCT(--ISNUMBER(SEARCH(" "&amp;DT2449:DT2462&amp;" ",CN64)))),"")</f>
        <v/>
      </c>
      <c r="CN64" s="493" t="str">
        <f>IF(55=55,IF(AW64="","",SUBSTITUTE(SUBSTITUTE(SUBSTITUTE(SUBSTITUTE(SUBSTITUTE(SUBSTITUTE(SUBSTITUTE(SUBSTITUTE(SUBSTITUTE(SUBSTITUTE(SUBSTITUTE(SUBSTITUTE(SUBSTITUTE(CL64," "&amp;DT1885&amp;" "," ")," "&amp;DT1883&amp;" "," ")," "&amp;DT2447&amp;" "," ")," "&amp;DT2448&amp;" "," ")," "&amp;DT1880&amp;" "," ")," "&amp;DT1884&amp;" "," ")," "&amp;DT1886&amp;" "," ")," "&amp;DT1881&amp;" "," ")," "&amp;DT1879&amp;" "," ")," "&amp;DT1376&amp;" "," ")," "&amp;DT1887&amp;" "," ")," "&amp;DT1375&amp;" "," ")," "&amp;DT1882&amp;" "," ")),"")</f>
        <v/>
      </c>
      <c r="CO64" s="493" t="str" cm="1">
        <f t="array" ref="CO64">IF(55=55,IF(AW64="","",IF(SUM(CI64:CK64)+SUMPRODUCT(--ISNUMBER(SEARCH(" "&amp;DT2432:DT2433&amp;" ",CL64)))&gt;0,"X",IF(CM64&gt;0,"?",""))),"")</f>
        <v/>
      </c>
      <c r="CP64" s="493" t="str" cm="1">
        <f t="array" ref="CP64">IF(55=55,IF(AW64="","",SUMPRODUCT(--ISNUMBER(SEARCH(" "&amp;DT1888:DT1945&amp;" ",CQ64)))),"")</f>
        <v/>
      </c>
      <c r="CQ64" s="493" t="str">
        <f>IF(55=55,IF(AW64="","",SUBSTITUTE(SUBSTITUTE(SUBSTITUTE(SUBSTITUTE(SUBSTITUTE(SUBSTITUTE(SUBSTITUTE(SUBSTITUTE(SUBSTITUTE(SUBSTITUTE(SUBSTITUTE(SUBSTITUTE(SUBSTITUTE(SUBSTITUTE(SUBSTITUTE(SUBSTITUTE(SUBSTITUTE(SUBSTITUTE(SUBSTITUTE(SUBSTITUTE(SUBSTITUTE(SUBSTITUTE(SUBSTITUTE(BC64,"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64" s="493" t="str" cm="1">
        <f t="array" ref="CR64">IF(55=55,IF(AW64="","",SUMPRODUCT(--ISNUMBER(SEARCH(" "&amp;DT1969:DT1985&amp;" ",CQ64)))),"")</f>
        <v/>
      </c>
      <c r="CS64" s="493" t="str">
        <f>IF(55=55,IF(AW64="","",IF(CP64&gt;0,"X",IF(CR64&gt;0,"?",""))),"")</f>
        <v/>
      </c>
      <c r="CT64" s="493" t="str" cm="1">
        <f t="array" ref="CT64">IF(55=55,IF(AW64="","",SUMPRODUCT(--ISNUMBER(SEARCH(" "&amp;DT1986:DT1999&amp;" ",BC64)))),"")</f>
        <v/>
      </c>
      <c r="CU64" s="493" t="str" cm="1">
        <f t="array" ref="CU64">IF(55=55,IF(AW64="","",SUMPRODUCT(--ISNUMBER(SEARCH(" "&amp;DT2000:DT2014&amp;" ",BC64)))),"")</f>
        <v/>
      </c>
      <c r="CV64" s="493" t="str">
        <f>IF(55=55,IF(AW64="","",IF((CT64)-(0)&gt;0,"X",IF((CU64)-(0)&gt;0,"?",""))),"")</f>
        <v/>
      </c>
      <c r="CW64" s="493" t="str" cm="1">
        <f t="array" ref="CW64">IF(55=55,IF(AW64="","",SUMPRODUCT(--ISNUMBER(SEARCH(" "&amp;DT2015:DT2032&amp;" ",BC64)))),"")</f>
        <v/>
      </c>
      <c r="CX64" s="493" t="str" cm="1">
        <f t="array" ref="CX64">IF(55=55,IF(AW64="","",SUMPRODUCT(--ISNUMBER(SEARCH(" "&amp;DT2033:DT2047&amp;" ",BC64)))),"")</f>
        <v/>
      </c>
      <c r="CY64" s="493" t="str">
        <f>IF(55=55,IF(AW64="","",IF((CW64)-(0)&gt;0,"X",IF((CX64)-(0)&gt;0,"?",""))),"")</f>
        <v/>
      </c>
      <c r="CZ64" s="493" t="str" cm="1">
        <f t="array" ref="CZ64">IF(55=55,IF(AW64="","",SUMPRODUCT(--ISNUMBER(SEARCH(" "&amp;DT2048:DT2066&amp;" ",BC64)))),"")</f>
        <v/>
      </c>
      <c r="DA64" s="493" t="str" cm="1">
        <f t="array" ref="DA64">IF(55=55,IF(AW64="","",SUMPRODUCT(--ISNUMBER(SEARCH(" "&amp;DT2067:DT2081&amp;" ",BC64)))),"")</f>
        <v/>
      </c>
      <c r="DB64" s="493" t="str">
        <f>IF(55=55,IF(AW64="","",IF((CZ64)-(0)&gt;0,"X",IF((DA64)-(0)&gt;0,"?",""))),"")</f>
        <v/>
      </c>
      <c r="DC64" s="493" t="str" cm="1">
        <f t="array" ref="DC64">IF(55=55,IF(AW64="","",SUMPRODUCT(--ISNUMBER(SEARCH(" "&amp;DT2082:DT2102&amp;" ",BC64)))),"")</f>
        <v/>
      </c>
      <c r="DD64" s="493" t="str" cm="1">
        <f t="array" ref="DD64">IF(55=55,IF(AW64="","",SUMPRODUCT(--ISNUMBER(SEARCH(" "&amp;DT2103:DT2142&amp;" ",SUBSTITUTE(SUBSTITUTE(BC64," "&amp;DT1376&amp;" "," ")," "&amp;DT1375&amp;" "," "))))+--ISNUMBER(SEARCH("poiré",AX64))),"")</f>
        <v/>
      </c>
      <c r="DE64" s="493" t="str">
        <f>IF(55=55,IF(AW64="","",IF(OR(DC64&gt;0,ISNUMBER(SEARCH(" vinaigre de vin ",BC64)),ISNUMBER(SEARCH(" vinaigre au vin ",BC64))),"X",IF(DD64&gt;0,"?",""))),"")</f>
        <v/>
      </c>
      <c r="DF64" s="493" t="str" cm="1">
        <f t="array" ref="DF64">IF(55=55,IF(AW64="","",SUMPRODUCT(--ISNUMBER(SEARCH(" "&amp;DT2143:DT2155&amp;" ",BC64)))),"")</f>
        <v/>
      </c>
      <c r="DG64" s="493" t="str" cm="1">
        <f t="array" ref="DG64">IF(55=55,IF(AW64="","",SUMPRODUCT(--ISNUMBER(SEARCH(" "&amp;DT2156:DT2161&amp;" ",BC64)))),"")</f>
        <v/>
      </c>
      <c r="DH64" s="493" t="str">
        <f>IF(55=55,IF(AW64="","",IF((DF64)-(0)&gt;0,"X",IF((DG64)-(0)&gt;0,"?",""))),"")</f>
        <v/>
      </c>
      <c r="DI64" s="493" t="str" cm="1">
        <f t="array" ref="DI64">IF(55=55,IF(AW64="","",SUMPRODUCT(--ISNUMBER(SEARCH(" "&amp;DT2162:DT2261&amp;" ",DL64)))),"")</f>
        <v/>
      </c>
      <c r="DJ64" s="493" t="str" cm="1">
        <f t="array" ref="DJ64">IF(55=55,IF(AW64="","",SUMPRODUCT(--ISNUMBER(SEARCH(" "&amp;DT2262:DT2361&amp;" ",DL64)))),"")</f>
        <v/>
      </c>
      <c r="DK64" s="493" t="str" cm="1">
        <f t="array" ref="DK64">IF(55=55,IF(AW64="","",SUMPRODUCT(--ISNUMBER(SEARCH(" "&amp;DT2362:DT2404&amp;" ",DL64)))),"")</f>
        <v/>
      </c>
      <c r="DL64" s="493" t="str">
        <f>IF(55=55,IF(AW64="","",SUBSTITUTE(SUBSTITUTE(SUBSTITUTE(SUBSTITUTE(SUBSTITUTE(SUBSTITUTE(SUBSTITUTE(SUBSTITUTE(SUBSTITUTE(SUBSTITUTE(SUBSTITUTE(SUBSTITUTE(SUBSTITUTE(SUBSTITUTE(SUBSTITUTE(SUBSTITUTE(BC64," "&amp;DT2410&amp;" "," ")," "&amp;DT2409&amp;" "," ")," "&amp;DT2408&amp;" "," ")," "&amp;DT2415&amp;" "," ")," "&amp;DT2407&amp;" "," ")," "&amp;DT2419&amp;" "," ")," "&amp;DT2406&amp;" "," ")," "&amp;DT2411&amp;" "," ")," "&amp;DT2414&amp;" "," ")," "&amp;DT2405&amp;" "," ")," "&amp;DT2413&amp;" "," ")," "&amp;DT2420&amp;" "," ")," "&amp;DT2417&amp;" "," ")," "&amp;DT2412&amp;" "," ")," "&amp;DT2416&amp;" "," ")," "&amp;DT2418&amp;" "," ")),"")</f>
        <v/>
      </c>
      <c r="DM64" s="493" t="str" cm="1">
        <f t="array" ref="DM64">IF(55=55,IF(AW64="","",SUMPRODUCT(--ISNUMBER(SEARCH(" "&amp;DT2421:DT2425&amp;" ",DL64)))),"")</f>
        <v/>
      </c>
      <c r="DN64" s="493" t="str">
        <f>IF(55=55,IF(AW64="","",IF(SUM(DI64:DK64)&gt;0,"X",IF(DM64&gt;0,"?",""))),"")</f>
        <v/>
      </c>
      <c r="DO64" s="494"/>
      <c r="DP64" s="496" t="s">
        <v>1241</v>
      </c>
      <c r="DQ64" s="496" t="s">
        <v>1083</v>
      </c>
      <c r="DR64" s="496" t="s">
        <v>689</v>
      </c>
      <c r="DS64" s="496" t="s">
        <v>1242</v>
      </c>
      <c r="DT64" s="496" t="s">
        <v>1242</v>
      </c>
      <c r="DU64" s="496" t="s">
        <v>1085</v>
      </c>
      <c r="DV64" s="496" t="s">
        <v>1086</v>
      </c>
      <c r="DW64" s="496" t="s">
        <v>1087</v>
      </c>
      <c r="DX64" s="497" t="s">
        <v>1088</v>
      </c>
      <c r="DZ64" s="543">
        <v>1</v>
      </c>
      <c r="EB64" s="493"/>
      <c r="EC64" s="493"/>
    </row>
    <row r="65" spans="5:133" ht="21" customHeight="1">
      <c r="E65" s="716"/>
      <c r="F65" s="724"/>
      <c r="G65" s="725"/>
      <c r="H65" s="724"/>
      <c r="I65" s="726"/>
      <c r="J65" s="950"/>
      <c r="K65" s="951"/>
      <c r="L65" s="793"/>
      <c r="M65" s="952"/>
      <c r="N65" s="953"/>
      <c r="O65" s="954"/>
      <c r="P65" s="955"/>
      <c r="Q65" s="956"/>
      <c r="R65" s="957"/>
      <c r="S65" s="800"/>
      <c r="T65" s="958"/>
      <c r="U65" s="802"/>
      <c r="V65" s="959"/>
      <c r="W65" s="960"/>
      <c r="X65" s="805"/>
      <c r="Y65" s="816"/>
      <c r="AA65" s="899"/>
      <c r="AC65" s="509">
        <v>50</v>
      </c>
      <c r="AD65" s="808"/>
      <c r="AE65" s="679" t="str">
        <f t="shared" si="9"/>
        <v/>
      </c>
      <c r="AF65" s="512" t="str">
        <f>IF(56=56,IF(AD65="","",IF(AG65="X",""&amp;"Céréales contenant du gluten","")&amp;IF(AH65="X",IF(COUNTIF(AG65:AG65,"X")&gt;0,", ","")&amp;"Crustacés","")&amp;IF(AI65="X",IF(COUNTIF(AG65:AH65,"X")&gt;0,", ","")&amp;"Œufs","")&amp;IF(AJ65="X",IF(COUNTIF(AG65:AI65,"X")&gt;0,", ","")&amp;"Poissons","")&amp;IF(AK65="X",IF(COUNTIF(AG65:AJ65,"X")&gt;0,", ","")&amp;"Arachides","")&amp;IF(AL65="X",IF(COUNTIF(AG65:AK65,"X")&gt;0,", ","")&amp;"Soja","")&amp;IF(AM65="X",IF(COUNTIF(AG65:AL65,"X")&gt;0,", ","")&amp;"Lait","")&amp;IF(AN65="X",IF(COUNTIF(AG65:AM65,"X")&gt;0,", ","")&amp;"Fruits à coque","")&amp;IF(AO65="X",IF(COUNTIF(AG65:AN65,"X")&gt;0,", ","")&amp;"Céleri","")&amp;IF(AP65="X",IF(COUNTIF(AG65:AO65,"X")&gt;0,", ","")&amp;"Moutarde","")&amp;IF(AQ65="X",IF(COUNTIF(AG65:AP65,"X")&gt;0,", ","")&amp;"Sésame","")&amp;IF(AR65="X",IF(COUNTIF(AG65:AQ65,"X")&gt;0,", ","")&amp;"Sulfites","")&amp;IF(AS65="X",IF(COUNTIF(AG65:AR65,"X")&gt;0,", ","")&amp;"Lupin","")&amp;IF(AT65="X",IF(COUNTIF(AG65:AS65,"X")&gt;0,", ","")&amp;"Mollusques","")),"")</f>
        <v/>
      </c>
      <c r="AG65" s="513" t="str">
        <f>IF(56=56,IF(AD65="","",BH65),"")</f>
        <v/>
      </c>
      <c r="AH65" s="513" t="str">
        <f>IF(56=56,IF(AD65="","",BK65),"")</f>
        <v/>
      </c>
      <c r="AI65" s="513" t="str">
        <f>IF(56=56,IF(AD65="","",BO65),"")</f>
        <v/>
      </c>
      <c r="AJ65" s="513" t="str">
        <f>IF(56=56,IF(AD65="","",IF(ISNUMBER(SEARCH(" colin ",BC65)),"X",CB65)),"")</f>
        <v/>
      </c>
      <c r="AK65" s="513" t="str">
        <f>IF(56=56,IF(AD65="","",CD65),"")</f>
        <v/>
      </c>
      <c r="AL65" s="513" t="str">
        <f>IF(56=56,IF(AD65="","",CH65),"")</f>
        <v/>
      </c>
      <c r="AM65" s="513" t="str">
        <f>IF(56=56,IF(AD65="","",CO65),"")</f>
        <v/>
      </c>
      <c r="AN65" s="513" t="str">
        <f>IF(56=56,IF(AD65="","",CS65),"")</f>
        <v/>
      </c>
      <c r="AO65" s="513" t="str">
        <f>IF(56=56,IF(AD65="","",CV65),"")</f>
        <v/>
      </c>
      <c r="AP65" s="513" t="str">
        <f>IF(56=56,IF(AD65="","",CY65),"")</f>
        <v/>
      </c>
      <c r="AQ65" s="513" t="str">
        <f>IF(56=56,IF(AD65="","",DB65),"")</f>
        <v/>
      </c>
      <c r="AR65" s="513" t="str">
        <f>IF(56=56,IF(AD65="","",DE65),"")</f>
        <v/>
      </c>
      <c r="AS65" s="513" t="str">
        <f>IF(56=56,IF(AD65="","",DH65),"")</f>
        <v/>
      </c>
      <c r="AT65" s="513" t="str">
        <f>IF(56=56,IF(AD65="","",DN65),"")</f>
        <v/>
      </c>
      <c r="AU65" s="514" t="str">
        <f>IF(56=56,IF(AD65="","",IF(AG65="?",""&amp;"Céréales contenant du gluten","")&amp;IF(AH65="?",IF(COUNTIF(AG65:AG65,"~?")&gt;0,", ","")&amp;"Crustacés","")&amp;IF(AI65="?",IF(COUNTIF(AG65:AH65,"~?")&gt;0,", ","")&amp;"Œufs","")&amp;IF(AJ65="?",IF(COUNTIF(AG65:AI65,"~?")&gt;0,", ","")&amp;"Poissons","")&amp;IF(AK65="?",IF(COUNTIF(AG65:AJ65,"~?")&gt;0,", ","")&amp;"Arachides","")&amp;IF(AL65="?",IF(COUNTIF(AG65:AK65,"~?")&gt;0,", ","")&amp;"Soja","")&amp;IF(AM65="?",IF(COUNTIF(AG65:AL65,"~?")&gt;0,", ","")&amp;"Lait","")&amp;IF(AN65="?",IF(COUNTIF(AG65:AM65,"~?")&gt;0,", ","")&amp;"Fruits à coque","")&amp;IF(AO65="?",IF(COUNTIF(AG65:AN65,"~?")&gt;0,", ","")&amp;"Céleri","")&amp;IF(AP65="?",IF(COUNTIF(AG65:AO65,"~?")&gt;0,", ","")&amp;"Moutarde","")&amp;IF(AQ65="?",IF(COUNTIF(AG65:AP65,"~?")&gt;0,", ","")&amp;"Sésame","")&amp;IF(AR65="?",IF(COUNTIF(AG65:AQ65,"~?")&gt;0,", ","")&amp;"Sulfites","")&amp;IF(AS65="?",IF(COUNTIF(AG65:AR65,"~?")&gt;0,", ","")&amp;"Lupin","")&amp;IF(AT65="?",IF(COUNTIF(AG65:AS65,"~?")&gt;0,", ","")&amp;"Mollusques","")),"")</f>
        <v/>
      </c>
      <c r="AW65" s="493" t="str">
        <f>IF(56=56,IF(AD65="","",AD65),"")</f>
        <v/>
      </c>
      <c r="AX65" s="493" t="str">
        <f>IF(56=56,LOWER(CLEAN(SUBSTITUTE(SUBSTITUTE(SUBSTITUTE(SUBSTITUTE(AW65,CHAR(160)," ")," "," "),CHAR(10)," "),CHAR(13)," "))),"")</f>
        <v/>
      </c>
      <c r="AY65" s="493" t="str">
        <f>IF(56=56,SUBSTITUTE(SUBSTITUTE(SUBSTITUTE(SUBSTITUTE(SUBSTITUTE(SUBSTITUTE(SUBSTITUTE(SUBSTITUTE(SUBSTITUTE(SUBSTITUTE(SUBSTITUTE(SUBSTITUTE(AX65,"œ","oe"),"æ","ae"),"à","a"),"á","a"),"â","a"),"ä","a"),"ã","a"),"ç","c"),"è","e"),"é","e"),"ê","e"),"ë","e"),"")</f>
        <v/>
      </c>
      <c r="AZ65" s="493" t="str">
        <f>IF(56=56,SUBSTITUTE(SUBSTITUTE(SUBSTITUTE(SUBSTITUTE(SUBSTITUTE(SUBSTITUTE(SUBSTITUTE(SUBSTITUTE(SUBSTITUTE(SUBSTITUTE(SUBSTITUTE(SUBSTITUTE(SUBSTITUTE(SUBSTITUTE(SUBSTITUTE(SUBSTITUTE(AY65,"ì","i"),"í","i"),"î","i"),"ï","i"),"ñ","n"),"ò","o"),"ó","o"),"ô","o"),"ö","o"),"õ","o"),"ù","u"),"ú","u"),"û","u"),"ü","u"),"ý","y"),"ÿ","y"),"")</f>
        <v/>
      </c>
      <c r="BA65" s="493" t="str">
        <f>IF(56=56,SUBSTITUTE(SUBSTITUTE(SUBSTITUTE(SUBSTITUTE(SUBSTITUTE(SUBSTITUTE(SUBSTITUTE(SUBSTITUTE(SUBSTITUTE(SUBSTITUTE(SUBSTITUTE(SUBSTITUTE(SUBSTITUTE(SUBSTITUTE(AZ65,"’"," "),"`"," "),"–"," "),"—"," "),"-"," "),"'"," "),"/"," "),"_"," "),","," "),"."," "),"("," "),")"," "),";"," "),":"," "),"")</f>
        <v/>
      </c>
      <c r="BB65" s="493" t="str">
        <f>IF(56=56,SUBSTITUTE(SUBSTITUTE(SUBSTITUTE(SUBSTITUTE(SUBSTITUTE(SUBSTITUTE(SUBSTITUTE(SUBSTITUTE(SUBSTITUTE(SUBSTITUTE(SUBSTITUTE(SUBSTITUTE(SUBSTITUTE(SUBSTITUTE(SUBSTITUTE(BA65,"!"," "),"?"," "),"+"," "),"*"," "),"&amp;"," "),"["," "),"]"," "),"{"," "),"}"," "),"%"," "),"="," "),"\"," "),"|"," "),"&lt;"," "),"&gt;"," "),"")</f>
        <v/>
      </c>
      <c r="BC65" s="493" t="str">
        <f>IF(56=56," "&amp;TRIM(SUBSTITUTE(SUBSTITUTE(SUBSTITUTE(SUBSTITUTE(SUBSTITUTE(SUBSTITUTE(BB65,CHAR(34)," "),"  "," "),"  "," "),"  "," "),"  "," "),"  "," "))&amp;" ","")</f>
        <v xml:space="preserve">  </v>
      </c>
      <c r="BD65" s="493" t="str" cm="1">
        <f t="array" ref="BD65">IF(56=56,IF(AW65="","",SUMPRODUCT(--ISNUMBER(SEARCH(" "&amp;DT11:DT110&amp;" ",BF65)))),"")</f>
        <v/>
      </c>
      <c r="BE65" s="493" t="str" cm="1">
        <f t="array" ref="BE65">IF(56=56,IF(AW65="","",SUMPRODUCT(--ISNUMBER(SEARCH(" "&amp;DT111:DT160&amp;" ",BF65)))),"")</f>
        <v/>
      </c>
      <c r="BF65" s="493" t="str">
        <f>IF(AW65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65,"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65" s="493" t="str" cm="1">
        <f t="array" ref="BG65">IF(AW65="","",SUMPRODUCT(--ISNUMBER(SEARCH(" "&amp;DT193:DT214&amp;" ",BF65)))+--ISNUMBER(SEARCH(" "&amp;DT2463&amp;" ",BF65)))</f>
        <v/>
      </c>
      <c r="BH65" s="493" t="str" cm="1">
        <f t="array" ref="BH65">IF(56=56,IF(AW65="","",IF(SUM(BD65:BE65)+SUMPRODUCT(--ISNUMBER(SEARCH(" "&amp;DT2427:DT2429&amp;" ",BF65)))&gt;0,"X",IF(BG65&gt;0,"?",""))),"")</f>
        <v/>
      </c>
      <c r="BI65" s="493" t="str" cm="1">
        <f t="array" ref="BI65">IF(56=56,IF(AW65="","",SUMPRODUCT(--ISNUMBER(SEARCH(" "&amp;DT215:DT314&amp;" ",BC65)))),"")</f>
        <v/>
      </c>
      <c r="BJ65" s="493" t="str" cm="1">
        <f t="array" ref="BJ65">IF(56=56,IF(AW65="","",SUMPRODUCT(--ISNUMBER(SEARCH(" "&amp;DT315:DT349&amp;" ",BC65)))),"")</f>
        <v/>
      </c>
      <c r="BK65" s="493" t="str">
        <f>IF(56=56,IF(AW65="","",IF((SUM(BI65:BJ65))-(0)&gt;0,"X",IF((0)-(0)&gt;0,"?",""))),"")</f>
        <v/>
      </c>
      <c r="BL65" s="493" t="str" cm="1">
        <f t="array" ref="BL65">IF(56=56,IF(AW65="","",SUMPRODUCT(--ISNUMBER(SEARCH(" "&amp;DT350:DT407&amp;" ",BC65)))),"")</f>
        <v/>
      </c>
      <c r="BM65" s="493" t="str" cm="1">
        <f t="array" ref="BM65">IF(56=56,IF(AW65="","",SUMPRODUCT(--ISNUMBER(SEARCH(" "&amp;DT408:DT435&amp;" ",BN65)))+SUMPRODUCT(--ISNUMBER(SEARCH(" "&amp;DT2449:DT2462&amp;" ",BN65)))),"")</f>
        <v/>
      </c>
      <c r="BN65" s="493" t="str">
        <f>IF(56=56,IF(AW65="","",SUBSTITUTE(SUBSTITUTE(SUBSTITUTE(SUBSTITUTE(SUBSTITUTE(SUBSTITUTE(SUBSTITUTE(SUBSTITUTE(SUBSTITUTE(SUBSTITUTE(SUBSTITUTE(SUBSTITUTE(SUBSTITUTE(SUBSTITUTE(BC65," "&amp;DT2464&amp;" "," ")," "&amp;DT442&amp;" "," ")," "&amp;DT440&amp;" "," ")," "&amp;DT2447&amp;" "," ")," "&amp;DT2448&amp;" "," ")," "&amp;DT437&amp;" "," ")," "&amp;DT441&amp;" "," ")," "&amp;DT443&amp;" "," ")," "&amp;DT438&amp;" "," ")," "&amp;DT436&amp;" "," ")," "&amp;DT1376&amp;" "," ")," "&amp;DT444&amp;" "," ")," "&amp;DT1375&amp;" "," ")," "&amp;DT439&amp;" "," ")),"")</f>
        <v/>
      </c>
      <c r="BO65" s="493" t="str">
        <f>IF(56=56,IF(AW65="","",IF(BL65&gt;0,"X",IF(BM65&gt;0,"?",""))),"")</f>
        <v/>
      </c>
      <c r="BP65" s="493" t="str" cm="1">
        <f t="array" ref="BP65">IF(56=56,IF(AW65="","",SUMPRODUCT(--ISNUMBER(SEARCH(" "&amp;DT445:DT544&amp;" ",BZ65)))),"")</f>
        <v/>
      </c>
      <c r="BQ65" s="493" t="str" cm="1">
        <f t="array" ref="BQ65">IF(56=56,IF(AW65="","",SUMPRODUCT(--ISNUMBER(SEARCH(" "&amp;DT545:DT644&amp;" ",BZ65)))),"")</f>
        <v/>
      </c>
      <c r="BR65" s="493" t="str" cm="1">
        <f t="array" ref="BR65">IF(56=56,IF(AW65="","",SUMPRODUCT(--ISNUMBER(SEARCH(" "&amp;DT645:DT744&amp;" ",BZ65)))),"")</f>
        <v/>
      </c>
      <c r="BS65" s="493" t="str" cm="1">
        <f t="array" ref="BS65">IF(56=56,IF(AW65="","",SUMPRODUCT(--ISNUMBER(SEARCH(" "&amp;DT745:DT844&amp;" ",BZ65)))),"")</f>
        <v/>
      </c>
      <c r="BT65" s="493" t="str" cm="1">
        <f t="array" ref="BT65">IF(56=56,IF(AW65="","",SUMPRODUCT(--ISNUMBER(SEARCH(" "&amp;DT845:DT944&amp;" ",BZ65)))),"")</f>
        <v/>
      </c>
      <c r="BU65" s="493" t="str" cm="1">
        <f t="array" ref="BU65">IF(56=56,IF(AW65="","",SUMPRODUCT(--ISNUMBER(SEARCH(" "&amp;DT945:DT1044&amp;" ",BZ65)))),"")</f>
        <v/>
      </c>
      <c r="BV65" s="493" t="str" cm="1">
        <f t="array" ref="BV65">IF(56=56,IF(AW65="","",SUMPRODUCT(--ISNUMBER(SEARCH(" "&amp;DT1045:DT1144&amp;" ",BZ65)))),"")</f>
        <v/>
      </c>
      <c r="BW65" s="493" t="str" cm="1">
        <f t="array" ref="BW65">IF(56=56,IF(AW65="","",SUMPRODUCT(--ISNUMBER(SEARCH(" "&amp;DT1145:DT1244&amp;" ",BZ65)))),"")</f>
        <v/>
      </c>
      <c r="BX65" s="493" t="str" cm="1">
        <f t="array" ref="BX65">IF(56=56,IF(AW65="","",SUMPRODUCT(--ISNUMBER(SEARCH(" "&amp;DT1245:DT1344&amp;" ",BZ65)))),"")</f>
        <v/>
      </c>
      <c r="BY65" s="493" t="str" cm="1">
        <f t="array" ref="BY65">IF(56=56,IF(AW65="","",SUMPRODUCT(--ISNUMBER(SEARCH(" "&amp;DT1345:DT1372&amp;" ",BZ65)))),"")</f>
        <v/>
      </c>
      <c r="BZ65" s="493" t="str">
        <f>IF(56=56,IF(AW65="","",SUBSTITUTE(SUBSTITUTE(SUBSTITUTE(SUBSTITUTE(SUBSTITUTE(SUBSTITUTE(SUBSTITUTE(SUBSTITUTE(SUBSTITUTE(BC65," "&amp;DT1374&amp;" "," ")," "&amp;DT1373&amp;" "," ")," "&amp;DT1379&amp;" "," ")," "&amp;DT1380&amp;" "," ")," "&amp;DT1376&amp;" "," ")," "&amp;DT1378&amp;" "," ")," "&amp;DT1375&amp;" "," ")," "&amp;DT1377&amp;" "," ")," "&amp;DT1381&amp;" "," ")),"")</f>
        <v/>
      </c>
      <c r="CA65" s="493" t="str" cm="1">
        <f t="array" ref="CA65">IF(56=56,IF(AW65="","",SUMPRODUCT(--ISNUMBER(SEARCH(" "&amp;DT1382:DT1392&amp;" ",BZ65)))),"")</f>
        <v/>
      </c>
      <c r="CB65" s="493" t="str" cm="1">
        <f t="array" ref="CB65">IF(56=56,IF(AW65="","",IF(SUM(BP65:BY65)+SUMPRODUCT(--ISNUMBER(SEARCH(" "&amp;DT2430:DT2431&amp;" ",BZ65)))&gt;0,"X",IF(CA65&gt;0,"?",""))),"")</f>
        <v/>
      </c>
      <c r="CC65" s="493" t="str" cm="1">
        <f t="array" ref="CC65">IF(56=56,IF(AW65="","",SUMPRODUCT(--ISNUMBER(SEARCH(" "&amp;DT1393:DT1413&amp;" ",BC65)))),"")</f>
        <v/>
      </c>
      <c r="CD65" s="493" t="str">
        <f>IF(56=56,IF(AW65="","",IF((CC65)-(0)&gt;0,"X",IF((0)-(0)&gt;0,"?",""))),"")</f>
        <v/>
      </c>
      <c r="CE65" s="493" t="str" cm="1">
        <f t="array" ref="CE65">IF(56=56,IF(AW65="","",SUMPRODUCT(--ISNUMBER(SEARCH(" "&amp;DT1414:DT1451&amp;" ",CF65)))),"")</f>
        <v/>
      </c>
      <c r="CF65" s="493" t="str">
        <f>IF(56=56,IF(AW65="","",SUBSTITUTE(SUBSTITUTE(BC65," "&amp;DT1452&amp;" "," ")," "&amp;DT1453&amp;" "," ")),"")</f>
        <v/>
      </c>
      <c r="CG65" s="493" t="str" cm="1">
        <f t="array" ref="CG65">IF(56=56,IF(AW65="","",SUMPRODUCT(--ISNUMBER(SEARCH(" "&amp;DT1454:DT1464&amp;" ",CF65)))),"")</f>
        <v/>
      </c>
      <c r="CH65" s="493" t="str">
        <f>IF(56=56,IF(AW65="","",IF(CE65&gt;0,"X",IF(CG65&gt;0,"?",""))),"")</f>
        <v/>
      </c>
      <c r="CI65" s="493" t="str" cm="1">
        <f t="array" ref="CI65">IF(56=56,IF(AW65="","",SUMPRODUCT(--ISNUMBER(SEARCH(" "&amp;DT1465:DT1564&amp;" ",CL65)))),"")</f>
        <v/>
      </c>
      <c r="CJ65" s="493" t="str" cm="1">
        <f t="array" ref="CJ65">IF(56=56,IF(AW65="","",SUMPRODUCT(--ISNUMBER(SEARCH(" "&amp;DT1565:DT1664&amp;" ",CL65)))),"")</f>
        <v/>
      </c>
      <c r="CK65" s="493" t="str" cm="1">
        <f t="array" ref="CK65">IF(56=56,IF(AW65="","",SUMPRODUCT(--ISNUMBER(SEARCH(" "&amp;DT1665:DT1748&amp;" ",CL65)))),"")</f>
        <v/>
      </c>
      <c r="CL65" s="493" t="str">
        <f>IF(56=56,IF(AW65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65,"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65" s="493" t="str" cm="1">
        <f t="array" ref="CM65">IF(56=56,IF(AW65="","",SUMPRODUCT(--ISNUMBER(SEARCH(" "&amp;DT1799:DT1878&amp;" ",CN65)))+SUMPRODUCT(--ISNUMBER(SEARCH(" "&amp;DT2449:DT2462&amp;" ",CN65)))),"")</f>
        <v/>
      </c>
      <c r="CN65" s="493" t="str">
        <f>IF(56=56,IF(AW65="","",SUBSTITUTE(SUBSTITUTE(SUBSTITUTE(SUBSTITUTE(SUBSTITUTE(SUBSTITUTE(SUBSTITUTE(SUBSTITUTE(SUBSTITUTE(SUBSTITUTE(SUBSTITUTE(SUBSTITUTE(SUBSTITUTE(CL65," "&amp;DT1885&amp;" "," ")," "&amp;DT1883&amp;" "," ")," "&amp;DT2447&amp;" "," ")," "&amp;DT2448&amp;" "," ")," "&amp;DT1880&amp;" "," ")," "&amp;DT1884&amp;" "," ")," "&amp;DT1886&amp;" "," ")," "&amp;DT1881&amp;" "," ")," "&amp;DT1879&amp;" "," ")," "&amp;DT1376&amp;" "," ")," "&amp;DT1887&amp;" "," ")," "&amp;DT1375&amp;" "," ")," "&amp;DT1882&amp;" "," ")),"")</f>
        <v/>
      </c>
      <c r="CO65" s="493" t="str" cm="1">
        <f t="array" ref="CO65">IF(56=56,IF(AW65="","",IF(SUM(CI65:CK65)+SUMPRODUCT(--ISNUMBER(SEARCH(" "&amp;DT2432:DT2433&amp;" ",CL65)))&gt;0,"X",IF(CM65&gt;0,"?",""))),"")</f>
        <v/>
      </c>
      <c r="CP65" s="493" t="str" cm="1">
        <f t="array" ref="CP65">IF(56=56,IF(AW65="","",SUMPRODUCT(--ISNUMBER(SEARCH(" "&amp;DT1888:DT1945&amp;" ",CQ65)))),"")</f>
        <v/>
      </c>
      <c r="CQ65" s="493" t="str">
        <f>IF(56=56,IF(AW65="","",SUBSTITUTE(SUBSTITUTE(SUBSTITUTE(SUBSTITUTE(SUBSTITUTE(SUBSTITUTE(SUBSTITUTE(SUBSTITUTE(SUBSTITUTE(SUBSTITUTE(SUBSTITUTE(SUBSTITUTE(SUBSTITUTE(SUBSTITUTE(SUBSTITUTE(SUBSTITUTE(SUBSTITUTE(SUBSTITUTE(SUBSTITUTE(SUBSTITUTE(SUBSTITUTE(SUBSTITUTE(SUBSTITUTE(BC65,"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65" s="493" t="str" cm="1">
        <f t="array" ref="CR65">IF(56=56,IF(AW65="","",SUMPRODUCT(--ISNUMBER(SEARCH(" "&amp;DT1969:DT1985&amp;" ",CQ65)))),"")</f>
        <v/>
      </c>
      <c r="CS65" s="493" t="str">
        <f>IF(56=56,IF(AW65="","",IF(CP65&gt;0,"X",IF(CR65&gt;0,"?",""))),"")</f>
        <v/>
      </c>
      <c r="CT65" s="493" t="str" cm="1">
        <f t="array" ref="CT65">IF(56=56,IF(AW65="","",SUMPRODUCT(--ISNUMBER(SEARCH(" "&amp;DT1986:DT1999&amp;" ",BC65)))),"")</f>
        <v/>
      </c>
      <c r="CU65" s="493" t="str" cm="1">
        <f t="array" ref="CU65">IF(56=56,IF(AW65="","",SUMPRODUCT(--ISNUMBER(SEARCH(" "&amp;DT2000:DT2014&amp;" ",BC65)))),"")</f>
        <v/>
      </c>
      <c r="CV65" s="493" t="str">
        <f>IF(56=56,IF(AW65="","",IF((CT65)-(0)&gt;0,"X",IF((CU65)-(0)&gt;0,"?",""))),"")</f>
        <v/>
      </c>
      <c r="CW65" s="493" t="str" cm="1">
        <f t="array" ref="CW65">IF(56=56,IF(AW65="","",SUMPRODUCT(--ISNUMBER(SEARCH(" "&amp;DT2015:DT2032&amp;" ",BC65)))),"")</f>
        <v/>
      </c>
      <c r="CX65" s="493" t="str" cm="1">
        <f t="array" ref="CX65">IF(56=56,IF(AW65="","",SUMPRODUCT(--ISNUMBER(SEARCH(" "&amp;DT2033:DT2047&amp;" ",BC65)))),"")</f>
        <v/>
      </c>
      <c r="CY65" s="493" t="str">
        <f>IF(56=56,IF(AW65="","",IF((CW65)-(0)&gt;0,"X",IF((CX65)-(0)&gt;0,"?",""))),"")</f>
        <v/>
      </c>
      <c r="CZ65" s="493" t="str" cm="1">
        <f t="array" ref="CZ65">IF(56=56,IF(AW65="","",SUMPRODUCT(--ISNUMBER(SEARCH(" "&amp;DT2048:DT2066&amp;" ",BC65)))),"")</f>
        <v/>
      </c>
      <c r="DA65" s="493" t="str" cm="1">
        <f t="array" ref="DA65">IF(56=56,IF(AW65="","",SUMPRODUCT(--ISNUMBER(SEARCH(" "&amp;DT2067:DT2081&amp;" ",BC65)))),"")</f>
        <v/>
      </c>
      <c r="DB65" s="493" t="str">
        <f>IF(56=56,IF(AW65="","",IF((CZ65)-(0)&gt;0,"X",IF((DA65)-(0)&gt;0,"?",""))),"")</f>
        <v/>
      </c>
      <c r="DC65" s="493" t="str" cm="1">
        <f t="array" ref="DC65">IF(56=56,IF(AW65="","",SUMPRODUCT(--ISNUMBER(SEARCH(" "&amp;DT2082:DT2102&amp;" ",BC65)))),"")</f>
        <v/>
      </c>
      <c r="DD65" s="493" t="str" cm="1">
        <f t="array" ref="DD65">IF(56=56,IF(AW65="","",SUMPRODUCT(--ISNUMBER(SEARCH(" "&amp;DT2103:DT2142&amp;" ",SUBSTITUTE(SUBSTITUTE(BC65," "&amp;DT1376&amp;" "," ")," "&amp;DT1375&amp;" "," "))))+--ISNUMBER(SEARCH("poiré",AX65))),"")</f>
        <v/>
      </c>
      <c r="DE65" s="493" t="str">
        <f>IF(56=56,IF(AW65="","",IF(OR(DC65&gt;0,ISNUMBER(SEARCH(" vinaigre de vin ",BC65)),ISNUMBER(SEARCH(" vinaigre au vin ",BC65))),"X",IF(DD65&gt;0,"?",""))),"")</f>
        <v/>
      </c>
      <c r="DF65" s="493" t="str" cm="1">
        <f t="array" ref="DF65">IF(56=56,IF(AW65="","",SUMPRODUCT(--ISNUMBER(SEARCH(" "&amp;DT2143:DT2155&amp;" ",BC65)))),"")</f>
        <v/>
      </c>
      <c r="DG65" s="493" t="str" cm="1">
        <f t="array" ref="DG65">IF(56=56,IF(AW65="","",SUMPRODUCT(--ISNUMBER(SEARCH(" "&amp;DT2156:DT2161&amp;" ",BC65)))),"")</f>
        <v/>
      </c>
      <c r="DH65" s="493" t="str">
        <f>IF(56=56,IF(AW65="","",IF((DF65)-(0)&gt;0,"X",IF((DG65)-(0)&gt;0,"?",""))),"")</f>
        <v/>
      </c>
      <c r="DI65" s="493" t="str" cm="1">
        <f t="array" ref="DI65">IF(56=56,IF(AW65="","",SUMPRODUCT(--ISNUMBER(SEARCH(" "&amp;DT2162:DT2261&amp;" ",DL65)))),"")</f>
        <v/>
      </c>
      <c r="DJ65" s="493" t="str" cm="1">
        <f t="array" ref="DJ65">IF(56=56,IF(AW65="","",SUMPRODUCT(--ISNUMBER(SEARCH(" "&amp;DT2262:DT2361&amp;" ",DL65)))),"")</f>
        <v/>
      </c>
      <c r="DK65" s="493" t="str" cm="1">
        <f t="array" ref="DK65">IF(56=56,IF(AW65="","",SUMPRODUCT(--ISNUMBER(SEARCH(" "&amp;DT2362:DT2404&amp;" ",DL65)))),"")</f>
        <v/>
      </c>
      <c r="DL65" s="493" t="str">
        <f>IF(56=56,IF(AW65="","",SUBSTITUTE(SUBSTITUTE(SUBSTITUTE(SUBSTITUTE(SUBSTITUTE(SUBSTITUTE(SUBSTITUTE(SUBSTITUTE(SUBSTITUTE(SUBSTITUTE(SUBSTITUTE(SUBSTITUTE(SUBSTITUTE(SUBSTITUTE(SUBSTITUTE(SUBSTITUTE(BC65," "&amp;DT2410&amp;" "," ")," "&amp;DT2409&amp;" "," ")," "&amp;DT2408&amp;" "," ")," "&amp;DT2415&amp;" "," ")," "&amp;DT2407&amp;" "," ")," "&amp;DT2419&amp;" "," ")," "&amp;DT2406&amp;" "," ")," "&amp;DT2411&amp;" "," ")," "&amp;DT2414&amp;" "," ")," "&amp;DT2405&amp;" "," ")," "&amp;DT2413&amp;" "," ")," "&amp;DT2420&amp;" "," ")," "&amp;DT2417&amp;" "," ")," "&amp;DT2412&amp;" "," ")," "&amp;DT2416&amp;" "," ")," "&amp;DT2418&amp;" "," ")),"")</f>
        <v/>
      </c>
      <c r="DM65" s="493" t="str" cm="1">
        <f t="array" ref="DM65">IF(56=56,IF(AW65="","",SUMPRODUCT(--ISNUMBER(SEARCH(" "&amp;DT2421:DT2425&amp;" ",DL65)))),"")</f>
        <v/>
      </c>
      <c r="DN65" s="493" t="str">
        <f>IF(56=56,IF(AW65="","",IF(SUM(DI65:DK65)&gt;0,"X",IF(DM65&gt;0,"?",""))),"")</f>
        <v/>
      </c>
      <c r="DO65" s="494"/>
      <c r="DP65" s="496" t="s">
        <v>1243</v>
      </c>
      <c r="DQ65" s="496" t="s">
        <v>1083</v>
      </c>
      <c r="DR65" s="496" t="s">
        <v>689</v>
      </c>
      <c r="DS65" s="496" t="s">
        <v>1244</v>
      </c>
      <c r="DT65" s="496" t="s">
        <v>1244</v>
      </c>
      <c r="DU65" s="496" t="s">
        <v>1085</v>
      </c>
      <c r="DV65" s="496" t="s">
        <v>1086</v>
      </c>
      <c r="DW65" s="496" t="s">
        <v>1087</v>
      </c>
      <c r="DX65" s="497" t="s">
        <v>1088</v>
      </c>
      <c r="DZ65" s="543">
        <v>1</v>
      </c>
      <c r="EB65" s="493"/>
      <c r="EC65" s="493"/>
    </row>
    <row r="66" spans="5:133" ht="21" customHeight="1">
      <c r="E66" s="716"/>
      <c r="F66" s="724"/>
      <c r="G66" s="725"/>
      <c r="H66" s="724"/>
      <c r="I66" s="726"/>
      <c r="J66" s="950"/>
      <c r="K66" s="951"/>
      <c r="L66" s="793"/>
      <c r="M66" s="952"/>
      <c r="N66" s="953"/>
      <c r="O66" s="954"/>
      <c r="P66" s="955"/>
      <c r="Q66" s="956"/>
      <c r="R66" s="957"/>
      <c r="S66" s="800"/>
      <c r="T66" s="958"/>
      <c r="U66" s="802"/>
      <c r="V66" s="959"/>
      <c r="W66" s="960"/>
      <c r="X66" s="805"/>
      <c r="Y66" s="816"/>
      <c r="AA66" s="899"/>
      <c r="AC66" s="509">
        <v>51</v>
      </c>
      <c r="AD66" s="808"/>
      <c r="AE66" s="679" t="str">
        <f t="shared" si="9"/>
        <v/>
      </c>
      <c r="AF66" s="512" t="str">
        <f>IF(57=57,IF(AD66="","",IF(AG66="X",""&amp;"Céréales contenant du gluten","")&amp;IF(AH66="X",IF(COUNTIF(AG66:AG66,"X")&gt;0,", ","")&amp;"Crustacés","")&amp;IF(AI66="X",IF(COUNTIF(AG66:AH66,"X")&gt;0,", ","")&amp;"Œufs","")&amp;IF(AJ66="X",IF(COUNTIF(AG66:AI66,"X")&gt;0,", ","")&amp;"Poissons","")&amp;IF(AK66="X",IF(COUNTIF(AG66:AJ66,"X")&gt;0,", ","")&amp;"Arachides","")&amp;IF(AL66="X",IF(COUNTIF(AG66:AK66,"X")&gt;0,", ","")&amp;"Soja","")&amp;IF(AM66="X",IF(COUNTIF(AG66:AL66,"X")&gt;0,", ","")&amp;"Lait","")&amp;IF(AN66="X",IF(COUNTIF(AG66:AM66,"X")&gt;0,", ","")&amp;"Fruits à coque","")&amp;IF(AO66="X",IF(COUNTIF(AG66:AN66,"X")&gt;0,", ","")&amp;"Céleri","")&amp;IF(AP66="X",IF(COUNTIF(AG66:AO66,"X")&gt;0,", ","")&amp;"Moutarde","")&amp;IF(AQ66="X",IF(COUNTIF(AG66:AP66,"X")&gt;0,", ","")&amp;"Sésame","")&amp;IF(AR66="X",IF(COUNTIF(AG66:AQ66,"X")&gt;0,", ","")&amp;"Sulfites","")&amp;IF(AS66="X",IF(COUNTIF(AG66:AR66,"X")&gt;0,", ","")&amp;"Lupin","")&amp;IF(AT66="X",IF(COUNTIF(AG66:AS66,"X")&gt;0,", ","")&amp;"Mollusques","")),"")</f>
        <v/>
      </c>
      <c r="AG66" s="513" t="str">
        <f>IF(57=57,IF(AD66="","",BH66),"")</f>
        <v/>
      </c>
      <c r="AH66" s="513" t="str">
        <f>IF(57=57,IF(AD66="","",BK66),"")</f>
        <v/>
      </c>
      <c r="AI66" s="513" t="str">
        <f>IF(57=57,IF(AD66="","",BO66),"")</f>
        <v/>
      </c>
      <c r="AJ66" s="513" t="str">
        <f>IF(57=57,IF(AD66="","",IF(ISNUMBER(SEARCH(" colin ",BC66)),"X",CB66)),"")</f>
        <v/>
      </c>
      <c r="AK66" s="513" t="str">
        <f>IF(57=57,IF(AD66="","",CD66),"")</f>
        <v/>
      </c>
      <c r="AL66" s="513" t="str">
        <f>IF(57=57,IF(AD66="","",CH66),"")</f>
        <v/>
      </c>
      <c r="AM66" s="513" t="str">
        <f>IF(57=57,IF(AD66="","",CO66),"")</f>
        <v/>
      </c>
      <c r="AN66" s="513" t="str">
        <f>IF(57=57,IF(AD66="","",CS66),"")</f>
        <v/>
      </c>
      <c r="AO66" s="513" t="str">
        <f>IF(57=57,IF(AD66="","",CV66),"")</f>
        <v/>
      </c>
      <c r="AP66" s="513" t="str">
        <f>IF(57=57,IF(AD66="","",CY66),"")</f>
        <v/>
      </c>
      <c r="AQ66" s="513" t="str">
        <f>IF(57=57,IF(AD66="","",DB66),"")</f>
        <v/>
      </c>
      <c r="AR66" s="513" t="str">
        <f>IF(57=57,IF(AD66="","",DE66),"")</f>
        <v/>
      </c>
      <c r="AS66" s="513" t="str">
        <f>IF(57=57,IF(AD66="","",DH66),"")</f>
        <v/>
      </c>
      <c r="AT66" s="513" t="str">
        <f>IF(57=57,IF(AD66="","",DN66),"")</f>
        <v/>
      </c>
      <c r="AU66" s="514" t="str">
        <f>IF(57=57,IF(AD66="","",IF(AG66="?",""&amp;"Céréales contenant du gluten","")&amp;IF(AH66="?",IF(COUNTIF(AG66:AG66,"~?")&gt;0,", ","")&amp;"Crustacés","")&amp;IF(AI66="?",IF(COUNTIF(AG66:AH66,"~?")&gt;0,", ","")&amp;"Œufs","")&amp;IF(AJ66="?",IF(COUNTIF(AG66:AI66,"~?")&gt;0,", ","")&amp;"Poissons","")&amp;IF(AK66="?",IF(COUNTIF(AG66:AJ66,"~?")&gt;0,", ","")&amp;"Arachides","")&amp;IF(AL66="?",IF(COUNTIF(AG66:AK66,"~?")&gt;0,", ","")&amp;"Soja","")&amp;IF(AM66="?",IF(COUNTIF(AG66:AL66,"~?")&gt;0,", ","")&amp;"Lait","")&amp;IF(AN66="?",IF(COUNTIF(AG66:AM66,"~?")&gt;0,", ","")&amp;"Fruits à coque","")&amp;IF(AO66="?",IF(COUNTIF(AG66:AN66,"~?")&gt;0,", ","")&amp;"Céleri","")&amp;IF(AP66="?",IF(COUNTIF(AG66:AO66,"~?")&gt;0,", ","")&amp;"Moutarde","")&amp;IF(AQ66="?",IF(COUNTIF(AG66:AP66,"~?")&gt;0,", ","")&amp;"Sésame","")&amp;IF(AR66="?",IF(COUNTIF(AG66:AQ66,"~?")&gt;0,", ","")&amp;"Sulfites","")&amp;IF(AS66="?",IF(COUNTIF(AG66:AR66,"~?")&gt;0,", ","")&amp;"Lupin","")&amp;IF(AT66="?",IF(COUNTIF(AG66:AS66,"~?")&gt;0,", ","")&amp;"Mollusques","")),"")</f>
        <v/>
      </c>
      <c r="AW66" s="493" t="str">
        <f>IF(57=57,IF(AD66="","",AD66),"")</f>
        <v/>
      </c>
      <c r="AX66" s="493" t="str">
        <f>IF(57=57,LOWER(CLEAN(SUBSTITUTE(SUBSTITUTE(SUBSTITUTE(SUBSTITUTE(AW66,CHAR(160)," ")," "," "),CHAR(10)," "),CHAR(13)," "))),"")</f>
        <v/>
      </c>
      <c r="AY66" s="493" t="str">
        <f>IF(57=57,SUBSTITUTE(SUBSTITUTE(SUBSTITUTE(SUBSTITUTE(SUBSTITUTE(SUBSTITUTE(SUBSTITUTE(SUBSTITUTE(SUBSTITUTE(SUBSTITUTE(SUBSTITUTE(SUBSTITUTE(AX66,"œ","oe"),"æ","ae"),"à","a"),"á","a"),"â","a"),"ä","a"),"ã","a"),"ç","c"),"è","e"),"é","e"),"ê","e"),"ë","e"),"")</f>
        <v/>
      </c>
      <c r="AZ66" s="493" t="str">
        <f>IF(57=57,SUBSTITUTE(SUBSTITUTE(SUBSTITUTE(SUBSTITUTE(SUBSTITUTE(SUBSTITUTE(SUBSTITUTE(SUBSTITUTE(SUBSTITUTE(SUBSTITUTE(SUBSTITUTE(SUBSTITUTE(SUBSTITUTE(SUBSTITUTE(SUBSTITUTE(SUBSTITUTE(AY66,"ì","i"),"í","i"),"î","i"),"ï","i"),"ñ","n"),"ò","o"),"ó","o"),"ô","o"),"ö","o"),"õ","o"),"ù","u"),"ú","u"),"û","u"),"ü","u"),"ý","y"),"ÿ","y"),"")</f>
        <v/>
      </c>
      <c r="BA66" s="493" t="str">
        <f>IF(57=57,SUBSTITUTE(SUBSTITUTE(SUBSTITUTE(SUBSTITUTE(SUBSTITUTE(SUBSTITUTE(SUBSTITUTE(SUBSTITUTE(SUBSTITUTE(SUBSTITUTE(SUBSTITUTE(SUBSTITUTE(SUBSTITUTE(SUBSTITUTE(AZ66,"’"," "),"`"," "),"–"," "),"—"," "),"-"," "),"'"," "),"/"," "),"_"," "),","," "),"."," "),"("," "),")"," "),";"," "),":"," "),"")</f>
        <v/>
      </c>
      <c r="BB66" s="493" t="str">
        <f>IF(57=57,SUBSTITUTE(SUBSTITUTE(SUBSTITUTE(SUBSTITUTE(SUBSTITUTE(SUBSTITUTE(SUBSTITUTE(SUBSTITUTE(SUBSTITUTE(SUBSTITUTE(SUBSTITUTE(SUBSTITUTE(SUBSTITUTE(SUBSTITUTE(SUBSTITUTE(BA66,"!"," "),"?"," "),"+"," "),"*"," "),"&amp;"," "),"["," "),"]"," "),"{"," "),"}"," "),"%"," "),"="," "),"\"," "),"|"," "),"&lt;"," "),"&gt;"," "),"")</f>
        <v/>
      </c>
      <c r="BC66" s="493" t="str">
        <f>IF(57=57," "&amp;TRIM(SUBSTITUTE(SUBSTITUTE(SUBSTITUTE(SUBSTITUTE(SUBSTITUTE(SUBSTITUTE(BB66,CHAR(34)," "),"  "," "),"  "," "),"  "," "),"  "," "),"  "," "))&amp;" ","")</f>
        <v xml:space="preserve">  </v>
      </c>
      <c r="BD66" s="493" t="str" cm="1">
        <f t="array" ref="BD66">IF(57=57,IF(AW66="","",SUMPRODUCT(--ISNUMBER(SEARCH(" "&amp;DT11:DT110&amp;" ",BF66)))),"")</f>
        <v/>
      </c>
      <c r="BE66" s="493" t="str" cm="1">
        <f t="array" ref="BE66">IF(57=57,IF(AW66="","",SUMPRODUCT(--ISNUMBER(SEARCH(" "&amp;DT111:DT160&amp;" ",BF66)))),"")</f>
        <v/>
      </c>
      <c r="BF66" s="493" t="str">
        <f>IF(AW66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66,"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66" s="493" t="str" cm="1">
        <f t="array" ref="BG66">IF(AW66="","",SUMPRODUCT(--ISNUMBER(SEARCH(" "&amp;DT193:DT214&amp;" ",BF66)))+--ISNUMBER(SEARCH(" "&amp;DT2463&amp;" ",BF66)))</f>
        <v/>
      </c>
      <c r="BH66" s="493" t="str" cm="1">
        <f t="array" ref="BH66">IF(57=57,IF(AW66="","",IF(SUM(BD66:BE66)+SUMPRODUCT(--ISNUMBER(SEARCH(" "&amp;DT2427:DT2429&amp;" ",BF66)))&gt;0,"X",IF(BG66&gt;0,"?",""))),"")</f>
        <v/>
      </c>
      <c r="BI66" s="493" t="str" cm="1">
        <f t="array" ref="BI66">IF(57=57,IF(AW66="","",SUMPRODUCT(--ISNUMBER(SEARCH(" "&amp;DT215:DT314&amp;" ",BC66)))),"")</f>
        <v/>
      </c>
      <c r="BJ66" s="493" t="str" cm="1">
        <f t="array" ref="BJ66">IF(57=57,IF(AW66="","",SUMPRODUCT(--ISNUMBER(SEARCH(" "&amp;DT315:DT349&amp;" ",BC66)))),"")</f>
        <v/>
      </c>
      <c r="BK66" s="493" t="str">
        <f>IF(57=57,IF(AW66="","",IF((SUM(BI66:BJ66))-(0)&gt;0,"X",IF((0)-(0)&gt;0,"?",""))),"")</f>
        <v/>
      </c>
      <c r="BL66" s="493" t="str" cm="1">
        <f t="array" ref="BL66">IF(57=57,IF(AW66="","",SUMPRODUCT(--ISNUMBER(SEARCH(" "&amp;DT350:DT407&amp;" ",BC66)))),"")</f>
        <v/>
      </c>
      <c r="BM66" s="493" t="str" cm="1">
        <f t="array" ref="BM66">IF(57=57,IF(AW66="","",SUMPRODUCT(--ISNUMBER(SEARCH(" "&amp;DT408:DT435&amp;" ",BN66)))+SUMPRODUCT(--ISNUMBER(SEARCH(" "&amp;DT2449:DT2462&amp;" ",BN66)))),"")</f>
        <v/>
      </c>
      <c r="BN66" s="493" t="str">
        <f>IF(57=57,IF(AW66="","",SUBSTITUTE(SUBSTITUTE(SUBSTITUTE(SUBSTITUTE(SUBSTITUTE(SUBSTITUTE(SUBSTITUTE(SUBSTITUTE(SUBSTITUTE(SUBSTITUTE(SUBSTITUTE(SUBSTITUTE(SUBSTITUTE(SUBSTITUTE(BC66," "&amp;DT2464&amp;" "," ")," "&amp;DT442&amp;" "," ")," "&amp;DT440&amp;" "," ")," "&amp;DT2447&amp;" "," ")," "&amp;DT2448&amp;" "," ")," "&amp;DT437&amp;" "," ")," "&amp;DT441&amp;" "," ")," "&amp;DT443&amp;" "," ")," "&amp;DT438&amp;" "," ")," "&amp;DT436&amp;" "," ")," "&amp;DT1376&amp;" "," ")," "&amp;DT444&amp;" "," ")," "&amp;DT1375&amp;" "," ")," "&amp;DT439&amp;" "," ")),"")</f>
        <v/>
      </c>
      <c r="BO66" s="493" t="str">
        <f>IF(57=57,IF(AW66="","",IF(BL66&gt;0,"X",IF(BM66&gt;0,"?",""))),"")</f>
        <v/>
      </c>
      <c r="BP66" s="493" t="str" cm="1">
        <f t="array" ref="BP66">IF(57=57,IF(AW66="","",SUMPRODUCT(--ISNUMBER(SEARCH(" "&amp;DT445:DT544&amp;" ",BZ66)))),"")</f>
        <v/>
      </c>
      <c r="BQ66" s="493" t="str" cm="1">
        <f t="array" ref="BQ66">IF(57=57,IF(AW66="","",SUMPRODUCT(--ISNUMBER(SEARCH(" "&amp;DT545:DT644&amp;" ",BZ66)))),"")</f>
        <v/>
      </c>
      <c r="BR66" s="493" t="str" cm="1">
        <f t="array" ref="BR66">IF(57=57,IF(AW66="","",SUMPRODUCT(--ISNUMBER(SEARCH(" "&amp;DT645:DT744&amp;" ",BZ66)))),"")</f>
        <v/>
      </c>
      <c r="BS66" s="493" t="str" cm="1">
        <f t="array" ref="BS66">IF(57=57,IF(AW66="","",SUMPRODUCT(--ISNUMBER(SEARCH(" "&amp;DT745:DT844&amp;" ",BZ66)))),"")</f>
        <v/>
      </c>
      <c r="BT66" s="493" t="str" cm="1">
        <f t="array" ref="BT66">IF(57=57,IF(AW66="","",SUMPRODUCT(--ISNUMBER(SEARCH(" "&amp;DT845:DT944&amp;" ",BZ66)))),"")</f>
        <v/>
      </c>
      <c r="BU66" s="493" t="str" cm="1">
        <f t="array" ref="BU66">IF(57=57,IF(AW66="","",SUMPRODUCT(--ISNUMBER(SEARCH(" "&amp;DT945:DT1044&amp;" ",BZ66)))),"")</f>
        <v/>
      </c>
      <c r="BV66" s="493" t="str" cm="1">
        <f t="array" ref="BV66">IF(57=57,IF(AW66="","",SUMPRODUCT(--ISNUMBER(SEARCH(" "&amp;DT1045:DT1144&amp;" ",BZ66)))),"")</f>
        <v/>
      </c>
      <c r="BW66" s="493" t="str" cm="1">
        <f t="array" ref="BW66">IF(57=57,IF(AW66="","",SUMPRODUCT(--ISNUMBER(SEARCH(" "&amp;DT1145:DT1244&amp;" ",BZ66)))),"")</f>
        <v/>
      </c>
      <c r="BX66" s="493" t="str" cm="1">
        <f t="array" ref="BX66">IF(57=57,IF(AW66="","",SUMPRODUCT(--ISNUMBER(SEARCH(" "&amp;DT1245:DT1344&amp;" ",BZ66)))),"")</f>
        <v/>
      </c>
      <c r="BY66" s="493" t="str" cm="1">
        <f t="array" ref="BY66">IF(57=57,IF(AW66="","",SUMPRODUCT(--ISNUMBER(SEARCH(" "&amp;DT1345:DT1372&amp;" ",BZ66)))),"")</f>
        <v/>
      </c>
      <c r="BZ66" s="493" t="str">
        <f>IF(57=57,IF(AW66="","",SUBSTITUTE(SUBSTITUTE(SUBSTITUTE(SUBSTITUTE(SUBSTITUTE(SUBSTITUTE(SUBSTITUTE(SUBSTITUTE(SUBSTITUTE(BC66," "&amp;DT1374&amp;" "," ")," "&amp;DT1373&amp;" "," ")," "&amp;DT1379&amp;" "," ")," "&amp;DT1380&amp;" "," ")," "&amp;DT1376&amp;" "," ")," "&amp;DT1378&amp;" "," ")," "&amp;DT1375&amp;" "," ")," "&amp;DT1377&amp;" "," ")," "&amp;DT1381&amp;" "," ")),"")</f>
        <v/>
      </c>
      <c r="CA66" s="493" t="str" cm="1">
        <f t="array" ref="CA66">IF(57=57,IF(AW66="","",SUMPRODUCT(--ISNUMBER(SEARCH(" "&amp;DT1382:DT1392&amp;" ",BZ66)))),"")</f>
        <v/>
      </c>
      <c r="CB66" s="493" t="str" cm="1">
        <f t="array" ref="CB66">IF(57=57,IF(AW66="","",IF(SUM(BP66:BY66)+SUMPRODUCT(--ISNUMBER(SEARCH(" "&amp;DT2430:DT2431&amp;" ",BZ66)))&gt;0,"X",IF(CA66&gt;0,"?",""))),"")</f>
        <v/>
      </c>
      <c r="CC66" s="493" t="str" cm="1">
        <f t="array" ref="CC66">IF(57=57,IF(AW66="","",SUMPRODUCT(--ISNUMBER(SEARCH(" "&amp;DT1393:DT1413&amp;" ",BC66)))),"")</f>
        <v/>
      </c>
      <c r="CD66" s="493" t="str">
        <f>IF(57=57,IF(AW66="","",IF((CC66)-(0)&gt;0,"X",IF((0)-(0)&gt;0,"?",""))),"")</f>
        <v/>
      </c>
      <c r="CE66" s="493" t="str" cm="1">
        <f t="array" ref="CE66">IF(57=57,IF(AW66="","",SUMPRODUCT(--ISNUMBER(SEARCH(" "&amp;DT1414:DT1451&amp;" ",CF66)))),"")</f>
        <v/>
      </c>
      <c r="CF66" s="493" t="str">
        <f>IF(57=57,IF(AW66="","",SUBSTITUTE(SUBSTITUTE(BC66," "&amp;DT1452&amp;" "," ")," "&amp;DT1453&amp;" "," ")),"")</f>
        <v/>
      </c>
      <c r="CG66" s="493" t="str" cm="1">
        <f t="array" ref="CG66">IF(57=57,IF(AW66="","",SUMPRODUCT(--ISNUMBER(SEARCH(" "&amp;DT1454:DT1464&amp;" ",CF66)))),"")</f>
        <v/>
      </c>
      <c r="CH66" s="493" t="str">
        <f>IF(57=57,IF(AW66="","",IF(CE66&gt;0,"X",IF(CG66&gt;0,"?",""))),"")</f>
        <v/>
      </c>
      <c r="CI66" s="493" t="str" cm="1">
        <f t="array" ref="CI66">IF(57=57,IF(AW66="","",SUMPRODUCT(--ISNUMBER(SEARCH(" "&amp;DT1465:DT1564&amp;" ",CL66)))),"")</f>
        <v/>
      </c>
      <c r="CJ66" s="493" t="str" cm="1">
        <f t="array" ref="CJ66">IF(57=57,IF(AW66="","",SUMPRODUCT(--ISNUMBER(SEARCH(" "&amp;DT1565:DT1664&amp;" ",CL66)))),"")</f>
        <v/>
      </c>
      <c r="CK66" s="493" t="str" cm="1">
        <f t="array" ref="CK66">IF(57=57,IF(AW66="","",SUMPRODUCT(--ISNUMBER(SEARCH(" "&amp;DT1665:DT1748&amp;" ",CL66)))),"")</f>
        <v/>
      </c>
      <c r="CL66" s="493" t="str">
        <f>IF(57=57,IF(AW66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66,"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66" s="493" t="str" cm="1">
        <f t="array" ref="CM66">IF(57=57,IF(AW66="","",SUMPRODUCT(--ISNUMBER(SEARCH(" "&amp;DT1799:DT1878&amp;" ",CN66)))+SUMPRODUCT(--ISNUMBER(SEARCH(" "&amp;DT2449:DT2462&amp;" ",CN66)))),"")</f>
        <v/>
      </c>
      <c r="CN66" s="493" t="str">
        <f>IF(57=57,IF(AW66="","",SUBSTITUTE(SUBSTITUTE(SUBSTITUTE(SUBSTITUTE(SUBSTITUTE(SUBSTITUTE(SUBSTITUTE(SUBSTITUTE(SUBSTITUTE(SUBSTITUTE(SUBSTITUTE(SUBSTITUTE(SUBSTITUTE(CL66," "&amp;DT1885&amp;" "," ")," "&amp;DT1883&amp;" "," ")," "&amp;DT2447&amp;" "," ")," "&amp;DT2448&amp;" "," ")," "&amp;DT1880&amp;" "," ")," "&amp;DT1884&amp;" "," ")," "&amp;DT1886&amp;" "," ")," "&amp;DT1881&amp;" "," ")," "&amp;DT1879&amp;" "," ")," "&amp;DT1376&amp;" "," ")," "&amp;DT1887&amp;" "," ")," "&amp;DT1375&amp;" "," ")," "&amp;DT1882&amp;" "," ")),"")</f>
        <v/>
      </c>
      <c r="CO66" s="493" t="str" cm="1">
        <f t="array" ref="CO66">IF(57=57,IF(AW66="","",IF(SUM(CI66:CK66)+SUMPRODUCT(--ISNUMBER(SEARCH(" "&amp;DT2432:DT2433&amp;" ",CL66)))&gt;0,"X",IF(CM66&gt;0,"?",""))),"")</f>
        <v/>
      </c>
      <c r="CP66" s="493" t="str" cm="1">
        <f t="array" ref="CP66">IF(57=57,IF(AW66="","",SUMPRODUCT(--ISNUMBER(SEARCH(" "&amp;DT1888:DT1945&amp;" ",CQ66)))),"")</f>
        <v/>
      </c>
      <c r="CQ66" s="493" t="str">
        <f>IF(57=57,IF(AW66="","",SUBSTITUTE(SUBSTITUTE(SUBSTITUTE(SUBSTITUTE(SUBSTITUTE(SUBSTITUTE(SUBSTITUTE(SUBSTITUTE(SUBSTITUTE(SUBSTITUTE(SUBSTITUTE(SUBSTITUTE(SUBSTITUTE(SUBSTITUTE(SUBSTITUTE(SUBSTITUTE(SUBSTITUTE(SUBSTITUTE(SUBSTITUTE(SUBSTITUTE(SUBSTITUTE(SUBSTITUTE(SUBSTITUTE(BC66,"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66" s="493" t="str" cm="1">
        <f t="array" ref="CR66">IF(57=57,IF(AW66="","",SUMPRODUCT(--ISNUMBER(SEARCH(" "&amp;DT1969:DT1985&amp;" ",CQ66)))),"")</f>
        <v/>
      </c>
      <c r="CS66" s="493" t="str">
        <f>IF(57=57,IF(AW66="","",IF(CP66&gt;0,"X",IF(CR66&gt;0,"?",""))),"")</f>
        <v/>
      </c>
      <c r="CT66" s="493" t="str" cm="1">
        <f t="array" ref="CT66">IF(57=57,IF(AW66="","",SUMPRODUCT(--ISNUMBER(SEARCH(" "&amp;DT1986:DT1999&amp;" ",BC66)))),"")</f>
        <v/>
      </c>
      <c r="CU66" s="493" t="str" cm="1">
        <f t="array" ref="CU66">IF(57=57,IF(AW66="","",SUMPRODUCT(--ISNUMBER(SEARCH(" "&amp;DT2000:DT2014&amp;" ",BC66)))),"")</f>
        <v/>
      </c>
      <c r="CV66" s="493" t="str">
        <f>IF(57=57,IF(AW66="","",IF((CT66)-(0)&gt;0,"X",IF((CU66)-(0)&gt;0,"?",""))),"")</f>
        <v/>
      </c>
      <c r="CW66" s="493" t="str" cm="1">
        <f t="array" ref="CW66">IF(57=57,IF(AW66="","",SUMPRODUCT(--ISNUMBER(SEARCH(" "&amp;DT2015:DT2032&amp;" ",BC66)))),"")</f>
        <v/>
      </c>
      <c r="CX66" s="493" t="str" cm="1">
        <f t="array" ref="CX66">IF(57=57,IF(AW66="","",SUMPRODUCT(--ISNUMBER(SEARCH(" "&amp;DT2033:DT2047&amp;" ",BC66)))),"")</f>
        <v/>
      </c>
      <c r="CY66" s="493" t="str">
        <f>IF(57=57,IF(AW66="","",IF((CW66)-(0)&gt;0,"X",IF((CX66)-(0)&gt;0,"?",""))),"")</f>
        <v/>
      </c>
      <c r="CZ66" s="493" t="str" cm="1">
        <f t="array" ref="CZ66">IF(57=57,IF(AW66="","",SUMPRODUCT(--ISNUMBER(SEARCH(" "&amp;DT2048:DT2066&amp;" ",BC66)))),"")</f>
        <v/>
      </c>
      <c r="DA66" s="493" t="str" cm="1">
        <f t="array" ref="DA66">IF(57=57,IF(AW66="","",SUMPRODUCT(--ISNUMBER(SEARCH(" "&amp;DT2067:DT2081&amp;" ",BC66)))),"")</f>
        <v/>
      </c>
      <c r="DB66" s="493" t="str">
        <f>IF(57=57,IF(AW66="","",IF((CZ66)-(0)&gt;0,"X",IF((DA66)-(0)&gt;0,"?",""))),"")</f>
        <v/>
      </c>
      <c r="DC66" s="493" t="str" cm="1">
        <f t="array" ref="DC66">IF(57=57,IF(AW66="","",SUMPRODUCT(--ISNUMBER(SEARCH(" "&amp;DT2082:DT2102&amp;" ",BC66)))),"")</f>
        <v/>
      </c>
      <c r="DD66" s="493" t="str" cm="1">
        <f t="array" ref="DD66">IF(57=57,IF(AW66="","",SUMPRODUCT(--ISNUMBER(SEARCH(" "&amp;DT2103:DT2142&amp;" ",SUBSTITUTE(SUBSTITUTE(BC66," "&amp;DT1376&amp;" "," ")," "&amp;DT1375&amp;" "," "))))+--ISNUMBER(SEARCH("poiré",AX66))),"")</f>
        <v/>
      </c>
      <c r="DE66" s="493" t="str">
        <f>IF(57=57,IF(AW66="","",IF(OR(DC66&gt;0,ISNUMBER(SEARCH(" vinaigre de vin ",BC66)),ISNUMBER(SEARCH(" vinaigre au vin ",BC66))),"X",IF(DD66&gt;0,"?",""))),"")</f>
        <v/>
      </c>
      <c r="DF66" s="493" t="str" cm="1">
        <f t="array" ref="DF66">IF(57=57,IF(AW66="","",SUMPRODUCT(--ISNUMBER(SEARCH(" "&amp;DT2143:DT2155&amp;" ",BC66)))),"")</f>
        <v/>
      </c>
      <c r="DG66" s="493" t="str" cm="1">
        <f t="array" ref="DG66">IF(57=57,IF(AW66="","",SUMPRODUCT(--ISNUMBER(SEARCH(" "&amp;DT2156:DT2161&amp;" ",BC66)))),"")</f>
        <v/>
      </c>
      <c r="DH66" s="493" t="str">
        <f>IF(57=57,IF(AW66="","",IF((DF66)-(0)&gt;0,"X",IF((DG66)-(0)&gt;0,"?",""))),"")</f>
        <v/>
      </c>
      <c r="DI66" s="493" t="str" cm="1">
        <f t="array" ref="DI66">IF(57=57,IF(AW66="","",SUMPRODUCT(--ISNUMBER(SEARCH(" "&amp;DT2162:DT2261&amp;" ",DL66)))),"")</f>
        <v/>
      </c>
      <c r="DJ66" s="493" t="str" cm="1">
        <f t="array" ref="DJ66">IF(57=57,IF(AW66="","",SUMPRODUCT(--ISNUMBER(SEARCH(" "&amp;DT2262:DT2361&amp;" ",DL66)))),"")</f>
        <v/>
      </c>
      <c r="DK66" s="493" t="str" cm="1">
        <f t="array" ref="DK66">IF(57=57,IF(AW66="","",SUMPRODUCT(--ISNUMBER(SEARCH(" "&amp;DT2362:DT2404&amp;" ",DL66)))),"")</f>
        <v/>
      </c>
      <c r="DL66" s="493" t="str">
        <f>IF(57=57,IF(AW66="","",SUBSTITUTE(SUBSTITUTE(SUBSTITUTE(SUBSTITUTE(SUBSTITUTE(SUBSTITUTE(SUBSTITUTE(SUBSTITUTE(SUBSTITUTE(SUBSTITUTE(SUBSTITUTE(SUBSTITUTE(SUBSTITUTE(SUBSTITUTE(SUBSTITUTE(SUBSTITUTE(BC66," "&amp;DT2410&amp;" "," ")," "&amp;DT2409&amp;" "," ")," "&amp;DT2408&amp;" "," ")," "&amp;DT2415&amp;" "," ")," "&amp;DT2407&amp;" "," ")," "&amp;DT2419&amp;" "," ")," "&amp;DT2406&amp;" "," ")," "&amp;DT2411&amp;" "," ")," "&amp;DT2414&amp;" "," ")," "&amp;DT2405&amp;" "," ")," "&amp;DT2413&amp;" "," ")," "&amp;DT2420&amp;" "," ")," "&amp;DT2417&amp;" "," ")," "&amp;DT2412&amp;" "," ")," "&amp;DT2416&amp;" "," ")," "&amp;DT2418&amp;" "," ")),"")</f>
        <v/>
      </c>
      <c r="DM66" s="493" t="str" cm="1">
        <f t="array" ref="DM66">IF(57=57,IF(AW66="","",SUMPRODUCT(--ISNUMBER(SEARCH(" "&amp;DT2421:DT2425&amp;" ",DL66)))),"")</f>
        <v/>
      </c>
      <c r="DN66" s="493" t="str">
        <f>IF(57=57,IF(AW66="","",IF(SUM(DI66:DK66)&gt;0,"X",IF(DM66&gt;0,"?",""))),"")</f>
        <v/>
      </c>
      <c r="DO66" s="494"/>
      <c r="DP66" s="496" t="s">
        <v>1245</v>
      </c>
      <c r="DQ66" s="496" t="s">
        <v>1083</v>
      </c>
      <c r="DR66" s="496" t="s">
        <v>689</v>
      </c>
      <c r="DS66" s="496" t="s">
        <v>1246</v>
      </c>
      <c r="DT66" s="496" t="s">
        <v>1247</v>
      </c>
      <c r="DU66" s="496" t="s">
        <v>1085</v>
      </c>
      <c r="DV66" s="496" t="s">
        <v>1086</v>
      </c>
      <c r="DW66" s="496" t="s">
        <v>1087</v>
      </c>
      <c r="DX66" s="497" t="s">
        <v>1088</v>
      </c>
      <c r="DZ66" s="543">
        <v>1</v>
      </c>
      <c r="EB66" s="493"/>
      <c r="EC66" s="493"/>
    </row>
    <row r="67" spans="5:133" ht="21" customHeight="1">
      <c r="E67" s="716"/>
      <c r="F67" s="724"/>
      <c r="G67" s="725"/>
      <c r="H67" s="724"/>
      <c r="I67" s="726"/>
      <c r="J67" s="950"/>
      <c r="K67" s="951"/>
      <c r="L67" s="793"/>
      <c r="M67" s="952"/>
      <c r="N67" s="953"/>
      <c r="O67" s="954"/>
      <c r="P67" s="955"/>
      <c r="Q67" s="956"/>
      <c r="R67" s="957"/>
      <c r="S67" s="800"/>
      <c r="T67" s="958"/>
      <c r="U67" s="802"/>
      <c r="V67" s="959"/>
      <c r="W67" s="960"/>
      <c r="X67" s="805"/>
      <c r="Y67" s="816"/>
      <c r="AA67" s="961"/>
      <c r="AC67" s="509">
        <v>52</v>
      </c>
      <c r="AD67" s="808"/>
      <c r="AE67" s="679" t="str">
        <f t="shared" si="9"/>
        <v/>
      </c>
      <c r="AF67" s="512" t="str">
        <f>IF(58=58,IF(AD67="","",IF(AG67="X",""&amp;"Céréales contenant du gluten","")&amp;IF(AH67="X",IF(COUNTIF(AG67:AG67,"X")&gt;0,", ","")&amp;"Crustacés","")&amp;IF(AI67="X",IF(COUNTIF(AG67:AH67,"X")&gt;0,", ","")&amp;"Œufs","")&amp;IF(AJ67="X",IF(COUNTIF(AG67:AI67,"X")&gt;0,", ","")&amp;"Poissons","")&amp;IF(AK67="X",IF(COUNTIF(AG67:AJ67,"X")&gt;0,", ","")&amp;"Arachides","")&amp;IF(AL67="X",IF(COUNTIF(AG67:AK67,"X")&gt;0,", ","")&amp;"Soja","")&amp;IF(AM67="X",IF(COUNTIF(AG67:AL67,"X")&gt;0,", ","")&amp;"Lait","")&amp;IF(AN67="X",IF(COUNTIF(AG67:AM67,"X")&gt;0,", ","")&amp;"Fruits à coque","")&amp;IF(AO67="X",IF(COUNTIF(AG67:AN67,"X")&gt;0,", ","")&amp;"Céleri","")&amp;IF(AP67="X",IF(COUNTIF(AG67:AO67,"X")&gt;0,", ","")&amp;"Moutarde","")&amp;IF(AQ67="X",IF(COUNTIF(AG67:AP67,"X")&gt;0,", ","")&amp;"Sésame","")&amp;IF(AR67="X",IF(COUNTIF(AG67:AQ67,"X")&gt;0,", ","")&amp;"Sulfites","")&amp;IF(AS67="X",IF(COUNTIF(AG67:AR67,"X")&gt;0,", ","")&amp;"Lupin","")&amp;IF(AT67="X",IF(COUNTIF(AG67:AS67,"X")&gt;0,", ","")&amp;"Mollusques","")),"")</f>
        <v/>
      </c>
      <c r="AG67" s="513" t="str">
        <f>IF(58=58,IF(AD67="","",BH67),"")</f>
        <v/>
      </c>
      <c r="AH67" s="513" t="str">
        <f>IF(58=58,IF(AD67="","",BK67),"")</f>
        <v/>
      </c>
      <c r="AI67" s="513" t="str">
        <f>IF(58=58,IF(AD67="","",BO67),"")</f>
        <v/>
      </c>
      <c r="AJ67" s="513" t="str">
        <f>IF(58=58,IF(AD67="","",IF(ISNUMBER(SEARCH(" colin ",BC67)),"X",CB67)),"")</f>
        <v/>
      </c>
      <c r="AK67" s="513" t="str">
        <f>IF(58=58,IF(AD67="","",CD67),"")</f>
        <v/>
      </c>
      <c r="AL67" s="513" t="str">
        <f>IF(58=58,IF(AD67="","",CH67),"")</f>
        <v/>
      </c>
      <c r="AM67" s="513" t="str">
        <f>IF(58=58,IF(AD67="","",CO67),"")</f>
        <v/>
      </c>
      <c r="AN67" s="513" t="str">
        <f>IF(58=58,IF(AD67="","",CS67),"")</f>
        <v/>
      </c>
      <c r="AO67" s="513" t="str">
        <f>IF(58=58,IF(AD67="","",CV67),"")</f>
        <v/>
      </c>
      <c r="AP67" s="513" t="str">
        <f>IF(58=58,IF(AD67="","",CY67),"")</f>
        <v/>
      </c>
      <c r="AQ67" s="513" t="str">
        <f>IF(58=58,IF(AD67="","",DB67),"")</f>
        <v/>
      </c>
      <c r="AR67" s="513" t="str">
        <f>IF(58=58,IF(AD67="","",DE67),"")</f>
        <v/>
      </c>
      <c r="AS67" s="513" t="str">
        <f>IF(58=58,IF(AD67="","",DH67),"")</f>
        <v/>
      </c>
      <c r="AT67" s="513" t="str">
        <f>IF(58=58,IF(AD67="","",DN67),"")</f>
        <v/>
      </c>
      <c r="AU67" s="514" t="str">
        <f>IF(58=58,IF(AD67="","",IF(AG67="?",""&amp;"Céréales contenant du gluten","")&amp;IF(AH67="?",IF(COUNTIF(AG67:AG67,"~?")&gt;0,", ","")&amp;"Crustacés","")&amp;IF(AI67="?",IF(COUNTIF(AG67:AH67,"~?")&gt;0,", ","")&amp;"Œufs","")&amp;IF(AJ67="?",IF(COUNTIF(AG67:AI67,"~?")&gt;0,", ","")&amp;"Poissons","")&amp;IF(AK67="?",IF(COUNTIF(AG67:AJ67,"~?")&gt;0,", ","")&amp;"Arachides","")&amp;IF(AL67="?",IF(COUNTIF(AG67:AK67,"~?")&gt;0,", ","")&amp;"Soja","")&amp;IF(AM67="?",IF(COUNTIF(AG67:AL67,"~?")&gt;0,", ","")&amp;"Lait","")&amp;IF(AN67="?",IF(COUNTIF(AG67:AM67,"~?")&gt;0,", ","")&amp;"Fruits à coque","")&amp;IF(AO67="?",IF(COUNTIF(AG67:AN67,"~?")&gt;0,", ","")&amp;"Céleri","")&amp;IF(AP67="?",IF(COUNTIF(AG67:AO67,"~?")&gt;0,", ","")&amp;"Moutarde","")&amp;IF(AQ67="?",IF(COUNTIF(AG67:AP67,"~?")&gt;0,", ","")&amp;"Sésame","")&amp;IF(AR67="?",IF(COUNTIF(AG67:AQ67,"~?")&gt;0,", ","")&amp;"Sulfites","")&amp;IF(AS67="?",IF(COUNTIF(AG67:AR67,"~?")&gt;0,", ","")&amp;"Lupin","")&amp;IF(AT67="?",IF(COUNTIF(AG67:AS67,"~?")&gt;0,", ","")&amp;"Mollusques","")),"")</f>
        <v/>
      </c>
      <c r="AW67" s="493" t="str">
        <f>IF(58=58,IF(AD67="","",AD67),"")</f>
        <v/>
      </c>
      <c r="AX67" s="493" t="str">
        <f>IF(58=58,LOWER(CLEAN(SUBSTITUTE(SUBSTITUTE(SUBSTITUTE(SUBSTITUTE(AW67,CHAR(160)," ")," "," "),CHAR(10)," "),CHAR(13)," "))),"")</f>
        <v/>
      </c>
      <c r="AY67" s="493" t="str">
        <f>IF(58=58,SUBSTITUTE(SUBSTITUTE(SUBSTITUTE(SUBSTITUTE(SUBSTITUTE(SUBSTITUTE(SUBSTITUTE(SUBSTITUTE(SUBSTITUTE(SUBSTITUTE(SUBSTITUTE(SUBSTITUTE(AX67,"œ","oe"),"æ","ae"),"à","a"),"á","a"),"â","a"),"ä","a"),"ã","a"),"ç","c"),"è","e"),"é","e"),"ê","e"),"ë","e"),"")</f>
        <v/>
      </c>
      <c r="AZ67" s="493" t="str">
        <f>IF(58=58,SUBSTITUTE(SUBSTITUTE(SUBSTITUTE(SUBSTITUTE(SUBSTITUTE(SUBSTITUTE(SUBSTITUTE(SUBSTITUTE(SUBSTITUTE(SUBSTITUTE(SUBSTITUTE(SUBSTITUTE(SUBSTITUTE(SUBSTITUTE(SUBSTITUTE(SUBSTITUTE(AY67,"ì","i"),"í","i"),"î","i"),"ï","i"),"ñ","n"),"ò","o"),"ó","o"),"ô","o"),"ö","o"),"õ","o"),"ù","u"),"ú","u"),"û","u"),"ü","u"),"ý","y"),"ÿ","y"),"")</f>
        <v/>
      </c>
      <c r="BA67" s="493" t="str">
        <f>IF(58=58,SUBSTITUTE(SUBSTITUTE(SUBSTITUTE(SUBSTITUTE(SUBSTITUTE(SUBSTITUTE(SUBSTITUTE(SUBSTITUTE(SUBSTITUTE(SUBSTITUTE(SUBSTITUTE(SUBSTITUTE(SUBSTITUTE(SUBSTITUTE(AZ67,"’"," "),"`"," "),"–"," "),"—"," "),"-"," "),"'"," "),"/"," "),"_"," "),","," "),"."," "),"("," "),")"," "),";"," "),":"," "),"")</f>
        <v/>
      </c>
      <c r="BB67" s="493" t="str">
        <f>IF(58=58,SUBSTITUTE(SUBSTITUTE(SUBSTITUTE(SUBSTITUTE(SUBSTITUTE(SUBSTITUTE(SUBSTITUTE(SUBSTITUTE(SUBSTITUTE(SUBSTITUTE(SUBSTITUTE(SUBSTITUTE(SUBSTITUTE(SUBSTITUTE(SUBSTITUTE(BA67,"!"," "),"?"," "),"+"," "),"*"," "),"&amp;"," "),"["," "),"]"," "),"{"," "),"}"," "),"%"," "),"="," "),"\"," "),"|"," "),"&lt;"," "),"&gt;"," "),"")</f>
        <v/>
      </c>
      <c r="BC67" s="493" t="str">
        <f>IF(58=58," "&amp;TRIM(SUBSTITUTE(SUBSTITUTE(SUBSTITUTE(SUBSTITUTE(SUBSTITUTE(SUBSTITUTE(BB67,CHAR(34)," "),"  "," "),"  "," "),"  "," "),"  "," "),"  "," "))&amp;" ","")</f>
        <v xml:space="preserve">  </v>
      </c>
      <c r="BD67" s="493" t="str" cm="1">
        <f t="array" ref="BD67">IF(58=58,IF(AW67="","",SUMPRODUCT(--ISNUMBER(SEARCH(" "&amp;DT11:DT110&amp;" ",BF67)))),"")</f>
        <v/>
      </c>
      <c r="BE67" s="493" t="str" cm="1">
        <f t="array" ref="BE67">IF(58=58,IF(AW67="","",SUMPRODUCT(--ISNUMBER(SEARCH(" "&amp;DT111:DT160&amp;" ",BF67)))),"")</f>
        <v/>
      </c>
      <c r="BF67" s="493" t="str">
        <f>IF(AW67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67,"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67" s="493" t="str" cm="1">
        <f t="array" ref="BG67">IF(AW67="","",SUMPRODUCT(--ISNUMBER(SEARCH(" "&amp;DT193:DT214&amp;" ",BF67)))+--ISNUMBER(SEARCH(" "&amp;DT2463&amp;" ",BF67)))</f>
        <v/>
      </c>
      <c r="BH67" s="493" t="str" cm="1">
        <f t="array" ref="BH67">IF(58=58,IF(AW67="","",IF(SUM(BD67:BE67)+SUMPRODUCT(--ISNUMBER(SEARCH(" "&amp;DT2427:DT2429&amp;" ",BF67)))&gt;0,"X",IF(BG67&gt;0,"?",""))),"")</f>
        <v/>
      </c>
      <c r="BI67" s="493" t="str" cm="1">
        <f t="array" ref="BI67">IF(58=58,IF(AW67="","",SUMPRODUCT(--ISNUMBER(SEARCH(" "&amp;DT215:DT314&amp;" ",BC67)))),"")</f>
        <v/>
      </c>
      <c r="BJ67" s="493" t="str" cm="1">
        <f t="array" ref="BJ67">IF(58=58,IF(AW67="","",SUMPRODUCT(--ISNUMBER(SEARCH(" "&amp;DT315:DT349&amp;" ",BC67)))),"")</f>
        <v/>
      </c>
      <c r="BK67" s="493" t="str">
        <f>IF(58=58,IF(AW67="","",IF((SUM(BI67:BJ67))-(0)&gt;0,"X",IF((0)-(0)&gt;0,"?",""))),"")</f>
        <v/>
      </c>
      <c r="BL67" s="493" t="str" cm="1">
        <f t="array" ref="BL67">IF(58=58,IF(AW67="","",SUMPRODUCT(--ISNUMBER(SEARCH(" "&amp;DT350:DT407&amp;" ",BC67)))),"")</f>
        <v/>
      </c>
      <c r="BM67" s="493" t="str" cm="1">
        <f t="array" ref="BM67">IF(58=58,IF(AW67="","",SUMPRODUCT(--ISNUMBER(SEARCH(" "&amp;DT408:DT435&amp;" ",BN67)))+SUMPRODUCT(--ISNUMBER(SEARCH(" "&amp;DT2449:DT2462&amp;" ",BN67)))),"")</f>
        <v/>
      </c>
      <c r="BN67" s="493" t="str">
        <f>IF(58=58,IF(AW67="","",SUBSTITUTE(SUBSTITUTE(SUBSTITUTE(SUBSTITUTE(SUBSTITUTE(SUBSTITUTE(SUBSTITUTE(SUBSTITUTE(SUBSTITUTE(SUBSTITUTE(SUBSTITUTE(SUBSTITUTE(SUBSTITUTE(SUBSTITUTE(BC67," "&amp;DT2464&amp;" "," ")," "&amp;DT442&amp;" "," ")," "&amp;DT440&amp;" "," ")," "&amp;DT2447&amp;" "," ")," "&amp;DT2448&amp;" "," ")," "&amp;DT437&amp;" "," ")," "&amp;DT441&amp;" "," ")," "&amp;DT443&amp;" "," ")," "&amp;DT438&amp;" "," ")," "&amp;DT436&amp;" "," ")," "&amp;DT1376&amp;" "," ")," "&amp;DT444&amp;" "," ")," "&amp;DT1375&amp;" "," ")," "&amp;DT439&amp;" "," ")),"")</f>
        <v/>
      </c>
      <c r="BO67" s="493" t="str">
        <f>IF(58=58,IF(AW67="","",IF(BL67&gt;0,"X",IF(BM67&gt;0,"?",""))),"")</f>
        <v/>
      </c>
      <c r="BP67" s="493" t="str" cm="1">
        <f t="array" ref="BP67">IF(58=58,IF(AW67="","",SUMPRODUCT(--ISNUMBER(SEARCH(" "&amp;DT445:DT544&amp;" ",BZ67)))),"")</f>
        <v/>
      </c>
      <c r="BQ67" s="493" t="str" cm="1">
        <f t="array" ref="BQ67">IF(58=58,IF(AW67="","",SUMPRODUCT(--ISNUMBER(SEARCH(" "&amp;DT545:DT644&amp;" ",BZ67)))),"")</f>
        <v/>
      </c>
      <c r="BR67" s="493" t="str" cm="1">
        <f t="array" ref="BR67">IF(58=58,IF(AW67="","",SUMPRODUCT(--ISNUMBER(SEARCH(" "&amp;DT645:DT744&amp;" ",BZ67)))),"")</f>
        <v/>
      </c>
      <c r="BS67" s="493" t="str" cm="1">
        <f t="array" ref="BS67">IF(58=58,IF(AW67="","",SUMPRODUCT(--ISNUMBER(SEARCH(" "&amp;DT745:DT844&amp;" ",BZ67)))),"")</f>
        <v/>
      </c>
      <c r="BT67" s="493" t="str" cm="1">
        <f t="array" ref="BT67">IF(58=58,IF(AW67="","",SUMPRODUCT(--ISNUMBER(SEARCH(" "&amp;DT845:DT944&amp;" ",BZ67)))),"")</f>
        <v/>
      </c>
      <c r="BU67" s="493" t="str" cm="1">
        <f t="array" ref="BU67">IF(58=58,IF(AW67="","",SUMPRODUCT(--ISNUMBER(SEARCH(" "&amp;DT945:DT1044&amp;" ",BZ67)))),"")</f>
        <v/>
      </c>
      <c r="BV67" s="493" t="str" cm="1">
        <f t="array" ref="BV67">IF(58=58,IF(AW67="","",SUMPRODUCT(--ISNUMBER(SEARCH(" "&amp;DT1045:DT1144&amp;" ",BZ67)))),"")</f>
        <v/>
      </c>
      <c r="BW67" s="493" t="str" cm="1">
        <f t="array" ref="BW67">IF(58=58,IF(AW67="","",SUMPRODUCT(--ISNUMBER(SEARCH(" "&amp;DT1145:DT1244&amp;" ",BZ67)))),"")</f>
        <v/>
      </c>
      <c r="BX67" s="493" t="str" cm="1">
        <f t="array" ref="BX67">IF(58=58,IF(AW67="","",SUMPRODUCT(--ISNUMBER(SEARCH(" "&amp;DT1245:DT1344&amp;" ",BZ67)))),"")</f>
        <v/>
      </c>
      <c r="BY67" s="493" t="str" cm="1">
        <f t="array" ref="BY67">IF(58=58,IF(AW67="","",SUMPRODUCT(--ISNUMBER(SEARCH(" "&amp;DT1345:DT1372&amp;" ",BZ67)))),"")</f>
        <v/>
      </c>
      <c r="BZ67" s="493" t="str">
        <f>IF(58=58,IF(AW67="","",SUBSTITUTE(SUBSTITUTE(SUBSTITUTE(SUBSTITUTE(SUBSTITUTE(SUBSTITUTE(SUBSTITUTE(SUBSTITUTE(SUBSTITUTE(BC67," "&amp;DT1374&amp;" "," ")," "&amp;DT1373&amp;" "," ")," "&amp;DT1379&amp;" "," ")," "&amp;DT1380&amp;" "," ")," "&amp;DT1376&amp;" "," ")," "&amp;DT1378&amp;" "," ")," "&amp;DT1375&amp;" "," ")," "&amp;DT1377&amp;" "," ")," "&amp;DT1381&amp;" "," ")),"")</f>
        <v/>
      </c>
      <c r="CA67" s="493" t="str" cm="1">
        <f t="array" ref="CA67">IF(58=58,IF(AW67="","",SUMPRODUCT(--ISNUMBER(SEARCH(" "&amp;DT1382:DT1392&amp;" ",BZ67)))),"")</f>
        <v/>
      </c>
      <c r="CB67" s="493" t="str" cm="1">
        <f t="array" ref="CB67">IF(58=58,IF(AW67="","",IF(SUM(BP67:BY67)+SUMPRODUCT(--ISNUMBER(SEARCH(" "&amp;DT2430:DT2431&amp;" ",BZ67)))&gt;0,"X",IF(CA67&gt;0,"?",""))),"")</f>
        <v/>
      </c>
      <c r="CC67" s="493" t="str" cm="1">
        <f t="array" ref="CC67">IF(58=58,IF(AW67="","",SUMPRODUCT(--ISNUMBER(SEARCH(" "&amp;DT1393:DT1413&amp;" ",BC67)))),"")</f>
        <v/>
      </c>
      <c r="CD67" s="493" t="str">
        <f>IF(58=58,IF(AW67="","",IF((CC67)-(0)&gt;0,"X",IF((0)-(0)&gt;0,"?",""))),"")</f>
        <v/>
      </c>
      <c r="CE67" s="493" t="str" cm="1">
        <f t="array" ref="CE67">IF(58=58,IF(AW67="","",SUMPRODUCT(--ISNUMBER(SEARCH(" "&amp;DT1414:DT1451&amp;" ",CF67)))),"")</f>
        <v/>
      </c>
      <c r="CF67" s="493" t="str">
        <f>IF(58=58,IF(AW67="","",SUBSTITUTE(SUBSTITUTE(BC67," "&amp;DT1452&amp;" "," ")," "&amp;DT1453&amp;" "," ")),"")</f>
        <v/>
      </c>
      <c r="CG67" s="493" t="str" cm="1">
        <f t="array" ref="CG67">IF(58=58,IF(AW67="","",SUMPRODUCT(--ISNUMBER(SEARCH(" "&amp;DT1454:DT1464&amp;" ",CF67)))),"")</f>
        <v/>
      </c>
      <c r="CH67" s="493" t="str">
        <f>IF(58=58,IF(AW67="","",IF(CE67&gt;0,"X",IF(CG67&gt;0,"?",""))),"")</f>
        <v/>
      </c>
      <c r="CI67" s="493" t="str" cm="1">
        <f t="array" ref="CI67">IF(58=58,IF(AW67="","",SUMPRODUCT(--ISNUMBER(SEARCH(" "&amp;DT1465:DT1564&amp;" ",CL67)))),"")</f>
        <v/>
      </c>
      <c r="CJ67" s="493" t="str" cm="1">
        <f t="array" ref="CJ67">IF(58=58,IF(AW67="","",SUMPRODUCT(--ISNUMBER(SEARCH(" "&amp;DT1565:DT1664&amp;" ",CL67)))),"")</f>
        <v/>
      </c>
      <c r="CK67" s="493" t="str" cm="1">
        <f t="array" ref="CK67">IF(58=58,IF(AW67="","",SUMPRODUCT(--ISNUMBER(SEARCH(" "&amp;DT1665:DT1748&amp;" ",CL67)))),"")</f>
        <v/>
      </c>
      <c r="CL67" s="493" t="str">
        <f>IF(58=58,IF(AW67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67,"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67" s="493" t="str" cm="1">
        <f t="array" ref="CM67">IF(58=58,IF(AW67="","",SUMPRODUCT(--ISNUMBER(SEARCH(" "&amp;DT1799:DT1878&amp;" ",CN67)))+SUMPRODUCT(--ISNUMBER(SEARCH(" "&amp;DT2449:DT2462&amp;" ",CN67)))),"")</f>
        <v/>
      </c>
      <c r="CN67" s="493" t="str">
        <f>IF(58=58,IF(AW67="","",SUBSTITUTE(SUBSTITUTE(SUBSTITUTE(SUBSTITUTE(SUBSTITUTE(SUBSTITUTE(SUBSTITUTE(SUBSTITUTE(SUBSTITUTE(SUBSTITUTE(SUBSTITUTE(SUBSTITUTE(SUBSTITUTE(CL67," "&amp;DT1885&amp;" "," ")," "&amp;DT1883&amp;" "," ")," "&amp;DT2447&amp;" "," ")," "&amp;DT2448&amp;" "," ")," "&amp;DT1880&amp;" "," ")," "&amp;DT1884&amp;" "," ")," "&amp;DT1886&amp;" "," ")," "&amp;DT1881&amp;" "," ")," "&amp;DT1879&amp;" "," ")," "&amp;DT1376&amp;" "," ")," "&amp;DT1887&amp;" "," ")," "&amp;DT1375&amp;" "," ")," "&amp;DT1882&amp;" "," ")),"")</f>
        <v/>
      </c>
      <c r="CO67" s="493" t="str" cm="1">
        <f t="array" ref="CO67">IF(58=58,IF(AW67="","",IF(SUM(CI67:CK67)+SUMPRODUCT(--ISNUMBER(SEARCH(" "&amp;DT2432:DT2433&amp;" ",CL67)))&gt;0,"X",IF(CM67&gt;0,"?",""))),"")</f>
        <v/>
      </c>
      <c r="CP67" s="493" t="str" cm="1">
        <f t="array" ref="CP67">IF(58=58,IF(AW67="","",SUMPRODUCT(--ISNUMBER(SEARCH(" "&amp;DT1888:DT1945&amp;" ",CQ67)))),"")</f>
        <v/>
      </c>
      <c r="CQ67" s="493" t="str">
        <f>IF(58=58,IF(AW67="","",SUBSTITUTE(SUBSTITUTE(SUBSTITUTE(SUBSTITUTE(SUBSTITUTE(SUBSTITUTE(SUBSTITUTE(SUBSTITUTE(SUBSTITUTE(SUBSTITUTE(SUBSTITUTE(SUBSTITUTE(SUBSTITUTE(SUBSTITUTE(SUBSTITUTE(SUBSTITUTE(SUBSTITUTE(SUBSTITUTE(SUBSTITUTE(SUBSTITUTE(SUBSTITUTE(SUBSTITUTE(SUBSTITUTE(BC67,"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67" s="493" t="str" cm="1">
        <f t="array" ref="CR67">IF(58=58,IF(AW67="","",SUMPRODUCT(--ISNUMBER(SEARCH(" "&amp;DT1969:DT1985&amp;" ",CQ67)))),"")</f>
        <v/>
      </c>
      <c r="CS67" s="493" t="str">
        <f>IF(58=58,IF(AW67="","",IF(CP67&gt;0,"X",IF(CR67&gt;0,"?",""))),"")</f>
        <v/>
      </c>
      <c r="CT67" s="493" t="str" cm="1">
        <f t="array" ref="CT67">IF(58=58,IF(AW67="","",SUMPRODUCT(--ISNUMBER(SEARCH(" "&amp;DT1986:DT1999&amp;" ",BC67)))),"")</f>
        <v/>
      </c>
      <c r="CU67" s="493" t="str" cm="1">
        <f t="array" ref="CU67">IF(58=58,IF(AW67="","",SUMPRODUCT(--ISNUMBER(SEARCH(" "&amp;DT2000:DT2014&amp;" ",BC67)))),"")</f>
        <v/>
      </c>
      <c r="CV67" s="493" t="str">
        <f>IF(58=58,IF(AW67="","",IF((CT67)-(0)&gt;0,"X",IF((CU67)-(0)&gt;0,"?",""))),"")</f>
        <v/>
      </c>
      <c r="CW67" s="493" t="str" cm="1">
        <f t="array" ref="CW67">IF(58=58,IF(AW67="","",SUMPRODUCT(--ISNUMBER(SEARCH(" "&amp;DT2015:DT2032&amp;" ",BC67)))),"")</f>
        <v/>
      </c>
      <c r="CX67" s="493" t="str" cm="1">
        <f t="array" ref="CX67">IF(58=58,IF(AW67="","",SUMPRODUCT(--ISNUMBER(SEARCH(" "&amp;DT2033:DT2047&amp;" ",BC67)))),"")</f>
        <v/>
      </c>
      <c r="CY67" s="493" t="str">
        <f>IF(58=58,IF(AW67="","",IF((CW67)-(0)&gt;0,"X",IF((CX67)-(0)&gt;0,"?",""))),"")</f>
        <v/>
      </c>
      <c r="CZ67" s="493" t="str" cm="1">
        <f t="array" ref="CZ67">IF(58=58,IF(AW67="","",SUMPRODUCT(--ISNUMBER(SEARCH(" "&amp;DT2048:DT2066&amp;" ",BC67)))),"")</f>
        <v/>
      </c>
      <c r="DA67" s="493" t="str" cm="1">
        <f t="array" ref="DA67">IF(58=58,IF(AW67="","",SUMPRODUCT(--ISNUMBER(SEARCH(" "&amp;DT2067:DT2081&amp;" ",BC67)))),"")</f>
        <v/>
      </c>
      <c r="DB67" s="493" t="str">
        <f>IF(58=58,IF(AW67="","",IF((CZ67)-(0)&gt;0,"X",IF((DA67)-(0)&gt;0,"?",""))),"")</f>
        <v/>
      </c>
      <c r="DC67" s="493" t="str" cm="1">
        <f t="array" ref="DC67">IF(58=58,IF(AW67="","",SUMPRODUCT(--ISNUMBER(SEARCH(" "&amp;DT2082:DT2102&amp;" ",BC67)))),"")</f>
        <v/>
      </c>
      <c r="DD67" s="493" t="str" cm="1">
        <f t="array" ref="DD67">IF(58=58,IF(AW67="","",SUMPRODUCT(--ISNUMBER(SEARCH(" "&amp;DT2103:DT2142&amp;" ",SUBSTITUTE(SUBSTITUTE(BC67," "&amp;DT1376&amp;" "," ")," "&amp;DT1375&amp;" "," "))))+--ISNUMBER(SEARCH("poiré",AX67))),"")</f>
        <v/>
      </c>
      <c r="DE67" s="493" t="str">
        <f>IF(58=58,IF(AW67="","",IF(OR(DC67&gt;0,ISNUMBER(SEARCH(" vinaigre de vin ",BC67)),ISNUMBER(SEARCH(" vinaigre au vin ",BC67))),"X",IF(DD67&gt;0,"?",""))),"")</f>
        <v/>
      </c>
      <c r="DF67" s="493" t="str" cm="1">
        <f t="array" ref="DF67">IF(58=58,IF(AW67="","",SUMPRODUCT(--ISNUMBER(SEARCH(" "&amp;DT2143:DT2155&amp;" ",BC67)))),"")</f>
        <v/>
      </c>
      <c r="DG67" s="493" t="str" cm="1">
        <f t="array" ref="DG67">IF(58=58,IF(AW67="","",SUMPRODUCT(--ISNUMBER(SEARCH(" "&amp;DT2156:DT2161&amp;" ",BC67)))),"")</f>
        <v/>
      </c>
      <c r="DH67" s="493" t="str">
        <f>IF(58=58,IF(AW67="","",IF((DF67)-(0)&gt;0,"X",IF((DG67)-(0)&gt;0,"?",""))),"")</f>
        <v/>
      </c>
      <c r="DI67" s="493" t="str" cm="1">
        <f t="array" ref="DI67">IF(58=58,IF(AW67="","",SUMPRODUCT(--ISNUMBER(SEARCH(" "&amp;DT2162:DT2261&amp;" ",DL67)))),"")</f>
        <v/>
      </c>
      <c r="DJ67" s="493" t="str" cm="1">
        <f t="array" ref="DJ67">IF(58=58,IF(AW67="","",SUMPRODUCT(--ISNUMBER(SEARCH(" "&amp;DT2262:DT2361&amp;" ",DL67)))),"")</f>
        <v/>
      </c>
      <c r="DK67" s="493" t="str" cm="1">
        <f t="array" ref="DK67">IF(58=58,IF(AW67="","",SUMPRODUCT(--ISNUMBER(SEARCH(" "&amp;DT2362:DT2404&amp;" ",DL67)))),"")</f>
        <v/>
      </c>
      <c r="DL67" s="493" t="str">
        <f>IF(58=58,IF(AW67="","",SUBSTITUTE(SUBSTITUTE(SUBSTITUTE(SUBSTITUTE(SUBSTITUTE(SUBSTITUTE(SUBSTITUTE(SUBSTITUTE(SUBSTITUTE(SUBSTITUTE(SUBSTITUTE(SUBSTITUTE(SUBSTITUTE(SUBSTITUTE(SUBSTITUTE(SUBSTITUTE(BC67," "&amp;DT2410&amp;" "," ")," "&amp;DT2409&amp;" "," ")," "&amp;DT2408&amp;" "," ")," "&amp;DT2415&amp;" "," ")," "&amp;DT2407&amp;" "," ")," "&amp;DT2419&amp;" "," ")," "&amp;DT2406&amp;" "," ")," "&amp;DT2411&amp;" "," ")," "&amp;DT2414&amp;" "," ")," "&amp;DT2405&amp;" "," ")," "&amp;DT2413&amp;" "," ")," "&amp;DT2420&amp;" "," ")," "&amp;DT2417&amp;" "," ")," "&amp;DT2412&amp;" "," ")," "&amp;DT2416&amp;" "," ")," "&amp;DT2418&amp;" "," ")),"")</f>
        <v/>
      </c>
      <c r="DM67" s="493" t="str" cm="1">
        <f t="array" ref="DM67">IF(58=58,IF(AW67="","",SUMPRODUCT(--ISNUMBER(SEARCH(" "&amp;DT2421:DT2425&amp;" ",DL67)))),"")</f>
        <v/>
      </c>
      <c r="DN67" s="493" t="str">
        <f>IF(58=58,IF(AW67="","",IF(SUM(DI67:DK67)&gt;0,"X",IF(DM67&gt;0,"?",""))),"")</f>
        <v/>
      </c>
      <c r="DO67" s="494"/>
      <c r="DP67" s="496" t="s">
        <v>1248</v>
      </c>
      <c r="DQ67" s="496" t="s">
        <v>1083</v>
      </c>
      <c r="DR67" s="496" t="s">
        <v>689</v>
      </c>
      <c r="DS67" s="496" t="s">
        <v>1249</v>
      </c>
      <c r="DT67" s="496" t="s">
        <v>1249</v>
      </c>
      <c r="DU67" s="496" t="s">
        <v>1085</v>
      </c>
      <c r="DV67" s="496" t="s">
        <v>1086</v>
      </c>
      <c r="DW67" s="496" t="s">
        <v>1087</v>
      </c>
      <c r="DX67" s="497" t="s">
        <v>1088</v>
      </c>
      <c r="DZ67" s="543">
        <v>1</v>
      </c>
      <c r="EB67" s="493"/>
      <c r="EC67" s="493"/>
    </row>
    <row r="68" spans="5:133" ht="21" customHeight="1">
      <c r="E68" s="716"/>
      <c r="F68" s="724"/>
      <c r="G68" s="725"/>
      <c r="H68" s="724"/>
      <c r="I68" s="726"/>
      <c r="J68" s="950"/>
      <c r="K68" s="951"/>
      <c r="L68" s="793"/>
      <c r="M68" s="952"/>
      <c r="N68" s="953"/>
      <c r="O68" s="954"/>
      <c r="P68" s="955"/>
      <c r="Q68" s="956"/>
      <c r="R68" s="957"/>
      <c r="S68" s="800"/>
      <c r="T68" s="958"/>
      <c r="U68" s="802"/>
      <c r="V68" s="959"/>
      <c r="W68" s="960"/>
      <c r="X68" s="805"/>
      <c r="Y68" s="816"/>
      <c r="AA68" s="961"/>
      <c r="AC68" s="509">
        <v>53</v>
      </c>
      <c r="AD68" s="808"/>
      <c r="AE68" s="679" t="str">
        <f t="shared" si="9"/>
        <v/>
      </c>
      <c r="AF68" s="512" t="str">
        <f>IF(59=59,IF(AD68="","",IF(AG68="X",""&amp;"Céréales contenant du gluten","")&amp;IF(AH68="X",IF(COUNTIF(AG68:AG68,"X")&gt;0,", ","")&amp;"Crustacés","")&amp;IF(AI68="X",IF(COUNTIF(AG68:AH68,"X")&gt;0,", ","")&amp;"Œufs","")&amp;IF(AJ68="X",IF(COUNTIF(AG68:AI68,"X")&gt;0,", ","")&amp;"Poissons","")&amp;IF(AK68="X",IF(COUNTIF(AG68:AJ68,"X")&gt;0,", ","")&amp;"Arachides","")&amp;IF(AL68="X",IF(COUNTIF(AG68:AK68,"X")&gt;0,", ","")&amp;"Soja","")&amp;IF(AM68="X",IF(COUNTIF(AG68:AL68,"X")&gt;0,", ","")&amp;"Lait","")&amp;IF(AN68="X",IF(COUNTIF(AG68:AM68,"X")&gt;0,", ","")&amp;"Fruits à coque","")&amp;IF(AO68="X",IF(COUNTIF(AG68:AN68,"X")&gt;0,", ","")&amp;"Céleri","")&amp;IF(AP68="X",IF(COUNTIF(AG68:AO68,"X")&gt;0,", ","")&amp;"Moutarde","")&amp;IF(AQ68="X",IF(COUNTIF(AG68:AP68,"X")&gt;0,", ","")&amp;"Sésame","")&amp;IF(AR68="X",IF(COUNTIF(AG68:AQ68,"X")&gt;0,", ","")&amp;"Sulfites","")&amp;IF(AS68="X",IF(COUNTIF(AG68:AR68,"X")&gt;0,", ","")&amp;"Lupin","")&amp;IF(AT68="X",IF(COUNTIF(AG68:AS68,"X")&gt;0,", ","")&amp;"Mollusques","")),"")</f>
        <v/>
      </c>
      <c r="AG68" s="513" t="str">
        <f>IF(59=59,IF(AD68="","",BH68),"")</f>
        <v/>
      </c>
      <c r="AH68" s="513" t="str">
        <f>IF(59=59,IF(AD68="","",BK68),"")</f>
        <v/>
      </c>
      <c r="AI68" s="513" t="str">
        <f>IF(59=59,IF(AD68="","",BO68),"")</f>
        <v/>
      </c>
      <c r="AJ68" s="513" t="str">
        <f>IF(59=59,IF(AD68="","",IF(ISNUMBER(SEARCH(" colin ",BC68)),"X",CB68)),"")</f>
        <v/>
      </c>
      <c r="AK68" s="513" t="str">
        <f>IF(59=59,IF(AD68="","",CD68),"")</f>
        <v/>
      </c>
      <c r="AL68" s="513" t="str">
        <f>IF(59=59,IF(AD68="","",CH68),"")</f>
        <v/>
      </c>
      <c r="AM68" s="513" t="str">
        <f>IF(59=59,IF(AD68="","",CO68),"")</f>
        <v/>
      </c>
      <c r="AN68" s="513" t="str">
        <f>IF(59=59,IF(AD68="","",CS68),"")</f>
        <v/>
      </c>
      <c r="AO68" s="513" t="str">
        <f>IF(59=59,IF(AD68="","",CV68),"")</f>
        <v/>
      </c>
      <c r="AP68" s="513" t="str">
        <f>IF(59=59,IF(AD68="","",CY68),"")</f>
        <v/>
      </c>
      <c r="AQ68" s="513" t="str">
        <f>IF(59=59,IF(AD68="","",DB68),"")</f>
        <v/>
      </c>
      <c r="AR68" s="513" t="str">
        <f>IF(59=59,IF(AD68="","",DE68),"")</f>
        <v/>
      </c>
      <c r="AS68" s="513" t="str">
        <f>IF(59=59,IF(AD68="","",DH68),"")</f>
        <v/>
      </c>
      <c r="AT68" s="513" t="str">
        <f>IF(59=59,IF(AD68="","",DN68),"")</f>
        <v/>
      </c>
      <c r="AU68" s="514" t="str">
        <f>IF(59=59,IF(AD68="","",IF(AG68="?",""&amp;"Céréales contenant du gluten","")&amp;IF(AH68="?",IF(COUNTIF(AG68:AG68,"~?")&gt;0,", ","")&amp;"Crustacés","")&amp;IF(AI68="?",IF(COUNTIF(AG68:AH68,"~?")&gt;0,", ","")&amp;"Œufs","")&amp;IF(AJ68="?",IF(COUNTIF(AG68:AI68,"~?")&gt;0,", ","")&amp;"Poissons","")&amp;IF(AK68="?",IF(COUNTIF(AG68:AJ68,"~?")&gt;0,", ","")&amp;"Arachides","")&amp;IF(AL68="?",IF(COUNTIF(AG68:AK68,"~?")&gt;0,", ","")&amp;"Soja","")&amp;IF(AM68="?",IF(COUNTIF(AG68:AL68,"~?")&gt;0,", ","")&amp;"Lait","")&amp;IF(AN68="?",IF(COUNTIF(AG68:AM68,"~?")&gt;0,", ","")&amp;"Fruits à coque","")&amp;IF(AO68="?",IF(COUNTIF(AG68:AN68,"~?")&gt;0,", ","")&amp;"Céleri","")&amp;IF(AP68="?",IF(COUNTIF(AG68:AO68,"~?")&gt;0,", ","")&amp;"Moutarde","")&amp;IF(AQ68="?",IF(COUNTIF(AG68:AP68,"~?")&gt;0,", ","")&amp;"Sésame","")&amp;IF(AR68="?",IF(COUNTIF(AG68:AQ68,"~?")&gt;0,", ","")&amp;"Sulfites","")&amp;IF(AS68="?",IF(COUNTIF(AG68:AR68,"~?")&gt;0,", ","")&amp;"Lupin","")&amp;IF(AT68="?",IF(COUNTIF(AG68:AS68,"~?")&gt;0,", ","")&amp;"Mollusques","")),"")</f>
        <v/>
      </c>
      <c r="AW68" s="493" t="str">
        <f>IF(59=59,IF(AD68="","",AD68),"")</f>
        <v/>
      </c>
      <c r="AX68" s="493" t="str">
        <f>IF(59=59,LOWER(CLEAN(SUBSTITUTE(SUBSTITUTE(SUBSTITUTE(SUBSTITUTE(AW68,CHAR(160)," ")," "," "),CHAR(10)," "),CHAR(13)," "))),"")</f>
        <v/>
      </c>
      <c r="AY68" s="493" t="str">
        <f>IF(59=59,SUBSTITUTE(SUBSTITUTE(SUBSTITUTE(SUBSTITUTE(SUBSTITUTE(SUBSTITUTE(SUBSTITUTE(SUBSTITUTE(SUBSTITUTE(SUBSTITUTE(SUBSTITUTE(SUBSTITUTE(AX68,"œ","oe"),"æ","ae"),"à","a"),"á","a"),"â","a"),"ä","a"),"ã","a"),"ç","c"),"è","e"),"é","e"),"ê","e"),"ë","e"),"")</f>
        <v/>
      </c>
      <c r="AZ68" s="493" t="str">
        <f>IF(59=59,SUBSTITUTE(SUBSTITUTE(SUBSTITUTE(SUBSTITUTE(SUBSTITUTE(SUBSTITUTE(SUBSTITUTE(SUBSTITUTE(SUBSTITUTE(SUBSTITUTE(SUBSTITUTE(SUBSTITUTE(SUBSTITUTE(SUBSTITUTE(SUBSTITUTE(SUBSTITUTE(AY68,"ì","i"),"í","i"),"î","i"),"ï","i"),"ñ","n"),"ò","o"),"ó","o"),"ô","o"),"ö","o"),"õ","o"),"ù","u"),"ú","u"),"û","u"),"ü","u"),"ý","y"),"ÿ","y"),"")</f>
        <v/>
      </c>
      <c r="BA68" s="493" t="str">
        <f>IF(59=59,SUBSTITUTE(SUBSTITUTE(SUBSTITUTE(SUBSTITUTE(SUBSTITUTE(SUBSTITUTE(SUBSTITUTE(SUBSTITUTE(SUBSTITUTE(SUBSTITUTE(SUBSTITUTE(SUBSTITUTE(SUBSTITUTE(SUBSTITUTE(AZ68,"’"," "),"`"," "),"–"," "),"—"," "),"-"," "),"'"," "),"/"," "),"_"," "),","," "),"."," "),"("," "),")"," "),";"," "),":"," "),"")</f>
        <v/>
      </c>
      <c r="BB68" s="493" t="str">
        <f>IF(59=59,SUBSTITUTE(SUBSTITUTE(SUBSTITUTE(SUBSTITUTE(SUBSTITUTE(SUBSTITUTE(SUBSTITUTE(SUBSTITUTE(SUBSTITUTE(SUBSTITUTE(SUBSTITUTE(SUBSTITUTE(SUBSTITUTE(SUBSTITUTE(SUBSTITUTE(BA68,"!"," "),"?"," "),"+"," "),"*"," "),"&amp;"," "),"["," "),"]"," "),"{"," "),"}"," "),"%"," "),"="," "),"\"," "),"|"," "),"&lt;"," "),"&gt;"," "),"")</f>
        <v/>
      </c>
      <c r="BC68" s="493" t="str">
        <f>IF(59=59," "&amp;TRIM(SUBSTITUTE(SUBSTITUTE(SUBSTITUTE(SUBSTITUTE(SUBSTITUTE(SUBSTITUTE(BB68,CHAR(34)," "),"  "," "),"  "," "),"  "," "),"  "," "),"  "," "))&amp;" ","")</f>
        <v xml:space="preserve">  </v>
      </c>
      <c r="BD68" s="493" t="str" cm="1">
        <f t="array" ref="BD68">IF(59=59,IF(AW68="","",SUMPRODUCT(--ISNUMBER(SEARCH(" "&amp;DT11:DT110&amp;" ",BF68)))),"")</f>
        <v/>
      </c>
      <c r="BE68" s="493" t="str" cm="1">
        <f t="array" ref="BE68">IF(59=59,IF(AW68="","",SUMPRODUCT(--ISNUMBER(SEARCH(" "&amp;DT111:DT160&amp;" ",BF68)))),"")</f>
        <v/>
      </c>
      <c r="BF68" s="493" t="str">
        <f>IF(AW68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68,"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68" s="493" t="str" cm="1">
        <f t="array" ref="BG68">IF(AW68="","",SUMPRODUCT(--ISNUMBER(SEARCH(" "&amp;DT193:DT214&amp;" ",BF68)))+--ISNUMBER(SEARCH(" "&amp;DT2463&amp;" ",BF68)))</f>
        <v/>
      </c>
      <c r="BH68" s="493" t="str" cm="1">
        <f t="array" ref="BH68">IF(59=59,IF(AW68="","",IF(SUM(BD68:BE68)+SUMPRODUCT(--ISNUMBER(SEARCH(" "&amp;DT2427:DT2429&amp;" ",BF68)))&gt;0,"X",IF(BG68&gt;0,"?",""))),"")</f>
        <v/>
      </c>
      <c r="BI68" s="493" t="str" cm="1">
        <f t="array" ref="BI68">IF(59=59,IF(AW68="","",SUMPRODUCT(--ISNUMBER(SEARCH(" "&amp;DT215:DT314&amp;" ",BC68)))),"")</f>
        <v/>
      </c>
      <c r="BJ68" s="493" t="str" cm="1">
        <f t="array" ref="BJ68">IF(59=59,IF(AW68="","",SUMPRODUCT(--ISNUMBER(SEARCH(" "&amp;DT315:DT349&amp;" ",BC68)))),"")</f>
        <v/>
      </c>
      <c r="BK68" s="493" t="str">
        <f>IF(59=59,IF(AW68="","",IF((SUM(BI68:BJ68))-(0)&gt;0,"X",IF((0)-(0)&gt;0,"?",""))),"")</f>
        <v/>
      </c>
      <c r="BL68" s="493" t="str" cm="1">
        <f t="array" ref="BL68">IF(59=59,IF(AW68="","",SUMPRODUCT(--ISNUMBER(SEARCH(" "&amp;DT350:DT407&amp;" ",BC68)))),"")</f>
        <v/>
      </c>
      <c r="BM68" s="493" t="str" cm="1">
        <f t="array" ref="BM68">IF(59=59,IF(AW68="","",SUMPRODUCT(--ISNUMBER(SEARCH(" "&amp;DT408:DT435&amp;" ",BN68)))+SUMPRODUCT(--ISNUMBER(SEARCH(" "&amp;DT2449:DT2462&amp;" ",BN68)))),"")</f>
        <v/>
      </c>
      <c r="BN68" s="493" t="str">
        <f>IF(59=59,IF(AW68="","",SUBSTITUTE(SUBSTITUTE(SUBSTITUTE(SUBSTITUTE(SUBSTITUTE(SUBSTITUTE(SUBSTITUTE(SUBSTITUTE(SUBSTITUTE(SUBSTITUTE(SUBSTITUTE(SUBSTITUTE(SUBSTITUTE(SUBSTITUTE(BC68," "&amp;DT2464&amp;" "," ")," "&amp;DT442&amp;" "," ")," "&amp;DT440&amp;" "," ")," "&amp;DT2447&amp;" "," ")," "&amp;DT2448&amp;" "," ")," "&amp;DT437&amp;" "," ")," "&amp;DT441&amp;" "," ")," "&amp;DT443&amp;" "," ")," "&amp;DT438&amp;" "," ")," "&amp;DT436&amp;" "," ")," "&amp;DT1376&amp;" "," ")," "&amp;DT444&amp;" "," ")," "&amp;DT1375&amp;" "," ")," "&amp;DT439&amp;" "," ")),"")</f>
        <v/>
      </c>
      <c r="BO68" s="493" t="str">
        <f>IF(59=59,IF(AW68="","",IF(BL68&gt;0,"X",IF(BM68&gt;0,"?",""))),"")</f>
        <v/>
      </c>
      <c r="BP68" s="493" t="str" cm="1">
        <f t="array" ref="BP68">IF(59=59,IF(AW68="","",SUMPRODUCT(--ISNUMBER(SEARCH(" "&amp;DT445:DT544&amp;" ",BZ68)))),"")</f>
        <v/>
      </c>
      <c r="BQ68" s="493" t="str" cm="1">
        <f t="array" ref="BQ68">IF(59=59,IF(AW68="","",SUMPRODUCT(--ISNUMBER(SEARCH(" "&amp;DT545:DT644&amp;" ",BZ68)))),"")</f>
        <v/>
      </c>
      <c r="BR68" s="493" t="str" cm="1">
        <f t="array" ref="BR68">IF(59=59,IF(AW68="","",SUMPRODUCT(--ISNUMBER(SEARCH(" "&amp;DT645:DT744&amp;" ",BZ68)))),"")</f>
        <v/>
      </c>
      <c r="BS68" s="493" t="str" cm="1">
        <f t="array" ref="BS68">IF(59=59,IF(AW68="","",SUMPRODUCT(--ISNUMBER(SEARCH(" "&amp;DT745:DT844&amp;" ",BZ68)))),"")</f>
        <v/>
      </c>
      <c r="BT68" s="493" t="str" cm="1">
        <f t="array" ref="BT68">IF(59=59,IF(AW68="","",SUMPRODUCT(--ISNUMBER(SEARCH(" "&amp;DT845:DT944&amp;" ",BZ68)))),"")</f>
        <v/>
      </c>
      <c r="BU68" s="493" t="str" cm="1">
        <f t="array" ref="BU68">IF(59=59,IF(AW68="","",SUMPRODUCT(--ISNUMBER(SEARCH(" "&amp;DT945:DT1044&amp;" ",BZ68)))),"")</f>
        <v/>
      </c>
      <c r="BV68" s="493" t="str" cm="1">
        <f t="array" ref="BV68">IF(59=59,IF(AW68="","",SUMPRODUCT(--ISNUMBER(SEARCH(" "&amp;DT1045:DT1144&amp;" ",BZ68)))),"")</f>
        <v/>
      </c>
      <c r="BW68" s="493" t="str" cm="1">
        <f t="array" ref="BW68">IF(59=59,IF(AW68="","",SUMPRODUCT(--ISNUMBER(SEARCH(" "&amp;DT1145:DT1244&amp;" ",BZ68)))),"")</f>
        <v/>
      </c>
      <c r="BX68" s="493" t="str" cm="1">
        <f t="array" ref="BX68">IF(59=59,IF(AW68="","",SUMPRODUCT(--ISNUMBER(SEARCH(" "&amp;DT1245:DT1344&amp;" ",BZ68)))),"")</f>
        <v/>
      </c>
      <c r="BY68" s="493" t="str" cm="1">
        <f t="array" ref="BY68">IF(59=59,IF(AW68="","",SUMPRODUCT(--ISNUMBER(SEARCH(" "&amp;DT1345:DT1372&amp;" ",BZ68)))),"")</f>
        <v/>
      </c>
      <c r="BZ68" s="493" t="str">
        <f>IF(59=59,IF(AW68="","",SUBSTITUTE(SUBSTITUTE(SUBSTITUTE(SUBSTITUTE(SUBSTITUTE(SUBSTITUTE(SUBSTITUTE(SUBSTITUTE(SUBSTITUTE(BC68," "&amp;DT1374&amp;" "," ")," "&amp;DT1373&amp;" "," ")," "&amp;DT1379&amp;" "," ")," "&amp;DT1380&amp;" "," ")," "&amp;DT1376&amp;" "," ")," "&amp;DT1378&amp;" "," ")," "&amp;DT1375&amp;" "," ")," "&amp;DT1377&amp;" "," ")," "&amp;DT1381&amp;" "," ")),"")</f>
        <v/>
      </c>
      <c r="CA68" s="493" t="str" cm="1">
        <f t="array" ref="CA68">IF(59=59,IF(AW68="","",SUMPRODUCT(--ISNUMBER(SEARCH(" "&amp;DT1382:DT1392&amp;" ",BZ68)))),"")</f>
        <v/>
      </c>
      <c r="CB68" s="493" t="str" cm="1">
        <f t="array" ref="CB68">IF(59=59,IF(AW68="","",IF(SUM(BP68:BY68)+SUMPRODUCT(--ISNUMBER(SEARCH(" "&amp;DT2430:DT2431&amp;" ",BZ68)))&gt;0,"X",IF(CA68&gt;0,"?",""))),"")</f>
        <v/>
      </c>
      <c r="CC68" s="493" t="str" cm="1">
        <f t="array" ref="CC68">IF(59=59,IF(AW68="","",SUMPRODUCT(--ISNUMBER(SEARCH(" "&amp;DT1393:DT1413&amp;" ",BC68)))),"")</f>
        <v/>
      </c>
      <c r="CD68" s="493" t="str">
        <f>IF(59=59,IF(AW68="","",IF((CC68)-(0)&gt;0,"X",IF((0)-(0)&gt;0,"?",""))),"")</f>
        <v/>
      </c>
      <c r="CE68" s="493" t="str" cm="1">
        <f t="array" ref="CE68">IF(59=59,IF(AW68="","",SUMPRODUCT(--ISNUMBER(SEARCH(" "&amp;DT1414:DT1451&amp;" ",CF68)))),"")</f>
        <v/>
      </c>
      <c r="CF68" s="493" t="str">
        <f>IF(59=59,IF(AW68="","",SUBSTITUTE(SUBSTITUTE(BC68," "&amp;DT1452&amp;" "," ")," "&amp;DT1453&amp;" "," ")),"")</f>
        <v/>
      </c>
      <c r="CG68" s="493" t="str" cm="1">
        <f t="array" ref="CG68">IF(59=59,IF(AW68="","",SUMPRODUCT(--ISNUMBER(SEARCH(" "&amp;DT1454:DT1464&amp;" ",CF68)))),"")</f>
        <v/>
      </c>
      <c r="CH68" s="493" t="str">
        <f>IF(59=59,IF(AW68="","",IF(CE68&gt;0,"X",IF(CG68&gt;0,"?",""))),"")</f>
        <v/>
      </c>
      <c r="CI68" s="493" t="str" cm="1">
        <f t="array" ref="CI68">IF(59=59,IF(AW68="","",SUMPRODUCT(--ISNUMBER(SEARCH(" "&amp;DT1465:DT1564&amp;" ",CL68)))),"")</f>
        <v/>
      </c>
      <c r="CJ68" s="493" t="str" cm="1">
        <f t="array" ref="CJ68">IF(59=59,IF(AW68="","",SUMPRODUCT(--ISNUMBER(SEARCH(" "&amp;DT1565:DT1664&amp;" ",CL68)))),"")</f>
        <v/>
      </c>
      <c r="CK68" s="493" t="str" cm="1">
        <f t="array" ref="CK68">IF(59=59,IF(AW68="","",SUMPRODUCT(--ISNUMBER(SEARCH(" "&amp;DT1665:DT1748&amp;" ",CL68)))),"")</f>
        <v/>
      </c>
      <c r="CL68" s="493" t="str">
        <f>IF(59=59,IF(AW68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68,"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68" s="493" t="str" cm="1">
        <f t="array" ref="CM68">IF(59=59,IF(AW68="","",SUMPRODUCT(--ISNUMBER(SEARCH(" "&amp;DT1799:DT1878&amp;" ",CN68)))+SUMPRODUCT(--ISNUMBER(SEARCH(" "&amp;DT2449:DT2462&amp;" ",CN68)))),"")</f>
        <v/>
      </c>
      <c r="CN68" s="493" t="str">
        <f>IF(59=59,IF(AW68="","",SUBSTITUTE(SUBSTITUTE(SUBSTITUTE(SUBSTITUTE(SUBSTITUTE(SUBSTITUTE(SUBSTITUTE(SUBSTITUTE(SUBSTITUTE(SUBSTITUTE(SUBSTITUTE(SUBSTITUTE(SUBSTITUTE(CL68," "&amp;DT1885&amp;" "," ")," "&amp;DT1883&amp;" "," ")," "&amp;DT2447&amp;" "," ")," "&amp;DT2448&amp;" "," ")," "&amp;DT1880&amp;" "," ")," "&amp;DT1884&amp;" "," ")," "&amp;DT1886&amp;" "," ")," "&amp;DT1881&amp;" "," ")," "&amp;DT1879&amp;" "," ")," "&amp;DT1376&amp;" "," ")," "&amp;DT1887&amp;" "," ")," "&amp;DT1375&amp;" "," ")," "&amp;DT1882&amp;" "," ")),"")</f>
        <v/>
      </c>
      <c r="CO68" s="493" t="str" cm="1">
        <f t="array" ref="CO68">IF(59=59,IF(AW68="","",IF(SUM(CI68:CK68)+SUMPRODUCT(--ISNUMBER(SEARCH(" "&amp;DT2432:DT2433&amp;" ",CL68)))&gt;0,"X",IF(CM68&gt;0,"?",""))),"")</f>
        <v/>
      </c>
      <c r="CP68" s="493" t="str" cm="1">
        <f t="array" ref="CP68">IF(59=59,IF(AW68="","",SUMPRODUCT(--ISNUMBER(SEARCH(" "&amp;DT1888:DT1945&amp;" ",CQ68)))),"")</f>
        <v/>
      </c>
      <c r="CQ68" s="493" t="str">
        <f>IF(59=59,IF(AW68="","",SUBSTITUTE(SUBSTITUTE(SUBSTITUTE(SUBSTITUTE(SUBSTITUTE(SUBSTITUTE(SUBSTITUTE(SUBSTITUTE(SUBSTITUTE(SUBSTITUTE(SUBSTITUTE(SUBSTITUTE(SUBSTITUTE(SUBSTITUTE(SUBSTITUTE(SUBSTITUTE(SUBSTITUTE(SUBSTITUTE(SUBSTITUTE(SUBSTITUTE(SUBSTITUTE(SUBSTITUTE(SUBSTITUTE(BC68,"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68" s="493" t="str" cm="1">
        <f t="array" ref="CR68">IF(59=59,IF(AW68="","",SUMPRODUCT(--ISNUMBER(SEARCH(" "&amp;DT1969:DT1985&amp;" ",CQ68)))),"")</f>
        <v/>
      </c>
      <c r="CS68" s="493" t="str">
        <f>IF(59=59,IF(AW68="","",IF(CP68&gt;0,"X",IF(CR68&gt;0,"?",""))),"")</f>
        <v/>
      </c>
      <c r="CT68" s="493" t="str" cm="1">
        <f t="array" ref="CT68">IF(59=59,IF(AW68="","",SUMPRODUCT(--ISNUMBER(SEARCH(" "&amp;DT1986:DT1999&amp;" ",BC68)))),"")</f>
        <v/>
      </c>
      <c r="CU68" s="493" t="str" cm="1">
        <f t="array" ref="CU68">IF(59=59,IF(AW68="","",SUMPRODUCT(--ISNUMBER(SEARCH(" "&amp;DT2000:DT2014&amp;" ",BC68)))),"")</f>
        <v/>
      </c>
      <c r="CV68" s="493" t="str">
        <f>IF(59=59,IF(AW68="","",IF((CT68)-(0)&gt;0,"X",IF((CU68)-(0)&gt;0,"?",""))),"")</f>
        <v/>
      </c>
      <c r="CW68" s="493" t="str" cm="1">
        <f t="array" ref="CW68">IF(59=59,IF(AW68="","",SUMPRODUCT(--ISNUMBER(SEARCH(" "&amp;DT2015:DT2032&amp;" ",BC68)))),"")</f>
        <v/>
      </c>
      <c r="CX68" s="493" t="str" cm="1">
        <f t="array" ref="CX68">IF(59=59,IF(AW68="","",SUMPRODUCT(--ISNUMBER(SEARCH(" "&amp;DT2033:DT2047&amp;" ",BC68)))),"")</f>
        <v/>
      </c>
      <c r="CY68" s="493" t="str">
        <f>IF(59=59,IF(AW68="","",IF((CW68)-(0)&gt;0,"X",IF((CX68)-(0)&gt;0,"?",""))),"")</f>
        <v/>
      </c>
      <c r="CZ68" s="493" t="str" cm="1">
        <f t="array" ref="CZ68">IF(59=59,IF(AW68="","",SUMPRODUCT(--ISNUMBER(SEARCH(" "&amp;DT2048:DT2066&amp;" ",BC68)))),"")</f>
        <v/>
      </c>
      <c r="DA68" s="493" t="str" cm="1">
        <f t="array" ref="DA68">IF(59=59,IF(AW68="","",SUMPRODUCT(--ISNUMBER(SEARCH(" "&amp;DT2067:DT2081&amp;" ",BC68)))),"")</f>
        <v/>
      </c>
      <c r="DB68" s="493" t="str">
        <f>IF(59=59,IF(AW68="","",IF((CZ68)-(0)&gt;0,"X",IF((DA68)-(0)&gt;0,"?",""))),"")</f>
        <v/>
      </c>
      <c r="DC68" s="493" t="str" cm="1">
        <f t="array" ref="DC68">IF(59=59,IF(AW68="","",SUMPRODUCT(--ISNUMBER(SEARCH(" "&amp;DT2082:DT2102&amp;" ",BC68)))),"")</f>
        <v/>
      </c>
      <c r="DD68" s="493" t="str" cm="1">
        <f t="array" ref="DD68">IF(59=59,IF(AW68="","",SUMPRODUCT(--ISNUMBER(SEARCH(" "&amp;DT2103:DT2142&amp;" ",SUBSTITUTE(SUBSTITUTE(BC68," "&amp;DT1376&amp;" "," ")," "&amp;DT1375&amp;" "," "))))+--ISNUMBER(SEARCH("poiré",AX68))),"")</f>
        <v/>
      </c>
      <c r="DE68" s="493" t="str">
        <f>IF(59=59,IF(AW68="","",IF(OR(DC68&gt;0,ISNUMBER(SEARCH(" vinaigre de vin ",BC68)),ISNUMBER(SEARCH(" vinaigre au vin ",BC68))),"X",IF(DD68&gt;0,"?",""))),"")</f>
        <v/>
      </c>
      <c r="DF68" s="493" t="str" cm="1">
        <f t="array" ref="DF68">IF(59=59,IF(AW68="","",SUMPRODUCT(--ISNUMBER(SEARCH(" "&amp;DT2143:DT2155&amp;" ",BC68)))),"")</f>
        <v/>
      </c>
      <c r="DG68" s="493" t="str" cm="1">
        <f t="array" ref="DG68">IF(59=59,IF(AW68="","",SUMPRODUCT(--ISNUMBER(SEARCH(" "&amp;DT2156:DT2161&amp;" ",BC68)))),"")</f>
        <v/>
      </c>
      <c r="DH68" s="493" t="str">
        <f>IF(59=59,IF(AW68="","",IF((DF68)-(0)&gt;0,"X",IF((DG68)-(0)&gt;0,"?",""))),"")</f>
        <v/>
      </c>
      <c r="DI68" s="493" t="str" cm="1">
        <f t="array" ref="DI68">IF(59=59,IF(AW68="","",SUMPRODUCT(--ISNUMBER(SEARCH(" "&amp;DT2162:DT2261&amp;" ",DL68)))),"")</f>
        <v/>
      </c>
      <c r="DJ68" s="493" t="str" cm="1">
        <f t="array" ref="DJ68">IF(59=59,IF(AW68="","",SUMPRODUCT(--ISNUMBER(SEARCH(" "&amp;DT2262:DT2361&amp;" ",DL68)))),"")</f>
        <v/>
      </c>
      <c r="DK68" s="493" t="str" cm="1">
        <f t="array" ref="DK68">IF(59=59,IF(AW68="","",SUMPRODUCT(--ISNUMBER(SEARCH(" "&amp;DT2362:DT2404&amp;" ",DL68)))),"")</f>
        <v/>
      </c>
      <c r="DL68" s="493" t="str">
        <f>IF(59=59,IF(AW68="","",SUBSTITUTE(SUBSTITUTE(SUBSTITUTE(SUBSTITUTE(SUBSTITUTE(SUBSTITUTE(SUBSTITUTE(SUBSTITUTE(SUBSTITUTE(SUBSTITUTE(SUBSTITUTE(SUBSTITUTE(SUBSTITUTE(SUBSTITUTE(SUBSTITUTE(SUBSTITUTE(BC68," "&amp;DT2410&amp;" "," ")," "&amp;DT2409&amp;" "," ")," "&amp;DT2408&amp;" "," ")," "&amp;DT2415&amp;" "," ")," "&amp;DT2407&amp;" "," ")," "&amp;DT2419&amp;" "," ")," "&amp;DT2406&amp;" "," ")," "&amp;DT2411&amp;" "," ")," "&amp;DT2414&amp;" "," ")," "&amp;DT2405&amp;" "," ")," "&amp;DT2413&amp;" "," ")," "&amp;DT2420&amp;" "," ")," "&amp;DT2417&amp;" "," ")," "&amp;DT2412&amp;" "," ")," "&amp;DT2416&amp;" "," ")," "&amp;DT2418&amp;" "," ")),"")</f>
        <v/>
      </c>
      <c r="DM68" s="493" t="str" cm="1">
        <f t="array" ref="DM68">IF(59=59,IF(AW68="","",SUMPRODUCT(--ISNUMBER(SEARCH(" "&amp;DT2421:DT2425&amp;" ",DL68)))),"")</f>
        <v/>
      </c>
      <c r="DN68" s="493" t="str">
        <f>IF(59=59,IF(AW68="","",IF(SUM(DI68:DK68)&gt;0,"X",IF(DM68&gt;0,"?",""))),"")</f>
        <v/>
      </c>
      <c r="DO68" s="494"/>
      <c r="DP68" s="496" t="s">
        <v>1250</v>
      </c>
      <c r="DQ68" s="496" t="s">
        <v>1083</v>
      </c>
      <c r="DR68" s="496" t="s">
        <v>689</v>
      </c>
      <c r="DS68" s="496" t="s">
        <v>1251</v>
      </c>
      <c r="DT68" s="496" t="s">
        <v>1251</v>
      </c>
      <c r="DU68" s="496" t="s">
        <v>1085</v>
      </c>
      <c r="DV68" s="496" t="s">
        <v>1086</v>
      </c>
      <c r="DW68" s="496" t="s">
        <v>1087</v>
      </c>
      <c r="DX68" s="497" t="s">
        <v>1088</v>
      </c>
      <c r="DZ68" s="543">
        <v>1</v>
      </c>
      <c r="EB68" s="493"/>
      <c r="EC68" s="493"/>
    </row>
    <row r="69" spans="5:133" ht="21" customHeight="1">
      <c r="E69" s="716"/>
      <c r="F69" s="724"/>
      <c r="G69" s="725"/>
      <c r="H69" s="724"/>
      <c r="I69" s="726"/>
      <c r="J69" s="950"/>
      <c r="K69" s="951"/>
      <c r="L69" s="793"/>
      <c r="M69" s="952"/>
      <c r="N69" s="953"/>
      <c r="O69" s="954"/>
      <c r="P69" s="955"/>
      <c r="Q69" s="956"/>
      <c r="R69" s="957"/>
      <c r="S69" s="800"/>
      <c r="T69" s="958"/>
      <c r="U69" s="802"/>
      <c r="V69" s="959"/>
      <c r="W69" s="960"/>
      <c r="X69" s="805"/>
      <c r="Y69" s="816"/>
      <c r="AA69" s="961"/>
      <c r="AC69" s="509">
        <v>54</v>
      </c>
      <c r="AD69" s="808"/>
      <c r="AE69" s="679" t="str">
        <f t="shared" si="9"/>
        <v/>
      </c>
      <c r="AF69" s="512" t="str">
        <f>IF(60=60,IF(AD69="","",IF(AG69="X",""&amp;"Céréales contenant du gluten","")&amp;IF(AH69="X",IF(COUNTIF(AG69:AG69,"X")&gt;0,", ","")&amp;"Crustacés","")&amp;IF(AI69="X",IF(COUNTIF(AG69:AH69,"X")&gt;0,", ","")&amp;"Œufs","")&amp;IF(AJ69="X",IF(COUNTIF(AG69:AI69,"X")&gt;0,", ","")&amp;"Poissons","")&amp;IF(AK69="X",IF(COUNTIF(AG69:AJ69,"X")&gt;0,", ","")&amp;"Arachides","")&amp;IF(AL69="X",IF(COUNTIF(AG69:AK69,"X")&gt;0,", ","")&amp;"Soja","")&amp;IF(AM69="X",IF(COUNTIF(AG69:AL69,"X")&gt;0,", ","")&amp;"Lait","")&amp;IF(AN69="X",IF(COUNTIF(AG69:AM69,"X")&gt;0,", ","")&amp;"Fruits à coque","")&amp;IF(AO69="X",IF(COUNTIF(AG69:AN69,"X")&gt;0,", ","")&amp;"Céleri","")&amp;IF(AP69="X",IF(COUNTIF(AG69:AO69,"X")&gt;0,", ","")&amp;"Moutarde","")&amp;IF(AQ69="X",IF(COUNTIF(AG69:AP69,"X")&gt;0,", ","")&amp;"Sésame","")&amp;IF(AR69="X",IF(COUNTIF(AG69:AQ69,"X")&gt;0,", ","")&amp;"Sulfites","")&amp;IF(AS69="X",IF(COUNTIF(AG69:AR69,"X")&gt;0,", ","")&amp;"Lupin","")&amp;IF(AT69="X",IF(COUNTIF(AG69:AS69,"X")&gt;0,", ","")&amp;"Mollusques","")),"")</f>
        <v/>
      </c>
      <c r="AG69" s="513" t="str">
        <f>IF(60=60,IF(AD69="","",BH69),"")</f>
        <v/>
      </c>
      <c r="AH69" s="513" t="str">
        <f>IF(60=60,IF(AD69="","",BK69),"")</f>
        <v/>
      </c>
      <c r="AI69" s="513" t="str">
        <f>IF(60=60,IF(AD69="","",BO69),"")</f>
        <v/>
      </c>
      <c r="AJ69" s="513" t="str">
        <f>IF(60=60,IF(AD69="","",IF(ISNUMBER(SEARCH(" colin ",BC69)),"X",CB69)),"")</f>
        <v/>
      </c>
      <c r="AK69" s="513" t="str">
        <f>IF(60=60,IF(AD69="","",CD69),"")</f>
        <v/>
      </c>
      <c r="AL69" s="513" t="str">
        <f>IF(60=60,IF(AD69="","",CH69),"")</f>
        <v/>
      </c>
      <c r="AM69" s="513" t="str">
        <f>IF(60=60,IF(AD69="","",CO69),"")</f>
        <v/>
      </c>
      <c r="AN69" s="513" t="str">
        <f>IF(60=60,IF(AD69="","",CS69),"")</f>
        <v/>
      </c>
      <c r="AO69" s="513" t="str">
        <f>IF(60=60,IF(AD69="","",CV69),"")</f>
        <v/>
      </c>
      <c r="AP69" s="513" t="str">
        <f>IF(60=60,IF(AD69="","",CY69),"")</f>
        <v/>
      </c>
      <c r="AQ69" s="513" t="str">
        <f>IF(60=60,IF(AD69="","",DB69),"")</f>
        <v/>
      </c>
      <c r="AR69" s="513" t="str">
        <f>IF(60=60,IF(AD69="","",DE69),"")</f>
        <v/>
      </c>
      <c r="AS69" s="513" t="str">
        <f>IF(60=60,IF(AD69="","",DH69),"")</f>
        <v/>
      </c>
      <c r="AT69" s="513" t="str">
        <f>IF(60=60,IF(AD69="","",DN69),"")</f>
        <v/>
      </c>
      <c r="AU69" s="514" t="str">
        <f>IF(60=60,IF(AD69="","",IF(AG69="?",""&amp;"Céréales contenant du gluten","")&amp;IF(AH69="?",IF(COUNTIF(AG69:AG69,"~?")&gt;0,", ","")&amp;"Crustacés","")&amp;IF(AI69="?",IF(COUNTIF(AG69:AH69,"~?")&gt;0,", ","")&amp;"Œufs","")&amp;IF(AJ69="?",IF(COUNTIF(AG69:AI69,"~?")&gt;0,", ","")&amp;"Poissons","")&amp;IF(AK69="?",IF(COUNTIF(AG69:AJ69,"~?")&gt;0,", ","")&amp;"Arachides","")&amp;IF(AL69="?",IF(COUNTIF(AG69:AK69,"~?")&gt;0,", ","")&amp;"Soja","")&amp;IF(AM69="?",IF(COUNTIF(AG69:AL69,"~?")&gt;0,", ","")&amp;"Lait","")&amp;IF(AN69="?",IF(COUNTIF(AG69:AM69,"~?")&gt;0,", ","")&amp;"Fruits à coque","")&amp;IF(AO69="?",IF(COUNTIF(AG69:AN69,"~?")&gt;0,", ","")&amp;"Céleri","")&amp;IF(AP69="?",IF(COUNTIF(AG69:AO69,"~?")&gt;0,", ","")&amp;"Moutarde","")&amp;IF(AQ69="?",IF(COUNTIF(AG69:AP69,"~?")&gt;0,", ","")&amp;"Sésame","")&amp;IF(AR69="?",IF(COUNTIF(AG69:AQ69,"~?")&gt;0,", ","")&amp;"Sulfites","")&amp;IF(AS69="?",IF(COUNTIF(AG69:AR69,"~?")&gt;0,", ","")&amp;"Lupin","")&amp;IF(AT69="?",IF(COUNTIF(AG69:AS69,"~?")&gt;0,", ","")&amp;"Mollusques","")),"")</f>
        <v/>
      </c>
      <c r="AW69" s="493" t="str">
        <f>IF(60=60,IF(AD69="","",AD69),"")</f>
        <v/>
      </c>
      <c r="AX69" s="493" t="str">
        <f>IF(60=60,LOWER(CLEAN(SUBSTITUTE(SUBSTITUTE(SUBSTITUTE(SUBSTITUTE(AW69,CHAR(160)," ")," "," "),CHAR(10)," "),CHAR(13)," "))),"")</f>
        <v/>
      </c>
      <c r="AY69" s="493" t="str">
        <f>IF(60=60,SUBSTITUTE(SUBSTITUTE(SUBSTITUTE(SUBSTITUTE(SUBSTITUTE(SUBSTITUTE(SUBSTITUTE(SUBSTITUTE(SUBSTITUTE(SUBSTITUTE(SUBSTITUTE(SUBSTITUTE(AX69,"œ","oe"),"æ","ae"),"à","a"),"á","a"),"â","a"),"ä","a"),"ã","a"),"ç","c"),"è","e"),"é","e"),"ê","e"),"ë","e"),"")</f>
        <v/>
      </c>
      <c r="AZ69" s="493" t="str">
        <f>IF(60=60,SUBSTITUTE(SUBSTITUTE(SUBSTITUTE(SUBSTITUTE(SUBSTITUTE(SUBSTITUTE(SUBSTITUTE(SUBSTITUTE(SUBSTITUTE(SUBSTITUTE(SUBSTITUTE(SUBSTITUTE(SUBSTITUTE(SUBSTITUTE(SUBSTITUTE(SUBSTITUTE(AY69,"ì","i"),"í","i"),"î","i"),"ï","i"),"ñ","n"),"ò","o"),"ó","o"),"ô","o"),"ö","o"),"õ","o"),"ù","u"),"ú","u"),"û","u"),"ü","u"),"ý","y"),"ÿ","y"),"")</f>
        <v/>
      </c>
      <c r="BA69" s="493" t="str">
        <f>IF(60=60,SUBSTITUTE(SUBSTITUTE(SUBSTITUTE(SUBSTITUTE(SUBSTITUTE(SUBSTITUTE(SUBSTITUTE(SUBSTITUTE(SUBSTITUTE(SUBSTITUTE(SUBSTITUTE(SUBSTITUTE(SUBSTITUTE(SUBSTITUTE(AZ69,"’"," "),"`"," "),"–"," "),"—"," "),"-"," "),"'"," "),"/"," "),"_"," "),","," "),"."," "),"("," "),")"," "),";"," "),":"," "),"")</f>
        <v/>
      </c>
      <c r="BB69" s="493" t="str">
        <f>IF(60=60,SUBSTITUTE(SUBSTITUTE(SUBSTITUTE(SUBSTITUTE(SUBSTITUTE(SUBSTITUTE(SUBSTITUTE(SUBSTITUTE(SUBSTITUTE(SUBSTITUTE(SUBSTITUTE(SUBSTITUTE(SUBSTITUTE(SUBSTITUTE(SUBSTITUTE(BA69,"!"," "),"?"," "),"+"," "),"*"," "),"&amp;"," "),"["," "),"]"," "),"{"," "),"}"," "),"%"," "),"="," "),"\"," "),"|"," "),"&lt;"," "),"&gt;"," "),"")</f>
        <v/>
      </c>
      <c r="BC69" s="493" t="str">
        <f>IF(60=60," "&amp;TRIM(SUBSTITUTE(SUBSTITUTE(SUBSTITUTE(SUBSTITUTE(SUBSTITUTE(SUBSTITUTE(BB69,CHAR(34)," "),"  "," "),"  "," "),"  "," "),"  "," "),"  "," "))&amp;" ","")</f>
        <v xml:space="preserve">  </v>
      </c>
      <c r="BD69" s="493" t="str" cm="1">
        <f t="array" ref="BD69">IF(60=60,IF(AW69="","",SUMPRODUCT(--ISNUMBER(SEARCH(" "&amp;DT11:DT110&amp;" ",BF69)))),"")</f>
        <v/>
      </c>
      <c r="BE69" s="493" t="str" cm="1">
        <f t="array" ref="BE69">IF(60=60,IF(AW69="","",SUMPRODUCT(--ISNUMBER(SEARCH(" "&amp;DT111:DT160&amp;" ",BF69)))),"")</f>
        <v/>
      </c>
      <c r="BF69" s="493" t="str">
        <f>IF(AW69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69,"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69" s="493" t="str" cm="1">
        <f t="array" ref="BG69">IF(AW69="","",SUMPRODUCT(--ISNUMBER(SEARCH(" "&amp;DT193:DT214&amp;" ",BF69)))+--ISNUMBER(SEARCH(" "&amp;DT2463&amp;" ",BF69)))</f>
        <v/>
      </c>
      <c r="BH69" s="493" t="str" cm="1">
        <f t="array" ref="BH69">IF(60=60,IF(AW69="","",IF(SUM(BD69:BE69)+SUMPRODUCT(--ISNUMBER(SEARCH(" "&amp;DT2427:DT2429&amp;" ",BF69)))&gt;0,"X",IF(BG69&gt;0,"?",""))),"")</f>
        <v/>
      </c>
      <c r="BI69" s="493" t="str" cm="1">
        <f t="array" ref="BI69">IF(60=60,IF(AW69="","",SUMPRODUCT(--ISNUMBER(SEARCH(" "&amp;DT215:DT314&amp;" ",BC69)))),"")</f>
        <v/>
      </c>
      <c r="BJ69" s="493" t="str" cm="1">
        <f t="array" ref="BJ69">IF(60=60,IF(AW69="","",SUMPRODUCT(--ISNUMBER(SEARCH(" "&amp;DT315:DT349&amp;" ",BC69)))),"")</f>
        <v/>
      </c>
      <c r="BK69" s="493" t="str">
        <f>IF(60=60,IF(AW69="","",IF((SUM(BI69:BJ69))-(0)&gt;0,"X",IF((0)-(0)&gt;0,"?",""))),"")</f>
        <v/>
      </c>
      <c r="BL69" s="493" t="str" cm="1">
        <f t="array" ref="BL69">IF(60=60,IF(AW69="","",SUMPRODUCT(--ISNUMBER(SEARCH(" "&amp;DT350:DT407&amp;" ",BC69)))),"")</f>
        <v/>
      </c>
      <c r="BM69" s="493" t="str" cm="1">
        <f t="array" ref="BM69">IF(60=60,IF(AW69="","",SUMPRODUCT(--ISNUMBER(SEARCH(" "&amp;DT408:DT435&amp;" ",BN69)))+SUMPRODUCT(--ISNUMBER(SEARCH(" "&amp;DT2449:DT2462&amp;" ",BN69)))),"")</f>
        <v/>
      </c>
      <c r="BN69" s="493" t="str">
        <f>IF(60=60,IF(AW69="","",SUBSTITUTE(SUBSTITUTE(SUBSTITUTE(SUBSTITUTE(SUBSTITUTE(SUBSTITUTE(SUBSTITUTE(SUBSTITUTE(SUBSTITUTE(SUBSTITUTE(SUBSTITUTE(SUBSTITUTE(SUBSTITUTE(SUBSTITUTE(BC69," "&amp;DT2464&amp;" "," ")," "&amp;DT442&amp;" "," ")," "&amp;DT440&amp;" "," ")," "&amp;DT2447&amp;" "," ")," "&amp;DT2448&amp;" "," ")," "&amp;DT437&amp;" "," ")," "&amp;DT441&amp;" "," ")," "&amp;DT443&amp;" "," ")," "&amp;DT438&amp;" "," ")," "&amp;DT436&amp;" "," ")," "&amp;DT1376&amp;" "," ")," "&amp;DT444&amp;" "," ")," "&amp;DT1375&amp;" "," ")," "&amp;DT439&amp;" "," ")),"")</f>
        <v/>
      </c>
      <c r="BO69" s="493" t="str">
        <f>IF(60=60,IF(AW69="","",IF(BL69&gt;0,"X",IF(BM69&gt;0,"?",""))),"")</f>
        <v/>
      </c>
      <c r="BP69" s="493" t="str" cm="1">
        <f t="array" ref="BP69">IF(60=60,IF(AW69="","",SUMPRODUCT(--ISNUMBER(SEARCH(" "&amp;DT445:DT544&amp;" ",BZ69)))),"")</f>
        <v/>
      </c>
      <c r="BQ69" s="493" t="str" cm="1">
        <f t="array" ref="BQ69">IF(60=60,IF(AW69="","",SUMPRODUCT(--ISNUMBER(SEARCH(" "&amp;DT545:DT644&amp;" ",BZ69)))),"")</f>
        <v/>
      </c>
      <c r="BR69" s="493" t="str" cm="1">
        <f t="array" ref="BR69">IF(60=60,IF(AW69="","",SUMPRODUCT(--ISNUMBER(SEARCH(" "&amp;DT645:DT744&amp;" ",BZ69)))),"")</f>
        <v/>
      </c>
      <c r="BS69" s="493" t="str" cm="1">
        <f t="array" ref="BS69">IF(60=60,IF(AW69="","",SUMPRODUCT(--ISNUMBER(SEARCH(" "&amp;DT745:DT844&amp;" ",BZ69)))),"")</f>
        <v/>
      </c>
      <c r="BT69" s="493" t="str" cm="1">
        <f t="array" ref="BT69">IF(60=60,IF(AW69="","",SUMPRODUCT(--ISNUMBER(SEARCH(" "&amp;DT845:DT944&amp;" ",BZ69)))),"")</f>
        <v/>
      </c>
      <c r="BU69" s="493" t="str" cm="1">
        <f t="array" ref="BU69">IF(60=60,IF(AW69="","",SUMPRODUCT(--ISNUMBER(SEARCH(" "&amp;DT945:DT1044&amp;" ",BZ69)))),"")</f>
        <v/>
      </c>
      <c r="BV69" s="493" t="str" cm="1">
        <f t="array" ref="BV69">IF(60=60,IF(AW69="","",SUMPRODUCT(--ISNUMBER(SEARCH(" "&amp;DT1045:DT1144&amp;" ",BZ69)))),"")</f>
        <v/>
      </c>
      <c r="BW69" s="493" t="str" cm="1">
        <f t="array" ref="BW69">IF(60=60,IF(AW69="","",SUMPRODUCT(--ISNUMBER(SEARCH(" "&amp;DT1145:DT1244&amp;" ",BZ69)))),"")</f>
        <v/>
      </c>
      <c r="BX69" s="493" t="str" cm="1">
        <f t="array" ref="BX69">IF(60=60,IF(AW69="","",SUMPRODUCT(--ISNUMBER(SEARCH(" "&amp;DT1245:DT1344&amp;" ",BZ69)))),"")</f>
        <v/>
      </c>
      <c r="BY69" s="493" t="str" cm="1">
        <f t="array" ref="BY69">IF(60=60,IF(AW69="","",SUMPRODUCT(--ISNUMBER(SEARCH(" "&amp;DT1345:DT1372&amp;" ",BZ69)))),"")</f>
        <v/>
      </c>
      <c r="BZ69" s="493" t="str">
        <f>IF(60=60,IF(AW69="","",SUBSTITUTE(SUBSTITUTE(SUBSTITUTE(SUBSTITUTE(SUBSTITUTE(SUBSTITUTE(SUBSTITUTE(SUBSTITUTE(SUBSTITUTE(BC69," "&amp;DT1374&amp;" "," ")," "&amp;DT1373&amp;" "," ")," "&amp;DT1379&amp;" "," ")," "&amp;DT1380&amp;" "," ")," "&amp;DT1376&amp;" "," ")," "&amp;DT1378&amp;" "," ")," "&amp;DT1375&amp;" "," ")," "&amp;DT1377&amp;" "," ")," "&amp;DT1381&amp;" "," ")),"")</f>
        <v/>
      </c>
      <c r="CA69" s="493" t="str" cm="1">
        <f t="array" ref="CA69">IF(60=60,IF(AW69="","",SUMPRODUCT(--ISNUMBER(SEARCH(" "&amp;DT1382:DT1392&amp;" ",BZ69)))),"")</f>
        <v/>
      </c>
      <c r="CB69" s="493" t="str" cm="1">
        <f t="array" ref="CB69">IF(60=60,IF(AW69="","",IF(SUM(BP69:BY69)+SUMPRODUCT(--ISNUMBER(SEARCH(" "&amp;DT2430:DT2431&amp;" ",BZ69)))&gt;0,"X",IF(CA69&gt;0,"?",""))),"")</f>
        <v/>
      </c>
      <c r="CC69" s="493" t="str" cm="1">
        <f t="array" ref="CC69">IF(60=60,IF(AW69="","",SUMPRODUCT(--ISNUMBER(SEARCH(" "&amp;DT1393:DT1413&amp;" ",BC69)))),"")</f>
        <v/>
      </c>
      <c r="CD69" s="493" t="str">
        <f>IF(60=60,IF(AW69="","",IF((CC69)-(0)&gt;0,"X",IF((0)-(0)&gt;0,"?",""))),"")</f>
        <v/>
      </c>
      <c r="CE69" s="493" t="str" cm="1">
        <f t="array" ref="CE69">IF(60=60,IF(AW69="","",SUMPRODUCT(--ISNUMBER(SEARCH(" "&amp;DT1414:DT1451&amp;" ",CF69)))),"")</f>
        <v/>
      </c>
      <c r="CF69" s="493" t="str">
        <f>IF(60=60,IF(AW69="","",SUBSTITUTE(SUBSTITUTE(BC69," "&amp;DT1452&amp;" "," ")," "&amp;DT1453&amp;" "," ")),"")</f>
        <v/>
      </c>
      <c r="CG69" s="493" t="str" cm="1">
        <f t="array" ref="CG69">IF(60=60,IF(AW69="","",SUMPRODUCT(--ISNUMBER(SEARCH(" "&amp;DT1454:DT1464&amp;" ",CF69)))),"")</f>
        <v/>
      </c>
      <c r="CH69" s="493" t="str">
        <f>IF(60=60,IF(AW69="","",IF(CE69&gt;0,"X",IF(CG69&gt;0,"?",""))),"")</f>
        <v/>
      </c>
      <c r="CI69" s="493" t="str" cm="1">
        <f t="array" ref="CI69">IF(60=60,IF(AW69="","",SUMPRODUCT(--ISNUMBER(SEARCH(" "&amp;DT1465:DT1564&amp;" ",CL69)))),"")</f>
        <v/>
      </c>
      <c r="CJ69" s="493" t="str" cm="1">
        <f t="array" ref="CJ69">IF(60=60,IF(AW69="","",SUMPRODUCT(--ISNUMBER(SEARCH(" "&amp;DT1565:DT1664&amp;" ",CL69)))),"")</f>
        <v/>
      </c>
      <c r="CK69" s="493" t="str" cm="1">
        <f t="array" ref="CK69">IF(60=60,IF(AW69="","",SUMPRODUCT(--ISNUMBER(SEARCH(" "&amp;DT1665:DT1748&amp;" ",CL69)))),"")</f>
        <v/>
      </c>
      <c r="CL69" s="493" t="str">
        <f>IF(60=60,IF(AW69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69,"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69" s="493" t="str" cm="1">
        <f t="array" ref="CM69">IF(60=60,IF(AW69="","",SUMPRODUCT(--ISNUMBER(SEARCH(" "&amp;DT1799:DT1878&amp;" ",CN69)))+SUMPRODUCT(--ISNUMBER(SEARCH(" "&amp;DT2449:DT2462&amp;" ",CN69)))),"")</f>
        <v/>
      </c>
      <c r="CN69" s="493" t="str">
        <f>IF(60=60,IF(AW69="","",SUBSTITUTE(SUBSTITUTE(SUBSTITUTE(SUBSTITUTE(SUBSTITUTE(SUBSTITUTE(SUBSTITUTE(SUBSTITUTE(SUBSTITUTE(SUBSTITUTE(SUBSTITUTE(SUBSTITUTE(SUBSTITUTE(CL69," "&amp;DT1885&amp;" "," ")," "&amp;DT1883&amp;" "," ")," "&amp;DT2447&amp;" "," ")," "&amp;DT2448&amp;" "," ")," "&amp;DT1880&amp;" "," ")," "&amp;DT1884&amp;" "," ")," "&amp;DT1886&amp;" "," ")," "&amp;DT1881&amp;" "," ")," "&amp;DT1879&amp;" "," ")," "&amp;DT1376&amp;" "," ")," "&amp;DT1887&amp;" "," ")," "&amp;DT1375&amp;" "," ")," "&amp;DT1882&amp;" "," ")),"")</f>
        <v/>
      </c>
      <c r="CO69" s="493" t="str" cm="1">
        <f t="array" ref="CO69">IF(60=60,IF(AW69="","",IF(SUM(CI69:CK69)+SUMPRODUCT(--ISNUMBER(SEARCH(" "&amp;DT2432:DT2433&amp;" ",CL69)))&gt;0,"X",IF(CM69&gt;0,"?",""))),"")</f>
        <v/>
      </c>
      <c r="CP69" s="493" t="str" cm="1">
        <f t="array" ref="CP69">IF(60=60,IF(AW69="","",SUMPRODUCT(--ISNUMBER(SEARCH(" "&amp;DT1888:DT1945&amp;" ",CQ69)))),"")</f>
        <v/>
      </c>
      <c r="CQ69" s="493" t="str">
        <f>IF(60=60,IF(AW69="","",SUBSTITUTE(SUBSTITUTE(SUBSTITUTE(SUBSTITUTE(SUBSTITUTE(SUBSTITUTE(SUBSTITUTE(SUBSTITUTE(SUBSTITUTE(SUBSTITUTE(SUBSTITUTE(SUBSTITUTE(SUBSTITUTE(SUBSTITUTE(SUBSTITUTE(SUBSTITUTE(SUBSTITUTE(SUBSTITUTE(SUBSTITUTE(SUBSTITUTE(SUBSTITUTE(SUBSTITUTE(SUBSTITUTE(BC69,"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69" s="493" t="str" cm="1">
        <f t="array" ref="CR69">IF(60=60,IF(AW69="","",SUMPRODUCT(--ISNUMBER(SEARCH(" "&amp;DT1969:DT1985&amp;" ",CQ69)))),"")</f>
        <v/>
      </c>
      <c r="CS69" s="493" t="str">
        <f>IF(60=60,IF(AW69="","",IF(CP69&gt;0,"X",IF(CR69&gt;0,"?",""))),"")</f>
        <v/>
      </c>
      <c r="CT69" s="493" t="str" cm="1">
        <f t="array" ref="CT69">IF(60=60,IF(AW69="","",SUMPRODUCT(--ISNUMBER(SEARCH(" "&amp;DT1986:DT1999&amp;" ",BC69)))),"")</f>
        <v/>
      </c>
      <c r="CU69" s="493" t="str" cm="1">
        <f t="array" ref="CU69">IF(60=60,IF(AW69="","",SUMPRODUCT(--ISNUMBER(SEARCH(" "&amp;DT2000:DT2014&amp;" ",BC69)))),"")</f>
        <v/>
      </c>
      <c r="CV69" s="493" t="str">
        <f>IF(60=60,IF(AW69="","",IF((CT69)-(0)&gt;0,"X",IF((CU69)-(0)&gt;0,"?",""))),"")</f>
        <v/>
      </c>
      <c r="CW69" s="493" t="str" cm="1">
        <f t="array" ref="CW69">IF(60=60,IF(AW69="","",SUMPRODUCT(--ISNUMBER(SEARCH(" "&amp;DT2015:DT2032&amp;" ",BC69)))),"")</f>
        <v/>
      </c>
      <c r="CX69" s="493" t="str" cm="1">
        <f t="array" ref="CX69">IF(60=60,IF(AW69="","",SUMPRODUCT(--ISNUMBER(SEARCH(" "&amp;DT2033:DT2047&amp;" ",BC69)))),"")</f>
        <v/>
      </c>
      <c r="CY69" s="493" t="str">
        <f>IF(60=60,IF(AW69="","",IF((CW69)-(0)&gt;0,"X",IF((CX69)-(0)&gt;0,"?",""))),"")</f>
        <v/>
      </c>
      <c r="CZ69" s="493" t="str" cm="1">
        <f t="array" ref="CZ69">IF(60=60,IF(AW69="","",SUMPRODUCT(--ISNUMBER(SEARCH(" "&amp;DT2048:DT2066&amp;" ",BC69)))),"")</f>
        <v/>
      </c>
      <c r="DA69" s="493" t="str" cm="1">
        <f t="array" ref="DA69">IF(60=60,IF(AW69="","",SUMPRODUCT(--ISNUMBER(SEARCH(" "&amp;DT2067:DT2081&amp;" ",BC69)))),"")</f>
        <v/>
      </c>
      <c r="DB69" s="493" t="str">
        <f>IF(60=60,IF(AW69="","",IF((CZ69)-(0)&gt;0,"X",IF((DA69)-(0)&gt;0,"?",""))),"")</f>
        <v/>
      </c>
      <c r="DC69" s="493" t="str" cm="1">
        <f t="array" ref="DC69">IF(60=60,IF(AW69="","",SUMPRODUCT(--ISNUMBER(SEARCH(" "&amp;DT2082:DT2102&amp;" ",BC69)))),"")</f>
        <v/>
      </c>
      <c r="DD69" s="493" t="str" cm="1">
        <f t="array" ref="DD69">IF(60=60,IF(AW69="","",SUMPRODUCT(--ISNUMBER(SEARCH(" "&amp;DT2103:DT2142&amp;" ",SUBSTITUTE(SUBSTITUTE(BC69," "&amp;DT1376&amp;" "," ")," "&amp;DT1375&amp;" "," "))))+--ISNUMBER(SEARCH("poiré",AX69))),"")</f>
        <v/>
      </c>
      <c r="DE69" s="493" t="str">
        <f>IF(60=60,IF(AW69="","",IF(OR(DC69&gt;0,ISNUMBER(SEARCH(" vinaigre de vin ",BC69)),ISNUMBER(SEARCH(" vinaigre au vin ",BC69))),"X",IF(DD69&gt;0,"?",""))),"")</f>
        <v/>
      </c>
      <c r="DF69" s="493" t="str" cm="1">
        <f t="array" ref="DF69">IF(60=60,IF(AW69="","",SUMPRODUCT(--ISNUMBER(SEARCH(" "&amp;DT2143:DT2155&amp;" ",BC69)))),"")</f>
        <v/>
      </c>
      <c r="DG69" s="493" t="str" cm="1">
        <f t="array" ref="DG69">IF(60=60,IF(AW69="","",SUMPRODUCT(--ISNUMBER(SEARCH(" "&amp;DT2156:DT2161&amp;" ",BC69)))),"")</f>
        <v/>
      </c>
      <c r="DH69" s="493" t="str">
        <f>IF(60=60,IF(AW69="","",IF((DF69)-(0)&gt;0,"X",IF((DG69)-(0)&gt;0,"?",""))),"")</f>
        <v/>
      </c>
      <c r="DI69" s="493" t="str" cm="1">
        <f t="array" ref="DI69">IF(60=60,IF(AW69="","",SUMPRODUCT(--ISNUMBER(SEARCH(" "&amp;DT2162:DT2261&amp;" ",DL69)))),"")</f>
        <v/>
      </c>
      <c r="DJ69" s="493" t="str" cm="1">
        <f t="array" ref="DJ69">IF(60=60,IF(AW69="","",SUMPRODUCT(--ISNUMBER(SEARCH(" "&amp;DT2262:DT2361&amp;" ",DL69)))),"")</f>
        <v/>
      </c>
      <c r="DK69" s="493" t="str" cm="1">
        <f t="array" ref="DK69">IF(60=60,IF(AW69="","",SUMPRODUCT(--ISNUMBER(SEARCH(" "&amp;DT2362:DT2404&amp;" ",DL69)))),"")</f>
        <v/>
      </c>
      <c r="DL69" s="493" t="str">
        <f>IF(60=60,IF(AW69="","",SUBSTITUTE(SUBSTITUTE(SUBSTITUTE(SUBSTITUTE(SUBSTITUTE(SUBSTITUTE(SUBSTITUTE(SUBSTITUTE(SUBSTITUTE(SUBSTITUTE(SUBSTITUTE(SUBSTITUTE(SUBSTITUTE(SUBSTITUTE(SUBSTITUTE(SUBSTITUTE(BC69," "&amp;DT2410&amp;" "," ")," "&amp;DT2409&amp;" "," ")," "&amp;DT2408&amp;" "," ")," "&amp;DT2415&amp;" "," ")," "&amp;DT2407&amp;" "," ")," "&amp;DT2419&amp;" "," ")," "&amp;DT2406&amp;" "," ")," "&amp;DT2411&amp;" "," ")," "&amp;DT2414&amp;" "," ")," "&amp;DT2405&amp;" "," ")," "&amp;DT2413&amp;" "," ")," "&amp;DT2420&amp;" "," ")," "&amp;DT2417&amp;" "," ")," "&amp;DT2412&amp;" "," ")," "&amp;DT2416&amp;" "," ")," "&amp;DT2418&amp;" "," ")),"")</f>
        <v/>
      </c>
      <c r="DM69" s="493" t="str" cm="1">
        <f t="array" ref="DM69">IF(60=60,IF(AW69="","",SUMPRODUCT(--ISNUMBER(SEARCH(" "&amp;DT2421:DT2425&amp;" ",DL69)))),"")</f>
        <v/>
      </c>
      <c r="DN69" s="493" t="str">
        <f>IF(60=60,IF(AW69="","",IF(SUM(DI69:DK69)&gt;0,"X",IF(DM69&gt;0,"?",""))),"")</f>
        <v/>
      </c>
      <c r="DO69" s="494"/>
      <c r="DP69" s="496" t="s">
        <v>1252</v>
      </c>
      <c r="DQ69" s="496" t="s">
        <v>1083</v>
      </c>
      <c r="DR69" s="496" t="s">
        <v>689</v>
      </c>
      <c r="DS69" s="496" t="s">
        <v>876</v>
      </c>
      <c r="DT69" s="496" t="s">
        <v>876</v>
      </c>
      <c r="DU69" s="496" t="s">
        <v>1085</v>
      </c>
      <c r="DV69" s="496" t="s">
        <v>1086</v>
      </c>
      <c r="DW69" s="496" t="s">
        <v>1087</v>
      </c>
      <c r="DX69" s="497" t="s">
        <v>1088</v>
      </c>
      <c r="DZ69" s="543">
        <v>1</v>
      </c>
      <c r="EB69" s="493"/>
      <c r="EC69" s="493"/>
    </row>
    <row r="70" spans="5:133" ht="21" customHeight="1">
      <c r="E70" s="716"/>
      <c r="F70" s="724"/>
      <c r="G70" s="725"/>
      <c r="H70" s="724"/>
      <c r="I70" s="726"/>
      <c r="J70" s="950"/>
      <c r="K70" s="951"/>
      <c r="L70" s="793"/>
      <c r="M70" s="952"/>
      <c r="N70" s="953"/>
      <c r="O70" s="954"/>
      <c r="P70" s="955"/>
      <c r="Q70" s="956"/>
      <c r="R70" s="957"/>
      <c r="S70" s="800"/>
      <c r="T70" s="958"/>
      <c r="U70" s="802"/>
      <c r="V70" s="959"/>
      <c r="W70" s="960"/>
      <c r="X70" s="805"/>
      <c r="Y70" s="816"/>
      <c r="AA70" s="689"/>
      <c r="AC70" s="509">
        <v>55</v>
      </c>
      <c r="AD70" s="808"/>
      <c r="AE70" s="679" t="str">
        <f t="shared" si="9"/>
        <v/>
      </c>
      <c r="AF70" s="512" t="str">
        <f>IF(61=61,IF(AD70="","",IF(AG70="X",""&amp;"Céréales contenant du gluten","")&amp;IF(AH70="X",IF(COUNTIF(AG70:AG70,"X")&gt;0,", ","")&amp;"Crustacés","")&amp;IF(AI70="X",IF(COUNTIF(AG70:AH70,"X")&gt;0,", ","")&amp;"Œufs","")&amp;IF(AJ70="X",IF(COUNTIF(AG70:AI70,"X")&gt;0,", ","")&amp;"Poissons","")&amp;IF(AK70="X",IF(COUNTIF(AG70:AJ70,"X")&gt;0,", ","")&amp;"Arachides","")&amp;IF(AL70="X",IF(COUNTIF(AG70:AK70,"X")&gt;0,", ","")&amp;"Soja","")&amp;IF(AM70="X",IF(COUNTIF(AG70:AL70,"X")&gt;0,", ","")&amp;"Lait","")&amp;IF(AN70="X",IF(COUNTIF(AG70:AM70,"X")&gt;0,", ","")&amp;"Fruits à coque","")&amp;IF(AO70="X",IF(COUNTIF(AG70:AN70,"X")&gt;0,", ","")&amp;"Céleri","")&amp;IF(AP70="X",IF(COUNTIF(AG70:AO70,"X")&gt;0,", ","")&amp;"Moutarde","")&amp;IF(AQ70="X",IF(COUNTIF(AG70:AP70,"X")&gt;0,", ","")&amp;"Sésame","")&amp;IF(AR70="X",IF(COUNTIF(AG70:AQ70,"X")&gt;0,", ","")&amp;"Sulfites","")&amp;IF(AS70="X",IF(COUNTIF(AG70:AR70,"X")&gt;0,", ","")&amp;"Lupin","")&amp;IF(AT70="X",IF(COUNTIF(AG70:AS70,"X")&gt;0,", ","")&amp;"Mollusques","")),"")</f>
        <v/>
      </c>
      <c r="AG70" s="513" t="str">
        <f>IF(61=61,IF(AD70="","",BH70),"")</f>
        <v/>
      </c>
      <c r="AH70" s="513" t="str">
        <f>IF(61=61,IF(AD70="","",BK70),"")</f>
        <v/>
      </c>
      <c r="AI70" s="513" t="str">
        <f>IF(61=61,IF(AD70="","",BO70),"")</f>
        <v/>
      </c>
      <c r="AJ70" s="513" t="str">
        <f>IF(61=61,IF(AD70="","",IF(ISNUMBER(SEARCH(" colin ",BC70)),"X",CB70)),"")</f>
        <v/>
      </c>
      <c r="AK70" s="513" t="str">
        <f>IF(61=61,IF(AD70="","",CD70),"")</f>
        <v/>
      </c>
      <c r="AL70" s="513" t="str">
        <f>IF(61=61,IF(AD70="","",CH70),"")</f>
        <v/>
      </c>
      <c r="AM70" s="513" t="str">
        <f>IF(61=61,IF(AD70="","",CO70),"")</f>
        <v/>
      </c>
      <c r="AN70" s="513" t="str">
        <f>IF(61=61,IF(AD70="","",CS70),"")</f>
        <v/>
      </c>
      <c r="AO70" s="513" t="str">
        <f>IF(61=61,IF(AD70="","",CV70),"")</f>
        <v/>
      </c>
      <c r="AP70" s="513" t="str">
        <f>IF(61=61,IF(AD70="","",CY70),"")</f>
        <v/>
      </c>
      <c r="AQ70" s="513" t="str">
        <f>IF(61=61,IF(AD70="","",DB70),"")</f>
        <v/>
      </c>
      <c r="AR70" s="513" t="str">
        <f>IF(61=61,IF(AD70="","",DE70),"")</f>
        <v/>
      </c>
      <c r="AS70" s="513" t="str">
        <f>IF(61=61,IF(AD70="","",DH70),"")</f>
        <v/>
      </c>
      <c r="AT70" s="513" t="str">
        <f>IF(61=61,IF(AD70="","",DN70),"")</f>
        <v/>
      </c>
      <c r="AU70" s="514" t="str">
        <f>IF(61=61,IF(AD70="","",IF(AG70="?",""&amp;"Céréales contenant du gluten","")&amp;IF(AH70="?",IF(COUNTIF(AG70:AG70,"~?")&gt;0,", ","")&amp;"Crustacés","")&amp;IF(AI70="?",IF(COUNTIF(AG70:AH70,"~?")&gt;0,", ","")&amp;"Œufs","")&amp;IF(AJ70="?",IF(COUNTIF(AG70:AI70,"~?")&gt;0,", ","")&amp;"Poissons","")&amp;IF(AK70="?",IF(COUNTIF(AG70:AJ70,"~?")&gt;0,", ","")&amp;"Arachides","")&amp;IF(AL70="?",IF(COUNTIF(AG70:AK70,"~?")&gt;0,", ","")&amp;"Soja","")&amp;IF(AM70="?",IF(COUNTIF(AG70:AL70,"~?")&gt;0,", ","")&amp;"Lait","")&amp;IF(AN70="?",IF(COUNTIF(AG70:AM70,"~?")&gt;0,", ","")&amp;"Fruits à coque","")&amp;IF(AO70="?",IF(COUNTIF(AG70:AN70,"~?")&gt;0,", ","")&amp;"Céleri","")&amp;IF(AP70="?",IF(COUNTIF(AG70:AO70,"~?")&gt;0,", ","")&amp;"Moutarde","")&amp;IF(AQ70="?",IF(COUNTIF(AG70:AP70,"~?")&gt;0,", ","")&amp;"Sésame","")&amp;IF(AR70="?",IF(COUNTIF(AG70:AQ70,"~?")&gt;0,", ","")&amp;"Sulfites","")&amp;IF(AS70="?",IF(COUNTIF(AG70:AR70,"~?")&gt;0,", ","")&amp;"Lupin","")&amp;IF(AT70="?",IF(COUNTIF(AG70:AS70,"~?")&gt;0,", ","")&amp;"Mollusques","")),"")</f>
        <v/>
      </c>
      <c r="AW70" s="493" t="str">
        <f>IF(61=61,IF(AD70="","",AD70),"")</f>
        <v/>
      </c>
      <c r="AX70" s="493" t="str">
        <f>IF(61=61,LOWER(CLEAN(SUBSTITUTE(SUBSTITUTE(SUBSTITUTE(SUBSTITUTE(AW70,CHAR(160)," ")," "," "),CHAR(10)," "),CHAR(13)," "))),"")</f>
        <v/>
      </c>
      <c r="AY70" s="493" t="str">
        <f>IF(61=61,SUBSTITUTE(SUBSTITUTE(SUBSTITUTE(SUBSTITUTE(SUBSTITUTE(SUBSTITUTE(SUBSTITUTE(SUBSTITUTE(SUBSTITUTE(SUBSTITUTE(SUBSTITUTE(SUBSTITUTE(AX70,"œ","oe"),"æ","ae"),"à","a"),"á","a"),"â","a"),"ä","a"),"ã","a"),"ç","c"),"è","e"),"é","e"),"ê","e"),"ë","e"),"")</f>
        <v/>
      </c>
      <c r="AZ70" s="493" t="str">
        <f>IF(61=61,SUBSTITUTE(SUBSTITUTE(SUBSTITUTE(SUBSTITUTE(SUBSTITUTE(SUBSTITUTE(SUBSTITUTE(SUBSTITUTE(SUBSTITUTE(SUBSTITUTE(SUBSTITUTE(SUBSTITUTE(SUBSTITUTE(SUBSTITUTE(SUBSTITUTE(SUBSTITUTE(AY70,"ì","i"),"í","i"),"î","i"),"ï","i"),"ñ","n"),"ò","o"),"ó","o"),"ô","o"),"ö","o"),"õ","o"),"ù","u"),"ú","u"),"û","u"),"ü","u"),"ý","y"),"ÿ","y"),"")</f>
        <v/>
      </c>
      <c r="BA70" s="493" t="str">
        <f>IF(61=61,SUBSTITUTE(SUBSTITUTE(SUBSTITUTE(SUBSTITUTE(SUBSTITUTE(SUBSTITUTE(SUBSTITUTE(SUBSTITUTE(SUBSTITUTE(SUBSTITUTE(SUBSTITUTE(SUBSTITUTE(SUBSTITUTE(SUBSTITUTE(AZ70,"’"," "),"`"," "),"–"," "),"—"," "),"-"," "),"'"," "),"/"," "),"_"," "),","," "),"."," "),"("," "),")"," "),";"," "),":"," "),"")</f>
        <v/>
      </c>
      <c r="BB70" s="493" t="str">
        <f>IF(61=61,SUBSTITUTE(SUBSTITUTE(SUBSTITUTE(SUBSTITUTE(SUBSTITUTE(SUBSTITUTE(SUBSTITUTE(SUBSTITUTE(SUBSTITUTE(SUBSTITUTE(SUBSTITUTE(SUBSTITUTE(SUBSTITUTE(SUBSTITUTE(SUBSTITUTE(BA70,"!"," "),"?"," "),"+"," "),"*"," "),"&amp;"," "),"["," "),"]"," "),"{"," "),"}"," "),"%"," "),"="," "),"\"," "),"|"," "),"&lt;"," "),"&gt;"," "),"")</f>
        <v/>
      </c>
      <c r="BC70" s="493" t="str">
        <f>IF(61=61," "&amp;TRIM(SUBSTITUTE(SUBSTITUTE(SUBSTITUTE(SUBSTITUTE(SUBSTITUTE(SUBSTITUTE(BB70,CHAR(34)," "),"  "," "),"  "," "),"  "," "),"  "," "),"  "," "))&amp;" ","")</f>
        <v xml:space="preserve">  </v>
      </c>
      <c r="BD70" s="493" t="str" cm="1">
        <f t="array" ref="BD70">IF(61=61,IF(AW70="","",SUMPRODUCT(--ISNUMBER(SEARCH(" "&amp;DT11:DT110&amp;" ",BF70)))),"")</f>
        <v/>
      </c>
      <c r="BE70" s="493" t="str" cm="1">
        <f t="array" ref="BE70">IF(61=61,IF(AW70="","",SUMPRODUCT(--ISNUMBER(SEARCH(" "&amp;DT111:DT160&amp;" ",BF70)))),"")</f>
        <v/>
      </c>
      <c r="BF70" s="493" t="str">
        <f>IF(AW70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70,"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70" s="493" t="str" cm="1">
        <f t="array" ref="BG70">IF(AW70="","",SUMPRODUCT(--ISNUMBER(SEARCH(" "&amp;DT193:DT214&amp;" ",BF70)))+--ISNUMBER(SEARCH(" "&amp;DT2463&amp;" ",BF70)))</f>
        <v/>
      </c>
      <c r="BH70" s="493" t="str" cm="1">
        <f t="array" ref="BH70">IF(61=61,IF(AW70="","",IF(SUM(BD70:BE70)+SUMPRODUCT(--ISNUMBER(SEARCH(" "&amp;DT2427:DT2429&amp;" ",BF70)))&gt;0,"X",IF(BG70&gt;0,"?",""))),"")</f>
        <v/>
      </c>
      <c r="BI70" s="493" t="str" cm="1">
        <f t="array" ref="BI70">IF(61=61,IF(AW70="","",SUMPRODUCT(--ISNUMBER(SEARCH(" "&amp;DT215:DT314&amp;" ",BC70)))),"")</f>
        <v/>
      </c>
      <c r="BJ70" s="493" t="str" cm="1">
        <f t="array" ref="BJ70">IF(61=61,IF(AW70="","",SUMPRODUCT(--ISNUMBER(SEARCH(" "&amp;DT315:DT349&amp;" ",BC70)))),"")</f>
        <v/>
      </c>
      <c r="BK70" s="493" t="str">
        <f>IF(61=61,IF(AW70="","",IF((SUM(BI70:BJ70))-(0)&gt;0,"X",IF((0)-(0)&gt;0,"?",""))),"")</f>
        <v/>
      </c>
      <c r="BL70" s="493" t="str" cm="1">
        <f t="array" ref="BL70">IF(61=61,IF(AW70="","",SUMPRODUCT(--ISNUMBER(SEARCH(" "&amp;DT350:DT407&amp;" ",BC70)))),"")</f>
        <v/>
      </c>
      <c r="BM70" s="493" t="str" cm="1">
        <f t="array" ref="BM70">IF(61=61,IF(AW70="","",SUMPRODUCT(--ISNUMBER(SEARCH(" "&amp;DT408:DT435&amp;" ",BN70)))+SUMPRODUCT(--ISNUMBER(SEARCH(" "&amp;DT2449:DT2462&amp;" ",BN70)))),"")</f>
        <v/>
      </c>
      <c r="BN70" s="493" t="str">
        <f>IF(61=61,IF(AW70="","",SUBSTITUTE(SUBSTITUTE(SUBSTITUTE(SUBSTITUTE(SUBSTITUTE(SUBSTITUTE(SUBSTITUTE(SUBSTITUTE(SUBSTITUTE(SUBSTITUTE(SUBSTITUTE(SUBSTITUTE(SUBSTITUTE(SUBSTITUTE(BC70," "&amp;DT2464&amp;" "," ")," "&amp;DT442&amp;" "," ")," "&amp;DT440&amp;" "," ")," "&amp;DT2447&amp;" "," ")," "&amp;DT2448&amp;" "," ")," "&amp;DT437&amp;" "," ")," "&amp;DT441&amp;" "," ")," "&amp;DT443&amp;" "," ")," "&amp;DT438&amp;" "," ")," "&amp;DT436&amp;" "," ")," "&amp;DT1376&amp;" "," ")," "&amp;DT444&amp;" "," ")," "&amp;DT1375&amp;" "," ")," "&amp;DT439&amp;" "," ")),"")</f>
        <v/>
      </c>
      <c r="BO70" s="493" t="str">
        <f>IF(61=61,IF(AW70="","",IF(BL70&gt;0,"X",IF(BM70&gt;0,"?",""))),"")</f>
        <v/>
      </c>
      <c r="BP70" s="493" t="str" cm="1">
        <f t="array" ref="BP70">IF(61=61,IF(AW70="","",SUMPRODUCT(--ISNUMBER(SEARCH(" "&amp;DT445:DT544&amp;" ",BZ70)))),"")</f>
        <v/>
      </c>
      <c r="BQ70" s="493" t="str" cm="1">
        <f t="array" ref="BQ70">IF(61=61,IF(AW70="","",SUMPRODUCT(--ISNUMBER(SEARCH(" "&amp;DT545:DT644&amp;" ",BZ70)))),"")</f>
        <v/>
      </c>
      <c r="BR70" s="493" t="str" cm="1">
        <f t="array" ref="BR70">IF(61=61,IF(AW70="","",SUMPRODUCT(--ISNUMBER(SEARCH(" "&amp;DT645:DT744&amp;" ",BZ70)))),"")</f>
        <v/>
      </c>
      <c r="BS70" s="493" t="str" cm="1">
        <f t="array" ref="BS70">IF(61=61,IF(AW70="","",SUMPRODUCT(--ISNUMBER(SEARCH(" "&amp;DT745:DT844&amp;" ",BZ70)))),"")</f>
        <v/>
      </c>
      <c r="BT70" s="493" t="str" cm="1">
        <f t="array" ref="BT70">IF(61=61,IF(AW70="","",SUMPRODUCT(--ISNUMBER(SEARCH(" "&amp;DT845:DT944&amp;" ",BZ70)))),"")</f>
        <v/>
      </c>
      <c r="BU70" s="493" t="str" cm="1">
        <f t="array" ref="BU70">IF(61=61,IF(AW70="","",SUMPRODUCT(--ISNUMBER(SEARCH(" "&amp;DT945:DT1044&amp;" ",BZ70)))),"")</f>
        <v/>
      </c>
      <c r="BV70" s="493" t="str" cm="1">
        <f t="array" ref="BV70">IF(61=61,IF(AW70="","",SUMPRODUCT(--ISNUMBER(SEARCH(" "&amp;DT1045:DT1144&amp;" ",BZ70)))),"")</f>
        <v/>
      </c>
      <c r="BW70" s="493" t="str" cm="1">
        <f t="array" ref="BW70">IF(61=61,IF(AW70="","",SUMPRODUCT(--ISNUMBER(SEARCH(" "&amp;DT1145:DT1244&amp;" ",BZ70)))),"")</f>
        <v/>
      </c>
      <c r="BX70" s="493" t="str" cm="1">
        <f t="array" ref="BX70">IF(61=61,IF(AW70="","",SUMPRODUCT(--ISNUMBER(SEARCH(" "&amp;DT1245:DT1344&amp;" ",BZ70)))),"")</f>
        <v/>
      </c>
      <c r="BY70" s="493" t="str" cm="1">
        <f t="array" ref="BY70">IF(61=61,IF(AW70="","",SUMPRODUCT(--ISNUMBER(SEARCH(" "&amp;DT1345:DT1372&amp;" ",BZ70)))),"")</f>
        <v/>
      </c>
      <c r="BZ70" s="493" t="str">
        <f>IF(61=61,IF(AW70="","",SUBSTITUTE(SUBSTITUTE(SUBSTITUTE(SUBSTITUTE(SUBSTITUTE(SUBSTITUTE(SUBSTITUTE(SUBSTITUTE(SUBSTITUTE(BC70," "&amp;DT1374&amp;" "," ")," "&amp;DT1373&amp;" "," ")," "&amp;DT1379&amp;" "," ")," "&amp;DT1380&amp;" "," ")," "&amp;DT1376&amp;" "," ")," "&amp;DT1378&amp;" "," ")," "&amp;DT1375&amp;" "," ")," "&amp;DT1377&amp;" "," ")," "&amp;DT1381&amp;" "," ")),"")</f>
        <v/>
      </c>
      <c r="CA70" s="493" t="str" cm="1">
        <f t="array" ref="CA70">IF(61=61,IF(AW70="","",SUMPRODUCT(--ISNUMBER(SEARCH(" "&amp;DT1382:DT1392&amp;" ",BZ70)))),"")</f>
        <v/>
      </c>
      <c r="CB70" s="493" t="str" cm="1">
        <f t="array" ref="CB70">IF(61=61,IF(AW70="","",IF(SUM(BP70:BY70)+SUMPRODUCT(--ISNUMBER(SEARCH(" "&amp;DT2430:DT2431&amp;" ",BZ70)))&gt;0,"X",IF(CA70&gt;0,"?",""))),"")</f>
        <v/>
      </c>
      <c r="CC70" s="493" t="str" cm="1">
        <f t="array" ref="CC70">IF(61=61,IF(AW70="","",SUMPRODUCT(--ISNUMBER(SEARCH(" "&amp;DT1393:DT1413&amp;" ",BC70)))),"")</f>
        <v/>
      </c>
      <c r="CD70" s="493" t="str">
        <f>IF(61=61,IF(AW70="","",IF((CC70)-(0)&gt;0,"X",IF((0)-(0)&gt;0,"?",""))),"")</f>
        <v/>
      </c>
      <c r="CE70" s="493" t="str" cm="1">
        <f t="array" ref="CE70">IF(61=61,IF(AW70="","",SUMPRODUCT(--ISNUMBER(SEARCH(" "&amp;DT1414:DT1451&amp;" ",CF70)))),"")</f>
        <v/>
      </c>
      <c r="CF70" s="493" t="str">
        <f>IF(61=61,IF(AW70="","",SUBSTITUTE(SUBSTITUTE(BC70," "&amp;DT1452&amp;" "," ")," "&amp;DT1453&amp;" "," ")),"")</f>
        <v/>
      </c>
      <c r="CG70" s="493" t="str" cm="1">
        <f t="array" ref="CG70">IF(61=61,IF(AW70="","",SUMPRODUCT(--ISNUMBER(SEARCH(" "&amp;DT1454:DT1464&amp;" ",CF70)))),"")</f>
        <v/>
      </c>
      <c r="CH70" s="493" t="str">
        <f>IF(61=61,IF(AW70="","",IF(CE70&gt;0,"X",IF(CG70&gt;0,"?",""))),"")</f>
        <v/>
      </c>
      <c r="CI70" s="493" t="str" cm="1">
        <f t="array" ref="CI70">IF(61=61,IF(AW70="","",SUMPRODUCT(--ISNUMBER(SEARCH(" "&amp;DT1465:DT1564&amp;" ",CL70)))),"")</f>
        <v/>
      </c>
      <c r="CJ70" s="493" t="str" cm="1">
        <f t="array" ref="CJ70">IF(61=61,IF(AW70="","",SUMPRODUCT(--ISNUMBER(SEARCH(" "&amp;DT1565:DT1664&amp;" ",CL70)))),"")</f>
        <v/>
      </c>
      <c r="CK70" s="493" t="str" cm="1">
        <f t="array" ref="CK70">IF(61=61,IF(AW70="","",SUMPRODUCT(--ISNUMBER(SEARCH(" "&amp;DT1665:DT1748&amp;" ",CL70)))),"")</f>
        <v/>
      </c>
      <c r="CL70" s="493" t="str">
        <f>IF(61=61,IF(AW70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70,"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70" s="493" t="str" cm="1">
        <f t="array" ref="CM70">IF(61=61,IF(AW70="","",SUMPRODUCT(--ISNUMBER(SEARCH(" "&amp;DT1799:DT1878&amp;" ",CN70)))+SUMPRODUCT(--ISNUMBER(SEARCH(" "&amp;DT2449:DT2462&amp;" ",CN70)))),"")</f>
        <v/>
      </c>
      <c r="CN70" s="493" t="str">
        <f>IF(61=61,IF(AW70="","",SUBSTITUTE(SUBSTITUTE(SUBSTITUTE(SUBSTITUTE(SUBSTITUTE(SUBSTITUTE(SUBSTITUTE(SUBSTITUTE(SUBSTITUTE(SUBSTITUTE(SUBSTITUTE(SUBSTITUTE(SUBSTITUTE(CL70," "&amp;DT1885&amp;" "," ")," "&amp;DT1883&amp;" "," ")," "&amp;DT2447&amp;" "," ")," "&amp;DT2448&amp;" "," ")," "&amp;DT1880&amp;" "," ")," "&amp;DT1884&amp;" "," ")," "&amp;DT1886&amp;" "," ")," "&amp;DT1881&amp;" "," ")," "&amp;DT1879&amp;" "," ")," "&amp;DT1376&amp;" "," ")," "&amp;DT1887&amp;" "," ")," "&amp;DT1375&amp;" "," ")," "&amp;DT1882&amp;" "," ")),"")</f>
        <v/>
      </c>
      <c r="CO70" s="493" t="str" cm="1">
        <f t="array" ref="CO70">IF(61=61,IF(AW70="","",IF(SUM(CI70:CK70)+SUMPRODUCT(--ISNUMBER(SEARCH(" "&amp;DT2432:DT2433&amp;" ",CL70)))&gt;0,"X",IF(CM70&gt;0,"?",""))),"")</f>
        <v/>
      </c>
      <c r="CP70" s="493" t="str" cm="1">
        <f t="array" ref="CP70">IF(61=61,IF(AW70="","",SUMPRODUCT(--ISNUMBER(SEARCH(" "&amp;DT1888:DT1945&amp;" ",CQ70)))),"")</f>
        <v/>
      </c>
      <c r="CQ70" s="493" t="str">
        <f>IF(61=61,IF(AW70="","",SUBSTITUTE(SUBSTITUTE(SUBSTITUTE(SUBSTITUTE(SUBSTITUTE(SUBSTITUTE(SUBSTITUTE(SUBSTITUTE(SUBSTITUTE(SUBSTITUTE(SUBSTITUTE(SUBSTITUTE(SUBSTITUTE(SUBSTITUTE(SUBSTITUTE(SUBSTITUTE(SUBSTITUTE(SUBSTITUTE(SUBSTITUTE(SUBSTITUTE(SUBSTITUTE(SUBSTITUTE(SUBSTITUTE(BC70,"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70" s="493" t="str" cm="1">
        <f t="array" ref="CR70">IF(61=61,IF(AW70="","",SUMPRODUCT(--ISNUMBER(SEARCH(" "&amp;DT1969:DT1985&amp;" ",CQ70)))),"")</f>
        <v/>
      </c>
      <c r="CS70" s="493" t="str">
        <f>IF(61=61,IF(AW70="","",IF(CP70&gt;0,"X",IF(CR70&gt;0,"?",""))),"")</f>
        <v/>
      </c>
      <c r="CT70" s="493" t="str" cm="1">
        <f t="array" ref="CT70">IF(61=61,IF(AW70="","",SUMPRODUCT(--ISNUMBER(SEARCH(" "&amp;DT1986:DT1999&amp;" ",BC70)))),"")</f>
        <v/>
      </c>
      <c r="CU70" s="493" t="str" cm="1">
        <f t="array" ref="CU70">IF(61=61,IF(AW70="","",SUMPRODUCT(--ISNUMBER(SEARCH(" "&amp;DT2000:DT2014&amp;" ",BC70)))),"")</f>
        <v/>
      </c>
      <c r="CV70" s="493" t="str">
        <f>IF(61=61,IF(AW70="","",IF((CT70)-(0)&gt;0,"X",IF((CU70)-(0)&gt;0,"?",""))),"")</f>
        <v/>
      </c>
      <c r="CW70" s="493" t="str" cm="1">
        <f t="array" ref="CW70">IF(61=61,IF(AW70="","",SUMPRODUCT(--ISNUMBER(SEARCH(" "&amp;DT2015:DT2032&amp;" ",BC70)))),"")</f>
        <v/>
      </c>
      <c r="CX70" s="493" t="str" cm="1">
        <f t="array" ref="CX70">IF(61=61,IF(AW70="","",SUMPRODUCT(--ISNUMBER(SEARCH(" "&amp;DT2033:DT2047&amp;" ",BC70)))),"")</f>
        <v/>
      </c>
      <c r="CY70" s="493" t="str">
        <f>IF(61=61,IF(AW70="","",IF((CW70)-(0)&gt;0,"X",IF((CX70)-(0)&gt;0,"?",""))),"")</f>
        <v/>
      </c>
      <c r="CZ70" s="493" t="str" cm="1">
        <f t="array" ref="CZ70">IF(61=61,IF(AW70="","",SUMPRODUCT(--ISNUMBER(SEARCH(" "&amp;DT2048:DT2066&amp;" ",BC70)))),"")</f>
        <v/>
      </c>
      <c r="DA70" s="493" t="str" cm="1">
        <f t="array" ref="DA70">IF(61=61,IF(AW70="","",SUMPRODUCT(--ISNUMBER(SEARCH(" "&amp;DT2067:DT2081&amp;" ",BC70)))),"")</f>
        <v/>
      </c>
      <c r="DB70" s="493" t="str">
        <f>IF(61=61,IF(AW70="","",IF((CZ70)-(0)&gt;0,"X",IF((DA70)-(0)&gt;0,"?",""))),"")</f>
        <v/>
      </c>
      <c r="DC70" s="493" t="str" cm="1">
        <f t="array" ref="DC70">IF(61=61,IF(AW70="","",SUMPRODUCT(--ISNUMBER(SEARCH(" "&amp;DT2082:DT2102&amp;" ",BC70)))),"")</f>
        <v/>
      </c>
      <c r="DD70" s="493" t="str" cm="1">
        <f t="array" ref="DD70">IF(61=61,IF(AW70="","",SUMPRODUCT(--ISNUMBER(SEARCH(" "&amp;DT2103:DT2142&amp;" ",SUBSTITUTE(SUBSTITUTE(BC70," "&amp;DT1376&amp;" "," ")," "&amp;DT1375&amp;" "," "))))+--ISNUMBER(SEARCH("poiré",AX70))),"")</f>
        <v/>
      </c>
      <c r="DE70" s="493" t="str">
        <f>IF(61=61,IF(AW70="","",IF(OR(DC70&gt;0,ISNUMBER(SEARCH(" vinaigre de vin ",BC70)),ISNUMBER(SEARCH(" vinaigre au vin ",BC70))),"X",IF(DD70&gt;0,"?",""))),"")</f>
        <v/>
      </c>
      <c r="DF70" s="493" t="str" cm="1">
        <f t="array" ref="DF70">IF(61=61,IF(AW70="","",SUMPRODUCT(--ISNUMBER(SEARCH(" "&amp;DT2143:DT2155&amp;" ",BC70)))),"")</f>
        <v/>
      </c>
      <c r="DG70" s="493" t="str" cm="1">
        <f t="array" ref="DG70">IF(61=61,IF(AW70="","",SUMPRODUCT(--ISNUMBER(SEARCH(" "&amp;DT2156:DT2161&amp;" ",BC70)))),"")</f>
        <v/>
      </c>
      <c r="DH70" s="493" t="str">
        <f>IF(61=61,IF(AW70="","",IF((DF70)-(0)&gt;0,"X",IF((DG70)-(0)&gt;0,"?",""))),"")</f>
        <v/>
      </c>
      <c r="DI70" s="493" t="str" cm="1">
        <f t="array" ref="DI70">IF(61=61,IF(AW70="","",SUMPRODUCT(--ISNUMBER(SEARCH(" "&amp;DT2162:DT2261&amp;" ",DL70)))),"")</f>
        <v/>
      </c>
      <c r="DJ70" s="493" t="str" cm="1">
        <f t="array" ref="DJ70">IF(61=61,IF(AW70="","",SUMPRODUCT(--ISNUMBER(SEARCH(" "&amp;DT2262:DT2361&amp;" ",DL70)))),"")</f>
        <v/>
      </c>
      <c r="DK70" s="493" t="str" cm="1">
        <f t="array" ref="DK70">IF(61=61,IF(AW70="","",SUMPRODUCT(--ISNUMBER(SEARCH(" "&amp;DT2362:DT2404&amp;" ",DL70)))),"")</f>
        <v/>
      </c>
      <c r="DL70" s="493" t="str">
        <f>IF(61=61,IF(AW70="","",SUBSTITUTE(SUBSTITUTE(SUBSTITUTE(SUBSTITUTE(SUBSTITUTE(SUBSTITUTE(SUBSTITUTE(SUBSTITUTE(SUBSTITUTE(SUBSTITUTE(SUBSTITUTE(SUBSTITUTE(SUBSTITUTE(SUBSTITUTE(SUBSTITUTE(SUBSTITUTE(BC70," "&amp;DT2410&amp;" "," ")," "&amp;DT2409&amp;" "," ")," "&amp;DT2408&amp;" "," ")," "&amp;DT2415&amp;" "," ")," "&amp;DT2407&amp;" "," ")," "&amp;DT2419&amp;" "," ")," "&amp;DT2406&amp;" "," ")," "&amp;DT2411&amp;" "," ")," "&amp;DT2414&amp;" "," ")," "&amp;DT2405&amp;" "," ")," "&amp;DT2413&amp;" "," ")," "&amp;DT2420&amp;" "," ")," "&amp;DT2417&amp;" "," ")," "&amp;DT2412&amp;" "," ")," "&amp;DT2416&amp;" "," ")," "&amp;DT2418&amp;" "," ")),"")</f>
        <v/>
      </c>
      <c r="DM70" s="493" t="str" cm="1">
        <f t="array" ref="DM70">IF(61=61,IF(AW70="","",SUMPRODUCT(--ISNUMBER(SEARCH(" "&amp;DT2421:DT2425&amp;" ",DL70)))),"")</f>
        <v/>
      </c>
      <c r="DN70" s="493" t="str">
        <f>IF(61=61,IF(AW70="","",IF(SUM(DI70:DK70)&gt;0,"X",IF(DM70&gt;0,"?",""))),"")</f>
        <v/>
      </c>
      <c r="DO70" s="494"/>
      <c r="DP70" s="496" t="s">
        <v>1253</v>
      </c>
      <c r="DQ70" s="496" t="s">
        <v>1083</v>
      </c>
      <c r="DR70" s="496" t="s">
        <v>689</v>
      </c>
      <c r="DS70" s="496" t="s">
        <v>877</v>
      </c>
      <c r="DT70" s="496" t="s">
        <v>877</v>
      </c>
      <c r="DU70" s="496" t="s">
        <v>1085</v>
      </c>
      <c r="DV70" s="496" t="s">
        <v>1086</v>
      </c>
      <c r="DW70" s="496" t="s">
        <v>1087</v>
      </c>
      <c r="DX70" s="497" t="s">
        <v>1088</v>
      </c>
      <c r="DZ70" s="543">
        <v>1</v>
      </c>
      <c r="EB70" s="493"/>
      <c r="EC70" s="493"/>
    </row>
    <row r="71" spans="5:133" ht="21" customHeight="1">
      <c r="E71" s="716"/>
      <c r="F71" s="724"/>
      <c r="G71" s="725"/>
      <c r="H71" s="724"/>
      <c r="I71" s="726"/>
      <c r="J71" s="950"/>
      <c r="K71" s="951"/>
      <c r="L71" s="793"/>
      <c r="M71" s="952"/>
      <c r="N71" s="953"/>
      <c r="O71" s="954"/>
      <c r="P71" s="955"/>
      <c r="Q71" s="956"/>
      <c r="R71" s="957"/>
      <c r="S71" s="800"/>
      <c r="T71" s="958"/>
      <c r="U71" s="802"/>
      <c r="V71" s="959"/>
      <c r="W71" s="960"/>
      <c r="X71" s="805"/>
      <c r="Y71" s="816"/>
      <c r="AA71" s="689"/>
      <c r="AC71" s="509">
        <v>56</v>
      </c>
      <c r="AD71" s="808"/>
      <c r="AE71" s="679" t="str">
        <f t="shared" si="9"/>
        <v/>
      </c>
      <c r="AF71" s="512" t="str">
        <f>IF(62=62,IF(AD71="","",IF(AG71="X",""&amp;"Céréales contenant du gluten","")&amp;IF(AH71="X",IF(COUNTIF(AG71:AG71,"X")&gt;0,", ","")&amp;"Crustacés","")&amp;IF(AI71="X",IF(COUNTIF(AG71:AH71,"X")&gt;0,", ","")&amp;"Œufs","")&amp;IF(AJ71="X",IF(COUNTIF(AG71:AI71,"X")&gt;0,", ","")&amp;"Poissons","")&amp;IF(AK71="X",IF(COUNTIF(AG71:AJ71,"X")&gt;0,", ","")&amp;"Arachides","")&amp;IF(AL71="X",IF(COUNTIF(AG71:AK71,"X")&gt;0,", ","")&amp;"Soja","")&amp;IF(AM71="X",IF(COUNTIF(AG71:AL71,"X")&gt;0,", ","")&amp;"Lait","")&amp;IF(AN71="X",IF(COUNTIF(AG71:AM71,"X")&gt;0,", ","")&amp;"Fruits à coque","")&amp;IF(AO71="X",IF(COUNTIF(AG71:AN71,"X")&gt;0,", ","")&amp;"Céleri","")&amp;IF(AP71="X",IF(COUNTIF(AG71:AO71,"X")&gt;0,", ","")&amp;"Moutarde","")&amp;IF(AQ71="X",IF(COUNTIF(AG71:AP71,"X")&gt;0,", ","")&amp;"Sésame","")&amp;IF(AR71="X",IF(COUNTIF(AG71:AQ71,"X")&gt;0,", ","")&amp;"Sulfites","")&amp;IF(AS71="X",IF(COUNTIF(AG71:AR71,"X")&gt;0,", ","")&amp;"Lupin","")&amp;IF(AT71="X",IF(COUNTIF(AG71:AS71,"X")&gt;0,", ","")&amp;"Mollusques","")),"")</f>
        <v/>
      </c>
      <c r="AG71" s="513" t="str">
        <f>IF(62=62,IF(AD71="","",BH71),"")</f>
        <v/>
      </c>
      <c r="AH71" s="513" t="str">
        <f>IF(62=62,IF(AD71="","",BK71),"")</f>
        <v/>
      </c>
      <c r="AI71" s="513" t="str">
        <f>IF(62=62,IF(AD71="","",BO71),"")</f>
        <v/>
      </c>
      <c r="AJ71" s="513" t="str">
        <f>IF(62=62,IF(AD71="","",IF(ISNUMBER(SEARCH(" colin ",BC71)),"X",CB71)),"")</f>
        <v/>
      </c>
      <c r="AK71" s="513" t="str">
        <f>IF(62=62,IF(AD71="","",CD71),"")</f>
        <v/>
      </c>
      <c r="AL71" s="513" t="str">
        <f>IF(62=62,IF(AD71="","",CH71),"")</f>
        <v/>
      </c>
      <c r="AM71" s="513" t="str">
        <f>IF(62=62,IF(AD71="","",CO71),"")</f>
        <v/>
      </c>
      <c r="AN71" s="513" t="str">
        <f>IF(62=62,IF(AD71="","",CS71),"")</f>
        <v/>
      </c>
      <c r="AO71" s="513" t="str">
        <f>IF(62=62,IF(AD71="","",CV71),"")</f>
        <v/>
      </c>
      <c r="AP71" s="513" t="str">
        <f>IF(62=62,IF(AD71="","",CY71),"")</f>
        <v/>
      </c>
      <c r="AQ71" s="513" t="str">
        <f>IF(62=62,IF(AD71="","",DB71),"")</f>
        <v/>
      </c>
      <c r="AR71" s="513" t="str">
        <f>IF(62=62,IF(AD71="","",DE71),"")</f>
        <v/>
      </c>
      <c r="AS71" s="513" t="str">
        <f>IF(62=62,IF(AD71="","",DH71),"")</f>
        <v/>
      </c>
      <c r="AT71" s="513" t="str">
        <f>IF(62=62,IF(AD71="","",DN71),"")</f>
        <v/>
      </c>
      <c r="AU71" s="514" t="str">
        <f>IF(62=62,IF(AD71="","",IF(AG71="?",""&amp;"Céréales contenant du gluten","")&amp;IF(AH71="?",IF(COUNTIF(AG71:AG71,"~?")&gt;0,", ","")&amp;"Crustacés","")&amp;IF(AI71="?",IF(COUNTIF(AG71:AH71,"~?")&gt;0,", ","")&amp;"Œufs","")&amp;IF(AJ71="?",IF(COUNTIF(AG71:AI71,"~?")&gt;0,", ","")&amp;"Poissons","")&amp;IF(AK71="?",IF(COUNTIF(AG71:AJ71,"~?")&gt;0,", ","")&amp;"Arachides","")&amp;IF(AL71="?",IF(COUNTIF(AG71:AK71,"~?")&gt;0,", ","")&amp;"Soja","")&amp;IF(AM71="?",IF(COUNTIF(AG71:AL71,"~?")&gt;0,", ","")&amp;"Lait","")&amp;IF(AN71="?",IF(COUNTIF(AG71:AM71,"~?")&gt;0,", ","")&amp;"Fruits à coque","")&amp;IF(AO71="?",IF(COUNTIF(AG71:AN71,"~?")&gt;0,", ","")&amp;"Céleri","")&amp;IF(AP71="?",IF(COUNTIF(AG71:AO71,"~?")&gt;0,", ","")&amp;"Moutarde","")&amp;IF(AQ71="?",IF(COUNTIF(AG71:AP71,"~?")&gt;0,", ","")&amp;"Sésame","")&amp;IF(AR71="?",IF(COUNTIF(AG71:AQ71,"~?")&gt;0,", ","")&amp;"Sulfites","")&amp;IF(AS71="?",IF(COUNTIF(AG71:AR71,"~?")&gt;0,", ","")&amp;"Lupin","")&amp;IF(AT71="?",IF(COUNTIF(AG71:AS71,"~?")&gt;0,", ","")&amp;"Mollusques","")),"")</f>
        <v/>
      </c>
      <c r="AW71" s="493" t="str">
        <f>IF(62=62,IF(AD71="","",AD71),"")</f>
        <v/>
      </c>
      <c r="AX71" s="493" t="str">
        <f>IF(62=62,LOWER(CLEAN(SUBSTITUTE(SUBSTITUTE(SUBSTITUTE(SUBSTITUTE(AW71,CHAR(160)," ")," "," "),CHAR(10)," "),CHAR(13)," "))),"")</f>
        <v/>
      </c>
      <c r="AY71" s="493" t="str">
        <f>IF(62=62,SUBSTITUTE(SUBSTITUTE(SUBSTITUTE(SUBSTITUTE(SUBSTITUTE(SUBSTITUTE(SUBSTITUTE(SUBSTITUTE(SUBSTITUTE(SUBSTITUTE(SUBSTITUTE(SUBSTITUTE(AX71,"œ","oe"),"æ","ae"),"à","a"),"á","a"),"â","a"),"ä","a"),"ã","a"),"ç","c"),"è","e"),"é","e"),"ê","e"),"ë","e"),"")</f>
        <v/>
      </c>
      <c r="AZ71" s="493" t="str">
        <f>IF(62=62,SUBSTITUTE(SUBSTITUTE(SUBSTITUTE(SUBSTITUTE(SUBSTITUTE(SUBSTITUTE(SUBSTITUTE(SUBSTITUTE(SUBSTITUTE(SUBSTITUTE(SUBSTITUTE(SUBSTITUTE(SUBSTITUTE(SUBSTITUTE(SUBSTITUTE(SUBSTITUTE(AY71,"ì","i"),"í","i"),"î","i"),"ï","i"),"ñ","n"),"ò","o"),"ó","o"),"ô","o"),"ö","o"),"õ","o"),"ù","u"),"ú","u"),"û","u"),"ü","u"),"ý","y"),"ÿ","y"),"")</f>
        <v/>
      </c>
      <c r="BA71" s="493" t="str">
        <f>IF(62=62,SUBSTITUTE(SUBSTITUTE(SUBSTITUTE(SUBSTITUTE(SUBSTITUTE(SUBSTITUTE(SUBSTITUTE(SUBSTITUTE(SUBSTITUTE(SUBSTITUTE(SUBSTITUTE(SUBSTITUTE(SUBSTITUTE(SUBSTITUTE(AZ71,"’"," "),"`"," "),"–"," "),"—"," "),"-"," "),"'"," "),"/"," "),"_"," "),","," "),"."," "),"("," "),")"," "),";"," "),":"," "),"")</f>
        <v/>
      </c>
      <c r="BB71" s="493" t="str">
        <f>IF(62=62,SUBSTITUTE(SUBSTITUTE(SUBSTITUTE(SUBSTITUTE(SUBSTITUTE(SUBSTITUTE(SUBSTITUTE(SUBSTITUTE(SUBSTITUTE(SUBSTITUTE(SUBSTITUTE(SUBSTITUTE(SUBSTITUTE(SUBSTITUTE(SUBSTITUTE(BA71,"!"," "),"?"," "),"+"," "),"*"," "),"&amp;"," "),"["," "),"]"," "),"{"," "),"}"," "),"%"," "),"="," "),"\"," "),"|"," "),"&lt;"," "),"&gt;"," "),"")</f>
        <v/>
      </c>
      <c r="BC71" s="493" t="str">
        <f>IF(62=62," "&amp;TRIM(SUBSTITUTE(SUBSTITUTE(SUBSTITUTE(SUBSTITUTE(SUBSTITUTE(SUBSTITUTE(BB71,CHAR(34)," "),"  "," "),"  "," "),"  "," "),"  "," "),"  "," "))&amp;" ","")</f>
        <v xml:space="preserve">  </v>
      </c>
      <c r="BD71" s="493" t="str" cm="1">
        <f t="array" ref="BD71">IF(62=62,IF(AW71="","",SUMPRODUCT(--ISNUMBER(SEARCH(" "&amp;DT11:DT110&amp;" ",BF71)))),"")</f>
        <v/>
      </c>
      <c r="BE71" s="493" t="str" cm="1">
        <f t="array" ref="BE71">IF(62=62,IF(AW71="","",SUMPRODUCT(--ISNUMBER(SEARCH(" "&amp;DT111:DT160&amp;" ",BF71)))),"")</f>
        <v/>
      </c>
      <c r="BF71" s="493" t="str">
        <f>IF(AW71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71,"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71" s="493" t="str" cm="1">
        <f t="array" ref="BG71">IF(AW71="","",SUMPRODUCT(--ISNUMBER(SEARCH(" "&amp;DT193:DT214&amp;" ",BF71)))+--ISNUMBER(SEARCH(" "&amp;DT2463&amp;" ",BF71)))</f>
        <v/>
      </c>
      <c r="BH71" s="493" t="str" cm="1">
        <f t="array" ref="BH71">IF(62=62,IF(AW71="","",IF(SUM(BD71:BE71)+SUMPRODUCT(--ISNUMBER(SEARCH(" "&amp;DT2427:DT2429&amp;" ",BF71)))&gt;0,"X",IF(BG71&gt;0,"?",""))),"")</f>
        <v/>
      </c>
      <c r="BI71" s="493" t="str" cm="1">
        <f t="array" ref="BI71">IF(62=62,IF(AW71="","",SUMPRODUCT(--ISNUMBER(SEARCH(" "&amp;DT215:DT314&amp;" ",BC71)))),"")</f>
        <v/>
      </c>
      <c r="BJ71" s="493" t="str" cm="1">
        <f t="array" ref="BJ71">IF(62=62,IF(AW71="","",SUMPRODUCT(--ISNUMBER(SEARCH(" "&amp;DT315:DT349&amp;" ",BC71)))),"")</f>
        <v/>
      </c>
      <c r="BK71" s="493" t="str">
        <f>IF(62=62,IF(AW71="","",IF((SUM(BI71:BJ71))-(0)&gt;0,"X",IF((0)-(0)&gt;0,"?",""))),"")</f>
        <v/>
      </c>
      <c r="BL71" s="493" t="str" cm="1">
        <f t="array" ref="BL71">IF(62=62,IF(AW71="","",SUMPRODUCT(--ISNUMBER(SEARCH(" "&amp;DT350:DT407&amp;" ",BC71)))),"")</f>
        <v/>
      </c>
      <c r="BM71" s="493" t="str" cm="1">
        <f t="array" ref="BM71">IF(62=62,IF(AW71="","",SUMPRODUCT(--ISNUMBER(SEARCH(" "&amp;DT408:DT435&amp;" ",BN71)))+SUMPRODUCT(--ISNUMBER(SEARCH(" "&amp;DT2449:DT2462&amp;" ",BN71)))),"")</f>
        <v/>
      </c>
      <c r="BN71" s="493" t="str">
        <f>IF(62=62,IF(AW71="","",SUBSTITUTE(SUBSTITUTE(SUBSTITUTE(SUBSTITUTE(SUBSTITUTE(SUBSTITUTE(SUBSTITUTE(SUBSTITUTE(SUBSTITUTE(SUBSTITUTE(SUBSTITUTE(SUBSTITUTE(SUBSTITUTE(SUBSTITUTE(BC71," "&amp;DT2464&amp;" "," ")," "&amp;DT442&amp;" "," ")," "&amp;DT440&amp;" "," ")," "&amp;DT2447&amp;" "," ")," "&amp;DT2448&amp;" "," ")," "&amp;DT437&amp;" "," ")," "&amp;DT441&amp;" "," ")," "&amp;DT443&amp;" "," ")," "&amp;DT438&amp;" "," ")," "&amp;DT436&amp;" "," ")," "&amp;DT1376&amp;" "," ")," "&amp;DT444&amp;" "," ")," "&amp;DT1375&amp;" "," ")," "&amp;DT439&amp;" "," ")),"")</f>
        <v/>
      </c>
      <c r="BO71" s="493" t="str">
        <f>IF(62=62,IF(AW71="","",IF(BL71&gt;0,"X",IF(BM71&gt;0,"?",""))),"")</f>
        <v/>
      </c>
      <c r="BP71" s="493" t="str" cm="1">
        <f t="array" ref="BP71">IF(62=62,IF(AW71="","",SUMPRODUCT(--ISNUMBER(SEARCH(" "&amp;DT445:DT544&amp;" ",BZ71)))),"")</f>
        <v/>
      </c>
      <c r="BQ71" s="493" t="str" cm="1">
        <f t="array" ref="BQ71">IF(62=62,IF(AW71="","",SUMPRODUCT(--ISNUMBER(SEARCH(" "&amp;DT545:DT644&amp;" ",BZ71)))),"")</f>
        <v/>
      </c>
      <c r="BR71" s="493" t="str" cm="1">
        <f t="array" ref="BR71">IF(62=62,IF(AW71="","",SUMPRODUCT(--ISNUMBER(SEARCH(" "&amp;DT645:DT744&amp;" ",BZ71)))),"")</f>
        <v/>
      </c>
      <c r="BS71" s="493" t="str" cm="1">
        <f t="array" ref="BS71">IF(62=62,IF(AW71="","",SUMPRODUCT(--ISNUMBER(SEARCH(" "&amp;DT745:DT844&amp;" ",BZ71)))),"")</f>
        <v/>
      </c>
      <c r="BT71" s="493" t="str" cm="1">
        <f t="array" ref="BT71">IF(62=62,IF(AW71="","",SUMPRODUCT(--ISNUMBER(SEARCH(" "&amp;DT845:DT944&amp;" ",BZ71)))),"")</f>
        <v/>
      </c>
      <c r="BU71" s="493" t="str" cm="1">
        <f t="array" ref="BU71">IF(62=62,IF(AW71="","",SUMPRODUCT(--ISNUMBER(SEARCH(" "&amp;DT945:DT1044&amp;" ",BZ71)))),"")</f>
        <v/>
      </c>
      <c r="BV71" s="493" t="str" cm="1">
        <f t="array" ref="BV71">IF(62=62,IF(AW71="","",SUMPRODUCT(--ISNUMBER(SEARCH(" "&amp;DT1045:DT1144&amp;" ",BZ71)))),"")</f>
        <v/>
      </c>
      <c r="BW71" s="493" t="str" cm="1">
        <f t="array" ref="BW71">IF(62=62,IF(AW71="","",SUMPRODUCT(--ISNUMBER(SEARCH(" "&amp;DT1145:DT1244&amp;" ",BZ71)))),"")</f>
        <v/>
      </c>
      <c r="BX71" s="493" t="str" cm="1">
        <f t="array" ref="BX71">IF(62=62,IF(AW71="","",SUMPRODUCT(--ISNUMBER(SEARCH(" "&amp;DT1245:DT1344&amp;" ",BZ71)))),"")</f>
        <v/>
      </c>
      <c r="BY71" s="493" t="str" cm="1">
        <f t="array" ref="BY71">IF(62=62,IF(AW71="","",SUMPRODUCT(--ISNUMBER(SEARCH(" "&amp;DT1345:DT1372&amp;" ",BZ71)))),"")</f>
        <v/>
      </c>
      <c r="BZ71" s="493" t="str">
        <f>IF(62=62,IF(AW71="","",SUBSTITUTE(SUBSTITUTE(SUBSTITUTE(SUBSTITUTE(SUBSTITUTE(SUBSTITUTE(SUBSTITUTE(SUBSTITUTE(SUBSTITUTE(BC71," "&amp;DT1374&amp;" "," ")," "&amp;DT1373&amp;" "," ")," "&amp;DT1379&amp;" "," ")," "&amp;DT1380&amp;" "," ")," "&amp;DT1376&amp;" "," ")," "&amp;DT1378&amp;" "," ")," "&amp;DT1375&amp;" "," ")," "&amp;DT1377&amp;" "," ")," "&amp;DT1381&amp;" "," ")),"")</f>
        <v/>
      </c>
      <c r="CA71" s="493" t="str" cm="1">
        <f t="array" ref="CA71">IF(62=62,IF(AW71="","",SUMPRODUCT(--ISNUMBER(SEARCH(" "&amp;DT1382:DT1392&amp;" ",BZ71)))),"")</f>
        <v/>
      </c>
      <c r="CB71" s="493" t="str" cm="1">
        <f t="array" ref="CB71">IF(62=62,IF(AW71="","",IF(SUM(BP71:BY71)+SUMPRODUCT(--ISNUMBER(SEARCH(" "&amp;DT2430:DT2431&amp;" ",BZ71)))&gt;0,"X",IF(CA71&gt;0,"?",""))),"")</f>
        <v/>
      </c>
      <c r="CC71" s="493" t="str" cm="1">
        <f t="array" ref="CC71">IF(62=62,IF(AW71="","",SUMPRODUCT(--ISNUMBER(SEARCH(" "&amp;DT1393:DT1413&amp;" ",BC71)))),"")</f>
        <v/>
      </c>
      <c r="CD71" s="493" t="str">
        <f>IF(62=62,IF(AW71="","",IF((CC71)-(0)&gt;0,"X",IF((0)-(0)&gt;0,"?",""))),"")</f>
        <v/>
      </c>
      <c r="CE71" s="493" t="str" cm="1">
        <f t="array" ref="CE71">IF(62=62,IF(AW71="","",SUMPRODUCT(--ISNUMBER(SEARCH(" "&amp;DT1414:DT1451&amp;" ",CF71)))),"")</f>
        <v/>
      </c>
      <c r="CF71" s="493" t="str">
        <f>IF(62=62,IF(AW71="","",SUBSTITUTE(SUBSTITUTE(BC71," "&amp;DT1452&amp;" "," ")," "&amp;DT1453&amp;" "," ")),"")</f>
        <v/>
      </c>
      <c r="CG71" s="493" t="str" cm="1">
        <f t="array" ref="CG71">IF(62=62,IF(AW71="","",SUMPRODUCT(--ISNUMBER(SEARCH(" "&amp;DT1454:DT1464&amp;" ",CF71)))),"")</f>
        <v/>
      </c>
      <c r="CH71" s="493" t="str">
        <f>IF(62=62,IF(AW71="","",IF(CE71&gt;0,"X",IF(CG71&gt;0,"?",""))),"")</f>
        <v/>
      </c>
      <c r="CI71" s="493" t="str" cm="1">
        <f t="array" ref="CI71">IF(62=62,IF(AW71="","",SUMPRODUCT(--ISNUMBER(SEARCH(" "&amp;DT1465:DT1564&amp;" ",CL71)))),"")</f>
        <v/>
      </c>
      <c r="CJ71" s="493" t="str" cm="1">
        <f t="array" ref="CJ71">IF(62=62,IF(AW71="","",SUMPRODUCT(--ISNUMBER(SEARCH(" "&amp;DT1565:DT1664&amp;" ",CL71)))),"")</f>
        <v/>
      </c>
      <c r="CK71" s="493" t="str" cm="1">
        <f t="array" ref="CK71">IF(62=62,IF(AW71="","",SUMPRODUCT(--ISNUMBER(SEARCH(" "&amp;DT1665:DT1748&amp;" ",CL71)))),"")</f>
        <v/>
      </c>
      <c r="CL71" s="493" t="str">
        <f>IF(62=62,IF(AW71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71,"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71" s="493" t="str" cm="1">
        <f t="array" ref="CM71">IF(62=62,IF(AW71="","",SUMPRODUCT(--ISNUMBER(SEARCH(" "&amp;DT1799:DT1878&amp;" ",CN71)))+SUMPRODUCT(--ISNUMBER(SEARCH(" "&amp;DT2449:DT2462&amp;" ",CN71)))),"")</f>
        <v/>
      </c>
      <c r="CN71" s="493" t="str">
        <f>IF(62=62,IF(AW71="","",SUBSTITUTE(SUBSTITUTE(SUBSTITUTE(SUBSTITUTE(SUBSTITUTE(SUBSTITUTE(SUBSTITUTE(SUBSTITUTE(SUBSTITUTE(SUBSTITUTE(SUBSTITUTE(SUBSTITUTE(SUBSTITUTE(CL71," "&amp;DT1885&amp;" "," ")," "&amp;DT1883&amp;" "," ")," "&amp;DT2447&amp;" "," ")," "&amp;DT2448&amp;" "," ")," "&amp;DT1880&amp;" "," ")," "&amp;DT1884&amp;" "," ")," "&amp;DT1886&amp;" "," ")," "&amp;DT1881&amp;" "," ")," "&amp;DT1879&amp;" "," ")," "&amp;DT1376&amp;" "," ")," "&amp;DT1887&amp;" "," ")," "&amp;DT1375&amp;" "," ")," "&amp;DT1882&amp;" "," ")),"")</f>
        <v/>
      </c>
      <c r="CO71" s="493" t="str" cm="1">
        <f t="array" ref="CO71">IF(62=62,IF(AW71="","",IF(SUM(CI71:CK71)+SUMPRODUCT(--ISNUMBER(SEARCH(" "&amp;DT2432:DT2433&amp;" ",CL71)))&gt;0,"X",IF(CM71&gt;0,"?",""))),"")</f>
        <v/>
      </c>
      <c r="CP71" s="493" t="str" cm="1">
        <f t="array" ref="CP71">IF(62=62,IF(AW71="","",SUMPRODUCT(--ISNUMBER(SEARCH(" "&amp;DT1888:DT1945&amp;" ",CQ71)))),"")</f>
        <v/>
      </c>
      <c r="CQ71" s="493" t="str">
        <f>IF(62=62,IF(AW71="","",SUBSTITUTE(SUBSTITUTE(SUBSTITUTE(SUBSTITUTE(SUBSTITUTE(SUBSTITUTE(SUBSTITUTE(SUBSTITUTE(SUBSTITUTE(SUBSTITUTE(SUBSTITUTE(SUBSTITUTE(SUBSTITUTE(SUBSTITUTE(SUBSTITUTE(SUBSTITUTE(SUBSTITUTE(SUBSTITUTE(SUBSTITUTE(SUBSTITUTE(SUBSTITUTE(SUBSTITUTE(SUBSTITUTE(BC71,"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71" s="493" t="str" cm="1">
        <f t="array" ref="CR71">IF(62=62,IF(AW71="","",SUMPRODUCT(--ISNUMBER(SEARCH(" "&amp;DT1969:DT1985&amp;" ",CQ71)))),"")</f>
        <v/>
      </c>
      <c r="CS71" s="493" t="str">
        <f>IF(62=62,IF(AW71="","",IF(CP71&gt;0,"X",IF(CR71&gt;0,"?",""))),"")</f>
        <v/>
      </c>
      <c r="CT71" s="493" t="str" cm="1">
        <f t="array" ref="CT71">IF(62=62,IF(AW71="","",SUMPRODUCT(--ISNUMBER(SEARCH(" "&amp;DT1986:DT1999&amp;" ",BC71)))),"")</f>
        <v/>
      </c>
      <c r="CU71" s="493" t="str" cm="1">
        <f t="array" ref="CU71">IF(62=62,IF(AW71="","",SUMPRODUCT(--ISNUMBER(SEARCH(" "&amp;DT2000:DT2014&amp;" ",BC71)))),"")</f>
        <v/>
      </c>
      <c r="CV71" s="493" t="str">
        <f>IF(62=62,IF(AW71="","",IF((CT71)-(0)&gt;0,"X",IF((CU71)-(0)&gt;0,"?",""))),"")</f>
        <v/>
      </c>
      <c r="CW71" s="493" t="str" cm="1">
        <f t="array" ref="CW71">IF(62=62,IF(AW71="","",SUMPRODUCT(--ISNUMBER(SEARCH(" "&amp;DT2015:DT2032&amp;" ",BC71)))),"")</f>
        <v/>
      </c>
      <c r="CX71" s="493" t="str" cm="1">
        <f t="array" ref="CX71">IF(62=62,IF(AW71="","",SUMPRODUCT(--ISNUMBER(SEARCH(" "&amp;DT2033:DT2047&amp;" ",BC71)))),"")</f>
        <v/>
      </c>
      <c r="CY71" s="493" t="str">
        <f>IF(62=62,IF(AW71="","",IF((CW71)-(0)&gt;0,"X",IF((CX71)-(0)&gt;0,"?",""))),"")</f>
        <v/>
      </c>
      <c r="CZ71" s="493" t="str" cm="1">
        <f t="array" ref="CZ71">IF(62=62,IF(AW71="","",SUMPRODUCT(--ISNUMBER(SEARCH(" "&amp;DT2048:DT2066&amp;" ",BC71)))),"")</f>
        <v/>
      </c>
      <c r="DA71" s="493" t="str" cm="1">
        <f t="array" ref="DA71">IF(62=62,IF(AW71="","",SUMPRODUCT(--ISNUMBER(SEARCH(" "&amp;DT2067:DT2081&amp;" ",BC71)))),"")</f>
        <v/>
      </c>
      <c r="DB71" s="493" t="str">
        <f>IF(62=62,IF(AW71="","",IF((CZ71)-(0)&gt;0,"X",IF((DA71)-(0)&gt;0,"?",""))),"")</f>
        <v/>
      </c>
      <c r="DC71" s="493" t="str" cm="1">
        <f t="array" ref="DC71">IF(62=62,IF(AW71="","",SUMPRODUCT(--ISNUMBER(SEARCH(" "&amp;DT2082:DT2102&amp;" ",BC71)))),"")</f>
        <v/>
      </c>
      <c r="DD71" s="493" t="str" cm="1">
        <f t="array" ref="DD71">IF(62=62,IF(AW71="","",SUMPRODUCT(--ISNUMBER(SEARCH(" "&amp;DT2103:DT2142&amp;" ",SUBSTITUTE(SUBSTITUTE(BC71," "&amp;DT1376&amp;" "," ")," "&amp;DT1375&amp;" "," "))))+--ISNUMBER(SEARCH("poiré",AX71))),"")</f>
        <v/>
      </c>
      <c r="DE71" s="493" t="str">
        <f>IF(62=62,IF(AW71="","",IF(OR(DC71&gt;0,ISNUMBER(SEARCH(" vinaigre de vin ",BC71)),ISNUMBER(SEARCH(" vinaigre au vin ",BC71))),"X",IF(DD71&gt;0,"?",""))),"")</f>
        <v/>
      </c>
      <c r="DF71" s="493" t="str" cm="1">
        <f t="array" ref="DF71">IF(62=62,IF(AW71="","",SUMPRODUCT(--ISNUMBER(SEARCH(" "&amp;DT2143:DT2155&amp;" ",BC71)))),"")</f>
        <v/>
      </c>
      <c r="DG71" s="493" t="str" cm="1">
        <f t="array" ref="DG71">IF(62=62,IF(AW71="","",SUMPRODUCT(--ISNUMBER(SEARCH(" "&amp;DT2156:DT2161&amp;" ",BC71)))),"")</f>
        <v/>
      </c>
      <c r="DH71" s="493" t="str">
        <f>IF(62=62,IF(AW71="","",IF((DF71)-(0)&gt;0,"X",IF((DG71)-(0)&gt;0,"?",""))),"")</f>
        <v/>
      </c>
      <c r="DI71" s="493" t="str" cm="1">
        <f t="array" ref="DI71">IF(62=62,IF(AW71="","",SUMPRODUCT(--ISNUMBER(SEARCH(" "&amp;DT2162:DT2261&amp;" ",DL71)))),"")</f>
        <v/>
      </c>
      <c r="DJ71" s="493" t="str" cm="1">
        <f t="array" ref="DJ71">IF(62=62,IF(AW71="","",SUMPRODUCT(--ISNUMBER(SEARCH(" "&amp;DT2262:DT2361&amp;" ",DL71)))),"")</f>
        <v/>
      </c>
      <c r="DK71" s="493" t="str" cm="1">
        <f t="array" ref="DK71">IF(62=62,IF(AW71="","",SUMPRODUCT(--ISNUMBER(SEARCH(" "&amp;DT2362:DT2404&amp;" ",DL71)))),"")</f>
        <v/>
      </c>
      <c r="DL71" s="493" t="str">
        <f>IF(62=62,IF(AW71="","",SUBSTITUTE(SUBSTITUTE(SUBSTITUTE(SUBSTITUTE(SUBSTITUTE(SUBSTITUTE(SUBSTITUTE(SUBSTITUTE(SUBSTITUTE(SUBSTITUTE(SUBSTITUTE(SUBSTITUTE(SUBSTITUTE(SUBSTITUTE(SUBSTITUTE(SUBSTITUTE(BC71," "&amp;DT2410&amp;" "," ")," "&amp;DT2409&amp;" "," ")," "&amp;DT2408&amp;" "," ")," "&amp;DT2415&amp;" "," ")," "&amp;DT2407&amp;" "," ")," "&amp;DT2419&amp;" "," ")," "&amp;DT2406&amp;" "," ")," "&amp;DT2411&amp;" "," ")," "&amp;DT2414&amp;" "," ")," "&amp;DT2405&amp;" "," ")," "&amp;DT2413&amp;" "," ")," "&amp;DT2420&amp;" "," ")," "&amp;DT2417&amp;" "," ")," "&amp;DT2412&amp;" "," ")," "&amp;DT2416&amp;" "," ")," "&amp;DT2418&amp;" "," ")),"")</f>
        <v/>
      </c>
      <c r="DM71" s="493" t="str" cm="1">
        <f t="array" ref="DM71">IF(62=62,IF(AW71="","",SUMPRODUCT(--ISNUMBER(SEARCH(" "&amp;DT2421:DT2425&amp;" ",DL71)))),"")</f>
        <v/>
      </c>
      <c r="DN71" s="493" t="str">
        <f>IF(62=62,IF(AW71="","",IF(SUM(DI71:DK71)&gt;0,"X",IF(DM71&gt;0,"?",""))),"")</f>
        <v/>
      </c>
      <c r="DO71" s="494"/>
      <c r="DP71" s="496" t="s">
        <v>1254</v>
      </c>
      <c r="DQ71" s="496" t="s">
        <v>1083</v>
      </c>
      <c r="DR71" s="496" t="s">
        <v>689</v>
      </c>
      <c r="DS71" s="496" t="s">
        <v>54</v>
      </c>
      <c r="DT71" s="496" t="s">
        <v>54</v>
      </c>
      <c r="DU71" s="496" t="s">
        <v>1085</v>
      </c>
      <c r="DV71" s="496" t="s">
        <v>1086</v>
      </c>
      <c r="DW71" s="496" t="s">
        <v>1087</v>
      </c>
      <c r="DX71" s="497" t="s">
        <v>1088</v>
      </c>
      <c r="DZ71" s="543">
        <v>1</v>
      </c>
      <c r="EB71" s="493"/>
      <c r="EC71" s="493"/>
    </row>
    <row r="72" spans="5:133" ht="21" customHeight="1">
      <c r="E72" s="716"/>
      <c r="F72" s="724"/>
      <c r="G72" s="725"/>
      <c r="H72" s="724"/>
      <c r="I72" s="726"/>
      <c r="J72" s="950"/>
      <c r="K72" s="951"/>
      <c r="L72" s="793"/>
      <c r="M72" s="952"/>
      <c r="N72" s="953"/>
      <c r="O72" s="954"/>
      <c r="P72" s="955"/>
      <c r="Q72" s="956"/>
      <c r="R72" s="957"/>
      <c r="S72" s="800"/>
      <c r="T72" s="958"/>
      <c r="U72" s="802"/>
      <c r="V72" s="959"/>
      <c r="W72" s="960"/>
      <c r="X72" s="805"/>
      <c r="Y72" s="816"/>
      <c r="AA72" s="689"/>
      <c r="AC72" s="509">
        <v>57</v>
      </c>
      <c r="AD72" s="808"/>
      <c r="AE72" s="679" t="str">
        <f t="shared" si="9"/>
        <v/>
      </c>
      <c r="AF72" s="512" t="str">
        <f>IF(63=63,IF(AD72="","",IF(AG72="X",""&amp;"Céréales contenant du gluten","")&amp;IF(AH72="X",IF(COUNTIF(AG72:AG72,"X")&gt;0,", ","")&amp;"Crustacés","")&amp;IF(AI72="X",IF(COUNTIF(AG72:AH72,"X")&gt;0,", ","")&amp;"Œufs","")&amp;IF(AJ72="X",IF(COUNTIF(AG72:AI72,"X")&gt;0,", ","")&amp;"Poissons","")&amp;IF(AK72="X",IF(COUNTIF(AG72:AJ72,"X")&gt;0,", ","")&amp;"Arachides","")&amp;IF(AL72="X",IF(COUNTIF(AG72:AK72,"X")&gt;0,", ","")&amp;"Soja","")&amp;IF(AM72="X",IF(COUNTIF(AG72:AL72,"X")&gt;0,", ","")&amp;"Lait","")&amp;IF(AN72="X",IF(COUNTIF(AG72:AM72,"X")&gt;0,", ","")&amp;"Fruits à coque","")&amp;IF(AO72="X",IF(COUNTIF(AG72:AN72,"X")&gt;0,", ","")&amp;"Céleri","")&amp;IF(AP72="X",IF(COUNTIF(AG72:AO72,"X")&gt;0,", ","")&amp;"Moutarde","")&amp;IF(AQ72="X",IF(COUNTIF(AG72:AP72,"X")&gt;0,", ","")&amp;"Sésame","")&amp;IF(AR72="X",IF(COUNTIF(AG72:AQ72,"X")&gt;0,", ","")&amp;"Sulfites","")&amp;IF(AS72="X",IF(COUNTIF(AG72:AR72,"X")&gt;0,", ","")&amp;"Lupin","")&amp;IF(AT72="X",IF(COUNTIF(AG72:AS72,"X")&gt;0,", ","")&amp;"Mollusques","")),"")</f>
        <v/>
      </c>
      <c r="AG72" s="513" t="str">
        <f>IF(63=63,IF(AD72="","",BH72),"")</f>
        <v/>
      </c>
      <c r="AH72" s="513" t="str">
        <f>IF(63=63,IF(AD72="","",BK72),"")</f>
        <v/>
      </c>
      <c r="AI72" s="513" t="str">
        <f>IF(63=63,IF(AD72="","",BO72),"")</f>
        <v/>
      </c>
      <c r="AJ72" s="513" t="str">
        <f>IF(63=63,IF(AD72="","",IF(ISNUMBER(SEARCH(" colin ",BC72)),"X",CB72)),"")</f>
        <v/>
      </c>
      <c r="AK72" s="513" t="str">
        <f>IF(63=63,IF(AD72="","",CD72),"")</f>
        <v/>
      </c>
      <c r="AL72" s="513" t="str">
        <f>IF(63=63,IF(AD72="","",CH72),"")</f>
        <v/>
      </c>
      <c r="AM72" s="513" t="str">
        <f>IF(63=63,IF(AD72="","",CO72),"")</f>
        <v/>
      </c>
      <c r="AN72" s="513" t="str">
        <f>IF(63=63,IF(AD72="","",CS72),"")</f>
        <v/>
      </c>
      <c r="AO72" s="513" t="str">
        <f>IF(63=63,IF(AD72="","",CV72),"")</f>
        <v/>
      </c>
      <c r="AP72" s="513" t="str">
        <f>IF(63=63,IF(AD72="","",CY72),"")</f>
        <v/>
      </c>
      <c r="AQ72" s="513" t="str">
        <f>IF(63=63,IF(AD72="","",DB72),"")</f>
        <v/>
      </c>
      <c r="AR72" s="513" t="str">
        <f>IF(63=63,IF(AD72="","",DE72),"")</f>
        <v/>
      </c>
      <c r="AS72" s="513" t="str">
        <f>IF(63=63,IF(AD72="","",DH72),"")</f>
        <v/>
      </c>
      <c r="AT72" s="513" t="str">
        <f>IF(63=63,IF(AD72="","",DN72),"")</f>
        <v/>
      </c>
      <c r="AU72" s="514" t="str">
        <f>IF(63=63,IF(AD72="","",IF(AG72="?",""&amp;"Céréales contenant du gluten","")&amp;IF(AH72="?",IF(COUNTIF(AG72:AG72,"~?")&gt;0,", ","")&amp;"Crustacés","")&amp;IF(AI72="?",IF(COUNTIF(AG72:AH72,"~?")&gt;0,", ","")&amp;"Œufs","")&amp;IF(AJ72="?",IF(COUNTIF(AG72:AI72,"~?")&gt;0,", ","")&amp;"Poissons","")&amp;IF(AK72="?",IF(COUNTIF(AG72:AJ72,"~?")&gt;0,", ","")&amp;"Arachides","")&amp;IF(AL72="?",IF(COUNTIF(AG72:AK72,"~?")&gt;0,", ","")&amp;"Soja","")&amp;IF(AM72="?",IF(COUNTIF(AG72:AL72,"~?")&gt;0,", ","")&amp;"Lait","")&amp;IF(AN72="?",IF(COUNTIF(AG72:AM72,"~?")&gt;0,", ","")&amp;"Fruits à coque","")&amp;IF(AO72="?",IF(COUNTIF(AG72:AN72,"~?")&gt;0,", ","")&amp;"Céleri","")&amp;IF(AP72="?",IF(COUNTIF(AG72:AO72,"~?")&gt;0,", ","")&amp;"Moutarde","")&amp;IF(AQ72="?",IF(COUNTIF(AG72:AP72,"~?")&gt;0,", ","")&amp;"Sésame","")&amp;IF(AR72="?",IF(COUNTIF(AG72:AQ72,"~?")&gt;0,", ","")&amp;"Sulfites","")&amp;IF(AS72="?",IF(COUNTIF(AG72:AR72,"~?")&gt;0,", ","")&amp;"Lupin","")&amp;IF(AT72="?",IF(COUNTIF(AG72:AS72,"~?")&gt;0,", ","")&amp;"Mollusques","")),"")</f>
        <v/>
      </c>
      <c r="AW72" s="493" t="str">
        <f>IF(63=63,IF(AD72="","",AD72),"")</f>
        <v/>
      </c>
      <c r="AX72" s="493" t="str">
        <f>IF(63=63,LOWER(CLEAN(SUBSTITUTE(SUBSTITUTE(SUBSTITUTE(SUBSTITUTE(AW72,CHAR(160)," ")," "," "),CHAR(10)," "),CHAR(13)," "))),"")</f>
        <v/>
      </c>
      <c r="AY72" s="493" t="str">
        <f>IF(63=63,SUBSTITUTE(SUBSTITUTE(SUBSTITUTE(SUBSTITUTE(SUBSTITUTE(SUBSTITUTE(SUBSTITUTE(SUBSTITUTE(SUBSTITUTE(SUBSTITUTE(SUBSTITUTE(SUBSTITUTE(AX72,"œ","oe"),"æ","ae"),"à","a"),"á","a"),"â","a"),"ä","a"),"ã","a"),"ç","c"),"è","e"),"é","e"),"ê","e"),"ë","e"),"")</f>
        <v/>
      </c>
      <c r="AZ72" s="493" t="str">
        <f>IF(63=63,SUBSTITUTE(SUBSTITUTE(SUBSTITUTE(SUBSTITUTE(SUBSTITUTE(SUBSTITUTE(SUBSTITUTE(SUBSTITUTE(SUBSTITUTE(SUBSTITUTE(SUBSTITUTE(SUBSTITUTE(SUBSTITUTE(SUBSTITUTE(SUBSTITUTE(SUBSTITUTE(AY72,"ì","i"),"í","i"),"î","i"),"ï","i"),"ñ","n"),"ò","o"),"ó","o"),"ô","o"),"ö","o"),"õ","o"),"ù","u"),"ú","u"),"û","u"),"ü","u"),"ý","y"),"ÿ","y"),"")</f>
        <v/>
      </c>
      <c r="BA72" s="493" t="str">
        <f>IF(63=63,SUBSTITUTE(SUBSTITUTE(SUBSTITUTE(SUBSTITUTE(SUBSTITUTE(SUBSTITUTE(SUBSTITUTE(SUBSTITUTE(SUBSTITUTE(SUBSTITUTE(SUBSTITUTE(SUBSTITUTE(SUBSTITUTE(SUBSTITUTE(AZ72,"’"," "),"`"," "),"–"," "),"—"," "),"-"," "),"'"," "),"/"," "),"_"," "),","," "),"."," "),"("," "),")"," "),";"," "),":"," "),"")</f>
        <v/>
      </c>
      <c r="BB72" s="493" t="str">
        <f>IF(63=63,SUBSTITUTE(SUBSTITUTE(SUBSTITUTE(SUBSTITUTE(SUBSTITUTE(SUBSTITUTE(SUBSTITUTE(SUBSTITUTE(SUBSTITUTE(SUBSTITUTE(SUBSTITUTE(SUBSTITUTE(SUBSTITUTE(SUBSTITUTE(SUBSTITUTE(BA72,"!"," "),"?"," "),"+"," "),"*"," "),"&amp;"," "),"["," "),"]"," "),"{"," "),"}"," "),"%"," "),"="," "),"\"," "),"|"," "),"&lt;"," "),"&gt;"," "),"")</f>
        <v/>
      </c>
      <c r="BC72" s="493" t="str">
        <f>IF(63=63," "&amp;TRIM(SUBSTITUTE(SUBSTITUTE(SUBSTITUTE(SUBSTITUTE(SUBSTITUTE(SUBSTITUTE(BB72,CHAR(34)," "),"  "," "),"  "," "),"  "," "),"  "," "),"  "," "))&amp;" ","")</f>
        <v xml:space="preserve">  </v>
      </c>
      <c r="BD72" s="493" t="str" cm="1">
        <f t="array" ref="BD72">IF(63=63,IF(AW72="","",SUMPRODUCT(--ISNUMBER(SEARCH(" "&amp;DT11:DT110&amp;" ",BF72)))),"")</f>
        <v/>
      </c>
      <c r="BE72" s="493" t="str" cm="1">
        <f t="array" ref="BE72">IF(63=63,IF(AW72="","",SUMPRODUCT(--ISNUMBER(SEARCH(" "&amp;DT111:DT160&amp;" ",BF72)))),"")</f>
        <v/>
      </c>
      <c r="BF72" s="493" t="str">
        <f>IF(AW72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72,"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72" s="493" t="str" cm="1">
        <f t="array" ref="BG72">IF(AW72="","",SUMPRODUCT(--ISNUMBER(SEARCH(" "&amp;DT193:DT214&amp;" ",BF72)))+--ISNUMBER(SEARCH(" "&amp;DT2463&amp;" ",BF72)))</f>
        <v/>
      </c>
      <c r="BH72" s="493" t="str" cm="1">
        <f t="array" ref="BH72">IF(63=63,IF(AW72="","",IF(SUM(BD72:BE72)+SUMPRODUCT(--ISNUMBER(SEARCH(" "&amp;DT2427:DT2429&amp;" ",BF72)))&gt;0,"X",IF(BG72&gt;0,"?",""))),"")</f>
        <v/>
      </c>
      <c r="BI72" s="493" t="str" cm="1">
        <f t="array" ref="BI72">IF(63=63,IF(AW72="","",SUMPRODUCT(--ISNUMBER(SEARCH(" "&amp;DT215:DT314&amp;" ",BC72)))),"")</f>
        <v/>
      </c>
      <c r="BJ72" s="493" t="str" cm="1">
        <f t="array" ref="BJ72">IF(63=63,IF(AW72="","",SUMPRODUCT(--ISNUMBER(SEARCH(" "&amp;DT315:DT349&amp;" ",BC72)))),"")</f>
        <v/>
      </c>
      <c r="BK72" s="493" t="str">
        <f>IF(63=63,IF(AW72="","",IF((SUM(BI72:BJ72))-(0)&gt;0,"X",IF((0)-(0)&gt;0,"?",""))),"")</f>
        <v/>
      </c>
      <c r="BL72" s="493" t="str" cm="1">
        <f t="array" ref="BL72">IF(63=63,IF(AW72="","",SUMPRODUCT(--ISNUMBER(SEARCH(" "&amp;DT350:DT407&amp;" ",BC72)))),"")</f>
        <v/>
      </c>
      <c r="BM72" s="493" t="str" cm="1">
        <f t="array" ref="BM72">IF(63=63,IF(AW72="","",SUMPRODUCT(--ISNUMBER(SEARCH(" "&amp;DT408:DT435&amp;" ",BN72)))+SUMPRODUCT(--ISNUMBER(SEARCH(" "&amp;DT2449:DT2462&amp;" ",BN72)))),"")</f>
        <v/>
      </c>
      <c r="BN72" s="493" t="str">
        <f>IF(63=63,IF(AW72="","",SUBSTITUTE(SUBSTITUTE(SUBSTITUTE(SUBSTITUTE(SUBSTITUTE(SUBSTITUTE(SUBSTITUTE(SUBSTITUTE(SUBSTITUTE(SUBSTITUTE(SUBSTITUTE(SUBSTITUTE(SUBSTITUTE(SUBSTITUTE(BC72," "&amp;DT2464&amp;" "," ")," "&amp;DT442&amp;" "," ")," "&amp;DT440&amp;" "," ")," "&amp;DT2447&amp;" "," ")," "&amp;DT2448&amp;" "," ")," "&amp;DT437&amp;" "," ")," "&amp;DT441&amp;" "," ")," "&amp;DT443&amp;" "," ")," "&amp;DT438&amp;" "," ")," "&amp;DT436&amp;" "," ")," "&amp;DT1376&amp;" "," ")," "&amp;DT444&amp;" "," ")," "&amp;DT1375&amp;" "," ")," "&amp;DT439&amp;" "," ")),"")</f>
        <v/>
      </c>
      <c r="BO72" s="493" t="str">
        <f>IF(63=63,IF(AW72="","",IF(BL72&gt;0,"X",IF(BM72&gt;0,"?",""))),"")</f>
        <v/>
      </c>
      <c r="BP72" s="493" t="str" cm="1">
        <f t="array" ref="BP72">IF(63=63,IF(AW72="","",SUMPRODUCT(--ISNUMBER(SEARCH(" "&amp;DT445:DT544&amp;" ",BZ72)))),"")</f>
        <v/>
      </c>
      <c r="BQ72" s="493" t="str" cm="1">
        <f t="array" ref="BQ72">IF(63=63,IF(AW72="","",SUMPRODUCT(--ISNUMBER(SEARCH(" "&amp;DT545:DT644&amp;" ",BZ72)))),"")</f>
        <v/>
      </c>
      <c r="BR72" s="493" t="str" cm="1">
        <f t="array" ref="BR72">IF(63=63,IF(AW72="","",SUMPRODUCT(--ISNUMBER(SEARCH(" "&amp;DT645:DT744&amp;" ",BZ72)))),"")</f>
        <v/>
      </c>
      <c r="BS72" s="493" t="str" cm="1">
        <f t="array" ref="BS72">IF(63=63,IF(AW72="","",SUMPRODUCT(--ISNUMBER(SEARCH(" "&amp;DT745:DT844&amp;" ",BZ72)))),"")</f>
        <v/>
      </c>
      <c r="BT72" s="493" t="str" cm="1">
        <f t="array" ref="BT72">IF(63=63,IF(AW72="","",SUMPRODUCT(--ISNUMBER(SEARCH(" "&amp;DT845:DT944&amp;" ",BZ72)))),"")</f>
        <v/>
      </c>
      <c r="BU72" s="493" t="str" cm="1">
        <f t="array" ref="BU72">IF(63=63,IF(AW72="","",SUMPRODUCT(--ISNUMBER(SEARCH(" "&amp;DT945:DT1044&amp;" ",BZ72)))),"")</f>
        <v/>
      </c>
      <c r="BV72" s="493" t="str" cm="1">
        <f t="array" ref="BV72">IF(63=63,IF(AW72="","",SUMPRODUCT(--ISNUMBER(SEARCH(" "&amp;DT1045:DT1144&amp;" ",BZ72)))),"")</f>
        <v/>
      </c>
      <c r="BW72" s="493" t="str" cm="1">
        <f t="array" ref="BW72">IF(63=63,IF(AW72="","",SUMPRODUCT(--ISNUMBER(SEARCH(" "&amp;DT1145:DT1244&amp;" ",BZ72)))),"")</f>
        <v/>
      </c>
      <c r="BX72" s="493" t="str" cm="1">
        <f t="array" ref="BX72">IF(63=63,IF(AW72="","",SUMPRODUCT(--ISNUMBER(SEARCH(" "&amp;DT1245:DT1344&amp;" ",BZ72)))),"")</f>
        <v/>
      </c>
      <c r="BY72" s="493" t="str" cm="1">
        <f t="array" ref="BY72">IF(63=63,IF(AW72="","",SUMPRODUCT(--ISNUMBER(SEARCH(" "&amp;DT1345:DT1372&amp;" ",BZ72)))),"")</f>
        <v/>
      </c>
      <c r="BZ72" s="493" t="str">
        <f>IF(63=63,IF(AW72="","",SUBSTITUTE(SUBSTITUTE(SUBSTITUTE(SUBSTITUTE(SUBSTITUTE(SUBSTITUTE(SUBSTITUTE(SUBSTITUTE(SUBSTITUTE(BC72," "&amp;DT1374&amp;" "," ")," "&amp;DT1373&amp;" "," ")," "&amp;DT1379&amp;" "," ")," "&amp;DT1380&amp;" "," ")," "&amp;DT1376&amp;" "," ")," "&amp;DT1378&amp;" "," ")," "&amp;DT1375&amp;" "," ")," "&amp;DT1377&amp;" "," ")," "&amp;DT1381&amp;" "," ")),"")</f>
        <v/>
      </c>
      <c r="CA72" s="493" t="str" cm="1">
        <f t="array" ref="CA72">IF(63=63,IF(AW72="","",SUMPRODUCT(--ISNUMBER(SEARCH(" "&amp;DT1382:DT1392&amp;" ",BZ72)))),"")</f>
        <v/>
      </c>
      <c r="CB72" s="493" t="str" cm="1">
        <f t="array" ref="CB72">IF(63=63,IF(AW72="","",IF(SUM(BP72:BY72)+SUMPRODUCT(--ISNUMBER(SEARCH(" "&amp;DT2430:DT2431&amp;" ",BZ72)))&gt;0,"X",IF(CA72&gt;0,"?",""))),"")</f>
        <v/>
      </c>
      <c r="CC72" s="493" t="str" cm="1">
        <f t="array" ref="CC72">IF(63=63,IF(AW72="","",SUMPRODUCT(--ISNUMBER(SEARCH(" "&amp;DT1393:DT1413&amp;" ",BC72)))),"")</f>
        <v/>
      </c>
      <c r="CD72" s="493" t="str">
        <f>IF(63=63,IF(AW72="","",IF((CC72)-(0)&gt;0,"X",IF((0)-(0)&gt;0,"?",""))),"")</f>
        <v/>
      </c>
      <c r="CE72" s="493" t="str" cm="1">
        <f t="array" ref="CE72">IF(63=63,IF(AW72="","",SUMPRODUCT(--ISNUMBER(SEARCH(" "&amp;DT1414:DT1451&amp;" ",CF72)))),"")</f>
        <v/>
      </c>
      <c r="CF72" s="493" t="str">
        <f>IF(63=63,IF(AW72="","",SUBSTITUTE(SUBSTITUTE(BC72," "&amp;DT1452&amp;" "," ")," "&amp;DT1453&amp;" "," ")),"")</f>
        <v/>
      </c>
      <c r="CG72" s="493" t="str" cm="1">
        <f t="array" ref="CG72">IF(63=63,IF(AW72="","",SUMPRODUCT(--ISNUMBER(SEARCH(" "&amp;DT1454:DT1464&amp;" ",CF72)))),"")</f>
        <v/>
      </c>
      <c r="CH72" s="493" t="str">
        <f>IF(63=63,IF(AW72="","",IF(CE72&gt;0,"X",IF(CG72&gt;0,"?",""))),"")</f>
        <v/>
      </c>
      <c r="CI72" s="493" t="str" cm="1">
        <f t="array" ref="CI72">IF(63=63,IF(AW72="","",SUMPRODUCT(--ISNUMBER(SEARCH(" "&amp;DT1465:DT1564&amp;" ",CL72)))),"")</f>
        <v/>
      </c>
      <c r="CJ72" s="493" t="str" cm="1">
        <f t="array" ref="CJ72">IF(63=63,IF(AW72="","",SUMPRODUCT(--ISNUMBER(SEARCH(" "&amp;DT1565:DT1664&amp;" ",CL72)))),"")</f>
        <v/>
      </c>
      <c r="CK72" s="493" t="str" cm="1">
        <f t="array" ref="CK72">IF(63=63,IF(AW72="","",SUMPRODUCT(--ISNUMBER(SEARCH(" "&amp;DT1665:DT1748&amp;" ",CL72)))),"")</f>
        <v/>
      </c>
      <c r="CL72" s="493" t="str">
        <f>IF(63=63,IF(AW72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72,"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72" s="493" t="str" cm="1">
        <f t="array" ref="CM72">IF(63=63,IF(AW72="","",SUMPRODUCT(--ISNUMBER(SEARCH(" "&amp;DT1799:DT1878&amp;" ",CN72)))+SUMPRODUCT(--ISNUMBER(SEARCH(" "&amp;DT2449:DT2462&amp;" ",CN72)))),"")</f>
        <v/>
      </c>
      <c r="CN72" s="493" t="str">
        <f>IF(63=63,IF(AW72="","",SUBSTITUTE(SUBSTITUTE(SUBSTITUTE(SUBSTITUTE(SUBSTITUTE(SUBSTITUTE(SUBSTITUTE(SUBSTITUTE(SUBSTITUTE(SUBSTITUTE(SUBSTITUTE(SUBSTITUTE(SUBSTITUTE(CL72," "&amp;DT1885&amp;" "," ")," "&amp;DT1883&amp;" "," ")," "&amp;DT2447&amp;" "," ")," "&amp;DT2448&amp;" "," ")," "&amp;DT1880&amp;" "," ")," "&amp;DT1884&amp;" "," ")," "&amp;DT1886&amp;" "," ")," "&amp;DT1881&amp;" "," ")," "&amp;DT1879&amp;" "," ")," "&amp;DT1376&amp;" "," ")," "&amp;DT1887&amp;" "," ")," "&amp;DT1375&amp;" "," ")," "&amp;DT1882&amp;" "," ")),"")</f>
        <v/>
      </c>
      <c r="CO72" s="493" t="str" cm="1">
        <f t="array" ref="CO72">IF(63=63,IF(AW72="","",IF(SUM(CI72:CK72)+SUMPRODUCT(--ISNUMBER(SEARCH(" "&amp;DT2432:DT2433&amp;" ",CL72)))&gt;0,"X",IF(CM72&gt;0,"?",""))),"")</f>
        <v/>
      </c>
      <c r="CP72" s="493" t="str" cm="1">
        <f t="array" ref="CP72">IF(63=63,IF(AW72="","",SUMPRODUCT(--ISNUMBER(SEARCH(" "&amp;DT1888:DT1945&amp;" ",CQ72)))),"")</f>
        <v/>
      </c>
      <c r="CQ72" s="493" t="str">
        <f>IF(63=63,IF(AW72="","",SUBSTITUTE(SUBSTITUTE(SUBSTITUTE(SUBSTITUTE(SUBSTITUTE(SUBSTITUTE(SUBSTITUTE(SUBSTITUTE(SUBSTITUTE(SUBSTITUTE(SUBSTITUTE(SUBSTITUTE(SUBSTITUTE(SUBSTITUTE(SUBSTITUTE(SUBSTITUTE(SUBSTITUTE(SUBSTITUTE(SUBSTITUTE(SUBSTITUTE(SUBSTITUTE(SUBSTITUTE(SUBSTITUTE(BC72,"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72" s="493" t="str" cm="1">
        <f t="array" ref="CR72">IF(63=63,IF(AW72="","",SUMPRODUCT(--ISNUMBER(SEARCH(" "&amp;DT1969:DT1985&amp;" ",CQ72)))),"")</f>
        <v/>
      </c>
      <c r="CS72" s="493" t="str">
        <f>IF(63=63,IF(AW72="","",IF(CP72&gt;0,"X",IF(CR72&gt;0,"?",""))),"")</f>
        <v/>
      </c>
      <c r="CT72" s="493" t="str" cm="1">
        <f t="array" ref="CT72">IF(63=63,IF(AW72="","",SUMPRODUCT(--ISNUMBER(SEARCH(" "&amp;DT1986:DT1999&amp;" ",BC72)))),"")</f>
        <v/>
      </c>
      <c r="CU72" s="493" t="str" cm="1">
        <f t="array" ref="CU72">IF(63=63,IF(AW72="","",SUMPRODUCT(--ISNUMBER(SEARCH(" "&amp;DT2000:DT2014&amp;" ",BC72)))),"")</f>
        <v/>
      </c>
      <c r="CV72" s="493" t="str">
        <f>IF(63=63,IF(AW72="","",IF((CT72)-(0)&gt;0,"X",IF((CU72)-(0)&gt;0,"?",""))),"")</f>
        <v/>
      </c>
      <c r="CW72" s="493" t="str" cm="1">
        <f t="array" ref="CW72">IF(63=63,IF(AW72="","",SUMPRODUCT(--ISNUMBER(SEARCH(" "&amp;DT2015:DT2032&amp;" ",BC72)))),"")</f>
        <v/>
      </c>
      <c r="CX72" s="493" t="str" cm="1">
        <f t="array" ref="CX72">IF(63=63,IF(AW72="","",SUMPRODUCT(--ISNUMBER(SEARCH(" "&amp;DT2033:DT2047&amp;" ",BC72)))),"")</f>
        <v/>
      </c>
      <c r="CY72" s="493" t="str">
        <f>IF(63=63,IF(AW72="","",IF((CW72)-(0)&gt;0,"X",IF((CX72)-(0)&gt;0,"?",""))),"")</f>
        <v/>
      </c>
      <c r="CZ72" s="493" t="str" cm="1">
        <f t="array" ref="CZ72">IF(63=63,IF(AW72="","",SUMPRODUCT(--ISNUMBER(SEARCH(" "&amp;DT2048:DT2066&amp;" ",BC72)))),"")</f>
        <v/>
      </c>
      <c r="DA72" s="493" t="str" cm="1">
        <f t="array" ref="DA72">IF(63=63,IF(AW72="","",SUMPRODUCT(--ISNUMBER(SEARCH(" "&amp;DT2067:DT2081&amp;" ",BC72)))),"")</f>
        <v/>
      </c>
      <c r="DB72" s="493" t="str">
        <f>IF(63=63,IF(AW72="","",IF((CZ72)-(0)&gt;0,"X",IF((DA72)-(0)&gt;0,"?",""))),"")</f>
        <v/>
      </c>
      <c r="DC72" s="493" t="str" cm="1">
        <f t="array" ref="DC72">IF(63=63,IF(AW72="","",SUMPRODUCT(--ISNUMBER(SEARCH(" "&amp;DT2082:DT2102&amp;" ",BC72)))),"")</f>
        <v/>
      </c>
      <c r="DD72" s="493" t="str" cm="1">
        <f t="array" ref="DD72">IF(63=63,IF(AW72="","",SUMPRODUCT(--ISNUMBER(SEARCH(" "&amp;DT2103:DT2142&amp;" ",SUBSTITUTE(SUBSTITUTE(BC72," "&amp;DT1376&amp;" "," ")," "&amp;DT1375&amp;" "," "))))+--ISNUMBER(SEARCH("poiré",AX72))),"")</f>
        <v/>
      </c>
      <c r="DE72" s="493" t="str">
        <f>IF(63=63,IF(AW72="","",IF(OR(DC72&gt;0,ISNUMBER(SEARCH(" vinaigre de vin ",BC72)),ISNUMBER(SEARCH(" vinaigre au vin ",BC72))),"X",IF(DD72&gt;0,"?",""))),"")</f>
        <v/>
      </c>
      <c r="DF72" s="493" t="str" cm="1">
        <f t="array" ref="DF72">IF(63=63,IF(AW72="","",SUMPRODUCT(--ISNUMBER(SEARCH(" "&amp;DT2143:DT2155&amp;" ",BC72)))),"")</f>
        <v/>
      </c>
      <c r="DG72" s="493" t="str" cm="1">
        <f t="array" ref="DG72">IF(63=63,IF(AW72="","",SUMPRODUCT(--ISNUMBER(SEARCH(" "&amp;DT2156:DT2161&amp;" ",BC72)))),"")</f>
        <v/>
      </c>
      <c r="DH72" s="493" t="str">
        <f>IF(63=63,IF(AW72="","",IF((DF72)-(0)&gt;0,"X",IF((DG72)-(0)&gt;0,"?",""))),"")</f>
        <v/>
      </c>
      <c r="DI72" s="493" t="str" cm="1">
        <f t="array" ref="DI72">IF(63=63,IF(AW72="","",SUMPRODUCT(--ISNUMBER(SEARCH(" "&amp;DT2162:DT2261&amp;" ",DL72)))),"")</f>
        <v/>
      </c>
      <c r="DJ72" s="493" t="str" cm="1">
        <f t="array" ref="DJ72">IF(63=63,IF(AW72="","",SUMPRODUCT(--ISNUMBER(SEARCH(" "&amp;DT2262:DT2361&amp;" ",DL72)))),"")</f>
        <v/>
      </c>
      <c r="DK72" s="493" t="str" cm="1">
        <f t="array" ref="DK72">IF(63=63,IF(AW72="","",SUMPRODUCT(--ISNUMBER(SEARCH(" "&amp;DT2362:DT2404&amp;" ",DL72)))),"")</f>
        <v/>
      </c>
      <c r="DL72" s="493" t="str">
        <f>IF(63=63,IF(AW72="","",SUBSTITUTE(SUBSTITUTE(SUBSTITUTE(SUBSTITUTE(SUBSTITUTE(SUBSTITUTE(SUBSTITUTE(SUBSTITUTE(SUBSTITUTE(SUBSTITUTE(SUBSTITUTE(SUBSTITUTE(SUBSTITUTE(SUBSTITUTE(SUBSTITUTE(SUBSTITUTE(BC72," "&amp;DT2410&amp;" "," ")," "&amp;DT2409&amp;" "," ")," "&amp;DT2408&amp;" "," ")," "&amp;DT2415&amp;" "," ")," "&amp;DT2407&amp;" "," ")," "&amp;DT2419&amp;" "," ")," "&amp;DT2406&amp;" "," ")," "&amp;DT2411&amp;" "," ")," "&amp;DT2414&amp;" "," ")," "&amp;DT2405&amp;" "," ")," "&amp;DT2413&amp;" "," ")," "&amp;DT2420&amp;" "," ")," "&amp;DT2417&amp;" "," ")," "&amp;DT2412&amp;" "," ")," "&amp;DT2416&amp;" "," ")," "&amp;DT2418&amp;" "," ")),"")</f>
        <v/>
      </c>
      <c r="DM72" s="493" t="str" cm="1">
        <f t="array" ref="DM72">IF(63=63,IF(AW72="","",SUMPRODUCT(--ISNUMBER(SEARCH(" "&amp;DT2421:DT2425&amp;" ",DL72)))),"")</f>
        <v/>
      </c>
      <c r="DN72" s="493" t="str">
        <f>IF(63=63,IF(AW72="","",IF(SUM(DI72:DK72)&gt;0,"X",IF(DM72&gt;0,"?",""))),"")</f>
        <v/>
      </c>
      <c r="DO72" s="494"/>
      <c r="DP72" s="496" t="s">
        <v>1255</v>
      </c>
      <c r="DQ72" s="496" t="s">
        <v>1083</v>
      </c>
      <c r="DR72" s="496" t="s">
        <v>689</v>
      </c>
      <c r="DS72" s="496" t="s">
        <v>904</v>
      </c>
      <c r="DT72" s="496" t="s">
        <v>904</v>
      </c>
      <c r="DU72" s="496" t="s">
        <v>1085</v>
      </c>
      <c r="DV72" s="496" t="s">
        <v>1086</v>
      </c>
      <c r="DW72" s="496" t="s">
        <v>1087</v>
      </c>
      <c r="DX72" s="497" t="s">
        <v>1088</v>
      </c>
      <c r="DZ72" s="543">
        <v>1</v>
      </c>
      <c r="EB72" s="493"/>
      <c r="EC72" s="493"/>
    </row>
    <row r="73" spans="5:133" ht="21" customHeight="1">
      <c r="E73" s="716"/>
      <c r="F73" s="724"/>
      <c r="G73" s="725"/>
      <c r="H73" s="724"/>
      <c r="I73" s="726"/>
      <c r="J73" s="950"/>
      <c r="K73" s="951"/>
      <c r="L73" s="793"/>
      <c r="M73" s="952"/>
      <c r="N73" s="953"/>
      <c r="O73" s="954"/>
      <c r="P73" s="955"/>
      <c r="Q73" s="956"/>
      <c r="R73" s="957"/>
      <c r="S73" s="800"/>
      <c r="T73" s="958"/>
      <c r="U73" s="802"/>
      <c r="V73" s="959"/>
      <c r="W73" s="960"/>
      <c r="X73" s="805"/>
      <c r="Y73" s="816"/>
      <c r="AA73" s="689"/>
      <c r="AC73" s="509">
        <v>58</v>
      </c>
      <c r="AD73" s="808"/>
      <c r="AE73" s="679" t="str">
        <f t="shared" si="9"/>
        <v/>
      </c>
      <c r="AF73" s="512" t="str">
        <f>IF(64=64,IF(AD73="","",IF(AG73="X",""&amp;"Céréales contenant du gluten","")&amp;IF(AH73="X",IF(COUNTIF(AG73:AG73,"X")&gt;0,", ","")&amp;"Crustacés","")&amp;IF(AI73="X",IF(COUNTIF(AG73:AH73,"X")&gt;0,", ","")&amp;"Œufs","")&amp;IF(AJ73="X",IF(COUNTIF(AG73:AI73,"X")&gt;0,", ","")&amp;"Poissons","")&amp;IF(AK73="X",IF(COUNTIF(AG73:AJ73,"X")&gt;0,", ","")&amp;"Arachides","")&amp;IF(AL73="X",IF(COUNTIF(AG73:AK73,"X")&gt;0,", ","")&amp;"Soja","")&amp;IF(AM73="X",IF(COUNTIF(AG73:AL73,"X")&gt;0,", ","")&amp;"Lait","")&amp;IF(AN73="X",IF(COUNTIF(AG73:AM73,"X")&gt;0,", ","")&amp;"Fruits à coque","")&amp;IF(AO73="X",IF(COUNTIF(AG73:AN73,"X")&gt;0,", ","")&amp;"Céleri","")&amp;IF(AP73="X",IF(COUNTIF(AG73:AO73,"X")&gt;0,", ","")&amp;"Moutarde","")&amp;IF(AQ73="X",IF(COUNTIF(AG73:AP73,"X")&gt;0,", ","")&amp;"Sésame","")&amp;IF(AR73="X",IF(COUNTIF(AG73:AQ73,"X")&gt;0,", ","")&amp;"Sulfites","")&amp;IF(AS73="X",IF(COUNTIF(AG73:AR73,"X")&gt;0,", ","")&amp;"Lupin","")&amp;IF(AT73="X",IF(COUNTIF(AG73:AS73,"X")&gt;0,", ","")&amp;"Mollusques","")),"")</f>
        <v/>
      </c>
      <c r="AG73" s="513" t="str">
        <f>IF(64=64,IF(AD73="","",BH73),"")</f>
        <v/>
      </c>
      <c r="AH73" s="513" t="str">
        <f>IF(64=64,IF(AD73="","",BK73),"")</f>
        <v/>
      </c>
      <c r="AI73" s="513" t="str">
        <f>IF(64=64,IF(AD73="","",BO73),"")</f>
        <v/>
      </c>
      <c r="AJ73" s="513" t="str">
        <f>IF(64=64,IF(AD73="","",IF(ISNUMBER(SEARCH(" colin ",BC73)),"X",CB73)),"")</f>
        <v/>
      </c>
      <c r="AK73" s="513" t="str">
        <f>IF(64=64,IF(AD73="","",CD73),"")</f>
        <v/>
      </c>
      <c r="AL73" s="513" t="str">
        <f>IF(64=64,IF(AD73="","",CH73),"")</f>
        <v/>
      </c>
      <c r="AM73" s="513" t="str">
        <f>IF(64=64,IF(AD73="","",CO73),"")</f>
        <v/>
      </c>
      <c r="AN73" s="513" t="str">
        <f>IF(64=64,IF(AD73="","",CS73),"")</f>
        <v/>
      </c>
      <c r="AO73" s="513" t="str">
        <f>IF(64=64,IF(AD73="","",CV73),"")</f>
        <v/>
      </c>
      <c r="AP73" s="513" t="str">
        <f>IF(64=64,IF(AD73="","",CY73),"")</f>
        <v/>
      </c>
      <c r="AQ73" s="513" t="str">
        <f>IF(64=64,IF(AD73="","",DB73),"")</f>
        <v/>
      </c>
      <c r="AR73" s="513" t="str">
        <f>IF(64=64,IF(AD73="","",DE73),"")</f>
        <v/>
      </c>
      <c r="AS73" s="513" t="str">
        <f>IF(64=64,IF(AD73="","",DH73),"")</f>
        <v/>
      </c>
      <c r="AT73" s="513" t="str">
        <f>IF(64=64,IF(AD73="","",DN73),"")</f>
        <v/>
      </c>
      <c r="AU73" s="514" t="str">
        <f>IF(64=64,IF(AD73="","",IF(AG73="?",""&amp;"Céréales contenant du gluten","")&amp;IF(AH73="?",IF(COUNTIF(AG73:AG73,"~?")&gt;0,", ","")&amp;"Crustacés","")&amp;IF(AI73="?",IF(COUNTIF(AG73:AH73,"~?")&gt;0,", ","")&amp;"Œufs","")&amp;IF(AJ73="?",IF(COUNTIF(AG73:AI73,"~?")&gt;0,", ","")&amp;"Poissons","")&amp;IF(AK73="?",IF(COUNTIF(AG73:AJ73,"~?")&gt;0,", ","")&amp;"Arachides","")&amp;IF(AL73="?",IF(COUNTIF(AG73:AK73,"~?")&gt;0,", ","")&amp;"Soja","")&amp;IF(AM73="?",IF(COUNTIF(AG73:AL73,"~?")&gt;0,", ","")&amp;"Lait","")&amp;IF(AN73="?",IF(COUNTIF(AG73:AM73,"~?")&gt;0,", ","")&amp;"Fruits à coque","")&amp;IF(AO73="?",IF(COUNTIF(AG73:AN73,"~?")&gt;0,", ","")&amp;"Céleri","")&amp;IF(AP73="?",IF(COUNTIF(AG73:AO73,"~?")&gt;0,", ","")&amp;"Moutarde","")&amp;IF(AQ73="?",IF(COUNTIF(AG73:AP73,"~?")&gt;0,", ","")&amp;"Sésame","")&amp;IF(AR73="?",IF(COUNTIF(AG73:AQ73,"~?")&gt;0,", ","")&amp;"Sulfites","")&amp;IF(AS73="?",IF(COUNTIF(AG73:AR73,"~?")&gt;0,", ","")&amp;"Lupin","")&amp;IF(AT73="?",IF(COUNTIF(AG73:AS73,"~?")&gt;0,", ","")&amp;"Mollusques","")),"")</f>
        <v/>
      </c>
      <c r="AW73" s="493" t="str">
        <f>IF(64=64,IF(AD73="","",AD73),"")</f>
        <v/>
      </c>
      <c r="AX73" s="493" t="str">
        <f>IF(64=64,LOWER(CLEAN(SUBSTITUTE(SUBSTITUTE(SUBSTITUTE(SUBSTITUTE(AW73,CHAR(160)," ")," "," "),CHAR(10)," "),CHAR(13)," "))),"")</f>
        <v/>
      </c>
      <c r="AY73" s="493" t="str">
        <f>IF(64=64,SUBSTITUTE(SUBSTITUTE(SUBSTITUTE(SUBSTITUTE(SUBSTITUTE(SUBSTITUTE(SUBSTITUTE(SUBSTITUTE(SUBSTITUTE(SUBSTITUTE(SUBSTITUTE(SUBSTITUTE(AX73,"œ","oe"),"æ","ae"),"à","a"),"á","a"),"â","a"),"ä","a"),"ã","a"),"ç","c"),"è","e"),"é","e"),"ê","e"),"ë","e"),"")</f>
        <v/>
      </c>
      <c r="AZ73" s="493" t="str">
        <f>IF(64=64,SUBSTITUTE(SUBSTITUTE(SUBSTITUTE(SUBSTITUTE(SUBSTITUTE(SUBSTITUTE(SUBSTITUTE(SUBSTITUTE(SUBSTITUTE(SUBSTITUTE(SUBSTITUTE(SUBSTITUTE(SUBSTITUTE(SUBSTITUTE(SUBSTITUTE(SUBSTITUTE(AY73,"ì","i"),"í","i"),"î","i"),"ï","i"),"ñ","n"),"ò","o"),"ó","o"),"ô","o"),"ö","o"),"õ","o"),"ù","u"),"ú","u"),"û","u"),"ü","u"),"ý","y"),"ÿ","y"),"")</f>
        <v/>
      </c>
      <c r="BA73" s="493" t="str">
        <f>IF(64=64,SUBSTITUTE(SUBSTITUTE(SUBSTITUTE(SUBSTITUTE(SUBSTITUTE(SUBSTITUTE(SUBSTITUTE(SUBSTITUTE(SUBSTITUTE(SUBSTITUTE(SUBSTITUTE(SUBSTITUTE(SUBSTITUTE(SUBSTITUTE(AZ73,"’"," "),"`"," "),"–"," "),"—"," "),"-"," "),"'"," "),"/"," "),"_"," "),","," "),"."," "),"("," "),")"," "),";"," "),":"," "),"")</f>
        <v/>
      </c>
      <c r="BB73" s="493" t="str">
        <f>IF(64=64,SUBSTITUTE(SUBSTITUTE(SUBSTITUTE(SUBSTITUTE(SUBSTITUTE(SUBSTITUTE(SUBSTITUTE(SUBSTITUTE(SUBSTITUTE(SUBSTITUTE(SUBSTITUTE(SUBSTITUTE(SUBSTITUTE(SUBSTITUTE(SUBSTITUTE(BA73,"!"," "),"?"," "),"+"," "),"*"," "),"&amp;"," "),"["," "),"]"," "),"{"," "),"}"," "),"%"," "),"="," "),"\"," "),"|"," "),"&lt;"," "),"&gt;"," "),"")</f>
        <v/>
      </c>
      <c r="BC73" s="493" t="str">
        <f>IF(64=64," "&amp;TRIM(SUBSTITUTE(SUBSTITUTE(SUBSTITUTE(SUBSTITUTE(SUBSTITUTE(SUBSTITUTE(BB73,CHAR(34)," "),"  "," "),"  "," "),"  "," "),"  "," "),"  "," "))&amp;" ","")</f>
        <v xml:space="preserve">  </v>
      </c>
      <c r="BD73" s="493" t="str" cm="1">
        <f t="array" ref="BD73">IF(64=64,IF(AW73="","",SUMPRODUCT(--ISNUMBER(SEARCH(" "&amp;DT11:DT110&amp;" ",BF73)))),"")</f>
        <v/>
      </c>
      <c r="BE73" s="493" t="str" cm="1">
        <f t="array" ref="BE73">IF(64=64,IF(AW73="","",SUMPRODUCT(--ISNUMBER(SEARCH(" "&amp;DT111:DT160&amp;" ",BF73)))),"")</f>
        <v/>
      </c>
      <c r="BF73" s="493" t="str">
        <f>IF(AW73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73,"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73" s="493" t="str" cm="1">
        <f t="array" ref="BG73">IF(AW73="","",SUMPRODUCT(--ISNUMBER(SEARCH(" "&amp;DT193:DT214&amp;" ",BF73)))+--ISNUMBER(SEARCH(" "&amp;DT2463&amp;" ",BF73)))</f>
        <v/>
      </c>
      <c r="BH73" s="493" t="str" cm="1">
        <f t="array" ref="BH73">IF(64=64,IF(AW73="","",IF(SUM(BD73:BE73)+SUMPRODUCT(--ISNUMBER(SEARCH(" "&amp;DT2427:DT2429&amp;" ",BF73)))&gt;0,"X",IF(BG73&gt;0,"?",""))),"")</f>
        <v/>
      </c>
      <c r="BI73" s="493" t="str" cm="1">
        <f t="array" ref="BI73">IF(64=64,IF(AW73="","",SUMPRODUCT(--ISNUMBER(SEARCH(" "&amp;DT215:DT314&amp;" ",BC73)))),"")</f>
        <v/>
      </c>
      <c r="BJ73" s="493" t="str" cm="1">
        <f t="array" ref="BJ73">IF(64=64,IF(AW73="","",SUMPRODUCT(--ISNUMBER(SEARCH(" "&amp;DT315:DT349&amp;" ",BC73)))),"")</f>
        <v/>
      </c>
      <c r="BK73" s="493" t="str">
        <f>IF(64=64,IF(AW73="","",IF((SUM(BI73:BJ73))-(0)&gt;0,"X",IF((0)-(0)&gt;0,"?",""))),"")</f>
        <v/>
      </c>
      <c r="BL73" s="493" t="str" cm="1">
        <f t="array" ref="BL73">IF(64=64,IF(AW73="","",SUMPRODUCT(--ISNUMBER(SEARCH(" "&amp;DT350:DT407&amp;" ",BC73)))),"")</f>
        <v/>
      </c>
      <c r="BM73" s="493" t="str" cm="1">
        <f t="array" ref="BM73">IF(64=64,IF(AW73="","",SUMPRODUCT(--ISNUMBER(SEARCH(" "&amp;DT408:DT435&amp;" ",BN73)))+SUMPRODUCT(--ISNUMBER(SEARCH(" "&amp;DT2449:DT2462&amp;" ",BN73)))),"")</f>
        <v/>
      </c>
      <c r="BN73" s="493" t="str">
        <f>IF(64=64,IF(AW73="","",SUBSTITUTE(SUBSTITUTE(SUBSTITUTE(SUBSTITUTE(SUBSTITUTE(SUBSTITUTE(SUBSTITUTE(SUBSTITUTE(SUBSTITUTE(SUBSTITUTE(SUBSTITUTE(SUBSTITUTE(SUBSTITUTE(SUBSTITUTE(BC73," "&amp;DT2464&amp;" "," ")," "&amp;DT442&amp;" "," ")," "&amp;DT440&amp;" "," ")," "&amp;DT2447&amp;" "," ")," "&amp;DT2448&amp;" "," ")," "&amp;DT437&amp;" "," ")," "&amp;DT441&amp;" "," ")," "&amp;DT443&amp;" "," ")," "&amp;DT438&amp;" "," ")," "&amp;DT436&amp;" "," ")," "&amp;DT1376&amp;" "," ")," "&amp;DT444&amp;" "," ")," "&amp;DT1375&amp;" "," ")," "&amp;DT439&amp;" "," ")),"")</f>
        <v/>
      </c>
      <c r="BO73" s="493" t="str">
        <f>IF(64=64,IF(AW73="","",IF(BL73&gt;0,"X",IF(BM73&gt;0,"?",""))),"")</f>
        <v/>
      </c>
      <c r="BP73" s="493" t="str" cm="1">
        <f t="array" ref="BP73">IF(64=64,IF(AW73="","",SUMPRODUCT(--ISNUMBER(SEARCH(" "&amp;DT445:DT544&amp;" ",BZ73)))),"")</f>
        <v/>
      </c>
      <c r="BQ73" s="493" t="str" cm="1">
        <f t="array" ref="BQ73">IF(64=64,IF(AW73="","",SUMPRODUCT(--ISNUMBER(SEARCH(" "&amp;DT545:DT644&amp;" ",BZ73)))),"")</f>
        <v/>
      </c>
      <c r="BR73" s="493" t="str" cm="1">
        <f t="array" ref="BR73">IF(64=64,IF(AW73="","",SUMPRODUCT(--ISNUMBER(SEARCH(" "&amp;DT645:DT744&amp;" ",BZ73)))),"")</f>
        <v/>
      </c>
      <c r="BS73" s="493" t="str" cm="1">
        <f t="array" ref="BS73">IF(64=64,IF(AW73="","",SUMPRODUCT(--ISNUMBER(SEARCH(" "&amp;DT745:DT844&amp;" ",BZ73)))),"")</f>
        <v/>
      </c>
      <c r="BT73" s="493" t="str" cm="1">
        <f t="array" ref="BT73">IF(64=64,IF(AW73="","",SUMPRODUCT(--ISNUMBER(SEARCH(" "&amp;DT845:DT944&amp;" ",BZ73)))),"")</f>
        <v/>
      </c>
      <c r="BU73" s="493" t="str" cm="1">
        <f t="array" ref="BU73">IF(64=64,IF(AW73="","",SUMPRODUCT(--ISNUMBER(SEARCH(" "&amp;DT945:DT1044&amp;" ",BZ73)))),"")</f>
        <v/>
      </c>
      <c r="BV73" s="493" t="str" cm="1">
        <f t="array" ref="BV73">IF(64=64,IF(AW73="","",SUMPRODUCT(--ISNUMBER(SEARCH(" "&amp;DT1045:DT1144&amp;" ",BZ73)))),"")</f>
        <v/>
      </c>
      <c r="BW73" s="493" t="str" cm="1">
        <f t="array" ref="BW73">IF(64=64,IF(AW73="","",SUMPRODUCT(--ISNUMBER(SEARCH(" "&amp;DT1145:DT1244&amp;" ",BZ73)))),"")</f>
        <v/>
      </c>
      <c r="BX73" s="493" t="str" cm="1">
        <f t="array" ref="BX73">IF(64=64,IF(AW73="","",SUMPRODUCT(--ISNUMBER(SEARCH(" "&amp;DT1245:DT1344&amp;" ",BZ73)))),"")</f>
        <v/>
      </c>
      <c r="BY73" s="493" t="str" cm="1">
        <f t="array" ref="BY73">IF(64=64,IF(AW73="","",SUMPRODUCT(--ISNUMBER(SEARCH(" "&amp;DT1345:DT1372&amp;" ",BZ73)))),"")</f>
        <v/>
      </c>
      <c r="BZ73" s="493" t="str">
        <f>IF(64=64,IF(AW73="","",SUBSTITUTE(SUBSTITUTE(SUBSTITUTE(SUBSTITUTE(SUBSTITUTE(SUBSTITUTE(SUBSTITUTE(SUBSTITUTE(SUBSTITUTE(BC73," "&amp;DT1374&amp;" "," ")," "&amp;DT1373&amp;" "," ")," "&amp;DT1379&amp;" "," ")," "&amp;DT1380&amp;" "," ")," "&amp;DT1376&amp;" "," ")," "&amp;DT1378&amp;" "," ")," "&amp;DT1375&amp;" "," ")," "&amp;DT1377&amp;" "," ")," "&amp;DT1381&amp;" "," ")),"")</f>
        <v/>
      </c>
      <c r="CA73" s="493" t="str" cm="1">
        <f t="array" ref="CA73">IF(64=64,IF(AW73="","",SUMPRODUCT(--ISNUMBER(SEARCH(" "&amp;DT1382:DT1392&amp;" ",BZ73)))),"")</f>
        <v/>
      </c>
      <c r="CB73" s="493" t="str" cm="1">
        <f t="array" ref="CB73">IF(64=64,IF(AW73="","",IF(SUM(BP73:BY73)+SUMPRODUCT(--ISNUMBER(SEARCH(" "&amp;DT2430:DT2431&amp;" ",BZ73)))&gt;0,"X",IF(CA73&gt;0,"?",""))),"")</f>
        <v/>
      </c>
      <c r="CC73" s="493" t="str" cm="1">
        <f t="array" ref="CC73">IF(64=64,IF(AW73="","",SUMPRODUCT(--ISNUMBER(SEARCH(" "&amp;DT1393:DT1413&amp;" ",BC73)))),"")</f>
        <v/>
      </c>
      <c r="CD73" s="493" t="str">
        <f>IF(64=64,IF(AW73="","",IF((CC73)-(0)&gt;0,"X",IF((0)-(0)&gt;0,"?",""))),"")</f>
        <v/>
      </c>
      <c r="CE73" s="493" t="str" cm="1">
        <f t="array" ref="CE73">IF(64=64,IF(AW73="","",SUMPRODUCT(--ISNUMBER(SEARCH(" "&amp;DT1414:DT1451&amp;" ",CF73)))),"")</f>
        <v/>
      </c>
      <c r="CF73" s="493" t="str">
        <f>IF(64=64,IF(AW73="","",SUBSTITUTE(SUBSTITUTE(BC73," "&amp;DT1452&amp;" "," ")," "&amp;DT1453&amp;" "," ")),"")</f>
        <v/>
      </c>
      <c r="CG73" s="493" t="str" cm="1">
        <f t="array" ref="CG73">IF(64=64,IF(AW73="","",SUMPRODUCT(--ISNUMBER(SEARCH(" "&amp;DT1454:DT1464&amp;" ",CF73)))),"")</f>
        <v/>
      </c>
      <c r="CH73" s="493" t="str">
        <f>IF(64=64,IF(AW73="","",IF(CE73&gt;0,"X",IF(CG73&gt;0,"?",""))),"")</f>
        <v/>
      </c>
      <c r="CI73" s="493" t="str" cm="1">
        <f t="array" ref="CI73">IF(64=64,IF(AW73="","",SUMPRODUCT(--ISNUMBER(SEARCH(" "&amp;DT1465:DT1564&amp;" ",CL73)))),"")</f>
        <v/>
      </c>
      <c r="CJ73" s="493" t="str" cm="1">
        <f t="array" ref="CJ73">IF(64=64,IF(AW73="","",SUMPRODUCT(--ISNUMBER(SEARCH(" "&amp;DT1565:DT1664&amp;" ",CL73)))),"")</f>
        <v/>
      </c>
      <c r="CK73" s="493" t="str" cm="1">
        <f t="array" ref="CK73">IF(64=64,IF(AW73="","",SUMPRODUCT(--ISNUMBER(SEARCH(" "&amp;DT1665:DT1748&amp;" ",CL73)))),"")</f>
        <v/>
      </c>
      <c r="CL73" s="493" t="str">
        <f>IF(64=64,IF(AW73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73,"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73" s="493" t="str" cm="1">
        <f t="array" ref="CM73">IF(64=64,IF(AW73="","",SUMPRODUCT(--ISNUMBER(SEARCH(" "&amp;DT1799:DT1878&amp;" ",CN73)))+SUMPRODUCT(--ISNUMBER(SEARCH(" "&amp;DT2449:DT2462&amp;" ",CN73)))),"")</f>
        <v/>
      </c>
      <c r="CN73" s="493" t="str">
        <f>IF(64=64,IF(AW73="","",SUBSTITUTE(SUBSTITUTE(SUBSTITUTE(SUBSTITUTE(SUBSTITUTE(SUBSTITUTE(SUBSTITUTE(SUBSTITUTE(SUBSTITUTE(SUBSTITUTE(SUBSTITUTE(SUBSTITUTE(SUBSTITUTE(CL73," "&amp;DT1885&amp;" "," ")," "&amp;DT1883&amp;" "," ")," "&amp;DT2447&amp;" "," ")," "&amp;DT2448&amp;" "," ")," "&amp;DT1880&amp;" "," ")," "&amp;DT1884&amp;" "," ")," "&amp;DT1886&amp;" "," ")," "&amp;DT1881&amp;" "," ")," "&amp;DT1879&amp;" "," ")," "&amp;DT1376&amp;" "," ")," "&amp;DT1887&amp;" "," ")," "&amp;DT1375&amp;" "," ")," "&amp;DT1882&amp;" "," ")),"")</f>
        <v/>
      </c>
      <c r="CO73" s="493" t="str" cm="1">
        <f t="array" ref="CO73">IF(64=64,IF(AW73="","",IF(SUM(CI73:CK73)+SUMPRODUCT(--ISNUMBER(SEARCH(" "&amp;DT2432:DT2433&amp;" ",CL73)))&gt;0,"X",IF(CM73&gt;0,"?",""))),"")</f>
        <v/>
      </c>
      <c r="CP73" s="493" t="str" cm="1">
        <f t="array" ref="CP73">IF(64=64,IF(AW73="","",SUMPRODUCT(--ISNUMBER(SEARCH(" "&amp;DT1888:DT1945&amp;" ",CQ73)))),"")</f>
        <v/>
      </c>
      <c r="CQ73" s="493" t="str">
        <f>IF(64=64,IF(AW73="","",SUBSTITUTE(SUBSTITUTE(SUBSTITUTE(SUBSTITUTE(SUBSTITUTE(SUBSTITUTE(SUBSTITUTE(SUBSTITUTE(SUBSTITUTE(SUBSTITUTE(SUBSTITUTE(SUBSTITUTE(SUBSTITUTE(SUBSTITUTE(SUBSTITUTE(SUBSTITUTE(SUBSTITUTE(SUBSTITUTE(SUBSTITUTE(SUBSTITUTE(SUBSTITUTE(SUBSTITUTE(SUBSTITUTE(BC73,"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73" s="493" t="str" cm="1">
        <f t="array" ref="CR73">IF(64=64,IF(AW73="","",SUMPRODUCT(--ISNUMBER(SEARCH(" "&amp;DT1969:DT1985&amp;" ",CQ73)))),"")</f>
        <v/>
      </c>
      <c r="CS73" s="493" t="str">
        <f>IF(64=64,IF(AW73="","",IF(CP73&gt;0,"X",IF(CR73&gt;0,"?",""))),"")</f>
        <v/>
      </c>
      <c r="CT73" s="493" t="str" cm="1">
        <f t="array" ref="CT73">IF(64=64,IF(AW73="","",SUMPRODUCT(--ISNUMBER(SEARCH(" "&amp;DT1986:DT1999&amp;" ",BC73)))),"")</f>
        <v/>
      </c>
      <c r="CU73" s="493" t="str" cm="1">
        <f t="array" ref="CU73">IF(64=64,IF(AW73="","",SUMPRODUCT(--ISNUMBER(SEARCH(" "&amp;DT2000:DT2014&amp;" ",BC73)))),"")</f>
        <v/>
      </c>
      <c r="CV73" s="493" t="str">
        <f>IF(64=64,IF(AW73="","",IF((CT73)-(0)&gt;0,"X",IF((CU73)-(0)&gt;0,"?",""))),"")</f>
        <v/>
      </c>
      <c r="CW73" s="493" t="str" cm="1">
        <f t="array" ref="CW73">IF(64=64,IF(AW73="","",SUMPRODUCT(--ISNUMBER(SEARCH(" "&amp;DT2015:DT2032&amp;" ",BC73)))),"")</f>
        <v/>
      </c>
      <c r="CX73" s="493" t="str" cm="1">
        <f t="array" ref="CX73">IF(64=64,IF(AW73="","",SUMPRODUCT(--ISNUMBER(SEARCH(" "&amp;DT2033:DT2047&amp;" ",BC73)))),"")</f>
        <v/>
      </c>
      <c r="CY73" s="493" t="str">
        <f>IF(64=64,IF(AW73="","",IF((CW73)-(0)&gt;0,"X",IF((CX73)-(0)&gt;0,"?",""))),"")</f>
        <v/>
      </c>
      <c r="CZ73" s="493" t="str" cm="1">
        <f t="array" ref="CZ73">IF(64=64,IF(AW73="","",SUMPRODUCT(--ISNUMBER(SEARCH(" "&amp;DT2048:DT2066&amp;" ",BC73)))),"")</f>
        <v/>
      </c>
      <c r="DA73" s="493" t="str" cm="1">
        <f t="array" ref="DA73">IF(64=64,IF(AW73="","",SUMPRODUCT(--ISNUMBER(SEARCH(" "&amp;DT2067:DT2081&amp;" ",BC73)))),"")</f>
        <v/>
      </c>
      <c r="DB73" s="493" t="str">
        <f>IF(64=64,IF(AW73="","",IF((CZ73)-(0)&gt;0,"X",IF((DA73)-(0)&gt;0,"?",""))),"")</f>
        <v/>
      </c>
      <c r="DC73" s="493" t="str" cm="1">
        <f t="array" ref="DC73">IF(64=64,IF(AW73="","",SUMPRODUCT(--ISNUMBER(SEARCH(" "&amp;DT2082:DT2102&amp;" ",BC73)))),"")</f>
        <v/>
      </c>
      <c r="DD73" s="493" t="str" cm="1">
        <f t="array" ref="DD73">IF(64=64,IF(AW73="","",SUMPRODUCT(--ISNUMBER(SEARCH(" "&amp;DT2103:DT2142&amp;" ",SUBSTITUTE(SUBSTITUTE(BC73," "&amp;DT1376&amp;" "," ")," "&amp;DT1375&amp;" "," "))))+--ISNUMBER(SEARCH("poiré",AX73))),"")</f>
        <v/>
      </c>
      <c r="DE73" s="493" t="str">
        <f>IF(64=64,IF(AW73="","",IF(OR(DC73&gt;0,ISNUMBER(SEARCH(" vinaigre de vin ",BC73)),ISNUMBER(SEARCH(" vinaigre au vin ",BC73))),"X",IF(DD73&gt;0,"?",""))),"")</f>
        <v/>
      </c>
      <c r="DF73" s="493" t="str" cm="1">
        <f t="array" ref="DF73">IF(64=64,IF(AW73="","",SUMPRODUCT(--ISNUMBER(SEARCH(" "&amp;DT2143:DT2155&amp;" ",BC73)))),"")</f>
        <v/>
      </c>
      <c r="DG73" s="493" t="str" cm="1">
        <f t="array" ref="DG73">IF(64=64,IF(AW73="","",SUMPRODUCT(--ISNUMBER(SEARCH(" "&amp;DT2156:DT2161&amp;" ",BC73)))),"")</f>
        <v/>
      </c>
      <c r="DH73" s="493" t="str">
        <f>IF(64=64,IF(AW73="","",IF((DF73)-(0)&gt;0,"X",IF((DG73)-(0)&gt;0,"?",""))),"")</f>
        <v/>
      </c>
      <c r="DI73" s="493" t="str" cm="1">
        <f t="array" ref="DI73">IF(64=64,IF(AW73="","",SUMPRODUCT(--ISNUMBER(SEARCH(" "&amp;DT2162:DT2261&amp;" ",DL73)))),"")</f>
        <v/>
      </c>
      <c r="DJ73" s="493" t="str" cm="1">
        <f t="array" ref="DJ73">IF(64=64,IF(AW73="","",SUMPRODUCT(--ISNUMBER(SEARCH(" "&amp;DT2262:DT2361&amp;" ",DL73)))),"")</f>
        <v/>
      </c>
      <c r="DK73" s="493" t="str" cm="1">
        <f t="array" ref="DK73">IF(64=64,IF(AW73="","",SUMPRODUCT(--ISNUMBER(SEARCH(" "&amp;DT2362:DT2404&amp;" ",DL73)))),"")</f>
        <v/>
      </c>
      <c r="DL73" s="493" t="str">
        <f>IF(64=64,IF(AW73="","",SUBSTITUTE(SUBSTITUTE(SUBSTITUTE(SUBSTITUTE(SUBSTITUTE(SUBSTITUTE(SUBSTITUTE(SUBSTITUTE(SUBSTITUTE(SUBSTITUTE(SUBSTITUTE(SUBSTITUTE(SUBSTITUTE(SUBSTITUTE(SUBSTITUTE(SUBSTITUTE(BC73," "&amp;DT2410&amp;" "," ")," "&amp;DT2409&amp;" "," ")," "&amp;DT2408&amp;" "," ")," "&amp;DT2415&amp;" "," ")," "&amp;DT2407&amp;" "," ")," "&amp;DT2419&amp;" "," ")," "&amp;DT2406&amp;" "," ")," "&amp;DT2411&amp;" "," ")," "&amp;DT2414&amp;" "," ")," "&amp;DT2405&amp;" "," ")," "&amp;DT2413&amp;" "," ")," "&amp;DT2420&amp;" "," ")," "&amp;DT2417&amp;" "," ")," "&amp;DT2412&amp;" "," ")," "&amp;DT2416&amp;" "," ")," "&amp;DT2418&amp;" "," ")),"")</f>
        <v/>
      </c>
      <c r="DM73" s="493" t="str" cm="1">
        <f t="array" ref="DM73">IF(64=64,IF(AW73="","",SUMPRODUCT(--ISNUMBER(SEARCH(" "&amp;DT2421:DT2425&amp;" ",DL73)))),"")</f>
        <v/>
      </c>
      <c r="DN73" s="493" t="str">
        <f>IF(64=64,IF(AW73="","",IF(SUM(DI73:DK73)&gt;0,"X",IF(DM73&gt;0,"?",""))),"")</f>
        <v/>
      </c>
      <c r="DO73" s="494"/>
      <c r="DP73" s="496" t="s">
        <v>1256</v>
      </c>
      <c r="DQ73" s="496" t="s">
        <v>1083</v>
      </c>
      <c r="DR73" s="496" t="s">
        <v>689</v>
      </c>
      <c r="DS73" s="496" t="s">
        <v>905</v>
      </c>
      <c r="DT73" s="496" t="s">
        <v>905</v>
      </c>
      <c r="DU73" s="496" t="s">
        <v>1085</v>
      </c>
      <c r="DV73" s="496" t="s">
        <v>1086</v>
      </c>
      <c r="DW73" s="496" t="s">
        <v>1087</v>
      </c>
      <c r="DX73" s="497" t="s">
        <v>1088</v>
      </c>
      <c r="DZ73" s="543">
        <v>1</v>
      </c>
      <c r="EB73" s="493"/>
      <c r="EC73" s="493"/>
    </row>
    <row r="74" spans="5:133" ht="21" customHeight="1">
      <c r="E74" s="716"/>
      <c r="F74" s="724"/>
      <c r="G74" s="725"/>
      <c r="H74" s="724"/>
      <c r="I74" s="726"/>
      <c r="J74" s="950"/>
      <c r="K74" s="951"/>
      <c r="L74" s="793"/>
      <c r="M74" s="952"/>
      <c r="N74" s="953"/>
      <c r="O74" s="954"/>
      <c r="P74" s="955"/>
      <c r="Q74" s="956"/>
      <c r="R74" s="957"/>
      <c r="S74" s="800"/>
      <c r="T74" s="958"/>
      <c r="U74" s="802"/>
      <c r="V74" s="959"/>
      <c r="W74" s="960"/>
      <c r="X74" s="805"/>
      <c r="Y74" s="816"/>
      <c r="AA74" s="689"/>
      <c r="AC74" s="509">
        <v>59</v>
      </c>
      <c r="AD74" s="808"/>
      <c r="AE74" s="679" t="str">
        <f t="shared" si="9"/>
        <v/>
      </c>
      <c r="AF74" s="512" t="str">
        <f>IF(65=65,IF(AD74="","",IF(AG74="X",""&amp;"Céréales contenant du gluten","")&amp;IF(AH74="X",IF(COUNTIF(AG74:AG74,"X")&gt;0,", ","")&amp;"Crustacés","")&amp;IF(AI74="X",IF(COUNTIF(AG74:AH74,"X")&gt;0,", ","")&amp;"Œufs","")&amp;IF(AJ74="X",IF(COUNTIF(AG74:AI74,"X")&gt;0,", ","")&amp;"Poissons","")&amp;IF(AK74="X",IF(COUNTIF(AG74:AJ74,"X")&gt;0,", ","")&amp;"Arachides","")&amp;IF(AL74="X",IF(COUNTIF(AG74:AK74,"X")&gt;0,", ","")&amp;"Soja","")&amp;IF(AM74="X",IF(COUNTIF(AG74:AL74,"X")&gt;0,", ","")&amp;"Lait","")&amp;IF(AN74="X",IF(COUNTIF(AG74:AM74,"X")&gt;0,", ","")&amp;"Fruits à coque","")&amp;IF(AO74="X",IF(COUNTIF(AG74:AN74,"X")&gt;0,", ","")&amp;"Céleri","")&amp;IF(AP74="X",IF(COUNTIF(AG74:AO74,"X")&gt;0,", ","")&amp;"Moutarde","")&amp;IF(AQ74="X",IF(COUNTIF(AG74:AP74,"X")&gt;0,", ","")&amp;"Sésame","")&amp;IF(AR74="X",IF(COUNTIF(AG74:AQ74,"X")&gt;0,", ","")&amp;"Sulfites","")&amp;IF(AS74="X",IF(COUNTIF(AG74:AR74,"X")&gt;0,", ","")&amp;"Lupin","")&amp;IF(AT74="X",IF(COUNTIF(AG74:AS74,"X")&gt;0,", ","")&amp;"Mollusques","")),"")</f>
        <v/>
      </c>
      <c r="AG74" s="513" t="str">
        <f>IF(65=65,IF(AD74="","",BH74),"")</f>
        <v/>
      </c>
      <c r="AH74" s="513" t="str">
        <f>IF(65=65,IF(AD74="","",BK74),"")</f>
        <v/>
      </c>
      <c r="AI74" s="513" t="str">
        <f>IF(65=65,IF(AD74="","",BO74),"")</f>
        <v/>
      </c>
      <c r="AJ74" s="513" t="str">
        <f>IF(65=65,IF(AD74="","",IF(ISNUMBER(SEARCH(" colin ",BC74)),"X",CB74)),"")</f>
        <v/>
      </c>
      <c r="AK74" s="513" t="str">
        <f>IF(65=65,IF(AD74="","",CD74),"")</f>
        <v/>
      </c>
      <c r="AL74" s="513" t="str">
        <f>IF(65=65,IF(AD74="","",CH74),"")</f>
        <v/>
      </c>
      <c r="AM74" s="513" t="str">
        <f>IF(65=65,IF(AD74="","",CO74),"")</f>
        <v/>
      </c>
      <c r="AN74" s="513" t="str">
        <f>IF(65=65,IF(AD74="","",CS74),"")</f>
        <v/>
      </c>
      <c r="AO74" s="513" t="str">
        <f>IF(65=65,IF(AD74="","",CV74),"")</f>
        <v/>
      </c>
      <c r="AP74" s="513" t="str">
        <f>IF(65=65,IF(AD74="","",CY74),"")</f>
        <v/>
      </c>
      <c r="AQ74" s="513" t="str">
        <f>IF(65=65,IF(AD74="","",DB74),"")</f>
        <v/>
      </c>
      <c r="AR74" s="513" t="str">
        <f>IF(65=65,IF(AD74="","",DE74),"")</f>
        <v/>
      </c>
      <c r="AS74" s="513" t="str">
        <f>IF(65=65,IF(AD74="","",DH74),"")</f>
        <v/>
      </c>
      <c r="AT74" s="513" t="str">
        <f>IF(65=65,IF(AD74="","",DN74),"")</f>
        <v/>
      </c>
      <c r="AU74" s="514" t="str">
        <f>IF(65=65,IF(AD74="","",IF(AG74="?",""&amp;"Céréales contenant du gluten","")&amp;IF(AH74="?",IF(COUNTIF(AG74:AG74,"~?")&gt;0,", ","")&amp;"Crustacés","")&amp;IF(AI74="?",IF(COUNTIF(AG74:AH74,"~?")&gt;0,", ","")&amp;"Œufs","")&amp;IF(AJ74="?",IF(COUNTIF(AG74:AI74,"~?")&gt;0,", ","")&amp;"Poissons","")&amp;IF(AK74="?",IF(COUNTIF(AG74:AJ74,"~?")&gt;0,", ","")&amp;"Arachides","")&amp;IF(AL74="?",IF(COUNTIF(AG74:AK74,"~?")&gt;0,", ","")&amp;"Soja","")&amp;IF(AM74="?",IF(COUNTIF(AG74:AL74,"~?")&gt;0,", ","")&amp;"Lait","")&amp;IF(AN74="?",IF(COUNTIF(AG74:AM74,"~?")&gt;0,", ","")&amp;"Fruits à coque","")&amp;IF(AO74="?",IF(COUNTIF(AG74:AN74,"~?")&gt;0,", ","")&amp;"Céleri","")&amp;IF(AP74="?",IF(COUNTIF(AG74:AO74,"~?")&gt;0,", ","")&amp;"Moutarde","")&amp;IF(AQ74="?",IF(COUNTIF(AG74:AP74,"~?")&gt;0,", ","")&amp;"Sésame","")&amp;IF(AR74="?",IF(COUNTIF(AG74:AQ74,"~?")&gt;0,", ","")&amp;"Sulfites","")&amp;IF(AS74="?",IF(COUNTIF(AG74:AR74,"~?")&gt;0,", ","")&amp;"Lupin","")&amp;IF(AT74="?",IF(COUNTIF(AG74:AS74,"~?")&gt;0,", ","")&amp;"Mollusques","")),"")</f>
        <v/>
      </c>
      <c r="AW74" s="493" t="str">
        <f>IF(65=65,IF(AD74="","",AD74),"")</f>
        <v/>
      </c>
      <c r="AX74" s="493" t="str">
        <f>IF(65=65,LOWER(CLEAN(SUBSTITUTE(SUBSTITUTE(SUBSTITUTE(SUBSTITUTE(AW74,CHAR(160)," ")," "," "),CHAR(10)," "),CHAR(13)," "))),"")</f>
        <v/>
      </c>
      <c r="AY74" s="493" t="str">
        <f>IF(65=65,SUBSTITUTE(SUBSTITUTE(SUBSTITUTE(SUBSTITUTE(SUBSTITUTE(SUBSTITUTE(SUBSTITUTE(SUBSTITUTE(SUBSTITUTE(SUBSTITUTE(SUBSTITUTE(SUBSTITUTE(AX74,"œ","oe"),"æ","ae"),"à","a"),"á","a"),"â","a"),"ä","a"),"ã","a"),"ç","c"),"è","e"),"é","e"),"ê","e"),"ë","e"),"")</f>
        <v/>
      </c>
      <c r="AZ74" s="493" t="str">
        <f>IF(65=65,SUBSTITUTE(SUBSTITUTE(SUBSTITUTE(SUBSTITUTE(SUBSTITUTE(SUBSTITUTE(SUBSTITUTE(SUBSTITUTE(SUBSTITUTE(SUBSTITUTE(SUBSTITUTE(SUBSTITUTE(SUBSTITUTE(SUBSTITUTE(SUBSTITUTE(SUBSTITUTE(AY74,"ì","i"),"í","i"),"î","i"),"ï","i"),"ñ","n"),"ò","o"),"ó","o"),"ô","o"),"ö","o"),"õ","o"),"ù","u"),"ú","u"),"û","u"),"ü","u"),"ý","y"),"ÿ","y"),"")</f>
        <v/>
      </c>
      <c r="BA74" s="493" t="str">
        <f>IF(65=65,SUBSTITUTE(SUBSTITUTE(SUBSTITUTE(SUBSTITUTE(SUBSTITUTE(SUBSTITUTE(SUBSTITUTE(SUBSTITUTE(SUBSTITUTE(SUBSTITUTE(SUBSTITUTE(SUBSTITUTE(SUBSTITUTE(SUBSTITUTE(AZ74,"’"," "),"`"," "),"–"," "),"—"," "),"-"," "),"'"," "),"/"," "),"_"," "),","," "),"."," "),"("," "),")"," "),";"," "),":"," "),"")</f>
        <v/>
      </c>
      <c r="BB74" s="493" t="str">
        <f>IF(65=65,SUBSTITUTE(SUBSTITUTE(SUBSTITUTE(SUBSTITUTE(SUBSTITUTE(SUBSTITUTE(SUBSTITUTE(SUBSTITUTE(SUBSTITUTE(SUBSTITUTE(SUBSTITUTE(SUBSTITUTE(SUBSTITUTE(SUBSTITUTE(SUBSTITUTE(BA74,"!"," "),"?"," "),"+"," "),"*"," "),"&amp;"," "),"["," "),"]"," "),"{"," "),"}"," "),"%"," "),"="," "),"\"," "),"|"," "),"&lt;"," "),"&gt;"," "),"")</f>
        <v/>
      </c>
      <c r="BC74" s="493" t="str">
        <f>IF(65=65," "&amp;TRIM(SUBSTITUTE(SUBSTITUTE(SUBSTITUTE(SUBSTITUTE(SUBSTITUTE(SUBSTITUTE(BB74,CHAR(34)," "),"  "," "),"  "," "),"  "," "),"  "," "),"  "," "))&amp;" ","")</f>
        <v xml:space="preserve">  </v>
      </c>
      <c r="BD74" s="493" t="str" cm="1">
        <f t="array" ref="BD74">IF(65=65,IF(AW74="","",SUMPRODUCT(--ISNUMBER(SEARCH(" "&amp;DT11:DT110&amp;" ",BF74)))),"")</f>
        <v/>
      </c>
      <c r="BE74" s="493" t="str" cm="1">
        <f t="array" ref="BE74">IF(65=65,IF(AW74="","",SUMPRODUCT(--ISNUMBER(SEARCH(" "&amp;DT111:DT160&amp;" ",BF74)))),"")</f>
        <v/>
      </c>
      <c r="BF74" s="493" t="str">
        <f>IF(AW74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74,"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74" s="493" t="str" cm="1">
        <f t="array" ref="BG74">IF(AW74="","",SUMPRODUCT(--ISNUMBER(SEARCH(" "&amp;DT193:DT214&amp;" ",BF74)))+--ISNUMBER(SEARCH(" "&amp;DT2463&amp;" ",BF74)))</f>
        <v/>
      </c>
      <c r="BH74" s="493" t="str" cm="1">
        <f t="array" ref="BH74">IF(65=65,IF(AW74="","",IF(SUM(BD74:BE74)+SUMPRODUCT(--ISNUMBER(SEARCH(" "&amp;DT2427:DT2429&amp;" ",BF74)))&gt;0,"X",IF(BG74&gt;0,"?",""))),"")</f>
        <v/>
      </c>
      <c r="BI74" s="493" t="str" cm="1">
        <f t="array" ref="BI74">IF(65=65,IF(AW74="","",SUMPRODUCT(--ISNUMBER(SEARCH(" "&amp;DT215:DT314&amp;" ",BC74)))),"")</f>
        <v/>
      </c>
      <c r="BJ74" s="493" t="str" cm="1">
        <f t="array" ref="BJ74">IF(65=65,IF(AW74="","",SUMPRODUCT(--ISNUMBER(SEARCH(" "&amp;DT315:DT349&amp;" ",BC74)))),"")</f>
        <v/>
      </c>
      <c r="BK74" s="493" t="str">
        <f>IF(65=65,IF(AW74="","",IF((SUM(BI74:BJ74))-(0)&gt;0,"X",IF((0)-(0)&gt;0,"?",""))),"")</f>
        <v/>
      </c>
      <c r="BL74" s="493" t="str" cm="1">
        <f t="array" ref="BL74">IF(65=65,IF(AW74="","",SUMPRODUCT(--ISNUMBER(SEARCH(" "&amp;DT350:DT407&amp;" ",BC74)))),"")</f>
        <v/>
      </c>
      <c r="BM74" s="493" t="str" cm="1">
        <f t="array" ref="BM74">IF(65=65,IF(AW74="","",SUMPRODUCT(--ISNUMBER(SEARCH(" "&amp;DT408:DT435&amp;" ",BN74)))+SUMPRODUCT(--ISNUMBER(SEARCH(" "&amp;DT2449:DT2462&amp;" ",BN74)))),"")</f>
        <v/>
      </c>
      <c r="BN74" s="493" t="str">
        <f>IF(65=65,IF(AW74="","",SUBSTITUTE(SUBSTITUTE(SUBSTITUTE(SUBSTITUTE(SUBSTITUTE(SUBSTITUTE(SUBSTITUTE(SUBSTITUTE(SUBSTITUTE(SUBSTITUTE(SUBSTITUTE(SUBSTITUTE(SUBSTITUTE(SUBSTITUTE(BC74," "&amp;DT2464&amp;" "," ")," "&amp;DT442&amp;" "," ")," "&amp;DT440&amp;" "," ")," "&amp;DT2447&amp;" "," ")," "&amp;DT2448&amp;" "," ")," "&amp;DT437&amp;" "," ")," "&amp;DT441&amp;" "," ")," "&amp;DT443&amp;" "," ")," "&amp;DT438&amp;" "," ")," "&amp;DT436&amp;" "," ")," "&amp;DT1376&amp;" "," ")," "&amp;DT444&amp;" "," ")," "&amp;DT1375&amp;" "," ")," "&amp;DT439&amp;" "," ")),"")</f>
        <v/>
      </c>
      <c r="BO74" s="493" t="str">
        <f>IF(65=65,IF(AW74="","",IF(BL74&gt;0,"X",IF(BM74&gt;0,"?",""))),"")</f>
        <v/>
      </c>
      <c r="BP74" s="493" t="str" cm="1">
        <f t="array" ref="BP74">IF(65=65,IF(AW74="","",SUMPRODUCT(--ISNUMBER(SEARCH(" "&amp;DT445:DT544&amp;" ",BZ74)))),"")</f>
        <v/>
      </c>
      <c r="BQ74" s="493" t="str" cm="1">
        <f t="array" ref="BQ74">IF(65=65,IF(AW74="","",SUMPRODUCT(--ISNUMBER(SEARCH(" "&amp;DT545:DT644&amp;" ",BZ74)))),"")</f>
        <v/>
      </c>
      <c r="BR74" s="493" t="str" cm="1">
        <f t="array" ref="BR74">IF(65=65,IF(AW74="","",SUMPRODUCT(--ISNUMBER(SEARCH(" "&amp;DT645:DT744&amp;" ",BZ74)))),"")</f>
        <v/>
      </c>
      <c r="BS74" s="493" t="str" cm="1">
        <f t="array" ref="BS74">IF(65=65,IF(AW74="","",SUMPRODUCT(--ISNUMBER(SEARCH(" "&amp;DT745:DT844&amp;" ",BZ74)))),"")</f>
        <v/>
      </c>
      <c r="BT74" s="493" t="str" cm="1">
        <f t="array" ref="BT74">IF(65=65,IF(AW74="","",SUMPRODUCT(--ISNUMBER(SEARCH(" "&amp;DT845:DT944&amp;" ",BZ74)))),"")</f>
        <v/>
      </c>
      <c r="BU74" s="493" t="str" cm="1">
        <f t="array" ref="BU74">IF(65=65,IF(AW74="","",SUMPRODUCT(--ISNUMBER(SEARCH(" "&amp;DT945:DT1044&amp;" ",BZ74)))),"")</f>
        <v/>
      </c>
      <c r="BV74" s="493" t="str" cm="1">
        <f t="array" ref="BV74">IF(65=65,IF(AW74="","",SUMPRODUCT(--ISNUMBER(SEARCH(" "&amp;DT1045:DT1144&amp;" ",BZ74)))),"")</f>
        <v/>
      </c>
      <c r="BW74" s="493" t="str" cm="1">
        <f t="array" ref="BW74">IF(65=65,IF(AW74="","",SUMPRODUCT(--ISNUMBER(SEARCH(" "&amp;DT1145:DT1244&amp;" ",BZ74)))),"")</f>
        <v/>
      </c>
      <c r="BX74" s="493" t="str" cm="1">
        <f t="array" ref="BX74">IF(65=65,IF(AW74="","",SUMPRODUCT(--ISNUMBER(SEARCH(" "&amp;DT1245:DT1344&amp;" ",BZ74)))),"")</f>
        <v/>
      </c>
      <c r="BY74" s="493" t="str" cm="1">
        <f t="array" ref="BY74">IF(65=65,IF(AW74="","",SUMPRODUCT(--ISNUMBER(SEARCH(" "&amp;DT1345:DT1372&amp;" ",BZ74)))),"")</f>
        <v/>
      </c>
      <c r="BZ74" s="493" t="str">
        <f>IF(65=65,IF(AW74="","",SUBSTITUTE(SUBSTITUTE(SUBSTITUTE(SUBSTITUTE(SUBSTITUTE(SUBSTITUTE(SUBSTITUTE(SUBSTITUTE(SUBSTITUTE(BC74," "&amp;DT1374&amp;" "," ")," "&amp;DT1373&amp;" "," ")," "&amp;DT1379&amp;" "," ")," "&amp;DT1380&amp;" "," ")," "&amp;DT1376&amp;" "," ")," "&amp;DT1378&amp;" "," ")," "&amp;DT1375&amp;" "," ")," "&amp;DT1377&amp;" "," ")," "&amp;DT1381&amp;" "," ")),"")</f>
        <v/>
      </c>
      <c r="CA74" s="493" t="str" cm="1">
        <f t="array" ref="CA74">IF(65=65,IF(AW74="","",SUMPRODUCT(--ISNUMBER(SEARCH(" "&amp;DT1382:DT1392&amp;" ",BZ74)))),"")</f>
        <v/>
      </c>
      <c r="CB74" s="493" t="str" cm="1">
        <f t="array" ref="CB74">IF(65=65,IF(AW74="","",IF(SUM(BP74:BY74)+SUMPRODUCT(--ISNUMBER(SEARCH(" "&amp;DT2430:DT2431&amp;" ",BZ74)))&gt;0,"X",IF(CA74&gt;0,"?",""))),"")</f>
        <v/>
      </c>
      <c r="CC74" s="493" t="str" cm="1">
        <f t="array" ref="CC74">IF(65=65,IF(AW74="","",SUMPRODUCT(--ISNUMBER(SEARCH(" "&amp;DT1393:DT1413&amp;" ",BC74)))),"")</f>
        <v/>
      </c>
      <c r="CD74" s="493" t="str">
        <f>IF(65=65,IF(AW74="","",IF((CC74)-(0)&gt;0,"X",IF((0)-(0)&gt;0,"?",""))),"")</f>
        <v/>
      </c>
      <c r="CE74" s="493" t="str" cm="1">
        <f t="array" ref="CE74">IF(65=65,IF(AW74="","",SUMPRODUCT(--ISNUMBER(SEARCH(" "&amp;DT1414:DT1451&amp;" ",CF74)))),"")</f>
        <v/>
      </c>
      <c r="CF74" s="493" t="str">
        <f>IF(65=65,IF(AW74="","",SUBSTITUTE(SUBSTITUTE(BC74," "&amp;DT1452&amp;" "," ")," "&amp;DT1453&amp;" "," ")),"")</f>
        <v/>
      </c>
      <c r="CG74" s="493" t="str" cm="1">
        <f t="array" ref="CG74">IF(65=65,IF(AW74="","",SUMPRODUCT(--ISNUMBER(SEARCH(" "&amp;DT1454:DT1464&amp;" ",CF74)))),"")</f>
        <v/>
      </c>
      <c r="CH74" s="493" t="str">
        <f>IF(65=65,IF(AW74="","",IF(CE74&gt;0,"X",IF(CG74&gt;0,"?",""))),"")</f>
        <v/>
      </c>
      <c r="CI74" s="493" t="str" cm="1">
        <f t="array" ref="CI74">IF(65=65,IF(AW74="","",SUMPRODUCT(--ISNUMBER(SEARCH(" "&amp;DT1465:DT1564&amp;" ",CL74)))),"")</f>
        <v/>
      </c>
      <c r="CJ74" s="493" t="str" cm="1">
        <f t="array" ref="CJ74">IF(65=65,IF(AW74="","",SUMPRODUCT(--ISNUMBER(SEARCH(" "&amp;DT1565:DT1664&amp;" ",CL74)))),"")</f>
        <v/>
      </c>
      <c r="CK74" s="493" t="str" cm="1">
        <f t="array" ref="CK74">IF(65=65,IF(AW74="","",SUMPRODUCT(--ISNUMBER(SEARCH(" "&amp;DT1665:DT1748&amp;" ",CL74)))),"")</f>
        <v/>
      </c>
      <c r="CL74" s="493" t="str">
        <f>IF(65=65,IF(AW74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74,"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74" s="493" t="str" cm="1">
        <f t="array" ref="CM74">IF(65=65,IF(AW74="","",SUMPRODUCT(--ISNUMBER(SEARCH(" "&amp;DT1799:DT1878&amp;" ",CN74)))+SUMPRODUCT(--ISNUMBER(SEARCH(" "&amp;DT2449:DT2462&amp;" ",CN74)))),"")</f>
        <v/>
      </c>
      <c r="CN74" s="493" t="str">
        <f>IF(65=65,IF(AW74="","",SUBSTITUTE(SUBSTITUTE(SUBSTITUTE(SUBSTITUTE(SUBSTITUTE(SUBSTITUTE(SUBSTITUTE(SUBSTITUTE(SUBSTITUTE(SUBSTITUTE(SUBSTITUTE(SUBSTITUTE(SUBSTITUTE(CL74," "&amp;DT1885&amp;" "," ")," "&amp;DT1883&amp;" "," ")," "&amp;DT2447&amp;" "," ")," "&amp;DT2448&amp;" "," ")," "&amp;DT1880&amp;" "," ")," "&amp;DT1884&amp;" "," ")," "&amp;DT1886&amp;" "," ")," "&amp;DT1881&amp;" "," ")," "&amp;DT1879&amp;" "," ")," "&amp;DT1376&amp;" "," ")," "&amp;DT1887&amp;" "," ")," "&amp;DT1375&amp;" "," ")," "&amp;DT1882&amp;" "," ")),"")</f>
        <v/>
      </c>
      <c r="CO74" s="493" t="str" cm="1">
        <f t="array" ref="CO74">IF(65=65,IF(AW74="","",IF(SUM(CI74:CK74)+SUMPRODUCT(--ISNUMBER(SEARCH(" "&amp;DT2432:DT2433&amp;" ",CL74)))&gt;0,"X",IF(CM74&gt;0,"?",""))),"")</f>
        <v/>
      </c>
      <c r="CP74" s="493" t="str" cm="1">
        <f t="array" ref="CP74">IF(65=65,IF(AW74="","",SUMPRODUCT(--ISNUMBER(SEARCH(" "&amp;DT1888:DT1945&amp;" ",CQ74)))),"")</f>
        <v/>
      </c>
      <c r="CQ74" s="493" t="str">
        <f>IF(65=65,IF(AW74="","",SUBSTITUTE(SUBSTITUTE(SUBSTITUTE(SUBSTITUTE(SUBSTITUTE(SUBSTITUTE(SUBSTITUTE(SUBSTITUTE(SUBSTITUTE(SUBSTITUTE(SUBSTITUTE(SUBSTITUTE(SUBSTITUTE(SUBSTITUTE(SUBSTITUTE(SUBSTITUTE(SUBSTITUTE(SUBSTITUTE(SUBSTITUTE(SUBSTITUTE(SUBSTITUTE(SUBSTITUTE(SUBSTITUTE(BC74,"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74" s="493" t="str" cm="1">
        <f t="array" ref="CR74">IF(65=65,IF(AW74="","",SUMPRODUCT(--ISNUMBER(SEARCH(" "&amp;DT1969:DT1985&amp;" ",CQ74)))),"")</f>
        <v/>
      </c>
      <c r="CS74" s="493" t="str">
        <f>IF(65=65,IF(AW74="","",IF(CP74&gt;0,"X",IF(CR74&gt;0,"?",""))),"")</f>
        <v/>
      </c>
      <c r="CT74" s="493" t="str" cm="1">
        <f t="array" ref="CT74">IF(65=65,IF(AW74="","",SUMPRODUCT(--ISNUMBER(SEARCH(" "&amp;DT1986:DT1999&amp;" ",BC74)))),"")</f>
        <v/>
      </c>
      <c r="CU74" s="493" t="str" cm="1">
        <f t="array" ref="CU74">IF(65=65,IF(AW74="","",SUMPRODUCT(--ISNUMBER(SEARCH(" "&amp;DT2000:DT2014&amp;" ",BC74)))),"")</f>
        <v/>
      </c>
      <c r="CV74" s="493" t="str">
        <f>IF(65=65,IF(AW74="","",IF((CT74)-(0)&gt;0,"X",IF((CU74)-(0)&gt;0,"?",""))),"")</f>
        <v/>
      </c>
      <c r="CW74" s="493" t="str" cm="1">
        <f t="array" ref="CW74">IF(65=65,IF(AW74="","",SUMPRODUCT(--ISNUMBER(SEARCH(" "&amp;DT2015:DT2032&amp;" ",BC74)))),"")</f>
        <v/>
      </c>
      <c r="CX74" s="493" t="str" cm="1">
        <f t="array" ref="CX74">IF(65=65,IF(AW74="","",SUMPRODUCT(--ISNUMBER(SEARCH(" "&amp;DT2033:DT2047&amp;" ",BC74)))),"")</f>
        <v/>
      </c>
      <c r="CY74" s="493" t="str">
        <f>IF(65=65,IF(AW74="","",IF((CW74)-(0)&gt;0,"X",IF((CX74)-(0)&gt;0,"?",""))),"")</f>
        <v/>
      </c>
      <c r="CZ74" s="493" t="str" cm="1">
        <f t="array" ref="CZ74">IF(65=65,IF(AW74="","",SUMPRODUCT(--ISNUMBER(SEARCH(" "&amp;DT2048:DT2066&amp;" ",BC74)))),"")</f>
        <v/>
      </c>
      <c r="DA74" s="493" t="str" cm="1">
        <f t="array" ref="DA74">IF(65=65,IF(AW74="","",SUMPRODUCT(--ISNUMBER(SEARCH(" "&amp;DT2067:DT2081&amp;" ",BC74)))),"")</f>
        <v/>
      </c>
      <c r="DB74" s="493" t="str">
        <f>IF(65=65,IF(AW74="","",IF((CZ74)-(0)&gt;0,"X",IF((DA74)-(0)&gt;0,"?",""))),"")</f>
        <v/>
      </c>
      <c r="DC74" s="493" t="str" cm="1">
        <f t="array" ref="DC74">IF(65=65,IF(AW74="","",SUMPRODUCT(--ISNUMBER(SEARCH(" "&amp;DT2082:DT2102&amp;" ",BC74)))),"")</f>
        <v/>
      </c>
      <c r="DD74" s="493" t="str" cm="1">
        <f t="array" ref="DD74">IF(65=65,IF(AW74="","",SUMPRODUCT(--ISNUMBER(SEARCH(" "&amp;DT2103:DT2142&amp;" ",SUBSTITUTE(SUBSTITUTE(BC74," "&amp;DT1376&amp;" "," ")," "&amp;DT1375&amp;" "," "))))+--ISNUMBER(SEARCH("poiré",AX74))),"")</f>
        <v/>
      </c>
      <c r="DE74" s="493" t="str">
        <f>IF(65=65,IF(AW74="","",IF(OR(DC74&gt;0,ISNUMBER(SEARCH(" vinaigre de vin ",BC74)),ISNUMBER(SEARCH(" vinaigre au vin ",BC74))),"X",IF(DD74&gt;0,"?",""))),"")</f>
        <v/>
      </c>
      <c r="DF74" s="493" t="str" cm="1">
        <f t="array" ref="DF74">IF(65=65,IF(AW74="","",SUMPRODUCT(--ISNUMBER(SEARCH(" "&amp;DT2143:DT2155&amp;" ",BC74)))),"")</f>
        <v/>
      </c>
      <c r="DG74" s="493" t="str" cm="1">
        <f t="array" ref="DG74">IF(65=65,IF(AW74="","",SUMPRODUCT(--ISNUMBER(SEARCH(" "&amp;DT2156:DT2161&amp;" ",BC74)))),"")</f>
        <v/>
      </c>
      <c r="DH74" s="493" t="str">
        <f>IF(65=65,IF(AW74="","",IF((DF74)-(0)&gt;0,"X",IF((DG74)-(0)&gt;0,"?",""))),"")</f>
        <v/>
      </c>
      <c r="DI74" s="493" t="str" cm="1">
        <f t="array" ref="DI74">IF(65=65,IF(AW74="","",SUMPRODUCT(--ISNUMBER(SEARCH(" "&amp;DT2162:DT2261&amp;" ",DL74)))),"")</f>
        <v/>
      </c>
      <c r="DJ74" s="493" t="str" cm="1">
        <f t="array" ref="DJ74">IF(65=65,IF(AW74="","",SUMPRODUCT(--ISNUMBER(SEARCH(" "&amp;DT2262:DT2361&amp;" ",DL74)))),"")</f>
        <v/>
      </c>
      <c r="DK74" s="493" t="str" cm="1">
        <f t="array" ref="DK74">IF(65=65,IF(AW74="","",SUMPRODUCT(--ISNUMBER(SEARCH(" "&amp;DT2362:DT2404&amp;" ",DL74)))),"")</f>
        <v/>
      </c>
      <c r="DL74" s="493" t="str">
        <f>IF(65=65,IF(AW74="","",SUBSTITUTE(SUBSTITUTE(SUBSTITUTE(SUBSTITUTE(SUBSTITUTE(SUBSTITUTE(SUBSTITUTE(SUBSTITUTE(SUBSTITUTE(SUBSTITUTE(SUBSTITUTE(SUBSTITUTE(SUBSTITUTE(SUBSTITUTE(SUBSTITUTE(SUBSTITUTE(BC74," "&amp;DT2410&amp;" "," ")," "&amp;DT2409&amp;" "," ")," "&amp;DT2408&amp;" "," ")," "&amp;DT2415&amp;" "," ")," "&amp;DT2407&amp;" "," ")," "&amp;DT2419&amp;" "," ")," "&amp;DT2406&amp;" "," ")," "&amp;DT2411&amp;" "," ")," "&amp;DT2414&amp;" "," ")," "&amp;DT2405&amp;" "," ")," "&amp;DT2413&amp;" "," ")," "&amp;DT2420&amp;" "," ")," "&amp;DT2417&amp;" "," ")," "&amp;DT2412&amp;" "," ")," "&amp;DT2416&amp;" "," ")," "&amp;DT2418&amp;" "," ")),"")</f>
        <v/>
      </c>
      <c r="DM74" s="493" t="str" cm="1">
        <f t="array" ref="DM74">IF(65=65,IF(AW74="","",SUMPRODUCT(--ISNUMBER(SEARCH(" "&amp;DT2421:DT2425&amp;" ",DL74)))),"")</f>
        <v/>
      </c>
      <c r="DN74" s="493" t="str">
        <f>IF(65=65,IF(AW74="","",IF(SUM(DI74:DK74)&gt;0,"X",IF(DM74&gt;0,"?",""))),"")</f>
        <v/>
      </c>
      <c r="DO74" s="494"/>
      <c r="DP74" s="496" t="s">
        <v>1257</v>
      </c>
      <c r="DQ74" s="496" t="s">
        <v>1083</v>
      </c>
      <c r="DR74" s="496" t="s">
        <v>689</v>
      </c>
      <c r="DS74" s="496" t="s">
        <v>1258</v>
      </c>
      <c r="DT74" s="496" t="s">
        <v>906</v>
      </c>
      <c r="DU74" s="496" t="s">
        <v>1085</v>
      </c>
      <c r="DV74" s="496" t="s">
        <v>1086</v>
      </c>
      <c r="DW74" s="496" t="s">
        <v>1087</v>
      </c>
      <c r="DX74" s="497" t="s">
        <v>1088</v>
      </c>
      <c r="DZ74" s="543">
        <v>1</v>
      </c>
      <c r="EB74" s="493"/>
      <c r="EC74" s="493"/>
    </row>
    <row r="75" spans="5:133" ht="21" customHeight="1">
      <c r="E75" s="716"/>
      <c r="F75" s="724"/>
      <c r="G75" s="725"/>
      <c r="H75" s="724"/>
      <c r="I75" s="726"/>
      <c r="J75" s="950"/>
      <c r="K75" s="951"/>
      <c r="L75" s="793"/>
      <c r="M75" s="952"/>
      <c r="N75" s="953"/>
      <c r="O75" s="954"/>
      <c r="P75" s="955"/>
      <c r="Q75" s="956"/>
      <c r="R75" s="957"/>
      <c r="S75" s="800"/>
      <c r="T75" s="958"/>
      <c r="U75" s="802"/>
      <c r="V75" s="959"/>
      <c r="W75" s="960"/>
      <c r="X75" s="805"/>
      <c r="Y75" s="816"/>
      <c r="AA75" s="689"/>
      <c r="AC75" s="515">
        <v>60</v>
      </c>
      <c r="AD75" s="808"/>
      <c r="AE75" s="682" t="str">
        <f t="shared" si="9"/>
        <v/>
      </c>
      <c r="AF75" s="518" t="str">
        <f>IF(66=66,IF(AD75="","",IF(AG75="X",""&amp;"Céréales contenant du gluten","")&amp;IF(AH75="X",IF(COUNTIF(AG75:AG75,"X")&gt;0,", ","")&amp;"Crustacés","")&amp;IF(AI75="X",IF(COUNTIF(AG75:AH75,"X")&gt;0,", ","")&amp;"Œufs","")&amp;IF(AJ75="X",IF(COUNTIF(AG75:AI75,"X")&gt;0,", ","")&amp;"Poissons","")&amp;IF(AK75="X",IF(COUNTIF(AG75:AJ75,"X")&gt;0,", ","")&amp;"Arachides","")&amp;IF(AL75="X",IF(COUNTIF(AG75:AK75,"X")&gt;0,", ","")&amp;"Soja","")&amp;IF(AM75="X",IF(COUNTIF(AG75:AL75,"X")&gt;0,", ","")&amp;"Lait","")&amp;IF(AN75="X",IF(COUNTIF(AG75:AM75,"X")&gt;0,", ","")&amp;"Fruits à coque","")&amp;IF(AO75="X",IF(COUNTIF(AG75:AN75,"X")&gt;0,", ","")&amp;"Céleri","")&amp;IF(AP75="X",IF(COUNTIF(AG75:AO75,"X")&gt;0,", ","")&amp;"Moutarde","")&amp;IF(AQ75="X",IF(COUNTIF(AG75:AP75,"X")&gt;0,", ","")&amp;"Sésame","")&amp;IF(AR75="X",IF(COUNTIF(AG75:AQ75,"X")&gt;0,", ","")&amp;"Sulfites","")&amp;IF(AS75="X",IF(COUNTIF(AG75:AR75,"X")&gt;0,", ","")&amp;"Lupin","")&amp;IF(AT75="X",IF(COUNTIF(AG75:AS75,"X")&gt;0,", ","")&amp;"Mollusques","")),"")</f>
        <v/>
      </c>
      <c r="AG75" s="519" t="str">
        <f>IF(66=66,IF(AD75="","",BH75),"")</f>
        <v/>
      </c>
      <c r="AH75" s="519" t="str">
        <f>IF(66=66,IF(AD75="","",BK75),"")</f>
        <v/>
      </c>
      <c r="AI75" s="519" t="str">
        <f>IF(66=66,IF(AD75="","",BO75),"")</f>
        <v/>
      </c>
      <c r="AJ75" s="519" t="str">
        <f>IF(66=66,IF(AD75="","",IF(ISNUMBER(SEARCH(" colin ",BC75)),"X",CB75)),"")</f>
        <v/>
      </c>
      <c r="AK75" s="519" t="str">
        <f>IF(66=66,IF(AD75="","",CD75),"")</f>
        <v/>
      </c>
      <c r="AL75" s="519" t="str">
        <f>IF(66=66,IF(AD75="","",CH75),"")</f>
        <v/>
      </c>
      <c r="AM75" s="519" t="str">
        <f>IF(66=66,IF(AD75="","",CO75),"")</f>
        <v/>
      </c>
      <c r="AN75" s="519" t="str">
        <f>IF(66=66,IF(AD75="","",CS75),"")</f>
        <v/>
      </c>
      <c r="AO75" s="519" t="str">
        <f>IF(66=66,IF(AD75="","",CV75),"")</f>
        <v/>
      </c>
      <c r="AP75" s="519" t="str">
        <f>IF(66=66,IF(AD75="","",CY75),"")</f>
        <v/>
      </c>
      <c r="AQ75" s="519" t="str">
        <f>IF(66=66,IF(AD75="","",DB75),"")</f>
        <v/>
      </c>
      <c r="AR75" s="519" t="str">
        <f>IF(66=66,IF(AD75="","",DE75),"")</f>
        <v/>
      </c>
      <c r="AS75" s="519" t="str">
        <f>IF(66=66,IF(AD75="","",DH75),"")</f>
        <v/>
      </c>
      <c r="AT75" s="519" t="str">
        <f>IF(66=66,IF(AD75="","",DN75),"")</f>
        <v/>
      </c>
      <c r="AU75" s="520" t="str">
        <f>IF(66=66,IF(AD75="","",IF(AG75="?",""&amp;"Céréales contenant du gluten","")&amp;IF(AH75="?",IF(COUNTIF(AG75:AG75,"~?")&gt;0,", ","")&amp;"Crustacés","")&amp;IF(AI75="?",IF(COUNTIF(AG75:AH75,"~?")&gt;0,", ","")&amp;"Œufs","")&amp;IF(AJ75="?",IF(COUNTIF(AG75:AI75,"~?")&gt;0,", ","")&amp;"Poissons","")&amp;IF(AK75="?",IF(COUNTIF(AG75:AJ75,"~?")&gt;0,", ","")&amp;"Arachides","")&amp;IF(AL75="?",IF(COUNTIF(AG75:AK75,"~?")&gt;0,", ","")&amp;"Soja","")&amp;IF(AM75="?",IF(COUNTIF(AG75:AL75,"~?")&gt;0,", ","")&amp;"Lait","")&amp;IF(AN75="?",IF(COUNTIF(AG75:AM75,"~?")&gt;0,", ","")&amp;"Fruits à coque","")&amp;IF(AO75="?",IF(COUNTIF(AG75:AN75,"~?")&gt;0,", ","")&amp;"Céleri","")&amp;IF(AP75="?",IF(COUNTIF(AG75:AO75,"~?")&gt;0,", ","")&amp;"Moutarde","")&amp;IF(AQ75="?",IF(COUNTIF(AG75:AP75,"~?")&gt;0,", ","")&amp;"Sésame","")&amp;IF(AR75="?",IF(COUNTIF(AG75:AQ75,"~?")&gt;0,", ","")&amp;"Sulfites","")&amp;IF(AS75="?",IF(COUNTIF(AG75:AR75,"~?")&gt;0,", ","")&amp;"Lupin","")&amp;IF(AT75="?",IF(COUNTIF(AG75:AS75,"~?")&gt;0,", ","")&amp;"Mollusques","")),"")</f>
        <v/>
      </c>
      <c r="AW75" s="493" t="str">
        <f>IF(66=66,IF(AD75="","",AD75),"")</f>
        <v/>
      </c>
      <c r="AX75" s="493" t="str">
        <f>IF(66=66,LOWER(CLEAN(SUBSTITUTE(SUBSTITUTE(SUBSTITUTE(SUBSTITUTE(AW75,CHAR(160)," ")," "," "),CHAR(10)," "),CHAR(13)," "))),"")</f>
        <v/>
      </c>
      <c r="AY75" s="493" t="str">
        <f>IF(66=66,SUBSTITUTE(SUBSTITUTE(SUBSTITUTE(SUBSTITUTE(SUBSTITUTE(SUBSTITUTE(SUBSTITUTE(SUBSTITUTE(SUBSTITUTE(SUBSTITUTE(SUBSTITUTE(SUBSTITUTE(AX75,"œ","oe"),"æ","ae"),"à","a"),"á","a"),"â","a"),"ä","a"),"ã","a"),"ç","c"),"è","e"),"é","e"),"ê","e"),"ë","e"),"")</f>
        <v/>
      </c>
      <c r="AZ75" s="493" t="str">
        <f>IF(66=66,SUBSTITUTE(SUBSTITUTE(SUBSTITUTE(SUBSTITUTE(SUBSTITUTE(SUBSTITUTE(SUBSTITUTE(SUBSTITUTE(SUBSTITUTE(SUBSTITUTE(SUBSTITUTE(SUBSTITUTE(SUBSTITUTE(SUBSTITUTE(SUBSTITUTE(SUBSTITUTE(AY75,"ì","i"),"í","i"),"î","i"),"ï","i"),"ñ","n"),"ò","o"),"ó","o"),"ô","o"),"ö","o"),"õ","o"),"ù","u"),"ú","u"),"û","u"),"ü","u"),"ý","y"),"ÿ","y"),"")</f>
        <v/>
      </c>
      <c r="BA75" s="493" t="str">
        <f>IF(66=66,SUBSTITUTE(SUBSTITUTE(SUBSTITUTE(SUBSTITUTE(SUBSTITUTE(SUBSTITUTE(SUBSTITUTE(SUBSTITUTE(SUBSTITUTE(SUBSTITUTE(SUBSTITUTE(SUBSTITUTE(SUBSTITUTE(SUBSTITUTE(AZ75,"’"," "),"`"," "),"–"," "),"—"," "),"-"," "),"'"," "),"/"," "),"_"," "),","," "),"."," "),"("," "),")"," "),";"," "),":"," "),"")</f>
        <v/>
      </c>
      <c r="BB75" s="493" t="str">
        <f>IF(66=66,SUBSTITUTE(SUBSTITUTE(SUBSTITUTE(SUBSTITUTE(SUBSTITUTE(SUBSTITUTE(SUBSTITUTE(SUBSTITUTE(SUBSTITUTE(SUBSTITUTE(SUBSTITUTE(SUBSTITUTE(SUBSTITUTE(SUBSTITUTE(SUBSTITUTE(BA75,"!"," "),"?"," "),"+"," "),"*"," "),"&amp;"," "),"["," "),"]"," "),"{"," "),"}"," "),"%"," "),"="," "),"\"," "),"|"," "),"&lt;"," "),"&gt;"," "),"")</f>
        <v/>
      </c>
      <c r="BC75" s="493" t="str">
        <f>IF(66=66," "&amp;TRIM(SUBSTITUTE(SUBSTITUTE(SUBSTITUTE(SUBSTITUTE(SUBSTITUTE(SUBSTITUTE(BB75,CHAR(34)," "),"  "," "),"  "," "),"  "," "),"  "," "),"  "," "))&amp;" ","")</f>
        <v xml:space="preserve">  </v>
      </c>
      <c r="BD75" s="493" t="str" cm="1">
        <f t="array" ref="BD75">IF(66=66,IF(AW75="","",SUMPRODUCT(--ISNUMBER(SEARCH(" "&amp;DT11:DT110&amp;" ",BF75)))),"")</f>
        <v/>
      </c>
      <c r="BE75" s="493" t="str" cm="1">
        <f t="array" ref="BE75">IF(66=66,IF(AW75="","",SUMPRODUCT(--ISNUMBER(SEARCH(" "&amp;DT111:DT160&amp;" ",BF75)))),"")</f>
        <v/>
      </c>
      <c r="BF75" s="493" t="str">
        <f>IF(AW75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75," "&amp;DT121&amp;" "," ")," "&amp;DT122&amp;" "," ")," "&amp;DT123&amp;" "," ")," "&amp;DT124&amp;" "," ")," "&amp;DT157&amp;" "," ")," "&amp;DT161&amp;" "," ")," "&amp;DT162&amp;" "," ")," "&amp;DT163&amp;" "," ")," "&amp;DT164&amp;" "," ")," "&amp;DT165&amp;" "," ")," "&amp;DT166&amp;" "," ")," "&amp;DT167&amp;" "," ")," "&amp;DT168&amp;" "," ")," "&amp;DT169&amp;" "," ")," "&amp;DT170&amp;" "," ")," "&amp;DT171&amp;" "," ")," "&amp;DT172&amp;" "," ")," "&amp;DT173&amp;" "," ")," "&amp;DT174&amp;" "," ")," "&amp;DT175&amp;" "," ")," "&amp;DT176&amp;" "," ")," "&amp;DT177&amp;" "," ")," "&amp;DT178&amp;" "," ")," "&amp;DT179&amp;" "," ")," "&amp;DT180&amp;" "," ")," "&amp;DT181&amp;" "," ")," "&amp;DT182&amp;" "," ")," "&amp;DT183&amp;" "," ")," "&amp;DT184&amp;" "," ")," "&amp;DT185&amp;" "," ")," "&amp;DT186&amp;" "," ")," "&amp;DT187&amp;" "," ")," "&amp;DT188&amp;" "," ")," "&amp;DT189&amp;" "," ")," "&amp;DT190&amp;" "," ")," "&amp;DT191&amp;" "," ")," "&amp;DT192&amp;" "," ")," "&amp;DT2426&amp;" "," ")," "&amp;DT2434&amp;" "," ")," "&amp;DT2435&amp;" "," ")," "&amp;DT2436&amp;" "," ")," "&amp;DT2437&amp;" "," ")," "&amp;DT2438&amp;" "," ")," "&amp;DT2439&amp;" "," ")," "&amp;DT2440&amp;" "," ")," "&amp;DT2441&amp;" "," ")," "&amp;DT2442&amp;" "," ")," "&amp;DT2443&amp;" "," ")," "&amp;DT2444&amp;" "," ")," "&amp;DT2445&amp;" "," ")," "&amp;DT2446&amp;" "," "))</f>
        <v/>
      </c>
      <c r="BG75" s="493" t="str" cm="1">
        <f t="array" ref="BG75">IF(AW75="","",SUMPRODUCT(--ISNUMBER(SEARCH(" "&amp;DT193:DT214&amp;" ",BF75)))+--ISNUMBER(SEARCH(" "&amp;DT2463&amp;" ",BF75)))</f>
        <v/>
      </c>
      <c r="BH75" s="493" t="str" cm="1">
        <f t="array" ref="BH75">IF(66=66,IF(AW75="","",IF(SUM(BD75:BE75)+SUMPRODUCT(--ISNUMBER(SEARCH(" "&amp;DT2427:DT2429&amp;" ",BF75)))&gt;0,"X",IF(BG75&gt;0,"?",""))),"")</f>
        <v/>
      </c>
      <c r="BI75" s="493" t="str" cm="1">
        <f t="array" ref="BI75">IF(66=66,IF(AW75="","",SUMPRODUCT(--ISNUMBER(SEARCH(" "&amp;DT215:DT314&amp;" ",BC75)))),"")</f>
        <v/>
      </c>
      <c r="BJ75" s="493" t="str" cm="1">
        <f t="array" ref="BJ75">IF(66=66,IF(AW75="","",SUMPRODUCT(--ISNUMBER(SEARCH(" "&amp;DT315:DT349&amp;" ",BC75)))),"")</f>
        <v/>
      </c>
      <c r="BK75" s="493" t="str">
        <f>IF(66=66,IF(AW75="","",IF((SUM(BI75:BJ75))-(0)&gt;0,"X",IF((0)-(0)&gt;0,"?",""))),"")</f>
        <v/>
      </c>
      <c r="BL75" s="493" t="str" cm="1">
        <f t="array" ref="BL75">IF(66=66,IF(AW75="","",SUMPRODUCT(--ISNUMBER(SEARCH(" "&amp;DT350:DT407&amp;" ",BC75)))),"")</f>
        <v/>
      </c>
      <c r="BM75" s="493" t="str" cm="1">
        <f t="array" ref="BM75">IF(66=66,IF(AW75="","",SUMPRODUCT(--ISNUMBER(SEARCH(" "&amp;DT408:DT435&amp;" ",BN75)))+SUMPRODUCT(--ISNUMBER(SEARCH(" "&amp;DT2449:DT2462&amp;" ",BN75)))),"")</f>
        <v/>
      </c>
      <c r="BN75" s="493" t="str">
        <f>IF(66=66,IF(AW75="","",SUBSTITUTE(SUBSTITUTE(SUBSTITUTE(SUBSTITUTE(SUBSTITUTE(SUBSTITUTE(SUBSTITUTE(SUBSTITUTE(SUBSTITUTE(SUBSTITUTE(SUBSTITUTE(SUBSTITUTE(SUBSTITUTE(SUBSTITUTE(BC75," "&amp;DT2464&amp;" "," ")," "&amp;DT442&amp;" "," ")," "&amp;DT440&amp;" "," ")," "&amp;DT2447&amp;" "," ")," "&amp;DT2448&amp;" "," ")," "&amp;DT437&amp;" "," ")," "&amp;DT441&amp;" "," ")," "&amp;DT443&amp;" "," ")," "&amp;DT438&amp;" "," ")," "&amp;DT436&amp;" "," ")," "&amp;DT1376&amp;" "," ")," "&amp;DT444&amp;" "," ")," "&amp;DT1375&amp;" "," ")," "&amp;DT439&amp;" "," ")),"")</f>
        <v/>
      </c>
      <c r="BO75" s="493" t="str">
        <f>IF(66=66,IF(AW75="","",IF(BL75&gt;0,"X",IF(BM75&gt;0,"?",""))),"")</f>
        <v/>
      </c>
      <c r="BP75" s="493" t="str" cm="1">
        <f t="array" ref="BP75">IF(66=66,IF(AW75="","",SUMPRODUCT(--ISNUMBER(SEARCH(" "&amp;DT445:DT544&amp;" ",BZ75)))),"")</f>
        <v/>
      </c>
      <c r="BQ75" s="493" t="str" cm="1">
        <f t="array" ref="BQ75">IF(66=66,IF(AW75="","",SUMPRODUCT(--ISNUMBER(SEARCH(" "&amp;DT545:DT644&amp;" ",BZ75)))),"")</f>
        <v/>
      </c>
      <c r="BR75" s="493" t="str" cm="1">
        <f t="array" ref="BR75">IF(66=66,IF(AW75="","",SUMPRODUCT(--ISNUMBER(SEARCH(" "&amp;DT645:DT744&amp;" ",BZ75)))),"")</f>
        <v/>
      </c>
      <c r="BS75" s="493" t="str" cm="1">
        <f t="array" ref="BS75">IF(66=66,IF(AW75="","",SUMPRODUCT(--ISNUMBER(SEARCH(" "&amp;DT745:DT844&amp;" ",BZ75)))),"")</f>
        <v/>
      </c>
      <c r="BT75" s="493" t="str" cm="1">
        <f t="array" ref="BT75">IF(66=66,IF(AW75="","",SUMPRODUCT(--ISNUMBER(SEARCH(" "&amp;DT845:DT944&amp;" ",BZ75)))),"")</f>
        <v/>
      </c>
      <c r="BU75" s="493" t="str" cm="1">
        <f t="array" ref="BU75">IF(66=66,IF(AW75="","",SUMPRODUCT(--ISNUMBER(SEARCH(" "&amp;DT945:DT1044&amp;" ",BZ75)))),"")</f>
        <v/>
      </c>
      <c r="BV75" s="493" t="str" cm="1">
        <f t="array" ref="BV75">IF(66=66,IF(AW75="","",SUMPRODUCT(--ISNUMBER(SEARCH(" "&amp;DT1045:DT1144&amp;" ",BZ75)))),"")</f>
        <v/>
      </c>
      <c r="BW75" s="493" t="str" cm="1">
        <f t="array" ref="BW75">IF(66=66,IF(AW75="","",SUMPRODUCT(--ISNUMBER(SEARCH(" "&amp;DT1145:DT1244&amp;" ",BZ75)))),"")</f>
        <v/>
      </c>
      <c r="BX75" s="493" t="str" cm="1">
        <f t="array" ref="BX75">IF(66=66,IF(AW75="","",SUMPRODUCT(--ISNUMBER(SEARCH(" "&amp;DT1245:DT1344&amp;" ",BZ75)))),"")</f>
        <v/>
      </c>
      <c r="BY75" s="493" t="str" cm="1">
        <f t="array" ref="BY75">IF(66=66,IF(AW75="","",SUMPRODUCT(--ISNUMBER(SEARCH(" "&amp;DT1345:DT1372&amp;" ",BZ75)))),"")</f>
        <v/>
      </c>
      <c r="BZ75" s="493" t="str">
        <f>IF(66=66,IF(AW75="","",SUBSTITUTE(SUBSTITUTE(SUBSTITUTE(SUBSTITUTE(SUBSTITUTE(SUBSTITUTE(SUBSTITUTE(SUBSTITUTE(SUBSTITUTE(BC75," "&amp;DT1374&amp;" "," ")," "&amp;DT1373&amp;" "," ")," "&amp;DT1379&amp;" "," ")," "&amp;DT1380&amp;" "," ")," "&amp;DT1376&amp;" "," ")," "&amp;DT1378&amp;" "," ")," "&amp;DT1375&amp;" "," ")," "&amp;DT1377&amp;" "," ")," "&amp;DT1381&amp;" "," ")),"")</f>
        <v/>
      </c>
      <c r="CA75" s="493" t="str" cm="1">
        <f t="array" ref="CA75">IF(66=66,IF(AW75="","",SUMPRODUCT(--ISNUMBER(SEARCH(" "&amp;DT1382:DT1392&amp;" ",BZ75)))),"")</f>
        <v/>
      </c>
      <c r="CB75" s="493" t="str" cm="1">
        <f t="array" ref="CB75">IF(66=66,IF(AW75="","",IF(SUM(BP75:BY75)+SUMPRODUCT(--ISNUMBER(SEARCH(" "&amp;DT2430:DT2431&amp;" ",BZ75)))&gt;0,"X",IF(CA75&gt;0,"?",""))),"")</f>
        <v/>
      </c>
      <c r="CC75" s="493" t="str" cm="1">
        <f t="array" ref="CC75">IF(66=66,IF(AW75="","",SUMPRODUCT(--ISNUMBER(SEARCH(" "&amp;DT1393:DT1413&amp;" ",BC75)))),"")</f>
        <v/>
      </c>
      <c r="CD75" s="493" t="str">
        <f>IF(66=66,IF(AW75="","",IF((CC75)-(0)&gt;0,"X",IF((0)-(0)&gt;0,"?",""))),"")</f>
        <v/>
      </c>
      <c r="CE75" s="493" t="str" cm="1">
        <f t="array" ref="CE75">IF(66=66,IF(AW75="","",SUMPRODUCT(--ISNUMBER(SEARCH(" "&amp;DT1414:DT1451&amp;" ",CF75)))),"")</f>
        <v/>
      </c>
      <c r="CF75" s="493" t="str">
        <f>IF(66=66,IF(AW75="","",SUBSTITUTE(SUBSTITUTE(BC75," "&amp;DT1452&amp;" "," ")," "&amp;DT1453&amp;" "," ")),"")</f>
        <v/>
      </c>
      <c r="CG75" s="493" t="str" cm="1">
        <f t="array" ref="CG75">IF(66=66,IF(AW75="","",SUMPRODUCT(--ISNUMBER(SEARCH(" "&amp;DT1454:DT1464&amp;" ",CF75)))),"")</f>
        <v/>
      </c>
      <c r="CH75" s="493" t="str">
        <f>IF(66=66,IF(AW75="","",IF(CE75&gt;0,"X",IF(CG75&gt;0,"?",""))),"")</f>
        <v/>
      </c>
      <c r="CI75" s="493" t="str" cm="1">
        <f t="array" ref="CI75">IF(66=66,IF(AW75="","",SUMPRODUCT(--ISNUMBER(SEARCH(" "&amp;DT1465:DT1564&amp;" ",CL75)))),"")</f>
        <v/>
      </c>
      <c r="CJ75" s="493" t="str" cm="1">
        <f t="array" ref="CJ75">IF(66=66,IF(AW75="","",SUMPRODUCT(--ISNUMBER(SEARCH(" "&amp;DT1565:DT1664&amp;" ",CL75)))),"")</f>
        <v/>
      </c>
      <c r="CK75" s="493" t="str" cm="1">
        <f t="array" ref="CK75">IF(66=66,IF(AW75="","",SUMPRODUCT(--ISNUMBER(SEARCH(" "&amp;DT1665:DT1748&amp;" ",CL75)))),"")</f>
        <v/>
      </c>
      <c r="CL75" s="493" t="str">
        <f>IF(66=66,IF(AW75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BC75," "&amp;DT2464&amp;" "," ")," "&amp;DT1751&amp;" "," ")," "&amp;DT1754&amp;" "," ")," "&amp;DT1792&amp;" "," ")," "&amp;DT1759&amp;" "," ")," "&amp;DT1753&amp;" "," ")," "&amp;DT1758&amp;" "," ")," "&amp;DT1760&amp;" "," ")," "&amp;DT1773&amp;" "," ")," "&amp;DT1787&amp;" "," ")," "&amp;DT1795&amp;" "," ")," "&amp;DT1752&amp;" "," ")," "&amp;DT1755&amp;" "," ")," "&amp;DT1756&amp;" "," ")," "&amp;DT1771&amp;" "," ")," "&amp;DT1774&amp;" "," ")," "&amp;DT1779&amp;" "," ")," "&amp;DT1781&amp;" "," ")," "&amp;DT1785&amp;" "," ")," "&amp;DT1757&amp;" "," ")," "&amp;DT1767&amp;" "," ")," "&amp;DT1768&amp;" "," ")," "&amp;DT1769&amp;" "," ")," "&amp;DT1770&amp;" "," ")," "&amp;DT1777&amp;" "," ")," "&amp;DT1788&amp;" "," ")," "&amp;DT1794&amp;" "," ")," "&amp;DT1749&amp;" "," ")," "&amp;DT1761&amp;" "," ")," "&amp;DT1763&amp;" "," ")," "&amp;DT1765&amp;" "," ")," "&amp;DT1772&amp;" "," ")," "&amp;DT1776&amp;" "," ")," "&amp;DT1780&amp;" "," ")," "&amp;DT1782&amp;" "," ")," "&amp;DT1783&amp;" "," ")," "&amp;DT1784&amp;" "," ")," "&amp;DT1796&amp;" "," ")," "&amp;DT1764&amp;" "," ")," "&amp;DT1766&amp;" "," ")," "&amp;DT1775&amp;" "," ")," "&amp;DT1786&amp;" "," ")," "&amp;DT1790&amp;" "," ")," "&amp;DT1791&amp;" "," ")," "&amp;DT1750&amp;" "," ")," "&amp;DT1762&amp;" "," ")," "&amp;DT1789&amp;" "," ")," "&amp;DT1797&amp;" "," ")," "&amp;DT1778&amp;" "," ")," "&amp;DT1793&amp;" "," ")," "&amp;DT1798&amp;" "," ")),"")</f>
        <v/>
      </c>
      <c r="CM75" s="493" t="str" cm="1">
        <f t="array" ref="CM75">IF(66=66,IF(AW75="","",SUMPRODUCT(--ISNUMBER(SEARCH(" "&amp;DT1799:DT1878&amp;" ",CN75)))+SUMPRODUCT(--ISNUMBER(SEARCH(" "&amp;DT2449:DT2462&amp;" ",CN75)))),"")</f>
        <v/>
      </c>
      <c r="CN75" s="493" t="str">
        <f>IF(66=66,IF(AW75="","",SUBSTITUTE(SUBSTITUTE(SUBSTITUTE(SUBSTITUTE(SUBSTITUTE(SUBSTITUTE(SUBSTITUTE(SUBSTITUTE(SUBSTITUTE(SUBSTITUTE(SUBSTITUTE(SUBSTITUTE(SUBSTITUTE(CL75," "&amp;DT1885&amp;" "," ")," "&amp;DT1883&amp;" "," ")," "&amp;DT2447&amp;" "," ")," "&amp;DT2448&amp;" "," ")," "&amp;DT1880&amp;" "," ")," "&amp;DT1884&amp;" "," ")," "&amp;DT1886&amp;" "," ")," "&amp;DT1881&amp;" "," ")," "&amp;DT1879&amp;" "," ")," "&amp;DT1376&amp;" "," ")," "&amp;DT1887&amp;" "," ")," "&amp;DT1375&amp;" "," ")," "&amp;DT1882&amp;" "," ")),"")</f>
        <v/>
      </c>
      <c r="CO75" s="493" t="str" cm="1">
        <f t="array" ref="CO75">IF(66=66,IF(AW75="","",IF(SUM(CI75:CK75)+SUMPRODUCT(--ISNUMBER(SEARCH(" "&amp;DT2432:DT2433&amp;" ",CL75)))&gt;0,"X",IF(CM75&gt;0,"?",""))),"")</f>
        <v/>
      </c>
      <c r="CP75" s="493" t="str" cm="1">
        <f t="array" ref="CP75">IF(66=66,IF(AW75="","",SUMPRODUCT(--ISNUMBER(SEARCH(" "&amp;DT1888:DT1945&amp;" ",CQ75)))),"")</f>
        <v/>
      </c>
      <c r="CQ75" s="493" t="str">
        <f>IF(66=66,IF(AW75="","",SUBSTITUTE(SUBSTITUTE(SUBSTITUTE(SUBSTITUTE(SUBSTITUTE(SUBSTITUTE(SUBSTITUTE(SUBSTITUTE(SUBSTITUTE(SUBSTITUTE(SUBSTITUTE(SUBSTITUTE(SUBSTITUTE(SUBSTITUTE(SUBSTITUTE(SUBSTITUTE(SUBSTITUTE(SUBSTITUTE(SUBSTITUTE(SUBSTITUTE(SUBSTITUTE(SUBSTITUTE(SUBSTITUTE(BC75," "&amp;DT1963&amp;" "," ")," "&amp;DT1964&amp;" "," ")," "&amp;DT1962&amp;" "," ")," "&amp;DT1947&amp;" "," ")," "&amp;DT1946&amp;" "," ")," "&amp;DT1950&amp;" "," ")," "&amp;DT1952&amp;" "," ")," "&amp;DT1953&amp;" "," ")," "&amp;DT1958&amp;" "," ")," "&amp;DT1967&amp;" "," ")," "&amp;DT1954&amp;" "," ")," "&amp;DT1959&amp;" "," ")," "&amp;DT1960&amp;" "," ")," "&amp;DT1961&amp;" "," ")," "&amp;DT1965&amp;" "," ")," "&amp;DT1951&amp;" "," ")," "&amp;DT1949&amp;" "," ")," "&amp;DT1948&amp;" "," ")," "&amp;DT1956&amp;" "," ")," "&amp;DT1957&amp;" "," ")," "&amp;DT1968&amp;" "," ")," "&amp;DT1955&amp;" "," ")," "&amp;DT1966&amp;" "," ")),"")</f>
        <v/>
      </c>
      <c r="CR75" s="493" t="str" cm="1">
        <f t="array" ref="CR75">IF(66=66,IF(AW75="","",SUMPRODUCT(--ISNUMBER(SEARCH(" "&amp;DT1969:DT1985&amp;" ",CQ75)))),"")</f>
        <v/>
      </c>
      <c r="CS75" s="493" t="str">
        <f>IF(66=66,IF(AW75="","",IF(CP75&gt;0,"X",IF(CR75&gt;0,"?",""))),"")</f>
        <v/>
      </c>
      <c r="CT75" s="493" t="str" cm="1">
        <f t="array" ref="CT75">IF(66=66,IF(AW75="","",SUMPRODUCT(--ISNUMBER(SEARCH(" "&amp;DT1986:DT1999&amp;" ",BC75)))),"")</f>
        <v/>
      </c>
      <c r="CU75" s="493" t="str" cm="1">
        <f t="array" ref="CU75">IF(66=66,IF(AW75="","",SUMPRODUCT(--ISNUMBER(SEARCH(" "&amp;DT2000:DT2014&amp;" ",BC75)))),"")</f>
        <v/>
      </c>
      <c r="CV75" s="493" t="str">
        <f>IF(66=66,IF(AW75="","",IF((CT75)-(0)&gt;0,"X",IF((CU75)-(0)&gt;0,"?",""))),"")</f>
        <v/>
      </c>
      <c r="CW75" s="493" t="str" cm="1">
        <f t="array" ref="CW75">IF(66=66,IF(AW75="","",SUMPRODUCT(--ISNUMBER(SEARCH(" "&amp;DT2015:DT2032&amp;" ",BC75)))),"")</f>
        <v/>
      </c>
      <c r="CX75" s="493" t="str" cm="1">
        <f t="array" ref="CX75">IF(66=66,IF(AW75="","",SUMPRODUCT(--ISNUMBER(SEARCH(" "&amp;DT2033:DT2047&amp;" ",BC75)))),"")</f>
        <v/>
      </c>
      <c r="CY75" s="493" t="str">
        <f>IF(66=66,IF(AW75="","",IF((CW75)-(0)&gt;0,"X",IF((CX75)-(0)&gt;0,"?",""))),"")</f>
        <v/>
      </c>
      <c r="CZ75" s="493" t="str" cm="1">
        <f t="array" ref="CZ75">IF(66=66,IF(AW75="","",SUMPRODUCT(--ISNUMBER(SEARCH(" "&amp;DT2048:DT2066&amp;" ",BC75)))),"")</f>
        <v/>
      </c>
      <c r="DA75" s="493" t="str" cm="1">
        <f t="array" ref="DA75">IF(66=66,IF(AW75="","",SUMPRODUCT(--ISNUMBER(SEARCH(" "&amp;DT2067:DT2081&amp;" ",BC75)))),"")</f>
        <v/>
      </c>
      <c r="DB75" s="493" t="str">
        <f>IF(66=66,IF(AW75="","",IF((CZ75)-(0)&gt;0,"X",IF((DA75)-(0)&gt;0,"?",""))),"")</f>
        <v/>
      </c>
      <c r="DC75" s="493" t="str" cm="1">
        <f t="array" ref="DC75">IF(66=66,IF(AW75="","",SUMPRODUCT(--ISNUMBER(SEARCH(" "&amp;DT2082:DT2102&amp;" ",BC75)))),"")</f>
        <v/>
      </c>
      <c r="DD75" s="493" t="str" cm="1">
        <f t="array" ref="DD75">IF(66=66,IF(AW75="","",SUMPRODUCT(--ISNUMBER(SEARCH(" "&amp;DT2103:DT2142&amp;" ",SUBSTITUTE(SUBSTITUTE(BC75," "&amp;DT1376&amp;" "," ")," "&amp;DT1375&amp;" "," "))))+--ISNUMBER(SEARCH("poiré",AX75))),"")</f>
        <v/>
      </c>
      <c r="DE75" s="493" t="str">
        <f>IF(66=66,IF(AW75="","",IF(OR(DC75&gt;0,ISNUMBER(SEARCH(" vinaigre de vin ",BC75)),ISNUMBER(SEARCH(" vinaigre au vin ",BC75))),"X",IF(DD75&gt;0,"?",""))),"")</f>
        <v/>
      </c>
      <c r="DF75" s="493" t="str" cm="1">
        <f t="array" ref="DF75">IF(66=66,IF(AW75="","",SUMPRODUCT(--ISNUMBER(SEARCH(" "&amp;DT2143:DT2155&amp;" ",BC75)))),"")</f>
        <v/>
      </c>
      <c r="DG75" s="493" t="str" cm="1">
        <f t="array" ref="DG75">IF(66=66,IF(AW75="","",SUMPRODUCT(--ISNUMBER(SEARCH(" "&amp;DT2156:DT2161&amp;" ",BC75)))),"")</f>
        <v/>
      </c>
      <c r="DH75" s="493" t="str">
        <f>IF(66=66,IF(AW75="","",IF((DF75)-(0)&gt;0,"X",IF((DG75)-(0)&gt;0,"?",""))),"")</f>
        <v/>
      </c>
      <c r="DI75" s="493" t="str" cm="1">
        <f t="array" ref="DI75">IF(66=66,IF(AW75="","",SUMPRODUCT(--ISNUMBER(SEARCH(" "&amp;DT2162:DT2261&amp;" ",DL75)))),"")</f>
        <v/>
      </c>
      <c r="DJ75" s="493" t="str" cm="1">
        <f t="array" ref="DJ75">IF(66=66,IF(AW75="","",SUMPRODUCT(--ISNUMBER(SEARCH(" "&amp;DT2262:DT2361&amp;" ",DL75)))),"")</f>
        <v/>
      </c>
      <c r="DK75" s="493" t="str" cm="1">
        <f t="array" ref="DK75">IF(66=66,IF(AW75="","",SUMPRODUCT(--ISNUMBER(SEARCH(" "&amp;DT2362:DT2404&amp;" ",DL75)))),"")</f>
        <v/>
      </c>
      <c r="DL75" s="493" t="str">
        <f>IF(66=66,IF(AW75="","",SUBSTITUTE(SUBSTITUTE(SUBSTITUTE(SUBSTITUTE(SUBSTITUTE(SUBSTITUTE(SUBSTITUTE(SUBSTITUTE(SUBSTITUTE(SUBSTITUTE(SUBSTITUTE(SUBSTITUTE(SUBSTITUTE(SUBSTITUTE(SUBSTITUTE(SUBSTITUTE(BC75," "&amp;DT2410&amp;" "," ")," "&amp;DT2409&amp;" "," ")," "&amp;DT2408&amp;" "," ")," "&amp;DT2415&amp;" "," ")," "&amp;DT2407&amp;" "," ")," "&amp;DT2419&amp;" "," ")," "&amp;DT2406&amp;" "," ")," "&amp;DT2411&amp;" "," ")," "&amp;DT2414&amp;" "," ")," "&amp;DT2405&amp;" "," ")," "&amp;DT2413&amp;" "," ")," "&amp;DT2420&amp;" "," ")," "&amp;DT2417&amp;" "," ")," "&amp;DT2412&amp;" "," ")," "&amp;DT2416&amp;" "," ")," "&amp;DT2418&amp;" "," ")),"")</f>
        <v/>
      </c>
      <c r="DM75" s="493" t="str" cm="1">
        <f t="array" ref="DM75">IF(66=66,IF(AW75="","",SUMPRODUCT(--ISNUMBER(SEARCH(" "&amp;DT2421:DT2425&amp;" ",DL75)))),"")</f>
        <v/>
      </c>
      <c r="DN75" s="493" t="str">
        <f>IF(66=66,IF(AW75="","",IF(SUM(DI75:DK75)&gt;0,"X",IF(DM75&gt;0,"?",""))),"")</f>
        <v/>
      </c>
      <c r="DO75" s="494"/>
      <c r="DP75" s="496" t="s">
        <v>1259</v>
      </c>
      <c r="DQ75" s="496" t="s">
        <v>1083</v>
      </c>
      <c r="DR75" s="496" t="s">
        <v>689</v>
      </c>
      <c r="DS75" s="496" t="s">
        <v>1260</v>
      </c>
      <c r="DT75" s="496" t="s">
        <v>192</v>
      </c>
      <c r="DU75" s="496" t="s">
        <v>1085</v>
      </c>
      <c r="DV75" s="496" t="s">
        <v>1086</v>
      </c>
      <c r="DW75" s="496" t="s">
        <v>1087</v>
      </c>
      <c r="DX75" s="497" t="s">
        <v>1088</v>
      </c>
      <c r="DZ75" s="543">
        <v>1</v>
      </c>
      <c r="EB75" s="493"/>
      <c r="EC75" s="493"/>
    </row>
    <row r="76" spans="5:133" ht="21" customHeight="1">
      <c r="E76" s="716"/>
      <c r="F76" s="724"/>
      <c r="G76" s="725"/>
      <c r="H76" s="724"/>
      <c r="I76" s="726"/>
      <c r="J76" s="950"/>
      <c r="K76" s="951"/>
      <c r="L76" s="793"/>
      <c r="M76" s="952"/>
      <c r="N76" s="953"/>
      <c r="O76" s="954"/>
      <c r="P76" s="955"/>
      <c r="Q76" s="956"/>
      <c r="R76" s="957"/>
      <c r="S76" s="800"/>
      <c r="T76" s="958"/>
      <c r="U76" s="802"/>
      <c r="V76" s="959"/>
      <c r="W76" s="960"/>
      <c r="X76" s="805"/>
      <c r="Y76" s="816"/>
      <c r="AA76" s="689"/>
      <c r="AC76" s="498"/>
      <c r="AD76" s="521"/>
      <c r="AE76" s="522"/>
      <c r="AF76" s="522"/>
      <c r="AG76" s="498"/>
      <c r="AH76" s="498"/>
      <c r="AI76" s="498"/>
      <c r="AJ76" s="498"/>
      <c r="AK76" s="498"/>
      <c r="AL76" s="498"/>
      <c r="AM76" s="498"/>
      <c r="AN76" s="498"/>
      <c r="AO76" s="498"/>
      <c r="AP76" s="498"/>
      <c r="AQ76" s="498"/>
      <c r="AR76" s="498"/>
      <c r="AS76" s="498"/>
      <c r="AT76" s="498"/>
      <c r="AU76" s="498"/>
      <c r="DO76" s="494"/>
      <c r="DP76" s="496" t="s">
        <v>1261</v>
      </c>
      <c r="DQ76" s="496" t="s">
        <v>1083</v>
      </c>
      <c r="DR76" s="496" t="s">
        <v>689</v>
      </c>
      <c r="DS76" s="496" t="s">
        <v>16</v>
      </c>
      <c r="DT76" s="496" t="s">
        <v>16</v>
      </c>
      <c r="DU76" s="496" t="s">
        <v>1085</v>
      </c>
      <c r="DV76" s="496" t="s">
        <v>1086</v>
      </c>
      <c r="DW76" s="496" t="s">
        <v>1087</v>
      </c>
      <c r="DX76" s="497" t="s">
        <v>1088</v>
      </c>
      <c r="DZ76" s="543">
        <v>1</v>
      </c>
      <c r="EB76" s="493"/>
      <c r="EC76" s="493"/>
    </row>
    <row r="77" spans="5:133" ht="21" customHeight="1">
      <c r="E77" s="716"/>
      <c r="F77" s="724"/>
      <c r="G77" s="725"/>
      <c r="H77" s="724"/>
      <c r="I77" s="726"/>
      <c r="J77" s="950"/>
      <c r="K77" s="951"/>
      <c r="L77" s="793"/>
      <c r="M77" s="952"/>
      <c r="N77" s="953"/>
      <c r="O77" s="954"/>
      <c r="P77" s="955"/>
      <c r="Q77" s="956"/>
      <c r="R77" s="957"/>
      <c r="S77" s="800"/>
      <c r="T77" s="958"/>
      <c r="U77" s="802"/>
      <c r="V77" s="959"/>
      <c r="W77" s="960"/>
      <c r="X77" s="805"/>
      <c r="Y77" s="816"/>
      <c r="AA77" s="689"/>
      <c r="AC77" s="498"/>
      <c r="AD77" s="521"/>
      <c r="AE77" s="522"/>
      <c r="AF77" s="522"/>
      <c r="AG77" s="498"/>
      <c r="AH77" s="498"/>
      <c r="AI77" s="498"/>
      <c r="AJ77" s="498"/>
      <c r="AK77" s="498"/>
      <c r="AL77" s="498"/>
      <c r="AM77" s="498"/>
      <c r="AN77" s="498"/>
      <c r="AO77" s="498"/>
      <c r="AP77" s="498"/>
      <c r="AQ77" s="498"/>
      <c r="AR77" s="498"/>
      <c r="AS77" s="498"/>
      <c r="AT77" s="498"/>
      <c r="AU77" s="498"/>
      <c r="DO77" s="494"/>
      <c r="DP77" s="496" t="s">
        <v>1262</v>
      </c>
      <c r="DQ77" s="496" t="s">
        <v>1083</v>
      </c>
      <c r="DR77" s="496" t="s">
        <v>689</v>
      </c>
      <c r="DS77" s="496" t="s">
        <v>1263</v>
      </c>
      <c r="DT77" s="496" t="s">
        <v>1264</v>
      </c>
      <c r="DU77" s="496" t="s">
        <v>1085</v>
      </c>
      <c r="DV77" s="496" t="s">
        <v>1086</v>
      </c>
      <c r="DW77" s="496" t="s">
        <v>1087</v>
      </c>
      <c r="DX77" s="497" t="s">
        <v>1088</v>
      </c>
      <c r="DZ77" s="543">
        <v>1</v>
      </c>
      <c r="EB77" s="493"/>
      <c r="EC77" s="493"/>
    </row>
    <row r="78" spans="5:133" ht="21" customHeight="1">
      <c r="E78" s="716"/>
      <c r="F78" s="724"/>
      <c r="G78" s="725"/>
      <c r="H78" s="724"/>
      <c r="I78" s="726"/>
      <c r="J78" s="950"/>
      <c r="K78" s="951"/>
      <c r="L78" s="793"/>
      <c r="M78" s="952"/>
      <c r="N78" s="953"/>
      <c r="O78" s="954"/>
      <c r="P78" s="955"/>
      <c r="Q78" s="956"/>
      <c r="R78" s="957"/>
      <c r="S78" s="800"/>
      <c r="T78" s="958"/>
      <c r="U78" s="802"/>
      <c r="V78" s="959"/>
      <c r="W78" s="960"/>
      <c r="X78" s="805"/>
      <c r="Y78" s="816"/>
      <c r="AA78" s="689"/>
      <c r="AC78" s="498"/>
      <c r="AD78" s="521"/>
      <c r="AE78" s="522"/>
      <c r="AF78" s="522"/>
      <c r="AG78" s="498"/>
      <c r="AH78" s="498"/>
      <c r="AI78" s="498"/>
      <c r="AJ78" s="498"/>
      <c r="AK78" s="498"/>
      <c r="AL78" s="498"/>
      <c r="AM78" s="498"/>
      <c r="AN78" s="498"/>
      <c r="AO78" s="498"/>
      <c r="AP78" s="498"/>
      <c r="AQ78" s="498"/>
      <c r="AR78" s="498"/>
      <c r="AS78" s="498"/>
      <c r="AT78" s="498"/>
      <c r="AU78" s="498"/>
      <c r="DO78" s="494"/>
      <c r="DP78" s="496" t="s">
        <v>1265</v>
      </c>
      <c r="DQ78" s="496" t="s">
        <v>1083</v>
      </c>
      <c r="DR78" s="496" t="s">
        <v>689</v>
      </c>
      <c r="DS78" s="496" t="s">
        <v>1266</v>
      </c>
      <c r="DT78" s="496" t="s">
        <v>1267</v>
      </c>
      <c r="DU78" s="496" t="s">
        <v>1085</v>
      </c>
      <c r="DV78" s="496" t="s">
        <v>1086</v>
      </c>
      <c r="DW78" s="496" t="s">
        <v>1087</v>
      </c>
      <c r="DX78" s="497" t="s">
        <v>1088</v>
      </c>
      <c r="DZ78" s="543">
        <v>1</v>
      </c>
      <c r="EB78" s="493"/>
      <c r="EC78" s="493"/>
    </row>
    <row r="79" spans="5:133" ht="21" customHeight="1">
      <c r="E79" s="716"/>
      <c r="F79" s="724"/>
      <c r="G79" s="725"/>
      <c r="H79" s="724"/>
      <c r="I79" s="726"/>
      <c r="J79" s="950"/>
      <c r="K79" s="951"/>
      <c r="L79" s="793"/>
      <c r="M79" s="952"/>
      <c r="N79" s="953"/>
      <c r="O79" s="954"/>
      <c r="P79" s="955"/>
      <c r="Q79" s="956"/>
      <c r="R79" s="957"/>
      <c r="S79" s="800"/>
      <c r="T79" s="958"/>
      <c r="U79" s="802"/>
      <c r="V79" s="959"/>
      <c r="W79" s="960"/>
      <c r="X79" s="805"/>
      <c r="Y79" s="816"/>
      <c r="AA79" s="689"/>
      <c r="AC79" s="1243" t="s">
        <v>1268</v>
      </c>
      <c r="AD79" s="1243"/>
      <c r="AE79" s="1243"/>
      <c r="AF79" s="1243"/>
      <c r="AG79" s="1243"/>
      <c r="AH79" s="1243"/>
      <c r="AI79" s="1243"/>
      <c r="AJ79" s="1243"/>
      <c r="AK79" s="1243"/>
      <c r="AL79" s="1243"/>
      <c r="AM79" s="1243"/>
      <c r="AN79" s="1243"/>
      <c r="AO79" s="1243"/>
      <c r="AP79" s="1243"/>
      <c r="AQ79" s="1243"/>
      <c r="AR79" s="1243"/>
      <c r="AS79" s="1243"/>
      <c r="AT79" s="1243"/>
      <c r="AU79" s="1243"/>
      <c r="DO79" s="494"/>
      <c r="DP79" s="496" t="s">
        <v>1269</v>
      </c>
      <c r="DQ79" s="496" t="s">
        <v>1083</v>
      </c>
      <c r="DR79" s="496" t="s">
        <v>689</v>
      </c>
      <c r="DS79" s="496" t="s">
        <v>92</v>
      </c>
      <c r="DT79" s="496" t="s">
        <v>92</v>
      </c>
      <c r="DU79" s="496" t="s">
        <v>1085</v>
      </c>
      <c r="DV79" s="496" t="s">
        <v>1086</v>
      </c>
      <c r="DW79" s="496" t="s">
        <v>1087</v>
      </c>
      <c r="DX79" s="497" t="s">
        <v>1088</v>
      </c>
      <c r="DZ79" s="543">
        <v>1</v>
      </c>
      <c r="EB79" s="493"/>
      <c r="EC79" s="493"/>
    </row>
    <row r="80" spans="5:133" ht="21" customHeight="1">
      <c r="E80" s="716"/>
      <c r="F80" s="724"/>
      <c r="G80" s="725"/>
      <c r="H80" s="724"/>
      <c r="I80" s="726"/>
      <c r="J80" s="950"/>
      <c r="K80" s="951"/>
      <c r="L80" s="793"/>
      <c r="M80" s="952"/>
      <c r="N80" s="953"/>
      <c r="O80" s="954"/>
      <c r="P80" s="955"/>
      <c r="Q80" s="956"/>
      <c r="R80" s="957"/>
      <c r="S80" s="800"/>
      <c r="T80" s="958"/>
      <c r="U80" s="802"/>
      <c r="V80" s="959"/>
      <c r="W80" s="960"/>
      <c r="X80" s="805"/>
      <c r="Y80" s="816"/>
      <c r="AA80" s="689"/>
      <c r="AC80" s="498"/>
      <c r="AD80" s="521"/>
      <c r="AE80" s="522"/>
      <c r="AF80" s="522"/>
      <c r="AG80" s="498"/>
      <c r="AH80" s="498"/>
      <c r="AI80" s="498"/>
      <c r="AJ80" s="498"/>
      <c r="AK80" s="498"/>
      <c r="AL80" s="498"/>
      <c r="AM80" s="498"/>
      <c r="AN80" s="498"/>
      <c r="AO80" s="498"/>
      <c r="AP80" s="498"/>
      <c r="AQ80" s="498"/>
      <c r="AR80" s="498"/>
      <c r="AS80" s="498"/>
      <c r="AT80" s="498"/>
      <c r="AU80" s="498"/>
      <c r="DO80" s="494"/>
      <c r="DP80" s="496" t="s">
        <v>1270</v>
      </c>
      <c r="DQ80" s="496" t="s">
        <v>1083</v>
      </c>
      <c r="DR80" s="496" t="s">
        <v>689</v>
      </c>
      <c r="DS80" s="496" t="s">
        <v>1271</v>
      </c>
      <c r="DT80" s="496" t="s">
        <v>1271</v>
      </c>
      <c r="DU80" s="496" t="s">
        <v>1085</v>
      </c>
      <c r="DV80" s="496" t="s">
        <v>1086</v>
      </c>
      <c r="DW80" s="496" t="s">
        <v>1087</v>
      </c>
      <c r="DX80" s="497" t="s">
        <v>1088</v>
      </c>
      <c r="DZ80" s="543">
        <v>1</v>
      </c>
      <c r="EB80" s="493"/>
      <c r="EC80" s="493"/>
    </row>
    <row r="81" spans="5:133" ht="21" customHeight="1">
      <c r="E81" s="716"/>
      <c r="F81" s="724"/>
      <c r="G81" s="725"/>
      <c r="H81" s="724"/>
      <c r="I81" s="726"/>
      <c r="J81" s="950"/>
      <c r="K81" s="951"/>
      <c r="L81" s="793"/>
      <c r="M81" s="952"/>
      <c r="N81" s="953"/>
      <c r="O81" s="954"/>
      <c r="P81" s="955"/>
      <c r="Q81" s="956"/>
      <c r="R81" s="957"/>
      <c r="S81" s="800"/>
      <c r="T81" s="958"/>
      <c r="U81" s="802"/>
      <c r="V81" s="959"/>
      <c r="W81" s="960"/>
      <c r="X81" s="805"/>
      <c r="Y81" s="816"/>
      <c r="AA81" s="689"/>
      <c r="AC81" s="498"/>
      <c r="AD81" s="521"/>
      <c r="AE81" s="546" t="s">
        <v>1272</v>
      </c>
      <c r="AF81" s="522"/>
      <c r="AG81" s="498"/>
      <c r="AH81" s="498"/>
      <c r="AI81" s="498"/>
      <c r="AJ81" s="498"/>
      <c r="AK81" s="498"/>
      <c r="AL81" s="498"/>
      <c r="AM81" s="498"/>
      <c r="AN81" s="498"/>
      <c r="AO81" s="498"/>
      <c r="AP81" s="498"/>
      <c r="AQ81" s="498"/>
      <c r="AR81" s="498"/>
      <c r="AS81" s="498"/>
      <c r="AT81" s="498"/>
      <c r="AU81" s="498"/>
      <c r="DO81" s="494"/>
      <c r="DP81" s="496" t="s">
        <v>1273</v>
      </c>
      <c r="DQ81" s="496" t="s">
        <v>1083</v>
      </c>
      <c r="DR81" s="496" t="s">
        <v>689</v>
      </c>
      <c r="DS81" s="496" t="s">
        <v>1274</v>
      </c>
      <c r="DT81" s="496" t="s">
        <v>1274</v>
      </c>
      <c r="DU81" s="496" t="s">
        <v>1085</v>
      </c>
      <c r="DV81" s="496" t="s">
        <v>1086</v>
      </c>
      <c r="DW81" s="496" t="s">
        <v>1087</v>
      </c>
      <c r="DX81" s="497" t="s">
        <v>1088</v>
      </c>
      <c r="DZ81" s="543">
        <v>1</v>
      </c>
      <c r="EB81" s="493"/>
      <c r="EC81" s="493"/>
    </row>
    <row r="82" spans="5:133" ht="21" customHeight="1">
      <c r="E82" s="716"/>
      <c r="F82" s="724"/>
      <c r="G82" s="725"/>
      <c r="H82" s="724"/>
      <c r="I82" s="726"/>
      <c r="J82" s="950"/>
      <c r="K82" s="951"/>
      <c r="L82" s="793"/>
      <c r="M82" s="952"/>
      <c r="N82" s="953"/>
      <c r="O82" s="954"/>
      <c r="P82" s="955"/>
      <c r="Q82" s="956"/>
      <c r="R82" s="957"/>
      <c r="S82" s="800"/>
      <c r="T82" s="958"/>
      <c r="U82" s="802"/>
      <c r="V82" s="959"/>
      <c r="W82" s="960"/>
      <c r="X82" s="805"/>
      <c r="Y82" s="816"/>
      <c r="AA82" s="689"/>
      <c r="AC82" s="498"/>
      <c r="AD82" s="521"/>
      <c r="AE82" s="546" t="s">
        <v>1275</v>
      </c>
      <c r="AF82" s="522"/>
      <c r="AG82" s="498"/>
      <c r="AH82" s="498"/>
      <c r="AI82" s="498"/>
      <c r="AJ82" s="498"/>
      <c r="AK82" s="498"/>
      <c r="AL82" s="498"/>
      <c r="AM82" s="498"/>
      <c r="AN82" s="498"/>
      <c r="AO82" s="498"/>
      <c r="AP82" s="498"/>
      <c r="AQ82" s="498"/>
      <c r="AR82" s="498"/>
      <c r="AS82" s="498"/>
      <c r="AT82" s="498"/>
      <c r="AU82" s="498"/>
      <c r="DO82" s="494"/>
      <c r="DP82" s="496" t="s">
        <v>1276</v>
      </c>
      <c r="DQ82" s="496" t="s">
        <v>1083</v>
      </c>
      <c r="DR82" s="496" t="s">
        <v>689</v>
      </c>
      <c r="DS82" s="496" t="s">
        <v>907</v>
      </c>
      <c r="DT82" s="496" t="s">
        <v>907</v>
      </c>
      <c r="DU82" s="496" t="s">
        <v>1085</v>
      </c>
      <c r="DV82" s="496" t="s">
        <v>1086</v>
      </c>
      <c r="DW82" s="496" t="s">
        <v>1087</v>
      </c>
      <c r="DX82" s="497" t="s">
        <v>1088</v>
      </c>
      <c r="DZ82" s="543">
        <v>1</v>
      </c>
      <c r="EB82" s="493"/>
      <c r="EC82" s="493"/>
    </row>
    <row r="83" spans="5:133" ht="21" customHeight="1">
      <c r="E83" s="716"/>
      <c r="F83" s="724"/>
      <c r="G83" s="725"/>
      <c r="H83" s="724"/>
      <c r="I83" s="726"/>
      <c r="J83" s="950"/>
      <c r="K83" s="951"/>
      <c r="L83" s="793"/>
      <c r="M83" s="952"/>
      <c r="N83" s="953"/>
      <c r="O83" s="954"/>
      <c r="P83" s="955"/>
      <c r="Q83" s="956"/>
      <c r="R83" s="957"/>
      <c r="S83" s="800"/>
      <c r="T83" s="958"/>
      <c r="U83" s="802"/>
      <c r="V83" s="959"/>
      <c r="W83" s="960"/>
      <c r="X83" s="805"/>
      <c r="Y83" s="816"/>
      <c r="AA83" s="689"/>
      <c r="AC83" s="498"/>
      <c r="AD83" s="521"/>
      <c r="AE83" s="546" t="s">
        <v>5739</v>
      </c>
      <c r="AF83" s="522"/>
      <c r="AG83" s="498"/>
      <c r="AH83" s="498"/>
      <c r="AI83" s="498"/>
      <c r="AJ83" s="498"/>
      <c r="AK83" s="498"/>
      <c r="AL83" s="498"/>
      <c r="AM83" s="498"/>
      <c r="AN83" s="498"/>
      <c r="AO83" s="498"/>
      <c r="AP83" s="498"/>
      <c r="AQ83" s="498"/>
      <c r="AR83" s="498"/>
      <c r="AS83" s="498"/>
      <c r="AT83" s="498"/>
      <c r="AU83" s="498"/>
      <c r="DO83" s="494"/>
      <c r="DP83" s="496" t="s">
        <v>1277</v>
      </c>
      <c r="DQ83" s="496" t="s">
        <v>1083</v>
      </c>
      <c r="DR83" s="496" t="s">
        <v>689</v>
      </c>
      <c r="DS83" s="496" t="s">
        <v>908</v>
      </c>
      <c r="DT83" s="496" t="s">
        <v>908</v>
      </c>
      <c r="DU83" s="496" t="s">
        <v>1085</v>
      </c>
      <c r="DV83" s="496" t="s">
        <v>1086</v>
      </c>
      <c r="DW83" s="496" t="s">
        <v>1087</v>
      </c>
      <c r="DX83" s="497" t="s">
        <v>1088</v>
      </c>
      <c r="DZ83" s="543">
        <v>1</v>
      </c>
      <c r="EB83" s="493"/>
      <c r="EC83" s="493"/>
    </row>
    <row r="84" spans="5:133" ht="21" customHeight="1">
      <c r="E84" s="716"/>
      <c r="F84" s="724"/>
      <c r="G84" s="725"/>
      <c r="H84" s="724"/>
      <c r="I84" s="726"/>
      <c r="J84" s="950"/>
      <c r="K84" s="951"/>
      <c r="L84" s="793"/>
      <c r="M84" s="952"/>
      <c r="N84" s="953"/>
      <c r="O84" s="954"/>
      <c r="P84" s="955"/>
      <c r="Q84" s="956"/>
      <c r="R84" s="957"/>
      <c r="S84" s="800"/>
      <c r="T84" s="958"/>
      <c r="U84" s="802"/>
      <c r="V84" s="959"/>
      <c r="W84" s="960"/>
      <c r="X84" s="805"/>
      <c r="Y84" s="816"/>
      <c r="AA84" s="689"/>
      <c r="AC84" s="498"/>
      <c r="AD84" s="521"/>
      <c r="AE84" s="546" t="s">
        <v>1278</v>
      </c>
      <c r="AF84" s="522"/>
      <c r="AG84" s="498"/>
      <c r="AH84" s="498"/>
      <c r="AI84" s="498"/>
      <c r="AJ84" s="498"/>
      <c r="AK84" s="498"/>
      <c r="AL84" s="498"/>
      <c r="AM84" s="498"/>
      <c r="AN84" s="498"/>
      <c r="AO84" s="498"/>
      <c r="AP84" s="498"/>
      <c r="AQ84" s="498"/>
      <c r="AR84" s="498"/>
      <c r="AS84" s="498"/>
      <c r="AT84" s="498"/>
      <c r="AU84" s="498"/>
      <c r="DO84" s="494"/>
      <c r="DP84" s="496" t="s">
        <v>1279</v>
      </c>
      <c r="DQ84" s="496" t="s">
        <v>1083</v>
      </c>
      <c r="DR84" s="496" t="s">
        <v>689</v>
      </c>
      <c r="DS84" s="496" t="s">
        <v>909</v>
      </c>
      <c r="DT84" s="496" t="s">
        <v>909</v>
      </c>
      <c r="DU84" s="496" t="s">
        <v>1085</v>
      </c>
      <c r="DV84" s="496" t="s">
        <v>1086</v>
      </c>
      <c r="DW84" s="496" t="s">
        <v>1087</v>
      </c>
      <c r="DX84" s="497" t="s">
        <v>1088</v>
      </c>
      <c r="DZ84" s="543">
        <v>1</v>
      </c>
      <c r="EB84" s="493"/>
      <c r="EC84" s="493"/>
    </row>
    <row r="85" spans="5:133" ht="21" customHeight="1">
      <c r="E85" s="716"/>
      <c r="F85" s="724"/>
      <c r="G85" s="725"/>
      <c r="H85" s="724"/>
      <c r="I85" s="726"/>
      <c r="J85" s="950"/>
      <c r="K85" s="951"/>
      <c r="L85" s="793"/>
      <c r="M85" s="952"/>
      <c r="N85" s="953"/>
      <c r="O85" s="954"/>
      <c r="P85" s="955"/>
      <c r="Q85" s="956"/>
      <c r="R85" s="957"/>
      <c r="S85" s="800"/>
      <c r="T85" s="958"/>
      <c r="U85" s="802"/>
      <c r="V85" s="959"/>
      <c r="W85" s="960"/>
      <c r="X85" s="805"/>
      <c r="Y85" s="816"/>
      <c r="AA85" s="689"/>
      <c r="AC85" s="498"/>
      <c r="AD85" s="521"/>
      <c r="AE85" s="546" t="s">
        <v>5740</v>
      </c>
      <c r="AF85" s="522"/>
      <c r="AG85" s="498"/>
      <c r="AH85" s="498"/>
      <c r="AI85" s="498"/>
      <c r="AJ85" s="498"/>
      <c r="AK85" s="498"/>
      <c r="AL85" s="498"/>
      <c r="AM85" s="498"/>
      <c r="AN85" s="498"/>
      <c r="AO85" s="498"/>
      <c r="AP85" s="498"/>
      <c r="AQ85" s="498"/>
      <c r="AR85" s="498"/>
      <c r="AS85" s="498"/>
      <c r="AT85" s="498"/>
      <c r="AU85" s="498"/>
      <c r="DO85" s="494"/>
      <c r="DP85" s="496" t="s">
        <v>1280</v>
      </c>
      <c r="DQ85" s="496" t="s">
        <v>1083</v>
      </c>
      <c r="DR85" s="496" t="s">
        <v>689</v>
      </c>
      <c r="DS85" s="496" t="s">
        <v>1281</v>
      </c>
      <c r="DT85" s="496" t="s">
        <v>1281</v>
      </c>
      <c r="DU85" s="496" t="s">
        <v>1085</v>
      </c>
      <c r="DV85" s="496" t="s">
        <v>1086</v>
      </c>
      <c r="DW85" s="496" t="s">
        <v>1087</v>
      </c>
      <c r="DX85" s="497" t="s">
        <v>1088</v>
      </c>
      <c r="DZ85" s="543">
        <v>1</v>
      </c>
      <c r="EB85" s="493"/>
      <c r="EC85" s="493"/>
    </row>
    <row r="86" spans="5:133" ht="21" customHeight="1">
      <c r="E86" s="716"/>
      <c r="F86" s="724"/>
      <c r="G86" s="725"/>
      <c r="H86" s="724"/>
      <c r="I86" s="726"/>
      <c r="J86" s="950"/>
      <c r="K86" s="951"/>
      <c r="L86" s="793"/>
      <c r="M86" s="952"/>
      <c r="N86" s="953"/>
      <c r="O86" s="954"/>
      <c r="P86" s="955"/>
      <c r="Q86" s="956"/>
      <c r="R86" s="957"/>
      <c r="S86" s="800"/>
      <c r="T86" s="958"/>
      <c r="U86" s="802"/>
      <c r="V86" s="959"/>
      <c r="W86" s="960"/>
      <c r="X86" s="805"/>
      <c r="Y86" s="816"/>
      <c r="AA86" s="689"/>
      <c r="AC86" s="498"/>
      <c r="AD86" s="521"/>
      <c r="AE86" s="546" t="s">
        <v>5741</v>
      </c>
      <c r="AF86" s="522"/>
      <c r="AG86" s="498"/>
      <c r="AH86" s="498"/>
      <c r="AI86" s="498"/>
      <c r="AJ86" s="498"/>
      <c r="AK86" s="498"/>
      <c r="AL86" s="498"/>
      <c r="AM86" s="498"/>
      <c r="AN86" s="498"/>
      <c r="AO86" s="498"/>
      <c r="AP86" s="498"/>
      <c r="AQ86" s="498"/>
      <c r="AR86" s="498"/>
      <c r="AS86" s="498"/>
      <c r="AT86" s="498"/>
      <c r="AU86" s="498"/>
      <c r="DO86" s="494"/>
      <c r="DP86" s="496" t="s">
        <v>1282</v>
      </c>
      <c r="DQ86" s="496" t="s">
        <v>1083</v>
      </c>
      <c r="DR86" s="496" t="s">
        <v>689</v>
      </c>
      <c r="DS86" s="496" t="s">
        <v>159</v>
      </c>
      <c r="DT86" s="496" t="s">
        <v>159</v>
      </c>
      <c r="DU86" s="496" t="s">
        <v>1085</v>
      </c>
      <c r="DV86" s="496" t="s">
        <v>1086</v>
      </c>
      <c r="DW86" s="496" t="s">
        <v>1087</v>
      </c>
      <c r="DX86" s="497" t="s">
        <v>1088</v>
      </c>
      <c r="DZ86" s="543">
        <v>1</v>
      </c>
      <c r="EB86" s="493"/>
      <c r="EC86" s="493"/>
    </row>
    <row r="87" spans="5:133" ht="21" customHeight="1">
      <c r="E87" s="716"/>
      <c r="F87" s="724"/>
      <c r="G87" s="725"/>
      <c r="H87" s="724"/>
      <c r="I87" s="726"/>
      <c r="J87" s="950"/>
      <c r="K87" s="951"/>
      <c r="L87" s="793"/>
      <c r="M87" s="952"/>
      <c r="N87" s="953"/>
      <c r="O87" s="954"/>
      <c r="P87" s="955"/>
      <c r="Q87" s="956"/>
      <c r="R87" s="957"/>
      <c r="S87" s="800"/>
      <c r="T87" s="958"/>
      <c r="U87" s="802"/>
      <c r="V87" s="959"/>
      <c r="W87" s="960"/>
      <c r="X87" s="805"/>
      <c r="Y87" s="816"/>
      <c r="AA87" s="689"/>
      <c r="AC87" s="498"/>
      <c r="AD87" s="521"/>
      <c r="AE87" s="522"/>
      <c r="AF87" s="522"/>
      <c r="AG87" s="498"/>
      <c r="AH87" s="498"/>
      <c r="AI87" s="498"/>
      <c r="AJ87" s="498"/>
      <c r="AK87" s="498"/>
      <c r="AL87" s="498"/>
      <c r="AM87" s="498"/>
      <c r="AN87" s="498"/>
      <c r="AO87" s="498"/>
      <c r="AP87" s="498"/>
      <c r="AQ87" s="498"/>
      <c r="AR87" s="498"/>
      <c r="AS87" s="498"/>
      <c r="AT87" s="498"/>
      <c r="AU87" s="498"/>
      <c r="DO87" s="494"/>
      <c r="DP87" s="496" t="s">
        <v>1283</v>
      </c>
      <c r="DQ87" s="496" t="s">
        <v>1083</v>
      </c>
      <c r="DR87" s="496" t="s">
        <v>689</v>
      </c>
      <c r="DS87" s="496" t="s">
        <v>164</v>
      </c>
      <c r="DT87" s="496" t="s">
        <v>164</v>
      </c>
      <c r="DU87" s="496" t="s">
        <v>1085</v>
      </c>
      <c r="DV87" s="496" t="s">
        <v>1086</v>
      </c>
      <c r="DW87" s="496" t="s">
        <v>1087</v>
      </c>
      <c r="DX87" s="497" t="s">
        <v>1088</v>
      </c>
      <c r="DZ87" s="543">
        <v>1</v>
      </c>
      <c r="EB87" s="493"/>
      <c r="EC87" s="493"/>
    </row>
    <row r="88" spans="5:133" ht="21" customHeight="1">
      <c r="E88" s="716"/>
      <c r="F88" s="724"/>
      <c r="G88" s="725"/>
      <c r="H88" s="724"/>
      <c r="I88" s="726"/>
      <c r="J88" s="950"/>
      <c r="K88" s="951"/>
      <c r="L88" s="793"/>
      <c r="M88" s="952"/>
      <c r="N88" s="953"/>
      <c r="O88" s="954"/>
      <c r="P88" s="955"/>
      <c r="Q88" s="956"/>
      <c r="R88" s="957"/>
      <c r="S88" s="800"/>
      <c r="T88" s="958"/>
      <c r="U88" s="802"/>
      <c r="V88" s="959"/>
      <c r="W88" s="960"/>
      <c r="X88" s="805"/>
      <c r="Y88" s="816"/>
      <c r="AA88" s="689"/>
      <c r="AC88" s="498"/>
      <c r="AD88" s="521"/>
      <c r="AE88" s="522"/>
      <c r="AF88" s="522"/>
      <c r="AG88" s="498"/>
      <c r="AH88" s="498"/>
      <c r="AI88" s="498"/>
      <c r="AJ88" s="498"/>
      <c r="AK88" s="498"/>
      <c r="AL88" s="498"/>
      <c r="AM88" s="498"/>
      <c r="AN88" s="498"/>
      <c r="AO88" s="498"/>
      <c r="AP88" s="498"/>
      <c r="AQ88" s="498"/>
      <c r="AR88" s="498"/>
      <c r="AS88" s="498"/>
      <c r="AT88" s="498"/>
      <c r="AU88" s="498"/>
      <c r="DO88" s="494"/>
      <c r="DP88" s="496" t="s">
        <v>1284</v>
      </c>
      <c r="DQ88" s="496" t="s">
        <v>1083</v>
      </c>
      <c r="DR88" s="496" t="s">
        <v>689</v>
      </c>
      <c r="DS88" s="496" t="s">
        <v>1285</v>
      </c>
      <c r="DT88" s="496" t="s">
        <v>5742</v>
      </c>
      <c r="DU88" s="496" t="s">
        <v>1085</v>
      </c>
      <c r="DV88" s="496" t="s">
        <v>5743</v>
      </c>
      <c r="DW88" s="496" t="s">
        <v>3961</v>
      </c>
      <c r="DX88" s="497" t="s">
        <v>1153</v>
      </c>
      <c r="DZ88" s="543">
        <v>1</v>
      </c>
      <c r="EB88" s="493"/>
      <c r="EC88" s="493"/>
    </row>
    <row r="89" spans="5:133" ht="21" customHeight="1">
      <c r="E89" s="716"/>
      <c r="F89" s="724"/>
      <c r="G89" s="725"/>
      <c r="H89" s="724"/>
      <c r="I89" s="726"/>
      <c r="J89" s="950"/>
      <c r="K89" s="951"/>
      <c r="L89" s="793"/>
      <c r="M89" s="952"/>
      <c r="N89" s="953"/>
      <c r="O89" s="954"/>
      <c r="P89" s="955"/>
      <c r="Q89" s="956"/>
      <c r="R89" s="957"/>
      <c r="S89" s="800"/>
      <c r="T89" s="958"/>
      <c r="U89" s="802"/>
      <c r="V89" s="959"/>
      <c r="W89" s="960"/>
      <c r="X89" s="805"/>
      <c r="Y89" s="816"/>
      <c r="AA89" s="689"/>
      <c r="AC89" s="1243" t="s">
        <v>1287</v>
      </c>
      <c r="AD89" s="1243"/>
      <c r="AE89" s="1243"/>
      <c r="AF89" s="1243"/>
      <c r="AG89" s="1243"/>
      <c r="AH89" s="1243"/>
      <c r="AI89" s="1243"/>
      <c r="AJ89" s="1243"/>
      <c r="AK89" s="1243"/>
      <c r="AL89" s="1243"/>
      <c r="AM89" s="1243"/>
      <c r="AN89" s="1243"/>
      <c r="AO89" s="1243"/>
      <c r="AP89" s="1243"/>
      <c r="AQ89" s="1243"/>
      <c r="AR89" s="1243"/>
      <c r="AS89" s="1243"/>
      <c r="AT89" s="1243"/>
      <c r="AU89" s="1243"/>
      <c r="DO89" s="494"/>
      <c r="DP89" s="496" t="s">
        <v>1288</v>
      </c>
      <c r="DQ89" s="496" t="s">
        <v>1083</v>
      </c>
      <c r="DR89" s="496" t="s">
        <v>689</v>
      </c>
      <c r="DS89" s="496" t="s">
        <v>910</v>
      </c>
      <c r="DT89" s="496" t="s">
        <v>910</v>
      </c>
      <c r="DU89" s="496" t="s">
        <v>1085</v>
      </c>
      <c r="DV89" s="496" t="s">
        <v>1086</v>
      </c>
      <c r="DW89" s="496" t="s">
        <v>1087</v>
      </c>
      <c r="DX89" s="497" t="s">
        <v>1088</v>
      </c>
      <c r="DZ89" s="543">
        <v>1</v>
      </c>
      <c r="EB89" s="493"/>
      <c r="EC89" s="493"/>
    </row>
    <row r="90" spans="5:133" ht="21" customHeight="1">
      <c r="E90" s="716"/>
      <c r="F90" s="724"/>
      <c r="G90" s="725"/>
      <c r="H90" s="724"/>
      <c r="I90" s="726"/>
      <c r="J90" s="950"/>
      <c r="K90" s="951"/>
      <c r="L90" s="793"/>
      <c r="M90" s="952"/>
      <c r="N90" s="953"/>
      <c r="O90" s="954"/>
      <c r="P90" s="955"/>
      <c r="Q90" s="956"/>
      <c r="R90" s="957"/>
      <c r="S90" s="800"/>
      <c r="T90" s="958"/>
      <c r="U90" s="802"/>
      <c r="V90" s="959"/>
      <c r="W90" s="960"/>
      <c r="X90" s="805"/>
      <c r="Y90" s="816"/>
      <c r="AA90" s="689"/>
      <c r="AC90" s="547" t="s">
        <v>1289</v>
      </c>
      <c r="AD90" s="548" t="s">
        <v>1290</v>
      </c>
      <c r="AE90" s="549" t="s">
        <v>1291</v>
      </c>
      <c r="AF90" s="550" t="s">
        <v>1292</v>
      </c>
      <c r="AG90" s="498"/>
      <c r="AH90" s="498"/>
      <c r="AI90" s="498"/>
      <c r="AJ90" s="498"/>
      <c r="AK90" s="498"/>
      <c r="AL90" s="498"/>
      <c r="AM90" s="498"/>
      <c r="AN90" s="498"/>
      <c r="AO90" s="498"/>
      <c r="AP90" s="498"/>
      <c r="AQ90" s="498"/>
      <c r="AR90" s="498"/>
      <c r="AS90" s="498"/>
      <c r="AT90" s="498"/>
      <c r="AU90" s="498"/>
      <c r="DO90" s="494"/>
      <c r="DP90" s="496" t="s">
        <v>1293</v>
      </c>
      <c r="DQ90" s="496" t="s">
        <v>1083</v>
      </c>
      <c r="DR90" s="496" t="s">
        <v>689</v>
      </c>
      <c r="DS90" s="496" t="s">
        <v>911</v>
      </c>
      <c r="DT90" s="496" t="s">
        <v>911</v>
      </c>
      <c r="DU90" s="496" t="s">
        <v>1085</v>
      </c>
      <c r="DV90" s="496" t="s">
        <v>1086</v>
      </c>
      <c r="DW90" s="496" t="s">
        <v>1087</v>
      </c>
      <c r="DX90" s="497" t="s">
        <v>1088</v>
      </c>
      <c r="DZ90" s="543">
        <v>1</v>
      </c>
      <c r="EB90" s="493"/>
      <c r="EC90" s="493"/>
    </row>
    <row r="91" spans="5:133" ht="21" customHeight="1">
      <c r="E91" s="716"/>
      <c r="F91" s="724"/>
      <c r="G91" s="725"/>
      <c r="H91" s="724"/>
      <c r="I91" s="726"/>
      <c r="J91" s="950"/>
      <c r="K91" s="951"/>
      <c r="L91" s="793"/>
      <c r="M91" s="952"/>
      <c r="N91" s="953"/>
      <c r="O91" s="954"/>
      <c r="P91" s="955"/>
      <c r="Q91" s="956"/>
      <c r="R91" s="957"/>
      <c r="S91" s="800"/>
      <c r="T91" s="958"/>
      <c r="U91" s="802"/>
      <c r="V91" s="959"/>
      <c r="W91" s="960"/>
      <c r="X91" s="805"/>
      <c r="Y91" s="816"/>
      <c r="AA91" s="689"/>
      <c r="AC91" s="523">
        <v>1</v>
      </c>
      <c r="AD91" s="524" t="s">
        <v>1294</v>
      </c>
      <c r="AE91" s="525" t="s">
        <v>1295</v>
      </c>
      <c r="AF91" s="526" t="s">
        <v>1296</v>
      </c>
      <c r="AG91" s="498"/>
      <c r="AH91" s="498"/>
      <c r="AI91" s="498"/>
      <c r="AJ91" s="498"/>
      <c r="AK91" s="498"/>
      <c r="AL91" s="498"/>
      <c r="AM91" s="498"/>
      <c r="AN91" s="498"/>
      <c r="AO91" s="498"/>
      <c r="AP91" s="498"/>
      <c r="AQ91" s="498"/>
      <c r="AR91" s="498"/>
      <c r="AS91" s="498"/>
      <c r="AT91" s="498"/>
      <c r="AU91" s="498"/>
      <c r="DO91" s="494"/>
      <c r="DP91" s="496" t="s">
        <v>1297</v>
      </c>
      <c r="DQ91" s="496" t="s">
        <v>1083</v>
      </c>
      <c r="DR91" s="496" t="s">
        <v>689</v>
      </c>
      <c r="DS91" s="496" t="s">
        <v>912</v>
      </c>
      <c r="DT91" s="496" t="s">
        <v>912</v>
      </c>
      <c r="DU91" s="496" t="s">
        <v>1085</v>
      </c>
      <c r="DV91" s="496" t="s">
        <v>1086</v>
      </c>
      <c r="DW91" s="496" t="s">
        <v>1087</v>
      </c>
      <c r="DX91" s="497" t="s">
        <v>1088</v>
      </c>
      <c r="DZ91" s="543">
        <v>1</v>
      </c>
      <c r="EB91" s="493"/>
      <c r="EC91" s="493"/>
    </row>
    <row r="92" spans="5:133" ht="21" customHeight="1">
      <c r="E92" s="716"/>
      <c r="F92" s="724"/>
      <c r="G92" s="725"/>
      <c r="H92" s="724"/>
      <c r="I92" s="726"/>
      <c r="J92" s="950"/>
      <c r="K92" s="951"/>
      <c r="L92" s="793"/>
      <c r="M92" s="952"/>
      <c r="N92" s="953"/>
      <c r="O92" s="954"/>
      <c r="P92" s="955"/>
      <c r="Q92" s="956"/>
      <c r="R92" s="957"/>
      <c r="S92" s="800"/>
      <c r="T92" s="958"/>
      <c r="U92" s="802"/>
      <c r="V92" s="959"/>
      <c r="W92" s="960"/>
      <c r="X92" s="805"/>
      <c r="Y92" s="816"/>
      <c r="AA92" s="689"/>
      <c r="AC92" s="523">
        <v>2</v>
      </c>
      <c r="AD92" s="524" t="s">
        <v>1298</v>
      </c>
      <c r="AE92" s="525" t="s">
        <v>1295</v>
      </c>
      <c r="AF92" s="526" t="s">
        <v>1299</v>
      </c>
      <c r="AG92" s="498"/>
      <c r="AH92" s="498"/>
      <c r="AI92" s="498"/>
      <c r="AJ92" s="498"/>
      <c r="AK92" s="498"/>
      <c r="AL92" s="498"/>
      <c r="AM92" s="498"/>
      <c r="AN92" s="498"/>
      <c r="AO92" s="498"/>
      <c r="AP92" s="498"/>
      <c r="AQ92" s="498"/>
      <c r="AR92" s="498"/>
      <c r="AS92" s="498"/>
      <c r="AT92" s="498"/>
      <c r="AU92" s="498"/>
      <c r="DO92" s="494"/>
      <c r="DP92" s="496" t="s">
        <v>1300</v>
      </c>
      <c r="DQ92" s="496" t="s">
        <v>1083</v>
      </c>
      <c r="DR92" s="496" t="s">
        <v>689</v>
      </c>
      <c r="DS92" s="496" t="s">
        <v>314</v>
      </c>
      <c r="DT92" s="496" t="s">
        <v>314</v>
      </c>
      <c r="DU92" s="496" t="s">
        <v>1085</v>
      </c>
      <c r="DV92" s="496" t="s">
        <v>1086</v>
      </c>
      <c r="DW92" s="496" t="s">
        <v>1087</v>
      </c>
      <c r="DX92" s="497" t="s">
        <v>1088</v>
      </c>
      <c r="DZ92" s="543">
        <v>1</v>
      </c>
      <c r="EB92" s="493"/>
      <c r="EC92" s="493"/>
    </row>
    <row r="93" spans="5:133" ht="21" customHeight="1">
      <c r="E93" s="716"/>
      <c r="F93" s="724"/>
      <c r="G93" s="725"/>
      <c r="H93" s="724"/>
      <c r="I93" s="726"/>
      <c r="J93" s="950"/>
      <c r="K93" s="951"/>
      <c r="L93" s="793"/>
      <c r="M93" s="952"/>
      <c r="N93" s="953"/>
      <c r="O93" s="954"/>
      <c r="P93" s="955"/>
      <c r="Q93" s="956"/>
      <c r="R93" s="957"/>
      <c r="S93" s="800"/>
      <c r="T93" s="958"/>
      <c r="U93" s="802"/>
      <c r="V93" s="959"/>
      <c r="W93" s="960"/>
      <c r="X93" s="805"/>
      <c r="Y93" s="816"/>
      <c r="AA93" s="689"/>
      <c r="AC93" s="523">
        <v>3</v>
      </c>
      <c r="AD93" s="524" t="s">
        <v>1301</v>
      </c>
      <c r="AE93" s="525" t="s">
        <v>1295</v>
      </c>
      <c r="AF93" s="526" t="s">
        <v>674</v>
      </c>
      <c r="AG93" s="498"/>
      <c r="AH93" s="498"/>
      <c r="AI93" s="498"/>
      <c r="AJ93" s="498"/>
      <c r="AK93" s="498"/>
      <c r="AL93" s="498"/>
      <c r="AM93" s="498"/>
      <c r="AN93" s="498"/>
      <c r="AO93" s="498"/>
      <c r="AP93" s="498"/>
      <c r="AQ93" s="498"/>
      <c r="AR93" s="498"/>
      <c r="AS93" s="498"/>
      <c r="AT93" s="498"/>
      <c r="AU93" s="498"/>
      <c r="DO93" s="494"/>
      <c r="DP93" s="496" t="s">
        <v>1302</v>
      </c>
      <c r="DQ93" s="496" t="s">
        <v>1083</v>
      </c>
      <c r="DR93" s="496" t="s">
        <v>689</v>
      </c>
      <c r="DS93" s="496" t="s">
        <v>1303</v>
      </c>
      <c r="DT93" s="496" t="s">
        <v>1303</v>
      </c>
      <c r="DU93" s="496" t="s">
        <v>1151</v>
      </c>
      <c r="DV93" s="496" t="s">
        <v>1152</v>
      </c>
      <c r="DW93" s="496" t="s">
        <v>1087</v>
      </c>
      <c r="DX93" s="497" t="s">
        <v>1153</v>
      </c>
      <c r="DZ93" s="543">
        <v>1</v>
      </c>
      <c r="EB93" s="493"/>
      <c r="EC93" s="493"/>
    </row>
    <row r="94" spans="5:133" ht="21" customHeight="1">
      <c r="E94" s="716"/>
      <c r="F94" s="724"/>
      <c r="G94" s="725"/>
      <c r="H94" s="724"/>
      <c r="I94" s="726"/>
      <c r="J94" s="950"/>
      <c r="K94" s="951"/>
      <c r="L94" s="793"/>
      <c r="M94" s="952"/>
      <c r="N94" s="953"/>
      <c r="O94" s="954"/>
      <c r="P94" s="955"/>
      <c r="Q94" s="956"/>
      <c r="R94" s="957"/>
      <c r="S94" s="800"/>
      <c r="T94" s="958"/>
      <c r="U94" s="802"/>
      <c r="V94" s="959"/>
      <c r="W94" s="960"/>
      <c r="X94" s="805"/>
      <c r="Y94" s="816"/>
      <c r="AA94" s="689"/>
      <c r="AC94" s="523">
        <v>4</v>
      </c>
      <c r="AD94" s="524" t="s">
        <v>1304</v>
      </c>
      <c r="AE94" s="525" t="s">
        <v>1295</v>
      </c>
      <c r="AF94" s="526" t="s">
        <v>1305</v>
      </c>
      <c r="AG94" s="498"/>
      <c r="AH94" s="498"/>
      <c r="AI94" s="498"/>
      <c r="AJ94" s="498"/>
      <c r="AK94" s="498"/>
      <c r="AL94" s="498"/>
      <c r="AM94" s="498"/>
      <c r="AN94" s="498"/>
      <c r="AO94" s="498"/>
      <c r="AP94" s="498"/>
      <c r="AQ94" s="498"/>
      <c r="AR94" s="498"/>
      <c r="AS94" s="498"/>
      <c r="AT94" s="498"/>
      <c r="AU94" s="498"/>
      <c r="DO94" s="494"/>
      <c r="DP94" s="496" t="s">
        <v>1306</v>
      </c>
      <c r="DQ94" s="496" t="s">
        <v>1083</v>
      </c>
      <c r="DR94" s="496" t="s">
        <v>689</v>
      </c>
      <c r="DS94" s="496" t="s">
        <v>315</v>
      </c>
      <c r="DT94" s="496" t="s">
        <v>315</v>
      </c>
      <c r="DU94" s="496" t="s">
        <v>1151</v>
      </c>
      <c r="DV94" s="496" t="s">
        <v>1152</v>
      </c>
      <c r="DW94" s="496" t="s">
        <v>1087</v>
      </c>
      <c r="DX94" s="497" t="s">
        <v>1153</v>
      </c>
      <c r="DZ94" s="543">
        <v>1</v>
      </c>
      <c r="EB94" s="493"/>
      <c r="EC94" s="493"/>
    </row>
    <row r="95" spans="5:133" ht="21" customHeight="1">
      <c r="E95" s="716"/>
      <c r="F95" s="724"/>
      <c r="G95" s="725"/>
      <c r="H95" s="724"/>
      <c r="I95" s="726"/>
      <c r="J95" s="950"/>
      <c r="K95" s="951"/>
      <c r="L95" s="793"/>
      <c r="M95" s="952"/>
      <c r="N95" s="953"/>
      <c r="O95" s="954"/>
      <c r="P95" s="955"/>
      <c r="Q95" s="956"/>
      <c r="R95" s="957"/>
      <c r="S95" s="800"/>
      <c r="T95" s="958"/>
      <c r="U95" s="802"/>
      <c r="V95" s="959"/>
      <c r="W95" s="960"/>
      <c r="X95" s="805"/>
      <c r="Y95" s="816"/>
      <c r="AA95" s="689"/>
      <c r="AC95" s="523">
        <v>5</v>
      </c>
      <c r="AD95" s="524" t="s">
        <v>1307</v>
      </c>
      <c r="AE95" s="525" t="s">
        <v>1295</v>
      </c>
      <c r="AF95" s="526" t="s">
        <v>1308</v>
      </c>
      <c r="AG95" s="498"/>
      <c r="AH95" s="498"/>
      <c r="AI95" s="498"/>
      <c r="AJ95" s="498"/>
      <c r="AK95" s="498"/>
      <c r="AL95" s="498"/>
      <c r="AM95" s="498"/>
      <c r="AN95" s="498"/>
      <c r="AO95" s="498"/>
      <c r="AP95" s="498"/>
      <c r="AQ95" s="498"/>
      <c r="AR95" s="498"/>
      <c r="AS95" s="498"/>
      <c r="AT95" s="498"/>
      <c r="AU95" s="498"/>
      <c r="DO95" s="494"/>
      <c r="DP95" s="496" t="s">
        <v>1309</v>
      </c>
      <c r="DQ95" s="496" t="s">
        <v>1083</v>
      </c>
      <c r="DR95" s="496" t="s">
        <v>689</v>
      </c>
      <c r="DS95" s="496" t="s">
        <v>131</v>
      </c>
      <c r="DT95" s="496" t="s">
        <v>131</v>
      </c>
      <c r="DU95" s="496" t="s">
        <v>1085</v>
      </c>
      <c r="DV95" s="496" t="s">
        <v>1086</v>
      </c>
      <c r="DW95" s="496" t="s">
        <v>1087</v>
      </c>
      <c r="DX95" s="497" t="s">
        <v>1088</v>
      </c>
      <c r="DZ95" s="543">
        <v>1</v>
      </c>
      <c r="EB95" s="493"/>
      <c r="EC95" s="493"/>
    </row>
    <row r="96" spans="5:133" ht="21" customHeight="1">
      <c r="E96" s="716"/>
      <c r="F96" s="724"/>
      <c r="G96" s="725"/>
      <c r="H96" s="724"/>
      <c r="I96" s="726"/>
      <c r="J96" s="950"/>
      <c r="K96" s="951"/>
      <c r="L96" s="793"/>
      <c r="M96" s="952"/>
      <c r="N96" s="953"/>
      <c r="O96" s="954"/>
      <c r="P96" s="955"/>
      <c r="Q96" s="956"/>
      <c r="R96" s="957"/>
      <c r="S96" s="800"/>
      <c r="T96" s="958"/>
      <c r="U96" s="802"/>
      <c r="V96" s="959"/>
      <c r="W96" s="960"/>
      <c r="X96" s="805"/>
      <c r="Y96" s="816"/>
      <c r="AA96" s="689"/>
      <c r="AC96" s="523">
        <v>6</v>
      </c>
      <c r="AD96" s="524" t="s">
        <v>1310</v>
      </c>
      <c r="AE96" s="525" t="s">
        <v>1311</v>
      </c>
      <c r="AF96" s="526" t="s">
        <v>1312</v>
      </c>
      <c r="AG96" s="498"/>
      <c r="AH96" s="498"/>
      <c r="AI96" s="498"/>
      <c r="AJ96" s="498"/>
      <c r="AK96" s="498"/>
      <c r="AL96" s="498"/>
      <c r="AM96" s="498"/>
      <c r="AN96" s="498"/>
      <c r="AO96" s="498"/>
      <c r="AP96" s="498"/>
      <c r="AQ96" s="498"/>
      <c r="AR96" s="498"/>
      <c r="AS96" s="498"/>
      <c r="AT96" s="498"/>
      <c r="AU96" s="498"/>
      <c r="DO96" s="494"/>
      <c r="DP96" s="496" t="s">
        <v>1313</v>
      </c>
      <c r="DQ96" s="496" t="s">
        <v>1083</v>
      </c>
      <c r="DR96" s="496" t="s">
        <v>689</v>
      </c>
      <c r="DS96" s="496" t="s">
        <v>316</v>
      </c>
      <c r="DT96" s="496" t="s">
        <v>316</v>
      </c>
      <c r="DU96" s="496" t="s">
        <v>1085</v>
      </c>
      <c r="DV96" s="496" t="s">
        <v>1086</v>
      </c>
      <c r="DW96" s="496" t="s">
        <v>1087</v>
      </c>
      <c r="DX96" s="497" t="s">
        <v>1088</v>
      </c>
      <c r="DZ96" s="543">
        <v>1</v>
      </c>
      <c r="EB96" s="493"/>
      <c r="EC96" s="493"/>
    </row>
    <row r="97" spans="5:133" ht="21" customHeight="1">
      <c r="E97" s="716"/>
      <c r="F97" s="724"/>
      <c r="G97" s="725"/>
      <c r="H97" s="724"/>
      <c r="I97" s="726"/>
      <c r="J97" s="950"/>
      <c r="K97" s="951"/>
      <c r="L97" s="793"/>
      <c r="M97" s="952"/>
      <c r="N97" s="953"/>
      <c r="O97" s="954"/>
      <c r="P97" s="955"/>
      <c r="Q97" s="956"/>
      <c r="R97" s="957"/>
      <c r="S97" s="800"/>
      <c r="T97" s="958"/>
      <c r="U97" s="802"/>
      <c r="V97" s="959"/>
      <c r="W97" s="960"/>
      <c r="X97" s="805"/>
      <c r="Y97" s="816"/>
      <c r="AA97" s="689"/>
      <c r="AC97" s="523">
        <v>7</v>
      </c>
      <c r="AD97" s="524" t="s">
        <v>1314</v>
      </c>
      <c r="AE97" s="525" t="s">
        <v>1315</v>
      </c>
      <c r="AF97" s="526" t="s">
        <v>1316</v>
      </c>
      <c r="AG97" s="498"/>
      <c r="AH97" s="498"/>
      <c r="AI97" s="498"/>
      <c r="AJ97" s="498"/>
      <c r="AK97" s="498"/>
      <c r="AL97" s="498"/>
      <c r="AM97" s="498"/>
      <c r="AN97" s="498"/>
      <c r="AO97" s="498"/>
      <c r="AP97" s="498"/>
      <c r="AQ97" s="498"/>
      <c r="AR97" s="498"/>
      <c r="AS97" s="498"/>
      <c r="AT97" s="498"/>
      <c r="AU97" s="498"/>
      <c r="DO97" s="494"/>
      <c r="DP97" s="496" t="s">
        <v>1317</v>
      </c>
      <c r="DQ97" s="496" t="s">
        <v>1083</v>
      </c>
      <c r="DR97" s="496" t="s">
        <v>689</v>
      </c>
      <c r="DS97" s="496" t="s">
        <v>1318</v>
      </c>
      <c r="DT97" s="496" t="s">
        <v>1319</v>
      </c>
      <c r="DU97" s="496" t="s">
        <v>1085</v>
      </c>
      <c r="DV97" s="496" t="s">
        <v>1086</v>
      </c>
      <c r="DW97" s="496" t="s">
        <v>1087</v>
      </c>
      <c r="DX97" s="497" t="s">
        <v>1088</v>
      </c>
      <c r="DZ97" s="543">
        <v>1</v>
      </c>
      <c r="EB97" s="493"/>
      <c r="EC97" s="493"/>
    </row>
    <row r="98" spans="5:133" ht="21" customHeight="1">
      <c r="E98" s="716"/>
      <c r="F98" s="724"/>
      <c r="G98" s="725"/>
      <c r="H98" s="724"/>
      <c r="I98" s="726"/>
      <c r="J98" s="950"/>
      <c r="K98" s="951"/>
      <c r="L98" s="793"/>
      <c r="M98" s="952"/>
      <c r="N98" s="953"/>
      <c r="O98" s="954"/>
      <c r="P98" s="955"/>
      <c r="Q98" s="956"/>
      <c r="R98" s="957"/>
      <c r="S98" s="800"/>
      <c r="T98" s="958"/>
      <c r="U98" s="802"/>
      <c r="V98" s="959"/>
      <c r="W98" s="960"/>
      <c r="X98" s="805"/>
      <c r="Y98" s="816"/>
      <c r="AA98" s="689"/>
      <c r="AC98" s="523">
        <v>8</v>
      </c>
      <c r="AD98" s="524" t="s">
        <v>1320</v>
      </c>
      <c r="AE98" s="525" t="s">
        <v>1321</v>
      </c>
      <c r="AF98" s="526" t="s">
        <v>1322</v>
      </c>
      <c r="AG98" s="498"/>
      <c r="AH98" s="498"/>
      <c r="AI98" s="498"/>
      <c r="AJ98" s="498"/>
      <c r="AK98" s="498"/>
      <c r="AL98" s="498"/>
      <c r="AM98" s="498"/>
      <c r="AN98" s="498"/>
      <c r="AO98" s="498"/>
      <c r="AP98" s="498"/>
      <c r="AQ98" s="498"/>
      <c r="AR98" s="498"/>
      <c r="AS98" s="498"/>
      <c r="AT98" s="498"/>
      <c r="AU98" s="498"/>
      <c r="DO98" s="494"/>
      <c r="DP98" s="496" t="s">
        <v>1323</v>
      </c>
      <c r="DQ98" s="496" t="s">
        <v>1083</v>
      </c>
      <c r="DR98" s="496" t="s">
        <v>689</v>
      </c>
      <c r="DS98" s="496" t="s">
        <v>1324</v>
      </c>
      <c r="DT98" s="496" t="s">
        <v>1324</v>
      </c>
      <c r="DU98" s="496" t="s">
        <v>1085</v>
      </c>
      <c r="DV98" s="496" t="s">
        <v>1086</v>
      </c>
      <c r="DW98" s="496" t="s">
        <v>1087</v>
      </c>
      <c r="DX98" s="497" t="s">
        <v>1088</v>
      </c>
      <c r="DZ98" s="543">
        <v>1</v>
      </c>
      <c r="EB98" s="493"/>
      <c r="EC98" s="493"/>
    </row>
    <row r="99" spans="5:133" ht="21" customHeight="1">
      <c r="E99" s="716"/>
      <c r="F99" s="724"/>
      <c r="G99" s="725"/>
      <c r="H99" s="724"/>
      <c r="I99" s="726"/>
      <c r="J99" s="950"/>
      <c r="K99" s="951"/>
      <c r="L99" s="793"/>
      <c r="M99" s="952"/>
      <c r="N99" s="953"/>
      <c r="O99" s="954"/>
      <c r="P99" s="955"/>
      <c r="Q99" s="956"/>
      <c r="R99" s="957"/>
      <c r="S99" s="800"/>
      <c r="T99" s="958"/>
      <c r="U99" s="802"/>
      <c r="V99" s="959"/>
      <c r="W99" s="960"/>
      <c r="X99" s="805"/>
      <c r="Y99" s="816"/>
      <c r="AA99" s="689"/>
      <c r="AC99" s="523">
        <v>9</v>
      </c>
      <c r="AD99" s="524" t="s">
        <v>1325</v>
      </c>
      <c r="AE99" s="525" t="s">
        <v>1326</v>
      </c>
      <c r="AF99" s="526" t="s">
        <v>1327</v>
      </c>
      <c r="AG99" s="498"/>
      <c r="AH99" s="498"/>
      <c r="AI99" s="498"/>
      <c r="AJ99" s="498"/>
      <c r="AK99" s="498"/>
      <c r="AL99" s="498"/>
      <c r="AM99" s="498"/>
      <c r="AN99" s="498"/>
      <c r="AO99" s="498"/>
      <c r="AP99" s="498"/>
      <c r="AQ99" s="498"/>
      <c r="AR99" s="498"/>
      <c r="AS99" s="498"/>
      <c r="AT99" s="498"/>
      <c r="AU99" s="498"/>
      <c r="DO99" s="494"/>
      <c r="DP99" s="496" t="s">
        <v>1328</v>
      </c>
      <c r="DQ99" s="496" t="s">
        <v>1083</v>
      </c>
      <c r="DR99" s="496" t="s">
        <v>689</v>
      </c>
      <c r="DS99" s="496" t="s">
        <v>1329</v>
      </c>
      <c r="DT99" s="496" t="s">
        <v>1330</v>
      </c>
      <c r="DU99" s="496" t="s">
        <v>1085</v>
      </c>
      <c r="DV99" s="496" t="s">
        <v>1086</v>
      </c>
      <c r="DW99" s="496" t="s">
        <v>1087</v>
      </c>
      <c r="DX99" s="497" t="s">
        <v>1088</v>
      </c>
      <c r="DZ99" s="543">
        <v>1</v>
      </c>
      <c r="EB99" s="493"/>
      <c r="EC99" s="493"/>
    </row>
    <row r="100" spans="5:133" ht="21" customHeight="1">
      <c r="E100" s="716"/>
      <c r="F100" s="724"/>
      <c r="G100" s="725"/>
      <c r="H100" s="724"/>
      <c r="I100" s="726"/>
      <c r="J100" s="950"/>
      <c r="K100" s="951"/>
      <c r="L100" s="793"/>
      <c r="M100" s="952"/>
      <c r="N100" s="953"/>
      <c r="O100" s="954"/>
      <c r="P100" s="955"/>
      <c r="Q100" s="956"/>
      <c r="R100" s="957"/>
      <c r="S100" s="800"/>
      <c r="T100" s="958"/>
      <c r="U100" s="802"/>
      <c r="V100" s="959"/>
      <c r="W100" s="960"/>
      <c r="X100" s="805"/>
      <c r="Y100" s="816"/>
      <c r="AA100" s="689"/>
      <c r="AC100" s="527">
        <v>10</v>
      </c>
      <c r="AD100" s="528" t="s">
        <v>1331</v>
      </c>
      <c r="AE100" s="529" t="s">
        <v>1332</v>
      </c>
      <c r="AF100" s="530" t="s">
        <v>1333</v>
      </c>
      <c r="AG100" s="498"/>
      <c r="AH100" s="498"/>
      <c r="AI100" s="498"/>
      <c r="AJ100" s="498"/>
      <c r="AK100" s="498"/>
      <c r="AL100" s="498"/>
      <c r="AM100" s="498"/>
      <c r="AN100" s="498"/>
      <c r="AO100" s="498"/>
      <c r="AP100" s="498"/>
      <c r="AQ100" s="498"/>
      <c r="AR100" s="498"/>
      <c r="AS100" s="498"/>
      <c r="AT100" s="498"/>
      <c r="AU100" s="498"/>
      <c r="DO100" s="494"/>
      <c r="DP100" s="496" t="s">
        <v>1334</v>
      </c>
      <c r="DQ100" s="496" t="s">
        <v>1083</v>
      </c>
      <c r="DR100" s="496" t="s">
        <v>689</v>
      </c>
      <c r="DS100" s="496" t="s">
        <v>1335</v>
      </c>
      <c r="DT100" s="496" t="s">
        <v>1335</v>
      </c>
      <c r="DU100" s="496" t="s">
        <v>1085</v>
      </c>
      <c r="DV100" s="496" t="s">
        <v>1086</v>
      </c>
      <c r="DW100" s="496" t="s">
        <v>1087</v>
      </c>
      <c r="DX100" s="497" t="s">
        <v>1088</v>
      </c>
      <c r="DZ100" s="543">
        <v>1</v>
      </c>
      <c r="EB100" s="493"/>
      <c r="EC100" s="493"/>
    </row>
    <row r="101" spans="5:133" ht="21" customHeight="1">
      <c r="E101" s="716"/>
      <c r="F101" s="724"/>
      <c r="G101" s="725"/>
      <c r="H101" s="724"/>
      <c r="I101" s="726"/>
      <c r="J101" s="950"/>
      <c r="K101" s="951"/>
      <c r="L101" s="793"/>
      <c r="M101" s="952"/>
      <c r="N101" s="953"/>
      <c r="O101" s="954"/>
      <c r="P101" s="955"/>
      <c r="Q101" s="956"/>
      <c r="R101" s="957"/>
      <c r="S101" s="800"/>
      <c r="T101" s="958"/>
      <c r="U101" s="802"/>
      <c r="V101" s="959"/>
      <c r="W101" s="960"/>
      <c r="X101" s="805"/>
      <c r="Y101" s="816"/>
      <c r="AA101" s="689"/>
      <c r="AC101" s="498"/>
      <c r="AD101" s="521"/>
      <c r="AE101" s="522"/>
      <c r="AF101" s="522"/>
      <c r="AG101" s="498"/>
      <c r="AH101" s="498"/>
      <c r="AI101" s="498"/>
      <c r="AJ101" s="498"/>
      <c r="AK101" s="498"/>
      <c r="AL101" s="498"/>
      <c r="AM101" s="498"/>
      <c r="AN101" s="498"/>
      <c r="AO101" s="498"/>
      <c r="AP101" s="498"/>
      <c r="AQ101" s="498"/>
      <c r="AR101" s="498"/>
      <c r="AS101" s="498"/>
      <c r="AT101" s="498"/>
      <c r="AU101" s="498"/>
      <c r="DO101" s="494"/>
      <c r="DP101" s="496" t="s">
        <v>1336</v>
      </c>
      <c r="DQ101" s="496" t="s">
        <v>1083</v>
      </c>
      <c r="DR101" s="496" t="s">
        <v>689</v>
      </c>
      <c r="DS101" s="496" t="s">
        <v>1337</v>
      </c>
      <c r="DT101" s="496" t="s">
        <v>1337</v>
      </c>
      <c r="DU101" s="496" t="s">
        <v>1085</v>
      </c>
      <c r="DV101" s="496" t="s">
        <v>1086</v>
      </c>
      <c r="DW101" s="496" t="s">
        <v>1087</v>
      </c>
      <c r="DX101" s="497" t="s">
        <v>1088</v>
      </c>
      <c r="DZ101" s="543">
        <v>1</v>
      </c>
      <c r="EB101" s="493"/>
      <c r="EC101" s="493"/>
    </row>
    <row r="102" spans="5:133" ht="21" customHeight="1">
      <c r="E102" s="716"/>
      <c r="F102" s="724"/>
      <c r="G102" s="725"/>
      <c r="H102" s="724"/>
      <c r="I102" s="726"/>
      <c r="J102" s="950"/>
      <c r="K102" s="951"/>
      <c r="L102" s="793"/>
      <c r="M102" s="952"/>
      <c r="N102" s="953"/>
      <c r="O102" s="954"/>
      <c r="P102" s="955"/>
      <c r="Q102" s="956"/>
      <c r="R102" s="957"/>
      <c r="S102" s="800"/>
      <c r="T102" s="958"/>
      <c r="U102" s="802"/>
      <c r="V102" s="959"/>
      <c r="W102" s="960"/>
      <c r="X102" s="805"/>
      <c r="Y102" s="816"/>
      <c r="AA102" s="689"/>
      <c r="AC102" s="498"/>
      <c r="AD102" s="521"/>
      <c r="AE102" s="522"/>
      <c r="AF102" s="522"/>
      <c r="AG102" s="498"/>
      <c r="AH102" s="498"/>
      <c r="AI102" s="498"/>
      <c r="AJ102" s="498"/>
      <c r="AK102" s="498"/>
      <c r="AL102" s="498"/>
      <c r="AM102" s="498"/>
      <c r="AN102" s="498"/>
      <c r="AO102" s="498"/>
      <c r="AP102" s="498"/>
      <c r="AQ102" s="498"/>
      <c r="AR102" s="498"/>
      <c r="AS102" s="498"/>
      <c r="AT102" s="498"/>
      <c r="AU102" s="498"/>
      <c r="DO102" s="494"/>
      <c r="DP102" s="496" t="s">
        <v>1338</v>
      </c>
      <c r="DQ102" s="496" t="s">
        <v>1083</v>
      </c>
      <c r="DR102" s="496" t="s">
        <v>689</v>
      </c>
      <c r="DS102" s="496" t="s">
        <v>1339</v>
      </c>
      <c r="DT102" s="496" t="s">
        <v>1339</v>
      </c>
      <c r="DU102" s="496" t="s">
        <v>1085</v>
      </c>
      <c r="DV102" s="496" t="s">
        <v>1086</v>
      </c>
      <c r="DW102" s="496" t="s">
        <v>1087</v>
      </c>
      <c r="DX102" s="497" t="s">
        <v>1088</v>
      </c>
      <c r="DZ102" s="543">
        <v>1</v>
      </c>
      <c r="EB102" s="493"/>
      <c r="EC102" s="493"/>
    </row>
    <row r="103" spans="5:133" ht="21" customHeight="1">
      <c r="E103" s="716"/>
      <c r="F103" s="724"/>
      <c r="G103" s="725"/>
      <c r="H103" s="724"/>
      <c r="I103" s="726"/>
      <c r="J103" s="950"/>
      <c r="K103" s="951"/>
      <c r="L103" s="793"/>
      <c r="M103" s="952"/>
      <c r="N103" s="953"/>
      <c r="O103" s="954"/>
      <c r="P103" s="955"/>
      <c r="Q103" s="956"/>
      <c r="R103" s="957"/>
      <c r="S103" s="800"/>
      <c r="T103" s="958"/>
      <c r="U103" s="802"/>
      <c r="V103" s="959"/>
      <c r="W103" s="960"/>
      <c r="X103" s="805"/>
      <c r="Y103" s="816"/>
      <c r="AA103" s="689"/>
      <c r="AC103" s="1243" t="s">
        <v>1340</v>
      </c>
      <c r="AD103" s="1243"/>
      <c r="AE103" s="1243"/>
      <c r="AF103" s="1243"/>
      <c r="AG103" s="1243"/>
      <c r="AH103" s="1243"/>
      <c r="AI103" s="1243"/>
      <c r="AJ103" s="1243"/>
      <c r="AK103" s="1243"/>
      <c r="AL103" s="1243"/>
      <c r="AM103" s="1243"/>
      <c r="AN103" s="1243"/>
      <c r="AO103" s="1243"/>
      <c r="AP103" s="1243"/>
      <c r="AQ103" s="1243"/>
      <c r="AR103" s="1243"/>
      <c r="AS103" s="1243"/>
      <c r="AT103" s="1243"/>
      <c r="AU103" s="1243"/>
      <c r="DO103" s="494"/>
      <c r="DP103" s="496" t="s">
        <v>1341</v>
      </c>
      <c r="DQ103" s="496" t="s">
        <v>1083</v>
      </c>
      <c r="DR103" s="496" t="s">
        <v>689</v>
      </c>
      <c r="DS103" s="496" t="s">
        <v>1342</v>
      </c>
      <c r="DT103" s="496" t="s">
        <v>1343</v>
      </c>
      <c r="DU103" s="496" t="s">
        <v>1085</v>
      </c>
      <c r="DV103" s="496" t="s">
        <v>1086</v>
      </c>
      <c r="DW103" s="496" t="s">
        <v>1087</v>
      </c>
      <c r="DX103" s="497" t="s">
        <v>1088</v>
      </c>
      <c r="DZ103" s="543">
        <v>1</v>
      </c>
      <c r="EB103" s="493"/>
      <c r="EC103" s="493"/>
    </row>
    <row r="104" spans="5:133" ht="21" customHeight="1">
      <c r="E104" s="716"/>
      <c r="F104" s="724"/>
      <c r="G104" s="725"/>
      <c r="H104" s="724"/>
      <c r="I104" s="726"/>
      <c r="J104" s="950"/>
      <c r="K104" s="951"/>
      <c r="L104" s="793"/>
      <c r="M104" s="952"/>
      <c r="N104" s="953"/>
      <c r="O104" s="954"/>
      <c r="P104" s="955"/>
      <c r="Q104" s="956"/>
      <c r="R104" s="957"/>
      <c r="S104" s="800"/>
      <c r="T104" s="958"/>
      <c r="U104" s="802"/>
      <c r="V104" s="959"/>
      <c r="W104" s="960"/>
      <c r="X104" s="805"/>
      <c r="Y104" s="816"/>
      <c r="AA104" s="689"/>
      <c r="AC104" s="498"/>
      <c r="AD104" s="551" t="s">
        <v>5798</v>
      </c>
      <c r="AE104" s="534"/>
      <c r="AF104" s="522"/>
      <c r="AG104" s="498"/>
      <c r="AH104" s="498"/>
      <c r="AI104" s="498"/>
      <c r="AJ104" s="498"/>
      <c r="AK104" s="498"/>
      <c r="AL104" s="498"/>
      <c r="AM104" s="498"/>
      <c r="AN104" s="498"/>
      <c r="AO104" s="498"/>
      <c r="AP104" s="498"/>
      <c r="AQ104" s="498"/>
      <c r="AR104" s="498"/>
      <c r="AS104" s="498"/>
      <c r="AT104" s="498"/>
      <c r="AU104" s="498"/>
      <c r="DO104" s="494"/>
      <c r="DP104" s="496" t="s">
        <v>1344</v>
      </c>
      <c r="DQ104" s="496" t="s">
        <v>1083</v>
      </c>
      <c r="DR104" s="496" t="s">
        <v>689</v>
      </c>
      <c r="DS104" s="496" t="s">
        <v>1345</v>
      </c>
      <c r="DT104" s="496" t="s">
        <v>1345</v>
      </c>
      <c r="DU104" s="496" t="s">
        <v>1085</v>
      </c>
      <c r="DV104" s="496" t="s">
        <v>1086</v>
      </c>
      <c r="DW104" s="496" t="s">
        <v>1087</v>
      </c>
      <c r="DX104" s="497" t="s">
        <v>1088</v>
      </c>
      <c r="DZ104" s="543">
        <v>1</v>
      </c>
      <c r="EB104" s="493"/>
      <c r="EC104" s="493"/>
    </row>
    <row r="105" spans="5:133" ht="21" customHeight="1">
      <c r="E105" s="716"/>
      <c r="F105" s="724"/>
      <c r="G105" s="725"/>
      <c r="H105" s="724"/>
      <c r="I105" s="726"/>
      <c r="J105" s="950"/>
      <c r="K105" s="951"/>
      <c r="L105" s="793"/>
      <c r="M105" s="952"/>
      <c r="N105" s="953"/>
      <c r="O105" s="954"/>
      <c r="P105" s="955"/>
      <c r="Q105" s="956"/>
      <c r="R105" s="957"/>
      <c r="S105" s="800"/>
      <c r="T105" s="958"/>
      <c r="U105" s="802"/>
      <c r="V105" s="959"/>
      <c r="W105" s="960"/>
      <c r="X105" s="805"/>
      <c r="Y105" s="816"/>
      <c r="AA105" s="689"/>
      <c r="AC105" s="498"/>
      <c r="AD105" s="535" t="s">
        <v>5799</v>
      </c>
      <c r="AE105" s="536" t="s">
        <v>5800</v>
      </c>
      <c r="AF105" s="522"/>
      <c r="AG105" s="498"/>
      <c r="AH105" s="498"/>
      <c r="AI105" s="498"/>
      <c r="AJ105" s="498"/>
      <c r="AK105" s="498"/>
      <c r="AL105" s="498"/>
      <c r="AM105" s="498"/>
      <c r="AN105" s="498"/>
      <c r="AO105" s="498"/>
      <c r="AP105" s="498"/>
      <c r="AQ105" s="498"/>
      <c r="AR105" s="498"/>
      <c r="AS105" s="498"/>
      <c r="AT105" s="498"/>
      <c r="AU105" s="498"/>
      <c r="DO105" s="494"/>
      <c r="DP105" s="496" t="s">
        <v>1346</v>
      </c>
      <c r="DQ105" s="496" t="s">
        <v>1083</v>
      </c>
      <c r="DR105" s="496" t="s">
        <v>689</v>
      </c>
      <c r="DS105" s="496" t="s">
        <v>202</v>
      </c>
      <c r="DT105" s="496" t="s">
        <v>202</v>
      </c>
      <c r="DU105" s="496" t="s">
        <v>1085</v>
      </c>
      <c r="DV105" s="496" t="s">
        <v>1086</v>
      </c>
      <c r="DW105" s="496" t="s">
        <v>1087</v>
      </c>
      <c r="DX105" s="497" t="s">
        <v>1088</v>
      </c>
      <c r="DZ105" s="543">
        <v>1</v>
      </c>
      <c r="EB105" s="493"/>
      <c r="EC105" s="493"/>
    </row>
    <row r="106" spans="5:133" ht="21" customHeight="1">
      <c r="E106" s="716"/>
      <c r="F106" s="724"/>
      <c r="G106" s="725"/>
      <c r="H106" s="724"/>
      <c r="I106" s="726"/>
      <c r="J106" s="950"/>
      <c r="K106" s="951"/>
      <c r="L106" s="793"/>
      <c r="M106" s="952"/>
      <c r="N106" s="953"/>
      <c r="O106" s="954"/>
      <c r="P106" s="955"/>
      <c r="Q106" s="956"/>
      <c r="R106" s="957"/>
      <c r="S106" s="800"/>
      <c r="T106" s="958"/>
      <c r="U106" s="802"/>
      <c r="V106" s="959"/>
      <c r="W106" s="960"/>
      <c r="X106" s="805"/>
      <c r="Y106" s="816"/>
      <c r="AA106" s="689"/>
      <c r="AC106" s="498"/>
      <c r="AD106" s="535" t="s">
        <v>5801</v>
      </c>
      <c r="AE106" s="536" t="s">
        <v>5802</v>
      </c>
      <c r="AF106" s="522"/>
      <c r="AG106" s="498"/>
      <c r="AH106" s="498"/>
      <c r="AI106" s="498"/>
      <c r="AJ106" s="498"/>
      <c r="AK106" s="498"/>
      <c r="AL106" s="498"/>
      <c r="AM106" s="498"/>
      <c r="AN106" s="498"/>
      <c r="AO106" s="498"/>
      <c r="AP106" s="498"/>
      <c r="AQ106" s="498"/>
      <c r="AR106" s="498"/>
      <c r="AS106" s="498"/>
      <c r="AT106" s="498"/>
      <c r="AU106" s="498"/>
      <c r="DO106" s="494"/>
      <c r="DP106" s="496" t="s">
        <v>1347</v>
      </c>
      <c r="DQ106" s="496" t="s">
        <v>1083</v>
      </c>
      <c r="DR106" s="496" t="s">
        <v>689</v>
      </c>
      <c r="DS106" s="496" t="s">
        <v>1348</v>
      </c>
      <c r="DT106" s="496" t="s">
        <v>1348</v>
      </c>
      <c r="DU106" s="496" t="s">
        <v>1151</v>
      </c>
      <c r="DV106" s="496" t="s">
        <v>1152</v>
      </c>
      <c r="DW106" s="496" t="s">
        <v>1087</v>
      </c>
      <c r="DX106" s="497" t="s">
        <v>1153</v>
      </c>
      <c r="DZ106" s="543">
        <v>1</v>
      </c>
      <c r="EB106" s="493"/>
      <c r="EC106" s="493"/>
    </row>
    <row r="107" spans="5:133" ht="21" customHeight="1">
      <c r="E107" s="716"/>
      <c r="F107" s="724"/>
      <c r="G107" s="725"/>
      <c r="H107" s="724"/>
      <c r="I107" s="726"/>
      <c r="J107" s="950"/>
      <c r="K107" s="951"/>
      <c r="L107" s="793"/>
      <c r="M107" s="952"/>
      <c r="N107" s="953"/>
      <c r="O107" s="954"/>
      <c r="P107" s="955"/>
      <c r="Q107" s="956"/>
      <c r="R107" s="957"/>
      <c r="S107" s="800"/>
      <c r="T107" s="958"/>
      <c r="U107" s="802"/>
      <c r="V107" s="959"/>
      <c r="W107" s="960"/>
      <c r="X107" s="805"/>
      <c r="Y107" s="816"/>
      <c r="AA107" s="689"/>
      <c r="AC107" s="498"/>
      <c r="AD107" s="535" t="s">
        <v>5803</v>
      </c>
      <c r="AE107" s="536" t="s">
        <v>5804</v>
      </c>
      <c r="AF107" s="522"/>
      <c r="AG107" s="498"/>
      <c r="AH107" s="498"/>
      <c r="AI107" s="498"/>
      <c r="AJ107" s="498"/>
      <c r="AK107" s="498"/>
      <c r="AL107" s="498"/>
      <c r="AM107" s="498"/>
      <c r="AN107" s="498"/>
      <c r="AO107" s="498"/>
      <c r="AP107" s="498"/>
      <c r="AQ107" s="498"/>
      <c r="AR107" s="498"/>
      <c r="AS107" s="498"/>
      <c r="AT107" s="498"/>
      <c r="AU107" s="498"/>
      <c r="DO107" s="494"/>
      <c r="DP107" s="496" t="s">
        <v>1349</v>
      </c>
      <c r="DQ107" s="496" t="s">
        <v>1083</v>
      </c>
      <c r="DR107" s="496" t="s">
        <v>689</v>
      </c>
      <c r="DS107" s="496" t="s">
        <v>1350</v>
      </c>
      <c r="DT107" s="496" t="s">
        <v>1071</v>
      </c>
      <c r="DU107" s="496" t="s">
        <v>1085</v>
      </c>
      <c r="DV107" s="496" t="s">
        <v>1086</v>
      </c>
      <c r="DW107" s="496" t="s">
        <v>1087</v>
      </c>
      <c r="DX107" s="497" t="s">
        <v>1088</v>
      </c>
      <c r="DZ107" s="543">
        <v>1</v>
      </c>
      <c r="EB107" s="493"/>
      <c r="EC107" s="493"/>
    </row>
    <row r="108" spans="5:133" ht="21" customHeight="1">
      <c r="E108" s="716"/>
      <c r="F108" s="724"/>
      <c r="G108" s="725"/>
      <c r="H108" s="724"/>
      <c r="I108" s="726"/>
      <c r="J108" s="950"/>
      <c r="K108" s="951"/>
      <c r="L108" s="793"/>
      <c r="M108" s="952"/>
      <c r="N108" s="953"/>
      <c r="O108" s="954"/>
      <c r="P108" s="955"/>
      <c r="Q108" s="956"/>
      <c r="R108" s="957"/>
      <c r="S108" s="800"/>
      <c r="T108" s="958"/>
      <c r="U108" s="802"/>
      <c r="V108" s="959"/>
      <c r="W108" s="960"/>
      <c r="X108" s="805"/>
      <c r="Y108" s="816"/>
      <c r="AA108" s="689"/>
      <c r="AC108" s="498"/>
      <c r="AD108" s="535" t="s">
        <v>5805</v>
      </c>
      <c r="AE108" s="536" t="s">
        <v>5806</v>
      </c>
      <c r="AF108" s="522"/>
      <c r="AG108" s="498"/>
      <c r="AH108" s="498"/>
      <c r="AI108" s="498"/>
      <c r="AJ108" s="498"/>
      <c r="AK108" s="498"/>
      <c r="AL108" s="498"/>
      <c r="AM108" s="498"/>
      <c r="AN108" s="498"/>
      <c r="AO108" s="498"/>
      <c r="AP108" s="498"/>
      <c r="AQ108" s="498"/>
      <c r="AR108" s="498"/>
      <c r="AS108" s="498"/>
      <c r="AT108" s="498"/>
      <c r="AU108" s="498"/>
      <c r="DO108" s="494"/>
      <c r="DP108" s="496" t="s">
        <v>1351</v>
      </c>
      <c r="DQ108" s="496" t="s">
        <v>1083</v>
      </c>
      <c r="DR108" s="496" t="s">
        <v>689</v>
      </c>
      <c r="DS108" s="496" t="s">
        <v>1352</v>
      </c>
      <c r="DT108" s="496" t="s">
        <v>1353</v>
      </c>
      <c r="DU108" s="496" t="s">
        <v>1085</v>
      </c>
      <c r="DV108" s="496" t="s">
        <v>1086</v>
      </c>
      <c r="DW108" s="496" t="s">
        <v>1087</v>
      </c>
      <c r="DX108" s="497" t="s">
        <v>1088</v>
      </c>
      <c r="DZ108" s="543">
        <v>1</v>
      </c>
      <c r="EB108" s="493"/>
      <c r="EC108" s="493"/>
    </row>
    <row r="109" spans="5:133" ht="21" customHeight="1">
      <c r="E109" s="716"/>
      <c r="F109" s="724"/>
      <c r="G109" s="725"/>
      <c r="H109" s="724"/>
      <c r="I109" s="726"/>
      <c r="J109" s="950"/>
      <c r="K109" s="951"/>
      <c r="L109" s="793"/>
      <c r="M109" s="952"/>
      <c r="N109" s="953"/>
      <c r="O109" s="954"/>
      <c r="P109" s="955"/>
      <c r="Q109" s="956"/>
      <c r="R109" s="957"/>
      <c r="S109" s="800"/>
      <c r="T109" s="958"/>
      <c r="U109" s="802"/>
      <c r="V109" s="959"/>
      <c r="W109" s="960"/>
      <c r="X109" s="805"/>
      <c r="Y109" s="816"/>
      <c r="AA109" s="689"/>
      <c r="AC109" s="498"/>
      <c r="AD109" s="535" t="s">
        <v>5807</v>
      </c>
      <c r="AE109" s="536" t="s">
        <v>5808</v>
      </c>
      <c r="AF109" s="522"/>
      <c r="AG109" s="498"/>
      <c r="AH109" s="498"/>
      <c r="AI109" s="498"/>
      <c r="AJ109" s="498"/>
      <c r="AK109" s="498"/>
      <c r="AL109" s="498"/>
      <c r="AM109" s="498"/>
      <c r="AN109" s="498"/>
      <c r="AO109" s="498"/>
      <c r="AP109" s="498"/>
      <c r="AQ109" s="498"/>
      <c r="AR109" s="498"/>
      <c r="AS109" s="498"/>
      <c r="AT109" s="498"/>
      <c r="AU109" s="498"/>
      <c r="DO109" s="494"/>
      <c r="DP109" s="496" t="s">
        <v>1354</v>
      </c>
      <c r="DQ109" s="496" t="s">
        <v>1083</v>
      </c>
      <c r="DR109" s="496" t="s">
        <v>689</v>
      </c>
      <c r="DS109" s="496" t="s">
        <v>1355</v>
      </c>
      <c r="DT109" s="496" t="s">
        <v>1356</v>
      </c>
      <c r="DU109" s="496" t="s">
        <v>1085</v>
      </c>
      <c r="DV109" s="496" t="s">
        <v>1086</v>
      </c>
      <c r="DW109" s="496" t="s">
        <v>1087</v>
      </c>
      <c r="DX109" s="497" t="s">
        <v>1088</v>
      </c>
      <c r="DZ109" s="543">
        <v>1</v>
      </c>
      <c r="EB109" s="493"/>
      <c r="EC109" s="493"/>
    </row>
    <row r="110" spans="5:133" ht="21" customHeight="1">
      <c r="E110" s="716"/>
      <c r="F110" s="724"/>
      <c r="G110" s="725"/>
      <c r="H110" s="724"/>
      <c r="I110" s="726"/>
      <c r="J110" s="950"/>
      <c r="K110" s="951"/>
      <c r="L110" s="793"/>
      <c r="M110" s="952"/>
      <c r="N110" s="953"/>
      <c r="O110" s="954"/>
      <c r="P110" s="955"/>
      <c r="Q110" s="956"/>
      <c r="R110" s="957"/>
      <c r="S110" s="800"/>
      <c r="T110" s="958"/>
      <c r="U110" s="802"/>
      <c r="V110" s="959"/>
      <c r="W110" s="960"/>
      <c r="X110" s="805"/>
      <c r="Y110" s="816"/>
      <c r="AA110" s="689"/>
      <c r="AC110" s="498"/>
      <c r="AD110" s="535" t="s">
        <v>5809</v>
      </c>
      <c r="AE110" s="536" t="s">
        <v>5810</v>
      </c>
      <c r="AF110" s="522"/>
      <c r="AG110" s="498"/>
      <c r="AH110" s="498"/>
      <c r="AI110" s="498"/>
      <c r="AJ110" s="498"/>
      <c r="AK110" s="498"/>
      <c r="AL110" s="498"/>
      <c r="AM110" s="498"/>
      <c r="AN110" s="498"/>
      <c r="AO110" s="498"/>
      <c r="AP110" s="498"/>
      <c r="AQ110" s="498"/>
      <c r="AR110" s="498"/>
      <c r="AS110" s="498"/>
      <c r="AT110" s="498"/>
      <c r="AU110" s="498"/>
      <c r="DO110" s="494"/>
      <c r="DP110" s="496" t="s">
        <v>1357</v>
      </c>
      <c r="DQ110" s="496" t="s">
        <v>1083</v>
      </c>
      <c r="DR110" s="496" t="s">
        <v>689</v>
      </c>
      <c r="DS110" s="496" t="s">
        <v>1358</v>
      </c>
      <c r="DT110" s="496" t="s">
        <v>1359</v>
      </c>
      <c r="DU110" s="496" t="s">
        <v>1085</v>
      </c>
      <c r="DV110" s="496" t="s">
        <v>1086</v>
      </c>
      <c r="DW110" s="496" t="s">
        <v>1087</v>
      </c>
      <c r="DX110" s="497" t="s">
        <v>1088</v>
      </c>
      <c r="DZ110" s="543">
        <v>1</v>
      </c>
      <c r="EB110" s="493"/>
      <c r="EC110" s="493"/>
    </row>
    <row r="111" spans="5:133" ht="21" customHeight="1">
      <c r="E111" s="716"/>
      <c r="F111" s="724"/>
      <c r="G111" s="725"/>
      <c r="H111" s="724"/>
      <c r="I111" s="726"/>
      <c r="J111" s="950"/>
      <c r="K111" s="951"/>
      <c r="L111" s="793"/>
      <c r="M111" s="952"/>
      <c r="N111" s="953"/>
      <c r="O111" s="954"/>
      <c r="P111" s="955"/>
      <c r="Q111" s="956"/>
      <c r="R111" s="957"/>
      <c r="S111" s="800"/>
      <c r="T111" s="958"/>
      <c r="U111" s="802"/>
      <c r="V111" s="959"/>
      <c r="W111" s="960"/>
      <c r="X111" s="805"/>
      <c r="Y111" s="816"/>
      <c r="AA111" s="689"/>
      <c r="AC111" s="498"/>
      <c r="AD111" s="537"/>
      <c r="AE111" s="538"/>
      <c r="AF111" s="522"/>
      <c r="AG111" s="498"/>
      <c r="AH111" s="498"/>
      <c r="AI111" s="498"/>
      <c r="AJ111" s="498"/>
      <c r="AK111" s="498"/>
      <c r="AL111" s="498"/>
      <c r="AM111" s="498"/>
      <c r="AN111" s="498"/>
      <c r="AO111" s="498"/>
      <c r="AP111" s="498"/>
      <c r="AQ111" s="498"/>
      <c r="AR111" s="498"/>
      <c r="AS111" s="498"/>
      <c r="AT111" s="498"/>
      <c r="AU111" s="498"/>
      <c r="DO111" s="494"/>
      <c r="DP111" s="496" t="s">
        <v>1360</v>
      </c>
      <c r="DQ111" s="496" t="s">
        <v>1083</v>
      </c>
      <c r="DR111" s="496" t="s">
        <v>689</v>
      </c>
      <c r="DS111" s="496" t="s">
        <v>1361</v>
      </c>
      <c r="DT111" s="496" t="s">
        <v>1362</v>
      </c>
      <c r="DU111" s="496" t="s">
        <v>1085</v>
      </c>
      <c r="DV111" s="496" t="s">
        <v>1086</v>
      </c>
      <c r="DW111" s="496" t="s">
        <v>1087</v>
      </c>
      <c r="DX111" s="497" t="s">
        <v>1088</v>
      </c>
      <c r="DZ111" s="543">
        <v>1</v>
      </c>
      <c r="EB111" s="493"/>
      <c r="EC111" s="493"/>
    </row>
    <row r="112" spans="5:133" ht="21" customHeight="1">
      <c r="E112" s="716"/>
      <c r="F112" s="724"/>
      <c r="G112" s="725"/>
      <c r="H112" s="724"/>
      <c r="I112" s="726"/>
      <c r="J112" s="950"/>
      <c r="K112" s="951"/>
      <c r="L112" s="793"/>
      <c r="M112" s="952"/>
      <c r="N112" s="953"/>
      <c r="O112" s="954"/>
      <c r="P112" s="955"/>
      <c r="Q112" s="956"/>
      <c r="R112" s="957"/>
      <c r="S112" s="800"/>
      <c r="T112" s="958"/>
      <c r="U112" s="802"/>
      <c r="V112" s="959"/>
      <c r="W112" s="960"/>
      <c r="X112" s="805"/>
      <c r="Y112" s="816"/>
      <c r="AA112" s="689"/>
      <c r="AC112" s="498"/>
      <c r="AD112" s="552" t="s">
        <v>5811</v>
      </c>
      <c r="AE112" s="534"/>
      <c r="AF112" s="522"/>
      <c r="AG112" s="498"/>
      <c r="AH112" s="498"/>
      <c r="AI112" s="498"/>
      <c r="AJ112" s="498"/>
      <c r="AK112" s="498"/>
      <c r="AL112" s="498"/>
      <c r="AM112" s="498"/>
      <c r="AN112" s="498"/>
      <c r="AO112" s="498"/>
      <c r="AP112" s="498"/>
      <c r="AQ112" s="498"/>
      <c r="AR112" s="498"/>
      <c r="AS112" s="498"/>
      <c r="AT112" s="498"/>
      <c r="AU112" s="498"/>
      <c r="DO112" s="494"/>
      <c r="DP112" s="496" t="s">
        <v>1363</v>
      </c>
      <c r="DQ112" s="496" t="s">
        <v>1083</v>
      </c>
      <c r="DR112" s="496" t="s">
        <v>689</v>
      </c>
      <c r="DS112" s="496" t="s">
        <v>1364</v>
      </c>
      <c r="DT112" s="496" t="s">
        <v>1365</v>
      </c>
      <c r="DU112" s="496" t="s">
        <v>1085</v>
      </c>
      <c r="DV112" s="496" t="s">
        <v>1086</v>
      </c>
      <c r="DW112" s="496" t="s">
        <v>1087</v>
      </c>
      <c r="DX112" s="497" t="s">
        <v>1088</v>
      </c>
      <c r="DZ112" s="543">
        <v>1</v>
      </c>
      <c r="EB112" s="493"/>
      <c r="EC112" s="493"/>
    </row>
    <row r="113" spans="5:133" ht="21" customHeight="1">
      <c r="E113" s="716"/>
      <c r="F113" s="724"/>
      <c r="G113" s="725"/>
      <c r="H113" s="724"/>
      <c r="I113" s="726"/>
      <c r="J113" s="950"/>
      <c r="K113" s="951"/>
      <c r="L113" s="793"/>
      <c r="M113" s="952"/>
      <c r="N113" s="953"/>
      <c r="O113" s="954"/>
      <c r="P113" s="955"/>
      <c r="Q113" s="956"/>
      <c r="R113" s="957"/>
      <c r="S113" s="800"/>
      <c r="T113" s="958"/>
      <c r="U113" s="802"/>
      <c r="V113" s="959"/>
      <c r="W113" s="960"/>
      <c r="X113" s="805"/>
      <c r="Y113" s="816"/>
      <c r="AA113" s="689"/>
      <c r="AC113" s="498"/>
      <c r="AD113" s="535" t="s">
        <v>5812</v>
      </c>
      <c r="AE113" s="536" t="s">
        <v>5813</v>
      </c>
      <c r="AF113" s="522"/>
      <c r="AG113" s="498"/>
      <c r="AH113" s="498"/>
      <c r="AI113" s="498"/>
      <c r="AJ113" s="498"/>
      <c r="AK113" s="498"/>
      <c r="AL113" s="498"/>
      <c r="AM113" s="498"/>
      <c r="AN113" s="498"/>
      <c r="AO113" s="498"/>
      <c r="AP113" s="498"/>
      <c r="AQ113" s="498"/>
      <c r="AR113" s="498"/>
      <c r="AS113" s="498"/>
      <c r="AT113" s="498"/>
      <c r="AU113" s="498"/>
      <c r="DO113" s="494"/>
      <c r="DP113" s="496" t="s">
        <v>1366</v>
      </c>
      <c r="DQ113" s="496" t="s">
        <v>1083</v>
      </c>
      <c r="DR113" s="496" t="s">
        <v>689</v>
      </c>
      <c r="DS113" s="496" t="s">
        <v>1367</v>
      </c>
      <c r="DT113" s="496" t="s">
        <v>1368</v>
      </c>
      <c r="DU113" s="496" t="s">
        <v>1085</v>
      </c>
      <c r="DV113" s="496" t="s">
        <v>1086</v>
      </c>
      <c r="DW113" s="496" t="s">
        <v>1087</v>
      </c>
      <c r="DX113" s="497" t="s">
        <v>1088</v>
      </c>
      <c r="DZ113" s="543">
        <v>1</v>
      </c>
      <c r="EB113" s="493"/>
      <c r="EC113" s="493"/>
    </row>
    <row r="114" spans="5:133" ht="21" customHeight="1">
      <c r="E114" s="716"/>
      <c r="F114" s="724"/>
      <c r="G114" s="725"/>
      <c r="H114" s="724"/>
      <c r="I114" s="726"/>
      <c r="J114" s="950"/>
      <c r="K114" s="951"/>
      <c r="L114" s="793"/>
      <c r="M114" s="952"/>
      <c r="N114" s="953"/>
      <c r="O114" s="954"/>
      <c r="P114" s="955"/>
      <c r="Q114" s="956"/>
      <c r="R114" s="957"/>
      <c r="S114" s="800"/>
      <c r="T114" s="958"/>
      <c r="U114" s="802"/>
      <c r="V114" s="959"/>
      <c r="W114" s="960"/>
      <c r="X114" s="805"/>
      <c r="Y114" s="816"/>
      <c r="AA114" s="689"/>
      <c r="AC114" s="498"/>
      <c r="AD114" s="535" t="s">
        <v>5814</v>
      </c>
      <c r="AE114" s="536" t="s">
        <v>5815</v>
      </c>
      <c r="AF114" s="522"/>
      <c r="AG114" s="498"/>
      <c r="AH114" s="498"/>
      <c r="AI114" s="498"/>
      <c r="AJ114" s="498"/>
      <c r="AK114" s="498"/>
      <c r="AL114" s="498"/>
      <c r="AM114" s="498"/>
      <c r="AN114" s="498"/>
      <c r="AO114" s="498"/>
      <c r="AP114" s="498"/>
      <c r="AQ114" s="498"/>
      <c r="AR114" s="498"/>
      <c r="AS114" s="498"/>
      <c r="AT114" s="498"/>
      <c r="AU114" s="498"/>
      <c r="DO114" s="494"/>
      <c r="DP114" s="496" t="s">
        <v>1369</v>
      </c>
      <c r="DQ114" s="496" t="s">
        <v>1083</v>
      </c>
      <c r="DR114" s="496" t="s">
        <v>689</v>
      </c>
      <c r="DS114" s="496" t="s">
        <v>1370</v>
      </c>
      <c r="DT114" s="496" t="s">
        <v>1371</v>
      </c>
      <c r="DU114" s="496" t="s">
        <v>1085</v>
      </c>
      <c r="DV114" s="496" t="s">
        <v>1086</v>
      </c>
      <c r="DW114" s="496" t="s">
        <v>1087</v>
      </c>
      <c r="DX114" s="497" t="s">
        <v>1088</v>
      </c>
      <c r="DZ114" s="543">
        <v>1</v>
      </c>
      <c r="EB114" s="493"/>
      <c r="EC114" s="493"/>
    </row>
    <row r="115" spans="5:133" ht="21" customHeight="1">
      <c r="E115" s="716"/>
      <c r="F115" s="724"/>
      <c r="G115" s="725"/>
      <c r="H115" s="724"/>
      <c r="I115" s="726"/>
      <c r="J115" s="950"/>
      <c r="K115" s="951"/>
      <c r="L115" s="793"/>
      <c r="M115" s="952"/>
      <c r="N115" s="953"/>
      <c r="O115" s="954"/>
      <c r="P115" s="955"/>
      <c r="Q115" s="956"/>
      <c r="R115" s="957"/>
      <c r="S115" s="800"/>
      <c r="T115" s="958"/>
      <c r="U115" s="802"/>
      <c r="V115" s="959"/>
      <c r="W115" s="960"/>
      <c r="X115" s="805"/>
      <c r="Y115" s="816"/>
      <c r="AA115" s="689"/>
      <c r="AC115" s="553"/>
      <c r="AD115" s="535" t="s">
        <v>11</v>
      </c>
      <c r="AE115" s="539" t="s">
        <v>5816</v>
      </c>
      <c r="AF115" s="553"/>
      <c r="AG115" s="553"/>
      <c r="AH115" s="553"/>
      <c r="AI115" s="553"/>
      <c r="AJ115" s="553"/>
      <c r="AK115" s="553"/>
      <c r="AL115" s="553"/>
      <c r="AM115" s="553"/>
      <c r="AN115" s="553"/>
      <c r="AO115" s="553"/>
      <c r="AP115" s="553"/>
      <c r="AQ115" s="553"/>
      <c r="AR115" s="553"/>
      <c r="AS115" s="553"/>
      <c r="AT115" s="553"/>
      <c r="AU115" s="553"/>
      <c r="DO115" s="494"/>
      <c r="DP115" s="496" t="s">
        <v>1372</v>
      </c>
      <c r="DQ115" s="496" t="s">
        <v>1083</v>
      </c>
      <c r="DR115" s="496" t="s">
        <v>689</v>
      </c>
      <c r="DS115" s="496" t="s">
        <v>1373</v>
      </c>
      <c r="DT115" s="496" t="s">
        <v>1374</v>
      </c>
      <c r="DU115" s="496" t="s">
        <v>1085</v>
      </c>
      <c r="DV115" s="496" t="s">
        <v>1086</v>
      </c>
      <c r="DW115" s="496" t="s">
        <v>1087</v>
      </c>
      <c r="DX115" s="497" t="s">
        <v>1088</v>
      </c>
      <c r="DZ115" s="543">
        <v>1</v>
      </c>
      <c r="EB115" s="493"/>
      <c r="EC115" s="493"/>
    </row>
    <row r="116" spans="5:133" ht="21" customHeight="1">
      <c r="E116" s="716"/>
      <c r="F116" s="724"/>
      <c r="G116" s="725"/>
      <c r="H116" s="724"/>
      <c r="I116" s="726"/>
      <c r="J116" s="950"/>
      <c r="K116" s="951"/>
      <c r="L116" s="793"/>
      <c r="M116" s="952"/>
      <c r="N116" s="953"/>
      <c r="O116" s="954"/>
      <c r="P116" s="955"/>
      <c r="Q116" s="956"/>
      <c r="R116" s="957"/>
      <c r="S116" s="800"/>
      <c r="T116" s="958"/>
      <c r="U116" s="802"/>
      <c r="V116" s="959"/>
      <c r="W116" s="960"/>
      <c r="X116" s="805"/>
      <c r="Y116" s="816"/>
      <c r="AA116" s="689"/>
      <c r="AC116" s="553"/>
      <c r="AD116" s="535" t="s">
        <v>5817</v>
      </c>
      <c r="AE116" s="539" t="s">
        <v>5818</v>
      </c>
      <c r="AF116" s="553"/>
      <c r="AG116" s="553"/>
      <c r="AH116" s="553"/>
      <c r="AI116" s="553"/>
      <c r="AJ116" s="553"/>
      <c r="AK116" s="553"/>
      <c r="AL116" s="553"/>
      <c r="AM116" s="553"/>
      <c r="AN116" s="553"/>
      <c r="AO116" s="553"/>
      <c r="AP116" s="553"/>
      <c r="AQ116" s="553"/>
      <c r="AR116" s="553"/>
      <c r="AS116" s="553"/>
      <c r="AT116" s="553"/>
      <c r="AU116" s="553"/>
      <c r="DO116" s="494"/>
      <c r="DP116" s="496" t="s">
        <v>1375</v>
      </c>
      <c r="DQ116" s="496" t="s">
        <v>1083</v>
      </c>
      <c r="DR116" s="496" t="s">
        <v>689</v>
      </c>
      <c r="DS116" s="496" t="s">
        <v>1376</v>
      </c>
      <c r="DT116" s="496" t="s">
        <v>80</v>
      </c>
      <c r="DU116" s="496" t="s">
        <v>1085</v>
      </c>
      <c r="DV116" s="496" t="s">
        <v>1086</v>
      </c>
      <c r="DW116" s="496" t="s">
        <v>1087</v>
      </c>
      <c r="DX116" s="497" t="s">
        <v>1088</v>
      </c>
      <c r="DZ116" s="543">
        <v>1</v>
      </c>
      <c r="EB116" s="493"/>
      <c r="EC116" s="493"/>
    </row>
    <row r="117" spans="5:133" ht="21" customHeight="1">
      <c r="E117" s="716"/>
      <c r="F117" s="724"/>
      <c r="G117" s="725"/>
      <c r="H117" s="724"/>
      <c r="I117" s="726"/>
      <c r="J117" s="950"/>
      <c r="K117" s="951"/>
      <c r="L117" s="793"/>
      <c r="M117" s="952"/>
      <c r="N117" s="953"/>
      <c r="O117" s="954"/>
      <c r="P117" s="955"/>
      <c r="Q117" s="956"/>
      <c r="R117" s="957"/>
      <c r="S117" s="800"/>
      <c r="T117" s="958"/>
      <c r="U117" s="802"/>
      <c r="V117" s="959"/>
      <c r="W117" s="960"/>
      <c r="X117" s="805"/>
      <c r="Y117" s="816"/>
      <c r="AA117" s="689"/>
      <c r="AC117" s="553"/>
      <c r="AD117" s="535" t="s">
        <v>5819</v>
      </c>
      <c r="AE117" s="539" t="s">
        <v>5820</v>
      </c>
      <c r="AF117" s="553"/>
      <c r="AG117" s="553"/>
      <c r="AH117" s="553"/>
      <c r="AI117" s="553"/>
      <c r="AJ117" s="553"/>
      <c r="AK117" s="553"/>
      <c r="AL117" s="553"/>
      <c r="AM117" s="553"/>
      <c r="AN117" s="553"/>
      <c r="AO117" s="553"/>
      <c r="AP117" s="553"/>
      <c r="AQ117" s="553"/>
      <c r="AR117" s="553"/>
      <c r="AS117" s="553"/>
      <c r="AT117" s="553"/>
      <c r="AU117" s="553"/>
      <c r="DO117" s="494"/>
      <c r="DP117" s="496" t="s">
        <v>1377</v>
      </c>
      <c r="DQ117" s="496" t="s">
        <v>1083</v>
      </c>
      <c r="DR117" s="496" t="s">
        <v>689</v>
      </c>
      <c r="DS117" s="496" t="s">
        <v>1378</v>
      </c>
      <c r="DT117" s="496" t="s">
        <v>1378</v>
      </c>
      <c r="DU117" s="496" t="s">
        <v>1085</v>
      </c>
      <c r="DV117" s="496" t="s">
        <v>1086</v>
      </c>
      <c r="DW117" s="496" t="s">
        <v>1087</v>
      </c>
      <c r="DX117" s="497" t="s">
        <v>1088</v>
      </c>
      <c r="DZ117" s="543">
        <v>1</v>
      </c>
      <c r="EB117" s="493"/>
      <c r="EC117" s="493"/>
    </row>
    <row r="118" spans="5:133" ht="21" customHeight="1">
      <c r="E118" s="716"/>
      <c r="F118" s="724"/>
      <c r="G118" s="725"/>
      <c r="H118" s="724"/>
      <c r="I118" s="726"/>
      <c r="J118" s="950"/>
      <c r="K118" s="951"/>
      <c r="L118" s="793"/>
      <c r="M118" s="952"/>
      <c r="N118" s="953"/>
      <c r="O118" s="954"/>
      <c r="P118" s="955"/>
      <c r="Q118" s="956"/>
      <c r="R118" s="957"/>
      <c r="S118" s="800"/>
      <c r="T118" s="958"/>
      <c r="U118" s="802"/>
      <c r="V118" s="959"/>
      <c r="W118" s="960"/>
      <c r="X118" s="805"/>
      <c r="Y118" s="816"/>
      <c r="AA118" s="689"/>
      <c r="AC118" s="553"/>
      <c r="AD118" s="535" t="s">
        <v>13</v>
      </c>
      <c r="AE118" s="539" t="s">
        <v>5821</v>
      </c>
      <c r="AF118" s="553"/>
      <c r="AG118" s="553"/>
      <c r="AH118" s="553"/>
      <c r="AI118" s="553"/>
      <c r="AJ118" s="553"/>
      <c r="AK118" s="553"/>
      <c r="AL118" s="553"/>
      <c r="AM118" s="553"/>
      <c r="AN118" s="553"/>
      <c r="AO118" s="553"/>
      <c r="AP118" s="553"/>
      <c r="AQ118" s="553"/>
      <c r="AR118" s="553"/>
      <c r="AS118" s="553"/>
      <c r="AT118" s="553"/>
      <c r="AU118" s="553"/>
      <c r="DO118" s="494"/>
      <c r="DP118" s="496" t="s">
        <v>1379</v>
      </c>
      <c r="DQ118" s="496" t="s">
        <v>1083</v>
      </c>
      <c r="DR118" s="496" t="s">
        <v>689</v>
      </c>
      <c r="DS118" s="496" t="s">
        <v>915</v>
      </c>
      <c r="DT118" s="496" t="s">
        <v>915</v>
      </c>
      <c r="DU118" s="496" t="s">
        <v>1085</v>
      </c>
      <c r="DV118" s="496" t="s">
        <v>1086</v>
      </c>
      <c r="DW118" s="496" t="s">
        <v>1087</v>
      </c>
      <c r="DX118" s="497" t="s">
        <v>1088</v>
      </c>
      <c r="DZ118" s="543">
        <v>1</v>
      </c>
      <c r="EB118" s="493"/>
      <c r="EC118" s="493"/>
    </row>
    <row r="119" spans="5:133" ht="21" customHeight="1">
      <c r="E119" s="716"/>
      <c r="F119" s="724"/>
      <c r="G119" s="725"/>
      <c r="H119" s="724"/>
      <c r="I119" s="726"/>
      <c r="J119" s="950"/>
      <c r="K119" s="951"/>
      <c r="L119" s="793"/>
      <c r="M119" s="952"/>
      <c r="N119" s="953"/>
      <c r="O119" s="954"/>
      <c r="P119" s="955"/>
      <c r="Q119" s="956"/>
      <c r="R119" s="957"/>
      <c r="S119" s="800"/>
      <c r="T119" s="958"/>
      <c r="U119" s="802"/>
      <c r="V119" s="959"/>
      <c r="W119" s="960"/>
      <c r="X119" s="805"/>
      <c r="Y119" s="816"/>
      <c r="AA119" s="689"/>
      <c r="AC119" s="553"/>
      <c r="AD119" s="535" t="s">
        <v>5822</v>
      </c>
      <c r="AE119" s="539" t="s">
        <v>5906</v>
      </c>
      <c r="AF119" s="553"/>
      <c r="AG119" s="553"/>
      <c r="AH119" s="553"/>
      <c r="AI119" s="553"/>
      <c r="AJ119" s="553"/>
      <c r="AK119" s="553"/>
      <c r="AL119" s="553"/>
      <c r="AM119" s="553"/>
      <c r="AN119" s="553"/>
      <c r="AO119" s="553"/>
      <c r="AP119" s="553"/>
      <c r="AQ119" s="553"/>
      <c r="AR119" s="553"/>
      <c r="AS119" s="553"/>
      <c r="AT119" s="553"/>
      <c r="AU119" s="553"/>
      <c r="DO119" s="494"/>
      <c r="DP119" s="496" t="s">
        <v>1380</v>
      </c>
      <c r="DQ119" s="496" t="s">
        <v>1083</v>
      </c>
      <c r="DR119" s="496" t="s">
        <v>689</v>
      </c>
      <c r="DS119" s="496" t="s">
        <v>1381</v>
      </c>
      <c r="DT119" s="496" t="s">
        <v>1381</v>
      </c>
      <c r="DU119" s="496" t="s">
        <v>1085</v>
      </c>
      <c r="DV119" s="496" t="s">
        <v>1086</v>
      </c>
      <c r="DW119" s="496" t="s">
        <v>1087</v>
      </c>
      <c r="DX119" s="497" t="s">
        <v>1088</v>
      </c>
      <c r="DZ119" s="543">
        <v>1</v>
      </c>
      <c r="EB119" s="493"/>
      <c r="EC119" s="493"/>
    </row>
    <row r="120" spans="5:133" ht="21" customHeight="1">
      <c r="E120" s="716"/>
      <c r="F120" s="724"/>
      <c r="G120" s="725"/>
      <c r="H120" s="724"/>
      <c r="I120" s="726"/>
      <c r="J120" s="950"/>
      <c r="K120" s="951"/>
      <c r="L120" s="793"/>
      <c r="M120" s="952"/>
      <c r="N120" s="953"/>
      <c r="O120" s="954"/>
      <c r="P120" s="955"/>
      <c r="Q120" s="956"/>
      <c r="R120" s="957"/>
      <c r="S120" s="800"/>
      <c r="T120" s="958"/>
      <c r="U120" s="802"/>
      <c r="V120" s="959"/>
      <c r="W120" s="960"/>
      <c r="X120" s="805"/>
      <c r="Y120" s="816"/>
      <c r="AA120" s="689"/>
      <c r="AC120" s="553"/>
      <c r="AD120" s="535"/>
      <c r="AE120" s="539" t="s">
        <v>5907</v>
      </c>
      <c r="AF120" s="553"/>
      <c r="AG120" s="553"/>
      <c r="AH120" s="553"/>
      <c r="AI120" s="553"/>
      <c r="AJ120" s="553"/>
      <c r="AK120" s="553"/>
      <c r="AL120" s="553"/>
      <c r="AM120" s="553"/>
      <c r="AN120" s="553"/>
      <c r="AO120" s="553"/>
      <c r="AP120" s="553"/>
      <c r="AQ120" s="553"/>
      <c r="AR120" s="553"/>
      <c r="AS120" s="553"/>
      <c r="AT120" s="553"/>
      <c r="AU120" s="553"/>
      <c r="DO120" s="494"/>
      <c r="DP120" s="496" t="s">
        <v>1382</v>
      </c>
      <c r="DQ120" s="496" t="s">
        <v>1083</v>
      </c>
      <c r="DR120" s="496" t="s">
        <v>689</v>
      </c>
      <c r="DS120" s="496" t="s">
        <v>1383</v>
      </c>
      <c r="DT120" s="496" t="s">
        <v>1383</v>
      </c>
      <c r="DU120" s="496" t="s">
        <v>1085</v>
      </c>
      <c r="DV120" s="496" t="s">
        <v>1086</v>
      </c>
      <c r="DW120" s="496" t="s">
        <v>1087</v>
      </c>
      <c r="DX120" s="497" t="s">
        <v>1088</v>
      </c>
      <c r="DZ120" s="543">
        <v>1</v>
      </c>
      <c r="EB120" s="493"/>
      <c r="EC120" s="493"/>
    </row>
    <row r="121" spans="5:133" ht="21" customHeight="1">
      <c r="E121" s="716"/>
      <c r="F121" s="724"/>
      <c r="G121" s="725"/>
      <c r="H121" s="724"/>
      <c r="I121" s="726"/>
      <c r="J121" s="950"/>
      <c r="K121" s="951"/>
      <c r="L121" s="793"/>
      <c r="M121" s="952"/>
      <c r="N121" s="953"/>
      <c r="O121" s="954"/>
      <c r="P121" s="955"/>
      <c r="Q121" s="956"/>
      <c r="R121" s="957"/>
      <c r="S121" s="800"/>
      <c r="T121" s="958"/>
      <c r="U121" s="802"/>
      <c r="V121" s="959"/>
      <c r="W121" s="960"/>
      <c r="X121" s="805"/>
      <c r="Y121" s="816"/>
      <c r="AA121" s="689"/>
      <c r="AC121" s="553"/>
      <c r="AD121" s="535" t="s">
        <v>5823</v>
      </c>
      <c r="AE121" s="539" t="s">
        <v>5824</v>
      </c>
      <c r="AF121" s="553"/>
      <c r="AG121" s="553"/>
      <c r="AH121" s="553"/>
      <c r="AI121" s="553"/>
      <c r="AJ121" s="553"/>
      <c r="AK121" s="553"/>
      <c r="AL121" s="553"/>
      <c r="AM121" s="553"/>
      <c r="AN121" s="553"/>
      <c r="AO121" s="553"/>
      <c r="AP121" s="553"/>
      <c r="AQ121" s="553"/>
      <c r="AR121" s="553"/>
      <c r="AS121" s="553"/>
      <c r="AT121" s="553"/>
      <c r="AU121" s="553"/>
      <c r="DO121" s="494"/>
      <c r="DP121" s="496" t="s">
        <v>1449</v>
      </c>
      <c r="DQ121" s="496" t="s">
        <v>1083</v>
      </c>
      <c r="DR121" s="496" t="s">
        <v>690</v>
      </c>
      <c r="DS121" s="496" t="s">
        <v>1450</v>
      </c>
      <c r="DT121" s="496" t="s">
        <v>1450</v>
      </c>
      <c r="DU121" s="496" t="s">
        <v>1151</v>
      </c>
      <c r="DV121" s="496" t="s">
        <v>1446</v>
      </c>
      <c r="DW121" s="496" t="s">
        <v>1087</v>
      </c>
      <c r="DX121" s="497" t="s">
        <v>1153</v>
      </c>
      <c r="DZ121" s="543">
        <v>1</v>
      </c>
      <c r="EB121" s="493"/>
      <c r="EC121" s="493"/>
    </row>
    <row r="122" spans="5:133" ht="21" customHeight="1">
      <c r="E122" s="716"/>
      <c r="F122" s="724"/>
      <c r="G122" s="725"/>
      <c r="H122" s="724"/>
      <c r="I122" s="726"/>
      <c r="J122" s="950"/>
      <c r="K122" s="951"/>
      <c r="L122" s="793"/>
      <c r="M122" s="952"/>
      <c r="N122" s="953"/>
      <c r="O122" s="954"/>
      <c r="P122" s="955"/>
      <c r="Q122" s="956"/>
      <c r="R122" s="957"/>
      <c r="S122" s="800"/>
      <c r="T122" s="958"/>
      <c r="U122" s="802"/>
      <c r="V122" s="959"/>
      <c r="W122" s="960"/>
      <c r="X122" s="805"/>
      <c r="Y122" s="816"/>
      <c r="AA122" s="689"/>
      <c r="AC122" s="553"/>
      <c r="AD122" s="535" t="s">
        <v>5825</v>
      </c>
      <c r="AE122" s="540"/>
      <c r="AF122" s="553"/>
      <c r="AG122" s="553"/>
      <c r="AH122" s="553"/>
      <c r="AI122" s="553"/>
      <c r="AJ122" s="553"/>
      <c r="AK122" s="553"/>
      <c r="AL122" s="553"/>
      <c r="AM122" s="553"/>
      <c r="AN122" s="553"/>
      <c r="AO122" s="553"/>
      <c r="AP122" s="553"/>
      <c r="AQ122" s="553"/>
      <c r="AR122" s="553"/>
      <c r="AS122" s="553"/>
      <c r="AT122" s="553"/>
      <c r="AU122" s="553"/>
      <c r="DO122" s="494"/>
      <c r="DP122" s="496" t="s">
        <v>1451</v>
      </c>
      <c r="DQ122" s="496" t="s">
        <v>1083</v>
      </c>
      <c r="DR122" s="496" t="s">
        <v>690</v>
      </c>
      <c r="DS122" s="496" t="s">
        <v>1452</v>
      </c>
      <c r="DT122" s="496" t="s">
        <v>1452</v>
      </c>
      <c r="DU122" s="496" t="s">
        <v>1085</v>
      </c>
      <c r="DV122" s="496" t="s">
        <v>1441</v>
      </c>
      <c r="DW122" s="496" t="s">
        <v>1087</v>
      </c>
      <c r="DX122" s="497" t="s">
        <v>1088</v>
      </c>
      <c r="DZ122" s="543">
        <v>1</v>
      </c>
      <c r="EB122" s="493"/>
      <c r="EC122" s="493"/>
    </row>
    <row r="123" spans="5:133" ht="21" customHeight="1">
      <c r="E123" s="716"/>
      <c r="F123" s="724"/>
      <c r="G123" s="725"/>
      <c r="H123" s="724"/>
      <c r="I123" s="726"/>
      <c r="J123" s="950"/>
      <c r="K123" s="951"/>
      <c r="L123" s="793"/>
      <c r="M123" s="952"/>
      <c r="N123" s="953"/>
      <c r="O123" s="954"/>
      <c r="P123" s="955"/>
      <c r="Q123" s="956"/>
      <c r="R123" s="957"/>
      <c r="S123" s="800"/>
      <c r="T123" s="958"/>
      <c r="U123" s="802"/>
      <c r="V123" s="959"/>
      <c r="W123" s="960"/>
      <c r="X123" s="805"/>
      <c r="Y123" s="816"/>
      <c r="AA123" s="689"/>
      <c r="AC123" s="553"/>
      <c r="AD123" s="541" t="s">
        <v>5826</v>
      </c>
      <c r="AE123" s="539" t="s">
        <v>5795</v>
      </c>
      <c r="AF123" s="553"/>
      <c r="AG123" s="553"/>
      <c r="AH123" s="553"/>
      <c r="AI123" s="553"/>
      <c r="AJ123" s="553"/>
      <c r="AK123" s="553"/>
      <c r="AL123" s="553"/>
      <c r="AM123" s="553"/>
      <c r="AN123" s="553"/>
      <c r="AO123" s="553"/>
      <c r="AP123" s="553"/>
      <c r="AQ123" s="553"/>
      <c r="AR123" s="553"/>
      <c r="AS123" s="553"/>
      <c r="AT123" s="553"/>
      <c r="AU123" s="553"/>
      <c r="DO123" s="494"/>
      <c r="DP123" s="496" t="s">
        <v>1453</v>
      </c>
      <c r="DQ123" s="496" t="s">
        <v>1083</v>
      </c>
      <c r="DR123" s="496" t="s">
        <v>690</v>
      </c>
      <c r="DS123" s="496" t="s">
        <v>706</v>
      </c>
      <c r="DT123" s="496" t="s">
        <v>706</v>
      </c>
      <c r="DU123" s="496" t="s">
        <v>1085</v>
      </c>
      <c r="DV123" s="496" t="s">
        <v>1441</v>
      </c>
      <c r="DW123" s="496" t="s">
        <v>1087</v>
      </c>
      <c r="DX123" s="497" t="s">
        <v>1088</v>
      </c>
      <c r="DZ123" s="543">
        <v>1</v>
      </c>
      <c r="EB123" s="493"/>
      <c r="EC123" s="493"/>
    </row>
    <row r="124" spans="5:133" ht="21" customHeight="1">
      <c r="E124" s="716"/>
      <c r="F124" s="724"/>
      <c r="G124" s="725"/>
      <c r="H124" s="724"/>
      <c r="I124" s="726"/>
      <c r="J124" s="950"/>
      <c r="K124" s="951"/>
      <c r="L124" s="793"/>
      <c r="M124" s="952"/>
      <c r="N124" s="953"/>
      <c r="O124" s="954"/>
      <c r="P124" s="955"/>
      <c r="Q124" s="956"/>
      <c r="R124" s="957"/>
      <c r="S124" s="800"/>
      <c r="T124" s="958"/>
      <c r="U124" s="802"/>
      <c r="V124" s="959"/>
      <c r="W124" s="960"/>
      <c r="X124" s="805"/>
      <c r="Y124" s="816"/>
      <c r="AA124" s="689"/>
      <c r="AC124" s="553"/>
      <c r="AD124" s="535" t="s">
        <v>5827</v>
      </c>
      <c r="AE124" s="539" t="s">
        <v>5828</v>
      </c>
      <c r="AF124" s="553"/>
      <c r="AG124" s="553"/>
      <c r="AH124" s="553"/>
      <c r="AI124" s="553"/>
      <c r="AJ124" s="553"/>
      <c r="AK124" s="553"/>
      <c r="AL124" s="553"/>
      <c r="AM124" s="553"/>
      <c r="AN124" s="553"/>
      <c r="AO124" s="553"/>
      <c r="AP124" s="553"/>
      <c r="AQ124" s="553"/>
      <c r="AR124" s="553"/>
      <c r="AS124" s="553"/>
      <c r="AT124" s="553"/>
      <c r="AU124" s="553"/>
      <c r="DO124" s="494"/>
      <c r="DP124" s="496" t="s">
        <v>1454</v>
      </c>
      <c r="DQ124" s="496" t="s">
        <v>1083</v>
      </c>
      <c r="DR124" s="496" t="s">
        <v>690</v>
      </c>
      <c r="DS124" s="496" t="s">
        <v>1455</v>
      </c>
      <c r="DT124" s="496" t="s">
        <v>709</v>
      </c>
      <c r="DU124" s="496" t="s">
        <v>1085</v>
      </c>
      <c r="DV124" s="496" t="s">
        <v>1441</v>
      </c>
      <c r="DW124" s="496" t="s">
        <v>1087</v>
      </c>
      <c r="DX124" s="497" t="s">
        <v>1088</v>
      </c>
      <c r="DZ124" s="543">
        <v>1</v>
      </c>
      <c r="EB124" s="493"/>
      <c r="EC124" s="493"/>
    </row>
    <row r="125" spans="5:133" ht="21" customHeight="1">
      <c r="E125" s="716"/>
      <c r="F125" s="724"/>
      <c r="G125" s="725"/>
      <c r="H125" s="724"/>
      <c r="I125" s="726"/>
      <c r="J125" s="950"/>
      <c r="K125" s="951"/>
      <c r="L125" s="793"/>
      <c r="M125" s="952"/>
      <c r="N125" s="953"/>
      <c r="O125" s="954"/>
      <c r="P125" s="955"/>
      <c r="Q125" s="956"/>
      <c r="R125" s="957"/>
      <c r="S125" s="800"/>
      <c r="T125" s="958"/>
      <c r="U125" s="802"/>
      <c r="V125" s="959"/>
      <c r="W125" s="960"/>
      <c r="X125" s="805"/>
      <c r="Y125" s="816"/>
      <c r="AA125" s="689"/>
      <c r="AC125" s="553"/>
      <c r="AD125" s="535" t="s">
        <v>5829</v>
      </c>
      <c r="AE125" s="539" t="s">
        <v>3961</v>
      </c>
      <c r="AF125" s="553"/>
      <c r="AG125" s="553"/>
      <c r="AH125" s="553"/>
      <c r="AI125" s="553"/>
      <c r="AJ125" s="553"/>
      <c r="AK125" s="553"/>
      <c r="AL125" s="553"/>
      <c r="AM125" s="553"/>
      <c r="AN125" s="553"/>
      <c r="AO125" s="553"/>
      <c r="AP125" s="553"/>
      <c r="AQ125" s="553"/>
      <c r="AR125" s="553"/>
      <c r="AS125" s="553"/>
      <c r="AT125" s="553"/>
      <c r="AU125" s="553"/>
      <c r="DO125" s="494"/>
      <c r="DP125" s="496" t="s">
        <v>1384</v>
      </c>
      <c r="DQ125" s="496" t="s">
        <v>1083</v>
      </c>
      <c r="DR125" s="496" t="s">
        <v>689</v>
      </c>
      <c r="DS125" s="496" t="s">
        <v>1385</v>
      </c>
      <c r="DT125" s="496" t="s">
        <v>1385</v>
      </c>
      <c r="DU125" s="496" t="s">
        <v>1085</v>
      </c>
      <c r="DV125" s="496" t="s">
        <v>1086</v>
      </c>
      <c r="DW125" s="496" t="s">
        <v>1087</v>
      </c>
      <c r="DX125" s="497" t="s">
        <v>1088</v>
      </c>
      <c r="DZ125" s="543">
        <v>1</v>
      </c>
      <c r="EB125" s="493"/>
      <c r="EC125" s="493"/>
    </row>
    <row r="126" spans="5:133" ht="21" customHeight="1">
      <c r="E126" s="716"/>
      <c r="F126" s="724"/>
      <c r="G126" s="725"/>
      <c r="H126" s="724"/>
      <c r="I126" s="726"/>
      <c r="J126" s="950"/>
      <c r="K126" s="951"/>
      <c r="L126" s="793"/>
      <c r="M126" s="952"/>
      <c r="N126" s="953"/>
      <c r="O126" s="954"/>
      <c r="P126" s="955"/>
      <c r="Q126" s="956"/>
      <c r="R126" s="957"/>
      <c r="S126" s="800"/>
      <c r="T126" s="958"/>
      <c r="U126" s="802"/>
      <c r="V126" s="959"/>
      <c r="W126" s="960"/>
      <c r="X126" s="805"/>
      <c r="Y126" s="816"/>
      <c r="AA126" s="689"/>
      <c r="AC126" s="553"/>
      <c r="AD126" s="542"/>
      <c r="AE126" s="539"/>
      <c r="AF126" s="553"/>
      <c r="AG126" s="553"/>
      <c r="AH126" s="553"/>
      <c r="AI126" s="553"/>
      <c r="AJ126" s="553"/>
      <c r="AK126" s="553"/>
      <c r="AL126" s="553"/>
      <c r="AM126" s="553"/>
      <c r="AN126" s="553"/>
      <c r="AO126" s="553"/>
      <c r="AP126" s="553"/>
      <c r="AQ126" s="553"/>
      <c r="AR126" s="553"/>
      <c r="AS126" s="553"/>
      <c r="AT126" s="553"/>
      <c r="AU126" s="553"/>
      <c r="DO126" s="494"/>
      <c r="DP126" s="496" t="s">
        <v>1386</v>
      </c>
      <c r="DQ126" s="496" t="s">
        <v>1083</v>
      </c>
      <c r="DR126" s="496" t="s">
        <v>689</v>
      </c>
      <c r="DS126" s="496" t="s">
        <v>916</v>
      </c>
      <c r="DT126" s="496" t="s">
        <v>916</v>
      </c>
      <c r="DU126" s="496" t="s">
        <v>1085</v>
      </c>
      <c r="DV126" s="496" t="s">
        <v>1086</v>
      </c>
      <c r="DW126" s="496" t="s">
        <v>1087</v>
      </c>
      <c r="DX126" s="497" t="s">
        <v>1088</v>
      </c>
      <c r="DZ126" s="543">
        <v>1</v>
      </c>
      <c r="EB126" s="493"/>
      <c r="EC126" s="493"/>
    </row>
    <row r="127" spans="5:133" ht="21" customHeight="1">
      <c r="E127" s="716"/>
      <c r="F127" s="724"/>
      <c r="G127" s="725"/>
      <c r="H127" s="724"/>
      <c r="I127" s="726"/>
      <c r="J127" s="950"/>
      <c r="K127" s="951"/>
      <c r="L127" s="793"/>
      <c r="M127" s="952"/>
      <c r="N127" s="953"/>
      <c r="O127" s="954"/>
      <c r="P127" s="955"/>
      <c r="Q127" s="956"/>
      <c r="R127" s="957"/>
      <c r="S127" s="800"/>
      <c r="T127" s="958"/>
      <c r="U127" s="802"/>
      <c r="V127" s="959"/>
      <c r="W127" s="960"/>
      <c r="X127" s="805"/>
      <c r="Y127" s="816"/>
      <c r="AA127" s="689"/>
      <c r="AC127" s="553"/>
      <c r="AD127" s="554" t="s">
        <v>5830</v>
      </c>
      <c r="AE127" s="540"/>
      <c r="AF127" s="553"/>
      <c r="AG127" s="553"/>
      <c r="AH127" s="553"/>
      <c r="AI127" s="553"/>
      <c r="AJ127" s="553"/>
      <c r="AK127" s="553"/>
      <c r="AL127" s="553"/>
      <c r="AM127" s="553"/>
      <c r="AN127" s="553"/>
      <c r="AO127" s="553"/>
      <c r="AP127" s="553"/>
      <c r="AQ127" s="553"/>
      <c r="AR127" s="553"/>
      <c r="AS127" s="553"/>
      <c r="AT127" s="553"/>
      <c r="AU127" s="553"/>
      <c r="DO127" s="494"/>
      <c r="DP127" s="496" t="s">
        <v>1387</v>
      </c>
      <c r="DQ127" s="496" t="s">
        <v>1083</v>
      </c>
      <c r="DR127" s="496" t="s">
        <v>689</v>
      </c>
      <c r="DS127" s="496" t="s">
        <v>917</v>
      </c>
      <c r="DT127" s="496" t="s">
        <v>917</v>
      </c>
      <c r="DU127" s="496" t="s">
        <v>1085</v>
      </c>
      <c r="DV127" s="496" t="s">
        <v>1086</v>
      </c>
      <c r="DW127" s="496" t="s">
        <v>1087</v>
      </c>
      <c r="DX127" s="497" t="s">
        <v>1088</v>
      </c>
      <c r="DZ127" s="543">
        <v>1</v>
      </c>
      <c r="EB127" s="493"/>
      <c r="EC127" s="493"/>
    </row>
    <row r="128" spans="5:133" ht="21" customHeight="1">
      <c r="E128" s="716"/>
      <c r="F128" s="724"/>
      <c r="G128" s="725"/>
      <c r="H128" s="724"/>
      <c r="I128" s="726"/>
      <c r="J128" s="950"/>
      <c r="K128" s="951"/>
      <c r="L128" s="793"/>
      <c r="M128" s="952"/>
      <c r="N128" s="953"/>
      <c r="O128" s="954"/>
      <c r="P128" s="955"/>
      <c r="Q128" s="956"/>
      <c r="R128" s="957"/>
      <c r="S128" s="800"/>
      <c r="T128" s="958"/>
      <c r="U128" s="802"/>
      <c r="V128" s="959"/>
      <c r="W128" s="960"/>
      <c r="X128" s="805"/>
      <c r="Y128" s="816"/>
      <c r="AA128" s="689"/>
      <c r="AC128" s="553"/>
      <c r="AD128" s="535" t="s">
        <v>1160</v>
      </c>
      <c r="AE128" s="539" t="s">
        <v>5831</v>
      </c>
      <c r="AF128" s="553"/>
      <c r="AG128" s="553"/>
      <c r="AH128" s="553"/>
      <c r="AI128" s="553"/>
      <c r="AJ128" s="553"/>
      <c r="AK128" s="553"/>
      <c r="AL128" s="553"/>
      <c r="AM128" s="553"/>
      <c r="AN128" s="553"/>
      <c r="AO128" s="553"/>
      <c r="AP128" s="553"/>
      <c r="AQ128" s="553"/>
      <c r="AR128" s="553"/>
      <c r="AS128" s="553"/>
      <c r="AT128" s="553"/>
      <c r="AU128" s="553"/>
      <c r="DO128" s="494"/>
      <c r="DP128" s="496" t="s">
        <v>1388</v>
      </c>
      <c r="DQ128" s="496" t="s">
        <v>1083</v>
      </c>
      <c r="DR128" s="496" t="s">
        <v>689</v>
      </c>
      <c r="DS128" s="496" t="s">
        <v>1389</v>
      </c>
      <c r="DT128" s="496" t="s">
        <v>1390</v>
      </c>
      <c r="DU128" s="496" t="s">
        <v>1085</v>
      </c>
      <c r="DV128" s="496" t="s">
        <v>1086</v>
      </c>
      <c r="DW128" s="496" t="s">
        <v>1087</v>
      </c>
      <c r="DX128" s="497" t="s">
        <v>1088</v>
      </c>
      <c r="DZ128" s="543">
        <v>1</v>
      </c>
      <c r="EB128" s="493"/>
      <c r="EC128" s="493"/>
    </row>
    <row r="129" spans="5:133" ht="21" customHeight="1">
      <c r="E129" s="716"/>
      <c r="F129" s="724"/>
      <c r="G129" s="725"/>
      <c r="H129" s="724"/>
      <c r="I129" s="726"/>
      <c r="J129" s="950"/>
      <c r="K129" s="951"/>
      <c r="L129" s="793"/>
      <c r="M129" s="952"/>
      <c r="N129" s="953"/>
      <c r="O129" s="954"/>
      <c r="P129" s="955"/>
      <c r="Q129" s="956"/>
      <c r="R129" s="957"/>
      <c r="S129" s="800"/>
      <c r="T129" s="958"/>
      <c r="U129" s="802"/>
      <c r="V129" s="959"/>
      <c r="W129" s="960"/>
      <c r="X129" s="805"/>
      <c r="Y129" s="816"/>
      <c r="AA129" s="689"/>
      <c r="AC129" s="553"/>
      <c r="AD129" s="535" t="s">
        <v>1186</v>
      </c>
      <c r="AE129" s="539" t="s">
        <v>5832</v>
      </c>
      <c r="AF129" s="553"/>
      <c r="AG129" s="553"/>
      <c r="AH129" s="553"/>
      <c r="AI129" s="553"/>
      <c r="AJ129" s="553"/>
      <c r="AK129" s="553"/>
      <c r="AL129" s="553"/>
      <c r="AM129" s="553"/>
      <c r="AN129" s="553"/>
      <c r="AO129" s="553"/>
      <c r="AP129" s="553"/>
      <c r="AQ129" s="553"/>
      <c r="AR129" s="553"/>
      <c r="AS129" s="553"/>
      <c r="AT129" s="553"/>
      <c r="AU129" s="553"/>
      <c r="DO129" s="494"/>
      <c r="DP129" s="496" t="s">
        <v>1391</v>
      </c>
      <c r="DQ129" s="496" t="s">
        <v>1083</v>
      </c>
      <c r="DR129" s="496" t="s">
        <v>689</v>
      </c>
      <c r="DS129" s="496" t="s">
        <v>1392</v>
      </c>
      <c r="DT129" s="496" t="s">
        <v>1393</v>
      </c>
      <c r="DU129" s="496" t="s">
        <v>1085</v>
      </c>
      <c r="DV129" s="496" t="s">
        <v>1086</v>
      </c>
      <c r="DW129" s="496" t="s">
        <v>1087</v>
      </c>
      <c r="DX129" s="497" t="s">
        <v>1088</v>
      </c>
      <c r="DZ129" s="543">
        <v>1</v>
      </c>
      <c r="EB129" s="493"/>
      <c r="EC129" s="493"/>
    </row>
    <row r="130" spans="5:133" ht="21" customHeight="1">
      <c r="E130" s="716"/>
      <c r="F130" s="724"/>
      <c r="G130" s="725"/>
      <c r="H130" s="724"/>
      <c r="I130" s="726"/>
      <c r="J130" s="950"/>
      <c r="K130" s="951"/>
      <c r="L130" s="793"/>
      <c r="M130" s="952"/>
      <c r="N130" s="953"/>
      <c r="O130" s="954"/>
      <c r="P130" s="955"/>
      <c r="Q130" s="956"/>
      <c r="R130" s="957"/>
      <c r="S130" s="800"/>
      <c r="T130" s="958"/>
      <c r="U130" s="802"/>
      <c r="V130" s="959"/>
      <c r="W130" s="960"/>
      <c r="X130" s="805"/>
      <c r="Y130" s="816"/>
      <c r="AA130" s="689"/>
      <c r="AC130" s="553"/>
      <c r="AD130" s="535" t="s">
        <v>5737</v>
      </c>
      <c r="AE130" s="539" t="s">
        <v>5833</v>
      </c>
      <c r="AF130" s="553"/>
      <c r="AG130" s="553"/>
      <c r="AH130" s="553"/>
      <c r="AI130" s="553"/>
      <c r="AJ130" s="553"/>
      <c r="AK130" s="553"/>
      <c r="AL130" s="553"/>
      <c r="AM130" s="553"/>
      <c r="AN130" s="553"/>
      <c r="AO130" s="553"/>
      <c r="AP130" s="553"/>
      <c r="AQ130" s="553"/>
      <c r="AR130" s="553"/>
      <c r="AS130" s="553"/>
      <c r="AT130" s="553"/>
      <c r="AU130" s="553"/>
      <c r="DO130" s="494"/>
      <c r="DP130" s="496" t="s">
        <v>1394</v>
      </c>
      <c r="DQ130" s="496" t="s">
        <v>1083</v>
      </c>
      <c r="DR130" s="496" t="s">
        <v>689</v>
      </c>
      <c r="DS130" s="496" t="s">
        <v>918</v>
      </c>
      <c r="DT130" s="496" t="s">
        <v>918</v>
      </c>
      <c r="DU130" s="496" t="s">
        <v>1085</v>
      </c>
      <c r="DV130" s="496" t="s">
        <v>1086</v>
      </c>
      <c r="DW130" s="496" t="s">
        <v>1087</v>
      </c>
      <c r="DX130" s="497" t="s">
        <v>1088</v>
      </c>
      <c r="DZ130" s="543">
        <v>1</v>
      </c>
      <c r="EB130" s="493"/>
      <c r="EC130" s="493"/>
    </row>
    <row r="131" spans="5:133" ht="21" customHeight="1">
      <c r="E131" s="716"/>
      <c r="F131" s="724"/>
      <c r="G131" s="725"/>
      <c r="H131" s="724"/>
      <c r="I131" s="726"/>
      <c r="J131" s="950"/>
      <c r="K131" s="951"/>
      <c r="L131" s="793"/>
      <c r="M131" s="952"/>
      <c r="N131" s="953"/>
      <c r="O131" s="954"/>
      <c r="P131" s="955"/>
      <c r="Q131" s="956"/>
      <c r="R131" s="957"/>
      <c r="S131" s="800"/>
      <c r="T131" s="958"/>
      <c r="U131" s="802"/>
      <c r="V131" s="959"/>
      <c r="W131" s="960"/>
      <c r="X131" s="805"/>
      <c r="Y131" s="816"/>
      <c r="AA131" s="689"/>
      <c r="AC131" s="553"/>
      <c r="AD131" s="541" t="s">
        <v>5735</v>
      </c>
      <c r="AE131" s="539" t="s">
        <v>5834</v>
      </c>
      <c r="AF131" s="553"/>
      <c r="AG131" s="553"/>
      <c r="AH131" s="553"/>
      <c r="AI131" s="553"/>
      <c r="AJ131" s="553"/>
      <c r="AK131" s="553"/>
      <c r="AL131" s="553"/>
      <c r="AM131" s="553"/>
      <c r="AN131" s="553"/>
      <c r="AO131" s="553"/>
      <c r="AP131" s="553"/>
      <c r="AQ131" s="553"/>
      <c r="AR131" s="553"/>
      <c r="AS131" s="553"/>
      <c r="AT131" s="553"/>
      <c r="AU131" s="553"/>
      <c r="DO131" s="494"/>
      <c r="DP131" s="496" t="s">
        <v>1395</v>
      </c>
      <c r="DQ131" s="496" t="s">
        <v>1083</v>
      </c>
      <c r="DR131" s="496" t="s">
        <v>689</v>
      </c>
      <c r="DS131" s="496" t="s">
        <v>920</v>
      </c>
      <c r="DT131" s="496" t="s">
        <v>920</v>
      </c>
      <c r="DU131" s="496" t="s">
        <v>1085</v>
      </c>
      <c r="DV131" s="496" t="s">
        <v>1086</v>
      </c>
      <c r="DW131" s="496" t="s">
        <v>1087</v>
      </c>
      <c r="DX131" s="497" t="s">
        <v>1088</v>
      </c>
      <c r="DZ131" s="543">
        <v>1</v>
      </c>
      <c r="EB131" s="493"/>
      <c r="EC131" s="493"/>
    </row>
    <row r="132" spans="5:133" ht="21" customHeight="1">
      <c r="E132" s="716"/>
      <c r="F132" s="724"/>
      <c r="G132" s="725"/>
      <c r="H132" s="724"/>
      <c r="I132" s="726"/>
      <c r="J132" s="950"/>
      <c r="K132" s="951"/>
      <c r="L132" s="793"/>
      <c r="M132" s="952"/>
      <c r="N132" s="953"/>
      <c r="O132" s="954"/>
      <c r="P132" s="955"/>
      <c r="Q132" s="956"/>
      <c r="R132" s="957"/>
      <c r="S132" s="800"/>
      <c r="T132" s="958"/>
      <c r="U132" s="802"/>
      <c r="V132" s="959"/>
      <c r="W132" s="960"/>
      <c r="X132" s="805"/>
      <c r="Y132" s="816"/>
      <c r="AA132" s="689"/>
      <c r="AC132" s="553"/>
      <c r="AD132" s="535" t="s">
        <v>5736</v>
      </c>
      <c r="AE132" s="539" t="s">
        <v>5908</v>
      </c>
      <c r="AF132" s="553"/>
      <c r="AG132" s="553"/>
      <c r="AH132" s="553"/>
      <c r="AI132" s="553"/>
      <c r="AJ132" s="553"/>
      <c r="AK132" s="553"/>
      <c r="AL132" s="553"/>
      <c r="AM132" s="553"/>
      <c r="AN132" s="553"/>
      <c r="AO132" s="553"/>
      <c r="AP132" s="553"/>
      <c r="AQ132" s="553"/>
      <c r="AR132" s="553"/>
      <c r="AS132" s="553"/>
      <c r="AT132" s="553"/>
      <c r="AU132" s="553"/>
      <c r="DO132" s="494"/>
      <c r="DP132" s="496" t="s">
        <v>1396</v>
      </c>
      <c r="DQ132" s="496" t="s">
        <v>1083</v>
      </c>
      <c r="DR132" s="496" t="s">
        <v>689</v>
      </c>
      <c r="DS132" s="496" t="s">
        <v>921</v>
      </c>
      <c r="DT132" s="496" t="s">
        <v>921</v>
      </c>
      <c r="DU132" s="496" t="s">
        <v>1085</v>
      </c>
      <c r="DV132" s="496" t="s">
        <v>1086</v>
      </c>
      <c r="DW132" s="496" t="s">
        <v>1087</v>
      </c>
      <c r="DX132" s="497" t="s">
        <v>1088</v>
      </c>
      <c r="DZ132" s="543">
        <v>1</v>
      </c>
      <c r="EB132" s="493"/>
      <c r="EC132" s="493"/>
    </row>
    <row r="133" spans="5:133" ht="21" customHeight="1">
      <c r="E133" s="716"/>
      <c r="F133" s="724"/>
      <c r="G133" s="725"/>
      <c r="H133" s="724"/>
      <c r="I133" s="726"/>
      <c r="J133" s="950"/>
      <c r="K133" s="951"/>
      <c r="L133" s="793"/>
      <c r="M133" s="952"/>
      <c r="N133" s="953"/>
      <c r="O133" s="954"/>
      <c r="P133" s="955"/>
      <c r="Q133" s="956"/>
      <c r="R133" s="957"/>
      <c r="S133" s="800"/>
      <c r="T133" s="958"/>
      <c r="U133" s="802"/>
      <c r="V133" s="959"/>
      <c r="W133" s="960"/>
      <c r="X133" s="805"/>
      <c r="Y133" s="816"/>
      <c r="AA133" s="689"/>
      <c r="AC133" s="553"/>
      <c r="AD133" s="535"/>
      <c r="AE133" s="539" t="s">
        <v>5909</v>
      </c>
      <c r="AF133" s="553"/>
      <c r="AG133" s="553"/>
      <c r="AH133" s="553"/>
      <c r="AI133" s="553"/>
      <c r="AJ133" s="553"/>
      <c r="AK133" s="553"/>
      <c r="AL133" s="553"/>
      <c r="AM133" s="553"/>
      <c r="AN133" s="553"/>
      <c r="AO133" s="553"/>
      <c r="AP133" s="553"/>
      <c r="AQ133" s="553"/>
      <c r="AR133" s="553"/>
      <c r="AS133" s="553"/>
      <c r="AT133" s="553"/>
      <c r="AU133" s="553"/>
      <c r="DO133" s="494"/>
      <c r="DP133" s="496" t="s">
        <v>1397</v>
      </c>
      <c r="DQ133" s="496" t="s">
        <v>1083</v>
      </c>
      <c r="DR133" s="496" t="s">
        <v>689</v>
      </c>
      <c r="DS133" s="496" t="s">
        <v>922</v>
      </c>
      <c r="DT133" s="496" t="s">
        <v>922</v>
      </c>
      <c r="DU133" s="496" t="s">
        <v>1085</v>
      </c>
      <c r="DV133" s="496" t="s">
        <v>1086</v>
      </c>
      <c r="DW133" s="496" t="s">
        <v>1087</v>
      </c>
      <c r="DX133" s="497" t="s">
        <v>1088</v>
      </c>
      <c r="DZ133" s="543">
        <v>1</v>
      </c>
      <c r="EB133" s="493"/>
      <c r="EC133" s="493"/>
    </row>
    <row r="134" spans="5:133" ht="21" customHeight="1">
      <c r="E134" s="716"/>
      <c r="F134" s="724"/>
      <c r="G134" s="725"/>
      <c r="H134" s="724"/>
      <c r="I134" s="726"/>
      <c r="J134" s="950"/>
      <c r="K134" s="951"/>
      <c r="L134" s="793"/>
      <c r="M134" s="952"/>
      <c r="N134" s="953"/>
      <c r="O134" s="954"/>
      <c r="P134" s="955"/>
      <c r="Q134" s="956"/>
      <c r="R134" s="957"/>
      <c r="S134" s="800"/>
      <c r="T134" s="958"/>
      <c r="U134" s="802"/>
      <c r="V134" s="959"/>
      <c r="W134" s="960"/>
      <c r="X134" s="805"/>
      <c r="Y134" s="816"/>
      <c r="AA134" s="689"/>
      <c r="AC134" s="553"/>
      <c r="AD134" s="535" t="s">
        <v>5835</v>
      </c>
      <c r="AE134" s="539" t="s">
        <v>5836</v>
      </c>
      <c r="AF134" s="553"/>
      <c r="AG134" s="553"/>
      <c r="AH134" s="553"/>
      <c r="AI134" s="553"/>
      <c r="AJ134" s="553"/>
      <c r="AK134" s="553"/>
      <c r="AL134" s="553"/>
      <c r="AM134" s="553"/>
      <c r="AN134" s="553"/>
      <c r="AO134" s="553"/>
      <c r="AP134" s="553"/>
      <c r="AQ134" s="553"/>
      <c r="AR134" s="553"/>
      <c r="AS134" s="553"/>
      <c r="AT134" s="553"/>
      <c r="AU134" s="553"/>
      <c r="DO134" s="494"/>
      <c r="DP134" s="496" t="s">
        <v>1398</v>
      </c>
      <c r="DQ134" s="496" t="s">
        <v>1083</v>
      </c>
      <c r="DR134" s="496" t="s">
        <v>689</v>
      </c>
      <c r="DS134" s="496" t="s">
        <v>317</v>
      </c>
      <c r="DT134" s="496" t="s">
        <v>317</v>
      </c>
      <c r="DU134" s="496" t="s">
        <v>1151</v>
      </c>
      <c r="DV134" s="496" t="s">
        <v>1152</v>
      </c>
      <c r="DW134" s="496" t="s">
        <v>1087</v>
      </c>
      <c r="DX134" s="497" t="s">
        <v>1153</v>
      </c>
      <c r="DZ134" s="543">
        <v>1</v>
      </c>
      <c r="EB134" s="493"/>
      <c r="EC134" s="493"/>
    </row>
    <row r="135" spans="5:133" ht="21" customHeight="1">
      <c r="E135" s="716"/>
      <c r="F135" s="724"/>
      <c r="G135" s="725"/>
      <c r="H135" s="724"/>
      <c r="I135" s="726"/>
      <c r="J135" s="950"/>
      <c r="K135" s="951"/>
      <c r="L135" s="793"/>
      <c r="M135" s="952"/>
      <c r="N135" s="953"/>
      <c r="O135" s="954"/>
      <c r="P135" s="955"/>
      <c r="Q135" s="956"/>
      <c r="R135" s="957"/>
      <c r="S135" s="800"/>
      <c r="T135" s="958"/>
      <c r="U135" s="802"/>
      <c r="V135" s="959"/>
      <c r="W135" s="960"/>
      <c r="X135" s="805"/>
      <c r="Y135" s="816"/>
      <c r="AA135" s="689"/>
      <c r="AC135" s="553"/>
      <c r="AD135" s="541" t="s">
        <v>1164</v>
      </c>
      <c r="AE135" s="539" t="s">
        <v>5910</v>
      </c>
      <c r="AF135" s="553"/>
      <c r="AG135" s="553"/>
      <c r="AH135" s="553"/>
      <c r="AI135" s="553"/>
      <c r="AJ135" s="553"/>
      <c r="AK135" s="553"/>
      <c r="AL135" s="553"/>
      <c r="AM135" s="553"/>
      <c r="AN135" s="553"/>
      <c r="AO135" s="553"/>
      <c r="AP135" s="553"/>
      <c r="AQ135" s="553"/>
      <c r="AR135" s="553"/>
      <c r="AS135" s="553"/>
      <c r="AT135" s="553"/>
      <c r="AU135" s="553"/>
      <c r="DO135" s="494"/>
      <c r="DP135" s="496" t="s">
        <v>1399</v>
      </c>
      <c r="DQ135" s="496" t="s">
        <v>1083</v>
      </c>
      <c r="DR135" s="496" t="s">
        <v>689</v>
      </c>
      <c r="DS135" s="496" t="s">
        <v>118</v>
      </c>
      <c r="DT135" s="496" t="s">
        <v>118</v>
      </c>
      <c r="DU135" s="496" t="s">
        <v>1085</v>
      </c>
      <c r="DV135" s="496" t="s">
        <v>1086</v>
      </c>
      <c r="DW135" s="496" t="s">
        <v>1087</v>
      </c>
      <c r="DX135" s="497" t="s">
        <v>1088</v>
      </c>
      <c r="DZ135" s="555"/>
      <c r="EB135" s="493"/>
      <c r="EC135" s="493"/>
    </row>
    <row r="136" spans="5:133" ht="21" customHeight="1">
      <c r="E136" s="716"/>
      <c r="F136" s="724"/>
      <c r="G136" s="725"/>
      <c r="H136" s="724"/>
      <c r="I136" s="726"/>
      <c r="J136" s="950"/>
      <c r="K136" s="951"/>
      <c r="L136" s="793"/>
      <c r="M136" s="952"/>
      <c r="N136" s="953"/>
      <c r="O136" s="954"/>
      <c r="P136" s="955"/>
      <c r="Q136" s="956"/>
      <c r="R136" s="957"/>
      <c r="S136" s="800"/>
      <c r="T136" s="958"/>
      <c r="U136" s="802"/>
      <c r="V136" s="959"/>
      <c r="W136" s="960"/>
      <c r="X136" s="805"/>
      <c r="Y136" s="816"/>
      <c r="AA136" s="689"/>
      <c r="AC136" s="553"/>
      <c r="AD136" s="542"/>
      <c r="AE136" s="539" t="s">
        <v>5911</v>
      </c>
      <c r="AF136" s="553"/>
      <c r="AG136" s="553"/>
      <c r="AH136" s="553"/>
      <c r="AI136" s="553"/>
      <c r="AJ136" s="553"/>
      <c r="AK136" s="553"/>
      <c r="AL136" s="553"/>
      <c r="AM136" s="553"/>
      <c r="AN136" s="553"/>
      <c r="AO136" s="553"/>
      <c r="AP136" s="553"/>
      <c r="AQ136" s="553"/>
      <c r="AR136" s="553"/>
      <c r="AS136" s="553"/>
      <c r="AT136" s="553"/>
      <c r="AU136" s="553"/>
      <c r="DO136" s="494"/>
      <c r="DP136" s="496" t="s">
        <v>1400</v>
      </c>
      <c r="DQ136" s="496" t="s">
        <v>1083</v>
      </c>
      <c r="DR136" s="496" t="s">
        <v>689</v>
      </c>
      <c r="DS136" s="496" t="s">
        <v>194</v>
      </c>
      <c r="DT136" s="496" t="s">
        <v>194</v>
      </c>
      <c r="DU136" s="496" t="s">
        <v>1085</v>
      </c>
      <c r="DV136" s="496" t="s">
        <v>1086</v>
      </c>
      <c r="DW136" s="496" t="s">
        <v>1087</v>
      </c>
      <c r="DX136" s="497" t="s">
        <v>1088</v>
      </c>
      <c r="DZ136" s="555"/>
      <c r="EB136" s="493"/>
      <c r="EC136" s="493"/>
    </row>
    <row r="137" spans="5:133" ht="21" customHeight="1">
      <c r="E137" s="716"/>
      <c r="F137" s="724"/>
      <c r="G137" s="725"/>
      <c r="H137" s="724"/>
      <c r="I137" s="726"/>
      <c r="J137" s="950"/>
      <c r="K137" s="951"/>
      <c r="L137" s="793"/>
      <c r="M137" s="952"/>
      <c r="N137" s="953"/>
      <c r="O137" s="954"/>
      <c r="P137" s="955"/>
      <c r="Q137" s="956"/>
      <c r="R137" s="957"/>
      <c r="S137" s="800"/>
      <c r="T137" s="958"/>
      <c r="U137" s="802"/>
      <c r="V137" s="959"/>
      <c r="W137" s="960"/>
      <c r="X137" s="805"/>
      <c r="Y137" s="816"/>
      <c r="AA137" s="689"/>
      <c r="AC137" s="553"/>
      <c r="AD137" s="542"/>
      <c r="AE137" s="539"/>
      <c r="AF137" s="553"/>
      <c r="AG137" s="553"/>
      <c r="AH137" s="553"/>
      <c r="AI137" s="553"/>
      <c r="AJ137" s="553"/>
      <c r="AK137" s="553"/>
      <c r="AL137" s="553"/>
      <c r="AM137" s="553"/>
      <c r="AN137" s="553"/>
      <c r="AO137" s="553"/>
      <c r="AP137" s="553"/>
      <c r="AQ137" s="553"/>
      <c r="AR137" s="553"/>
      <c r="AS137" s="553"/>
      <c r="AT137" s="553"/>
      <c r="AU137" s="553"/>
      <c r="DO137" s="494"/>
      <c r="DP137" s="496" t="s">
        <v>1401</v>
      </c>
      <c r="DQ137" s="496" t="s">
        <v>1083</v>
      </c>
      <c r="DR137" s="496" t="s">
        <v>689</v>
      </c>
      <c r="DS137" s="496" t="s">
        <v>178</v>
      </c>
      <c r="DT137" s="496" t="s">
        <v>178</v>
      </c>
      <c r="DU137" s="496" t="s">
        <v>1085</v>
      </c>
      <c r="DV137" s="496" t="s">
        <v>1086</v>
      </c>
      <c r="DW137" s="496" t="s">
        <v>1087</v>
      </c>
      <c r="DX137" s="497" t="s">
        <v>1088</v>
      </c>
      <c r="DZ137" s="555"/>
      <c r="EB137" s="493"/>
      <c r="EC137" s="493"/>
    </row>
    <row r="138" spans="5:133" ht="21" customHeight="1">
      <c r="E138" s="716"/>
      <c r="F138" s="724"/>
      <c r="G138" s="725"/>
      <c r="H138" s="724"/>
      <c r="I138" s="726"/>
      <c r="J138" s="950"/>
      <c r="K138" s="951"/>
      <c r="L138" s="793"/>
      <c r="M138" s="952"/>
      <c r="N138" s="953"/>
      <c r="O138" s="954"/>
      <c r="P138" s="955"/>
      <c r="Q138" s="956"/>
      <c r="R138" s="957"/>
      <c r="S138" s="800"/>
      <c r="T138" s="958"/>
      <c r="U138" s="802"/>
      <c r="V138" s="959"/>
      <c r="W138" s="960"/>
      <c r="X138" s="805"/>
      <c r="Y138" s="816"/>
      <c r="AA138" s="689"/>
      <c r="AC138" s="539"/>
      <c r="AD138" s="556" t="s">
        <v>5912</v>
      </c>
      <c r="AE138" s="557"/>
      <c r="AF138" s="539"/>
      <c r="AG138" s="539"/>
      <c r="AH138" s="539"/>
      <c r="AI138" s="539"/>
      <c r="AJ138" s="539"/>
      <c r="AK138" s="539"/>
      <c r="AL138" s="539"/>
      <c r="AM138" s="539"/>
      <c r="AN138" s="539"/>
      <c r="AO138" s="539"/>
      <c r="AP138" s="539"/>
      <c r="AQ138" s="539"/>
      <c r="AR138" s="539"/>
      <c r="AS138" s="539"/>
      <c r="AT138" s="539"/>
      <c r="AU138" s="539"/>
      <c r="DO138" s="494"/>
      <c r="DP138" s="496" t="s">
        <v>1402</v>
      </c>
      <c r="DQ138" s="496" t="s">
        <v>1083</v>
      </c>
      <c r="DR138" s="496" t="s">
        <v>689</v>
      </c>
      <c r="DS138" s="496" t="s">
        <v>1403</v>
      </c>
      <c r="DT138" s="496" t="s">
        <v>704</v>
      </c>
      <c r="DU138" s="496" t="s">
        <v>1085</v>
      </c>
      <c r="DV138" s="496" t="s">
        <v>1086</v>
      </c>
      <c r="DW138" s="496" t="s">
        <v>1087</v>
      </c>
      <c r="DX138" s="497" t="s">
        <v>1088</v>
      </c>
      <c r="DZ138" s="555"/>
      <c r="EB138" s="493"/>
      <c r="EC138" s="493"/>
    </row>
    <row r="139" spans="5:133" ht="21" customHeight="1">
      <c r="E139" s="716"/>
      <c r="F139" s="724"/>
      <c r="G139" s="725"/>
      <c r="H139" s="724"/>
      <c r="I139" s="726"/>
      <c r="J139" s="950"/>
      <c r="K139" s="951"/>
      <c r="L139" s="793"/>
      <c r="M139" s="952"/>
      <c r="N139" s="953"/>
      <c r="O139" s="954"/>
      <c r="P139" s="955"/>
      <c r="Q139" s="956"/>
      <c r="R139" s="957"/>
      <c r="S139" s="800"/>
      <c r="T139" s="958"/>
      <c r="U139" s="802"/>
      <c r="V139" s="959"/>
      <c r="W139" s="960"/>
      <c r="X139" s="805"/>
      <c r="Y139" s="816"/>
      <c r="AA139" s="689"/>
      <c r="AC139" s="539"/>
      <c r="AD139" s="558" t="s">
        <v>5913</v>
      </c>
      <c r="AE139" s="559" t="s">
        <v>5914</v>
      </c>
      <c r="AF139" s="539"/>
      <c r="AG139" s="539"/>
      <c r="AH139" s="539"/>
      <c r="AI139" s="539"/>
      <c r="AJ139" s="539"/>
      <c r="AK139" s="539"/>
      <c r="AL139" s="539"/>
      <c r="AM139" s="539"/>
      <c r="AN139" s="539"/>
      <c r="AO139" s="539"/>
      <c r="AP139" s="539"/>
      <c r="AQ139" s="539"/>
      <c r="AR139" s="539"/>
      <c r="AS139" s="539"/>
      <c r="AT139" s="539"/>
      <c r="AU139" s="539"/>
      <c r="DO139" s="494"/>
      <c r="DP139" s="496" t="s">
        <v>1404</v>
      </c>
      <c r="DQ139" s="496" t="s">
        <v>1083</v>
      </c>
      <c r="DR139" s="496" t="s">
        <v>689</v>
      </c>
      <c r="DS139" s="496" t="s">
        <v>1405</v>
      </c>
      <c r="DT139" s="496" t="s">
        <v>1405</v>
      </c>
      <c r="DU139" s="496" t="s">
        <v>1085</v>
      </c>
      <c r="DV139" s="496" t="s">
        <v>1086</v>
      </c>
      <c r="DW139" s="496" t="s">
        <v>1087</v>
      </c>
      <c r="DX139" s="497" t="s">
        <v>1088</v>
      </c>
      <c r="DZ139" s="555"/>
      <c r="EB139" s="493"/>
      <c r="EC139" s="493"/>
    </row>
    <row r="140" spans="5:133" ht="21" customHeight="1">
      <c r="E140" s="716"/>
      <c r="F140" s="724"/>
      <c r="G140" s="725"/>
      <c r="H140" s="724"/>
      <c r="I140" s="726"/>
      <c r="J140" s="950"/>
      <c r="K140" s="951"/>
      <c r="L140" s="793"/>
      <c r="M140" s="952"/>
      <c r="N140" s="953"/>
      <c r="O140" s="954"/>
      <c r="P140" s="955"/>
      <c r="Q140" s="956"/>
      <c r="R140" s="957"/>
      <c r="S140" s="800"/>
      <c r="T140" s="958"/>
      <c r="U140" s="802"/>
      <c r="V140" s="959"/>
      <c r="W140" s="960"/>
      <c r="X140" s="805"/>
      <c r="Y140" s="816"/>
      <c r="AA140" s="689"/>
      <c r="AC140" s="539"/>
      <c r="AD140" s="558" t="s">
        <v>5915</v>
      </c>
      <c r="AE140" s="559" t="s">
        <v>5916</v>
      </c>
      <c r="AF140" s="539"/>
      <c r="AG140" s="539"/>
      <c r="AH140" s="539"/>
      <c r="AI140" s="539"/>
      <c r="AJ140" s="539"/>
      <c r="AK140" s="539"/>
      <c r="AL140" s="539"/>
      <c r="AM140" s="539"/>
      <c r="AN140" s="539"/>
      <c r="AO140" s="539"/>
      <c r="AP140" s="539"/>
      <c r="AQ140" s="539"/>
      <c r="AR140" s="539"/>
      <c r="AS140" s="539"/>
      <c r="AT140" s="539"/>
      <c r="AU140" s="539"/>
      <c r="DO140" s="494"/>
      <c r="DP140" s="496" t="s">
        <v>1406</v>
      </c>
      <c r="DQ140" s="496" t="s">
        <v>1083</v>
      </c>
      <c r="DR140" s="496" t="s">
        <v>689</v>
      </c>
      <c r="DS140" s="496" t="s">
        <v>1407</v>
      </c>
      <c r="DT140" s="496" t="s">
        <v>1407</v>
      </c>
      <c r="DU140" s="496" t="s">
        <v>1085</v>
      </c>
      <c r="DV140" s="496" t="s">
        <v>1086</v>
      </c>
      <c r="DW140" s="496" t="s">
        <v>1087</v>
      </c>
      <c r="DX140" s="497" t="s">
        <v>1088</v>
      </c>
      <c r="DZ140" s="555"/>
      <c r="EB140" s="493"/>
      <c r="EC140" s="493"/>
    </row>
    <row r="141" spans="5:133" ht="21" customHeight="1">
      <c r="E141" s="716"/>
      <c r="F141" s="724"/>
      <c r="G141" s="725"/>
      <c r="H141" s="724"/>
      <c r="I141" s="726"/>
      <c r="J141" s="950"/>
      <c r="K141" s="951"/>
      <c r="L141" s="793"/>
      <c r="M141" s="952"/>
      <c r="N141" s="953"/>
      <c r="O141" s="954"/>
      <c r="P141" s="955"/>
      <c r="Q141" s="956"/>
      <c r="R141" s="957"/>
      <c r="S141" s="800"/>
      <c r="T141" s="958"/>
      <c r="U141" s="802"/>
      <c r="V141" s="959"/>
      <c r="W141" s="960"/>
      <c r="X141" s="805"/>
      <c r="Y141" s="816"/>
      <c r="AA141" s="689"/>
      <c r="AC141" s="539"/>
      <c r="AD141" s="558"/>
      <c r="AE141" s="559" t="s">
        <v>5917</v>
      </c>
      <c r="AF141" s="539"/>
      <c r="AG141" s="539"/>
      <c r="AH141" s="539"/>
      <c r="AI141" s="539"/>
      <c r="AJ141" s="539"/>
      <c r="AK141" s="539"/>
      <c r="AL141" s="539"/>
      <c r="AM141" s="539"/>
      <c r="AN141" s="539"/>
      <c r="AO141" s="539"/>
      <c r="AP141" s="539"/>
      <c r="AQ141" s="539"/>
      <c r="AR141" s="539"/>
      <c r="AS141" s="539"/>
      <c r="AT141" s="539"/>
      <c r="AU141" s="539"/>
      <c r="DO141" s="494"/>
      <c r="DP141" s="496" t="s">
        <v>1408</v>
      </c>
      <c r="DQ141" s="496" t="s">
        <v>1083</v>
      </c>
      <c r="DR141" s="496" t="s">
        <v>689</v>
      </c>
      <c r="DS141" s="496" t="s">
        <v>1409</v>
      </c>
      <c r="DT141" s="496" t="s">
        <v>1409</v>
      </c>
      <c r="DU141" s="496" t="s">
        <v>1085</v>
      </c>
      <c r="DV141" s="496" t="s">
        <v>1086</v>
      </c>
      <c r="DW141" s="496" t="s">
        <v>1087</v>
      </c>
      <c r="DX141" s="497" t="s">
        <v>1088</v>
      </c>
      <c r="DZ141" s="555"/>
      <c r="EB141" s="493"/>
      <c r="EC141" s="493"/>
    </row>
    <row r="142" spans="5:133" ht="21" customHeight="1">
      <c r="E142" s="716"/>
      <c r="F142" s="724"/>
      <c r="G142" s="725"/>
      <c r="H142" s="724"/>
      <c r="I142" s="726"/>
      <c r="J142" s="950"/>
      <c r="K142" s="951"/>
      <c r="L142" s="793"/>
      <c r="M142" s="952"/>
      <c r="N142" s="953"/>
      <c r="O142" s="954"/>
      <c r="P142" s="955"/>
      <c r="Q142" s="956"/>
      <c r="R142" s="957"/>
      <c r="S142" s="800"/>
      <c r="T142" s="958"/>
      <c r="U142" s="802"/>
      <c r="V142" s="959"/>
      <c r="W142" s="960"/>
      <c r="X142" s="805"/>
      <c r="Y142" s="816"/>
      <c r="AA142" s="689"/>
      <c r="AC142" s="539"/>
      <c r="AD142" s="558" t="s">
        <v>5918</v>
      </c>
      <c r="AE142" s="559" t="s">
        <v>5919</v>
      </c>
      <c r="AF142" s="539"/>
      <c r="AG142" s="539"/>
      <c r="AH142" s="539"/>
      <c r="AI142" s="539"/>
      <c r="AJ142" s="539"/>
      <c r="AK142" s="539"/>
      <c r="AL142" s="539"/>
      <c r="AM142" s="539"/>
      <c r="AN142" s="539"/>
      <c r="AO142" s="539"/>
      <c r="AP142" s="539"/>
      <c r="AQ142" s="539"/>
      <c r="AR142" s="539"/>
      <c r="AS142" s="539"/>
      <c r="AT142" s="539"/>
      <c r="AU142" s="539"/>
      <c r="DO142" s="494"/>
      <c r="DP142" s="496" t="s">
        <v>1410</v>
      </c>
      <c r="DQ142" s="496" t="s">
        <v>1083</v>
      </c>
      <c r="DR142" s="496" t="s">
        <v>689</v>
      </c>
      <c r="DS142" s="496" t="s">
        <v>1411</v>
      </c>
      <c r="DT142" s="496" t="s">
        <v>189</v>
      </c>
      <c r="DU142" s="496" t="s">
        <v>1085</v>
      </c>
      <c r="DV142" s="496" t="s">
        <v>1086</v>
      </c>
      <c r="DW142" s="496" t="s">
        <v>1087</v>
      </c>
      <c r="DX142" s="497" t="s">
        <v>1088</v>
      </c>
      <c r="DZ142" s="555"/>
      <c r="EB142" s="493"/>
      <c r="EC142" s="493"/>
    </row>
    <row r="143" spans="5:133" ht="21" customHeight="1">
      <c r="E143" s="716"/>
      <c r="F143" s="724"/>
      <c r="G143" s="725"/>
      <c r="H143" s="724"/>
      <c r="I143" s="726"/>
      <c r="J143" s="950"/>
      <c r="K143" s="951"/>
      <c r="L143" s="793"/>
      <c r="M143" s="952"/>
      <c r="N143" s="953"/>
      <c r="O143" s="954"/>
      <c r="P143" s="955"/>
      <c r="Q143" s="956"/>
      <c r="R143" s="957"/>
      <c r="S143" s="800"/>
      <c r="T143" s="958"/>
      <c r="U143" s="802"/>
      <c r="V143" s="959"/>
      <c r="W143" s="960"/>
      <c r="X143" s="805"/>
      <c r="Y143" s="816"/>
      <c r="AA143" s="689"/>
      <c r="AC143" s="539"/>
      <c r="AD143" s="558"/>
      <c r="AE143" s="559" t="s">
        <v>5920</v>
      </c>
      <c r="AF143" s="539"/>
      <c r="AG143" s="539"/>
      <c r="AH143" s="539"/>
      <c r="AI143" s="539"/>
      <c r="AJ143" s="539"/>
      <c r="AK143" s="539"/>
      <c r="AL143" s="539"/>
      <c r="AM143" s="539"/>
      <c r="AN143" s="539"/>
      <c r="AO143" s="539"/>
      <c r="AP143" s="539"/>
      <c r="AQ143" s="539"/>
      <c r="AR143" s="539"/>
      <c r="AS143" s="539"/>
      <c r="AT143" s="539"/>
      <c r="AU143" s="539"/>
      <c r="DO143" s="494"/>
      <c r="DP143" s="496" t="s">
        <v>1412</v>
      </c>
      <c r="DQ143" s="496" t="s">
        <v>1083</v>
      </c>
      <c r="DR143" s="496" t="s">
        <v>689</v>
      </c>
      <c r="DS143" s="496" t="s">
        <v>927</v>
      </c>
      <c r="DT143" s="496" t="s">
        <v>927</v>
      </c>
      <c r="DU143" s="496" t="s">
        <v>1085</v>
      </c>
      <c r="DV143" s="496" t="s">
        <v>1086</v>
      </c>
      <c r="DW143" s="496" t="s">
        <v>1087</v>
      </c>
      <c r="DX143" s="497" t="s">
        <v>1088</v>
      </c>
      <c r="DZ143" s="555"/>
      <c r="EB143" s="493"/>
      <c r="EC143" s="493"/>
    </row>
    <row r="144" spans="5:133" ht="21" customHeight="1">
      <c r="E144" s="716"/>
      <c r="F144" s="724"/>
      <c r="G144" s="725"/>
      <c r="H144" s="724"/>
      <c r="I144" s="726"/>
      <c r="J144" s="950"/>
      <c r="K144" s="951"/>
      <c r="L144" s="793"/>
      <c r="M144" s="952"/>
      <c r="N144" s="953"/>
      <c r="O144" s="954"/>
      <c r="P144" s="955"/>
      <c r="Q144" s="956"/>
      <c r="R144" s="957"/>
      <c r="S144" s="800"/>
      <c r="T144" s="958"/>
      <c r="U144" s="802"/>
      <c r="V144" s="959"/>
      <c r="W144" s="960"/>
      <c r="X144" s="805"/>
      <c r="Y144" s="816"/>
      <c r="AA144" s="689"/>
      <c r="AC144" s="539"/>
      <c r="AD144" s="560"/>
      <c r="AE144" s="560"/>
      <c r="AF144" s="539"/>
      <c r="AG144" s="539"/>
      <c r="AH144" s="539"/>
      <c r="AI144" s="539"/>
      <c r="AJ144" s="539"/>
      <c r="AK144" s="539"/>
      <c r="AL144" s="539"/>
      <c r="AM144" s="539"/>
      <c r="AN144" s="539"/>
      <c r="AO144" s="539"/>
      <c r="AP144" s="539"/>
      <c r="AQ144" s="539"/>
      <c r="AR144" s="539"/>
      <c r="AS144" s="539"/>
      <c r="AT144" s="539"/>
      <c r="AU144" s="539"/>
      <c r="DO144" s="494"/>
      <c r="DP144" s="496" t="s">
        <v>1413</v>
      </c>
      <c r="DQ144" s="496" t="s">
        <v>1083</v>
      </c>
      <c r="DR144" s="496" t="s">
        <v>689</v>
      </c>
      <c r="DS144" s="496" t="s">
        <v>318</v>
      </c>
      <c r="DT144" s="496" t="s">
        <v>318</v>
      </c>
      <c r="DU144" s="496" t="s">
        <v>1151</v>
      </c>
      <c r="DV144" s="496" t="s">
        <v>1152</v>
      </c>
      <c r="DW144" s="496" t="s">
        <v>1087</v>
      </c>
      <c r="DX144" s="497" t="s">
        <v>1153</v>
      </c>
      <c r="DZ144" s="555"/>
      <c r="EB144" s="493"/>
      <c r="EC144" s="493"/>
    </row>
    <row r="145" spans="5:133" ht="21" customHeight="1">
      <c r="E145" s="716"/>
      <c r="F145" s="724"/>
      <c r="G145" s="725"/>
      <c r="H145" s="724"/>
      <c r="I145" s="726"/>
      <c r="J145" s="950"/>
      <c r="K145" s="951"/>
      <c r="L145" s="793"/>
      <c r="M145" s="952"/>
      <c r="N145" s="953"/>
      <c r="O145" s="954"/>
      <c r="P145" s="955"/>
      <c r="Q145" s="956"/>
      <c r="R145" s="957"/>
      <c r="S145" s="800"/>
      <c r="T145" s="958"/>
      <c r="U145" s="802"/>
      <c r="V145" s="959"/>
      <c r="W145" s="960"/>
      <c r="X145" s="805"/>
      <c r="Y145" s="816"/>
      <c r="AA145" s="689"/>
      <c r="AC145" s="539"/>
      <c r="AD145" s="561" t="s">
        <v>5921</v>
      </c>
      <c r="AE145" s="561" t="s">
        <v>5922</v>
      </c>
      <c r="AF145" s="553"/>
      <c r="AG145" s="553"/>
      <c r="AH145" s="539"/>
      <c r="AI145" s="539"/>
      <c r="AJ145" s="539"/>
      <c r="AK145" s="553"/>
      <c r="AL145" s="539"/>
      <c r="AM145" s="539"/>
      <c r="AN145" s="553"/>
      <c r="AO145" s="539"/>
      <c r="AP145" s="539"/>
      <c r="AQ145" s="539"/>
      <c r="AR145" s="539"/>
      <c r="AS145" s="539"/>
      <c r="AT145" s="539"/>
      <c r="AU145" s="539"/>
      <c r="DO145" s="494"/>
      <c r="DP145" s="496" t="s">
        <v>1414</v>
      </c>
      <c r="DQ145" s="496" t="s">
        <v>1083</v>
      </c>
      <c r="DR145" s="496" t="s">
        <v>689</v>
      </c>
      <c r="DS145" s="496" t="s">
        <v>1415</v>
      </c>
      <c r="DT145" s="496" t="s">
        <v>1415</v>
      </c>
      <c r="DU145" s="496" t="s">
        <v>1085</v>
      </c>
      <c r="DV145" s="496" t="s">
        <v>1086</v>
      </c>
      <c r="DW145" s="496" t="s">
        <v>1087</v>
      </c>
      <c r="DX145" s="497" t="s">
        <v>1088</v>
      </c>
      <c r="DZ145" s="555"/>
      <c r="EB145" s="493"/>
      <c r="EC145" s="493"/>
    </row>
    <row r="146" spans="5:133" ht="21" customHeight="1">
      <c r="E146" s="716"/>
      <c r="F146" s="724"/>
      <c r="G146" s="725"/>
      <c r="H146" s="724"/>
      <c r="I146" s="726"/>
      <c r="J146" s="950"/>
      <c r="K146" s="951"/>
      <c r="L146" s="793"/>
      <c r="M146" s="952"/>
      <c r="N146" s="953"/>
      <c r="O146" s="954"/>
      <c r="P146" s="955"/>
      <c r="Q146" s="956"/>
      <c r="R146" s="957"/>
      <c r="S146" s="800"/>
      <c r="T146" s="958"/>
      <c r="U146" s="802"/>
      <c r="V146" s="959"/>
      <c r="W146" s="960"/>
      <c r="X146" s="805"/>
      <c r="Y146" s="816"/>
      <c r="AA146" s="689"/>
      <c r="AC146" s="539"/>
      <c r="AD146" s="562" t="s">
        <v>5923</v>
      </c>
      <c r="AE146" s="559" t="s">
        <v>5924</v>
      </c>
      <c r="AF146" s="553"/>
      <c r="AG146" s="553"/>
      <c r="AH146" s="539"/>
      <c r="AI146" s="539"/>
      <c r="AJ146" s="539"/>
      <c r="AK146" s="553"/>
      <c r="AL146" s="539"/>
      <c r="AM146" s="539"/>
      <c r="AN146" s="553"/>
      <c r="AO146" s="539"/>
      <c r="AP146" s="539"/>
      <c r="AQ146" s="539"/>
      <c r="AR146" s="539"/>
      <c r="AS146" s="539"/>
      <c r="AT146" s="539"/>
      <c r="AU146" s="539"/>
      <c r="DO146" s="494"/>
      <c r="DP146" s="496" t="s">
        <v>1416</v>
      </c>
      <c r="DQ146" s="496" t="s">
        <v>1083</v>
      </c>
      <c r="DR146" s="496" t="s">
        <v>689</v>
      </c>
      <c r="DS146" s="496" t="s">
        <v>1417</v>
      </c>
      <c r="DT146" s="496" t="s">
        <v>1417</v>
      </c>
      <c r="DU146" s="496" t="s">
        <v>1085</v>
      </c>
      <c r="DV146" s="496" t="s">
        <v>1086</v>
      </c>
      <c r="DW146" s="496" t="s">
        <v>1087</v>
      </c>
      <c r="DX146" s="497" t="s">
        <v>1088</v>
      </c>
      <c r="DZ146" s="555"/>
      <c r="EB146" s="493"/>
      <c r="EC146" s="493"/>
    </row>
    <row r="147" spans="5:133" ht="21" customHeight="1">
      <c r="E147" s="716"/>
      <c r="F147" s="724"/>
      <c r="G147" s="725"/>
      <c r="H147" s="724"/>
      <c r="I147" s="726"/>
      <c r="J147" s="950"/>
      <c r="K147" s="951"/>
      <c r="L147" s="793"/>
      <c r="M147" s="952"/>
      <c r="N147" s="953"/>
      <c r="O147" s="954"/>
      <c r="P147" s="955"/>
      <c r="Q147" s="956"/>
      <c r="R147" s="957"/>
      <c r="S147" s="800"/>
      <c r="T147" s="958"/>
      <c r="U147" s="802"/>
      <c r="V147" s="959"/>
      <c r="W147" s="960"/>
      <c r="X147" s="805"/>
      <c r="Y147" s="816"/>
      <c r="AA147" s="689"/>
      <c r="AC147" s="539"/>
      <c r="AD147" s="562" t="s">
        <v>5925</v>
      </c>
      <c r="AE147" s="559" t="s">
        <v>5926</v>
      </c>
      <c r="AF147" s="553"/>
      <c r="AG147" s="553"/>
      <c r="AH147" s="539"/>
      <c r="AI147" s="539"/>
      <c r="AJ147" s="539"/>
      <c r="AK147" s="553"/>
      <c r="AL147" s="539"/>
      <c r="AM147" s="539"/>
      <c r="AN147" s="553"/>
      <c r="AO147" s="539"/>
      <c r="AP147" s="539"/>
      <c r="AQ147" s="539"/>
      <c r="AR147" s="539"/>
      <c r="AS147" s="539"/>
      <c r="AT147" s="539"/>
      <c r="AU147" s="539"/>
      <c r="DO147" s="494"/>
      <c r="DP147" s="496" t="s">
        <v>1418</v>
      </c>
      <c r="DQ147" s="496" t="s">
        <v>1083</v>
      </c>
      <c r="DR147" s="496" t="s">
        <v>689</v>
      </c>
      <c r="DS147" s="496" t="s">
        <v>1419</v>
      </c>
      <c r="DT147" s="496" t="s">
        <v>928</v>
      </c>
      <c r="DU147" s="496" t="s">
        <v>1085</v>
      </c>
      <c r="DV147" s="496" t="s">
        <v>1086</v>
      </c>
      <c r="DW147" s="496" t="s">
        <v>1087</v>
      </c>
      <c r="DX147" s="497" t="s">
        <v>1088</v>
      </c>
      <c r="DZ147" s="555"/>
      <c r="EB147" s="493"/>
      <c r="EC147" s="493"/>
    </row>
    <row r="148" spans="5:133" ht="21" customHeight="1">
      <c r="E148" s="716"/>
      <c r="F148" s="724"/>
      <c r="G148" s="725"/>
      <c r="H148" s="724"/>
      <c r="I148" s="726"/>
      <c r="J148" s="950"/>
      <c r="K148" s="951"/>
      <c r="L148" s="793"/>
      <c r="M148" s="952"/>
      <c r="N148" s="953"/>
      <c r="O148" s="954"/>
      <c r="P148" s="955"/>
      <c r="Q148" s="956"/>
      <c r="R148" s="957"/>
      <c r="S148" s="800"/>
      <c r="T148" s="958"/>
      <c r="U148" s="802"/>
      <c r="V148" s="959"/>
      <c r="W148" s="960"/>
      <c r="X148" s="805"/>
      <c r="Y148" s="816"/>
      <c r="AA148" s="689"/>
      <c r="AC148" s="539"/>
      <c r="AD148" s="562" t="s">
        <v>5927</v>
      </c>
      <c r="AE148" s="559" t="s">
        <v>5928</v>
      </c>
      <c r="AF148" s="553"/>
      <c r="AG148" s="553"/>
      <c r="AH148" s="539"/>
      <c r="AI148" s="539"/>
      <c r="AJ148" s="539"/>
      <c r="AK148" s="553"/>
      <c r="AL148" s="539"/>
      <c r="AM148" s="539"/>
      <c r="AN148" s="553"/>
      <c r="AO148" s="539"/>
      <c r="AP148" s="539"/>
      <c r="AQ148" s="539"/>
      <c r="AR148" s="539"/>
      <c r="AS148" s="539"/>
      <c r="AT148" s="539"/>
      <c r="AU148" s="539"/>
      <c r="DO148" s="494"/>
      <c r="DP148" s="496" t="s">
        <v>1420</v>
      </c>
      <c r="DQ148" s="496" t="s">
        <v>1083</v>
      </c>
      <c r="DR148" s="496" t="s">
        <v>689</v>
      </c>
      <c r="DS148" s="496" t="s">
        <v>929</v>
      </c>
      <c r="DT148" s="496" t="s">
        <v>929</v>
      </c>
      <c r="DU148" s="496" t="s">
        <v>1085</v>
      </c>
      <c r="DV148" s="496" t="s">
        <v>1086</v>
      </c>
      <c r="DW148" s="496" t="s">
        <v>1087</v>
      </c>
      <c r="DX148" s="497" t="s">
        <v>1088</v>
      </c>
      <c r="DZ148" s="555"/>
      <c r="EB148" s="493"/>
      <c r="EC148" s="493"/>
    </row>
    <row r="149" spans="5:133" ht="21" customHeight="1">
      <c r="E149" s="716"/>
      <c r="F149" s="724"/>
      <c r="G149" s="725"/>
      <c r="H149" s="724"/>
      <c r="I149" s="726"/>
      <c r="J149" s="950"/>
      <c r="K149" s="951"/>
      <c r="L149" s="793"/>
      <c r="M149" s="952"/>
      <c r="N149" s="953"/>
      <c r="O149" s="954"/>
      <c r="P149" s="955"/>
      <c r="Q149" s="956"/>
      <c r="R149" s="957"/>
      <c r="S149" s="800"/>
      <c r="T149" s="958"/>
      <c r="U149" s="802"/>
      <c r="V149" s="959"/>
      <c r="W149" s="960"/>
      <c r="X149" s="805"/>
      <c r="Y149" s="816"/>
      <c r="AA149" s="689"/>
      <c r="AC149" s="539"/>
      <c r="AD149" s="562" t="s">
        <v>5929</v>
      </c>
      <c r="AE149" s="559" t="s">
        <v>5930</v>
      </c>
      <c r="AF149" s="553"/>
      <c r="AG149" s="553"/>
      <c r="AH149" s="539"/>
      <c r="AI149" s="539"/>
      <c r="AJ149" s="539"/>
      <c r="AK149" s="553"/>
      <c r="AL149" s="539"/>
      <c r="AM149" s="539"/>
      <c r="AN149" s="553"/>
      <c r="AO149" s="539"/>
      <c r="AP149" s="539"/>
      <c r="AQ149" s="539"/>
      <c r="AR149" s="539"/>
      <c r="AS149" s="539"/>
      <c r="AT149" s="539"/>
      <c r="AU149" s="539"/>
      <c r="DO149" s="494"/>
      <c r="DP149" s="496" t="s">
        <v>1421</v>
      </c>
      <c r="DQ149" s="496" t="s">
        <v>1083</v>
      </c>
      <c r="DR149" s="496" t="s">
        <v>689</v>
      </c>
      <c r="DS149" s="496" t="s">
        <v>930</v>
      </c>
      <c r="DT149" s="496" t="s">
        <v>930</v>
      </c>
      <c r="DU149" s="496" t="s">
        <v>1085</v>
      </c>
      <c r="DV149" s="496" t="s">
        <v>1086</v>
      </c>
      <c r="DW149" s="496" t="s">
        <v>1087</v>
      </c>
      <c r="DX149" s="497" t="s">
        <v>1088</v>
      </c>
      <c r="DZ149" s="555"/>
      <c r="EB149" s="493"/>
      <c r="EC149" s="493"/>
    </row>
    <row r="150" spans="5:133" ht="21" customHeight="1">
      <c r="E150" s="716"/>
      <c r="F150" s="724"/>
      <c r="G150" s="725"/>
      <c r="H150" s="724"/>
      <c r="I150" s="726"/>
      <c r="J150" s="950"/>
      <c r="K150" s="951"/>
      <c r="L150" s="793"/>
      <c r="M150" s="952"/>
      <c r="N150" s="953"/>
      <c r="O150" s="954"/>
      <c r="P150" s="955"/>
      <c r="Q150" s="956"/>
      <c r="R150" s="957"/>
      <c r="S150" s="800"/>
      <c r="T150" s="958"/>
      <c r="U150" s="802"/>
      <c r="V150" s="959"/>
      <c r="W150" s="960"/>
      <c r="X150" s="805"/>
      <c r="Y150" s="816"/>
      <c r="AA150" s="689"/>
      <c r="AC150" s="539"/>
      <c r="AD150" s="562" t="s">
        <v>5931</v>
      </c>
      <c r="AE150" s="559" t="s">
        <v>5932</v>
      </c>
      <c r="AF150" s="553"/>
      <c r="AG150" s="553"/>
      <c r="AH150" s="539"/>
      <c r="AI150" s="539"/>
      <c r="AJ150" s="539"/>
      <c r="AK150" s="553"/>
      <c r="AL150" s="539"/>
      <c r="AM150" s="539"/>
      <c r="AN150" s="553"/>
      <c r="AO150" s="539"/>
      <c r="AP150" s="539"/>
      <c r="AQ150" s="539"/>
      <c r="AR150" s="539"/>
      <c r="AS150" s="539"/>
      <c r="AT150" s="539"/>
      <c r="AU150" s="539"/>
      <c r="DO150" s="494"/>
      <c r="DP150" s="496" t="s">
        <v>1422</v>
      </c>
      <c r="DQ150" s="496" t="s">
        <v>1083</v>
      </c>
      <c r="DR150" s="496" t="s">
        <v>689</v>
      </c>
      <c r="DS150" s="496" t="s">
        <v>1423</v>
      </c>
      <c r="DT150" s="496" t="s">
        <v>1423</v>
      </c>
      <c r="DU150" s="496" t="s">
        <v>1085</v>
      </c>
      <c r="DV150" s="496" t="s">
        <v>1086</v>
      </c>
      <c r="DW150" s="496" t="s">
        <v>1087</v>
      </c>
      <c r="DX150" s="497" t="s">
        <v>1088</v>
      </c>
      <c r="DZ150" s="555"/>
      <c r="EB150" s="493"/>
      <c r="EC150" s="493"/>
    </row>
    <row r="151" spans="5:133" ht="21" customHeight="1">
      <c r="E151" s="716"/>
      <c r="F151" s="724"/>
      <c r="G151" s="725"/>
      <c r="H151" s="724"/>
      <c r="I151" s="726"/>
      <c r="J151" s="950"/>
      <c r="K151" s="951"/>
      <c r="L151" s="793"/>
      <c r="M151" s="952"/>
      <c r="N151" s="953"/>
      <c r="O151" s="954"/>
      <c r="P151" s="955"/>
      <c r="Q151" s="956"/>
      <c r="R151" s="957"/>
      <c r="S151" s="800"/>
      <c r="T151" s="958"/>
      <c r="U151" s="802"/>
      <c r="V151" s="959"/>
      <c r="W151" s="960"/>
      <c r="X151" s="805"/>
      <c r="Y151" s="816"/>
      <c r="AA151" s="689"/>
      <c r="AC151" s="539"/>
      <c r="AD151" s="562" t="s">
        <v>5933</v>
      </c>
      <c r="AE151" s="559" t="s">
        <v>5934</v>
      </c>
      <c r="AF151" s="553"/>
      <c r="AG151" s="553"/>
      <c r="AH151" s="539"/>
      <c r="AI151" s="539"/>
      <c r="AJ151" s="539"/>
      <c r="AK151" s="553"/>
      <c r="AL151" s="539"/>
      <c r="AM151" s="539"/>
      <c r="AN151" s="553"/>
      <c r="AO151" s="539"/>
      <c r="AP151" s="539"/>
      <c r="AQ151" s="539"/>
      <c r="AR151" s="539"/>
      <c r="AS151" s="539"/>
      <c r="AT151" s="539"/>
      <c r="AU151" s="539"/>
      <c r="DO151" s="494"/>
      <c r="DP151" s="496" t="s">
        <v>1424</v>
      </c>
      <c r="DQ151" s="496" t="s">
        <v>1083</v>
      </c>
      <c r="DR151" s="496" t="s">
        <v>689</v>
      </c>
      <c r="DS151" s="496" t="s">
        <v>932</v>
      </c>
      <c r="DT151" s="496" t="s">
        <v>932</v>
      </c>
      <c r="DU151" s="496" t="s">
        <v>1085</v>
      </c>
      <c r="DV151" s="496" t="s">
        <v>1086</v>
      </c>
      <c r="DW151" s="496" t="s">
        <v>1087</v>
      </c>
      <c r="DX151" s="497" t="s">
        <v>1088</v>
      </c>
      <c r="DZ151" s="555"/>
      <c r="EB151" s="493"/>
      <c r="EC151" s="493"/>
    </row>
    <row r="152" spans="5:133" ht="21" customHeight="1">
      <c r="E152" s="716"/>
      <c r="F152" s="724"/>
      <c r="G152" s="725"/>
      <c r="H152" s="724"/>
      <c r="I152" s="726"/>
      <c r="J152" s="950"/>
      <c r="K152" s="951"/>
      <c r="L152" s="793"/>
      <c r="M152" s="952"/>
      <c r="N152" s="953"/>
      <c r="O152" s="954"/>
      <c r="P152" s="955"/>
      <c r="Q152" s="956"/>
      <c r="R152" s="957"/>
      <c r="S152" s="800"/>
      <c r="T152" s="958"/>
      <c r="U152" s="802"/>
      <c r="V152" s="959"/>
      <c r="W152" s="960"/>
      <c r="X152" s="805"/>
      <c r="Y152" s="816"/>
      <c r="AA152" s="689"/>
      <c r="AC152" s="539"/>
      <c r="AD152" s="562" t="s">
        <v>5935</v>
      </c>
      <c r="AE152" s="559" t="s">
        <v>5936</v>
      </c>
      <c r="AF152" s="553"/>
      <c r="AG152" s="553"/>
      <c r="AH152" s="539"/>
      <c r="AI152" s="539"/>
      <c r="AJ152" s="539"/>
      <c r="AK152" s="553"/>
      <c r="AL152" s="539"/>
      <c r="AM152" s="539"/>
      <c r="AN152" s="553"/>
      <c r="AO152" s="539"/>
      <c r="AP152" s="539"/>
      <c r="AQ152" s="539"/>
      <c r="AR152" s="539"/>
      <c r="AS152" s="539"/>
      <c r="AT152" s="539"/>
      <c r="AU152" s="539"/>
      <c r="DO152" s="494"/>
      <c r="DP152" s="496" t="s">
        <v>1425</v>
      </c>
      <c r="DQ152" s="496" t="s">
        <v>1083</v>
      </c>
      <c r="DR152" s="496" t="s">
        <v>689</v>
      </c>
      <c r="DS152" s="496" t="s">
        <v>1426</v>
      </c>
      <c r="DT152" s="496" t="s">
        <v>1427</v>
      </c>
      <c r="DU152" s="496" t="s">
        <v>1085</v>
      </c>
      <c r="DV152" s="496" t="s">
        <v>1086</v>
      </c>
      <c r="DW152" s="496" t="s">
        <v>1087</v>
      </c>
      <c r="DX152" s="497" t="s">
        <v>1088</v>
      </c>
      <c r="DZ152" s="555"/>
      <c r="EB152" s="493"/>
      <c r="EC152" s="493"/>
    </row>
    <row r="153" spans="5:133" ht="21" customHeight="1">
      <c r="E153" s="716"/>
      <c r="F153" s="724"/>
      <c r="G153" s="725"/>
      <c r="H153" s="724"/>
      <c r="I153" s="726"/>
      <c r="J153" s="950"/>
      <c r="K153" s="951"/>
      <c r="L153" s="793"/>
      <c r="M153" s="952"/>
      <c r="N153" s="953"/>
      <c r="O153" s="954"/>
      <c r="P153" s="955"/>
      <c r="Q153" s="956"/>
      <c r="R153" s="957"/>
      <c r="S153" s="800"/>
      <c r="T153" s="958"/>
      <c r="U153" s="802"/>
      <c r="V153" s="959"/>
      <c r="W153" s="960"/>
      <c r="X153" s="805"/>
      <c r="Y153" s="816"/>
      <c r="AA153" s="689"/>
      <c r="AC153" s="539"/>
      <c r="AD153" s="562" t="s">
        <v>5937</v>
      </c>
      <c r="AE153" s="559" t="s">
        <v>5938</v>
      </c>
      <c r="AF153" s="553"/>
      <c r="AG153" s="553"/>
      <c r="AH153" s="539"/>
      <c r="AI153" s="539"/>
      <c r="AJ153" s="539"/>
      <c r="AK153" s="553"/>
      <c r="AL153" s="539"/>
      <c r="AM153" s="539"/>
      <c r="AN153" s="553"/>
      <c r="AO153" s="539"/>
      <c r="AP153" s="539"/>
      <c r="AQ153" s="539"/>
      <c r="AR153" s="539"/>
      <c r="AS153" s="539"/>
      <c r="AT153" s="539"/>
      <c r="AU153" s="539"/>
      <c r="DO153" s="494"/>
      <c r="DP153" s="496" t="s">
        <v>1428</v>
      </c>
      <c r="DQ153" s="496" t="s">
        <v>1083</v>
      </c>
      <c r="DR153" s="496" t="s">
        <v>689</v>
      </c>
      <c r="DS153" s="496" t="s">
        <v>933</v>
      </c>
      <c r="DT153" s="496" t="s">
        <v>933</v>
      </c>
      <c r="DU153" s="496" t="s">
        <v>1085</v>
      </c>
      <c r="DV153" s="496" t="s">
        <v>1086</v>
      </c>
      <c r="DW153" s="496" t="s">
        <v>1087</v>
      </c>
      <c r="DX153" s="497" t="s">
        <v>1088</v>
      </c>
      <c r="DZ153" s="555"/>
      <c r="EB153" s="493"/>
      <c r="EC153" s="493"/>
    </row>
    <row r="154" spans="5:133" ht="21" customHeight="1">
      <c r="E154" s="716"/>
      <c r="F154" s="724"/>
      <c r="G154" s="725"/>
      <c r="H154" s="724"/>
      <c r="I154" s="726"/>
      <c r="J154" s="950"/>
      <c r="K154" s="951"/>
      <c r="L154" s="793"/>
      <c r="M154" s="952"/>
      <c r="N154" s="953"/>
      <c r="O154" s="954"/>
      <c r="P154" s="955"/>
      <c r="Q154" s="956"/>
      <c r="R154" s="957"/>
      <c r="S154" s="800"/>
      <c r="T154" s="958"/>
      <c r="U154" s="802"/>
      <c r="V154" s="959"/>
      <c r="W154" s="960"/>
      <c r="X154" s="805"/>
      <c r="Y154" s="816"/>
      <c r="AA154" s="689"/>
      <c r="AC154" s="539"/>
      <c r="AD154" s="562" t="s">
        <v>5939</v>
      </c>
      <c r="AE154" s="559" t="s">
        <v>5940</v>
      </c>
      <c r="AF154" s="553"/>
      <c r="AG154" s="553"/>
      <c r="AH154" s="539"/>
      <c r="AI154" s="539"/>
      <c r="AJ154" s="539"/>
      <c r="AK154" s="553"/>
      <c r="AL154" s="539"/>
      <c r="AM154" s="539"/>
      <c r="AN154" s="553"/>
      <c r="AO154" s="539"/>
      <c r="AP154" s="539"/>
      <c r="AQ154" s="539"/>
      <c r="AR154" s="539"/>
      <c r="AS154" s="539"/>
      <c r="AT154" s="539"/>
      <c r="AU154" s="539"/>
      <c r="DO154" s="494"/>
      <c r="DP154" s="496" t="s">
        <v>1429</v>
      </c>
      <c r="DQ154" s="496" t="s">
        <v>1083</v>
      </c>
      <c r="DR154" s="496" t="s">
        <v>689</v>
      </c>
      <c r="DS154" s="496" t="s">
        <v>151</v>
      </c>
      <c r="DT154" s="496" t="s">
        <v>151</v>
      </c>
      <c r="DU154" s="496" t="s">
        <v>1085</v>
      </c>
      <c r="DV154" s="496" t="s">
        <v>1086</v>
      </c>
      <c r="DW154" s="496" t="s">
        <v>1087</v>
      </c>
      <c r="DX154" s="497" t="s">
        <v>1088</v>
      </c>
      <c r="DZ154" s="555"/>
      <c r="EB154" s="493"/>
      <c r="EC154" s="493"/>
    </row>
    <row r="155" spans="5:133" ht="21" customHeight="1">
      <c r="E155" s="716"/>
      <c r="F155" s="724"/>
      <c r="G155" s="725"/>
      <c r="H155" s="724"/>
      <c r="I155" s="726"/>
      <c r="J155" s="950"/>
      <c r="K155" s="951"/>
      <c r="L155" s="793"/>
      <c r="M155" s="952"/>
      <c r="N155" s="953"/>
      <c r="O155" s="954"/>
      <c r="P155" s="955"/>
      <c r="Q155" s="956"/>
      <c r="R155" s="957"/>
      <c r="S155" s="800"/>
      <c r="T155" s="958"/>
      <c r="U155" s="802"/>
      <c r="V155" s="959"/>
      <c r="W155" s="960"/>
      <c r="X155" s="805"/>
      <c r="Y155" s="816"/>
      <c r="AA155" s="689"/>
      <c r="AC155" s="539"/>
      <c r="AD155" s="562" t="s">
        <v>5941</v>
      </c>
      <c r="AE155" s="559" t="s">
        <v>5942</v>
      </c>
      <c r="AF155" s="553"/>
      <c r="AG155" s="553"/>
      <c r="AH155" s="539"/>
      <c r="AI155" s="539"/>
      <c r="AJ155" s="539"/>
      <c r="AK155" s="553"/>
      <c r="AL155" s="539"/>
      <c r="AM155" s="539"/>
      <c r="AN155" s="553"/>
      <c r="AO155" s="539"/>
      <c r="AP155" s="539"/>
      <c r="AQ155" s="539"/>
      <c r="AR155" s="539"/>
      <c r="AS155" s="539"/>
      <c r="AT155" s="539"/>
      <c r="AU155" s="539"/>
      <c r="DO155" s="494"/>
      <c r="DP155" s="496" t="s">
        <v>1430</v>
      </c>
      <c r="DQ155" s="496" t="s">
        <v>1083</v>
      </c>
      <c r="DR155" s="496" t="s">
        <v>689</v>
      </c>
      <c r="DS155" s="496" t="s">
        <v>1431</v>
      </c>
      <c r="DT155" s="496" t="s">
        <v>1431</v>
      </c>
      <c r="DU155" s="496" t="s">
        <v>1085</v>
      </c>
      <c r="DV155" s="496" t="s">
        <v>1086</v>
      </c>
      <c r="DW155" s="496" t="s">
        <v>1087</v>
      </c>
      <c r="DX155" s="497" t="s">
        <v>1088</v>
      </c>
      <c r="DZ155" s="555"/>
      <c r="EB155" s="493"/>
      <c r="EC155" s="493"/>
    </row>
    <row r="156" spans="5:133" ht="21" customHeight="1">
      <c r="E156" s="716"/>
      <c r="F156" s="724"/>
      <c r="G156" s="725"/>
      <c r="H156" s="724"/>
      <c r="I156" s="726"/>
      <c r="J156" s="950"/>
      <c r="K156" s="951"/>
      <c r="L156" s="793"/>
      <c r="M156" s="952"/>
      <c r="N156" s="953"/>
      <c r="O156" s="954"/>
      <c r="P156" s="955"/>
      <c r="Q156" s="956"/>
      <c r="R156" s="957"/>
      <c r="S156" s="800"/>
      <c r="T156" s="958"/>
      <c r="U156" s="802"/>
      <c r="V156" s="959"/>
      <c r="W156" s="960"/>
      <c r="X156" s="805"/>
      <c r="Y156" s="816"/>
      <c r="AA156" s="689"/>
      <c r="AC156" s="539"/>
      <c r="AD156" s="562" t="s">
        <v>5943</v>
      </c>
      <c r="AE156" s="559" t="s">
        <v>5944</v>
      </c>
      <c r="AF156" s="553"/>
      <c r="AG156" s="553"/>
      <c r="AH156" s="539"/>
      <c r="AI156" s="539"/>
      <c r="AJ156" s="539"/>
      <c r="AK156" s="553"/>
      <c r="AL156" s="539"/>
      <c r="AM156" s="539"/>
      <c r="AN156" s="553"/>
      <c r="AO156" s="539"/>
      <c r="AP156" s="539"/>
      <c r="AQ156" s="539"/>
      <c r="AR156" s="539"/>
      <c r="AS156" s="539"/>
      <c r="AT156" s="539"/>
      <c r="AU156" s="539"/>
      <c r="DO156" s="494"/>
      <c r="DP156" s="496" t="s">
        <v>1432</v>
      </c>
      <c r="DQ156" s="496" t="s">
        <v>1083</v>
      </c>
      <c r="DR156" s="496" t="s">
        <v>689</v>
      </c>
      <c r="DS156" s="496" t="s">
        <v>1433</v>
      </c>
      <c r="DT156" s="496" t="s">
        <v>1433</v>
      </c>
      <c r="DU156" s="496" t="s">
        <v>1085</v>
      </c>
      <c r="DV156" s="496" t="s">
        <v>1086</v>
      </c>
      <c r="DW156" s="496" t="s">
        <v>1087</v>
      </c>
      <c r="DX156" s="497" t="s">
        <v>1088</v>
      </c>
      <c r="DZ156" s="555"/>
      <c r="EB156" s="493"/>
      <c r="EC156" s="493"/>
    </row>
    <row r="157" spans="5:133" ht="21" customHeight="1">
      <c r="E157" s="716"/>
      <c r="F157" s="724"/>
      <c r="G157" s="725"/>
      <c r="H157" s="724"/>
      <c r="I157" s="726"/>
      <c r="J157" s="950"/>
      <c r="K157" s="951"/>
      <c r="L157" s="793"/>
      <c r="M157" s="952"/>
      <c r="N157" s="953"/>
      <c r="O157" s="954"/>
      <c r="P157" s="955"/>
      <c r="Q157" s="956"/>
      <c r="R157" s="957"/>
      <c r="S157" s="800"/>
      <c r="T157" s="958"/>
      <c r="U157" s="802"/>
      <c r="V157" s="959"/>
      <c r="W157" s="960"/>
      <c r="X157" s="805"/>
      <c r="Y157" s="816"/>
      <c r="AA157" s="689"/>
      <c r="AC157" s="539"/>
      <c r="AD157" s="562" t="s">
        <v>5945</v>
      </c>
      <c r="AE157" s="559" t="s">
        <v>5946</v>
      </c>
      <c r="AF157" s="553"/>
      <c r="AG157" s="553"/>
      <c r="AH157" s="539"/>
      <c r="AI157" s="539"/>
      <c r="AJ157" s="539"/>
      <c r="AK157" s="553"/>
      <c r="AL157" s="539"/>
      <c r="AM157" s="539"/>
      <c r="AN157" s="553"/>
      <c r="AO157" s="539"/>
      <c r="AP157" s="539"/>
      <c r="AQ157" s="539"/>
      <c r="AR157" s="539"/>
      <c r="AS157" s="539"/>
      <c r="AT157" s="539"/>
      <c r="AU157" s="539"/>
      <c r="DO157" s="494"/>
      <c r="DP157" s="496" t="s">
        <v>1456</v>
      </c>
      <c r="DQ157" s="496" t="s">
        <v>1083</v>
      </c>
      <c r="DR157" s="496" t="s">
        <v>690</v>
      </c>
      <c r="DS157" s="496" t="s">
        <v>707</v>
      </c>
      <c r="DT157" s="496" t="s">
        <v>707</v>
      </c>
      <c r="DU157" s="496" t="s">
        <v>1085</v>
      </c>
      <c r="DV157" s="496" t="s">
        <v>1441</v>
      </c>
      <c r="DW157" s="496" t="s">
        <v>1087</v>
      </c>
      <c r="DX157" s="497" t="s">
        <v>1088</v>
      </c>
      <c r="DZ157" s="555"/>
      <c r="EB157" s="493"/>
      <c r="EC157" s="493"/>
    </row>
    <row r="158" spans="5:133" ht="21" customHeight="1">
      <c r="E158" s="716"/>
      <c r="F158" s="724"/>
      <c r="G158" s="725"/>
      <c r="H158" s="724"/>
      <c r="I158" s="726"/>
      <c r="J158" s="950"/>
      <c r="K158" s="951"/>
      <c r="L158" s="793"/>
      <c r="M158" s="952"/>
      <c r="N158" s="953"/>
      <c r="O158" s="954"/>
      <c r="P158" s="955"/>
      <c r="Q158" s="956"/>
      <c r="R158" s="957"/>
      <c r="S158" s="800"/>
      <c r="T158" s="958"/>
      <c r="U158" s="802"/>
      <c r="V158" s="959"/>
      <c r="W158" s="960"/>
      <c r="X158" s="805"/>
      <c r="Y158" s="816"/>
      <c r="AA158" s="689"/>
      <c r="AC158" s="539"/>
      <c r="AD158" s="562" t="s">
        <v>5947</v>
      </c>
      <c r="AE158" s="559" t="s">
        <v>5948</v>
      </c>
      <c r="AF158" s="553"/>
      <c r="AG158" s="553"/>
      <c r="AH158" s="539"/>
      <c r="AI158" s="539"/>
      <c r="AJ158" s="539"/>
      <c r="AK158" s="553"/>
      <c r="AL158" s="539"/>
      <c r="AM158" s="539"/>
      <c r="AN158" s="553"/>
      <c r="AO158" s="539"/>
      <c r="AP158" s="539"/>
      <c r="AQ158" s="539"/>
      <c r="AR158" s="539"/>
      <c r="AS158" s="539"/>
      <c r="AT158" s="539"/>
      <c r="AU158" s="539"/>
      <c r="DO158" s="494"/>
      <c r="DP158" s="496" t="s">
        <v>1434</v>
      </c>
      <c r="DQ158" s="496" t="s">
        <v>1083</v>
      </c>
      <c r="DR158" s="496" t="s">
        <v>689</v>
      </c>
      <c r="DS158" s="496" t="s">
        <v>1435</v>
      </c>
      <c r="DT158" s="496" t="s">
        <v>1435</v>
      </c>
      <c r="DU158" s="496" t="s">
        <v>1151</v>
      </c>
      <c r="DV158" s="496" t="s">
        <v>1152</v>
      </c>
      <c r="DW158" s="496" t="s">
        <v>1087</v>
      </c>
      <c r="DX158" s="497" t="s">
        <v>1153</v>
      </c>
      <c r="DZ158" s="555"/>
      <c r="EB158" s="493"/>
      <c r="EC158" s="493"/>
    </row>
    <row r="159" spans="5:133" ht="21" customHeight="1">
      <c r="E159" s="716"/>
      <c r="F159" s="724"/>
      <c r="G159" s="725"/>
      <c r="H159" s="724"/>
      <c r="I159" s="726"/>
      <c r="J159" s="950"/>
      <c r="K159" s="951"/>
      <c r="L159" s="793"/>
      <c r="M159" s="952"/>
      <c r="N159" s="953"/>
      <c r="O159" s="954"/>
      <c r="P159" s="955"/>
      <c r="Q159" s="956"/>
      <c r="R159" s="957"/>
      <c r="S159" s="800"/>
      <c r="T159" s="958"/>
      <c r="U159" s="802"/>
      <c r="V159" s="959"/>
      <c r="W159" s="960"/>
      <c r="X159" s="805"/>
      <c r="Y159" s="816"/>
      <c r="AA159" s="689"/>
      <c r="AC159" s="539"/>
      <c r="AD159" s="562" t="s">
        <v>5949</v>
      </c>
      <c r="AE159" s="559" t="s">
        <v>5950</v>
      </c>
      <c r="AF159" s="553"/>
      <c r="AG159" s="553"/>
      <c r="AH159" s="539"/>
      <c r="AI159" s="539"/>
      <c r="AJ159" s="539"/>
      <c r="AK159" s="553"/>
      <c r="AL159" s="539"/>
      <c r="AM159" s="539"/>
      <c r="AN159" s="553"/>
      <c r="AO159" s="539"/>
      <c r="AP159" s="539"/>
      <c r="AQ159" s="539"/>
      <c r="AR159" s="539"/>
      <c r="AS159" s="539"/>
      <c r="AT159" s="539"/>
      <c r="AU159" s="539"/>
      <c r="DO159" s="494"/>
      <c r="DP159" s="496" t="s">
        <v>1436</v>
      </c>
      <c r="DQ159" s="496" t="s">
        <v>1083</v>
      </c>
      <c r="DR159" s="496" t="s">
        <v>689</v>
      </c>
      <c r="DS159" s="496" t="s">
        <v>319</v>
      </c>
      <c r="DT159" s="496" t="s">
        <v>319</v>
      </c>
      <c r="DU159" s="496" t="s">
        <v>1085</v>
      </c>
      <c r="DV159" s="496" t="s">
        <v>1086</v>
      </c>
      <c r="DW159" s="496" t="s">
        <v>1087</v>
      </c>
      <c r="DX159" s="497" t="s">
        <v>1088</v>
      </c>
      <c r="DZ159" s="555"/>
      <c r="EB159" s="493"/>
      <c r="EC159" s="493"/>
    </row>
    <row r="160" spans="5:133" ht="21" customHeight="1">
      <c r="E160" s="716"/>
      <c r="F160" s="724"/>
      <c r="G160" s="725"/>
      <c r="H160" s="724"/>
      <c r="I160" s="726"/>
      <c r="J160" s="950"/>
      <c r="K160" s="951"/>
      <c r="L160" s="793"/>
      <c r="M160" s="952"/>
      <c r="N160" s="953"/>
      <c r="O160" s="954"/>
      <c r="P160" s="955"/>
      <c r="Q160" s="956"/>
      <c r="R160" s="957"/>
      <c r="S160" s="800"/>
      <c r="T160" s="958"/>
      <c r="U160" s="802"/>
      <c r="V160" s="959"/>
      <c r="W160" s="960"/>
      <c r="X160" s="805"/>
      <c r="Y160" s="816"/>
      <c r="AA160" s="689"/>
      <c r="AC160" s="539"/>
      <c r="AD160" s="560"/>
      <c r="AE160" s="560"/>
      <c r="AF160" s="539"/>
      <c r="AG160" s="539"/>
      <c r="AH160" s="539"/>
      <c r="AI160" s="539"/>
      <c r="AJ160" s="539"/>
      <c r="AK160" s="539"/>
      <c r="AL160" s="539"/>
      <c r="AM160" s="539"/>
      <c r="AN160" s="539"/>
      <c r="AO160" s="539"/>
      <c r="AP160" s="539"/>
      <c r="AQ160" s="539"/>
      <c r="AR160" s="539"/>
      <c r="AS160" s="539"/>
      <c r="AT160" s="539"/>
      <c r="AU160" s="539"/>
      <c r="DO160" s="494"/>
      <c r="DP160" s="496" t="s">
        <v>1437</v>
      </c>
      <c r="DQ160" s="496" t="s">
        <v>1083</v>
      </c>
      <c r="DR160" s="496" t="s">
        <v>689</v>
      </c>
      <c r="DS160" s="496" t="s">
        <v>934</v>
      </c>
      <c r="DT160" s="496" t="s">
        <v>934</v>
      </c>
      <c r="DU160" s="496" t="s">
        <v>1085</v>
      </c>
      <c r="DV160" s="496" t="s">
        <v>1086</v>
      </c>
      <c r="DW160" s="496" t="s">
        <v>1087</v>
      </c>
      <c r="DX160" s="497" t="s">
        <v>1088</v>
      </c>
      <c r="DZ160" s="555"/>
      <c r="EB160" s="493"/>
      <c r="EC160" s="493"/>
    </row>
    <row r="161" spans="5:133" ht="21" customHeight="1">
      <c r="E161" s="716"/>
      <c r="F161" s="724"/>
      <c r="G161" s="725"/>
      <c r="H161" s="724"/>
      <c r="I161" s="726"/>
      <c r="J161" s="950"/>
      <c r="K161" s="951"/>
      <c r="L161" s="793"/>
      <c r="M161" s="952"/>
      <c r="N161" s="953"/>
      <c r="O161" s="954"/>
      <c r="P161" s="955"/>
      <c r="Q161" s="956"/>
      <c r="R161" s="957"/>
      <c r="S161" s="800"/>
      <c r="T161" s="958"/>
      <c r="U161" s="802"/>
      <c r="V161" s="959"/>
      <c r="W161" s="960"/>
      <c r="X161" s="805"/>
      <c r="Y161" s="816"/>
      <c r="AA161" s="689"/>
      <c r="AC161" s="539"/>
      <c r="AD161" s="561"/>
      <c r="AE161" s="561" t="s">
        <v>5951</v>
      </c>
      <c r="AF161" s="539"/>
      <c r="AG161" s="539"/>
      <c r="AH161" s="539"/>
      <c r="AI161" s="539"/>
      <c r="AJ161" s="539"/>
      <c r="AK161" s="539"/>
      <c r="AL161" s="539"/>
      <c r="AM161" s="539"/>
      <c r="AN161" s="539"/>
      <c r="AO161" s="539"/>
      <c r="AP161" s="539"/>
      <c r="AQ161" s="539"/>
      <c r="AR161" s="539"/>
      <c r="AS161" s="539"/>
      <c r="AT161" s="539"/>
      <c r="AU161" s="539"/>
      <c r="DO161" s="494"/>
      <c r="DP161" s="496" t="s">
        <v>1438</v>
      </c>
      <c r="DQ161" s="496" t="s">
        <v>1083</v>
      </c>
      <c r="DR161" s="496" t="s">
        <v>690</v>
      </c>
      <c r="DS161" s="496" t="s">
        <v>1439</v>
      </c>
      <c r="DT161" s="496" t="s">
        <v>1440</v>
      </c>
      <c r="DU161" s="496" t="s">
        <v>1085</v>
      </c>
      <c r="DV161" s="496" t="s">
        <v>1441</v>
      </c>
      <c r="DW161" s="496" t="s">
        <v>1087</v>
      </c>
      <c r="DX161" s="497" t="s">
        <v>1088</v>
      </c>
      <c r="DZ161" s="555"/>
      <c r="EB161" s="493"/>
      <c r="EC161" s="493"/>
    </row>
    <row r="162" spans="5:133" ht="21" customHeight="1">
      <c r="E162" s="716"/>
      <c r="F162" s="724"/>
      <c r="G162" s="725"/>
      <c r="H162" s="724"/>
      <c r="I162" s="726"/>
      <c r="J162" s="950"/>
      <c r="K162" s="951"/>
      <c r="L162" s="793"/>
      <c r="M162" s="952"/>
      <c r="N162" s="953"/>
      <c r="O162" s="954"/>
      <c r="P162" s="955"/>
      <c r="Q162" s="956"/>
      <c r="R162" s="957"/>
      <c r="S162" s="800"/>
      <c r="T162" s="958"/>
      <c r="U162" s="802"/>
      <c r="V162" s="959"/>
      <c r="W162" s="960"/>
      <c r="X162" s="805"/>
      <c r="Y162" s="816"/>
      <c r="AA162" s="689"/>
      <c r="AC162" s="539"/>
      <c r="AD162" s="562" t="s">
        <v>5923</v>
      </c>
      <c r="AE162" s="559" t="s">
        <v>5952</v>
      </c>
      <c r="AF162" s="539"/>
      <c r="AG162" s="539"/>
      <c r="AH162" s="539"/>
      <c r="AI162" s="539"/>
      <c r="AJ162" s="539"/>
      <c r="AK162" s="539"/>
      <c r="AL162" s="539"/>
      <c r="AM162" s="539"/>
      <c r="AN162" s="539"/>
      <c r="AO162" s="539"/>
      <c r="AP162" s="539"/>
      <c r="AQ162" s="539"/>
      <c r="AR162" s="539"/>
      <c r="AS162" s="539"/>
      <c r="AT162" s="539"/>
      <c r="AU162" s="539"/>
      <c r="DO162" s="494"/>
      <c r="DP162" s="496" t="s">
        <v>1442</v>
      </c>
      <c r="DQ162" s="496" t="s">
        <v>1083</v>
      </c>
      <c r="DR162" s="496" t="s">
        <v>690</v>
      </c>
      <c r="DS162" s="496" t="s">
        <v>1443</v>
      </c>
      <c r="DT162" s="496" t="s">
        <v>1443</v>
      </c>
      <c r="DU162" s="496" t="s">
        <v>1085</v>
      </c>
      <c r="DV162" s="496" t="s">
        <v>1441</v>
      </c>
      <c r="DW162" s="496" t="s">
        <v>1087</v>
      </c>
      <c r="DX162" s="497" t="s">
        <v>1088</v>
      </c>
      <c r="DZ162" s="555"/>
      <c r="EB162" s="493"/>
      <c r="EC162" s="493"/>
    </row>
    <row r="163" spans="5:133" ht="21" customHeight="1">
      <c r="E163" s="716"/>
      <c r="F163" s="724"/>
      <c r="G163" s="725"/>
      <c r="H163" s="724"/>
      <c r="I163" s="726"/>
      <c r="J163" s="950"/>
      <c r="K163" s="951"/>
      <c r="L163" s="793"/>
      <c r="M163" s="952"/>
      <c r="N163" s="953"/>
      <c r="O163" s="954"/>
      <c r="P163" s="955"/>
      <c r="Q163" s="956"/>
      <c r="R163" s="957"/>
      <c r="S163" s="800"/>
      <c r="T163" s="958"/>
      <c r="U163" s="802"/>
      <c r="V163" s="959"/>
      <c r="W163" s="960"/>
      <c r="X163" s="805"/>
      <c r="Y163" s="816"/>
      <c r="AA163" s="689"/>
      <c r="AC163" s="539"/>
      <c r="AD163" s="562" t="s">
        <v>5925</v>
      </c>
      <c r="AE163" s="559" t="s">
        <v>5953</v>
      </c>
      <c r="AF163" s="539"/>
      <c r="AG163" s="539"/>
      <c r="AH163" s="539"/>
      <c r="AI163" s="539"/>
      <c r="AJ163" s="539"/>
      <c r="AK163" s="539"/>
      <c r="AL163" s="539"/>
      <c r="AM163" s="539"/>
      <c r="AN163" s="539"/>
      <c r="AO163" s="539"/>
      <c r="AP163" s="539"/>
      <c r="AQ163" s="539"/>
      <c r="AR163" s="539"/>
      <c r="AS163" s="539"/>
      <c r="AT163" s="539"/>
      <c r="AU163" s="539"/>
      <c r="DO163" s="494"/>
      <c r="DP163" s="496" t="s">
        <v>1444</v>
      </c>
      <c r="DQ163" s="496" t="s">
        <v>1083</v>
      </c>
      <c r="DR163" s="496" t="s">
        <v>690</v>
      </c>
      <c r="DS163" s="496" t="s">
        <v>1445</v>
      </c>
      <c r="DT163" s="496" t="s">
        <v>1445</v>
      </c>
      <c r="DU163" s="496" t="s">
        <v>1151</v>
      </c>
      <c r="DV163" s="496" t="s">
        <v>1446</v>
      </c>
      <c r="DW163" s="496" t="s">
        <v>1087</v>
      </c>
      <c r="DX163" s="497" t="s">
        <v>1153</v>
      </c>
      <c r="DZ163" s="555"/>
      <c r="EB163" s="493"/>
      <c r="EC163" s="493"/>
    </row>
    <row r="164" spans="5:133" ht="21" customHeight="1">
      <c r="E164" s="716"/>
      <c r="F164" s="724"/>
      <c r="G164" s="725"/>
      <c r="H164" s="724"/>
      <c r="I164" s="726"/>
      <c r="J164" s="950"/>
      <c r="K164" s="951"/>
      <c r="L164" s="793"/>
      <c r="M164" s="952"/>
      <c r="N164" s="953"/>
      <c r="O164" s="954"/>
      <c r="P164" s="955"/>
      <c r="Q164" s="956"/>
      <c r="R164" s="957"/>
      <c r="S164" s="800"/>
      <c r="T164" s="958"/>
      <c r="U164" s="802"/>
      <c r="V164" s="959"/>
      <c r="W164" s="960"/>
      <c r="X164" s="805"/>
      <c r="Y164" s="816"/>
      <c r="AA164" s="689"/>
      <c r="AC164" s="539"/>
      <c r="AD164" s="562" t="s">
        <v>5927</v>
      </c>
      <c r="AE164" s="559" t="s">
        <v>5954</v>
      </c>
      <c r="AF164" s="539"/>
      <c r="AG164" s="539"/>
      <c r="AH164" s="539"/>
      <c r="AI164" s="539"/>
      <c r="AJ164" s="539"/>
      <c r="AK164" s="539"/>
      <c r="AL164" s="539"/>
      <c r="AM164" s="539"/>
      <c r="AN164" s="539"/>
      <c r="AO164" s="539"/>
      <c r="AP164" s="539"/>
      <c r="AQ164" s="539"/>
      <c r="AR164" s="539"/>
      <c r="AS164" s="539"/>
      <c r="AT164" s="539"/>
      <c r="AU164" s="539"/>
      <c r="DO164" s="494"/>
      <c r="DP164" s="496" t="s">
        <v>1447</v>
      </c>
      <c r="DQ164" s="496" t="s">
        <v>1083</v>
      </c>
      <c r="DR164" s="496" t="s">
        <v>690</v>
      </c>
      <c r="DS164" s="496" t="s">
        <v>1448</v>
      </c>
      <c r="DT164" s="496" t="s">
        <v>1448</v>
      </c>
      <c r="DU164" s="496" t="s">
        <v>1151</v>
      </c>
      <c r="DV164" s="496" t="s">
        <v>1446</v>
      </c>
      <c r="DW164" s="496" t="s">
        <v>1087</v>
      </c>
      <c r="DX164" s="497" t="s">
        <v>1153</v>
      </c>
      <c r="DZ164" s="555"/>
      <c r="EB164" s="493"/>
      <c r="EC164" s="493"/>
    </row>
    <row r="165" spans="5:133" ht="21" customHeight="1">
      <c r="E165" s="716"/>
      <c r="F165" s="724"/>
      <c r="G165" s="725"/>
      <c r="H165" s="724"/>
      <c r="I165" s="726"/>
      <c r="J165" s="950"/>
      <c r="K165" s="951"/>
      <c r="L165" s="793"/>
      <c r="M165" s="952"/>
      <c r="N165" s="953"/>
      <c r="O165" s="954"/>
      <c r="P165" s="955"/>
      <c r="Q165" s="956"/>
      <c r="R165" s="957"/>
      <c r="S165" s="800"/>
      <c r="T165" s="958"/>
      <c r="U165" s="802"/>
      <c r="V165" s="959"/>
      <c r="W165" s="960"/>
      <c r="X165" s="805"/>
      <c r="Y165" s="816"/>
      <c r="AA165" s="689"/>
      <c r="AC165" s="539"/>
      <c r="AD165" s="562" t="s">
        <v>5929</v>
      </c>
      <c r="AE165" s="559" t="s">
        <v>5955</v>
      </c>
      <c r="AF165" s="539"/>
      <c r="AG165" s="539"/>
      <c r="AH165" s="539"/>
      <c r="AI165" s="539"/>
      <c r="AJ165" s="539"/>
      <c r="AK165" s="539"/>
      <c r="AL165" s="539"/>
      <c r="AM165" s="539"/>
      <c r="AN165" s="539"/>
      <c r="AO165" s="539"/>
      <c r="AP165" s="539"/>
      <c r="AQ165" s="539"/>
      <c r="AR165" s="539"/>
      <c r="AS165" s="539"/>
      <c r="AT165" s="539"/>
      <c r="AU165" s="539"/>
      <c r="DO165" s="494"/>
      <c r="DP165" s="496" t="s">
        <v>1457</v>
      </c>
      <c r="DQ165" s="496" t="s">
        <v>1083</v>
      </c>
      <c r="DR165" s="496" t="s">
        <v>690</v>
      </c>
      <c r="DS165" s="496" t="s">
        <v>1458</v>
      </c>
      <c r="DT165" s="496" t="s">
        <v>1458</v>
      </c>
      <c r="DU165" s="496" t="s">
        <v>1085</v>
      </c>
      <c r="DV165" s="496" t="s">
        <v>1441</v>
      </c>
      <c r="DW165" s="496" t="s">
        <v>1087</v>
      </c>
      <c r="DX165" s="497" t="s">
        <v>1088</v>
      </c>
      <c r="DZ165" s="555"/>
      <c r="EB165" s="493"/>
      <c r="EC165" s="493"/>
    </row>
    <row r="166" spans="5:133" ht="21" customHeight="1">
      <c r="E166" s="716"/>
      <c r="F166" s="724"/>
      <c r="G166" s="725"/>
      <c r="H166" s="724"/>
      <c r="I166" s="726"/>
      <c r="J166" s="950"/>
      <c r="K166" s="951"/>
      <c r="L166" s="793"/>
      <c r="M166" s="952"/>
      <c r="N166" s="953"/>
      <c r="O166" s="954"/>
      <c r="P166" s="955"/>
      <c r="Q166" s="956"/>
      <c r="R166" s="957"/>
      <c r="S166" s="800"/>
      <c r="T166" s="958"/>
      <c r="U166" s="802"/>
      <c r="V166" s="959"/>
      <c r="W166" s="960"/>
      <c r="X166" s="805"/>
      <c r="Y166" s="816"/>
      <c r="AA166" s="689"/>
      <c r="AC166" s="539"/>
      <c r="AD166" s="562" t="s">
        <v>5931</v>
      </c>
      <c r="AE166" s="559" t="s">
        <v>5956</v>
      </c>
      <c r="AF166" s="539"/>
      <c r="AG166" s="539"/>
      <c r="AH166" s="539"/>
      <c r="AI166" s="539"/>
      <c r="AJ166" s="539"/>
      <c r="AK166" s="539"/>
      <c r="AL166" s="539"/>
      <c r="AM166" s="539"/>
      <c r="AN166" s="539"/>
      <c r="AO166" s="539"/>
      <c r="AP166" s="539"/>
      <c r="AQ166" s="539"/>
      <c r="AR166" s="539"/>
      <c r="AS166" s="539"/>
      <c r="AT166" s="539"/>
      <c r="AU166" s="539"/>
      <c r="DO166" s="494"/>
      <c r="DP166" s="496" t="s">
        <v>1459</v>
      </c>
      <c r="DQ166" s="496" t="s">
        <v>1083</v>
      </c>
      <c r="DR166" s="496" t="s">
        <v>690</v>
      </c>
      <c r="DS166" s="496" t="s">
        <v>38</v>
      </c>
      <c r="DT166" s="496" t="s">
        <v>38</v>
      </c>
      <c r="DU166" s="496" t="s">
        <v>1085</v>
      </c>
      <c r="DV166" s="496" t="s">
        <v>1441</v>
      </c>
      <c r="DW166" s="496" t="s">
        <v>1087</v>
      </c>
      <c r="DX166" s="497" t="s">
        <v>1088</v>
      </c>
      <c r="DZ166" s="555"/>
      <c r="EB166" s="493"/>
      <c r="EC166" s="493"/>
    </row>
    <row r="167" spans="5:133" ht="21" customHeight="1">
      <c r="E167" s="716"/>
      <c r="F167" s="724"/>
      <c r="G167" s="725"/>
      <c r="H167" s="724"/>
      <c r="I167" s="726"/>
      <c r="J167" s="950"/>
      <c r="K167" s="951"/>
      <c r="L167" s="793"/>
      <c r="M167" s="952"/>
      <c r="N167" s="953"/>
      <c r="O167" s="954"/>
      <c r="P167" s="955"/>
      <c r="Q167" s="956"/>
      <c r="R167" s="957"/>
      <c r="S167" s="800"/>
      <c r="T167" s="958"/>
      <c r="U167" s="802"/>
      <c r="V167" s="959"/>
      <c r="W167" s="960"/>
      <c r="X167" s="805"/>
      <c r="Y167" s="816"/>
      <c r="AA167" s="689"/>
      <c r="AC167" s="539"/>
      <c r="AD167" s="562" t="s">
        <v>5933</v>
      </c>
      <c r="AE167" s="559" t="s">
        <v>5957</v>
      </c>
      <c r="AF167" s="539"/>
      <c r="AG167" s="539"/>
      <c r="AH167" s="539"/>
      <c r="AI167" s="539"/>
      <c r="AJ167" s="539"/>
      <c r="AK167" s="539"/>
      <c r="AL167" s="539"/>
      <c r="AM167" s="539"/>
      <c r="AN167" s="539"/>
      <c r="AO167" s="539"/>
      <c r="AP167" s="539"/>
      <c r="AQ167" s="539"/>
      <c r="AR167" s="539"/>
      <c r="AS167" s="539"/>
      <c r="AT167" s="539"/>
      <c r="AU167" s="539"/>
      <c r="DO167" s="494"/>
      <c r="DP167" s="496" t="s">
        <v>1460</v>
      </c>
      <c r="DQ167" s="496" t="s">
        <v>1083</v>
      </c>
      <c r="DR167" s="496" t="s">
        <v>690</v>
      </c>
      <c r="DS167" s="496" t="s">
        <v>1461</v>
      </c>
      <c r="DT167" s="496" t="s">
        <v>711</v>
      </c>
      <c r="DU167" s="496" t="s">
        <v>1085</v>
      </c>
      <c r="DV167" s="496" t="s">
        <v>1441</v>
      </c>
      <c r="DW167" s="496" t="s">
        <v>1087</v>
      </c>
      <c r="DX167" s="497" t="s">
        <v>1088</v>
      </c>
      <c r="DZ167" s="555"/>
      <c r="EB167" s="493"/>
      <c r="EC167" s="493"/>
    </row>
    <row r="168" spans="5:133" ht="21" customHeight="1">
      <c r="E168" s="716"/>
      <c r="F168" s="724"/>
      <c r="G168" s="725"/>
      <c r="H168" s="724"/>
      <c r="I168" s="726"/>
      <c r="J168" s="950"/>
      <c r="K168" s="951"/>
      <c r="L168" s="793"/>
      <c r="M168" s="952"/>
      <c r="N168" s="953"/>
      <c r="O168" s="954"/>
      <c r="P168" s="955"/>
      <c r="Q168" s="956"/>
      <c r="R168" s="957"/>
      <c r="S168" s="800"/>
      <c r="T168" s="958"/>
      <c r="U168" s="802"/>
      <c r="V168" s="959"/>
      <c r="W168" s="960"/>
      <c r="X168" s="805"/>
      <c r="Y168" s="816"/>
      <c r="AA168" s="689"/>
      <c r="AC168" s="539"/>
      <c r="AD168" s="562" t="s">
        <v>5935</v>
      </c>
      <c r="AE168" s="559" t="s">
        <v>5958</v>
      </c>
      <c r="AF168" s="539"/>
      <c r="AG168" s="539"/>
      <c r="AH168" s="539"/>
      <c r="AI168" s="539"/>
      <c r="AJ168" s="539"/>
      <c r="AK168" s="539"/>
      <c r="AL168" s="539"/>
      <c r="AM168" s="539"/>
      <c r="AN168" s="539"/>
      <c r="AO168" s="539"/>
      <c r="AP168" s="539"/>
      <c r="AQ168" s="539"/>
      <c r="AR168" s="539"/>
      <c r="AS168" s="539"/>
      <c r="AT168" s="539"/>
      <c r="AU168" s="539"/>
      <c r="DO168" s="494"/>
      <c r="DP168" s="496" t="s">
        <v>1462</v>
      </c>
      <c r="DQ168" s="496" t="s">
        <v>1083</v>
      </c>
      <c r="DR168" s="496" t="s">
        <v>690</v>
      </c>
      <c r="DS168" s="496" t="s">
        <v>1463</v>
      </c>
      <c r="DT168" s="496" t="s">
        <v>1463</v>
      </c>
      <c r="DU168" s="496" t="s">
        <v>1085</v>
      </c>
      <c r="DV168" s="496" t="s">
        <v>1441</v>
      </c>
      <c r="DW168" s="496" t="s">
        <v>1087</v>
      </c>
      <c r="DX168" s="497" t="s">
        <v>1088</v>
      </c>
      <c r="DZ168" s="555"/>
      <c r="EB168" s="493"/>
      <c r="EC168" s="493"/>
    </row>
    <row r="169" spans="5:133" ht="21" customHeight="1">
      <c r="E169" s="716"/>
      <c r="F169" s="724"/>
      <c r="G169" s="725"/>
      <c r="H169" s="724"/>
      <c r="I169" s="726"/>
      <c r="J169" s="950"/>
      <c r="K169" s="951"/>
      <c r="L169" s="793"/>
      <c r="M169" s="952"/>
      <c r="N169" s="953"/>
      <c r="O169" s="954"/>
      <c r="P169" s="955"/>
      <c r="Q169" s="956"/>
      <c r="R169" s="957"/>
      <c r="S169" s="800"/>
      <c r="T169" s="958"/>
      <c r="U169" s="802"/>
      <c r="V169" s="959"/>
      <c r="W169" s="960"/>
      <c r="X169" s="805"/>
      <c r="Y169" s="816"/>
      <c r="AA169" s="689"/>
      <c r="AC169" s="539"/>
      <c r="AD169" s="562" t="s">
        <v>5937</v>
      </c>
      <c r="AE169" s="559" t="s">
        <v>5959</v>
      </c>
      <c r="AF169" s="539"/>
      <c r="AG169" s="539"/>
      <c r="AH169" s="539"/>
      <c r="AI169" s="539"/>
      <c r="AJ169" s="539"/>
      <c r="AK169" s="539"/>
      <c r="AL169" s="539"/>
      <c r="AM169" s="539"/>
      <c r="AN169" s="539"/>
      <c r="AO169" s="539"/>
      <c r="AP169" s="539"/>
      <c r="AQ169" s="539"/>
      <c r="AR169" s="539"/>
      <c r="AS169" s="539"/>
      <c r="AT169" s="539"/>
      <c r="AU169" s="539"/>
      <c r="DO169" s="494"/>
      <c r="DP169" s="496" t="s">
        <v>1464</v>
      </c>
      <c r="DQ169" s="496" t="s">
        <v>1083</v>
      </c>
      <c r="DR169" s="496" t="s">
        <v>690</v>
      </c>
      <c r="DS169" s="496" t="s">
        <v>708</v>
      </c>
      <c r="DT169" s="496" t="s">
        <v>708</v>
      </c>
      <c r="DU169" s="496" t="s">
        <v>1085</v>
      </c>
      <c r="DV169" s="496" t="s">
        <v>1441</v>
      </c>
      <c r="DW169" s="496" t="s">
        <v>1087</v>
      </c>
      <c r="DX169" s="497" t="s">
        <v>1088</v>
      </c>
      <c r="DZ169" s="555"/>
      <c r="EB169" s="493"/>
      <c r="EC169" s="493"/>
    </row>
    <row r="170" spans="5:133" ht="21" customHeight="1">
      <c r="E170" s="716"/>
      <c r="F170" s="724"/>
      <c r="G170" s="725"/>
      <c r="H170" s="724"/>
      <c r="I170" s="726"/>
      <c r="J170" s="950"/>
      <c r="K170" s="951"/>
      <c r="L170" s="793"/>
      <c r="M170" s="952"/>
      <c r="N170" s="953"/>
      <c r="O170" s="954"/>
      <c r="P170" s="955"/>
      <c r="Q170" s="956"/>
      <c r="R170" s="957"/>
      <c r="S170" s="800"/>
      <c r="T170" s="958"/>
      <c r="U170" s="802"/>
      <c r="V170" s="959"/>
      <c r="W170" s="960"/>
      <c r="X170" s="805"/>
      <c r="Y170" s="816"/>
      <c r="AA170" s="689"/>
      <c r="AC170" s="539"/>
      <c r="AD170" s="562" t="s">
        <v>5939</v>
      </c>
      <c r="AE170" s="559" t="s">
        <v>5960</v>
      </c>
      <c r="AF170" s="539"/>
      <c r="AG170" s="539"/>
      <c r="AH170" s="539"/>
      <c r="AI170" s="539"/>
      <c r="AJ170" s="539"/>
      <c r="AK170" s="539"/>
      <c r="AL170" s="539"/>
      <c r="AM170" s="539"/>
      <c r="AN170" s="539"/>
      <c r="AO170" s="539"/>
      <c r="AP170" s="539"/>
      <c r="AQ170" s="539"/>
      <c r="AR170" s="539"/>
      <c r="AS170" s="539"/>
      <c r="AT170" s="539"/>
      <c r="AU170" s="539"/>
      <c r="DO170" s="494"/>
      <c r="DP170" s="496" t="s">
        <v>1465</v>
      </c>
      <c r="DQ170" s="496" t="s">
        <v>1083</v>
      </c>
      <c r="DR170" s="496" t="s">
        <v>690</v>
      </c>
      <c r="DS170" s="496" t="s">
        <v>1466</v>
      </c>
      <c r="DT170" s="496" t="s">
        <v>1466</v>
      </c>
      <c r="DU170" s="496" t="s">
        <v>1085</v>
      </c>
      <c r="DV170" s="496" t="s">
        <v>1441</v>
      </c>
      <c r="DW170" s="496" t="s">
        <v>1087</v>
      </c>
      <c r="DX170" s="497" t="s">
        <v>1088</v>
      </c>
      <c r="DZ170" s="555"/>
      <c r="EB170" s="493"/>
      <c r="EC170" s="493"/>
    </row>
    <row r="171" spans="5:133" ht="21" customHeight="1">
      <c r="E171" s="716"/>
      <c r="F171" s="724"/>
      <c r="G171" s="725"/>
      <c r="H171" s="724"/>
      <c r="I171" s="726"/>
      <c r="J171" s="950"/>
      <c r="K171" s="951"/>
      <c r="L171" s="793"/>
      <c r="M171" s="952"/>
      <c r="N171" s="953"/>
      <c r="O171" s="954"/>
      <c r="P171" s="955"/>
      <c r="Q171" s="956"/>
      <c r="R171" s="957"/>
      <c r="S171" s="800"/>
      <c r="T171" s="958"/>
      <c r="U171" s="802"/>
      <c r="V171" s="959"/>
      <c r="W171" s="960"/>
      <c r="X171" s="805"/>
      <c r="Y171" s="816"/>
      <c r="AA171" s="689"/>
      <c r="AC171" s="539"/>
      <c r="AD171" s="562" t="s">
        <v>5941</v>
      </c>
      <c r="AE171" s="559" t="s">
        <v>5961</v>
      </c>
      <c r="AF171" s="539"/>
      <c r="AG171" s="539"/>
      <c r="AH171" s="539"/>
      <c r="AI171" s="539"/>
      <c r="AJ171" s="539"/>
      <c r="AK171" s="539"/>
      <c r="AL171" s="539"/>
      <c r="AM171" s="539"/>
      <c r="AN171" s="539"/>
      <c r="AO171" s="539"/>
      <c r="AP171" s="539"/>
      <c r="AQ171" s="539"/>
      <c r="AR171" s="539"/>
      <c r="AS171" s="539"/>
      <c r="AT171" s="539"/>
      <c r="AU171" s="539"/>
      <c r="DO171" s="494"/>
      <c r="DP171" s="496" t="s">
        <v>1467</v>
      </c>
      <c r="DQ171" s="496" t="s">
        <v>1083</v>
      </c>
      <c r="DR171" s="496" t="s">
        <v>690</v>
      </c>
      <c r="DS171" s="496" t="s">
        <v>712</v>
      </c>
      <c r="DT171" s="496" t="s">
        <v>712</v>
      </c>
      <c r="DU171" s="496" t="s">
        <v>1085</v>
      </c>
      <c r="DV171" s="496" t="s">
        <v>1441</v>
      </c>
      <c r="DW171" s="496" t="s">
        <v>1087</v>
      </c>
      <c r="DX171" s="497" t="s">
        <v>1088</v>
      </c>
      <c r="DZ171" s="555"/>
      <c r="EB171" s="493"/>
      <c r="EC171" s="493"/>
    </row>
    <row r="172" spans="5:133" ht="21" customHeight="1">
      <c r="E172" s="716"/>
      <c r="F172" s="724"/>
      <c r="G172" s="725"/>
      <c r="H172" s="724"/>
      <c r="I172" s="726"/>
      <c r="J172" s="950"/>
      <c r="K172" s="951"/>
      <c r="L172" s="793"/>
      <c r="M172" s="952"/>
      <c r="N172" s="953"/>
      <c r="O172" s="954"/>
      <c r="P172" s="955"/>
      <c r="Q172" s="956"/>
      <c r="R172" s="957"/>
      <c r="S172" s="800"/>
      <c r="T172" s="958"/>
      <c r="U172" s="802"/>
      <c r="V172" s="959"/>
      <c r="W172" s="960"/>
      <c r="X172" s="805"/>
      <c r="Y172" s="816"/>
      <c r="AA172" s="689"/>
      <c r="AC172" s="539"/>
      <c r="AD172" s="562" t="s">
        <v>5943</v>
      </c>
      <c r="AE172" s="559" t="s">
        <v>5962</v>
      </c>
      <c r="AF172" s="539"/>
      <c r="AG172" s="539"/>
      <c r="AH172" s="539"/>
      <c r="AI172" s="539"/>
      <c r="AJ172" s="539"/>
      <c r="AK172" s="539"/>
      <c r="AL172" s="539"/>
      <c r="AM172" s="539"/>
      <c r="AN172" s="539"/>
      <c r="AO172" s="539"/>
      <c r="AP172" s="539"/>
      <c r="AQ172" s="539"/>
      <c r="AR172" s="539"/>
      <c r="AS172" s="539"/>
      <c r="AT172" s="539"/>
      <c r="AU172" s="539"/>
      <c r="DO172" s="494"/>
      <c r="DP172" s="496" t="s">
        <v>1468</v>
      </c>
      <c r="DQ172" s="496" t="s">
        <v>1083</v>
      </c>
      <c r="DR172" s="496" t="s">
        <v>690</v>
      </c>
      <c r="DS172" s="496" t="s">
        <v>710</v>
      </c>
      <c r="DT172" s="496" t="s">
        <v>710</v>
      </c>
      <c r="DU172" s="496" t="s">
        <v>1085</v>
      </c>
      <c r="DV172" s="496" t="s">
        <v>1441</v>
      </c>
      <c r="DW172" s="496" t="s">
        <v>1087</v>
      </c>
      <c r="DX172" s="497" t="s">
        <v>1088</v>
      </c>
      <c r="DZ172" s="555"/>
      <c r="EB172" s="493"/>
      <c r="EC172" s="493"/>
    </row>
    <row r="173" spans="5:133" ht="21" customHeight="1">
      <c r="E173" s="716"/>
      <c r="F173" s="724"/>
      <c r="G173" s="725"/>
      <c r="H173" s="724"/>
      <c r="I173" s="726"/>
      <c r="J173" s="950"/>
      <c r="K173" s="951"/>
      <c r="L173" s="793"/>
      <c r="M173" s="952"/>
      <c r="N173" s="953"/>
      <c r="O173" s="954"/>
      <c r="P173" s="955"/>
      <c r="Q173" s="956"/>
      <c r="R173" s="957"/>
      <c r="S173" s="800"/>
      <c r="T173" s="958"/>
      <c r="U173" s="802"/>
      <c r="V173" s="959"/>
      <c r="W173" s="960"/>
      <c r="X173" s="805"/>
      <c r="Y173" s="816"/>
      <c r="AA173" s="689"/>
      <c r="AC173" s="539"/>
      <c r="AD173" s="562" t="s">
        <v>5945</v>
      </c>
      <c r="AE173" s="559" t="s">
        <v>5963</v>
      </c>
      <c r="AF173" s="539"/>
      <c r="AG173" s="539"/>
      <c r="AH173" s="539"/>
      <c r="AI173" s="539"/>
      <c r="AJ173" s="539"/>
      <c r="AK173" s="539"/>
      <c r="AL173" s="539"/>
      <c r="AM173" s="539"/>
      <c r="AN173" s="539"/>
      <c r="AO173" s="539"/>
      <c r="AP173" s="539"/>
      <c r="AQ173" s="539"/>
      <c r="AR173" s="539"/>
      <c r="AS173" s="539"/>
      <c r="AT173" s="539"/>
      <c r="AU173" s="539"/>
      <c r="DO173" s="494"/>
      <c r="DP173" s="496" t="s">
        <v>1469</v>
      </c>
      <c r="DQ173" s="496" t="s">
        <v>1083</v>
      </c>
      <c r="DR173" s="496" t="s">
        <v>690</v>
      </c>
      <c r="DS173" s="496" t="s">
        <v>1470</v>
      </c>
      <c r="DT173" s="496" t="s">
        <v>1470</v>
      </c>
      <c r="DU173" s="496" t="s">
        <v>1085</v>
      </c>
      <c r="DV173" s="496" t="s">
        <v>1441</v>
      </c>
      <c r="DW173" s="496" t="s">
        <v>1087</v>
      </c>
      <c r="DX173" s="497" t="s">
        <v>1088</v>
      </c>
      <c r="DZ173" s="555"/>
      <c r="EB173" s="493"/>
      <c r="EC173" s="493"/>
    </row>
    <row r="174" spans="5:133" ht="21" customHeight="1">
      <c r="E174" s="716"/>
      <c r="F174" s="724"/>
      <c r="G174" s="725"/>
      <c r="H174" s="724"/>
      <c r="I174" s="726"/>
      <c r="J174" s="950"/>
      <c r="K174" s="951"/>
      <c r="L174" s="793"/>
      <c r="M174" s="952"/>
      <c r="N174" s="953"/>
      <c r="O174" s="954"/>
      <c r="P174" s="955"/>
      <c r="Q174" s="956"/>
      <c r="R174" s="957"/>
      <c r="S174" s="800"/>
      <c r="T174" s="958"/>
      <c r="U174" s="802"/>
      <c r="V174" s="959"/>
      <c r="W174" s="960"/>
      <c r="X174" s="805"/>
      <c r="Y174" s="816"/>
      <c r="AA174" s="689"/>
      <c r="AC174" s="539"/>
      <c r="AD174" s="562" t="s">
        <v>5947</v>
      </c>
      <c r="AE174" s="559" t="s">
        <v>5964</v>
      </c>
      <c r="AF174" s="539"/>
      <c r="AG174" s="539"/>
      <c r="AH174" s="539"/>
      <c r="AI174" s="539"/>
      <c r="AJ174" s="539"/>
      <c r="AK174" s="539"/>
      <c r="AL174" s="539"/>
      <c r="AM174" s="539"/>
      <c r="AN174" s="539"/>
      <c r="AO174" s="539"/>
      <c r="AP174" s="539"/>
      <c r="AQ174" s="539"/>
      <c r="AR174" s="539"/>
      <c r="AS174" s="539"/>
      <c r="AT174" s="539"/>
      <c r="AU174" s="539"/>
      <c r="DO174" s="494"/>
      <c r="DP174" s="496" t="s">
        <v>1471</v>
      </c>
      <c r="DQ174" s="496" t="s">
        <v>1083</v>
      </c>
      <c r="DR174" s="496" t="s">
        <v>690</v>
      </c>
      <c r="DS174" s="496" t="s">
        <v>1472</v>
      </c>
      <c r="DT174" s="496" t="s">
        <v>1472</v>
      </c>
      <c r="DU174" s="496" t="s">
        <v>1085</v>
      </c>
      <c r="DV174" s="496" t="s">
        <v>1441</v>
      </c>
      <c r="DW174" s="496" t="s">
        <v>1087</v>
      </c>
      <c r="DX174" s="497" t="s">
        <v>1088</v>
      </c>
      <c r="DZ174" s="555"/>
      <c r="EB174" s="493"/>
      <c r="EC174" s="493"/>
    </row>
    <row r="175" spans="5:133" ht="21" customHeight="1">
      <c r="E175" s="716"/>
      <c r="F175" s="724"/>
      <c r="G175" s="725"/>
      <c r="H175" s="724"/>
      <c r="I175" s="726"/>
      <c r="J175" s="950"/>
      <c r="K175" s="951"/>
      <c r="L175" s="793"/>
      <c r="M175" s="952"/>
      <c r="N175" s="953"/>
      <c r="O175" s="954"/>
      <c r="P175" s="955"/>
      <c r="Q175" s="956"/>
      <c r="R175" s="957"/>
      <c r="S175" s="800"/>
      <c r="T175" s="958"/>
      <c r="U175" s="802"/>
      <c r="V175" s="959"/>
      <c r="W175" s="960"/>
      <c r="X175" s="805"/>
      <c r="Y175" s="816"/>
      <c r="AA175" s="689"/>
      <c r="AC175" s="539"/>
      <c r="AD175" s="562" t="s">
        <v>5949</v>
      </c>
      <c r="AE175" s="559" t="s">
        <v>5965</v>
      </c>
      <c r="AF175" s="539"/>
      <c r="AG175" s="539"/>
      <c r="AH175" s="539"/>
      <c r="AI175" s="539"/>
      <c r="AJ175" s="539"/>
      <c r="AK175" s="539"/>
      <c r="AL175" s="539"/>
      <c r="AM175" s="539"/>
      <c r="AN175" s="539"/>
      <c r="AO175" s="539"/>
      <c r="AP175" s="539"/>
      <c r="AQ175" s="539"/>
      <c r="AR175" s="539"/>
      <c r="AS175" s="539"/>
      <c r="AT175" s="539"/>
      <c r="AU175" s="539"/>
      <c r="DO175" s="494"/>
      <c r="DP175" s="496" t="s">
        <v>1473</v>
      </c>
      <c r="DQ175" s="496" t="s">
        <v>1083</v>
      </c>
      <c r="DR175" s="496" t="s">
        <v>690</v>
      </c>
      <c r="DS175" s="496" t="s">
        <v>1474</v>
      </c>
      <c r="DT175" s="496" t="s">
        <v>1474</v>
      </c>
      <c r="DU175" s="496" t="s">
        <v>1085</v>
      </c>
      <c r="DV175" s="496" t="s">
        <v>1441</v>
      </c>
      <c r="DW175" s="496" t="s">
        <v>1087</v>
      </c>
      <c r="DX175" s="497" t="s">
        <v>1088</v>
      </c>
      <c r="DZ175" s="555"/>
      <c r="EB175" s="493"/>
      <c r="EC175" s="493"/>
    </row>
    <row r="176" spans="5:133" ht="21" customHeight="1">
      <c r="E176" s="716"/>
      <c r="F176" s="724"/>
      <c r="G176" s="725"/>
      <c r="H176" s="724"/>
      <c r="I176" s="726"/>
      <c r="J176" s="950"/>
      <c r="K176" s="951"/>
      <c r="L176" s="793"/>
      <c r="M176" s="952"/>
      <c r="N176" s="953"/>
      <c r="O176" s="954"/>
      <c r="P176" s="955"/>
      <c r="Q176" s="956"/>
      <c r="R176" s="957"/>
      <c r="S176" s="800"/>
      <c r="T176" s="958"/>
      <c r="U176" s="802"/>
      <c r="V176" s="959"/>
      <c r="W176" s="960"/>
      <c r="X176" s="805"/>
      <c r="Y176" s="816"/>
      <c r="AA176" s="689"/>
      <c r="AC176" s="539"/>
      <c r="AD176" s="560"/>
      <c r="AE176" s="560"/>
      <c r="AF176" s="539"/>
      <c r="AG176" s="539"/>
      <c r="AH176" s="539"/>
      <c r="AI176" s="539"/>
      <c r="AJ176" s="539"/>
      <c r="AK176" s="539"/>
      <c r="AL176" s="539"/>
      <c r="AM176" s="539"/>
      <c r="AN176" s="539"/>
      <c r="AO176" s="539"/>
      <c r="AP176" s="539"/>
      <c r="AQ176" s="539"/>
      <c r="AR176" s="539"/>
      <c r="AS176" s="539"/>
      <c r="AT176" s="539"/>
      <c r="AU176" s="539"/>
      <c r="DO176" s="494"/>
      <c r="DP176" s="496" t="s">
        <v>1475</v>
      </c>
      <c r="DQ176" s="496" t="s">
        <v>1083</v>
      </c>
      <c r="DR176" s="496" t="s">
        <v>690</v>
      </c>
      <c r="DS176" s="496" t="s">
        <v>1476</v>
      </c>
      <c r="DT176" s="496" t="s">
        <v>1476</v>
      </c>
      <c r="DU176" s="496" t="s">
        <v>1151</v>
      </c>
      <c r="DV176" s="496" t="s">
        <v>1446</v>
      </c>
      <c r="DW176" s="496" t="s">
        <v>1087</v>
      </c>
      <c r="DX176" s="497" t="s">
        <v>1153</v>
      </c>
      <c r="DZ176" s="555"/>
      <c r="EB176" s="493"/>
      <c r="EC176" s="493"/>
    </row>
    <row r="177" spans="5:133" ht="21" customHeight="1">
      <c r="E177" s="716"/>
      <c r="F177" s="724"/>
      <c r="G177" s="725"/>
      <c r="H177" s="724"/>
      <c r="I177" s="726"/>
      <c r="J177" s="950"/>
      <c r="K177" s="951"/>
      <c r="L177" s="793"/>
      <c r="M177" s="952"/>
      <c r="N177" s="953"/>
      <c r="O177" s="954"/>
      <c r="P177" s="955"/>
      <c r="Q177" s="956"/>
      <c r="R177" s="957"/>
      <c r="S177" s="800"/>
      <c r="T177" s="958"/>
      <c r="U177" s="802"/>
      <c r="V177" s="959"/>
      <c r="W177" s="960"/>
      <c r="X177" s="805"/>
      <c r="Y177" s="816"/>
      <c r="AA177" s="689"/>
      <c r="AC177" s="539"/>
      <c r="AD177" s="563"/>
      <c r="AE177" s="563" t="s">
        <v>5966</v>
      </c>
      <c r="AF177" s="539"/>
      <c r="AG177" s="539"/>
      <c r="AH177" s="539"/>
      <c r="AI177" s="539"/>
      <c r="AJ177" s="539"/>
      <c r="AK177" s="539"/>
      <c r="AL177" s="539"/>
      <c r="AM177" s="539"/>
      <c r="AN177" s="539"/>
      <c r="AO177" s="539"/>
      <c r="AP177" s="539"/>
      <c r="AQ177" s="539"/>
      <c r="AR177" s="539"/>
      <c r="AS177" s="539"/>
      <c r="AT177" s="539"/>
      <c r="AU177" s="539"/>
      <c r="DO177" s="494"/>
      <c r="DP177" s="496" t="s">
        <v>1477</v>
      </c>
      <c r="DQ177" s="496" t="s">
        <v>1083</v>
      </c>
      <c r="DR177" s="496" t="s">
        <v>690</v>
      </c>
      <c r="DS177" s="496" t="s">
        <v>1478</v>
      </c>
      <c r="DT177" s="496" t="s">
        <v>860</v>
      </c>
      <c r="DU177" s="496" t="s">
        <v>1151</v>
      </c>
      <c r="DV177" s="496" t="s">
        <v>1446</v>
      </c>
      <c r="DW177" s="496" t="s">
        <v>1087</v>
      </c>
      <c r="DX177" s="497" t="s">
        <v>1153</v>
      </c>
      <c r="DZ177" s="555"/>
      <c r="EB177" s="493"/>
      <c r="EC177" s="493"/>
    </row>
    <row r="178" spans="5:133" ht="21" customHeight="1">
      <c r="E178" s="716"/>
      <c r="F178" s="724"/>
      <c r="G178" s="725"/>
      <c r="H178" s="724"/>
      <c r="I178" s="726"/>
      <c r="J178" s="950"/>
      <c r="K178" s="951"/>
      <c r="L178" s="793"/>
      <c r="M178" s="952"/>
      <c r="N178" s="953"/>
      <c r="O178" s="954"/>
      <c r="P178" s="955"/>
      <c r="Q178" s="956"/>
      <c r="R178" s="957"/>
      <c r="S178" s="800"/>
      <c r="T178" s="958"/>
      <c r="U178" s="802"/>
      <c r="V178" s="959"/>
      <c r="W178" s="960"/>
      <c r="X178" s="805"/>
      <c r="Y178" s="816"/>
      <c r="AA178" s="689"/>
      <c r="AC178" s="539"/>
      <c r="AD178" s="564" t="s">
        <v>5923</v>
      </c>
      <c r="AE178" s="559" t="s">
        <v>5967</v>
      </c>
      <c r="AF178" s="539"/>
      <c r="AG178" s="539"/>
      <c r="AH178" s="539"/>
      <c r="AI178" s="539"/>
      <c r="AJ178" s="539"/>
      <c r="AK178" s="539"/>
      <c r="AL178" s="539"/>
      <c r="AM178" s="539"/>
      <c r="AN178" s="539"/>
      <c r="AO178" s="539"/>
      <c r="AP178" s="539"/>
      <c r="AQ178" s="539"/>
      <c r="AR178" s="539"/>
      <c r="AS178" s="539"/>
      <c r="AT178" s="539"/>
      <c r="AU178" s="539"/>
      <c r="DO178" s="494"/>
      <c r="DP178" s="496" t="s">
        <v>1479</v>
      </c>
      <c r="DQ178" s="496" t="s">
        <v>1083</v>
      </c>
      <c r="DR178" s="496" t="s">
        <v>690</v>
      </c>
      <c r="DS178" s="496" t="s">
        <v>857</v>
      </c>
      <c r="DT178" s="496" t="s">
        <v>861</v>
      </c>
      <c r="DU178" s="496" t="s">
        <v>1151</v>
      </c>
      <c r="DV178" s="496" t="s">
        <v>1446</v>
      </c>
      <c r="DW178" s="496" t="s">
        <v>1087</v>
      </c>
      <c r="DX178" s="497" t="s">
        <v>1153</v>
      </c>
      <c r="DZ178" s="555"/>
      <c r="EB178" s="493"/>
      <c r="EC178" s="493"/>
    </row>
    <row r="179" spans="5:133" ht="21" customHeight="1">
      <c r="E179" s="716"/>
      <c r="F179" s="724"/>
      <c r="G179" s="725"/>
      <c r="H179" s="724"/>
      <c r="I179" s="726"/>
      <c r="J179" s="950"/>
      <c r="K179" s="951"/>
      <c r="L179" s="793"/>
      <c r="M179" s="952"/>
      <c r="N179" s="953"/>
      <c r="O179" s="954"/>
      <c r="P179" s="955"/>
      <c r="Q179" s="956"/>
      <c r="R179" s="957"/>
      <c r="S179" s="800"/>
      <c r="T179" s="958"/>
      <c r="U179" s="802"/>
      <c r="V179" s="959"/>
      <c r="W179" s="960"/>
      <c r="X179" s="805"/>
      <c r="Y179" s="816"/>
      <c r="AA179" s="689"/>
      <c r="AC179" s="539"/>
      <c r="AD179" s="562" t="s">
        <v>5925</v>
      </c>
      <c r="AE179" s="559" t="s">
        <v>5968</v>
      </c>
      <c r="AF179" s="539"/>
      <c r="AG179" s="539"/>
      <c r="AH179" s="539"/>
      <c r="AI179" s="539"/>
      <c r="AJ179" s="539"/>
      <c r="AK179" s="539"/>
      <c r="AL179" s="539"/>
      <c r="AM179" s="539"/>
      <c r="AN179" s="539"/>
      <c r="AO179" s="539"/>
      <c r="AP179" s="539"/>
      <c r="AQ179" s="539"/>
      <c r="AR179" s="539"/>
      <c r="AS179" s="539"/>
      <c r="AT179" s="539"/>
      <c r="AU179" s="539"/>
      <c r="DO179" s="494"/>
      <c r="DP179" s="496" t="s">
        <v>1480</v>
      </c>
      <c r="DQ179" s="496" t="s">
        <v>1083</v>
      </c>
      <c r="DR179" s="496" t="s">
        <v>690</v>
      </c>
      <c r="DS179" s="496" t="s">
        <v>1481</v>
      </c>
      <c r="DT179" s="496" t="s">
        <v>863</v>
      </c>
      <c r="DU179" s="496" t="s">
        <v>1151</v>
      </c>
      <c r="DV179" s="496" t="s">
        <v>1446</v>
      </c>
      <c r="DW179" s="496" t="s">
        <v>1087</v>
      </c>
      <c r="DX179" s="497" t="s">
        <v>1153</v>
      </c>
      <c r="DZ179" s="555"/>
      <c r="EB179" s="493"/>
      <c r="EC179" s="493"/>
    </row>
    <row r="180" spans="5:133" ht="21" customHeight="1">
      <c r="E180" s="716"/>
      <c r="F180" s="724"/>
      <c r="G180" s="725"/>
      <c r="H180" s="724"/>
      <c r="I180" s="726"/>
      <c r="J180" s="950"/>
      <c r="K180" s="951"/>
      <c r="L180" s="793"/>
      <c r="M180" s="952"/>
      <c r="N180" s="953"/>
      <c r="O180" s="954"/>
      <c r="P180" s="955"/>
      <c r="Q180" s="956"/>
      <c r="R180" s="957"/>
      <c r="S180" s="800"/>
      <c r="T180" s="958"/>
      <c r="U180" s="802"/>
      <c r="V180" s="959"/>
      <c r="W180" s="960"/>
      <c r="X180" s="805"/>
      <c r="Y180" s="816"/>
      <c r="AA180" s="689"/>
      <c r="AC180" s="539"/>
      <c r="AD180" s="562" t="s">
        <v>5927</v>
      </c>
      <c r="AE180" s="559" t="s">
        <v>5969</v>
      </c>
      <c r="AF180" s="539"/>
      <c r="AG180" s="539"/>
      <c r="AH180" s="539"/>
      <c r="AI180" s="539"/>
      <c r="AJ180" s="539"/>
      <c r="AK180" s="539"/>
      <c r="AL180" s="539"/>
      <c r="AM180" s="539"/>
      <c r="AN180" s="539"/>
      <c r="AO180" s="539"/>
      <c r="AP180" s="539"/>
      <c r="AQ180" s="539"/>
      <c r="AR180" s="539"/>
      <c r="AS180" s="539"/>
      <c r="AT180" s="539"/>
      <c r="AU180" s="539"/>
      <c r="DO180" s="494"/>
      <c r="DP180" s="496" t="s">
        <v>1482</v>
      </c>
      <c r="DQ180" s="496" t="s">
        <v>1083</v>
      </c>
      <c r="DR180" s="496" t="s">
        <v>690</v>
      </c>
      <c r="DS180" s="496" t="s">
        <v>1483</v>
      </c>
      <c r="DT180" s="496" t="s">
        <v>1484</v>
      </c>
      <c r="DU180" s="496" t="s">
        <v>1151</v>
      </c>
      <c r="DV180" s="496" t="s">
        <v>1446</v>
      </c>
      <c r="DW180" s="496" t="s">
        <v>1087</v>
      </c>
      <c r="DX180" s="497" t="s">
        <v>1153</v>
      </c>
      <c r="DZ180" s="555"/>
      <c r="EB180" s="493"/>
      <c r="EC180" s="493"/>
    </row>
    <row r="181" spans="5:133" ht="21" customHeight="1">
      <c r="E181" s="716"/>
      <c r="F181" s="724"/>
      <c r="G181" s="725"/>
      <c r="H181" s="724"/>
      <c r="I181" s="726"/>
      <c r="J181" s="950"/>
      <c r="K181" s="951"/>
      <c r="L181" s="793"/>
      <c r="M181" s="952"/>
      <c r="N181" s="953"/>
      <c r="O181" s="954"/>
      <c r="P181" s="955"/>
      <c r="Q181" s="956"/>
      <c r="R181" s="957"/>
      <c r="S181" s="800"/>
      <c r="T181" s="958"/>
      <c r="U181" s="802"/>
      <c r="V181" s="959"/>
      <c r="W181" s="960"/>
      <c r="X181" s="805"/>
      <c r="Y181" s="816"/>
      <c r="AA181" s="689"/>
      <c r="AC181" s="539"/>
      <c r="AD181" s="562" t="s">
        <v>5929</v>
      </c>
      <c r="AE181" s="559" t="s">
        <v>5970</v>
      </c>
      <c r="AF181" s="539"/>
      <c r="AG181" s="539"/>
      <c r="AH181" s="539"/>
      <c r="AI181" s="539"/>
      <c r="AJ181" s="539"/>
      <c r="AK181" s="539"/>
      <c r="AL181" s="539"/>
      <c r="AM181" s="539"/>
      <c r="AN181" s="539"/>
      <c r="AO181" s="539"/>
      <c r="AP181" s="539"/>
      <c r="AQ181" s="539"/>
      <c r="AR181" s="539"/>
      <c r="AS181" s="539"/>
      <c r="AT181" s="539"/>
      <c r="AU181" s="539"/>
      <c r="DO181" s="494"/>
      <c r="DP181" s="496" t="s">
        <v>1485</v>
      </c>
      <c r="DQ181" s="496" t="s">
        <v>1083</v>
      </c>
      <c r="DR181" s="496" t="s">
        <v>690</v>
      </c>
      <c r="DS181" s="496" t="s">
        <v>1486</v>
      </c>
      <c r="DT181" s="496" t="s">
        <v>864</v>
      </c>
      <c r="DU181" s="496" t="s">
        <v>1151</v>
      </c>
      <c r="DV181" s="496" t="s">
        <v>1446</v>
      </c>
      <c r="DW181" s="496" t="s">
        <v>1087</v>
      </c>
      <c r="DX181" s="497" t="s">
        <v>1153</v>
      </c>
      <c r="DZ181" s="555"/>
      <c r="EB181" s="493"/>
      <c r="EC181" s="493"/>
    </row>
    <row r="182" spans="5:133" ht="21" customHeight="1">
      <c r="E182" s="716"/>
      <c r="F182" s="724"/>
      <c r="G182" s="725"/>
      <c r="H182" s="724"/>
      <c r="I182" s="726"/>
      <c r="J182" s="950"/>
      <c r="K182" s="951"/>
      <c r="L182" s="793"/>
      <c r="M182" s="952"/>
      <c r="N182" s="953"/>
      <c r="O182" s="954"/>
      <c r="P182" s="955"/>
      <c r="Q182" s="956"/>
      <c r="R182" s="957"/>
      <c r="S182" s="800"/>
      <c r="T182" s="958"/>
      <c r="U182" s="802"/>
      <c r="V182" s="959"/>
      <c r="W182" s="960"/>
      <c r="X182" s="805"/>
      <c r="Y182" s="816"/>
      <c r="AA182" s="689"/>
      <c r="AC182" s="539"/>
      <c r="AD182" s="562" t="s">
        <v>5931</v>
      </c>
      <c r="AE182" s="559" t="s">
        <v>5971</v>
      </c>
      <c r="AF182" s="539"/>
      <c r="AG182" s="539"/>
      <c r="AH182" s="539"/>
      <c r="AI182" s="539"/>
      <c r="AJ182" s="539"/>
      <c r="AK182" s="539"/>
      <c r="AL182" s="539"/>
      <c r="AM182" s="539"/>
      <c r="AN182" s="539"/>
      <c r="AO182" s="539"/>
      <c r="AP182" s="539"/>
      <c r="AQ182" s="539"/>
      <c r="AR182" s="539"/>
      <c r="AS182" s="539"/>
      <c r="AT182" s="539"/>
      <c r="AU182" s="539"/>
      <c r="DO182" s="494"/>
      <c r="DP182" s="496" t="s">
        <v>1487</v>
      </c>
      <c r="DQ182" s="496" t="s">
        <v>1083</v>
      </c>
      <c r="DR182" s="496" t="s">
        <v>690</v>
      </c>
      <c r="DS182" s="496" t="s">
        <v>1488</v>
      </c>
      <c r="DT182" s="496" t="s">
        <v>867</v>
      </c>
      <c r="DU182" s="496" t="s">
        <v>1151</v>
      </c>
      <c r="DV182" s="496" t="s">
        <v>1446</v>
      </c>
      <c r="DW182" s="496" t="s">
        <v>1087</v>
      </c>
      <c r="DX182" s="497" t="s">
        <v>1153</v>
      </c>
      <c r="DZ182" s="555"/>
      <c r="EB182" s="493"/>
      <c r="EC182" s="493"/>
    </row>
    <row r="183" spans="5:133" ht="21" customHeight="1">
      <c r="E183" s="716"/>
      <c r="F183" s="724"/>
      <c r="G183" s="725"/>
      <c r="H183" s="724"/>
      <c r="I183" s="726"/>
      <c r="J183" s="950"/>
      <c r="K183" s="951"/>
      <c r="L183" s="793"/>
      <c r="M183" s="952"/>
      <c r="N183" s="953"/>
      <c r="O183" s="954"/>
      <c r="P183" s="955"/>
      <c r="Q183" s="956"/>
      <c r="R183" s="957"/>
      <c r="S183" s="800"/>
      <c r="T183" s="958"/>
      <c r="U183" s="802"/>
      <c r="V183" s="959"/>
      <c r="W183" s="960"/>
      <c r="X183" s="805"/>
      <c r="Y183" s="816"/>
      <c r="AA183" s="689"/>
      <c r="AC183" s="539"/>
      <c r="AD183" s="562" t="s">
        <v>5933</v>
      </c>
      <c r="AE183" s="559" t="s">
        <v>5972</v>
      </c>
      <c r="AF183" s="539"/>
      <c r="AG183" s="539"/>
      <c r="AH183" s="539"/>
      <c r="AI183" s="539"/>
      <c r="AJ183" s="539"/>
      <c r="AK183" s="539"/>
      <c r="AL183" s="539"/>
      <c r="AM183" s="539"/>
      <c r="AN183" s="539"/>
      <c r="AO183" s="539"/>
      <c r="AP183" s="539"/>
      <c r="AQ183" s="539"/>
      <c r="AR183" s="539"/>
      <c r="AS183" s="539"/>
      <c r="AT183" s="539"/>
      <c r="AU183" s="539"/>
      <c r="DO183" s="494"/>
      <c r="DP183" s="496" t="s">
        <v>1489</v>
      </c>
      <c r="DQ183" s="496" t="s">
        <v>1083</v>
      </c>
      <c r="DR183" s="496" t="s">
        <v>690</v>
      </c>
      <c r="DS183" s="496" t="s">
        <v>1490</v>
      </c>
      <c r="DT183" s="496" t="s">
        <v>869</v>
      </c>
      <c r="DU183" s="496" t="s">
        <v>1151</v>
      </c>
      <c r="DV183" s="496" t="s">
        <v>1446</v>
      </c>
      <c r="DW183" s="496" t="s">
        <v>1087</v>
      </c>
      <c r="DX183" s="497" t="s">
        <v>1153</v>
      </c>
      <c r="DZ183" s="555"/>
      <c r="EB183" s="493"/>
      <c r="EC183" s="493"/>
    </row>
    <row r="184" spans="5:133" ht="21" customHeight="1">
      <c r="E184" s="716"/>
      <c r="F184" s="724"/>
      <c r="G184" s="725"/>
      <c r="H184" s="724"/>
      <c r="I184" s="726"/>
      <c r="J184" s="950"/>
      <c r="K184" s="951"/>
      <c r="L184" s="793"/>
      <c r="M184" s="952"/>
      <c r="N184" s="953"/>
      <c r="O184" s="954"/>
      <c r="P184" s="955"/>
      <c r="Q184" s="956"/>
      <c r="R184" s="957"/>
      <c r="S184" s="800"/>
      <c r="T184" s="958"/>
      <c r="U184" s="802"/>
      <c r="V184" s="959"/>
      <c r="W184" s="960"/>
      <c r="X184" s="805"/>
      <c r="Y184" s="816"/>
      <c r="AA184" s="689"/>
      <c r="AC184" s="539"/>
      <c r="AD184" s="562" t="s">
        <v>5935</v>
      </c>
      <c r="AE184" s="559" t="s">
        <v>5973</v>
      </c>
      <c r="AF184" s="539"/>
      <c r="AG184" s="539"/>
      <c r="AH184" s="539"/>
      <c r="AI184" s="539"/>
      <c r="AJ184" s="539"/>
      <c r="AK184" s="539"/>
      <c r="AL184" s="539"/>
      <c r="AM184" s="539"/>
      <c r="AN184" s="539"/>
      <c r="AO184" s="539"/>
      <c r="AP184" s="539"/>
      <c r="AQ184" s="539"/>
      <c r="AR184" s="539"/>
      <c r="AS184" s="539"/>
      <c r="AT184" s="539"/>
      <c r="AU184" s="539"/>
      <c r="DO184" s="494"/>
      <c r="DP184" s="496" t="s">
        <v>1491</v>
      </c>
      <c r="DQ184" s="496" t="s">
        <v>1083</v>
      </c>
      <c r="DR184" s="496" t="s">
        <v>690</v>
      </c>
      <c r="DS184" s="496" t="s">
        <v>1492</v>
      </c>
      <c r="DT184" s="496" t="s">
        <v>1492</v>
      </c>
      <c r="DU184" s="496" t="s">
        <v>1085</v>
      </c>
      <c r="DV184" s="496" t="s">
        <v>1441</v>
      </c>
      <c r="DW184" s="496" t="s">
        <v>1087</v>
      </c>
      <c r="DX184" s="497" t="s">
        <v>1088</v>
      </c>
      <c r="DZ184" s="555"/>
      <c r="EB184" s="493"/>
      <c r="EC184" s="493"/>
    </row>
    <row r="185" spans="5:133" ht="21" customHeight="1">
      <c r="E185" s="716"/>
      <c r="F185" s="724"/>
      <c r="G185" s="725"/>
      <c r="H185" s="724"/>
      <c r="I185" s="726"/>
      <c r="J185" s="950"/>
      <c r="K185" s="951"/>
      <c r="L185" s="793"/>
      <c r="M185" s="952"/>
      <c r="N185" s="953"/>
      <c r="O185" s="954"/>
      <c r="P185" s="955"/>
      <c r="Q185" s="956"/>
      <c r="R185" s="957"/>
      <c r="S185" s="800"/>
      <c r="T185" s="958"/>
      <c r="U185" s="802"/>
      <c r="V185" s="959"/>
      <c r="W185" s="960"/>
      <c r="X185" s="805"/>
      <c r="Y185" s="816"/>
      <c r="AA185" s="689"/>
      <c r="AC185" s="539"/>
      <c r="AD185" s="562" t="s">
        <v>5937</v>
      </c>
      <c r="AE185" s="559" t="s">
        <v>5974</v>
      </c>
      <c r="AF185" s="539"/>
      <c r="AG185" s="539"/>
      <c r="AH185" s="539"/>
      <c r="AI185" s="539"/>
      <c r="AJ185" s="539"/>
      <c r="AK185" s="539"/>
      <c r="AL185" s="539"/>
      <c r="AM185" s="539"/>
      <c r="AN185" s="539"/>
      <c r="AO185" s="539"/>
      <c r="AP185" s="539"/>
      <c r="AQ185" s="539"/>
      <c r="AR185" s="539"/>
      <c r="AS185" s="539"/>
      <c r="AT185" s="539"/>
      <c r="AU185" s="539"/>
      <c r="DO185" s="494"/>
      <c r="DP185" s="496" t="s">
        <v>1493</v>
      </c>
      <c r="DQ185" s="496" t="s">
        <v>1083</v>
      </c>
      <c r="DR185" s="496" t="s">
        <v>690</v>
      </c>
      <c r="DS185" s="496" t="s">
        <v>1494</v>
      </c>
      <c r="DT185" s="496" t="s">
        <v>1494</v>
      </c>
      <c r="DU185" s="496" t="s">
        <v>1151</v>
      </c>
      <c r="DV185" s="496" t="s">
        <v>1446</v>
      </c>
      <c r="DW185" s="496" t="s">
        <v>1087</v>
      </c>
      <c r="DX185" s="497" t="s">
        <v>1153</v>
      </c>
      <c r="DZ185" s="555"/>
      <c r="EB185" s="493"/>
      <c r="EC185" s="493"/>
    </row>
    <row r="186" spans="5:133" ht="21" customHeight="1">
      <c r="E186" s="716"/>
      <c r="F186" s="724"/>
      <c r="G186" s="725"/>
      <c r="H186" s="724"/>
      <c r="I186" s="726"/>
      <c r="J186" s="950"/>
      <c r="K186" s="951"/>
      <c r="L186" s="793"/>
      <c r="M186" s="952"/>
      <c r="N186" s="953"/>
      <c r="O186" s="954"/>
      <c r="P186" s="955"/>
      <c r="Q186" s="956"/>
      <c r="R186" s="957"/>
      <c r="S186" s="800"/>
      <c r="T186" s="958"/>
      <c r="U186" s="802"/>
      <c r="V186" s="959"/>
      <c r="W186" s="960"/>
      <c r="X186" s="805"/>
      <c r="Y186" s="816"/>
      <c r="AA186" s="689"/>
      <c r="AC186" s="539"/>
      <c r="AD186" s="562" t="s">
        <v>5939</v>
      </c>
      <c r="AE186" s="559" t="s">
        <v>5975</v>
      </c>
      <c r="AF186" s="539"/>
      <c r="AG186" s="539"/>
      <c r="AH186" s="539"/>
      <c r="AI186" s="539"/>
      <c r="AJ186" s="539"/>
      <c r="AK186" s="539"/>
      <c r="AL186" s="539"/>
      <c r="AM186" s="539"/>
      <c r="AN186" s="539"/>
      <c r="AO186" s="539"/>
      <c r="AP186" s="539"/>
      <c r="AQ186" s="539"/>
      <c r="AR186" s="539"/>
      <c r="AS186" s="539"/>
      <c r="AT186" s="539"/>
      <c r="AU186" s="539"/>
      <c r="DO186" s="494"/>
      <c r="DP186" s="496" t="s">
        <v>1495</v>
      </c>
      <c r="DQ186" s="496" t="s">
        <v>1083</v>
      </c>
      <c r="DR186" s="496" t="s">
        <v>690</v>
      </c>
      <c r="DS186" s="496" t="s">
        <v>1496</v>
      </c>
      <c r="DT186" s="496" t="s">
        <v>1496</v>
      </c>
      <c r="DU186" s="496" t="s">
        <v>1151</v>
      </c>
      <c r="DV186" s="496" t="s">
        <v>1446</v>
      </c>
      <c r="DW186" s="496" t="s">
        <v>1087</v>
      </c>
      <c r="DX186" s="497" t="s">
        <v>1153</v>
      </c>
      <c r="DZ186" s="555"/>
      <c r="EB186" s="493"/>
      <c r="EC186" s="493"/>
    </row>
    <row r="187" spans="5:133" ht="21" customHeight="1">
      <c r="E187" s="716"/>
      <c r="F187" s="724"/>
      <c r="G187" s="725"/>
      <c r="H187" s="724"/>
      <c r="I187" s="726"/>
      <c r="J187" s="950"/>
      <c r="K187" s="951"/>
      <c r="L187" s="793"/>
      <c r="M187" s="952"/>
      <c r="N187" s="953"/>
      <c r="O187" s="954"/>
      <c r="P187" s="955"/>
      <c r="Q187" s="956"/>
      <c r="R187" s="957"/>
      <c r="S187" s="800"/>
      <c r="T187" s="958"/>
      <c r="U187" s="802"/>
      <c r="V187" s="959"/>
      <c r="W187" s="960"/>
      <c r="X187" s="805"/>
      <c r="Y187" s="816"/>
      <c r="AA187" s="689"/>
      <c r="AC187" s="539"/>
      <c r="AD187" s="562" t="s">
        <v>5941</v>
      </c>
      <c r="AE187" s="559" t="s">
        <v>5976</v>
      </c>
      <c r="AF187" s="539"/>
      <c r="AG187" s="539"/>
      <c r="AH187" s="539"/>
      <c r="AI187" s="539"/>
      <c r="AJ187" s="539"/>
      <c r="AK187" s="539"/>
      <c r="AL187" s="539"/>
      <c r="AM187" s="539"/>
      <c r="AN187" s="539"/>
      <c r="AO187" s="539"/>
      <c r="AP187" s="539"/>
      <c r="AQ187" s="539"/>
      <c r="AR187" s="539"/>
      <c r="AS187" s="539"/>
      <c r="AT187" s="539"/>
      <c r="AU187" s="539"/>
      <c r="DO187" s="494"/>
      <c r="DP187" s="496" t="s">
        <v>1497</v>
      </c>
      <c r="DQ187" s="496" t="s">
        <v>1083</v>
      </c>
      <c r="DR187" s="496" t="s">
        <v>690</v>
      </c>
      <c r="DS187" s="496" t="s">
        <v>1498</v>
      </c>
      <c r="DT187" s="496" t="s">
        <v>1499</v>
      </c>
      <c r="DU187" s="496" t="s">
        <v>1085</v>
      </c>
      <c r="DV187" s="496" t="s">
        <v>1441</v>
      </c>
      <c r="DW187" s="496" t="s">
        <v>1087</v>
      </c>
      <c r="DX187" s="497" t="s">
        <v>1088</v>
      </c>
      <c r="DZ187" s="555"/>
      <c r="EB187" s="493"/>
      <c r="EC187" s="493"/>
    </row>
    <row r="188" spans="5:133" ht="21" customHeight="1">
      <c r="E188" s="716"/>
      <c r="F188" s="724"/>
      <c r="G188" s="725"/>
      <c r="H188" s="724"/>
      <c r="I188" s="726"/>
      <c r="J188" s="950"/>
      <c r="K188" s="951"/>
      <c r="L188" s="793"/>
      <c r="M188" s="952"/>
      <c r="N188" s="953"/>
      <c r="O188" s="954"/>
      <c r="P188" s="955"/>
      <c r="Q188" s="956"/>
      <c r="R188" s="957"/>
      <c r="S188" s="800"/>
      <c r="T188" s="958"/>
      <c r="U188" s="802"/>
      <c r="V188" s="959"/>
      <c r="W188" s="960"/>
      <c r="X188" s="805"/>
      <c r="Y188" s="816"/>
      <c r="AA188" s="689"/>
      <c r="AC188" s="539"/>
      <c r="AD188" s="562" t="s">
        <v>5943</v>
      </c>
      <c r="AE188" s="559" t="s">
        <v>5977</v>
      </c>
      <c r="AF188" s="539"/>
      <c r="AG188" s="539"/>
      <c r="AH188" s="539"/>
      <c r="AI188" s="539"/>
      <c r="AJ188" s="539"/>
      <c r="AK188" s="539"/>
      <c r="AL188" s="539"/>
      <c r="AM188" s="539"/>
      <c r="AN188" s="539"/>
      <c r="AO188" s="539"/>
      <c r="AP188" s="539"/>
      <c r="AQ188" s="539"/>
      <c r="AR188" s="539"/>
      <c r="AS188" s="539"/>
      <c r="AT188" s="539"/>
      <c r="AU188" s="539"/>
      <c r="DO188" s="494"/>
      <c r="DP188" s="496" t="s">
        <v>1500</v>
      </c>
      <c r="DQ188" s="496" t="s">
        <v>1083</v>
      </c>
      <c r="DR188" s="496" t="s">
        <v>690</v>
      </c>
      <c r="DS188" s="496" t="s">
        <v>1501</v>
      </c>
      <c r="DT188" s="496" t="s">
        <v>1501</v>
      </c>
      <c r="DU188" s="496" t="s">
        <v>1085</v>
      </c>
      <c r="DV188" s="496" t="s">
        <v>1441</v>
      </c>
      <c r="DW188" s="496" t="s">
        <v>1087</v>
      </c>
      <c r="DX188" s="497" t="s">
        <v>1088</v>
      </c>
      <c r="DZ188" s="555"/>
      <c r="EB188" s="493"/>
      <c r="EC188" s="493"/>
    </row>
    <row r="189" spans="5:133" ht="21" customHeight="1">
      <c r="E189" s="716"/>
      <c r="F189" s="724"/>
      <c r="G189" s="725"/>
      <c r="H189" s="724"/>
      <c r="I189" s="726"/>
      <c r="J189" s="950"/>
      <c r="K189" s="951"/>
      <c r="L189" s="793"/>
      <c r="M189" s="952"/>
      <c r="N189" s="953"/>
      <c r="O189" s="954"/>
      <c r="P189" s="955"/>
      <c r="Q189" s="956"/>
      <c r="R189" s="957"/>
      <c r="S189" s="800"/>
      <c r="T189" s="958"/>
      <c r="U189" s="802"/>
      <c r="V189" s="959"/>
      <c r="W189" s="960"/>
      <c r="X189" s="805"/>
      <c r="Y189" s="816"/>
      <c r="AA189" s="689"/>
      <c r="AC189" s="539"/>
      <c r="AD189" s="562" t="s">
        <v>5945</v>
      </c>
      <c r="AE189" s="559" t="s">
        <v>5978</v>
      </c>
      <c r="AF189" s="539"/>
      <c r="AG189" s="539"/>
      <c r="AH189" s="539"/>
      <c r="AI189" s="539"/>
      <c r="AJ189" s="539"/>
      <c r="AK189" s="539"/>
      <c r="AL189" s="539"/>
      <c r="AM189" s="539"/>
      <c r="AN189" s="539"/>
      <c r="AO189" s="539"/>
      <c r="AP189" s="539"/>
      <c r="AQ189" s="539"/>
      <c r="AR189" s="539"/>
      <c r="AS189" s="539"/>
      <c r="AT189" s="539"/>
      <c r="AU189" s="539"/>
      <c r="DO189" s="494"/>
      <c r="DP189" s="496" t="s">
        <v>1502</v>
      </c>
      <c r="DQ189" s="496" t="s">
        <v>1083</v>
      </c>
      <c r="DR189" s="496" t="s">
        <v>690</v>
      </c>
      <c r="DS189" s="496" t="s">
        <v>1503</v>
      </c>
      <c r="DT189" s="496" t="s">
        <v>1503</v>
      </c>
      <c r="DU189" s="496" t="s">
        <v>1085</v>
      </c>
      <c r="DV189" s="496" t="s">
        <v>1441</v>
      </c>
      <c r="DW189" s="496" t="s">
        <v>1087</v>
      </c>
      <c r="DX189" s="497" t="s">
        <v>1088</v>
      </c>
      <c r="DZ189" s="555"/>
      <c r="EB189" s="493"/>
      <c r="EC189" s="493"/>
    </row>
    <row r="190" spans="5:133" ht="21" customHeight="1">
      <c r="E190" s="716"/>
      <c r="F190" s="724"/>
      <c r="G190" s="725"/>
      <c r="H190" s="724"/>
      <c r="I190" s="726"/>
      <c r="J190" s="950"/>
      <c r="K190" s="951"/>
      <c r="L190" s="793"/>
      <c r="M190" s="952"/>
      <c r="N190" s="953"/>
      <c r="O190" s="954"/>
      <c r="P190" s="955"/>
      <c r="Q190" s="956"/>
      <c r="R190" s="957"/>
      <c r="S190" s="800"/>
      <c r="T190" s="958"/>
      <c r="U190" s="802"/>
      <c r="V190" s="959"/>
      <c r="W190" s="960"/>
      <c r="X190" s="805"/>
      <c r="Y190" s="816"/>
      <c r="AA190" s="689"/>
      <c r="AC190" s="539"/>
      <c r="AD190" s="562" t="s">
        <v>5947</v>
      </c>
      <c r="AE190" s="559" t="s">
        <v>5979</v>
      </c>
      <c r="AF190" s="539"/>
      <c r="AG190" s="539"/>
      <c r="AH190" s="539"/>
      <c r="AI190" s="539"/>
      <c r="AJ190" s="539"/>
      <c r="AK190" s="539"/>
      <c r="AL190" s="539"/>
      <c r="AM190" s="539"/>
      <c r="AN190" s="539"/>
      <c r="AO190" s="539"/>
      <c r="AP190" s="539"/>
      <c r="AQ190" s="539"/>
      <c r="AR190" s="539"/>
      <c r="AS190" s="539"/>
      <c r="AT190" s="539"/>
      <c r="AU190" s="539"/>
      <c r="DO190" s="494"/>
      <c r="DP190" s="496" t="s">
        <v>1504</v>
      </c>
      <c r="DQ190" s="496" t="s">
        <v>1083</v>
      </c>
      <c r="DR190" s="496" t="s">
        <v>690</v>
      </c>
      <c r="DS190" s="496" t="s">
        <v>1505</v>
      </c>
      <c r="DT190" s="496" t="s">
        <v>1505</v>
      </c>
      <c r="DU190" s="496" t="s">
        <v>1085</v>
      </c>
      <c r="DV190" s="496" t="s">
        <v>1441</v>
      </c>
      <c r="DW190" s="496" t="s">
        <v>1087</v>
      </c>
      <c r="DX190" s="497" t="s">
        <v>1088</v>
      </c>
      <c r="DZ190" s="555"/>
      <c r="EB190" s="493"/>
      <c r="EC190" s="493"/>
    </row>
    <row r="191" spans="5:133" ht="21" customHeight="1">
      <c r="E191" s="716"/>
      <c r="F191" s="724"/>
      <c r="G191" s="725"/>
      <c r="H191" s="724"/>
      <c r="I191" s="726"/>
      <c r="J191" s="950"/>
      <c r="K191" s="951"/>
      <c r="L191" s="793"/>
      <c r="M191" s="952"/>
      <c r="N191" s="953"/>
      <c r="O191" s="954"/>
      <c r="P191" s="955"/>
      <c r="Q191" s="956"/>
      <c r="R191" s="957"/>
      <c r="S191" s="800"/>
      <c r="T191" s="958"/>
      <c r="U191" s="802"/>
      <c r="V191" s="959"/>
      <c r="W191" s="960"/>
      <c r="X191" s="805"/>
      <c r="Y191" s="816"/>
      <c r="AA191" s="689"/>
      <c r="AC191" s="539"/>
      <c r="AD191" s="562" t="s">
        <v>5949</v>
      </c>
      <c r="AE191" s="559" t="s">
        <v>5980</v>
      </c>
      <c r="AF191" s="539"/>
      <c r="AG191" s="539"/>
      <c r="AH191" s="539"/>
      <c r="AI191" s="539"/>
      <c r="AJ191" s="539"/>
      <c r="AK191" s="539"/>
      <c r="AL191" s="539"/>
      <c r="AM191" s="539"/>
      <c r="AN191" s="539"/>
      <c r="AO191" s="539"/>
      <c r="AP191" s="539"/>
      <c r="AQ191" s="539"/>
      <c r="AR191" s="539"/>
      <c r="AS191" s="539"/>
      <c r="AT191" s="539"/>
      <c r="AU191" s="539"/>
      <c r="DO191" s="494"/>
      <c r="DP191" s="496" t="s">
        <v>1506</v>
      </c>
      <c r="DQ191" s="496" t="s">
        <v>1083</v>
      </c>
      <c r="DR191" s="496" t="s">
        <v>690</v>
      </c>
      <c r="DS191" s="496" t="s">
        <v>1507</v>
      </c>
      <c r="DT191" s="496" t="s">
        <v>1507</v>
      </c>
      <c r="DU191" s="496" t="s">
        <v>1085</v>
      </c>
      <c r="DV191" s="496" t="s">
        <v>1441</v>
      </c>
      <c r="DW191" s="496" t="s">
        <v>1087</v>
      </c>
      <c r="DX191" s="497" t="s">
        <v>1088</v>
      </c>
      <c r="DZ191" s="555"/>
      <c r="EB191" s="493"/>
      <c r="EC191" s="493"/>
    </row>
    <row r="192" spans="5:133" ht="21" customHeight="1">
      <c r="E192" s="716"/>
      <c r="F192" s="724"/>
      <c r="G192" s="725"/>
      <c r="H192" s="724"/>
      <c r="I192" s="726"/>
      <c r="J192" s="950"/>
      <c r="K192" s="951"/>
      <c r="L192" s="793"/>
      <c r="M192" s="952"/>
      <c r="N192" s="953"/>
      <c r="O192" s="954"/>
      <c r="P192" s="955"/>
      <c r="Q192" s="956"/>
      <c r="R192" s="957"/>
      <c r="S192" s="800"/>
      <c r="T192" s="958"/>
      <c r="U192" s="802"/>
      <c r="V192" s="959"/>
      <c r="W192" s="960"/>
      <c r="X192" s="805"/>
      <c r="Y192" s="816"/>
      <c r="AA192" s="689"/>
      <c r="AC192" s="539"/>
      <c r="AD192" s="562"/>
      <c r="AE192" s="559"/>
      <c r="AF192" s="539"/>
      <c r="AG192" s="539"/>
      <c r="AH192" s="539"/>
      <c r="AI192" s="539"/>
      <c r="AJ192" s="539"/>
      <c r="AK192" s="539"/>
      <c r="AL192" s="539"/>
      <c r="AM192" s="539"/>
      <c r="AN192" s="539"/>
      <c r="AO192" s="539"/>
      <c r="AP192" s="539"/>
      <c r="AQ192" s="539"/>
      <c r="AR192" s="539"/>
      <c r="AS192" s="539"/>
      <c r="AT192" s="539"/>
      <c r="AU192" s="539"/>
      <c r="DO192" s="494"/>
      <c r="DP192" s="496" t="s">
        <v>1508</v>
      </c>
      <c r="DQ192" s="496" t="s">
        <v>1083</v>
      </c>
      <c r="DR192" s="496" t="s">
        <v>690</v>
      </c>
      <c r="DS192" s="496" t="s">
        <v>1509</v>
      </c>
      <c r="DT192" s="496" t="s">
        <v>1509</v>
      </c>
      <c r="DU192" s="496" t="s">
        <v>1085</v>
      </c>
      <c r="DV192" s="496" t="s">
        <v>1441</v>
      </c>
      <c r="DW192" s="496" t="s">
        <v>1087</v>
      </c>
      <c r="DX192" s="497" t="s">
        <v>1088</v>
      </c>
      <c r="DZ192" s="555"/>
      <c r="EB192" s="493"/>
      <c r="EC192" s="493"/>
    </row>
    <row r="193" spans="5:133" ht="21" customHeight="1">
      <c r="E193" s="716"/>
      <c r="F193" s="724"/>
      <c r="G193" s="725"/>
      <c r="H193" s="724"/>
      <c r="I193" s="726"/>
      <c r="J193" s="950"/>
      <c r="K193" s="951"/>
      <c r="L193" s="793"/>
      <c r="M193" s="952"/>
      <c r="N193" s="953"/>
      <c r="O193" s="954"/>
      <c r="P193" s="955"/>
      <c r="Q193" s="956"/>
      <c r="R193" s="957"/>
      <c r="S193" s="800"/>
      <c r="T193" s="958"/>
      <c r="U193" s="802"/>
      <c r="V193" s="959"/>
      <c r="W193" s="960"/>
      <c r="X193" s="805"/>
      <c r="Y193" s="816"/>
      <c r="AA193" s="689"/>
      <c r="AC193" s="539"/>
      <c r="AD193" s="565" t="s">
        <v>5981</v>
      </c>
      <c r="AE193" s="565"/>
      <c r="AF193" s="539"/>
      <c r="AG193" s="539"/>
      <c r="AH193" s="539"/>
      <c r="AI193" s="539"/>
      <c r="AJ193" s="539"/>
      <c r="AK193" s="539"/>
      <c r="AL193" s="539"/>
      <c r="AM193" s="539"/>
      <c r="AN193" s="539"/>
      <c r="AO193" s="539"/>
      <c r="AP193" s="539"/>
      <c r="AQ193" s="539"/>
      <c r="AR193" s="539"/>
      <c r="AS193" s="539"/>
      <c r="AT193" s="539"/>
      <c r="AU193" s="539"/>
      <c r="DO193" s="494"/>
      <c r="DP193" s="496" t="s">
        <v>1510</v>
      </c>
      <c r="DQ193" s="496" t="s">
        <v>1083</v>
      </c>
      <c r="DR193" s="496" t="s">
        <v>1511</v>
      </c>
      <c r="DS193" s="496" t="s">
        <v>1512</v>
      </c>
      <c r="DT193" s="496" t="s">
        <v>1512</v>
      </c>
      <c r="DU193" s="496" t="s">
        <v>1085</v>
      </c>
      <c r="DV193" s="496" t="s">
        <v>1513</v>
      </c>
      <c r="DW193" s="496" t="s">
        <v>1087</v>
      </c>
      <c r="DX193" s="497" t="s">
        <v>1088</v>
      </c>
      <c r="DZ193" s="555"/>
      <c r="EB193" s="493"/>
      <c r="EC193" s="493"/>
    </row>
    <row r="194" spans="5:133" ht="21" customHeight="1">
      <c r="E194" s="716"/>
      <c r="F194" s="724"/>
      <c r="G194" s="725"/>
      <c r="H194" s="724"/>
      <c r="I194" s="726"/>
      <c r="J194" s="950"/>
      <c r="K194" s="951"/>
      <c r="L194" s="793"/>
      <c r="M194" s="952"/>
      <c r="N194" s="953"/>
      <c r="O194" s="954"/>
      <c r="P194" s="955"/>
      <c r="Q194" s="956"/>
      <c r="R194" s="957"/>
      <c r="S194" s="800"/>
      <c r="T194" s="958"/>
      <c r="U194" s="802"/>
      <c r="V194" s="959"/>
      <c r="W194" s="960"/>
      <c r="X194" s="805"/>
      <c r="Y194" s="816"/>
      <c r="AA194" s="689"/>
      <c r="AC194" s="539"/>
      <c r="AD194" s="566" t="s">
        <v>5982</v>
      </c>
      <c r="AE194" s="559" t="s">
        <v>5983</v>
      </c>
      <c r="AF194" s="539"/>
      <c r="AG194" s="539"/>
      <c r="AH194" s="539"/>
      <c r="AI194" s="539"/>
      <c r="AJ194" s="539"/>
      <c r="AK194" s="539"/>
      <c r="AL194" s="539"/>
      <c r="AM194" s="539"/>
      <c r="AN194" s="539"/>
      <c r="AO194" s="539"/>
      <c r="AP194" s="539"/>
      <c r="AQ194" s="539"/>
      <c r="AR194" s="539"/>
      <c r="AS194" s="539"/>
      <c r="AT194" s="539"/>
      <c r="AU194" s="539"/>
      <c r="DO194" s="494"/>
      <c r="DP194" s="496" t="s">
        <v>1514</v>
      </c>
      <c r="DQ194" s="496" t="s">
        <v>1083</v>
      </c>
      <c r="DR194" s="496" t="s">
        <v>1511</v>
      </c>
      <c r="DS194" s="496" t="s">
        <v>1515</v>
      </c>
      <c r="DT194" s="496" t="s">
        <v>1515</v>
      </c>
      <c r="DU194" s="496" t="s">
        <v>1085</v>
      </c>
      <c r="DV194" s="496" t="s">
        <v>1513</v>
      </c>
      <c r="DW194" s="496" t="s">
        <v>1087</v>
      </c>
      <c r="DX194" s="497" t="s">
        <v>1088</v>
      </c>
      <c r="DZ194" s="555"/>
      <c r="EB194" s="493"/>
      <c r="EC194" s="493"/>
    </row>
    <row r="195" spans="5:133" ht="21" customHeight="1">
      <c r="E195" s="716"/>
      <c r="F195" s="724"/>
      <c r="G195" s="725"/>
      <c r="H195" s="724"/>
      <c r="I195" s="726"/>
      <c r="J195" s="950"/>
      <c r="K195" s="951"/>
      <c r="L195" s="793"/>
      <c r="M195" s="952"/>
      <c r="N195" s="953"/>
      <c r="O195" s="954"/>
      <c r="P195" s="955"/>
      <c r="Q195" s="956"/>
      <c r="R195" s="957"/>
      <c r="S195" s="800"/>
      <c r="T195" s="958"/>
      <c r="U195" s="802"/>
      <c r="V195" s="959"/>
      <c r="W195" s="960"/>
      <c r="X195" s="805"/>
      <c r="Y195" s="816"/>
      <c r="AA195" s="689"/>
      <c r="AC195" s="539"/>
      <c r="AD195" s="567"/>
      <c r="AE195" s="559" t="s">
        <v>5984</v>
      </c>
      <c r="AF195" s="539"/>
      <c r="AG195" s="539"/>
      <c r="AH195" s="539"/>
      <c r="AI195" s="539"/>
      <c r="AJ195" s="539"/>
      <c r="AK195" s="539"/>
      <c r="AL195" s="539"/>
      <c r="AM195" s="539"/>
      <c r="AN195" s="539"/>
      <c r="AO195" s="539"/>
      <c r="AP195" s="539"/>
      <c r="AQ195" s="539"/>
      <c r="AR195" s="539"/>
      <c r="AS195" s="539"/>
      <c r="AT195" s="539"/>
      <c r="AU195" s="539"/>
      <c r="DO195" s="494"/>
      <c r="DP195" s="496" t="s">
        <v>1516</v>
      </c>
      <c r="DQ195" s="496" t="s">
        <v>1083</v>
      </c>
      <c r="DR195" s="496" t="s">
        <v>1511</v>
      </c>
      <c r="DS195" s="496" t="s">
        <v>1517</v>
      </c>
      <c r="DT195" s="496" t="s">
        <v>1517</v>
      </c>
      <c r="DU195" s="496" t="s">
        <v>1151</v>
      </c>
      <c r="DV195" s="496" t="s">
        <v>1518</v>
      </c>
      <c r="DW195" s="496" t="s">
        <v>1087</v>
      </c>
      <c r="DX195" s="497" t="s">
        <v>1153</v>
      </c>
      <c r="DZ195" s="555"/>
      <c r="EB195" s="493"/>
      <c r="EC195" s="493"/>
    </row>
    <row r="196" spans="5:133" ht="21" customHeight="1">
      <c r="E196" s="716"/>
      <c r="F196" s="724"/>
      <c r="G196" s="725"/>
      <c r="H196" s="724"/>
      <c r="I196" s="726"/>
      <c r="J196" s="950"/>
      <c r="K196" s="951"/>
      <c r="L196" s="793"/>
      <c r="M196" s="952"/>
      <c r="N196" s="953"/>
      <c r="O196" s="954"/>
      <c r="P196" s="955"/>
      <c r="Q196" s="956"/>
      <c r="R196" s="957"/>
      <c r="S196" s="800"/>
      <c r="T196" s="958"/>
      <c r="U196" s="802"/>
      <c r="V196" s="959"/>
      <c r="W196" s="960"/>
      <c r="X196" s="805"/>
      <c r="Y196" s="816"/>
      <c r="AA196" s="689"/>
      <c r="AC196" s="539"/>
      <c r="AD196" s="566" t="s">
        <v>5985</v>
      </c>
      <c r="AE196" s="559" t="s">
        <v>5986</v>
      </c>
      <c r="AF196" s="539"/>
      <c r="AG196" s="539"/>
      <c r="AH196" s="539"/>
      <c r="AI196" s="539"/>
      <c r="AJ196" s="539"/>
      <c r="AK196" s="539"/>
      <c r="AL196" s="539"/>
      <c r="AM196" s="539"/>
      <c r="AN196" s="539"/>
      <c r="AO196" s="539"/>
      <c r="AP196" s="539"/>
      <c r="AQ196" s="539"/>
      <c r="AR196" s="539"/>
      <c r="AS196" s="539"/>
      <c r="AT196" s="539"/>
      <c r="AU196" s="539"/>
      <c r="DO196" s="494"/>
      <c r="DP196" s="496" t="s">
        <v>1519</v>
      </c>
      <c r="DQ196" s="496" t="s">
        <v>1083</v>
      </c>
      <c r="DR196" s="496" t="s">
        <v>1511</v>
      </c>
      <c r="DS196" s="496" t="s">
        <v>1520</v>
      </c>
      <c r="DT196" s="496" t="s">
        <v>1520</v>
      </c>
      <c r="DU196" s="496" t="s">
        <v>1151</v>
      </c>
      <c r="DV196" s="496" t="s">
        <v>1518</v>
      </c>
      <c r="DW196" s="496" t="s">
        <v>1087</v>
      </c>
      <c r="DX196" s="497" t="s">
        <v>1153</v>
      </c>
      <c r="DZ196" s="555"/>
      <c r="EB196" s="493"/>
      <c r="EC196" s="493"/>
    </row>
    <row r="197" spans="5:133" ht="21" customHeight="1">
      <c r="E197" s="716"/>
      <c r="F197" s="724"/>
      <c r="G197" s="725"/>
      <c r="H197" s="724"/>
      <c r="I197" s="726"/>
      <c r="J197" s="950"/>
      <c r="K197" s="951"/>
      <c r="L197" s="793"/>
      <c r="M197" s="952"/>
      <c r="N197" s="953"/>
      <c r="O197" s="954"/>
      <c r="P197" s="955"/>
      <c r="Q197" s="956"/>
      <c r="R197" s="957"/>
      <c r="S197" s="800"/>
      <c r="T197" s="958"/>
      <c r="U197" s="802"/>
      <c r="V197" s="959"/>
      <c r="W197" s="960"/>
      <c r="X197" s="805"/>
      <c r="Y197" s="816"/>
      <c r="AA197" s="689"/>
      <c r="AC197" s="539"/>
      <c r="AD197" s="559"/>
      <c r="AE197" s="559" t="s">
        <v>5987</v>
      </c>
      <c r="AF197" s="539"/>
      <c r="AG197" s="539"/>
      <c r="AH197" s="539"/>
      <c r="AI197" s="539"/>
      <c r="AJ197" s="539"/>
      <c r="AK197" s="539"/>
      <c r="AL197" s="539"/>
      <c r="AM197" s="539"/>
      <c r="AN197" s="539"/>
      <c r="AO197" s="539"/>
      <c r="AP197" s="539"/>
      <c r="AQ197" s="539"/>
      <c r="AR197" s="539"/>
      <c r="AS197" s="539"/>
      <c r="AT197" s="539"/>
      <c r="AU197" s="539"/>
      <c r="DO197" s="494"/>
      <c r="DP197" s="496" t="s">
        <v>1521</v>
      </c>
      <c r="DQ197" s="496" t="s">
        <v>1083</v>
      </c>
      <c r="DR197" s="496" t="s">
        <v>1511</v>
      </c>
      <c r="DS197" s="496" t="s">
        <v>1522</v>
      </c>
      <c r="DT197" s="496" t="s">
        <v>1522</v>
      </c>
      <c r="DU197" s="496" t="s">
        <v>1085</v>
      </c>
      <c r="DV197" s="496" t="s">
        <v>1513</v>
      </c>
      <c r="DW197" s="496" t="s">
        <v>1087</v>
      </c>
      <c r="DX197" s="497" t="s">
        <v>1088</v>
      </c>
      <c r="DZ197" s="555"/>
      <c r="EB197" s="493"/>
      <c r="EC197" s="493"/>
    </row>
    <row r="198" spans="5:133" ht="21" customHeight="1">
      <c r="E198" s="716"/>
      <c r="F198" s="724"/>
      <c r="G198" s="725"/>
      <c r="H198" s="724"/>
      <c r="I198" s="726"/>
      <c r="J198" s="950"/>
      <c r="K198" s="951"/>
      <c r="L198" s="793"/>
      <c r="M198" s="952"/>
      <c r="N198" s="953"/>
      <c r="O198" s="954"/>
      <c r="P198" s="955"/>
      <c r="Q198" s="956"/>
      <c r="R198" s="957"/>
      <c r="S198" s="800"/>
      <c r="T198" s="958"/>
      <c r="U198" s="802"/>
      <c r="V198" s="959"/>
      <c r="W198" s="960"/>
      <c r="X198" s="805"/>
      <c r="Y198" s="816"/>
      <c r="AA198" s="689"/>
      <c r="AC198" s="539"/>
      <c r="AD198" s="559"/>
      <c r="AE198" s="559"/>
      <c r="AF198" s="539"/>
      <c r="AG198" s="539"/>
      <c r="AH198" s="539"/>
      <c r="AI198" s="539"/>
      <c r="AJ198" s="539"/>
      <c r="AK198" s="539"/>
      <c r="AL198" s="539"/>
      <c r="AM198" s="539"/>
      <c r="AN198" s="539"/>
      <c r="AO198" s="539"/>
      <c r="AP198" s="539"/>
      <c r="AQ198" s="539"/>
      <c r="AR198" s="539"/>
      <c r="AS198" s="539"/>
      <c r="AT198" s="539"/>
      <c r="AU198" s="539"/>
      <c r="DO198" s="494"/>
      <c r="DP198" s="496" t="s">
        <v>1523</v>
      </c>
      <c r="DQ198" s="496" t="s">
        <v>1083</v>
      </c>
      <c r="DR198" s="496" t="s">
        <v>1511</v>
      </c>
      <c r="DS198" s="496" t="s">
        <v>894</v>
      </c>
      <c r="DT198" s="496" t="s">
        <v>894</v>
      </c>
      <c r="DU198" s="496" t="s">
        <v>1085</v>
      </c>
      <c r="DV198" s="496" t="s">
        <v>1513</v>
      </c>
      <c r="DW198" s="496" t="s">
        <v>1087</v>
      </c>
      <c r="DX198" s="497" t="s">
        <v>1088</v>
      </c>
      <c r="DZ198" s="555"/>
      <c r="EB198" s="493"/>
      <c r="EC198" s="493"/>
    </row>
    <row r="199" spans="5:133" ht="21" customHeight="1">
      <c r="E199" s="716"/>
      <c r="F199" s="724"/>
      <c r="G199" s="725"/>
      <c r="H199" s="724"/>
      <c r="I199" s="726"/>
      <c r="J199" s="950"/>
      <c r="K199" s="951"/>
      <c r="L199" s="793"/>
      <c r="M199" s="952"/>
      <c r="N199" s="953"/>
      <c r="O199" s="954"/>
      <c r="P199" s="955"/>
      <c r="Q199" s="956"/>
      <c r="R199" s="957"/>
      <c r="S199" s="800"/>
      <c r="T199" s="958"/>
      <c r="U199" s="802"/>
      <c r="V199" s="959"/>
      <c r="W199" s="960"/>
      <c r="X199" s="805"/>
      <c r="Y199" s="816"/>
      <c r="AA199" s="689"/>
      <c r="AC199" s="539"/>
      <c r="AD199" s="565" t="s">
        <v>5988</v>
      </c>
      <c r="AE199" s="565"/>
      <c r="AF199" s="539"/>
      <c r="AG199" s="539"/>
      <c r="AH199" s="539"/>
      <c r="AI199" s="539"/>
      <c r="AJ199" s="539"/>
      <c r="AK199" s="539"/>
      <c r="AL199" s="539"/>
      <c r="AM199" s="539"/>
      <c r="AN199" s="539"/>
      <c r="AO199" s="539"/>
      <c r="AP199" s="539"/>
      <c r="AQ199" s="539"/>
      <c r="AR199" s="539"/>
      <c r="AS199" s="539"/>
      <c r="AT199" s="539"/>
      <c r="AU199" s="539"/>
      <c r="DO199" s="494"/>
      <c r="DP199" s="496" t="s">
        <v>1524</v>
      </c>
      <c r="DQ199" s="496" t="s">
        <v>1083</v>
      </c>
      <c r="DR199" s="496" t="s">
        <v>1511</v>
      </c>
      <c r="DS199" s="496" t="s">
        <v>1525</v>
      </c>
      <c r="DT199" s="496" t="s">
        <v>1525</v>
      </c>
      <c r="DU199" s="496" t="s">
        <v>1085</v>
      </c>
      <c r="DV199" s="496" t="s">
        <v>1513</v>
      </c>
      <c r="DW199" s="496" t="s">
        <v>1087</v>
      </c>
      <c r="DX199" s="497" t="s">
        <v>1088</v>
      </c>
      <c r="DZ199" s="555"/>
      <c r="EB199" s="493"/>
      <c r="EC199" s="493"/>
    </row>
    <row r="200" spans="5:133" ht="21" customHeight="1">
      <c r="E200" s="716"/>
      <c r="F200" s="724"/>
      <c r="G200" s="725"/>
      <c r="H200" s="724"/>
      <c r="I200" s="726"/>
      <c r="J200" s="950"/>
      <c r="K200" s="951"/>
      <c r="L200" s="793"/>
      <c r="M200" s="952"/>
      <c r="N200" s="953"/>
      <c r="O200" s="954"/>
      <c r="P200" s="955"/>
      <c r="Q200" s="956"/>
      <c r="R200" s="957"/>
      <c r="S200" s="800"/>
      <c r="T200" s="958"/>
      <c r="U200" s="802"/>
      <c r="V200" s="959"/>
      <c r="W200" s="960"/>
      <c r="X200" s="805"/>
      <c r="Y200" s="816"/>
      <c r="AA200" s="689"/>
      <c r="AC200" s="539"/>
      <c r="AD200" s="562" t="s">
        <v>5989</v>
      </c>
      <c r="AE200" s="559" t="s">
        <v>5990</v>
      </c>
      <c r="AF200" s="539"/>
      <c r="AG200" s="539"/>
      <c r="AH200" s="539"/>
      <c r="AI200" s="539"/>
      <c r="AJ200" s="539"/>
      <c r="AK200" s="539"/>
      <c r="AL200" s="539"/>
      <c r="AM200" s="539"/>
      <c r="AN200" s="539"/>
      <c r="AO200" s="539"/>
      <c r="AP200" s="539"/>
      <c r="AQ200" s="539"/>
      <c r="AR200" s="539"/>
      <c r="AS200" s="539"/>
      <c r="AT200" s="539"/>
      <c r="AU200" s="539"/>
      <c r="DO200" s="494"/>
      <c r="DP200" s="496" t="s">
        <v>1526</v>
      </c>
      <c r="DQ200" s="496" t="s">
        <v>1083</v>
      </c>
      <c r="DR200" s="496" t="s">
        <v>1511</v>
      </c>
      <c r="DS200" s="496" t="s">
        <v>1527</v>
      </c>
      <c r="DT200" s="496" t="s">
        <v>1527</v>
      </c>
      <c r="DU200" s="496" t="s">
        <v>1085</v>
      </c>
      <c r="DV200" s="496" t="s">
        <v>1513</v>
      </c>
      <c r="DW200" s="496" t="s">
        <v>1087</v>
      </c>
      <c r="DX200" s="497" t="s">
        <v>1088</v>
      </c>
      <c r="DZ200" s="555"/>
      <c r="EB200" s="493"/>
      <c r="EC200" s="493"/>
    </row>
    <row r="201" spans="5:133" ht="21" customHeight="1">
      <c r="E201" s="716"/>
      <c r="F201" s="724"/>
      <c r="G201" s="725"/>
      <c r="H201" s="724"/>
      <c r="I201" s="726"/>
      <c r="J201" s="950"/>
      <c r="K201" s="951"/>
      <c r="L201" s="793"/>
      <c r="M201" s="952"/>
      <c r="N201" s="953"/>
      <c r="O201" s="954"/>
      <c r="P201" s="955"/>
      <c r="Q201" s="956"/>
      <c r="R201" s="957"/>
      <c r="S201" s="800"/>
      <c r="T201" s="958"/>
      <c r="U201" s="802"/>
      <c r="V201" s="959"/>
      <c r="W201" s="960"/>
      <c r="X201" s="805"/>
      <c r="Y201" s="816"/>
      <c r="AA201" s="689"/>
      <c r="AC201" s="539"/>
      <c r="AD201" s="562" t="s">
        <v>5991</v>
      </c>
      <c r="AE201" s="559" t="s">
        <v>5992</v>
      </c>
      <c r="AF201" s="539"/>
      <c r="AG201" s="539"/>
      <c r="AH201" s="539"/>
      <c r="AI201" s="539"/>
      <c r="AJ201" s="539"/>
      <c r="AK201" s="539"/>
      <c r="AL201" s="539"/>
      <c r="AM201" s="539"/>
      <c r="AN201" s="539"/>
      <c r="AO201" s="539"/>
      <c r="AP201" s="539"/>
      <c r="AQ201" s="539"/>
      <c r="AR201" s="539"/>
      <c r="AS201" s="539"/>
      <c r="AT201" s="539"/>
      <c r="AU201" s="539"/>
      <c r="DO201" s="494"/>
      <c r="DP201" s="496" t="s">
        <v>1528</v>
      </c>
      <c r="DQ201" s="496" t="s">
        <v>1083</v>
      </c>
      <c r="DR201" s="496" t="s">
        <v>1511</v>
      </c>
      <c r="DS201" s="496" t="s">
        <v>1529</v>
      </c>
      <c r="DT201" s="496" t="s">
        <v>1529</v>
      </c>
      <c r="DU201" s="496" t="s">
        <v>1085</v>
      </c>
      <c r="DV201" s="496" t="s">
        <v>1513</v>
      </c>
      <c r="DW201" s="496" t="s">
        <v>1087</v>
      </c>
      <c r="DX201" s="497" t="s">
        <v>1088</v>
      </c>
      <c r="DZ201" s="555"/>
      <c r="EB201" s="493"/>
      <c r="EC201" s="493"/>
    </row>
    <row r="202" spans="5:133" ht="21" customHeight="1">
      <c r="E202" s="716"/>
      <c r="F202" s="724"/>
      <c r="G202" s="725"/>
      <c r="H202" s="724"/>
      <c r="I202" s="726"/>
      <c r="J202" s="950"/>
      <c r="K202" s="951"/>
      <c r="L202" s="793"/>
      <c r="M202" s="952"/>
      <c r="N202" s="953"/>
      <c r="O202" s="954"/>
      <c r="P202" s="955"/>
      <c r="Q202" s="956"/>
      <c r="R202" s="957"/>
      <c r="S202" s="800"/>
      <c r="T202" s="958"/>
      <c r="U202" s="802"/>
      <c r="V202" s="959"/>
      <c r="W202" s="960"/>
      <c r="X202" s="805"/>
      <c r="Y202" s="816"/>
      <c r="AA202" s="689"/>
      <c r="AC202" s="539"/>
      <c r="AD202" s="562" t="s">
        <v>5993</v>
      </c>
      <c r="AE202" s="559" t="s">
        <v>5994</v>
      </c>
      <c r="AF202" s="539"/>
      <c r="AG202" s="539"/>
      <c r="AH202" s="539"/>
      <c r="AI202" s="539"/>
      <c r="AJ202" s="539"/>
      <c r="AK202" s="539"/>
      <c r="AL202" s="539"/>
      <c r="AM202" s="539"/>
      <c r="AN202" s="539"/>
      <c r="AO202" s="539"/>
      <c r="AP202" s="539"/>
      <c r="AQ202" s="539"/>
      <c r="AR202" s="539"/>
      <c r="AS202" s="539"/>
      <c r="AT202" s="539"/>
      <c r="AU202" s="539"/>
      <c r="DO202" s="494"/>
      <c r="DP202" s="496" t="s">
        <v>1530</v>
      </c>
      <c r="DQ202" s="496" t="s">
        <v>1083</v>
      </c>
      <c r="DR202" s="496" t="s">
        <v>1511</v>
      </c>
      <c r="DS202" s="496" t="s">
        <v>1531</v>
      </c>
      <c r="DT202" s="496" t="s">
        <v>1531</v>
      </c>
      <c r="DU202" s="496" t="s">
        <v>1085</v>
      </c>
      <c r="DV202" s="496" t="s">
        <v>1513</v>
      </c>
      <c r="DW202" s="496" t="s">
        <v>1087</v>
      </c>
      <c r="DX202" s="497" t="s">
        <v>1088</v>
      </c>
      <c r="DZ202" s="555"/>
      <c r="EB202" s="493"/>
      <c r="EC202" s="493"/>
    </row>
    <row r="203" spans="5:133" ht="21" customHeight="1">
      <c r="E203" s="716"/>
      <c r="F203" s="724"/>
      <c r="G203" s="725"/>
      <c r="H203" s="724"/>
      <c r="I203" s="726"/>
      <c r="J203" s="950"/>
      <c r="K203" s="951"/>
      <c r="L203" s="793"/>
      <c r="M203" s="952"/>
      <c r="N203" s="953"/>
      <c r="O203" s="954"/>
      <c r="P203" s="955"/>
      <c r="Q203" s="956"/>
      <c r="R203" s="957"/>
      <c r="S203" s="800"/>
      <c r="T203" s="958"/>
      <c r="U203" s="802"/>
      <c r="V203" s="959"/>
      <c r="W203" s="960"/>
      <c r="X203" s="805"/>
      <c r="Y203" s="816"/>
      <c r="AA203" s="689"/>
      <c r="AC203" s="539"/>
      <c r="AD203" s="562" t="s">
        <v>5995</v>
      </c>
      <c r="AE203" s="559" t="s">
        <v>5996</v>
      </c>
      <c r="AF203" s="539"/>
      <c r="AG203" s="539"/>
      <c r="AH203" s="539"/>
      <c r="AI203" s="539"/>
      <c r="AJ203" s="539"/>
      <c r="AK203" s="539"/>
      <c r="AL203" s="539"/>
      <c r="AM203" s="539"/>
      <c r="AN203" s="539"/>
      <c r="AO203" s="539"/>
      <c r="AP203" s="539"/>
      <c r="AQ203" s="539"/>
      <c r="AR203" s="539"/>
      <c r="AS203" s="539"/>
      <c r="AT203" s="539"/>
      <c r="AU203" s="539"/>
      <c r="DO203" s="494"/>
      <c r="DP203" s="496" t="s">
        <v>1532</v>
      </c>
      <c r="DQ203" s="496" t="s">
        <v>1083</v>
      </c>
      <c r="DR203" s="496" t="s">
        <v>1511</v>
      </c>
      <c r="DS203" s="496" t="s">
        <v>919</v>
      </c>
      <c r="DT203" s="496" t="s">
        <v>919</v>
      </c>
      <c r="DU203" s="496" t="s">
        <v>1085</v>
      </c>
      <c r="DV203" s="496" t="s">
        <v>1513</v>
      </c>
      <c r="DW203" s="496" t="s">
        <v>1087</v>
      </c>
      <c r="DX203" s="497" t="s">
        <v>1088</v>
      </c>
      <c r="DZ203" s="555"/>
      <c r="EB203" s="493"/>
      <c r="EC203" s="493"/>
    </row>
    <row r="204" spans="5:133" ht="21" customHeight="1">
      <c r="E204" s="716"/>
      <c r="F204" s="724"/>
      <c r="G204" s="725"/>
      <c r="H204" s="724"/>
      <c r="I204" s="726"/>
      <c r="J204" s="950"/>
      <c r="K204" s="951"/>
      <c r="L204" s="793"/>
      <c r="M204" s="952"/>
      <c r="N204" s="953"/>
      <c r="O204" s="954"/>
      <c r="P204" s="955"/>
      <c r="Q204" s="956"/>
      <c r="R204" s="957"/>
      <c r="S204" s="800"/>
      <c r="T204" s="958"/>
      <c r="U204" s="802"/>
      <c r="V204" s="959"/>
      <c r="W204" s="960"/>
      <c r="X204" s="805"/>
      <c r="Y204" s="816"/>
      <c r="AA204" s="689"/>
      <c r="AC204" s="539"/>
      <c r="AD204" s="562"/>
      <c r="AE204" s="559" t="s">
        <v>5997</v>
      </c>
      <c r="AF204" s="539"/>
      <c r="AG204" s="539"/>
      <c r="AH204" s="539"/>
      <c r="AI204" s="539"/>
      <c r="AJ204" s="539"/>
      <c r="AK204" s="539"/>
      <c r="AL204" s="539"/>
      <c r="AM204" s="539"/>
      <c r="AN204" s="539"/>
      <c r="AO204" s="539"/>
      <c r="AP204" s="539"/>
      <c r="AQ204" s="539"/>
      <c r="AR204" s="539"/>
      <c r="AS204" s="539"/>
      <c r="AT204" s="539"/>
      <c r="AU204" s="539"/>
      <c r="DO204" s="494"/>
      <c r="DP204" s="496" t="s">
        <v>1533</v>
      </c>
      <c r="DQ204" s="496" t="s">
        <v>1083</v>
      </c>
      <c r="DR204" s="496" t="s">
        <v>1511</v>
      </c>
      <c r="DS204" s="496" t="s">
        <v>1534</v>
      </c>
      <c r="DT204" s="496" t="s">
        <v>1535</v>
      </c>
      <c r="DU204" s="496" t="s">
        <v>1151</v>
      </c>
      <c r="DV204" s="496" t="s">
        <v>1518</v>
      </c>
      <c r="DW204" s="496" t="s">
        <v>1087</v>
      </c>
      <c r="DX204" s="497" t="s">
        <v>1153</v>
      </c>
      <c r="DZ204" s="555"/>
      <c r="EB204" s="493"/>
      <c r="EC204" s="493"/>
    </row>
    <row r="205" spans="5:133" ht="21" customHeight="1">
      <c r="E205" s="716"/>
      <c r="F205" s="724"/>
      <c r="G205" s="725"/>
      <c r="H205" s="724"/>
      <c r="I205" s="726"/>
      <c r="J205" s="950"/>
      <c r="K205" s="951"/>
      <c r="L205" s="793"/>
      <c r="M205" s="952"/>
      <c r="N205" s="953"/>
      <c r="O205" s="954"/>
      <c r="P205" s="955"/>
      <c r="Q205" s="956"/>
      <c r="R205" s="957"/>
      <c r="S205" s="800"/>
      <c r="T205" s="958"/>
      <c r="U205" s="802"/>
      <c r="V205" s="959"/>
      <c r="W205" s="960"/>
      <c r="X205" s="805"/>
      <c r="Y205" s="816"/>
      <c r="AA205" s="689"/>
      <c r="AC205" s="539"/>
      <c r="AD205" s="562" t="s">
        <v>5998</v>
      </c>
      <c r="AE205" s="559" t="s">
        <v>5999</v>
      </c>
      <c r="AF205" s="539"/>
      <c r="AG205" s="539"/>
      <c r="AH205" s="539"/>
      <c r="AI205" s="539"/>
      <c r="AJ205" s="539"/>
      <c r="AK205" s="539"/>
      <c r="AL205" s="539"/>
      <c r="AM205" s="539"/>
      <c r="AN205" s="539"/>
      <c r="AO205" s="539"/>
      <c r="AP205" s="539"/>
      <c r="AQ205" s="539"/>
      <c r="AR205" s="539"/>
      <c r="AS205" s="539"/>
      <c r="AT205" s="539"/>
      <c r="AU205" s="539"/>
      <c r="DO205" s="494"/>
      <c r="DP205" s="496" t="s">
        <v>1536</v>
      </c>
      <c r="DQ205" s="496" t="s">
        <v>1083</v>
      </c>
      <c r="DR205" s="496" t="s">
        <v>1511</v>
      </c>
      <c r="DS205" s="496" t="s">
        <v>1537</v>
      </c>
      <c r="DT205" s="496" t="s">
        <v>1537</v>
      </c>
      <c r="DU205" s="496" t="s">
        <v>1085</v>
      </c>
      <c r="DV205" s="496" t="s">
        <v>1513</v>
      </c>
      <c r="DW205" s="496" t="s">
        <v>1087</v>
      </c>
      <c r="DX205" s="497" t="s">
        <v>1088</v>
      </c>
      <c r="DZ205" s="555"/>
      <c r="EB205" s="493"/>
      <c r="EC205" s="493"/>
    </row>
    <row r="206" spans="5:133" ht="21" customHeight="1">
      <c r="E206" s="716"/>
      <c r="F206" s="724"/>
      <c r="G206" s="725"/>
      <c r="H206" s="724"/>
      <c r="I206" s="726"/>
      <c r="J206" s="950"/>
      <c r="K206" s="951"/>
      <c r="L206" s="793"/>
      <c r="M206" s="952"/>
      <c r="N206" s="953"/>
      <c r="O206" s="954"/>
      <c r="P206" s="955"/>
      <c r="Q206" s="956"/>
      <c r="R206" s="957"/>
      <c r="S206" s="800"/>
      <c r="T206" s="958"/>
      <c r="U206" s="802"/>
      <c r="V206" s="959"/>
      <c r="W206" s="960"/>
      <c r="X206" s="805"/>
      <c r="Y206" s="816"/>
      <c r="AA206" s="689"/>
      <c r="AC206" s="539"/>
      <c r="AD206" s="562"/>
      <c r="AE206" s="559"/>
      <c r="AF206" s="539"/>
      <c r="AG206" s="539"/>
      <c r="AH206" s="539"/>
      <c r="AI206" s="539"/>
      <c r="AJ206" s="539"/>
      <c r="AK206" s="539"/>
      <c r="AL206" s="539"/>
      <c r="AM206" s="539"/>
      <c r="AN206" s="539"/>
      <c r="AO206" s="539"/>
      <c r="AP206" s="539"/>
      <c r="AQ206" s="539"/>
      <c r="AR206" s="539"/>
      <c r="AS206" s="539"/>
      <c r="AT206" s="539"/>
      <c r="AU206" s="539"/>
      <c r="DO206" s="494"/>
      <c r="DP206" s="496" t="s">
        <v>1538</v>
      </c>
      <c r="DQ206" s="496" t="s">
        <v>1083</v>
      </c>
      <c r="DR206" s="496" t="s">
        <v>1511</v>
      </c>
      <c r="DS206" s="496" t="s">
        <v>1539</v>
      </c>
      <c r="DT206" s="496" t="s">
        <v>1539</v>
      </c>
      <c r="DU206" s="496" t="s">
        <v>1085</v>
      </c>
      <c r="DV206" s="496" t="s">
        <v>1513</v>
      </c>
      <c r="DW206" s="496" t="s">
        <v>1087</v>
      </c>
      <c r="DX206" s="497" t="s">
        <v>1088</v>
      </c>
      <c r="DZ206" s="555"/>
      <c r="EB206" s="493"/>
      <c r="EC206" s="493"/>
    </row>
    <row r="207" spans="5:133" ht="21" customHeight="1">
      <c r="E207" s="716"/>
      <c r="F207" s="724"/>
      <c r="G207" s="725"/>
      <c r="H207" s="724"/>
      <c r="I207" s="726"/>
      <c r="J207" s="950"/>
      <c r="K207" s="951"/>
      <c r="L207" s="793"/>
      <c r="M207" s="952"/>
      <c r="N207" s="953"/>
      <c r="O207" s="954"/>
      <c r="P207" s="955"/>
      <c r="Q207" s="956"/>
      <c r="R207" s="957"/>
      <c r="S207" s="800"/>
      <c r="T207" s="958"/>
      <c r="U207" s="802"/>
      <c r="V207" s="959"/>
      <c r="W207" s="960"/>
      <c r="X207" s="805"/>
      <c r="Y207" s="816"/>
      <c r="AA207" s="689"/>
      <c r="AC207" s="539"/>
      <c r="AD207" s="562" t="s">
        <v>6000</v>
      </c>
      <c r="AE207" s="559" t="s">
        <v>6001</v>
      </c>
      <c r="AF207" s="539"/>
      <c r="AG207" s="539"/>
      <c r="AH207" s="539"/>
      <c r="AI207" s="539"/>
      <c r="AJ207" s="539"/>
      <c r="AK207" s="539"/>
      <c r="AL207" s="539"/>
      <c r="AM207" s="539"/>
      <c r="AN207" s="539"/>
      <c r="AO207" s="539"/>
      <c r="AP207" s="539"/>
      <c r="AQ207" s="539"/>
      <c r="AR207" s="539"/>
      <c r="AS207" s="539"/>
      <c r="AT207" s="539"/>
      <c r="AU207" s="539"/>
      <c r="DO207" s="494"/>
      <c r="DP207" s="496" t="s">
        <v>1540</v>
      </c>
      <c r="DQ207" s="496" t="s">
        <v>1083</v>
      </c>
      <c r="DR207" s="496" t="s">
        <v>1511</v>
      </c>
      <c r="DS207" s="496" t="s">
        <v>211</v>
      </c>
      <c r="DT207" s="496" t="s">
        <v>211</v>
      </c>
      <c r="DU207" s="496" t="s">
        <v>1085</v>
      </c>
      <c r="DV207" s="496" t="s">
        <v>1513</v>
      </c>
      <c r="DW207" s="496" t="s">
        <v>1087</v>
      </c>
      <c r="DX207" s="497" t="s">
        <v>1088</v>
      </c>
      <c r="DZ207" s="555"/>
      <c r="EB207" s="493"/>
      <c r="EC207" s="493"/>
    </row>
    <row r="208" spans="5:133" ht="21" customHeight="1">
      <c r="E208" s="716"/>
      <c r="F208" s="724"/>
      <c r="G208" s="725"/>
      <c r="H208" s="724"/>
      <c r="I208" s="726"/>
      <c r="J208" s="950"/>
      <c r="K208" s="951"/>
      <c r="L208" s="793"/>
      <c r="M208" s="952"/>
      <c r="N208" s="953"/>
      <c r="O208" s="954"/>
      <c r="P208" s="955"/>
      <c r="Q208" s="956"/>
      <c r="R208" s="957"/>
      <c r="S208" s="800"/>
      <c r="T208" s="958"/>
      <c r="U208" s="802"/>
      <c r="V208" s="959"/>
      <c r="W208" s="960"/>
      <c r="X208" s="805"/>
      <c r="Y208" s="816"/>
      <c r="AA208" s="689"/>
      <c r="AC208" s="539"/>
      <c r="AD208" s="562" t="s">
        <v>6002</v>
      </c>
      <c r="AE208" s="559" t="s">
        <v>6003</v>
      </c>
      <c r="AF208" s="539"/>
      <c r="AG208" s="539"/>
      <c r="AH208" s="539"/>
      <c r="AI208" s="539"/>
      <c r="AJ208" s="539"/>
      <c r="AK208" s="539"/>
      <c r="AL208" s="539"/>
      <c r="AM208" s="539"/>
      <c r="AN208" s="539"/>
      <c r="AO208" s="539"/>
      <c r="AP208" s="539"/>
      <c r="AQ208" s="539"/>
      <c r="AR208" s="539"/>
      <c r="AS208" s="539"/>
      <c r="AT208" s="539"/>
      <c r="AU208" s="539"/>
      <c r="DO208" s="494"/>
      <c r="DP208" s="496" t="s">
        <v>1541</v>
      </c>
      <c r="DQ208" s="496" t="s">
        <v>1083</v>
      </c>
      <c r="DR208" s="496" t="s">
        <v>1511</v>
      </c>
      <c r="DS208" s="496" t="s">
        <v>1542</v>
      </c>
      <c r="DT208" s="496" t="s">
        <v>1542</v>
      </c>
      <c r="DU208" s="496" t="s">
        <v>1085</v>
      </c>
      <c r="DV208" s="496" t="s">
        <v>1513</v>
      </c>
      <c r="DW208" s="496" t="s">
        <v>1087</v>
      </c>
      <c r="DX208" s="497" t="s">
        <v>1088</v>
      </c>
      <c r="DZ208" s="555"/>
      <c r="EB208" s="493"/>
      <c r="EC208" s="493"/>
    </row>
    <row r="209" spans="5:133" ht="21" customHeight="1">
      <c r="E209" s="716"/>
      <c r="F209" s="724"/>
      <c r="G209" s="725"/>
      <c r="H209" s="724"/>
      <c r="I209" s="726"/>
      <c r="J209" s="950"/>
      <c r="K209" s="951"/>
      <c r="L209" s="793"/>
      <c r="M209" s="952"/>
      <c r="N209" s="953"/>
      <c r="O209" s="954"/>
      <c r="P209" s="955"/>
      <c r="Q209" s="956"/>
      <c r="R209" s="957"/>
      <c r="S209" s="800"/>
      <c r="T209" s="958"/>
      <c r="U209" s="802"/>
      <c r="V209" s="959"/>
      <c r="W209" s="960"/>
      <c r="X209" s="805"/>
      <c r="Y209" s="816"/>
      <c r="AA209" s="689"/>
      <c r="AC209" s="539"/>
      <c r="AD209" s="562"/>
      <c r="AE209" s="559" t="s">
        <v>6004</v>
      </c>
      <c r="AF209" s="539"/>
      <c r="AG209" s="539"/>
      <c r="AH209" s="539"/>
      <c r="AI209" s="539"/>
      <c r="AJ209" s="539"/>
      <c r="AK209" s="539"/>
      <c r="AL209" s="539"/>
      <c r="AM209" s="539"/>
      <c r="AN209" s="539"/>
      <c r="AO209" s="539"/>
      <c r="AP209" s="539"/>
      <c r="AQ209" s="539"/>
      <c r="AR209" s="539"/>
      <c r="AS209" s="539"/>
      <c r="AT209" s="539"/>
      <c r="AU209" s="539"/>
      <c r="DO209" s="494"/>
      <c r="DP209" s="496" t="s">
        <v>1543</v>
      </c>
      <c r="DQ209" s="496" t="s">
        <v>1083</v>
      </c>
      <c r="DR209" s="496" t="s">
        <v>1511</v>
      </c>
      <c r="DS209" s="496" t="s">
        <v>1544</v>
      </c>
      <c r="DT209" s="496" t="s">
        <v>1544</v>
      </c>
      <c r="DU209" s="496" t="s">
        <v>1085</v>
      </c>
      <c r="DV209" s="496" t="s">
        <v>1513</v>
      </c>
      <c r="DW209" s="496" t="s">
        <v>1087</v>
      </c>
      <c r="DX209" s="497" t="s">
        <v>1088</v>
      </c>
      <c r="DZ209" s="555"/>
      <c r="EB209" s="493"/>
      <c r="EC209" s="493"/>
    </row>
    <row r="210" spans="5:133" ht="21" customHeight="1">
      <c r="E210" s="716"/>
      <c r="F210" s="724"/>
      <c r="G210" s="725"/>
      <c r="H210" s="724"/>
      <c r="I210" s="726"/>
      <c r="J210" s="950"/>
      <c r="K210" s="951"/>
      <c r="L210" s="793"/>
      <c r="M210" s="952"/>
      <c r="N210" s="953"/>
      <c r="O210" s="954"/>
      <c r="P210" s="955"/>
      <c r="Q210" s="956"/>
      <c r="R210" s="957"/>
      <c r="S210" s="800"/>
      <c r="T210" s="958"/>
      <c r="U210" s="802"/>
      <c r="V210" s="959"/>
      <c r="W210" s="960"/>
      <c r="X210" s="805"/>
      <c r="Y210" s="816"/>
      <c r="AA210" s="689"/>
      <c r="AC210" s="539"/>
      <c r="AD210" s="562" t="s">
        <v>6005</v>
      </c>
      <c r="AE210" s="559" t="s">
        <v>6006</v>
      </c>
      <c r="AF210" s="539"/>
      <c r="AG210" s="539"/>
      <c r="AH210" s="539"/>
      <c r="AI210" s="539"/>
      <c r="AJ210" s="539"/>
      <c r="AK210" s="539"/>
      <c r="AL210" s="539"/>
      <c r="AM210" s="539"/>
      <c r="AN210" s="539"/>
      <c r="AO210" s="539"/>
      <c r="AP210" s="539"/>
      <c r="AQ210" s="539"/>
      <c r="AR210" s="539"/>
      <c r="AS210" s="539"/>
      <c r="AT210" s="539"/>
      <c r="AU210" s="539"/>
      <c r="DO210" s="494"/>
      <c r="DP210" s="496" t="s">
        <v>1545</v>
      </c>
      <c r="DQ210" s="496" t="s">
        <v>1083</v>
      </c>
      <c r="DR210" s="496" t="s">
        <v>1511</v>
      </c>
      <c r="DS210" s="496" t="s">
        <v>1546</v>
      </c>
      <c r="DT210" s="496" t="s">
        <v>1546</v>
      </c>
      <c r="DU210" s="496" t="s">
        <v>1085</v>
      </c>
      <c r="DV210" s="496" t="s">
        <v>1513</v>
      </c>
      <c r="DW210" s="496" t="s">
        <v>1087</v>
      </c>
      <c r="DX210" s="497" t="s">
        <v>1088</v>
      </c>
      <c r="DZ210" s="555"/>
      <c r="EB210" s="493"/>
      <c r="EC210" s="493"/>
    </row>
    <row r="211" spans="5:133" ht="21" customHeight="1">
      <c r="E211" s="716"/>
      <c r="F211" s="724"/>
      <c r="G211" s="725"/>
      <c r="H211" s="724"/>
      <c r="I211" s="726"/>
      <c r="J211" s="950"/>
      <c r="K211" s="951"/>
      <c r="L211" s="793"/>
      <c r="M211" s="952"/>
      <c r="N211" s="953"/>
      <c r="O211" s="954"/>
      <c r="P211" s="955"/>
      <c r="Q211" s="956"/>
      <c r="R211" s="957"/>
      <c r="S211" s="800"/>
      <c r="T211" s="958"/>
      <c r="U211" s="802"/>
      <c r="V211" s="959"/>
      <c r="W211" s="960"/>
      <c r="X211" s="805"/>
      <c r="Y211" s="816"/>
      <c r="AA211" s="689"/>
      <c r="AC211" s="539"/>
      <c r="AD211" s="562"/>
      <c r="AE211" s="559" t="s">
        <v>6007</v>
      </c>
      <c r="AF211" s="539"/>
      <c r="AG211" s="539"/>
      <c r="AH211" s="539"/>
      <c r="AI211" s="539"/>
      <c r="AJ211" s="539"/>
      <c r="AK211" s="539"/>
      <c r="AL211" s="539"/>
      <c r="AM211" s="539"/>
      <c r="AN211" s="539"/>
      <c r="AO211" s="539"/>
      <c r="AP211" s="539"/>
      <c r="AQ211" s="539"/>
      <c r="AR211" s="539"/>
      <c r="AS211" s="539"/>
      <c r="AT211" s="539"/>
      <c r="AU211" s="539"/>
      <c r="DO211" s="494"/>
      <c r="DP211" s="496" t="s">
        <v>1547</v>
      </c>
      <c r="DQ211" s="496" t="s">
        <v>1083</v>
      </c>
      <c r="DR211" s="496" t="s">
        <v>1511</v>
      </c>
      <c r="DS211" s="496" t="s">
        <v>364</v>
      </c>
      <c r="DT211" s="496" t="s">
        <v>364</v>
      </c>
      <c r="DU211" s="496" t="s">
        <v>1085</v>
      </c>
      <c r="DV211" s="496" t="s">
        <v>1513</v>
      </c>
      <c r="DW211" s="496" t="s">
        <v>1087</v>
      </c>
      <c r="DX211" s="497" t="s">
        <v>1088</v>
      </c>
      <c r="DZ211" s="555"/>
      <c r="EB211" s="493"/>
      <c r="EC211" s="493"/>
    </row>
    <row r="212" spans="5:133" ht="21" customHeight="1">
      <c r="E212" s="716"/>
      <c r="F212" s="724"/>
      <c r="G212" s="725"/>
      <c r="H212" s="724"/>
      <c r="I212" s="726"/>
      <c r="J212" s="950"/>
      <c r="K212" s="951"/>
      <c r="L212" s="793"/>
      <c r="M212" s="952"/>
      <c r="N212" s="953"/>
      <c r="O212" s="954"/>
      <c r="P212" s="955"/>
      <c r="Q212" s="956"/>
      <c r="R212" s="957"/>
      <c r="S212" s="800"/>
      <c r="T212" s="958"/>
      <c r="U212" s="802"/>
      <c r="V212" s="959"/>
      <c r="W212" s="960"/>
      <c r="X212" s="805"/>
      <c r="Y212" s="816"/>
      <c r="AA212" s="689"/>
      <c r="AC212" s="539"/>
      <c r="AD212" s="559"/>
      <c r="AE212" s="559"/>
      <c r="AF212" s="539"/>
      <c r="AG212" s="539"/>
      <c r="AH212" s="539"/>
      <c r="AI212" s="539"/>
      <c r="AJ212" s="539"/>
      <c r="AK212" s="539"/>
      <c r="AL212" s="539"/>
      <c r="AM212" s="539"/>
      <c r="AN212" s="539"/>
      <c r="AO212" s="539"/>
      <c r="AP212" s="539"/>
      <c r="AQ212" s="539"/>
      <c r="AR212" s="539"/>
      <c r="AS212" s="539"/>
      <c r="AT212" s="539"/>
      <c r="AU212" s="539"/>
      <c r="DO212" s="494"/>
      <c r="DP212" s="496" t="s">
        <v>1548</v>
      </c>
      <c r="DQ212" s="496" t="s">
        <v>1083</v>
      </c>
      <c r="DR212" s="496" t="s">
        <v>1511</v>
      </c>
      <c r="DS212" s="496" t="s">
        <v>1549</v>
      </c>
      <c r="DT212" s="496" t="s">
        <v>1549</v>
      </c>
      <c r="DU212" s="496" t="s">
        <v>1085</v>
      </c>
      <c r="DV212" s="496" t="s">
        <v>1513</v>
      </c>
      <c r="DW212" s="496" t="s">
        <v>1087</v>
      </c>
      <c r="DX212" s="497" t="s">
        <v>1088</v>
      </c>
      <c r="DZ212" s="555"/>
      <c r="EB212" s="493"/>
      <c r="EC212" s="493"/>
    </row>
    <row r="213" spans="5:133" ht="21" customHeight="1">
      <c r="E213" s="716"/>
      <c r="F213" s="724"/>
      <c r="G213" s="725"/>
      <c r="H213" s="724"/>
      <c r="I213" s="726"/>
      <c r="J213" s="950"/>
      <c r="K213" s="951"/>
      <c r="L213" s="793"/>
      <c r="M213" s="952"/>
      <c r="N213" s="953"/>
      <c r="O213" s="954"/>
      <c r="P213" s="955"/>
      <c r="Q213" s="956"/>
      <c r="R213" s="957"/>
      <c r="S213" s="800"/>
      <c r="T213" s="958"/>
      <c r="U213" s="802"/>
      <c r="V213" s="959"/>
      <c r="W213" s="960"/>
      <c r="X213" s="805"/>
      <c r="Y213" s="816"/>
      <c r="AA213" s="689"/>
      <c r="AC213" s="539"/>
      <c r="AD213" s="567" t="s">
        <v>6008</v>
      </c>
      <c r="AE213" s="568"/>
      <c r="AF213" s="539"/>
      <c r="AG213" s="539"/>
      <c r="AH213" s="539"/>
      <c r="AI213" s="539"/>
      <c r="AJ213" s="539"/>
      <c r="AK213" s="539"/>
      <c r="AL213" s="539"/>
      <c r="AM213" s="539"/>
      <c r="AN213" s="539"/>
      <c r="AO213" s="539"/>
      <c r="AP213" s="539"/>
      <c r="AQ213" s="539"/>
      <c r="AR213" s="539"/>
      <c r="AS213" s="539"/>
      <c r="AT213" s="539"/>
      <c r="AU213" s="539"/>
      <c r="DO213" s="494"/>
      <c r="DP213" s="496" t="s">
        <v>1550</v>
      </c>
      <c r="DQ213" s="496" t="s">
        <v>1083</v>
      </c>
      <c r="DR213" s="496" t="s">
        <v>1511</v>
      </c>
      <c r="DS213" s="496" t="s">
        <v>179</v>
      </c>
      <c r="DT213" s="496" t="s">
        <v>179</v>
      </c>
      <c r="DU213" s="496" t="s">
        <v>1085</v>
      </c>
      <c r="DV213" s="496" t="s">
        <v>1513</v>
      </c>
      <c r="DW213" s="496" t="s">
        <v>1087</v>
      </c>
      <c r="DX213" s="497" t="s">
        <v>1088</v>
      </c>
      <c r="DZ213" s="555"/>
      <c r="EB213" s="493"/>
      <c r="EC213" s="493"/>
    </row>
    <row r="214" spans="5:133" ht="21" customHeight="1">
      <c r="E214" s="716"/>
      <c r="F214" s="724"/>
      <c r="G214" s="725"/>
      <c r="H214" s="724"/>
      <c r="I214" s="726"/>
      <c r="J214" s="950"/>
      <c r="K214" s="951"/>
      <c r="L214" s="793"/>
      <c r="M214" s="952"/>
      <c r="N214" s="953"/>
      <c r="O214" s="954"/>
      <c r="P214" s="955"/>
      <c r="Q214" s="956"/>
      <c r="R214" s="957"/>
      <c r="S214" s="800"/>
      <c r="T214" s="958"/>
      <c r="U214" s="802"/>
      <c r="V214" s="959"/>
      <c r="W214" s="960"/>
      <c r="X214" s="805"/>
      <c r="Y214" s="816"/>
      <c r="AA214" s="689"/>
      <c r="AC214" s="539"/>
      <c r="AD214" s="562" t="s">
        <v>5837</v>
      </c>
      <c r="AE214" s="559" t="s">
        <v>6009</v>
      </c>
      <c r="AF214" s="539"/>
      <c r="AG214" s="539"/>
      <c r="AH214" s="539"/>
      <c r="AI214" s="539"/>
      <c r="AJ214" s="539"/>
      <c r="AK214" s="539"/>
      <c r="AL214" s="539"/>
      <c r="AM214" s="539"/>
      <c r="AN214" s="539"/>
      <c r="AO214" s="539"/>
      <c r="AP214" s="539"/>
      <c r="AQ214" s="539"/>
      <c r="AR214" s="539"/>
      <c r="AS214" s="539"/>
      <c r="AT214" s="539"/>
      <c r="AU214" s="539"/>
      <c r="DO214" s="494"/>
      <c r="DP214" s="496" t="s">
        <v>1551</v>
      </c>
      <c r="DQ214" s="496" t="s">
        <v>1083</v>
      </c>
      <c r="DR214" s="496" t="s">
        <v>1511</v>
      </c>
      <c r="DS214" s="496" t="s">
        <v>1552</v>
      </c>
      <c r="DT214" s="496" t="s">
        <v>1552</v>
      </c>
      <c r="DU214" s="496" t="s">
        <v>1085</v>
      </c>
      <c r="DV214" s="496" t="s">
        <v>1513</v>
      </c>
      <c r="DW214" s="496" t="s">
        <v>1087</v>
      </c>
      <c r="DX214" s="497" t="s">
        <v>1088</v>
      </c>
      <c r="DZ214" s="555"/>
      <c r="EB214" s="493"/>
      <c r="EC214" s="493"/>
    </row>
    <row r="215" spans="5:133" ht="21" customHeight="1">
      <c r="E215" s="716"/>
      <c r="F215" s="724"/>
      <c r="G215" s="725"/>
      <c r="H215" s="724"/>
      <c r="I215" s="726"/>
      <c r="J215" s="950"/>
      <c r="K215" s="951"/>
      <c r="L215" s="793"/>
      <c r="M215" s="952"/>
      <c r="N215" s="953"/>
      <c r="O215" s="954"/>
      <c r="P215" s="955"/>
      <c r="Q215" s="956"/>
      <c r="R215" s="957"/>
      <c r="S215" s="800"/>
      <c r="T215" s="958"/>
      <c r="U215" s="802"/>
      <c r="V215" s="959"/>
      <c r="W215" s="960"/>
      <c r="X215" s="805"/>
      <c r="Y215" s="816"/>
      <c r="AA215" s="689"/>
      <c r="AC215" s="539"/>
      <c r="AD215" s="562" t="s">
        <v>5838</v>
      </c>
      <c r="AE215" s="559" t="s">
        <v>6010</v>
      </c>
      <c r="AF215" s="539"/>
      <c r="AG215" s="539"/>
      <c r="AH215" s="539"/>
      <c r="AI215" s="539"/>
      <c r="AJ215" s="539"/>
      <c r="AK215" s="539"/>
      <c r="AL215" s="539"/>
      <c r="AM215" s="539"/>
      <c r="AN215" s="539"/>
      <c r="AO215" s="539"/>
      <c r="AP215" s="539"/>
      <c r="AQ215" s="539"/>
      <c r="AR215" s="539"/>
      <c r="AS215" s="539"/>
      <c r="AT215" s="539"/>
      <c r="AU215" s="539"/>
      <c r="DO215" s="494"/>
      <c r="DP215" s="496" t="s">
        <v>1553</v>
      </c>
      <c r="DQ215" s="496" t="s">
        <v>239</v>
      </c>
      <c r="DR215" s="496" t="s">
        <v>689</v>
      </c>
      <c r="DS215" s="496" t="s">
        <v>132</v>
      </c>
      <c r="DT215" s="496" t="s">
        <v>132</v>
      </c>
      <c r="DU215" s="496" t="s">
        <v>1554</v>
      </c>
      <c r="DV215" s="496" t="s">
        <v>1555</v>
      </c>
      <c r="DW215" s="496" t="s">
        <v>1556</v>
      </c>
      <c r="DX215" s="497" t="s">
        <v>1557</v>
      </c>
      <c r="DZ215" s="555"/>
      <c r="EB215" s="493"/>
      <c r="EC215" s="493"/>
    </row>
    <row r="216" spans="5:133" ht="21" customHeight="1">
      <c r="E216" s="716"/>
      <c r="F216" s="724"/>
      <c r="G216" s="725"/>
      <c r="H216" s="724"/>
      <c r="I216" s="726"/>
      <c r="J216" s="950"/>
      <c r="K216" s="951"/>
      <c r="L216" s="793"/>
      <c r="M216" s="952"/>
      <c r="N216" s="953"/>
      <c r="O216" s="954"/>
      <c r="P216" s="955"/>
      <c r="Q216" s="956"/>
      <c r="R216" s="957"/>
      <c r="S216" s="800"/>
      <c r="T216" s="958"/>
      <c r="U216" s="802"/>
      <c r="V216" s="959"/>
      <c r="W216" s="960"/>
      <c r="X216" s="805"/>
      <c r="Y216" s="816"/>
      <c r="AA216" s="689"/>
      <c r="AC216" s="539"/>
      <c r="AD216" s="562" t="s">
        <v>5839</v>
      </c>
      <c r="AE216" s="559" t="s">
        <v>6011</v>
      </c>
      <c r="AF216" s="539"/>
      <c r="AG216" s="539"/>
      <c r="AH216" s="539"/>
      <c r="AI216" s="539"/>
      <c r="AJ216" s="539"/>
      <c r="AK216" s="539"/>
      <c r="AL216" s="539"/>
      <c r="AM216" s="539"/>
      <c r="AN216" s="539"/>
      <c r="AO216" s="539"/>
      <c r="AP216" s="539"/>
      <c r="AQ216" s="539"/>
      <c r="AR216" s="539"/>
      <c r="AS216" s="539"/>
      <c r="AT216" s="539"/>
      <c r="AU216" s="539"/>
      <c r="DO216" s="494"/>
      <c r="DP216" s="496" t="s">
        <v>1558</v>
      </c>
      <c r="DQ216" s="496" t="s">
        <v>239</v>
      </c>
      <c r="DR216" s="496" t="s">
        <v>689</v>
      </c>
      <c r="DS216" s="496" t="s">
        <v>1559</v>
      </c>
      <c r="DT216" s="496" t="s">
        <v>1560</v>
      </c>
      <c r="DU216" s="496" t="s">
        <v>1554</v>
      </c>
      <c r="DV216" s="496" t="s">
        <v>1561</v>
      </c>
      <c r="DW216" s="496" t="s">
        <v>1087</v>
      </c>
      <c r="DX216" s="497" t="s">
        <v>1088</v>
      </c>
      <c r="DZ216" s="555"/>
      <c r="EB216" s="493"/>
      <c r="EC216" s="493"/>
    </row>
    <row r="217" spans="5:133" ht="21" customHeight="1">
      <c r="E217" s="716"/>
      <c r="F217" s="724"/>
      <c r="G217" s="725"/>
      <c r="H217" s="724"/>
      <c r="I217" s="726"/>
      <c r="J217" s="950"/>
      <c r="K217" s="951"/>
      <c r="L217" s="793"/>
      <c r="M217" s="952"/>
      <c r="N217" s="953"/>
      <c r="O217" s="954"/>
      <c r="P217" s="955"/>
      <c r="Q217" s="956"/>
      <c r="R217" s="957"/>
      <c r="S217" s="800"/>
      <c r="T217" s="958"/>
      <c r="U217" s="802"/>
      <c r="V217" s="959"/>
      <c r="W217" s="960"/>
      <c r="X217" s="805"/>
      <c r="Y217" s="816"/>
      <c r="AA217" s="689"/>
      <c r="AC217" s="539"/>
      <c r="AD217" s="562" t="s">
        <v>5840</v>
      </c>
      <c r="AE217" s="559" t="s">
        <v>6012</v>
      </c>
      <c r="AF217" s="539"/>
      <c r="AG217" s="539"/>
      <c r="AH217" s="539"/>
      <c r="AI217" s="539"/>
      <c r="AJ217" s="539"/>
      <c r="AK217" s="539"/>
      <c r="AL217" s="539"/>
      <c r="AM217" s="539"/>
      <c r="AN217" s="539"/>
      <c r="AO217" s="539"/>
      <c r="AP217" s="539"/>
      <c r="AQ217" s="539"/>
      <c r="AR217" s="539"/>
      <c r="AS217" s="539"/>
      <c r="AT217" s="539"/>
      <c r="AU217" s="539"/>
      <c r="DO217" s="494"/>
      <c r="DP217" s="496" t="s">
        <v>1562</v>
      </c>
      <c r="DQ217" s="496" t="s">
        <v>239</v>
      </c>
      <c r="DR217" s="496" t="s">
        <v>689</v>
      </c>
      <c r="DS217" s="496" t="s">
        <v>1563</v>
      </c>
      <c r="DT217" s="496" t="s">
        <v>853</v>
      </c>
      <c r="DU217" s="496" t="s">
        <v>1554</v>
      </c>
      <c r="DV217" s="496" t="s">
        <v>1561</v>
      </c>
      <c r="DW217" s="496" t="s">
        <v>1087</v>
      </c>
      <c r="DX217" s="497" t="s">
        <v>1088</v>
      </c>
      <c r="DZ217" s="555"/>
      <c r="EB217" s="493"/>
      <c r="EC217" s="493"/>
    </row>
    <row r="218" spans="5:133" ht="21" customHeight="1">
      <c r="E218" s="716"/>
      <c r="F218" s="724"/>
      <c r="G218" s="725"/>
      <c r="H218" s="724"/>
      <c r="I218" s="726"/>
      <c r="J218" s="950"/>
      <c r="K218" s="951"/>
      <c r="L218" s="793"/>
      <c r="M218" s="952"/>
      <c r="N218" s="953"/>
      <c r="O218" s="954"/>
      <c r="P218" s="955"/>
      <c r="Q218" s="956"/>
      <c r="R218" s="957"/>
      <c r="S218" s="800"/>
      <c r="T218" s="958"/>
      <c r="U218" s="802"/>
      <c r="V218" s="959"/>
      <c r="W218" s="960"/>
      <c r="X218" s="805"/>
      <c r="Y218" s="816"/>
      <c r="AA218" s="689"/>
      <c r="AC218" s="539"/>
      <c r="AD218" s="562" t="s">
        <v>5841</v>
      </c>
      <c r="AE218" s="559" t="s">
        <v>6013</v>
      </c>
      <c r="AF218" s="539"/>
      <c r="AG218" s="539"/>
      <c r="AH218" s="539"/>
      <c r="AI218" s="539"/>
      <c r="AJ218" s="539"/>
      <c r="AK218" s="539"/>
      <c r="AL218" s="539"/>
      <c r="AM218" s="539"/>
      <c r="AN218" s="539"/>
      <c r="AO218" s="539"/>
      <c r="AP218" s="539"/>
      <c r="AQ218" s="539"/>
      <c r="AR218" s="539"/>
      <c r="AS218" s="539"/>
      <c r="AT218" s="539"/>
      <c r="AU218" s="539"/>
      <c r="DO218" s="494"/>
      <c r="DP218" s="496" t="s">
        <v>1564</v>
      </c>
      <c r="DQ218" s="496" t="s">
        <v>239</v>
      </c>
      <c r="DR218" s="496" t="s">
        <v>689</v>
      </c>
      <c r="DS218" s="496" t="s">
        <v>854</v>
      </c>
      <c r="DT218" s="496" t="s">
        <v>854</v>
      </c>
      <c r="DU218" s="496" t="s">
        <v>1554</v>
      </c>
      <c r="DV218" s="496" t="s">
        <v>1561</v>
      </c>
      <c r="DW218" s="496" t="s">
        <v>1087</v>
      </c>
      <c r="DX218" s="497" t="s">
        <v>1088</v>
      </c>
      <c r="DZ218" s="555"/>
      <c r="EB218" s="493"/>
      <c r="EC218" s="493"/>
    </row>
    <row r="219" spans="5:133" ht="21" customHeight="1">
      <c r="E219" s="716"/>
      <c r="F219" s="724"/>
      <c r="G219" s="725"/>
      <c r="H219" s="724"/>
      <c r="I219" s="726"/>
      <c r="J219" s="950"/>
      <c r="K219" s="951"/>
      <c r="L219" s="793"/>
      <c r="M219" s="952"/>
      <c r="N219" s="953"/>
      <c r="O219" s="954"/>
      <c r="P219" s="955"/>
      <c r="Q219" s="956"/>
      <c r="R219" s="957"/>
      <c r="S219" s="800"/>
      <c r="T219" s="958"/>
      <c r="U219" s="802"/>
      <c r="V219" s="959"/>
      <c r="W219" s="960"/>
      <c r="X219" s="805"/>
      <c r="Y219" s="816"/>
      <c r="AA219" s="689"/>
      <c r="AC219" s="539"/>
      <c r="AD219" s="562" t="s">
        <v>5842</v>
      </c>
      <c r="AE219" s="559" t="s">
        <v>6014</v>
      </c>
      <c r="AF219" s="539"/>
      <c r="AG219" s="539"/>
      <c r="AH219" s="539"/>
      <c r="AI219" s="539"/>
      <c r="AJ219" s="539"/>
      <c r="AK219" s="539"/>
      <c r="AL219" s="539"/>
      <c r="AM219" s="539"/>
      <c r="AN219" s="539"/>
      <c r="AO219" s="539"/>
      <c r="AP219" s="539"/>
      <c r="AQ219" s="539"/>
      <c r="AR219" s="539"/>
      <c r="AS219" s="539"/>
      <c r="AT219" s="539"/>
      <c r="AU219" s="539"/>
      <c r="DO219" s="494"/>
      <c r="DP219" s="496" t="s">
        <v>1565</v>
      </c>
      <c r="DQ219" s="496" t="s">
        <v>239</v>
      </c>
      <c r="DR219" s="496" t="s">
        <v>689</v>
      </c>
      <c r="DS219" s="496" t="s">
        <v>1566</v>
      </c>
      <c r="DT219" s="496" t="s">
        <v>1566</v>
      </c>
      <c r="DU219" s="496" t="s">
        <v>1554</v>
      </c>
      <c r="DV219" s="496" t="s">
        <v>1555</v>
      </c>
      <c r="DW219" s="496" t="s">
        <v>1556</v>
      </c>
      <c r="DX219" s="497" t="s">
        <v>1557</v>
      </c>
      <c r="DZ219" s="555"/>
      <c r="EB219" s="493"/>
      <c r="EC219" s="493"/>
    </row>
    <row r="220" spans="5:133" ht="21" customHeight="1">
      <c r="E220" s="716"/>
      <c r="F220" s="724"/>
      <c r="G220" s="725"/>
      <c r="H220" s="724"/>
      <c r="I220" s="726"/>
      <c r="J220" s="950"/>
      <c r="K220" s="951"/>
      <c r="L220" s="793"/>
      <c r="M220" s="952"/>
      <c r="N220" s="953"/>
      <c r="O220" s="954"/>
      <c r="P220" s="955"/>
      <c r="Q220" s="956"/>
      <c r="R220" s="957"/>
      <c r="S220" s="800"/>
      <c r="T220" s="958"/>
      <c r="U220" s="802"/>
      <c r="V220" s="959"/>
      <c r="W220" s="960"/>
      <c r="X220" s="805"/>
      <c r="Y220" s="816"/>
      <c r="AA220" s="689"/>
      <c r="AC220" s="539"/>
      <c r="AD220" s="562"/>
      <c r="AE220" s="559" t="s">
        <v>6015</v>
      </c>
      <c r="AF220" s="539"/>
      <c r="AG220" s="539"/>
      <c r="AH220" s="539"/>
      <c r="AI220" s="539"/>
      <c r="AJ220" s="539"/>
      <c r="AK220" s="539"/>
      <c r="AL220" s="539"/>
      <c r="AM220" s="539"/>
      <c r="AN220" s="539"/>
      <c r="AO220" s="539"/>
      <c r="AP220" s="539"/>
      <c r="AQ220" s="539"/>
      <c r="AR220" s="539"/>
      <c r="AS220" s="539"/>
      <c r="AT220" s="539"/>
      <c r="AU220" s="539"/>
      <c r="DO220" s="494"/>
      <c r="DP220" s="496" t="s">
        <v>1567</v>
      </c>
      <c r="DQ220" s="496" t="s">
        <v>239</v>
      </c>
      <c r="DR220" s="496" t="s">
        <v>689</v>
      </c>
      <c r="DS220" s="496" t="s">
        <v>1568</v>
      </c>
      <c r="DT220" s="496" t="s">
        <v>1568</v>
      </c>
      <c r="DU220" s="496" t="s">
        <v>1554</v>
      </c>
      <c r="DV220" s="496" t="s">
        <v>1555</v>
      </c>
      <c r="DW220" s="496" t="s">
        <v>1556</v>
      </c>
      <c r="DX220" s="497" t="s">
        <v>1557</v>
      </c>
      <c r="DZ220" s="555"/>
      <c r="EB220" s="493"/>
      <c r="EC220" s="493"/>
    </row>
    <row r="221" spans="5:133" ht="21" customHeight="1">
      <c r="E221" s="716"/>
      <c r="F221" s="724"/>
      <c r="G221" s="725"/>
      <c r="H221" s="724"/>
      <c r="I221" s="726"/>
      <c r="J221" s="950"/>
      <c r="K221" s="951"/>
      <c r="L221" s="793"/>
      <c r="M221" s="952"/>
      <c r="N221" s="953"/>
      <c r="O221" s="954"/>
      <c r="P221" s="955"/>
      <c r="Q221" s="956"/>
      <c r="R221" s="957"/>
      <c r="S221" s="800"/>
      <c r="T221" s="958"/>
      <c r="U221" s="802"/>
      <c r="V221" s="959"/>
      <c r="W221" s="960"/>
      <c r="X221" s="805"/>
      <c r="Y221" s="816"/>
      <c r="AA221" s="689"/>
      <c r="AC221" s="539"/>
      <c r="AD221" s="562" t="s">
        <v>5843</v>
      </c>
      <c r="AE221" s="559" t="s">
        <v>6016</v>
      </c>
      <c r="AF221" s="539"/>
      <c r="AG221" s="539"/>
      <c r="AH221" s="539"/>
      <c r="AI221" s="539"/>
      <c r="AJ221" s="539"/>
      <c r="AK221" s="539"/>
      <c r="AL221" s="539"/>
      <c r="AM221" s="539"/>
      <c r="AN221" s="539"/>
      <c r="AO221" s="539"/>
      <c r="AP221" s="539"/>
      <c r="AQ221" s="539"/>
      <c r="AR221" s="539"/>
      <c r="AS221" s="539"/>
      <c r="AT221" s="539"/>
      <c r="AU221" s="539"/>
      <c r="DO221" s="494"/>
      <c r="DP221" s="496" t="s">
        <v>1569</v>
      </c>
      <c r="DQ221" s="496" t="s">
        <v>239</v>
      </c>
      <c r="DR221" s="496" t="s">
        <v>689</v>
      </c>
      <c r="DS221" s="496" t="s">
        <v>1570</v>
      </c>
      <c r="DT221" s="496" t="s">
        <v>1570</v>
      </c>
      <c r="DU221" s="496" t="s">
        <v>1554</v>
      </c>
      <c r="DV221" s="496" t="s">
        <v>1555</v>
      </c>
      <c r="DW221" s="496" t="s">
        <v>1556</v>
      </c>
      <c r="DX221" s="497" t="s">
        <v>1557</v>
      </c>
      <c r="DZ221" s="555"/>
      <c r="EB221" s="493"/>
      <c r="EC221" s="493"/>
    </row>
    <row r="222" spans="5:133" ht="21" customHeight="1">
      <c r="E222" s="716"/>
      <c r="F222" s="724"/>
      <c r="G222" s="725"/>
      <c r="H222" s="724"/>
      <c r="I222" s="726"/>
      <c r="J222" s="950"/>
      <c r="K222" s="951"/>
      <c r="L222" s="793"/>
      <c r="M222" s="952"/>
      <c r="N222" s="953"/>
      <c r="O222" s="954"/>
      <c r="P222" s="955"/>
      <c r="Q222" s="956"/>
      <c r="R222" s="957"/>
      <c r="S222" s="800"/>
      <c r="T222" s="958"/>
      <c r="U222" s="802"/>
      <c r="V222" s="959"/>
      <c r="W222" s="960"/>
      <c r="X222" s="805"/>
      <c r="Y222" s="816"/>
      <c r="AA222" s="689"/>
      <c r="AC222" s="539"/>
      <c r="AD222" s="559"/>
      <c r="AE222" s="559"/>
      <c r="AF222" s="539"/>
      <c r="AG222" s="539"/>
      <c r="AH222" s="539"/>
      <c r="AI222" s="539"/>
      <c r="AJ222" s="539"/>
      <c r="AK222" s="539"/>
      <c r="AL222" s="539"/>
      <c r="AM222" s="539"/>
      <c r="AN222" s="539"/>
      <c r="AO222" s="539"/>
      <c r="AP222" s="539"/>
      <c r="AQ222" s="539"/>
      <c r="AR222" s="539"/>
      <c r="AS222" s="539"/>
      <c r="AT222" s="539"/>
      <c r="AU222" s="539"/>
      <c r="DO222" s="494"/>
      <c r="DP222" s="496" t="s">
        <v>1571</v>
      </c>
      <c r="DQ222" s="496" t="s">
        <v>239</v>
      </c>
      <c r="DR222" s="496" t="s">
        <v>689</v>
      </c>
      <c r="DS222" s="496" t="s">
        <v>1572</v>
      </c>
      <c r="DT222" s="496" t="s">
        <v>1572</v>
      </c>
      <c r="DU222" s="496" t="s">
        <v>1554</v>
      </c>
      <c r="DV222" s="496" t="s">
        <v>1555</v>
      </c>
      <c r="DW222" s="496" t="s">
        <v>1556</v>
      </c>
      <c r="DX222" s="497" t="s">
        <v>1557</v>
      </c>
      <c r="DZ222" s="555"/>
      <c r="EB222" s="493"/>
      <c r="EC222" s="493"/>
    </row>
    <row r="223" spans="5:133" ht="21" customHeight="1">
      <c r="E223" s="716"/>
      <c r="F223" s="724"/>
      <c r="G223" s="725"/>
      <c r="H223" s="724"/>
      <c r="I223" s="726"/>
      <c r="J223" s="950"/>
      <c r="K223" s="951"/>
      <c r="L223" s="793"/>
      <c r="M223" s="952"/>
      <c r="N223" s="953"/>
      <c r="O223" s="954"/>
      <c r="P223" s="955"/>
      <c r="Q223" s="956"/>
      <c r="R223" s="957"/>
      <c r="S223" s="800"/>
      <c r="T223" s="958"/>
      <c r="U223" s="802"/>
      <c r="V223" s="959"/>
      <c r="W223" s="960"/>
      <c r="X223" s="805"/>
      <c r="Y223" s="816"/>
      <c r="AA223" s="689"/>
      <c r="AC223" s="539"/>
      <c r="AD223" s="569" t="s">
        <v>6017</v>
      </c>
      <c r="AE223" s="568"/>
      <c r="AF223" s="539"/>
      <c r="AG223" s="539"/>
      <c r="AH223" s="539"/>
      <c r="AI223" s="539"/>
      <c r="AJ223" s="539"/>
      <c r="AK223" s="539"/>
      <c r="AL223" s="539"/>
      <c r="AM223" s="539"/>
      <c r="AN223" s="539"/>
      <c r="AO223" s="539"/>
      <c r="AP223" s="539"/>
      <c r="AQ223" s="539"/>
      <c r="AR223" s="539"/>
      <c r="AS223" s="539"/>
      <c r="AT223" s="539"/>
      <c r="AU223" s="539"/>
      <c r="DO223" s="494"/>
      <c r="DP223" s="496" t="s">
        <v>1573</v>
      </c>
      <c r="DQ223" s="496" t="s">
        <v>239</v>
      </c>
      <c r="DR223" s="496" t="s">
        <v>689</v>
      </c>
      <c r="DS223" s="496" t="s">
        <v>1574</v>
      </c>
      <c r="DT223" s="496" t="s">
        <v>1574</v>
      </c>
      <c r="DU223" s="496" t="s">
        <v>1554</v>
      </c>
      <c r="DV223" s="496" t="s">
        <v>1555</v>
      </c>
      <c r="DW223" s="496" t="s">
        <v>1556</v>
      </c>
      <c r="DX223" s="497" t="s">
        <v>1557</v>
      </c>
      <c r="DZ223" s="555"/>
      <c r="EB223" s="493"/>
      <c r="EC223" s="493"/>
    </row>
    <row r="224" spans="5:133" ht="21" customHeight="1">
      <c r="E224" s="716"/>
      <c r="F224" s="724"/>
      <c r="G224" s="725"/>
      <c r="H224" s="724"/>
      <c r="I224" s="726"/>
      <c r="J224" s="950"/>
      <c r="K224" s="951"/>
      <c r="L224" s="793"/>
      <c r="M224" s="952"/>
      <c r="N224" s="953"/>
      <c r="O224" s="954"/>
      <c r="P224" s="955"/>
      <c r="Q224" s="956"/>
      <c r="R224" s="957"/>
      <c r="S224" s="800"/>
      <c r="T224" s="958"/>
      <c r="U224" s="802"/>
      <c r="V224" s="959"/>
      <c r="W224" s="960"/>
      <c r="X224" s="805"/>
      <c r="Y224" s="816"/>
      <c r="AA224" s="689"/>
      <c r="AC224" s="539"/>
      <c r="AD224" s="562" t="s">
        <v>6018</v>
      </c>
      <c r="AE224" s="559" t="s">
        <v>6019</v>
      </c>
      <c r="AF224" s="539"/>
      <c r="AG224" s="539"/>
      <c r="AH224" s="539"/>
      <c r="AI224" s="539"/>
      <c r="AJ224" s="539"/>
      <c r="AK224" s="539"/>
      <c r="AL224" s="539"/>
      <c r="AM224" s="539"/>
      <c r="AN224" s="539"/>
      <c r="AO224" s="539"/>
      <c r="AP224" s="539"/>
      <c r="AQ224" s="539"/>
      <c r="AR224" s="539"/>
      <c r="AS224" s="539"/>
      <c r="AT224" s="539"/>
      <c r="AU224" s="539"/>
      <c r="DO224" s="494"/>
      <c r="DP224" s="496" t="s">
        <v>1575</v>
      </c>
      <c r="DQ224" s="496" t="s">
        <v>239</v>
      </c>
      <c r="DR224" s="496" t="s">
        <v>689</v>
      </c>
      <c r="DS224" s="496" t="s">
        <v>856</v>
      </c>
      <c r="DT224" s="496" t="s">
        <v>856</v>
      </c>
      <c r="DU224" s="496" t="s">
        <v>1554</v>
      </c>
      <c r="DV224" s="496" t="s">
        <v>1561</v>
      </c>
      <c r="DW224" s="496" t="s">
        <v>1087</v>
      </c>
      <c r="DX224" s="497" t="s">
        <v>1088</v>
      </c>
      <c r="DZ224" s="555"/>
      <c r="EB224" s="493"/>
      <c r="EC224" s="493"/>
    </row>
    <row r="225" spans="5:133" ht="21" customHeight="1">
      <c r="E225" s="716"/>
      <c r="F225" s="724"/>
      <c r="G225" s="725"/>
      <c r="H225" s="724"/>
      <c r="I225" s="726"/>
      <c r="J225" s="950"/>
      <c r="K225" s="951"/>
      <c r="L225" s="793"/>
      <c r="M225" s="952"/>
      <c r="N225" s="953"/>
      <c r="O225" s="954"/>
      <c r="P225" s="955"/>
      <c r="Q225" s="956"/>
      <c r="R225" s="957"/>
      <c r="S225" s="800"/>
      <c r="T225" s="958"/>
      <c r="U225" s="802"/>
      <c r="V225" s="959"/>
      <c r="W225" s="960"/>
      <c r="X225" s="805"/>
      <c r="Y225" s="816"/>
      <c r="AA225" s="689"/>
      <c r="AC225" s="539"/>
      <c r="AD225" s="562" t="s">
        <v>6020</v>
      </c>
      <c r="AE225" s="559" t="s">
        <v>6021</v>
      </c>
      <c r="AF225" s="539"/>
      <c r="AG225" s="539"/>
      <c r="AH225" s="539"/>
      <c r="AI225" s="539"/>
      <c r="AJ225" s="539"/>
      <c r="AK225" s="539"/>
      <c r="AL225" s="539"/>
      <c r="AM225" s="539"/>
      <c r="AN225" s="539"/>
      <c r="AO225" s="539"/>
      <c r="AP225" s="539"/>
      <c r="AQ225" s="539"/>
      <c r="AR225" s="539"/>
      <c r="AS225" s="539"/>
      <c r="AT225" s="539"/>
      <c r="AU225" s="539"/>
      <c r="DO225" s="494"/>
      <c r="DP225" s="496" t="s">
        <v>1576</v>
      </c>
      <c r="DQ225" s="496" t="s">
        <v>239</v>
      </c>
      <c r="DR225" s="496" t="s">
        <v>689</v>
      </c>
      <c r="DS225" s="496" t="s">
        <v>1577</v>
      </c>
      <c r="DT225" s="496" t="s">
        <v>1577</v>
      </c>
      <c r="DU225" s="496" t="s">
        <v>1554</v>
      </c>
      <c r="DV225" s="496" t="s">
        <v>1555</v>
      </c>
      <c r="DW225" s="496" t="s">
        <v>1556</v>
      </c>
      <c r="DX225" s="497" t="s">
        <v>1557</v>
      </c>
      <c r="DZ225" s="555"/>
      <c r="EB225" s="493"/>
      <c r="EC225" s="493"/>
    </row>
    <row r="226" spans="5:133" ht="21" customHeight="1">
      <c r="E226" s="716"/>
      <c r="F226" s="724"/>
      <c r="G226" s="725"/>
      <c r="H226" s="724"/>
      <c r="I226" s="726"/>
      <c r="J226" s="950"/>
      <c r="K226" s="951"/>
      <c r="L226" s="793"/>
      <c r="M226" s="952"/>
      <c r="N226" s="953"/>
      <c r="O226" s="954"/>
      <c r="P226" s="955"/>
      <c r="Q226" s="956"/>
      <c r="R226" s="957"/>
      <c r="S226" s="800"/>
      <c r="T226" s="958"/>
      <c r="U226" s="802"/>
      <c r="V226" s="959"/>
      <c r="W226" s="960"/>
      <c r="X226" s="805"/>
      <c r="Y226" s="816"/>
      <c r="AA226" s="689"/>
      <c r="AC226" s="539"/>
      <c r="AD226" s="562" t="s">
        <v>6022</v>
      </c>
      <c r="AE226" s="559" t="s">
        <v>6023</v>
      </c>
      <c r="AF226" s="539"/>
      <c r="AG226" s="539"/>
      <c r="AH226" s="539"/>
      <c r="AI226" s="539"/>
      <c r="AJ226" s="539"/>
      <c r="AK226" s="539"/>
      <c r="AL226" s="539"/>
      <c r="AM226" s="539"/>
      <c r="AN226" s="539"/>
      <c r="AO226" s="539"/>
      <c r="AP226" s="539"/>
      <c r="AQ226" s="539"/>
      <c r="AR226" s="539"/>
      <c r="AS226" s="539"/>
      <c r="AT226" s="539"/>
      <c r="AU226" s="539"/>
      <c r="DO226" s="494"/>
      <c r="DP226" s="496" t="s">
        <v>1578</v>
      </c>
      <c r="DQ226" s="496" t="s">
        <v>239</v>
      </c>
      <c r="DR226" s="496" t="s">
        <v>689</v>
      </c>
      <c r="DS226" s="496" t="s">
        <v>1579</v>
      </c>
      <c r="DT226" s="496" t="s">
        <v>1579</v>
      </c>
      <c r="DU226" s="496" t="s">
        <v>1554</v>
      </c>
      <c r="DV226" s="496" t="s">
        <v>1555</v>
      </c>
      <c r="DW226" s="496" t="s">
        <v>1556</v>
      </c>
      <c r="DX226" s="497" t="s">
        <v>1557</v>
      </c>
      <c r="DZ226" s="555"/>
      <c r="EB226" s="493"/>
      <c r="EC226" s="493"/>
    </row>
    <row r="227" spans="5:133" ht="21" customHeight="1">
      <c r="E227" s="716"/>
      <c r="F227" s="724"/>
      <c r="G227" s="725"/>
      <c r="H227" s="724"/>
      <c r="I227" s="726"/>
      <c r="J227" s="950"/>
      <c r="K227" s="951"/>
      <c r="L227" s="793"/>
      <c r="M227" s="952"/>
      <c r="N227" s="953"/>
      <c r="O227" s="954"/>
      <c r="P227" s="955"/>
      <c r="Q227" s="956"/>
      <c r="R227" s="957"/>
      <c r="S227" s="800"/>
      <c r="T227" s="958"/>
      <c r="U227" s="802"/>
      <c r="V227" s="959"/>
      <c r="W227" s="960"/>
      <c r="X227" s="805"/>
      <c r="Y227" s="816"/>
      <c r="AA227" s="689"/>
      <c r="AC227" s="539"/>
      <c r="AD227" s="566" t="s">
        <v>6024</v>
      </c>
      <c r="AE227" s="559" t="s">
        <v>6025</v>
      </c>
      <c r="AF227" s="539"/>
      <c r="AG227" s="539"/>
      <c r="AH227" s="539"/>
      <c r="AI227" s="539"/>
      <c r="AJ227" s="539"/>
      <c r="AK227" s="539"/>
      <c r="AL227" s="539"/>
      <c r="AM227" s="539"/>
      <c r="AN227" s="539"/>
      <c r="AO227" s="539"/>
      <c r="AP227" s="539"/>
      <c r="AQ227" s="539"/>
      <c r="AR227" s="539"/>
      <c r="AS227" s="539"/>
      <c r="AT227" s="539"/>
      <c r="AU227" s="539"/>
      <c r="DO227" s="494"/>
      <c r="DP227" s="496" t="s">
        <v>1580</v>
      </c>
      <c r="DQ227" s="496" t="s">
        <v>239</v>
      </c>
      <c r="DR227" s="496" t="s">
        <v>689</v>
      </c>
      <c r="DS227" s="496" t="s">
        <v>1581</v>
      </c>
      <c r="DT227" s="496" t="s">
        <v>1581</v>
      </c>
      <c r="DU227" s="496" t="s">
        <v>1554</v>
      </c>
      <c r="DV227" s="496" t="s">
        <v>1555</v>
      </c>
      <c r="DW227" s="496" t="s">
        <v>1556</v>
      </c>
      <c r="DX227" s="497" t="s">
        <v>1557</v>
      </c>
      <c r="DZ227" s="555"/>
      <c r="EB227" s="493"/>
      <c r="EC227" s="493"/>
    </row>
    <row r="228" spans="5:133" ht="21" customHeight="1">
      <c r="E228" s="716"/>
      <c r="F228" s="724"/>
      <c r="G228" s="725"/>
      <c r="H228" s="724"/>
      <c r="I228" s="726"/>
      <c r="J228" s="950"/>
      <c r="K228" s="951"/>
      <c r="L228" s="793"/>
      <c r="M228" s="952"/>
      <c r="N228" s="953"/>
      <c r="O228" s="954"/>
      <c r="P228" s="955"/>
      <c r="Q228" s="956"/>
      <c r="R228" s="957"/>
      <c r="S228" s="800"/>
      <c r="T228" s="958"/>
      <c r="U228" s="802"/>
      <c r="V228" s="959"/>
      <c r="W228" s="960"/>
      <c r="X228" s="805"/>
      <c r="Y228" s="816"/>
      <c r="AA228" s="689"/>
      <c r="AC228" s="539"/>
      <c r="AD228" s="562" t="s">
        <v>6026</v>
      </c>
      <c r="AE228" s="559" t="s">
        <v>6027</v>
      </c>
      <c r="AF228" s="539"/>
      <c r="AG228" s="539"/>
      <c r="AH228" s="539"/>
      <c r="AI228" s="539"/>
      <c r="AJ228" s="539"/>
      <c r="AK228" s="539"/>
      <c r="AL228" s="539"/>
      <c r="AM228" s="539"/>
      <c r="AN228" s="539"/>
      <c r="AO228" s="539"/>
      <c r="AP228" s="539"/>
      <c r="AQ228" s="539"/>
      <c r="AR228" s="539"/>
      <c r="AS228" s="539"/>
      <c r="AT228" s="539"/>
      <c r="AU228" s="539"/>
      <c r="DO228" s="494"/>
      <c r="DP228" s="496" t="s">
        <v>1582</v>
      </c>
      <c r="DQ228" s="496" t="s">
        <v>239</v>
      </c>
      <c r="DR228" s="496" t="s">
        <v>689</v>
      </c>
      <c r="DS228" s="496" t="s">
        <v>1583</v>
      </c>
      <c r="DT228" s="496" t="s">
        <v>1583</v>
      </c>
      <c r="DU228" s="496" t="s">
        <v>1554</v>
      </c>
      <c r="DV228" s="496" t="s">
        <v>1555</v>
      </c>
      <c r="DW228" s="496" t="s">
        <v>1556</v>
      </c>
      <c r="DX228" s="497" t="s">
        <v>1557</v>
      </c>
      <c r="DZ228" s="555"/>
      <c r="EB228" s="493"/>
      <c r="EC228" s="493"/>
    </row>
    <row r="229" spans="5:133" ht="21" customHeight="1">
      <c r="E229" s="716"/>
      <c r="F229" s="724"/>
      <c r="G229" s="725"/>
      <c r="H229" s="724"/>
      <c r="I229" s="726"/>
      <c r="J229" s="950"/>
      <c r="K229" s="951"/>
      <c r="L229" s="793"/>
      <c r="M229" s="952"/>
      <c r="N229" s="953"/>
      <c r="O229" s="954"/>
      <c r="P229" s="955"/>
      <c r="Q229" s="956"/>
      <c r="R229" s="957"/>
      <c r="S229" s="800"/>
      <c r="T229" s="958"/>
      <c r="U229" s="802"/>
      <c r="V229" s="959"/>
      <c r="W229" s="960"/>
      <c r="X229" s="805"/>
      <c r="Y229" s="816"/>
      <c r="AA229" s="689"/>
      <c r="AC229" s="539"/>
      <c r="AD229" s="562" t="s">
        <v>6028</v>
      </c>
      <c r="AE229" s="559" t="s">
        <v>6029</v>
      </c>
      <c r="AF229" s="539"/>
      <c r="AG229" s="539"/>
      <c r="AH229" s="539"/>
      <c r="AI229" s="539"/>
      <c r="AJ229" s="539"/>
      <c r="AK229" s="539"/>
      <c r="AL229" s="539"/>
      <c r="AM229" s="539"/>
      <c r="AN229" s="539"/>
      <c r="AO229" s="539"/>
      <c r="AP229" s="539"/>
      <c r="AQ229" s="539"/>
      <c r="AR229" s="539"/>
      <c r="AS229" s="539"/>
      <c r="AT229" s="539"/>
      <c r="AU229" s="539"/>
      <c r="DO229" s="494"/>
      <c r="DP229" s="496" t="s">
        <v>1584</v>
      </c>
      <c r="DQ229" s="496" t="s">
        <v>239</v>
      </c>
      <c r="DR229" s="496" t="s">
        <v>689</v>
      </c>
      <c r="DS229" s="496" t="s">
        <v>1585</v>
      </c>
      <c r="DT229" s="496" t="s">
        <v>1585</v>
      </c>
      <c r="DU229" s="496" t="s">
        <v>1554</v>
      </c>
      <c r="DV229" s="496" t="s">
        <v>1561</v>
      </c>
      <c r="DW229" s="496" t="s">
        <v>1087</v>
      </c>
      <c r="DX229" s="497" t="s">
        <v>1088</v>
      </c>
      <c r="DZ229" s="555"/>
      <c r="EB229" s="493"/>
      <c r="EC229" s="493"/>
    </row>
    <row r="230" spans="5:133" ht="21" customHeight="1">
      <c r="E230" s="716"/>
      <c r="F230" s="724"/>
      <c r="G230" s="725"/>
      <c r="H230" s="724"/>
      <c r="I230" s="726"/>
      <c r="J230" s="950"/>
      <c r="K230" s="951"/>
      <c r="L230" s="793"/>
      <c r="M230" s="952"/>
      <c r="N230" s="953"/>
      <c r="O230" s="954"/>
      <c r="P230" s="955"/>
      <c r="Q230" s="956"/>
      <c r="R230" s="957"/>
      <c r="S230" s="800"/>
      <c r="T230" s="958"/>
      <c r="U230" s="802"/>
      <c r="V230" s="959"/>
      <c r="W230" s="960"/>
      <c r="X230" s="805"/>
      <c r="Y230" s="816"/>
      <c r="AA230" s="689"/>
      <c r="AC230" s="539"/>
      <c r="AD230" s="570"/>
      <c r="AE230" s="559"/>
      <c r="AF230" s="539"/>
      <c r="AG230" s="539"/>
      <c r="AH230" s="539"/>
      <c r="AI230" s="539"/>
      <c r="AJ230" s="539"/>
      <c r="AK230" s="539"/>
      <c r="AL230" s="539"/>
      <c r="AM230" s="539"/>
      <c r="AN230" s="539"/>
      <c r="AO230" s="539"/>
      <c r="AP230" s="539"/>
      <c r="AQ230" s="539"/>
      <c r="AR230" s="539"/>
      <c r="AS230" s="539"/>
      <c r="AT230" s="539"/>
      <c r="AU230" s="539"/>
      <c r="DO230" s="494"/>
      <c r="DP230" s="496" t="s">
        <v>1586</v>
      </c>
      <c r="DQ230" s="496" t="s">
        <v>239</v>
      </c>
      <c r="DR230" s="496" t="s">
        <v>689</v>
      </c>
      <c r="DS230" s="496" t="s">
        <v>282</v>
      </c>
      <c r="DT230" s="496" t="s">
        <v>282</v>
      </c>
      <c r="DU230" s="496" t="s">
        <v>1151</v>
      </c>
      <c r="DV230" s="496" t="s">
        <v>1152</v>
      </c>
      <c r="DW230" s="496" t="s">
        <v>1087</v>
      </c>
      <c r="DX230" s="497" t="s">
        <v>1153</v>
      </c>
      <c r="DZ230" s="555"/>
      <c r="EB230" s="493"/>
      <c r="EC230" s="493"/>
    </row>
    <row r="231" spans="5:133" ht="21" customHeight="1">
      <c r="E231" s="716"/>
      <c r="F231" s="724"/>
      <c r="G231" s="725"/>
      <c r="H231" s="724"/>
      <c r="I231" s="726"/>
      <c r="J231" s="950"/>
      <c r="K231" s="951"/>
      <c r="L231" s="793"/>
      <c r="M231" s="952"/>
      <c r="N231" s="953"/>
      <c r="O231" s="954"/>
      <c r="P231" s="955"/>
      <c r="Q231" s="956"/>
      <c r="R231" s="957"/>
      <c r="S231" s="800"/>
      <c r="T231" s="958"/>
      <c r="U231" s="802"/>
      <c r="V231" s="959"/>
      <c r="W231" s="960"/>
      <c r="X231" s="805"/>
      <c r="Y231" s="816"/>
      <c r="AA231" s="689"/>
      <c r="AC231" s="539"/>
      <c r="AD231" s="569" t="s">
        <v>6030</v>
      </c>
      <c r="AE231" s="568"/>
      <c r="AF231" s="539"/>
      <c r="AG231" s="539"/>
      <c r="AH231" s="539"/>
      <c r="AI231" s="539"/>
      <c r="AJ231" s="539"/>
      <c r="AK231" s="539"/>
      <c r="AL231" s="539"/>
      <c r="AM231" s="539"/>
      <c r="AN231" s="539"/>
      <c r="AO231" s="539"/>
      <c r="AP231" s="539"/>
      <c r="AQ231" s="539"/>
      <c r="AR231" s="539"/>
      <c r="AS231" s="539"/>
      <c r="AT231" s="539"/>
      <c r="AU231" s="539"/>
      <c r="DO231" s="494"/>
      <c r="DP231" s="496" t="s">
        <v>1587</v>
      </c>
      <c r="DQ231" s="496" t="s">
        <v>239</v>
      </c>
      <c r="DR231" s="496" t="s">
        <v>689</v>
      </c>
      <c r="DS231" s="496" t="s">
        <v>119</v>
      </c>
      <c r="DT231" s="496" t="s">
        <v>119</v>
      </c>
      <c r="DU231" s="496" t="s">
        <v>1554</v>
      </c>
      <c r="DV231" s="496" t="s">
        <v>1555</v>
      </c>
      <c r="DW231" s="496" t="s">
        <v>1556</v>
      </c>
      <c r="DX231" s="497" t="s">
        <v>1557</v>
      </c>
      <c r="DZ231" s="555"/>
      <c r="EB231" s="493"/>
      <c r="EC231" s="493"/>
    </row>
    <row r="232" spans="5:133" ht="21" customHeight="1">
      <c r="E232" s="716"/>
      <c r="F232" s="724"/>
      <c r="G232" s="725"/>
      <c r="H232" s="724"/>
      <c r="I232" s="726"/>
      <c r="J232" s="950"/>
      <c r="K232" s="951"/>
      <c r="L232" s="793"/>
      <c r="M232" s="952"/>
      <c r="N232" s="953"/>
      <c r="O232" s="954"/>
      <c r="P232" s="955"/>
      <c r="Q232" s="956"/>
      <c r="R232" s="957"/>
      <c r="S232" s="800"/>
      <c r="T232" s="958"/>
      <c r="U232" s="802"/>
      <c r="V232" s="959"/>
      <c r="W232" s="960"/>
      <c r="X232" s="805"/>
      <c r="Y232" s="816"/>
      <c r="AA232" s="689"/>
      <c r="AC232" s="539"/>
      <c r="AD232" s="562" t="s">
        <v>6031</v>
      </c>
      <c r="AE232" s="559" t="s">
        <v>6032</v>
      </c>
      <c r="AF232" s="539"/>
      <c r="AG232" s="539"/>
      <c r="AH232" s="539"/>
      <c r="AI232" s="539"/>
      <c r="AJ232" s="539"/>
      <c r="AK232" s="539"/>
      <c r="AL232" s="539"/>
      <c r="AM232" s="539"/>
      <c r="AN232" s="539"/>
      <c r="AO232" s="539"/>
      <c r="AP232" s="539"/>
      <c r="AQ232" s="539"/>
      <c r="AR232" s="539"/>
      <c r="AS232" s="539"/>
      <c r="AT232" s="539"/>
      <c r="AU232" s="539"/>
      <c r="DO232" s="494"/>
      <c r="DP232" s="496" t="s">
        <v>1588</v>
      </c>
      <c r="DQ232" s="496" t="s">
        <v>239</v>
      </c>
      <c r="DR232" s="496" t="s">
        <v>689</v>
      </c>
      <c r="DS232" s="496" t="s">
        <v>1589</v>
      </c>
      <c r="DT232" s="496" t="s">
        <v>1589</v>
      </c>
      <c r="DU232" s="496" t="s">
        <v>1554</v>
      </c>
      <c r="DV232" s="496" t="s">
        <v>1555</v>
      </c>
      <c r="DW232" s="496" t="s">
        <v>1556</v>
      </c>
      <c r="DX232" s="497" t="s">
        <v>1557</v>
      </c>
      <c r="DZ232" s="555"/>
      <c r="EB232" s="493"/>
      <c r="EC232" s="493"/>
    </row>
    <row r="233" spans="5:133" ht="21" customHeight="1">
      <c r="E233" s="716"/>
      <c r="F233" s="724"/>
      <c r="G233" s="725"/>
      <c r="H233" s="724"/>
      <c r="I233" s="726"/>
      <c r="J233" s="950"/>
      <c r="K233" s="951"/>
      <c r="L233" s="793"/>
      <c r="M233" s="952"/>
      <c r="N233" s="953"/>
      <c r="O233" s="954"/>
      <c r="P233" s="955"/>
      <c r="Q233" s="956"/>
      <c r="R233" s="957"/>
      <c r="S233" s="800"/>
      <c r="T233" s="958"/>
      <c r="U233" s="802"/>
      <c r="V233" s="959"/>
      <c r="W233" s="960"/>
      <c r="X233" s="805"/>
      <c r="Y233" s="816"/>
      <c r="AA233" s="689"/>
      <c r="AC233" s="539"/>
      <c r="AD233" s="562" t="s">
        <v>6033</v>
      </c>
      <c r="AE233" s="559" t="s">
        <v>6034</v>
      </c>
      <c r="AF233" s="539"/>
      <c r="AG233" s="539"/>
      <c r="AH233" s="539"/>
      <c r="AI233" s="539"/>
      <c r="AJ233" s="539"/>
      <c r="AK233" s="539"/>
      <c r="AL233" s="539"/>
      <c r="AM233" s="539"/>
      <c r="AN233" s="539"/>
      <c r="AO233" s="539"/>
      <c r="AP233" s="539"/>
      <c r="AQ233" s="539"/>
      <c r="AR233" s="539"/>
      <c r="AS233" s="539"/>
      <c r="AT233" s="539"/>
      <c r="AU233" s="539"/>
      <c r="DO233" s="494"/>
      <c r="DP233" s="496" t="s">
        <v>1590</v>
      </c>
      <c r="DQ233" s="496" t="s">
        <v>239</v>
      </c>
      <c r="DR233" s="496" t="s">
        <v>689</v>
      </c>
      <c r="DS233" s="496" t="s">
        <v>1591</v>
      </c>
      <c r="DT233" s="496" t="s">
        <v>1591</v>
      </c>
      <c r="DU233" s="496" t="s">
        <v>1554</v>
      </c>
      <c r="DV233" s="496" t="s">
        <v>1555</v>
      </c>
      <c r="DW233" s="496" t="s">
        <v>1556</v>
      </c>
      <c r="DX233" s="497" t="s">
        <v>1557</v>
      </c>
      <c r="DZ233" s="555"/>
      <c r="EB233" s="493"/>
      <c r="EC233" s="493"/>
    </row>
    <row r="234" spans="5:133" ht="21" customHeight="1">
      <c r="E234" s="716"/>
      <c r="F234" s="724"/>
      <c r="G234" s="725"/>
      <c r="H234" s="724"/>
      <c r="I234" s="726"/>
      <c r="J234" s="950"/>
      <c r="K234" s="951"/>
      <c r="L234" s="793"/>
      <c r="M234" s="952"/>
      <c r="N234" s="953"/>
      <c r="O234" s="954"/>
      <c r="P234" s="955"/>
      <c r="Q234" s="956"/>
      <c r="R234" s="957"/>
      <c r="S234" s="800"/>
      <c r="T234" s="958"/>
      <c r="U234" s="802"/>
      <c r="V234" s="959"/>
      <c r="W234" s="960"/>
      <c r="X234" s="805"/>
      <c r="Y234" s="816"/>
      <c r="AA234" s="689"/>
      <c r="AC234" s="539"/>
      <c r="AD234" s="562"/>
      <c r="AE234" s="559" t="s">
        <v>6035</v>
      </c>
      <c r="AF234" s="539"/>
      <c r="AG234" s="539"/>
      <c r="AH234" s="539"/>
      <c r="AI234" s="539"/>
      <c r="AJ234" s="539"/>
      <c r="AK234" s="539"/>
      <c r="AL234" s="539"/>
      <c r="AM234" s="539"/>
      <c r="AN234" s="539"/>
      <c r="AO234" s="539"/>
      <c r="AP234" s="539"/>
      <c r="AQ234" s="539"/>
      <c r="AR234" s="539"/>
      <c r="AS234" s="539"/>
      <c r="AT234" s="539"/>
      <c r="AU234" s="539"/>
      <c r="DO234" s="494"/>
      <c r="DP234" s="496" t="s">
        <v>1592</v>
      </c>
      <c r="DQ234" s="496" t="s">
        <v>239</v>
      </c>
      <c r="DR234" s="496" t="s">
        <v>689</v>
      </c>
      <c r="DS234" s="496" t="s">
        <v>1593</v>
      </c>
      <c r="DT234" s="496" t="s">
        <v>1593</v>
      </c>
      <c r="DU234" s="496" t="s">
        <v>1554</v>
      </c>
      <c r="DV234" s="496" t="s">
        <v>1555</v>
      </c>
      <c r="DW234" s="496" t="s">
        <v>1556</v>
      </c>
      <c r="DX234" s="497" t="s">
        <v>1557</v>
      </c>
      <c r="DZ234" s="555"/>
      <c r="EB234" s="493"/>
      <c r="EC234" s="493"/>
    </row>
    <row r="235" spans="5:133" ht="21" customHeight="1">
      <c r="E235" s="716"/>
      <c r="F235" s="724"/>
      <c r="G235" s="725"/>
      <c r="H235" s="724"/>
      <c r="I235" s="726"/>
      <c r="J235" s="950"/>
      <c r="K235" s="951"/>
      <c r="L235" s="793"/>
      <c r="M235" s="952"/>
      <c r="N235" s="953"/>
      <c r="O235" s="954"/>
      <c r="P235" s="955"/>
      <c r="Q235" s="956"/>
      <c r="R235" s="957"/>
      <c r="S235" s="800"/>
      <c r="T235" s="958"/>
      <c r="U235" s="802"/>
      <c r="V235" s="959"/>
      <c r="W235" s="960"/>
      <c r="X235" s="805"/>
      <c r="Y235" s="816"/>
      <c r="AA235" s="689"/>
      <c r="AC235" s="539"/>
      <c r="AD235" s="562" t="s">
        <v>6036</v>
      </c>
      <c r="AE235" s="559" t="s">
        <v>6037</v>
      </c>
      <c r="AF235" s="539"/>
      <c r="AG235" s="539"/>
      <c r="AH235" s="539"/>
      <c r="AI235" s="539"/>
      <c r="AJ235" s="539"/>
      <c r="AK235" s="539"/>
      <c r="AL235" s="539"/>
      <c r="AM235" s="539"/>
      <c r="AN235" s="539"/>
      <c r="AO235" s="539"/>
      <c r="AP235" s="539"/>
      <c r="AQ235" s="539"/>
      <c r="AR235" s="539"/>
      <c r="AS235" s="539"/>
      <c r="AT235" s="539"/>
      <c r="AU235" s="539"/>
      <c r="DO235" s="494"/>
      <c r="DP235" s="496" t="s">
        <v>1594</v>
      </c>
      <c r="DQ235" s="496" t="s">
        <v>239</v>
      </c>
      <c r="DR235" s="496" t="s">
        <v>689</v>
      </c>
      <c r="DS235" s="496" t="s">
        <v>1595</v>
      </c>
      <c r="DT235" s="496" t="s">
        <v>1595</v>
      </c>
      <c r="DU235" s="496" t="s">
        <v>1554</v>
      </c>
      <c r="DV235" s="496" t="s">
        <v>1555</v>
      </c>
      <c r="DW235" s="496" t="s">
        <v>1556</v>
      </c>
      <c r="DX235" s="497" t="s">
        <v>1557</v>
      </c>
      <c r="DZ235" s="543">
        <v>1</v>
      </c>
      <c r="EB235" s="493"/>
      <c r="EC235" s="493"/>
    </row>
    <row r="236" spans="5:133" ht="21" customHeight="1">
      <c r="E236" s="716"/>
      <c r="F236" s="724"/>
      <c r="G236" s="725"/>
      <c r="H236" s="724"/>
      <c r="I236" s="726"/>
      <c r="J236" s="950"/>
      <c r="K236" s="951"/>
      <c r="L236" s="793"/>
      <c r="M236" s="952"/>
      <c r="N236" s="953"/>
      <c r="O236" s="954"/>
      <c r="P236" s="955"/>
      <c r="Q236" s="956"/>
      <c r="R236" s="957"/>
      <c r="S236" s="800"/>
      <c r="T236" s="958"/>
      <c r="U236" s="802"/>
      <c r="V236" s="959"/>
      <c r="W236" s="960"/>
      <c r="X236" s="805"/>
      <c r="Y236" s="816"/>
      <c r="AA236" s="689"/>
      <c r="AC236" s="539"/>
      <c r="AD236" s="562" t="s">
        <v>6038</v>
      </c>
      <c r="AE236" s="559" t="s">
        <v>6039</v>
      </c>
      <c r="AF236" s="539"/>
      <c r="AG236" s="539"/>
      <c r="AH236" s="539"/>
      <c r="AI236" s="539"/>
      <c r="AJ236" s="539"/>
      <c r="AK236" s="539"/>
      <c r="AL236" s="539"/>
      <c r="AM236" s="539"/>
      <c r="AN236" s="539"/>
      <c r="AO236" s="539"/>
      <c r="AP236" s="539"/>
      <c r="AQ236" s="539"/>
      <c r="AR236" s="539"/>
      <c r="AS236" s="539"/>
      <c r="AT236" s="539"/>
      <c r="AU236" s="539"/>
      <c r="DO236" s="494"/>
      <c r="DP236" s="496" t="s">
        <v>1596</v>
      </c>
      <c r="DQ236" s="496" t="s">
        <v>239</v>
      </c>
      <c r="DR236" s="496" t="s">
        <v>689</v>
      </c>
      <c r="DS236" s="496" t="s">
        <v>1597</v>
      </c>
      <c r="DT236" s="496" t="s">
        <v>1597</v>
      </c>
      <c r="DU236" s="496" t="s">
        <v>1554</v>
      </c>
      <c r="DV236" s="496" t="s">
        <v>1555</v>
      </c>
      <c r="DW236" s="496" t="s">
        <v>1556</v>
      </c>
      <c r="DX236" s="497" t="s">
        <v>1557</v>
      </c>
      <c r="DZ236" s="543">
        <v>1</v>
      </c>
      <c r="EB236" s="493"/>
      <c r="EC236" s="493"/>
    </row>
    <row r="237" spans="5:133" ht="21" customHeight="1">
      <c r="E237" s="716"/>
      <c r="F237" s="724"/>
      <c r="G237" s="725"/>
      <c r="H237" s="724"/>
      <c r="I237" s="726"/>
      <c r="J237" s="950"/>
      <c r="K237" s="951"/>
      <c r="L237" s="793"/>
      <c r="M237" s="952"/>
      <c r="N237" s="953"/>
      <c r="O237" s="954"/>
      <c r="P237" s="955"/>
      <c r="Q237" s="956"/>
      <c r="R237" s="957"/>
      <c r="S237" s="800"/>
      <c r="T237" s="958"/>
      <c r="U237" s="802"/>
      <c r="V237" s="959"/>
      <c r="W237" s="960"/>
      <c r="X237" s="805"/>
      <c r="Y237" s="816"/>
      <c r="AA237" s="689"/>
      <c r="AC237" s="539"/>
      <c r="AD237" s="559"/>
      <c r="AE237" s="559"/>
      <c r="AF237" s="539"/>
      <c r="AG237" s="539"/>
      <c r="AH237" s="539"/>
      <c r="AI237" s="539"/>
      <c r="AJ237" s="539"/>
      <c r="AK237" s="539"/>
      <c r="AL237" s="539"/>
      <c r="AM237" s="539"/>
      <c r="AN237" s="539"/>
      <c r="AO237" s="539"/>
      <c r="AP237" s="539"/>
      <c r="AQ237" s="539"/>
      <c r="AR237" s="539"/>
      <c r="AS237" s="539"/>
      <c r="AT237" s="539"/>
      <c r="AU237" s="539"/>
      <c r="DO237" s="494"/>
      <c r="DP237" s="496" t="s">
        <v>1598</v>
      </c>
      <c r="DQ237" s="496" t="s">
        <v>239</v>
      </c>
      <c r="DR237" s="496" t="s">
        <v>689</v>
      </c>
      <c r="DS237" s="496" t="s">
        <v>1599</v>
      </c>
      <c r="DT237" s="496" t="s">
        <v>1599</v>
      </c>
      <c r="DU237" s="496" t="s">
        <v>1554</v>
      </c>
      <c r="DV237" s="496" t="s">
        <v>1555</v>
      </c>
      <c r="DW237" s="496" t="s">
        <v>1556</v>
      </c>
      <c r="DX237" s="497" t="s">
        <v>1557</v>
      </c>
      <c r="DZ237" s="543">
        <v>1</v>
      </c>
      <c r="EB237" s="493"/>
      <c r="EC237" s="493"/>
    </row>
    <row r="238" spans="5:133" ht="21" customHeight="1">
      <c r="E238" s="716"/>
      <c r="F238" s="724"/>
      <c r="G238" s="725"/>
      <c r="H238" s="724"/>
      <c r="I238" s="726"/>
      <c r="J238" s="950"/>
      <c r="K238" s="951"/>
      <c r="L238" s="793"/>
      <c r="M238" s="952"/>
      <c r="N238" s="953"/>
      <c r="O238" s="954"/>
      <c r="P238" s="955"/>
      <c r="Q238" s="956"/>
      <c r="R238" s="957"/>
      <c r="S238" s="800"/>
      <c r="T238" s="958"/>
      <c r="U238" s="802"/>
      <c r="V238" s="959"/>
      <c r="W238" s="960"/>
      <c r="X238" s="805"/>
      <c r="Y238" s="816"/>
      <c r="AA238" s="689"/>
      <c r="AC238" s="539"/>
      <c r="AD238" s="567" t="s">
        <v>6040</v>
      </c>
      <c r="AE238" s="565"/>
      <c r="AF238" s="539"/>
      <c r="AG238" s="539"/>
      <c r="AH238" s="539"/>
      <c r="AI238" s="539"/>
      <c r="AJ238" s="539"/>
      <c r="AK238" s="539"/>
      <c r="AL238" s="539"/>
      <c r="AM238" s="539"/>
      <c r="AN238" s="539"/>
      <c r="AO238" s="539"/>
      <c r="AP238" s="539"/>
      <c r="AQ238" s="539"/>
      <c r="AR238" s="539"/>
      <c r="AS238" s="539"/>
      <c r="AT238" s="539"/>
      <c r="AU238" s="539"/>
      <c r="DO238" s="494"/>
      <c r="DP238" s="496" t="s">
        <v>1600</v>
      </c>
      <c r="DQ238" s="496" t="s">
        <v>239</v>
      </c>
      <c r="DR238" s="496" t="s">
        <v>689</v>
      </c>
      <c r="DS238" s="496" t="s">
        <v>1601</v>
      </c>
      <c r="DT238" s="496" t="s">
        <v>1601</v>
      </c>
      <c r="DU238" s="496" t="s">
        <v>1554</v>
      </c>
      <c r="DV238" s="496" t="s">
        <v>1555</v>
      </c>
      <c r="DW238" s="496" t="s">
        <v>1556</v>
      </c>
      <c r="DX238" s="497" t="s">
        <v>1557</v>
      </c>
      <c r="DZ238" s="543">
        <v>1</v>
      </c>
      <c r="EB238" s="493"/>
      <c r="EC238" s="493"/>
    </row>
    <row r="239" spans="5:133" ht="21" customHeight="1">
      <c r="E239" s="716"/>
      <c r="F239" s="724"/>
      <c r="G239" s="725"/>
      <c r="H239" s="724"/>
      <c r="I239" s="726"/>
      <c r="J239" s="950"/>
      <c r="K239" s="951"/>
      <c r="L239" s="793"/>
      <c r="M239" s="952"/>
      <c r="N239" s="953"/>
      <c r="O239" s="954"/>
      <c r="P239" s="955"/>
      <c r="Q239" s="956"/>
      <c r="R239" s="957"/>
      <c r="S239" s="800"/>
      <c r="T239" s="958"/>
      <c r="U239" s="802"/>
      <c r="V239" s="959"/>
      <c r="W239" s="960"/>
      <c r="X239" s="805"/>
      <c r="Y239" s="816"/>
      <c r="AA239" s="689"/>
      <c r="AC239" s="539"/>
      <c r="AD239" s="562" t="s">
        <v>6041</v>
      </c>
      <c r="AE239" s="559" t="s">
        <v>6042</v>
      </c>
      <c r="AF239" s="539"/>
      <c r="AG239" s="539"/>
      <c r="AH239" s="539"/>
      <c r="AI239" s="539"/>
      <c r="AJ239" s="539"/>
      <c r="AK239" s="539"/>
      <c r="AL239" s="539"/>
      <c r="AM239" s="539"/>
      <c r="AN239" s="539"/>
      <c r="AO239" s="539"/>
      <c r="AP239" s="539"/>
      <c r="AQ239" s="539"/>
      <c r="AR239" s="539"/>
      <c r="AS239" s="539"/>
      <c r="AT239" s="539"/>
      <c r="AU239" s="539"/>
      <c r="DO239" s="494"/>
      <c r="DP239" s="496" t="s">
        <v>1602</v>
      </c>
      <c r="DQ239" s="496" t="s">
        <v>239</v>
      </c>
      <c r="DR239" s="496" t="s">
        <v>689</v>
      </c>
      <c r="DS239" s="496" t="s">
        <v>858</v>
      </c>
      <c r="DT239" s="496" t="s">
        <v>858</v>
      </c>
      <c r="DU239" s="496" t="s">
        <v>1554</v>
      </c>
      <c r="DV239" s="496" t="s">
        <v>1555</v>
      </c>
      <c r="DW239" s="496" t="s">
        <v>1556</v>
      </c>
      <c r="DX239" s="497" t="s">
        <v>1557</v>
      </c>
      <c r="DZ239" s="543">
        <v>1</v>
      </c>
      <c r="EB239" s="493"/>
      <c r="EC239" s="493"/>
    </row>
    <row r="240" spans="5:133" ht="21" customHeight="1">
      <c r="E240" s="716"/>
      <c r="F240" s="724"/>
      <c r="G240" s="725"/>
      <c r="H240" s="724"/>
      <c r="I240" s="726"/>
      <c r="J240" s="950"/>
      <c r="K240" s="951"/>
      <c r="L240" s="793"/>
      <c r="M240" s="952"/>
      <c r="N240" s="953"/>
      <c r="O240" s="954"/>
      <c r="P240" s="955"/>
      <c r="Q240" s="956"/>
      <c r="R240" s="957"/>
      <c r="S240" s="800"/>
      <c r="T240" s="958"/>
      <c r="U240" s="802"/>
      <c r="V240" s="959"/>
      <c r="W240" s="960"/>
      <c r="X240" s="805"/>
      <c r="Y240" s="816"/>
      <c r="AA240" s="689"/>
      <c r="AC240" s="539"/>
      <c r="AD240" s="562" t="s">
        <v>6043</v>
      </c>
      <c r="AE240" s="559" t="s">
        <v>6044</v>
      </c>
      <c r="AF240" s="539"/>
      <c r="AG240" s="539"/>
      <c r="AH240" s="539"/>
      <c r="AI240" s="539"/>
      <c r="AJ240" s="539"/>
      <c r="AK240" s="539"/>
      <c r="AL240" s="539"/>
      <c r="AM240" s="539"/>
      <c r="AN240" s="539"/>
      <c r="AO240" s="539"/>
      <c r="AP240" s="539"/>
      <c r="AQ240" s="539"/>
      <c r="AR240" s="539"/>
      <c r="AS240" s="539"/>
      <c r="AT240" s="539"/>
      <c r="AU240" s="539"/>
      <c r="DO240" s="494"/>
      <c r="DP240" s="496" t="s">
        <v>1603</v>
      </c>
      <c r="DQ240" s="496" t="s">
        <v>239</v>
      </c>
      <c r="DR240" s="496" t="s">
        <v>689</v>
      </c>
      <c r="DS240" s="496" t="s">
        <v>1604</v>
      </c>
      <c r="DT240" s="496" t="s">
        <v>1604</v>
      </c>
      <c r="DU240" s="496" t="s">
        <v>1554</v>
      </c>
      <c r="DV240" s="496" t="s">
        <v>1555</v>
      </c>
      <c r="DW240" s="496" t="s">
        <v>1556</v>
      </c>
      <c r="DX240" s="497" t="s">
        <v>1557</v>
      </c>
      <c r="DZ240" s="543">
        <v>1</v>
      </c>
      <c r="EB240" s="493"/>
      <c r="EC240" s="493"/>
    </row>
    <row r="241" spans="5:133" ht="21" customHeight="1">
      <c r="E241" s="716"/>
      <c r="F241" s="724"/>
      <c r="G241" s="725"/>
      <c r="H241" s="724"/>
      <c r="I241" s="726"/>
      <c r="J241" s="950"/>
      <c r="K241" s="951"/>
      <c r="L241" s="793"/>
      <c r="M241" s="952"/>
      <c r="N241" s="953"/>
      <c r="O241" s="954"/>
      <c r="P241" s="955"/>
      <c r="Q241" s="956"/>
      <c r="R241" s="957"/>
      <c r="S241" s="800"/>
      <c r="T241" s="958"/>
      <c r="U241" s="802"/>
      <c r="V241" s="959"/>
      <c r="W241" s="960"/>
      <c r="X241" s="805"/>
      <c r="Y241" s="816"/>
      <c r="AA241" s="689"/>
      <c r="AC241" s="539"/>
      <c r="AD241" s="562" t="s">
        <v>6045</v>
      </c>
      <c r="AE241" s="559" t="s">
        <v>6046</v>
      </c>
      <c r="AF241" s="539"/>
      <c r="AG241" s="539"/>
      <c r="AH241" s="539"/>
      <c r="AI241" s="539"/>
      <c r="AJ241" s="539"/>
      <c r="AK241" s="539"/>
      <c r="AL241" s="539"/>
      <c r="AM241" s="539"/>
      <c r="AN241" s="539"/>
      <c r="AO241" s="539"/>
      <c r="AP241" s="539"/>
      <c r="AQ241" s="539"/>
      <c r="AR241" s="539"/>
      <c r="AS241" s="539"/>
      <c r="AT241" s="539"/>
      <c r="AU241" s="539"/>
      <c r="DO241" s="494"/>
      <c r="DP241" s="496" t="s">
        <v>1605</v>
      </c>
      <c r="DQ241" s="496" t="s">
        <v>239</v>
      </c>
      <c r="DR241" s="496" t="s">
        <v>689</v>
      </c>
      <c r="DS241" s="496" t="s">
        <v>1606</v>
      </c>
      <c r="DT241" s="496" t="s">
        <v>1606</v>
      </c>
      <c r="DU241" s="496" t="s">
        <v>1554</v>
      </c>
      <c r="DV241" s="496" t="s">
        <v>1555</v>
      </c>
      <c r="DW241" s="496" t="s">
        <v>1556</v>
      </c>
      <c r="DX241" s="497" t="s">
        <v>1557</v>
      </c>
      <c r="DZ241" s="543">
        <v>1</v>
      </c>
      <c r="EB241" s="493"/>
      <c r="EC241" s="493"/>
    </row>
    <row r="242" spans="5:133" ht="21" customHeight="1">
      <c r="E242" s="716"/>
      <c r="F242" s="724"/>
      <c r="G242" s="725"/>
      <c r="H242" s="724"/>
      <c r="I242" s="726"/>
      <c r="J242" s="950"/>
      <c r="K242" s="951"/>
      <c r="L242" s="793"/>
      <c r="M242" s="952"/>
      <c r="N242" s="953"/>
      <c r="O242" s="954"/>
      <c r="P242" s="955"/>
      <c r="Q242" s="956"/>
      <c r="R242" s="957"/>
      <c r="S242" s="800"/>
      <c r="T242" s="958"/>
      <c r="U242" s="802"/>
      <c r="V242" s="959"/>
      <c r="W242" s="960"/>
      <c r="X242" s="805"/>
      <c r="Y242" s="816"/>
      <c r="AA242" s="689"/>
      <c r="AC242" s="539"/>
      <c r="AD242" s="562" t="s">
        <v>6047</v>
      </c>
      <c r="AE242" s="559" t="s">
        <v>6048</v>
      </c>
      <c r="AF242" s="539"/>
      <c r="AG242" s="539"/>
      <c r="AH242" s="539"/>
      <c r="AI242" s="539"/>
      <c r="AJ242" s="539"/>
      <c r="AK242" s="539"/>
      <c r="AL242" s="539"/>
      <c r="AM242" s="539"/>
      <c r="AN242" s="539"/>
      <c r="AO242" s="539"/>
      <c r="AP242" s="539"/>
      <c r="AQ242" s="539"/>
      <c r="AR242" s="539"/>
      <c r="AS242" s="539"/>
      <c r="AT242" s="539"/>
      <c r="AU242" s="539"/>
      <c r="DO242" s="494"/>
      <c r="DP242" s="496" t="s">
        <v>1607</v>
      </c>
      <c r="DQ242" s="496" t="s">
        <v>239</v>
      </c>
      <c r="DR242" s="496" t="s">
        <v>689</v>
      </c>
      <c r="DS242" s="496" t="s">
        <v>1608</v>
      </c>
      <c r="DT242" s="496" t="s">
        <v>1608</v>
      </c>
      <c r="DU242" s="496" t="s">
        <v>1554</v>
      </c>
      <c r="DV242" s="496" t="s">
        <v>1555</v>
      </c>
      <c r="DW242" s="496" t="s">
        <v>1556</v>
      </c>
      <c r="DX242" s="497" t="s">
        <v>1557</v>
      </c>
      <c r="DZ242" s="543">
        <v>1</v>
      </c>
      <c r="EB242" s="493"/>
      <c r="EC242" s="493"/>
    </row>
    <row r="243" spans="5:133" ht="21" customHeight="1">
      <c r="E243" s="716"/>
      <c r="F243" s="724"/>
      <c r="G243" s="725"/>
      <c r="H243" s="724"/>
      <c r="I243" s="726"/>
      <c r="J243" s="950"/>
      <c r="K243" s="951"/>
      <c r="L243" s="793"/>
      <c r="M243" s="952"/>
      <c r="N243" s="953"/>
      <c r="O243" s="954"/>
      <c r="P243" s="955"/>
      <c r="Q243" s="956"/>
      <c r="R243" s="957"/>
      <c r="S243" s="800"/>
      <c r="T243" s="958"/>
      <c r="U243" s="802"/>
      <c r="V243" s="959"/>
      <c r="W243" s="960"/>
      <c r="X243" s="805"/>
      <c r="Y243" s="816"/>
      <c r="AA243" s="689"/>
      <c r="AC243" s="539"/>
      <c r="AD243" s="567"/>
      <c r="AE243" s="559" t="s">
        <v>6049</v>
      </c>
      <c r="AF243" s="539"/>
      <c r="AG243" s="539"/>
      <c r="AH243" s="539"/>
      <c r="AI243" s="539"/>
      <c r="AJ243" s="539"/>
      <c r="AK243" s="539"/>
      <c r="AL243" s="539"/>
      <c r="AM243" s="539"/>
      <c r="AN243" s="539"/>
      <c r="AO243" s="539"/>
      <c r="AP243" s="539"/>
      <c r="AQ243" s="539"/>
      <c r="AR243" s="539"/>
      <c r="AS243" s="539"/>
      <c r="AT243" s="539"/>
      <c r="AU243" s="539"/>
      <c r="DO243" s="494"/>
      <c r="DP243" s="496" t="s">
        <v>1609</v>
      </c>
      <c r="DQ243" s="496" t="s">
        <v>239</v>
      </c>
      <c r="DR243" s="496" t="s">
        <v>689</v>
      </c>
      <c r="DS243" s="496" t="s">
        <v>1610</v>
      </c>
      <c r="DT243" s="496" t="s">
        <v>1610</v>
      </c>
      <c r="DU243" s="496" t="s">
        <v>1554</v>
      </c>
      <c r="DV243" s="496" t="s">
        <v>1555</v>
      </c>
      <c r="DW243" s="496" t="s">
        <v>1556</v>
      </c>
      <c r="DX243" s="497" t="s">
        <v>1557</v>
      </c>
      <c r="DZ243" s="543">
        <v>1</v>
      </c>
      <c r="EB243" s="493"/>
      <c r="EC243" s="493"/>
    </row>
    <row r="244" spans="5:133" ht="21" customHeight="1">
      <c r="E244" s="716"/>
      <c r="F244" s="724"/>
      <c r="G244" s="725"/>
      <c r="H244" s="724"/>
      <c r="I244" s="726"/>
      <c r="J244" s="950"/>
      <c r="K244" s="951"/>
      <c r="L244" s="793"/>
      <c r="M244" s="952"/>
      <c r="N244" s="953"/>
      <c r="O244" s="954"/>
      <c r="P244" s="955"/>
      <c r="Q244" s="956"/>
      <c r="R244" s="957"/>
      <c r="S244" s="800"/>
      <c r="T244" s="958"/>
      <c r="U244" s="802"/>
      <c r="V244" s="959"/>
      <c r="W244" s="960"/>
      <c r="X244" s="805"/>
      <c r="Y244" s="816"/>
      <c r="AA244" s="689"/>
      <c r="AC244" s="539"/>
      <c r="AD244" s="570"/>
      <c r="AE244" s="559"/>
      <c r="AF244" s="539"/>
      <c r="AG244" s="539"/>
      <c r="AH244" s="539"/>
      <c r="AI244" s="539"/>
      <c r="AJ244" s="539"/>
      <c r="AK244" s="539"/>
      <c r="AL244" s="539"/>
      <c r="AM244" s="539"/>
      <c r="AN244" s="539"/>
      <c r="AO244" s="539"/>
      <c r="AP244" s="539"/>
      <c r="AQ244" s="539"/>
      <c r="AR244" s="539"/>
      <c r="AS244" s="539"/>
      <c r="AT244" s="539"/>
      <c r="AU244" s="539"/>
      <c r="DO244" s="494"/>
      <c r="DP244" s="496" t="s">
        <v>1611</v>
      </c>
      <c r="DQ244" s="496" t="s">
        <v>239</v>
      </c>
      <c r="DR244" s="496" t="s">
        <v>689</v>
      </c>
      <c r="DS244" s="496" t="s">
        <v>859</v>
      </c>
      <c r="DT244" s="496" t="s">
        <v>859</v>
      </c>
      <c r="DU244" s="496" t="s">
        <v>1554</v>
      </c>
      <c r="DV244" s="496" t="s">
        <v>1561</v>
      </c>
      <c r="DW244" s="496" t="s">
        <v>1087</v>
      </c>
      <c r="DX244" s="497" t="s">
        <v>1088</v>
      </c>
      <c r="DZ244" s="543">
        <v>1</v>
      </c>
      <c r="EB244" s="493"/>
      <c r="EC244" s="493"/>
    </row>
    <row r="245" spans="5:133" ht="21" customHeight="1">
      <c r="E245" s="716"/>
      <c r="F245" s="724"/>
      <c r="G245" s="725"/>
      <c r="H245" s="724"/>
      <c r="I245" s="726"/>
      <c r="J245" s="950"/>
      <c r="K245" s="951"/>
      <c r="L245" s="793"/>
      <c r="M245" s="952"/>
      <c r="N245" s="953"/>
      <c r="O245" s="954"/>
      <c r="P245" s="955"/>
      <c r="Q245" s="956"/>
      <c r="R245" s="957"/>
      <c r="S245" s="800"/>
      <c r="T245" s="958"/>
      <c r="U245" s="802"/>
      <c r="V245" s="959"/>
      <c r="W245" s="960"/>
      <c r="X245" s="805"/>
      <c r="Y245" s="816"/>
      <c r="AA245" s="689"/>
      <c r="AC245" s="539"/>
      <c r="AD245" s="569" t="s">
        <v>6050</v>
      </c>
      <c r="AE245" s="568"/>
      <c r="AF245" s="539"/>
      <c r="AG245" s="539"/>
      <c r="AH245" s="539"/>
      <c r="AI245" s="539"/>
      <c r="AJ245" s="539"/>
      <c r="AK245" s="539"/>
      <c r="AL245" s="539"/>
      <c r="AM245" s="539"/>
      <c r="AN245" s="539"/>
      <c r="AO245" s="539"/>
      <c r="AP245" s="539"/>
      <c r="AQ245" s="539"/>
      <c r="AR245" s="539"/>
      <c r="AS245" s="539"/>
      <c r="AT245" s="539"/>
      <c r="AU245" s="539"/>
      <c r="DO245" s="494"/>
      <c r="DP245" s="496" t="s">
        <v>1612</v>
      </c>
      <c r="DQ245" s="496" t="s">
        <v>239</v>
      </c>
      <c r="DR245" s="496" t="s">
        <v>689</v>
      </c>
      <c r="DS245" s="496" t="s">
        <v>1613</v>
      </c>
      <c r="DT245" s="496" t="s">
        <v>1613</v>
      </c>
      <c r="DU245" s="496" t="s">
        <v>1151</v>
      </c>
      <c r="DV245" s="496" t="s">
        <v>1152</v>
      </c>
      <c r="DW245" s="496" t="s">
        <v>1087</v>
      </c>
      <c r="DX245" s="497" t="s">
        <v>1153</v>
      </c>
      <c r="DZ245" s="543">
        <v>1</v>
      </c>
      <c r="EB245" s="493"/>
      <c r="EC245" s="493"/>
    </row>
    <row r="246" spans="5:133" ht="21" customHeight="1">
      <c r="E246" s="716"/>
      <c r="F246" s="724"/>
      <c r="G246" s="725"/>
      <c r="H246" s="724"/>
      <c r="I246" s="726"/>
      <c r="J246" s="950"/>
      <c r="K246" s="951"/>
      <c r="L246" s="793"/>
      <c r="M246" s="952"/>
      <c r="N246" s="953"/>
      <c r="O246" s="954"/>
      <c r="P246" s="955"/>
      <c r="Q246" s="956"/>
      <c r="R246" s="957"/>
      <c r="S246" s="800"/>
      <c r="T246" s="958"/>
      <c r="U246" s="802"/>
      <c r="V246" s="959"/>
      <c r="W246" s="960"/>
      <c r="X246" s="805"/>
      <c r="Y246" s="816"/>
      <c r="AA246" s="689"/>
      <c r="AC246" s="539"/>
      <c r="AD246" s="562" t="s">
        <v>6051</v>
      </c>
      <c r="AE246" s="559" t="s">
        <v>6052</v>
      </c>
      <c r="AF246" s="539"/>
      <c r="AG246" s="539"/>
      <c r="AH246" s="539"/>
      <c r="AI246" s="539"/>
      <c r="AJ246" s="539"/>
      <c r="AK246" s="539"/>
      <c r="AL246" s="539"/>
      <c r="AM246" s="539"/>
      <c r="AN246" s="539"/>
      <c r="AO246" s="539"/>
      <c r="AP246" s="539"/>
      <c r="AQ246" s="539"/>
      <c r="AR246" s="539"/>
      <c r="AS246" s="539"/>
      <c r="AT246" s="539"/>
      <c r="AU246" s="539"/>
      <c r="DO246" s="494"/>
      <c r="DP246" s="496" t="s">
        <v>1614</v>
      </c>
      <c r="DQ246" s="496" t="s">
        <v>239</v>
      </c>
      <c r="DR246" s="496" t="s">
        <v>689</v>
      </c>
      <c r="DS246" s="496" t="s">
        <v>284</v>
      </c>
      <c r="DT246" s="496" t="s">
        <v>284</v>
      </c>
      <c r="DU246" s="496" t="s">
        <v>1151</v>
      </c>
      <c r="DV246" s="496" t="s">
        <v>1152</v>
      </c>
      <c r="DW246" s="496" t="s">
        <v>1087</v>
      </c>
      <c r="DX246" s="497" t="s">
        <v>1153</v>
      </c>
      <c r="DZ246" s="543">
        <v>1</v>
      </c>
      <c r="EB246" s="493"/>
      <c r="EC246" s="493"/>
    </row>
    <row r="247" spans="5:133" ht="21" customHeight="1">
      <c r="E247" s="716"/>
      <c r="F247" s="724"/>
      <c r="G247" s="725"/>
      <c r="H247" s="724"/>
      <c r="I247" s="726"/>
      <c r="J247" s="950"/>
      <c r="K247" s="951"/>
      <c r="L247" s="793"/>
      <c r="M247" s="952"/>
      <c r="N247" s="953"/>
      <c r="O247" s="954"/>
      <c r="P247" s="955"/>
      <c r="Q247" s="956"/>
      <c r="R247" s="957"/>
      <c r="S247" s="800"/>
      <c r="T247" s="958"/>
      <c r="U247" s="802"/>
      <c r="V247" s="959"/>
      <c r="W247" s="960"/>
      <c r="X247" s="805"/>
      <c r="Y247" s="816"/>
      <c r="AA247" s="689"/>
      <c r="AC247" s="539"/>
      <c r="AD247" s="562" t="s">
        <v>6053</v>
      </c>
      <c r="AE247" s="559" t="s">
        <v>6054</v>
      </c>
      <c r="AF247" s="539"/>
      <c r="AG247" s="539"/>
      <c r="AH247" s="539"/>
      <c r="AI247" s="539"/>
      <c r="AJ247" s="539"/>
      <c r="AK247" s="539"/>
      <c r="AL247" s="539"/>
      <c r="AM247" s="539"/>
      <c r="AN247" s="539"/>
      <c r="AO247" s="539"/>
      <c r="AP247" s="539"/>
      <c r="AQ247" s="539"/>
      <c r="AR247" s="539"/>
      <c r="AS247" s="539"/>
      <c r="AT247" s="539"/>
      <c r="AU247" s="539"/>
      <c r="DO247" s="494"/>
      <c r="DP247" s="496" t="s">
        <v>1615</v>
      </c>
      <c r="DQ247" s="496" t="s">
        <v>239</v>
      </c>
      <c r="DR247" s="496" t="s">
        <v>689</v>
      </c>
      <c r="DS247" s="496" t="s">
        <v>43</v>
      </c>
      <c r="DT247" s="496" t="s">
        <v>43</v>
      </c>
      <c r="DU247" s="496" t="s">
        <v>1554</v>
      </c>
      <c r="DV247" s="496" t="s">
        <v>1555</v>
      </c>
      <c r="DW247" s="496" t="s">
        <v>1556</v>
      </c>
      <c r="DX247" s="497" t="s">
        <v>1557</v>
      </c>
      <c r="DZ247" s="543">
        <v>1</v>
      </c>
      <c r="EB247" s="493"/>
      <c r="EC247" s="493"/>
    </row>
    <row r="248" spans="5:133" ht="21" customHeight="1">
      <c r="E248" s="716"/>
      <c r="F248" s="724"/>
      <c r="G248" s="725"/>
      <c r="H248" s="724"/>
      <c r="I248" s="726"/>
      <c r="J248" s="950"/>
      <c r="K248" s="951"/>
      <c r="L248" s="793"/>
      <c r="M248" s="952"/>
      <c r="N248" s="953"/>
      <c r="O248" s="954"/>
      <c r="P248" s="955"/>
      <c r="Q248" s="956"/>
      <c r="R248" s="957"/>
      <c r="S248" s="800"/>
      <c r="T248" s="958"/>
      <c r="U248" s="802"/>
      <c r="V248" s="959"/>
      <c r="W248" s="960"/>
      <c r="X248" s="805"/>
      <c r="Y248" s="816"/>
      <c r="AA248" s="689"/>
      <c r="AC248" s="553"/>
      <c r="AD248" s="571" t="s">
        <v>6055</v>
      </c>
      <c r="AE248" s="559" t="s">
        <v>6056</v>
      </c>
      <c r="AF248" s="553"/>
      <c r="AG248" s="553"/>
      <c r="AH248" s="553"/>
      <c r="AI248" s="553"/>
      <c r="AJ248" s="553"/>
      <c r="AK248" s="553"/>
      <c r="AL248" s="553"/>
      <c r="AM248" s="553"/>
      <c r="AN248" s="553"/>
      <c r="AO248" s="553"/>
      <c r="AP248" s="553"/>
      <c r="AQ248" s="553"/>
      <c r="AR248" s="553"/>
      <c r="AS248" s="553"/>
      <c r="AT248" s="553"/>
      <c r="AU248" s="553"/>
      <c r="DO248" s="494"/>
      <c r="DP248" s="496" t="s">
        <v>1616</v>
      </c>
      <c r="DQ248" s="496" t="s">
        <v>239</v>
      </c>
      <c r="DR248" s="496" t="s">
        <v>689</v>
      </c>
      <c r="DS248" s="496" t="s">
        <v>1617</v>
      </c>
      <c r="DT248" s="496" t="s">
        <v>1617</v>
      </c>
      <c r="DU248" s="496" t="s">
        <v>1554</v>
      </c>
      <c r="DV248" s="496" t="s">
        <v>1555</v>
      </c>
      <c r="DW248" s="496" t="s">
        <v>1556</v>
      </c>
      <c r="DX248" s="497" t="s">
        <v>1557</v>
      </c>
      <c r="DZ248" s="543">
        <v>1</v>
      </c>
      <c r="EB248" s="493"/>
      <c r="EC248" s="493"/>
    </row>
    <row r="249" spans="5:133" ht="21" customHeight="1">
      <c r="E249" s="716"/>
      <c r="F249" s="724"/>
      <c r="G249" s="725"/>
      <c r="H249" s="724"/>
      <c r="I249" s="726"/>
      <c r="J249" s="950"/>
      <c r="K249" s="951"/>
      <c r="L249" s="793"/>
      <c r="M249" s="952"/>
      <c r="N249" s="953"/>
      <c r="O249" s="954"/>
      <c r="P249" s="955"/>
      <c r="Q249" s="956"/>
      <c r="R249" s="957"/>
      <c r="S249" s="800"/>
      <c r="T249" s="958"/>
      <c r="U249" s="802"/>
      <c r="V249" s="959"/>
      <c r="W249" s="960"/>
      <c r="X249" s="805"/>
      <c r="Y249" s="816"/>
      <c r="AA249" s="689"/>
      <c r="AC249" s="553"/>
      <c r="AD249" s="571" t="s">
        <v>6057</v>
      </c>
      <c r="AE249" s="559" t="s">
        <v>6058</v>
      </c>
      <c r="AF249" s="553"/>
      <c r="AG249" s="553"/>
      <c r="AH249" s="553"/>
      <c r="AI249" s="553"/>
      <c r="AJ249" s="553"/>
      <c r="AK249" s="553"/>
      <c r="AL249" s="553"/>
      <c r="AM249" s="553"/>
      <c r="AN249" s="553"/>
      <c r="AO249" s="553"/>
      <c r="AP249" s="553"/>
      <c r="AQ249" s="553"/>
      <c r="AR249" s="553"/>
      <c r="AS249" s="553"/>
      <c r="AT249" s="553"/>
      <c r="AU249" s="553"/>
      <c r="DO249" s="494"/>
      <c r="DP249" s="496" t="s">
        <v>1618</v>
      </c>
      <c r="DQ249" s="496" t="s">
        <v>239</v>
      </c>
      <c r="DR249" s="496" t="s">
        <v>689</v>
      </c>
      <c r="DS249" s="496" t="s">
        <v>1619</v>
      </c>
      <c r="DT249" s="496" t="s">
        <v>1619</v>
      </c>
      <c r="DU249" s="496" t="s">
        <v>1554</v>
      </c>
      <c r="DV249" s="496" t="s">
        <v>1555</v>
      </c>
      <c r="DW249" s="496" t="s">
        <v>1556</v>
      </c>
      <c r="DX249" s="497" t="s">
        <v>1557</v>
      </c>
      <c r="DZ249" s="543">
        <v>1</v>
      </c>
      <c r="EB249" s="493"/>
      <c r="EC249" s="493"/>
    </row>
    <row r="250" spans="5:133" ht="21" customHeight="1">
      <c r="E250" s="716"/>
      <c r="F250" s="724"/>
      <c r="G250" s="725"/>
      <c r="H250" s="724"/>
      <c r="I250" s="726"/>
      <c r="J250" s="950"/>
      <c r="K250" s="951"/>
      <c r="L250" s="793"/>
      <c r="M250" s="952"/>
      <c r="N250" s="953"/>
      <c r="O250" s="954"/>
      <c r="P250" s="955"/>
      <c r="Q250" s="956"/>
      <c r="R250" s="957"/>
      <c r="S250" s="800"/>
      <c r="T250" s="958"/>
      <c r="U250" s="802"/>
      <c r="V250" s="959"/>
      <c r="W250" s="960"/>
      <c r="X250" s="805"/>
      <c r="Y250" s="816"/>
      <c r="AA250" s="689"/>
      <c r="AC250" s="553"/>
      <c r="AD250" s="562" t="s">
        <v>6059</v>
      </c>
      <c r="AE250" s="559" t="s">
        <v>6060</v>
      </c>
      <c r="AF250" s="553"/>
      <c r="AG250" s="553"/>
      <c r="AH250" s="553"/>
      <c r="AI250" s="553"/>
      <c r="AJ250" s="553"/>
      <c r="AK250" s="553"/>
      <c r="AL250" s="553"/>
      <c r="AM250" s="553"/>
      <c r="AN250" s="553"/>
      <c r="AO250" s="553"/>
      <c r="AP250" s="553"/>
      <c r="AQ250" s="553"/>
      <c r="AR250" s="553"/>
      <c r="AS250" s="553"/>
      <c r="AT250" s="553"/>
      <c r="AU250" s="553"/>
      <c r="DO250" s="494"/>
      <c r="DP250" s="496" t="s">
        <v>1620</v>
      </c>
      <c r="DQ250" s="496" t="s">
        <v>239</v>
      </c>
      <c r="DR250" s="496" t="s">
        <v>689</v>
      </c>
      <c r="DS250" s="496" t="s">
        <v>1621</v>
      </c>
      <c r="DT250" s="496" t="s">
        <v>1621</v>
      </c>
      <c r="DU250" s="496" t="s">
        <v>1554</v>
      </c>
      <c r="DV250" s="496" t="s">
        <v>1555</v>
      </c>
      <c r="DW250" s="496" t="s">
        <v>1556</v>
      </c>
      <c r="DX250" s="497" t="s">
        <v>1557</v>
      </c>
      <c r="DZ250" s="543"/>
      <c r="EB250" s="493"/>
      <c r="EC250" s="493"/>
    </row>
    <row r="251" spans="5:133" ht="21" customHeight="1">
      <c r="E251" s="716"/>
      <c r="F251" s="724"/>
      <c r="G251" s="725"/>
      <c r="H251" s="724"/>
      <c r="I251" s="726"/>
      <c r="J251" s="950"/>
      <c r="K251" s="951"/>
      <c r="L251" s="793"/>
      <c r="M251" s="952"/>
      <c r="N251" s="953"/>
      <c r="O251" s="954"/>
      <c r="P251" s="955"/>
      <c r="Q251" s="956"/>
      <c r="R251" s="957"/>
      <c r="S251" s="800"/>
      <c r="T251" s="958"/>
      <c r="U251" s="802"/>
      <c r="V251" s="959"/>
      <c r="W251" s="960"/>
      <c r="X251" s="805"/>
      <c r="Y251" s="816"/>
      <c r="AA251" s="689"/>
      <c r="AC251" s="553"/>
      <c r="AD251" s="571" t="s">
        <v>6061</v>
      </c>
      <c r="AE251" s="559" t="s">
        <v>6062</v>
      </c>
      <c r="AF251" s="553"/>
      <c r="AG251" s="553"/>
      <c r="AH251" s="553"/>
      <c r="AI251" s="553"/>
      <c r="AJ251" s="553"/>
      <c r="AK251" s="553"/>
      <c r="AL251" s="553"/>
      <c r="AM251" s="553"/>
      <c r="AN251" s="553"/>
      <c r="AO251" s="553"/>
      <c r="AP251" s="553"/>
      <c r="AQ251" s="553"/>
      <c r="AR251" s="553"/>
      <c r="AS251" s="553"/>
      <c r="AT251" s="553"/>
      <c r="AU251" s="553"/>
      <c r="DO251" s="494"/>
      <c r="DP251" s="496" t="s">
        <v>1622</v>
      </c>
      <c r="DQ251" s="496" t="s">
        <v>239</v>
      </c>
      <c r="DR251" s="496" t="s">
        <v>689</v>
      </c>
      <c r="DS251" s="496" t="s">
        <v>1623</v>
      </c>
      <c r="DT251" s="496" t="s">
        <v>1623</v>
      </c>
      <c r="DU251" s="496" t="s">
        <v>1554</v>
      </c>
      <c r="DV251" s="496" t="s">
        <v>1555</v>
      </c>
      <c r="DW251" s="496" t="s">
        <v>1556</v>
      </c>
      <c r="DX251" s="497" t="s">
        <v>1557</v>
      </c>
      <c r="DZ251" s="543">
        <v>1</v>
      </c>
      <c r="EB251" s="493"/>
      <c r="EC251" s="493"/>
    </row>
    <row r="252" spans="5:133" ht="21" customHeight="1">
      <c r="E252" s="716"/>
      <c r="F252" s="724"/>
      <c r="G252" s="725"/>
      <c r="H252" s="724"/>
      <c r="I252" s="726"/>
      <c r="J252" s="950"/>
      <c r="K252" s="951"/>
      <c r="L252" s="793"/>
      <c r="M252" s="952"/>
      <c r="N252" s="953"/>
      <c r="O252" s="954"/>
      <c r="P252" s="955"/>
      <c r="Q252" s="956"/>
      <c r="R252" s="957"/>
      <c r="S252" s="800"/>
      <c r="T252" s="958"/>
      <c r="U252" s="802"/>
      <c r="V252" s="959"/>
      <c r="W252" s="960"/>
      <c r="X252" s="805"/>
      <c r="Y252" s="816"/>
      <c r="AA252" s="689"/>
      <c r="AC252" s="553"/>
      <c r="AD252" s="571"/>
      <c r="AE252" s="559"/>
      <c r="AF252" s="553"/>
      <c r="AG252" s="553"/>
      <c r="AH252" s="553"/>
      <c r="AI252" s="553"/>
      <c r="AJ252" s="553"/>
      <c r="AK252" s="553"/>
      <c r="AL252" s="553"/>
      <c r="AM252" s="553"/>
      <c r="AN252" s="553"/>
      <c r="AO252" s="553"/>
      <c r="AP252" s="553"/>
      <c r="AQ252" s="553"/>
      <c r="AR252" s="553"/>
      <c r="AS252" s="553"/>
      <c r="AT252" s="553"/>
      <c r="AU252" s="553"/>
      <c r="DO252" s="494"/>
      <c r="DP252" s="496" t="s">
        <v>1624</v>
      </c>
      <c r="DQ252" s="496" t="s">
        <v>239</v>
      </c>
      <c r="DR252" s="496" t="s">
        <v>689</v>
      </c>
      <c r="DS252" s="496" t="s">
        <v>1625</v>
      </c>
      <c r="DT252" s="496" t="s">
        <v>1625</v>
      </c>
      <c r="DU252" s="496" t="s">
        <v>1554</v>
      </c>
      <c r="DV252" s="496" t="s">
        <v>1555</v>
      </c>
      <c r="DW252" s="496" t="s">
        <v>1556</v>
      </c>
      <c r="DX252" s="497" t="s">
        <v>1557</v>
      </c>
      <c r="DZ252" s="543">
        <v>1</v>
      </c>
      <c r="EB252" s="493"/>
      <c r="EC252" s="493"/>
    </row>
    <row r="253" spans="5:133" ht="21" customHeight="1">
      <c r="E253" s="716"/>
      <c r="F253" s="724"/>
      <c r="G253" s="725"/>
      <c r="H253" s="724"/>
      <c r="I253" s="726"/>
      <c r="J253" s="950"/>
      <c r="K253" s="951"/>
      <c r="L253" s="793"/>
      <c r="M253" s="952"/>
      <c r="N253" s="953"/>
      <c r="O253" s="954"/>
      <c r="P253" s="955"/>
      <c r="Q253" s="956"/>
      <c r="R253" s="957"/>
      <c r="S253" s="800"/>
      <c r="T253" s="958"/>
      <c r="U253" s="802"/>
      <c r="V253" s="959"/>
      <c r="W253" s="960"/>
      <c r="X253" s="805"/>
      <c r="Y253" s="816"/>
      <c r="AA253" s="689"/>
      <c r="AC253" s="553"/>
      <c r="AD253" s="569" t="s">
        <v>6063</v>
      </c>
      <c r="AE253" s="568"/>
      <c r="AF253" s="553"/>
      <c r="AG253" s="553"/>
      <c r="AH253" s="553"/>
      <c r="AI253" s="553"/>
      <c r="AJ253" s="553"/>
      <c r="AK253" s="553"/>
      <c r="AL253" s="553"/>
      <c r="AM253" s="553"/>
      <c r="AN253" s="553"/>
      <c r="AO253" s="553"/>
      <c r="AP253" s="553"/>
      <c r="AQ253" s="553"/>
      <c r="AR253" s="553"/>
      <c r="AS253" s="553"/>
      <c r="AT253" s="553"/>
      <c r="AU253" s="553"/>
      <c r="DO253" s="494"/>
      <c r="DP253" s="496" t="s">
        <v>1626</v>
      </c>
      <c r="DQ253" s="496" t="s">
        <v>239</v>
      </c>
      <c r="DR253" s="496" t="s">
        <v>689</v>
      </c>
      <c r="DS253" s="496" t="s">
        <v>1627</v>
      </c>
      <c r="DT253" s="496" t="s">
        <v>1627</v>
      </c>
      <c r="DU253" s="496" t="s">
        <v>1554</v>
      </c>
      <c r="DV253" s="496" t="s">
        <v>1555</v>
      </c>
      <c r="DW253" s="496" t="s">
        <v>1556</v>
      </c>
      <c r="DX253" s="497" t="s">
        <v>1557</v>
      </c>
      <c r="DZ253" s="543">
        <v>1</v>
      </c>
      <c r="EB253" s="493"/>
      <c r="EC253" s="493"/>
    </row>
    <row r="254" spans="5:133" ht="21" customHeight="1">
      <c r="E254" s="716"/>
      <c r="F254" s="724"/>
      <c r="G254" s="725"/>
      <c r="H254" s="724"/>
      <c r="I254" s="726"/>
      <c r="J254" s="950"/>
      <c r="K254" s="951"/>
      <c r="L254" s="793"/>
      <c r="M254" s="952"/>
      <c r="N254" s="953"/>
      <c r="O254" s="954"/>
      <c r="P254" s="955"/>
      <c r="Q254" s="956"/>
      <c r="R254" s="957"/>
      <c r="S254" s="800"/>
      <c r="T254" s="958"/>
      <c r="U254" s="802"/>
      <c r="V254" s="959"/>
      <c r="W254" s="960"/>
      <c r="X254" s="805"/>
      <c r="Y254" s="816"/>
      <c r="AA254" s="689"/>
      <c r="AC254" s="553"/>
      <c r="AD254" s="562" t="s">
        <v>6064</v>
      </c>
      <c r="AE254" s="559" t="s">
        <v>6065</v>
      </c>
      <c r="AF254" s="553"/>
      <c r="AG254" s="553"/>
      <c r="AH254" s="553"/>
      <c r="AI254" s="553"/>
      <c r="AJ254" s="553"/>
      <c r="AK254" s="553"/>
      <c r="AL254" s="553"/>
      <c r="AM254" s="553"/>
      <c r="AN254" s="553"/>
      <c r="AO254" s="553"/>
      <c r="AP254" s="553"/>
      <c r="AQ254" s="553"/>
      <c r="AR254" s="553"/>
      <c r="AS254" s="553"/>
      <c r="AT254" s="553"/>
      <c r="AU254" s="553"/>
      <c r="DO254" s="494"/>
      <c r="DP254" s="496" t="s">
        <v>1628</v>
      </c>
      <c r="DQ254" s="496" t="s">
        <v>239</v>
      </c>
      <c r="DR254" s="496" t="s">
        <v>689</v>
      </c>
      <c r="DS254" s="496" t="s">
        <v>1629</v>
      </c>
      <c r="DT254" s="496" t="s">
        <v>1629</v>
      </c>
      <c r="DU254" s="496" t="s">
        <v>1554</v>
      </c>
      <c r="DV254" s="496" t="s">
        <v>1555</v>
      </c>
      <c r="DW254" s="496" t="s">
        <v>1556</v>
      </c>
      <c r="DX254" s="497" t="s">
        <v>1557</v>
      </c>
      <c r="DZ254" s="543">
        <v>1</v>
      </c>
      <c r="EB254" s="493"/>
      <c r="EC254" s="493"/>
    </row>
    <row r="255" spans="5:133" ht="21" customHeight="1">
      <c r="E255" s="716"/>
      <c r="F255" s="724"/>
      <c r="G255" s="725"/>
      <c r="H255" s="724"/>
      <c r="I255" s="726"/>
      <c r="J255" s="950"/>
      <c r="K255" s="951"/>
      <c r="L255" s="793"/>
      <c r="M255" s="952"/>
      <c r="N255" s="953"/>
      <c r="O255" s="954"/>
      <c r="P255" s="955"/>
      <c r="Q255" s="956"/>
      <c r="R255" s="957"/>
      <c r="S255" s="800"/>
      <c r="T255" s="958"/>
      <c r="U255" s="802"/>
      <c r="V255" s="959"/>
      <c r="W255" s="960"/>
      <c r="X255" s="805"/>
      <c r="Y255" s="816"/>
      <c r="AA255" s="689"/>
      <c r="AC255" s="553"/>
      <c r="AD255" s="571" t="s">
        <v>6066</v>
      </c>
      <c r="AE255" s="572" t="s">
        <v>6067</v>
      </c>
      <c r="AF255" s="553"/>
      <c r="AG255" s="553"/>
      <c r="AH255" s="553"/>
      <c r="AI255" s="553"/>
      <c r="AJ255" s="553"/>
      <c r="AK255" s="553"/>
      <c r="AL255" s="553"/>
      <c r="AM255" s="553"/>
      <c r="AN255" s="553"/>
      <c r="AO255" s="553"/>
      <c r="AP255" s="553"/>
      <c r="AQ255" s="553"/>
      <c r="AR255" s="553"/>
      <c r="AS255" s="553"/>
      <c r="AT255" s="553"/>
      <c r="AU255" s="553"/>
      <c r="DO255" s="494"/>
      <c r="DP255" s="496" t="s">
        <v>1630</v>
      </c>
      <c r="DQ255" s="496" t="s">
        <v>239</v>
      </c>
      <c r="DR255" s="496" t="s">
        <v>689</v>
      </c>
      <c r="DS255" s="496" t="s">
        <v>1631</v>
      </c>
      <c r="DT255" s="496" t="s">
        <v>1631</v>
      </c>
      <c r="DU255" s="496" t="s">
        <v>1554</v>
      </c>
      <c r="DV255" s="496" t="s">
        <v>1555</v>
      </c>
      <c r="DW255" s="496" t="s">
        <v>1556</v>
      </c>
      <c r="DX255" s="497" t="s">
        <v>1557</v>
      </c>
      <c r="DZ255" s="543">
        <v>1</v>
      </c>
      <c r="EB255" s="493"/>
      <c r="EC255" s="493"/>
    </row>
    <row r="256" spans="5:133" ht="21" customHeight="1">
      <c r="E256" s="716"/>
      <c r="F256" s="724"/>
      <c r="G256" s="725"/>
      <c r="H256" s="724"/>
      <c r="I256" s="726"/>
      <c r="J256" s="950"/>
      <c r="K256" s="951"/>
      <c r="L256" s="793"/>
      <c r="M256" s="952"/>
      <c r="N256" s="953"/>
      <c r="O256" s="954"/>
      <c r="P256" s="955"/>
      <c r="Q256" s="956"/>
      <c r="R256" s="957"/>
      <c r="S256" s="800"/>
      <c r="T256" s="958"/>
      <c r="U256" s="802"/>
      <c r="V256" s="959"/>
      <c r="W256" s="960"/>
      <c r="X256" s="805"/>
      <c r="Y256" s="816"/>
      <c r="AA256" s="689"/>
      <c r="AC256" s="553"/>
      <c r="AD256" s="571" t="s">
        <v>6068</v>
      </c>
      <c r="AE256" s="572" t="s">
        <v>6069</v>
      </c>
      <c r="AF256" s="553"/>
      <c r="AG256" s="553"/>
      <c r="AH256" s="553"/>
      <c r="AI256" s="553"/>
      <c r="AJ256" s="553"/>
      <c r="AK256" s="553"/>
      <c r="AL256" s="553"/>
      <c r="AM256" s="553"/>
      <c r="AN256" s="553"/>
      <c r="AO256" s="553"/>
      <c r="AP256" s="553"/>
      <c r="AQ256" s="553"/>
      <c r="AR256" s="553"/>
      <c r="AS256" s="553"/>
      <c r="AT256" s="553"/>
      <c r="AU256" s="553"/>
      <c r="DO256" s="494"/>
      <c r="DP256" s="496" t="s">
        <v>1632</v>
      </c>
      <c r="DQ256" s="496" t="s">
        <v>239</v>
      </c>
      <c r="DR256" s="496" t="s">
        <v>689</v>
      </c>
      <c r="DS256" s="496" t="s">
        <v>1633</v>
      </c>
      <c r="DT256" s="496" t="s">
        <v>1633</v>
      </c>
      <c r="DU256" s="496" t="s">
        <v>1554</v>
      </c>
      <c r="DV256" s="496" t="s">
        <v>1555</v>
      </c>
      <c r="DW256" s="496" t="s">
        <v>1556</v>
      </c>
      <c r="DX256" s="497" t="s">
        <v>1557</v>
      </c>
      <c r="DZ256" s="543">
        <v>1</v>
      </c>
      <c r="EB256" s="493"/>
      <c r="EC256" s="493"/>
    </row>
    <row r="257" spans="5:133" ht="21" customHeight="1">
      <c r="E257" s="716"/>
      <c r="F257" s="724"/>
      <c r="G257" s="725"/>
      <c r="H257" s="724"/>
      <c r="I257" s="726"/>
      <c r="J257" s="950"/>
      <c r="K257" s="951"/>
      <c r="L257" s="793"/>
      <c r="M257" s="952"/>
      <c r="N257" s="953"/>
      <c r="O257" s="954"/>
      <c r="P257" s="955"/>
      <c r="Q257" s="956"/>
      <c r="R257" s="957"/>
      <c r="S257" s="800"/>
      <c r="T257" s="958"/>
      <c r="U257" s="802"/>
      <c r="V257" s="959"/>
      <c r="W257" s="960"/>
      <c r="X257" s="805"/>
      <c r="Y257" s="816"/>
      <c r="AA257" s="689"/>
      <c r="AC257" s="553"/>
      <c r="AD257" s="571" t="s">
        <v>6070</v>
      </c>
      <c r="AE257" s="559" t="s">
        <v>6071</v>
      </c>
      <c r="AF257" s="553"/>
      <c r="AG257" s="553"/>
      <c r="AH257" s="553"/>
      <c r="AI257" s="553"/>
      <c r="AJ257" s="553"/>
      <c r="AK257" s="553"/>
      <c r="AL257" s="553"/>
      <c r="AM257" s="553"/>
      <c r="AN257" s="553"/>
      <c r="AO257" s="553"/>
      <c r="AP257" s="553"/>
      <c r="AQ257" s="553"/>
      <c r="AR257" s="553"/>
      <c r="AS257" s="553"/>
      <c r="AT257" s="553"/>
      <c r="AU257" s="553"/>
      <c r="DO257" s="494"/>
      <c r="DP257" s="496" t="s">
        <v>1634</v>
      </c>
      <c r="DQ257" s="496" t="s">
        <v>239</v>
      </c>
      <c r="DR257" s="496" t="s">
        <v>689</v>
      </c>
      <c r="DS257" s="496" t="s">
        <v>862</v>
      </c>
      <c r="DT257" s="496" t="s">
        <v>862</v>
      </c>
      <c r="DU257" s="496" t="s">
        <v>1554</v>
      </c>
      <c r="DV257" s="496" t="s">
        <v>1555</v>
      </c>
      <c r="DW257" s="496" t="s">
        <v>1556</v>
      </c>
      <c r="DX257" s="497" t="s">
        <v>1557</v>
      </c>
      <c r="DZ257" s="543">
        <v>1</v>
      </c>
      <c r="EB257" s="493"/>
      <c r="EC257" s="493"/>
    </row>
    <row r="258" spans="5:133" ht="21" customHeight="1">
      <c r="E258" s="716"/>
      <c r="F258" s="724"/>
      <c r="G258" s="725"/>
      <c r="H258" s="724"/>
      <c r="I258" s="726"/>
      <c r="J258" s="950"/>
      <c r="K258" s="951"/>
      <c r="L258" s="793"/>
      <c r="M258" s="952"/>
      <c r="N258" s="953"/>
      <c r="O258" s="954"/>
      <c r="P258" s="955"/>
      <c r="Q258" s="956"/>
      <c r="R258" s="957"/>
      <c r="S258" s="800"/>
      <c r="T258" s="958"/>
      <c r="U258" s="802"/>
      <c r="V258" s="959"/>
      <c r="W258" s="960"/>
      <c r="X258" s="805"/>
      <c r="Y258" s="816"/>
      <c r="AA258" s="689"/>
      <c r="AC258" s="553"/>
      <c r="AD258" s="571" t="s">
        <v>6072</v>
      </c>
      <c r="AE258" s="559" t="s">
        <v>6073</v>
      </c>
      <c r="AF258" s="553"/>
      <c r="AG258" s="553"/>
      <c r="AH258" s="553"/>
      <c r="AI258" s="553"/>
      <c r="AJ258" s="553"/>
      <c r="AK258" s="553"/>
      <c r="AL258" s="553"/>
      <c r="AM258" s="553"/>
      <c r="AN258" s="553"/>
      <c r="AO258" s="553"/>
      <c r="AP258" s="553"/>
      <c r="AQ258" s="553"/>
      <c r="AR258" s="553"/>
      <c r="AS258" s="553"/>
      <c r="AT258" s="553"/>
      <c r="AU258" s="553"/>
      <c r="DO258" s="494"/>
      <c r="DP258" s="496" t="s">
        <v>1635</v>
      </c>
      <c r="DQ258" s="496" t="s">
        <v>239</v>
      </c>
      <c r="DR258" s="496" t="s">
        <v>689</v>
      </c>
      <c r="DS258" s="496" t="s">
        <v>1636</v>
      </c>
      <c r="DT258" s="496" t="s">
        <v>1636</v>
      </c>
      <c r="DU258" s="496" t="s">
        <v>1554</v>
      </c>
      <c r="DV258" s="496" t="s">
        <v>1555</v>
      </c>
      <c r="DW258" s="496" t="s">
        <v>1556</v>
      </c>
      <c r="DX258" s="497" t="s">
        <v>1557</v>
      </c>
      <c r="DZ258" s="543">
        <v>1</v>
      </c>
      <c r="EB258" s="493"/>
      <c r="EC258" s="493"/>
    </row>
    <row r="259" spans="5:133" ht="21" customHeight="1">
      <c r="E259" s="716"/>
      <c r="F259" s="724"/>
      <c r="G259" s="725"/>
      <c r="H259" s="724"/>
      <c r="I259" s="726"/>
      <c r="J259" s="950"/>
      <c r="K259" s="951"/>
      <c r="L259" s="793"/>
      <c r="M259" s="952"/>
      <c r="N259" s="953"/>
      <c r="O259" s="954"/>
      <c r="P259" s="955"/>
      <c r="Q259" s="956"/>
      <c r="R259" s="957"/>
      <c r="S259" s="800"/>
      <c r="T259" s="958"/>
      <c r="U259" s="802"/>
      <c r="V259" s="959"/>
      <c r="W259" s="960"/>
      <c r="X259" s="805"/>
      <c r="Y259" s="816"/>
      <c r="AA259" s="689"/>
      <c r="AC259" s="553"/>
      <c r="AD259" s="571"/>
      <c r="AE259" s="559"/>
      <c r="AF259" s="553"/>
      <c r="AG259" s="553"/>
      <c r="AH259" s="553"/>
      <c r="AI259" s="553"/>
      <c r="AJ259" s="553"/>
      <c r="AK259" s="553"/>
      <c r="AL259" s="553"/>
      <c r="AM259" s="553"/>
      <c r="AN259" s="553"/>
      <c r="AO259" s="553"/>
      <c r="AP259" s="553"/>
      <c r="AQ259" s="553"/>
      <c r="AR259" s="553"/>
      <c r="AS259" s="553"/>
      <c r="AT259" s="553"/>
      <c r="AU259" s="553"/>
      <c r="DO259" s="494"/>
      <c r="DP259" s="496" t="s">
        <v>1637</v>
      </c>
      <c r="DQ259" s="496" t="s">
        <v>239</v>
      </c>
      <c r="DR259" s="496" t="s">
        <v>689</v>
      </c>
      <c r="DS259" s="496" t="s">
        <v>1638</v>
      </c>
      <c r="DT259" s="496" t="s">
        <v>1638</v>
      </c>
      <c r="DU259" s="496" t="s">
        <v>1554</v>
      </c>
      <c r="DV259" s="496" t="s">
        <v>1555</v>
      </c>
      <c r="DW259" s="496" t="s">
        <v>1556</v>
      </c>
      <c r="DX259" s="497" t="s">
        <v>1557</v>
      </c>
      <c r="DZ259" s="543">
        <v>1</v>
      </c>
      <c r="EB259" s="493"/>
      <c r="EC259" s="493"/>
    </row>
    <row r="260" spans="5:133" ht="21" customHeight="1">
      <c r="E260" s="716"/>
      <c r="F260" s="724"/>
      <c r="G260" s="725"/>
      <c r="H260" s="724"/>
      <c r="I260" s="726"/>
      <c r="J260" s="950"/>
      <c r="K260" s="951"/>
      <c r="L260" s="793"/>
      <c r="M260" s="952"/>
      <c r="N260" s="953"/>
      <c r="O260" s="954"/>
      <c r="P260" s="955"/>
      <c r="Q260" s="956"/>
      <c r="R260" s="957"/>
      <c r="S260" s="800"/>
      <c r="T260" s="958"/>
      <c r="U260" s="802"/>
      <c r="V260" s="959"/>
      <c r="W260" s="960"/>
      <c r="X260" s="805"/>
      <c r="Y260" s="816"/>
      <c r="AA260" s="689"/>
      <c r="AC260" s="553"/>
      <c r="AD260" s="567" t="s">
        <v>6074</v>
      </c>
      <c r="AE260" s="565"/>
      <c r="AF260" s="553"/>
      <c r="AG260" s="553"/>
      <c r="AH260" s="553"/>
      <c r="AI260" s="553"/>
      <c r="AJ260" s="553"/>
      <c r="AK260" s="553"/>
      <c r="AL260" s="553"/>
      <c r="AM260" s="553"/>
      <c r="AN260" s="553"/>
      <c r="AO260" s="553"/>
      <c r="AP260" s="553"/>
      <c r="AQ260" s="553"/>
      <c r="AR260" s="553"/>
      <c r="AS260" s="553"/>
      <c r="AT260" s="553"/>
      <c r="AU260" s="553"/>
      <c r="DO260" s="494"/>
      <c r="DP260" s="496" t="s">
        <v>1639</v>
      </c>
      <c r="DQ260" s="496" t="s">
        <v>239</v>
      </c>
      <c r="DR260" s="496" t="s">
        <v>689</v>
      </c>
      <c r="DS260" s="496" t="s">
        <v>1640</v>
      </c>
      <c r="DT260" s="496" t="s">
        <v>1640</v>
      </c>
      <c r="DU260" s="496" t="s">
        <v>1554</v>
      </c>
      <c r="DV260" s="496" t="s">
        <v>1555</v>
      </c>
      <c r="DW260" s="496" t="s">
        <v>1556</v>
      </c>
      <c r="DX260" s="497" t="s">
        <v>1557</v>
      </c>
      <c r="DZ260" s="543">
        <v>1</v>
      </c>
      <c r="EB260" s="493"/>
      <c r="EC260" s="493"/>
    </row>
    <row r="261" spans="5:133" ht="21" customHeight="1">
      <c r="E261" s="716"/>
      <c r="F261" s="724"/>
      <c r="G261" s="725"/>
      <c r="H261" s="724"/>
      <c r="I261" s="726"/>
      <c r="J261" s="950"/>
      <c r="K261" s="951"/>
      <c r="L261" s="793"/>
      <c r="M261" s="952"/>
      <c r="N261" s="953"/>
      <c r="O261" s="954"/>
      <c r="P261" s="955"/>
      <c r="Q261" s="956"/>
      <c r="R261" s="957"/>
      <c r="S261" s="800"/>
      <c r="T261" s="958"/>
      <c r="U261" s="802"/>
      <c r="V261" s="959"/>
      <c r="W261" s="960"/>
      <c r="X261" s="805"/>
      <c r="Y261" s="816"/>
      <c r="AA261" s="689"/>
      <c r="AC261" s="553"/>
      <c r="AD261" s="571"/>
      <c r="AE261" s="570" t="s">
        <v>6075</v>
      </c>
      <c r="AF261" s="553"/>
      <c r="AG261" s="553"/>
      <c r="AH261" s="553"/>
      <c r="AI261" s="553"/>
      <c r="AJ261" s="553"/>
      <c r="AK261" s="553"/>
      <c r="AL261" s="553"/>
      <c r="AM261" s="553"/>
      <c r="AN261" s="553"/>
      <c r="AO261" s="553"/>
      <c r="AP261" s="553"/>
      <c r="AQ261" s="553"/>
      <c r="AR261" s="553"/>
      <c r="AS261" s="553"/>
      <c r="AT261" s="553"/>
      <c r="AU261" s="553"/>
      <c r="DO261" s="494"/>
      <c r="DP261" s="496" t="s">
        <v>1641</v>
      </c>
      <c r="DQ261" s="496" t="s">
        <v>239</v>
      </c>
      <c r="DR261" s="496" t="s">
        <v>689</v>
      </c>
      <c r="DS261" s="496" t="s">
        <v>1642</v>
      </c>
      <c r="DT261" s="496" t="s">
        <v>1642</v>
      </c>
      <c r="DU261" s="496" t="s">
        <v>1554</v>
      </c>
      <c r="DV261" s="496" t="s">
        <v>1555</v>
      </c>
      <c r="DW261" s="496" t="s">
        <v>1556</v>
      </c>
      <c r="DX261" s="497" t="s">
        <v>1557</v>
      </c>
      <c r="DZ261" s="543">
        <v>1</v>
      </c>
      <c r="EB261" s="493"/>
      <c r="EC261" s="493"/>
    </row>
    <row r="262" spans="5:133" ht="21" customHeight="1">
      <c r="E262" s="716"/>
      <c r="F262" s="724"/>
      <c r="G262" s="725"/>
      <c r="H262" s="724"/>
      <c r="I262" s="726"/>
      <c r="J262" s="950"/>
      <c r="K262" s="951"/>
      <c r="L262" s="793"/>
      <c r="M262" s="952"/>
      <c r="N262" s="953"/>
      <c r="O262" s="954"/>
      <c r="P262" s="955"/>
      <c r="Q262" s="956"/>
      <c r="R262" s="957"/>
      <c r="S262" s="800"/>
      <c r="T262" s="958"/>
      <c r="U262" s="802"/>
      <c r="V262" s="959"/>
      <c r="W262" s="960"/>
      <c r="X262" s="805"/>
      <c r="Y262" s="816"/>
      <c r="AA262" s="689"/>
      <c r="AC262" s="553"/>
      <c r="AD262" s="571" t="s">
        <v>825</v>
      </c>
      <c r="AE262" s="570" t="s">
        <v>6076</v>
      </c>
      <c r="AF262" s="553"/>
      <c r="AG262" s="553"/>
      <c r="AH262" s="553"/>
      <c r="AI262" s="553"/>
      <c r="AJ262" s="553"/>
      <c r="AK262" s="553"/>
      <c r="AL262" s="553"/>
      <c r="AM262" s="553"/>
      <c r="AN262" s="553"/>
      <c r="AO262" s="553"/>
      <c r="AP262" s="553"/>
      <c r="AQ262" s="553"/>
      <c r="AR262" s="553"/>
      <c r="AS262" s="553"/>
      <c r="AT262" s="553"/>
      <c r="AU262" s="553"/>
      <c r="DO262" s="494"/>
      <c r="DP262" s="496" t="s">
        <v>1643</v>
      </c>
      <c r="DQ262" s="496" t="s">
        <v>239</v>
      </c>
      <c r="DR262" s="496" t="s">
        <v>689</v>
      </c>
      <c r="DS262" s="496" t="s">
        <v>1644</v>
      </c>
      <c r="DT262" s="496" t="s">
        <v>1644</v>
      </c>
      <c r="DU262" s="496" t="s">
        <v>1554</v>
      </c>
      <c r="DV262" s="496" t="s">
        <v>1555</v>
      </c>
      <c r="DW262" s="496" t="s">
        <v>1556</v>
      </c>
      <c r="DX262" s="497" t="s">
        <v>1557</v>
      </c>
      <c r="DZ262" s="543">
        <v>1</v>
      </c>
      <c r="EB262" s="493"/>
      <c r="EC262" s="493"/>
    </row>
    <row r="263" spans="5:133" ht="21" customHeight="1">
      <c r="E263" s="716"/>
      <c r="F263" s="724"/>
      <c r="G263" s="725"/>
      <c r="H263" s="724"/>
      <c r="I263" s="726"/>
      <c r="J263" s="950"/>
      <c r="K263" s="951"/>
      <c r="L263" s="793"/>
      <c r="M263" s="952"/>
      <c r="N263" s="953"/>
      <c r="O263" s="954"/>
      <c r="P263" s="955"/>
      <c r="Q263" s="956"/>
      <c r="R263" s="957"/>
      <c r="S263" s="800"/>
      <c r="T263" s="958"/>
      <c r="U263" s="802"/>
      <c r="V263" s="959"/>
      <c r="W263" s="960"/>
      <c r="X263" s="805"/>
      <c r="Y263" s="816"/>
      <c r="AA263" s="689"/>
      <c r="AC263" s="553"/>
      <c r="AD263" s="571" t="s">
        <v>6077</v>
      </c>
      <c r="AE263" s="570" t="s">
        <v>6078</v>
      </c>
      <c r="AF263" s="553"/>
      <c r="AG263" s="553"/>
      <c r="AH263" s="553"/>
      <c r="AI263" s="553"/>
      <c r="AJ263" s="553"/>
      <c r="AK263" s="553"/>
      <c r="AL263" s="553"/>
      <c r="AM263" s="553"/>
      <c r="AN263" s="553"/>
      <c r="AO263" s="553"/>
      <c r="AP263" s="553"/>
      <c r="AQ263" s="553"/>
      <c r="AR263" s="553"/>
      <c r="AS263" s="553"/>
      <c r="AT263" s="553"/>
      <c r="AU263" s="553"/>
      <c r="DO263" s="494"/>
      <c r="DP263" s="496" t="s">
        <v>1645</v>
      </c>
      <c r="DQ263" s="496" t="s">
        <v>239</v>
      </c>
      <c r="DR263" s="496" t="s">
        <v>689</v>
      </c>
      <c r="DS263" s="496" t="s">
        <v>1646</v>
      </c>
      <c r="DT263" s="496" t="s">
        <v>1646</v>
      </c>
      <c r="DU263" s="496" t="s">
        <v>1554</v>
      </c>
      <c r="DV263" s="496" t="s">
        <v>1555</v>
      </c>
      <c r="DW263" s="496" t="s">
        <v>1556</v>
      </c>
      <c r="DX263" s="497" t="s">
        <v>1557</v>
      </c>
      <c r="DZ263" s="543">
        <v>1</v>
      </c>
      <c r="EB263" s="493"/>
      <c r="EC263" s="493"/>
    </row>
    <row r="264" spans="5:133" ht="21" customHeight="1">
      <c r="E264" s="716"/>
      <c r="F264" s="724"/>
      <c r="G264" s="725"/>
      <c r="H264" s="724"/>
      <c r="I264" s="726"/>
      <c r="J264" s="950"/>
      <c r="K264" s="951"/>
      <c r="L264" s="793"/>
      <c r="M264" s="952"/>
      <c r="N264" s="953"/>
      <c r="O264" s="954"/>
      <c r="P264" s="955"/>
      <c r="Q264" s="956"/>
      <c r="R264" s="957"/>
      <c r="S264" s="800"/>
      <c r="T264" s="958"/>
      <c r="U264" s="802"/>
      <c r="V264" s="959"/>
      <c r="W264" s="960"/>
      <c r="X264" s="805"/>
      <c r="Y264" s="816"/>
      <c r="AA264" s="689"/>
      <c r="AC264" s="553"/>
      <c r="AD264" s="571" t="s">
        <v>6079</v>
      </c>
      <c r="AE264" s="573" t="s">
        <v>6080</v>
      </c>
      <c r="AF264" s="553"/>
      <c r="AG264" s="553"/>
      <c r="AH264" s="553"/>
      <c r="AI264" s="553"/>
      <c r="AJ264" s="553"/>
      <c r="AK264" s="553"/>
      <c r="AL264" s="553"/>
      <c r="AM264" s="553"/>
      <c r="AN264" s="553"/>
      <c r="AO264" s="553"/>
      <c r="AP264" s="553"/>
      <c r="AQ264" s="553"/>
      <c r="AR264" s="553"/>
      <c r="AS264" s="553"/>
      <c r="AT264" s="553"/>
      <c r="AU264" s="553"/>
      <c r="DO264" s="494"/>
      <c r="DP264" s="496" t="s">
        <v>1647</v>
      </c>
      <c r="DQ264" s="496" t="s">
        <v>239</v>
      </c>
      <c r="DR264" s="496" t="s">
        <v>689</v>
      </c>
      <c r="DS264" s="496" t="s">
        <v>1648</v>
      </c>
      <c r="DT264" s="496" t="s">
        <v>1648</v>
      </c>
      <c r="DU264" s="496" t="s">
        <v>1554</v>
      </c>
      <c r="DV264" s="496" t="s">
        <v>1555</v>
      </c>
      <c r="DW264" s="496" t="s">
        <v>1556</v>
      </c>
      <c r="DX264" s="497" t="s">
        <v>1557</v>
      </c>
      <c r="DZ264" s="543">
        <v>1</v>
      </c>
      <c r="EB264" s="493"/>
      <c r="EC264" s="493"/>
    </row>
    <row r="265" spans="5:133" ht="21" customHeight="1">
      <c r="E265" s="716"/>
      <c r="F265" s="724"/>
      <c r="G265" s="725"/>
      <c r="H265" s="724"/>
      <c r="I265" s="726"/>
      <c r="J265" s="950"/>
      <c r="K265" s="951"/>
      <c r="L265" s="793"/>
      <c r="M265" s="952"/>
      <c r="N265" s="953"/>
      <c r="O265" s="954"/>
      <c r="P265" s="955"/>
      <c r="Q265" s="956"/>
      <c r="R265" s="957"/>
      <c r="S265" s="800"/>
      <c r="T265" s="958"/>
      <c r="U265" s="802"/>
      <c r="V265" s="959"/>
      <c r="W265" s="960"/>
      <c r="X265" s="805"/>
      <c r="Y265" s="816"/>
      <c r="AA265" s="689"/>
      <c r="AC265" s="553"/>
      <c r="AD265" s="571" t="s">
        <v>6081</v>
      </c>
      <c r="AE265" s="573" t="s">
        <v>6082</v>
      </c>
      <c r="AF265" s="553"/>
      <c r="AG265" s="553"/>
      <c r="AH265" s="553"/>
      <c r="AI265" s="553"/>
      <c r="AJ265" s="553"/>
      <c r="AK265" s="553"/>
      <c r="AL265" s="553"/>
      <c r="AM265" s="553"/>
      <c r="AN265" s="553"/>
      <c r="AO265" s="553"/>
      <c r="AP265" s="553"/>
      <c r="AQ265" s="553"/>
      <c r="AR265" s="553"/>
      <c r="AS265" s="553"/>
      <c r="AT265" s="553"/>
      <c r="AU265" s="553"/>
      <c r="DO265" s="494"/>
      <c r="DP265" s="496" t="s">
        <v>1649</v>
      </c>
      <c r="DQ265" s="496" t="s">
        <v>239</v>
      </c>
      <c r="DR265" s="496" t="s">
        <v>689</v>
      </c>
      <c r="DS265" s="496" t="s">
        <v>1650</v>
      </c>
      <c r="DT265" s="496" t="s">
        <v>1650</v>
      </c>
      <c r="DU265" s="496" t="s">
        <v>1554</v>
      </c>
      <c r="DV265" s="496" t="s">
        <v>1555</v>
      </c>
      <c r="DW265" s="496" t="s">
        <v>1556</v>
      </c>
      <c r="DX265" s="497" t="s">
        <v>1557</v>
      </c>
      <c r="DZ265" s="543">
        <v>1</v>
      </c>
      <c r="EB265" s="493"/>
      <c r="EC265" s="493"/>
    </row>
    <row r="266" spans="5:133" ht="21" customHeight="1">
      <c r="E266" s="716"/>
      <c r="F266" s="724"/>
      <c r="G266" s="725"/>
      <c r="H266" s="724"/>
      <c r="I266" s="726"/>
      <c r="J266" s="950"/>
      <c r="K266" s="951"/>
      <c r="L266" s="793"/>
      <c r="M266" s="952"/>
      <c r="N266" s="953"/>
      <c r="O266" s="954"/>
      <c r="P266" s="955"/>
      <c r="Q266" s="956"/>
      <c r="R266" s="957"/>
      <c r="S266" s="800"/>
      <c r="T266" s="958"/>
      <c r="U266" s="802"/>
      <c r="V266" s="959"/>
      <c r="W266" s="960"/>
      <c r="X266" s="805"/>
      <c r="Y266" s="816"/>
      <c r="AA266" s="689"/>
      <c r="AC266" s="553"/>
      <c r="AD266" s="571" t="s">
        <v>6045</v>
      </c>
      <c r="AE266" s="573" t="s">
        <v>6083</v>
      </c>
      <c r="AF266" s="553"/>
      <c r="AG266" s="553"/>
      <c r="AH266" s="553"/>
      <c r="AI266" s="553"/>
      <c r="AJ266" s="553"/>
      <c r="AK266" s="553"/>
      <c r="AL266" s="553"/>
      <c r="AM266" s="553"/>
      <c r="AN266" s="553"/>
      <c r="AO266" s="553"/>
      <c r="AP266" s="553"/>
      <c r="AQ266" s="553"/>
      <c r="AR266" s="553"/>
      <c r="AS266" s="553"/>
      <c r="AT266" s="553"/>
      <c r="AU266" s="553"/>
      <c r="DO266" s="494"/>
      <c r="DP266" s="496" t="s">
        <v>1651</v>
      </c>
      <c r="DQ266" s="496" t="s">
        <v>239</v>
      </c>
      <c r="DR266" s="496" t="s">
        <v>689</v>
      </c>
      <c r="DS266" s="496" t="s">
        <v>1652</v>
      </c>
      <c r="DT266" s="496" t="s">
        <v>1652</v>
      </c>
      <c r="DU266" s="496" t="s">
        <v>1554</v>
      </c>
      <c r="DV266" s="496" t="s">
        <v>1555</v>
      </c>
      <c r="DW266" s="496" t="s">
        <v>1556</v>
      </c>
      <c r="DX266" s="497" t="s">
        <v>1557</v>
      </c>
      <c r="DZ266" s="543">
        <v>1</v>
      </c>
      <c r="EB266" s="493"/>
      <c r="EC266" s="493"/>
    </row>
    <row r="267" spans="5:133" ht="21" customHeight="1">
      <c r="E267" s="716"/>
      <c r="F267" s="724"/>
      <c r="G267" s="725"/>
      <c r="H267" s="724"/>
      <c r="I267" s="726"/>
      <c r="J267" s="950"/>
      <c r="K267" s="951"/>
      <c r="L267" s="793"/>
      <c r="M267" s="952"/>
      <c r="N267" s="953"/>
      <c r="O267" s="954"/>
      <c r="P267" s="955"/>
      <c r="Q267" s="956"/>
      <c r="R267" s="957"/>
      <c r="S267" s="800"/>
      <c r="T267" s="958"/>
      <c r="U267" s="802"/>
      <c r="V267" s="959"/>
      <c r="W267" s="960"/>
      <c r="X267" s="805"/>
      <c r="Y267" s="816"/>
      <c r="AA267" s="689"/>
      <c r="AC267" s="553"/>
      <c r="AD267" s="571" t="s">
        <v>6084</v>
      </c>
      <c r="AE267" s="573" t="s">
        <v>6085</v>
      </c>
      <c r="AF267" s="553"/>
      <c r="AG267" s="553"/>
      <c r="AH267" s="553"/>
      <c r="AI267" s="553"/>
      <c r="AJ267" s="553"/>
      <c r="AK267" s="553"/>
      <c r="AL267" s="553"/>
      <c r="AM267" s="553"/>
      <c r="AN267" s="553"/>
      <c r="AO267" s="553"/>
      <c r="AP267" s="553"/>
      <c r="AQ267" s="553"/>
      <c r="AR267" s="553"/>
      <c r="AS267" s="553"/>
      <c r="AT267" s="553"/>
      <c r="AU267" s="553"/>
      <c r="DO267" s="494"/>
      <c r="DP267" s="496" t="s">
        <v>1653</v>
      </c>
      <c r="DQ267" s="496" t="s">
        <v>239</v>
      </c>
      <c r="DR267" s="496" t="s">
        <v>689</v>
      </c>
      <c r="DS267" s="496" t="s">
        <v>1654</v>
      </c>
      <c r="DT267" s="496" t="s">
        <v>1654</v>
      </c>
      <c r="DU267" s="496" t="s">
        <v>1554</v>
      </c>
      <c r="DV267" s="496" t="s">
        <v>1555</v>
      </c>
      <c r="DW267" s="496" t="s">
        <v>1556</v>
      </c>
      <c r="DX267" s="497" t="s">
        <v>1557</v>
      </c>
      <c r="DZ267" s="543">
        <v>1</v>
      </c>
      <c r="EB267" s="493"/>
      <c r="EC267" s="493"/>
    </row>
    <row r="268" spans="5:133" ht="21" customHeight="1">
      <c r="E268" s="716"/>
      <c r="F268" s="724"/>
      <c r="G268" s="725"/>
      <c r="H268" s="724"/>
      <c r="I268" s="726"/>
      <c r="J268" s="950"/>
      <c r="K268" s="951"/>
      <c r="L268" s="793"/>
      <c r="M268" s="952"/>
      <c r="N268" s="953"/>
      <c r="O268" s="954"/>
      <c r="P268" s="955"/>
      <c r="Q268" s="956"/>
      <c r="R268" s="957"/>
      <c r="S268" s="800"/>
      <c r="T268" s="958"/>
      <c r="U268" s="802"/>
      <c r="V268" s="959"/>
      <c r="W268" s="960"/>
      <c r="X268" s="805"/>
      <c r="Y268" s="816"/>
      <c r="AA268" s="689"/>
      <c r="AC268" s="553"/>
      <c r="AD268" s="574"/>
      <c r="AE268" s="572"/>
      <c r="AF268" s="553"/>
      <c r="AG268" s="553"/>
      <c r="AH268" s="553"/>
      <c r="AI268" s="553"/>
      <c r="AJ268" s="553"/>
      <c r="AK268" s="553"/>
      <c r="AL268" s="553"/>
      <c r="AM268" s="553"/>
      <c r="AN268" s="553"/>
      <c r="AO268" s="553"/>
      <c r="AP268" s="553"/>
      <c r="AQ268" s="553"/>
      <c r="AR268" s="553"/>
      <c r="AS268" s="553"/>
      <c r="AT268" s="553"/>
      <c r="AU268" s="553"/>
      <c r="DO268" s="494"/>
      <c r="DP268" s="496" t="s">
        <v>1655</v>
      </c>
      <c r="DQ268" s="496" t="s">
        <v>239</v>
      </c>
      <c r="DR268" s="496" t="s">
        <v>689</v>
      </c>
      <c r="DS268" s="496" t="s">
        <v>55</v>
      </c>
      <c r="DT268" s="496" t="s">
        <v>55</v>
      </c>
      <c r="DU268" s="496" t="s">
        <v>1554</v>
      </c>
      <c r="DV268" s="496" t="s">
        <v>1561</v>
      </c>
      <c r="DW268" s="496" t="s">
        <v>1087</v>
      </c>
      <c r="DX268" s="497" t="s">
        <v>1088</v>
      </c>
      <c r="DZ268" s="543">
        <v>1</v>
      </c>
      <c r="EB268" s="493"/>
      <c r="EC268" s="493"/>
    </row>
    <row r="269" spans="5:133" ht="21" customHeight="1">
      <c r="E269" s="716"/>
      <c r="F269" s="724"/>
      <c r="G269" s="725"/>
      <c r="H269" s="724"/>
      <c r="I269" s="726"/>
      <c r="J269" s="950"/>
      <c r="K269" s="951"/>
      <c r="L269" s="793"/>
      <c r="M269" s="952"/>
      <c r="N269" s="953"/>
      <c r="O269" s="954"/>
      <c r="P269" s="955"/>
      <c r="Q269" s="956"/>
      <c r="R269" s="957"/>
      <c r="S269" s="800"/>
      <c r="T269" s="958"/>
      <c r="U269" s="802"/>
      <c r="V269" s="959"/>
      <c r="W269" s="960"/>
      <c r="X269" s="805"/>
      <c r="Y269" s="816"/>
      <c r="AA269" s="689"/>
      <c r="AC269" s="553"/>
      <c r="AD269" s="567" t="s">
        <v>6086</v>
      </c>
      <c r="AE269" s="565" t="s">
        <v>6087</v>
      </c>
      <c r="AF269" s="553"/>
      <c r="AG269" s="553"/>
      <c r="AH269" s="553"/>
      <c r="AI269" s="553"/>
      <c r="AJ269" s="553"/>
      <c r="AK269" s="553"/>
      <c r="AL269" s="553"/>
      <c r="AM269" s="553"/>
      <c r="AN269" s="553"/>
      <c r="AO269" s="553"/>
      <c r="AP269" s="553"/>
      <c r="AQ269" s="553"/>
      <c r="AR269" s="553"/>
      <c r="AS269" s="553"/>
      <c r="AT269" s="553"/>
      <c r="AU269" s="553"/>
      <c r="DO269" s="494"/>
      <c r="DP269" s="496" t="s">
        <v>1656</v>
      </c>
      <c r="DQ269" s="496" t="s">
        <v>239</v>
      </c>
      <c r="DR269" s="496" t="s">
        <v>689</v>
      </c>
      <c r="DS269" s="496" t="s">
        <v>143</v>
      </c>
      <c r="DT269" s="496" t="s">
        <v>143</v>
      </c>
      <c r="DU269" s="496" t="s">
        <v>1554</v>
      </c>
      <c r="DV269" s="496" t="s">
        <v>1555</v>
      </c>
      <c r="DW269" s="496" t="s">
        <v>1556</v>
      </c>
      <c r="DX269" s="497" t="s">
        <v>1557</v>
      </c>
      <c r="DZ269" s="543">
        <v>1</v>
      </c>
      <c r="EB269" s="493"/>
      <c r="EC269" s="493"/>
    </row>
    <row r="270" spans="5:133" ht="21" customHeight="1">
      <c r="E270" s="716"/>
      <c r="F270" s="724"/>
      <c r="G270" s="725"/>
      <c r="H270" s="724"/>
      <c r="I270" s="726"/>
      <c r="J270" s="950"/>
      <c r="K270" s="951"/>
      <c r="L270" s="793"/>
      <c r="M270" s="952"/>
      <c r="N270" s="953"/>
      <c r="O270" s="954"/>
      <c r="P270" s="955"/>
      <c r="Q270" s="956"/>
      <c r="R270" s="957"/>
      <c r="S270" s="800"/>
      <c r="T270" s="958"/>
      <c r="U270" s="802"/>
      <c r="V270" s="959"/>
      <c r="W270" s="960"/>
      <c r="X270" s="805"/>
      <c r="Y270" s="816"/>
      <c r="AA270" s="689"/>
      <c r="AC270" s="553"/>
      <c r="AD270" s="574"/>
      <c r="AE270" s="565" t="s">
        <v>6088</v>
      </c>
      <c r="AF270" s="553"/>
      <c r="AG270" s="553"/>
      <c r="AH270" s="553"/>
      <c r="AI270" s="553"/>
      <c r="AJ270" s="553"/>
      <c r="AK270" s="553"/>
      <c r="AL270" s="553"/>
      <c r="AM270" s="553"/>
      <c r="AN270" s="553"/>
      <c r="AO270" s="553"/>
      <c r="AP270" s="553"/>
      <c r="AQ270" s="553"/>
      <c r="AR270" s="553"/>
      <c r="AS270" s="553"/>
      <c r="AT270" s="553"/>
      <c r="AU270" s="553"/>
      <c r="DO270" s="494"/>
      <c r="DP270" s="496" t="s">
        <v>1657</v>
      </c>
      <c r="DQ270" s="496" t="s">
        <v>239</v>
      </c>
      <c r="DR270" s="496" t="s">
        <v>689</v>
      </c>
      <c r="DS270" s="496" t="s">
        <v>1658</v>
      </c>
      <c r="DT270" s="496" t="s">
        <v>1658</v>
      </c>
      <c r="DU270" s="496" t="s">
        <v>1554</v>
      </c>
      <c r="DV270" s="496" t="s">
        <v>1555</v>
      </c>
      <c r="DW270" s="496" t="s">
        <v>1556</v>
      </c>
      <c r="DX270" s="497" t="s">
        <v>1557</v>
      </c>
      <c r="DZ270" s="543">
        <v>1</v>
      </c>
      <c r="EB270" s="493"/>
      <c r="EC270" s="493"/>
    </row>
    <row r="271" spans="5:133" ht="21" customHeight="1">
      <c r="E271" s="716"/>
      <c r="F271" s="724"/>
      <c r="G271" s="725"/>
      <c r="H271" s="724"/>
      <c r="I271" s="726"/>
      <c r="J271" s="950"/>
      <c r="K271" s="951"/>
      <c r="L271" s="793"/>
      <c r="M271" s="952"/>
      <c r="N271" s="953"/>
      <c r="O271" s="954"/>
      <c r="P271" s="955"/>
      <c r="Q271" s="956"/>
      <c r="R271" s="957"/>
      <c r="S271" s="800"/>
      <c r="T271" s="958"/>
      <c r="U271" s="802"/>
      <c r="V271" s="959"/>
      <c r="W271" s="960"/>
      <c r="X271" s="805"/>
      <c r="Y271" s="816"/>
      <c r="AA271" s="689"/>
      <c r="AC271" s="553"/>
      <c r="AD271" s="574"/>
      <c r="AE271" s="572"/>
      <c r="AF271" s="553"/>
      <c r="AG271" s="553"/>
      <c r="AH271" s="553"/>
      <c r="AI271" s="553"/>
      <c r="AJ271" s="553"/>
      <c r="AK271" s="553"/>
      <c r="AL271" s="553"/>
      <c r="AM271" s="553"/>
      <c r="AN271" s="553"/>
      <c r="AO271" s="553"/>
      <c r="AP271" s="553"/>
      <c r="AQ271" s="553"/>
      <c r="AR271" s="553"/>
      <c r="AS271" s="553"/>
      <c r="AT271" s="553"/>
      <c r="AU271" s="553"/>
      <c r="DO271" s="494"/>
      <c r="DP271" s="496" t="s">
        <v>1659</v>
      </c>
      <c r="DQ271" s="496" t="s">
        <v>239</v>
      </c>
      <c r="DR271" s="496" t="s">
        <v>689</v>
      </c>
      <c r="DS271" s="496" t="s">
        <v>1660</v>
      </c>
      <c r="DT271" s="496" t="s">
        <v>1660</v>
      </c>
      <c r="DU271" s="496" t="s">
        <v>1554</v>
      </c>
      <c r="DV271" s="496" t="s">
        <v>1555</v>
      </c>
      <c r="DW271" s="496" t="s">
        <v>1556</v>
      </c>
      <c r="DX271" s="497" t="s">
        <v>1557</v>
      </c>
      <c r="DZ271" s="543">
        <v>1</v>
      </c>
      <c r="EB271" s="493"/>
      <c r="EC271" s="493"/>
    </row>
    <row r="272" spans="5:133" ht="21" customHeight="1">
      <c r="E272" s="716"/>
      <c r="F272" s="724"/>
      <c r="G272" s="725"/>
      <c r="H272" s="724"/>
      <c r="I272" s="726"/>
      <c r="J272" s="950"/>
      <c r="K272" s="951"/>
      <c r="L272" s="793"/>
      <c r="M272" s="952"/>
      <c r="N272" s="953"/>
      <c r="O272" s="954"/>
      <c r="P272" s="955"/>
      <c r="Q272" s="956"/>
      <c r="R272" s="957"/>
      <c r="S272" s="800"/>
      <c r="T272" s="958"/>
      <c r="U272" s="802"/>
      <c r="V272" s="959"/>
      <c r="W272" s="960"/>
      <c r="X272" s="805"/>
      <c r="Y272" s="816"/>
      <c r="AA272" s="689"/>
      <c r="AC272" s="553"/>
      <c r="AD272" s="575" t="s">
        <v>6089</v>
      </c>
      <c r="AE272" s="553"/>
      <c r="AF272" s="553"/>
      <c r="AG272" s="553"/>
      <c r="AH272" s="553"/>
      <c r="AI272" s="553"/>
      <c r="AJ272" s="553"/>
      <c r="AK272" s="553"/>
      <c r="AL272" s="553"/>
      <c r="AM272" s="553"/>
      <c r="AN272" s="553"/>
      <c r="AO272" s="553"/>
      <c r="AP272" s="553"/>
      <c r="AQ272" s="553"/>
      <c r="AR272" s="553"/>
      <c r="AS272" s="553"/>
      <c r="AT272" s="553"/>
      <c r="AU272" s="553"/>
      <c r="DO272" s="494"/>
      <c r="DP272" s="496" t="s">
        <v>1661</v>
      </c>
      <c r="DQ272" s="496" t="s">
        <v>239</v>
      </c>
      <c r="DR272" s="496" t="s">
        <v>689</v>
      </c>
      <c r="DS272" s="496" t="s">
        <v>1662</v>
      </c>
      <c r="DT272" s="496" t="s">
        <v>1662</v>
      </c>
      <c r="DU272" s="496" t="s">
        <v>1554</v>
      </c>
      <c r="DV272" s="496" t="s">
        <v>1555</v>
      </c>
      <c r="DW272" s="496" t="s">
        <v>1556</v>
      </c>
      <c r="DX272" s="497" t="s">
        <v>1557</v>
      </c>
      <c r="DZ272" s="543">
        <v>1</v>
      </c>
      <c r="EB272" s="493"/>
      <c r="EC272" s="493"/>
    </row>
    <row r="273" spans="5:133" ht="21" customHeight="1">
      <c r="E273" s="716"/>
      <c r="F273" s="724"/>
      <c r="G273" s="725"/>
      <c r="H273" s="724"/>
      <c r="I273" s="726"/>
      <c r="J273" s="950"/>
      <c r="K273" s="951"/>
      <c r="L273" s="793"/>
      <c r="M273" s="952"/>
      <c r="N273" s="953"/>
      <c r="O273" s="954"/>
      <c r="P273" s="955"/>
      <c r="Q273" s="956"/>
      <c r="R273" s="957"/>
      <c r="S273" s="800"/>
      <c r="T273" s="958"/>
      <c r="U273" s="802"/>
      <c r="V273" s="959"/>
      <c r="W273" s="960"/>
      <c r="X273" s="805"/>
      <c r="Y273" s="816"/>
      <c r="AA273" s="689"/>
      <c r="AC273" s="553"/>
      <c r="AD273" s="533" t="s">
        <v>6090</v>
      </c>
      <c r="AE273" s="553"/>
      <c r="AF273" s="553"/>
      <c r="AG273" s="553"/>
      <c r="AH273" s="553"/>
      <c r="AI273" s="553"/>
      <c r="AJ273" s="553"/>
      <c r="AK273" s="553"/>
      <c r="AL273" s="553"/>
      <c r="AM273" s="553"/>
      <c r="AN273" s="553"/>
      <c r="AO273" s="553"/>
      <c r="AP273" s="553"/>
      <c r="AQ273" s="553"/>
      <c r="AR273" s="553"/>
      <c r="AS273" s="553"/>
      <c r="AT273" s="553"/>
      <c r="AU273" s="553"/>
      <c r="DO273" s="494"/>
      <c r="DP273" s="496" t="s">
        <v>1663</v>
      </c>
      <c r="DQ273" s="496" t="s">
        <v>239</v>
      </c>
      <c r="DR273" s="496" t="s">
        <v>689</v>
      </c>
      <c r="DS273" s="496" t="s">
        <v>1664</v>
      </c>
      <c r="DT273" s="496" t="s">
        <v>1664</v>
      </c>
      <c r="DU273" s="496" t="s">
        <v>1554</v>
      </c>
      <c r="DV273" s="496" t="s">
        <v>1555</v>
      </c>
      <c r="DW273" s="496" t="s">
        <v>1556</v>
      </c>
      <c r="DX273" s="497" t="s">
        <v>1557</v>
      </c>
      <c r="DZ273" s="543">
        <v>1</v>
      </c>
      <c r="EB273" s="493"/>
      <c r="EC273" s="493"/>
    </row>
    <row r="274" spans="5:133" ht="21" customHeight="1">
      <c r="E274" s="716"/>
      <c r="F274" s="724"/>
      <c r="G274" s="725"/>
      <c r="H274" s="724"/>
      <c r="I274" s="726"/>
      <c r="J274" s="950"/>
      <c r="K274" s="951"/>
      <c r="L274" s="793"/>
      <c r="M274" s="952"/>
      <c r="N274" s="953"/>
      <c r="O274" s="954"/>
      <c r="P274" s="955"/>
      <c r="Q274" s="956"/>
      <c r="R274" s="957"/>
      <c r="S274" s="800"/>
      <c r="T274" s="958"/>
      <c r="U274" s="802"/>
      <c r="V274" s="959"/>
      <c r="W274" s="960"/>
      <c r="X274" s="805"/>
      <c r="Y274" s="816"/>
      <c r="AA274" s="689"/>
      <c r="AC274" s="553"/>
      <c r="AD274" s="533" t="s">
        <v>6091</v>
      </c>
      <c r="AE274" s="553"/>
      <c r="AF274" s="553"/>
      <c r="AG274" s="553"/>
      <c r="AH274" s="553"/>
      <c r="AI274" s="553"/>
      <c r="AJ274" s="553"/>
      <c r="AK274" s="553"/>
      <c r="AL274" s="553"/>
      <c r="AM274" s="553"/>
      <c r="AN274" s="553"/>
      <c r="AO274" s="553"/>
      <c r="AP274" s="553"/>
      <c r="AQ274" s="553"/>
      <c r="AR274" s="553"/>
      <c r="AS274" s="553"/>
      <c r="AT274" s="553"/>
      <c r="AU274" s="553"/>
      <c r="DO274" s="494"/>
      <c r="DP274" s="496" t="s">
        <v>1665</v>
      </c>
      <c r="DQ274" s="496" t="s">
        <v>239</v>
      </c>
      <c r="DR274" s="496" t="s">
        <v>689</v>
      </c>
      <c r="DS274" s="496" t="s">
        <v>1666</v>
      </c>
      <c r="DT274" s="496" t="s">
        <v>1666</v>
      </c>
      <c r="DU274" s="496" t="s">
        <v>1554</v>
      </c>
      <c r="DV274" s="496" t="s">
        <v>1555</v>
      </c>
      <c r="DW274" s="496" t="s">
        <v>1556</v>
      </c>
      <c r="DX274" s="497" t="s">
        <v>1557</v>
      </c>
      <c r="DZ274" s="543">
        <v>1</v>
      </c>
      <c r="EB274" s="493"/>
      <c r="EC274" s="493"/>
    </row>
    <row r="275" spans="5:133" ht="21" customHeight="1">
      <c r="E275" s="716"/>
      <c r="F275" s="724"/>
      <c r="G275" s="725"/>
      <c r="H275" s="724"/>
      <c r="I275" s="726"/>
      <c r="J275" s="950"/>
      <c r="K275" s="951"/>
      <c r="L275" s="793"/>
      <c r="M275" s="952"/>
      <c r="N275" s="953"/>
      <c r="O275" s="954"/>
      <c r="P275" s="955"/>
      <c r="Q275" s="956"/>
      <c r="R275" s="957"/>
      <c r="S275" s="800"/>
      <c r="T275" s="958"/>
      <c r="U275" s="802"/>
      <c r="V275" s="959"/>
      <c r="W275" s="960"/>
      <c r="X275" s="805"/>
      <c r="Y275" s="816"/>
      <c r="AA275" s="689"/>
      <c r="AC275" s="553"/>
      <c r="AD275" s="533" t="s">
        <v>6092</v>
      </c>
      <c r="AE275" s="553"/>
      <c r="AF275" s="553"/>
      <c r="AG275" s="553"/>
      <c r="AH275" s="553"/>
      <c r="AI275" s="553"/>
      <c r="AJ275" s="553"/>
      <c r="AK275" s="553"/>
      <c r="AL275" s="553"/>
      <c r="AM275" s="553"/>
      <c r="AN275" s="553"/>
      <c r="AO275" s="553"/>
      <c r="AP275" s="553"/>
      <c r="AQ275" s="553"/>
      <c r="AR275" s="553"/>
      <c r="AS275" s="553"/>
      <c r="AT275" s="553"/>
      <c r="AU275" s="553"/>
      <c r="DO275" s="494"/>
      <c r="DP275" s="496" t="s">
        <v>1667</v>
      </c>
      <c r="DQ275" s="496" t="s">
        <v>239</v>
      </c>
      <c r="DR275" s="496" t="s">
        <v>689</v>
      </c>
      <c r="DS275" s="496" t="s">
        <v>1668</v>
      </c>
      <c r="DT275" s="496" t="s">
        <v>1668</v>
      </c>
      <c r="DU275" s="496" t="s">
        <v>1554</v>
      </c>
      <c r="DV275" s="496" t="s">
        <v>1555</v>
      </c>
      <c r="DW275" s="496" t="s">
        <v>1556</v>
      </c>
      <c r="DX275" s="497" t="s">
        <v>1557</v>
      </c>
      <c r="DZ275" s="543">
        <v>1</v>
      </c>
      <c r="EB275" s="493"/>
      <c r="EC275" s="493"/>
    </row>
    <row r="276" spans="5:133" ht="21" customHeight="1">
      <c r="E276" s="716"/>
      <c r="F276" s="724"/>
      <c r="G276" s="725"/>
      <c r="H276" s="724"/>
      <c r="I276" s="726"/>
      <c r="J276" s="950"/>
      <c r="K276" s="951"/>
      <c r="L276" s="793"/>
      <c r="M276" s="952"/>
      <c r="N276" s="953"/>
      <c r="O276" s="954"/>
      <c r="P276" s="955"/>
      <c r="Q276" s="956"/>
      <c r="R276" s="957"/>
      <c r="S276" s="800"/>
      <c r="T276" s="958"/>
      <c r="U276" s="802"/>
      <c r="V276" s="959"/>
      <c r="W276" s="960"/>
      <c r="X276" s="805"/>
      <c r="Y276" s="816"/>
      <c r="AA276" s="689"/>
      <c r="AC276" s="553"/>
      <c r="AD276" s="533" t="s">
        <v>6093</v>
      </c>
      <c r="AE276" s="553"/>
      <c r="AF276" s="553"/>
      <c r="AG276" s="553"/>
      <c r="AH276" s="553"/>
      <c r="AI276" s="553"/>
      <c r="AJ276" s="553"/>
      <c r="AK276" s="553"/>
      <c r="AL276" s="553"/>
      <c r="AM276" s="553"/>
      <c r="AN276" s="553"/>
      <c r="AO276" s="553"/>
      <c r="AP276" s="553"/>
      <c r="AQ276" s="553"/>
      <c r="AR276" s="553"/>
      <c r="AS276" s="553"/>
      <c r="AT276" s="553"/>
      <c r="AU276" s="553"/>
      <c r="DO276" s="494"/>
      <c r="DP276" s="496" t="s">
        <v>1669</v>
      </c>
      <c r="DQ276" s="496" t="s">
        <v>239</v>
      </c>
      <c r="DR276" s="496" t="s">
        <v>689</v>
      </c>
      <c r="DS276" s="496" t="s">
        <v>288</v>
      </c>
      <c r="DT276" s="496" t="s">
        <v>152</v>
      </c>
      <c r="DU276" s="496" t="s">
        <v>1554</v>
      </c>
      <c r="DV276" s="496" t="s">
        <v>1561</v>
      </c>
      <c r="DW276" s="496" t="s">
        <v>1087</v>
      </c>
      <c r="DX276" s="497" t="s">
        <v>1088</v>
      </c>
      <c r="DZ276" s="543">
        <v>1</v>
      </c>
      <c r="EB276" s="493"/>
      <c r="EC276" s="493"/>
    </row>
    <row r="277" spans="5:133" ht="21" customHeight="1">
      <c r="E277" s="716"/>
      <c r="F277" s="724"/>
      <c r="G277" s="725"/>
      <c r="H277" s="724"/>
      <c r="I277" s="726"/>
      <c r="J277" s="950"/>
      <c r="K277" s="951"/>
      <c r="L277" s="793"/>
      <c r="M277" s="952"/>
      <c r="N277" s="953"/>
      <c r="O277" s="954"/>
      <c r="P277" s="955"/>
      <c r="Q277" s="956"/>
      <c r="R277" s="957"/>
      <c r="S277" s="800"/>
      <c r="T277" s="958"/>
      <c r="U277" s="802"/>
      <c r="V277" s="959"/>
      <c r="W277" s="960"/>
      <c r="X277" s="805"/>
      <c r="Y277" s="816"/>
      <c r="AA277" s="689"/>
      <c r="AC277" s="553"/>
      <c r="AD277" s="533" t="s">
        <v>6094</v>
      </c>
      <c r="AE277" s="553"/>
      <c r="AF277" s="553"/>
      <c r="AG277" s="553"/>
      <c r="AH277" s="553"/>
      <c r="AI277" s="553"/>
      <c r="AJ277" s="553"/>
      <c r="AK277" s="553"/>
      <c r="AL277" s="553"/>
      <c r="AM277" s="553"/>
      <c r="AN277" s="553"/>
      <c r="AO277" s="553"/>
      <c r="AP277" s="553"/>
      <c r="AQ277" s="553"/>
      <c r="AR277" s="553"/>
      <c r="AS277" s="553"/>
      <c r="AT277" s="553"/>
      <c r="AU277" s="553"/>
      <c r="DO277" s="494"/>
      <c r="DP277" s="496" t="s">
        <v>1670</v>
      </c>
      <c r="DQ277" s="496" t="s">
        <v>239</v>
      </c>
      <c r="DR277" s="496" t="s">
        <v>689</v>
      </c>
      <c r="DS277" s="496" t="s">
        <v>1671</v>
      </c>
      <c r="DT277" s="496" t="s">
        <v>1671</v>
      </c>
      <c r="DU277" s="496" t="s">
        <v>1554</v>
      </c>
      <c r="DV277" s="496" t="s">
        <v>1555</v>
      </c>
      <c r="DW277" s="496" t="s">
        <v>1556</v>
      </c>
      <c r="DX277" s="497" t="s">
        <v>1557</v>
      </c>
      <c r="DZ277" s="543">
        <v>1</v>
      </c>
      <c r="EB277" s="493"/>
      <c r="EC277" s="493"/>
    </row>
    <row r="278" spans="5:133" ht="21" customHeight="1">
      <c r="E278" s="716"/>
      <c r="F278" s="724"/>
      <c r="G278" s="725"/>
      <c r="H278" s="724"/>
      <c r="I278" s="726"/>
      <c r="J278" s="950"/>
      <c r="K278" s="951"/>
      <c r="L278" s="793"/>
      <c r="M278" s="952"/>
      <c r="N278" s="953"/>
      <c r="O278" s="954"/>
      <c r="P278" s="955"/>
      <c r="Q278" s="956"/>
      <c r="R278" s="957"/>
      <c r="S278" s="800"/>
      <c r="T278" s="958"/>
      <c r="U278" s="802"/>
      <c r="V278" s="959"/>
      <c r="W278" s="960"/>
      <c r="X278" s="805"/>
      <c r="Y278" s="816"/>
      <c r="AA278" s="689"/>
      <c r="AC278" s="553"/>
      <c r="AD278" s="533" t="s">
        <v>6095</v>
      </c>
      <c r="AE278" s="553"/>
      <c r="AF278" s="553"/>
      <c r="AG278" s="553"/>
      <c r="AH278" s="553"/>
      <c r="AI278" s="553"/>
      <c r="AJ278" s="553"/>
      <c r="AK278" s="553"/>
      <c r="AL278" s="553"/>
      <c r="AM278" s="553"/>
      <c r="AN278" s="553"/>
      <c r="AO278" s="553"/>
      <c r="AP278" s="553"/>
      <c r="AQ278" s="553"/>
      <c r="AR278" s="553"/>
      <c r="AS278" s="553"/>
      <c r="AT278" s="553"/>
      <c r="AU278" s="553"/>
      <c r="DO278" s="494"/>
      <c r="DP278" s="496" t="s">
        <v>1672</v>
      </c>
      <c r="DQ278" s="496" t="s">
        <v>239</v>
      </c>
      <c r="DR278" s="496" t="s">
        <v>689</v>
      </c>
      <c r="DS278" s="496" t="s">
        <v>1673</v>
      </c>
      <c r="DT278" s="496" t="s">
        <v>1674</v>
      </c>
      <c r="DU278" s="496" t="s">
        <v>1554</v>
      </c>
      <c r="DV278" s="496" t="s">
        <v>1561</v>
      </c>
      <c r="DW278" s="496" t="s">
        <v>1087</v>
      </c>
      <c r="DX278" s="497" t="s">
        <v>1088</v>
      </c>
      <c r="DZ278" s="543">
        <v>1</v>
      </c>
      <c r="EB278" s="493"/>
      <c r="EC278" s="493"/>
    </row>
    <row r="279" spans="5:133" ht="21" customHeight="1">
      <c r="E279" s="716"/>
      <c r="F279" s="724"/>
      <c r="G279" s="725"/>
      <c r="H279" s="724"/>
      <c r="I279" s="726"/>
      <c r="J279" s="950"/>
      <c r="K279" s="951"/>
      <c r="L279" s="793"/>
      <c r="M279" s="952"/>
      <c r="N279" s="953"/>
      <c r="O279" s="954"/>
      <c r="P279" s="955"/>
      <c r="Q279" s="956"/>
      <c r="R279" s="957"/>
      <c r="S279" s="800"/>
      <c r="T279" s="958"/>
      <c r="U279" s="802"/>
      <c r="V279" s="959"/>
      <c r="W279" s="960"/>
      <c r="X279" s="805"/>
      <c r="Y279" s="816"/>
      <c r="AA279" s="689"/>
      <c r="AC279" s="553"/>
      <c r="AD279" s="533" t="s">
        <v>6096</v>
      </c>
      <c r="AE279" s="553"/>
      <c r="AF279" s="553"/>
      <c r="AG279" s="553"/>
      <c r="AH279" s="553"/>
      <c r="AI279" s="553"/>
      <c r="AJ279" s="553"/>
      <c r="AK279" s="553"/>
      <c r="AL279" s="553"/>
      <c r="AM279" s="553"/>
      <c r="AN279" s="553"/>
      <c r="AO279" s="553"/>
      <c r="AP279" s="553"/>
      <c r="AQ279" s="553"/>
      <c r="AR279" s="553"/>
      <c r="AS279" s="553"/>
      <c r="AT279" s="553"/>
      <c r="AU279" s="553"/>
      <c r="DO279" s="494"/>
      <c r="DP279" s="496" t="s">
        <v>1675</v>
      </c>
      <c r="DQ279" s="496" t="s">
        <v>239</v>
      </c>
      <c r="DR279" s="496" t="s">
        <v>689</v>
      </c>
      <c r="DS279" s="496" t="s">
        <v>1676</v>
      </c>
      <c r="DT279" s="496" t="s">
        <v>866</v>
      </c>
      <c r="DU279" s="496" t="s">
        <v>1554</v>
      </c>
      <c r="DV279" s="496" t="s">
        <v>1561</v>
      </c>
      <c r="DW279" s="496" t="s">
        <v>1087</v>
      </c>
      <c r="DX279" s="497" t="s">
        <v>1088</v>
      </c>
      <c r="DZ279" s="543">
        <v>1</v>
      </c>
      <c r="EB279" s="493"/>
      <c r="EC279" s="493"/>
    </row>
    <row r="280" spans="5:133" ht="21" customHeight="1">
      <c r="E280" s="716"/>
      <c r="F280" s="724"/>
      <c r="G280" s="725"/>
      <c r="H280" s="724"/>
      <c r="I280" s="726"/>
      <c r="J280" s="950"/>
      <c r="K280" s="951"/>
      <c r="L280" s="793"/>
      <c r="M280" s="952"/>
      <c r="N280" s="953"/>
      <c r="O280" s="954"/>
      <c r="P280" s="955"/>
      <c r="Q280" s="956"/>
      <c r="R280" s="957"/>
      <c r="S280" s="800"/>
      <c r="T280" s="958"/>
      <c r="U280" s="802"/>
      <c r="V280" s="959"/>
      <c r="W280" s="960"/>
      <c r="X280" s="805"/>
      <c r="Y280" s="816"/>
      <c r="AA280" s="689"/>
      <c r="AC280" s="553"/>
      <c r="AD280" s="533" t="s">
        <v>6097</v>
      </c>
      <c r="AE280" s="553"/>
      <c r="AF280" s="553"/>
      <c r="AG280" s="553"/>
      <c r="AH280" s="553"/>
      <c r="AI280" s="553"/>
      <c r="AJ280" s="553"/>
      <c r="AK280" s="553"/>
      <c r="AL280" s="553"/>
      <c r="AM280" s="553"/>
      <c r="AN280" s="553"/>
      <c r="AO280" s="553"/>
      <c r="AP280" s="553"/>
      <c r="AQ280" s="553"/>
      <c r="AR280" s="553"/>
      <c r="AS280" s="553"/>
      <c r="AT280" s="553"/>
      <c r="AU280" s="553"/>
      <c r="DO280" s="494"/>
      <c r="DP280" s="496" t="s">
        <v>1677</v>
      </c>
      <c r="DQ280" s="496" t="s">
        <v>239</v>
      </c>
      <c r="DR280" s="496" t="s">
        <v>689</v>
      </c>
      <c r="DS280" s="496" t="s">
        <v>868</v>
      </c>
      <c r="DT280" s="496" t="s">
        <v>868</v>
      </c>
      <c r="DU280" s="496" t="s">
        <v>1554</v>
      </c>
      <c r="DV280" s="496" t="s">
        <v>1555</v>
      </c>
      <c r="DW280" s="496" t="s">
        <v>1556</v>
      </c>
      <c r="DX280" s="497" t="s">
        <v>1557</v>
      </c>
      <c r="DZ280" s="543">
        <v>1</v>
      </c>
      <c r="EB280" s="493"/>
      <c r="EC280" s="493"/>
    </row>
    <row r="281" spans="5:133" ht="21" customHeight="1">
      <c r="E281" s="716"/>
      <c r="F281" s="724"/>
      <c r="G281" s="725"/>
      <c r="H281" s="724"/>
      <c r="I281" s="726"/>
      <c r="J281" s="950"/>
      <c r="K281" s="951"/>
      <c r="L281" s="793"/>
      <c r="M281" s="952"/>
      <c r="N281" s="953"/>
      <c r="O281" s="954"/>
      <c r="P281" s="955"/>
      <c r="Q281" s="956"/>
      <c r="R281" s="957"/>
      <c r="S281" s="800"/>
      <c r="T281" s="958"/>
      <c r="U281" s="802"/>
      <c r="V281" s="959"/>
      <c r="W281" s="960"/>
      <c r="X281" s="805"/>
      <c r="Y281" s="816"/>
      <c r="AA281" s="689"/>
      <c r="AC281" s="553"/>
      <c r="AD281" s="533" t="s">
        <v>6098</v>
      </c>
      <c r="AE281" s="553"/>
      <c r="AF281" s="553"/>
      <c r="AG281" s="553"/>
      <c r="AH281" s="553"/>
      <c r="AI281" s="553"/>
      <c r="AJ281" s="553"/>
      <c r="AK281" s="553"/>
      <c r="AL281" s="553"/>
      <c r="AM281" s="553"/>
      <c r="AN281" s="553"/>
      <c r="AO281" s="553"/>
      <c r="AP281" s="553"/>
      <c r="AQ281" s="553"/>
      <c r="AR281" s="553"/>
      <c r="AS281" s="553"/>
      <c r="AT281" s="553"/>
      <c r="AU281" s="553"/>
      <c r="DO281" s="494"/>
      <c r="DP281" s="496" t="s">
        <v>1678</v>
      </c>
      <c r="DQ281" s="496" t="s">
        <v>239</v>
      </c>
      <c r="DR281" s="496" t="s">
        <v>689</v>
      </c>
      <c r="DS281" s="496" t="s">
        <v>1679</v>
      </c>
      <c r="DT281" s="496" t="s">
        <v>1679</v>
      </c>
      <c r="DU281" s="496" t="s">
        <v>1554</v>
      </c>
      <c r="DV281" s="496" t="s">
        <v>1555</v>
      </c>
      <c r="DW281" s="496" t="s">
        <v>1556</v>
      </c>
      <c r="DX281" s="497" t="s">
        <v>1557</v>
      </c>
      <c r="DZ281" s="543">
        <v>1</v>
      </c>
      <c r="EB281" s="493"/>
      <c r="EC281" s="493"/>
    </row>
    <row r="282" spans="5:133" ht="21" customHeight="1">
      <c r="E282" s="716"/>
      <c r="F282" s="724"/>
      <c r="G282" s="725"/>
      <c r="H282" s="724"/>
      <c r="I282" s="726"/>
      <c r="J282" s="950"/>
      <c r="K282" s="951"/>
      <c r="L282" s="793"/>
      <c r="M282" s="952"/>
      <c r="N282" s="953"/>
      <c r="O282" s="954"/>
      <c r="P282" s="955"/>
      <c r="Q282" s="956"/>
      <c r="R282" s="957"/>
      <c r="S282" s="800"/>
      <c r="T282" s="958"/>
      <c r="U282" s="802"/>
      <c r="V282" s="959"/>
      <c r="W282" s="960"/>
      <c r="X282" s="805"/>
      <c r="Y282" s="816"/>
      <c r="AA282" s="689"/>
      <c r="AC282" s="553"/>
      <c r="AD282" s="533"/>
      <c r="AE282" s="553"/>
      <c r="AF282" s="553"/>
      <c r="AG282" s="553"/>
      <c r="AH282" s="553"/>
      <c r="AI282" s="553"/>
      <c r="AJ282" s="553"/>
      <c r="AK282" s="553"/>
      <c r="AL282" s="553"/>
      <c r="AM282" s="553"/>
      <c r="AN282" s="553"/>
      <c r="AO282" s="553"/>
      <c r="AP282" s="553"/>
      <c r="AQ282" s="553"/>
      <c r="AR282" s="553"/>
      <c r="AS282" s="553"/>
      <c r="AT282" s="553"/>
      <c r="AU282" s="553"/>
      <c r="DO282" s="494"/>
      <c r="DP282" s="496" t="s">
        <v>1680</v>
      </c>
      <c r="DQ282" s="496" t="s">
        <v>239</v>
      </c>
      <c r="DR282" s="496" t="s">
        <v>689</v>
      </c>
      <c r="DS282" s="496" t="s">
        <v>1681</v>
      </c>
      <c r="DT282" s="496" t="s">
        <v>1681</v>
      </c>
      <c r="DU282" s="496" t="s">
        <v>1554</v>
      </c>
      <c r="DV282" s="496" t="s">
        <v>1555</v>
      </c>
      <c r="DW282" s="496" t="s">
        <v>1556</v>
      </c>
      <c r="DX282" s="497" t="s">
        <v>1557</v>
      </c>
      <c r="DZ282" s="543">
        <v>1</v>
      </c>
      <c r="EB282" s="493"/>
      <c r="EC282" s="493"/>
    </row>
    <row r="283" spans="5:133" ht="21" customHeight="1">
      <c r="E283" s="716"/>
      <c r="F283" s="724"/>
      <c r="G283" s="725"/>
      <c r="H283" s="724"/>
      <c r="I283" s="726"/>
      <c r="J283" s="950"/>
      <c r="K283" s="951"/>
      <c r="L283" s="793"/>
      <c r="M283" s="952"/>
      <c r="N283" s="953"/>
      <c r="O283" s="954"/>
      <c r="P283" s="955"/>
      <c r="Q283" s="956"/>
      <c r="R283" s="957"/>
      <c r="S283" s="800"/>
      <c r="T283" s="958"/>
      <c r="U283" s="802"/>
      <c r="V283" s="959"/>
      <c r="W283" s="960"/>
      <c r="X283" s="805"/>
      <c r="Y283" s="816"/>
      <c r="AA283" s="689"/>
      <c r="DO283" s="494"/>
      <c r="DP283" s="496" t="s">
        <v>1682</v>
      </c>
      <c r="DQ283" s="496" t="s">
        <v>239</v>
      </c>
      <c r="DR283" s="496" t="s">
        <v>689</v>
      </c>
      <c r="DS283" s="496" t="s">
        <v>1683</v>
      </c>
      <c r="DT283" s="496" t="s">
        <v>1683</v>
      </c>
      <c r="DU283" s="496" t="s">
        <v>1554</v>
      </c>
      <c r="DV283" s="496" t="s">
        <v>1555</v>
      </c>
      <c r="DW283" s="496" t="s">
        <v>1556</v>
      </c>
      <c r="DX283" s="497" t="s">
        <v>1557</v>
      </c>
      <c r="DZ283" s="543">
        <v>1</v>
      </c>
      <c r="EB283" s="493"/>
      <c r="EC283" s="493"/>
    </row>
    <row r="284" spans="5:133" ht="21" customHeight="1">
      <c r="E284" s="716"/>
      <c r="F284" s="724"/>
      <c r="G284" s="725"/>
      <c r="H284" s="724"/>
      <c r="I284" s="726"/>
      <c r="J284" s="950"/>
      <c r="K284" s="951"/>
      <c r="L284" s="793"/>
      <c r="M284" s="952"/>
      <c r="N284" s="953"/>
      <c r="O284" s="954"/>
      <c r="P284" s="955"/>
      <c r="Q284" s="956"/>
      <c r="R284" s="957"/>
      <c r="S284" s="800"/>
      <c r="T284" s="958"/>
      <c r="U284" s="802"/>
      <c r="V284" s="959"/>
      <c r="W284" s="960"/>
      <c r="X284" s="805"/>
      <c r="Y284" s="816"/>
      <c r="AA284" s="689"/>
      <c r="DO284" s="494"/>
      <c r="DP284" s="496" t="s">
        <v>1684</v>
      </c>
      <c r="DQ284" s="496" t="s">
        <v>239</v>
      </c>
      <c r="DR284" s="496" t="s">
        <v>689</v>
      </c>
      <c r="DS284" s="496" t="s">
        <v>1685</v>
      </c>
      <c r="DT284" s="496" t="s">
        <v>1685</v>
      </c>
      <c r="DU284" s="496" t="s">
        <v>1554</v>
      </c>
      <c r="DV284" s="496" t="s">
        <v>1561</v>
      </c>
      <c r="DW284" s="496" t="s">
        <v>1087</v>
      </c>
      <c r="DX284" s="497" t="s">
        <v>1088</v>
      </c>
      <c r="DZ284" s="543">
        <v>1</v>
      </c>
      <c r="EB284" s="493"/>
      <c r="EC284" s="493"/>
    </row>
    <row r="285" spans="5:133" ht="21" customHeight="1">
      <c r="E285" s="716"/>
      <c r="F285" s="724"/>
      <c r="G285" s="725"/>
      <c r="H285" s="724"/>
      <c r="I285" s="726"/>
      <c r="J285" s="950"/>
      <c r="K285" s="951"/>
      <c r="L285" s="793"/>
      <c r="M285" s="952"/>
      <c r="N285" s="953"/>
      <c r="O285" s="954"/>
      <c r="P285" s="955"/>
      <c r="Q285" s="956"/>
      <c r="R285" s="957"/>
      <c r="S285" s="800"/>
      <c r="T285" s="958"/>
      <c r="U285" s="802"/>
      <c r="V285" s="959"/>
      <c r="W285" s="960"/>
      <c r="X285" s="805"/>
      <c r="Y285" s="816"/>
      <c r="AA285" s="689"/>
      <c r="DO285" s="494"/>
      <c r="DP285" s="496" t="s">
        <v>1686</v>
      </c>
      <c r="DQ285" s="496" t="s">
        <v>239</v>
      </c>
      <c r="DR285" s="496" t="s">
        <v>689</v>
      </c>
      <c r="DS285" s="496" t="s">
        <v>67</v>
      </c>
      <c r="DT285" s="496" t="s">
        <v>67</v>
      </c>
      <c r="DU285" s="496" t="s">
        <v>1554</v>
      </c>
      <c r="DV285" s="496" t="s">
        <v>1561</v>
      </c>
      <c r="DW285" s="496" t="s">
        <v>1087</v>
      </c>
      <c r="DX285" s="497" t="s">
        <v>1088</v>
      </c>
      <c r="DZ285" s="543">
        <v>1</v>
      </c>
      <c r="EB285" s="493"/>
      <c r="EC285" s="493"/>
    </row>
    <row r="286" spans="5:133" ht="21" customHeight="1">
      <c r="E286" s="716"/>
      <c r="F286" s="724"/>
      <c r="G286" s="725"/>
      <c r="H286" s="724"/>
      <c r="I286" s="726"/>
      <c r="J286" s="950"/>
      <c r="K286" s="951"/>
      <c r="L286" s="793"/>
      <c r="M286" s="952"/>
      <c r="N286" s="953"/>
      <c r="O286" s="954"/>
      <c r="P286" s="955"/>
      <c r="Q286" s="956"/>
      <c r="R286" s="957"/>
      <c r="S286" s="800"/>
      <c r="T286" s="958"/>
      <c r="U286" s="802"/>
      <c r="V286" s="959"/>
      <c r="W286" s="960"/>
      <c r="X286" s="805"/>
      <c r="Y286" s="816"/>
      <c r="AA286" s="689"/>
      <c r="DO286" s="494"/>
      <c r="DP286" s="496" t="s">
        <v>1687</v>
      </c>
      <c r="DQ286" s="496" t="s">
        <v>239</v>
      </c>
      <c r="DR286" s="496" t="s">
        <v>689</v>
      </c>
      <c r="DS286" s="496" t="s">
        <v>1688</v>
      </c>
      <c r="DT286" s="496" t="s">
        <v>1688</v>
      </c>
      <c r="DU286" s="496" t="s">
        <v>1554</v>
      </c>
      <c r="DV286" s="496" t="s">
        <v>1555</v>
      </c>
      <c r="DW286" s="496" t="s">
        <v>1556</v>
      </c>
      <c r="DX286" s="497" t="s">
        <v>1557</v>
      </c>
      <c r="DZ286" s="543">
        <v>1</v>
      </c>
      <c r="EB286" s="493"/>
      <c r="EC286" s="493"/>
    </row>
    <row r="287" spans="5:133" ht="21" customHeight="1">
      <c r="E287" s="716"/>
      <c r="F287" s="724"/>
      <c r="G287" s="725"/>
      <c r="H287" s="724"/>
      <c r="I287" s="726"/>
      <c r="J287" s="950"/>
      <c r="K287" s="951"/>
      <c r="L287" s="793"/>
      <c r="M287" s="952"/>
      <c r="N287" s="953"/>
      <c r="O287" s="954"/>
      <c r="P287" s="955"/>
      <c r="Q287" s="956"/>
      <c r="R287" s="957"/>
      <c r="S287" s="800"/>
      <c r="T287" s="958"/>
      <c r="U287" s="802"/>
      <c r="V287" s="959"/>
      <c r="W287" s="960"/>
      <c r="X287" s="805"/>
      <c r="Y287" s="816"/>
      <c r="AA287" s="689"/>
      <c r="DO287" s="494"/>
      <c r="DP287" s="496" t="s">
        <v>1689</v>
      </c>
      <c r="DQ287" s="496" t="s">
        <v>239</v>
      </c>
      <c r="DR287" s="496" t="s">
        <v>689</v>
      </c>
      <c r="DS287" s="496" t="s">
        <v>81</v>
      </c>
      <c r="DT287" s="496" t="s">
        <v>81</v>
      </c>
      <c r="DU287" s="496" t="s">
        <v>1554</v>
      </c>
      <c r="DV287" s="496" t="s">
        <v>1555</v>
      </c>
      <c r="DW287" s="496" t="s">
        <v>1556</v>
      </c>
      <c r="DX287" s="497" t="s">
        <v>1557</v>
      </c>
      <c r="DZ287" s="543">
        <v>1</v>
      </c>
      <c r="EB287" s="493"/>
      <c r="EC287" s="493"/>
    </row>
    <row r="288" spans="5:133" ht="21" customHeight="1">
      <c r="E288" s="716"/>
      <c r="F288" s="724"/>
      <c r="G288" s="725"/>
      <c r="H288" s="724"/>
      <c r="I288" s="726"/>
      <c r="J288" s="950"/>
      <c r="K288" s="951"/>
      <c r="L288" s="793"/>
      <c r="M288" s="952"/>
      <c r="N288" s="953"/>
      <c r="O288" s="954"/>
      <c r="P288" s="955"/>
      <c r="Q288" s="956"/>
      <c r="R288" s="957"/>
      <c r="S288" s="800"/>
      <c r="T288" s="958"/>
      <c r="U288" s="802"/>
      <c r="V288" s="959"/>
      <c r="W288" s="960"/>
      <c r="X288" s="805"/>
      <c r="Y288" s="816"/>
      <c r="AA288" s="689"/>
      <c r="DO288" s="494"/>
      <c r="DP288" s="496" t="s">
        <v>1690</v>
      </c>
      <c r="DQ288" s="496" t="s">
        <v>239</v>
      </c>
      <c r="DR288" s="496" t="s">
        <v>689</v>
      </c>
      <c r="DS288" s="496" t="s">
        <v>1691</v>
      </c>
      <c r="DT288" s="496" t="s">
        <v>1691</v>
      </c>
      <c r="DU288" s="496" t="s">
        <v>1554</v>
      </c>
      <c r="DV288" s="496" t="s">
        <v>1555</v>
      </c>
      <c r="DW288" s="496" t="s">
        <v>1556</v>
      </c>
      <c r="DX288" s="497" t="s">
        <v>1557</v>
      </c>
      <c r="DZ288" s="543">
        <v>1</v>
      </c>
      <c r="EB288" s="493"/>
      <c r="EC288" s="493"/>
    </row>
    <row r="289" spans="5:133" ht="21" customHeight="1">
      <c r="E289" s="716"/>
      <c r="F289" s="724"/>
      <c r="G289" s="725"/>
      <c r="H289" s="724"/>
      <c r="I289" s="726"/>
      <c r="J289" s="950"/>
      <c r="K289" s="951"/>
      <c r="L289" s="793"/>
      <c r="M289" s="952"/>
      <c r="N289" s="953"/>
      <c r="O289" s="954"/>
      <c r="P289" s="955"/>
      <c r="Q289" s="956"/>
      <c r="R289" s="957"/>
      <c r="S289" s="800"/>
      <c r="T289" s="958"/>
      <c r="U289" s="802"/>
      <c r="V289" s="959"/>
      <c r="W289" s="960"/>
      <c r="X289" s="805"/>
      <c r="Y289" s="816"/>
      <c r="AA289" s="689"/>
      <c r="DO289" s="494"/>
      <c r="DP289" s="496" t="s">
        <v>1692</v>
      </c>
      <c r="DQ289" s="496" t="s">
        <v>239</v>
      </c>
      <c r="DR289" s="496" t="s">
        <v>689</v>
      </c>
      <c r="DS289" s="496" t="s">
        <v>870</v>
      </c>
      <c r="DT289" s="496" t="s">
        <v>870</v>
      </c>
      <c r="DU289" s="496" t="s">
        <v>1554</v>
      </c>
      <c r="DV289" s="496" t="s">
        <v>1555</v>
      </c>
      <c r="DW289" s="496" t="s">
        <v>1556</v>
      </c>
      <c r="DX289" s="497" t="s">
        <v>1557</v>
      </c>
      <c r="DZ289" s="543">
        <v>1</v>
      </c>
      <c r="EB289" s="493"/>
      <c r="EC289" s="493"/>
    </row>
    <row r="290" spans="5:133" ht="21" customHeight="1">
      <c r="E290" s="716"/>
      <c r="F290" s="724"/>
      <c r="G290" s="725"/>
      <c r="H290" s="724"/>
      <c r="I290" s="726"/>
      <c r="J290" s="950"/>
      <c r="K290" s="951"/>
      <c r="L290" s="793"/>
      <c r="M290" s="952"/>
      <c r="N290" s="953"/>
      <c r="O290" s="954"/>
      <c r="P290" s="955"/>
      <c r="Q290" s="956"/>
      <c r="R290" s="957"/>
      <c r="S290" s="800"/>
      <c r="T290" s="958"/>
      <c r="U290" s="802"/>
      <c r="V290" s="959"/>
      <c r="W290" s="960"/>
      <c r="X290" s="805"/>
      <c r="Y290" s="816"/>
      <c r="AA290" s="689"/>
      <c r="DO290" s="494"/>
      <c r="DP290" s="496" t="s">
        <v>1693</v>
      </c>
      <c r="DQ290" s="496" t="s">
        <v>239</v>
      </c>
      <c r="DR290" s="496" t="s">
        <v>689</v>
      </c>
      <c r="DS290" s="496" t="s">
        <v>1694</v>
      </c>
      <c r="DT290" s="496" t="s">
        <v>1694</v>
      </c>
      <c r="DU290" s="496" t="s">
        <v>1554</v>
      </c>
      <c r="DV290" s="496" t="s">
        <v>1555</v>
      </c>
      <c r="DW290" s="496" t="s">
        <v>1556</v>
      </c>
      <c r="DX290" s="497" t="s">
        <v>1557</v>
      </c>
      <c r="DZ290" s="543">
        <v>1</v>
      </c>
      <c r="EB290" s="493"/>
      <c r="EC290" s="493"/>
    </row>
    <row r="291" spans="5:133" ht="21" customHeight="1">
      <c r="E291" s="716"/>
      <c r="F291" s="724"/>
      <c r="G291" s="725"/>
      <c r="H291" s="724"/>
      <c r="I291" s="726"/>
      <c r="J291" s="950"/>
      <c r="K291" s="951"/>
      <c r="L291" s="793"/>
      <c r="M291" s="952"/>
      <c r="N291" s="953"/>
      <c r="O291" s="954"/>
      <c r="P291" s="955"/>
      <c r="Q291" s="956"/>
      <c r="R291" s="957"/>
      <c r="S291" s="800"/>
      <c r="T291" s="958"/>
      <c r="U291" s="802"/>
      <c r="V291" s="959"/>
      <c r="W291" s="960"/>
      <c r="X291" s="805"/>
      <c r="Y291" s="816"/>
      <c r="AA291" s="689"/>
      <c r="DO291" s="494"/>
      <c r="DP291" s="496" t="s">
        <v>1695</v>
      </c>
      <c r="DQ291" s="496" t="s">
        <v>239</v>
      </c>
      <c r="DR291" s="496" t="s">
        <v>689</v>
      </c>
      <c r="DS291" s="496" t="s">
        <v>1696</v>
      </c>
      <c r="DT291" s="496" t="s">
        <v>1696</v>
      </c>
      <c r="DU291" s="496" t="s">
        <v>1554</v>
      </c>
      <c r="DV291" s="496" t="s">
        <v>1561</v>
      </c>
      <c r="DW291" s="496" t="s">
        <v>1087</v>
      </c>
      <c r="DX291" s="497" t="s">
        <v>1088</v>
      </c>
      <c r="DZ291" s="543">
        <v>1</v>
      </c>
      <c r="EB291" s="493"/>
      <c r="EC291" s="493"/>
    </row>
    <row r="292" spans="5:133" ht="21" customHeight="1">
      <c r="E292" s="716"/>
      <c r="F292" s="724"/>
      <c r="G292" s="725"/>
      <c r="H292" s="724"/>
      <c r="I292" s="726"/>
      <c r="J292" s="950"/>
      <c r="K292" s="951"/>
      <c r="L292" s="793"/>
      <c r="M292" s="952"/>
      <c r="N292" s="953"/>
      <c r="O292" s="954"/>
      <c r="P292" s="955"/>
      <c r="Q292" s="956"/>
      <c r="R292" s="957"/>
      <c r="S292" s="800"/>
      <c r="T292" s="958"/>
      <c r="U292" s="802"/>
      <c r="V292" s="959"/>
      <c r="W292" s="960"/>
      <c r="X292" s="805"/>
      <c r="Y292" s="816"/>
      <c r="AA292" s="689"/>
      <c r="DO292" s="494"/>
      <c r="DP292" s="496" t="s">
        <v>1697</v>
      </c>
      <c r="DQ292" s="496" t="s">
        <v>239</v>
      </c>
      <c r="DR292" s="496" t="s">
        <v>689</v>
      </c>
      <c r="DS292" s="496" t="s">
        <v>1698</v>
      </c>
      <c r="DT292" s="496" t="s">
        <v>1698</v>
      </c>
      <c r="DU292" s="496" t="s">
        <v>1554</v>
      </c>
      <c r="DV292" s="496" t="s">
        <v>1555</v>
      </c>
      <c r="DW292" s="496" t="s">
        <v>1556</v>
      </c>
      <c r="DX292" s="497" t="s">
        <v>1557</v>
      </c>
      <c r="DZ292" s="543">
        <v>1</v>
      </c>
      <c r="EB292" s="493"/>
      <c r="EC292" s="493"/>
    </row>
    <row r="293" spans="5:133" ht="21" customHeight="1">
      <c r="E293" s="716"/>
      <c r="F293" s="724"/>
      <c r="G293" s="725"/>
      <c r="H293" s="724"/>
      <c r="I293" s="726"/>
      <c r="J293" s="950"/>
      <c r="K293" s="951"/>
      <c r="L293" s="793"/>
      <c r="M293" s="952"/>
      <c r="N293" s="953"/>
      <c r="O293" s="954"/>
      <c r="P293" s="955"/>
      <c r="Q293" s="956"/>
      <c r="R293" s="957"/>
      <c r="S293" s="800"/>
      <c r="T293" s="958"/>
      <c r="U293" s="802"/>
      <c r="V293" s="959"/>
      <c r="W293" s="960"/>
      <c r="X293" s="805"/>
      <c r="Y293" s="816"/>
      <c r="AA293" s="689"/>
      <c r="DO293" s="494"/>
      <c r="DP293" s="496" t="s">
        <v>1699</v>
      </c>
      <c r="DQ293" s="496" t="s">
        <v>239</v>
      </c>
      <c r="DR293" s="496" t="s">
        <v>689</v>
      </c>
      <c r="DS293" s="496" t="s">
        <v>1700</v>
      </c>
      <c r="DT293" s="496" t="s">
        <v>1700</v>
      </c>
      <c r="DU293" s="496" t="s">
        <v>1554</v>
      </c>
      <c r="DV293" s="496" t="s">
        <v>1555</v>
      </c>
      <c r="DW293" s="496" t="s">
        <v>1556</v>
      </c>
      <c r="DX293" s="497" t="s">
        <v>1557</v>
      </c>
      <c r="DZ293" s="543">
        <v>1</v>
      </c>
      <c r="EB293" s="493"/>
      <c r="EC293" s="493"/>
    </row>
    <row r="294" spans="5:133" ht="21" customHeight="1">
      <c r="E294" s="716"/>
      <c r="F294" s="724"/>
      <c r="G294" s="725"/>
      <c r="H294" s="724"/>
      <c r="I294" s="726"/>
      <c r="J294" s="950"/>
      <c r="K294" s="951"/>
      <c r="L294" s="793"/>
      <c r="M294" s="952"/>
      <c r="N294" s="953"/>
      <c r="O294" s="954"/>
      <c r="P294" s="955"/>
      <c r="Q294" s="956"/>
      <c r="R294" s="957"/>
      <c r="S294" s="800"/>
      <c r="T294" s="958"/>
      <c r="U294" s="802"/>
      <c r="V294" s="959"/>
      <c r="W294" s="960"/>
      <c r="X294" s="805"/>
      <c r="Y294" s="816"/>
      <c r="AA294" s="689"/>
      <c r="DO294" s="494"/>
      <c r="DP294" s="496" t="s">
        <v>1701</v>
      </c>
      <c r="DQ294" s="496" t="s">
        <v>239</v>
      </c>
      <c r="DR294" s="496" t="s">
        <v>689</v>
      </c>
      <c r="DS294" s="496" t="s">
        <v>1702</v>
      </c>
      <c r="DT294" s="496" t="s">
        <v>1703</v>
      </c>
      <c r="DU294" s="496" t="s">
        <v>1554</v>
      </c>
      <c r="DV294" s="496" t="s">
        <v>1561</v>
      </c>
      <c r="DW294" s="496" t="s">
        <v>1087</v>
      </c>
      <c r="DX294" s="497" t="s">
        <v>1088</v>
      </c>
      <c r="DZ294" s="543">
        <v>1</v>
      </c>
      <c r="EB294" s="493"/>
      <c r="EC294" s="493"/>
    </row>
    <row r="295" spans="5:133" ht="21" customHeight="1">
      <c r="E295" s="716"/>
      <c r="F295" s="724"/>
      <c r="G295" s="725"/>
      <c r="H295" s="724"/>
      <c r="I295" s="726"/>
      <c r="J295" s="950"/>
      <c r="K295" s="951"/>
      <c r="L295" s="793"/>
      <c r="M295" s="952"/>
      <c r="N295" s="953"/>
      <c r="O295" s="954"/>
      <c r="P295" s="955"/>
      <c r="Q295" s="956"/>
      <c r="R295" s="957"/>
      <c r="S295" s="800"/>
      <c r="T295" s="958"/>
      <c r="U295" s="802"/>
      <c r="V295" s="959"/>
      <c r="W295" s="960"/>
      <c r="X295" s="805"/>
      <c r="Y295" s="816"/>
      <c r="AA295" s="689"/>
      <c r="DO295" s="494"/>
      <c r="DP295" s="496" t="s">
        <v>1704</v>
      </c>
      <c r="DQ295" s="496" t="s">
        <v>239</v>
      </c>
      <c r="DR295" s="496" t="s">
        <v>689</v>
      </c>
      <c r="DS295" s="496" t="s">
        <v>93</v>
      </c>
      <c r="DT295" s="496" t="s">
        <v>93</v>
      </c>
      <c r="DU295" s="496" t="s">
        <v>1554</v>
      </c>
      <c r="DV295" s="496" t="s">
        <v>1555</v>
      </c>
      <c r="DW295" s="496" t="s">
        <v>1556</v>
      </c>
      <c r="DX295" s="497" t="s">
        <v>1557</v>
      </c>
      <c r="DZ295" s="543">
        <v>1</v>
      </c>
      <c r="EB295" s="493"/>
      <c r="EC295" s="493"/>
    </row>
    <row r="296" spans="5:133" ht="21" customHeight="1">
      <c r="E296" s="716"/>
      <c r="F296" s="724"/>
      <c r="G296" s="725"/>
      <c r="H296" s="724"/>
      <c r="I296" s="726"/>
      <c r="J296" s="950"/>
      <c r="K296" s="951"/>
      <c r="L296" s="793"/>
      <c r="M296" s="952"/>
      <c r="N296" s="953"/>
      <c r="O296" s="954"/>
      <c r="P296" s="955"/>
      <c r="Q296" s="956"/>
      <c r="R296" s="957"/>
      <c r="S296" s="800"/>
      <c r="T296" s="958"/>
      <c r="U296" s="802"/>
      <c r="V296" s="959"/>
      <c r="W296" s="960"/>
      <c r="X296" s="805"/>
      <c r="Y296" s="816"/>
      <c r="AA296" s="689"/>
      <c r="DO296" s="494"/>
      <c r="DP296" s="496" t="s">
        <v>1705</v>
      </c>
      <c r="DQ296" s="496" t="s">
        <v>239</v>
      </c>
      <c r="DR296" s="496" t="s">
        <v>689</v>
      </c>
      <c r="DS296" s="496" t="s">
        <v>1706</v>
      </c>
      <c r="DT296" s="496" t="s">
        <v>1706</v>
      </c>
      <c r="DU296" s="496" t="s">
        <v>1554</v>
      </c>
      <c r="DV296" s="496" t="s">
        <v>1555</v>
      </c>
      <c r="DW296" s="496" t="s">
        <v>1556</v>
      </c>
      <c r="DX296" s="497" t="s">
        <v>1557</v>
      </c>
      <c r="DZ296" s="543">
        <v>1</v>
      </c>
      <c r="EB296" s="493"/>
      <c r="EC296" s="493"/>
    </row>
    <row r="297" spans="5:133" ht="21" customHeight="1">
      <c r="E297" s="716"/>
      <c r="F297" s="724"/>
      <c r="G297" s="725"/>
      <c r="H297" s="724"/>
      <c r="I297" s="726"/>
      <c r="J297" s="950"/>
      <c r="K297" s="951"/>
      <c r="L297" s="793"/>
      <c r="M297" s="952"/>
      <c r="N297" s="953"/>
      <c r="O297" s="954"/>
      <c r="P297" s="955"/>
      <c r="Q297" s="956"/>
      <c r="R297" s="957"/>
      <c r="S297" s="800"/>
      <c r="T297" s="958"/>
      <c r="U297" s="802"/>
      <c r="V297" s="959"/>
      <c r="W297" s="960"/>
      <c r="X297" s="805"/>
      <c r="Y297" s="816"/>
      <c r="AA297" s="689"/>
      <c r="DO297" s="494"/>
      <c r="DP297" s="496" t="s">
        <v>1707</v>
      </c>
      <c r="DQ297" s="496" t="s">
        <v>239</v>
      </c>
      <c r="DR297" s="496" t="s">
        <v>689</v>
      </c>
      <c r="DS297" s="496" t="s">
        <v>1708</v>
      </c>
      <c r="DT297" s="496" t="s">
        <v>1708</v>
      </c>
      <c r="DU297" s="496" t="s">
        <v>1554</v>
      </c>
      <c r="DV297" s="496" t="s">
        <v>1555</v>
      </c>
      <c r="DW297" s="496" t="s">
        <v>1556</v>
      </c>
      <c r="DX297" s="497" t="s">
        <v>1557</v>
      </c>
      <c r="DZ297" s="543">
        <v>1</v>
      </c>
      <c r="EB297" s="493"/>
      <c r="EC297" s="493"/>
    </row>
    <row r="298" spans="5:133" ht="21" customHeight="1">
      <c r="E298" s="716"/>
      <c r="F298" s="724"/>
      <c r="G298" s="725"/>
      <c r="H298" s="724"/>
      <c r="I298" s="726"/>
      <c r="J298" s="950"/>
      <c r="K298" s="951"/>
      <c r="L298" s="793"/>
      <c r="M298" s="952"/>
      <c r="N298" s="953"/>
      <c r="O298" s="954"/>
      <c r="P298" s="955"/>
      <c r="Q298" s="956"/>
      <c r="R298" s="957"/>
      <c r="S298" s="800"/>
      <c r="T298" s="958"/>
      <c r="U298" s="802"/>
      <c r="V298" s="959"/>
      <c r="W298" s="960"/>
      <c r="X298" s="805"/>
      <c r="Y298" s="816"/>
      <c r="AA298" s="689"/>
      <c r="DO298" s="494"/>
      <c r="DP298" s="496" t="s">
        <v>1709</v>
      </c>
      <c r="DQ298" s="496" t="s">
        <v>239</v>
      </c>
      <c r="DR298" s="496" t="s">
        <v>689</v>
      </c>
      <c r="DS298" s="496" t="s">
        <v>1710</v>
      </c>
      <c r="DT298" s="496" t="s">
        <v>1710</v>
      </c>
      <c r="DU298" s="496" t="s">
        <v>1554</v>
      </c>
      <c r="DV298" s="496" t="s">
        <v>1555</v>
      </c>
      <c r="DW298" s="496" t="s">
        <v>1556</v>
      </c>
      <c r="DX298" s="497" t="s">
        <v>1557</v>
      </c>
      <c r="DZ298" s="543">
        <v>1</v>
      </c>
      <c r="EB298" s="493"/>
      <c r="EC298" s="493"/>
    </row>
    <row r="299" spans="5:133" ht="21" customHeight="1">
      <c r="E299" s="716"/>
      <c r="F299" s="724"/>
      <c r="G299" s="725"/>
      <c r="H299" s="724"/>
      <c r="I299" s="726"/>
      <c r="J299" s="950"/>
      <c r="K299" s="951"/>
      <c r="L299" s="793"/>
      <c r="M299" s="952"/>
      <c r="N299" s="953"/>
      <c r="O299" s="954"/>
      <c r="P299" s="955"/>
      <c r="Q299" s="956"/>
      <c r="R299" s="957"/>
      <c r="S299" s="800"/>
      <c r="T299" s="958"/>
      <c r="U299" s="802"/>
      <c r="V299" s="959"/>
      <c r="W299" s="960"/>
      <c r="X299" s="805"/>
      <c r="Y299" s="816"/>
      <c r="AA299" s="689"/>
      <c r="DO299" s="494"/>
      <c r="DP299" s="496" t="s">
        <v>1711</v>
      </c>
      <c r="DQ299" s="496" t="s">
        <v>239</v>
      </c>
      <c r="DR299" s="496" t="s">
        <v>689</v>
      </c>
      <c r="DS299" s="496" t="s">
        <v>1712</v>
      </c>
      <c r="DT299" s="496" t="s">
        <v>1712</v>
      </c>
      <c r="DU299" s="496" t="s">
        <v>1554</v>
      </c>
      <c r="DV299" s="496" t="s">
        <v>1555</v>
      </c>
      <c r="DW299" s="496" t="s">
        <v>1556</v>
      </c>
      <c r="DX299" s="497" t="s">
        <v>1557</v>
      </c>
      <c r="DZ299" s="543">
        <v>1</v>
      </c>
      <c r="EB299" s="493"/>
      <c r="EC299" s="493"/>
    </row>
    <row r="300" spans="5:133" ht="21" customHeight="1">
      <c r="E300" s="716"/>
      <c r="F300" s="724"/>
      <c r="G300" s="725"/>
      <c r="H300" s="724"/>
      <c r="I300" s="726"/>
      <c r="J300" s="950"/>
      <c r="K300" s="951"/>
      <c r="L300" s="793"/>
      <c r="M300" s="952"/>
      <c r="N300" s="953"/>
      <c r="O300" s="954"/>
      <c r="P300" s="955"/>
      <c r="Q300" s="956"/>
      <c r="R300" s="957"/>
      <c r="S300" s="800"/>
      <c r="T300" s="958"/>
      <c r="U300" s="802"/>
      <c r="V300" s="959"/>
      <c r="W300" s="960"/>
      <c r="X300" s="805"/>
      <c r="Y300" s="816"/>
      <c r="AA300" s="689"/>
      <c r="DO300" s="494"/>
      <c r="DP300" s="496" t="s">
        <v>1713</v>
      </c>
      <c r="DQ300" s="496" t="s">
        <v>239</v>
      </c>
      <c r="DR300" s="496" t="s">
        <v>689</v>
      </c>
      <c r="DS300" s="496" t="s">
        <v>1714</v>
      </c>
      <c r="DT300" s="496" t="s">
        <v>1714</v>
      </c>
      <c r="DU300" s="496" t="s">
        <v>1554</v>
      </c>
      <c r="DV300" s="496" t="s">
        <v>1555</v>
      </c>
      <c r="DW300" s="496" t="s">
        <v>1556</v>
      </c>
      <c r="DX300" s="497" t="s">
        <v>1557</v>
      </c>
      <c r="DZ300" s="543">
        <v>1</v>
      </c>
      <c r="EB300" s="493"/>
      <c r="EC300" s="493"/>
    </row>
    <row r="301" spans="5:133" ht="21" customHeight="1">
      <c r="E301" s="716"/>
      <c r="F301" s="724"/>
      <c r="G301" s="725"/>
      <c r="H301" s="724"/>
      <c r="I301" s="726"/>
      <c r="J301" s="950"/>
      <c r="K301" s="951"/>
      <c r="L301" s="793"/>
      <c r="M301" s="952"/>
      <c r="N301" s="953"/>
      <c r="O301" s="954"/>
      <c r="P301" s="955"/>
      <c r="Q301" s="956"/>
      <c r="R301" s="957"/>
      <c r="S301" s="800"/>
      <c r="T301" s="958"/>
      <c r="U301" s="802"/>
      <c r="V301" s="959"/>
      <c r="W301" s="960"/>
      <c r="X301" s="805"/>
      <c r="Y301" s="816"/>
      <c r="AA301" s="689"/>
      <c r="DO301" s="494"/>
      <c r="DP301" s="496" t="s">
        <v>1715</v>
      </c>
      <c r="DQ301" s="496" t="s">
        <v>239</v>
      </c>
      <c r="DR301" s="496" t="s">
        <v>689</v>
      </c>
      <c r="DS301" s="496" t="s">
        <v>1716</v>
      </c>
      <c r="DT301" s="496" t="s">
        <v>1716</v>
      </c>
      <c r="DU301" s="496" t="s">
        <v>1554</v>
      </c>
      <c r="DV301" s="496" t="s">
        <v>1555</v>
      </c>
      <c r="DW301" s="496" t="s">
        <v>1556</v>
      </c>
      <c r="DX301" s="497" t="s">
        <v>1557</v>
      </c>
      <c r="DZ301" s="543">
        <v>1</v>
      </c>
      <c r="EB301" s="493"/>
      <c r="EC301" s="493"/>
    </row>
    <row r="302" spans="5:133" ht="21" customHeight="1">
      <c r="E302" s="716"/>
      <c r="F302" s="724"/>
      <c r="G302" s="725"/>
      <c r="H302" s="724"/>
      <c r="I302" s="726"/>
      <c r="J302" s="950"/>
      <c r="K302" s="951"/>
      <c r="L302" s="793"/>
      <c r="M302" s="952"/>
      <c r="N302" s="953"/>
      <c r="O302" s="954"/>
      <c r="P302" s="955"/>
      <c r="Q302" s="956"/>
      <c r="R302" s="957"/>
      <c r="S302" s="800"/>
      <c r="T302" s="958"/>
      <c r="U302" s="802"/>
      <c r="V302" s="959"/>
      <c r="W302" s="960"/>
      <c r="X302" s="805"/>
      <c r="Y302" s="816"/>
      <c r="AA302" s="689"/>
      <c r="DO302" s="494"/>
      <c r="DP302" s="496" t="s">
        <v>1717</v>
      </c>
      <c r="DQ302" s="496" t="s">
        <v>239</v>
      </c>
      <c r="DR302" s="496" t="s">
        <v>689</v>
      </c>
      <c r="DS302" s="496" t="s">
        <v>1718</v>
      </c>
      <c r="DT302" s="496" t="s">
        <v>1718</v>
      </c>
      <c r="DU302" s="496" t="s">
        <v>1554</v>
      </c>
      <c r="DV302" s="496" t="s">
        <v>1555</v>
      </c>
      <c r="DW302" s="496" t="s">
        <v>1556</v>
      </c>
      <c r="DX302" s="497" t="s">
        <v>1557</v>
      </c>
      <c r="DZ302" s="543">
        <v>1</v>
      </c>
      <c r="EB302" s="493"/>
      <c r="EC302" s="493"/>
    </row>
    <row r="303" spans="5:133" ht="21" customHeight="1">
      <c r="E303" s="716"/>
      <c r="F303" s="724"/>
      <c r="G303" s="725"/>
      <c r="H303" s="724"/>
      <c r="I303" s="726"/>
      <c r="J303" s="950"/>
      <c r="K303" s="951"/>
      <c r="L303" s="793"/>
      <c r="M303" s="952"/>
      <c r="N303" s="953"/>
      <c r="O303" s="954"/>
      <c r="P303" s="955"/>
      <c r="Q303" s="956"/>
      <c r="R303" s="957"/>
      <c r="S303" s="800"/>
      <c r="T303" s="958"/>
      <c r="U303" s="802"/>
      <c r="V303" s="959"/>
      <c r="W303" s="960"/>
      <c r="X303" s="805"/>
      <c r="Y303" s="816"/>
      <c r="AA303" s="689"/>
      <c r="DO303" s="494"/>
      <c r="DP303" s="496" t="s">
        <v>1719</v>
      </c>
      <c r="DQ303" s="496" t="s">
        <v>239</v>
      </c>
      <c r="DR303" s="496" t="s">
        <v>689</v>
      </c>
      <c r="DS303" s="496" t="s">
        <v>1720</v>
      </c>
      <c r="DT303" s="496" t="s">
        <v>1720</v>
      </c>
      <c r="DU303" s="496" t="s">
        <v>1554</v>
      </c>
      <c r="DV303" s="496" t="s">
        <v>1555</v>
      </c>
      <c r="DW303" s="496" t="s">
        <v>1556</v>
      </c>
      <c r="DX303" s="497" t="s">
        <v>1557</v>
      </c>
      <c r="DZ303" s="543">
        <v>1</v>
      </c>
      <c r="EB303" s="493"/>
      <c r="EC303" s="493"/>
    </row>
    <row r="304" spans="5:133" ht="21" customHeight="1">
      <c r="E304" s="716"/>
      <c r="F304" s="724"/>
      <c r="G304" s="725"/>
      <c r="H304" s="724"/>
      <c r="I304" s="726"/>
      <c r="J304" s="950"/>
      <c r="K304" s="951"/>
      <c r="L304" s="793"/>
      <c r="M304" s="952"/>
      <c r="N304" s="953"/>
      <c r="O304" s="954"/>
      <c r="P304" s="955"/>
      <c r="Q304" s="956"/>
      <c r="R304" s="957"/>
      <c r="S304" s="800"/>
      <c r="T304" s="958"/>
      <c r="U304" s="802"/>
      <c r="V304" s="959"/>
      <c r="W304" s="960"/>
      <c r="X304" s="805"/>
      <c r="Y304" s="816"/>
      <c r="AA304" s="689"/>
      <c r="DO304" s="494"/>
      <c r="DP304" s="496" t="s">
        <v>1721</v>
      </c>
      <c r="DQ304" s="496" t="s">
        <v>239</v>
      </c>
      <c r="DR304" s="496" t="s">
        <v>689</v>
      </c>
      <c r="DS304" s="496" t="s">
        <v>1722</v>
      </c>
      <c r="DT304" s="496" t="s">
        <v>1722</v>
      </c>
      <c r="DU304" s="496" t="s">
        <v>1554</v>
      </c>
      <c r="DV304" s="496" t="s">
        <v>1555</v>
      </c>
      <c r="DW304" s="496" t="s">
        <v>1556</v>
      </c>
      <c r="DX304" s="497" t="s">
        <v>1557</v>
      </c>
      <c r="DZ304" s="543">
        <v>1</v>
      </c>
      <c r="EB304" s="493"/>
      <c r="EC304" s="493"/>
    </row>
    <row r="305" spans="5:133" ht="21" customHeight="1">
      <c r="E305" s="716"/>
      <c r="F305" s="724"/>
      <c r="G305" s="725"/>
      <c r="H305" s="724"/>
      <c r="I305" s="726"/>
      <c r="J305" s="950"/>
      <c r="K305" s="951"/>
      <c r="L305" s="793"/>
      <c r="M305" s="952"/>
      <c r="N305" s="953"/>
      <c r="O305" s="954"/>
      <c r="P305" s="955"/>
      <c r="Q305" s="956"/>
      <c r="R305" s="957"/>
      <c r="S305" s="800"/>
      <c r="T305" s="958"/>
      <c r="U305" s="802"/>
      <c r="V305" s="959"/>
      <c r="W305" s="960"/>
      <c r="X305" s="805"/>
      <c r="Y305" s="816"/>
      <c r="AA305" s="962"/>
      <c r="DO305" s="494"/>
      <c r="DP305" s="496" t="s">
        <v>1723</v>
      </c>
      <c r="DQ305" s="496" t="s">
        <v>239</v>
      </c>
      <c r="DR305" s="496" t="s">
        <v>689</v>
      </c>
      <c r="DS305" s="496" t="s">
        <v>1724</v>
      </c>
      <c r="DT305" s="496" t="s">
        <v>1724</v>
      </c>
      <c r="DU305" s="496" t="s">
        <v>1554</v>
      </c>
      <c r="DV305" s="496" t="s">
        <v>1555</v>
      </c>
      <c r="DW305" s="496" t="s">
        <v>1556</v>
      </c>
      <c r="DX305" s="497" t="s">
        <v>1557</v>
      </c>
      <c r="DZ305" s="543">
        <v>1</v>
      </c>
      <c r="EB305" s="493"/>
      <c r="EC305" s="493"/>
    </row>
    <row r="306" spans="5:133" ht="21" customHeight="1">
      <c r="E306" s="716"/>
      <c r="F306" s="724"/>
      <c r="G306" s="725"/>
      <c r="H306" s="724"/>
      <c r="I306" s="726"/>
      <c r="J306" s="950"/>
      <c r="K306" s="951"/>
      <c r="L306" s="793"/>
      <c r="M306" s="952"/>
      <c r="N306" s="953"/>
      <c r="O306" s="954"/>
      <c r="P306" s="955"/>
      <c r="Q306" s="956"/>
      <c r="R306" s="957"/>
      <c r="S306" s="800"/>
      <c r="T306" s="958"/>
      <c r="U306" s="802"/>
      <c r="V306" s="959"/>
      <c r="W306" s="960"/>
      <c r="X306" s="805"/>
      <c r="Y306" s="816"/>
      <c r="DO306" s="494"/>
      <c r="DP306" s="496" t="s">
        <v>1725</v>
      </c>
      <c r="DQ306" s="496" t="s">
        <v>239</v>
      </c>
      <c r="DR306" s="496" t="s">
        <v>689</v>
      </c>
      <c r="DS306" s="496" t="s">
        <v>1726</v>
      </c>
      <c r="DT306" s="496" t="s">
        <v>1726</v>
      </c>
      <c r="DU306" s="496" t="s">
        <v>1554</v>
      </c>
      <c r="DV306" s="496" t="s">
        <v>1555</v>
      </c>
      <c r="DW306" s="496" t="s">
        <v>1556</v>
      </c>
      <c r="DX306" s="497" t="s">
        <v>1557</v>
      </c>
      <c r="DZ306" s="543">
        <v>1</v>
      </c>
      <c r="EB306" s="493"/>
      <c r="EC306" s="493"/>
    </row>
    <row r="307" spans="5:133" ht="21" customHeight="1">
      <c r="E307" s="716"/>
      <c r="F307" s="724"/>
      <c r="G307" s="725"/>
      <c r="H307" s="724"/>
      <c r="I307" s="726"/>
      <c r="J307" s="950"/>
      <c r="K307" s="951"/>
      <c r="L307" s="793"/>
      <c r="M307" s="952"/>
      <c r="N307" s="953"/>
      <c r="O307" s="954"/>
      <c r="P307" s="955"/>
      <c r="Q307" s="956"/>
      <c r="R307" s="957"/>
      <c r="S307" s="800"/>
      <c r="T307" s="958"/>
      <c r="U307" s="802"/>
      <c r="V307" s="959"/>
      <c r="W307" s="960"/>
      <c r="X307" s="805"/>
      <c r="Y307" s="816"/>
      <c r="DO307" s="494"/>
      <c r="DP307" s="496" t="s">
        <v>1727</v>
      </c>
      <c r="DQ307" s="496" t="s">
        <v>239</v>
      </c>
      <c r="DR307" s="496" t="s">
        <v>689</v>
      </c>
      <c r="DS307" s="496" t="s">
        <v>1728</v>
      </c>
      <c r="DT307" s="496" t="s">
        <v>1728</v>
      </c>
      <c r="DU307" s="496" t="s">
        <v>1554</v>
      </c>
      <c r="DV307" s="496" t="s">
        <v>1555</v>
      </c>
      <c r="DW307" s="496" t="s">
        <v>1556</v>
      </c>
      <c r="DX307" s="497" t="s">
        <v>1557</v>
      </c>
      <c r="DZ307" s="543">
        <v>1</v>
      </c>
      <c r="EB307" s="493"/>
      <c r="EC307" s="493"/>
    </row>
    <row r="308" spans="5:133" ht="21" customHeight="1">
      <c r="E308" s="716"/>
      <c r="F308" s="724"/>
      <c r="G308" s="725"/>
      <c r="H308" s="724"/>
      <c r="I308" s="726"/>
      <c r="J308" s="950"/>
      <c r="K308" s="951"/>
      <c r="L308" s="793"/>
      <c r="M308" s="952"/>
      <c r="N308" s="953"/>
      <c r="O308" s="954"/>
      <c r="P308" s="955"/>
      <c r="Q308" s="956"/>
      <c r="R308" s="957"/>
      <c r="S308" s="800"/>
      <c r="T308" s="958"/>
      <c r="U308" s="802"/>
      <c r="V308" s="959"/>
      <c r="W308" s="960"/>
      <c r="X308" s="805"/>
      <c r="Y308" s="816"/>
      <c r="DO308" s="494"/>
      <c r="DP308" s="496" t="s">
        <v>1729</v>
      </c>
      <c r="DQ308" s="496" t="s">
        <v>239</v>
      </c>
      <c r="DR308" s="496" t="s">
        <v>689</v>
      </c>
      <c r="DS308" s="496" t="s">
        <v>1730</v>
      </c>
      <c r="DT308" s="496" t="s">
        <v>1730</v>
      </c>
      <c r="DU308" s="496" t="s">
        <v>1554</v>
      </c>
      <c r="DV308" s="496" t="s">
        <v>1555</v>
      </c>
      <c r="DW308" s="496" t="s">
        <v>1556</v>
      </c>
      <c r="DX308" s="497" t="s">
        <v>1557</v>
      </c>
      <c r="DZ308" s="543">
        <v>1</v>
      </c>
      <c r="EB308" s="493"/>
      <c r="EC308" s="493"/>
    </row>
    <row r="309" spans="5:133" ht="21" customHeight="1">
      <c r="E309" s="716"/>
      <c r="F309" s="724"/>
      <c r="G309" s="725"/>
      <c r="H309" s="724"/>
      <c r="I309" s="726"/>
      <c r="J309" s="950"/>
      <c r="K309" s="951"/>
      <c r="L309" s="793"/>
      <c r="M309" s="952"/>
      <c r="N309" s="953"/>
      <c r="O309" s="954"/>
      <c r="P309" s="955"/>
      <c r="Q309" s="956"/>
      <c r="R309" s="957"/>
      <c r="S309" s="800"/>
      <c r="T309" s="958"/>
      <c r="U309" s="802"/>
      <c r="V309" s="959"/>
      <c r="W309" s="960"/>
      <c r="X309" s="805"/>
      <c r="Y309" s="816"/>
      <c r="DO309" s="494"/>
      <c r="DP309" s="496" t="s">
        <v>1731</v>
      </c>
      <c r="DQ309" s="496" t="s">
        <v>239</v>
      </c>
      <c r="DR309" s="496" t="s">
        <v>689</v>
      </c>
      <c r="DS309" s="496" t="s">
        <v>1732</v>
      </c>
      <c r="DT309" s="496" t="s">
        <v>1732</v>
      </c>
      <c r="DU309" s="496" t="s">
        <v>1554</v>
      </c>
      <c r="DV309" s="496" t="s">
        <v>1555</v>
      </c>
      <c r="DW309" s="496" t="s">
        <v>1556</v>
      </c>
      <c r="DX309" s="497" t="s">
        <v>1557</v>
      </c>
      <c r="DZ309" s="543">
        <v>1</v>
      </c>
      <c r="EB309" s="493"/>
      <c r="EC309" s="493"/>
    </row>
    <row r="310" spans="5:133" ht="21" customHeight="1">
      <c r="E310" s="716"/>
      <c r="F310" s="724"/>
      <c r="G310" s="725"/>
      <c r="H310" s="724"/>
      <c r="I310" s="726"/>
      <c r="J310" s="950"/>
      <c r="K310" s="951"/>
      <c r="L310" s="793"/>
      <c r="M310" s="952"/>
      <c r="N310" s="953"/>
      <c r="O310" s="954"/>
      <c r="P310" s="955"/>
      <c r="Q310" s="956"/>
      <c r="R310" s="957"/>
      <c r="S310" s="800"/>
      <c r="T310" s="958"/>
      <c r="U310" s="802"/>
      <c r="V310" s="959"/>
      <c r="W310" s="960"/>
      <c r="X310" s="805"/>
      <c r="Y310" s="816"/>
      <c r="DO310" s="494"/>
      <c r="DP310" s="496" t="s">
        <v>1733</v>
      </c>
      <c r="DQ310" s="496" t="s">
        <v>239</v>
      </c>
      <c r="DR310" s="496" t="s">
        <v>689</v>
      </c>
      <c r="DS310" s="496" t="s">
        <v>1734</v>
      </c>
      <c r="DT310" s="496" t="s">
        <v>1734</v>
      </c>
      <c r="DU310" s="496" t="s">
        <v>1554</v>
      </c>
      <c r="DV310" s="496" t="s">
        <v>1555</v>
      </c>
      <c r="DW310" s="496" t="s">
        <v>1556</v>
      </c>
      <c r="DX310" s="497" t="s">
        <v>1557</v>
      </c>
      <c r="DZ310" s="543">
        <v>1</v>
      </c>
      <c r="EB310" s="493"/>
      <c r="EC310" s="493"/>
    </row>
    <row r="311" spans="5:133" ht="21" customHeight="1">
      <c r="E311" s="716"/>
      <c r="F311" s="724"/>
      <c r="G311" s="725"/>
      <c r="H311" s="724"/>
      <c r="I311" s="726"/>
      <c r="J311" s="950"/>
      <c r="K311" s="951"/>
      <c r="L311" s="793"/>
      <c r="M311" s="952"/>
      <c r="N311" s="953"/>
      <c r="O311" s="954"/>
      <c r="P311" s="955"/>
      <c r="Q311" s="956"/>
      <c r="R311" s="957"/>
      <c r="S311" s="800"/>
      <c r="T311" s="958"/>
      <c r="U311" s="802"/>
      <c r="V311" s="959"/>
      <c r="W311" s="960"/>
      <c r="X311" s="805"/>
      <c r="Y311" s="816"/>
      <c r="DO311" s="494"/>
      <c r="DP311" s="496" t="s">
        <v>1735</v>
      </c>
      <c r="DQ311" s="496" t="s">
        <v>239</v>
      </c>
      <c r="DR311" s="496" t="s">
        <v>689</v>
      </c>
      <c r="DS311" s="496" t="s">
        <v>1736</v>
      </c>
      <c r="DT311" s="496" t="s">
        <v>1736</v>
      </c>
      <c r="DU311" s="496" t="s">
        <v>1554</v>
      </c>
      <c r="DV311" s="496" t="s">
        <v>1555</v>
      </c>
      <c r="DW311" s="496" t="s">
        <v>1556</v>
      </c>
      <c r="DX311" s="497" t="s">
        <v>1557</v>
      </c>
      <c r="DZ311" s="543">
        <v>1</v>
      </c>
      <c r="EB311" s="493"/>
      <c r="EC311" s="493"/>
    </row>
    <row r="312" spans="5:133" ht="21" customHeight="1">
      <c r="E312" s="716"/>
      <c r="F312" s="724"/>
      <c r="G312" s="725"/>
      <c r="H312" s="724"/>
      <c r="I312" s="726"/>
      <c r="J312" s="950"/>
      <c r="K312" s="951"/>
      <c r="L312" s="793"/>
      <c r="M312" s="952"/>
      <c r="N312" s="953"/>
      <c r="O312" s="954"/>
      <c r="P312" s="955"/>
      <c r="Q312" s="956"/>
      <c r="R312" s="957"/>
      <c r="S312" s="800"/>
      <c r="T312" s="958"/>
      <c r="U312" s="802"/>
      <c r="V312" s="959"/>
      <c r="W312" s="960"/>
      <c r="X312" s="805"/>
      <c r="Y312" s="816"/>
      <c r="DO312" s="494"/>
      <c r="DP312" s="496" t="s">
        <v>1737</v>
      </c>
      <c r="DQ312" s="496" t="s">
        <v>239</v>
      </c>
      <c r="DR312" s="496" t="s">
        <v>689</v>
      </c>
      <c r="DS312" s="496" t="s">
        <v>1738</v>
      </c>
      <c r="DT312" s="496" t="s">
        <v>1738</v>
      </c>
      <c r="DU312" s="496" t="s">
        <v>1554</v>
      </c>
      <c r="DV312" s="496" t="s">
        <v>1555</v>
      </c>
      <c r="DW312" s="496" t="s">
        <v>1556</v>
      </c>
      <c r="DX312" s="497" t="s">
        <v>1557</v>
      </c>
      <c r="DZ312" s="543">
        <v>1</v>
      </c>
      <c r="EB312" s="493"/>
      <c r="EC312" s="493"/>
    </row>
    <row r="313" spans="5:133" ht="21" customHeight="1">
      <c r="E313" s="716"/>
      <c r="F313" s="724"/>
      <c r="G313" s="725"/>
      <c r="H313" s="724"/>
      <c r="I313" s="726"/>
      <c r="J313" s="950"/>
      <c r="K313" s="951"/>
      <c r="L313" s="793"/>
      <c r="M313" s="952"/>
      <c r="N313" s="953"/>
      <c r="O313" s="954"/>
      <c r="P313" s="955"/>
      <c r="Q313" s="956"/>
      <c r="R313" s="957"/>
      <c r="S313" s="800"/>
      <c r="T313" s="958"/>
      <c r="U313" s="802"/>
      <c r="V313" s="959"/>
      <c r="W313" s="960"/>
      <c r="X313" s="805"/>
      <c r="Y313" s="816"/>
      <c r="DO313" s="494"/>
      <c r="DP313" s="496" t="s">
        <v>1739</v>
      </c>
      <c r="DQ313" s="496" t="s">
        <v>239</v>
      </c>
      <c r="DR313" s="496" t="s">
        <v>689</v>
      </c>
      <c r="DS313" s="496" t="s">
        <v>1740</v>
      </c>
      <c r="DT313" s="496" t="s">
        <v>1740</v>
      </c>
      <c r="DU313" s="496" t="s">
        <v>1554</v>
      </c>
      <c r="DV313" s="496" t="s">
        <v>1555</v>
      </c>
      <c r="DW313" s="496" t="s">
        <v>1556</v>
      </c>
      <c r="DX313" s="497" t="s">
        <v>1557</v>
      </c>
      <c r="DZ313" s="543">
        <v>1</v>
      </c>
      <c r="EB313" s="493"/>
      <c r="EC313" s="493"/>
    </row>
    <row r="314" spans="5:133" ht="21" customHeight="1">
      <c r="E314" s="716"/>
      <c r="F314" s="724"/>
      <c r="G314" s="725"/>
      <c r="H314" s="724"/>
      <c r="I314" s="726"/>
      <c r="J314" s="950"/>
      <c r="K314" s="951"/>
      <c r="L314" s="793"/>
      <c r="M314" s="952"/>
      <c r="N314" s="953"/>
      <c r="O314" s="954"/>
      <c r="P314" s="955"/>
      <c r="Q314" s="956"/>
      <c r="R314" s="957"/>
      <c r="S314" s="800"/>
      <c r="T314" s="958"/>
      <c r="U314" s="802"/>
      <c r="V314" s="959"/>
      <c r="W314" s="960"/>
      <c r="X314" s="805"/>
      <c r="Y314" s="816"/>
      <c r="DO314" s="494"/>
      <c r="DP314" s="496" t="s">
        <v>1741</v>
      </c>
      <c r="DQ314" s="496" t="s">
        <v>239</v>
      </c>
      <c r="DR314" s="496" t="s">
        <v>689</v>
      </c>
      <c r="DS314" s="496" t="s">
        <v>1742</v>
      </c>
      <c r="DT314" s="496" t="s">
        <v>1742</v>
      </c>
      <c r="DU314" s="496" t="s">
        <v>1554</v>
      </c>
      <c r="DV314" s="496" t="s">
        <v>1555</v>
      </c>
      <c r="DW314" s="496" t="s">
        <v>1556</v>
      </c>
      <c r="DX314" s="497" t="s">
        <v>1557</v>
      </c>
      <c r="DZ314" s="543">
        <v>1</v>
      </c>
      <c r="EB314" s="493"/>
      <c r="EC314" s="493"/>
    </row>
    <row r="315" spans="5:133" ht="21" customHeight="1">
      <c r="E315" s="716"/>
      <c r="F315" s="724"/>
      <c r="G315" s="725"/>
      <c r="H315" s="724"/>
      <c r="I315" s="726"/>
      <c r="J315" s="950"/>
      <c r="K315" s="951"/>
      <c r="L315" s="793"/>
      <c r="M315" s="952"/>
      <c r="N315" s="953"/>
      <c r="O315" s="954"/>
      <c r="P315" s="955"/>
      <c r="Q315" s="956"/>
      <c r="R315" s="957"/>
      <c r="S315" s="800"/>
      <c r="T315" s="958"/>
      <c r="U315" s="802"/>
      <c r="V315" s="959"/>
      <c r="W315" s="960"/>
      <c r="X315" s="805"/>
      <c r="Y315" s="816"/>
      <c r="DO315" s="494"/>
      <c r="DP315" s="496" t="s">
        <v>1743</v>
      </c>
      <c r="DQ315" s="496" t="s">
        <v>239</v>
      </c>
      <c r="DR315" s="496" t="s">
        <v>689</v>
      </c>
      <c r="DS315" s="496" t="s">
        <v>1744</v>
      </c>
      <c r="DT315" s="496" t="s">
        <v>1744</v>
      </c>
      <c r="DU315" s="496" t="s">
        <v>1554</v>
      </c>
      <c r="DV315" s="496" t="s">
        <v>1555</v>
      </c>
      <c r="DW315" s="496" t="s">
        <v>1556</v>
      </c>
      <c r="DX315" s="497" t="s">
        <v>1557</v>
      </c>
      <c r="DZ315" s="543">
        <v>1</v>
      </c>
      <c r="EB315" s="493"/>
      <c r="EC315" s="493"/>
    </row>
    <row r="316" spans="5:133" ht="21" customHeight="1">
      <c r="E316" s="716"/>
      <c r="F316" s="724"/>
      <c r="G316" s="725"/>
      <c r="H316" s="724"/>
      <c r="I316" s="726"/>
      <c r="J316" s="950"/>
      <c r="K316" s="951"/>
      <c r="L316" s="793"/>
      <c r="M316" s="952"/>
      <c r="N316" s="953"/>
      <c r="O316" s="954"/>
      <c r="P316" s="955"/>
      <c r="Q316" s="956"/>
      <c r="R316" s="957"/>
      <c r="S316" s="800"/>
      <c r="T316" s="958"/>
      <c r="U316" s="802"/>
      <c r="V316" s="959"/>
      <c r="W316" s="960"/>
      <c r="X316" s="805"/>
      <c r="Y316" s="816"/>
      <c r="DO316" s="494"/>
      <c r="DP316" s="496" t="s">
        <v>1745</v>
      </c>
      <c r="DQ316" s="496" t="s">
        <v>239</v>
      </c>
      <c r="DR316" s="496" t="s">
        <v>689</v>
      </c>
      <c r="DS316" s="496" t="s">
        <v>1746</v>
      </c>
      <c r="DT316" s="496" t="s">
        <v>1746</v>
      </c>
      <c r="DU316" s="496" t="s">
        <v>1554</v>
      </c>
      <c r="DV316" s="496" t="s">
        <v>1555</v>
      </c>
      <c r="DW316" s="496" t="s">
        <v>1556</v>
      </c>
      <c r="DX316" s="497" t="s">
        <v>1557</v>
      </c>
      <c r="DZ316" s="543">
        <v>1</v>
      </c>
      <c r="EB316" s="493"/>
      <c r="EC316" s="493"/>
    </row>
    <row r="317" spans="5:133" ht="21" customHeight="1">
      <c r="E317" s="716"/>
      <c r="F317" s="724"/>
      <c r="G317" s="725"/>
      <c r="H317" s="724"/>
      <c r="I317" s="726"/>
      <c r="J317" s="950"/>
      <c r="K317" s="951"/>
      <c r="L317" s="793"/>
      <c r="M317" s="952"/>
      <c r="N317" s="953"/>
      <c r="O317" s="954"/>
      <c r="P317" s="955"/>
      <c r="Q317" s="956"/>
      <c r="R317" s="957"/>
      <c r="S317" s="800"/>
      <c r="T317" s="958"/>
      <c r="U317" s="802"/>
      <c r="V317" s="959"/>
      <c r="W317" s="960"/>
      <c r="X317" s="805"/>
      <c r="Y317" s="816"/>
      <c r="DO317" s="494"/>
      <c r="DP317" s="496" t="s">
        <v>1747</v>
      </c>
      <c r="DQ317" s="496" t="s">
        <v>239</v>
      </c>
      <c r="DR317" s="496" t="s">
        <v>689</v>
      </c>
      <c r="DS317" s="496" t="s">
        <v>1748</v>
      </c>
      <c r="DT317" s="496" t="s">
        <v>1748</v>
      </c>
      <c r="DU317" s="496" t="s">
        <v>1554</v>
      </c>
      <c r="DV317" s="496" t="s">
        <v>1555</v>
      </c>
      <c r="DW317" s="496" t="s">
        <v>1556</v>
      </c>
      <c r="DX317" s="497" t="s">
        <v>1557</v>
      </c>
      <c r="DZ317" s="543">
        <v>1</v>
      </c>
      <c r="EB317" s="493"/>
      <c r="EC317" s="493"/>
    </row>
    <row r="318" spans="5:133" ht="21" customHeight="1">
      <c r="E318" s="716"/>
      <c r="F318" s="724"/>
      <c r="G318" s="725"/>
      <c r="H318" s="724"/>
      <c r="I318" s="726"/>
      <c r="J318" s="950"/>
      <c r="K318" s="951"/>
      <c r="L318" s="793"/>
      <c r="M318" s="952"/>
      <c r="N318" s="953"/>
      <c r="O318" s="954"/>
      <c r="P318" s="955"/>
      <c r="Q318" s="956"/>
      <c r="R318" s="957"/>
      <c r="S318" s="800"/>
      <c r="T318" s="958"/>
      <c r="U318" s="802"/>
      <c r="V318" s="959"/>
      <c r="W318" s="960"/>
      <c r="X318" s="805"/>
      <c r="Y318" s="816"/>
      <c r="DO318" s="494"/>
      <c r="DP318" s="496" t="s">
        <v>1749</v>
      </c>
      <c r="DQ318" s="496" t="s">
        <v>239</v>
      </c>
      <c r="DR318" s="496" t="s">
        <v>689</v>
      </c>
      <c r="DS318" s="496" t="s">
        <v>1750</v>
      </c>
      <c r="DT318" s="496" t="s">
        <v>1750</v>
      </c>
      <c r="DU318" s="496" t="s">
        <v>1554</v>
      </c>
      <c r="DV318" s="496" t="s">
        <v>1555</v>
      </c>
      <c r="DW318" s="496" t="s">
        <v>1556</v>
      </c>
      <c r="DX318" s="497" t="s">
        <v>1557</v>
      </c>
      <c r="DZ318" s="543">
        <v>1</v>
      </c>
      <c r="EB318" s="493"/>
      <c r="EC318" s="493"/>
    </row>
    <row r="319" spans="5:133" ht="21" customHeight="1">
      <c r="E319" s="716"/>
      <c r="F319" s="724"/>
      <c r="G319" s="725"/>
      <c r="H319" s="724"/>
      <c r="I319" s="726"/>
      <c r="J319" s="950"/>
      <c r="K319" s="951"/>
      <c r="L319" s="793"/>
      <c r="M319" s="952"/>
      <c r="N319" s="953"/>
      <c r="O319" s="954"/>
      <c r="P319" s="955"/>
      <c r="Q319" s="956"/>
      <c r="R319" s="957"/>
      <c r="S319" s="800"/>
      <c r="T319" s="958"/>
      <c r="U319" s="802"/>
      <c r="V319" s="959"/>
      <c r="W319" s="960"/>
      <c r="X319" s="805"/>
      <c r="Y319" s="816"/>
      <c r="DO319" s="494"/>
      <c r="DP319" s="496" t="s">
        <v>1751</v>
      </c>
      <c r="DQ319" s="496" t="s">
        <v>239</v>
      </c>
      <c r="DR319" s="496" t="s">
        <v>689</v>
      </c>
      <c r="DS319" s="496" t="s">
        <v>1752</v>
      </c>
      <c r="DT319" s="496" t="s">
        <v>1752</v>
      </c>
      <c r="DU319" s="496" t="s">
        <v>1554</v>
      </c>
      <c r="DV319" s="496" t="s">
        <v>1555</v>
      </c>
      <c r="DW319" s="496" t="s">
        <v>1556</v>
      </c>
      <c r="DX319" s="497" t="s">
        <v>1557</v>
      </c>
      <c r="DZ319" s="543">
        <v>1</v>
      </c>
      <c r="EB319" s="493"/>
      <c r="EC319" s="493"/>
    </row>
    <row r="320" spans="5:133" ht="21" customHeight="1">
      <c r="E320" s="716"/>
      <c r="F320" s="724"/>
      <c r="G320" s="725"/>
      <c r="H320" s="724"/>
      <c r="I320" s="726"/>
      <c r="J320" s="950"/>
      <c r="K320" s="951"/>
      <c r="L320" s="793"/>
      <c r="M320" s="952"/>
      <c r="N320" s="953"/>
      <c r="O320" s="954"/>
      <c r="P320" s="955"/>
      <c r="Q320" s="956"/>
      <c r="R320" s="957"/>
      <c r="S320" s="800"/>
      <c r="T320" s="958"/>
      <c r="U320" s="802"/>
      <c r="V320" s="959"/>
      <c r="W320" s="960"/>
      <c r="X320" s="805"/>
      <c r="Y320" s="816"/>
      <c r="DO320" s="494"/>
      <c r="DP320" s="496" t="s">
        <v>1753</v>
      </c>
      <c r="DQ320" s="496" t="s">
        <v>239</v>
      </c>
      <c r="DR320" s="496" t="s">
        <v>689</v>
      </c>
      <c r="DS320" s="496" t="s">
        <v>1754</v>
      </c>
      <c r="DT320" s="496" t="s">
        <v>1754</v>
      </c>
      <c r="DU320" s="496" t="s">
        <v>1554</v>
      </c>
      <c r="DV320" s="496" t="s">
        <v>1555</v>
      </c>
      <c r="DW320" s="496" t="s">
        <v>1556</v>
      </c>
      <c r="DX320" s="497" t="s">
        <v>1557</v>
      </c>
      <c r="DZ320" s="543">
        <v>1</v>
      </c>
      <c r="EB320" s="493"/>
      <c r="EC320" s="493"/>
    </row>
    <row r="321" spans="5:133" ht="21" customHeight="1">
      <c r="E321" s="716"/>
      <c r="F321" s="724"/>
      <c r="G321" s="725"/>
      <c r="H321" s="724"/>
      <c r="I321" s="726"/>
      <c r="J321" s="950"/>
      <c r="K321" s="951"/>
      <c r="L321" s="793"/>
      <c r="M321" s="952"/>
      <c r="N321" s="953"/>
      <c r="O321" s="954"/>
      <c r="P321" s="955"/>
      <c r="Q321" s="956"/>
      <c r="R321" s="957"/>
      <c r="S321" s="800"/>
      <c r="T321" s="958"/>
      <c r="U321" s="802"/>
      <c r="V321" s="959"/>
      <c r="W321" s="960"/>
      <c r="X321" s="805"/>
      <c r="Y321" s="816"/>
      <c r="DO321" s="494"/>
      <c r="DP321" s="496" t="s">
        <v>1755</v>
      </c>
      <c r="DQ321" s="496" t="s">
        <v>239</v>
      </c>
      <c r="DR321" s="496" t="s">
        <v>689</v>
      </c>
      <c r="DS321" s="496" t="s">
        <v>1756</v>
      </c>
      <c r="DT321" s="496" t="s">
        <v>1756</v>
      </c>
      <c r="DU321" s="496" t="s">
        <v>1554</v>
      </c>
      <c r="DV321" s="496" t="s">
        <v>1555</v>
      </c>
      <c r="DW321" s="496" t="s">
        <v>1556</v>
      </c>
      <c r="DX321" s="497" t="s">
        <v>1557</v>
      </c>
      <c r="DZ321" s="543">
        <v>1</v>
      </c>
      <c r="EB321" s="493"/>
      <c r="EC321" s="493"/>
    </row>
    <row r="322" spans="5:133" ht="21" customHeight="1">
      <c r="E322" s="716"/>
      <c r="F322" s="724"/>
      <c r="G322" s="725"/>
      <c r="H322" s="724"/>
      <c r="I322" s="726"/>
      <c r="J322" s="950"/>
      <c r="K322" s="951"/>
      <c r="L322" s="793"/>
      <c r="M322" s="952"/>
      <c r="N322" s="953"/>
      <c r="O322" s="954"/>
      <c r="P322" s="955"/>
      <c r="Q322" s="956"/>
      <c r="R322" s="957"/>
      <c r="S322" s="800"/>
      <c r="T322" s="958"/>
      <c r="U322" s="802"/>
      <c r="V322" s="959"/>
      <c r="W322" s="960"/>
      <c r="X322" s="805"/>
      <c r="Y322" s="816"/>
      <c r="DO322" s="494"/>
      <c r="DP322" s="496" t="s">
        <v>1757</v>
      </c>
      <c r="DQ322" s="496" t="s">
        <v>239</v>
      </c>
      <c r="DR322" s="496" t="s">
        <v>689</v>
      </c>
      <c r="DS322" s="496" t="s">
        <v>1758</v>
      </c>
      <c r="DT322" s="496" t="s">
        <v>1758</v>
      </c>
      <c r="DU322" s="496" t="s">
        <v>1554</v>
      </c>
      <c r="DV322" s="496" t="s">
        <v>1555</v>
      </c>
      <c r="DW322" s="496" t="s">
        <v>1556</v>
      </c>
      <c r="DX322" s="497" t="s">
        <v>1557</v>
      </c>
      <c r="DZ322" s="543">
        <v>1</v>
      </c>
      <c r="EB322" s="493"/>
      <c r="EC322" s="493"/>
    </row>
    <row r="323" spans="5:133" ht="21" customHeight="1">
      <c r="E323" s="716"/>
      <c r="F323" s="724"/>
      <c r="G323" s="725"/>
      <c r="H323" s="724"/>
      <c r="I323" s="726"/>
      <c r="J323" s="950"/>
      <c r="K323" s="951"/>
      <c r="L323" s="793"/>
      <c r="M323" s="952"/>
      <c r="N323" s="953"/>
      <c r="O323" s="954"/>
      <c r="P323" s="955"/>
      <c r="Q323" s="956"/>
      <c r="R323" s="957"/>
      <c r="S323" s="800"/>
      <c r="T323" s="958"/>
      <c r="U323" s="802"/>
      <c r="V323" s="959"/>
      <c r="W323" s="960"/>
      <c r="X323" s="805"/>
      <c r="Y323" s="816"/>
      <c r="DO323" s="494"/>
      <c r="DP323" s="496" t="s">
        <v>1759</v>
      </c>
      <c r="DQ323" s="496" t="s">
        <v>239</v>
      </c>
      <c r="DR323" s="496" t="s">
        <v>689</v>
      </c>
      <c r="DS323" s="496" t="s">
        <v>1760</v>
      </c>
      <c r="DT323" s="496" t="s">
        <v>1760</v>
      </c>
      <c r="DU323" s="496" t="s">
        <v>1554</v>
      </c>
      <c r="DV323" s="496" t="s">
        <v>1561</v>
      </c>
      <c r="DW323" s="496" t="s">
        <v>1087</v>
      </c>
      <c r="DX323" s="497" t="s">
        <v>1088</v>
      </c>
      <c r="DZ323" s="543">
        <v>1</v>
      </c>
      <c r="EB323" s="493"/>
      <c r="EC323" s="493"/>
    </row>
    <row r="324" spans="5:133" ht="21" customHeight="1">
      <c r="E324" s="716"/>
      <c r="F324" s="724"/>
      <c r="G324" s="725"/>
      <c r="H324" s="724"/>
      <c r="I324" s="726"/>
      <c r="J324" s="950"/>
      <c r="K324" s="951"/>
      <c r="L324" s="793"/>
      <c r="M324" s="952"/>
      <c r="N324" s="953"/>
      <c r="O324" s="954"/>
      <c r="P324" s="955"/>
      <c r="Q324" s="956"/>
      <c r="R324" s="957"/>
      <c r="S324" s="800"/>
      <c r="T324" s="958"/>
      <c r="U324" s="802"/>
      <c r="V324" s="959"/>
      <c r="W324" s="960"/>
      <c r="X324" s="805"/>
      <c r="Y324" s="816"/>
      <c r="DO324" s="494"/>
      <c r="DP324" s="496" t="s">
        <v>1761</v>
      </c>
      <c r="DQ324" s="496" t="s">
        <v>239</v>
      </c>
      <c r="DR324" s="496" t="s">
        <v>689</v>
      </c>
      <c r="DS324" s="496" t="s">
        <v>105</v>
      </c>
      <c r="DT324" s="496" t="s">
        <v>105</v>
      </c>
      <c r="DU324" s="496" t="s">
        <v>1554</v>
      </c>
      <c r="DV324" s="496" t="s">
        <v>1555</v>
      </c>
      <c r="DW324" s="496" t="s">
        <v>1556</v>
      </c>
      <c r="DX324" s="497" t="s">
        <v>1557</v>
      </c>
      <c r="DZ324" s="543">
        <v>1</v>
      </c>
      <c r="EB324" s="493"/>
      <c r="EC324" s="493"/>
    </row>
    <row r="325" spans="5:133" ht="21" customHeight="1">
      <c r="E325" s="716"/>
      <c r="F325" s="724"/>
      <c r="G325" s="725"/>
      <c r="H325" s="724"/>
      <c r="I325" s="726"/>
      <c r="J325" s="950"/>
      <c r="K325" s="951"/>
      <c r="L325" s="793"/>
      <c r="M325" s="952"/>
      <c r="N325" s="953"/>
      <c r="O325" s="954"/>
      <c r="P325" s="955"/>
      <c r="Q325" s="956"/>
      <c r="R325" s="957"/>
      <c r="S325" s="800"/>
      <c r="T325" s="958"/>
      <c r="U325" s="802"/>
      <c r="V325" s="959"/>
      <c r="W325" s="960"/>
      <c r="X325" s="805"/>
      <c r="Y325" s="816"/>
      <c r="DO325" s="494"/>
      <c r="DP325" s="496" t="s">
        <v>1762</v>
      </c>
      <c r="DQ325" s="496" t="s">
        <v>239</v>
      </c>
      <c r="DR325" s="496" t="s">
        <v>689</v>
      </c>
      <c r="DS325" s="496" t="s">
        <v>1763</v>
      </c>
      <c r="DT325" s="496" t="s">
        <v>1763</v>
      </c>
      <c r="DU325" s="496" t="s">
        <v>1554</v>
      </c>
      <c r="DV325" s="496" t="s">
        <v>1555</v>
      </c>
      <c r="DW325" s="496" t="s">
        <v>1556</v>
      </c>
      <c r="DX325" s="497" t="s">
        <v>1557</v>
      </c>
      <c r="DZ325" s="543">
        <v>1</v>
      </c>
      <c r="EB325" s="493"/>
      <c r="EC325" s="493"/>
    </row>
    <row r="326" spans="5:133" ht="21" customHeight="1">
      <c r="E326" s="716"/>
      <c r="F326" s="724"/>
      <c r="G326" s="725"/>
      <c r="H326" s="724"/>
      <c r="I326" s="726"/>
      <c r="J326" s="950"/>
      <c r="K326" s="951"/>
      <c r="L326" s="793"/>
      <c r="M326" s="952"/>
      <c r="N326" s="953"/>
      <c r="O326" s="954"/>
      <c r="P326" s="955"/>
      <c r="Q326" s="956"/>
      <c r="R326" s="957"/>
      <c r="S326" s="800"/>
      <c r="T326" s="958"/>
      <c r="U326" s="802"/>
      <c r="V326" s="959"/>
      <c r="W326" s="960"/>
      <c r="X326" s="805"/>
      <c r="Y326" s="816"/>
      <c r="DO326" s="494"/>
      <c r="DP326" s="496" t="s">
        <v>1764</v>
      </c>
      <c r="DQ326" s="496" t="s">
        <v>239</v>
      </c>
      <c r="DR326" s="496" t="s">
        <v>689</v>
      </c>
      <c r="DS326" s="496" t="s">
        <v>1765</v>
      </c>
      <c r="DT326" s="496" t="s">
        <v>1765</v>
      </c>
      <c r="DU326" s="496" t="s">
        <v>1554</v>
      </c>
      <c r="DV326" s="496" t="s">
        <v>1555</v>
      </c>
      <c r="DW326" s="496" t="s">
        <v>1556</v>
      </c>
      <c r="DX326" s="497" t="s">
        <v>1557</v>
      </c>
      <c r="DZ326" s="543">
        <v>1</v>
      </c>
      <c r="EB326" s="493"/>
      <c r="EC326" s="493"/>
    </row>
    <row r="327" spans="5:133" ht="21" customHeight="1">
      <c r="E327" s="716"/>
      <c r="F327" s="724"/>
      <c r="G327" s="725"/>
      <c r="H327" s="724"/>
      <c r="I327" s="726"/>
      <c r="J327" s="950"/>
      <c r="K327" s="951"/>
      <c r="L327" s="793"/>
      <c r="M327" s="952"/>
      <c r="N327" s="953"/>
      <c r="O327" s="954"/>
      <c r="P327" s="955"/>
      <c r="Q327" s="956"/>
      <c r="R327" s="957"/>
      <c r="S327" s="800"/>
      <c r="T327" s="958"/>
      <c r="U327" s="802"/>
      <c r="V327" s="959"/>
      <c r="W327" s="960"/>
      <c r="X327" s="805"/>
      <c r="Y327" s="816"/>
      <c r="DO327" s="494"/>
      <c r="DP327" s="496" t="s">
        <v>1766</v>
      </c>
      <c r="DQ327" s="496" t="s">
        <v>239</v>
      </c>
      <c r="DR327" s="496" t="s">
        <v>689</v>
      </c>
      <c r="DS327" s="496" t="s">
        <v>1767</v>
      </c>
      <c r="DT327" s="496" t="s">
        <v>1767</v>
      </c>
      <c r="DU327" s="496" t="s">
        <v>1554</v>
      </c>
      <c r="DV327" s="496" t="s">
        <v>1555</v>
      </c>
      <c r="DW327" s="496" t="s">
        <v>1556</v>
      </c>
      <c r="DX327" s="497" t="s">
        <v>1557</v>
      </c>
      <c r="DZ327" s="543">
        <v>1</v>
      </c>
      <c r="EB327" s="493"/>
      <c r="EC327" s="493"/>
    </row>
    <row r="328" spans="5:133" ht="21" customHeight="1">
      <c r="E328" s="716"/>
      <c r="F328" s="724"/>
      <c r="G328" s="725"/>
      <c r="H328" s="724"/>
      <c r="I328" s="726"/>
      <c r="J328" s="950"/>
      <c r="K328" s="951"/>
      <c r="L328" s="793"/>
      <c r="M328" s="952"/>
      <c r="N328" s="953"/>
      <c r="O328" s="954"/>
      <c r="P328" s="955"/>
      <c r="Q328" s="956"/>
      <c r="R328" s="957"/>
      <c r="S328" s="800"/>
      <c r="T328" s="958"/>
      <c r="U328" s="802"/>
      <c r="V328" s="959"/>
      <c r="W328" s="960"/>
      <c r="X328" s="805"/>
      <c r="Y328" s="816"/>
      <c r="DO328" s="494"/>
      <c r="DP328" s="496" t="s">
        <v>1768</v>
      </c>
      <c r="DQ328" s="496" t="s">
        <v>239</v>
      </c>
      <c r="DR328" s="496" t="s">
        <v>689</v>
      </c>
      <c r="DS328" s="496" t="s">
        <v>290</v>
      </c>
      <c r="DT328" s="496" t="s">
        <v>290</v>
      </c>
      <c r="DU328" s="496" t="s">
        <v>1554</v>
      </c>
      <c r="DV328" s="496" t="s">
        <v>1561</v>
      </c>
      <c r="DW328" s="496" t="s">
        <v>1087</v>
      </c>
      <c r="DX328" s="497" t="s">
        <v>1088</v>
      </c>
      <c r="DZ328" s="543">
        <v>1</v>
      </c>
      <c r="EB328" s="493"/>
      <c r="EC328" s="493"/>
    </row>
    <row r="329" spans="5:133" ht="21" customHeight="1">
      <c r="E329" s="716"/>
      <c r="F329" s="724"/>
      <c r="G329" s="725"/>
      <c r="H329" s="724"/>
      <c r="I329" s="726"/>
      <c r="J329" s="950"/>
      <c r="K329" s="951"/>
      <c r="L329" s="793"/>
      <c r="M329" s="952"/>
      <c r="N329" s="953"/>
      <c r="O329" s="954"/>
      <c r="P329" s="955"/>
      <c r="Q329" s="956"/>
      <c r="R329" s="957"/>
      <c r="S329" s="800"/>
      <c r="T329" s="958"/>
      <c r="U329" s="802"/>
      <c r="V329" s="959"/>
      <c r="W329" s="960"/>
      <c r="X329" s="805"/>
      <c r="Y329" s="816"/>
      <c r="DO329" s="494"/>
      <c r="DP329" s="496" t="s">
        <v>1769</v>
      </c>
      <c r="DQ329" s="496" t="s">
        <v>239</v>
      </c>
      <c r="DR329" s="496" t="s">
        <v>689</v>
      </c>
      <c r="DS329" s="496" t="s">
        <v>291</v>
      </c>
      <c r="DT329" s="496" t="s">
        <v>291</v>
      </c>
      <c r="DU329" s="496" t="s">
        <v>1151</v>
      </c>
      <c r="DV329" s="496" t="s">
        <v>1152</v>
      </c>
      <c r="DW329" s="496" t="s">
        <v>1087</v>
      </c>
      <c r="DX329" s="497" t="s">
        <v>1153</v>
      </c>
      <c r="DZ329" s="543">
        <v>1</v>
      </c>
      <c r="EB329" s="493"/>
      <c r="EC329" s="493"/>
    </row>
    <row r="330" spans="5:133" ht="21" customHeight="1">
      <c r="E330" s="716"/>
      <c r="F330" s="724"/>
      <c r="G330" s="725"/>
      <c r="H330" s="724"/>
      <c r="I330" s="726"/>
      <c r="J330" s="950"/>
      <c r="K330" s="951"/>
      <c r="L330" s="793"/>
      <c r="M330" s="952"/>
      <c r="N330" s="953"/>
      <c r="O330" s="954"/>
      <c r="P330" s="955"/>
      <c r="Q330" s="956"/>
      <c r="R330" s="957"/>
      <c r="S330" s="800"/>
      <c r="T330" s="958"/>
      <c r="U330" s="802"/>
      <c r="V330" s="959"/>
      <c r="W330" s="960"/>
      <c r="X330" s="805"/>
      <c r="Y330" s="816"/>
      <c r="DO330" s="494"/>
      <c r="DP330" s="496" t="s">
        <v>1770</v>
      </c>
      <c r="DQ330" s="496" t="s">
        <v>239</v>
      </c>
      <c r="DR330" s="496" t="s">
        <v>689</v>
      </c>
      <c r="DS330" s="496" t="s">
        <v>1771</v>
      </c>
      <c r="DT330" s="496" t="s">
        <v>1771</v>
      </c>
      <c r="DU330" s="496" t="s">
        <v>1151</v>
      </c>
      <c r="DV330" s="496" t="s">
        <v>1152</v>
      </c>
      <c r="DW330" s="496" t="s">
        <v>1087</v>
      </c>
      <c r="DX330" s="497" t="s">
        <v>1153</v>
      </c>
      <c r="DZ330" s="543">
        <v>1</v>
      </c>
      <c r="EB330" s="493"/>
      <c r="EC330" s="493"/>
    </row>
    <row r="331" spans="5:133" ht="21" customHeight="1">
      <c r="E331" s="716"/>
      <c r="F331" s="724"/>
      <c r="G331" s="725"/>
      <c r="H331" s="724"/>
      <c r="I331" s="726"/>
      <c r="J331" s="950"/>
      <c r="K331" s="951"/>
      <c r="L331" s="793"/>
      <c r="M331" s="952"/>
      <c r="N331" s="953"/>
      <c r="O331" s="954"/>
      <c r="P331" s="955"/>
      <c r="Q331" s="956"/>
      <c r="R331" s="957"/>
      <c r="S331" s="800"/>
      <c r="T331" s="958"/>
      <c r="U331" s="802"/>
      <c r="V331" s="959"/>
      <c r="W331" s="960"/>
      <c r="X331" s="805"/>
      <c r="Y331" s="816"/>
      <c r="DO331" s="494"/>
      <c r="DP331" s="496" t="s">
        <v>1772</v>
      </c>
      <c r="DQ331" s="496" t="s">
        <v>239</v>
      </c>
      <c r="DR331" s="496" t="s">
        <v>689</v>
      </c>
      <c r="DS331" s="496" t="s">
        <v>1773</v>
      </c>
      <c r="DT331" s="496" t="s">
        <v>1773</v>
      </c>
      <c r="DU331" s="496" t="s">
        <v>1554</v>
      </c>
      <c r="DV331" s="496" t="s">
        <v>1555</v>
      </c>
      <c r="DW331" s="496" t="s">
        <v>1556</v>
      </c>
      <c r="DX331" s="497" t="s">
        <v>1557</v>
      </c>
      <c r="DZ331" s="543">
        <v>1</v>
      </c>
      <c r="EB331" s="493"/>
      <c r="EC331" s="493"/>
    </row>
    <row r="332" spans="5:133" ht="21" customHeight="1">
      <c r="E332" s="716"/>
      <c r="F332" s="724"/>
      <c r="G332" s="725"/>
      <c r="H332" s="724"/>
      <c r="I332" s="726"/>
      <c r="J332" s="950"/>
      <c r="K332" s="951"/>
      <c r="L332" s="793"/>
      <c r="M332" s="952"/>
      <c r="N332" s="953"/>
      <c r="O332" s="954"/>
      <c r="P332" s="955"/>
      <c r="Q332" s="956"/>
      <c r="R332" s="957"/>
      <c r="S332" s="800"/>
      <c r="T332" s="958"/>
      <c r="U332" s="802"/>
      <c r="V332" s="959"/>
      <c r="W332" s="960"/>
      <c r="X332" s="805"/>
      <c r="Y332" s="816"/>
      <c r="DO332" s="494"/>
      <c r="DP332" s="496" t="s">
        <v>1774</v>
      </c>
      <c r="DQ332" s="496" t="s">
        <v>239</v>
      </c>
      <c r="DR332" s="496" t="s">
        <v>689</v>
      </c>
      <c r="DS332" s="496" t="s">
        <v>1775</v>
      </c>
      <c r="DT332" s="496" t="s">
        <v>1775</v>
      </c>
      <c r="DU332" s="496" t="s">
        <v>1554</v>
      </c>
      <c r="DV332" s="496" t="s">
        <v>1555</v>
      </c>
      <c r="DW332" s="496" t="s">
        <v>1556</v>
      </c>
      <c r="DX332" s="497" t="s">
        <v>1557</v>
      </c>
      <c r="DZ332" s="543">
        <v>1</v>
      </c>
      <c r="EB332" s="493"/>
      <c r="EC332" s="493"/>
    </row>
    <row r="333" spans="5:133" ht="21" customHeight="1">
      <c r="E333" s="716"/>
      <c r="F333" s="724"/>
      <c r="G333" s="725"/>
      <c r="H333" s="724"/>
      <c r="I333" s="726"/>
      <c r="J333" s="950"/>
      <c r="K333" s="951"/>
      <c r="L333" s="793"/>
      <c r="M333" s="952"/>
      <c r="N333" s="953"/>
      <c r="O333" s="954"/>
      <c r="P333" s="955"/>
      <c r="Q333" s="956"/>
      <c r="R333" s="957"/>
      <c r="S333" s="800"/>
      <c r="T333" s="958"/>
      <c r="U333" s="802"/>
      <c r="V333" s="959"/>
      <c r="W333" s="960"/>
      <c r="X333" s="805"/>
      <c r="Y333" s="816"/>
      <c r="DO333" s="494"/>
      <c r="DP333" s="496" t="s">
        <v>1776</v>
      </c>
      <c r="DQ333" s="496" t="s">
        <v>239</v>
      </c>
      <c r="DR333" s="496" t="s">
        <v>689</v>
      </c>
      <c r="DS333" s="496" t="s">
        <v>1777</v>
      </c>
      <c r="DT333" s="496" t="s">
        <v>1777</v>
      </c>
      <c r="DU333" s="496" t="s">
        <v>1554</v>
      </c>
      <c r="DV333" s="496" t="s">
        <v>1555</v>
      </c>
      <c r="DW333" s="496" t="s">
        <v>1556</v>
      </c>
      <c r="DX333" s="497" t="s">
        <v>1557</v>
      </c>
      <c r="DZ333" s="543">
        <v>1</v>
      </c>
      <c r="EB333" s="493"/>
      <c r="EC333" s="493"/>
    </row>
    <row r="334" spans="5:133" ht="21" customHeight="1">
      <c r="E334" s="716"/>
      <c r="F334" s="724"/>
      <c r="G334" s="725"/>
      <c r="H334" s="724"/>
      <c r="I334" s="726"/>
      <c r="J334" s="950"/>
      <c r="K334" s="951"/>
      <c r="L334" s="793"/>
      <c r="M334" s="952"/>
      <c r="N334" s="953"/>
      <c r="O334" s="954"/>
      <c r="P334" s="955"/>
      <c r="Q334" s="956"/>
      <c r="R334" s="957"/>
      <c r="S334" s="800"/>
      <c r="T334" s="958"/>
      <c r="U334" s="802"/>
      <c r="V334" s="959"/>
      <c r="W334" s="960"/>
      <c r="X334" s="805"/>
      <c r="Y334" s="816"/>
      <c r="DO334" s="494"/>
      <c r="DP334" s="496" t="s">
        <v>1778</v>
      </c>
      <c r="DQ334" s="496" t="s">
        <v>239</v>
      </c>
      <c r="DR334" s="496" t="s">
        <v>689</v>
      </c>
      <c r="DS334" s="496" t="s">
        <v>1779</v>
      </c>
      <c r="DT334" s="496" t="s">
        <v>871</v>
      </c>
      <c r="DU334" s="496" t="s">
        <v>1554</v>
      </c>
      <c r="DV334" s="496" t="s">
        <v>1561</v>
      </c>
      <c r="DW334" s="496" t="s">
        <v>1087</v>
      </c>
      <c r="DX334" s="497" t="s">
        <v>1088</v>
      </c>
      <c r="DZ334" s="543">
        <v>1</v>
      </c>
      <c r="EB334" s="493"/>
      <c r="EC334" s="493"/>
    </row>
    <row r="335" spans="5:133" ht="21" customHeight="1">
      <c r="E335" s="716"/>
      <c r="F335" s="724"/>
      <c r="G335" s="725"/>
      <c r="H335" s="724"/>
      <c r="I335" s="726"/>
      <c r="J335" s="950"/>
      <c r="K335" s="951"/>
      <c r="L335" s="793"/>
      <c r="M335" s="952"/>
      <c r="N335" s="953"/>
      <c r="O335" s="954"/>
      <c r="P335" s="955"/>
      <c r="Q335" s="956"/>
      <c r="R335" s="957"/>
      <c r="S335" s="800"/>
      <c r="T335" s="958"/>
      <c r="U335" s="802"/>
      <c r="V335" s="959"/>
      <c r="W335" s="960"/>
      <c r="X335" s="805"/>
      <c r="Y335" s="816"/>
      <c r="DO335" s="494"/>
      <c r="DP335" s="496" t="s">
        <v>1780</v>
      </c>
      <c r="DQ335" s="496" t="s">
        <v>239</v>
      </c>
      <c r="DR335" s="496" t="s">
        <v>689</v>
      </c>
      <c r="DS335" s="496" t="s">
        <v>1781</v>
      </c>
      <c r="DT335" s="496" t="s">
        <v>1781</v>
      </c>
      <c r="DU335" s="496" t="s">
        <v>1554</v>
      </c>
      <c r="DV335" s="496" t="s">
        <v>1555</v>
      </c>
      <c r="DW335" s="496" t="s">
        <v>1556</v>
      </c>
      <c r="DX335" s="497" t="s">
        <v>1557</v>
      </c>
      <c r="DZ335" s="543">
        <v>1</v>
      </c>
      <c r="EB335" s="493"/>
      <c r="EC335" s="493"/>
    </row>
    <row r="336" spans="5:133" ht="21" customHeight="1">
      <c r="E336" s="716"/>
      <c r="F336" s="724"/>
      <c r="G336" s="725"/>
      <c r="H336" s="724"/>
      <c r="I336" s="726"/>
      <c r="J336" s="950"/>
      <c r="K336" s="951"/>
      <c r="L336" s="793"/>
      <c r="M336" s="952"/>
      <c r="N336" s="953"/>
      <c r="O336" s="954"/>
      <c r="P336" s="955"/>
      <c r="Q336" s="956"/>
      <c r="R336" s="957"/>
      <c r="S336" s="800"/>
      <c r="T336" s="958"/>
      <c r="U336" s="802"/>
      <c r="V336" s="959"/>
      <c r="W336" s="960"/>
      <c r="X336" s="805"/>
      <c r="Y336" s="816"/>
      <c r="DO336" s="494"/>
      <c r="DP336" s="496" t="s">
        <v>1782</v>
      </c>
      <c r="DQ336" s="496" t="s">
        <v>239</v>
      </c>
      <c r="DR336" s="496" t="s">
        <v>689</v>
      </c>
      <c r="DS336" s="496" t="s">
        <v>1783</v>
      </c>
      <c r="DT336" s="496" t="s">
        <v>1783</v>
      </c>
      <c r="DU336" s="496" t="s">
        <v>1554</v>
      </c>
      <c r="DV336" s="496" t="s">
        <v>1555</v>
      </c>
      <c r="DW336" s="496" t="s">
        <v>1556</v>
      </c>
      <c r="DX336" s="497" t="s">
        <v>1557</v>
      </c>
      <c r="DZ336" s="543">
        <v>1</v>
      </c>
      <c r="EB336" s="493"/>
      <c r="EC336" s="493"/>
    </row>
    <row r="337" spans="5:133" ht="21" customHeight="1">
      <c r="E337" s="716"/>
      <c r="F337" s="724"/>
      <c r="G337" s="725"/>
      <c r="H337" s="724"/>
      <c r="I337" s="726"/>
      <c r="J337" s="950"/>
      <c r="K337" s="951"/>
      <c r="L337" s="793"/>
      <c r="M337" s="952"/>
      <c r="N337" s="953"/>
      <c r="O337" s="954"/>
      <c r="P337" s="955"/>
      <c r="Q337" s="956"/>
      <c r="R337" s="957"/>
      <c r="S337" s="800"/>
      <c r="T337" s="958"/>
      <c r="U337" s="802"/>
      <c r="V337" s="959"/>
      <c r="W337" s="960"/>
      <c r="X337" s="805"/>
      <c r="Y337" s="816"/>
      <c r="DO337" s="494"/>
      <c r="DP337" s="496" t="s">
        <v>1784</v>
      </c>
      <c r="DQ337" s="496" t="s">
        <v>239</v>
      </c>
      <c r="DR337" s="496" t="s">
        <v>689</v>
      </c>
      <c r="DS337" s="496" t="s">
        <v>872</v>
      </c>
      <c r="DT337" s="496" t="s">
        <v>872</v>
      </c>
      <c r="DU337" s="496" t="s">
        <v>1554</v>
      </c>
      <c r="DV337" s="496" t="s">
        <v>1561</v>
      </c>
      <c r="DW337" s="496" t="s">
        <v>1087</v>
      </c>
      <c r="DX337" s="497" t="s">
        <v>1088</v>
      </c>
      <c r="DZ337" s="543">
        <v>1</v>
      </c>
      <c r="EB337" s="493"/>
      <c r="EC337" s="493"/>
    </row>
    <row r="338" spans="5:133" ht="21" customHeight="1">
      <c r="E338" s="716"/>
      <c r="F338" s="724"/>
      <c r="G338" s="725"/>
      <c r="H338" s="724"/>
      <c r="I338" s="726"/>
      <c r="J338" s="950"/>
      <c r="K338" s="951"/>
      <c r="L338" s="793"/>
      <c r="M338" s="952"/>
      <c r="N338" s="953"/>
      <c r="O338" s="954"/>
      <c r="P338" s="955"/>
      <c r="Q338" s="956"/>
      <c r="R338" s="957"/>
      <c r="S338" s="800"/>
      <c r="T338" s="958"/>
      <c r="U338" s="802"/>
      <c r="V338" s="959"/>
      <c r="W338" s="960"/>
      <c r="X338" s="805"/>
      <c r="Y338" s="816"/>
      <c r="DO338" s="494"/>
      <c r="DP338" s="496" t="s">
        <v>1785</v>
      </c>
      <c r="DQ338" s="496" t="s">
        <v>239</v>
      </c>
      <c r="DR338" s="496" t="s">
        <v>689</v>
      </c>
      <c r="DS338" s="496" t="s">
        <v>292</v>
      </c>
      <c r="DT338" s="496" t="s">
        <v>292</v>
      </c>
      <c r="DU338" s="496" t="s">
        <v>1151</v>
      </c>
      <c r="DV338" s="496" t="s">
        <v>1152</v>
      </c>
      <c r="DW338" s="496" t="s">
        <v>1087</v>
      </c>
      <c r="DX338" s="497" t="s">
        <v>1153</v>
      </c>
      <c r="DZ338" s="543">
        <v>1</v>
      </c>
      <c r="EB338" s="493"/>
      <c r="EC338" s="493"/>
    </row>
    <row r="339" spans="5:133" ht="21" customHeight="1">
      <c r="E339" s="716"/>
      <c r="F339" s="724"/>
      <c r="G339" s="725"/>
      <c r="H339" s="724"/>
      <c r="I339" s="726"/>
      <c r="J339" s="950"/>
      <c r="K339" s="951"/>
      <c r="L339" s="793"/>
      <c r="M339" s="952"/>
      <c r="N339" s="953"/>
      <c r="O339" s="954"/>
      <c r="P339" s="955"/>
      <c r="Q339" s="956"/>
      <c r="R339" s="957"/>
      <c r="S339" s="800"/>
      <c r="T339" s="958"/>
      <c r="U339" s="802"/>
      <c r="V339" s="959"/>
      <c r="W339" s="960"/>
      <c r="X339" s="805"/>
      <c r="Y339" s="816"/>
      <c r="DO339" s="494"/>
      <c r="DP339" s="496" t="s">
        <v>1786</v>
      </c>
      <c r="DQ339" s="496" t="s">
        <v>239</v>
      </c>
      <c r="DR339" s="496" t="s">
        <v>689</v>
      </c>
      <c r="DS339" s="496" t="s">
        <v>1787</v>
      </c>
      <c r="DT339" s="496" t="s">
        <v>1787</v>
      </c>
      <c r="DU339" s="496" t="s">
        <v>1151</v>
      </c>
      <c r="DV339" s="496" t="s">
        <v>1152</v>
      </c>
      <c r="DW339" s="496" t="s">
        <v>1087</v>
      </c>
      <c r="DX339" s="497" t="s">
        <v>1153</v>
      </c>
      <c r="DZ339" s="543">
        <v>1</v>
      </c>
      <c r="EB339" s="493"/>
      <c r="EC339" s="493"/>
    </row>
    <row r="340" spans="5:133" ht="21" customHeight="1">
      <c r="E340" s="716"/>
      <c r="F340" s="724"/>
      <c r="G340" s="725"/>
      <c r="H340" s="724"/>
      <c r="I340" s="726"/>
      <c r="J340" s="950"/>
      <c r="K340" s="951"/>
      <c r="L340" s="793"/>
      <c r="M340" s="952"/>
      <c r="N340" s="953"/>
      <c r="O340" s="954"/>
      <c r="P340" s="955"/>
      <c r="Q340" s="956"/>
      <c r="R340" s="957"/>
      <c r="S340" s="800"/>
      <c r="T340" s="958"/>
      <c r="U340" s="802"/>
      <c r="V340" s="959"/>
      <c r="W340" s="960"/>
      <c r="X340" s="805"/>
      <c r="Y340" s="816"/>
      <c r="DO340" s="494"/>
      <c r="DP340" s="496" t="s">
        <v>1788</v>
      </c>
      <c r="DQ340" s="496" t="s">
        <v>239</v>
      </c>
      <c r="DR340" s="496" t="s">
        <v>689</v>
      </c>
      <c r="DS340" s="496" t="s">
        <v>1789</v>
      </c>
      <c r="DT340" s="496" t="s">
        <v>1790</v>
      </c>
      <c r="DU340" s="496" t="s">
        <v>1554</v>
      </c>
      <c r="DV340" s="496" t="s">
        <v>1561</v>
      </c>
      <c r="DW340" s="496" t="s">
        <v>1087</v>
      </c>
      <c r="DX340" s="497" t="s">
        <v>1088</v>
      </c>
      <c r="DZ340" s="543">
        <v>1</v>
      </c>
      <c r="EB340" s="493"/>
      <c r="EC340" s="493"/>
    </row>
    <row r="341" spans="5:133" ht="21" customHeight="1">
      <c r="E341" s="716"/>
      <c r="F341" s="724"/>
      <c r="G341" s="725"/>
      <c r="H341" s="724"/>
      <c r="I341" s="726"/>
      <c r="J341" s="950"/>
      <c r="K341" s="951"/>
      <c r="L341" s="793"/>
      <c r="M341" s="952"/>
      <c r="N341" s="953"/>
      <c r="O341" s="954"/>
      <c r="P341" s="955"/>
      <c r="Q341" s="956"/>
      <c r="R341" s="957"/>
      <c r="S341" s="800"/>
      <c r="T341" s="958"/>
      <c r="U341" s="802"/>
      <c r="V341" s="959"/>
      <c r="W341" s="960"/>
      <c r="X341" s="805"/>
      <c r="Y341" s="816"/>
      <c r="DO341" s="494"/>
      <c r="DP341" s="496" t="s">
        <v>1791</v>
      </c>
      <c r="DQ341" s="496" t="s">
        <v>239</v>
      </c>
      <c r="DR341" s="496" t="s">
        <v>689</v>
      </c>
      <c r="DS341" s="496" t="s">
        <v>873</v>
      </c>
      <c r="DT341" s="496" t="s">
        <v>873</v>
      </c>
      <c r="DU341" s="496" t="s">
        <v>1554</v>
      </c>
      <c r="DV341" s="496" t="s">
        <v>1561</v>
      </c>
      <c r="DW341" s="496" t="s">
        <v>1087</v>
      </c>
      <c r="DX341" s="497" t="s">
        <v>1088</v>
      </c>
      <c r="DZ341" s="543">
        <v>1</v>
      </c>
      <c r="EB341" s="493"/>
      <c r="EC341" s="493"/>
    </row>
    <row r="342" spans="5:133" ht="21" customHeight="1">
      <c r="E342" s="716"/>
      <c r="F342" s="724"/>
      <c r="G342" s="725"/>
      <c r="H342" s="724"/>
      <c r="I342" s="726"/>
      <c r="J342" s="950"/>
      <c r="K342" s="951"/>
      <c r="L342" s="793"/>
      <c r="M342" s="952"/>
      <c r="N342" s="953"/>
      <c r="O342" s="954"/>
      <c r="P342" s="955"/>
      <c r="Q342" s="956"/>
      <c r="R342" s="957"/>
      <c r="S342" s="800"/>
      <c r="T342" s="958"/>
      <c r="U342" s="802"/>
      <c r="V342" s="959"/>
      <c r="W342" s="960"/>
      <c r="X342" s="805"/>
      <c r="Y342" s="816"/>
      <c r="DO342" s="494"/>
      <c r="DP342" s="496" t="s">
        <v>1792</v>
      </c>
      <c r="DQ342" s="496" t="s">
        <v>239</v>
      </c>
      <c r="DR342" s="496" t="s">
        <v>689</v>
      </c>
      <c r="DS342" s="496" t="s">
        <v>874</v>
      </c>
      <c r="DT342" s="496" t="s">
        <v>874</v>
      </c>
      <c r="DU342" s="496" t="s">
        <v>1554</v>
      </c>
      <c r="DV342" s="496" t="s">
        <v>1561</v>
      </c>
      <c r="DW342" s="496" t="s">
        <v>1087</v>
      </c>
      <c r="DX342" s="497" t="s">
        <v>1088</v>
      </c>
      <c r="DZ342" s="543">
        <v>1</v>
      </c>
      <c r="EB342" s="493"/>
      <c r="EC342" s="493"/>
    </row>
    <row r="343" spans="5:133" ht="21" customHeight="1">
      <c r="E343" s="716"/>
      <c r="F343" s="724"/>
      <c r="G343" s="725"/>
      <c r="H343" s="724"/>
      <c r="I343" s="726"/>
      <c r="J343" s="950"/>
      <c r="K343" s="951"/>
      <c r="L343" s="793"/>
      <c r="M343" s="952"/>
      <c r="N343" s="953"/>
      <c r="O343" s="954"/>
      <c r="P343" s="955"/>
      <c r="Q343" s="956"/>
      <c r="R343" s="957"/>
      <c r="S343" s="800"/>
      <c r="T343" s="958"/>
      <c r="U343" s="802"/>
      <c r="V343" s="959"/>
      <c r="W343" s="960"/>
      <c r="X343" s="805"/>
      <c r="Y343" s="816"/>
      <c r="DO343" s="494"/>
      <c r="DP343" s="496" t="s">
        <v>1793</v>
      </c>
      <c r="DQ343" s="496" t="s">
        <v>239</v>
      </c>
      <c r="DR343" s="496" t="s">
        <v>689</v>
      </c>
      <c r="DS343" s="496" t="s">
        <v>293</v>
      </c>
      <c r="DT343" s="496" t="s">
        <v>293</v>
      </c>
      <c r="DU343" s="496" t="s">
        <v>1151</v>
      </c>
      <c r="DV343" s="496" t="s">
        <v>1152</v>
      </c>
      <c r="DW343" s="496" t="s">
        <v>1087</v>
      </c>
      <c r="DX343" s="497" t="s">
        <v>1153</v>
      </c>
      <c r="DZ343" s="543">
        <v>1</v>
      </c>
      <c r="EB343" s="493"/>
      <c r="EC343" s="493"/>
    </row>
    <row r="344" spans="5:133" ht="21" customHeight="1">
      <c r="E344" s="716"/>
      <c r="F344" s="724"/>
      <c r="G344" s="725"/>
      <c r="H344" s="724"/>
      <c r="I344" s="726"/>
      <c r="J344" s="950"/>
      <c r="K344" s="951"/>
      <c r="L344" s="793"/>
      <c r="M344" s="952"/>
      <c r="N344" s="953"/>
      <c r="O344" s="954"/>
      <c r="P344" s="955"/>
      <c r="Q344" s="956"/>
      <c r="R344" s="957"/>
      <c r="S344" s="800"/>
      <c r="T344" s="958"/>
      <c r="U344" s="802"/>
      <c r="V344" s="959"/>
      <c r="W344" s="960"/>
      <c r="X344" s="805"/>
      <c r="Y344" s="816"/>
      <c r="DO344" s="494"/>
      <c r="DP344" s="496" t="s">
        <v>1794</v>
      </c>
      <c r="DQ344" s="496" t="s">
        <v>239</v>
      </c>
      <c r="DR344" s="496" t="s">
        <v>689</v>
      </c>
      <c r="DS344" s="496" t="s">
        <v>1795</v>
      </c>
      <c r="DT344" s="496" t="s">
        <v>1795</v>
      </c>
      <c r="DU344" s="496" t="s">
        <v>1554</v>
      </c>
      <c r="DV344" s="496" t="s">
        <v>1561</v>
      </c>
      <c r="DW344" s="496" t="s">
        <v>1087</v>
      </c>
      <c r="DX344" s="497" t="s">
        <v>1088</v>
      </c>
      <c r="DZ344" s="543">
        <v>1</v>
      </c>
      <c r="EB344" s="493"/>
      <c r="EC344" s="493"/>
    </row>
    <row r="345" spans="5:133" ht="21" customHeight="1">
      <c r="E345" s="716"/>
      <c r="F345" s="724"/>
      <c r="G345" s="725"/>
      <c r="H345" s="724"/>
      <c r="I345" s="726"/>
      <c r="J345" s="950"/>
      <c r="K345" s="951"/>
      <c r="L345" s="793"/>
      <c r="M345" s="952"/>
      <c r="N345" s="953"/>
      <c r="O345" s="954"/>
      <c r="P345" s="955"/>
      <c r="Q345" s="956"/>
      <c r="R345" s="957"/>
      <c r="S345" s="800"/>
      <c r="T345" s="958"/>
      <c r="U345" s="802"/>
      <c r="V345" s="959"/>
      <c r="W345" s="960"/>
      <c r="X345" s="805"/>
      <c r="Y345" s="816"/>
      <c r="DO345" s="494"/>
      <c r="DP345" s="496" t="s">
        <v>1796</v>
      </c>
      <c r="DQ345" s="496" t="s">
        <v>239</v>
      </c>
      <c r="DR345" s="496" t="s">
        <v>689</v>
      </c>
      <c r="DS345" s="496" t="s">
        <v>1797</v>
      </c>
      <c r="DT345" s="496" t="s">
        <v>1797</v>
      </c>
      <c r="DU345" s="496" t="s">
        <v>1151</v>
      </c>
      <c r="DV345" s="496" t="s">
        <v>1152</v>
      </c>
      <c r="DW345" s="496" t="s">
        <v>1087</v>
      </c>
      <c r="DX345" s="497" t="s">
        <v>1153</v>
      </c>
      <c r="DZ345" s="543">
        <v>1</v>
      </c>
      <c r="EB345" s="493"/>
      <c r="EC345" s="493"/>
    </row>
    <row r="346" spans="5:133" ht="21" customHeight="1">
      <c r="E346" s="716"/>
      <c r="F346" s="724"/>
      <c r="G346" s="725"/>
      <c r="H346" s="724"/>
      <c r="I346" s="726"/>
      <c r="J346" s="950"/>
      <c r="K346" s="951"/>
      <c r="L346" s="793"/>
      <c r="M346" s="952"/>
      <c r="N346" s="953"/>
      <c r="O346" s="954"/>
      <c r="P346" s="955"/>
      <c r="Q346" s="956"/>
      <c r="R346" s="957"/>
      <c r="S346" s="800"/>
      <c r="T346" s="958"/>
      <c r="U346" s="802"/>
      <c r="V346" s="959"/>
      <c r="W346" s="960"/>
      <c r="X346" s="805"/>
      <c r="Y346" s="816"/>
      <c r="DO346" s="494"/>
      <c r="DP346" s="496" t="s">
        <v>1798</v>
      </c>
      <c r="DQ346" s="496" t="s">
        <v>239</v>
      </c>
      <c r="DR346" s="496" t="s">
        <v>689</v>
      </c>
      <c r="DS346" s="496" t="s">
        <v>1799</v>
      </c>
      <c r="DT346" s="496" t="s">
        <v>1799</v>
      </c>
      <c r="DU346" s="496" t="s">
        <v>1554</v>
      </c>
      <c r="DV346" s="496" t="s">
        <v>1555</v>
      </c>
      <c r="DW346" s="496" t="s">
        <v>1556</v>
      </c>
      <c r="DX346" s="497" t="s">
        <v>1557</v>
      </c>
      <c r="DZ346" s="543">
        <v>1</v>
      </c>
      <c r="EB346" s="493"/>
      <c r="EC346" s="493"/>
    </row>
    <row r="347" spans="5:133" ht="21" customHeight="1">
      <c r="E347" s="716"/>
      <c r="F347" s="724"/>
      <c r="G347" s="725"/>
      <c r="H347" s="724"/>
      <c r="I347" s="726"/>
      <c r="J347" s="950"/>
      <c r="K347" s="951"/>
      <c r="L347" s="793"/>
      <c r="M347" s="952"/>
      <c r="N347" s="953"/>
      <c r="O347" s="954"/>
      <c r="P347" s="955"/>
      <c r="Q347" s="956"/>
      <c r="R347" s="957"/>
      <c r="S347" s="800"/>
      <c r="T347" s="958"/>
      <c r="U347" s="802"/>
      <c r="V347" s="959"/>
      <c r="W347" s="960"/>
      <c r="X347" s="805"/>
      <c r="Y347" s="816"/>
      <c r="DO347" s="494"/>
      <c r="DP347" s="496" t="s">
        <v>1800</v>
      </c>
      <c r="DQ347" s="496" t="s">
        <v>239</v>
      </c>
      <c r="DR347" s="496" t="s">
        <v>689</v>
      </c>
      <c r="DS347" s="496" t="s">
        <v>875</v>
      </c>
      <c r="DT347" s="496" t="s">
        <v>875</v>
      </c>
      <c r="DU347" s="496" t="s">
        <v>1554</v>
      </c>
      <c r="DV347" s="496" t="s">
        <v>1561</v>
      </c>
      <c r="DW347" s="496" t="s">
        <v>1087</v>
      </c>
      <c r="DX347" s="497" t="s">
        <v>1088</v>
      </c>
      <c r="DZ347" s="543">
        <v>1</v>
      </c>
      <c r="EB347" s="493"/>
      <c r="EC347" s="493"/>
    </row>
    <row r="348" spans="5:133" ht="21" customHeight="1">
      <c r="E348" s="716"/>
      <c r="F348" s="724"/>
      <c r="G348" s="725"/>
      <c r="H348" s="724"/>
      <c r="I348" s="726"/>
      <c r="J348" s="950"/>
      <c r="K348" s="951"/>
      <c r="L348" s="793"/>
      <c r="M348" s="952"/>
      <c r="N348" s="953"/>
      <c r="O348" s="954"/>
      <c r="P348" s="955"/>
      <c r="Q348" s="956"/>
      <c r="R348" s="957"/>
      <c r="S348" s="800"/>
      <c r="T348" s="958"/>
      <c r="U348" s="802"/>
      <c r="V348" s="959"/>
      <c r="W348" s="960"/>
      <c r="X348" s="805"/>
      <c r="Y348" s="816"/>
      <c r="DO348" s="494"/>
      <c r="DP348" s="496" t="s">
        <v>1801</v>
      </c>
      <c r="DQ348" s="496" t="s">
        <v>239</v>
      </c>
      <c r="DR348" s="496" t="s">
        <v>689</v>
      </c>
      <c r="DS348" s="496" t="s">
        <v>1802</v>
      </c>
      <c r="DT348" s="496" t="s">
        <v>1802</v>
      </c>
      <c r="DU348" s="496" t="s">
        <v>1554</v>
      </c>
      <c r="DV348" s="496" t="s">
        <v>1555</v>
      </c>
      <c r="DW348" s="496" t="s">
        <v>1556</v>
      </c>
      <c r="DX348" s="497" t="s">
        <v>1557</v>
      </c>
      <c r="DZ348" s="543">
        <v>1</v>
      </c>
      <c r="EB348" s="493"/>
      <c r="EC348" s="493"/>
    </row>
    <row r="349" spans="5:133" ht="21" customHeight="1">
      <c r="E349" s="716"/>
      <c r="F349" s="724"/>
      <c r="G349" s="725"/>
      <c r="H349" s="724"/>
      <c r="I349" s="726"/>
      <c r="J349" s="950"/>
      <c r="K349" s="951"/>
      <c r="L349" s="793"/>
      <c r="M349" s="952"/>
      <c r="N349" s="953"/>
      <c r="O349" s="954"/>
      <c r="P349" s="955"/>
      <c r="Q349" s="956"/>
      <c r="R349" s="957"/>
      <c r="S349" s="800"/>
      <c r="T349" s="958"/>
      <c r="U349" s="802"/>
      <c r="V349" s="959"/>
      <c r="W349" s="960"/>
      <c r="X349" s="805"/>
      <c r="Y349" s="816"/>
      <c r="DO349" s="494"/>
      <c r="DP349" s="496" t="s">
        <v>1803</v>
      </c>
      <c r="DQ349" s="496" t="s">
        <v>239</v>
      </c>
      <c r="DR349" s="496" t="s">
        <v>689</v>
      </c>
      <c r="DS349" s="496" t="s">
        <v>1804</v>
      </c>
      <c r="DT349" s="496" t="s">
        <v>1804</v>
      </c>
      <c r="DU349" s="496" t="s">
        <v>1554</v>
      </c>
      <c r="DV349" s="496" t="s">
        <v>1561</v>
      </c>
      <c r="DW349" s="496" t="s">
        <v>1087</v>
      </c>
      <c r="DX349" s="497" t="s">
        <v>1088</v>
      </c>
      <c r="DZ349" s="543">
        <v>1</v>
      </c>
      <c r="EB349" s="493"/>
      <c r="EC349" s="493"/>
    </row>
    <row r="350" spans="5:133" ht="21" customHeight="1">
      <c r="E350" s="716"/>
      <c r="F350" s="724"/>
      <c r="G350" s="725"/>
      <c r="H350" s="724"/>
      <c r="I350" s="726"/>
      <c r="J350" s="950"/>
      <c r="K350" s="951"/>
      <c r="L350" s="793"/>
      <c r="M350" s="952"/>
      <c r="N350" s="953"/>
      <c r="O350" s="954"/>
      <c r="P350" s="955"/>
      <c r="Q350" s="956"/>
      <c r="R350" s="957"/>
      <c r="S350" s="800"/>
      <c r="T350" s="958"/>
      <c r="U350" s="802"/>
      <c r="V350" s="959"/>
      <c r="W350" s="960"/>
      <c r="X350" s="805"/>
      <c r="Y350" s="816"/>
      <c r="DO350" s="494"/>
      <c r="DP350" s="496" t="s">
        <v>1805</v>
      </c>
      <c r="DQ350" s="496" t="s">
        <v>345</v>
      </c>
      <c r="DR350" s="496" t="s">
        <v>689</v>
      </c>
      <c r="DS350" s="496" t="s">
        <v>1806</v>
      </c>
      <c r="DT350" s="496" t="s">
        <v>1012</v>
      </c>
      <c r="DU350" s="496" t="s">
        <v>1085</v>
      </c>
      <c r="DV350" s="496" t="s">
        <v>1807</v>
      </c>
      <c r="DW350" s="496" t="s">
        <v>1087</v>
      </c>
      <c r="DX350" s="497" t="s">
        <v>1088</v>
      </c>
      <c r="DZ350" s="543">
        <v>1</v>
      </c>
      <c r="EB350" s="493"/>
      <c r="EC350" s="493"/>
    </row>
    <row r="351" spans="5:133" ht="21" customHeight="1">
      <c r="E351" s="716"/>
      <c r="F351" s="724"/>
      <c r="G351" s="725"/>
      <c r="H351" s="724"/>
      <c r="I351" s="726"/>
      <c r="J351" s="950"/>
      <c r="K351" s="951"/>
      <c r="L351" s="793"/>
      <c r="M351" s="952"/>
      <c r="N351" s="953"/>
      <c r="O351" s="954"/>
      <c r="P351" s="955"/>
      <c r="Q351" s="956"/>
      <c r="R351" s="957"/>
      <c r="S351" s="800"/>
      <c r="T351" s="958"/>
      <c r="U351" s="802"/>
      <c r="V351" s="959"/>
      <c r="W351" s="960"/>
      <c r="X351" s="805"/>
      <c r="Y351" s="816"/>
      <c r="DO351" s="494"/>
      <c r="DP351" s="496" t="s">
        <v>1808</v>
      </c>
      <c r="DQ351" s="496" t="s">
        <v>345</v>
      </c>
      <c r="DR351" s="496" t="s">
        <v>689</v>
      </c>
      <c r="DS351" s="496" t="s">
        <v>120</v>
      </c>
      <c r="DT351" s="496" t="s">
        <v>120</v>
      </c>
      <c r="DU351" s="496" t="s">
        <v>1085</v>
      </c>
      <c r="DV351" s="496" t="s">
        <v>1807</v>
      </c>
      <c r="DW351" s="496" t="s">
        <v>1087</v>
      </c>
      <c r="DX351" s="497" t="s">
        <v>1088</v>
      </c>
      <c r="DZ351" s="543">
        <v>1</v>
      </c>
      <c r="EB351" s="493"/>
      <c r="EC351" s="493"/>
    </row>
    <row r="352" spans="5:133" ht="21" customHeight="1">
      <c r="E352" s="716"/>
      <c r="F352" s="724"/>
      <c r="G352" s="725"/>
      <c r="H352" s="724"/>
      <c r="I352" s="726"/>
      <c r="J352" s="950"/>
      <c r="K352" s="951"/>
      <c r="L352" s="793"/>
      <c r="M352" s="952"/>
      <c r="N352" s="953"/>
      <c r="O352" s="954"/>
      <c r="P352" s="955"/>
      <c r="Q352" s="956"/>
      <c r="R352" s="957"/>
      <c r="S352" s="800"/>
      <c r="T352" s="958"/>
      <c r="U352" s="802"/>
      <c r="V352" s="959"/>
      <c r="W352" s="960"/>
      <c r="X352" s="805"/>
      <c r="Y352" s="816"/>
      <c r="DO352" s="494"/>
      <c r="DP352" s="496" t="s">
        <v>1809</v>
      </c>
      <c r="DQ352" s="496" t="s">
        <v>345</v>
      </c>
      <c r="DR352" s="496" t="s">
        <v>689</v>
      </c>
      <c r="DS352" s="496" t="s">
        <v>1810</v>
      </c>
      <c r="DT352" s="496" t="s">
        <v>937</v>
      </c>
      <c r="DU352" s="496" t="s">
        <v>1085</v>
      </c>
      <c r="DV352" s="496" t="s">
        <v>1807</v>
      </c>
      <c r="DW352" s="496" t="s">
        <v>1087</v>
      </c>
      <c r="DX352" s="497" t="s">
        <v>1088</v>
      </c>
      <c r="DZ352" s="543">
        <v>1</v>
      </c>
      <c r="EB352" s="493"/>
      <c r="EC352" s="493"/>
    </row>
    <row r="353" spans="5:133" ht="21" customHeight="1">
      <c r="E353" s="716"/>
      <c r="F353" s="724"/>
      <c r="G353" s="725"/>
      <c r="H353" s="724"/>
      <c r="I353" s="726"/>
      <c r="J353" s="950"/>
      <c r="K353" s="951"/>
      <c r="L353" s="793"/>
      <c r="M353" s="952"/>
      <c r="N353" s="953"/>
      <c r="O353" s="954"/>
      <c r="P353" s="955"/>
      <c r="Q353" s="956"/>
      <c r="R353" s="957"/>
      <c r="S353" s="800"/>
      <c r="T353" s="958"/>
      <c r="U353" s="802"/>
      <c r="V353" s="959"/>
      <c r="W353" s="960"/>
      <c r="X353" s="805"/>
      <c r="Y353" s="816"/>
      <c r="DO353" s="494"/>
      <c r="DP353" s="496" t="s">
        <v>1811</v>
      </c>
      <c r="DQ353" s="496" t="s">
        <v>345</v>
      </c>
      <c r="DR353" s="496" t="s">
        <v>689</v>
      </c>
      <c r="DS353" s="496" t="s">
        <v>1812</v>
      </c>
      <c r="DT353" s="496" t="s">
        <v>1813</v>
      </c>
      <c r="DU353" s="496" t="s">
        <v>1085</v>
      </c>
      <c r="DV353" s="496" t="s">
        <v>1807</v>
      </c>
      <c r="DW353" s="496" t="s">
        <v>1087</v>
      </c>
      <c r="DX353" s="497" t="s">
        <v>1088</v>
      </c>
      <c r="DZ353" s="543">
        <v>1</v>
      </c>
      <c r="EB353" s="493"/>
      <c r="EC353" s="493"/>
    </row>
    <row r="354" spans="5:133" ht="21" customHeight="1">
      <c r="E354" s="716"/>
      <c r="F354" s="724"/>
      <c r="G354" s="725"/>
      <c r="H354" s="724"/>
      <c r="I354" s="726"/>
      <c r="J354" s="950"/>
      <c r="K354" s="951"/>
      <c r="L354" s="793"/>
      <c r="M354" s="952"/>
      <c r="N354" s="953"/>
      <c r="O354" s="954"/>
      <c r="P354" s="955"/>
      <c r="Q354" s="956"/>
      <c r="R354" s="957"/>
      <c r="S354" s="800"/>
      <c r="T354" s="958"/>
      <c r="U354" s="802"/>
      <c r="V354" s="959"/>
      <c r="W354" s="960"/>
      <c r="X354" s="805"/>
      <c r="Y354" s="816"/>
      <c r="DO354" s="494"/>
      <c r="DP354" s="496" t="s">
        <v>1814</v>
      </c>
      <c r="DQ354" s="496" t="s">
        <v>345</v>
      </c>
      <c r="DR354" s="496" t="s">
        <v>689</v>
      </c>
      <c r="DS354" s="496" t="s">
        <v>1815</v>
      </c>
      <c r="DT354" s="496" t="s">
        <v>44</v>
      </c>
      <c r="DU354" s="496" t="s">
        <v>1085</v>
      </c>
      <c r="DV354" s="496" t="s">
        <v>1807</v>
      </c>
      <c r="DW354" s="496" t="s">
        <v>1087</v>
      </c>
      <c r="DX354" s="497" t="s">
        <v>1088</v>
      </c>
      <c r="DZ354" s="543">
        <v>1</v>
      </c>
      <c r="EB354" s="493"/>
      <c r="EC354" s="493"/>
    </row>
    <row r="355" spans="5:133" ht="21" customHeight="1">
      <c r="E355" s="716"/>
      <c r="F355" s="724"/>
      <c r="G355" s="725"/>
      <c r="H355" s="724"/>
      <c r="I355" s="726"/>
      <c r="J355" s="950"/>
      <c r="K355" s="951"/>
      <c r="L355" s="793"/>
      <c r="M355" s="952"/>
      <c r="N355" s="953"/>
      <c r="O355" s="954"/>
      <c r="P355" s="955"/>
      <c r="Q355" s="956"/>
      <c r="R355" s="957"/>
      <c r="S355" s="800"/>
      <c r="T355" s="958"/>
      <c r="U355" s="802"/>
      <c r="V355" s="959"/>
      <c r="W355" s="960"/>
      <c r="X355" s="805"/>
      <c r="Y355" s="816"/>
      <c r="DO355" s="494"/>
      <c r="DP355" s="496" t="s">
        <v>1816</v>
      </c>
      <c r="DQ355" s="496" t="s">
        <v>345</v>
      </c>
      <c r="DR355" s="496" t="s">
        <v>689</v>
      </c>
      <c r="DS355" s="496" t="s">
        <v>1817</v>
      </c>
      <c r="DT355" s="496" t="s">
        <v>56</v>
      </c>
      <c r="DU355" s="496" t="s">
        <v>1085</v>
      </c>
      <c r="DV355" s="496" t="s">
        <v>1807</v>
      </c>
      <c r="DW355" s="496" t="s">
        <v>1087</v>
      </c>
      <c r="DX355" s="497" t="s">
        <v>1088</v>
      </c>
      <c r="DZ355" s="543">
        <v>1</v>
      </c>
      <c r="EB355" s="493"/>
      <c r="EC355" s="493"/>
    </row>
    <row r="356" spans="5:133" ht="21" customHeight="1">
      <c r="E356" s="716"/>
      <c r="F356" s="724"/>
      <c r="G356" s="725"/>
      <c r="H356" s="724"/>
      <c r="I356" s="726"/>
      <c r="J356" s="950"/>
      <c r="K356" s="951"/>
      <c r="L356" s="793"/>
      <c r="M356" s="952"/>
      <c r="N356" s="953"/>
      <c r="O356" s="954"/>
      <c r="P356" s="955"/>
      <c r="Q356" s="956"/>
      <c r="R356" s="957"/>
      <c r="S356" s="800"/>
      <c r="T356" s="958"/>
      <c r="U356" s="802"/>
      <c r="V356" s="959"/>
      <c r="W356" s="960"/>
      <c r="X356" s="805"/>
      <c r="Y356" s="816"/>
      <c r="DO356" s="494"/>
      <c r="DP356" s="496" t="s">
        <v>1818</v>
      </c>
      <c r="DQ356" s="496" t="s">
        <v>345</v>
      </c>
      <c r="DR356" s="496" t="s">
        <v>689</v>
      </c>
      <c r="DS356" s="496" t="s">
        <v>885</v>
      </c>
      <c r="DT356" s="496" t="s">
        <v>885</v>
      </c>
      <c r="DU356" s="496" t="s">
        <v>1085</v>
      </c>
      <c r="DV356" s="496" t="s">
        <v>1807</v>
      </c>
      <c r="DW356" s="496" t="s">
        <v>1087</v>
      </c>
      <c r="DX356" s="497" t="s">
        <v>1088</v>
      </c>
      <c r="DZ356" s="543">
        <v>1</v>
      </c>
      <c r="EB356" s="493"/>
      <c r="EC356" s="493"/>
    </row>
    <row r="357" spans="5:133" ht="21" customHeight="1">
      <c r="E357" s="716"/>
      <c r="F357" s="724"/>
      <c r="G357" s="725"/>
      <c r="H357" s="724"/>
      <c r="I357" s="726"/>
      <c r="J357" s="950"/>
      <c r="K357" s="951"/>
      <c r="L357" s="793"/>
      <c r="M357" s="952"/>
      <c r="N357" s="953"/>
      <c r="O357" s="954"/>
      <c r="P357" s="955"/>
      <c r="Q357" s="956"/>
      <c r="R357" s="957"/>
      <c r="S357" s="800"/>
      <c r="T357" s="958"/>
      <c r="U357" s="802"/>
      <c r="V357" s="959"/>
      <c r="W357" s="960"/>
      <c r="X357" s="805"/>
      <c r="Y357" s="816"/>
      <c r="DO357" s="494"/>
      <c r="DP357" s="496" t="s">
        <v>1819</v>
      </c>
      <c r="DQ357" s="496" t="s">
        <v>345</v>
      </c>
      <c r="DR357" s="496" t="s">
        <v>689</v>
      </c>
      <c r="DS357" s="496" t="s">
        <v>886</v>
      </c>
      <c r="DT357" s="496" t="s">
        <v>886</v>
      </c>
      <c r="DU357" s="496" t="s">
        <v>1085</v>
      </c>
      <c r="DV357" s="496" t="s">
        <v>1807</v>
      </c>
      <c r="DW357" s="496" t="s">
        <v>1087</v>
      </c>
      <c r="DX357" s="497" t="s">
        <v>1088</v>
      </c>
      <c r="DZ357" s="543">
        <v>1</v>
      </c>
      <c r="EB357" s="493"/>
      <c r="EC357" s="493"/>
    </row>
    <row r="358" spans="5:133" ht="21" customHeight="1">
      <c r="E358" s="716"/>
      <c r="F358" s="724"/>
      <c r="G358" s="725"/>
      <c r="H358" s="724"/>
      <c r="I358" s="726"/>
      <c r="J358" s="950"/>
      <c r="K358" s="951"/>
      <c r="L358" s="793"/>
      <c r="M358" s="952"/>
      <c r="N358" s="953"/>
      <c r="O358" s="954"/>
      <c r="P358" s="955"/>
      <c r="Q358" s="956"/>
      <c r="R358" s="957"/>
      <c r="S358" s="800"/>
      <c r="T358" s="958"/>
      <c r="U358" s="802"/>
      <c r="V358" s="959"/>
      <c r="W358" s="960"/>
      <c r="X358" s="805"/>
      <c r="Y358" s="816"/>
      <c r="DO358" s="494"/>
      <c r="DP358" s="496" t="s">
        <v>1820</v>
      </c>
      <c r="DQ358" s="496" t="s">
        <v>345</v>
      </c>
      <c r="DR358" s="496" t="s">
        <v>689</v>
      </c>
      <c r="DS358" s="496" t="s">
        <v>1821</v>
      </c>
      <c r="DT358" s="496" t="s">
        <v>1821</v>
      </c>
      <c r="DU358" s="496" t="s">
        <v>1085</v>
      </c>
      <c r="DV358" s="496" t="s">
        <v>1807</v>
      </c>
      <c r="DW358" s="496" t="s">
        <v>1087</v>
      </c>
      <c r="DX358" s="497" t="s">
        <v>1088</v>
      </c>
      <c r="DZ358" s="543">
        <v>1</v>
      </c>
      <c r="EB358" s="493"/>
      <c r="EC358" s="493"/>
    </row>
    <row r="359" spans="5:133" ht="21" customHeight="1">
      <c r="E359" s="716"/>
      <c r="F359" s="724"/>
      <c r="G359" s="725"/>
      <c r="H359" s="724"/>
      <c r="I359" s="726"/>
      <c r="J359" s="950"/>
      <c r="K359" s="951"/>
      <c r="L359" s="793"/>
      <c r="M359" s="952"/>
      <c r="N359" s="953"/>
      <c r="O359" s="954"/>
      <c r="P359" s="955"/>
      <c r="Q359" s="956"/>
      <c r="R359" s="957"/>
      <c r="S359" s="800"/>
      <c r="T359" s="958"/>
      <c r="U359" s="802"/>
      <c r="V359" s="959"/>
      <c r="W359" s="960"/>
      <c r="X359" s="805"/>
      <c r="Y359" s="816"/>
      <c r="DO359" s="494"/>
      <c r="DP359" s="496" t="s">
        <v>1822</v>
      </c>
      <c r="DQ359" s="496" t="s">
        <v>345</v>
      </c>
      <c r="DR359" s="496" t="s">
        <v>689</v>
      </c>
      <c r="DS359" s="496" t="s">
        <v>1823</v>
      </c>
      <c r="DT359" s="496" t="s">
        <v>952</v>
      </c>
      <c r="DU359" s="496" t="s">
        <v>1085</v>
      </c>
      <c r="DV359" s="496" t="s">
        <v>1807</v>
      </c>
      <c r="DW359" s="496" t="s">
        <v>1087</v>
      </c>
      <c r="DX359" s="497" t="s">
        <v>1088</v>
      </c>
      <c r="DZ359" s="543">
        <v>1</v>
      </c>
      <c r="EB359" s="493"/>
      <c r="EC359" s="493"/>
    </row>
    <row r="360" spans="5:133" ht="21" customHeight="1">
      <c r="E360" s="716"/>
      <c r="F360" s="724"/>
      <c r="G360" s="725"/>
      <c r="H360" s="724"/>
      <c r="I360" s="726"/>
      <c r="J360" s="950"/>
      <c r="K360" s="951"/>
      <c r="L360" s="793"/>
      <c r="M360" s="952"/>
      <c r="N360" s="953"/>
      <c r="O360" s="954"/>
      <c r="P360" s="955"/>
      <c r="Q360" s="956"/>
      <c r="R360" s="957"/>
      <c r="S360" s="800"/>
      <c r="T360" s="958"/>
      <c r="U360" s="802"/>
      <c r="V360" s="959"/>
      <c r="W360" s="960"/>
      <c r="X360" s="805"/>
      <c r="Y360" s="816"/>
      <c r="DO360" s="494"/>
      <c r="DP360" s="496" t="s">
        <v>1824</v>
      </c>
      <c r="DQ360" s="496" t="s">
        <v>345</v>
      </c>
      <c r="DR360" s="496" t="s">
        <v>689</v>
      </c>
      <c r="DS360" s="496" t="s">
        <v>1825</v>
      </c>
      <c r="DT360" s="496" t="s">
        <v>953</v>
      </c>
      <c r="DU360" s="496" t="s">
        <v>1085</v>
      </c>
      <c r="DV360" s="496" t="s">
        <v>1807</v>
      </c>
      <c r="DW360" s="496" t="s">
        <v>1087</v>
      </c>
      <c r="DX360" s="497" t="s">
        <v>1088</v>
      </c>
      <c r="DZ360" s="543">
        <v>1</v>
      </c>
      <c r="EB360" s="493"/>
      <c r="EC360" s="493"/>
    </row>
    <row r="361" spans="5:133" ht="21" customHeight="1">
      <c r="E361" s="716"/>
      <c r="F361" s="724"/>
      <c r="G361" s="725"/>
      <c r="H361" s="724"/>
      <c r="I361" s="726"/>
      <c r="J361" s="950"/>
      <c r="K361" s="951"/>
      <c r="L361" s="793"/>
      <c r="M361" s="952"/>
      <c r="N361" s="953"/>
      <c r="O361" s="954"/>
      <c r="P361" s="955"/>
      <c r="Q361" s="956"/>
      <c r="R361" s="957"/>
      <c r="S361" s="800"/>
      <c r="T361" s="958"/>
      <c r="U361" s="802"/>
      <c r="V361" s="959"/>
      <c r="W361" s="960"/>
      <c r="X361" s="805"/>
      <c r="Y361" s="816"/>
      <c r="DO361" s="494"/>
      <c r="DP361" s="496" t="s">
        <v>1826</v>
      </c>
      <c r="DQ361" s="496" t="s">
        <v>345</v>
      </c>
      <c r="DR361" s="496" t="s">
        <v>689</v>
      </c>
      <c r="DS361" s="496" t="s">
        <v>1827</v>
      </c>
      <c r="DT361" s="496" t="s">
        <v>954</v>
      </c>
      <c r="DU361" s="496" t="s">
        <v>1085</v>
      </c>
      <c r="DV361" s="496" t="s">
        <v>1807</v>
      </c>
      <c r="DW361" s="496" t="s">
        <v>1087</v>
      </c>
      <c r="DX361" s="497" t="s">
        <v>1088</v>
      </c>
      <c r="DZ361" s="543">
        <v>1</v>
      </c>
      <c r="EB361" s="493"/>
      <c r="EC361" s="493"/>
    </row>
    <row r="362" spans="5:133" ht="21" customHeight="1">
      <c r="E362" s="716"/>
      <c r="F362" s="724"/>
      <c r="G362" s="725"/>
      <c r="H362" s="724"/>
      <c r="I362" s="726"/>
      <c r="J362" s="950"/>
      <c r="K362" s="951"/>
      <c r="L362" s="793"/>
      <c r="M362" s="952"/>
      <c r="N362" s="953"/>
      <c r="O362" s="954"/>
      <c r="P362" s="955"/>
      <c r="Q362" s="956"/>
      <c r="R362" s="957"/>
      <c r="S362" s="800"/>
      <c r="T362" s="958"/>
      <c r="U362" s="802"/>
      <c r="V362" s="959"/>
      <c r="W362" s="960"/>
      <c r="X362" s="805"/>
      <c r="Y362" s="816"/>
      <c r="DO362" s="494"/>
      <c r="DP362" s="496" t="s">
        <v>1828</v>
      </c>
      <c r="DQ362" s="496" t="s">
        <v>345</v>
      </c>
      <c r="DR362" s="496" t="s">
        <v>689</v>
      </c>
      <c r="DS362" s="496" t="s">
        <v>1829</v>
      </c>
      <c r="DT362" s="496" t="s">
        <v>1830</v>
      </c>
      <c r="DU362" s="496" t="s">
        <v>1085</v>
      </c>
      <c r="DV362" s="496" t="s">
        <v>1807</v>
      </c>
      <c r="DW362" s="496" t="s">
        <v>1087</v>
      </c>
      <c r="DX362" s="497" t="s">
        <v>1088</v>
      </c>
      <c r="DZ362" s="543">
        <v>1</v>
      </c>
      <c r="EB362" s="493"/>
      <c r="EC362" s="493"/>
    </row>
    <row r="363" spans="5:133" ht="21" customHeight="1">
      <c r="E363" s="716"/>
      <c r="F363" s="724"/>
      <c r="G363" s="725"/>
      <c r="H363" s="724"/>
      <c r="I363" s="726"/>
      <c r="J363" s="950"/>
      <c r="K363" s="951"/>
      <c r="L363" s="793"/>
      <c r="M363" s="952"/>
      <c r="N363" s="953"/>
      <c r="O363" s="954"/>
      <c r="P363" s="955"/>
      <c r="Q363" s="956"/>
      <c r="R363" s="957"/>
      <c r="S363" s="800"/>
      <c r="T363" s="958"/>
      <c r="U363" s="802"/>
      <c r="V363" s="959"/>
      <c r="W363" s="960"/>
      <c r="X363" s="805"/>
      <c r="Y363" s="816"/>
      <c r="DO363" s="494"/>
      <c r="DP363" s="496" t="s">
        <v>1831</v>
      </c>
      <c r="DQ363" s="496" t="s">
        <v>345</v>
      </c>
      <c r="DR363" s="496" t="s">
        <v>689</v>
      </c>
      <c r="DS363" s="496" t="s">
        <v>1832</v>
      </c>
      <c r="DT363" s="496" t="s">
        <v>957</v>
      </c>
      <c r="DU363" s="496" t="s">
        <v>1085</v>
      </c>
      <c r="DV363" s="496" t="s">
        <v>1807</v>
      </c>
      <c r="DW363" s="496" t="s">
        <v>1087</v>
      </c>
      <c r="DX363" s="497" t="s">
        <v>1088</v>
      </c>
      <c r="DZ363" s="543">
        <v>1</v>
      </c>
      <c r="EB363" s="493"/>
      <c r="EC363" s="493"/>
    </row>
    <row r="364" spans="5:133" ht="21" customHeight="1">
      <c r="E364" s="716"/>
      <c r="F364" s="724"/>
      <c r="G364" s="725"/>
      <c r="H364" s="724"/>
      <c r="I364" s="726"/>
      <c r="J364" s="950"/>
      <c r="K364" s="951"/>
      <c r="L364" s="793"/>
      <c r="M364" s="952"/>
      <c r="N364" s="953"/>
      <c r="O364" s="954"/>
      <c r="P364" s="955"/>
      <c r="Q364" s="956"/>
      <c r="R364" s="957"/>
      <c r="S364" s="800"/>
      <c r="T364" s="958"/>
      <c r="U364" s="802"/>
      <c r="V364" s="959"/>
      <c r="W364" s="960"/>
      <c r="X364" s="805"/>
      <c r="Y364" s="816"/>
      <c r="DO364" s="494"/>
      <c r="DP364" s="496" t="s">
        <v>1833</v>
      </c>
      <c r="DQ364" s="496" t="s">
        <v>345</v>
      </c>
      <c r="DR364" s="496" t="s">
        <v>689</v>
      </c>
      <c r="DS364" s="496" t="s">
        <v>1834</v>
      </c>
      <c r="DT364" s="496" t="s">
        <v>1835</v>
      </c>
      <c r="DU364" s="496" t="s">
        <v>1085</v>
      </c>
      <c r="DV364" s="496" t="s">
        <v>1807</v>
      </c>
      <c r="DW364" s="496" t="s">
        <v>1087</v>
      </c>
      <c r="DX364" s="497" t="s">
        <v>1088</v>
      </c>
      <c r="DZ364" s="543">
        <v>1</v>
      </c>
      <c r="EB364" s="493"/>
      <c r="EC364" s="493"/>
    </row>
    <row r="365" spans="5:133" ht="21" customHeight="1">
      <c r="E365" s="716"/>
      <c r="F365" s="724"/>
      <c r="G365" s="725"/>
      <c r="H365" s="724"/>
      <c r="I365" s="726"/>
      <c r="J365" s="950"/>
      <c r="K365" s="951"/>
      <c r="L365" s="793"/>
      <c r="M365" s="952"/>
      <c r="N365" s="953"/>
      <c r="O365" s="954"/>
      <c r="P365" s="955"/>
      <c r="Q365" s="956"/>
      <c r="R365" s="957"/>
      <c r="S365" s="800"/>
      <c r="T365" s="958"/>
      <c r="U365" s="802"/>
      <c r="V365" s="959"/>
      <c r="W365" s="960"/>
      <c r="X365" s="805"/>
      <c r="Y365" s="816"/>
      <c r="DO365" s="494"/>
      <c r="DP365" s="496" t="s">
        <v>1836</v>
      </c>
      <c r="DQ365" s="496" t="s">
        <v>345</v>
      </c>
      <c r="DR365" s="496" t="s">
        <v>689</v>
      </c>
      <c r="DS365" s="496" t="s">
        <v>1837</v>
      </c>
      <c r="DT365" s="496" t="s">
        <v>1838</v>
      </c>
      <c r="DU365" s="496" t="s">
        <v>1085</v>
      </c>
      <c r="DV365" s="496" t="s">
        <v>1807</v>
      </c>
      <c r="DW365" s="496" t="s">
        <v>1087</v>
      </c>
      <c r="DX365" s="497" t="s">
        <v>1088</v>
      </c>
      <c r="DZ365" s="543">
        <v>1</v>
      </c>
      <c r="EB365" s="493"/>
      <c r="EC365" s="493"/>
    </row>
    <row r="366" spans="5:133" ht="21" customHeight="1">
      <c r="E366" s="716"/>
      <c r="F366" s="724"/>
      <c r="G366" s="725"/>
      <c r="H366" s="724"/>
      <c r="I366" s="726"/>
      <c r="J366" s="950"/>
      <c r="K366" s="951"/>
      <c r="L366" s="793"/>
      <c r="M366" s="952"/>
      <c r="N366" s="953"/>
      <c r="O366" s="954"/>
      <c r="P366" s="955"/>
      <c r="Q366" s="956"/>
      <c r="R366" s="957"/>
      <c r="S366" s="800"/>
      <c r="T366" s="958"/>
      <c r="U366" s="802"/>
      <c r="V366" s="959"/>
      <c r="W366" s="960"/>
      <c r="X366" s="805"/>
      <c r="Y366" s="816"/>
      <c r="DO366" s="494"/>
      <c r="DP366" s="496" t="s">
        <v>1839</v>
      </c>
      <c r="DQ366" s="496" t="s">
        <v>345</v>
      </c>
      <c r="DR366" s="496" t="s">
        <v>689</v>
      </c>
      <c r="DS366" s="496" t="s">
        <v>347</v>
      </c>
      <c r="DT366" s="496" t="s">
        <v>347</v>
      </c>
      <c r="DU366" s="496" t="s">
        <v>1151</v>
      </c>
      <c r="DV366" s="496" t="s">
        <v>1152</v>
      </c>
      <c r="DW366" s="496" t="s">
        <v>1087</v>
      </c>
      <c r="DX366" s="497" t="s">
        <v>1153</v>
      </c>
      <c r="DZ366" s="543">
        <v>1</v>
      </c>
      <c r="EB366" s="493"/>
      <c r="EC366" s="493"/>
    </row>
    <row r="367" spans="5:133" ht="21" customHeight="1">
      <c r="E367" s="716"/>
      <c r="F367" s="724"/>
      <c r="G367" s="725"/>
      <c r="H367" s="724"/>
      <c r="I367" s="726"/>
      <c r="J367" s="950"/>
      <c r="K367" s="951"/>
      <c r="L367" s="793"/>
      <c r="M367" s="952"/>
      <c r="N367" s="953"/>
      <c r="O367" s="954"/>
      <c r="P367" s="955"/>
      <c r="Q367" s="956"/>
      <c r="R367" s="957"/>
      <c r="S367" s="800"/>
      <c r="T367" s="958"/>
      <c r="U367" s="802"/>
      <c r="V367" s="959"/>
      <c r="W367" s="960"/>
      <c r="X367" s="805"/>
      <c r="Y367" s="816"/>
      <c r="DO367" s="494"/>
      <c r="DP367" s="496" t="s">
        <v>1840</v>
      </c>
      <c r="DQ367" s="496" t="s">
        <v>345</v>
      </c>
      <c r="DR367" s="496" t="s">
        <v>689</v>
      </c>
      <c r="DS367" s="496" t="s">
        <v>348</v>
      </c>
      <c r="DT367" s="496" t="s">
        <v>348</v>
      </c>
      <c r="DU367" s="496" t="s">
        <v>1151</v>
      </c>
      <c r="DV367" s="496" t="s">
        <v>1152</v>
      </c>
      <c r="DW367" s="496" t="s">
        <v>1087</v>
      </c>
      <c r="DX367" s="497" t="s">
        <v>1153</v>
      </c>
      <c r="DZ367" s="543">
        <v>1</v>
      </c>
      <c r="EB367" s="493"/>
      <c r="EC367" s="493"/>
    </row>
    <row r="368" spans="5:133" ht="21" customHeight="1">
      <c r="E368" s="716"/>
      <c r="F368" s="724"/>
      <c r="G368" s="725"/>
      <c r="H368" s="724"/>
      <c r="I368" s="726"/>
      <c r="J368" s="950"/>
      <c r="K368" s="951"/>
      <c r="L368" s="793"/>
      <c r="M368" s="952"/>
      <c r="N368" s="953"/>
      <c r="O368" s="954"/>
      <c r="P368" s="955"/>
      <c r="Q368" s="956"/>
      <c r="R368" s="957"/>
      <c r="S368" s="800"/>
      <c r="T368" s="958"/>
      <c r="U368" s="802"/>
      <c r="V368" s="959"/>
      <c r="W368" s="960"/>
      <c r="X368" s="805"/>
      <c r="Y368" s="816"/>
      <c r="DO368" s="494"/>
      <c r="DP368" s="496" t="s">
        <v>1841</v>
      </c>
      <c r="DQ368" s="496" t="s">
        <v>345</v>
      </c>
      <c r="DR368" s="496" t="s">
        <v>689</v>
      </c>
      <c r="DS368" s="496" t="s">
        <v>1842</v>
      </c>
      <c r="DT368" s="496" t="s">
        <v>1842</v>
      </c>
      <c r="DU368" s="496" t="s">
        <v>1151</v>
      </c>
      <c r="DV368" s="496" t="s">
        <v>1152</v>
      </c>
      <c r="DW368" s="496" t="s">
        <v>1087</v>
      </c>
      <c r="DX368" s="497" t="s">
        <v>1153</v>
      </c>
      <c r="DZ368" s="543">
        <v>1</v>
      </c>
      <c r="EB368" s="493"/>
      <c r="EC368" s="493"/>
    </row>
    <row r="369" spans="5:133" ht="21" customHeight="1">
      <c r="E369" s="716"/>
      <c r="F369" s="724"/>
      <c r="G369" s="725"/>
      <c r="H369" s="724"/>
      <c r="I369" s="726"/>
      <c r="J369" s="950"/>
      <c r="K369" s="951"/>
      <c r="L369" s="793"/>
      <c r="M369" s="952"/>
      <c r="N369" s="953"/>
      <c r="O369" s="954"/>
      <c r="P369" s="955"/>
      <c r="Q369" s="956"/>
      <c r="R369" s="957"/>
      <c r="S369" s="800"/>
      <c r="T369" s="958"/>
      <c r="U369" s="802"/>
      <c r="V369" s="959"/>
      <c r="W369" s="960"/>
      <c r="X369" s="805"/>
      <c r="Y369" s="816"/>
      <c r="DO369" s="494"/>
      <c r="DP369" s="496" t="s">
        <v>1843</v>
      </c>
      <c r="DQ369" s="496" t="s">
        <v>345</v>
      </c>
      <c r="DR369" s="496" t="s">
        <v>689</v>
      </c>
      <c r="DS369" s="496" t="s">
        <v>349</v>
      </c>
      <c r="DT369" s="496" t="s">
        <v>349</v>
      </c>
      <c r="DU369" s="496" t="s">
        <v>1151</v>
      </c>
      <c r="DV369" s="496" t="s">
        <v>1152</v>
      </c>
      <c r="DW369" s="496" t="s">
        <v>1087</v>
      </c>
      <c r="DX369" s="497" t="s">
        <v>1153</v>
      </c>
      <c r="DZ369" s="543">
        <v>1</v>
      </c>
      <c r="EB369" s="493"/>
      <c r="EC369" s="493"/>
    </row>
    <row r="370" spans="5:133" ht="21" customHeight="1">
      <c r="E370" s="716"/>
      <c r="F370" s="724"/>
      <c r="G370" s="725"/>
      <c r="H370" s="724"/>
      <c r="I370" s="726"/>
      <c r="J370" s="950"/>
      <c r="K370" s="951"/>
      <c r="L370" s="793"/>
      <c r="M370" s="952"/>
      <c r="N370" s="953"/>
      <c r="O370" s="954"/>
      <c r="P370" s="955"/>
      <c r="Q370" s="956"/>
      <c r="R370" s="957"/>
      <c r="S370" s="800"/>
      <c r="T370" s="958"/>
      <c r="U370" s="802"/>
      <c r="V370" s="959"/>
      <c r="W370" s="960"/>
      <c r="X370" s="805"/>
      <c r="Y370" s="816"/>
      <c r="DO370" s="494"/>
      <c r="DP370" s="496" t="s">
        <v>1844</v>
      </c>
      <c r="DQ370" s="496" t="s">
        <v>345</v>
      </c>
      <c r="DR370" s="496" t="s">
        <v>689</v>
      </c>
      <c r="DS370" s="496" t="s">
        <v>1845</v>
      </c>
      <c r="DT370" s="496" t="s">
        <v>1845</v>
      </c>
      <c r="DU370" s="496" t="s">
        <v>1151</v>
      </c>
      <c r="DV370" s="496" t="s">
        <v>1152</v>
      </c>
      <c r="DW370" s="496" t="s">
        <v>1087</v>
      </c>
      <c r="DX370" s="497" t="s">
        <v>1153</v>
      </c>
      <c r="DZ370" s="543">
        <v>1</v>
      </c>
      <c r="EB370" s="493"/>
      <c r="EC370" s="493"/>
    </row>
    <row r="371" spans="5:133" ht="21" customHeight="1">
      <c r="E371" s="716"/>
      <c r="F371" s="724"/>
      <c r="G371" s="725"/>
      <c r="H371" s="724"/>
      <c r="I371" s="726"/>
      <c r="J371" s="950"/>
      <c r="K371" s="951"/>
      <c r="L371" s="793"/>
      <c r="M371" s="952"/>
      <c r="N371" s="953"/>
      <c r="O371" s="954"/>
      <c r="P371" s="955"/>
      <c r="Q371" s="956"/>
      <c r="R371" s="957"/>
      <c r="S371" s="800"/>
      <c r="T371" s="958"/>
      <c r="U371" s="802"/>
      <c r="V371" s="959"/>
      <c r="W371" s="960"/>
      <c r="X371" s="805"/>
      <c r="Y371" s="816"/>
      <c r="DO371" s="494"/>
      <c r="DP371" s="496" t="s">
        <v>1846</v>
      </c>
      <c r="DQ371" s="496" t="s">
        <v>345</v>
      </c>
      <c r="DR371" s="496" t="s">
        <v>689</v>
      </c>
      <c r="DS371" s="496" t="s">
        <v>350</v>
      </c>
      <c r="DT371" s="496" t="s">
        <v>350</v>
      </c>
      <c r="DU371" s="496" t="s">
        <v>1151</v>
      </c>
      <c r="DV371" s="496" t="s">
        <v>1152</v>
      </c>
      <c r="DW371" s="496" t="s">
        <v>1087</v>
      </c>
      <c r="DX371" s="497" t="s">
        <v>1153</v>
      </c>
      <c r="DZ371" s="543">
        <v>1</v>
      </c>
      <c r="EB371" s="493"/>
      <c r="EC371" s="493"/>
    </row>
    <row r="372" spans="5:133" ht="21" customHeight="1">
      <c r="E372" s="716"/>
      <c r="F372" s="724"/>
      <c r="G372" s="725"/>
      <c r="H372" s="724"/>
      <c r="I372" s="726"/>
      <c r="J372" s="950"/>
      <c r="K372" s="951"/>
      <c r="L372" s="793"/>
      <c r="M372" s="952"/>
      <c r="N372" s="953"/>
      <c r="O372" s="954"/>
      <c r="P372" s="955"/>
      <c r="Q372" s="956"/>
      <c r="R372" s="957"/>
      <c r="S372" s="800"/>
      <c r="T372" s="958"/>
      <c r="U372" s="802"/>
      <c r="V372" s="959"/>
      <c r="W372" s="960"/>
      <c r="X372" s="805"/>
      <c r="Y372" s="816"/>
      <c r="DO372" s="494"/>
      <c r="DP372" s="496" t="s">
        <v>1847</v>
      </c>
      <c r="DQ372" s="496" t="s">
        <v>345</v>
      </c>
      <c r="DR372" s="496" t="s">
        <v>689</v>
      </c>
      <c r="DS372" s="496" t="s">
        <v>963</v>
      </c>
      <c r="DT372" s="496" t="s">
        <v>963</v>
      </c>
      <c r="DU372" s="496" t="s">
        <v>1085</v>
      </c>
      <c r="DV372" s="496" t="s">
        <v>1807</v>
      </c>
      <c r="DW372" s="496" t="s">
        <v>1087</v>
      </c>
      <c r="DX372" s="497" t="s">
        <v>1088</v>
      </c>
      <c r="DZ372" s="543">
        <v>1</v>
      </c>
      <c r="EB372" s="493"/>
      <c r="EC372" s="493"/>
    </row>
    <row r="373" spans="5:133" ht="21" customHeight="1">
      <c r="E373" s="716"/>
      <c r="F373" s="724"/>
      <c r="G373" s="725"/>
      <c r="H373" s="724"/>
      <c r="I373" s="726"/>
      <c r="J373" s="950"/>
      <c r="K373" s="951"/>
      <c r="L373" s="793"/>
      <c r="M373" s="952"/>
      <c r="N373" s="953"/>
      <c r="O373" s="954"/>
      <c r="P373" s="955"/>
      <c r="Q373" s="956"/>
      <c r="R373" s="957"/>
      <c r="S373" s="800"/>
      <c r="T373" s="958"/>
      <c r="U373" s="802"/>
      <c r="V373" s="959"/>
      <c r="W373" s="960"/>
      <c r="X373" s="805"/>
      <c r="Y373" s="816"/>
      <c r="DO373" s="494"/>
      <c r="DP373" s="496" t="s">
        <v>1848</v>
      </c>
      <c r="DQ373" s="496" t="s">
        <v>345</v>
      </c>
      <c r="DR373" s="496" t="s">
        <v>689</v>
      </c>
      <c r="DS373" s="496" t="s">
        <v>1258</v>
      </c>
      <c r="DT373" s="496" t="s">
        <v>906</v>
      </c>
      <c r="DU373" s="496" t="s">
        <v>1085</v>
      </c>
      <c r="DV373" s="496" t="s">
        <v>1807</v>
      </c>
      <c r="DW373" s="496" t="s">
        <v>1087</v>
      </c>
      <c r="DX373" s="497" t="s">
        <v>1088</v>
      </c>
      <c r="DZ373" s="543">
        <v>1</v>
      </c>
      <c r="EB373" s="493"/>
      <c r="EC373" s="493"/>
    </row>
    <row r="374" spans="5:133" ht="21" customHeight="1">
      <c r="E374" s="716"/>
      <c r="F374" s="724"/>
      <c r="G374" s="725"/>
      <c r="H374" s="724"/>
      <c r="I374" s="726"/>
      <c r="J374" s="950"/>
      <c r="K374" s="951"/>
      <c r="L374" s="793"/>
      <c r="M374" s="952"/>
      <c r="N374" s="953"/>
      <c r="O374" s="954"/>
      <c r="P374" s="955"/>
      <c r="Q374" s="956"/>
      <c r="R374" s="957"/>
      <c r="S374" s="800"/>
      <c r="T374" s="958"/>
      <c r="U374" s="802"/>
      <c r="V374" s="959"/>
      <c r="W374" s="960"/>
      <c r="X374" s="805"/>
      <c r="Y374" s="816"/>
      <c r="DO374" s="494"/>
      <c r="DP374" s="496" t="s">
        <v>1849</v>
      </c>
      <c r="DQ374" s="496" t="s">
        <v>345</v>
      </c>
      <c r="DR374" s="496" t="s">
        <v>689</v>
      </c>
      <c r="DS374" s="496" t="s">
        <v>972</v>
      </c>
      <c r="DT374" s="496" t="s">
        <v>972</v>
      </c>
      <c r="DU374" s="496" t="s">
        <v>1085</v>
      </c>
      <c r="DV374" s="496" t="s">
        <v>1807</v>
      </c>
      <c r="DW374" s="496" t="s">
        <v>1087</v>
      </c>
      <c r="DX374" s="497" t="s">
        <v>1088</v>
      </c>
      <c r="DZ374" s="543">
        <v>1</v>
      </c>
      <c r="EB374" s="493"/>
      <c r="EC374" s="493"/>
    </row>
    <row r="375" spans="5:133" ht="21" customHeight="1">
      <c r="E375" s="716"/>
      <c r="F375" s="724"/>
      <c r="G375" s="725"/>
      <c r="H375" s="724"/>
      <c r="I375" s="726"/>
      <c r="J375" s="950"/>
      <c r="K375" s="951"/>
      <c r="L375" s="793"/>
      <c r="M375" s="952"/>
      <c r="N375" s="953"/>
      <c r="O375" s="954"/>
      <c r="P375" s="955"/>
      <c r="Q375" s="956"/>
      <c r="R375" s="957"/>
      <c r="S375" s="800"/>
      <c r="T375" s="958"/>
      <c r="U375" s="802"/>
      <c r="V375" s="959"/>
      <c r="W375" s="960"/>
      <c r="X375" s="805"/>
      <c r="Y375" s="816"/>
      <c r="DO375" s="494"/>
      <c r="DP375" s="496" t="s">
        <v>1850</v>
      </c>
      <c r="DQ375" s="496" t="s">
        <v>345</v>
      </c>
      <c r="DR375" s="496" t="s">
        <v>689</v>
      </c>
      <c r="DS375" s="496" t="s">
        <v>1851</v>
      </c>
      <c r="DT375" s="496" t="s">
        <v>973</v>
      </c>
      <c r="DU375" s="496" t="s">
        <v>1085</v>
      </c>
      <c r="DV375" s="496" t="s">
        <v>1807</v>
      </c>
      <c r="DW375" s="496" t="s">
        <v>1087</v>
      </c>
      <c r="DX375" s="497" t="s">
        <v>1088</v>
      </c>
      <c r="DZ375" s="543">
        <v>1</v>
      </c>
      <c r="EB375" s="493"/>
      <c r="EC375" s="493"/>
    </row>
    <row r="376" spans="5:133" ht="21" customHeight="1">
      <c r="E376" s="716"/>
      <c r="F376" s="724"/>
      <c r="G376" s="725"/>
      <c r="H376" s="724"/>
      <c r="I376" s="726"/>
      <c r="J376" s="950"/>
      <c r="K376" s="951"/>
      <c r="L376" s="793"/>
      <c r="M376" s="952"/>
      <c r="N376" s="953"/>
      <c r="O376" s="954"/>
      <c r="P376" s="955"/>
      <c r="Q376" s="956"/>
      <c r="R376" s="957"/>
      <c r="S376" s="800"/>
      <c r="T376" s="958"/>
      <c r="U376" s="802"/>
      <c r="V376" s="959"/>
      <c r="W376" s="960"/>
      <c r="X376" s="805"/>
      <c r="Y376" s="816"/>
      <c r="DO376" s="494"/>
      <c r="DP376" s="496" t="s">
        <v>1852</v>
      </c>
      <c r="DQ376" s="496" t="s">
        <v>345</v>
      </c>
      <c r="DR376" s="496" t="s">
        <v>689</v>
      </c>
      <c r="DS376" s="496" t="s">
        <v>1853</v>
      </c>
      <c r="DT376" s="496" t="s">
        <v>68</v>
      </c>
      <c r="DU376" s="496" t="s">
        <v>1085</v>
      </c>
      <c r="DV376" s="496" t="s">
        <v>1807</v>
      </c>
      <c r="DW376" s="496" t="s">
        <v>1087</v>
      </c>
      <c r="DX376" s="497" t="s">
        <v>1088</v>
      </c>
      <c r="DZ376" s="543">
        <v>1</v>
      </c>
      <c r="EB376" s="493"/>
      <c r="EC376" s="493"/>
    </row>
    <row r="377" spans="5:133" ht="21" customHeight="1">
      <c r="E377" s="716"/>
      <c r="F377" s="724"/>
      <c r="G377" s="725"/>
      <c r="H377" s="724"/>
      <c r="I377" s="726"/>
      <c r="J377" s="950"/>
      <c r="K377" s="951"/>
      <c r="L377" s="793"/>
      <c r="M377" s="952"/>
      <c r="N377" s="953"/>
      <c r="O377" s="954"/>
      <c r="P377" s="955"/>
      <c r="Q377" s="956"/>
      <c r="R377" s="957"/>
      <c r="S377" s="800"/>
      <c r="T377" s="958"/>
      <c r="U377" s="802"/>
      <c r="V377" s="959"/>
      <c r="W377" s="960"/>
      <c r="X377" s="805"/>
      <c r="Y377" s="816"/>
      <c r="DO377" s="494"/>
      <c r="DP377" s="496" t="s">
        <v>1854</v>
      </c>
      <c r="DQ377" s="496" t="s">
        <v>345</v>
      </c>
      <c r="DR377" s="496" t="s">
        <v>689</v>
      </c>
      <c r="DS377" s="496" t="s">
        <v>1855</v>
      </c>
      <c r="DT377" s="496" t="s">
        <v>82</v>
      </c>
      <c r="DU377" s="496" t="s">
        <v>1085</v>
      </c>
      <c r="DV377" s="496" t="s">
        <v>1807</v>
      </c>
      <c r="DW377" s="496" t="s">
        <v>1087</v>
      </c>
      <c r="DX377" s="497" t="s">
        <v>1088</v>
      </c>
      <c r="DZ377" s="543">
        <v>1</v>
      </c>
      <c r="EB377" s="493"/>
      <c r="EC377" s="493"/>
    </row>
    <row r="378" spans="5:133" ht="21" customHeight="1">
      <c r="E378" s="716"/>
      <c r="F378" s="724"/>
      <c r="G378" s="725"/>
      <c r="H378" s="724"/>
      <c r="I378" s="726"/>
      <c r="J378" s="950"/>
      <c r="K378" s="951"/>
      <c r="L378" s="793"/>
      <c r="M378" s="952"/>
      <c r="N378" s="953"/>
      <c r="O378" s="954"/>
      <c r="P378" s="955"/>
      <c r="Q378" s="956"/>
      <c r="R378" s="957"/>
      <c r="S378" s="800"/>
      <c r="T378" s="958"/>
      <c r="U378" s="802"/>
      <c r="V378" s="959"/>
      <c r="W378" s="960"/>
      <c r="X378" s="805"/>
      <c r="Y378" s="816"/>
      <c r="DO378" s="494"/>
      <c r="DP378" s="496" t="s">
        <v>1856</v>
      </c>
      <c r="DQ378" s="496" t="s">
        <v>345</v>
      </c>
      <c r="DR378" s="496" t="s">
        <v>689</v>
      </c>
      <c r="DS378" s="496" t="s">
        <v>1857</v>
      </c>
      <c r="DT378" s="496" t="s">
        <v>1858</v>
      </c>
      <c r="DU378" s="496" t="s">
        <v>1085</v>
      </c>
      <c r="DV378" s="496" t="s">
        <v>1807</v>
      </c>
      <c r="DW378" s="496" t="s">
        <v>1087</v>
      </c>
      <c r="DX378" s="497" t="s">
        <v>1088</v>
      </c>
      <c r="DZ378" s="543">
        <v>1</v>
      </c>
      <c r="EB378" s="493"/>
      <c r="EC378" s="493"/>
    </row>
    <row r="379" spans="5:133" ht="21" customHeight="1">
      <c r="E379" s="716"/>
      <c r="F379" s="724"/>
      <c r="G379" s="725"/>
      <c r="H379" s="724"/>
      <c r="I379" s="726"/>
      <c r="J379" s="950"/>
      <c r="K379" s="951"/>
      <c r="L379" s="793"/>
      <c r="M379" s="952"/>
      <c r="N379" s="953"/>
      <c r="O379" s="954"/>
      <c r="P379" s="955"/>
      <c r="Q379" s="956"/>
      <c r="R379" s="957"/>
      <c r="S379" s="800"/>
      <c r="T379" s="958"/>
      <c r="U379" s="802"/>
      <c r="V379" s="959"/>
      <c r="W379" s="960"/>
      <c r="X379" s="805"/>
      <c r="Y379" s="816"/>
      <c r="DO379" s="494"/>
      <c r="DP379" s="496" t="s">
        <v>1859</v>
      </c>
      <c r="DQ379" s="496" t="s">
        <v>345</v>
      </c>
      <c r="DR379" s="496" t="s">
        <v>689</v>
      </c>
      <c r="DS379" s="496" t="s">
        <v>1860</v>
      </c>
      <c r="DT379" s="496" t="s">
        <v>1860</v>
      </c>
      <c r="DU379" s="496" t="s">
        <v>1085</v>
      </c>
      <c r="DV379" s="496" t="s">
        <v>1807</v>
      </c>
      <c r="DW379" s="496" t="s">
        <v>1087</v>
      </c>
      <c r="DX379" s="497" t="s">
        <v>1088</v>
      </c>
      <c r="DZ379" s="543">
        <v>1</v>
      </c>
      <c r="EB379" s="493"/>
      <c r="EC379" s="493"/>
    </row>
    <row r="380" spans="5:133" ht="21" customHeight="1">
      <c r="E380" s="716"/>
      <c r="F380" s="724"/>
      <c r="G380" s="725"/>
      <c r="H380" s="724"/>
      <c r="I380" s="726"/>
      <c r="J380" s="950"/>
      <c r="K380" s="951"/>
      <c r="L380" s="793"/>
      <c r="M380" s="952"/>
      <c r="N380" s="953"/>
      <c r="O380" s="954"/>
      <c r="P380" s="955"/>
      <c r="Q380" s="956"/>
      <c r="R380" s="957"/>
      <c r="S380" s="800"/>
      <c r="T380" s="958"/>
      <c r="U380" s="802"/>
      <c r="V380" s="959"/>
      <c r="W380" s="960"/>
      <c r="X380" s="805"/>
      <c r="Y380" s="816"/>
      <c r="DO380" s="494"/>
      <c r="DP380" s="496" t="s">
        <v>1861</v>
      </c>
      <c r="DQ380" s="496" t="s">
        <v>345</v>
      </c>
      <c r="DR380" s="496" t="s">
        <v>689</v>
      </c>
      <c r="DS380" s="496" t="s">
        <v>1013</v>
      </c>
      <c r="DT380" s="496" t="s">
        <v>1013</v>
      </c>
      <c r="DU380" s="496" t="s">
        <v>1085</v>
      </c>
      <c r="DV380" s="496" t="s">
        <v>1807</v>
      </c>
      <c r="DW380" s="496" t="s">
        <v>1087</v>
      </c>
      <c r="DX380" s="497" t="s">
        <v>1088</v>
      </c>
      <c r="DZ380" s="543">
        <v>1</v>
      </c>
      <c r="EB380" s="493"/>
      <c r="EC380" s="493"/>
    </row>
    <row r="381" spans="5:133" ht="21" customHeight="1">
      <c r="E381" s="716"/>
      <c r="F381" s="724"/>
      <c r="G381" s="725"/>
      <c r="H381" s="724"/>
      <c r="I381" s="726"/>
      <c r="J381" s="950"/>
      <c r="K381" s="951"/>
      <c r="L381" s="793"/>
      <c r="M381" s="952"/>
      <c r="N381" s="953"/>
      <c r="O381" s="954"/>
      <c r="P381" s="955"/>
      <c r="Q381" s="956"/>
      <c r="R381" s="957"/>
      <c r="S381" s="800"/>
      <c r="T381" s="958"/>
      <c r="U381" s="802"/>
      <c r="V381" s="959"/>
      <c r="W381" s="960"/>
      <c r="X381" s="805"/>
      <c r="Y381" s="816"/>
      <c r="DO381" s="494"/>
      <c r="DP381" s="496" t="s">
        <v>1862</v>
      </c>
      <c r="DQ381" s="496" t="s">
        <v>345</v>
      </c>
      <c r="DR381" s="496" t="s">
        <v>689</v>
      </c>
      <c r="DS381" s="496" t="s">
        <v>351</v>
      </c>
      <c r="DT381" s="496" t="s">
        <v>351</v>
      </c>
      <c r="DU381" s="496" t="s">
        <v>1085</v>
      </c>
      <c r="DV381" s="496" t="s">
        <v>1807</v>
      </c>
      <c r="DW381" s="496" t="s">
        <v>1087</v>
      </c>
      <c r="DX381" s="497" t="s">
        <v>1088</v>
      </c>
      <c r="DZ381" s="543">
        <v>1</v>
      </c>
      <c r="EB381" s="493"/>
      <c r="EC381" s="493"/>
    </row>
    <row r="382" spans="5:133" ht="21" customHeight="1">
      <c r="E382" s="716"/>
      <c r="F382" s="724"/>
      <c r="G382" s="725"/>
      <c r="H382" s="724"/>
      <c r="I382" s="726"/>
      <c r="J382" s="950"/>
      <c r="K382" s="951"/>
      <c r="L382" s="793"/>
      <c r="M382" s="952"/>
      <c r="N382" s="953"/>
      <c r="O382" s="954"/>
      <c r="P382" s="955"/>
      <c r="Q382" s="956"/>
      <c r="R382" s="957"/>
      <c r="S382" s="800"/>
      <c r="T382" s="958"/>
      <c r="U382" s="802"/>
      <c r="V382" s="959"/>
      <c r="W382" s="960"/>
      <c r="X382" s="805"/>
      <c r="Y382" s="816"/>
      <c r="DO382" s="494"/>
      <c r="DP382" s="496" t="s">
        <v>1863</v>
      </c>
      <c r="DQ382" s="496" t="s">
        <v>345</v>
      </c>
      <c r="DR382" s="496" t="s">
        <v>689</v>
      </c>
      <c r="DS382" s="496" t="s">
        <v>352</v>
      </c>
      <c r="DT382" s="496" t="s">
        <v>352</v>
      </c>
      <c r="DU382" s="496" t="s">
        <v>1085</v>
      </c>
      <c r="DV382" s="496" t="s">
        <v>1807</v>
      </c>
      <c r="DW382" s="496" t="s">
        <v>1087</v>
      </c>
      <c r="DX382" s="497" t="s">
        <v>1088</v>
      </c>
      <c r="DZ382" s="543">
        <v>1</v>
      </c>
      <c r="EB382" s="493"/>
      <c r="EC382" s="493"/>
    </row>
    <row r="383" spans="5:133" ht="21" customHeight="1">
      <c r="E383" s="716"/>
      <c r="F383" s="724"/>
      <c r="G383" s="725"/>
      <c r="H383" s="724"/>
      <c r="I383" s="726"/>
      <c r="J383" s="950"/>
      <c r="K383" s="951"/>
      <c r="L383" s="793"/>
      <c r="M383" s="952"/>
      <c r="N383" s="953"/>
      <c r="O383" s="954"/>
      <c r="P383" s="955"/>
      <c r="Q383" s="956"/>
      <c r="R383" s="957"/>
      <c r="S383" s="800"/>
      <c r="T383" s="958"/>
      <c r="U383" s="802"/>
      <c r="V383" s="959"/>
      <c r="W383" s="960"/>
      <c r="X383" s="805"/>
      <c r="Y383" s="816"/>
      <c r="DO383" s="494"/>
      <c r="DP383" s="496" t="s">
        <v>1864</v>
      </c>
      <c r="DQ383" s="496" t="s">
        <v>345</v>
      </c>
      <c r="DR383" s="496" t="s">
        <v>689</v>
      </c>
      <c r="DS383" s="496" t="s">
        <v>1865</v>
      </c>
      <c r="DT383" s="496" t="s">
        <v>1865</v>
      </c>
      <c r="DU383" s="496" t="s">
        <v>1085</v>
      </c>
      <c r="DV383" s="496" t="s">
        <v>1807</v>
      </c>
      <c r="DW383" s="496" t="s">
        <v>1087</v>
      </c>
      <c r="DX383" s="497" t="s">
        <v>1088</v>
      </c>
      <c r="DZ383" s="543">
        <v>1</v>
      </c>
      <c r="EB383" s="493"/>
      <c r="EC383" s="493"/>
    </row>
    <row r="384" spans="5:133" ht="21" customHeight="1">
      <c r="E384" s="716"/>
      <c r="F384" s="724"/>
      <c r="G384" s="725"/>
      <c r="H384" s="724"/>
      <c r="I384" s="726"/>
      <c r="J384" s="950"/>
      <c r="K384" s="951"/>
      <c r="L384" s="793"/>
      <c r="M384" s="952"/>
      <c r="N384" s="953"/>
      <c r="O384" s="954"/>
      <c r="P384" s="955"/>
      <c r="Q384" s="956"/>
      <c r="R384" s="957"/>
      <c r="S384" s="800"/>
      <c r="T384" s="958"/>
      <c r="U384" s="802"/>
      <c r="V384" s="959"/>
      <c r="W384" s="960"/>
      <c r="X384" s="805"/>
      <c r="Y384" s="816"/>
      <c r="DO384" s="494"/>
      <c r="DP384" s="496" t="s">
        <v>1866</v>
      </c>
      <c r="DQ384" s="496" t="s">
        <v>345</v>
      </c>
      <c r="DR384" s="496" t="s">
        <v>689</v>
      </c>
      <c r="DS384" s="496" t="s">
        <v>1867</v>
      </c>
      <c r="DT384" s="496" t="s">
        <v>18</v>
      </c>
      <c r="DU384" s="496" t="s">
        <v>1085</v>
      </c>
      <c r="DV384" s="496" t="s">
        <v>1807</v>
      </c>
      <c r="DW384" s="496" t="s">
        <v>1087</v>
      </c>
      <c r="DX384" s="497" t="s">
        <v>1088</v>
      </c>
      <c r="DZ384" s="543">
        <v>1</v>
      </c>
      <c r="EB384" s="493"/>
      <c r="EC384" s="493"/>
    </row>
    <row r="385" spans="5:133" ht="21" customHeight="1">
      <c r="E385" s="716"/>
      <c r="F385" s="724"/>
      <c r="G385" s="725"/>
      <c r="H385" s="724"/>
      <c r="I385" s="726"/>
      <c r="J385" s="950"/>
      <c r="K385" s="951"/>
      <c r="L385" s="793"/>
      <c r="M385" s="952"/>
      <c r="N385" s="953"/>
      <c r="O385" s="954"/>
      <c r="P385" s="955"/>
      <c r="Q385" s="956"/>
      <c r="R385" s="957"/>
      <c r="S385" s="800"/>
      <c r="T385" s="958"/>
      <c r="U385" s="802"/>
      <c r="V385" s="959"/>
      <c r="W385" s="960"/>
      <c r="X385" s="805"/>
      <c r="Y385" s="816"/>
      <c r="DO385" s="494"/>
      <c r="DP385" s="496" t="s">
        <v>1868</v>
      </c>
      <c r="DQ385" s="496" t="s">
        <v>345</v>
      </c>
      <c r="DR385" s="496" t="s">
        <v>689</v>
      </c>
      <c r="DS385" s="496" t="s">
        <v>1869</v>
      </c>
      <c r="DT385" s="496" t="s">
        <v>1870</v>
      </c>
      <c r="DU385" s="496" t="s">
        <v>1085</v>
      </c>
      <c r="DV385" s="496" t="s">
        <v>1807</v>
      </c>
      <c r="DW385" s="496" t="s">
        <v>1087</v>
      </c>
      <c r="DX385" s="497" t="s">
        <v>1088</v>
      </c>
      <c r="DZ385" s="543">
        <v>1</v>
      </c>
      <c r="EB385" s="493"/>
      <c r="EC385" s="493"/>
    </row>
    <row r="386" spans="5:133" ht="21" customHeight="1">
      <c r="E386" s="716"/>
      <c r="F386" s="724"/>
      <c r="G386" s="725"/>
      <c r="H386" s="724"/>
      <c r="I386" s="726"/>
      <c r="J386" s="950"/>
      <c r="K386" s="951"/>
      <c r="L386" s="793"/>
      <c r="M386" s="952"/>
      <c r="N386" s="953"/>
      <c r="O386" s="954"/>
      <c r="P386" s="955"/>
      <c r="Q386" s="956"/>
      <c r="R386" s="957"/>
      <c r="S386" s="800"/>
      <c r="T386" s="958"/>
      <c r="U386" s="802"/>
      <c r="V386" s="959"/>
      <c r="W386" s="960"/>
      <c r="X386" s="805"/>
      <c r="Y386" s="816"/>
      <c r="DO386" s="494"/>
      <c r="DP386" s="496" t="s">
        <v>1871</v>
      </c>
      <c r="DQ386" s="496" t="s">
        <v>345</v>
      </c>
      <c r="DR386" s="496" t="s">
        <v>689</v>
      </c>
      <c r="DS386" s="496" t="s">
        <v>1872</v>
      </c>
      <c r="DT386" s="496" t="s">
        <v>1873</v>
      </c>
      <c r="DU386" s="496" t="s">
        <v>1085</v>
      </c>
      <c r="DV386" s="496" t="s">
        <v>1807</v>
      </c>
      <c r="DW386" s="496" t="s">
        <v>1087</v>
      </c>
      <c r="DX386" s="497" t="s">
        <v>1088</v>
      </c>
      <c r="DZ386" s="543">
        <v>1</v>
      </c>
      <c r="EB386" s="493"/>
      <c r="EC386" s="493"/>
    </row>
    <row r="387" spans="5:133" ht="21" customHeight="1">
      <c r="E387" s="716"/>
      <c r="F387" s="724"/>
      <c r="G387" s="725"/>
      <c r="H387" s="724"/>
      <c r="I387" s="726"/>
      <c r="J387" s="950"/>
      <c r="K387" s="951"/>
      <c r="L387" s="793"/>
      <c r="M387" s="952"/>
      <c r="N387" s="953"/>
      <c r="O387" s="954"/>
      <c r="P387" s="955"/>
      <c r="Q387" s="956"/>
      <c r="R387" s="957"/>
      <c r="S387" s="800"/>
      <c r="T387" s="958"/>
      <c r="U387" s="802"/>
      <c r="V387" s="959"/>
      <c r="W387" s="960"/>
      <c r="X387" s="805"/>
      <c r="Y387" s="816"/>
      <c r="DO387" s="494"/>
      <c r="DP387" s="496" t="s">
        <v>1874</v>
      </c>
      <c r="DQ387" s="496" t="s">
        <v>345</v>
      </c>
      <c r="DR387" s="496" t="s">
        <v>689</v>
      </c>
      <c r="DS387" s="496" t="s">
        <v>1875</v>
      </c>
      <c r="DT387" s="496" t="s">
        <v>1876</v>
      </c>
      <c r="DU387" s="496" t="s">
        <v>1085</v>
      </c>
      <c r="DV387" s="496" t="s">
        <v>1807</v>
      </c>
      <c r="DW387" s="496" t="s">
        <v>1087</v>
      </c>
      <c r="DX387" s="497" t="s">
        <v>1088</v>
      </c>
      <c r="DZ387" s="543">
        <v>1</v>
      </c>
      <c r="EB387" s="493"/>
      <c r="EC387" s="493"/>
    </row>
    <row r="388" spans="5:133" ht="21" customHeight="1">
      <c r="E388" s="716"/>
      <c r="F388" s="724"/>
      <c r="G388" s="725"/>
      <c r="H388" s="724"/>
      <c r="I388" s="726"/>
      <c r="J388" s="950"/>
      <c r="K388" s="951"/>
      <c r="L388" s="793"/>
      <c r="M388" s="952"/>
      <c r="N388" s="953"/>
      <c r="O388" s="954"/>
      <c r="P388" s="955"/>
      <c r="Q388" s="956"/>
      <c r="R388" s="957"/>
      <c r="S388" s="800"/>
      <c r="T388" s="958"/>
      <c r="U388" s="802"/>
      <c r="V388" s="959"/>
      <c r="W388" s="960"/>
      <c r="X388" s="805"/>
      <c r="Y388" s="816"/>
      <c r="DO388" s="494"/>
      <c r="DP388" s="496" t="s">
        <v>1877</v>
      </c>
      <c r="DQ388" s="496" t="s">
        <v>345</v>
      </c>
      <c r="DR388" s="496" t="s">
        <v>689</v>
      </c>
      <c r="DS388" s="496" t="s">
        <v>1878</v>
      </c>
      <c r="DT388" s="496" t="s">
        <v>1879</v>
      </c>
      <c r="DU388" s="496" t="s">
        <v>1085</v>
      </c>
      <c r="DV388" s="496" t="s">
        <v>1807</v>
      </c>
      <c r="DW388" s="496" t="s">
        <v>1087</v>
      </c>
      <c r="DX388" s="497" t="s">
        <v>1088</v>
      </c>
      <c r="DZ388" s="543">
        <v>1</v>
      </c>
      <c r="EB388" s="493"/>
      <c r="EC388" s="493"/>
    </row>
    <row r="389" spans="5:133" ht="21" customHeight="1">
      <c r="E389" s="716"/>
      <c r="F389" s="724"/>
      <c r="G389" s="725"/>
      <c r="H389" s="724"/>
      <c r="I389" s="726"/>
      <c r="J389" s="950"/>
      <c r="K389" s="951"/>
      <c r="L389" s="793"/>
      <c r="M389" s="952"/>
      <c r="N389" s="953"/>
      <c r="O389" s="954"/>
      <c r="P389" s="955"/>
      <c r="Q389" s="956"/>
      <c r="R389" s="957"/>
      <c r="S389" s="800"/>
      <c r="T389" s="958"/>
      <c r="U389" s="802"/>
      <c r="V389" s="959"/>
      <c r="W389" s="960"/>
      <c r="X389" s="805"/>
      <c r="Y389" s="816"/>
      <c r="DO389" s="494"/>
      <c r="DP389" s="496" t="s">
        <v>1880</v>
      </c>
      <c r="DQ389" s="496" t="s">
        <v>345</v>
      </c>
      <c r="DR389" s="496" t="s">
        <v>689</v>
      </c>
      <c r="DS389" s="496" t="s">
        <v>353</v>
      </c>
      <c r="DT389" s="496" t="s">
        <v>0</v>
      </c>
      <c r="DU389" s="496" t="s">
        <v>1085</v>
      </c>
      <c r="DV389" s="496" t="s">
        <v>1807</v>
      </c>
      <c r="DW389" s="496" t="s">
        <v>1087</v>
      </c>
      <c r="DX389" s="497" t="s">
        <v>1088</v>
      </c>
      <c r="DZ389" s="543">
        <v>1</v>
      </c>
      <c r="EB389" s="493"/>
      <c r="EC389" s="493"/>
    </row>
    <row r="390" spans="5:133" ht="21" customHeight="1">
      <c r="E390" s="716"/>
      <c r="F390" s="724"/>
      <c r="G390" s="725"/>
      <c r="H390" s="724"/>
      <c r="I390" s="726"/>
      <c r="J390" s="950"/>
      <c r="K390" s="951"/>
      <c r="L390" s="793"/>
      <c r="M390" s="952"/>
      <c r="N390" s="953"/>
      <c r="O390" s="954"/>
      <c r="P390" s="955"/>
      <c r="Q390" s="956"/>
      <c r="R390" s="957"/>
      <c r="S390" s="800"/>
      <c r="T390" s="958"/>
      <c r="U390" s="802"/>
      <c r="V390" s="959"/>
      <c r="W390" s="960"/>
      <c r="X390" s="805"/>
      <c r="Y390" s="816"/>
      <c r="DO390" s="494"/>
      <c r="DP390" s="496" t="s">
        <v>1881</v>
      </c>
      <c r="DQ390" s="496" t="s">
        <v>345</v>
      </c>
      <c r="DR390" s="496" t="s">
        <v>689</v>
      </c>
      <c r="DS390" s="496" t="s">
        <v>1882</v>
      </c>
      <c r="DT390" s="496" t="s">
        <v>1070</v>
      </c>
      <c r="DU390" s="496" t="s">
        <v>1085</v>
      </c>
      <c r="DV390" s="496" t="s">
        <v>1807</v>
      </c>
      <c r="DW390" s="496" t="s">
        <v>1087</v>
      </c>
      <c r="DX390" s="497" t="s">
        <v>1088</v>
      </c>
      <c r="DZ390" s="543">
        <v>1</v>
      </c>
      <c r="EB390" s="493"/>
      <c r="EC390" s="493"/>
    </row>
    <row r="391" spans="5:133" ht="21" customHeight="1">
      <c r="E391" s="716"/>
      <c r="F391" s="724"/>
      <c r="G391" s="725"/>
      <c r="H391" s="724"/>
      <c r="I391" s="726"/>
      <c r="J391" s="950"/>
      <c r="K391" s="951"/>
      <c r="L391" s="793"/>
      <c r="M391" s="952"/>
      <c r="N391" s="953"/>
      <c r="O391" s="954"/>
      <c r="P391" s="955"/>
      <c r="Q391" s="956"/>
      <c r="R391" s="957"/>
      <c r="S391" s="800"/>
      <c r="T391" s="958"/>
      <c r="U391" s="802"/>
      <c r="V391" s="959"/>
      <c r="W391" s="960"/>
      <c r="X391" s="805"/>
      <c r="Y391" s="816"/>
      <c r="DO391" s="494"/>
      <c r="DP391" s="496" t="s">
        <v>1883</v>
      </c>
      <c r="DQ391" s="496" t="s">
        <v>345</v>
      </c>
      <c r="DR391" s="496" t="s">
        <v>689</v>
      </c>
      <c r="DS391" s="496" t="s">
        <v>354</v>
      </c>
      <c r="DT391" s="496" t="s">
        <v>354</v>
      </c>
      <c r="DU391" s="496" t="s">
        <v>1085</v>
      </c>
      <c r="DV391" s="496" t="s">
        <v>1807</v>
      </c>
      <c r="DW391" s="496" t="s">
        <v>1087</v>
      </c>
      <c r="DX391" s="497" t="s">
        <v>1088</v>
      </c>
      <c r="DZ391" s="543">
        <v>1</v>
      </c>
      <c r="EB391" s="493"/>
      <c r="EC391" s="493"/>
    </row>
    <row r="392" spans="5:133" ht="21" customHeight="1">
      <c r="E392" s="716"/>
      <c r="F392" s="724"/>
      <c r="G392" s="725"/>
      <c r="H392" s="724"/>
      <c r="I392" s="726"/>
      <c r="J392" s="950"/>
      <c r="K392" s="951"/>
      <c r="L392" s="793"/>
      <c r="M392" s="952"/>
      <c r="N392" s="953"/>
      <c r="O392" s="954"/>
      <c r="P392" s="955"/>
      <c r="Q392" s="956"/>
      <c r="R392" s="957"/>
      <c r="S392" s="800"/>
      <c r="T392" s="958"/>
      <c r="U392" s="802"/>
      <c r="V392" s="959"/>
      <c r="W392" s="960"/>
      <c r="X392" s="805"/>
      <c r="Y392" s="816"/>
      <c r="DO392" s="494"/>
      <c r="DP392" s="496" t="s">
        <v>1884</v>
      </c>
      <c r="DQ392" s="496" t="s">
        <v>345</v>
      </c>
      <c r="DR392" s="496" t="s">
        <v>689</v>
      </c>
      <c r="DS392" s="496" t="s">
        <v>133</v>
      </c>
      <c r="DT392" s="496" t="s">
        <v>133</v>
      </c>
      <c r="DU392" s="496" t="s">
        <v>1085</v>
      </c>
      <c r="DV392" s="496" t="s">
        <v>1807</v>
      </c>
      <c r="DW392" s="496" t="s">
        <v>1087</v>
      </c>
      <c r="DX392" s="497" t="s">
        <v>1088</v>
      </c>
      <c r="DZ392" s="543">
        <v>1</v>
      </c>
      <c r="EB392" s="493"/>
      <c r="EC392" s="493"/>
    </row>
    <row r="393" spans="5:133" ht="21" customHeight="1">
      <c r="E393" s="716"/>
      <c r="F393" s="724"/>
      <c r="G393" s="725"/>
      <c r="H393" s="724"/>
      <c r="I393" s="726"/>
      <c r="J393" s="950"/>
      <c r="K393" s="951"/>
      <c r="L393" s="793"/>
      <c r="M393" s="952"/>
      <c r="N393" s="953"/>
      <c r="O393" s="954"/>
      <c r="P393" s="955"/>
      <c r="Q393" s="956"/>
      <c r="R393" s="957"/>
      <c r="S393" s="800"/>
      <c r="T393" s="958"/>
      <c r="U393" s="802"/>
      <c r="V393" s="959"/>
      <c r="W393" s="960"/>
      <c r="X393" s="805"/>
      <c r="Y393" s="816"/>
      <c r="DO393" s="494"/>
      <c r="DP393" s="496" t="s">
        <v>1885</v>
      </c>
      <c r="DQ393" s="496" t="s">
        <v>345</v>
      </c>
      <c r="DR393" s="496" t="s">
        <v>689</v>
      </c>
      <c r="DS393" s="496" t="s">
        <v>1886</v>
      </c>
      <c r="DT393" s="496" t="s">
        <v>1886</v>
      </c>
      <c r="DU393" s="496" t="s">
        <v>1085</v>
      </c>
      <c r="DV393" s="496" t="s">
        <v>1807</v>
      </c>
      <c r="DW393" s="496" t="s">
        <v>1087</v>
      </c>
      <c r="DX393" s="497" t="s">
        <v>1088</v>
      </c>
      <c r="DZ393" s="543">
        <v>1</v>
      </c>
      <c r="EB393" s="493"/>
      <c r="EC393" s="493"/>
    </row>
    <row r="394" spans="5:133" ht="21" customHeight="1">
      <c r="E394" s="716"/>
      <c r="F394" s="724"/>
      <c r="G394" s="725"/>
      <c r="H394" s="724"/>
      <c r="I394" s="726"/>
      <c r="J394" s="950"/>
      <c r="K394" s="951"/>
      <c r="L394" s="793"/>
      <c r="M394" s="952"/>
      <c r="N394" s="953"/>
      <c r="O394" s="954"/>
      <c r="P394" s="955"/>
      <c r="Q394" s="956"/>
      <c r="R394" s="957"/>
      <c r="S394" s="800"/>
      <c r="T394" s="958"/>
      <c r="U394" s="802"/>
      <c r="V394" s="959"/>
      <c r="W394" s="960"/>
      <c r="X394" s="805"/>
      <c r="Y394" s="816"/>
      <c r="DO394" s="494"/>
      <c r="DP394" s="496" t="s">
        <v>1887</v>
      </c>
      <c r="DQ394" s="496" t="s">
        <v>345</v>
      </c>
      <c r="DR394" s="496" t="s">
        <v>689</v>
      </c>
      <c r="DS394" s="496" t="s">
        <v>1888</v>
      </c>
      <c r="DT394" s="496" t="s">
        <v>1889</v>
      </c>
      <c r="DU394" s="496" t="s">
        <v>1085</v>
      </c>
      <c r="DV394" s="496" t="s">
        <v>1807</v>
      </c>
      <c r="DW394" s="496" t="s">
        <v>1087</v>
      </c>
      <c r="DX394" s="497" t="s">
        <v>1088</v>
      </c>
      <c r="DZ394" s="543">
        <v>1</v>
      </c>
      <c r="EB394" s="493"/>
      <c r="EC394" s="493"/>
    </row>
    <row r="395" spans="5:133" ht="21" customHeight="1">
      <c r="E395" s="716"/>
      <c r="F395" s="724"/>
      <c r="G395" s="725"/>
      <c r="H395" s="724"/>
      <c r="I395" s="726"/>
      <c r="J395" s="950"/>
      <c r="K395" s="951"/>
      <c r="L395" s="793"/>
      <c r="M395" s="952"/>
      <c r="N395" s="953"/>
      <c r="O395" s="954"/>
      <c r="P395" s="955"/>
      <c r="Q395" s="956"/>
      <c r="R395" s="957"/>
      <c r="S395" s="800"/>
      <c r="T395" s="958"/>
      <c r="U395" s="802"/>
      <c r="V395" s="959"/>
      <c r="W395" s="960"/>
      <c r="X395" s="805"/>
      <c r="Y395" s="816"/>
      <c r="DO395" s="494"/>
      <c r="DP395" s="496" t="s">
        <v>1890</v>
      </c>
      <c r="DQ395" s="496" t="s">
        <v>345</v>
      </c>
      <c r="DR395" s="496" t="s">
        <v>689</v>
      </c>
      <c r="DS395" s="496" t="s">
        <v>144</v>
      </c>
      <c r="DT395" s="496" t="s">
        <v>144</v>
      </c>
      <c r="DU395" s="496" t="s">
        <v>1085</v>
      </c>
      <c r="DV395" s="496" t="s">
        <v>1807</v>
      </c>
      <c r="DW395" s="496" t="s">
        <v>1087</v>
      </c>
      <c r="DX395" s="497" t="s">
        <v>1088</v>
      </c>
      <c r="DZ395" s="543">
        <v>1</v>
      </c>
      <c r="EB395" s="493"/>
      <c r="EC395" s="493"/>
    </row>
    <row r="396" spans="5:133" ht="21" customHeight="1">
      <c r="E396" s="716"/>
      <c r="F396" s="724"/>
      <c r="G396" s="725"/>
      <c r="H396" s="724"/>
      <c r="I396" s="726"/>
      <c r="J396" s="950"/>
      <c r="K396" s="951"/>
      <c r="L396" s="793"/>
      <c r="M396" s="952"/>
      <c r="N396" s="953"/>
      <c r="O396" s="954"/>
      <c r="P396" s="955"/>
      <c r="Q396" s="956"/>
      <c r="R396" s="957"/>
      <c r="S396" s="800"/>
      <c r="T396" s="958"/>
      <c r="U396" s="802"/>
      <c r="V396" s="959"/>
      <c r="W396" s="960"/>
      <c r="X396" s="805"/>
      <c r="Y396" s="816"/>
      <c r="DO396" s="494"/>
      <c r="DP396" s="496" t="s">
        <v>1891</v>
      </c>
      <c r="DQ396" s="496" t="s">
        <v>345</v>
      </c>
      <c r="DR396" s="496" t="s">
        <v>689</v>
      </c>
      <c r="DS396" s="496" t="s">
        <v>153</v>
      </c>
      <c r="DT396" s="496" t="s">
        <v>153</v>
      </c>
      <c r="DU396" s="496" t="s">
        <v>1085</v>
      </c>
      <c r="DV396" s="496" t="s">
        <v>1807</v>
      </c>
      <c r="DW396" s="496" t="s">
        <v>1087</v>
      </c>
      <c r="DX396" s="497" t="s">
        <v>1088</v>
      </c>
      <c r="DZ396" s="543">
        <v>1</v>
      </c>
      <c r="EB396" s="493"/>
      <c r="EC396" s="493"/>
    </row>
    <row r="397" spans="5:133" ht="21" customHeight="1">
      <c r="E397" s="716"/>
      <c r="F397" s="724"/>
      <c r="G397" s="725"/>
      <c r="H397" s="724"/>
      <c r="I397" s="726"/>
      <c r="J397" s="950"/>
      <c r="K397" s="951"/>
      <c r="L397" s="793"/>
      <c r="M397" s="952"/>
      <c r="N397" s="953"/>
      <c r="O397" s="954"/>
      <c r="P397" s="955"/>
      <c r="Q397" s="956"/>
      <c r="R397" s="957"/>
      <c r="S397" s="800"/>
      <c r="T397" s="958"/>
      <c r="U397" s="802"/>
      <c r="V397" s="959"/>
      <c r="W397" s="960"/>
      <c r="X397" s="805"/>
      <c r="Y397" s="816"/>
      <c r="DO397" s="494"/>
      <c r="DP397" s="496" t="s">
        <v>1892</v>
      </c>
      <c r="DQ397" s="496" t="s">
        <v>345</v>
      </c>
      <c r="DR397" s="496" t="s">
        <v>689</v>
      </c>
      <c r="DS397" s="496" t="s">
        <v>1893</v>
      </c>
      <c r="DT397" s="496" t="s">
        <v>1894</v>
      </c>
      <c r="DU397" s="496" t="s">
        <v>1085</v>
      </c>
      <c r="DV397" s="496" t="s">
        <v>1807</v>
      </c>
      <c r="DW397" s="496" t="s">
        <v>1087</v>
      </c>
      <c r="DX397" s="497" t="s">
        <v>1088</v>
      </c>
      <c r="DZ397" s="543">
        <v>1</v>
      </c>
      <c r="EB397" s="493"/>
      <c r="EC397" s="493"/>
    </row>
    <row r="398" spans="5:133" ht="21" customHeight="1">
      <c r="E398" s="716"/>
      <c r="F398" s="724"/>
      <c r="G398" s="725"/>
      <c r="H398" s="724"/>
      <c r="I398" s="726"/>
      <c r="J398" s="950"/>
      <c r="K398" s="951"/>
      <c r="L398" s="793"/>
      <c r="M398" s="952"/>
      <c r="N398" s="953"/>
      <c r="O398" s="954"/>
      <c r="P398" s="955"/>
      <c r="Q398" s="956"/>
      <c r="R398" s="957"/>
      <c r="S398" s="800"/>
      <c r="T398" s="958"/>
      <c r="U398" s="802"/>
      <c r="V398" s="959"/>
      <c r="W398" s="960"/>
      <c r="X398" s="805"/>
      <c r="Y398" s="816"/>
      <c r="DO398" s="494"/>
      <c r="DP398" s="496" t="s">
        <v>1895</v>
      </c>
      <c r="DQ398" s="496" t="s">
        <v>345</v>
      </c>
      <c r="DR398" s="496" t="s">
        <v>689</v>
      </c>
      <c r="DS398" s="496" t="s">
        <v>1350</v>
      </c>
      <c r="DT398" s="496" t="s">
        <v>1071</v>
      </c>
      <c r="DU398" s="496" t="s">
        <v>1085</v>
      </c>
      <c r="DV398" s="496" t="s">
        <v>1807</v>
      </c>
      <c r="DW398" s="496" t="s">
        <v>1087</v>
      </c>
      <c r="DX398" s="497" t="s">
        <v>1088</v>
      </c>
      <c r="DZ398" s="543">
        <v>1</v>
      </c>
      <c r="EB398" s="493"/>
      <c r="EC398" s="493"/>
    </row>
    <row r="399" spans="5:133" ht="21" customHeight="1">
      <c r="E399" s="716"/>
      <c r="F399" s="724"/>
      <c r="G399" s="725"/>
      <c r="H399" s="724"/>
      <c r="I399" s="726"/>
      <c r="J399" s="950"/>
      <c r="K399" s="951"/>
      <c r="L399" s="793"/>
      <c r="M399" s="952"/>
      <c r="N399" s="953"/>
      <c r="O399" s="954"/>
      <c r="P399" s="955"/>
      <c r="Q399" s="956"/>
      <c r="R399" s="957"/>
      <c r="S399" s="800"/>
      <c r="T399" s="958"/>
      <c r="U399" s="802"/>
      <c r="V399" s="959"/>
      <c r="W399" s="960"/>
      <c r="X399" s="805"/>
      <c r="Y399" s="816"/>
      <c r="DO399" s="494"/>
      <c r="DP399" s="496" t="s">
        <v>1896</v>
      </c>
      <c r="DQ399" s="496" t="s">
        <v>345</v>
      </c>
      <c r="DR399" s="496" t="s">
        <v>689</v>
      </c>
      <c r="DS399" s="496" t="s">
        <v>1897</v>
      </c>
      <c r="DT399" s="496" t="s">
        <v>106</v>
      </c>
      <c r="DU399" s="496" t="s">
        <v>1085</v>
      </c>
      <c r="DV399" s="496" t="s">
        <v>1807</v>
      </c>
      <c r="DW399" s="496" t="s">
        <v>1087</v>
      </c>
      <c r="DX399" s="497" t="s">
        <v>1088</v>
      </c>
      <c r="DZ399" s="543">
        <v>1</v>
      </c>
      <c r="EB399" s="493"/>
      <c r="EC399" s="493"/>
    </row>
    <row r="400" spans="5:133" ht="21" customHeight="1">
      <c r="E400" s="716"/>
      <c r="F400" s="724"/>
      <c r="G400" s="725"/>
      <c r="H400" s="724"/>
      <c r="I400" s="726"/>
      <c r="J400" s="950"/>
      <c r="K400" s="951"/>
      <c r="L400" s="793"/>
      <c r="M400" s="952"/>
      <c r="N400" s="953"/>
      <c r="O400" s="954"/>
      <c r="P400" s="955"/>
      <c r="Q400" s="956"/>
      <c r="R400" s="957"/>
      <c r="S400" s="800"/>
      <c r="T400" s="958"/>
      <c r="U400" s="802"/>
      <c r="V400" s="959"/>
      <c r="W400" s="960"/>
      <c r="X400" s="805"/>
      <c r="Y400" s="816"/>
      <c r="DO400" s="494"/>
      <c r="DP400" s="496" t="s">
        <v>1898</v>
      </c>
      <c r="DQ400" s="496" t="s">
        <v>345</v>
      </c>
      <c r="DR400" s="496" t="s">
        <v>689</v>
      </c>
      <c r="DS400" s="496" t="s">
        <v>920</v>
      </c>
      <c r="DT400" s="496" t="s">
        <v>920</v>
      </c>
      <c r="DU400" s="496" t="s">
        <v>1085</v>
      </c>
      <c r="DV400" s="496" t="s">
        <v>1807</v>
      </c>
      <c r="DW400" s="496" t="s">
        <v>1087</v>
      </c>
      <c r="DX400" s="497" t="s">
        <v>1088</v>
      </c>
      <c r="DZ400" s="543">
        <v>1</v>
      </c>
      <c r="EB400" s="493"/>
      <c r="EC400" s="493"/>
    </row>
    <row r="401" spans="5:133" ht="21" customHeight="1">
      <c r="E401" s="716"/>
      <c r="F401" s="724"/>
      <c r="G401" s="725"/>
      <c r="H401" s="724"/>
      <c r="I401" s="726"/>
      <c r="J401" s="950"/>
      <c r="K401" s="951"/>
      <c r="L401" s="793"/>
      <c r="M401" s="952"/>
      <c r="N401" s="953"/>
      <c r="O401" s="954"/>
      <c r="P401" s="955"/>
      <c r="Q401" s="956"/>
      <c r="R401" s="957"/>
      <c r="S401" s="800"/>
      <c r="T401" s="958"/>
      <c r="U401" s="802"/>
      <c r="V401" s="959"/>
      <c r="W401" s="960"/>
      <c r="X401" s="805"/>
      <c r="Y401" s="816"/>
      <c r="DO401" s="494"/>
      <c r="DP401" s="496" t="s">
        <v>1899</v>
      </c>
      <c r="DQ401" s="496" t="s">
        <v>345</v>
      </c>
      <c r="DR401" s="496" t="s">
        <v>689</v>
      </c>
      <c r="DS401" s="496" t="s">
        <v>1900</v>
      </c>
      <c r="DT401" s="496" t="s">
        <v>1900</v>
      </c>
      <c r="DU401" s="496" t="s">
        <v>1085</v>
      </c>
      <c r="DV401" s="496" t="s">
        <v>1807</v>
      </c>
      <c r="DW401" s="496" t="s">
        <v>1087</v>
      </c>
      <c r="DX401" s="497" t="s">
        <v>1088</v>
      </c>
      <c r="DZ401" s="543">
        <v>1</v>
      </c>
      <c r="EB401" s="493"/>
      <c r="EC401" s="493"/>
    </row>
    <row r="402" spans="5:133" ht="21" customHeight="1">
      <c r="E402" s="716"/>
      <c r="F402" s="724"/>
      <c r="G402" s="725"/>
      <c r="H402" s="724"/>
      <c r="I402" s="726"/>
      <c r="J402" s="950"/>
      <c r="K402" s="951"/>
      <c r="L402" s="793"/>
      <c r="M402" s="952"/>
      <c r="N402" s="953"/>
      <c r="O402" s="954"/>
      <c r="P402" s="955"/>
      <c r="Q402" s="956"/>
      <c r="R402" s="957"/>
      <c r="S402" s="800"/>
      <c r="T402" s="958"/>
      <c r="U402" s="802"/>
      <c r="V402" s="959"/>
      <c r="W402" s="960"/>
      <c r="X402" s="805"/>
      <c r="Y402" s="816"/>
      <c r="DO402" s="494"/>
      <c r="DP402" s="496" t="s">
        <v>1901</v>
      </c>
      <c r="DQ402" s="496" t="s">
        <v>345</v>
      </c>
      <c r="DR402" s="496" t="s">
        <v>689</v>
      </c>
      <c r="DS402" s="496" t="s">
        <v>1902</v>
      </c>
      <c r="DT402" s="496" t="s">
        <v>1902</v>
      </c>
      <c r="DU402" s="496" t="s">
        <v>1085</v>
      </c>
      <c r="DV402" s="496" t="s">
        <v>1807</v>
      </c>
      <c r="DW402" s="496" t="s">
        <v>1087</v>
      </c>
      <c r="DX402" s="497" t="s">
        <v>1088</v>
      </c>
      <c r="DZ402" s="543">
        <v>1</v>
      </c>
      <c r="EB402" s="493"/>
      <c r="EC402" s="493"/>
    </row>
    <row r="403" spans="5:133" ht="21" customHeight="1">
      <c r="E403" s="716"/>
      <c r="F403" s="724"/>
      <c r="G403" s="725"/>
      <c r="H403" s="724"/>
      <c r="I403" s="726"/>
      <c r="J403" s="950"/>
      <c r="K403" s="951"/>
      <c r="L403" s="793"/>
      <c r="M403" s="952"/>
      <c r="N403" s="953"/>
      <c r="O403" s="954"/>
      <c r="P403" s="955"/>
      <c r="Q403" s="956"/>
      <c r="R403" s="957"/>
      <c r="S403" s="800"/>
      <c r="T403" s="958"/>
      <c r="U403" s="802"/>
      <c r="V403" s="959"/>
      <c r="W403" s="960"/>
      <c r="X403" s="805"/>
      <c r="Y403" s="816"/>
      <c r="DO403" s="494"/>
      <c r="DP403" s="496" t="s">
        <v>1903</v>
      </c>
      <c r="DQ403" s="496" t="s">
        <v>345</v>
      </c>
      <c r="DR403" s="496" t="s">
        <v>689</v>
      </c>
      <c r="DS403" s="496" t="s">
        <v>1014</v>
      </c>
      <c r="DT403" s="496" t="s">
        <v>1014</v>
      </c>
      <c r="DU403" s="496" t="s">
        <v>1085</v>
      </c>
      <c r="DV403" s="496" t="s">
        <v>1807</v>
      </c>
      <c r="DW403" s="496" t="s">
        <v>1087</v>
      </c>
      <c r="DX403" s="497" t="s">
        <v>1088</v>
      </c>
      <c r="DZ403" s="543">
        <v>1</v>
      </c>
      <c r="EB403" s="493"/>
      <c r="EC403" s="493"/>
    </row>
    <row r="404" spans="5:133" ht="21" customHeight="1">
      <c r="E404" s="716"/>
      <c r="F404" s="724"/>
      <c r="G404" s="725"/>
      <c r="H404" s="724"/>
      <c r="I404" s="726"/>
      <c r="J404" s="950"/>
      <c r="K404" s="951"/>
      <c r="L404" s="793"/>
      <c r="M404" s="952"/>
      <c r="N404" s="953"/>
      <c r="O404" s="954"/>
      <c r="P404" s="955"/>
      <c r="Q404" s="956"/>
      <c r="R404" s="957"/>
      <c r="S404" s="800"/>
      <c r="T404" s="958"/>
      <c r="U404" s="802"/>
      <c r="V404" s="959"/>
      <c r="W404" s="960"/>
      <c r="X404" s="805"/>
      <c r="Y404" s="816"/>
      <c r="DO404" s="494"/>
      <c r="DP404" s="496" t="s">
        <v>1904</v>
      </c>
      <c r="DQ404" s="496" t="s">
        <v>345</v>
      </c>
      <c r="DR404" s="496" t="s">
        <v>689</v>
      </c>
      <c r="DS404" s="496" t="s">
        <v>1905</v>
      </c>
      <c r="DT404" s="496" t="s">
        <v>1906</v>
      </c>
      <c r="DU404" s="496" t="s">
        <v>1085</v>
      </c>
      <c r="DV404" s="496" t="s">
        <v>1807</v>
      </c>
      <c r="DW404" s="496" t="s">
        <v>1087</v>
      </c>
      <c r="DX404" s="497" t="s">
        <v>1088</v>
      </c>
      <c r="DZ404" s="543">
        <v>1</v>
      </c>
      <c r="EB404" s="493"/>
      <c r="EC404" s="493"/>
    </row>
    <row r="405" spans="5:133" ht="21" customHeight="1">
      <c r="E405" s="716"/>
      <c r="F405" s="724"/>
      <c r="G405" s="725"/>
      <c r="H405" s="724"/>
      <c r="I405" s="726"/>
      <c r="J405" s="950"/>
      <c r="K405" s="951"/>
      <c r="L405" s="793"/>
      <c r="M405" s="952"/>
      <c r="N405" s="953"/>
      <c r="O405" s="954"/>
      <c r="P405" s="955"/>
      <c r="Q405" s="956"/>
      <c r="R405" s="957"/>
      <c r="S405" s="800"/>
      <c r="T405" s="958"/>
      <c r="U405" s="802"/>
      <c r="V405" s="959"/>
      <c r="W405" s="960"/>
      <c r="X405" s="805"/>
      <c r="Y405" s="816"/>
      <c r="DO405" s="494"/>
      <c r="DP405" s="496" t="s">
        <v>1907</v>
      </c>
      <c r="DQ405" s="496" t="s">
        <v>345</v>
      </c>
      <c r="DR405" s="496" t="s">
        <v>689</v>
      </c>
      <c r="DS405" s="496" t="s">
        <v>1016</v>
      </c>
      <c r="DT405" s="496" t="s">
        <v>1016</v>
      </c>
      <c r="DU405" s="496" t="s">
        <v>1085</v>
      </c>
      <c r="DV405" s="496" t="s">
        <v>1807</v>
      </c>
      <c r="DW405" s="496" t="s">
        <v>1087</v>
      </c>
      <c r="DX405" s="497" t="s">
        <v>1088</v>
      </c>
      <c r="DZ405" s="543">
        <v>1</v>
      </c>
      <c r="EB405" s="493"/>
      <c r="EC405" s="493"/>
    </row>
    <row r="406" spans="5:133" ht="21" customHeight="1">
      <c r="E406" s="716"/>
      <c r="F406" s="724"/>
      <c r="G406" s="725"/>
      <c r="H406" s="724"/>
      <c r="I406" s="726"/>
      <c r="J406" s="950"/>
      <c r="K406" s="951"/>
      <c r="L406" s="793"/>
      <c r="M406" s="952"/>
      <c r="N406" s="953"/>
      <c r="O406" s="954"/>
      <c r="P406" s="955"/>
      <c r="Q406" s="956"/>
      <c r="R406" s="957"/>
      <c r="S406" s="800"/>
      <c r="T406" s="958"/>
      <c r="U406" s="802"/>
      <c r="V406" s="959"/>
      <c r="W406" s="960"/>
      <c r="X406" s="805"/>
      <c r="Y406" s="816"/>
      <c r="DO406" s="494"/>
      <c r="DP406" s="496" t="s">
        <v>1908</v>
      </c>
      <c r="DQ406" s="496" t="s">
        <v>345</v>
      </c>
      <c r="DR406" s="496" t="s">
        <v>689</v>
      </c>
      <c r="DS406" s="496" t="s">
        <v>1909</v>
      </c>
      <c r="DT406" s="496" t="s">
        <v>1910</v>
      </c>
      <c r="DU406" s="496" t="s">
        <v>1085</v>
      </c>
      <c r="DV406" s="496" t="s">
        <v>1807</v>
      </c>
      <c r="DW406" s="496" t="s">
        <v>1087</v>
      </c>
      <c r="DX406" s="497" t="s">
        <v>1088</v>
      </c>
      <c r="DZ406" s="543">
        <v>1</v>
      </c>
      <c r="EB406" s="493"/>
      <c r="EC406" s="493"/>
    </row>
    <row r="407" spans="5:133" ht="21" customHeight="1">
      <c r="E407" s="716"/>
      <c r="F407" s="724"/>
      <c r="G407" s="725"/>
      <c r="H407" s="724"/>
      <c r="I407" s="726"/>
      <c r="J407" s="950"/>
      <c r="K407" s="951"/>
      <c r="L407" s="793"/>
      <c r="M407" s="952"/>
      <c r="N407" s="953"/>
      <c r="O407" s="954"/>
      <c r="P407" s="955"/>
      <c r="Q407" s="956"/>
      <c r="R407" s="957"/>
      <c r="S407" s="800"/>
      <c r="T407" s="958"/>
      <c r="U407" s="802"/>
      <c r="V407" s="959"/>
      <c r="W407" s="960"/>
      <c r="X407" s="805"/>
      <c r="Y407" s="816"/>
      <c r="DO407" s="494"/>
      <c r="DP407" s="496" t="s">
        <v>1911</v>
      </c>
      <c r="DQ407" s="496" t="s">
        <v>345</v>
      </c>
      <c r="DR407" s="496" t="s">
        <v>689</v>
      </c>
      <c r="DS407" s="496" t="s">
        <v>931</v>
      </c>
      <c r="DT407" s="496" t="s">
        <v>931</v>
      </c>
      <c r="DU407" s="496" t="s">
        <v>1085</v>
      </c>
      <c r="DV407" s="496" t="s">
        <v>1807</v>
      </c>
      <c r="DW407" s="496" t="s">
        <v>1087</v>
      </c>
      <c r="DX407" s="497" t="s">
        <v>1088</v>
      </c>
      <c r="DZ407" s="543">
        <v>1</v>
      </c>
      <c r="EB407" s="493"/>
      <c r="EC407" s="493"/>
    </row>
    <row r="408" spans="5:133" ht="21" customHeight="1">
      <c r="E408" s="716"/>
      <c r="F408" s="724"/>
      <c r="G408" s="725"/>
      <c r="H408" s="724"/>
      <c r="I408" s="726"/>
      <c r="J408" s="950"/>
      <c r="K408" s="951"/>
      <c r="L408" s="793"/>
      <c r="M408" s="952"/>
      <c r="N408" s="953"/>
      <c r="O408" s="954"/>
      <c r="P408" s="955"/>
      <c r="Q408" s="956"/>
      <c r="R408" s="957"/>
      <c r="S408" s="800"/>
      <c r="T408" s="958"/>
      <c r="U408" s="802"/>
      <c r="V408" s="959"/>
      <c r="W408" s="960"/>
      <c r="X408" s="805"/>
      <c r="Y408" s="816"/>
      <c r="DO408" s="494"/>
      <c r="DP408" s="496" t="s">
        <v>1912</v>
      </c>
      <c r="DQ408" s="496" t="s">
        <v>345</v>
      </c>
      <c r="DR408" s="496" t="s">
        <v>1511</v>
      </c>
      <c r="DS408" s="496" t="s">
        <v>1913</v>
      </c>
      <c r="DT408" s="496" t="s">
        <v>1913</v>
      </c>
      <c r="DU408" s="496" t="s">
        <v>1085</v>
      </c>
      <c r="DV408" s="496" t="s">
        <v>1914</v>
      </c>
      <c r="DW408" s="496" t="s">
        <v>1087</v>
      </c>
      <c r="DX408" s="497" t="s">
        <v>1088</v>
      </c>
      <c r="DZ408" s="543">
        <v>1</v>
      </c>
      <c r="EB408" s="493"/>
      <c r="EC408" s="493"/>
    </row>
    <row r="409" spans="5:133" ht="21" customHeight="1">
      <c r="E409" s="716"/>
      <c r="F409" s="724"/>
      <c r="G409" s="725"/>
      <c r="H409" s="724"/>
      <c r="I409" s="726"/>
      <c r="J409" s="950"/>
      <c r="K409" s="951"/>
      <c r="L409" s="793"/>
      <c r="M409" s="952"/>
      <c r="N409" s="953"/>
      <c r="O409" s="954"/>
      <c r="P409" s="955"/>
      <c r="Q409" s="956"/>
      <c r="R409" s="957"/>
      <c r="S409" s="800"/>
      <c r="T409" s="958"/>
      <c r="U409" s="802"/>
      <c r="V409" s="959"/>
      <c r="W409" s="960"/>
      <c r="X409" s="805"/>
      <c r="Y409" s="816"/>
      <c r="DO409" s="494"/>
      <c r="DP409" s="496" t="s">
        <v>1915</v>
      </c>
      <c r="DQ409" s="496" t="s">
        <v>345</v>
      </c>
      <c r="DR409" s="496" t="s">
        <v>1511</v>
      </c>
      <c r="DS409" s="496" t="s">
        <v>882</v>
      </c>
      <c r="DT409" s="496" t="s">
        <v>882</v>
      </c>
      <c r="DU409" s="496" t="s">
        <v>1085</v>
      </c>
      <c r="DV409" s="496" t="s">
        <v>1914</v>
      </c>
      <c r="DW409" s="496" t="s">
        <v>1087</v>
      </c>
      <c r="DX409" s="497" t="s">
        <v>1088</v>
      </c>
      <c r="DZ409" s="543">
        <v>1</v>
      </c>
      <c r="EB409" s="493"/>
      <c r="EC409" s="493"/>
    </row>
    <row r="410" spans="5:133" ht="21" customHeight="1">
      <c r="E410" s="716"/>
      <c r="F410" s="724"/>
      <c r="G410" s="725"/>
      <c r="H410" s="724"/>
      <c r="I410" s="726"/>
      <c r="J410" s="950"/>
      <c r="K410" s="951"/>
      <c r="L410" s="793"/>
      <c r="M410" s="952"/>
      <c r="N410" s="953"/>
      <c r="O410" s="954"/>
      <c r="P410" s="955"/>
      <c r="Q410" s="956"/>
      <c r="R410" s="957"/>
      <c r="S410" s="800"/>
      <c r="T410" s="958"/>
      <c r="U410" s="802"/>
      <c r="V410" s="959"/>
      <c r="W410" s="960"/>
      <c r="X410" s="805"/>
      <c r="Y410" s="816"/>
      <c r="DO410" s="494"/>
      <c r="DP410" s="496" t="s">
        <v>1916</v>
      </c>
      <c r="DQ410" s="496" t="s">
        <v>345</v>
      </c>
      <c r="DR410" s="496" t="s">
        <v>1511</v>
      </c>
      <c r="DS410" s="496" t="s">
        <v>1512</v>
      </c>
      <c r="DT410" s="496" t="s">
        <v>1512</v>
      </c>
      <c r="DU410" s="496" t="s">
        <v>1085</v>
      </c>
      <c r="DV410" s="496" t="s">
        <v>1914</v>
      </c>
      <c r="DW410" s="496" t="s">
        <v>1087</v>
      </c>
      <c r="DX410" s="497" t="s">
        <v>1088</v>
      </c>
      <c r="DZ410" s="543">
        <v>1</v>
      </c>
      <c r="EB410" s="493"/>
      <c r="EC410" s="493"/>
    </row>
    <row r="411" spans="5:133" ht="21" customHeight="1">
      <c r="E411" s="716"/>
      <c r="F411" s="724"/>
      <c r="G411" s="725"/>
      <c r="H411" s="724"/>
      <c r="I411" s="726"/>
      <c r="J411" s="950"/>
      <c r="K411" s="951"/>
      <c r="L411" s="793"/>
      <c r="M411" s="952"/>
      <c r="N411" s="953"/>
      <c r="O411" s="954"/>
      <c r="P411" s="955"/>
      <c r="Q411" s="956"/>
      <c r="R411" s="957"/>
      <c r="S411" s="800"/>
      <c r="T411" s="958"/>
      <c r="U411" s="802"/>
      <c r="V411" s="959"/>
      <c r="W411" s="960"/>
      <c r="X411" s="805"/>
      <c r="Y411" s="816"/>
      <c r="DO411" s="494"/>
      <c r="DP411" s="496" t="s">
        <v>1917</v>
      </c>
      <c r="DQ411" s="496" t="s">
        <v>345</v>
      </c>
      <c r="DR411" s="496" t="s">
        <v>1511</v>
      </c>
      <c r="DS411" s="496" t="s">
        <v>889</v>
      </c>
      <c r="DT411" s="496" t="s">
        <v>889</v>
      </c>
      <c r="DU411" s="496" t="s">
        <v>1085</v>
      </c>
      <c r="DV411" s="496" t="s">
        <v>1914</v>
      </c>
      <c r="DW411" s="496" t="s">
        <v>1087</v>
      </c>
      <c r="DX411" s="497" t="s">
        <v>1088</v>
      </c>
      <c r="DZ411" s="543">
        <v>1</v>
      </c>
      <c r="EB411" s="493"/>
      <c r="EC411" s="493"/>
    </row>
    <row r="412" spans="5:133" ht="21" customHeight="1">
      <c r="E412" s="716"/>
      <c r="F412" s="724"/>
      <c r="G412" s="725"/>
      <c r="H412" s="724"/>
      <c r="I412" s="726"/>
      <c r="J412" s="950"/>
      <c r="K412" s="951"/>
      <c r="L412" s="793"/>
      <c r="M412" s="952"/>
      <c r="N412" s="953"/>
      <c r="O412" s="954"/>
      <c r="P412" s="955"/>
      <c r="Q412" s="956"/>
      <c r="R412" s="957"/>
      <c r="S412" s="800"/>
      <c r="T412" s="958"/>
      <c r="U412" s="802"/>
      <c r="V412" s="959"/>
      <c r="W412" s="960"/>
      <c r="X412" s="805"/>
      <c r="Y412" s="816"/>
      <c r="DO412" s="494"/>
      <c r="DP412" s="496" t="s">
        <v>1918</v>
      </c>
      <c r="DQ412" s="496" t="s">
        <v>345</v>
      </c>
      <c r="DR412" s="496" t="s">
        <v>1511</v>
      </c>
      <c r="DS412" s="496" t="s">
        <v>1919</v>
      </c>
      <c r="DT412" s="496" t="s">
        <v>1919</v>
      </c>
      <c r="DU412" s="496" t="s">
        <v>1085</v>
      </c>
      <c r="DV412" s="496" t="s">
        <v>1914</v>
      </c>
      <c r="DW412" s="496" t="s">
        <v>1087</v>
      </c>
      <c r="DX412" s="497" t="s">
        <v>1088</v>
      </c>
      <c r="DZ412" s="543">
        <v>1</v>
      </c>
      <c r="EB412" s="493"/>
      <c r="EC412" s="493"/>
    </row>
    <row r="413" spans="5:133" ht="21" customHeight="1">
      <c r="E413" s="716"/>
      <c r="F413" s="724"/>
      <c r="G413" s="725"/>
      <c r="H413" s="724"/>
      <c r="I413" s="726"/>
      <c r="J413" s="950"/>
      <c r="K413" s="951"/>
      <c r="L413" s="793"/>
      <c r="M413" s="952"/>
      <c r="N413" s="953"/>
      <c r="O413" s="954"/>
      <c r="P413" s="955"/>
      <c r="Q413" s="956"/>
      <c r="R413" s="957"/>
      <c r="S413" s="800"/>
      <c r="T413" s="958"/>
      <c r="U413" s="802"/>
      <c r="V413" s="959"/>
      <c r="W413" s="960"/>
      <c r="X413" s="805"/>
      <c r="Y413" s="816"/>
      <c r="DO413" s="494"/>
      <c r="DP413" s="496" t="s">
        <v>1920</v>
      </c>
      <c r="DQ413" s="496" t="s">
        <v>345</v>
      </c>
      <c r="DR413" s="496" t="s">
        <v>1511</v>
      </c>
      <c r="DS413" s="496" t="s">
        <v>1517</v>
      </c>
      <c r="DT413" s="496" t="s">
        <v>1517</v>
      </c>
      <c r="DU413" s="496" t="s">
        <v>1151</v>
      </c>
      <c r="DV413" s="496" t="s">
        <v>1518</v>
      </c>
      <c r="DW413" s="496" t="s">
        <v>1087</v>
      </c>
      <c r="DX413" s="497" t="s">
        <v>1153</v>
      </c>
      <c r="DZ413" s="543">
        <v>1</v>
      </c>
      <c r="EB413" s="493"/>
      <c r="EC413" s="493"/>
    </row>
    <row r="414" spans="5:133" ht="21" customHeight="1">
      <c r="E414" s="716"/>
      <c r="F414" s="724"/>
      <c r="G414" s="725"/>
      <c r="H414" s="724"/>
      <c r="I414" s="726"/>
      <c r="J414" s="950"/>
      <c r="K414" s="951"/>
      <c r="L414" s="793"/>
      <c r="M414" s="952"/>
      <c r="N414" s="953"/>
      <c r="O414" s="954"/>
      <c r="P414" s="955"/>
      <c r="Q414" s="956"/>
      <c r="R414" s="957"/>
      <c r="S414" s="800"/>
      <c r="T414" s="958"/>
      <c r="U414" s="802"/>
      <c r="V414" s="959"/>
      <c r="W414" s="960"/>
      <c r="X414" s="805"/>
      <c r="Y414" s="816"/>
      <c r="DO414" s="494"/>
      <c r="DP414" s="496" t="s">
        <v>1921</v>
      </c>
      <c r="DQ414" s="496" t="s">
        <v>345</v>
      </c>
      <c r="DR414" s="496" t="s">
        <v>1511</v>
      </c>
      <c r="DS414" s="496" t="s">
        <v>1520</v>
      </c>
      <c r="DT414" s="496" t="s">
        <v>1520</v>
      </c>
      <c r="DU414" s="496" t="s">
        <v>1151</v>
      </c>
      <c r="DV414" s="496" t="s">
        <v>1518</v>
      </c>
      <c r="DW414" s="496" t="s">
        <v>1087</v>
      </c>
      <c r="DX414" s="497" t="s">
        <v>1153</v>
      </c>
      <c r="DZ414" s="543">
        <v>1</v>
      </c>
      <c r="EB414" s="493"/>
      <c r="EC414" s="493"/>
    </row>
    <row r="415" spans="5:133" ht="21" customHeight="1">
      <c r="E415" s="716"/>
      <c r="F415" s="724"/>
      <c r="G415" s="725"/>
      <c r="H415" s="724"/>
      <c r="I415" s="726"/>
      <c r="J415" s="950"/>
      <c r="K415" s="951"/>
      <c r="L415" s="793"/>
      <c r="M415" s="952"/>
      <c r="N415" s="953"/>
      <c r="O415" s="954"/>
      <c r="P415" s="955"/>
      <c r="Q415" s="956"/>
      <c r="R415" s="957"/>
      <c r="S415" s="800"/>
      <c r="T415" s="958"/>
      <c r="U415" s="802"/>
      <c r="V415" s="959"/>
      <c r="W415" s="960"/>
      <c r="X415" s="805"/>
      <c r="Y415" s="816"/>
      <c r="DO415" s="494"/>
      <c r="DP415" s="496" t="s">
        <v>1922</v>
      </c>
      <c r="DQ415" s="496" t="s">
        <v>345</v>
      </c>
      <c r="DR415" s="496" t="s">
        <v>1511</v>
      </c>
      <c r="DS415" s="496" t="s">
        <v>1923</v>
      </c>
      <c r="DT415" s="496" t="s">
        <v>1923</v>
      </c>
      <c r="DU415" s="496" t="s">
        <v>1085</v>
      </c>
      <c r="DV415" s="496" t="s">
        <v>1914</v>
      </c>
      <c r="DW415" s="496" t="s">
        <v>1087</v>
      </c>
      <c r="DX415" s="497" t="s">
        <v>1088</v>
      </c>
      <c r="DZ415" s="543">
        <v>1</v>
      </c>
      <c r="EB415" s="493"/>
      <c r="EC415" s="493"/>
    </row>
    <row r="416" spans="5:133" ht="21" customHeight="1">
      <c r="E416" s="716"/>
      <c r="F416" s="724"/>
      <c r="G416" s="725"/>
      <c r="H416" s="724"/>
      <c r="I416" s="726"/>
      <c r="J416" s="950"/>
      <c r="K416" s="951"/>
      <c r="L416" s="793"/>
      <c r="M416" s="952"/>
      <c r="N416" s="953"/>
      <c r="O416" s="954"/>
      <c r="P416" s="955"/>
      <c r="Q416" s="956"/>
      <c r="R416" s="957"/>
      <c r="S416" s="800"/>
      <c r="T416" s="958"/>
      <c r="U416" s="802"/>
      <c r="V416" s="959"/>
      <c r="W416" s="960"/>
      <c r="X416" s="805"/>
      <c r="Y416" s="816"/>
      <c r="DO416" s="494"/>
      <c r="DP416" s="496" t="s">
        <v>1924</v>
      </c>
      <c r="DQ416" s="496" t="s">
        <v>345</v>
      </c>
      <c r="DR416" s="496" t="s">
        <v>1511</v>
      </c>
      <c r="DS416" s="496" t="s">
        <v>894</v>
      </c>
      <c r="DT416" s="496" t="s">
        <v>894</v>
      </c>
      <c r="DU416" s="496" t="s">
        <v>1085</v>
      </c>
      <c r="DV416" s="496" t="s">
        <v>1914</v>
      </c>
      <c r="DW416" s="496" t="s">
        <v>1087</v>
      </c>
      <c r="DX416" s="497" t="s">
        <v>1088</v>
      </c>
      <c r="DZ416" s="543">
        <v>1</v>
      </c>
      <c r="EB416" s="493"/>
      <c r="EC416" s="493"/>
    </row>
    <row r="417" spans="5:133" ht="21" customHeight="1">
      <c r="E417" s="716"/>
      <c r="F417" s="724"/>
      <c r="G417" s="725"/>
      <c r="H417" s="724"/>
      <c r="I417" s="726"/>
      <c r="J417" s="950"/>
      <c r="K417" s="951"/>
      <c r="L417" s="793"/>
      <c r="M417" s="952"/>
      <c r="N417" s="953"/>
      <c r="O417" s="954"/>
      <c r="P417" s="955"/>
      <c r="Q417" s="956"/>
      <c r="R417" s="957"/>
      <c r="S417" s="800"/>
      <c r="T417" s="958"/>
      <c r="U417" s="802"/>
      <c r="V417" s="959"/>
      <c r="W417" s="960"/>
      <c r="X417" s="805"/>
      <c r="Y417" s="816"/>
      <c r="DO417" s="494"/>
      <c r="DP417" s="496" t="s">
        <v>1925</v>
      </c>
      <c r="DQ417" s="496" t="s">
        <v>345</v>
      </c>
      <c r="DR417" s="496" t="s">
        <v>1511</v>
      </c>
      <c r="DS417" s="496" t="s">
        <v>1926</v>
      </c>
      <c r="DT417" s="496" t="s">
        <v>956</v>
      </c>
      <c r="DU417" s="496" t="s">
        <v>1085</v>
      </c>
      <c r="DV417" s="496" t="s">
        <v>1914</v>
      </c>
      <c r="DW417" s="496" t="s">
        <v>1087</v>
      </c>
      <c r="DX417" s="497" t="s">
        <v>1088</v>
      </c>
      <c r="DZ417" s="543">
        <v>1</v>
      </c>
      <c r="EB417" s="493"/>
      <c r="EC417" s="493"/>
    </row>
    <row r="418" spans="5:133" ht="21" customHeight="1">
      <c r="E418" s="716"/>
      <c r="F418" s="724"/>
      <c r="G418" s="725"/>
      <c r="H418" s="724"/>
      <c r="I418" s="726"/>
      <c r="J418" s="950"/>
      <c r="K418" s="951"/>
      <c r="L418" s="793"/>
      <c r="M418" s="952"/>
      <c r="N418" s="953"/>
      <c r="O418" s="954"/>
      <c r="P418" s="955"/>
      <c r="Q418" s="956"/>
      <c r="R418" s="957"/>
      <c r="S418" s="800"/>
      <c r="T418" s="958"/>
      <c r="U418" s="802"/>
      <c r="V418" s="959"/>
      <c r="W418" s="960"/>
      <c r="X418" s="805"/>
      <c r="Y418" s="816"/>
      <c r="DO418" s="494"/>
      <c r="DP418" s="496" t="s">
        <v>1927</v>
      </c>
      <c r="DQ418" s="496" t="s">
        <v>345</v>
      </c>
      <c r="DR418" s="496" t="s">
        <v>1511</v>
      </c>
      <c r="DS418" s="496" t="s">
        <v>1928</v>
      </c>
      <c r="DT418" s="496" t="s">
        <v>1928</v>
      </c>
      <c r="DU418" s="496" t="s">
        <v>1085</v>
      </c>
      <c r="DV418" s="496" t="s">
        <v>1914</v>
      </c>
      <c r="DW418" s="496" t="s">
        <v>1087</v>
      </c>
      <c r="DX418" s="497" t="s">
        <v>1088</v>
      </c>
      <c r="DZ418" s="543">
        <v>1</v>
      </c>
      <c r="EB418" s="493"/>
      <c r="EC418" s="493"/>
    </row>
    <row r="419" spans="5:133" ht="21" customHeight="1">
      <c r="E419" s="716"/>
      <c r="F419" s="724"/>
      <c r="G419" s="725"/>
      <c r="H419" s="724"/>
      <c r="I419" s="726"/>
      <c r="J419" s="950"/>
      <c r="K419" s="951"/>
      <c r="L419" s="793"/>
      <c r="M419" s="952"/>
      <c r="N419" s="953"/>
      <c r="O419" s="954"/>
      <c r="P419" s="955"/>
      <c r="Q419" s="956"/>
      <c r="R419" s="957"/>
      <c r="S419" s="800"/>
      <c r="T419" s="958"/>
      <c r="U419" s="802"/>
      <c r="V419" s="959"/>
      <c r="W419" s="960"/>
      <c r="X419" s="805"/>
      <c r="Y419" s="816"/>
      <c r="DO419" s="494"/>
      <c r="DP419" s="496" t="s">
        <v>1929</v>
      </c>
      <c r="DQ419" s="496" t="s">
        <v>345</v>
      </c>
      <c r="DR419" s="496" t="s">
        <v>1511</v>
      </c>
      <c r="DS419" s="496" t="s">
        <v>969</v>
      </c>
      <c r="DT419" s="496" t="s">
        <v>969</v>
      </c>
      <c r="DU419" s="496" t="s">
        <v>1085</v>
      </c>
      <c r="DV419" s="496" t="s">
        <v>1914</v>
      </c>
      <c r="DW419" s="496" t="s">
        <v>1087</v>
      </c>
      <c r="DX419" s="497" t="s">
        <v>1088</v>
      </c>
      <c r="DZ419" s="543">
        <v>1</v>
      </c>
      <c r="EB419" s="493"/>
      <c r="EC419" s="493"/>
    </row>
    <row r="420" spans="5:133" ht="21" customHeight="1">
      <c r="E420" s="716"/>
      <c r="F420" s="724"/>
      <c r="G420" s="725"/>
      <c r="H420" s="724"/>
      <c r="I420" s="726"/>
      <c r="J420" s="950"/>
      <c r="K420" s="951"/>
      <c r="L420" s="793"/>
      <c r="M420" s="952"/>
      <c r="N420" s="953"/>
      <c r="O420" s="954"/>
      <c r="P420" s="955"/>
      <c r="Q420" s="956"/>
      <c r="R420" s="957"/>
      <c r="S420" s="800"/>
      <c r="T420" s="958"/>
      <c r="U420" s="802"/>
      <c r="V420" s="959"/>
      <c r="W420" s="960"/>
      <c r="X420" s="805"/>
      <c r="Y420" s="816"/>
      <c r="DO420" s="494"/>
      <c r="DP420" s="496" t="s">
        <v>1930</v>
      </c>
      <c r="DQ420" s="496" t="s">
        <v>345</v>
      </c>
      <c r="DR420" s="496" t="s">
        <v>1511</v>
      </c>
      <c r="DS420" s="496" t="s">
        <v>979</v>
      </c>
      <c r="DT420" s="496" t="s">
        <v>979</v>
      </c>
      <c r="DU420" s="496" t="s">
        <v>1085</v>
      </c>
      <c r="DV420" s="496" t="s">
        <v>1914</v>
      </c>
      <c r="DW420" s="496" t="s">
        <v>1087</v>
      </c>
      <c r="DX420" s="497" t="s">
        <v>1088</v>
      </c>
      <c r="DZ420" s="543">
        <v>1</v>
      </c>
      <c r="EB420" s="493"/>
      <c r="EC420" s="493"/>
    </row>
    <row r="421" spans="5:133" ht="21" customHeight="1">
      <c r="E421" s="716"/>
      <c r="F421" s="724"/>
      <c r="G421" s="725"/>
      <c r="H421" s="724"/>
      <c r="I421" s="726"/>
      <c r="J421" s="950"/>
      <c r="K421" s="951"/>
      <c r="L421" s="793"/>
      <c r="M421" s="952"/>
      <c r="N421" s="953"/>
      <c r="O421" s="954"/>
      <c r="P421" s="955"/>
      <c r="Q421" s="956"/>
      <c r="R421" s="957"/>
      <c r="S421" s="800"/>
      <c r="T421" s="958"/>
      <c r="U421" s="802"/>
      <c r="V421" s="959"/>
      <c r="W421" s="960"/>
      <c r="X421" s="805"/>
      <c r="Y421" s="816"/>
      <c r="DO421" s="494"/>
      <c r="DP421" s="496" t="s">
        <v>1931</v>
      </c>
      <c r="DQ421" s="496" t="s">
        <v>345</v>
      </c>
      <c r="DR421" s="496" t="s">
        <v>1511</v>
      </c>
      <c r="DS421" s="496" t="s">
        <v>1932</v>
      </c>
      <c r="DT421" s="496" t="s">
        <v>1932</v>
      </c>
      <c r="DU421" s="496" t="s">
        <v>1085</v>
      </c>
      <c r="DV421" s="496" t="s">
        <v>1914</v>
      </c>
      <c r="DW421" s="496" t="s">
        <v>1087</v>
      </c>
      <c r="DX421" s="497" t="s">
        <v>1088</v>
      </c>
      <c r="DZ421" s="543">
        <v>1</v>
      </c>
      <c r="EB421" s="493"/>
      <c r="EC421" s="493"/>
    </row>
    <row r="422" spans="5:133" ht="21" customHeight="1">
      <c r="E422" s="716"/>
      <c r="F422" s="724"/>
      <c r="G422" s="725"/>
      <c r="H422" s="724"/>
      <c r="I422" s="726"/>
      <c r="J422" s="950"/>
      <c r="K422" s="951"/>
      <c r="L422" s="793"/>
      <c r="M422" s="952"/>
      <c r="N422" s="953"/>
      <c r="O422" s="954"/>
      <c r="P422" s="955"/>
      <c r="Q422" s="956"/>
      <c r="R422" s="957"/>
      <c r="S422" s="800"/>
      <c r="T422" s="958"/>
      <c r="U422" s="802"/>
      <c r="V422" s="959"/>
      <c r="W422" s="960"/>
      <c r="X422" s="805"/>
      <c r="Y422" s="816"/>
      <c r="DO422" s="494"/>
      <c r="DP422" s="496" t="s">
        <v>1933</v>
      </c>
      <c r="DQ422" s="496" t="s">
        <v>345</v>
      </c>
      <c r="DR422" s="496" t="s">
        <v>1511</v>
      </c>
      <c r="DS422" s="496" t="s">
        <v>1934</v>
      </c>
      <c r="DT422" s="496" t="s">
        <v>1935</v>
      </c>
      <c r="DU422" s="496" t="s">
        <v>1085</v>
      </c>
      <c r="DV422" s="496" t="s">
        <v>1914</v>
      </c>
      <c r="DW422" s="496" t="s">
        <v>1087</v>
      </c>
      <c r="DX422" s="497" t="s">
        <v>1088</v>
      </c>
      <c r="DZ422" s="543">
        <v>1</v>
      </c>
      <c r="EB422" s="493"/>
      <c r="EC422" s="493"/>
    </row>
    <row r="423" spans="5:133" ht="21" customHeight="1">
      <c r="E423" s="716"/>
      <c r="F423" s="724"/>
      <c r="G423" s="725"/>
      <c r="H423" s="724"/>
      <c r="I423" s="726"/>
      <c r="J423" s="950"/>
      <c r="K423" s="951"/>
      <c r="L423" s="793"/>
      <c r="M423" s="952"/>
      <c r="N423" s="953"/>
      <c r="O423" s="954"/>
      <c r="P423" s="955"/>
      <c r="Q423" s="956"/>
      <c r="R423" s="957"/>
      <c r="S423" s="800"/>
      <c r="T423" s="958"/>
      <c r="U423" s="802"/>
      <c r="V423" s="959"/>
      <c r="W423" s="960"/>
      <c r="X423" s="805"/>
      <c r="Y423" s="816"/>
      <c r="DO423" s="494"/>
      <c r="DP423" s="496" t="s">
        <v>1936</v>
      </c>
      <c r="DQ423" s="496" t="s">
        <v>345</v>
      </c>
      <c r="DR423" s="496" t="s">
        <v>1511</v>
      </c>
      <c r="DS423" s="496" t="s">
        <v>1937</v>
      </c>
      <c r="DT423" s="496" t="s">
        <v>1938</v>
      </c>
      <c r="DU423" s="496" t="s">
        <v>1085</v>
      </c>
      <c r="DV423" s="496" t="s">
        <v>1914</v>
      </c>
      <c r="DW423" s="496" t="s">
        <v>1087</v>
      </c>
      <c r="DX423" s="497" t="s">
        <v>1088</v>
      </c>
      <c r="DZ423" s="543">
        <v>1</v>
      </c>
      <c r="EB423" s="493"/>
      <c r="EC423" s="493"/>
    </row>
    <row r="424" spans="5:133" ht="21" customHeight="1">
      <c r="E424" s="716"/>
      <c r="F424" s="724"/>
      <c r="G424" s="725"/>
      <c r="H424" s="724"/>
      <c r="I424" s="726"/>
      <c r="J424" s="950"/>
      <c r="K424" s="951"/>
      <c r="L424" s="793"/>
      <c r="M424" s="952"/>
      <c r="N424" s="953"/>
      <c r="O424" s="954"/>
      <c r="P424" s="955"/>
      <c r="Q424" s="956"/>
      <c r="R424" s="957"/>
      <c r="S424" s="800"/>
      <c r="T424" s="958"/>
      <c r="U424" s="802"/>
      <c r="V424" s="959"/>
      <c r="W424" s="960"/>
      <c r="X424" s="805"/>
      <c r="Y424" s="816"/>
      <c r="DO424" s="494"/>
      <c r="DP424" s="496" t="s">
        <v>1939</v>
      </c>
      <c r="DQ424" s="496" t="s">
        <v>345</v>
      </c>
      <c r="DR424" s="496" t="s">
        <v>1511</v>
      </c>
      <c r="DS424" s="496" t="s">
        <v>202</v>
      </c>
      <c r="DT424" s="496" t="s">
        <v>202</v>
      </c>
      <c r="DU424" s="496" t="s">
        <v>1085</v>
      </c>
      <c r="DV424" s="496" t="s">
        <v>1914</v>
      </c>
      <c r="DW424" s="496" t="s">
        <v>1087</v>
      </c>
      <c r="DX424" s="497" t="s">
        <v>1088</v>
      </c>
      <c r="DZ424" s="543">
        <v>1</v>
      </c>
      <c r="EB424" s="493"/>
      <c r="EC424" s="493"/>
    </row>
    <row r="425" spans="5:133" ht="21" customHeight="1">
      <c r="E425" s="716"/>
      <c r="F425" s="724"/>
      <c r="G425" s="725"/>
      <c r="H425" s="724"/>
      <c r="I425" s="726"/>
      <c r="J425" s="950"/>
      <c r="K425" s="951"/>
      <c r="L425" s="793"/>
      <c r="M425" s="952"/>
      <c r="N425" s="953"/>
      <c r="O425" s="954"/>
      <c r="P425" s="955"/>
      <c r="Q425" s="956"/>
      <c r="R425" s="957"/>
      <c r="S425" s="800"/>
      <c r="T425" s="958"/>
      <c r="U425" s="802"/>
      <c r="V425" s="959"/>
      <c r="W425" s="960"/>
      <c r="X425" s="805"/>
      <c r="Y425" s="816"/>
      <c r="DO425" s="494"/>
      <c r="DP425" s="496" t="s">
        <v>1940</v>
      </c>
      <c r="DQ425" s="496" t="s">
        <v>345</v>
      </c>
      <c r="DR425" s="496" t="s">
        <v>1511</v>
      </c>
      <c r="DS425" s="496" t="s">
        <v>1941</v>
      </c>
      <c r="DT425" s="496" t="s">
        <v>913</v>
      </c>
      <c r="DU425" s="496" t="s">
        <v>1085</v>
      </c>
      <c r="DV425" s="496" t="s">
        <v>1914</v>
      </c>
      <c r="DW425" s="496" t="s">
        <v>1087</v>
      </c>
      <c r="DX425" s="497" t="s">
        <v>1088</v>
      </c>
      <c r="DZ425" s="543">
        <v>1</v>
      </c>
      <c r="EB425" s="493"/>
      <c r="EC425" s="493"/>
    </row>
    <row r="426" spans="5:133" ht="21" customHeight="1">
      <c r="E426" s="716"/>
      <c r="F426" s="724"/>
      <c r="G426" s="725"/>
      <c r="H426" s="724"/>
      <c r="I426" s="726"/>
      <c r="J426" s="950"/>
      <c r="K426" s="951"/>
      <c r="L426" s="793"/>
      <c r="M426" s="952"/>
      <c r="N426" s="953"/>
      <c r="O426" s="954"/>
      <c r="P426" s="955"/>
      <c r="Q426" s="956"/>
      <c r="R426" s="957"/>
      <c r="S426" s="800"/>
      <c r="T426" s="958"/>
      <c r="U426" s="802"/>
      <c r="V426" s="959"/>
      <c r="W426" s="960"/>
      <c r="X426" s="805"/>
      <c r="Y426" s="816"/>
      <c r="DO426" s="494"/>
      <c r="DP426" s="496" t="s">
        <v>1942</v>
      </c>
      <c r="DQ426" s="496" t="s">
        <v>345</v>
      </c>
      <c r="DR426" s="496" t="s">
        <v>1511</v>
      </c>
      <c r="DS426" s="496" t="s">
        <v>1943</v>
      </c>
      <c r="DT426" s="496" t="s">
        <v>1944</v>
      </c>
      <c r="DU426" s="496" t="s">
        <v>1085</v>
      </c>
      <c r="DV426" s="496" t="s">
        <v>1914</v>
      </c>
      <c r="DW426" s="496" t="s">
        <v>1087</v>
      </c>
      <c r="DX426" s="497" t="s">
        <v>1088</v>
      </c>
      <c r="DZ426" s="543">
        <v>1</v>
      </c>
      <c r="EB426" s="493"/>
      <c r="EC426" s="493"/>
    </row>
    <row r="427" spans="5:133" ht="21" customHeight="1">
      <c r="E427" s="716"/>
      <c r="F427" s="724"/>
      <c r="G427" s="725"/>
      <c r="H427" s="724"/>
      <c r="I427" s="726"/>
      <c r="J427" s="950"/>
      <c r="K427" s="951"/>
      <c r="L427" s="793"/>
      <c r="M427" s="952"/>
      <c r="N427" s="953"/>
      <c r="O427" s="954"/>
      <c r="P427" s="955"/>
      <c r="Q427" s="956"/>
      <c r="R427" s="957"/>
      <c r="S427" s="800"/>
      <c r="T427" s="958"/>
      <c r="U427" s="802"/>
      <c r="V427" s="959"/>
      <c r="W427" s="960"/>
      <c r="X427" s="805"/>
      <c r="Y427" s="816"/>
      <c r="DO427" s="494"/>
      <c r="DP427" s="496" t="s">
        <v>1945</v>
      </c>
      <c r="DQ427" s="496" t="s">
        <v>345</v>
      </c>
      <c r="DR427" s="496" t="s">
        <v>1511</v>
      </c>
      <c r="DS427" s="496" t="s">
        <v>1946</v>
      </c>
      <c r="DT427" s="496" t="s">
        <v>1946</v>
      </c>
      <c r="DU427" s="496" t="s">
        <v>1085</v>
      </c>
      <c r="DV427" s="496" t="s">
        <v>1914</v>
      </c>
      <c r="DW427" s="496" t="s">
        <v>1087</v>
      </c>
      <c r="DX427" s="497" t="s">
        <v>1088</v>
      </c>
      <c r="DZ427" s="543">
        <v>1</v>
      </c>
      <c r="EB427" s="493"/>
      <c r="EC427" s="493"/>
    </row>
    <row r="428" spans="5:133" ht="21" customHeight="1">
      <c r="E428" s="716"/>
      <c r="F428" s="724"/>
      <c r="G428" s="725"/>
      <c r="H428" s="724"/>
      <c r="I428" s="726"/>
      <c r="J428" s="950"/>
      <c r="K428" s="951"/>
      <c r="L428" s="793"/>
      <c r="M428" s="952"/>
      <c r="N428" s="953"/>
      <c r="O428" s="954"/>
      <c r="P428" s="955"/>
      <c r="Q428" s="956"/>
      <c r="R428" s="957"/>
      <c r="S428" s="800"/>
      <c r="T428" s="958"/>
      <c r="U428" s="802"/>
      <c r="V428" s="959"/>
      <c r="W428" s="960"/>
      <c r="X428" s="805"/>
      <c r="Y428" s="816"/>
      <c r="DO428" s="494"/>
      <c r="DP428" s="496" t="s">
        <v>1947</v>
      </c>
      <c r="DQ428" s="496" t="s">
        <v>345</v>
      </c>
      <c r="DR428" s="496" t="s">
        <v>1511</v>
      </c>
      <c r="DS428" s="496" t="s">
        <v>919</v>
      </c>
      <c r="DT428" s="496" t="s">
        <v>919</v>
      </c>
      <c r="DU428" s="496" t="s">
        <v>1085</v>
      </c>
      <c r="DV428" s="496" t="s">
        <v>1914</v>
      </c>
      <c r="DW428" s="496" t="s">
        <v>1087</v>
      </c>
      <c r="DX428" s="497" t="s">
        <v>1088</v>
      </c>
      <c r="DZ428" s="543">
        <v>1</v>
      </c>
      <c r="EB428" s="493"/>
      <c r="EC428" s="493"/>
    </row>
    <row r="429" spans="5:133" ht="21" customHeight="1">
      <c r="E429" s="716"/>
      <c r="F429" s="724"/>
      <c r="G429" s="725"/>
      <c r="H429" s="724"/>
      <c r="I429" s="726"/>
      <c r="J429" s="950"/>
      <c r="K429" s="951"/>
      <c r="L429" s="793"/>
      <c r="M429" s="952"/>
      <c r="N429" s="953"/>
      <c r="O429" s="954"/>
      <c r="P429" s="955"/>
      <c r="Q429" s="956"/>
      <c r="R429" s="957"/>
      <c r="S429" s="800"/>
      <c r="T429" s="958"/>
      <c r="U429" s="802"/>
      <c r="V429" s="959"/>
      <c r="W429" s="960"/>
      <c r="X429" s="805"/>
      <c r="Y429" s="816"/>
      <c r="DO429" s="494"/>
      <c r="DP429" s="496" t="s">
        <v>1948</v>
      </c>
      <c r="DQ429" s="496" t="s">
        <v>345</v>
      </c>
      <c r="DR429" s="496" t="s">
        <v>1511</v>
      </c>
      <c r="DS429" s="496" t="s">
        <v>1949</v>
      </c>
      <c r="DT429" s="496" t="s">
        <v>1949</v>
      </c>
      <c r="DU429" s="496" t="s">
        <v>1085</v>
      </c>
      <c r="DV429" s="496" t="s">
        <v>1914</v>
      </c>
      <c r="DW429" s="496" t="s">
        <v>1087</v>
      </c>
      <c r="DX429" s="497" t="s">
        <v>1088</v>
      </c>
      <c r="DZ429" s="543">
        <v>1</v>
      </c>
      <c r="EB429" s="493"/>
      <c r="EC429" s="493"/>
    </row>
    <row r="430" spans="5:133" ht="21" customHeight="1">
      <c r="E430" s="716"/>
      <c r="F430" s="724"/>
      <c r="G430" s="725"/>
      <c r="H430" s="724"/>
      <c r="I430" s="726"/>
      <c r="J430" s="950"/>
      <c r="K430" s="951"/>
      <c r="L430" s="793"/>
      <c r="M430" s="952"/>
      <c r="N430" s="953"/>
      <c r="O430" s="954"/>
      <c r="P430" s="955"/>
      <c r="Q430" s="956"/>
      <c r="R430" s="957"/>
      <c r="S430" s="800"/>
      <c r="T430" s="958"/>
      <c r="U430" s="802"/>
      <c r="V430" s="959"/>
      <c r="W430" s="960"/>
      <c r="X430" s="805"/>
      <c r="Y430" s="816"/>
      <c r="DO430" s="494"/>
      <c r="DP430" s="496" t="s">
        <v>1950</v>
      </c>
      <c r="DQ430" s="496" t="s">
        <v>345</v>
      </c>
      <c r="DR430" s="496" t="s">
        <v>1511</v>
      </c>
      <c r="DS430" s="496" t="s">
        <v>1534</v>
      </c>
      <c r="DT430" s="496" t="s">
        <v>1535</v>
      </c>
      <c r="DU430" s="496" t="s">
        <v>1151</v>
      </c>
      <c r="DV430" s="496" t="s">
        <v>1518</v>
      </c>
      <c r="DW430" s="496" t="s">
        <v>1087</v>
      </c>
      <c r="DX430" s="497" t="s">
        <v>1153</v>
      </c>
      <c r="DZ430" s="543">
        <v>1</v>
      </c>
      <c r="EB430" s="493"/>
      <c r="EC430" s="493"/>
    </row>
    <row r="431" spans="5:133" ht="21" customHeight="1">
      <c r="E431" s="716"/>
      <c r="F431" s="724"/>
      <c r="G431" s="725"/>
      <c r="H431" s="724"/>
      <c r="I431" s="726"/>
      <c r="J431" s="950"/>
      <c r="K431" s="951"/>
      <c r="L431" s="793"/>
      <c r="M431" s="952"/>
      <c r="N431" s="953"/>
      <c r="O431" s="954"/>
      <c r="P431" s="955"/>
      <c r="Q431" s="956"/>
      <c r="R431" s="957"/>
      <c r="S431" s="800"/>
      <c r="T431" s="958"/>
      <c r="U431" s="802"/>
      <c r="V431" s="959"/>
      <c r="W431" s="960"/>
      <c r="X431" s="805"/>
      <c r="Y431" s="816"/>
      <c r="DO431" s="494"/>
      <c r="DP431" s="496" t="s">
        <v>1951</v>
      </c>
      <c r="DQ431" s="496" t="s">
        <v>345</v>
      </c>
      <c r="DR431" s="496" t="s">
        <v>1511</v>
      </c>
      <c r="DS431" s="496" t="s">
        <v>1952</v>
      </c>
      <c r="DT431" s="496" t="s">
        <v>1952</v>
      </c>
      <c r="DU431" s="496" t="s">
        <v>1085</v>
      </c>
      <c r="DV431" s="496" t="s">
        <v>1914</v>
      </c>
      <c r="DW431" s="496" t="s">
        <v>1087</v>
      </c>
      <c r="DX431" s="497" t="s">
        <v>1088</v>
      </c>
      <c r="DZ431" s="543">
        <v>1</v>
      </c>
      <c r="EB431" s="493"/>
      <c r="EC431" s="493"/>
    </row>
    <row r="432" spans="5:133" ht="21" customHeight="1">
      <c r="E432" s="716"/>
      <c r="F432" s="724"/>
      <c r="G432" s="725"/>
      <c r="H432" s="724"/>
      <c r="I432" s="726"/>
      <c r="J432" s="950"/>
      <c r="K432" s="951"/>
      <c r="L432" s="793"/>
      <c r="M432" s="952"/>
      <c r="N432" s="953"/>
      <c r="O432" s="954"/>
      <c r="P432" s="955"/>
      <c r="Q432" s="956"/>
      <c r="R432" s="957"/>
      <c r="S432" s="800"/>
      <c r="T432" s="958"/>
      <c r="U432" s="802"/>
      <c r="V432" s="959"/>
      <c r="W432" s="960"/>
      <c r="X432" s="805"/>
      <c r="Y432" s="816"/>
      <c r="DO432" s="494"/>
      <c r="DP432" s="496" t="s">
        <v>1953</v>
      </c>
      <c r="DQ432" s="496" t="s">
        <v>345</v>
      </c>
      <c r="DR432" s="496" t="s">
        <v>1511</v>
      </c>
      <c r="DS432" s="496" t="s">
        <v>1423</v>
      </c>
      <c r="DT432" s="496" t="s">
        <v>1423</v>
      </c>
      <c r="DU432" s="496" t="s">
        <v>1085</v>
      </c>
      <c r="DV432" s="496" t="s">
        <v>1914</v>
      </c>
      <c r="DW432" s="496" t="s">
        <v>1087</v>
      </c>
      <c r="DX432" s="497" t="s">
        <v>1088</v>
      </c>
      <c r="DZ432" s="543">
        <v>1</v>
      </c>
      <c r="EB432" s="493"/>
      <c r="EC432" s="493"/>
    </row>
    <row r="433" spans="5:133" ht="21" customHeight="1">
      <c r="E433" s="716"/>
      <c r="F433" s="724"/>
      <c r="G433" s="725"/>
      <c r="H433" s="724"/>
      <c r="I433" s="726"/>
      <c r="J433" s="950"/>
      <c r="K433" s="951"/>
      <c r="L433" s="793"/>
      <c r="M433" s="952"/>
      <c r="N433" s="953"/>
      <c r="O433" s="954"/>
      <c r="P433" s="955"/>
      <c r="Q433" s="956"/>
      <c r="R433" s="957"/>
      <c r="S433" s="800"/>
      <c r="T433" s="958"/>
      <c r="U433" s="802"/>
      <c r="V433" s="959"/>
      <c r="W433" s="960"/>
      <c r="X433" s="805"/>
      <c r="Y433" s="816"/>
      <c r="DO433" s="494"/>
      <c r="DP433" s="496" t="s">
        <v>1954</v>
      </c>
      <c r="DQ433" s="496" t="s">
        <v>345</v>
      </c>
      <c r="DR433" s="496" t="s">
        <v>1511</v>
      </c>
      <c r="DS433" s="496" t="s">
        <v>1955</v>
      </c>
      <c r="DT433" s="496" t="s">
        <v>1955</v>
      </c>
      <c r="DU433" s="496" t="s">
        <v>1085</v>
      </c>
      <c r="DV433" s="496" t="s">
        <v>1914</v>
      </c>
      <c r="DW433" s="496" t="s">
        <v>1087</v>
      </c>
      <c r="DX433" s="497" t="s">
        <v>1088</v>
      </c>
      <c r="DZ433" s="543">
        <v>1</v>
      </c>
      <c r="EB433" s="493"/>
      <c r="EC433" s="493"/>
    </row>
    <row r="434" spans="5:133" ht="21" customHeight="1">
      <c r="E434" s="716"/>
      <c r="F434" s="724"/>
      <c r="G434" s="725"/>
      <c r="H434" s="724"/>
      <c r="I434" s="726"/>
      <c r="J434" s="950"/>
      <c r="K434" s="951"/>
      <c r="L434" s="793"/>
      <c r="M434" s="952"/>
      <c r="N434" s="953"/>
      <c r="O434" s="954"/>
      <c r="P434" s="955"/>
      <c r="Q434" s="956"/>
      <c r="R434" s="957"/>
      <c r="S434" s="800"/>
      <c r="T434" s="958"/>
      <c r="U434" s="802"/>
      <c r="V434" s="959"/>
      <c r="W434" s="960"/>
      <c r="X434" s="805"/>
      <c r="Y434" s="816"/>
      <c r="DO434" s="494"/>
      <c r="DP434" s="496" t="s">
        <v>1956</v>
      </c>
      <c r="DQ434" s="496" t="s">
        <v>345</v>
      </c>
      <c r="DR434" s="496" t="s">
        <v>1511</v>
      </c>
      <c r="DS434" s="496" t="s">
        <v>1433</v>
      </c>
      <c r="DT434" s="496" t="s">
        <v>1433</v>
      </c>
      <c r="DU434" s="496" t="s">
        <v>1085</v>
      </c>
      <c r="DV434" s="496" t="s">
        <v>1914</v>
      </c>
      <c r="DW434" s="496" t="s">
        <v>1087</v>
      </c>
      <c r="DX434" s="497" t="s">
        <v>1088</v>
      </c>
      <c r="DZ434" s="543">
        <v>1</v>
      </c>
      <c r="EB434" s="493"/>
      <c r="EC434" s="493"/>
    </row>
    <row r="435" spans="5:133" ht="21" customHeight="1">
      <c r="E435" s="716"/>
      <c r="F435" s="724"/>
      <c r="G435" s="725"/>
      <c r="H435" s="724"/>
      <c r="I435" s="726"/>
      <c r="J435" s="950"/>
      <c r="K435" s="951"/>
      <c r="L435" s="793"/>
      <c r="M435" s="952"/>
      <c r="N435" s="953"/>
      <c r="O435" s="954"/>
      <c r="P435" s="955"/>
      <c r="Q435" s="956"/>
      <c r="R435" s="957"/>
      <c r="S435" s="800"/>
      <c r="T435" s="958"/>
      <c r="U435" s="802"/>
      <c r="V435" s="959"/>
      <c r="W435" s="960"/>
      <c r="X435" s="805"/>
      <c r="Y435" s="816"/>
      <c r="DO435" s="494"/>
      <c r="DP435" s="496" t="s">
        <v>1957</v>
      </c>
      <c r="DQ435" s="496" t="s">
        <v>345</v>
      </c>
      <c r="DR435" s="496" t="s">
        <v>1511</v>
      </c>
      <c r="DS435" s="496" t="s">
        <v>1958</v>
      </c>
      <c r="DT435" s="496" t="s">
        <v>1958</v>
      </c>
      <c r="DU435" s="496" t="s">
        <v>1085</v>
      </c>
      <c r="DV435" s="496" t="s">
        <v>1914</v>
      </c>
      <c r="DW435" s="496" t="s">
        <v>1087</v>
      </c>
      <c r="DX435" s="497" t="s">
        <v>1088</v>
      </c>
      <c r="DZ435" s="543">
        <v>1</v>
      </c>
      <c r="EB435" s="493"/>
      <c r="EC435" s="493"/>
    </row>
    <row r="436" spans="5:133" ht="21" customHeight="1">
      <c r="E436" s="716"/>
      <c r="F436" s="724"/>
      <c r="G436" s="725"/>
      <c r="H436" s="724"/>
      <c r="I436" s="726"/>
      <c r="J436" s="950"/>
      <c r="K436" s="951"/>
      <c r="L436" s="793"/>
      <c r="M436" s="952"/>
      <c r="N436" s="953"/>
      <c r="O436" s="954"/>
      <c r="P436" s="955"/>
      <c r="Q436" s="956"/>
      <c r="R436" s="957"/>
      <c r="S436" s="800"/>
      <c r="T436" s="958"/>
      <c r="U436" s="802"/>
      <c r="V436" s="959"/>
      <c r="W436" s="960"/>
      <c r="X436" s="805"/>
      <c r="Y436" s="816"/>
      <c r="DO436" s="494"/>
      <c r="DP436" s="496" t="s">
        <v>1959</v>
      </c>
      <c r="DQ436" s="496" t="s">
        <v>345</v>
      </c>
      <c r="DR436" s="496" t="s">
        <v>1960</v>
      </c>
      <c r="DS436" s="496" t="s">
        <v>1961</v>
      </c>
      <c r="DT436" s="496" t="s">
        <v>1961</v>
      </c>
      <c r="DU436" s="496" t="s">
        <v>1151</v>
      </c>
      <c r="DV436" s="496" t="s">
        <v>1962</v>
      </c>
      <c r="DW436" s="496" t="s">
        <v>1087</v>
      </c>
      <c r="DX436" s="497" t="s">
        <v>1153</v>
      </c>
      <c r="DZ436" s="543">
        <v>1</v>
      </c>
      <c r="EB436" s="493"/>
      <c r="EC436" s="493"/>
    </row>
    <row r="437" spans="5:133" ht="21" customHeight="1">
      <c r="E437" s="716"/>
      <c r="F437" s="724"/>
      <c r="G437" s="725"/>
      <c r="H437" s="724"/>
      <c r="I437" s="726"/>
      <c r="J437" s="950"/>
      <c r="K437" s="951"/>
      <c r="L437" s="793"/>
      <c r="M437" s="952"/>
      <c r="N437" s="953"/>
      <c r="O437" s="954"/>
      <c r="P437" s="955"/>
      <c r="Q437" s="956"/>
      <c r="R437" s="957"/>
      <c r="S437" s="800"/>
      <c r="T437" s="958"/>
      <c r="U437" s="802"/>
      <c r="V437" s="959"/>
      <c r="W437" s="960"/>
      <c r="X437" s="805"/>
      <c r="Y437" s="816"/>
      <c r="DO437" s="494"/>
      <c r="DP437" s="496" t="s">
        <v>1963</v>
      </c>
      <c r="DQ437" s="496" t="s">
        <v>345</v>
      </c>
      <c r="DR437" s="496" t="s">
        <v>1960</v>
      </c>
      <c r="DS437" s="496" t="s">
        <v>1964</v>
      </c>
      <c r="DT437" s="496" t="s">
        <v>1965</v>
      </c>
      <c r="DU437" s="496" t="s">
        <v>1151</v>
      </c>
      <c r="DV437" s="496" t="s">
        <v>1962</v>
      </c>
      <c r="DW437" s="496" t="s">
        <v>1087</v>
      </c>
      <c r="DX437" s="497" t="s">
        <v>1153</v>
      </c>
      <c r="DZ437" s="543">
        <v>1</v>
      </c>
      <c r="EB437" s="493"/>
      <c r="EC437" s="493"/>
    </row>
    <row r="438" spans="5:133" ht="21" customHeight="1">
      <c r="E438" s="716"/>
      <c r="F438" s="724"/>
      <c r="G438" s="725"/>
      <c r="H438" s="724"/>
      <c r="I438" s="726"/>
      <c r="J438" s="950"/>
      <c r="K438" s="951"/>
      <c r="L438" s="793"/>
      <c r="M438" s="952"/>
      <c r="N438" s="953"/>
      <c r="O438" s="954"/>
      <c r="P438" s="955"/>
      <c r="Q438" s="956"/>
      <c r="R438" s="957"/>
      <c r="S438" s="800"/>
      <c r="T438" s="958"/>
      <c r="U438" s="802"/>
      <c r="V438" s="959"/>
      <c r="W438" s="960"/>
      <c r="X438" s="805"/>
      <c r="Y438" s="816"/>
      <c r="DO438" s="494"/>
      <c r="DP438" s="496" t="s">
        <v>1966</v>
      </c>
      <c r="DQ438" s="496" t="s">
        <v>345</v>
      </c>
      <c r="DR438" s="496" t="s">
        <v>1960</v>
      </c>
      <c r="DS438" s="496" t="s">
        <v>1967</v>
      </c>
      <c r="DT438" s="496" t="s">
        <v>1968</v>
      </c>
      <c r="DU438" s="496" t="s">
        <v>1151</v>
      </c>
      <c r="DV438" s="496" t="s">
        <v>1962</v>
      </c>
      <c r="DW438" s="496" t="s">
        <v>1087</v>
      </c>
      <c r="DX438" s="497" t="s">
        <v>1153</v>
      </c>
      <c r="DZ438" s="543">
        <v>1</v>
      </c>
      <c r="EB438" s="493"/>
      <c r="EC438" s="493"/>
    </row>
    <row r="439" spans="5:133" ht="21" customHeight="1">
      <c r="E439" s="716"/>
      <c r="F439" s="724"/>
      <c r="G439" s="725"/>
      <c r="H439" s="724"/>
      <c r="I439" s="726"/>
      <c r="J439" s="950"/>
      <c r="K439" s="951"/>
      <c r="L439" s="793"/>
      <c r="M439" s="952"/>
      <c r="N439" s="953"/>
      <c r="O439" s="954"/>
      <c r="P439" s="955"/>
      <c r="Q439" s="956"/>
      <c r="R439" s="957"/>
      <c r="S439" s="800"/>
      <c r="T439" s="958"/>
      <c r="U439" s="802"/>
      <c r="V439" s="959"/>
      <c r="W439" s="960"/>
      <c r="X439" s="805"/>
      <c r="Y439" s="816"/>
      <c r="DO439" s="494"/>
      <c r="DP439" s="496" t="s">
        <v>1969</v>
      </c>
      <c r="DQ439" s="496" t="s">
        <v>345</v>
      </c>
      <c r="DR439" s="496" t="s">
        <v>1960</v>
      </c>
      <c r="DS439" s="496" t="s">
        <v>1970</v>
      </c>
      <c r="DT439" s="496" t="s">
        <v>1971</v>
      </c>
      <c r="DU439" s="496" t="s">
        <v>1151</v>
      </c>
      <c r="DV439" s="496" t="s">
        <v>1962</v>
      </c>
      <c r="DW439" s="496" t="s">
        <v>1087</v>
      </c>
      <c r="DX439" s="497" t="s">
        <v>1153</v>
      </c>
      <c r="DZ439" s="543">
        <v>1</v>
      </c>
      <c r="EB439" s="493"/>
      <c r="EC439" s="493"/>
    </row>
    <row r="440" spans="5:133" ht="21" customHeight="1">
      <c r="E440" s="716"/>
      <c r="F440" s="724"/>
      <c r="G440" s="725"/>
      <c r="H440" s="724"/>
      <c r="I440" s="726"/>
      <c r="J440" s="950"/>
      <c r="K440" s="951"/>
      <c r="L440" s="793"/>
      <c r="M440" s="952"/>
      <c r="N440" s="953"/>
      <c r="O440" s="954"/>
      <c r="P440" s="955"/>
      <c r="Q440" s="956"/>
      <c r="R440" s="957"/>
      <c r="S440" s="800"/>
      <c r="T440" s="958"/>
      <c r="U440" s="802"/>
      <c r="V440" s="959"/>
      <c r="W440" s="960"/>
      <c r="X440" s="805"/>
      <c r="Y440" s="816"/>
      <c r="DO440" s="494"/>
      <c r="DP440" s="496" t="s">
        <v>1972</v>
      </c>
      <c r="DQ440" s="496" t="s">
        <v>345</v>
      </c>
      <c r="DR440" s="496" t="s">
        <v>1960</v>
      </c>
      <c r="DS440" s="496" t="s">
        <v>1478</v>
      </c>
      <c r="DT440" s="496" t="s">
        <v>860</v>
      </c>
      <c r="DU440" s="496" t="s">
        <v>1151</v>
      </c>
      <c r="DV440" s="496" t="s">
        <v>1962</v>
      </c>
      <c r="DW440" s="496" t="s">
        <v>1087</v>
      </c>
      <c r="DX440" s="497" t="s">
        <v>1153</v>
      </c>
      <c r="DZ440" s="543">
        <v>1</v>
      </c>
      <c r="EB440" s="493"/>
      <c r="EC440" s="493"/>
    </row>
    <row r="441" spans="5:133" ht="21" customHeight="1">
      <c r="E441" s="716"/>
      <c r="F441" s="724"/>
      <c r="G441" s="725"/>
      <c r="H441" s="724"/>
      <c r="I441" s="726"/>
      <c r="J441" s="950"/>
      <c r="K441" s="951"/>
      <c r="L441" s="793"/>
      <c r="M441" s="952"/>
      <c r="N441" s="953"/>
      <c r="O441" s="954"/>
      <c r="P441" s="955"/>
      <c r="Q441" s="956"/>
      <c r="R441" s="957"/>
      <c r="S441" s="800"/>
      <c r="T441" s="958"/>
      <c r="U441" s="802"/>
      <c r="V441" s="959"/>
      <c r="W441" s="960"/>
      <c r="X441" s="805"/>
      <c r="Y441" s="816"/>
      <c r="DO441" s="494"/>
      <c r="DP441" s="496" t="s">
        <v>1973</v>
      </c>
      <c r="DQ441" s="496" t="s">
        <v>345</v>
      </c>
      <c r="DR441" s="496" t="s">
        <v>1960</v>
      </c>
      <c r="DS441" s="496" t="s">
        <v>857</v>
      </c>
      <c r="DT441" s="496" t="s">
        <v>861</v>
      </c>
      <c r="DU441" s="496" t="s">
        <v>1151</v>
      </c>
      <c r="DV441" s="496" t="s">
        <v>1962</v>
      </c>
      <c r="DW441" s="496" t="s">
        <v>1087</v>
      </c>
      <c r="DX441" s="497" t="s">
        <v>1153</v>
      </c>
      <c r="DZ441" s="543">
        <v>1</v>
      </c>
      <c r="EB441" s="493"/>
      <c r="EC441" s="493"/>
    </row>
    <row r="442" spans="5:133" ht="21" customHeight="1">
      <c r="E442" s="716"/>
      <c r="F442" s="724"/>
      <c r="G442" s="725"/>
      <c r="H442" s="724"/>
      <c r="I442" s="726"/>
      <c r="J442" s="950"/>
      <c r="K442" s="951"/>
      <c r="L442" s="793"/>
      <c r="M442" s="952"/>
      <c r="N442" s="953"/>
      <c r="O442" s="954"/>
      <c r="P442" s="955"/>
      <c r="Q442" s="956"/>
      <c r="R442" s="957"/>
      <c r="S442" s="800"/>
      <c r="T442" s="958"/>
      <c r="U442" s="802"/>
      <c r="V442" s="959"/>
      <c r="W442" s="960"/>
      <c r="X442" s="805"/>
      <c r="Y442" s="816"/>
      <c r="DO442" s="494"/>
      <c r="DP442" s="496" t="s">
        <v>1974</v>
      </c>
      <c r="DQ442" s="496" t="s">
        <v>345</v>
      </c>
      <c r="DR442" s="496" t="s">
        <v>1960</v>
      </c>
      <c r="DS442" s="496" t="s">
        <v>1486</v>
      </c>
      <c r="DT442" s="496" t="s">
        <v>864</v>
      </c>
      <c r="DU442" s="496" t="s">
        <v>1151</v>
      </c>
      <c r="DV442" s="496" t="s">
        <v>1962</v>
      </c>
      <c r="DW442" s="496" t="s">
        <v>1087</v>
      </c>
      <c r="DX442" s="497" t="s">
        <v>1153</v>
      </c>
      <c r="DZ442" s="543">
        <v>1</v>
      </c>
      <c r="EB442" s="493"/>
      <c r="EC442" s="493"/>
    </row>
    <row r="443" spans="5:133" ht="21" customHeight="1">
      <c r="E443" s="716"/>
      <c r="F443" s="724"/>
      <c r="G443" s="725"/>
      <c r="H443" s="724"/>
      <c r="I443" s="726"/>
      <c r="J443" s="950"/>
      <c r="K443" s="951"/>
      <c r="L443" s="793"/>
      <c r="M443" s="952"/>
      <c r="N443" s="953"/>
      <c r="O443" s="954"/>
      <c r="P443" s="955"/>
      <c r="Q443" s="956"/>
      <c r="R443" s="957"/>
      <c r="S443" s="800"/>
      <c r="T443" s="958"/>
      <c r="U443" s="802"/>
      <c r="V443" s="959"/>
      <c r="W443" s="960"/>
      <c r="X443" s="805"/>
      <c r="Y443" s="816"/>
      <c r="DO443" s="494"/>
      <c r="DP443" s="496" t="s">
        <v>1975</v>
      </c>
      <c r="DQ443" s="496" t="s">
        <v>345</v>
      </c>
      <c r="DR443" s="496" t="s">
        <v>1960</v>
      </c>
      <c r="DS443" s="496" t="s">
        <v>1976</v>
      </c>
      <c r="DT443" s="496" t="s">
        <v>1976</v>
      </c>
      <c r="DU443" s="496" t="s">
        <v>1151</v>
      </c>
      <c r="DV443" s="496" t="s">
        <v>1962</v>
      </c>
      <c r="DW443" s="496" t="s">
        <v>1087</v>
      </c>
      <c r="DX443" s="497" t="s">
        <v>1153</v>
      </c>
      <c r="DZ443" s="543">
        <v>1</v>
      </c>
      <c r="EB443" s="493"/>
      <c r="EC443" s="493"/>
    </row>
    <row r="444" spans="5:133" ht="21" customHeight="1">
      <c r="E444" s="716"/>
      <c r="F444" s="724"/>
      <c r="G444" s="725"/>
      <c r="H444" s="724"/>
      <c r="I444" s="726"/>
      <c r="J444" s="950"/>
      <c r="K444" s="951"/>
      <c r="L444" s="793"/>
      <c r="M444" s="952"/>
      <c r="N444" s="953"/>
      <c r="O444" s="954"/>
      <c r="P444" s="955"/>
      <c r="Q444" s="956"/>
      <c r="R444" s="957"/>
      <c r="S444" s="800"/>
      <c r="T444" s="958"/>
      <c r="U444" s="802"/>
      <c r="V444" s="959"/>
      <c r="W444" s="960"/>
      <c r="X444" s="805"/>
      <c r="Y444" s="816"/>
      <c r="DO444" s="494"/>
      <c r="DP444" s="496" t="s">
        <v>1977</v>
      </c>
      <c r="DQ444" s="496" t="s">
        <v>345</v>
      </c>
      <c r="DR444" s="496" t="s">
        <v>1960</v>
      </c>
      <c r="DS444" s="496" t="s">
        <v>1978</v>
      </c>
      <c r="DT444" s="496" t="s">
        <v>1978</v>
      </c>
      <c r="DU444" s="496" t="s">
        <v>1151</v>
      </c>
      <c r="DV444" s="496" t="s">
        <v>1962</v>
      </c>
      <c r="DW444" s="496" t="s">
        <v>1087</v>
      </c>
      <c r="DX444" s="497" t="s">
        <v>1153</v>
      </c>
      <c r="DZ444" s="543">
        <v>1</v>
      </c>
      <c r="EB444" s="493"/>
      <c r="EC444" s="493"/>
    </row>
    <row r="445" spans="5:133" ht="21" customHeight="1">
      <c r="E445" s="716"/>
      <c r="F445" s="724"/>
      <c r="G445" s="725"/>
      <c r="H445" s="724"/>
      <c r="I445" s="726"/>
      <c r="J445" s="950"/>
      <c r="K445" s="951"/>
      <c r="L445" s="793"/>
      <c r="M445" s="952"/>
      <c r="N445" s="953"/>
      <c r="O445" s="954"/>
      <c r="P445" s="955"/>
      <c r="Q445" s="956"/>
      <c r="R445" s="957"/>
      <c r="S445" s="800"/>
      <c r="T445" s="958"/>
      <c r="U445" s="802"/>
      <c r="V445" s="959"/>
      <c r="W445" s="960"/>
      <c r="X445" s="805"/>
      <c r="Y445" s="816"/>
      <c r="DO445" s="494"/>
      <c r="DP445" s="496" t="s">
        <v>1979</v>
      </c>
      <c r="DQ445" s="496" t="s">
        <v>8</v>
      </c>
      <c r="DR445" s="496" t="s">
        <v>689</v>
      </c>
      <c r="DS445" s="496" t="s">
        <v>1980</v>
      </c>
      <c r="DT445" s="496" t="s">
        <v>1980</v>
      </c>
      <c r="DU445" s="496" t="s">
        <v>1554</v>
      </c>
      <c r="DV445" s="496" t="s">
        <v>1555</v>
      </c>
      <c r="DW445" s="496" t="s">
        <v>1981</v>
      </c>
      <c r="DX445" s="497" t="s">
        <v>1982</v>
      </c>
      <c r="DZ445" s="543">
        <v>1</v>
      </c>
      <c r="EB445" s="493"/>
      <c r="EC445" s="493"/>
    </row>
    <row r="446" spans="5:133" ht="21" customHeight="1">
      <c r="E446" s="716"/>
      <c r="F446" s="724"/>
      <c r="G446" s="725"/>
      <c r="H446" s="724"/>
      <c r="I446" s="726"/>
      <c r="J446" s="950"/>
      <c r="K446" s="951"/>
      <c r="L446" s="793"/>
      <c r="M446" s="952"/>
      <c r="N446" s="953"/>
      <c r="O446" s="954"/>
      <c r="P446" s="955"/>
      <c r="Q446" s="956"/>
      <c r="R446" s="957"/>
      <c r="S446" s="800"/>
      <c r="T446" s="958"/>
      <c r="U446" s="802"/>
      <c r="V446" s="959"/>
      <c r="W446" s="960"/>
      <c r="X446" s="805"/>
      <c r="Y446" s="816"/>
      <c r="DO446" s="494"/>
      <c r="DP446" s="496" t="s">
        <v>1983</v>
      </c>
      <c r="DQ446" s="496" t="s">
        <v>8</v>
      </c>
      <c r="DR446" s="496" t="s">
        <v>689</v>
      </c>
      <c r="DS446" s="496" t="s">
        <v>1984</v>
      </c>
      <c r="DT446" s="496" t="s">
        <v>1984</v>
      </c>
      <c r="DU446" s="496" t="s">
        <v>1554</v>
      </c>
      <c r="DV446" s="496" t="s">
        <v>1555</v>
      </c>
      <c r="DW446" s="496" t="s">
        <v>1981</v>
      </c>
      <c r="DX446" s="497" t="s">
        <v>1982</v>
      </c>
      <c r="DZ446" s="543">
        <v>1</v>
      </c>
      <c r="EB446" s="493"/>
      <c r="EC446" s="493"/>
    </row>
    <row r="447" spans="5:133" ht="21" customHeight="1">
      <c r="E447" s="716"/>
      <c r="F447" s="724"/>
      <c r="G447" s="725"/>
      <c r="H447" s="724"/>
      <c r="I447" s="726"/>
      <c r="J447" s="950"/>
      <c r="K447" s="951"/>
      <c r="L447" s="793"/>
      <c r="M447" s="952"/>
      <c r="N447" s="953"/>
      <c r="O447" s="954"/>
      <c r="P447" s="955"/>
      <c r="Q447" s="956"/>
      <c r="R447" s="957"/>
      <c r="S447" s="800"/>
      <c r="T447" s="958"/>
      <c r="U447" s="802"/>
      <c r="V447" s="959"/>
      <c r="W447" s="960"/>
      <c r="X447" s="805"/>
      <c r="Y447" s="816"/>
      <c r="DO447" s="494"/>
      <c r="DP447" s="496" t="s">
        <v>1985</v>
      </c>
      <c r="DQ447" s="496" t="s">
        <v>8</v>
      </c>
      <c r="DR447" s="496" t="s">
        <v>689</v>
      </c>
      <c r="DS447" s="496" t="s">
        <v>1986</v>
      </c>
      <c r="DT447" s="496" t="s">
        <v>1986</v>
      </c>
      <c r="DU447" s="496" t="s">
        <v>1554</v>
      </c>
      <c r="DV447" s="496" t="s">
        <v>1555</v>
      </c>
      <c r="DW447" s="496" t="s">
        <v>1981</v>
      </c>
      <c r="DX447" s="497" t="s">
        <v>1982</v>
      </c>
      <c r="DZ447" s="543">
        <v>1</v>
      </c>
      <c r="EB447" s="493"/>
      <c r="EC447" s="493"/>
    </row>
    <row r="448" spans="5:133" ht="21" customHeight="1">
      <c r="E448" s="716"/>
      <c r="F448" s="724"/>
      <c r="G448" s="725"/>
      <c r="H448" s="724"/>
      <c r="I448" s="726"/>
      <c r="J448" s="950"/>
      <c r="K448" s="951"/>
      <c r="L448" s="793"/>
      <c r="M448" s="952"/>
      <c r="N448" s="953"/>
      <c r="O448" s="954"/>
      <c r="P448" s="955"/>
      <c r="Q448" s="956"/>
      <c r="R448" s="957"/>
      <c r="S448" s="800"/>
      <c r="T448" s="958"/>
      <c r="U448" s="802"/>
      <c r="V448" s="959"/>
      <c r="W448" s="960"/>
      <c r="X448" s="805"/>
      <c r="Y448" s="816"/>
      <c r="DO448" s="494"/>
      <c r="DP448" s="496" t="s">
        <v>1987</v>
      </c>
      <c r="DQ448" s="496" t="s">
        <v>8</v>
      </c>
      <c r="DR448" s="496" t="s">
        <v>689</v>
      </c>
      <c r="DS448" s="496" t="s">
        <v>1988</v>
      </c>
      <c r="DT448" s="496" t="s">
        <v>1988</v>
      </c>
      <c r="DU448" s="496" t="s">
        <v>1554</v>
      </c>
      <c r="DV448" s="496" t="s">
        <v>1555</v>
      </c>
      <c r="DW448" s="496" t="s">
        <v>1981</v>
      </c>
      <c r="DX448" s="497" t="s">
        <v>1982</v>
      </c>
      <c r="DZ448" s="543">
        <v>1</v>
      </c>
      <c r="EB448" s="493"/>
      <c r="EC448" s="493"/>
    </row>
    <row r="449" spans="5:133" ht="21" customHeight="1">
      <c r="E449" s="716"/>
      <c r="F449" s="724"/>
      <c r="G449" s="725"/>
      <c r="H449" s="724"/>
      <c r="I449" s="726"/>
      <c r="J449" s="950"/>
      <c r="K449" s="951"/>
      <c r="L449" s="793"/>
      <c r="M449" s="952"/>
      <c r="N449" s="953"/>
      <c r="O449" s="954"/>
      <c r="P449" s="955"/>
      <c r="Q449" s="956"/>
      <c r="R449" s="957"/>
      <c r="S449" s="800"/>
      <c r="T449" s="958"/>
      <c r="U449" s="802"/>
      <c r="V449" s="959"/>
      <c r="W449" s="960"/>
      <c r="X449" s="805"/>
      <c r="Y449" s="816"/>
      <c r="DO449" s="494"/>
      <c r="DP449" s="496" t="s">
        <v>1989</v>
      </c>
      <c r="DQ449" s="496" t="s">
        <v>8</v>
      </c>
      <c r="DR449" s="496" t="s">
        <v>689</v>
      </c>
      <c r="DS449" s="496" t="s">
        <v>1990</v>
      </c>
      <c r="DT449" s="496" t="s">
        <v>1990</v>
      </c>
      <c r="DU449" s="496" t="s">
        <v>1554</v>
      </c>
      <c r="DV449" s="496" t="s">
        <v>1555</v>
      </c>
      <c r="DW449" s="496" t="s">
        <v>1981</v>
      </c>
      <c r="DX449" s="497" t="s">
        <v>1982</v>
      </c>
      <c r="DZ449" s="543">
        <v>1</v>
      </c>
      <c r="EB449" s="493"/>
      <c r="EC449" s="493"/>
    </row>
    <row r="450" spans="5:133" ht="21" customHeight="1">
      <c r="E450" s="716"/>
      <c r="F450" s="724"/>
      <c r="G450" s="725"/>
      <c r="H450" s="724"/>
      <c r="I450" s="726"/>
      <c r="J450" s="950"/>
      <c r="K450" s="951"/>
      <c r="L450" s="793"/>
      <c r="M450" s="952"/>
      <c r="N450" s="953"/>
      <c r="O450" s="954"/>
      <c r="P450" s="955"/>
      <c r="Q450" s="956"/>
      <c r="R450" s="957"/>
      <c r="S450" s="800"/>
      <c r="T450" s="958"/>
      <c r="U450" s="802"/>
      <c r="V450" s="959"/>
      <c r="W450" s="960"/>
      <c r="X450" s="805"/>
      <c r="Y450" s="816"/>
      <c r="DO450" s="494"/>
      <c r="DP450" s="496" t="s">
        <v>1991</v>
      </c>
      <c r="DQ450" s="496" t="s">
        <v>8</v>
      </c>
      <c r="DR450" s="496" t="s">
        <v>689</v>
      </c>
      <c r="DS450" s="496" t="s">
        <v>1992</v>
      </c>
      <c r="DT450" s="496" t="s">
        <v>1992</v>
      </c>
      <c r="DU450" s="496" t="s">
        <v>1554</v>
      </c>
      <c r="DV450" s="496" t="s">
        <v>1555</v>
      </c>
      <c r="DW450" s="496" t="s">
        <v>1981</v>
      </c>
      <c r="DX450" s="497" t="s">
        <v>1982</v>
      </c>
      <c r="DZ450" s="543">
        <v>1</v>
      </c>
      <c r="EB450" s="493"/>
      <c r="EC450" s="493"/>
    </row>
    <row r="451" spans="5:133" ht="21" customHeight="1">
      <c r="E451" s="716"/>
      <c r="F451" s="724"/>
      <c r="G451" s="725"/>
      <c r="H451" s="724"/>
      <c r="I451" s="726"/>
      <c r="J451" s="950"/>
      <c r="K451" s="951"/>
      <c r="L451" s="793"/>
      <c r="M451" s="952"/>
      <c r="N451" s="953"/>
      <c r="O451" s="954"/>
      <c r="P451" s="955"/>
      <c r="Q451" s="956"/>
      <c r="R451" s="957"/>
      <c r="S451" s="800"/>
      <c r="T451" s="958"/>
      <c r="U451" s="802"/>
      <c r="V451" s="959"/>
      <c r="W451" s="960"/>
      <c r="X451" s="805"/>
      <c r="Y451" s="816"/>
      <c r="DO451" s="494"/>
      <c r="DP451" s="496" t="s">
        <v>1993</v>
      </c>
      <c r="DQ451" s="496" t="s">
        <v>8</v>
      </c>
      <c r="DR451" s="496" t="s">
        <v>689</v>
      </c>
      <c r="DS451" s="496" t="s">
        <v>1994</v>
      </c>
      <c r="DT451" s="496" t="s">
        <v>1994</v>
      </c>
      <c r="DU451" s="496" t="s">
        <v>1554</v>
      </c>
      <c r="DV451" s="496" t="s">
        <v>1555</v>
      </c>
      <c r="DW451" s="496" t="s">
        <v>1981</v>
      </c>
      <c r="DX451" s="497" t="s">
        <v>1982</v>
      </c>
      <c r="DZ451" s="543">
        <v>1</v>
      </c>
      <c r="EB451" s="493"/>
      <c r="EC451" s="493"/>
    </row>
    <row r="452" spans="5:133" ht="21" customHeight="1">
      <c r="E452" s="716"/>
      <c r="F452" s="724"/>
      <c r="G452" s="725"/>
      <c r="H452" s="724"/>
      <c r="I452" s="726"/>
      <c r="J452" s="950"/>
      <c r="K452" s="951"/>
      <c r="L452" s="793"/>
      <c r="M452" s="952"/>
      <c r="N452" s="953"/>
      <c r="O452" s="954"/>
      <c r="P452" s="955"/>
      <c r="Q452" s="956"/>
      <c r="R452" s="957"/>
      <c r="S452" s="800"/>
      <c r="T452" s="958"/>
      <c r="U452" s="802"/>
      <c r="V452" s="959"/>
      <c r="W452" s="960"/>
      <c r="X452" s="805"/>
      <c r="Y452" s="816"/>
      <c r="DO452" s="494"/>
      <c r="DP452" s="496" t="s">
        <v>1995</v>
      </c>
      <c r="DQ452" s="496" t="s">
        <v>8</v>
      </c>
      <c r="DR452" s="496" t="s">
        <v>689</v>
      </c>
      <c r="DS452" s="496" t="s">
        <v>1996</v>
      </c>
      <c r="DT452" s="496" t="s">
        <v>1996</v>
      </c>
      <c r="DU452" s="496" t="s">
        <v>1554</v>
      </c>
      <c r="DV452" s="496" t="s">
        <v>1555</v>
      </c>
      <c r="DW452" s="496" t="s">
        <v>1981</v>
      </c>
      <c r="DX452" s="497" t="s">
        <v>1982</v>
      </c>
      <c r="DZ452" s="543">
        <v>1</v>
      </c>
      <c r="EB452" s="493"/>
      <c r="EC452" s="493"/>
    </row>
    <row r="453" spans="5:133" ht="21" customHeight="1">
      <c r="E453" s="716"/>
      <c r="F453" s="724"/>
      <c r="G453" s="725"/>
      <c r="H453" s="724"/>
      <c r="I453" s="726"/>
      <c r="J453" s="950"/>
      <c r="K453" s="951"/>
      <c r="L453" s="793"/>
      <c r="M453" s="952"/>
      <c r="N453" s="953"/>
      <c r="O453" s="954"/>
      <c r="P453" s="955"/>
      <c r="Q453" s="956"/>
      <c r="R453" s="957"/>
      <c r="S453" s="800"/>
      <c r="T453" s="958"/>
      <c r="U453" s="802"/>
      <c r="V453" s="959"/>
      <c r="W453" s="960"/>
      <c r="X453" s="805"/>
      <c r="Y453" s="816"/>
      <c r="DO453" s="494"/>
      <c r="DP453" s="496" t="s">
        <v>1997</v>
      </c>
      <c r="DQ453" s="496" t="s">
        <v>8</v>
      </c>
      <c r="DR453" s="496" t="s">
        <v>689</v>
      </c>
      <c r="DS453" s="496" t="s">
        <v>1998</v>
      </c>
      <c r="DT453" s="496" t="s">
        <v>1998</v>
      </c>
      <c r="DU453" s="496" t="s">
        <v>1554</v>
      </c>
      <c r="DV453" s="496" t="s">
        <v>1555</v>
      </c>
      <c r="DW453" s="496" t="s">
        <v>1981</v>
      </c>
      <c r="DX453" s="497" t="s">
        <v>1982</v>
      </c>
      <c r="DZ453" s="543">
        <v>1</v>
      </c>
      <c r="EB453" s="493"/>
      <c r="EC453" s="493"/>
    </row>
    <row r="454" spans="5:133" ht="21" customHeight="1">
      <c r="E454" s="716"/>
      <c r="F454" s="724"/>
      <c r="G454" s="725"/>
      <c r="H454" s="724"/>
      <c r="I454" s="726"/>
      <c r="J454" s="950"/>
      <c r="K454" s="951"/>
      <c r="L454" s="793"/>
      <c r="M454" s="952"/>
      <c r="N454" s="953"/>
      <c r="O454" s="954"/>
      <c r="P454" s="955"/>
      <c r="Q454" s="956"/>
      <c r="R454" s="957"/>
      <c r="S454" s="800"/>
      <c r="T454" s="958"/>
      <c r="U454" s="802"/>
      <c r="V454" s="959"/>
      <c r="W454" s="960"/>
      <c r="X454" s="805"/>
      <c r="Y454" s="816"/>
      <c r="DO454" s="494"/>
      <c r="DP454" s="496" t="s">
        <v>1999</v>
      </c>
      <c r="DQ454" s="496" t="s">
        <v>8</v>
      </c>
      <c r="DR454" s="496" t="s">
        <v>689</v>
      </c>
      <c r="DS454" s="496" t="s">
        <v>2000</v>
      </c>
      <c r="DT454" s="496" t="s">
        <v>2000</v>
      </c>
      <c r="DU454" s="496" t="s">
        <v>1554</v>
      </c>
      <c r="DV454" s="496" t="s">
        <v>1555</v>
      </c>
      <c r="DW454" s="496" t="s">
        <v>1981</v>
      </c>
      <c r="DX454" s="497" t="s">
        <v>1982</v>
      </c>
      <c r="DZ454" s="543">
        <v>1</v>
      </c>
      <c r="EB454" s="493"/>
      <c r="EC454" s="493"/>
    </row>
    <row r="455" spans="5:133" ht="21" customHeight="1">
      <c r="E455" s="716"/>
      <c r="F455" s="724"/>
      <c r="G455" s="725"/>
      <c r="H455" s="724"/>
      <c r="I455" s="726"/>
      <c r="J455" s="950"/>
      <c r="K455" s="951"/>
      <c r="L455" s="793"/>
      <c r="M455" s="952"/>
      <c r="N455" s="953"/>
      <c r="O455" s="954"/>
      <c r="P455" s="955"/>
      <c r="Q455" s="956"/>
      <c r="R455" s="957"/>
      <c r="S455" s="800"/>
      <c r="T455" s="958"/>
      <c r="U455" s="802"/>
      <c r="V455" s="959"/>
      <c r="W455" s="960"/>
      <c r="X455" s="805"/>
      <c r="Y455" s="816"/>
      <c r="DO455" s="494"/>
      <c r="DP455" s="496" t="s">
        <v>2001</v>
      </c>
      <c r="DQ455" s="496" t="s">
        <v>8</v>
      </c>
      <c r="DR455" s="496" t="s">
        <v>689</v>
      </c>
      <c r="DS455" s="496" t="s">
        <v>2002</v>
      </c>
      <c r="DT455" s="496" t="s">
        <v>2002</v>
      </c>
      <c r="DU455" s="496" t="s">
        <v>1554</v>
      </c>
      <c r="DV455" s="496" t="s">
        <v>1555</v>
      </c>
      <c r="DW455" s="496" t="s">
        <v>1981</v>
      </c>
      <c r="DX455" s="497" t="s">
        <v>1982</v>
      </c>
      <c r="DZ455" s="543">
        <v>1</v>
      </c>
      <c r="EB455" s="493"/>
      <c r="EC455" s="493"/>
    </row>
    <row r="456" spans="5:133" ht="21" customHeight="1">
      <c r="E456" s="716"/>
      <c r="F456" s="724"/>
      <c r="G456" s="725"/>
      <c r="H456" s="724"/>
      <c r="I456" s="726"/>
      <c r="J456" s="950"/>
      <c r="K456" s="951"/>
      <c r="L456" s="793"/>
      <c r="M456" s="952"/>
      <c r="N456" s="953"/>
      <c r="O456" s="954"/>
      <c r="P456" s="955"/>
      <c r="Q456" s="956"/>
      <c r="R456" s="957"/>
      <c r="S456" s="800"/>
      <c r="T456" s="958"/>
      <c r="U456" s="802"/>
      <c r="V456" s="959"/>
      <c r="W456" s="960"/>
      <c r="X456" s="805"/>
      <c r="Y456" s="816"/>
      <c r="DO456" s="494"/>
      <c r="DP456" s="496" t="s">
        <v>2003</v>
      </c>
      <c r="DQ456" s="496" t="s">
        <v>8</v>
      </c>
      <c r="DR456" s="496" t="s">
        <v>689</v>
      </c>
      <c r="DS456" s="496" t="s">
        <v>2004</v>
      </c>
      <c r="DT456" s="496" t="s">
        <v>2004</v>
      </c>
      <c r="DU456" s="496" t="s">
        <v>1554</v>
      </c>
      <c r="DV456" s="496" t="s">
        <v>1555</v>
      </c>
      <c r="DW456" s="496" t="s">
        <v>1981</v>
      </c>
      <c r="DX456" s="497" t="s">
        <v>1982</v>
      </c>
      <c r="DZ456" s="543">
        <v>1</v>
      </c>
      <c r="EB456" s="493"/>
      <c r="EC456" s="493"/>
    </row>
    <row r="457" spans="5:133" ht="21" customHeight="1">
      <c r="E457" s="716"/>
      <c r="F457" s="724"/>
      <c r="G457" s="725"/>
      <c r="H457" s="724"/>
      <c r="I457" s="726"/>
      <c r="J457" s="950"/>
      <c r="K457" s="951"/>
      <c r="L457" s="793"/>
      <c r="M457" s="952"/>
      <c r="N457" s="953"/>
      <c r="O457" s="954"/>
      <c r="P457" s="955"/>
      <c r="Q457" s="956"/>
      <c r="R457" s="957"/>
      <c r="S457" s="800"/>
      <c r="T457" s="958"/>
      <c r="U457" s="802"/>
      <c r="V457" s="959"/>
      <c r="W457" s="960"/>
      <c r="X457" s="805"/>
      <c r="Y457" s="816"/>
      <c r="DO457" s="494"/>
      <c r="DP457" s="496" t="s">
        <v>2005</v>
      </c>
      <c r="DQ457" s="496" t="s">
        <v>8</v>
      </c>
      <c r="DR457" s="496" t="s">
        <v>689</v>
      </c>
      <c r="DS457" s="496" t="s">
        <v>2006</v>
      </c>
      <c r="DT457" s="496" t="s">
        <v>2006</v>
      </c>
      <c r="DU457" s="496" t="s">
        <v>1554</v>
      </c>
      <c r="DV457" s="496" t="s">
        <v>1555</v>
      </c>
      <c r="DW457" s="496" t="s">
        <v>1981</v>
      </c>
      <c r="DX457" s="497" t="s">
        <v>1982</v>
      </c>
      <c r="DZ457" s="543">
        <v>1</v>
      </c>
      <c r="EB457" s="493"/>
      <c r="EC457" s="493"/>
    </row>
    <row r="458" spans="5:133" ht="21" customHeight="1">
      <c r="E458" s="716"/>
      <c r="F458" s="724"/>
      <c r="G458" s="725"/>
      <c r="H458" s="724"/>
      <c r="I458" s="726"/>
      <c r="J458" s="950"/>
      <c r="K458" s="951"/>
      <c r="L458" s="793"/>
      <c r="M458" s="952"/>
      <c r="N458" s="953"/>
      <c r="O458" s="954"/>
      <c r="P458" s="955"/>
      <c r="Q458" s="956"/>
      <c r="R458" s="957"/>
      <c r="S458" s="800"/>
      <c r="T458" s="958"/>
      <c r="U458" s="802"/>
      <c r="V458" s="959"/>
      <c r="W458" s="960"/>
      <c r="X458" s="805"/>
      <c r="Y458" s="816"/>
      <c r="DO458" s="494"/>
      <c r="DP458" s="496" t="s">
        <v>2007</v>
      </c>
      <c r="DQ458" s="496" t="s">
        <v>8</v>
      </c>
      <c r="DR458" s="496" t="s">
        <v>689</v>
      </c>
      <c r="DS458" s="496" t="s">
        <v>2008</v>
      </c>
      <c r="DT458" s="496" t="s">
        <v>2008</v>
      </c>
      <c r="DU458" s="496" t="s">
        <v>1554</v>
      </c>
      <c r="DV458" s="496" t="s">
        <v>1555</v>
      </c>
      <c r="DW458" s="496" t="s">
        <v>1981</v>
      </c>
      <c r="DX458" s="497" t="s">
        <v>1982</v>
      </c>
      <c r="DZ458" s="543">
        <v>1</v>
      </c>
      <c r="EB458" s="493"/>
      <c r="EC458" s="493"/>
    </row>
    <row r="459" spans="5:133" ht="21" customHeight="1">
      <c r="E459" s="716"/>
      <c r="F459" s="724"/>
      <c r="G459" s="725"/>
      <c r="H459" s="724"/>
      <c r="I459" s="726"/>
      <c r="J459" s="950"/>
      <c r="K459" s="951"/>
      <c r="L459" s="793"/>
      <c r="M459" s="952"/>
      <c r="N459" s="953"/>
      <c r="O459" s="954"/>
      <c r="P459" s="955"/>
      <c r="Q459" s="956"/>
      <c r="R459" s="957"/>
      <c r="S459" s="800"/>
      <c r="T459" s="958"/>
      <c r="U459" s="802"/>
      <c r="V459" s="959"/>
      <c r="W459" s="960"/>
      <c r="X459" s="805"/>
      <c r="Y459" s="816"/>
      <c r="DO459" s="494"/>
      <c r="DP459" s="496" t="s">
        <v>2009</v>
      </c>
      <c r="DQ459" s="496" t="s">
        <v>8</v>
      </c>
      <c r="DR459" s="496" t="s">
        <v>689</v>
      </c>
      <c r="DS459" s="496" t="s">
        <v>2010</v>
      </c>
      <c r="DT459" s="496" t="s">
        <v>2010</v>
      </c>
      <c r="DU459" s="496" t="s">
        <v>1554</v>
      </c>
      <c r="DV459" s="496" t="s">
        <v>1555</v>
      </c>
      <c r="DW459" s="496" t="s">
        <v>1981</v>
      </c>
      <c r="DX459" s="497" t="s">
        <v>1982</v>
      </c>
      <c r="DZ459" s="543">
        <v>1</v>
      </c>
      <c r="EB459" s="493"/>
      <c r="EC459" s="493"/>
    </row>
    <row r="460" spans="5:133" ht="21" customHeight="1">
      <c r="E460" s="716"/>
      <c r="F460" s="724"/>
      <c r="G460" s="725"/>
      <c r="H460" s="724"/>
      <c r="I460" s="726"/>
      <c r="J460" s="950"/>
      <c r="K460" s="951"/>
      <c r="L460" s="793"/>
      <c r="M460" s="952"/>
      <c r="N460" s="953"/>
      <c r="O460" s="954"/>
      <c r="P460" s="955"/>
      <c r="Q460" s="956"/>
      <c r="R460" s="957"/>
      <c r="S460" s="800"/>
      <c r="T460" s="958"/>
      <c r="U460" s="802"/>
      <c r="V460" s="959"/>
      <c r="W460" s="960"/>
      <c r="X460" s="805"/>
      <c r="Y460" s="816"/>
      <c r="DO460" s="494"/>
      <c r="DP460" s="496" t="s">
        <v>2011</v>
      </c>
      <c r="DQ460" s="496" t="s">
        <v>8</v>
      </c>
      <c r="DR460" s="496" t="s">
        <v>689</v>
      </c>
      <c r="DS460" s="496" t="s">
        <v>2012</v>
      </c>
      <c r="DT460" s="496" t="s">
        <v>2012</v>
      </c>
      <c r="DU460" s="496" t="s">
        <v>1554</v>
      </c>
      <c r="DV460" s="496" t="s">
        <v>1555</v>
      </c>
      <c r="DW460" s="496" t="s">
        <v>1981</v>
      </c>
      <c r="DX460" s="497" t="s">
        <v>1982</v>
      </c>
      <c r="DZ460" s="543">
        <v>1</v>
      </c>
      <c r="EB460" s="493"/>
      <c r="EC460" s="493"/>
    </row>
    <row r="461" spans="5:133" ht="21" customHeight="1">
      <c r="E461" s="716"/>
      <c r="F461" s="724"/>
      <c r="G461" s="725"/>
      <c r="H461" s="724"/>
      <c r="I461" s="726"/>
      <c r="J461" s="950"/>
      <c r="K461" s="951"/>
      <c r="L461" s="793"/>
      <c r="M461" s="952"/>
      <c r="N461" s="953"/>
      <c r="O461" s="954"/>
      <c r="P461" s="955"/>
      <c r="Q461" s="956"/>
      <c r="R461" s="957"/>
      <c r="S461" s="800"/>
      <c r="T461" s="958"/>
      <c r="U461" s="802"/>
      <c r="V461" s="959"/>
      <c r="W461" s="960"/>
      <c r="X461" s="805"/>
      <c r="Y461" s="816"/>
      <c r="DO461" s="494"/>
      <c r="DP461" s="496" t="s">
        <v>2013</v>
      </c>
      <c r="DQ461" s="496" t="s">
        <v>8</v>
      </c>
      <c r="DR461" s="496" t="s">
        <v>689</v>
      </c>
      <c r="DS461" s="496" t="s">
        <v>2014</v>
      </c>
      <c r="DT461" s="496" t="s">
        <v>2014</v>
      </c>
      <c r="DU461" s="496" t="s">
        <v>1554</v>
      </c>
      <c r="DV461" s="496" t="s">
        <v>1555</v>
      </c>
      <c r="DW461" s="496" t="s">
        <v>1981</v>
      </c>
      <c r="DX461" s="497" t="s">
        <v>1982</v>
      </c>
      <c r="DZ461" s="543">
        <v>1</v>
      </c>
      <c r="EB461" s="493"/>
      <c r="EC461" s="493"/>
    </row>
    <row r="462" spans="5:133" ht="21" customHeight="1">
      <c r="E462" s="716"/>
      <c r="F462" s="724"/>
      <c r="G462" s="725"/>
      <c r="H462" s="724"/>
      <c r="I462" s="726"/>
      <c r="J462" s="950"/>
      <c r="K462" s="951"/>
      <c r="L462" s="793"/>
      <c r="M462" s="952"/>
      <c r="N462" s="953"/>
      <c r="O462" s="954"/>
      <c r="P462" s="955"/>
      <c r="Q462" s="956"/>
      <c r="R462" s="957"/>
      <c r="S462" s="800"/>
      <c r="T462" s="958"/>
      <c r="U462" s="802"/>
      <c r="V462" s="959"/>
      <c r="W462" s="960"/>
      <c r="X462" s="805"/>
      <c r="Y462" s="816"/>
      <c r="DO462" s="494"/>
      <c r="DP462" s="496" t="s">
        <v>2015</v>
      </c>
      <c r="DQ462" s="496" t="s">
        <v>8</v>
      </c>
      <c r="DR462" s="496" t="s">
        <v>689</v>
      </c>
      <c r="DS462" s="496" t="s">
        <v>2016</v>
      </c>
      <c r="DT462" s="496" t="s">
        <v>2016</v>
      </c>
      <c r="DU462" s="496" t="s">
        <v>1554</v>
      </c>
      <c r="DV462" s="496" t="s">
        <v>1555</v>
      </c>
      <c r="DW462" s="496" t="s">
        <v>1981</v>
      </c>
      <c r="DX462" s="497" t="s">
        <v>1982</v>
      </c>
      <c r="DZ462" s="543">
        <v>1</v>
      </c>
      <c r="EB462" s="493"/>
      <c r="EC462" s="493"/>
    </row>
    <row r="463" spans="5:133" ht="21" customHeight="1">
      <c r="E463" s="716"/>
      <c r="F463" s="724"/>
      <c r="G463" s="725"/>
      <c r="H463" s="724"/>
      <c r="I463" s="726"/>
      <c r="J463" s="950"/>
      <c r="K463" s="951"/>
      <c r="L463" s="793"/>
      <c r="M463" s="952"/>
      <c r="N463" s="953"/>
      <c r="O463" s="954"/>
      <c r="P463" s="955"/>
      <c r="Q463" s="956"/>
      <c r="R463" s="957"/>
      <c r="S463" s="800"/>
      <c r="T463" s="958"/>
      <c r="U463" s="802"/>
      <c r="V463" s="959"/>
      <c r="W463" s="960"/>
      <c r="X463" s="805"/>
      <c r="Y463" s="816"/>
      <c r="DO463" s="494"/>
      <c r="DP463" s="496" t="s">
        <v>2017</v>
      </c>
      <c r="DQ463" s="496" t="s">
        <v>8</v>
      </c>
      <c r="DR463" s="496" t="s">
        <v>689</v>
      </c>
      <c r="DS463" s="496" t="s">
        <v>2018</v>
      </c>
      <c r="DT463" s="496" t="s">
        <v>2018</v>
      </c>
      <c r="DU463" s="496" t="s">
        <v>1554</v>
      </c>
      <c r="DV463" s="496" t="s">
        <v>1555</v>
      </c>
      <c r="DW463" s="496" t="s">
        <v>1981</v>
      </c>
      <c r="DX463" s="497" t="s">
        <v>1982</v>
      </c>
      <c r="DZ463" s="543">
        <v>1</v>
      </c>
      <c r="EB463" s="493"/>
      <c r="EC463" s="493"/>
    </row>
    <row r="464" spans="5:133" ht="21" customHeight="1">
      <c r="E464" s="716"/>
      <c r="F464" s="724"/>
      <c r="G464" s="725"/>
      <c r="H464" s="724"/>
      <c r="I464" s="726"/>
      <c r="J464" s="950"/>
      <c r="K464" s="951"/>
      <c r="L464" s="793"/>
      <c r="M464" s="952"/>
      <c r="N464" s="953"/>
      <c r="O464" s="954"/>
      <c r="P464" s="955"/>
      <c r="Q464" s="956"/>
      <c r="R464" s="957"/>
      <c r="S464" s="800"/>
      <c r="T464" s="958"/>
      <c r="U464" s="802"/>
      <c r="V464" s="959"/>
      <c r="W464" s="960"/>
      <c r="X464" s="805"/>
      <c r="Y464" s="816"/>
      <c r="DO464" s="494"/>
      <c r="DP464" s="496" t="s">
        <v>2019</v>
      </c>
      <c r="DQ464" s="496" t="s">
        <v>8</v>
      </c>
      <c r="DR464" s="496" t="s">
        <v>689</v>
      </c>
      <c r="DS464" s="496" t="s">
        <v>2020</v>
      </c>
      <c r="DT464" s="496" t="s">
        <v>2020</v>
      </c>
      <c r="DU464" s="496" t="s">
        <v>1554</v>
      </c>
      <c r="DV464" s="496" t="s">
        <v>1555</v>
      </c>
      <c r="DW464" s="496" t="s">
        <v>1981</v>
      </c>
      <c r="DX464" s="497" t="s">
        <v>1982</v>
      </c>
      <c r="DZ464" s="543">
        <v>1</v>
      </c>
      <c r="EB464" s="493"/>
      <c r="EC464" s="493"/>
    </row>
    <row r="465" spans="5:133" ht="21" customHeight="1">
      <c r="E465" s="716"/>
      <c r="F465" s="724"/>
      <c r="G465" s="725"/>
      <c r="H465" s="724"/>
      <c r="I465" s="726"/>
      <c r="J465" s="950"/>
      <c r="K465" s="951"/>
      <c r="L465" s="793"/>
      <c r="M465" s="952"/>
      <c r="N465" s="953"/>
      <c r="O465" s="954"/>
      <c r="P465" s="955"/>
      <c r="Q465" s="956"/>
      <c r="R465" s="957"/>
      <c r="S465" s="800"/>
      <c r="T465" s="958"/>
      <c r="U465" s="802"/>
      <c r="V465" s="959"/>
      <c r="W465" s="960"/>
      <c r="X465" s="805"/>
      <c r="Y465" s="816"/>
      <c r="DO465" s="494"/>
      <c r="DP465" s="496" t="s">
        <v>2021</v>
      </c>
      <c r="DQ465" s="496" t="s">
        <v>8</v>
      </c>
      <c r="DR465" s="496" t="s">
        <v>689</v>
      </c>
      <c r="DS465" s="496" t="s">
        <v>2022</v>
      </c>
      <c r="DT465" s="496" t="s">
        <v>2022</v>
      </c>
      <c r="DU465" s="496" t="s">
        <v>1554</v>
      </c>
      <c r="DV465" s="496" t="s">
        <v>1555</v>
      </c>
      <c r="DW465" s="496" t="s">
        <v>1981</v>
      </c>
      <c r="DX465" s="497" t="s">
        <v>1982</v>
      </c>
      <c r="DZ465" s="543">
        <v>1</v>
      </c>
      <c r="EB465" s="493"/>
      <c r="EC465" s="493"/>
    </row>
    <row r="466" spans="5:133" ht="21" customHeight="1">
      <c r="E466" s="716"/>
      <c r="F466" s="724"/>
      <c r="G466" s="725"/>
      <c r="H466" s="724"/>
      <c r="I466" s="726"/>
      <c r="J466" s="950"/>
      <c r="K466" s="951"/>
      <c r="L466" s="793"/>
      <c r="M466" s="952"/>
      <c r="N466" s="953"/>
      <c r="O466" s="954"/>
      <c r="P466" s="955"/>
      <c r="Q466" s="956"/>
      <c r="R466" s="957"/>
      <c r="S466" s="800"/>
      <c r="T466" s="958"/>
      <c r="U466" s="802"/>
      <c r="V466" s="959"/>
      <c r="W466" s="960"/>
      <c r="X466" s="805"/>
      <c r="Y466" s="816"/>
      <c r="DO466" s="494"/>
      <c r="DP466" s="496" t="s">
        <v>2023</v>
      </c>
      <c r="DQ466" s="496" t="s">
        <v>8</v>
      </c>
      <c r="DR466" s="496" t="s">
        <v>689</v>
      </c>
      <c r="DS466" s="496" t="s">
        <v>2024</v>
      </c>
      <c r="DT466" s="496" t="s">
        <v>2024</v>
      </c>
      <c r="DU466" s="496" t="s">
        <v>1554</v>
      </c>
      <c r="DV466" s="496" t="s">
        <v>1555</v>
      </c>
      <c r="DW466" s="496" t="s">
        <v>1981</v>
      </c>
      <c r="DX466" s="497" t="s">
        <v>1982</v>
      </c>
      <c r="DZ466" s="543">
        <v>1</v>
      </c>
      <c r="EB466" s="493"/>
      <c r="EC466" s="493"/>
    </row>
    <row r="467" spans="5:133" ht="21" customHeight="1">
      <c r="E467" s="716"/>
      <c r="F467" s="724"/>
      <c r="G467" s="725"/>
      <c r="H467" s="724"/>
      <c r="I467" s="726"/>
      <c r="J467" s="950"/>
      <c r="K467" s="951"/>
      <c r="L467" s="793"/>
      <c r="M467" s="952"/>
      <c r="N467" s="953"/>
      <c r="O467" s="954"/>
      <c r="P467" s="955"/>
      <c r="Q467" s="956"/>
      <c r="R467" s="957"/>
      <c r="S467" s="800"/>
      <c r="T467" s="958"/>
      <c r="U467" s="802"/>
      <c r="V467" s="959"/>
      <c r="W467" s="960"/>
      <c r="X467" s="805"/>
      <c r="Y467" s="816"/>
      <c r="DO467" s="494"/>
      <c r="DP467" s="496" t="s">
        <v>2025</v>
      </c>
      <c r="DQ467" s="496" t="s">
        <v>8</v>
      </c>
      <c r="DR467" s="496" t="s">
        <v>689</v>
      </c>
      <c r="DS467" s="496" t="s">
        <v>2026</v>
      </c>
      <c r="DT467" s="496" t="s">
        <v>2026</v>
      </c>
      <c r="DU467" s="496" t="s">
        <v>1554</v>
      </c>
      <c r="DV467" s="496" t="s">
        <v>1555</v>
      </c>
      <c r="DW467" s="496" t="s">
        <v>1981</v>
      </c>
      <c r="DX467" s="497" t="s">
        <v>1982</v>
      </c>
      <c r="DZ467" s="543">
        <v>1</v>
      </c>
      <c r="EB467" s="493"/>
      <c r="EC467" s="493"/>
    </row>
    <row r="468" spans="5:133" ht="21" customHeight="1">
      <c r="E468" s="716"/>
      <c r="F468" s="724"/>
      <c r="G468" s="725"/>
      <c r="H468" s="724"/>
      <c r="I468" s="726"/>
      <c r="J468" s="950"/>
      <c r="K468" s="951"/>
      <c r="L468" s="793"/>
      <c r="M468" s="952"/>
      <c r="N468" s="953"/>
      <c r="O468" s="954"/>
      <c r="P468" s="955"/>
      <c r="Q468" s="956"/>
      <c r="R468" s="957"/>
      <c r="S468" s="800"/>
      <c r="T468" s="958"/>
      <c r="U468" s="802"/>
      <c r="V468" s="959"/>
      <c r="W468" s="960"/>
      <c r="X468" s="805"/>
      <c r="Y468" s="816"/>
      <c r="DO468" s="494"/>
      <c r="DP468" s="496" t="s">
        <v>2027</v>
      </c>
      <c r="DQ468" s="496" t="s">
        <v>8</v>
      </c>
      <c r="DR468" s="496" t="s">
        <v>689</v>
      </c>
      <c r="DS468" s="496" t="s">
        <v>2028</v>
      </c>
      <c r="DT468" s="496" t="s">
        <v>2028</v>
      </c>
      <c r="DU468" s="496" t="s">
        <v>1554</v>
      </c>
      <c r="DV468" s="496" t="s">
        <v>1555</v>
      </c>
      <c r="DW468" s="496" t="s">
        <v>1981</v>
      </c>
      <c r="DX468" s="497" t="s">
        <v>1982</v>
      </c>
      <c r="DZ468" s="543">
        <v>1</v>
      </c>
      <c r="EB468" s="493"/>
      <c r="EC468" s="493"/>
    </row>
    <row r="469" spans="5:133" ht="21" customHeight="1">
      <c r="E469" s="716"/>
      <c r="F469" s="724"/>
      <c r="G469" s="725"/>
      <c r="H469" s="724"/>
      <c r="I469" s="726"/>
      <c r="J469" s="950"/>
      <c r="K469" s="951"/>
      <c r="L469" s="793"/>
      <c r="M469" s="952"/>
      <c r="N469" s="953"/>
      <c r="O469" s="954"/>
      <c r="P469" s="955"/>
      <c r="Q469" s="956"/>
      <c r="R469" s="957"/>
      <c r="S469" s="800"/>
      <c r="T469" s="958"/>
      <c r="U469" s="802"/>
      <c r="V469" s="959"/>
      <c r="W469" s="960"/>
      <c r="X469" s="805"/>
      <c r="Y469" s="816"/>
      <c r="DO469" s="494"/>
      <c r="DP469" s="496" t="s">
        <v>2029</v>
      </c>
      <c r="DQ469" s="496" t="s">
        <v>8</v>
      </c>
      <c r="DR469" s="496" t="s">
        <v>689</v>
      </c>
      <c r="DS469" s="496" t="s">
        <v>2030</v>
      </c>
      <c r="DT469" s="496" t="s">
        <v>2030</v>
      </c>
      <c r="DU469" s="496" t="s">
        <v>1554</v>
      </c>
      <c r="DV469" s="496" t="s">
        <v>1555</v>
      </c>
      <c r="DW469" s="496" t="s">
        <v>1981</v>
      </c>
      <c r="DX469" s="497" t="s">
        <v>1982</v>
      </c>
      <c r="DZ469" s="543">
        <v>1</v>
      </c>
      <c r="EB469" s="493"/>
      <c r="EC469" s="493"/>
    </row>
    <row r="470" spans="5:133" ht="21" customHeight="1">
      <c r="E470" s="716"/>
      <c r="F470" s="724"/>
      <c r="G470" s="725"/>
      <c r="H470" s="724"/>
      <c r="I470" s="726"/>
      <c r="J470" s="950"/>
      <c r="K470" s="951"/>
      <c r="L470" s="793"/>
      <c r="M470" s="952"/>
      <c r="N470" s="953"/>
      <c r="O470" s="954"/>
      <c r="P470" s="955"/>
      <c r="Q470" s="956"/>
      <c r="R470" s="957"/>
      <c r="S470" s="800"/>
      <c r="T470" s="958"/>
      <c r="U470" s="802"/>
      <c r="V470" s="959"/>
      <c r="W470" s="960"/>
      <c r="X470" s="805"/>
      <c r="Y470" s="816"/>
      <c r="DO470" s="494"/>
      <c r="DP470" s="496" t="s">
        <v>2031</v>
      </c>
      <c r="DQ470" s="496" t="s">
        <v>8</v>
      </c>
      <c r="DR470" s="496" t="s">
        <v>689</v>
      </c>
      <c r="DS470" s="496" t="s">
        <v>2032</v>
      </c>
      <c r="DT470" s="496" t="s">
        <v>2032</v>
      </c>
      <c r="DU470" s="496" t="s">
        <v>1554</v>
      </c>
      <c r="DV470" s="496" t="s">
        <v>1555</v>
      </c>
      <c r="DW470" s="496" t="s">
        <v>1981</v>
      </c>
      <c r="DX470" s="497" t="s">
        <v>1982</v>
      </c>
      <c r="DZ470" s="543">
        <v>1</v>
      </c>
      <c r="EB470" s="493"/>
      <c r="EC470" s="493"/>
    </row>
    <row r="471" spans="5:133" ht="21" customHeight="1">
      <c r="E471" s="716"/>
      <c r="F471" s="724"/>
      <c r="G471" s="725"/>
      <c r="H471" s="724"/>
      <c r="I471" s="726"/>
      <c r="J471" s="950"/>
      <c r="K471" s="951"/>
      <c r="L471" s="793"/>
      <c r="M471" s="952"/>
      <c r="N471" s="953"/>
      <c r="O471" s="954"/>
      <c r="P471" s="955"/>
      <c r="Q471" s="956"/>
      <c r="R471" s="957"/>
      <c r="S471" s="800"/>
      <c r="T471" s="958"/>
      <c r="U471" s="802"/>
      <c r="V471" s="959"/>
      <c r="W471" s="960"/>
      <c r="X471" s="805"/>
      <c r="Y471" s="816"/>
      <c r="DO471" s="494"/>
      <c r="DP471" s="496" t="s">
        <v>2033</v>
      </c>
      <c r="DQ471" s="496" t="s">
        <v>8</v>
      </c>
      <c r="DR471" s="496" t="s">
        <v>689</v>
      </c>
      <c r="DS471" s="496" t="s">
        <v>2034</v>
      </c>
      <c r="DT471" s="496" t="s">
        <v>2034</v>
      </c>
      <c r="DU471" s="496" t="s">
        <v>1554</v>
      </c>
      <c r="DV471" s="496" t="s">
        <v>1555</v>
      </c>
      <c r="DW471" s="496" t="s">
        <v>1981</v>
      </c>
      <c r="DX471" s="497" t="s">
        <v>1982</v>
      </c>
      <c r="DZ471" s="543">
        <v>1</v>
      </c>
      <c r="EB471" s="493"/>
      <c r="EC471" s="493"/>
    </row>
    <row r="472" spans="5:133" ht="21" customHeight="1">
      <c r="E472" s="716"/>
      <c r="F472" s="724"/>
      <c r="G472" s="725"/>
      <c r="H472" s="724"/>
      <c r="I472" s="726"/>
      <c r="J472" s="950"/>
      <c r="K472" s="951"/>
      <c r="L472" s="793"/>
      <c r="M472" s="952"/>
      <c r="N472" s="953"/>
      <c r="O472" s="954"/>
      <c r="P472" s="955"/>
      <c r="Q472" s="956"/>
      <c r="R472" s="957"/>
      <c r="S472" s="800"/>
      <c r="T472" s="958"/>
      <c r="U472" s="802"/>
      <c r="V472" s="959"/>
      <c r="W472" s="960"/>
      <c r="X472" s="805"/>
      <c r="Y472" s="816"/>
      <c r="DO472" s="494"/>
      <c r="DP472" s="496" t="s">
        <v>2035</v>
      </c>
      <c r="DQ472" s="496" t="s">
        <v>8</v>
      </c>
      <c r="DR472" s="496" t="s">
        <v>689</v>
      </c>
      <c r="DS472" s="496" t="s">
        <v>2036</v>
      </c>
      <c r="DT472" s="496" t="s">
        <v>2036</v>
      </c>
      <c r="DU472" s="496" t="s">
        <v>1554</v>
      </c>
      <c r="DV472" s="496" t="s">
        <v>1555</v>
      </c>
      <c r="DW472" s="496" t="s">
        <v>1981</v>
      </c>
      <c r="DX472" s="497" t="s">
        <v>1982</v>
      </c>
      <c r="DZ472" s="543">
        <v>1</v>
      </c>
      <c r="EB472" s="493"/>
      <c r="EC472" s="493"/>
    </row>
    <row r="473" spans="5:133" ht="21" customHeight="1">
      <c r="E473" s="716"/>
      <c r="F473" s="724"/>
      <c r="G473" s="725"/>
      <c r="H473" s="724"/>
      <c r="I473" s="726"/>
      <c r="J473" s="950"/>
      <c r="K473" s="951"/>
      <c r="L473" s="793"/>
      <c r="M473" s="952"/>
      <c r="N473" s="953"/>
      <c r="O473" s="954"/>
      <c r="P473" s="955"/>
      <c r="Q473" s="956"/>
      <c r="R473" s="957"/>
      <c r="S473" s="800"/>
      <c r="T473" s="958"/>
      <c r="U473" s="802"/>
      <c r="V473" s="959"/>
      <c r="W473" s="960"/>
      <c r="X473" s="805"/>
      <c r="Y473" s="816"/>
      <c r="DO473" s="494"/>
      <c r="DP473" s="496" t="s">
        <v>2037</v>
      </c>
      <c r="DQ473" s="496" t="s">
        <v>8</v>
      </c>
      <c r="DR473" s="496" t="s">
        <v>689</v>
      </c>
      <c r="DS473" s="496" t="s">
        <v>2038</v>
      </c>
      <c r="DT473" s="496" t="s">
        <v>2038</v>
      </c>
      <c r="DU473" s="496" t="s">
        <v>1554</v>
      </c>
      <c r="DV473" s="496" t="s">
        <v>1555</v>
      </c>
      <c r="DW473" s="496" t="s">
        <v>1981</v>
      </c>
      <c r="DX473" s="497" t="s">
        <v>1982</v>
      </c>
      <c r="DZ473" s="543">
        <v>1</v>
      </c>
      <c r="EB473" s="493"/>
      <c r="EC473" s="493"/>
    </row>
    <row r="474" spans="5:133" ht="21" customHeight="1">
      <c r="E474" s="716"/>
      <c r="F474" s="724"/>
      <c r="G474" s="725"/>
      <c r="H474" s="724"/>
      <c r="I474" s="726"/>
      <c r="J474" s="950"/>
      <c r="K474" s="951"/>
      <c r="L474" s="793"/>
      <c r="M474" s="952"/>
      <c r="N474" s="953"/>
      <c r="O474" s="954"/>
      <c r="P474" s="955"/>
      <c r="Q474" s="956"/>
      <c r="R474" s="957"/>
      <c r="S474" s="800"/>
      <c r="T474" s="958"/>
      <c r="U474" s="802"/>
      <c r="V474" s="959"/>
      <c r="W474" s="960"/>
      <c r="X474" s="805"/>
      <c r="Y474" s="816"/>
      <c r="DO474" s="494"/>
      <c r="DP474" s="496" t="s">
        <v>2039</v>
      </c>
      <c r="DQ474" s="496" t="s">
        <v>8</v>
      </c>
      <c r="DR474" s="496" t="s">
        <v>689</v>
      </c>
      <c r="DS474" s="496" t="s">
        <v>2040</v>
      </c>
      <c r="DT474" s="496" t="s">
        <v>2040</v>
      </c>
      <c r="DU474" s="496" t="s">
        <v>1554</v>
      </c>
      <c r="DV474" s="496" t="s">
        <v>1555</v>
      </c>
      <c r="DW474" s="496" t="s">
        <v>1981</v>
      </c>
      <c r="DX474" s="497" t="s">
        <v>1982</v>
      </c>
      <c r="DZ474" s="543">
        <v>1</v>
      </c>
      <c r="EB474" s="493"/>
      <c r="EC474" s="493"/>
    </row>
    <row r="475" spans="5:133" ht="21" customHeight="1">
      <c r="E475" s="716"/>
      <c r="F475" s="724"/>
      <c r="G475" s="725"/>
      <c r="H475" s="724"/>
      <c r="I475" s="726"/>
      <c r="J475" s="950"/>
      <c r="K475" s="951"/>
      <c r="L475" s="793"/>
      <c r="M475" s="952"/>
      <c r="N475" s="953"/>
      <c r="O475" s="954"/>
      <c r="P475" s="955"/>
      <c r="Q475" s="956"/>
      <c r="R475" s="957"/>
      <c r="S475" s="800"/>
      <c r="T475" s="958"/>
      <c r="U475" s="802"/>
      <c r="V475" s="959"/>
      <c r="W475" s="960"/>
      <c r="X475" s="805"/>
      <c r="Y475" s="816"/>
      <c r="DO475" s="494"/>
      <c r="DP475" s="496" t="s">
        <v>2041</v>
      </c>
      <c r="DQ475" s="496" t="s">
        <v>8</v>
      </c>
      <c r="DR475" s="496" t="s">
        <v>689</v>
      </c>
      <c r="DS475" s="496" t="s">
        <v>2042</v>
      </c>
      <c r="DT475" s="496" t="s">
        <v>2042</v>
      </c>
      <c r="DU475" s="496" t="s">
        <v>1554</v>
      </c>
      <c r="DV475" s="496" t="s">
        <v>1555</v>
      </c>
      <c r="DW475" s="496" t="s">
        <v>1981</v>
      </c>
      <c r="DX475" s="497" t="s">
        <v>1982</v>
      </c>
      <c r="DZ475" s="543">
        <v>1</v>
      </c>
      <c r="EB475" s="493"/>
      <c r="EC475" s="493"/>
    </row>
    <row r="476" spans="5:133" ht="21" customHeight="1">
      <c r="E476" s="716"/>
      <c r="F476" s="724"/>
      <c r="G476" s="725"/>
      <c r="H476" s="724"/>
      <c r="I476" s="726"/>
      <c r="J476" s="950"/>
      <c r="K476" s="951"/>
      <c r="L476" s="793"/>
      <c r="M476" s="952"/>
      <c r="N476" s="953"/>
      <c r="O476" s="954"/>
      <c r="P476" s="955"/>
      <c r="Q476" s="956"/>
      <c r="R476" s="957"/>
      <c r="S476" s="800"/>
      <c r="T476" s="958"/>
      <c r="U476" s="802"/>
      <c r="V476" s="959"/>
      <c r="W476" s="960"/>
      <c r="X476" s="805"/>
      <c r="Y476" s="816"/>
      <c r="DO476" s="494"/>
      <c r="DP476" s="496" t="s">
        <v>2043</v>
      </c>
      <c r="DQ476" s="496" t="s">
        <v>8</v>
      </c>
      <c r="DR476" s="496" t="s">
        <v>689</v>
      </c>
      <c r="DS476" s="496" t="s">
        <v>2044</v>
      </c>
      <c r="DT476" s="496" t="s">
        <v>2044</v>
      </c>
      <c r="DU476" s="496" t="s">
        <v>1554</v>
      </c>
      <c r="DV476" s="496" t="s">
        <v>1555</v>
      </c>
      <c r="DW476" s="496" t="s">
        <v>1981</v>
      </c>
      <c r="DX476" s="497" t="s">
        <v>1982</v>
      </c>
      <c r="DZ476" s="543">
        <v>1</v>
      </c>
      <c r="EB476" s="493"/>
      <c r="EC476" s="493"/>
    </row>
    <row r="477" spans="5:133" ht="21" customHeight="1">
      <c r="E477" s="716"/>
      <c r="F477" s="724"/>
      <c r="G477" s="725"/>
      <c r="H477" s="724"/>
      <c r="I477" s="726"/>
      <c r="J477" s="950"/>
      <c r="K477" s="951"/>
      <c r="L477" s="793"/>
      <c r="M477" s="952"/>
      <c r="N477" s="953"/>
      <c r="O477" s="954"/>
      <c r="P477" s="955"/>
      <c r="Q477" s="956"/>
      <c r="R477" s="957"/>
      <c r="S477" s="800"/>
      <c r="T477" s="958"/>
      <c r="U477" s="802"/>
      <c r="V477" s="959"/>
      <c r="W477" s="960"/>
      <c r="X477" s="805"/>
      <c r="Y477" s="816"/>
      <c r="DO477" s="494"/>
      <c r="DP477" s="496" t="s">
        <v>2045</v>
      </c>
      <c r="DQ477" s="496" t="s">
        <v>8</v>
      </c>
      <c r="DR477" s="496" t="s">
        <v>689</v>
      </c>
      <c r="DS477" s="496" t="s">
        <v>2046</v>
      </c>
      <c r="DT477" s="496" t="s">
        <v>2046</v>
      </c>
      <c r="DU477" s="496" t="s">
        <v>1554</v>
      </c>
      <c r="DV477" s="496" t="s">
        <v>1555</v>
      </c>
      <c r="DW477" s="496" t="s">
        <v>1981</v>
      </c>
      <c r="DX477" s="497" t="s">
        <v>1982</v>
      </c>
      <c r="DZ477" s="543">
        <v>1</v>
      </c>
      <c r="EB477" s="493"/>
      <c r="EC477" s="493"/>
    </row>
    <row r="478" spans="5:133" ht="21" customHeight="1">
      <c r="E478" s="716"/>
      <c r="F478" s="724"/>
      <c r="G478" s="725"/>
      <c r="H478" s="724"/>
      <c r="I478" s="726"/>
      <c r="J478" s="950"/>
      <c r="K478" s="951"/>
      <c r="L478" s="793"/>
      <c r="M478" s="952"/>
      <c r="N478" s="953"/>
      <c r="O478" s="954"/>
      <c r="P478" s="955"/>
      <c r="Q478" s="956"/>
      <c r="R478" s="957"/>
      <c r="S478" s="800"/>
      <c r="T478" s="958"/>
      <c r="U478" s="802"/>
      <c r="V478" s="959"/>
      <c r="W478" s="960"/>
      <c r="X478" s="805"/>
      <c r="Y478" s="816"/>
      <c r="DO478" s="494"/>
      <c r="DP478" s="496" t="s">
        <v>2047</v>
      </c>
      <c r="DQ478" s="496" t="s">
        <v>8</v>
      </c>
      <c r="DR478" s="496" t="s">
        <v>689</v>
      </c>
      <c r="DS478" s="496" t="s">
        <v>2048</v>
      </c>
      <c r="DT478" s="496" t="s">
        <v>2048</v>
      </c>
      <c r="DU478" s="496" t="s">
        <v>1554</v>
      </c>
      <c r="DV478" s="496" t="s">
        <v>1555</v>
      </c>
      <c r="DW478" s="496" t="s">
        <v>1981</v>
      </c>
      <c r="DX478" s="497" t="s">
        <v>1982</v>
      </c>
      <c r="DZ478" s="543">
        <v>1</v>
      </c>
      <c r="EB478" s="493"/>
      <c r="EC478" s="493"/>
    </row>
    <row r="479" spans="5:133" ht="21" customHeight="1">
      <c r="E479" s="716"/>
      <c r="F479" s="724"/>
      <c r="G479" s="725"/>
      <c r="H479" s="724"/>
      <c r="I479" s="726"/>
      <c r="J479" s="950"/>
      <c r="K479" s="951"/>
      <c r="L479" s="793"/>
      <c r="M479" s="952"/>
      <c r="N479" s="953"/>
      <c r="O479" s="954"/>
      <c r="P479" s="955"/>
      <c r="Q479" s="956"/>
      <c r="R479" s="957"/>
      <c r="S479" s="800"/>
      <c r="T479" s="958"/>
      <c r="U479" s="802"/>
      <c r="V479" s="959"/>
      <c r="W479" s="960"/>
      <c r="X479" s="805"/>
      <c r="Y479" s="816"/>
      <c r="DO479" s="494"/>
      <c r="DP479" s="496" t="s">
        <v>2049</v>
      </c>
      <c r="DQ479" s="496" t="s">
        <v>8</v>
      </c>
      <c r="DR479" s="496" t="s">
        <v>689</v>
      </c>
      <c r="DS479" s="496" t="s">
        <v>2050</v>
      </c>
      <c r="DT479" s="496" t="s">
        <v>2050</v>
      </c>
      <c r="DU479" s="496" t="s">
        <v>1554</v>
      </c>
      <c r="DV479" s="496" t="s">
        <v>1555</v>
      </c>
      <c r="DW479" s="496" t="s">
        <v>1981</v>
      </c>
      <c r="DX479" s="497" t="s">
        <v>1982</v>
      </c>
      <c r="DZ479" s="543">
        <v>1</v>
      </c>
      <c r="EB479" s="493"/>
      <c r="EC479" s="493"/>
    </row>
    <row r="480" spans="5:133" ht="21" customHeight="1">
      <c r="E480" s="716"/>
      <c r="F480" s="724"/>
      <c r="G480" s="725"/>
      <c r="H480" s="724"/>
      <c r="I480" s="726"/>
      <c r="J480" s="950"/>
      <c r="K480" s="951"/>
      <c r="L480" s="793"/>
      <c r="M480" s="952"/>
      <c r="N480" s="953"/>
      <c r="O480" s="954"/>
      <c r="P480" s="955"/>
      <c r="Q480" s="956"/>
      <c r="R480" s="957"/>
      <c r="S480" s="800"/>
      <c r="T480" s="958"/>
      <c r="U480" s="802"/>
      <c r="V480" s="959"/>
      <c r="W480" s="960"/>
      <c r="X480" s="805"/>
      <c r="Y480" s="816"/>
      <c r="DO480" s="494"/>
      <c r="DP480" s="496" t="s">
        <v>2051</v>
      </c>
      <c r="DQ480" s="496" t="s">
        <v>8</v>
      </c>
      <c r="DR480" s="496" t="s">
        <v>689</v>
      </c>
      <c r="DS480" s="496" t="s">
        <v>2052</v>
      </c>
      <c r="DT480" s="496" t="s">
        <v>2052</v>
      </c>
      <c r="DU480" s="496" t="s">
        <v>1554</v>
      </c>
      <c r="DV480" s="496" t="s">
        <v>1555</v>
      </c>
      <c r="DW480" s="496" t="s">
        <v>1981</v>
      </c>
      <c r="DX480" s="497" t="s">
        <v>1982</v>
      </c>
      <c r="DZ480" s="543">
        <v>1</v>
      </c>
      <c r="EB480" s="493"/>
      <c r="EC480" s="493"/>
    </row>
    <row r="481" spans="5:133" ht="21" customHeight="1">
      <c r="E481" s="716"/>
      <c r="F481" s="724"/>
      <c r="G481" s="725"/>
      <c r="H481" s="724"/>
      <c r="I481" s="726"/>
      <c r="J481" s="950"/>
      <c r="K481" s="951"/>
      <c r="L481" s="793"/>
      <c r="M481" s="952"/>
      <c r="N481" s="953"/>
      <c r="O481" s="954"/>
      <c r="P481" s="955"/>
      <c r="Q481" s="956"/>
      <c r="R481" s="957"/>
      <c r="S481" s="800"/>
      <c r="T481" s="958"/>
      <c r="U481" s="802"/>
      <c r="V481" s="959"/>
      <c r="W481" s="960"/>
      <c r="X481" s="805"/>
      <c r="Y481" s="816"/>
      <c r="DO481" s="494"/>
      <c r="DP481" s="496" t="s">
        <v>2053</v>
      </c>
      <c r="DQ481" s="496" t="s">
        <v>8</v>
      </c>
      <c r="DR481" s="496" t="s">
        <v>689</v>
      </c>
      <c r="DS481" s="496" t="s">
        <v>2054</v>
      </c>
      <c r="DT481" s="496" t="s">
        <v>2054</v>
      </c>
      <c r="DU481" s="496" t="s">
        <v>1554</v>
      </c>
      <c r="DV481" s="496" t="s">
        <v>1555</v>
      </c>
      <c r="DW481" s="496" t="s">
        <v>1981</v>
      </c>
      <c r="DX481" s="497" t="s">
        <v>1982</v>
      </c>
      <c r="DZ481" s="543">
        <v>1</v>
      </c>
      <c r="EB481" s="493"/>
      <c r="EC481" s="493"/>
    </row>
    <row r="482" spans="5:133" ht="21" customHeight="1">
      <c r="E482" s="716"/>
      <c r="F482" s="724"/>
      <c r="G482" s="725"/>
      <c r="H482" s="724"/>
      <c r="I482" s="726"/>
      <c r="J482" s="950"/>
      <c r="K482" s="951"/>
      <c r="L482" s="793"/>
      <c r="M482" s="952"/>
      <c r="N482" s="953"/>
      <c r="O482" s="954"/>
      <c r="P482" s="955"/>
      <c r="Q482" s="956"/>
      <c r="R482" s="957"/>
      <c r="S482" s="800"/>
      <c r="T482" s="958"/>
      <c r="U482" s="802"/>
      <c r="V482" s="959"/>
      <c r="W482" s="960"/>
      <c r="X482" s="805"/>
      <c r="Y482" s="816"/>
      <c r="DO482" s="494"/>
      <c r="DP482" s="496" t="s">
        <v>2055</v>
      </c>
      <c r="DQ482" s="496" t="s">
        <v>8</v>
      </c>
      <c r="DR482" s="496" t="s">
        <v>689</v>
      </c>
      <c r="DS482" s="496" t="s">
        <v>2056</v>
      </c>
      <c r="DT482" s="496" t="s">
        <v>2056</v>
      </c>
      <c r="DU482" s="496" t="s">
        <v>1554</v>
      </c>
      <c r="DV482" s="496" t="s">
        <v>1555</v>
      </c>
      <c r="DW482" s="496" t="s">
        <v>1981</v>
      </c>
      <c r="DX482" s="497" t="s">
        <v>1982</v>
      </c>
      <c r="DZ482" s="543">
        <v>1</v>
      </c>
      <c r="EB482" s="493"/>
      <c r="EC482" s="493"/>
    </row>
    <row r="483" spans="5:133" ht="21" customHeight="1">
      <c r="E483" s="716"/>
      <c r="F483" s="724"/>
      <c r="G483" s="725"/>
      <c r="H483" s="724"/>
      <c r="I483" s="726"/>
      <c r="J483" s="950"/>
      <c r="K483" s="951"/>
      <c r="L483" s="793"/>
      <c r="M483" s="952"/>
      <c r="N483" s="953"/>
      <c r="O483" s="954"/>
      <c r="P483" s="955"/>
      <c r="Q483" s="956"/>
      <c r="R483" s="957"/>
      <c r="S483" s="800"/>
      <c r="T483" s="958"/>
      <c r="U483" s="802"/>
      <c r="V483" s="959"/>
      <c r="W483" s="960"/>
      <c r="X483" s="805"/>
      <c r="Y483" s="816"/>
      <c r="DO483" s="494"/>
      <c r="DP483" s="496" t="s">
        <v>2057</v>
      </c>
      <c r="DQ483" s="496" t="s">
        <v>8</v>
      </c>
      <c r="DR483" s="496" t="s">
        <v>689</v>
      </c>
      <c r="DS483" s="496" t="s">
        <v>2058</v>
      </c>
      <c r="DT483" s="496" t="s">
        <v>2058</v>
      </c>
      <c r="DU483" s="496" t="s">
        <v>1554</v>
      </c>
      <c r="DV483" s="496" t="s">
        <v>1555</v>
      </c>
      <c r="DW483" s="496" t="s">
        <v>1981</v>
      </c>
      <c r="DX483" s="497" t="s">
        <v>1982</v>
      </c>
      <c r="DZ483" s="543">
        <v>1</v>
      </c>
      <c r="EB483" s="493"/>
      <c r="EC483" s="493"/>
    </row>
    <row r="484" spans="5:133" ht="21" customHeight="1">
      <c r="E484" s="716"/>
      <c r="F484" s="724"/>
      <c r="G484" s="725"/>
      <c r="H484" s="724"/>
      <c r="I484" s="726"/>
      <c r="J484" s="950"/>
      <c r="K484" s="951"/>
      <c r="L484" s="793"/>
      <c r="M484" s="952"/>
      <c r="N484" s="953"/>
      <c r="O484" s="954"/>
      <c r="P484" s="955"/>
      <c r="Q484" s="956"/>
      <c r="R484" s="957"/>
      <c r="S484" s="800"/>
      <c r="T484" s="958"/>
      <c r="U484" s="802"/>
      <c r="V484" s="959"/>
      <c r="W484" s="960"/>
      <c r="X484" s="805"/>
      <c r="Y484" s="816"/>
      <c r="DO484" s="494"/>
      <c r="DP484" s="496" t="s">
        <v>2059</v>
      </c>
      <c r="DQ484" s="496" t="s">
        <v>8</v>
      </c>
      <c r="DR484" s="496" t="s">
        <v>689</v>
      </c>
      <c r="DS484" s="496" t="s">
        <v>2060</v>
      </c>
      <c r="DT484" s="496" t="s">
        <v>2060</v>
      </c>
      <c r="DU484" s="496" t="s">
        <v>1554</v>
      </c>
      <c r="DV484" s="496" t="s">
        <v>1555</v>
      </c>
      <c r="DW484" s="496" t="s">
        <v>1981</v>
      </c>
      <c r="DX484" s="497" t="s">
        <v>1982</v>
      </c>
      <c r="DZ484" s="543">
        <v>1</v>
      </c>
      <c r="EB484" s="493"/>
      <c r="EC484" s="493"/>
    </row>
    <row r="485" spans="5:133" ht="21" customHeight="1">
      <c r="E485" s="716"/>
      <c r="F485" s="724"/>
      <c r="G485" s="725"/>
      <c r="H485" s="724"/>
      <c r="I485" s="726"/>
      <c r="J485" s="950"/>
      <c r="K485" s="951"/>
      <c r="L485" s="793"/>
      <c r="M485" s="952"/>
      <c r="N485" s="953"/>
      <c r="O485" s="954"/>
      <c r="P485" s="955"/>
      <c r="Q485" s="956"/>
      <c r="R485" s="957"/>
      <c r="S485" s="800"/>
      <c r="T485" s="958"/>
      <c r="U485" s="802"/>
      <c r="V485" s="959"/>
      <c r="W485" s="960"/>
      <c r="X485" s="805"/>
      <c r="Y485" s="816"/>
      <c r="DO485" s="494"/>
      <c r="DP485" s="496" t="s">
        <v>2061</v>
      </c>
      <c r="DQ485" s="496" t="s">
        <v>8</v>
      </c>
      <c r="DR485" s="496" t="s">
        <v>689</v>
      </c>
      <c r="DS485" s="496" t="s">
        <v>2062</v>
      </c>
      <c r="DT485" s="496" t="s">
        <v>1018</v>
      </c>
      <c r="DU485" s="496" t="s">
        <v>1085</v>
      </c>
      <c r="DV485" s="496" t="s">
        <v>2063</v>
      </c>
      <c r="DW485" s="496" t="s">
        <v>1087</v>
      </c>
      <c r="DX485" s="497" t="s">
        <v>1088</v>
      </c>
      <c r="DZ485" s="543">
        <v>1</v>
      </c>
      <c r="EB485" s="493"/>
      <c r="EC485" s="493"/>
    </row>
    <row r="486" spans="5:133" ht="21" customHeight="1">
      <c r="E486" s="716"/>
      <c r="F486" s="724"/>
      <c r="G486" s="725"/>
      <c r="H486" s="724"/>
      <c r="I486" s="726"/>
      <c r="J486" s="950"/>
      <c r="K486" s="951"/>
      <c r="L486" s="793"/>
      <c r="M486" s="952"/>
      <c r="N486" s="953"/>
      <c r="O486" s="954"/>
      <c r="P486" s="955"/>
      <c r="Q486" s="956"/>
      <c r="R486" s="957"/>
      <c r="S486" s="800"/>
      <c r="T486" s="958"/>
      <c r="U486" s="802"/>
      <c r="V486" s="959"/>
      <c r="W486" s="960"/>
      <c r="X486" s="805"/>
      <c r="Y486" s="816"/>
      <c r="DO486" s="494"/>
      <c r="DP486" s="496" t="s">
        <v>2064</v>
      </c>
      <c r="DQ486" s="496" t="s">
        <v>8</v>
      </c>
      <c r="DR486" s="496" t="s">
        <v>689</v>
      </c>
      <c r="DS486" s="496" t="s">
        <v>134</v>
      </c>
      <c r="DT486" s="496" t="s">
        <v>134</v>
      </c>
      <c r="DU486" s="496" t="s">
        <v>1554</v>
      </c>
      <c r="DV486" s="496" t="s">
        <v>1555</v>
      </c>
      <c r="DW486" s="496" t="s">
        <v>1981</v>
      </c>
      <c r="DX486" s="497" t="s">
        <v>1982</v>
      </c>
      <c r="DZ486" s="543">
        <v>1</v>
      </c>
      <c r="EB486" s="493"/>
      <c r="EC486" s="493"/>
    </row>
    <row r="487" spans="5:133" ht="21" customHeight="1">
      <c r="E487" s="716"/>
      <c r="F487" s="724"/>
      <c r="G487" s="725"/>
      <c r="H487" s="724"/>
      <c r="I487" s="726"/>
      <c r="J487" s="950"/>
      <c r="K487" s="951"/>
      <c r="L487" s="793"/>
      <c r="M487" s="952"/>
      <c r="N487" s="953"/>
      <c r="O487" s="954"/>
      <c r="P487" s="955"/>
      <c r="Q487" s="956"/>
      <c r="R487" s="957"/>
      <c r="S487" s="800"/>
      <c r="T487" s="958"/>
      <c r="U487" s="802"/>
      <c r="V487" s="959"/>
      <c r="W487" s="960"/>
      <c r="X487" s="805"/>
      <c r="Y487" s="816"/>
      <c r="DO487" s="494"/>
      <c r="DP487" s="496" t="s">
        <v>2065</v>
      </c>
      <c r="DQ487" s="496" t="s">
        <v>8</v>
      </c>
      <c r="DR487" s="496" t="s">
        <v>689</v>
      </c>
      <c r="DS487" s="496" t="s">
        <v>2066</v>
      </c>
      <c r="DT487" s="496" t="s">
        <v>2066</v>
      </c>
      <c r="DU487" s="496" t="s">
        <v>1554</v>
      </c>
      <c r="DV487" s="496" t="s">
        <v>1555</v>
      </c>
      <c r="DW487" s="496" t="s">
        <v>1981</v>
      </c>
      <c r="DX487" s="497" t="s">
        <v>1982</v>
      </c>
      <c r="DZ487" s="543">
        <v>1</v>
      </c>
      <c r="EB487" s="493"/>
      <c r="EC487" s="493"/>
    </row>
    <row r="488" spans="5:133" ht="21" customHeight="1">
      <c r="E488" s="716"/>
      <c r="F488" s="724"/>
      <c r="G488" s="725"/>
      <c r="H488" s="724"/>
      <c r="I488" s="726"/>
      <c r="J488" s="950"/>
      <c r="K488" s="951"/>
      <c r="L488" s="793"/>
      <c r="M488" s="952"/>
      <c r="N488" s="953"/>
      <c r="O488" s="954"/>
      <c r="P488" s="955"/>
      <c r="Q488" s="956"/>
      <c r="R488" s="957"/>
      <c r="S488" s="800"/>
      <c r="T488" s="958"/>
      <c r="U488" s="802"/>
      <c r="V488" s="959"/>
      <c r="W488" s="960"/>
      <c r="X488" s="805"/>
      <c r="Y488" s="816"/>
      <c r="DO488" s="494"/>
      <c r="DP488" s="496" t="s">
        <v>2067</v>
      </c>
      <c r="DQ488" s="496" t="s">
        <v>8</v>
      </c>
      <c r="DR488" s="496" t="s">
        <v>689</v>
      </c>
      <c r="DS488" s="496" t="s">
        <v>2068</v>
      </c>
      <c r="DT488" s="496" t="s">
        <v>2068</v>
      </c>
      <c r="DU488" s="496" t="s">
        <v>1554</v>
      </c>
      <c r="DV488" s="496" t="s">
        <v>1555</v>
      </c>
      <c r="DW488" s="496" t="s">
        <v>1981</v>
      </c>
      <c r="DX488" s="497" t="s">
        <v>1982</v>
      </c>
      <c r="DZ488" s="543">
        <v>1</v>
      </c>
      <c r="EB488" s="493"/>
      <c r="EC488" s="493"/>
    </row>
    <row r="489" spans="5:133" ht="21" customHeight="1">
      <c r="E489" s="716"/>
      <c r="F489" s="724"/>
      <c r="G489" s="725"/>
      <c r="H489" s="724"/>
      <c r="I489" s="726"/>
      <c r="J489" s="950"/>
      <c r="K489" s="951"/>
      <c r="L489" s="793"/>
      <c r="M489" s="952"/>
      <c r="N489" s="953"/>
      <c r="O489" s="954"/>
      <c r="P489" s="955"/>
      <c r="Q489" s="956"/>
      <c r="R489" s="957"/>
      <c r="S489" s="800"/>
      <c r="T489" s="958"/>
      <c r="U489" s="802"/>
      <c r="V489" s="959"/>
      <c r="W489" s="960"/>
      <c r="X489" s="805"/>
      <c r="Y489" s="816"/>
      <c r="DO489" s="494"/>
      <c r="DP489" s="496" t="s">
        <v>2069</v>
      </c>
      <c r="DQ489" s="496" t="s">
        <v>8</v>
      </c>
      <c r="DR489" s="496" t="s">
        <v>689</v>
      </c>
      <c r="DS489" s="496" t="s">
        <v>2070</v>
      </c>
      <c r="DT489" s="496" t="s">
        <v>2070</v>
      </c>
      <c r="DU489" s="496" t="s">
        <v>1554</v>
      </c>
      <c r="DV489" s="496" t="s">
        <v>1555</v>
      </c>
      <c r="DW489" s="496" t="s">
        <v>1981</v>
      </c>
      <c r="DX489" s="497" t="s">
        <v>1982</v>
      </c>
      <c r="DZ489" s="543">
        <v>1</v>
      </c>
      <c r="EB489" s="493"/>
      <c r="EC489" s="493"/>
    </row>
    <row r="490" spans="5:133" ht="21" customHeight="1">
      <c r="E490" s="716"/>
      <c r="F490" s="724"/>
      <c r="G490" s="725"/>
      <c r="H490" s="724"/>
      <c r="I490" s="726"/>
      <c r="J490" s="950"/>
      <c r="K490" s="951"/>
      <c r="L490" s="793"/>
      <c r="M490" s="952"/>
      <c r="N490" s="953"/>
      <c r="O490" s="954"/>
      <c r="P490" s="955"/>
      <c r="Q490" s="956"/>
      <c r="R490" s="957"/>
      <c r="S490" s="800"/>
      <c r="T490" s="958"/>
      <c r="U490" s="802"/>
      <c r="V490" s="959"/>
      <c r="W490" s="960"/>
      <c r="X490" s="805"/>
      <c r="Y490" s="816"/>
      <c r="DO490" s="494"/>
      <c r="DP490" s="496" t="s">
        <v>2071</v>
      </c>
      <c r="DQ490" s="496" t="s">
        <v>8</v>
      </c>
      <c r="DR490" s="496" t="s">
        <v>689</v>
      </c>
      <c r="DS490" s="496" t="s">
        <v>2072</v>
      </c>
      <c r="DT490" s="496" t="s">
        <v>2072</v>
      </c>
      <c r="DU490" s="496" t="s">
        <v>1554</v>
      </c>
      <c r="DV490" s="496" t="s">
        <v>1555</v>
      </c>
      <c r="DW490" s="496" t="s">
        <v>1981</v>
      </c>
      <c r="DX490" s="497" t="s">
        <v>1982</v>
      </c>
      <c r="DZ490" s="543">
        <v>1</v>
      </c>
      <c r="EB490" s="493"/>
      <c r="EC490" s="493"/>
    </row>
    <row r="491" spans="5:133" ht="21" customHeight="1">
      <c r="E491" s="716"/>
      <c r="F491" s="724"/>
      <c r="G491" s="725"/>
      <c r="H491" s="724"/>
      <c r="I491" s="726"/>
      <c r="J491" s="950"/>
      <c r="K491" s="951"/>
      <c r="L491" s="793"/>
      <c r="M491" s="952"/>
      <c r="N491" s="953"/>
      <c r="O491" s="954"/>
      <c r="P491" s="955"/>
      <c r="Q491" s="956"/>
      <c r="R491" s="957"/>
      <c r="S491" s="800"/>
      <c r="T491" s="958"/>
      <c r="U491" s="802"/>
      <c r="V491" s="959"/>
      <c r="W491" s="960"/>
      <c r="X491" s="805"/>
      <c r="Y491" s="816"/>
      <c r="DO491" s="494"/>
      <c r="DP491" s="496" t="s">
        <v>2073</v>
      </c>
      <c r="DQ491" s="496" t="s">
        <v>8</v>
      </c>
      <c r="DR491" s="496" t="s">
        <v>689</v>
      </c>
      <c r="DS491" s="496" t="s">
        <v>2074</v>
      </c>
      <c r="DT491" s="496" t="s">
        <v>2074</v>
      </c>
      <c r="DU491" s="496" t="s">
        <v>1554</v>
      </c>
      <c r="DV491" s="496" t="s">
        <v>1555</v>
      </c>
      <c r="DW491" s="496" t="s">
        <v>1981</v>
      </c>
      <c r="DX491" s="497" t="s">
        <v>1982</v>
      </c>
      <c r="DZ491" s="543">
        <v>1</v>
      </c>
      <c r="EB491" s="493"/>
      <c r="EC491" s="493"/>
    </row>
    <row r="492" spans="5:133" ht="21" customHeight="1">
      <c r="E492" s="716"/>
      <c r="F492" s="724"/>
      <c r="G492" s="725"/>
      <c r="H492" s="724"/>
      <c r="I492" s="726"/>
      <c r="J492" s="950"/>
      <c r="K492" s="951"/>
      <c r="L492" s="793"/>
      <c r="M492" s="952"/>
      <c r="N492" s="953"/>
      <c r="O492" s="954"/>
      <c r="P492" s="955"/>
      <c r="Q492" s="956"/>
      <c r="R492" s="957"/>
      <c r="S492" s="800"/>
      <c r="T492" s="958"/>
      <c r="U492" s="802"/>
      <c r="V492" s="959"/>
      <c r="W492" s="960"/>
      <c r="X492" s="805"/>
      <c r="Y492" s="816"/>
      <c r="DO492" s="494"/>
      <c r="DP492" s="496" t="s">
        <v>2075</v>
      </c>
      <c r="DQ492" s="496" t="s">
        <v>8</v>
      </c>
      <c r="DR492" s="496" t="s">
        <v>689</v>
      </c>
      <c r="DS492" s="496" t="s">
        <v>2076</v>
      </c>
      <c r="DT492" s="496" t="s">
        <v>2076</v>
      </c>
      <c r="DU492" s="496" t="s">
        <v>1554</v>
      </c>
      <c r="DV492" s="496" t="s">
        <v>1555</v>
      </c>
      <c r="DW492" s="496" t="s">
        <v>1981</v>
      </c>
      <c r="DX492" s="497" t="s">
        <v>1982</v>
      </c>
      <c r="DZ492" s="543">
        <v>1</v>
      </c>
      <c r="EB492" s="493"/>
      <c r="EC492" s="493"/>
    </row>
    <row r="493" spans="5:133" ht="21" customHeight="1">
      <c r="E493" s="716"/>
      <c r="F493" s="724"/>
      <c r="G493" s="725"/>
      <c r="H493" s="724"/>
      <c r="I493" s="726"/>
      <c r="J493" s="950"/>
      <c r="K493" s="951"/>
      <c r="L493" s="793"/>
      <c r="M493" s="952"/>
      <c r="N493" s="953"/>
      <c r="O493" s="954"/>
      <c r="P493" s="955"/>
      <c r="Q493" s="956"/>
      <c r="R493" s="957"/>
      <c r="S493" s="800"/>
      <c r="T493" s="958"/>
      <c r="U493" s="802"/>
      <c r="V493" s="959"/>
      <c r="W493" s="960"/>
      <c r="X493" s="805"/>
      <c r="Y493" s="816"/>
      <c r="DO493" s="494"/>
      <c r="DP493" s="496" t="s">
        <v>2077</v>
      </c>
      <c r="DQ493" s="496" t="s">
        <v>8</v>
      </c>
      <c r="DR493" s="496" t="s">
        <v>689</v>
      </c>
      <c r="DS493" s="496" t="s">
        <v>2078</v>
      </c>
      <c r="DT493" s="496" t="s">
        <v>2078</v>
      </c>
      <c r="DU493" s="496" t="s">
        <v>1151</v>
      </c>
      <c r="DV493" s="496" t="s">
        <v>1152</v>
      </c>
      <c r="DW493" s="496" t="s">
        <v>1087</v>
      </c>
      <c r="DX493" s="497" t="s">
        <v>1153</v>
      </c>
      <c r="DZ493" s="543">
        <v>1</v>
      </c>
      <c r="EB493" s="493"/>
      <c r="EC493" s="493"/>
    </row>
    <row r="494" spans="5:133" ht="21" customHeight="1">
      <c r="E494" s="716"/>
      <c r="F494" s="724"/>
      <c r="G494" s="725"/>
      <c r="H494" s="724"/>
      <c r="I494" s="726"/>
      <c r="J494" s="950"/>
      <c r="K494" s="951"/>
      <c r="L494" s="793"/>
      <c r="M494" s="952"/>
      <c r="N494" s="953"/>
      <c r="O494" s="954"/>
      <c r="P494" s="955"/>
      <c r="Q494" s="956"/>
      <c r="R494" s="957"/>
      <c r="S494" s="800"/>
      <c r="T494" s="958"/>
      <c r="U494" s="802"/>
      <c r="V494" s="959"/>
      <c r="W494" s="960"/>
      <c r="X494" s="805"/>
      <c r="Y494" s="816"/>
      <c r="DO494" s="494"/>
      <c r="DP494" s="496" t="s">
        <v>2079</v>
      </c>
      <c r="DQ494" s="496" t="s">
        <v>8</v>
      </c>
      <c r="DR494" s="496" t="s">
        <v>689</v>
      </c>
      <c r="DS494" s="496" t="s">
        <v>355</v>
      </c>
      <c r="DT494" s="496" t="s">
        <v>355</v>
      </c>
      <c r="DU494" s="496" t="s">
        <v>1151</v>
      </c>
      <c r="DV494" s="496" t="s">
        <v>1152</v>
      </c>
      <c r="DW494" s="496" t="s">
        <v>1087</v>
      </c>
      <c r="DX494" s="497" t="s">
        <v>1153</v>
      </c>
      <c r="DZ494" s="543">
        <v>1</v>
      </c>
      <c r="EB494" s="493"/>
      <c r="EC494" s="493"/>
    </row>
    <row r="495" spans="5:133" ht="21" customHeight="1">
      <c r="E495" s="716"/>
      <c r="F495" s="724"/>
      <c r="G495" s="725"/>
      <c r="H495" s="724"/>
      <c r="I495" s="726"/>
      <c r="J495" s="950"/>
      <c r="K495" s="951"/>
      <c r="L495" s="793"/>
      <c r="M495" s="952"/>
      <c r="N495" s="953"/>
      <c r="O495" s="954"/>
      <c r="P495" s="955"/>
      <c r="Q495" s="956"/>
      <c r="R495" s="957"/>
      <c r="S495" s="800"/>
      <c r="T495" s="958"/>
      <c r="U495" s="802"/>
      <c r="V495" s="959"/>
      <c r="W495" s="960"/>
      <c r="X495" s="805"/>
      <c r="Y495" s="816"/>
      <c r="DO495" s="494"/>
      <c r="DP495" s="496" t="s">
        <v>2080</v>
      </c>
      <c r="DQ495" s="496" t="s">
        <v>8</v>
      </c>
      <c r="DR495" s="496" t="s">
        <v>689</v>
      </c>
      <c r="DS495" s="496" t="s">
        <v>2081</v>
      </c>
      <c r="DT495" s="496" t="s">
        <v>2081</v>
      </c>
      <c r="DU495" s="496" t="s">
        <v>1554</v>
      </c>
      <c r="DV495" s="496" t="s">
        <v>1555</v>
      </c>
      <c r="DW495" s="496" t="s">
        <v>1981</v>
      </c>
      <c r="DX495" s="497" t="s">
        <v>1982</v>
      </c>
      <c r="DZ495" s="543">
        <v>1</v>
      </c>
      <c r="EB495" s="493"/>
      <c r="EC495" s="493"/>
    </row>
    <row r="496" spans="5:133" ht="21" customHeight="1">
      <c r="E496" s="716"/>
      <c r="F496" s="724"/>
      <c r="G496" s="725"/>
      <c r="H496" s="724"/>
      <c r="I496" s="726"/>
      <c r="J496" s="950"/>
      <c r="K496" s="951"/>
      <c r="L496" s="793"/>
      <c r="M496" s="952"/>
      <c r="N496" s="953"/>
      <c r="O496" s="954"/>
      <c r="P496" s="955"/>
      <c r="Q496" s="956"/>
      <c r="R496" s="957"/>
      <c r="S496" s="800"/>
      <c r="T496" s="958"/>
      <c r="U496" s="802"/>
      <c r="V496" s="959"/>
      <c r="W496" s="960"/>
      <c r="X496" s="805"/>
      <c r="Y496" s="816"/>
      <c r="DO496" s="494"/>
      <c r="DP496" s="496" t="s">
        <v>2082</v>
      </c>
      <c r="DQ496" s="496" t="s">
        <v>8</v>
      </c>
      <c r="DR496" s="496" t="s">
        <v>689</v>
      </c>
      <c r="DS496" s="496" t="s">
        <v>2083</v>
      </c>
      <c r="DT496" s="496" t="s">
        <v>2083</v>
      </c>
      <c r="DU496" s="496" t="s">
        <v>1554</v>
      </c>
      <c r="DV496" s="496" t="s">
        <v>1555</v>
      </c>
      <c r="DW496" s="496" t="s">
        <v>1981</v>
      </c>
      <c r="DX496" s="497" t="s">
        <v>1982</v>
      </c>
      <c r="DZ496" s="543">
        <v>1</v>
      </c>
      <c r="EB496" s="493"/>
      <c r="EC496" s="493"/>
    </row>
    <row r="497" spans="5:133" ht="21" customHeight="1">
      <c r="E497" s="716"/>
      <c r="F497" s="724"/>
      <c r="G497" s="725"/>
      <c r="H497" s="724"/>
      <c r="I497" s="726"/>
      <c r="J497" s="950"/>
      <c r="K497" s="951"/>
      <c r="L497" s="793"/>
      <c r="M497" s="952"/>
      <c r="N497" s="953"/>
      <c r="O497" s="954"/>
      <c r="P497" s="955"/>
      <c r="Q497" s="956"/>
      <c r="R497" s="957"/>
      <c r="S497" s="800"/>
      <c r="T497" s="958"/>
      <c r="U497" s="802"/>
      <c r="V497" s="959"/>
      <c r="W497" s="960"/>
      <c r="X497" s="805"/>
      <c r="Y497" s="816"/>
      <c r="DO497" s="494"/>
      <c r="DP497" s="496" t="s">
        <v>2084</v>
      </c>
      <c r="DQ497" s="496" t="s">
        <v>8</v>
      </c>
      <c r="DR497" s="496" t="s">
        <v>689</v>
      </c>
      <c r="DS497" s="496" t="s">
        <v>1019</v>
      </c>
      <c r="DT497" s="496" t="s">
        <v>1019</v>
      </c>
      <c r="DU497" s="496" t="s">
        <v>1554</v>
      </c>
      <c r="DV497" s="496" t="s">
        <v>1555</v>
      </c>
      <c r="DW497" s="496" t="s">
        <v>1981</v>
      </c>
      <c r="DX497" s="497" t="s">
        <v>1982</v>
      </c>
      <c r="DZ497" s="543">
        <v>1</v>
      </c>
      <c r="EB497" s="493"/>
      <c r="EC497" s="493"/>
    </row>
    <row r="498" spans="5:133" ht="21" customHeight="1">
      <c r="E498" s="716"/>
      <c r="F498" s="724"/>
      <c r="G498" s="725"/>
      <c r="H498" s="724"/>
      <c r="I498" s="726"/>
      <c r="J498" s="950"/>
      <c r="K498" s="951"/>
      <c r="L498" s="793"/>
      <c r="M498" s="952"/>
      <c r="N498" s="953"/>
      <c r="O498" s="954"/>
      <c r="P498" s="955"/>
      <c r="Q498" s="956"/>
      <c r="R498" s="957"/>
      <c r="S498" s="800"/>
      <c r="T498" s="958"/>
      <c r="U498" s="802"/>
      <c r="V498" s="959"/>
      <c r="W498" s="960"/>
      <c r="X498" s="805"/>
      <c r="Y498" s="816"/>
      <c r="DO498" s="494"/>
      <c r="DP498" s="496" t="s">
        <v>2085</v>
      </c>
      <c r="DQ498" s="496" t="s">
        <v>8</v>
      </c>
      <c r="DR498" s="496" t="s">
        <v>689</v>
      </c>
      <c r="DS498" s="496" t="s">
        <v>2086</v>
      </c>
      <c r="DT498" s="496" t="s">
        <v>2086</v>
      </c>
      <c r="DU498" s="496" t="s">
        <v>1554</v>
      </c>
      <c r="DV498" s="496" t="s">
        <v>1555</v>
      </c>
      <c r="DW498" s="496" t="s">
        <v>1981</v>
      </c>
      <c r="DX498" s="497" t="s">
        <v>1982</v>
      </c>
      <c r="DZ498" s="543">
        <v>1</v>
      </c>
      <c r="EB498" s="493"/>
      <c r="EC498" s="493"/>
    </row>
    <row r="499" spans="5:133" ht="21" customHeight="1">
      <c r="E499" s="716"/>
      <c r="F499" s="724"/>
      <c r="G499" s="725"/>
      <c r="H499" s="724"/>
      <c r="I499" s="726"/>
      <c r="J499" s="950"/>
      <c r="K499" s="951"/>
      <c r="L499" s="793"/>
      <c r="M499" s="952"/>
      <c r="N499" s="953"/>
      <c r="O499" s="954"/>
      <c r="P499" s="955"/>
      <c r="Q499" s="956"/>
      <c r="R499" s="957"/>
      <c r="S499" s="800"/>
      <c r="T499" s="958"/>
      <c r="U499" s="802"/>
      <c r="V499" s="959"/>
      <c r="W499" s="960"/>
      <c r="X499" s="805"/>
      <c r="Y499" s="816"/>
      <c r="DO499" s="494"/>
      <c r="DP499" s="496" t="s">
        <v>2087</v>
      </c>
      <c r="DQ499" s="496" t="s">
        <v>8</v>
      </c>
      <c r="DR499" s="496" t="s">
        <v>689</v>
      </c>
      <c r="DS499" s="496" t="s">
        <v>2088</v>
      </c>
      <c r="DT499" s="496" t="s">
        <v>2088</v>
      </c>
      <c r="DU499" s="496" t="s">
        <v>1554</v>
      </c>
      <c r="DV499" s="496" t="s">
        <v>1555</v>
      </c>
      <c r="DW499" s="496" t="s">
        <v>1981</v>
      </c>
      <c r="DX499" s="497" t="s">
        <v>1982</v>
      </c>
      <c r="DZ499" s="543">
        <v>1</v>
      </c>
      <c r="EB499" s="493"/>
      <c r="EC499" s="493"/>
    </row>
    <row r="500" spans="5:133" ht="21" customHeight="1">
      <c r="E500" s="716"/>
      <c r="F500" s="724"/>
      <c r="G500" s="725"/>
      <c r="H500" s="724"/>
      <c r="I500" s="726"/>
      <c r="J500" s="950"/>
      <c r="K500" s="951"/>
      <c r="L500" s="793"/>
      <c r="M500" s="952"/>
      <c r="N500" s="953"/>
      <c r="O500" s="954"/>
      <c r="P500" s="955"/>
      <c r="Q500" s="956"/>
      <c r="R500" s="957"/>
      <c r="S500" s="800"/>
      <c r="T500" s="958"/>
      <c r="U500" s="802"/>
      <c r="V500" s="959"/>
      <c r="W500" s="960"/>
      <c r="X500" s="805"/>
      <c r="Y500" s="816"/>
      <c r="DO500" s="494"/>
      <c r="DP500" s="496" t="s">
        <v>2089</v>
      </c>
      <c r="DQ500" s="496" t="s">
        <v>8</v>
      </c>
      <c r="DR500" s="496" t="s">
        <v>689</v>
      </c>
      <c r="DS500" s="496" t="s">
        <v>2090</v>
      </c>
      <c r="DT500" s="496" t="s">
        <v>2090</v>
      </c>
      <c r="DU500" s="496" t="s">
        <v>1554</v>
      </c>
      <c r="DV500" s="496" t="s">
        <v>1555</v>
      </c>
      <c r="DW500" s="496" t="s">
        <v>1981</v>
      </c>
      <c r="DX500" s="497" t="s">
        <v>1982</v>
      </c>
      <c r="DZ500" s="543">
        <v>1</v>
      </c>
      <c r="EB500" s="493"/>
      <c r="EC500" s="493"/>
    </row>
    <row r="501" spans="5:133" ht="21" customHeight="1">
      <c r="E501" s="716"/>
      <c r="F501" s="724"/>
      <c r="G501" s="725"/>
      <c r="H501" s="724"/>
      <c r="I501" s="726"/>
      <c r="J501" s="950"/>
      <c r="K501" s="951"/>
      <c r="L501" s="793"/>
      <c r="M501" s="952"/>
      <c r="N501" s="953"/>
      <c r="O501" s="954"/>
      <c r="P501" s="955"/>
      <c r="Q501" s="956"/>
      <c r="R501" s="957"/>
      <c r="S501" s="800"/>
      <c r="T501" s="958"/>
      <c r="U501" s="802"/>
      <c r="V501" s="959"/>
      <c r="W501" s="960"/>
      <c r="X501" s="805"/>
      <c r="Y501" s="816"/>
      <c r="DO501" s="494"/>
      <c r="DP501" s="496" t="s">
        <v>2091</v>
      </c>
      <c r="DQ501" s="496" t="s">
        <v>8</v>
      </c>
      <c r="DR501" s="496" t="s">
        <v>689</v>
      </c>
      <c r="DS501" s="496" t="s">
        <v>2092</v>
      </c>
      <c r="DT501" s="496" t="s">
        <v>2092</v>
      </c>
      <c r="DU501" s="496" t="s">
        <v>1554</v>
      </c>
      <c r="DV501" s="496" t="s">
        <v>1555</v>
      </c>
      <c r="DW501" s="496" t="s">
        <v>1981</v>
      </c>
      <c r="DX501" s="497" t="s">
        <v>1982</v>
      </c>
      <c r="DZ501" s="543">
        <v>1</v>
      </c>
      <c r="EB501" s="493"/>
      <c r="EC501" s="493"/>
    </row>
    <row r="502" spans="5:133" ht="21" customHeight="1">
      <c r="E502" s="716"/>
      <c r="F502" s="724"/>
      <c r="G502" s="725"/>
      <c r="H502" s="724"/>
      <c r="I502" s="726"/>
      <c r="J502" s="950"/>
      <c r="K502" s="951"/>
      <c r="L502" s="793"/>
      <c r="M502" s="952"/>
      <c r="N502" s="953"/>
      <c r="O502" s="954"/>
      <c r="P502" s="955"/>
      <c r="Q502" s="956"/>
      <c r="R502" s="957"/>
      <c r="S502" s="800"/>
      <c r="T502" s="958"/>
      <c r="U502" s="802"/>
      <c r="V502" s="959"/>
      <c r="W502" s="960"/>
      <c r="X502" s="805"/>
      <c r="Y502" s="816"/>
      <c r="DO502" s="494"/>
      <c r="DP502" s="496" t="s">
        <v>2093</v>
      </c>
      <c r="DQ502" s="496" t="s">
        <v>8</v>
      </c>
      <c r="DR502" s="496" t="s">
        <v>689</v>
      </c>
      <c r="DS502" s="496" t="s">
        <v>2094</v>
      </c>
      <c r="DT502" s="496" t="s">
        <v>2094</v>
      </c>
      <c r="DU502" s="496" t="s">
        <v>1554</v>
      </c>
      <c r="DV502" s="496" t="s">
        <v>1555</v>
      </c>
      <c r="DW502" s="496" t="s">
        <v>1981</v>
      </c>
      <c r="DX502" s="497" t="s">
        <v>1982</v>
      </c>
      <c r="DZ502" s="543">
        <v>1</v>
      </c>
      <c r="EB502" s="493"/>
      <c r="EC502" s="493"/>
    </row>
    <row r="503" spans="5:133" ht="21" customHeight="1">
      <c r="E503" s="716"/>
      <c r="F503" s="724"/>
      <c r="G503" s="725"/>
      <c r="H503" s="724"/>
      <c r="I503" s="726"/>
      <c r="J503" s="950"/>
      <c r="K503" s="951"/>
      <c r="L503" s="793"/>
      <c r="M503" s="952"/>
      <c r="N503" s="953"/>
      <c r="O503" s="954"/>
      <c r="P503" s="955"/>
      <c r="Q503" s="956"/>
      <c r="R503" s="957"/>
      <c r="S503" s="800"/>
      <c r="T503" s="958"/>
      <c r="U503" s="802"/>
      <c r="V503" s="959"/>
      <c r="W503" s="960"/>
      <c r="X503" s="805"/>
      <c r="Y503" s="816"/>
      <c r="DO503" s="494"/>
      <c r="DP503" s="496" t="s">
        <v>2095</v>
      </c>
      <c r="DQ503" s="496" t="s">
        <v>8</v>
      </c>
      <c r="DR503" s="496" t="s">
        <v>689</v>
      </c>
      <c r="DS503" s="496" t="s">
        <v>2096</v>
      </c>
      <c r="DT503" s="496" t="s">
        <v>2096</v>
      </c>
      <c r="DU503" s="496" t="s">
        <v>1554</v>
      </c>
      <c r="DV503" s="496" t="s">
        <v>1555</v>
      </c>
      <c r="DW503" s="496" t="s">
        <v>1981</v>
      </c>
      <c r="DX503" s="497" t="s">
        <v>1982</v>
      </c>
      <c r="DZ503" s="543">
        <v>1</v>
      </c>
      <c r="EB503" s="493"/>
      <c r="EC503" s="493"/>
    </row>
    <row r="504" spans="5:133" ht="21" customHeight="1">
      <c r="E504" s="716"/>
      <c r="F504" s="724"/>
      <c r="G504" s="725"/>
      <c r="H504" s="724"/>
      <c r="I504" s="726"/>
      <c r="J504" s="950"/>
      <c r="K504" s="951"/>
      <c r="L504" s="793"/>
      <c r="M504" s="952"/>
      <c r="N504" s="953"/>
      <c r="O504" s="954"/>
      <c r="P504" s="955"/>
      <c r="Q504" s="956"/>
      <c r="R504" s="957"/>
      <c r="S504" s="800"/>
      <c r="T504" s="958"/>
      <c r="U504" s="802"/>
      <c r="V504" s="959"/>
      <c r="W504" s="960"/>
      <c r="X504" s="805"/>
      <c r="Y504" s="816"/>
      <c r="DO504" s="494"/>
      <c r="DP504" s="496" t="s">
        <v>2097</v>
      </c>
      <c r="DQ504" s="496" t="s">
        <v>8</v>
      </c>
      <c r="DR504" s="496" t="s">
        <v>689</v>
      </c>
      <c r="DS504" s="496" t="s">
        <v>2098</v>
      </c>
      <c r="DT504" s="496" t="s">
        <v>2098</v>
      </c>
      <c r="DU504" s="496" t="s">
        <v>1554</v>
      </c>
      <c r="DV504" s="496" t="s">
        <v>1555</v>
      </c>
      <c r="DW504" s="496" t="s">
        <v>1981</v>
      </c>
      <c r="DX504" s="497" t="s">
        <v>1982</v>
      </c>
      <c r="DZ504" s="543">
        <v>1</v>
      </c>
      <c r="EB504" s="493"/>
      <c r="EC504" s="493"/>
    </row>
    <row r="505" spans="5:133" ht="21" customHeight="1">
      <c r="E505" s="716"/>
      <c r="F505" s="724"/>
      <c r="G505" s="725"/>
      <c r="H505" s="724"/>
      <c r="I505" s="726"/>
      <c r="J505" s="950"/>
      <c r="K505" s="951"/>
      <c r="L505" s="793"/>
      <c r="M505" s="952"/>
      <c r="N505" s="953"/>
      <c r="O505" s="954"/>
      <c r="P505" s="955"/>
      <c r="Q505" s="956"/>
      <c r="R505" s="957"/>
      <c r="S505" s="800"/>
      <c r="T505" s="958"/>
      <c r="U505" s="802"/>
      <c r="V505" s="959"/>
      <c r="W505" s="960"/>
      <c r="X505" s="805"/>
      <c r="Y505" s="816"/>
      <c r="DO505" s="494"/>
      <c r="DP505" s="496" t="s">
        <v>2099</v>
      </c>
      <c r="DQ505" s="496" t="s">
        <v>8</v>
      </c>
      <c r="DR505" s="496" t="s">
        <v>689</v>
      </c>
      <c r="DS505" s="496" t="s">
        <v>2100</v>
      </c>
      <c r="DT505" s="496" t="s">
        <v>2100</v>
      </c>
      <c r="DU505" s="496" t="s">
        <v>1554</v>
      </c>
      <c r="DV505" s="496" t="s">
        <v>1555</v>
      </c>
      <c r="DW505" s="496" t="s">
        <v>1981</v>
      </c>
      <c r="DX505" s="497" t="s">
        <v>1982</v>
      </c>
      <c r="DZ505" s="543">
        <v>1</v>
      </c>
      <c r="EB505" s="493"/>
      <c r="EC505" s="493"/>
    </row>
    <row r="506" spans="5:133" ht="21" customHeight="1">
      <c r="E506" s="716"/>
      <c r="F506" s="724"/>
      <c r="G506" s="725"/>
      <c r="H506" s="724"/>
      <c r="I506" s="726"/>
      <c r="J506" s="950"/>
      <c r="K506" s="951"/>
      <c r="L506" s="793"/>
      <c r="M506" s="952"/>
      <c r="N506" s="953"/>
      <c r="O506" s="954"/>
      <c r="P506" s="955"/>
      <c r="Q506" s="956"/>
      <c r="R506" s="957"/>
      <c r="S506" s="800"/>
      <c r="T506" s="958"/>
      <c r="U506" s="802"/>
      <c r="V506" s="959"/>
      <c r="W506" s="960"/>
      <c r="X506" s="805"/>
      <c r="Y506" s="816"/>
      <c r="DO506" s="494"/>
      <c r="DP506" s="496" t="s">
        <v>2101</v>
      </c>
      <c r="DQ506" s="496" t="s">
        <v>8</v>
      </c>
      <c r="DR506" s="496" t="s">
        <v>689</v>
      </c>
      <c r="DS506" s="496" t="s">
        <v>2102</v>
      </c>
      <c r="DT506" s="496" t="s">
        <v>2102</v>
      </c>
      <c r="DU506" s="496" t="s">
        <v>1554</v>
      </c>
      <c r="DV506" s="496" t="s">
        <v>1555</v>
      </c>
      <c r="DW506" s="496" t="s">
        <v>1981</v>
      </c>
      <c r="DX506" s="497" t="s">
        <v>1982</v>
      </c>
      <c r="DZ506" s="543">
        <v>1</v>
      </c>
      <c r="EB506" s="493"/>
      <c r="EC506" s="493"/>
    </row>
    <row r="507" spans="5:133" ht="21" customHeight="1">
      <c r="E507" s="716"/>
      <c r="F507" s="724"/>
      <c r="G507" s="725"/>
      <c r="H507" s="724"/>
      <c r="I507" s="726"/>
      <c r="J507" s="950"/>
      <c r="K507" s="951"/>
      <c r="L507" s="793"/>
      <c r="M507" s="952"/>
      <c r="N507" s="953"/>
      <c r="O507" s="954"/>
      <c r="P507" s="955"/>
      <c r="Q507" s="956"/>
      <c r="R507" s="957"/>
      <c r="S507" s="800"/>
      <c r="T507" s="958"/>
      <c r="U507" s="802"/>
      <c r="V507" s="959"/>
      <c r="W507" s="960"/>
      <c r="X507" s="805"/>
      <c r="Y507" s="816"/>
      <c r="DO507" s="494"/>
      <c r="DP507" s="496" t="s">
        <v>2103</v>
      </c>
      <c r="DQ507" s="496" t="s">
        <v>8</v>
      </c>
      <c r="DR507" s="496" t="s">
        <v>689</v>
      </c>
      <c r="DS507" s="496" t="s">
        <v>2104</v>
      </c>
      <c r="DT507" s="496" t="s">
        <v>2104</v>
      </c>
      <c r="DU507" s="496" t="s">
        <v>1554</v>
      </c>
      <c r="DV507" s="496" t="s">
        <v>1555</v>
      </c>
      <c r="DW507" s="496" t="s">
        <v>1981</v>
      </c>
      <c r="DX507" s="497" t="s">
        <v>1982</v>
      </c>
      <c r="DZ507" s="543">
        <v>1</v>
      </c>
      <c r="EB507" s="493"/>
      <c r="EC507" s="493"/>
    </row>
    <row r="508" spans="5:133" ht="21" customHeight="1">
      <c r="E508" s="716"/>
      <c r="F508" s="724"/>
      <c r="G508" s="725"/>
      <c r="H508" s="724"/>
      <c r="I508" s="726"/>
      <c r="J508" s="950"/>
      <c r="K508" s="951"/>
      <c r="L508" s="793"/>
      <c r="M508" s="952"/>
      <c r="N508" s="953"/>
      <c r="O508" s="954"/>
      <c r="P508" s="955"/>
      <c r="Q508" s="956"/>
      <c r="R508" s="957"/>
      <c r="S508" s="800"/>
      <c r="T508" s="958"/>
      <c r="U508" s="802"/>
      <c r="V508" s="959"/>
      <c r="W508" s="960"/>
      <c r="X508" s="805"/>
      <c r="Y508" s="816"/>
      <c r="DO508" s="494"/>
      <c r="DP508" s="496" t="s">
        <v>2105</v>
      </c>
      <c r="DQ508" s="496" t="s">
        <v>8</v>
      </c>
      <c r="DR508" s="496" t="s">
        <v>689</v>
      </c>
      <c r="DS508" s="496" t="s">
        <v>2106</v>
      </c>
      <c r="DT508" s="496" t="s">
        <v>2106</v>
      </c>
      <c r="DU508" s="496" t="s">
        <v>1554</v>
      </c>
      <c r="DV508" s="496" t="s">
        <v>1555</v>
      </c>
      <c r="DW508" s="496" t="s">
        <v>1981</v>
      </c>
      <c r="DX508" s="497" t="s">
        <v>1982</v>
      </c>
      <c r="DZ508" s="543">
        <v>1</v>
      </c>
      <c r="EB508" s="493"/>
      <c r="EC508" s="493"/>
    </row>
    <row r="509" spans="5:133" ht="21" customHeight="1">
      <c r="E509" s="716"/>
      <c r="F509" s="724"/>
      <c r="G509" s="725"/>
      <c r="H509" s="724"/>
      <c r="I509" s="726"/>
      <c r="J509" s="950"/>
      <c r="K509" s="951"/>
      <c r="L509" s="793"/>
      <c r="M509" s="952"/>
      <c r="N509" s="953"/>
      <c r="O509" s="954"/>
      <c r="P509" s="955"/>
      <c r="Q509" s="956"/>
      <c r="R509" s="957"/>
      <c r="S509" s="800"/>
      <c r="T509" s="958"/>
      <c r="U509" s="802"/>
      <c r="V509" s="959"/>
      <c r="W509" s="960"/>
      <c r="X509" s="805"/>
      <c r="Y509" s="816"/>
      <c r="DO509" s="494"/>
      <c r="DP509" s="496" t="s">
        <v>2107</v>
      </c>
      <c r="DQ509" s="496" t="s">
        <v>8</v>
      </c>
      <c r="DR509" s="496" t="s">
        <v>689</v>
      </c>
      <c r="DS509" s="496" t="s">
        <v>2108</v>
      </c>
      <c r="DT509" s="496" t="s">
        <v>2108</v>
      </c>
      <c r="DU509" s="496" t="s">
        <v>1554</v>
      </c>
      <c r="DV509" s="496" t="s">
        <v>1555</v>
      </c>
      <c r="DW509" s="496" t="s">
        <v>1981</v>
      </c>
      <c r="DX509" s="497" t="s">
        <v>1982</v>
      </c>
      <c r="DZ509" s="543">
        <v>1</v>
      </c>
      <c r="EB509" s="493"/>
      <c r="EC509" s="493"/>
    </row>
    <row r="510" spans="5:133" ht="21" customHeight="1">
      <c r="E510" s="716"/>
      <c r="F510" s="724"/>
      <c r="G510" s="725"/>
      <c r="H510" s="724"/>
      <c r="I510" s="726"/>
      <c r="J510" s="950"/>
      <c r="K510" s="951"/>
      <c r="L510" s="793"/>
      <c r="M510" s="952"/>
      <c r="N510" s="953"/>
      <c r="O510" s="954"/>
      <c r="P510" s="955"/>
      <c r="Q510" s="956"/>
      <c r="R510" s="957"/>
      <c r="S510" s="800"/>
      <c r="T510" s="958"/>
      <c r="U510" s="802"/>
      <c r="V510" s="959"/>
      <c r="W510" s="960"/>
      <c r="X510" s="805"/>
      <c r="Y510" s="816"/>
      <c r="DO510" s="494"/>
      <c r="DP510" s="496" t="s">
        <v>2109</v>
      </c>
      <c r="DQ510" s="496" t="s">
        <v>8</v>
      </c>
      <c r="DR510" s="496" t="s">
        <v>689</v>
      </c>
      <c r="DS510" s="496" t="s">
        <v>2110</v>
      </c>
      <c r="DT510" s="496" t="s">
        <v>2110</v>
      </c>
      <c r="DU510" s="496" t="s">
        <v>1554</v>
      </c>
      <c r="DV510" s="496" t="s">
        <v>1555</v>
      </c>
      <c r="DW510" s="496" t="s">
        <v>1981</v>
      </c>
      <c r="DX510" s="497" t="s">
        <v>1982</v>
      </c>
      <c r="DZ510" s="543">
        <v>1</v>
      </c>
      <c r="EB510" s="493"/>
      <c r="EC510" s="493"/>
    </row>
    <row r="511" spans="5:133" ht="21" customHeight="1">
      <c r="E511" s="716"/>
      <c r="F511" s="724"/>
      <c r="G511" s="725"/>
      <c r="H511" s="724"/>
      <c r="I511" s="726"/>
      <c r="J511" s="950"/>
      <c r="K511" s="951"/>
      <c r="L511" s="793"/>
      <c r="M511" s="952"/>
      <c r="N511" s="953"/>
      <c r="O511" s="954"/>
      <c r="P511" s="955"/>
      <c r="Q511" s="956"/>
      <c r="R511" s="957"/>
      <c r="S511" s="800"/>
      <c r="T511" s="958"/>
      <c r="U511" s="802"/>
      <c r="V511" s="959"/>
      <c r="W511" s="960"/>
      <c r="X511" s="805"/>
      <c r="Y511" s="816"/>
      <c r="DO511" s="494"/>
      <c r="DP511" s="496" t="s">
        <v>2111</v>
      </c>
      <c r="DQ511" s="496" t="s">
        <v>8</v>
      </c>
      <c r="DR511" s="496" t="s">
        <v>689</v>
      </c>
      <c r="DS511" s="496" t="s">
        <v>2112</v>
      </c>
      <c r="DT511" s="496" t="s">
        <v>2112</v>
      </c>
      <c r="DU511" s="496" t="s">
        <v>1554</v>
      </c>
      <c r="DV511" s="496" t="s">
        <v>1555</v>
      </c>
      <c r="DW511" s="496" t="s">
        <v>1981</v>
      </c>
      <c r="DX511" s="497" t="s">
        <v>1982</v>
      </c>
      <c r="DZ511" s="543">
        <v>1</v>
      </c>
      <c r="EB511" s="493"/>
      <c r="EC511" s="493"/>
    </row>
    <row r="512" spans="5:133" ht="21" customHeight="1">
      <c r="E512" s="716"/>
      <c r="F512" s="724"/>
      <c r="G512" s="725"/>
      <c r="H512" s="724"/>
      <c r="I512" s="726"/>
      <c r="J512" s="950"/>
      <c r="K512" s="951"/>
      <c r="L512" s="793"/>
      <c r="M512" s="952"/>
      <c r="N512" s="953"/>
      <c r="O512" s="954"/>
      <c r="P512" s="955"/>
      <c r="Q512" s="956"/>
      <c r="R512" s="957"/>
      <c r="S512" s="800"/>
      <c r="T512" s="958"/>
      <c r="U512" s="802"/>
      <c r="V512" s="959"/>
      <c r="W512" s="960"/>
      <c r="X512" s="805"/>
      <c r="Y512" s="816"/>
      <c r="DO512" s="494"/>
      <c r="DP512" s="496" t="s">
        <v>2113</v>
      </c>
      <c r="DQ512" s="496" t="s">
        <v>8</v>
      </c>
      <c r="DR512" s="496" t="s">
        <v>689</v>
      </c>
      <c r="DS512" s="496" t="s">
        <v>165</v>
      </c>
      <c r="DT512" s="496" t="s">
        <v>165</v>
      </c>
      <c r="DU512" s="496" t="s">
        <v>1554</v>
      </c>
      <c r="DV512" s="496" t="s">
        <v>1555</v>
      </c>
      <c r="DW512" s="496" t="s">
        <v>1981</v>
      </c>
      <c r="DX512" s="497" t="s">
        <v>1982</v>
      </c>
      <c r="DZ512" s="543">
        <v>1</v>
      </c>
      <c r="EB512" s="493"/>
      <c r="EC512" s="493"/>
    </row>
    <row r="513" spans="5:133" ht="21" customHeight="1">
      <c r="E513" s="716"/>
      <c r="F513" s="724"/>
      <c r="G513" s="725"/>
      <c r="H513" s="724"/>
      <c r="I513" s="726"/>
      <c r="J513" s="950"/>
      <c r="K513" s="951"/>
      <c r="L513" s="793"/>
      <c r="M513" s="952"/>
      <c r="N513" s="953"/>
      <c r="O513" s="954"/>
      <c r="P513" s="955"/>
      <c r="Q513" s="956"/>
      <c r="R513" s="957"/>
      <c r="S513" s="800"/>
      <c r="T513" s="958"/>
      <c r="U513" s="802"/>
      <c r="V513" s="959"/>
      <c r="W513" s="960"/>
      <c r="X513" s="805"/>
      <c r="Y513" s="816"/>
      <c r="DO513" s="494"/>
      <c r="DP513" s="496" t="s">
        <v>2114</v>
      </c>
      <c r="DQ513" s="496" t="s">
        <v>8</v>
      </c>
      <c r="DR513" s="496" t="s">
        <v>689</v>
      </c>
      <c r="DS513" s="496" t="s">
        <v>2115</v>
      </c>
      <c r="DT513" s="496" t="s">
        <v>2115</v>
      </c>
      <c r="DU513" s="496" t="s">
        <v>1554</v>
      </c>
      <c r="DV513" s="496" t="s">
        <v>1555</v>
      </c>
      <c r="DW513" s="496" t="s">
        <v>1981</v>
      </c>
      <c r="DX513" s="497" t="s">
        <v>1982</v>
      </c>
      <c r="DZ513" s="543">
        <v>1</v>
      </c>
      <c r="EB513" s="493"/>
      <c r="EC513" s="493"/>
    </row>
    <row r="514" spans="5:133" ht="21" customHeight="1">
      <c r="E514" s="716"/>
      <c r="F514" s="724"/>
      <c r="G514" s="725"/>
      <c r="H514" s="724"/>
      <c r="I514" s="726"/>
      <c r="J514" s="950"/>
      <c r="K514" s="951"/>
      <c r="L514" s="793"/>
      <c r="M514" s="952"/>
      <c r="N514" s="953"/>
      <c r="O514" s="954"/>
      <c r="P514" s="955"/>
      <c r="Q514" s="956"/>
      <c r="R514" s="957"/>
      <c r="S514" s="800"/>
      <c r="T514" s="958"/>
      <c r="U514" s="802"/>
      <c r="V514" s="959"/>
      <c r="W514" s="960"/>
      <c r="X514" s="805"/>
      <c r="Y514" s="816"/>
      <c r="DO514" s="494"/>
      <c r="DP514" s="496" t="s">
        <v>2116</v>
      </c>
      <c r="DQ514" s="496" t="s">
        <v>8</v>
      </c>
      <c r="DR514" s="496" t="s">
        <v>689</v>
      </c>
      <c r="DS514" s="496" t="s">
        <v>2117</v>
      </c>
      <c r="DT514" s="496" t="s">
        <v>2117</v>
      </c>
      <c r="DU514" s="496" t="s">
        <v>1554</v>
      </c>
      <c r="DV514" s="496" t="s">
        <v>1555</v>
      </c>
      <c r="DW514" s="496" t="s">
        <v>1981</v>
      </c>
      <c r="DX514" s="497" t="s">
        <v>1982</v>
      </c>
      <c r="DZ514" s="543">
        <v>1</v>
      </c>
      <c r="EB514" s="493"/>
      <c r="EC514" s="493"/>
    </row>
    <row r="515" spans="5:133" ht="21" customHeight="1">
      <c r="E515" s="716"/>
      <c r="F515" s="724"/>
      <c r="G515" s="725"/>
      <c r="H515" s="724"/>
      <c r="I515" s="726"/>
      <c r="J515" s="950"/>
      <c r="K515" s="951"/>
      <c r="L515" s="793"/>
      <c r="M515" s="952"/>
      <c r="N515" s="953"/>
      <c r="O515" s="954"/>
      <c r="P515" s="955"/>
      <c r="Q515" s="956"/>
      <c r="R515" s="957"/>
      <c r="S515" s="800"/>
      <c r="T515" s="958"/>
      <c r="U515" s="802"/>
      <c r="V515" s="959"/>
      <c r="W515" s="960"/>
      <c r="X515" s="805"/>
      <c r="Y515" s="816"/>
      <c r="DO515" s="494"/>
      <c r="DP515" s="496" t="s">
        <v>2118</v>
      </c>
      <c r="DQ515" s="496" t="s">
        <v>8</v>
      </c>
      <c r="DR515" s="496" t="s">
        <v>689</v>
      </c>
      <c r="DS515" s="496" t="s">
        <v>2119</v>
      </c>
      <c r="DT515" s="496" t="s">
        <v>2119</v>
      </c>
      <c r="DU515" s="496" t="s">
        <v>1554</v>
      </c>
      <c r="DV515" s="496" t="s">
        <v>1555</v>
      </c>
      <c r="DW515" s="496" t="s">
        <v>1981</v>
      </c>
      <c r="DX515" s="497" t="s">
        <v>1982</v>
      </c>
      <c r="DZ515" s="543">
        <v>1</v>
      </c>
      <c r="EB515" s="493"/>
      <c r="EC515" s="493"/>
    </row>
    <row r="516" spans="5:133" ht="21" customHeight="1">
      <c r="E516" s="716"/>
      <c r="F516" s="724"/>
      <c r="G516" s="725"/>
      <c r="H516" s="724"/>
      <c r="I516" s="726"/>
      <c r="J516" s="950"/>
      <c r="K516" s="951"/>
      <c r="L516" s="793"/>
      <c r="M516" s="952"/>
      <c r="N516" s="953"/>
      <c r="O516" s="954"/>
      <c r="P516" s="955"/>
      <c r="Q516" s="956"/>
      <c r="R516" s="957"/>
      <c r="S516" s="800"/>
      <c r="T516" s="958"/>
      <c r="U516" s="802"/>
      <c r="V516" s="959"/>
      <c r="W516" s="960"/>
      <c r="X516" s="805"/>
      <c r="Y516" s="816"/>
      <c r="DO516" s="494"/>
      <c r="DP516" s="496" t="s">
        <v>2120</v>
      </c>
      <c r="DQ516" s="496" t="s">
        <v>8</v>
      </c>
      <c r="DR516" s="496" t="s">
        <v>689</v>
      </c>
      <c r="DS516" s="496" t="s">
        <v>2121</v>
      </c>
      <c r="DT516" s="496" t="s">
        <v>2121</v>
      </c>
      <c r="DU516" s="496" t="s">
        <v>1554</v>
      </c>
      <c r="DV516" s="496" t="s">
        <v>1555</v>
      </c>
      <c r="DW516" s="496" t="s">
        <v>1981</v>
      </c>
      <c r="DX516" s="497" t="s">
        <v>1982</v>
      </c>
      <c r="DZ516" s="543">
        <v>1</v>
      </c>
      <c r="EB516" s="493"/>
      <c r="EC516" s="493"/>
    </row>
    <row r="517" spans="5:133" ht="21" customHeight="1">
      <c r="E517" s="716"/>
      <c r="F517" s="724"/>
      <c r="G517" s="725"/>
      <c r="H517" s="724"/>
      <c r="I517" s="726"/>
      <c r="J517" s="950"/>
      <c r="K517" s="951"/>
      <c r="L517" s="793"/>
      <c r="M517" s="952"/>
      <c r="N517" s="953"/>
      <c r="O517" s="954"/>
      <c r="P517" s="955"/>
      <c r="Q517" s="956"/>
      <c r="R517" s="957"/>
      <c r="S517" s="800"/>
      <c r="T517" s="958"/>
      <c r="U517" s="802"/>
      <c r="V517" s="959"/>
      <c r="W517" s="960"/>
      <c r="X517" s="805"/>
      <c r="Y517" s="816"/>
      <c r="DO517" s="494"/>
      <c r="DP517" s="496" t="s">
        <v>2122</v>
      </c>
      <c r="DQ517" s="496" t="s">
        <v>8</v>
      </c>
      <c r="DR517" s="496" t="s">
        <v>689</v>
      </c>
      <c r="DS517" s="496" t="s">
        <v>2123</v>
      </c>
      <c r="DT517" s="496" t="s">
        <v>2123</v>
      </c>
      <c r="DU517" s="496" t="s">
        <v>1554</v>
      </c>
      <c r="DV517" s="496" t="s">
        <v>1555</v>
      </c>
      <c r="DW517" s="496" t="s">
        <v>1981</v>
      </c>
      <c r="DX517" s="497" t="s">
        <v>1982</v>
      </c>
      <c r="DZ517" s="543">
        <v>1</v>
      </c>
      <c r="EB517" s="493"/>
      <c r="EC517" s="493"/>
    </row>
    <row r="518" spans="5:133" ht="21" customHeight="1">
      <c r="E518" s="716"/>
      <c r="F518" s="724"/>
      <c r="G518" s="725"/>
      <c r="H518" s="724"/>
      <c r="I518" s="726"/>
      <c r="J518" s="950"/>
      <c r="K518" s="951"/>
      <c r="L518" s="793"/>
      <c r="M518" s="952"/>
      <c r="N518" s="953"/>
      <c r="O518" s="954"/>
      <c r="P518" s="955"/>
      <c r="Q518" s="956"/>
      <c r="R518" s="957"/>
      <c r="S518" s="800"/>
      <c r="T518" s="958"/>
      <c r="U518" s="802"/>
      <c r="V518" s="959"/>
      <c r="W518" s="960"/>
      <c r="X518" s="805"/>
      <c r="Y518" s="816"/>
      <c r="DO518" s="494"/>
      <c r="DP518" s="496" t="s">
        <v>2124</v>
      </c>
      <c r="DQ518" s="496" t="s">
        <v>8</v>
      </c>
      <c r="DR518" s="496" t="s">
        <v>689</v>
      </c>
      <c r="DS518" s="496" t="s">
        <v>2125</v>
      </c>
      <c r="DT518" s="496" t="s">
        <v>2125</v>
      </c>
      <c r="DU518" s="496" t="s">
        <v>1554</v>
      </c>
      <c r="DV518" s="496" t="s">
        <v>1555</v>
      </c>
      <c r="DW518" s="496" t="s">
        <v>1981</v>
      </c>
      <c r="DX518" s="497" t="s">
        <v>1982</v>
      </c>
      <c r="DZ518" s="543">
        <v>1</v>
      </c>
      <c r="EB518" s="493"/>
      <c r="EC518" s="493"/>
    </row>
    <row r="519" spans="5:133" ht="21" customHeight="1">
      <c r="E519" s="716"/>
      <c r="F519" s="724"/>
      <c r="G519" s="725"/>
      <c r="H519" s="724"/>
      <c r="I519" s="726"/>
      <c r="J519" s="950"/>
      <c r="K519" s="951"/>
      <c r="L519" s="793"/>
      <c r="M519" s="952"/>
      <c r="N519" s="953"/>
      <c r="O519" s="954"/>
      <c r="P519" s="955"/>
      <c r="Q519" s="956"/>
      <c r="R519" s="957"/>
      <c r="S519" s="800"/>
      <c r="T519" s="958"/>
      <c r="U519" s="802"/>
      <c r="V519" s="959"/>
      <c r="W519" s="960"/>
      <c r="X519" s="805"/>
      <c r="Y519" s="816"/>
      <c r="DO519" s="494"/>
      <c r="DP519" s="496" t="s">
        <v>2126</v>
      </c>
      <c r="DQ519" s="496" t="s">
        <v>8</v>
      </c>
      <c r="DR519" s="496" t="s">
        <v>689</v>
      </c>
      <c r="DS519" s="496" t="s">
        <v>2127</v>
      </c>
      <c r="DT519" s="496" t="s">
        <v>2127</v>
      </c>
      <c r="DU519" s="496" t="s">
        <v>1554</v>
      </c>
      <c r="DV519" s="496" t="s">
        <v>1555</v>
      </c>
      <c r="DW519" s="496" t="s">
        <v>1981</v>
      </c>
      <c r="DX519" s="497" t="s">
        <v>1982</v>
      </c>
      <c r="DZ519" s="543">
        <v>1</v>
      </c>
      <c r="EB519" s="493"/>
      <c r="EC519" s="493"/>
    </row>
    <row r="520" spans="5:133" ht="21" customHeight="1">
      <c r="E520" s="716"/>
      <c r="F520" s="724"/>
      <c r="G520" s="725"/>
      <c r="H520" s="724"/>
      <c r="I520" s="726"/>
      <c r="J520" s="950"/>
      <c r="K520" s="951"/>
      <c r="L520" s="793"/>
      <c r="M520" s="952"/>
      <c r="N520" s="953"/>
      <c r="O520" s="954"/>
      <c r="P520" s="955"/>
      <c r="Q520" s="956"/>
      <c r="R520" s="957"/>
      <c r="S520" s="800"/>
      <c r="T520" s="958"/>
      <c r="U520" s="802"/>
      <c r="V520" s="959"/>
      <c r="W520" s="960"/>
      <c r="X520" s="805"/>
      <c r="Y520" s="816"/>
      <c r="DO520" s="494"/>
      <c r="DP520" s="496" t="s">
        <v>2128</v>
      </c>
      <c r="DQ520" s="496" t="s">
        <v>8</v>
      </c>
      <c r="DR520" s="496" t="s">
        <v>689</v>
      </c>
      <c r="DS520" s="496" t="s">
        <v>2129</v>
      </c>
      <c r="DT520" s="496" t="s">
        <v>2129</v>
      </c>
      <c r="DU520" s="496" t="s">
        <v>1554</v>
      </c>
      <c r="DV520" s="496" t="s">
        <v>1555</v>
      </c>
      <c r="DW520" s="496" t="s">
        <v>1981</v>
      </c>
      <c r="DX520" s="497" t="s">
        <v>1982</v>
      </c>
      <c r="DZ520" s="543">
        <v>1</v>
      </c>
      <c r="EB520" s="493"/>
      <c r="EC520" s="493"/>
    </row>
    <row r="521" spans="5:133" ht="21" customHeight="1">
      <c r="E521" s="716"/>
      <c r="F521" s="724"/>
      <c r="G521" s="725"/>
      <c r="H521" s="724"/>
      <c r="I521" s="726"/>
      <c r="J521" s="950"/>
      <c r="K521" s="951"/>
      <c r="L521" s="793"/>
      <c r="M521" s="952"/>
      <c r="N521" s="953"/>
      <c r="O521" s="954"/>
      <c r="P521" s="955"/>
      <c r="Q521" s="956"/>
      <c r="R521" s="957"/>
      <c r="S521" s="800"/>
      <c r="T521" s="958"/>
      <c r="U521" s="802"/>
      <c r="V521" s="959"/>
      <c r="W521" s="960"/>
      <c r="X521" s="805"/>
      <c r="Y521" s="816"/>
      <c r="DO521" s="494"/>
      <c r="DP521" s="496" t="s">
        <v>2130</v>
      </c>
      <c r="DQ521" s="496" t="s">
        <v>8</v>
      </c>
      <c r="DR521" s="496" t="s">
        <v>689</v>
      </c>
      <c r="DS521" s="496" t="s">
        <v>2131</v>
      </c>
      <c r="DT521" s="496" t="s">
        <v>2131</v>
      </c>
      <c r="DU521" s="496" t="s">
        <v>1554</v>
      </c>
      <c r="DV521" s="496" t="s">
        <v>1555</v>
      </c>
      <c r="DW521" s="496" t="s">
        <v>1981</v>
      </c>
      <c r="DX521" s="497" t="s">
        <v>1982</v>
      </c>
      <c r="DZ521" s="543">
        <v>1</v>
      </c>
      <c r="EB521" s="493"/>
      <c r="EC521" s="493"/>
    </row>
    <row r="522" spans="5:133" ht="21" customHeight="1">
      <c r="E522" s="716"/>
      <c r="F522" s="724"/>
      <c r="G522" s="725"/>
      <c r="H522" s="724"/>
      <c r="I522" s="726"/>
      <c r="J522" s="950"/>
      <c r="K522" s="951"/>
      <c r="L522" s="793"/>
      <c r="M522" s="952"/>
      <c r="N522" s="953"/>
      <c r="O522" s="954"/>
      <c r="P522" s="955"/>
      <c r="Q522" s="956"/>
      <c r="R522" s="957"/>
      <c r="S522" s="800"/>
      <c r="T522" s="958"/>
      <c r="U522" s="802"/>
      <c r="V522" s="959"/>
      <c r="W522" s="960"/>
      <c r="X522" s="805"/>
      <c r="Y522" s="816"/>
      <c r="DO522" s="494"/>
      <c r="DP522" s="496" t="s">
        <v>2132</v>
      </c>
      <c r="DQ522" s="496" t="s">
        <v>8</v>
      </c>
      <c r="DR522" s="496" t="s">
        <v>689</v>
      </c>
      <c r="DS522" s="496" t="s">
        <v>2133</v>
      </c>
      <c r="DT522" s="496" t="s">
        <v>2133</v>
      </c>
      <c r="DU522" s="496" t="s">
        <v>1554</v>
      </c>
      <c r="DV522" s="496" t="s">
        <v>1555</v>
      </c>
      <c r="DW522" s="496" t="s">
        <v>1981</v>
      </c>
      <c r="DX522" s="497" t="s">
        <v>1982</v>
      </c>
      <c r="DZ522" s="543">
        <v>1</v>
      </c>
      <c r="EB522" s="493"/>
      <c r="EC522" s="493"/>
    </row>
    <row r="523" spans="5:133" ht="21" customHeight="1">
      <c r="E523" s="716"/>
      <c r="F523" s="724"/>
      <c r="G523" s="725"/>
      <c r="H523" s="724"/>
      <c r="I523" s="726"/>
      <c r="J523" s="950"/>
      <c r="K523" s="951"/>
      <c r="L523" s="793"/>
      <c r="M523" s="952"/>
      <c r="N523" s="953"/>
      <c r="O523" s="954"/>
      <c r="P523" s="955"/>
      <c r="Q523" s="956"/>
      <c r="R523" s="957"/>
      <c r="S523" s="800"/>
      <c r="T523" s="958"/>
      <c r="U523" s="802"/>
      <c r="V523" s="959"/>
      <c r="W523" s="960"/>
      <c r="X523" s="805"/>
      <c r="Y523" s="816"/>
      <c r="DO523" s="494"/>
      <c r="DP523" s="496" t="s">
        <v>2134</v>
      </c>
      <c r="DQ523" s="496" t="s">
        <v>8</v>
      </c>
      <c r="DR523" s="496" t="s">
        <v>689</v>
      </c>
      <c r="DS523" s="496" t="s">
        <v>2135</v>
      </c>
      <c r="DT523" s="496" t="s">
        <v>2135</v>
      </c>
      <c r="DU523" s="496" t="s">
        <v>1554</v>
      </c>
      <c r="DV523" s="496" t="s">
        <v>1555</v>
      </c>
      <c r="DW523" s="496" t="s">
        <v>1981</v>
      </c>
      <c r="DX523" s="497" t="s">
        <v>1982</v>
      </c>
      <c r="DZ523" s="543">
        <v>1</v>
      </c>
      <c r="EB523" s="493"/>
      <c r="EC523" s="493"/>
    </row>
    <row r="524" spans="5:133" ht="21" customHeight="1">
      <c r="E524" s="716"/>
      <c r="F524" s="724"/>
      <c r="G524" s="725"/>
      <c r="H524" s="724"/>
      <c r="I524" s="726"/>
      <c r="J524" s="950"/>
      <c r="K524" s="951"/>
      <c r="L524" s="793"/>
      <c r="M524" s="952"/>
      <c r="N524" s="953"/>
      <c r="O524" s="954"/>
      <c r="P524" s="955"/>
      <c r="Q524" s="956"/>
      <c r="R524" s="957"/>
      <c r="S524" s="800"/>
      <c r="T524" s="958"/>
      <c r="U524" s="802"/>
      <c r="V524" s="959"/>
      <c r="W524" s="960"/>
      <c r="X524" s="805"/>
      <c r="Y524" s="816"/>
      <c r="DO524" s="494"/>
      <c r="DP524" s="496" t="s">
        <v>2136</v>
      </c>
      <c r="DQ524" s="496" t="s">
        <v>8</v>
      </c>
      <c r="DR524" s="496" t="s">
        <v>689</v>
      </c>
      <c r="DS524" s="496" t="s">
        <v>2137</v>
      </c>
      <c r="DT524" s="496" t="s">
        <v>2137</v>
      </c>
      <c r="DU524" s="496" t="s">
        <v>1554</v>
      </c>
      <c r="DV524" s="496" t="s">
        <v>1555</v>
      </c>
      <c r="DW524" s="496" t="s">
        <v>1981</v>
      </c>
      <c r="DX524" s="497" t="s">
        <v>1982</v>
      </c>
      <c r="DZ524" s="543">
        <v>1</v>
      </c>
      <c r="EB524" s="493"/>
      <c r="EC524" s="493"/>
    </row>
    <row r="525" spans="5:133" ht="21" customHeight="1">
      <c r="E525" s="716"/>
      <c r="F525" s="724"/>
      <c r="G525" s="725"/>
      <c r="H525" s="724"/>
      <c r="I525" s="726"/>
      <c r="J525" s="950"/>
      <c r="K525" s="951"/>
      <c r="L525" s="793"/>
      <c r="M525" s="952"/>
      <c r="N525" s="953"/>
      <c r="O525" s="954"/>
      <c r="P525" s="955"/>
      <c r="Q525" s="956"/>
      <c r="R525" s="957"/>
      <c r="S525" s="800"/>
      <c r="T525" s="958"/>
      <c r="U525" s="802"/>
      <c r="V525" s="959"/>
      <c r="W525" s="960"/>
      <c r="X525" s="805"/>
      <c r="Y525" s="816"/>
      <c r="DO525" s="494"/>
      <c r="DP525" s="496" t="s">
        <v>2138</v>
      </c>
      <c r="DQ525" s="496" t="s">
        <v>8</v>
      </c>
      <c r="DR525" s="496" t="s">
        <v>689</v>
      </c>
      <c r="DS525" s="496" t="s">
        <v>2139</v>
      </c>
      <c r="DT525" s="496" t="s">
        <v>2139</v>
      </c>
      <c r="DU525" s="496" t="s">
        <v>1554</v>
      </c>
      <c r="DV525" s="496" t="s">
        <v>1555</v>
      </c>
      <c r="DW525" s="496" t="s">
        <v>1981</v>
      </c>
      <c r="DX525" s="497" t="s">
        <v>1982</v>
      </c>
      <c r="DZ525" s="543">
        <v>1</v>
      </c>
      <c r="EB525" s="493"/>
      <c r="EC525" s="493"/>
    </row>
    <row r="526" spans="5:133" ht="21" customHeight="1">
      <c r="E526" s="716"/>
      <c r="F526" s="724"/>
      <c r="G526" s="725"/>
      <c r="H526" s="724"/>
      <c r="I526" s="726"/>
      <c r="J526" s="950"/>
      <c r="K526" s="951"/>
      <c r="L526" s="793"/>
      <c r="M526" s="952"/>
      <c r="N526" s="953"/>
      <c r="O526" s="954"/>
      <c r="P526" s="955"/>
      <c r="Q526" s="956"/>
      <c r="R526" s="957"/>
      <c r="S526" s="800"/>
      <c r="T526" s="958"/>
      <c r="U526" s="802"/>
      <c r="V526" s="959"/>
      <c r="W526" s="960"/>
      <c r="X526" s="805"/>
      <c r="Y526" s="816"/>
      <c r="DO526" s="494"/>
      <c r="DP526" s="496" t="s">
        <v>2140</v>
      </c>
      <c r="DQ526" s="496" t="s">
        <v>8</v>
      </c>
      <c r="DR526" s="496" t="s">
        <v>689</v>
      </c>
      <c r="DS526" s="496" t="s">
        <v>2141</v>
      </c>
      <c r="DT526" s="496" t="s">
        <v>2141</v>
      </c>
      <c r="DU526" s="496" t="s">
        <v>1554</v>
      </c>
      <c r="DV526" s="496" t="s">
        <v>1555</v>
      </c>
      <c r="DW526" s="496" t="s">
        <v>1981</v>
      </c>
      <c r="DX526" s="497" t="s">
        <v>1982</v>
      </c>
      <c r="DZ526" s="543">
        <v>1</v>
      </c>
      <c r="EB526" s="493"/>
      <c r="EC526" s="493"/>
    </row>
    <row r="527" spans="5:133" ht="21" customHeight="1">
      <c r="E527" s="716"/>
      <c r="F527" s="724"/>
      <c r="G527" s="725"/>
      <c r="H527" s="724"/>
      <c r="I527" s="726"/>
      <c r="J527" s="950"/>
      <c r="K527" s="951"/>
      <c r="L527" s="793"/>
      <c r="M527" s="952"/>
      <c r="N527" s="953"/>
      <c r="O527" s="954"/>
      <c r="P527" s="955"/>
      <c r="Q527" s="956"/>
      <c r="R527" s="957"/>
      <c r="S527" s="800"/>
      <c r="T527" s="958"/>
      <c r="U527" s="802"/>
      <c r="V527" s="959"/>
      <c r="W527" s="960"/>
      <c r="X527" s="805"/>
      <c r="Y527" s="816"/>
      <c r="DO527" s="494"/>
      <c r="DP527" s="496" t="s">
        <v>2142</v>
      </c>
      <c r="DQ527" s="496" t="s">
        <v>8</v>
      </c>
      <c r="DR527" s="496" t="s">
        <v>689</v>
      </c>
      <c r="DS527" s="496" t="s">
        <v>2143</v>
      </c>
      <c r="DT527" s="496" t="s">
        <v>2143</v>
      </c>
      <c r="DU527" s="496" t="s">
        <v>1554</v>
      </c>
      <c r="DV527" s="496" t="s">
        <v>1555</v>
      </c>
      <c r="DW527" s="496" t="s">
        <v>1981</v>
      </c>
      <c r="DX527" s="497" t="s">
        <v>1982</v>
      </c>
      <c r="DZ527" s="543">
        <v>1</v>
      </c>
      <c r="EB527" s="493"/>
      <c r="EC527" s="493"/>
    </row>
    <row r="528" spans="5:133" ht="21" customHeight="1">
      <c r="E528" s="716"/>
      <c r="F528" s="724"/>
      <c r="G528" s="725"/>
      <c r="H528" s="724"/>
      <c r="I528" s="726"/>
      <c r="J528" s="950"/>
      <c r="K528" s="951"/>
      <c r="L528" s="793"/>
      <c r="M528" s="952"/>
      <c r="N528" s="953"/>
      <c r="O528" s="954"/>
      <c r="P528" s="955"/>
      <c r="Q528" s="956"/>
      <c r="R528" s="957"/>
      <c r="S528" s="800"/>
      <c r="T528" s="958"/>
      <c r="U528" s="802"/>
      <c r="V528" s="959"/>
      <c r="W528" s="960"/>
      <c r="X528" s="805"/>
      <c r="Y528" s="816"/>
      <c r="DO528" s="494"/>
      <c r="DP528" s="496" t="s">
        <v>2144</v>
      </c>
      <c r="DQ528" s="496" t="s">
        <v>8</v>
      </c>
      <c r="DR528" s="496" t="s">
        <v>689</v>
      </c>
      <c r="DS528" s="496" t="s">
        <v>2145</v>
      </c>
      <c r="DT528" s="496" t="s">
        <v>2145</v>
      </c>
      <c r="DU528" s="496" t="s">
        <v>1554</v>
      </c>
      <c r="DV528" s="496" t="s">
        <v>1555</v>
      </c>
      <c r="DW528" s="496" t="s">
        <v>1981</v>
      </c>
      <c r="DX528" s="497" t="s">
        <v>1982</v>
      </c>
      <c r="DZ528" s="543">
        <v>1</v>
      </c>
      <c r="EB528" s="493"/>
      <c r="EC528" s="493"/>
    </row>
    <row r="529" spans="5:133" ht="21" customHeight="1">
      <c r="E529" s="716"/>
      <c r="F529" s="724"/>
      <c r="G529" s="725"/>
      <c r="H529" s="724"/>
      <c r="I529" s="726"/>
      <c r="J529" s="950"/>
      <c r="K529" s="951"/>
      <c r="L529" s="793"/>
      <c r="M529" s="952"/>
      <c r="N529" s="953"/>
      <c r="O529" s="954"/>
      <c r="P529" s="955"/>
      <c r="Q529" s="956"/>
      <c r="R529" s="957"/>
      <c r="S529" s="800"/>
      <c r="T529" s="958"/>
      <c r="U529" s="802"/>
      <c r="V529" s="959"/>
      <c r="W529" s="960"/>
      <c r="X529" s="805"/>
      <c r="Y529" s="816"/>
      <c r="DO529" s="494"/>
      <c r="DP529" s="496" t="s">
        <v>2146</v>
      </c>
      <c r="DQ529" s="496" t="s">
        <v>8</v>
      </c>
      <c r="DR529" s="496" t="s">
        <v>689</v>
      </c>
      <c r="DS529" s="496" t="s">
        <v>2147</v>
      </c>
      <c r="DT529" s="496" t="s">
        <v>2147</v>
      </c>
      <c r="DU529" s="496" t="s">
        <v>1554</v>
      </c>
      <c r="DV529" s="496" t="s">
        <v>1555</v>
      </c>
      <c r="DW529" s="496" t="s">
        <v>1981</v>
      </c>
      <c r="DX529" s="497" t="s">
        <v>1982</v>
      </c>
      <c r="DZ529" s="543">
        <v>1</v>
      </c>
      <c r="EB529" s="493"/>
      <c r="EC529" s="493"/>
    </row>
    <row r="530" spans="5:133" ht="21" customHeight="1">
      <c r="E530" s="716"/>
      <c r="F530" s="724"/>
      <c r="G530" s="725"/>
      <c r="H530" s="724"/>
      <c r="I530" s="726"/>
      <c r="J530" s="950"/>
      <c r="K530" s="951"/>
      <c r="L530" s="793"/>
      <c r="M530" s="952"/>
      <c r="N530" s="953"/>
      <c r="O530" s="954"/>
      <c r="P530" s="955"/>
      <c r="Q530" s="956"/>
      <c r="R530" s="957"/>
      <c r="S530" s="800"/>
      <c r="T530" s="958"/>
      <c r="U530" s="802"/>
      <c r="V530" s="959"/>
      <c r="W530" s="960"/>
      <c r="X530" s="805"/>
      <c r="Y530" s="816"/>
      <c r="DO530" s="494"/>
      <c r="DP530" s="496" t="s">
        <v>2148</v>
      </c>
      <c r="DQ530" s="496" t="s">
        <v>8</v>
      </c>
      <c r="DR530" s="496" t="s">
        <v>689</v>
      </c>
      <c r="DS530" s="496" t="s">
        <v>2149</v>
      </c>
      <c r="DT530" s="496" t="s">
        <v>2149</v>
      </c>
      <c r="DU530" s="496" t="s">
        <v>1554</v>
      </c>
      <c r="DV530" s="496" t="s">
        <v>1555</v>
      </c>
      <c r="DW530" s="496" t="s">
        <v>1981</v>
      </c>
      <c r="DX530" s="497" t="s">
        <v>1982</v>
      </c>
      <c r="DZ530" s="543">
        <v>1</v>
      </c>
      <c r="EB530" s="493"/>
      <c r="EC530" s="493"/>
    </row>
    <row r="531" spans="5:133" ht="21" customHeight="1">
      <c r="E531" s="716"/>
      <c r="F531" s="724"/>
      <c r="G531" s="725"/>
      <c r="H531" s="724"/>
      <c r="I531" s="726"/>
      <c r="J531" s="950"/>
      <c r="K531" s="951"/>
      <c r="L531" s="793"/>
      <c r="M531" s="952"/>
      <c r="N531" s="953"/>
      <c r="O531" s="954"/>
      <c r="P531" s="955"/>
      <c r="Q531" s="956"/>
      <c r="R531" s="957"/>
      <c r="S531" s="800"/>
      <c r="T531" s="958"/>
      <c r="U531" s="802"/>
      <c r="V531" s="959"/>
      <c r="W531" s="960"/>
      <c r="X531" s="805"/>
      <c r="Y531" s="816"/>
      <c r="DO531" s="494"/>
      <c r="DP531" s="496" t="s">
        <v>2150</v>
      </c>
      <c r="DQ531" s="496" t="s">
        <v>8</v>
      </c>
      <c r="DR531" s="496" t="s">
        <v>689</v>
      </c>
      <c r="DS531" s="496" t="s">
        <v>2151</v>
      </c>
      <c r="DT531" s="496" t="s">
        <v>2151</v>
      </c>
      <c r="DU531" s="496" t="s">
        <v>1554</v>
      </c>
      <c r="DV531" s="496" t="s">
        <v>1555</v>
      </c>
      <c r="DW531" s="496" t="s">
        <v>1981</v>
      </c>
      <c r="DX531" s="497" t="s">
        <v>1982</v>
      </c>
      <c r="DZ531" s="543">
        <v>1</v>
      </c>
      <c r="EB531" s="493"/>
      <c r="EC531" s="493"/>
    </row>
    <row r="532" spans="5:133" ht="21" customHeight="1">
      <c r="E532" s="716"/>
      <c r="F532" s="724"/>
      <c r="G532" s="725"/>
      <c r="H532" s="724"/>
      <c r="I532" s="726"/>
      <c r="J532" s="950"/>
      <c r="K532" s="951"/>
      <c r="L532" s="793"/>
      <c r="M532" s="952"/>
      <c r="N532" s="953"/>
      <c r="O532" s="954"/>
      <c r="P532" s="955"/>
      <c r="Q532" s="956"/>
      <c r="R532" s="957"/>
      <c r="S532" s="800"/>
      <c r="T532" s="958"/>
      <c r="U532" s="802"/>
      <c r="V532" s="959"/>
      <c r="W532" s="960"/>
      <c r="X532" s="805"/>
      <c r="Y532" s="816"/>
      <c r="DO532" s="494"/>
      <c r="DP532" s="496" t="s">
        <v>2152</v>
      </c>
      <c r="DQ532" s="496" t="s">
        <v>8</v>
      </c>
      <c r="DR532" s="496" t="s">
        <v>689</v>
      </c>
      <c r="DS532" s="496" t="s">
        <v>2153</v>
      </c>
      <c r="DT532" s="496" t="s">
        <v>2153</v>
      </c>
      <c r="DU532" s="496" t="s">
        <v>1554</v>
      </c>
      <c r="DV532" s="496" t="s">
        <v>1555</v>
      </c>
      <c r="DW532" s="496" t="s">
        <v>1981</v>
      </c>
      <c r="DX532" s="497" t="s">
        <v>1982</v>
      </c>
      <c r="DZ532" s="543">
        <v>1</v>
      </c>
      <c r="EB532" s="493"/>
      <c r="EC532" s="493"/>
    </row>
    <row r="533" spans="5:133" ht="21" customHeight="1">
      <c r="E533" s="716"/>
      <c r="F533" s="724"/>
      <c r="G533" s="725"/>
      <c r="H533" s="724"/>
      <c r="I533" s="726"/>
      <c r="J533" s="950"/>
      <c r="K533" s="951"/>
      <c r="L533" s="793"/>
      <c r="M533" s="952"/>
      <c r="N533" s="953"/>
      <c r="O533" s="954"/>
      <c r="P533" s="955"/>
      <c r="Q533" s="956"/>
      <c r="R533" s="957"/>
      <c r="S533" s="800"/>
      <c r="T533" s="958"/>
      <c r="U533" s="802"/>
      <c r="V533" s="959"/>
      <c r="W533" s="960"/>
      <c r="X533" s="805"/>
      <c r="Y533" s="816"/>
      <c r="DO533" s="494"/>
      <c r="DP533" s="496" t="s">
        <v>2154</v>
      </c>
      <c r="DQ533" s="496" t="s">
        <v>8</v>
      </c>
      <c r="DR533" s="496" t="s">
        <v>689</v>
      </c>
      <c r="DS533" s="496" t="s">
        <v>2155</v>
      </c>
      <c r="DT533" s="496" t="s">
        <v>2155</v>
      </c>
      <c r="DU533" s="496" t="s">
        <v>1554</v>
      </c>
      <c r="DV533" s="496" t="s">
        <v>1555</v>
      </c>
      <c r="DW533" s="496" t="s">
        <v>1981</v>
      </c>
      <c r="DX533" s="497" t="s">
        <v>1982</v>
      </c>
      <c r="DZ533" s="543">
        <v>1</v>
      </c>
      <c r="EB533" s="493"/>
      <c r="EC533" s="493"/>
    </row>
    <row r="534" spans="5:133" ht="21" customHeight="1">
      <c r="E534" s="716"/>
      <c r="F534" s="724"/>
      <c r="G534" s="725"/>
      <c r="H534" s="724"/>
      <c r="I534" s="726"/>
      <c r="J534" s="950"/>
      <c r="K534" s="951"/>
      <c r="L534" s="793"/>
      <c r="M534" s="952"/>
      <c r="N534" s="953"/>
      <c r="O534" s="954"/>
      <c r="P534" s="955"/>
      <c r="Q534" s="956"/>
      <c r="R534" s="957"/>
      <c r="S534" s="800"/>
      <c r="T534" s="958"/>
      <c r="U534" s="802"/>
      <c r="V534" s="959"/>
      <c r="W534" s="960"/>
      <c r="X534" s="805"/>
      <c r="Y534" s="816"/>
      <c r="DO534" s="494"/>
      <c r="DP534" s="496" t="s">
        <v>2156</v>
      </c>
      <c r="DQ534" s="496" t="s">
        <v>8</v>
      </c>
      <c r="DR534" s="496" t="s">
        <v>689</v>
      </c>
      <c r="DS534" s="496" t="s">
        <v>2157</v>
      </c>
      <c r="DT534" s="496" t="s">
        <v>2157</v>
      </c>
      <c r="DU534" s="496" t="s">
        <v>1554</v>
      </c>
      <c r="DV534" s="496" t="s">
        <v>1555</v>
      </c>
      <c r="DW534" s="496" t="s">
        <v>1981</v>
      </c>
      <c r="DX534" s="497" t="s">
        <v>1982</v>
      </c>
      <c r="DZ534" s="543">
        <v>1</v>
      </c>
      <c r="EB534" s="493"/>
      <c r="EC534" s="493"/>
    </row>
    <row r="535" spans="5:133" ht="21" customHeight="1">
      <c r="E535" s="716"/>
      <c r="F535" s="724"/>
      <c r="G535" s="725"/>
      <c r="H535" s="724"/>
      <c r="I535" s="726"/>
      <c r="J535" s="950"/>
      <c r="K535" s="951"/>
      <c r="L535" s="793"/>
      <c r="M535" s="952"/>
      <c r="N535" s="953"/>
      <c r="O535" s="954"/>
      <c r="P535" s="955"/>
      <c r="Q535" s="956"/>
      <c r="R535" s="957"/>
      <c r="S535" s="800"/>
      <c r="T535" s="958"/>
      <c r="U535" s="802"/>
      <c r="V535" s="959"/>
      <c r="W535" s="960"/>
      <c r="X535" s="805"/>
      <c r="Y535" s="816"/>
      <c r="DO535" s="494"/>
      <c r="DP535" s="496" t="s">
        <v>2158</v>
      </c>
      <c r="DQ535" s="496" t="s">
        <v>8</v>
      </c>
      <c r="DR535" s="496" t="s">
        <v>689</v>
      </c>
      <c r="DS535" s="496" t="s">
        <v>2159</v>
      </c>
      <c r="DT535" s="496" t="s">
        <v>2159</v>
      </c>
      <c r="DU535" s="496" t="s">
        <v>1554</v>
      </c>
      <c r="DV535" s="496" t="s">
        <v>1555</v>
      </c>
      <c r="DW535" s="496" t="s">
        <v>1981</v>
      </c>
      <c r="DX535" s="497" t="s">
        <v>1982</v>
      </c>
      <c r="DZ535" s="543">
        <v>1</v>
      </c>
      <c r="EB535" s="493"/>
      <c r="EC535" s="493"/>
    </row>
    <row r="536" spans="5:133" ht="21" customHeight="1">
      <c r="E536" s="716"/>
      <c r="F536" s="724"/>
      <c r="G536" s="725"/>
      <c r="H536" s="724"/>
      <c r="I536" s="726"/>
      <c r="J536" s="950"/>
      <c r="K536" s="951"/>
      <c r="L536" s="793"/>
      <c r="M536" s="952"/>
      <c r="N536" s="953"/>
      <c r="O536" s="954"/>
      <c r="P536" s="955"/>
      <c r="Q536" s="956"/>
      <c r="R536" s="957"/>
      <c r="S536" s="800"/>
      <c r="T536" s="958"/>
      <c r="U536" s="802"/>
      <c r="V536" s="959"/>
      <c r="W536" s="960"/>
      <c r="X536" s="805"/>
      <c r="Y536" s="816"/>
      <c r="DO536" s="494"/>
      <c r="DP536" s="496" t="s">
        <v>2160</v>
      </c>
      <c r="DQ536" s="496" t="s">
        <v>8</v>
      </c>
      <c r="DR536" s="496" t="s">
        <v>689</v>
      </c>
      <c r="DS536" s="496" t="s">
        <v>2161</v>
      </c>
      <c r="DT536" s="496" t="s">
        <v>2161</v>
      </c>
      <c r="DU536" s="496" t="s">
        <v>1554</v>
      </c>
      <c r="DV536" s="496" t="s">
        <v>1555</v>
      </c>
      <c r="DW536" s="496" t="s">
        <v>1981</v>
      </c>
      <c r="DX536" s="497" t="s">
        <v>1982</v>
      </c>
      <c r="DZ536" s="543">
        <v>1</v>
      </c>
      <c r="EB536" s="493"/>
      <c r="EC536" s="493"/>
    </row>
    <row r="537" spans="5:133" ht="21" customHeight="1">
      <c r="E537" s="716"/>
      <c r="F537" s="724"/>
      <c r="G537" s="725"/>
      <c r="H537" s="724"/>
      <c r="I537" s="726"/>
      <c r="J537" s="950"/>
      <c r="K537" s="951"/>
      <c r="L537" s="793"/>
      <c r="M537" s="952"/>
      <c r="N537" s="953"/>
      <c r="O537" s="954"/>
      <c r="P537" s="955"/>
      <c r="Q537" s="956"/>
      <c r="R537" s="957"/>
      <c r="S537" s="800"/>
      <c r="T537" s="958"/>
      <c r="U537" s="802"/>
      <c r="V537" s="959"/>
      <c r="W537" s="960"/>
      <c r="X537" s="805"/>
      <c r="Y537" s="816"/>
      <c r="DO537" s="494"/>
      <c r="DP537" s="496" t="s">
        <v>2162</v>
      </c>
      <c r="DQ537" s="496" t="s">
        <v>8</v>
      </c>
      <c r="DR537" s="496" t="s">
        <v>689</v>
      </c>
      <c r="DS537" s="496" t="s">
        <v>2163</v>
      </c>
      <c r="DT537" s="496" t="s">
        <v>2163</v>
      </c>
      <c r="DU537" s="496" t="s">
        <v>1554</v>
      </c>
      <c r="DV537" s="496" t="s">
        <v>1555</v>
      </c>
      <c r="DW537" s="496" t="s">
        <v>1981</v>
      </c>
      <c r="DX537" s="497" t="s">
        <v>1982</v>
      </c>
      <c r="DZ537" s="543">
        <v>1</v>
      </c>
      <c r="EB537" s="493"/>
      <c r="EC537" s="493"/>
    </row>
    <row r="538" spans="5:133" ht="21" customHeight="1">
      <c r="E538" s="716"/>
      <c r="F538" s="724"/>
      <c r="G538" s="725"/>
      <c r="H538" s="724"/>
      <c r="I538" s="726"/>
      <c r="J538" s="950"/>
      <c r="K538" s="951"/>
      <c r="L538" s="793"/>
      <c r="M538" s="952"/>
      <c r="N538" s="953"/>
      <c r="O538" s="954"/>
      <c r="P538" s="955"/>
      <c r="Q538" s="956"/>
      <c r="R538" s="957"/>
      <c r="S538" s="800"/>
      <c r="T538" s="958"/>
      <c r="U538" s="802"/>
      <c r="V538" s="959"/>
      <c r="W538" s="960"/>
      <c r="X538" s="805"/>
      <c r="Y538" s="816"/>
      <c r="DO538" s="494"/>
      <c r="DP538" s="496" t="s">
        <v>2164</v>
      </c>
      <c r="DQ538" s="496" t="s">
        <v>8</v>
      </c>
      <c r="DR538" s="496" t="s">
        <v>689</v>
      </c>
      <c r="DS538" s="496" t="s">
        <v>2165</v>
      </c>
      <c r="DT538" s="496" t="s">
        <v>2165</v>
      </c>
      <c r="DU538" s="496" t="s">
        <v>1554</v>
      </c>
      <c r="DV538" s="496" t="s">
        <v>1555</v>
      </c>
      <c r="DW538" s="496" t="s">
        <v>1981</v>
      </c>
      <c r="DX538" s="497" t="s">
        <v>1982</v>
      </c>
      <c r="DZ538" s="543">
        <v>1</v>
      </c>
      <c r="EB538" s="493"/>
      <c r="EC538" s="493"/>
    </row>
    <row r="539" spans="5:133" ht="21" customHeight="1">
      <c r="E539" s="716"/>
      <c r="F539" s="724"/>
      <c r="G539" s="725"/>
      <c r="H539" s="724"/>
      <c r="I539" s="726"/>
      <c r="J539" s="950"/>
      <c r="K539" s="951"/>
      <c r="L539" s="793"/>
      <c r="M539" s="952"/>
      <c r="N539" s="953"/>
      <c r="O539" s="954"/>
      <c r="P539" s="955"/>
      <c r="Q539" s="956"/>
      <c r="R539" s="957"/>
      <c r="S539" s="800"/>
      <c r="T539" s="958"/>
      <c r="U539" s="802"/>
      <c r="V539" s="959"/>
      <c r="W539" s="960"/>
      <c r="X539" s="805"/>
      <c r="Y539" s="816"/>
      <c r="DO539" s="494"/>
      <c r="DP539" s="496" t="s">
        <v>2166</v>
      </c>
      <c r="DQ539" s="496" t="s">
        <v>8</v>
      </c>
      <c r="DR539" s="496" t="s">
        <v>689</v>
      </c>
      <c r="DS539" s="496" t="s">
        <v>2167</v>
      </c>
      <c r="DT539" s="496" t="s">
        <v>2167</v>
      </c>
      <c r="DU539" s="496" t="s">
        <v>1554</v>
      </c>
      <c r="DV539" s="496" t="s">
        <v>1555</v>
      </c>
      <c r="DW539" s="496" t="s">
        <v>1981</v>
      </c>
      <c r="DX539" s="497" t="s">
        <v>1982</v>
      </c>
      <c r="DZ539" s="543">
        <v>1</v>
      </c>
      <c r="EB539" s="493"/>
      <c r="EC539" s="493"/>
    </row>
    <row r="540" spans="5:133" ht="21" customHeight="1">
      <c r="E540" s="716"/>
      <c r="F540" s="724"/>
      <c r="G540" s="725"/>
      <c r="H540" s="724"/>
      <c r="I540" s="726"/>
      <c r="J540" s="950"/>
      <c r="K540" s="951"/>
      <c r="L540" s="793"/>
      <c r="M540" s="952"/>
      <c r="N540" s="953"/>
      <c r="O540" s="954"/>
      <c r="P540" s="955"/>
      <c r="Q540" s="956"/>
      <c r="R540" s="957"/>
      <c r="S540" s="800"/>
      <c r="T540" s="958"/>
      <c r="U540" s="802"/>
      <c r="V540" s="959"/>
      <c r="W540" s="960"/>
      <c r="X540" s="805"/>
      <c r="Y540" s="816"/>
      <c r="DO540" s="494"/>
      <c r="DP540" s="496" t="s">
        <v>2168</v>
      </c>
      <c r="DQ540" s="496" t="s">
        <v>8</v>
      </c>
      <c r="DR540" s="496" t="s">
        <v>689</v>
      </c>
      <c r="DS540" s="496" t="s">
        <v>2169</v>
      </c>
      <c r="DT540" s="496" t="s">
        <v>2169</v>
      </c>
      <c r="DU540" s="496" t="s">
        <v>1554</v>
      </c>
      <c r="DV540" s="496" t="s">
        <v>1555</v>
      </c>
      <c r="DW540" s="496" t="s">
        <v>1981</v>
      </c>
      <c r="DX540" s="497" t="s">
        <v>1982</v>
      </c>
      <c r="DZ540" s="543">
        <v>1</v>
      </c>
      <c r="EB540" s="493"/>
      <c r="EC540" s="493"/>
    </row>
    <row r="541" spans="5:133" ht="21" customHeight="1">
      <c r="E541" s="716"/>
      <c r="F541" s="724"/>
      <c r="G541" s="725"/>
      <c r="H541" s="724"/>
      <c r="I541" s="726"/>
      <c r="J541" s="950"/>
      <c r="K541" s="951"/>
      <c r="L541" s="793"/>
      <c r="M541" s="952"/>
      <c r="N541" s="953"/>
      <c r="O541" s="954"/>
      <c r="P541" s="955"/>
      <c r="Q541" s="956"/>
      <c r="R541" s="957"/>
      <c r="S541" s="800"/>
      <c r="T541" s="958"/>
      <c r="U541" s="802"/>
      <c r="V541" s="959"/>
      <c r="W541" s="960"/>
      <c r="X541" s="805"/>
      <c r="Y541" s="816"/>
      <c r="DO541" s="494"/>
      <c r="DP541" s="496" t="s">
        <v>2170</v>
      </c>
      <c r="DQ541" s="496" t="s">
        <v>8</v>
      </c>
      <c r="DR541" s="496" t="s">
        <v>689</v>
      </c>
      <c r="DS541" s="496" t="s">
        <v>2171</v>
      </c>
      <c r="DT541" s="496" t="s">
        <v>2171</v>
      </c>
      <c r="DU541" s="496" t="s">
        <v>1554</v>
      </c>
      <c r="DV541" s="496" t="s">
        <v>1555</v>
      </c>
      <c r="DW541" s="496" t="s">
        <v>1981</v>
      </c>
      <c r="DX541" s="497" t="s">
        <v>1982</v>
      </c>
      <c r="DZ541" s="543">
        <v>1</v>
      </c>
      <c r="EB541" s="493"/>
      <c r="EC541" s="493"/>
    </row>
    <row r="542" spans="5:133" ht="21" customHeight="1">
      <c r="E542" s="716"/>
      <c r="F542" s="724"/>
      <c r="G542" s="725"/>
      <c r="H542" s="724"/>
      <c r="I542" s="726"/>
      <c r="J542" s="950"/>
      <c r="K542" s="951"/>
      <c r="L542" s="793"/>
      <c r="M542" s="952"/>
      <c r="N542" s="953"/>
      <c r="O542" s="954"/>
      <c r="P542" s="955"/>
      <c r="Q542" s="956"/>
      <c r="R542" s="957"/>
      <c r="S542" s="800"/>
      <c r="T542" s="958"/>
      <c r="U542" s="802"/>
      <c r="V542" s="959"/>
      <c r="W542" s="960"/>
      <c r="X542" s="805"/>
      <c r="Y542" s="816"/>
      <c r="DO542" s="494"/>
      <c r="DP542" s="496" t="s">
        <v>2172</v>
      </c>
      <c r="DQ542" s="496" t="s">
        <v>8</v>
      </c>
      <c r="DR542" s="496" t="s">
        <v>689</v>
      </c>
      <c r="DS542" s="496" t="s">
        <v>2173</v>
      </c>
      <c r="DT542" s="496" t="s">
        <v>2173</v>
      </c>
      <c r="DU542" s="496" t="s">
        <v>1554</v>
      </c>
      <c r="DV542" s="496" t="s">
        <v>1555</v>
      </c>
      <c r="DW542" s="496" t="s">
        <v>1981</v>
      </c>
      <c r="DX542" s="497" t="s">
        <v>1982</v>
      </c>
      <c r="DZ542" s="543">
        <v>1</v>
      </c>
      <c r="EB542" s="493"/>
      <c r="EC542" s="493"/>
    </row>
    <row r="543" spans="5:133" ht="21" customHeight="1">
      <c r="E543" s="716"/>
      <c r="F543" s="724"/>
      <c r="G543" s="725"/>
      <c r="H543" s="724"/>
      <c r="I543" s="726"/>
      <c r="J543" s="950"/>
      <c r="K543" s="951"/>
      <c r="L543" s="793"/>
      <c r="M543" s="952"/>
      <c r="N543" s="953"/>
      <c r="O543" s="954"/>
      <c r="P543" s="955"/>
      <c r="Q543" s="956"/>
      <c r="R543" s="957"/>
      <c r="S543" s="800"/>
      <c r="T543" s="958"/>
      <c r="U543" s="802"/>
      <c r="V543" s="959"/>
      <c r="W543" s="960"/>
      <c r="X543" s="805"/>
      <c r="Y543" s="816"/>
      <c r="DO543" s="494"/>
      <c r="DP543" s="496" t="s">
        <v>2174</v>
      </c>
      <c r="DQ543" s="496" t="s">
        <v>8</v>
      </c>
      <c r="DR543" s="496" t="s">
        <v>689</v>
      </c>
      <c r="DS543" s="496" t="s">
        <v>2175</v>
      </c>
      <c r="DT543" s="496" t="s">
        <v>2175</v>
      </c>
      <c r="DU543" s="496" t="s">
        <v>1554</v>
      </c>
      <c r="DV543" s="496" t="s">
        <v>1555</v>
      </c>
      <c r="DW543" s="496" t="s">
        <v>1981</v>
      </c>
      <c r="DX543" s="497" t="s">
        <v>1982</v>
      </c>
      <c r="DZ543" s="543">
        <v>1</v>
      </c>
      <c r="EB543" s="493"/>
      <c r="EC543" s="493"/>
    </row>
    <row r="544" spans="5:133" ht="21" customHeight="1">
      <c r="E544" s="716"/>
      <c r="F544" s="724"/>
      <c r="G544" s="725"/>
      <c r="H544" s="724"/>
      <c r="I544" s="726"/>
      <c r="J544" s="950"/>
      <c r="K544" s="951"/>
      <c r="L544" s="793"/>
      <c r="M544" s="952"/>
      <c r="N544" s="953"/>
      <c r="O544" s="954"/>
      <c r="P544" s="955"/>
      <c r="Q544" s="956"/>
      <c r="R544" s="957"/>
      <c r="S544" s="800"/>
      <c r="T544" s="958"/>
      <c r="U544" s="802"/>
      <c r="V544" s="959"/>
      <c r="W544" s="960"/>
      <c r="X544" s="805"/>
      <c r="Y544" s="816"/>
      <c r="DO544" s="494"/>
      <c r="DP544" s="496" t="s">
        <v>2176</v>
      </c>
      <c r="DQ544" s="496" t="s">
        <v>8</v>
      </c>
      <c r="DR544" s="496" t="s">
        <v>689</v>
      </c>
      <c r="DS544" s="496" t="s">
        <v>2177</v>
      </c>
      <c r="DT544" s="496" t="s">
        <v>2177</v>
      </c>
      <c r="DU544" s="496" t="s">
        <v>1554</v>
      </c>
      <c r="DV544" s="496" t="s">
        <v>1555</v>
      </c>
      <c r="DW544" s="496" t="s">
        <v>1981</v>
      </c>
      <c r="DX544" s="497" t="s">
        <v>1982</v>
      </c>
      <c r="DZ544" s="543">
        <v>1</v>
      </c>
      <c r="EB544" s="493"/>
      <c r="EC544" s="493"/>
    </row>
    <row r="545" spans="5:133" ht="21" customHeight="1">
      <c r="E545" s="716"/>
      <c r="F545" s="724"/>
      <c r="G545" s="725"/>
      <c r="H545" s="724"/>
      <c r="I545" s="726"/>
      <c r="J545" s="950"/>
      <c r="K545" s="951"/>
      <c r="L545" s="793"/>
      <c r="M545" s="952"/>
      <c r="N545" s="953"/>
      <c r="O545" s="954"/>
      <c r="P545" s="955"/>
      <c r="Q545" s="956"/>
      <c r="R545" s="957"/>
      <c r="S545" s="800"/>
      <c r="T545" s="958"/>
      <c r="U545" s="802"/>
      <c r="V545" s="959"/>
      <c r="W545" s="960"/>
      <c r="X545" s="805"/>
      <c r="Y545" s="816"/>
      <c r="DO545" s="494"/>
      <c r="DP545" s="496" t="s">
        <v>2178</v>
      </c>
      <c r="DQ545" s="496" t="s">
        <v>8</v>
      </c>
      <c r="DR545" s="496" t="s">
        <v>689</v>
      </c>
      <c r="DS545" s="496" t="s">
        <v>2179</v>
      </c>
      <c r="DT545" s="496" t="s">
        <v>2179</v>
      </c>
      <c r="DU545" s="496" t="s">
        <v>1554</v>
      </c>
      <c r="DV545" s="496" t="s">
        <v>1555</v>
      </c>
      <c r="DW545" s="496" t="s">
        <v>1981</v>
      </c>
      <c r="DX545" s="497" t="s">
        <v>1982</v>
      </c>
      <c r="DZ545" s="543">
        <v>1</v>
      </c>
      <c r="EB545" s="493"/>
      <c r="EC545" s="493"/>
    </row>
    <row r="546" spans="5:133" ht="21" customHeight="1">
      <c r="E546" s="716"/>
      <c r="F546" s="724"/>
      <c r="G546" s="725"/>
      <c r="H546" s="724"/>
      <c r="I546" s="726"/>
      <c r="J546" s="950"/>
      <c r="K546" s="951"/>
      <c r="L546" s="793"/>
      <c r="M546" s="952"/>
      <c r="N546" s="953"/>
      <c r="O546" s="954"/>
      <c r="P546" s="955"/>
      <c r="Q546" s="956"/>
      <c r="R546" s="957"/>
      <c r="S546" s="800"/>
      <c r="T546" s="958"/>
      <c r="U546" s="802"/>
      <c r="V546" s="959"/>
      <c r="W546" s="960"/>
      <c r="X546" s="805"/>
      <c r="Y546" s="816"/>
      <c r="DO546" s="494"/>
      <c r="DP546" s="496" t="s">
        <v>2180</v>
      </c>
      <c r="DQ546" s="496" t="s">
        <v>8</v>
      </c>
      <c r="DR546" s="496" t="s">
        <v>689</v>
      </c>
      <c r="DS546" s="496" t="s">
        <v>2181</v>
      </c>
      <c r="DT546" s="496" t="s">
        <v>2181</v>
      </c>
      <c r="DU546" s="496" t="s">
        <v>1554</v>
      </c>
      <c r="DV546" s="496" t="s">
        <v>1555</v>
      </c>
      <c r="DW546" s="496" t="s">
        <v>1981</v>
      </c>
      <c r="DX546" s="497" t="s">
        <v>1982</v>
      </c>
      <c r="DZ546" s="543">
        <v>1</v>
      </c>
      <c r="EB546" s="493"/>
      <c r="EC546" s="493"/>
    </row>
    <row r="547" spans="5:133" ht="21" customHeight="1">
      <c r="E547" s="716"/>
      <c r="F547" s="724"/>
      <c r="G547" s="725"/>
      <c r="H547" s="724"/>
      <c r="I547" s="726"/>
      <c r="J547" s="950"/>
      <c r="K547" s="951"/>
      <c r="L547" s="793"/>
      <c r="M547" s="952"/>
      <c r="N547" s="953"/>
      <c r="O547" s="954"/>
      <c r="P547" s="955"/>
      <c r="Q547" s="956"/>
      <c r="R547" s="957"/>
      <c r="S547" s="800"/>
      <c r="T547" s="958"/>
      <c r="U547" s="802"/>
      <c r="V547" s="959"/>
      <c r="W547" s="960"/>
      <c r="X547" s="805"/>
      <c r="Y547" s="816"/>
      <c r="DO547" s="494"/>
      <c r="DP547" s="496" t="s">
        <v>2182</v>
      </c>
      <c r="DQ547" s="496" t="s">
        <v>8</v>
      </c>
      <c r="DR547" s="496" t="s">
        <v>689</v>
      </c>
      <c r="DS547" s="496" t="s">
        <v>2183</v>
      </c>
      <c r="DT547" s="496" t="s">
        <v>2183</v>
      </c>
      <c r="DU547" s="496" t="s">
        <v>1554</v>
      </c>
      <c r="DV547" s="496" t="s">
        <v>1555</v>
      </c>
      <c r="DW547" s="496" t="s">
        <v>1981</v>
      </c>
      <c r="DX547" s="497" t="s">
        <v>1982</v>
      </c>
      <c r="DZ547" s="543">
        <v>1</v>
      </c>
      <c r="EB547" s="493"/>
      <c r="EC547" s="493"/>
    </row>
    <row r="548" spans="5:133" ht="21" customHeight="1">
      <c r="E548" s="716"/>
      <c r="F548" s="724"/>
      <c r="G548" s="725"/>
      <c r="H548" s="724"/>
      <c r="I548" s="726"/>
      <c r="J548" s="950"/>
      <c r="K548" s="951"/>
      <c r="L548" s="793"/>
      <c r="M548" s="952"/>
      <c r="N548" s="953"/>
      <c r="O548" s="954"/>
      <c r="P548" s="955"/>
      <c r="Q548" s="956"/>
      <c r="R548" s="957"/>
      <c r="S548" s="800"/>
      <c r="T548" s="958"/>
      <c r="U548" s="802"/>
      <c r="V548" s="959"/>
      <c r="W548" s="960"/>
      <c r="X548" s="805"/>
      <c r="Y548" s="816"/>
      <c r="DO548" s="494"/>
      <c r="DP548" s="496" t="s">
        <v>2184</v>
      </c>
      <c r="DQ548" s="496" t="s">
        <v>8</v>
      </c>
      <c r="DR548" s="496" t="s">
        <v>689</v>
      </c>
      <c r="DS548" s="496" t="s">
        <v>2185</v>
      </c>
      <c r="DT548" s="496" t="s">
        <v>2185</v>
      </c>
      <c r="DU548" s="496" t="s">
        <v>1554</v>
      </c>
      <c r="DV548" s="496" t="s">
        <v>1555</v>
      </c>
      <c r="DW548" s="496" t="s">
        <v>1981</v>
      </c>
      <c r="DX548" s="497" t="s">
        <v>1982</v>
      </c>
      <c r="DZ548" s="543">
        <v>1</v>
      </c>
      <c r="EB548" s="493"/>
      <c r="EC548" s="493"/>
    </row>
    <row r="549" spans="5:133" ht="21" customHeight="1">
      <c r="E549" s="716"/>
      <c r="F549" s="724"/>
      <c r="G549" s="725"/>
      <c r="H549" s="724"/>
      <c r="I549" s="726"/>
      <c r="J549" s="950"/>
      <c r="K549" s="951"/>
      <c r="L549" s="793"/>
      <c r="M549" s="952"/>
      <c r="N549" s="953"/>
      <c r="O549" s="954"/>
      <c r="P549" s="955"/>
      <c r="Q549" s="956"/>
      <c r="R549" s="957"/>
      <c r="S549" s="800"/>
      <c r="T549" s="958"/>
      <c r="U549" s="802"/>
      <c r="V549" s="959"/>
      <c r="W549" s="960"/>
      <c r="X549" s="805"/>
      <c r="Y549" s="816"/>
      <c r="DO549" s="494"/>
      <c r="DP549" s="496" t="s">
        <v>2186</v>
      </c>
      <c r="DQ549" s="496" t="s">
        <v>8</v>
      </c>
      <c r="DR549" s="496" t="s">
        <v>689</v>
      </c>
      <c r="DS549" s="496" t="s">
        <v>2187</v>
      </c>
      <c r="DT549" s="496" t="s">
        <v>2187</v>
      </c>
      <c r="DU549" s="496" t="s">
        <v>1554</v>
      </c>
      <c r="DV549" s="496" t="s">
        <v>1555</v>
      </c>
      <c r="DW549" s="496" t="s">
        <v>1981</v>
      </c>
      <c r="DX549" s="497" t="s">
        <v>1982</v>
      </c>
      <c r="DZ549" s="543">
        <v>1</v>
      </c>
      <c r="EB549" s="493"/>
      <c r="EC549" s="493"/>
    </row>
    <row r="550" spans="5:133" ht="21" customHeight="1">
      <c r="E550" s="716"/>
      <c r="F550" s="724"/>
      <c r="G550" s="725"/>
      <c r="H550" s="724"/>
      <c r="I550" s="726"/>
      <c r="J550" s="950"/>
      <c r="K550" s="951"/>
      <c r="L550" s="793"/>
      <c r="M550" s="952"/>
      <c r="N550" s="953"/>
      <c r="O550" s="954"/>
      <c r="P550" s="955"/>
      <c r="Q550" s="956"/>
      <c r="R550" s="957"/>
      <c r="S550" s="800"/>
      <c r="T550" s="958"/>
      <c r="U550" s="802"/>
      <c r="V550" s="959"/>
      <c r="W550" s="960"/>
      <c r="X550" s="805"/>
      <c r="Y550" s="816"/>
      <c r="DO550" s="494"/>
      <c r="DP550" s="496" t="s">
        <v>2188</v>
      </c>
      <c r="DQ550" s="496" t="s">
        <v>8</v>
      </c>
      <c r="DR550" s="496" t="s">
        <v>689</v>
      </c>
      <c r="DS550" s="496" t="s">
        <v>2189</v>
      </c>
      <c r="DT550" s="496" t="s">
        <v>2189</v>
      </c>
      <c r="DU550" s="496" t="s">
        <v>1554</v>
      </c>
      <c r="DV550" s="496" t="s">
        <v>1555</v>
      </c>
      <c r="DW550" s="496" t="s">
        <v>1981</v>
      </c>
      <c r="DX550" s="497" t="s">
        <v>1982</v>
      </c>
      <c r="DZ550" s="543">
        <v>1</v>
      </c>
      <c r="EB550" s="493"/>
      <c r="EC550" s="493"/>
    </row>
    <row r="551" spans="5:133" ht="21" customHeight="1">
      <c r="E551" s="716"/>
      <c r="F551" s="724"/>
      <c r="G551" s="725"/>
      <c r="H551" s="724"/>
      <c r="I551" s="726"/>
      <c r="J551" s="950"/>
      <c r="K551" s="951"/>
      <c r="L551" s="793"/>
      <c r="M551" s="952"/>
      <c r="N551" s="953"/>
      <c r="O551" s="954"/>
      <c r="P551" s="955"/>
      <c r="Q551" s="956"/>
      <c r="R551" s="957"/>
      <c r="S551" s="800"/>
      <c r="T551" s="958"/>
      <c r="U551" s="802"/>
      <c r="V551" s="959"/>
      <c r="W551" s="960"/>
      <c r="X551" s="805"/>
      <c r="Y551" s="816"/>
      <c r="DO551" s="494"/>
      <c r="DP551" s="496" t="s">
        <v>2190</v>
      </c>
      <c r="DQ551" s="496" t="s">
        <v>8</v>
      </c>
      <c r="DR551" s="496" t="s">
        <v>689</v>
      </c>
      <c r="DS551" s="496" t="s">
        <v>2191</v>
      </c>
      <c r="DT551" s="496" t="s">
        <v>2191</v>
      </c>
      <c r="DU551" s="496" t="s">
        <v>1554</v>
      </c>
      <c r="DV551" s="496" t="s">
        <v>1555</v>
      </c>
      <c r="DW551" s="496" t="s">
        <v>1981</v>
      </c>
      <c r="DX551" s="497" t="s">
        <v>1982</v>
      </c>
      <c r="DZ551" s="543">
        <v>1</v>
      </c>
      <c r="EB551" s="493"/>
      <c r="EC551" s="493"/>
    </row>
    <row r="552" spans="5:133" ht="21" customHeight="1">
      <c r="E552" s="716"/>
      <c r="F552" s="724"/>
      <c r="G552" s="725"/>
      <c r="H552" s="724"/>
      <c r="I552" s="726"/>
      <c r="J552" s="950"/>
      <c r="K552" s="951"/>
      <c r="L552" s="793"/>
      <c r="M552" s="952"/>
      <c r="N552" s="953"/>
      <c r="O552" s="954"/>
      <c r="P552" s="955"/>
      <c r="Q552" s="956"/>
      <c r="R552" s="957"/>
      <c r="S552" s="800"/>
      <c r="T552" s="958"/>
      <c r="U552" s="802"/>
      <c r="V552" s="959"/>
      <c r="W552" s="960"/>
      <c r="X552" s="805"/>
      <c r="Y552" s="816"/>
      <c r="DO552" s="494"/>
      <c r="DP552" s="496" t="s">
        <v>2192</v>
      </c>
      <c r="DQ552" s="496" t="s">
        <v>8</v>
      </c>
      <c r="DR552" s="496" t="s">
        <v>689</v>
      </c>
      <c r="DS552" s="496" t="s">
        <v>2193</v>
      </c>
      <c r="DT552" s="496" t="s">
        <v>2193</v>
      </c>
      <c r="DU552" s="496" t="s">
        <v>1085</v>
      </c>
      <c r="DV552" s="496" t="s">
        <v>2063</v>
      </c>
      <c r="DW552" s="496" t="s">
        <v>1087</v>
      </c>
      <c r="DX552" s="497" t="s">
        <v>1088</v>
      </c>
      <c r="DZ552" s="543">
        <v>1</v>
      </c>
      <c r="EB552" s="493"/>
      <c r="EC552" s="493"/>
    </row>
    <row r="553" spans="5:133" ht="21" customHeight="1">
      <c r="E553" s="716"/>
      <c r="F553" s="724"/>
      <c r="G553" s="725"/>
      <c r="H553" s="724"/>
      <c r="I553" s="726"/>
      <c r="J553" s="950"/>
      <c r="K553" s="951"/>
      <c r="L553" s="793"/>
      <c r="M553" s="952"/>
      <c r="N553" s="953"/>
      <c r="O553" s="954"/>
      <c r="P553" s="955"/>
      <c r="Q553" s="956"/>
      <c r="R553" s="957"/>
      <c r="S553" s="800"/>
      <c r="T553" s="958"/>
      <c r="U553" s="802"/>
      <c r="V553" s="959"/>
      <c r="W553" s="960"/>
      <c r="X553" s="805"/>
      <c r="Y553" s="816"/>
      <c r="DO553" s="494"/>
      <c r="DP553" s="496" t="s">
        <v>2194</v>
      </c>
      <c r="DQ553" s="496" t="s">
        <v>8</v>
      </c>
      <c r="DR553" s="496" t="s">
        <v>689</v>
      </c>
      <c r="DS553" s="496" t="s">
        <v>855</v>
      </c>
      <c r="DT553" s="496" t="s">
        <v>855</v>
      </c>
      <c r="DU553" s="496" t="s">
        <v>1085</v>
      </c>
      <c r="DV553" s="496" t="s">
        <v>2063</v>
      </c>
      <c r="DW553" s="496" t="s">
        <v>1087</v>
      </c>
      <c r="DX553" s="497" t="s">
        <v>1088</v>
      </c>
      <c r="DZ553" s="543">
        <v>1</v>
      </c>
      <c r="EB553" s="493"/>
      <c r="EC553" s="493"/>
    </row>
    <row r="554" spans="5:133" ht="21" customHeight="1">
      <c r="E554" s="716"/>
      <c r="F554" s="724"/>
      <c r="G554" s="725"/>
      <c r="H554" s="724"/>
      <c r="I554" s="726"/>
      <c r="J554" s="950"/>
      <c r="K554" s="951"/>
      <c r="L554" s="793"/>
      <c r="M554" s="952"/>
      <c r="N554" s="953"/>
      <c r="O554" s="954"/>
      <c r="P554" s="955"/>
      <c r="Q554" s="956"/>
      <c r="R554" s="957"/>
      <c r="S554" s="800"/>
      <c r="T554" s="958"/>
      <c r="U554" s="802"/>
      <c r="V554" s="959"/>
      <c r="W554" s="960"/>
      <c r="X554" s="805"/>
      <c r="Y554" s="816"/>
      <c r="DO554" s="494"/>
      <c r="DP554" s="496" t="s">
        <v>2195</v>
      </c>
      <c r="DQ554" s="496" t="s">
        <v>8</v>
      </c>
      <c r="DR554" s="496" t="s">
        <v>689</v>
      </c>
      <c r="DS554" s="496" t="s">
        <v>2196</v>
      </c>
      <c r="DT554" s="496" t="s">
        <v>2196</v>
      </c>
      <c r="DU554" s="496" t="s">
        <v>1085</v>
      </c>
      <c r="DV554" s="496" t="s">
        <v>2063</v>
      </c>
      <c r="DW554" s="496" t="s">
        <v>1087</v>
      </c>
      <c r="DX554" s="497" t="s">
        <v>1088</v>
      </c>
      <c r="DZ554" s="543">
        <v>1</v>
      </c>
      <c r="EB554" s="493"/>
      <c r="EC554" s="493"/>
    </row>
    <row r="555" spans="5:133" ht="21" customHeight="1">
      <c r="E555" s="716"/>
      <c r="F555" s="724"/>
      <c r="G555" s="725"/>
      <c r="H555" s="724"/>
      <c r="I555" s="726"/>
      <c r="J555" s="950"/>
      <c r="K555" s="951"/>
      <c r="L555" s="793"/>
      <c r="M555" s="952"/>
      <c r="N555" s="953"/>
      <c r="O555" s="954"/>
      <c r="P555" s="955"/>
      <c r="Q555" s="956"/>
      <c r="R555" s="957"/>
      <c r="S555" s="800"/>
      <c r="T555" s="958"/>
      <c r="U555" s="802"/>
      <c r="V555" s="959"/>
      <c r="W555" s="960"/>
      <c r="X555" s="805"/>
      <c r="Y555" s="816"/>
      <c r="DO555" s="494"/>
      <c r="DP555" s="496" t="s">
        <v>2197</v>
      </c>
      <c r="DQ555" s="496" t="s">
        <v>8</v>
      </c>
      <c r="DR555" s="496" t="s">
        <v>689</v>
      </c>
      <c r="DS555" s="496" t="s">
        <v>2198</v>
      </c>
      <c r="DT555" s="496" t="s">
        <v>2198</v>
      </c>
      <c r="DU555" s="496" t="s">
        <v>1554</v>
      </c>
      <c r="DV555" s="496" t="s">
        <v>1555</v>
      </c>
      <c r="DW555" s="496" t="s">
        <v>1981</v>
      </c>
      <c r="DX555" s="497" t="s">
        <v>1982</v>
      </c>
      <c r="DZ555" s="543">
        <v>1</v>
      </c>
      <c r="EB555" s="493"/>
      <c r="EC555" s="493"/>
    </row>
    <row r="556" spans="5:133" ht="21" customHeight="1">
      <c r="E556" s="716"/>
      <c r="F556" s="724"/>
      <c r="G556" s="725"/>
      <c r="H556" s="724"/>
      <c r="I556" s="726"/>
      <c r="J556" s="950"/>
      <c r="K556" s="951"/>
      <c r="L556" s="793"/>
      <c r="M556" s="952"/>
      <c r="N556" s="953"/>
      <c r="O556" s="954"/>
      <c r="P556" s="955"/>
      <c r="Q556" s="956"/>
      <c r="R556" s="957"/>
      <c r="S556" s="800"/>
      <c r="T556" s="958"/>
      <c r="U556" s="802"/>
      <c r="V556" s="959"/>
      <c r="W556" s="960"/>
      <c r="X556" s="805"/>
      <c r="Y556" s="816"/>
      <c r="DO556" s="494"/>
      <c r="DP556" s="496" t="s">
        <v>2199</v>
      </c>
      <c r="DQ556" s="496" t="s">
        <v>8</v>
      </c>
      <c r="DR556" s="496" t="s">
        <v>689</v>
      </c>
      <c r="DS556" s="496" t="s">
        <v>2200</v>
      </c>
      <c r="DT556" s="496" t="s">
        <v>2200</v>
      </c>
      <c r="DU556" s="496" t="s">
        <v>1554</v>
      </c>
      <c r="DV556" s="496" t="s">
        <v>1555</v>
      </c>
      <c r="DW556" s="496" t="s">
        <v>1981</v>
      </c>
      <c r="DX556" s="497" t="s">
        <v>1982</v>
      </c>
      <c r="DZ556" s="543">
        <v>1</v>
      </c>
      <c r="EB556" s="493"/>
      <c r="EC556" s="493"/>
    </row>
    <row r="557" spans="5:133" ht="21" customHeight="1">
      <c r="E557" s="716"/>
      <c r="F557" s="724"/>
      <c r="G557" s="725"/>
      <c r="H557" s="724"/>
      <c r="I557" s="726"/>
      <c r="J557" s="950"/>
      <c r="K557" s="951"/>
      <c r="L557" s="793"/>
      <c r="M557" s="952"/>
      <c r="N557" s="953"/>
      <c r="O557" s="954"/>
      <c r="P557" s="955"/>
      <c r="Q557" s="956"/>
      <c r="R557" s="957"/>
      <c r="S557" s="800"/>
      <c r="T557" s="958"/>
      <c r="U557" s="802"/>
      <c r="V557" s="959"/>
      <c r="W557" s="960"/>
      <c r="X557" s="805"/>
      <c r="Y557" s="816"/>
      <c r="DO557" s="494"/>
      <c r="DP557" s="496" t="s">
        <v>2201</v>
      </c>
      <c r="DQ557" s="496" t="s">
        <v>8</v>
      </c>
      <c r="DR557" s="496" t="s">
        <v>689</v>
      </c>
      <c r="DS557" s="496" t="s">
        <v>2202</v>
      </c>
      <c r="DT557" s="496" t="s">
        <v>2202</v>
      </c>
      <c r="DU557" s="496" t="s">
        <v>1554</v>
      </c>
      <c r="DV557" s="496" t="s">
        <v>1555</v>
      </c>
      <c r="DW557" s="496" t="s">
        <v>1981</v>
      </c>
      <c r="DX557" s="497" t="s">
        <v>1982</v>
      </c>
      <c r="DZ557" s="543">
        <v>1</v>
      </c>
      <c r="EB557" s="493"/>
      <c r="EC557" s="493"/>
    </row>
    <row r="558" spans="5:133" ht="21" customHeight="1">
      <c r="E558" s="716"/>
      <c r="F558" s="724"/>
      <c r="G558" s="725"/>
      <c r="H558" s="724"/>
      <c r="I558" s="726"/>
      <c r="J558" s="950"/>
      <c r="K558" s="951"/>
      <c r="L558" s="793"/>
      <c r="M558" s="952"/>
      <c r="N558" s="953"/>
      <c r="O558" s="954"/>
      <c r="P558" s="955"/>
      <c r="Q558" s="956"/>
      <c r="R558" s="957"/>
      <c r="S558" s="800"/>
      <c r="T558" s="958"/>
      <c r="U558" s="802"/>
      <c r="V558" s="959"/>
      <c r="W558" s="960"/>
      <c r="X558" s="805"/>
      <c r="Y558" s="816"/>
      <c r="DO558" s="494"/>
      <c r="DP558" s="496" t="s">
        <v>2203</v>
      </c>
      <c r="DQ558" s="496" t="s">
        <v>8</v>
      </c>
      <c r="DR558" s="496" t="s">
        <v>689</v>
      </c>
      <c r="DS558" s="496" t="s">
        <v>2204</v>
      </c>
      <c r="DT558" s="496" t="s">
        <v>2204</v>
      </c>
      <c r="DU558" s="496" t="s">
        <v>1554</v>
      </c>
      <c r="DV558" s="496" t="s">
        <v>1555</v>
      </c>
      <c r="DW558" s="496" t="s">
        <v>1981</v>
      </c>
      <c r="DX558" s="497" t="s">
        <v>1982</v>
      </c>
      <c r="DZ558" s="543">
        <v>1</v>
      </c>
      <c r="EB558" s="493"/>
      <c r="EC558" s="493"/>
    </row>
    <row r="559" spans="5:133" ht="21" customHeight="1">
      <c r="E559" s="716"/>
      <c r="F559" s="724"/>
      <c r="G559" s="725"/>
      <c r="H559" s="724"/>
      <c r="I559" s="726"/>
      <c r="J559" s="950"/>
      <c r="K559" s="951"/>
      <c r="L559" s="793"/>
      <c r="M559" s="952"/>
      <c r="N559" s="953"/>
      <c r="O559" s="954"/>
      <c r="P559" s="955"/>
      <c r="Q559" s="956"/>
      <c r="R559" s="957"/>
      <c r="S559" s="800"/>
      <c r="T559" s="958"/>
      <c r="U559" s="802"/>
      <c r="V559" s="959"/>
      <c r="W559" s="960"/>
      <c r="X559" s="805"/>
      <c r="Y559" s="816"/>
      <c r="DO559" s="494"/>
      <c r="DP559" s="496" t="s">
        <v>2205</v>
      </c>
      <c r="DQ559" s="496" t="s">
        <v>8</v>
      </c>
      <c r="DR559" s="496" t="s">
        <v>689</v>
      </c>
      <c r="DS559" s="496" t="s">
        <v>2206</v>
      </c>
      <c r="DT559" s="496" t="s">
        <v>2206</v>
      </c>
      <c r="DU559" s="496" t="s">
        <v>1554</v>
      </c>
      <c r="DV559" s="496" t="s">
        <v>1555</v>
      </c>
      <c r="DW559" s="496" t="s">
        <v>1981</v>
      </c>
      <c r="DX559" s="497" t="s">
        <v>1982</v>
      </c>
      <c r="DZ559" s="543">
        <v>1</v>
      </c>
      <c r="EB559" s="493"/>
      <c r="EC559" s="493"/>
    </row>
    <row r="560" spans="5:133" ht="21" customHeight="1">
      <c r="E560" s="716"/>
      <c r="F560" s="724"/>
      <c r="G560" s="725"/>
      <c r="H560" s="724"/>
      <c r="I560" s="726"/>
      <c r="J560" s="950"/>
      <c r="K560" s="951"/>
      <c r="L560" s="793"/>
      <c r="M560" s="952"/>
      <c r="N560" s="953"/>
      <c r="O560" s="954"/>
      <c r="P560" s="955"/>
      <c r="Q560" s="956"/>
      <c r="R560" s="957"/>
      <c r="S560" s="800"/>
      <c r="T560" s="958"/>
      <c r="U560" s="802"/>
      <c r="V560" s="959"/>
      <c r="W560" s="960"/>
      <c r="X560" s="805"/>
      <c r="Y560" s="816"/>
      <c r="DO560" s="494"/>
      <c r="DP560" s="496" t="s">
        <v>2207</v>
      </c>
      <c r="DQ560" s="496" t="s">
        <v>8</v>
      </c>
      <c r="DR560" s="496" t="s">
        <v>689</v>
      </c>
      <c r="DS560" s="496" t="s">
        <v>2208</v>
      </c>
      <c r="DT560" s="496" t="s">
        <v>2208</v>
      </c>
      <c r="DU560" s="496" t="s">
        <v>1085</v>
      </c>
      <c r="DV560" s="496" t="s">
        <v>2063</v>
      </c>
      <c r="DW560" s="496" t="s">
        <v>1087</v>
      </c>
      <c r="DX560" s="497" t="s">
        <v>1088</v>
      </c>
      <c r="DZ560" s="543">
        <v>1</v>
      </c>
      <c r="EB560" s="493"/>
      <c r="EC560" s="493"/>
    </row>
    <row r="561" spans="5:133" ht="21" customHeight="1">
      <c r="E561" s="716"/>
      <c r="F561" s="724"/>
      <c r="G561" s="725"/>
      <c r="H561" s="724"/>
      <c r="I561" s="726"/>
      <c r="J561" s="950"/>
      <c r="K561" s="951"/>
      <c r="L561" s="793"/>
      <c r="M561" s="952"/>
      <c r="N561" s="953"/>
      <c r="O561" s="954"/>
      <c r="P561" s="955"/>
      <c r="Q561" s="956"/>
      <c r="R561" s="957"/>
      <c r="S561" s="800"/>
      <c r="T561" s="958"/>
      <c r="U561" s="802"/>
      <c r="V561" s="959"/>
      <c r="W561" s="960"/>
      <c r="X561" s="805"/>
      <c r="Y561" s="816"/>
      <c r="DO561" s="494"/>
      <c r="DP561" s="496" t="s">
        <v>2209</v>
      </c>
      <c r="DQ561" s="496" t="s">
        <v>8</v>
      </c>
      <c r="DR561" s="496" t="s">
        <v>689</v>
      </c>
      <c r="DS561" s="496" t="s">
        <v>942</v>
      </c>
      <c r="DT561" s="496" t="s">
        <v>942</v>
      </c>
      <c r="DU561" s="496" t="s">
        <v>1085</v>
      </c>
      <c r="DV561" s="496" t="s">
        <v>2063</v>
      </c>
      <c r="DW561" s="496" t="s">
        <v>1087</v>
      </c>
      <c r="DX561" s="497" t="s">
        <v>1088</v>
      </c>
      <c r="DZ561" s="543">
        <v>1</v>
      </c>
      <c r="EB561" s="493"/>
      <c r="EC561" s="493"/>
    </row>
    <row r="562" spans="5:133" ht="21" customHeight="1">
      <c r="E562" s="716"/>
      <c r="F562" s="724"/>
      <c r="G562" s="725"/>
      <c r="H562" s="724"/>
      <c r="I562" s="726"/>
      <c r="J562" s="950"/>
      <c r="K562" s="951"/>
      <c r="L562" s="793"/>
      <c r="M562" s="952"/>
      <c r="N562" s="953"/>
      <c r="O562" s="954"/>
      <c r="P562" s="955"/>
      <c r="Q562" s="956"/>
      <c r="R562" s="957"/>
      <c r="S562" s="800"/>
      <c r="T562" s="958"/>
      <c r="U562" s="802"/>
      <c r="V562" s="959"/>
      <c r="W562" s="960"/>
      <c r="X562" s="805"/>
      <c r="Y562" s="816"/>
      <c r="DO562" s="494"/>
      <c r="DP562" s="496" t="s">
        <v>2210</v>
      </c>
      <c r="DQ562" s="496" t="s">
        <v>8</v>
      </c>
      <c r="DR562" s="496" t="s">
        <v>689</v>
      </c>
      <c r="DS562" s="496" t="s">
        <v>2211</v>
      </c>
      <c r="DT562" s="496" t="s">
        <v>2211</v>
      </c>
      <c r="DU562" s="496" t="s">
        <v>1554</v>
      </c>
      <c r="DV562" s="496" t="s">
        <v>1555</v>
      </c>
      <c r="DW562" s="496" t="s">
        <v>1981</v>
      </c>
      <c r="DX562" s="497" t="s">
        <v>1982</v>
      </c>
      <c r="DZ562" s="543">
        <v>1</v>
      </c>
      <c r="EB562" s="493"/>
      <c r="EC562" s="493"/>
    </row>
    <row r="563" spans="5:133" ht="21" customHeight="1">
      <c r="E563" s="716"/>
      <c r="F563" s="724"/>
      <c r="G563" s="725"/>
      <c r="H563" s="724"/>
      <c r="I563" s="726"/>
      <c r="J563" s="950"/>
      <c r="K563" s="951"/>
      <c r="L563" s="793"/>
      <c r="M563" s="952"/>
      <c r="N563" s="953"/>
      <c r="O563" s="954"/>
      <c r="P563" s="955"/>
      <c r="Q563" s="956"/>
      <c r="R563" s="957"/>
      <c r="S563" s="800"/>
      <c r="T563" s="958"/>
      <c r="U563" s="802"/>
      <c r="V563" s="959"/>
      <c r="W563" s="960"/>
      <c r="X563" s="805"/>
      <c r="Y563" s="816"/>
      <c r="DO563" s="494"/>
      <c r="DP563" s="496" t="s">
        <v>2212</v>
      </c>
      <c r="DQ563" s="496" t="s">
        <v>8</v>
      </c>
      <c r="DR563" s="496" t="s">
        <v>689</v>
      </c>
      <c r="DS563" s="496" t="s">
        <v>2213</v>
      </c>
      <c r="DT563" s="496" t="s">
        <v>2213</v>
      </c>
      <c r="DU563" s="496" t="s">
        <v>1554</v>
      </c>
      <c r="DV563" s="496" t="s">
        <v>1555</v>
      </c>
      <c r="DW563" s="496" t="s">
        <v>1981</v>
      </c>
      <c r="DX563" s="497" t="s">
        <v>1982</v>
      </c>
      <c r="DZ563" s="543">
        <v>1</v>
      </c>
      <c r="EB563" s="493"/>
      <c r="EC563" s="493"/>
    </row>
    <row r="564" spans="5:133" ht="21" customHeight="1">
      <c r="E564" s="716"/>
      <c r="F564" s="724"/>
      <c r="G564" s="725"/>
      <c r="H564" s="724"/>
      <c r="I564" s="726"/>
      <c r="J564" s="950"/>
      <c r="K564" s="951"/>
      <c r="L564" s="793"/>
      <c r="M564" s="952"/>
      <c r="N564" s="953"/>
      <c r="O564" s="954"/>
      <c r="P564" s="955"/>
      <c r="Q564" s="956"/>
      <c r="R564" s="957"/>
      <c r="S564" s="800"/>
      <c r="T564" s="958"/>
      <c r="U564" s="802"/>
      <c r="V564" s="959"/>
      <c r="W564" s="960"/>
      <c r="X564" s="805"/>
      <c r="Y564" s="816"/>
      <c r="DO564" s="494"/>
      <c r="DP564" s="496" t="s">
        <v>2214</v>
      </c>
      <c r="DQ564" s="496" t="s">
        <v>8</v>
      </c>
      <c r="DR564" s="496" t="s">
        <v>689</v>
      </c>
      <c r="DS564" s="496" t="s">
        <v>1020</v>
      </c>
      <c r="DT564" s="496" t="s">
        <v>1020</v>
      </c>
      <c r="DU564" s="496" t="s">
        <v>1554</v>
      </c>
      <c r="DV564" s="496" t="s">
        <v>1555</v>
      </c>
      <c r="DW564" s="496" t="s">
        <v>1981</v>
      </c>
      <c r="DX564" s="497" t="s">
        <v>1982</v>
      </c>
      <c r="DZ564" s="543">
        <v>1</v>
      </c>
      <c r="EB564" s="493"/>
      <c r="EC564" s="493"/>
    </row>
    <row r="565" spans="5:133" ht="21" customHeight="1">
      <c r="E565" s="716"/>
      <c r="F565" s="724"/>
      <c r="G565" s="725"/>
      <c r="H565" s="724"/>
      <c r="I565" s="726"/>
      <c r="J565" s="950"/>
      <c r="K565" s="951"/>
      <c r="L565" s="793"/>
      <c r="M565" s="952"/>
      <c r="N565" s="953"/>
      <c r="O565" s="954"/>
      <c r="P565" s="955"/>
      <c r="Q565" s="956"/>
      <c r="R565" s="957"/>
      <c r="S565" s="800"/>
      <c r="T565" s="958"/>
      <c r="U565" s="802"/>
      <c r="V565" s="959"/>
      <c r="W565" s="960"/>
      <c r="X565" s="805"/>
      <c r="Y565" s="816"/>
      <c r="DO565" s="494"/>
      <c r="DP565" s="496" t="s">
        <v>2215</v>
      </c>
      <c r="DQ565" s="496" t="s">
        <v>8</v>
      </c>
      <c r="DR565" s="496" t="s">
        <v>689</v>
      </c>
      <c r="DS565" s="496" t="s">
        <v>2216</v>
      </c>
      <c r="DT565" s="496" t="s">
        <v>2216</v>
      </c>
      <c r="DU565" s="496" t="s">
        <v>1554</v>
      </c>
      <c r="DV565" s="496" t="s">
        <v>1555</v>
      </c>
      <c r="DW565" s="496" t="s">
        <v>1981</v>
      </c>
      <c r="DX565" s="497" t="s">
        <v>1982</v>
      </c>
      <c r="DZ565" s="543">
        <v>1</v>
      </c>
      <c r="EB565" s="493"/>
      <c r="EC565" s="493"/>
    </row>
    <row r="566" spans="5:133" ht="21" customHeight="1">
      <c r="E566" s="716"/>
      <c r="F566" s="724"/>
      <c r="G566" s="725"/>
      <c r="H566" s="724"/>
      <c r="I566" s="726"/>
      <c r="J566" s="950"/>
      <c r="K566" s="951"/>
      <c r="L566" s="793"/>
      <c r="M566" s="952"/>
      <c r="N566" s="953"/>
      <c r="O566" s="954"/>
      <c r="P566" s="955"/>
      <c r="Q566" s="956"/>
      <c r="R566" s="957"/>
      <c r="S566" s="800"/>
      <c r="T566" s="958"/>
      <c r="U566" s="802"/>
      <c r="V566" s="959"/>
      <c r="W566" s="960"/>
      <c r="X566" s="805"/>
      <c r="Y566" s="816"/>
      <c r="DO566" s="494"/>
      <c r="DP566" s="496" t="s">
        <v>2217</v>
      </c>
      <c r="DQ566" s="496" t="s">
        <v>8</v>
      </c>
      <c r="DR566" s="496" t="s">
        <v>689</v>
      </c>
      <c r="DS566" s="496" t="s">
        <v>2218</v>
      </c>
      <c r="DT566" s="496" t="s">
        <v>2218</v>
      </c>
      <c r="DU566" s="496" t="s">
        <v>1554</v>
      </c>
      <c r="DV566" s="496" t="s">
        <v>1555</v>
      </c>
      <c r="DW566" s="496" t="s">
        <v>1981</v>
      </c>
      <c r="DX566" s="497" t="s">
        <v>1982</v>
      </c>
      <c r="DZ566" s="543">
        <v>1</v>
      </c>
      <c r="EB566" s="493"/>
      <c r="EC566" s="493"/>
    </row>
    <row r="567" spans="5:133" ht="21" customHeight="1">
      <c r="E567" s="716"/>
      <c r="F567" s="724"/>
      <c r="G567" s="725"/>
      <c r="H567" s="724"/>
      <c r="I567" s="726"/>
      <c r="J567" s="950"/>
      <c r="K567" s="951"/>
      <c r="L567" s="793"/>
      <c r="M567" s="952"/>
      <c r="N567" s="953"/>
      <c r="O567" s="954"/>
      <c r="P567" s="955"/>
      <c r="Q567" s="956"/>
      <c r="R567" s="957"/>
      <c r="S567" s="800"/>
      <c r="T567" s="958"/>
      <c r="U567" s="802"/>
      <c r="V567" s="959"/>
      <c r="W567" s="960"/>
      <c r="X567" s="805"/>
      <c r="Y567" s="816"/>
      <c r="DO567" s="494"/>
      <c r="DP567" s="496" t="s">
        <v>2219</v>
      </c>
      <c r="DQ567" s="496" t="s">
        <v>8</v>
      </c>
      <c r="DR567" s="496" t="s">
        <v>689</v>
      </c>
      <c r="DS567" s="496" t="s">
        <v>69</v>
      </c>
      <c r="DT567" s="496" t="s">
        <v>69</v>
      </c>
      <c r="DU567" s="496" t="s">
        <v>1554</v>
      </c>
      <c r="DV567" s="496" t="s">
        <v>1555</v>
      </c>
      <c r="DW567" s="496" t="s">
        <v>1981</v>
      </c>
      <c r="DX567" s="497" t="s">
        <v>1982</v>
      </c>
      <c r="DZ567" s="543">
        <v>1</v>
      </c>
      <c r="EB567" s="493"/>
      <c r="EC567" s="493"/>
    </row>
    <row r="568" spans="5:133" ht="21" customHeight="1">
      <c r="E568" s="716"/>
      <c r="F568" s="724"/>
      <c r="G568" s="725"/>
      <c r="H568" s="724"/>
      <c r="I568" s="726"/>
      <c r="J568" s="950"/>
      <c r="K568" s="951"/>
      <c r="L568" s="793"/>
      <c r="M568" s="952"/>
      <c r="N568" s="953"/>
      <c r="O568" s="954"/>
      <c r="P568" s="955"/>
      <c r="Q568" s="956"/>
      <c r="R568" s="957"/>
      <c r="S568" s="800"/>
      <c r="T568" s="958"/>
      <c r="U568" s="802"/>
      <c r="V568" s="959"/>
      <c r="W568" s="960"/>
      <c r="X568" s="805"/>
      <c r="Y568" s="816"/>
      <c r="DO568" s="494"/>
      <c r="DP568" s="496" t="s">
        <v>2220</v>
      </c>
      <c r="DQ568" s="496" t="s">
        <v>8</v>
      </c>
      <c r="DR568" s="496" t="s">
        <v>689</v>
      </c>
      <c r="DS568" s="496" t="s">
        <v>2221</v>
      </c>
      <c r="DT568" s="496" t="s">
        <v>2221</v>
      </c>
      <c r="DU568" s="496" t="s">
        <v>1554</v>
      </c>
      <c r="DV568" s="496" t="s">
        <v>1555</v>
      </c>
      <c r="DW568" s="496" t="s">
        <v>1981</v>
      </c>
      <c r="DX568" s="497" t="s">
        <v>1982</v>
      </c>
      <c r="DZ568" s="543">
        <v>1</v>
      </c>
      <c r="EB568" s="493"/>
      <c r="EC568" s="493"/>
    </row>
    <row r="569" spans="5:133" ht="21" customHeight="1">
      <c r="E569" s="716"/>
      <c r="F569" s="724"/>
      <c r="G569" s="725"/>
      <c r="H569" s="724"/>
      <c r="I569" s="726"/>
      <c r="J569" s="950"/>
      <c r="K569" s="951"/>
      <c r="L569" s="793"/>
      <c r="M569" s="952"/>
      <c r="N569" s="953"/>
      <c r="O569" s="954"/>
      <c r="P569" s="955"/>
      <c r="Q569" s="956"/>
      <c r="R569" s="957"/>
      <c r="S569" s="800"/>
      <c r="T569" s="958"/>
      <c r="U569" s="802"/>
      <c r="V569" s="959"/>
      <c r="W569" s="960"/>
      <c r="X569" s="805"/>
      <c r="Y569" s="816"/>
      <c r="DO569" s="494"/>
      <c r="DP569" s="496" t="s">
        <v>2222</v>
      </c>
      <c r="DQ569" s="496" t="s">
        <v>8</v>
      </c>
      <c r="DR569" s="496" t="s">
        <v>689</v>
      </c>
      <c r="DS569" s="496" t="s">
        <v>2223</v>
      </c>
      <c r="DT569" s="496" t="s">
        <v>2223</v>
      </c>
      <c r="DU569" s="496" t="s">
        <v>1554</v>
      </c>
      <c r="DV569" s="496" t="s">
        <v>1555</v>
      </c>
      <c r="DW569" s="496" t="s">
        <v>1981</v>
      </c>
      <c r="DX569" s="497" t="s">
        <v>1982</v>
      </c>
      <c r="DZ569" s="543">
        <v>1</v>
      </c>
      <c r="EB569" s="493"/>
      <c r="EC569" s="493"/>
    </row>
    <row r="570" spans="5:133" ht="21" customHeight="1">
      <c r="E570" s="716"/>
      <c r="F570" s="724"/>
      <c r="G570" s="725"/>
      <c r="H570" s="724"/>
      <c r="I570" s="726"/>
      <c r="J570" s="950"/>
      <c r="K570" s="951"/>
      <c r="L570" s="793"/>
      <c r="M570" s="952"/>
      <c r="N570" s="953"/>
      <c r="O570" s="954"/>
      <c r="P570" s="955"/>
      <c r="Q570" s="956"/>
      <c r="R570" s="957"/>
      <c r="S570" s="800"/>
      <c r="T570" s="958"/>
      <c r="U570" s="802"/>
      <c r="V570" s="959"/>
      <c r="W570" s="960"/>
      <c r="X570" s="805"/>
      <c r="Y570" s="816"/>
      <c r="DO570" s="494"/>
      <c r="DP570" s="496" t="s">
        <v>2224</v>
      </c>
      <c r="DQ570" s="496" t="s">
        <v>8</v>
      </c>
      <c r="DR570" s="496" t="s">
        <v>689</v>
      </c>
      <c r="DS570" s="496" t="s">
        <v>2225</v>
      </c>
      <c r="DT570" s="496" t="s">
        <v>2225</v>
      </c>
      <c r="DU570" s="496" t="s">
        <v>1554</v>
      </c>
      <c r="DV570" s="496" t="s">
        <v>1555</v>
      </c>
      <c r="DW570" s="496" t="s">
        <v>1981</v>
      </c>
      <c r="DX570" s="497" t="s">
        <v>1982</v>
      </c>
      <c r="DZ570" s="543">
        <v>1</v>
      </c>
      <c r="EB570" s="493"/>
      <c r="EC570" s="493"/>
    </row>
    <row r="571" spans="5:133" ht="21" customHeight="1">
      <c r="E571" s="716"/>
      <c r="F571" s="724"/>
      <c r="G571" s="725"/>
      <c r="H571" s="724"/>
      <c r="I571" s="726"/>
      <c r="J571" s="950"/>
      <c r="K571" s="951"/>
      <c r="L571" s="793"/>
      <c r="M571" s="952"/>
      <c r="N571" s="953"/>
      <c r="O571" s="954"/>
      <c r="P571" s="955"/>
      <c r="Q571" s="956"/>
      <c r="R571" s="957"/>
      <c r="S571" s="800"/>
      <c r="T571" s="958"/>
      <c r="U571" s="802"/>
      <c r="V571" s="959"/>
      <c r="W571" s="960"/>
      <c r="X571" s="805"/>
      <c r="Y571" s="816"/>
      <c r="DO571" s="494"/>
      <c r="DP571" s="496" t="s">
        <v>2226</v>
      </c>
      <c r="DQ571" s="496" t="s">
        <v>8</v>
      </c>
      <c r="DR571" s="496" t="s">
        <v>689</v>
      </c>
      <c r="DS571" s="496" t="s">
        <v>2227</v>
      </c>
      <c r="DT571" s="496" t="s">
        <v>2227</v>
      </c>
      <c r="DU571" s="496" t="s">
        <v>1554</v>
      </c>
      <c r="DV571" s="496" t="s">
        <v>1555</v>
      </c>
      <c r="DW571" s="496" t="s">
        <v>1981</v>
      </c>
      <c r="DX571" s="497" t="s">
        <v>1982</v>
      </c>
      <c r="DZ571" s="543">
        <v>1</v>
      </c>
      <c r="EB571" s="493"/>
      <c r="EC571" s="493"/>
    </row>
    <row r="572" spans="5:133" ht="21" customHeight="1">
      <c r="E572" s="716"/>
      <c r="F572" s="724"/>
      <c r="G572" s="725"/>
      <c r="H572" s="724"/>
      <c r="I572" s="726"/>
      <c r="J572" s="950"/>
      <c r="K572" s="951"/>
      <c r="L572" s="793"/>
      <c r="M572" s="952"/>
      <c r="N572" s="953"/>
      <c r="O572" s="954"/>
      <c r="P572" s="955"/>
      <c r="Q572" s="956"/>
      <c r="R572" s="957"/>
      <c r="S572" s="800"/>
      <c r="T572" s="958"/>
      <c r="U572" s="802"/>
      <c r="V572" s="959"/>
      <c r="W572" s="960"/>
      <c r="X572" s="805"/>
      <c r="Y572" s="816"/>
      <c r="DO572" s="494"/>
      <c r="DP572" s="496" t="s">
        <v>2228</v>
      </c>
      <c r="DQ572" s="496" t="s">
        <v>8</v>
      </c>
      <c r="DR572" s="496" t="s">
        <v>689</v>
      </c>
      <c r="DS572" s="496" t="s">
        <v>2229</v>
      </c>
      <c r="DT572" s="496" t="s">
        <v>2229</v>
      </c>
      <c r="DU572" s="496" t="s">
        <v>1554</v>
      </c>
      <c r="DV572" s="496" t="s">
        <v>1555</v>
      </c>
      <c r="DW572" s="496" t="s">
        <v>1981</v>
      </c>
      <c r="DX572" s="497" t="s">
        <v>1982</v>
      </c>
      <c r="DZ572" s="543">
        <v>1</v>
      </c>
      <c r="EB572" s="493"/>
      <c r="EC572" s="493"/>
    </row>
    <row r="573" spans="5:133" ht="21" customHeight="1">
      <c r="E573" s="716"/>
      <c r="F573" s="724"/>
      <c r="G573" s="725"/>
      <c r="H573" s="724"/>
      <c r="I573" s="726"/>
      <c r="J573" s="950"/>
      <c r="K573" s="951"/>
      <c r="L573" s="793"/>
      <c r="M573" s="952"/>
      <c r="N573" s="953"/>
      <c r="O573" s="954"/>
      <c r="P573" s="955"/>
      <c r="Q573" s="956"/>
      <c r="R573" s="957"/>
      <c r="S573" s="800"/>
      <c r="T573" s="958"/>
      <c r="U573" s="802"/>
      <c r="V573" s="959"/>
      <c r="W573" s="960"/>
      <c r="X573" s="805"/>
      <c r="Y573" s="816"/>
      <c r="DO573" s="494"/>
      <c r="DP573" s="496" t="s">
        <v>2230</v>
      </c>
      <c r="DQ573" s="496" t="s">
        <v>8</v>
      </c>
      <c r="DR573" s="496" t="s">
        <v>689</v>
      </c>
      <c r="DS573" s="496" t="s">
        <v>2231</v>
      </c>
      <c r="DT573" s="496" t="s">
        <v>2231</v>
      </c>
      <c r="DU573" s="496" t="s">
        <v>1554</v>
      </c>
      <c r="DV573" s="496" t="s">
        <v>1555</v>
      </c>
      <c r="DW573" s="496" t="s">
        <v>1981</v>
      </c>
      <c r="DX573" s="497" t="s">
        <v>1982</v>
      </c>
      <c r="DZ573" s="543">
        <v>1</v>
      </c>
      <c r="EB573" s="493"/>
      <c r="EC573" s="493"/>
    </row>
    <row r="574" spans="5:133" ht="21" customHeight="1">
      <c r="E574" s="716"/>
      <c r="F574" s="724"/>
      <c r="G574" s="725"/>
      <c r="H574" s="724"/>
      <c r="I574" s="726"/>
      <c r="J574" s="950"/>
      <c r="K574" s="951"/>
      <c r="L574" s="793"/>
      <c r="M574" s="952"/>
      <c r="N574" s="953"/>
      <c r="O574" s="954"/>
      <c r="P574" s="955"/>
      <c r="Q574" s="956"/>
      <c r="R574" s="957"/>
      <c r="S574" s="800"/>
      <c r="T574" s="958"/>
      <c r="U574" s="802"/>
      <c r="V574" s="959"/>
      <c r="W574" s="960"/>
      <c r="X574" s="805"/>
      <c r="Y574" s="816"/>
      <c r="DO574" s="494"/>
      <c r="DP574" s="496" t="s">
        <v>2232</v>
      </c>
      <c r="DQ574" s="496" t="s">
        <v>8</v>
      </c>
      <c r="DR574" s="496" t="s">
        <v>689</v>
      </c>
      <c r="DS574" s="496" t="s">
        <v>2233</v>
      </c>
      <c r="DT574" s="496" t="s">
        <v>2233</v>
      </c>
      <c r="DU574" s="496" t="s">
        <v>1554</v>
      </c>
      <c r="DV574" s="496" t="s">
        <v>1555</v>
      </c>
      <c r="DW574" s="496" t="s">
        <v>1981</v>
      </c>
      <c r="DX574" s="497" t="s">
        <v>1982</v>
      </c>
      <c r="DZ574" s="543">
        <v>1</v>
      </c>
      <c r="EB574" s="493"/>
      <c r="EC574" s="493"/>
    </row>
    <row r="575" spans="5:133" ht="21" customHeight="1">
      <c r="E575" s="716"/>
      <c r="F575" s="724"/>
      <c r="G575" s="725"/>
      <c r="H575" s="724"/>
      <c r="I575" s="726"/>
      <c r="J575" s="950"/>
      <c r="K575" s="951"/>
      <c r="L575" s="793"/>
      <c r="M575" s="952"/>
      <c r="N575" s="953"/>
      <c r="O575" s="954"/>
      <c r="P575" s="955"/>
      <c r="Q575" s="956"/>
      <c r="R575" s="957"/>
      <c r="S575" s="800"/>
      <c r="T575" s="958"/>
      <c r="U575" s="802"/>
      <c r="V575" s="959"/>
      <c r="W575" s="960"/>
      <c r="X575" s="805"/>
      <c r="Y575" s="816"/>
      <c r="DO575" s="494"/>
      <c r="DP575" s="496" t="s">
        <v>2234</v>
      </c>
      <c r="DQ575" s="496" t="s">
        <v>8</v>
      </c>
      <c r="DR575" s="496" t="s">
        <v>689</v>
      </c>
      <c r="DS575" s="496" t="s">
        <v>2235</v>
      </c>
      <c r="DT575" s="496" t="s">
        <v>2235</v>
      </c>
      <c r="DU575" s="496" t="s">
        <v>1554</v>
      </c>
      <c r="DV575" s="496" t="s">
        <v>1555</v>
      </c>
      <c r="DW575" s="496" t="s">
        <v>1981</v>
      </c>
      <c r="DX575" s="497" t="s">
        <v>1982</v>
      </c>
      <c r="DZ575" s="543">
        <v>1</v>
      </c>
      <c r="EB575" s="493"/>
      <c r="EC575" s="493"/>
    </row>
    <row r="576" spans="5:133" ht="21" customHeight="1">
      <c r="E576" s="716"/>
      <c r="F576" s="724"/>
      <c r="G576" s="725"/>
      <c r="H576" s="724"/>
      <c r="I576" s="726"/>
      <c r="J576" s="950"/>
      <c r="K576" s="951"/>
      <c r="L576" s="793"/>
      <c r="M576" s="952"/>
      <c r="N576" s="953"/>
      <c r="O576" s="954"/>
      <c r="P576" s="955"/>
      <c r="Q576" s="956"/>
      <c r="R576" s="957"/>
      <c r="S576" s="800"/>
      <c r="T576" s="958"/>
      <c r="U576" s="802"/>
      <c r="V576" s="959"/>
      <c r="W576" s="960"/>
      <c r="X576" s="805"/>
      <c r="Y576" s="816"/>
      <c r="DO576" s="494"/>
      <c r="DP576" s="496" t="s">
        <v>2236</v>
      </c>
      <c r="DQ576" s="496" t="s">
        <v>8</v>
      </c>
      <c r="DR576" s="496" t="s">
        <v>689</v>
      </c>
      <c r="DS576" s="496" t="s">
        <v>2237</v>
      </c>
      <c r="DT576" s="496" t="s">
        <v>2237</v>
      </c>
      <c r="DU576" s="496" t="s">
        <v>1554</v>
      </c>
      <c r="DV576" s="496" t="s">
        <v>1555</v>
      </c>
      <c r="DW576" s="496" t="s">
        <v>1981</v>
      </c>
      <c r="DX576" s="497" t="s">
        <v>1982</v>
      </c>
      <c r="DZ576" s="543">
        <v>1</v>
      </c>
      <c r="EB576" s="493"/>
      <c r="EC576" s="493"/>
    </row>
    <row r="577" spans="5:133" ht="21" customHeight="1">
      <c r="E577" s="716"/>
      <c r="F577" s="724"/>
      <c r="G577" s="725"/>
      <c r="H577" s="724"/>
      <c r="I577" s="726"/>
      <c r="J577" s="950"/>
      <c r="K577" s="951"/>
      <c r="L577" s="793"/>
      <c r="M577" s="952"/>
      <c r="N577" s="953"/>
      <c r="O577" s="954"/>
      <c r="P577" s="955"/>
      <c r="Q577" s="956"/>
      <c r="R577" s="957"/>
      <c r="S577" s="800"/>
      <c r="T577" s="958"/>
      <c r="U577" s="802"/>
      <c r="V577" s="959"/>
      <c r="W577" s="960"/>
      <c r="X577" s="805"/>
      <c r="Y577" s="816"/>
      <c r="DO577" s="494"/>
      <c r="DP577" s="496" t="s">
        <v>2238</v>
      </c>
      <c r="DQ577" s="496" t="s">
        <v>8</v>
      </c>
      <c r="DR577" s="496" t="s">
        <v>689</v>
      </c>
      <c r="DS577" s="496" t="s">
        <v>2239</v>
      </c>
      <c r="DT577" s="496" t="s">
        <v>2239</v>
      </c>
      <c r="DU577" s="496" t="s">
        <v>1554</v>
      </c>
      <c r="DV577" s="496" t="s">
        <v>1555</v>
      </c>
      <c r="DW577" s="496" t="s">
        <v>1981</v>
      </c>
      <c r="DX577" s="497" t="s">
        <v>1982</v>
      </c>
      <c r="DZ577" s="543">
        <v>1</v>
      </c>
      <c r="EB577" s="493"/>
      <c r="EC577" s="493"/>
    </row>
    <row r="578" spans="5:133" ht="21" customHeight="1">
      <c r="E578" s="716"/>
      <c r="F578" s="724"/>
      <c r="G578" s="725"/>
      <c r="H578" s="724"/>
      <c r="I578" s="726"/>
      <c r="J578" s="950"/>
      <c r="K578" s="951"/>
      <c r="L578" s="793"/>
      <c r="M578" s="952"/>
      <c r="N578" s="953"/>
      <c r="O578" s="954"/>
      <c r="P578" s="955"/>
      <c r="Q578" s="956"/>
      <c r="R578" s="957"/>
      <c r="S578" s="800"/>
      <c r="T578" s="958"/>
      <c r="U578" s="802"/>
      <c r="V578" s="959"/>
      <c r="W578" s="960"/>
      <c r="X578" s="805"/>
      <c r="Y578" s="816"/>
      <c r="DO578" s="494"/>
      <c r="DP578" s="496" t="s">
        <v>2240</v>
      </c>
      <c r="DQ578" s="496" t="s">
        <v>8</v>
      </c>
      <c r="DR578" s="496" t="s">
        <v>689</v>
      </c>
      <c r="DS578" s="496" t="s">
        <v>2241</v>
      </c>
      <c r="DT578" s="496" t="s">
        <v>2241</v>
      </c>
      <c r="DU578" s="496" t="s">
        <v>1554</v>
      </c>
      <c r="DV578" s="496" t="s">
        <v>1555</v>
      </c>
      <c r="DW578" s="496" t="s">
        <v>1981</v>
      </c>
      <c r="DX578" s="497" t="s">
        <v>1982</v>
      </c>
      <c r="DZ578" s="543">
        <v>1</v>
      </c>
      <c r="EB578" s="493"/>
      <c r="EC578" s="493"/>
    </row>
    <row r="579" spans="5:133" ht="21" customHeight="1">
      <c r="E579" s="716"/>
      <c r="F579" s="724"/>
      <c r="G579" s="725"/>
      <c r="H579" s="724"/>
      <c r="I579" s="726"/>
      <c r="J579" s="950"/>
      <c r="K579" s="951"/>
      <c r="L579" s="793"/>
      <c r="M579" s="952"/>
      <c r="N579" s="953"/>
      <c r="O579" s="954"/>
      <c r="P579" s="955"/>
      <c r="Q579" s="956"/>
      <c r="R579" s="957"/>
      <c r="S579" s="800"/>
      <c r="T579" s="958"/>
      <c r="U579" s="802"/>
      <c r="V579" s="959"/>
      <c r="W579" s="960"/>
      <c r="X579" s="805"/>
      <c r="Y579" s="816"/>
      <c r="DO579" s="494"/>
      <c r="DP579" s="496" t="s">
        <v>2242</v>
      </c>
      <c r="DQ579" s="496" t="s">
        <v>8</v>
      </c>
      <c r="DR579" s="496" t="s">
        <v>689</v>
      </c>
      <c r="DS579" s="496" t="s">
        <v>2243</v>
      </c>
      <c r="DT579" s="496" t="s">
        <v>2243</v>
      </c>
      <c r="DU579" s="496" t="s">
        <v>1554</v>
      </c>
      <c r="DV579" s="496" t="s">
        <v>1555</v>
      </c>
      <c r="DW579" s="496" t="s">
        <v>1981</v>
      </c>
      <c r="DX579" s="497" t="s">
        <v>1982</v>
      </c>
      <c r="DZ579" s="543">
        <v>1</v>
      </c>
      <c r="EB579" s="493"/>
      <c r="EC579" s="493"/>
    </row>
    <row r="580" spans="5:133" ht="21" customHeight="1">
      <c r="E580" s="716"/>
      <c r="F580" s="724"/>
      <c r="G580" s="725"/>
      <c r="H580" s="724"/>
      <c r="I580" s="726"/>
      <c r="J580" s="950"/>
      <c r="K580" s="951"/>
      <c r="L580" s="793"/>
      <c r="M580" s="952"/>
      <c r="N580" s="953"/>
      <c r="O580" s="954"/>
      <c r="P580" s="955"/>
      <c r="Q580" s="956"/>
      <c r="R580" s="957"/>
      <c r="S580" s="800"/>
      <c r="T580" s="958"/>
      <c r="U580" s="802"/>
      <c r="V580" s="959"/>
      <c r="W580" s="960"/>
      <c r="X580" s="805"/>
      <c r="Y580" s="816"/>
      <c r="DO580" s="494"/>
      <c r="DP580" s="496" t="s">
        <v>2244</v>
      </c>
      <c r="DQ580" s="496" t="s">
        <v>8</v>
      </c>
      <c r="DR580" s="496" t="s">
        <v>689</v>
      </c>
      <c r="DS580" s="496" t="s">
        <v>2245</v>
      </c>
      <c r="DT580" s="496" t="s">
        <v>2245</v>
      </c>
      <c r="DU580" s="496" t="s">
        <v>1554</v>
      </c>
      <c r="DV580" s="496" t="s">
        <v>1555</v>
      </c>
      <c r="DW580" s="496" t="s">
        <v>1981</v>
      </c>
      <c r="DX580" s="497" t="s">
        <v>1982</v>
      </c>
      <c r="DZ580" s="543">
        <v>1</v>
      </c>
      <c r="EB580" s="493"/>
      <c r="EC580" s="493"/>
    </row>
    <row r="581" spans="5:133" ht="21" customHeight="1">
      <c r="E581" s="716"/>
      <c r="F581" s="724"/>
      <c r="G581" s="725"/>
      <c r="H581" s="724"/>
      <c r="I581" s="726"/>
      <c r="J581" s="950"/>
      <c r="K581" s="951"/>
      <c r="L581" s="793"/>
      <c r="M581" s="952"/>
      <c r="N581" s="953"/>
      <c r="O581" s="954"/>
      <c r="P581" s="955"/>
      <c r="Q581" s="956"/>
      <c r="R581" s="957"/>
      <c r="S581" s="800"/>
      <c r="T581" s="958"/>
      <c r="U581" s="802"/>
      <c r="V581" s="959"/>
      <c r="W581" s="960"/>
      <c r="X581" s="805"/>
      <c r="Y581" s="816"/>
      <c r="DO581" s="494"/>
      <c r="DP581" s="496" t="s">
        <v>2246</v>
      </c>
      <c r="DQ581" s="496" t="s">
        <v>8</v>
      </c>
      <c r="DR581" s="496" t="s">
        <v>689</v>
      </c>
      <c r="DS581" s="496" t="s">
        <v>2247</v>
      </c>
      <c r="DT581" s="496" t="s">
        <v>2247</v>
      </c>
      <c r="DU581" s="496" t="s">
        <v>1554</v>
      </c>
      <c r="DV581" s="496" t="s">
        <v>1555</v>
      </c>
      <c r="DW581" s="496" t="s">
        <v>1981</v>
      </c>
      <c r="DX581" s="497" t="s">
        <v>1982</v>
      </c>
      <c r="DZ581" s="543">
        <v>1</v>
      </c>
      <c r="EB581" s="493"/>
      <c r="EC581" s="493"/>
    </row>
    <row r="582" spans="5:133" ht="21" customHeight="1">
      <c r="E582" s="716"/>
      <c r="F582" s="724"/>
      <c r="G582" s="725"/>
      <c r="H582" s="724"/>
      <c r="I582" s="726"/>
      <c r="J582" s="950"/>
      <c r="K582" s="951"/>
      <c r="L582" s="793"/>
      <c r="M582" s="952"/>
      <c r="N582" s="953"/>
      <c r="O582" s="954"/>
      <c r="P582" s="955"/>
      <c r="Q582" s="956"/>
      <c r="R582" s="957"/>
      <c r="S582" s="800"/>
      <c r="T582" s="958"/>
      <c r="U582" s="802"/>
      <c r="V582" s="959"/>
      <c r="W582" s="960"/>
      <c r="X582" s="805"/>
      <c r="Y582" s="816"/>
      <c r="DO582" s="494"/>
      <c r="DP582" s="496" t="s">
        <v>2248</v>
      </c>
      <c r="DQ582" s="496" t="s">
        <v>8</v>
      </c>
      <c r="DR582" s="496" t="s">
        <v>689</v>
      </c>
      <c r="DS582" s="496" t="s">
        <v>2249</v>
      </c>
      <c r="DT582" s="496" t="s">
        <v>2249</v>
      </c>
      <c r="DU582" s="496" t="s">
        <v>1554</v>
      </c>
      <c r="DV582" s="496" t="s">
        <v>1555</v>
      </c>
      <c r="DW582" s="496" t="s">
        <v>1981</v>
      </c>
      <c r="DX582" s="497" t="s">
        <v>1982</v>
      </c>
      <c r="DZ582" s="543">
        <v>1</v>
      </c>
      <c r="EB582" s="493"/>
      <c r="EC582" s="493"/>
    </row>
    <row r="583" spans="5:133" ht="21" customHeight="1">
      <c r="E583" s="716"/>
      <c r="F583" s="724"/>
      <c r="G583" s="725"/>
      <c r="H583" s="724"/>
      <c r="I583" s="726"/>
      <c r="J583" s="950"/>
      <c r="K583" s="951"/>
      <c r="L583" s="793"/>
      <c r="M583" s="952"/>
      <c r="N583" s="953"/>
      <c r="O583" s="954"/>
      <c r="P583" s="955"/>
      <c r="Q583" s="956"/>
      <c r="R583" s="957"/>
      <c r="S583" s="800"/>
      <c r="T583" s="958"/>
      <c r="U583" s="802"/>
      <c r="V583" s="959"/>
      <c r="W583" s="960"/>
      <c r="X583" s="805"/>
      <c r="Y583" s="816"/>
      <c r="DO583" s="494"/>
      <c r="DP583" s="496" t="s">
        <v>2250</v>
      </c>
      <c r="DQ583" s="496" t="s">
        <v>8</v>
      </c>
      <c r="DR583" s="496" t="s">
        <v>689</v>
      </c>
      <c r="DS583" s="496" t="s">
        <v>2251</v>
      </c>
      <c r="DT583" s="496" t="s">
        <v>2251</v>
      </c>
      <c r="DU583" s="496" t="s">
        <v>1554</v>
      </c>
      <c r="DV583" s="496" t="s">
        <v>1555</v>
      </c>
      <c r="DW583" s="496" t="s">
        <v>1981</v>
      </c>
      <c r="DX583" s="497" t="s">
        <v>1982</v>
      </c>
      <c r="DZ583" s="543">
        <v>1</v>
      </c>
      <c r="EB583" s="493"/>
      <c r="EC583" s="493"/>
    </row>
    <row r="584" spans="5:133" ht="21" customHeight="1">
      <c r="E584" s="716"/>
      <c r="F584" s="724"/>
      <c r="G584" s="725"/>
      <c r="H584" s="724"/>
      <c r="I584" s="726"/>
      <c r="J584" s="950"/>
      <c r="K584" s="951"/>
      <c r="L584" s="793"/>
      <c r="M584" s="952"/>
      <c r="N584" s="953"/>
      <c r="O584" s="954"/>
      <c r="P584" s="955"/>
      <c r="Q584" s="956"/>
      <c r="R584" s="957"/>
      <c r="S584" s="800"/>
      <c r="T584" s="958"/>
      <c r="U584" s="802"/>
      <c r="V584" s="959"/>
      <c r="W584" s="960"/>
      <c r="X584" s="805"/>
      <c r="Y584" s="816"/>
      <c r="DO584" s="494"/>
      <c r="DP584" s="496" t="s">
        <v>2252</v>
      </c>
      <c r="DQ584" s="496" t="s">
        <v>8</v>
      </c>
      <c r="DR584" s="496" t="s">
        <v>689</v>
      </c>
      <c r="DS584" s="496" t="s">
        <v>2253</v>
      </c>
      <c r="DT584" s="496" t="s">
        <v>2253</v>
      </c>
      <c r="DU584" s="496" t="s">
        <v>1554</v>
      </c>
      <c r="DV584" s="496" t="s">
        <v>1555</v>
      </c>
      <c r="DW584" s="496" t="s">
        <v>1981</v>
      </c>
      <c r="DX584" s="497" t="s">
        <v>1982</v>
      </c>
      <c r="DZ584" s="543">
        <v>1</v>
      </c>
      <c r="EB584" s="493"/>
      <c r="EC584" s="493"/>
    </row>
    <row r="585" spans="5:133" ht="21" customHeight="1">
      <c r="E585" s="716"/>
      <c r="F585" s="724"/>
      <c r="G585" s="725"/>
      <c r="H585" s="724"/>
      <c r="I585" s="726"/>
      <c r="J585" s="950"/>
      <c r="K585" s="951"/>
      <c r="L585" s="793"/>
      <c r="M585" s="952"/>
      <c r="N585" s="953"/>
      <c r="O585" s="954"/>
      <c r="P585" s="955"/>
      <c r="Q585" s="956"/>
      <c r="R585" s="957"/>
      <c r="S585" s="800"/>
      <c r="T585" s="958"/>
      <c r="U585" s="802"/>
      <c r="V585" s="959"/>
      <c r="W585" s="960"/>
      <c r="X585" s="805"/>
      <c r="Y585" s="816"/>
      <c r="DO585" s="494"/>
      <c r="DP585" s="496" t="s">
        <v>2254</v>
      </c>
      <c r="DQ585" s="496" t="s">
        <v>8</v>
      </c>
      <c r="DR585" s="496" t="s">
        <v>689</v>
      </c>
      <c r="DS585" s="496" t="s">
        <v>2255</v>
      </c>
      <c r="DT585" s="496" t="s">
        <v>2255</v>
      </c>
      <c r="DU585" s="496" t="s">
        <v>1554</v>
      </c>
      <c r="DV585" s="496" t="s">
        <v>1555</v>
      </c>
      <c r="DW585" s="496" t="s">
        <v>1981</v>
      </c>
      <c r="DX585" s="497" t="s">
        <v>1982</v>
      </c>
      <c r="DZ585" s="543">
        <v>1</v>
      </c>
      <c r="EB585" s="493"/>
      <c r="EC585" s="493"/>
    </row>
    <row r="586" spans="5:133" ht="21" customHeight="1">
      <c r="E586" s="716"/>
      <c r="F586" s="724"/>
      <c r="G586" s="725"/>
      <c r="H586" s="724"/>
      <c r="I586" s="726"/>
      <c r="J586" s="950"/>
      <c r="K586" s="951"/>
      <c r="L586" s="793"/>
      <c r="M586" s="952"/>
      <c r="N586" s="953"/>
      <c r="O586" s="954"/>
      <c r="P586" s="955"/>
      <c r="Q586" s="956"/>
      <c r="R586" s="957"/>
      <c r="S586" s="800"/>
      <c r="T586" s="958"/>
      <c r="U586" s="802"/>
      <c r="V586" s="959"/>
      <c r="W586" s="960"/>
      <c r="X586" s="805"/>
      <c r="Y586" s="816"/>
      <c r="DO586" s="494"/>
      <c r="DP586" s="496" t="s">
        <v>2256</v>
      </c>
      <c r="DQ586" s="496" t="s">
        <v>8</v>
      </c>
      <c r="DR586" s="496" t="s">
        <v>689</v>
      </c>
      <c r="DS586" s="496" t="s">
        <v>2257</v>
      </c>
      <c r="DT586" s="496" t="s">
        <v>2257</v>
      </c>
      <c r="DU586" s="496" t="s">
        <v>1554</v>
      </c>
      <c r="DV586" s="496" t="s">
        <v>1555</v>
      </c>
      <c r="DW586" s="496" t="s">
        <v>1981</v>
      </c>
      <c r="DX586" s="497" t="s">
        <v>1982</v>
      </c>
      <c r="DZ586" s="543">
        <v>1</v>
      </c>
      <c r="EB586" s="493"/>
      <c r="EC586" s="493"/>
    </row>
    <row r="587" spans="5:133" ht="21" customHeight="1">
      <c r="E587" s="716"/>
      <c r="F587" s="724"/>
      <c r="G587" s="725"/>
      <c r="H587" s="724"/>
      <c r="I587" s="726"/>
      <c r="J587" s="950"/>
      <c r="K587" s="951"/>
      <c r="L587" s="793"/>
      <c r="M587" s="952"/>
      <c r="N587" s="953"/>
      <c r="O587" s="954"/>
      <c r="P587" s="955"/>
      <c r="Q587" s="956"/>
      <c r="R587" s="957"/>
      <c r="S587" s="800"/>
      <c r="T587" s="958"/>
      <c r="U587" s="802"/>
      <c r="V587" s="959"/>
      <c r="W587" s="960"/>
      <c r="X587" s="805"/>
      <c r="Y587" s="816"/>
      <c r="DO587" s="494"/>
      <c r="DP587" s="496" t="s">
        <v>2258</v>
      </c>
      <c r="DQ587" s="496" t="s">
        <v>8</v>
      </c>
      <c r="DR587" s="496" t="s">
        <v>689</v>
      </c>
      <c r="DS587" s="496" t="s">
        <v>2259</v>
      </c>
      <c r="DT587" s="496" t="s">
        <v>2259</v>
      </c>
      <c r="DU587" s="496" t="s">
        <v>1554</v>
      </c>
      <c r="DV587" s="496" t="s">
        <v>1555</v>
      </c>
      <c r="DW587" s="496" t="s">
        <v>1981</v>
      </c>
      <c r="DX587" s="497" t="s">
        <v>1982</v>
      </c>
      <c r="DZ587" s="543">
        <v>1</v>
      </c>
      <c r="EB587" s="493"/>
      <c r="EC587" s="493"/>
    </row>
    <row r="588" spans="5:133" ht="21" customHeight="1">
      <c r="E588" s="716"/>
      <c r="F588" s="724"/>
      <c r="G588" s="725"/>
      <c r="H588" s="724"/>
      <c r="I588" s="726"/>
      <c r="J588" s="950"/>
      <c r="K588" s="951"/>
      <c r="L588" s="793"/>
      <c r="M588" s="952"/>
      <c r="N588" s="953"/>
      <c r="O588" s="954"/>
      <c r="P588" s="955"/>
      <c r="Q588" s="956"/>
      <c r="R588" s="957"/>
      <c r="S588" s="800"/>
      <c r="T588" s="958"/>
      <c r="U588" s="802"/>
      <c r="V588" s="959"/>
      <c r="W588" s="960"/>
      <c r="X588" s="805"/>
      <c r="Y588" s="816"/>
      <c r="DO588" s="494"/>
      <c r="DP588" s="496" t="s">
        <v>2260</v>
      </c>
      <c r="DQ588" s="496" t="s">
        <v>8</v>
      </c>
      <c r="DR588" s="496" t="s">
        <v>689</v>
      </c>
      <c r="DS588" s="496" t="s">
        <v>2261</v>
      </c>
      <c r="DT588" s="496" t="s">
        <v>2261</v>
      </c>
      <c r="DU588" s="496" t="s">
        <v>1554</v>
      </c>
      <c r="DV588" s="496" t="s">
        <v>1555</v>
      </c>
      <c r="DW588" s="496" t="s">
        <v>1981</v>
      </c>
      <c r="DX588" s="497" t="s">
        <v>1982</v>
      </c>
      <c r="DZ588" s="543">
        <v>1</v>
      </c>
      <c r="EB588" s="493"/>
      <c r="EC588" s="493"/>
    </row>
    <row r="589" spans="5:133" ht="21" customHeight="1">
      <c r="E589" s="716"/>
      <c r="F589" s="724"/>
      <c r="G589" s="725"/>
      <c r="H589" s="724"/>
      <c r="I589" s="726"/>
      <c r="J589" s="950"/>
      <c r="K589" s="951"/>
      <c r="L589" s="793"/>
      <c r="M589" s="952"/>
      <c r="N589" s="953"/>
      <c r="O589" s="954"/>
      <c r="P589" s="955"/>
      <c r="Q589" s="956"/>
      <c r="R589" s="957"/>
      <c r="S589" s="800"/>
      <c r="T589" s="958"/>
      <c r="U589" s="802"/>
      <c r="V589" s="959"/>
      <c r="W589" s="960"/>
      <c r="X589" s="805"/>
      <c r="Y589" s="816"/>
      <c r="DO589" s="494"/>
      <c r="DP589" s="496" t="s">
        <v>2262</v>
      </c>
      <c r="DQ589" s="496" t="s">
        <v>8</v>
      </c>
      <c r="DR589" s="496" t="s">
        <v>689</v>
      </c>
      <c r="DS589" s="496" t="s">
        <v>2263</v>
      </c>
      <c r="DT589" s="496" t="s">
        <v>2263</v>
      </c>
      <c r="DU589" s="496" t="s">
        <v>1554</v>
      </c>
      <c r="DV589" s="496" t="s">
        <v>1555</v>
      </c>
      <c r="DW589" s="496" t="s">
        <v>1981</v>
      </c>
      <c r="DX589" s="497" t="s">
        <v>1982</v>
      </c>
      <c r="DZ589" s="543">
        <v>1</v>
      </c>
      <c r="EB589" s="493"/>
      <c r="EC589" s="493"/>
    </row>
    <row r="590" spans="5:133" ht="21" customHeight="1">
      <c r="E590" s="716"/>
      <c r="F590" s="724"/>
      <c r="G590" s="725"/>
      <c r="H590" s="724"/>
      <c r="I590" s="726"/>
      <c r="J590" s="950"/>
      <c r="K590" s="951"/>
      <c r="L590" s="793"/>
      <c r="M590" s="952"/>
      <c r="N590" s="953"/>
      <c r="O590" s="954"/>
      <c r="P590" s="955"/>
      <c r="Q590" s="956"/>
      <c r="R590" s="957"/>
      <c r="S590" s="800"/>
      <c r="T590" s="958"/>
      <c r="U590" s="802"/>
      <c r="V590" s="959"/>
      <c r="W590" s="960"/>
      <c r="X590" s="805"/>
      <c r="Y590" s="816"/>
      <c r="DO590" s="494"/>
      <c r="DP590" s="496" t="s">
        <v>2264</v>
      </c>
      <c r="DQ590" s="496" t="s">
        <v>8</v>
      </c>
      <c r="DR590" s="496" t="s">
        <v>689</v>
      </c>
      <c r="DS590" s="496" t="s">
        <v>2265</v>
      </c>
      <c r="DT590" s="496" t="s">
        <v>2265</v>
      </c>
      <c r="DU590" s="496" t="s">
        <v>1554</v>
      </c>
      <c r="DV590" s="496" t="s">
        <v>1555</v>
      </c>
      <c r="DW590" s="496" t="s">
        <v>1981</v>
      </c>
      <c r="DX590" s="497" t="s">
        <v>1982</v>
      </c>
      <c r="DZ590" s="543">
        <v>1</v>
      </c>
      <c r="EB590" s="493"/>
      <c r="EC590" s="493"/>
    </row>
    <row r="591" spans="5:133" ht="21" customHeight="1">
      <c r="E591" s="716"/>
      <c r="F591" s="724"/>
      <c r="G591" s="725"/>
      <c r="H591" s="724"/>
      <c r="I591" s="726"/>
      <c r="J591" s="950"/>
      <c r="K591" s="951"/>
      <c r="L591" s="793"/>
      <c r="M591" s="952"/>
      <c r="N591" s="953"/>
      <c r="O591" s="954"/>
      <c r="P591" s="955"/>
      <c r="Q591" s="956"/>
      <c r="R591" s="957"/>
      <c r="S591" s="800"/>
      <c r="T591" s="958"/>
      <c r="U591" s="802"/>
      <c r="V591" s="959"/>
      <c r="W591" s="960"/>
      <c r="X591" s="805"/>
      <c r="Y591" s="816"/>
      <c r="DO591" s="494"/>
      <c r="DP591" s="496" t="s">
        <v>2266</v>
      </c>
      <c r="DQ591" s="496" t="s">
        <v>8</v>
      </c>
      <c r="DR591" s="496" t="s">
        <v>689</v>
      </c>
      <c r="DS591" s="496" t="s">
        <v>2267</v>
      </c>
      <c r="DT591" s="496" t="s">
        <v>2267</v>
      </c>
      <c r="DU591" s="496" t="s">
        <v>1554</v>
      </c>
      <c r="DV591" s="496" t="s">
        <v>1555</v>
      </c>
      <c r="DW591" s="496" t="s">
        <v>1981</v>
      </c>
      <c r="DX591" s="497" t="s">
        <v>1982</v>
      </c>
      <c r="DZ591" s="543">
        <v>1</v>
      </c>
      <c r="EB591" s="493"/>
      <c r="EC591" s="493"/>
    </row>
    <row r="592" spans="5:133" ht="21" customHeight="1">
      <c r="E592" s="716"/>
      <c r="F592" s="724"/>
      <c r="G592" s="725"/>
      <c r="H592" s="724"/>
      <c r="I592" s="726"/>
      <c r="J592" s="950"/>
      <c r="K592" s="951"/>
      <c r="L592" s="793"/>
      <c r="M592" s="952"/>
      <c r="N592" s="953"/>
      <c r="O592" s="954"/>
      <c r="P592" s="955"/>
      <c r="Q592" s="956"/>
      <c r="R592" s="957"/>
      <c r="S592" s="800"/>
      <c r="T592" s="958"/>
      <c r="U592" s="802"/>
      <c r="V592" s="959"/>
      <c r="W592" s="960"/>
      <c r="X592" s="805"/>
      <c r="Y592" s="816"/>
      <c r="DO592" s="494"/>
      <c r="DP592" s="496" t="s">
        <v>2268</v>
      </c>
      <c r="DQ592" s="496" t="s">
        <v>8</v>
      </c>
      <c r="DR592" s="496" t="s">
        <v>689</v>
      </c>
      <c r="DS592" s="496" t="s">
        <v>2269</v>
      </c>
      <c r="DT592" s="496" t="s">
        <v>2269</v>
      </c>
      <c r="DU592" s="496" t="s">
        <v>1554</v>
      </c>
      <c r="DV592" s="496" t="s">
        <v>1555</v>
      </c>
      <c r="DW592" s="496" t="s">
        <v>1981</v>
      </c>
      <c r="DX592" s="497" t="s">
        <v>1982</v>
      </c>
      <c r="DZ592" s="543">
        <v>1</v>
      </c>
      <c r="EB592" s="493"/>
      <c r="EC592" s="493"/>
    </row>
    <row r="593" spans="5:133" ht="21" customHeight="1">
      <c r="E593" s="716"/>
      <c r="F593" s="724"/>
      <c r="G593" s="725"/>
      <c r="H593" s="724"/>
      <c r="I593" s="726"/>
      <c r="J593" s="950"/>
      <c r="K593" s="951"/>
      <c r="L593" s="793"/>
      <c r="M593" s="952"/>
      <c r="N593" s="953"/>
      <c r="O593" s="954"/>
      <c r="P593" s="955"/>
      <c r="Q593" s="956"/>
      <c r="R593" s="957"/>
      <c r="S593" s="800"/>
      <c r="T593" s="958"/>
      <c r="U593" s="802"/>
      <c r="V593" s="959"/>
      <c r="W593" s="960"/>
      <c r="X593" s="805"/>
      <c r="Y593" s="816"/>
      <c r="DO593" s="494"/>
      <c r="DP593" s="496" t="s">
        <v>2270</v>
      </c>
      <c r="DQ593" s="496" t="s">
        <v>8</v>
      </c>
      <c r="DR593" s="496" t="s">
        <v>689</v>
      </c>
      <c r="DS593" s="496" t="s">
        <v>2271</v>
      </c>
      <c r="DT593" s="496" t="s">
        <v>2271</v>
      </c>
      <c r="DU593" s="496" t="s">
        <v>1554</v>
      </c>
      <c r="DV593" s="496" t="s">
        <v>1555</v>
      </c>
      <c r="DW593" s="496" t="s">
        <v>1981</v>
      </c>
      <c r="DX593" s="497" t="s">
        <v>1982</v>
      </c>
      <c r="DZ593" s="543">
        <v>1</v>
      </c>
      <c r="EB593" s="493"/>
      <c r="EC593" s="493"/>
    </row>
    <row r="594" spans="5:133" ht="21" customHeight="1">
      <c r="E594" s="716"/>
      <c r="F594" s="724"/>
      <c r="G594" s="725"/>
      <c r="H594" s="724"/>
      <c r="I594" s="726"/>
      <c r="J594" s="950"/>
      <c r="K594" s="951"/>
      <c r="L594" s="793"/>
      <c r="M594" s="952"/>
      <c r="N594" s="953"/>
      <c r="O594" s="954"/>
      <c r="P594" s="955"/>
      <c r="Q594" s="956"/>
      <c r="R594" s="957"/>
      <c r="S594" s="800"/>
      <c r="T594" s="958"/>
      <c r="U594" s="802"/>
      <c r="V594" s="959"/>
      <c r="W594" s="960"/>
      <c r="X594" s="805"/>
      <c r="Y594" s="816"/>
      <c r="DO594" s="494"/>
      <c r="DP594" s="496" t="s">
        <v>2272</v>
      </c>
      <c r="DQ594" s="496" t="s">
        <v>8</v>
      </c>
      <c r="DR594" s="496" t="s">
        <v>689</v>
      </c>
      <c r="DS594" s="496" t="s">
        <v>2273</v>
      </c>
      <c r="DT594" s="496" t="s">
        <v>2273</v>
      </c>
      <c r="DU594" s="496" t="s">
        <v>1554</v>
      </c>
      <c r="DV594" s="496" t="s">
        <v>1555</v>
      </c>
      <c r="DW594" s="496" t="s">
        <v>1981</v>
      </c>
      <c r="DX594" s="497" t="s">
        <v>1982</v>
      </c>
      <c r="DZ594" s="543">
        <v>1</v>
      </c>
      <c r="EB594" s="493"/>
      <c r="EC594" s="493"/>
    </row>
    <row r="595" spans="5:133" ht="21" customHeight="1">
      <c r="E595" s="716"/>
      <c r="F595" s="724"/>
      <c r="G595" s="725"/>
      <c r="H595" s="724"/>
      <c r="I595" s="726"/>
      <c r="J595" s="950"/>
      <c r="K595" s="951"/>
      <c r="L595" s="793"/>
      <c r="M595" s="952"/>
      <c r="N595" s="953"/>
      <c r="O595" s="954"/>
      <c r="P595" s="955"/>
      <c r="Q595" s="956"/>
      <c r="R595" s="957"/>
      <c r="S595" s="800"/>
      <c r="T595" s="958"/>
      <c r="U595" s="802"/>
      <c r="V595" s="959"/>
      <c r="W595" s="960"/>
      <c r="X595" s="805"/>
      <c r="Y595" s="816"/>
      <c r="DO595" s="494"/>
      <c r="DP595" s="496" t="s">
        <v>2274</v>
      </c>
      <c r="DQ595" s="496" t="s">
        <v>8</v>
      </c>
      <c r="DR595" s="496" t="s">
        <v>689</v>
      </c>
      <c r="DS595" s="496" t="s">
        <v>2275</v>
      </c>
      <c r="DT595" s="496" t="s">
        <v>2275</v>
      </c>
      <c r="DU595" s="496" t="s">
        <v>1554</v>
      </c>
      <c r="DV595" s="496" t="s">
        <v>1555</v>
      </c>
      <c r="DW595" s="496" t="s">
        <v>1981</v>
      </c>
      <c r="DX595" s="497" t="s">
        <v>1982</v>
      </c>
      <c r="DZ595" s="543">
        <v>1</v>
      </c>
      <c r="EB595" s="493"/>
      <c r="EC595" s="493"/>
    </row>
    <row r="596" spans="5:133" ht="21" customHeight="1">
      <c r="E596" s="716"/>
      <c r="F596" s="724"/>
      <c r="G596" s="725"/>
      <c r="H596" s="724"/>
      <c r="I596" s="726"/>
      <c r="J596" s="950"/>
      <c r="K596" s="951"/>
      <c r="L596" s="793"/>
      <c r="M596" s="952"/>
      <c r="N596" s="953"/>
      <c r="O596" s="954"/>
      <c r="P596" s="955"/>
      <c r="Q596" s="956"/>
      <c r="R596" s="957"/>
      <c r="S596" s="800"/>
      <c r="T596" s="958"/>
      <c r="U596" s="802"/>
      <c r="V596" s="959"/>
      <c r="W596" s="960"/>
      <c r="X596" s="805"/>
      <c r="Y596" s="816"/>
      <c r="DO596" s="494"/>
      <c r="DP596" s="496" t="s">
        <v>2276</v>
      </c>
      <c r="DQ596" s="496" t="s">
        <v>8</v>
      </c>
      <c r="DR596" s="496" t="s">
        <v>689</v>
      </c>
      <c r="DS596" s="496" t="s">
        <v>2277</v>
      </c>
      <c r="DT596" s="496" t="s">
        <v>2277</v>
      </c>
      <c r="DU596" s="496" t="s">
        <v>1554</v>
      </c>
      <c r="DV596" s="496" t="s">
        <v>1555</v>
      </c>
      <c r="DW596" s="496" t="s">
        <v>1981</v>
      </c>
      <c r="DX596" s="497" t="s">
        <v>1982</v>
      </c>
      <c r="DZ596" s="543">
        <v>1</v>
      </c>
      <c r="EB596" s="493"/>
      <c r="EC596" s="493"/>
    </row>
    <row r="597" spans="5:133" ht="21" customHeight="1">
      <c r="E597" s="716"/>
      <c r="F597" s="724"/>
      <c r="G597" s="725"/>
      <c r="H597" s="724"/>
      <c r="I597" s="726"/>
      <c r="J597" s="950"/>
      <c r="K597" s="951"/>
      <c r="L597" s="793"/>
      <c r="M597" s="952"/>
      <c r="N597" s="953"/>
      <c r="O597" s="954"/>
      <c r="P597" s="955"/>
      <c r="Q597" s="956"/>
      <c r="R597" s="957"/>
      <c r="S597" s="800"/>
      <c r="T597" s="958"/>
      <c r="U597" s="802"/>
      <c r="V597" s="959"/>
      <c r="W597" s="960"/>
      <c r="X597" s="805"/>
      <c r="Y597" s="816"/>
      <c r="DO597" s="494"/>
      <c r="DP597" s="496" t="s">
        <v>2278</v>
      </c>
      <c r="DQ597" s="496" t="s">
        <v>8</v>
      </c>
      <c r="DR597" s="496" t="s">
        <v>689</v>
      </c>
      <c r="DS597" s="496" t="s">
        <v>1021</v>
      </c>
      <c r="DT597" s="496" t="s">
        <v>1021</v>
      </c>
      <c r="DU597" s="496" t="s">
        <v>1554</v>
      </c>
      <c r="DV597" s="496" t="s">
        <v>1555</v>
      </c>
      <c r="DW597" s="496" t="s">
        <v>1981</v>
      </c>
      <c r="DX597" s="497" t="s">
        <v>1982</v>
      </c>
      <c r="DZ597" s="543">
        <v>1</v>
      </c>
      <c r="EB597" s="493"/>
      <c r="EC597" s="493"/>
    </row>
    <row r="598" spans="5:133" ht="21" customHeight="1">
      <c r="E598" s="716"/>
      <c r="F598" s="724"/>
      <c r="G598" s="725"/>
      <c r="H598" s="724"/>
      <c r="I598" s="726"/>
      <c r="J598" s="950"/>
      <c r="K598" s="951"/>
      <c r="L598" s="793"/>
      <c r="M598" s="952"/>
      <c r="N598" s="953"/>
      <c r="O598" s="954"/>
      <c r="P598" s="955"/>
      <c r="Q598" s="956"/>
      <c r="R598" s="957"/>
      <c r="S598" s="800"/>
      <c r="T598" s="958"/>
      <c r="U598" s="802"/>
      <c r="V598" s="959"/>
      <c r="W598" s="960"/>
      <c r="X598" s="805"/>
      <c r="Y598" s="816"/>
      <c r="DO598" s="494"/>
      <c r="DP598" s="496" t="s">
        <v>2279</v>
      </c>
      <c r="DQ598" s="496" t="s">
        <v>8</v>
      </c>
      <c r="DR598" s="496" t="s">
        <v>689</v>
      </c>
      <c r="DS598" s="496" t="s">
        <v>2280</v>
      </c>
      <c r="DT598" s="496" t="s">
        <v>2280</v>
      </c>
      <c r="DU598" s="496" t="s">
        <v>1554</v>
      </c>
      <c r="DV598" s="496" t="s">
        <v>1555</v>
      </c>
      <c r="DW598" s="496" t="s">
        <v>1981</v>
      </c>
      <c r="DX598" s="497" t="s">
        <v>1982</v>
      </c>
      <c r="DZ598" s="543">
        <v>1</v>
      </c>
      <c r="EB598" s="493"/>
      <c r="EC598" s="493"/>
    </row>
    <row r="599" spans="5:133" ht="21" customHeight="1">
      <c r="E599" s="716"/>
      <c r="F599" s="724"/>
      <c r="G599" s="725"/>
      <c r="H599" s="724"/>
      <c r="I599" s="726"/>
      <c r="J599" s="950"/>
      <c r="K599" s="951"/>
      <c r="L599" s="793"/>
      <c r="M599" s="952"/>
      <c r="N599" s="953"/>
      <c r="O599" s="954"/>
      <c r="P599" s="955"/>
      <c r="Q599" s="956"/>
      <c r="R599" s="957"/>
      <c r="S599" s="800"/>
      <c r="T599" s="958"/>
      <c r="U599" s="802"/>
      <c r="V599" s="959"/>
      <c r="W599" s="960"/>
      <c r="X599" s="805"/>
      <c r="Y599" s="816"/>
      <c r="DO599" s="494"/>
      <c r="DP599" s="496" t="s">
        <v>2281</v>
      </c>
      <c r="DQ599" s="496" t="s">
        <v>8</v>
      </c>
      <c r="DR599" s="496" t="s">
        <v>689</v>
      </c>
      <c r="DS599" s="496" t="s">
        <v>2282</v>
      </c>
      <c r="DT599" s="496" t="s">
        <v>2282</v>
      </c>
      <c r="DU599" s="496" t="s">
        <v>1554</v>
      </c>
      <c r="DV599" s="496" t="s">
        <v>1555</v>
      </c>
      <c r="DW599" s="496" t="s">
        <v>1981</v>
      </c>
      <c r="DX599" s="497" t="s">
        <v>1982</v>
      </c>
      <c r="DZ599" s="543">
        <v>1</v>
      </c>
      <c r="EB599" s="493"/>
      <c r="EC599" s="493"/>
    </row>
    <row r="600" spans="5:133" ht="21" customHeight="1">
      <c r="E600" s="716"/>
      <c r="F600" s="724"/>
      <c r="G600" s="725"/>
      <c r="H600" s="724"/>
      <c r="I600" s="726"/>
      <c r="J600" s="950"/>
      <c r="K600" s="951"/>
      <c r="L600" s="793"/>
      <c r="M600" s="952"/>
      <c r="N600" s="953"/>
      <c r="O600" s="954"/>
      <c r="P600" s="955"/>
      <c r="Q600" s="956"/>
      <c r="R600" s="957"/>
      <c r="S600" s="800"/>
      <c r="T600" s="958"/>
      <c r="U600" s="802"/>
      <c r="V600" s="959"/>
      <c r="W600" s="960"/>
      <c r="X600" s="805"/>
      <c r="Y600" s="816"/>
      <c r="DO600" s="494"/>
      <c r="DP600" s="496" t="s">
        <v>2283</v>
      </c>
      <c r="DQ600" s="496" t="s">
        <v>8</v>
      </c>
      <c r="DR600" s="496" t="s">
        <v>689</v>
      </c>
      <c r="DS600" s="496" t="s">
        <v>2284</v>
      </c>
      <c r="DT600" s="496" t="s">
        <v>2284</v>
      </c>
      <c r="DU600" s="496" t="s">
        <v>1554</v>
      </c>
      <c r="DV600" s="496" t="s">
        <v>1555</v>
      </c>
      <c r="DW600" s="496" t="s">
        <v>1981</v>
      </c>
      <c r="DX600" s="497" t="s">
        <v>1982</v>
      </c>
      <c r="DZ600" s="543">
        <v>1</v>
      </c>
      <c r="EB600" s="493"/>
      <c r="EC600" s="493"/>
    </row>
    <row r="601" spans="5:133" ht="21" customHeight="1">
      <c r="E601" s="716"/>
      <c r="F601" s="724"/>
      <c r="G601" s="725"/>
      <c r="H601" s="724"/>
      <c r="I601" s="726"/>
      <c r="J601" s="950"/>
      <c r="K601" s="951"/>
      <c r="L601" s="793"/>
      <c r="M601" s="952"/>
      <c r="N601" s="953"/>
      <c r="O601" s="954"/>
      <c r="P601" s="955"/>
      <c r="Q601" s="956"/>
      <c r="R601" s="957"/>
      <c r="S601" s="800"/>
      <c r="T601" s="958"/>
      <c r="U601" s="802"/>
      <c r="V601" s="959"/>
      <c r="W601" s="960"/>
      <c r="X601" s="805"/>
      <c r="Y601" s="816"/>
      <c r="DO601" s="494"/>
      <c r="DP601" s="496" t="s">
        <v>2285</v>
      </c>
      <c r="DQ601" s="496" t="s">
        <v>8</v>
      </c>
      <c r="DR601" s="496" t="s">
        <v>689</v>
      </c>
      <c r="DS601" s="496" t="s">
        <v>2286</v>
      </c>
      <c r="DT601" s="496" t="s">
        <v>2286</v>
      </c>
      <c r="DU601" s="496" t="s">
        <v>1554</v>
      </c>
      <c r="DV601" s="496" t="s">
        <v>1555</v>
      </c>
      <c r="DW601" s="496" t="s">
        <v>1981</v>
      </c>
      <c r="DX601" s="497" t="s">
        <v>1982</v>
      </c>
      <c r="DZ601" s="543">
        <v>1</v>
      </c>
      <c r="EB601" s="493"/>
      <c r="EC601" s="493"/>
    </row>
    <row r="602" spans="5:133" ht="21" customHeight="1">
      <c r="E602" s="716"/>
      <c r="F602" s="724"/>
      <c r="G602" s="725"/>
      <c r="H602" s="724"/>
      <c r="I602" s="726"/>
      <c r="J602" s="950"/>
      <c r="K602" s="951"/>
      <c r="L602" s="793"/>
      <c r="M602" s="952"/>
      <c r="N602" s="953"/>
      <c r="O602" s="954"/>
      <c r="P602" s="955"/>
      <c r="Q602" s="956"/>
      <c r="R602" s="957"/>
      <c r="S602" s="800"/>
      <c r="T602" s="958"/>
      <c r="U602" s="802"/>
      <c r="V602" s="959"/>
      <c r="W602" s="960"/>
      <c r="X602" s="805"/>
      <c r="Y602" s="816"/>
      <c r="DO602" s="494"/>
      <c r="DP602" s="496" t="s">
        <v>2287</v>
      </c>
      <c r="DQ602" s="496" t="s">
        <v>8</v>
      </c>
      <c r="DR602" s="496" t="s">
        <v>689</v>
      </c>
      <c r="DS602" s="496" t="s">
        <v>1022</v>
      </c>
      <c r="DT602" s="496" t="s">
        <v>1022</v>
      </c>
      <c r="DU602" s="496" t="s">
        <v>1085</v>
      </c>
      <c r="DV602" s="496" t="s">
        <v>2063</v>
      </c>
      <c r="DW602" s="496" t="s">
        <v>1087</v>
      </c>
      <c r="DX602" s="497" t="s">
        <v>1088</v>
      </c>
      <c r="DZ602" s="543">
        <v>1</v>
      </c>
      <c r="EB602" s="493"/>
      <c r="EC602" s="493"/>
    </row>
    <row r="603" spans="5:133" ht="21" customHeight="1">
      <c r="E603" s="716"/>
      <c r="F603" s="724"/>
      <c r="G603" s="725"/>
      <c r="H603" s="724"/>
      <c r="I603" s="726"/>
      <c r="J603" s="950"/>
      <c r="K603" s="951"/>
      <c r="L603" s="793"/>
      <c r="M603" s="952"/>
      <c r="N603" s="953"/>
      <c r="O603" s="954"/>
      <c r="P603" s="955"/>
      <c r="Q603" s="956"/>
      <c r="R603" s="957"/>
      <c r="S603" s="800"/>
      <c r="T603" s="958"/>
      <c r="U603" s="802"/>
      <c r="V603" s="959"/>
      <c r="W603" s="960"/>
      <c r="X603" s="805"/>
      <c r="Y603" s="816"/>
      <c r="DO603" s="494"/>
      <c r="DP603" s="496" t="s">
        <v>2288</v>
      </c>
      <c r="DQ603" s="496" t="s">
        <v>8</v>
      </c>
      <c r="DR603" s="496" t="s">
        <v>689</v>
      </c>
      <c r="DS603" s="496" t="s">
        <v>2289</v>
      </c>
      <c r="DT603" s="496" t="s">
        <v>2289</v>
      </c>
      <c r="DU603" s="496" t="s">
        <v>1554</v>
      </c>
      <c r="DV603" s="496" t="s">
        <v>1555</v>
      </c>
      <c r="DW603" s="496" t="s">
        <v>1981</v>
      </c>
      <c r="DX603" s="497" t="s">
        <v>1982</v>
      </c>
      <c r="DZ603" s="543">
        <v>1</v>
      </c>
      <c r="EB603" s="493"/>
      <c r="EC603" s="493"/>
    </row>
    <row r="604" spans="5:133" ht="21" customHeight="1">
      <c r="E604" s="716"/>
      <c r="F604" s="724"/>
      <c r="G604" s="725"/>
      <c r="H604" s="724"/>
      <c r="I604" s="726"/>
      <c r="J604" s="950"/>
      <c r="K604" s="951"/>
      <c r="L604" s="793"/>
      <c r="M604" s="952"/>
      <c r="N604" s="953"/>
      <c r="O604" s="954"/>
      <c r="P604" s="955"/>
      <c r="Q604" s="956"/>
      <c r="R604" s="957"/>
      <c r="S604" s="800"/>
      <c r="T604" s="958"/>
      <c r="U604" s="802"/>
      <c r="V604" s="959"/>
      <c r="W604" s="960"/>
      <c r="X604" s="805"/>
      <c r="Y604" s="816"/>
      <c r="DO604" s="494"/>
      <c r="DP604" s="496" t="s">
        <v>2290</v>
      </c>
      <c r="DQ604" s="496" t="s">
        <v>8</v>
      </c>
      <c r="DR604" s="496" t="s">
        <v>689</v>
      </c>
      <c r="DS604" s="496" t="s">
        <v>2291</v>
      </c>
      <c r="DT604" s="496" t="s">
        <v>2291</v>
      </c>
      <c r="DU604" s="496" t="s">
        <v>1554</v>
      </c>
      <c r="DV604" s="496" t="s">
        <v>1555</v>
      </c>
      <c r="DW604" s="496" t="s">
        <v>1981</v>
      </c>
      <c r="DX604" s="497" t="s">
        <v>1982</v>
      </c>
      <c r="DZ604" s="543">
        <v>1</v>
      </c>
      <c r="EB604" s="493"/>
      <c r="EC604" s="493"/>
    </row>
    <row r="605" spans="5:133" ht="21" customHeight="1">
      <c r="E605" s="716"/>
      <c r="F605" s="724"/>
      <c r="G605" s="725"/>
      <c r="H605" s="724"/>
      <c r="I605" s="726"/>
      <c r="J605" s="950"/>
      <c r="K605" s="951"/>
      <c r="L605" s="793"/>
      <c r="M605" s="952"/>
      <c r="N605" s="953"/>
      <c r="O605" s="954"/>
      <c r="P605" s="955"/>
      <c r="Q605" s="956"/>
      <c r="R605" s="957"/>
      <c r="S605" s="800"/>
      <c r="T605" s="958"/>
      <c r="U605" s="802"/>
      <c r="V605" s="959"/>
      <c r="W605" s="960"/>
      <c r="X605" s="805"/>
      <c r="Y605" s="816"/>
      <c r="DO605" s="494"/>
      <c r="DP605" s="496" t="s">
        <v>2292</v>
      </c>
      <c r="DQ605" s="496" t="s">
        <v>8</v>
      </c>
      <c r="DR605" s="496" t="s">
        <v>689</v>
      </c>
      <c r="DS605" s="496" t="s">
        <v>2293</v>
      </c>
      <c r="DT605" s="496" t="s">
        <v>2293</v>
      </c>
      <c r="DU605" s="496" t="s">
        <v>1554</v>
      </c>
      <c r="DV605" s="496" t="s">
        <v>1555</v>
      </c>
      <c r="DW605" s="496" t="s">
        <v>1981</v>
      </c>
      <c r="DX605" s="497" t="s">
        <v>1982</v>
      </c>
      <c r="DZ605" s="543">
        <v>1</v>
      </c>
      <c r="EB605" s="493"/>
      <c r="EC605" s="493"/>
    </row>
    <row r="606" spans="5:133" ht="21" customHeight="1">
      <c r="E606" s="716"/>
      <c r="F606" s="724"/>
      <c r="G606" s="725"/>
      <c r="H606" s="724"/>
      <c r="I606" s="726"/>
      <c r="J606" s="950"/>
      <c r="K606" s="951"/>
      <c r="L606" s="793"/>
      <c r="M606" s="952"/>
      <c r="N606" s="953"/>
      <c r="O606" s="954"/>
      <c r="P606" s="955"/>
      <c r="Q606" s="956"/>
      <c r="R606" s="957"/>
      <c r="S606" s="800"/>
      <c r="T606" s="958"/>
      <c r="U606" s="802"/>
      <c r="V606" s="959"/>
      <c r="W606" s="960"/>
      <c r="X606" s="805"/>
      <c r="Y606" s="816"/>
      <c r="DO606" s="494"/>
      <c r="DP606" s="496" t="s">
        <v>2294</v>
      </c>
      <c r="DQ606" s="496" t="s">
        <v>8</v>
      </c>
      <c r="DR606" s="496" t="s">
        <v>689</v>
      </c>
      <c r="DS606" s="496" t="s">
        <v>2295</v>
      </c>
      <c r="DT606" s="496" t="s">
        <v>2295</v>
      </c>
      <c r="DU606" s="496" t="s">
        <v>1554</v>
      </c>
      <c r="DV606" s="496" t="s">
        <v>1555</v>
      </c>
      <c r="DW606" s="496" t="s">
        <v>1981</v>
      </c>
      <c r="DX606" s="497" t="s">
        <v>1982</v>
      </c>
      <c r="DZ606" s="543">
        <v>1</v>
      </c>
      <c r="EB606" s="493"/>
      <c r="EC606" s="493"/>
    </row>
    <row r="607" spans="5:133" ht="21" customHeight="1">
      <c r="E607" s="716"/>
      <c r="F607" s="724"/>
      <c r="G607" s="725"/>
      <c r="H607" s="724"/>
      <c r="I607" s="726"/>
      <c r="J607" s="950"/>
      <c r="K607" s="951"/>
      <c r="L607" s="793"/>
      <c r="M607" s="952"/>
      <c r="N607" s="953"/>
      <c r="O607" s="954"/>
      <c r="P607" s="955"/>
      <c r="Q607" s="956"/>
      <c r="R607" s="957"/>
      <c r="S607" s="800"/>
      <c r="T607" s="958"/>
      <c r="U607" s="802"/>
      <c r="V607" s="959"/>
      <c r="W607" s="960"/>
      <c r="X607" s="805"/>
      <c r="Y607" s="816"/>
      <c r="DO607" s="494"/>
      <c r="DP607" s="496" t="s">
        <v>2296</v>
      </c>
      <c r="DQ607" s="496" t="s">
        <v>8</v>
      </c>
      <c r="DR607" s="496" t="s">
        <v>689</v>
      </c>
      <c r="DS607" s="496" t="s">
        <v>2297</v>
      </c>
      <c r="DT607" s="496" t="s">
        <v>2297</v>
      </c>
      <c r="DU607" s="496" t="s">
        <v>1554</v>
      </c>
      <c r="DV607" s="496" t="s">
        <v>1555</v>
      </c>
      <c r="DW607" s="496" t="s">
        <v>1981</v>
      </c>
      <c r="DX607" s="497" t="s">
        <v>1982</v>
      </c>
      <c r="DZ607" s="543">
        <v>1</v>
      </c>
      <c r="EB607" s="493"/>
      <c r="EC607" s="493"/>
    </row>
    <row r="608" spans="5:133" ht="21" customHeight="1">
      <c r="E608" s="716"/>
      <c r="F608" s="724"/>
      <c r="G608" s="725"/>
      <c r="H608" s="724"/>
      <c r="I608" s="726"/>
      <c r="J608" s="950"/>
      <c r="K608" s="951"/>
      <c r="L608" s="793"/>
      <c r="M608" s="952"/>
      <c r="N608" s="953"/>
      <c r="O608" s="954"/>
      <c r="P608" s="955"/>
      <c r="Q608" s="956"/>
      <c r="R608" s="957"/>
      <c r="S608" s="800"/>
      <c r="T608" s="958"/>
      <c r="U608" s="802"/>
      <c r="V608" s="959"/>
      <c r="W608" s="960"/>
      <c r="X608" s="805"/>
      <c r="Y608" s="816"/>
      <c r="DO608" s="494"/>
      <c r="DP608" s="496" t="s">
        <v>2298</v>
      </c>
      <c r="DQ608" s="496" t="s">
        <v>8</v>
      </c>
      <c r="DR608" s="496" t="s">
        <v>689</v>
      </c>
      <c r="DS608" s="496" t="s">
        <v>2299</v>
      </c>
      <c r="DT608" s="496" t="s">
        <v>2299</v>
      </c>
      <c r="DU608" s="496" t="s">
        <v>1554</v>
      </c>
      <c r="DV608" s="496" t="s">
        <v>1555</v>
      </c>
      <c r="DW608" s="496" t="s">
        <v>1981</v>
      </c>
      <c r="DX608" s="497" t="s">
        <v>1982</v>
      </c>
      <c r="DZ608" s="543">
        <v>1</v>
      </c>
      <c r="EB608" s="493"/>
      <c r="EC608" s="493"/>
    </row>
    <row r="609" spans="5:133" ht="21" customHeight="1">
      <c r="E609" s="716"/>
      <c r="F609" s="724"/>
      <c r="G609" s="725"/>
      <c r="H609" s="724"/>
      <c r="I609" s="726"/>
      <c r="J609" s="950"/>
      <c r="K609" s="951"/>
      <c r="L609" s="793"/>
      <c r="M609" s="952"/>
      <c r="N609" s="953"/>
      <c r="O609" s="954"/>
      <c r="P609" s="955"/>
      <c r="Q609" s="956"/>
      <c r="R609" s="957"/>
      <c r="S609" s="800"/>
      <c r="T609" s="958"/>
      <c r="U609" s="802"/>
      <c r="V609" s="959"/>
      <c r="W609" s="960"/>
      <c r="X609" s="805"/>
      <c r="Y609" s="816"/>
      <c r="DO609" s="494"/>
      <c r="DP609" s="496" t="s">
        <v>2300</v>
      </c>
      <c r="DQ609" s="496" t="s">
        <v>8</v>
      </c>
      <c r="DR609" s="496" t="s">
        <v>689</v>
      </c>
      <c r="DS609" s="496" t="s">
        <v>2301</v>
      </c>
      <c r="DT609" s="496" t="s">
        <v>2301</v>
      </c>
      <c r="DU609" s="496" t="s">
        <v>1554</v>
      </c>
      <c r="DV609" s="496" t="s">
        <v>1555</v>
      </c>
      <c r="DW609" s="496" t="s">
        <v>1981</v>
      </c>
      <c r="DX609" s="497" t="s">
        <v>1982</v>
      </c>
      <c r="DZ609" s="543">
        <v>1</v>
      </c>
      <c r="EB609" s="493"/>
      <c r="EC609" s="493"/>
    </row>
    <row r="610" spans="5:133" ht="21" customHeight="1">
      <c r="E610" s="716"/>
      <c r="F610" s="724"/>
      <c r="G610" s="725"/>
      <c r="H610" s="724"/>
      <c r="I610" s="726"/>
      <c r="J610" s="950"/>
      <c r="K610" s="951"/>
      <c r="L610" s="793"/>
      <c r="M610" s="952"/>
      <c r="N610" s="953"/>
      <c r="O610" s="954"/>
      <c r="P610" s="955"/>
      <c r="Q610" s="956"/>
      <c r="R610" s="957"/>
      <c r="S610" s="800"/>
      <c r="T610" s="958"/>
      <c r="U610" s="802"/>
      <c r="V610" s="959"/>
      <c r="W610" s="960"/>
      <c r="X610" s="805"/>
      <c r="Y610" s="816"/>
      <c r="DO610" s="494"/>
      <c r="DP610" s="496" t="s">
        <v>2302</v>
      </c>
      <c r="DQ610" s="496" t="s">
        <v>8</v>
      </c>
      <c r="DR610" s="496" t="s">
        <v>689</v>
      </c>
      <c r="DS610" s="496" t="s">
        <v>2303</v>
      </c>
      <c r="DT610" s="496" t="s">
        <v>2303</v>
      </c>
      <c r="DU610" s="496" t="s">
        <v>1554</v>
      </c>
      <c r="DV610" s="496" t="s">
        <v>1555</v>
      </c>
      <c r="DW610" s="496" t="s">
        <v>1981</v>
      </c>
      <c r="DX610" s="497" t="s">
        <v>1982</v>
      </c>
      <c r="DZ610" s="543">
        <v>1</v>
      </c>
      <c r="EB610" s="493"/>
      <c r="EC610" s="493"/>
    </row>
    <row r="611" spans="5:133" ht="21" customHeight="1">
      <c r="E611" s="716"/>
      <c r="F611" s="724"/>
      <c r="G611" s="725"/>
      <c r="H611" s="724"/>
      <c r="I611" s="726"/>
      <c r="J611" s="950"/>
      <c r="K611" s="951"/>
      <c r="L611" s="793"/>
      <c r="M611" s="952"/>
      <c r="N611" s="953"/>
      <c r="O611" s="954"/>
      <c r="P611" s="955"/>
      <c r="Q611" s="956"/>
      <c r="R611" s="957"/>
      <c r="S611" s="800"/>
      <c r="T611" s="958"/>
      <c r="U611" s="802"/>
      <c r="V611" s="959"/>
      <c r="W611" s="960"/>
      <c r="X611" s="805"/>
      <c r="Y611" s="816"/>
      <c r="DO611" s="494"/>
      <c r="DP611" s="496" t="s">
        <v>2304</v>
      </c>
      <c r="DQ611" s="496" t="s">
        <v>8</v>
      </c>
      <c r="DR611" s="496" t="s">
        <v>689</v>
      </c>
      <c r="DS611" s="496" t="s">
        <v>2305</v>
      </c>
      <c r="DT611" s="496" t="s">
        <v>2305</v>
      </c>
      <c r="DU611" s="496" t="s">
        <v>1554</v>
      </c>
      <c r="DV611" s="496" t="s">
        <v>1555</v>
      </c>
      <c r="DW611" s="496" t="s">
        <v>1981</v>
      </c>
      <c r="DX611" s="497" t="s">
        <v>1982</v>
      </c>
      <c r="DZ611" s="543">
        <v>1</v>
      </c>
      <c r="EB611" s="493"/>
      <c r="EC611" s="493"/>
    </row>
    <row r="612" spans="5:133" ht="21" customHeight="1">
      <c r="E612" s="716"/>
      <c r="F612" s="724"/>
      <c r="G612" s="725"/>
      <c r="H612" s="724"/>
      <c r="I612" s="726"/>
      <c r="J612" s="950"/>
      <c r="K612" s="951"/>
      <c r="L612" s="793"/>
      <c r="M612" s="952"/>
      <c r="N612" s="953"/>
      <c r="O612" s="954"/>
      <c r="P612" s="955"/>
      <c r="Q612" s="956"/>
      <c r="R612" s="957"/>
      <c r="S612" s="800"/>
      <c r="T612" s="958"/>
      <c r="U612" s="802"/>
      <c r="V612" s="959"/>
      <c r="W612" s="960"/>
      <c r="X612" s="805"/>
      <c r="Y612" s="816"/>
      <c r="DO612" s="494"/>
      <c r="DP612" s="496" t="s">
        <v>2306</v>
      </c>
      <c r="DQ612" s="496" t="s">
        <v>8</v>
      </c>
      <c r="DR612" s="496" t="s">
        <v>689</v>
      </c>
      <c r="DS612" s="496" t="s">
        <v>2307</v>
      </c>
      <c r="DT612" s="496" t="s">
        <v>2307</v>
      </c>
      <c r="DU612" s="496" t="s">
        <v>1554</v>
      </c>
      <c r="DV612" s="496" t="s">
        <v>1555</v>
      </c>
      <c r="DW612" s="496" t="s">
        <v>1981</v>
      </c>
      <c r="DX612" s="497" t="s">
        <v>1982</v>
      </c>
      <c r="DZ612" s="543">
        <v>1</v>
      </c>
      <c r="EB612" s="493"/>
      <c r="EC612" s="493"/>
    </row>
    <row r="613" spans="5:133" ht="21" customHeight="1">
      <c r="E613" s="716"/>
      <c r="F613" s="724"/>
      <c r="G613" s="725"/>
      <c r="H613" s="724"/>
      <c r="I613" s="726"/>
      <c r="J613" s="950"/>
      <c r="K613" s="951"/>
      <c r="L613" s="793"/>
      <c r="M613" s="952"/>
      <c r="N613" s="953"/>
      <c r="O613" s="954"/>
      <c r="P613" s="955"/>
      <c r="Q613" s="956"/>
      <c r="R613" s="957"/>
      <c r="S613" s="800"/>
      <c r="T613" s="958"/>
      <c r="U613" s="802"/>
      <c r="V613" s="959"/>
      <c r="W613" s="960"/>
      <c r="X613" s="805"/>
      <c r="Y613" s="816"/>
      <c r="DO613" s="494"/>
      <c r="DP613" s="496" t="s">
        <v>2308</v>
      </c>
      <c r="DQ613" s="496" t="s">
        <v>8</v>
      </c>
      <c r="DR613" s="496" t="s">
        <v>689</v>
      </c>
      <c r="DS613" s="496" t="s">
        <v>2309</v>
      </c>
      <c r="DT613" s="496" t="s">
        <v>2309</v>
      </c>
      <c r="DU613" s="496" t="s">
        <v>1554</v>
      </c>
      <c r="DV613" s="496" t="s">
        <v>1555</v>
      </c>
      <c r="DW613" s="496" t="s">
        <v>1981</v>
      </c>
      <c r="DX613" s="497" t="s">
        <v>1982</v>
      </c>
      <c r="DZ613" s="543">
        <v>1</v>
      </c>
      <c r="EB613" s="493"/>
      <c r="EC613" s="493"/>
    </row>
    <row r="614" spans="5:133" ht="21" customHeight="1">
      <c r="E614" s="716"/>
      <c r="F614" s="724"/>
      <c r="G614" s="725"/>
      <c r="H614" s="724"/>
      <c r="I614" s="726"/>
      <c r="J614" s="950"/>
      <c r="K614" s="951"/>
      <c r="L614" s="793"/>
      <c r="M614" s="952"/>
      <c r="N614" s="953"/>
      <c r="O614" s="954"/>
      <c r="P614" s="955"/>
      <c r="Q614" s="956"/>
      <c r="R614" s="957"/>
      <c r="S614" s="800"/>
      <c r="T614" s="958"/>
      <c r="U614" s="802"/>
      <c r="V614" s="959"/>
      <c r="W614" s="960"/>
      <c r="X614" s="805"/>
      <c r="Y614" s="816"/>
      <c r="DO614" s="494"/>
      <c r="DP614" s="496" t="s">
        <v>2310</v>
      </c>
      <c r="DQ614" s="496" t="s">
        <v>8</v>
      </c>
      <c r="DR614" s="496" t="s">
        <v>689</v>
      </c>
      <c r="DS614" s="496" t="s">
        <v>2311</v>
      </c>
      <c r="DT614" s="496" t="s">
        <v>2311</v>
      </c>
      <c r="DU614" s="496" t="s">
        <v>1554</v>
      </c>
      <c r="DV614" s="496" t="s">
        <v>1555</v>
      </c>
      <c r="DW614" s="496" t="s">
        <v>1981</v>
      </c>
      <c r="DX614" s="497" t="s">
        <v>1982</v>
      </c>
      <c r="DZ614" s="543">
        <v>1</v>
      </c>
      <c r="EB614" s="493"/>
      <c r="EC614" s="493"/>
    </row>
    <row r="615" spans="5:133" ht="21" customHeight="1">
      <c r="E615" s="716"/>
      <c r="F615" s="724"/>
      <c r="G615" s="725"/>
      <c r="H615" s="724"/>
      <c r="I615" s="726"/>
      <c r="J615" s="950"/>
      <c r="K615" s="951"/>
      <c r="L615" s="793"/>
      <c r="M615" s="952"/>
      <c r="N615" s="953"/>
      <c r="O615" s="954"/>
      <c r="P615" s="955"/>
      <c r="Q615" s="956"/>
      <c r="R615" s="957"/>
      <c r="S615" s="800"/>
      <c r="T615" s="958"/>
      <c r="U615" s="802"/>
      <c r="V615" s="959"/>
      <c r="W615" s="960"/>
      <c r="X615" s="805"/>
      <c r="Y615" s="816"/>
      <c r="DO615" s="494"/>
      <c r="DP615" s="496" t="s">
        <v>2312</v>
      </c>
      <c r="DQ615" s="496" t="s">
        <v>8</v>
      </c>
      <c r="DR615" s="496" t="s">
        <v>689</v>
      </c>
      <c r="DS615" s="496" t="s">
        <v>2313</v>
      </c>
      <c r="DT615" s="496" t="s">
        <v>2313</v>
      </c>
      <c r="DU615" s="496" t="s">
        <v>1554</v>
      </c>
      <c r="DV615" s="496" t="s">
        <v>1555</v>
      </c>
      <c r="DW615" s="496" t="s">
        <v>1981</v>
      </c>
      <c r="DX615" s="497" t="s">
        <v>1982</v>
      </c>
      <c r="DZ615" s="543">
        <v>1</v>
      </c>
      <c r="EB615" s="493"/>
      <c r="EC615" s="493"/>
    </row>
    <row r="616" spans="5:133" ht="21" customHeight="1">
      <c r="E616" s="716"/>
      <c r="F616" s="724"/>
      <c r="G616" s="725"/>
      <c r="H616" s="724"/>
      <c r="I616" s="726"/>
      <c r="J616" s="950"/>
      <c r="K616" s="951"/>
      <c r="L616" s="793"/>
      <c r="M616" s="952"/>
      <c r="N616" s="953"/>
      <c r="O616" s="954"/>
      <c r="P616" s="955"/>
      <c r="Q616" s="956"/>
      <c r="R616" s="957"/>
      <c r="S616" s="800"/>
      <c r="T616" s="958"/>
      <c r="U616" s="802"/>
      <c r="V616" s="959"/>
      <c r="W616" s="960"/>
      <c r="X616" s="805"/>
      <c r="Y616" s="816"/>
      <c r="DO616" s="494"/>
      <c r="DP616" s="496" t="s">
        <v>2314</v>
      </c>
      <c r="DQ616" s="496" t="s">
        <v>8</v>
      </c>
      <c r="DR616" s="496" t="s">
        <v>689</v>
      </c>
      <c r="DS616" s="496" t="s">
        <v>2315</v>
      </c>
      <c r="DT616" s="496" t="s">
        <v>2315</v>
      </c>
      <c r="DU616" s="496" t="s">
        <v>1554</v>
      </c>
      <c r="DV616" s="496" t="s">
        <v>1555</v>
      </c>
      <c r="DW616" s="496" t="s">
        <v>1981</v>
      </c>
      <c r="DX616" s="497" t="s">
        <v>1982</v>
      </c>
      <c r="DZ616" s="543">
        <v>1</v>
      </c>
      <c r="EB616" s="493"/>
      <c r="EC616" s="493"/>
    </row>
    <row r="617" spans="5:133" ht="21" customHeight="1">
      <c r="E617" s="716"/>
      <c r="F617" s="724"/>
      <c r="G617" s="725"/>
      <c r="H617" s="724"/>
      <c r="I617" s="726"/>
      <c r="J617" s="950"/>
      <c r="K617" s="951"/>
      <c r="L617" s="793"/>
      <c r="M617" s="952"/>
      <c r="N617" s="953"/>
      <c r="O617" s="954"/>
      <c r="P617" s="955"/>
      <c r="Q617" s="956"/>
      <c r="R617" s="957"/>
      <c r="S617" s="800"/>
      <c r="T617" s="958"/>
      <c r="U617" s="802"/>
      <c r="V617" s="959"/>
      <c r="W617" s="960"/>
      <c r="X617" s="805"/>
      <c r="Y617" s="816"/>
      <c r="DO617" s="494"/>
      <c r="DP617" s="496" t="s">
        <v>2316</v>
      </c>
      <c r="DQ617" s="496" t="s">
        <v>8</v>
      </c>
      <c r="DR617" s="496" t="s">
        <v>689</v>
      </c>
      <c r="DS617" s="496" t="s">
        <v>2317</v>
      </c>
      <c r="DT617" s="496" t="s">
        <v>2317</v>
      </c>
      <c r="DU617" s="496" t="s">
        <v>1554</v>
      </c>
      <c r="DV617" s="496" t="s">
        <v>1555</v>
      </c>
      <c r="DW617" s="496" t="s">
        <v>1981</v>
      </c>
      <c r="DX617" s="497" t="s">
        <v>1982</v>
      </c>
      <c r="DZ617" s="543">
        <v>1</v>
      </c>
      <c r="EB617" s="493"/>
      <c r="EC617" s="493"/>
    </row>
    <row r="618" spans="5:133" ht="21" customHeight="1">
      <c r="E618" s="716"/>
      <c r="F618" s="724"/>
      <c r="G618" s="725"/>
      <c r="H618" s="724"/>
      <c r="I618" s="726"/>
      <c r="J618" s="950"/>
      <c r="K618" s="951"/>
      <c r="L618" s="793"/>
      <c r="M618" s="952"/>
      <c r="N618" s="953"/>
      <c r="O618" s="954"/>
      <c r="P618" s="955"/>
      <c r="Q618" s="956"/>
      <c r="R618" s="957"/>
      <c r="S618" s="800"/>
      <c r="T618" s="958"/>
      <c r="U618" s="802"/>
      <c r="V618" s="959"/>
      <c r="W618" s="960"/>
      <c r="X618" s="805"/>
      <c r="Y618" s="816"/>
      <c r="DO618" s="494"/>
      <c r="DP618" s="496" t="s">
        <v>2318</v>
      </c>
      <c r="DQ618" s="496" t="s">
        <v>8</v>
      </c>
      <c r="DR618" s="496" t="s">
        <v>689</v>
      </c>
      <c r="DS618" s="496" t="s">
        <v>2319</v>
      </c>
      <c r="DT618" s="496" t="s">
        <v>2319</v>
      </c>
      <c r="DU618" s="496" t="s">
        <v>1554</v>
      </c>
      <c r="DV618" s="496" t="s">
        <v>1555</v>
      </c>
      <c r="DW618" s="496" t="s">
        <v>1981</v>
      </c>
      <c r="DX618" s="497" t="s">
        <v>1982</v>
      </c>
      <c r="DZ618" s="543">
        <v>1</v>
      </c>
      <c r="EB618" s="493"/>
      <c r="EC618" s="493"/>
    </row>
    <row r="619" spans="5:133" ht="21" customHeight="1">
      <c r="E619" s="716"/>
      <c r="F619" s="724"/>
      <c r="G619" s="725"/>
      <c r="H619" s="724"/>
      <c r="I619" s="726"/>
      <c r="J619" s="950"/>
      <c r="K619" s="951"/>
      <c r="L619" s="793"/>
      <c r="M619" s="952"/>
      <c r="N619" s="953"/>
      <c r="O619" s="954"/>
      <c r="P619" s="955"/>
      <c r="Q619" s="956"/>
      <c r="R619" s="957"/>
      <c r="S619" s="800"/>
      <c r="T619" s="958"/>
      <c r="U619" s="802"/>
      <c r="V619" s="959"/>
      <c r="W619" s="960"/>
      <c r="X619" s="805"/>
      <c r="Y619" s="816"/>
      <c r="DO619" s="494"/>
      <c r="DP619" s="496" t="s">
        <v>2320</v>
      </c>
      <c r="DQ619" s="496" t="s">
        <v>8</v>
      </c>
      <c r="DR619" s="496" t="s">
        <v>689</v>
      </c>
      <c r="DS619" s="496" t="s">
        <v>356</v>
      </c>
      <c r="DT619" s="496" t="s">
        <v>356</v>
      </c>
      <c r="DU619" s="496" t="s">
        <v>1151</v>
      </c>
      <c r="DV619" s="496" t="s">
        <v>1152</v>
      </c>
      <c r="DW619" s="496" t="s">
        <v>1087</v>
      </c>
      <c r="DX619" s="497" t="s">
        <v>1153</v>
      </c>
      <c r="DZ619" s="543">
        <v>1</v>
      </c>
      <c r="EB619" s="493"/>
      <c r="EC619" s="493"/>
    </row>
    <row r="620" spans="5:133" ht="21" customHeight="1">
      <c r="E620" s="716"/>
      <c r="F620" s="724"/>
      <c r="G620" s="725"/>
      <c r="H620" s="724"/>
      <c r="I620" s="726"/>
      <c r="J620" s="950"/>
      <c r="K620" s="951"/>
      <c r="L620" s="793"/>
      <c r="M620" s="952"/>
      <c r="N620" s="953"/>
      <c r="O620" s="954"/>
      <c r="P620" s="955"/>
      <c r="Q620" s="956"/>
      <c r="R620" s="957"/>
      <c r="S620" s="800"/>
      <c r="T620" s="958"/>
      <c r="U620" s="802"/>
      <c r="V620" s="959"/>
      <c r="W620" s="960"/>
      <c r="X620" s="805"/>
      <c r="Y620" s="816"/>
      <c r="DO620" s="494"/>
      <c r="DP620" s="496" t="s">
        <v>2321</v>
      </c>
      <c r="DQ620" s="496" t="s">
        <v>8</v>
      </c>
      <c r="DR620" s="496" t="s">
        <v>689</v>
      </c>
      <c r="DS620" s="496" t="s">
        <v>2322</v>
      </c>
      <c r="DT620" s="496" t="s">
        <v>2322</v>
      </c>
      <c r="DU620" s="496" t="s">
        <v>1554</v>
      </c>
      <c r="DV620" s="496" t="s">
        <v>1555</v>
      </c>
      <c r="DW620" s="496" t="s">
        <v>1981</v>
      </c>
      <c r="DX620" s="497" t="s">
        <v>1982</v>
      </c>
      <c r="DZ620" s="543">
        <v>1</v>
      </c>
      <c r="EB620" s="493"/>
      <c r="EC620" s="493"/>
    </row>
    <row r="621" spans="5:133" ht="21" customHeight="1">
      <c r="E621" s="716"/>
      <c r="F621" s="724"/>
      <c r="G621" s="725"/>
      <c r="H621" s="724"/>
      <c r="I621" s="726"/>
      <c r="J621" s="950"/>
      <c r="K621" s="951"/>
      <c r="L621" s="793"/>
      <c r="M621" s="952"/>
      <c r="N621" s="953"/>
      <c r="O621" s="954"/>
      <c r="P621" s="955"/>
      <c r="Q621" s="956"/>
      <c r="R621" s="957"/>
      <c r="S621" s="800"/>
      <c r="T621" s="958"/>
      <c r="U621" s="802"/>
      <c r="V621" s="959"/>
      <c r="W621" s="960"/>
      <c r="X621" s="805"/>
      <c r="Y621" s="816"/>
      <c r="DO621" s="494"/>
      <c r="DP621" s="496" t="s">
        <v>2323</v>
      </c>
      <c r="DQ621" s="496" t="s">
        <v>8</v>
      </c>
      <c r="DR621" s="496" t="s">
        <v>689</v>
      </c>
      <c r="DS621" s="496" t="s">
        <v>2324</v>
      </c>
      <c r="DT621" s="496" t="s">
        <v>2324</v>
      </c>
      <c r="DU621" s="496" t="s">
        <v>1554</v>
      </c>
      <c r="DV621" s="496" t="s">
        <v>1555</v>
      </c>
      <c r="DW621" s="496" t="s">
        <v>1981</v>
      </c>
      <c r="DX621" s="497" t="s">
        <v>1982</v>
      </c>
      <c r="DZ621" s="543">
        <v>1</v>
      </c>
      <c r="EB621" s="493"/>
      <c r="EC621" s="493"/>
    </row>
    <row r="622" spans="5:133" ht="21" customHeight="1">
      <c r="E622" s="716"/>
      <c r="F622" s="724"/>
      <c r="G622" s="725"/>
      <c r="H622" s="724"/>
      <c r="I622" s="726"/>
      <c r="J622" s="950"/>
      <c r="K622" s="951"/>
      <c r="L622" s="793"/>
      <c r="M622" s="952"/>
      <c r="N622" s="953"/>
      <c r="O622" s="954"/>
      <c r="P622" s="955"/>
      <c r="Q622" s="956"/>
      <c r="R622" s="957"/>
      <c r="S622" s="800"/>
      <c r="T622" s="958"/>
      <c r="U622" s="802"/>
      <c r="V622" s="959"/>
      <c r="W622" s="960"/>
      <c r="X622" s="805"/>
      <c r="Y622" s="816"/>
      <c r="DO622" s="494"/>
      <c r="DP622" s="496" t="s">
        <v>2325</v>
      </c>
      <c r="DQ622" s="496" t="s">
        <v>8</v>
      </c>
      <c r="DR622" s="496" t="s">
        <v>689</v>
      </c>
      <c r="DS622" s="496" t="s">
        <v>2326</v>
      </c>
      <c r="DT622" s="496" t="s">
        <v>2326</v>
      </c>
      <c r="DU622" s="496" t="s">
        <v>1554</v>
      </c>
      <c r="DV622" s="496" t="s">
        <v>1555</v>
      </c>
      <c r="DW622" s="496" t="s">
        <v>1981</v>
      </c>
      <c r="DX622" s="497" t="s">
        <v>1982</v>
      </c>
      <c r="DZ622" s="543">
        <v>1</v>
      </c>
      <c r="EB622" s="493"/>
      <c r="EC622" s="493"/>
    </row>
    <row r="623" spans="5:133" ht="21" customHeight="1">
      <c r="E623" s="716"/>
      <c r="F623" s="724"/>
      <c r="G623" s="725"/>
      <c r="H623" s="724"/>
      <c r="I623" s="726"/>
      <c r="J623" s="950"/>
      <c r="K623" s="951"/>
      <c r="L623" s="793"/>
      <c r="M623" s="952"/>
      <c r="N623" s="953"/>
      <c r="O623" s="954"/>
      <c r="P623" s="955"/>
      <c r="Q623" s="956"/>
      <c r="R623" s="957"/>
      <c r="S623" s="800"/>
      <c r="T623" s="958"/>
      <c r="U623" s="802"/>
      <c r="V623" s="959"/>
      <c r="W623" s="960"/>
      <c r="X623" s="805"/>
      <c r="Y623" s="816"/>
      <c r="DO623" s="494"/>
      <c r="DP623" s="496" t="s">
        <v>2327</v>
      </c>
      <c r="DQ623" s="496" t="s">
        <v>8</v>
      </c>
      <c r="DR623" s="496" t="s">
        <v>689</v>
      </c>
      <c r="DS623" s="496" t="s">
        <v>2328</v>
      </c>
      <c r="DT623" s="496" t="s">
        <v>2328</v>
      </c>
      <c r="DU623" s="496" t="s">
        <v>1554</v>
      </c>
      <c r="DV623" s="496" t="s">
        <v>1555</v>
      </c>
      <c r="DW623" s="496" t="s">
        <v>1981</v>
      </c>
      <c r="DX623" s="497" t="s">
        <v>1982</v>
      </c>
      <c r="DZ623" s="543">
        <v>1</v>
      </c>
      <c r="EB623" s="493"/>
      <c r="EC623" s="493"/>
    </row>
    <row r="624" spans="5:133" ht="21" customHeight="1">
      <c r="E624" s="716"/>
      <c r="F624" s="724"/>
      <c r="G624" s="725"/>
      <c r="H624" s="724"/>
      <c r="I624" s="726"/>
      <c r="J624" s="950"/>
      <c r="K624" s="951"/>
      <c r="L624" s="793"/>
      <c r="M624" s="952"/>
      <c r="N624" s="953"/>
      <c r="O624" s="954"/>
      <c r="P624" s="955"/>
      <c r="Q624" s="956"/>
      <c r="R624" s="957"/>
      <c r="S624" s="800"/>
      <c r="T624" s="958"/>
      <c r="U624" s="802"/>
      <c r="V624" s="959"/>
      <c r="W624" s="960"/>
      <c r="X624" s="805"/>
      <c r="Y624" s="816"/>
      <c r="DO624" s="494"/>
      <c r="DP624" s="496" t="s">
        <v>2329</v>
      </c>
      <c r="DQ624" s="496" t="s">
        <v>8</v>
      </c>
      <c r="DR624" s="496" t="s">
        <v>689</v>
      </c>
      <c r="DS624" s="496" t="s">
        <v>2330</v>
      </c>
      <c r="DT624" s="496" t="s">
        <v>2330</v>
      </c>
      <c r="DU624" s="496" t="s">
        <v>1554</v>
      </c>
      <c r="DV624" s="496" t="s">
        <v>1555</v>
      </c>
      <c r="DW624" s="496" t="s">
        <v>1981</v>
      </c>
      <c r="DX624" s="497" t="s">
        <v>1982</v>
      </c>
      <c r="DZ624" s="543">
        <v>1</v>
      </c>
      <c r="EB624" s="493"/>
      <c r="EC624" s="493"/>
    </row>
    <row r="625" spans="5:133" ht="21" customHeight="1">
      <c r="E625" s="716"/>
      <c r="F625" s="724"/>
      <c r="G625" s="725"/>
      <c r="H625" s="724"/>
      <c r="I625" s="726"/>
      <c r="J625" s="950"/>
      <c r="K625" s="951"/>
      <c r="L625" s="793"/>
      <c r="M625" s="952"/>
      <c r="N625" s="953"/>
      <c r="O625" s="954"/>
      <c r="P625" s="955"/>
      <c r="Q625" s="956"/>
      <c r="R625" s="957"/>
      <c r="S625" s="800"/>
      <c r="T625" s="958"/>
      <c r="U625" s="802"/>
      <c r="V625" s="959"/>
      <c r="W625" s="960"/>
      <c r="X625" s="805"/>
      <c r="Y625" s="816"/>
      <c r="DO625" s="494"/>
      <c r="DP625" s="496" t="s">
        <v>2331</v>
      </c>
      <c r="DQ625" s="496" t="s">
        <v>8</v>
      </c>
      <c r="DR625" s="496" t="s">
        <v>689</v>
      </c>
      <c r="DS625" s="496" t="s">
        <v>2332</v>
      </c>
      <c r="DT625" s="496" t="s">
        <v>2332</v>
      </c>
      <c r="DU625" s="496" t="s">
        <v>1554</v>
      </c>
      <c r="DV625" s="496" t="s">
        <v>1555</v>
      </c>
      <c r="DW625" s="496" t="s">
        <v>1981</v>
      </c>
      <c r="DX625" s="497" t="s">
        <v>1982</v>
      </c>
      <c r="DZ625" s="543">
        <v>1</v>
      </c>
      <c r="EB625" s="493"/>
      <c r="EC625" s="493"/>
    </row>
    <row r="626" spans="5:133" ht="21" customHeight="1">
      <c r="E626" s="716"/>
      <c r="F626" s="724"/>
      <c r="G626" s="725"/>
      <c r="H626" s="724"/>
      <c r="I626" s="726"/>
      <c r="J626" s="950"/>
      <c r="K626" s="951"/>
      <c r="L626" s="793"/>
      <c r="M626" s="952"/>
      <c r="N626" s="953"/>
      <c r="O626" s="954"/>
      <c r="P626" s="955"/>
      <c r="Q626" s="956"/>
      <c r="R626" s="957"/>
      <c r="S626" s="800"/>
      <c r="T626" s="958"/>
      <c r="U626" s="802"/>
      <c r="V626" s="959"/>
      <c r="W626" s="960"/>
      <c r="X626" s="805"/>
      <c r="Y626" s="816"/>
      <c r="DO626" s="494"/>
      <c r="DP626" s="496" t="s">
        <v>2333</v>
      </c>
      <c r="DQ626" s="496" t="s">
        <v>8</v>
      </c>
      <c r="DR626" s="496" t="s">
        <v>689</v>
      </c>
      <c r="DS626" s="496" t="s">
        <v>1023</v>
      </c>
      <c r="DT626" s="496" t="s">
        <v>1023</v>
      </c>
      <c r="DU626" s="496" t="s">
        <v>1554</v>
      </c>
      <c r="DV626" s="496" t="s">
        <v>1555</v>
      </c>
      <c r="DW626" s="496" t="s">
        <v>1981</v>
      </c>
      <c r="DX626" s="497" t="s">
        <v>1982</v>
      </c>
      <c r="DZ626" s="543">
        <v>1</v>
      </c>
      <c r="EB626" s="493"/>
      <c r="EC626" s="493"/>
    </row>
    <row r="627" spans="5:133" ht="21" customHeight="1">
      <c r="E627" s="716"/>
      <c r="F627" s="724"/>
      <c r="G627" s="725"/>
      <c r="H627" s="724"/>
      <c r="I627" s="726"/>
      <c r="J627" s="950"/>
      <c r="K627" s="951"/>
      <c r="L627" s="793"/>
      <c r="M627" s="952"/>
      <c r="N627" s="953"/>
      <c r="O627" s="954"/>
      <c r="P627" s="955"/>
      <c r="Q627" s="956"/>
      <c r="R627" s="957"/>
      <c r="S627" s="800"/>
      <c r="T627" s="958"/>
      <c r="U627" s="802"/>
      <c r="V627" s="959"/>
      <c r="W627" s="960"/>
      <c r="X627" s="805"/>
      <c r="Y627" s="816"/>
      <c r="DO627" s="494"/>
      <c r="DP627" s="496" t="s">
        <v>2334</v>
      </c>
      <c r="DQ627" s="496" t="s">
        <v>8</v>
      </c>
      <c r="DR627" s="496" t="s">
        <v>689</v>
      </c>
      <c r="DS627" s="496" t="s">
        <v>2335</v>
      </c>
      <c r="DT627" s="496" t="s">
        <v>2335</v>
      </c>
      <c r="DU627" s="496" t="s">
        <v>1554</v>
      </c>
      <c r="DV627" s="496" t="s">
        <v>1555</v>
      </c>
      <c r="DW627" s="496" t="s">
        <v>1981</v>
      </c>
      <c r="DX627" s="497" t="s">
        <v>1982</v>
      </c>
      <c r="DZ627" s="543">
        <v>1</v>
      </c>
      <c r="EB627" s="493"/>
      <c r="EC627" s="493"/>
    </row>
    <row r="628" spans="5:133" ht="21" customHeight="1">
      <c r="E628" s="716"/>
      <c r="F628" s="724"/>
      <c r="G628" s="725"/>
      <c r="H628" s="724"/>
      <c r="I628" s="726"/>
      <c r="J628" s="950"/>
      <c r="K628" s="951"/>
      <c r="L628" s="793"/>
      <c r="M628" s="952"/>
      <c r="N628" s="953"/>
      <c r="O628" s="954"/>
      <c r="P628" s="955"/>
      <c r="Q628" s="956"/>
      <c r="R628" s="957"/>
      <c r="S628" s="800"/>
      <c r="T628" s="958"/>
      <c r="U628" s="802"/>
      <c r="V628" s="959"/>
      <c r="W628" s="960"/>
      <c r="X628" s="805"/>
      <c r="Y628" s="816"/>
      <c r="DO628" s="494"/>
      <c r="DP628" s="496" t="s">
        <v>2336</v>
      </c>
      <c r="DQ628" s="496" t="s">
        <v>8</v>
      </c>
      <c r="DR628" s="496" t="s">
        <v>689</v>
      </c>
      <c r="DS628" s="496" t="s">
        <v>83</v>
      </c>
      <c r="DT628" s="496" t="s">
        <v>83</v>
      </c>
      <c r="DU628" s="496" t="s">
        <v>1554</v>
      </c>
      <c r="DV628" s="496" t="s">
        <v>5895</v>
      </c>
      <c r="DW628" s="496" t="s">
        <v>1981</v>
      </c>
      <c r="DX628" s="497" t="s">
        <v>1982</v>
      </c>
      <c r="DZ628" s="543">
        <v>1</v>
      </c>
      <c r="EB628" s="493"/>
      <c r="EC628" s="493"/>
    </row>
    <row r="629" spans="5:133" ht="21" customHeight="1">
      <c r="E629" s="716"/>
      <c r="F629" s="724"/>
      <c r="G629" s="725"/>
      <c r="H629" s="724"/>
      <c r="I629" s="726"/>
      <c r="J629" s="950"/>
      <c r="K629" s="951"/>
      <c r="L629" s="793"/>
      <c r="M629" s="952"/>
      <c r="N629" s="953"/>
      <c r="O629" s="954"/>
      <c r="P629" s="955"/>
      <c r="Q629" s="956"/>
      <c r="R629" s="957"/>
      <c r="S629" s="800"/>
      <c r="T629" s="958"/>
      <c r="U629" s="802"/>
      <c r="V629" s="959"/>
      <c r="W629" s="960"/>
      <c r="X629" s="805"/>
      <c r="Y629" s="816"/>
      <c r="DO629" s="494"/>
      <c r="DP629" s="496" t="s">
        <v>2337</v>
      </c>
      <c r="DQ629" s="496" t="s">
        <v>8</v>
      </c>
      <c r="DR629" s="496" t="s">
        <v>689</v>
      </c>
      <c r="DS629" s="496" t="s">
        <v>2338</v>
      </c>
      <c r="DT629" s="496" t="s">
        <v>2338</v>
      </c>
      <c r="DU629" s="496" t="s">
        <v>1554</v>
      </c>
      <c r="DV629" s="496" t="s">
        <v>1555</v>
      </c>
      <c r="DW629" s="496" t="s">
        <v>1981</v>
      </c>
      <c r="DX629" s="497" t="s">
        <v>1982</v>
      </c>
      <c r="DZ629" s="543">
        <v>1</v>
      </c>
      <c r="EB629" s="493"/>
      <c r="EC629" s="493"/>
    </row>
    <row r="630" spans="5:133" ht="21" customHeight="1">
      <c r="E630" s="716"/>
      <c r="F630" s="724"/>
      <c r="G630" s="725"/>
      <c r="H630" s="724"/>
      <c r="I630" s="726"/>
      <c r="J630" s="950"/>
      <c r="K630" s="951"/>
      <c r="L630" s="793"/>
      <c r="M630" s="952"/>
      <c r="N630" s="953"/>
      <c r="O630" s="954"/>
      <c r="P630" s="955"/>
      <c r="Q630" s="956"/>
      <c r="R630" s="957"/>
      <c r="S630" s="800"/>
      <c r="T630" s="958"/>
      <c r="U630" s="802"/>
      <c r="V630" s="959"/>
      <c r="W630" s="960"/>
      <c r="X630" s="805"/>
      <c r="Y630" s="816"/>
      <c r="DO630" s="494"/>
      <c r="DP630" s="496" t="s">
        <v>2339</v>
      </c>
      <c r="DQ630" s="496" t="s">
        <v>8</v>
      </c>
      <c r="DR630" s="496" t="s">
        <v>689</v>
      </c>
      <c r="DS630" s="496" t="s">
        <v>2340</v>
      </c>
      <c r="DT630" s="496" t="s">
        <v>2340</v>
      </c>
      <c r="DU630" s="496" t="s">
        <v>1554</v>
      </c>
      <c r="DV630" s="496" t="s">
        <v>1555</v>
      </c>
      <c r="DW630" s="496" t="s">
        <v>1981</v>
      </c>
      <c r="DX630" s="497" t="s">
        <v>1982</v>
      </c>
      <c r="DZ630" s="543">
        <v>1</v>
      </c>
      <c r="EB630" s="493"/>
      <c r="EC630" s="493"/>
    </row>
    <row r="631" spans="5:133" ht="21" customHeight="1">
      <c r="E631" s="716"/>
      <c r="F631" s="724"/>
      <c r="G631" s="725"/>
      <c r="H631" s="724"/>
      <c r="I631" s="726"/>
      <c r="J631" s="950"/>
      <c r="K631" s="951"/>
      <c r="L631" s="793"/>
      <c r="M631" s="952"/>
      <c r="N631" s="953"/>
      <c r="O631" s="954"/>
      <c r="P631" s="955"/>
      <c r="Q631" s="956"/>
      <c r="R631" s="957"/>
      <c r="S631" s="800"/>
      <c r="T631" s="958"/>
      <c r="U631" s="802"/>
      <c r="V631" s="959"/>
      <c r="W631" s="960"/>
      <c r="X631" s="805"/>
      <c r="Y631" s="816"/>
      <c r="DO631" s="494"/>
      <c r="DP631" s="496" t="s">
        <v>2341</v>
      </c>
      <c r="DQ631" s="496" t="s">
        <v>8</v>
      </c>
      <c r="DR631" s="496" t="s">
        <v>689</v>
      </c>
      <c r="DS631" s="496" t="s">
        <v>2342</v>
      </c>
      <c r="DT631" s="496" t="s">
        <v>2342</v>
      </c>
      <c r="DU631" s="496" t="s">
        <v>1554</v>
      </c>
      <c r="DV631" s="496" t="s">
        <v>1555</v>
      </c>
      <c r="DW631" s="496" t="s">
        <v>1981</v>
      </c>
      <c r="DX631" s="497" t="s">
        <v>1982</v>
      </c>
      <c r="DZ631" s="543">
        <v>1</v>
      </c>
      <c r="EB631" s="493"/>
      <c r="EC631" s="493"/>
    </row>
    <row r="632" spans="5:133" ht="21" customHeight="1">
      <c r="E632" s="716"/>
      <c r="F632" s="724"/>
      <c r="G632" s="725"/>
      <c r="H632" s="724"/>
      <c r="I632" s="726"/>
      <c r="J632" s="950"/>
      <c r="K632" s="951"/>
      <c r="L632" s="793"/>
      <c r="M632" s="952"/>
      <c r="N632" s="953"/>
      <c r="O632" s="954"/>
      <c r="P632" s="955"/>
      <c r="Q632" s="956"/>
      <c r="R632" s="957"/>
      <c r="S632" s="800"/>
      <c r="T632" s="958"/>
      <c r="U632" s="802"/>
      <c r="V632" s="959"/>
      <c r="W632" s="960"/>
      <c r="X632" s="805"/>
      <c r="Y632" s="816"/>
      <c r="DO632" s="494"/>
      <c r="DP632" s="496" t="s">
        <v>2343</v>
      </c>
      <c r="DQ632" s="496" t="s">
        <v>8</v>
      </c>
      <c r="DR632" s="496" t="s">
        <v>689</v>
      </c>
      <c r="DS632" s="496" t="s">
        <v>2344</v>
      </c>
      <c r="DT632" s="496" t="s">
        <v>2344</v>
      </c>
      <c r="DU632" s="496" t="s">
        <v>1554</v>
      </c>
      <c r="DV632" s="496" t="s">
        <v>1555</v>
      </c>
      <c r="DW632" s="496" t="s">
        <v>1981</v>
      </c>
      <c r="DX632" s="497" t="s">
        <v>1982</v>
      </c>
      <c r="DZ632" s="543">
        <v>1</v>
      </c>
      <c r="EB632" s="493"/>
      <c r="EC632" s="493"/>
    </row>
    <row r="633" spans="5:133" ht="21" customHeight="1">
      <c r="E633" s="716"/>
      <c r="F633" s="724"/>
      <c r="G633" s="725"/>
      <c r="H633" s="724"/>
      <c r="I633" s="726"/>
      <c r="J633" s="950"/>
      <c r="K633" s="951"/>
      <c r="L633" s="793"/>
      <c r="M633" s="952"/>
      <c r="N633" s="953"/>
      <c r="O633" s="954"/>
      <c r="P633" s="955"/>
      <c r="Q633" s="956"/>
      <c r="R633" s="957"/>
      <c r="S633" s="800"/>
      <c r="T633" s="958"/>
      <c r="U633" s="802"/>
      <c r="V633" s="959"/>
      <c r="W633" s="960"/>
      <c r="X633" s="805"/>
      <c r="Y633" s="816"/>
      <c r="DO633" s="494"/>
      <c r="DP633" s="496" t="s">
        <v>2345</v>
      </c>
      <c r="DQ633" s="496" t="s">
        <v>8</v>
      </c>
      <c r="DR633" s="496" t="s">
        <v>689</v>
      </c>
      <c r="DS633" s="496" t="s">
        <v>2346</v>
      </c>
      <c r="DT633" s="496" t="s">
        <v>2346</v>
      </c>
      <c r="DU633" s="496" t="s">
        <v>1554</v>
      </c>
      <c r="DV633" s="496" t="s">
        <v>1555</v>
      </c>
      <c r="DW633" s="496" t="s">
        <v>1981</v>
      </c>
      <c r="DX633" s="497" t="s">
        <v>1982</v>
      </c>
      <c r="DZ633" s="543">
        <v>1</v>
      </c>
      <c r="EB633" s="493"/>
      <c r="EC633" s="493"/>
    </row>
    <row r="634" spans="5:133" ht="21" customHeight="1">
      <c r="E634" s="716"/>
      <c r="F634" s="724"/>
      <c r="G634" s="725"/>
      <c r="H634" s="724"/>
      <c r="I634" s="726"/>
      <c r="J634" s="950"/>
      <c r="K634" s="951"/>
      <c r="L634" s="793"/>
      <c r="M634" s="952"/>
      <c r="N634" s="953"/>
      <c r="O634" s="954"/>
      <c r="P634" s="955"/>
      <c r="Q634" s="956"/>
      <c r="R634" s="957"/>
      <c r="S634" s="800"/>
      <c r="T634" s="958"/>
      <c r="U634" s="802"/>
      <c r="V634" s="959"/>
      <c r="W634" s="960"/>
      <c r="X634" s="805"/>
      <c r="Y634" s="816"/>
      <c r="DO634" s="494"/>
      <c r="DP634" s="496" t="s">
        <v>2347</v>
      </c>
      <c r="DQ634" s="496" t="s">
        <v>8</v>
      </c>
      <c r="DR634" s="496" t="s">
        <v>689</v>
      </c>
      <c r="DS634" s="496" t="s">
        <v>2348</v>
      </c>
      <c r="DT634" s="496" t="s">
        <v>2348</v>
      </c>
      <c r="DU634" s="496" t="s">
        <v>1554</v>
      </c>
      <c r="DV634" s="496" t="s">
        <v>1555</v>
      </c>
      <c r="DW634" s="496" t="s">
        <v>1981</v>
      </c>
      <c r="DX634" s="497" t="s">
        <v>1982</v>
      </c>
      <c r="DZ634" s="543">
        <v>1</v>
      </c>
      <c r="EB634" s="493"/>
      <c r="EC634" s="493"/>
    </row>
    <row r="635" spans="5:133" ht="21" customHeight="1">
      <c r="E635" s="716"/>
      <c r="F635" s="724"/>
      <c r="G635" s="725"/>
      <c r="H635" s="724"/>
      <c r="I635" s="726"/>
      <c r="J635" s="950"/>
      <c r="K635" s="951"/>
      <c r="L635" s="793"/>
      <c r="M635" s="952"/>
      <c r="N635" s="953"/>
      <c r="O635" s="954"/>
      <c r="P635" s="955"/>
      <c r="Q635" s="956"/>
      <c r="R635" s="957"/>
      <c r="S635" s="800"/>
      <c r="T635" s="958"/>
      <c r="U635" s="802"/>
      <c r="V635" s="959"/>
      <c r="W635" s="960"/>
      <c r="X635" s="805"/>
      <c r="Y635" s="816"/>
      <c r="DO635" s="494"/>
      <c r="DP635" s="496" t="s">
        <v>2349</v>
      </c>
      <c r="DQ635" s="496" t="s">
        <v>8</v>
      </c>
      <c r="DR635" s="496" t="s">
        <v>689</v>
      </c>
      <c r="DS635" s="496" t="s">
        <v>2350</v>
      </c>
      <c r="DT635" s="496" t="s">
        <v>2350</v>
      </c>
      <c r="DU635" s="496" t="s">
        <v>1554</v>
      </c>
      <c r="DV635" s="496" t="s">
        <v>1555</v>
      </c>
      <c r="DW635" s="496" t="s">
        <v>1981</v>
      </c>
      <c r="DX635" s="497" t="s">
        <v>1982</v>
      </c>
      <c r="DZ635" s="543">
        <v>1</v>
      </c>
      <c r="EB635" s="493"/>
      <c r="EC635" s="493"/>
    </row>
    <row r="636" spans="5:133" ht="21" customHeight="1">
      <c r="E636" s="716"/>
      <c r="F636" s="724"/>
      <c r="G636" s="725"/>
      <c r="H636" s="724"/>
      <c r="I636" s="726"/>
      <c r="J636" s="950"/>
      <c r="K636" s="951"/>
      <c r="L636" s="793"/>
      <c r="M636" s="952"/>
      <c r="N636" s="953"/>
      <c r="O636" s="954"/>
      <c r="P636" s="955"/>
      <c r="Q636" s="956"/>
      <c r="R636" s="957"/>
      <c r="S636" s="800"/>
      <c r="T636" s="958"/>
      <c r="U636" s="802"/>
      <c r="V636" s="959"/>
      <c r="W636" s="960"/>
      <c r="X636" s="805"/>
      <c r="Y636" s="816"/>
      <c r="DO636" s="494"/>
      <c r="DP636" s="496" t="s">
        <v>2351</v>
      </c>
      <c r="DQ636" s="496" t="s">
        <v>8</v>
      </c>
      <c r="DR636" s="496" t="s">
        <v>689</v>
      </c>
      <c r="DS636" s="496" t="s">
        <v>2352</v>
      </c>
      <c r="DT636" s="496" t="s">
        <v>2352</v>
      </c>
      <c r="DU636" s="496" t="s">
        <v>1554</v>
      </c>
      <c r="DV636" s="496" t="s">
        <v>1555</v>
      </c>
      <c r="DW636" s="496" t="s">
        <v>1981</v>
      </c>
      <c r="DX636" s="497" t="s">
        <v>1982</v>
      </c>
      <c r="DZ636" s="543">
        <v>1</v>
      </c>
      <c r="EB636" s="493"/>
      <c r="EC636" s="493"/>
    </row>
    <row r="637" spans="5:133" ht="21" customHeight="1">
      <c r="E637" s="716"/>
      <c r="F637" s="724"/>
      <c r="G637" s="725"/>
      <c r="H637" s="724"/>
      <c r="I637" s="726"/>
      <c r="J637" s="950"/>
      <c r="K637" s="951"/>
      <c r="L637" s="793"/>
      <c r="M637" s="952"/>
      <c r="N637" s="953"/>
      <c r="O637" s="954"/>
      <c r="P637" s="955"/>
      <c r="Q637" s="956"/>
      <c r="R637" s="957"/>
      <c r="S637" s="800"/>
      <c r="T637" s="958"/>
      <c r="U637" s="802"/>
      <c r="V637" s="959"/>
      <c r="W637" s="960"/>
      <c r="X637" s="805"/>
      <c r="Y637" s="816"/>
      <c r="DO637" s="494"/>
      <c r="DP637" s="496" t="s">
        <v>2353</v>
      </c>
      <c r="DQ637" s="496" t="s">
        <v>8</v>
      </c>
      <c r="DR637" s="496" t="s">
        <v>689</v>
      </c>
      <c r="DS637" s="496" t="s">
        <v>2354</v>
      </c>
      <c r="DT637" s="496" t="s">
        <v>2354</v>
      </c>
      <c r="DU637" s="496" t="s">
        <v>1554</v>
      </c>
      <c r="DV637" s="496" t="s">
        <v>1555</v>
      </c>
      <c r="DW637" s="496" t="s">
        <v>1981</v>
      </c>
      <c r="DX637" s="497" t="s">
        <v>1982</v>
      </c>
      <c r="DZ637" s="543">
        <v>1</v>
      </c>
      <c r="EB637" s="493"/>
      <c r="EC637" s="493"/>
    </row>
    <row r="638" spans="5:133" ht="21" customHeight="1">
      <c r="E638" s="716"/>
      <c r="F638" s="724"/>
      <c r="G638" s="725"/>
      <c r="H638" s="724"/>
      <c r="I638" s="726"/>
      <c r="J638" s="950"/>
      <c r="K638" s="951"/>
      <c r="L638" s="793"/>
      <c r="M638" s="952"/>
      <c r="N638" s="953"/>
      <c r="O638" s="954"/>
      <c r="P638" s="955"/>
      <c r="Q638" s="956"/>
      <c r="R638" s="957"/>
      <c r="S638" s="800"/>
      <c r="T638" s="958"/>
      <c r="U638" s="802"/>
      <c r="V638" s="959"/>
      <c r="W638" s="960"/>
      <c r="X638" s="805"/>
      <c r="Y638" s="816"/>
      <c r="DO638" s="494"/>
      <c r="DP638" s="496" t="s">
        <v>2355</v>
      </c>
      <c r="DQ638" s="496" t="s">
        <v>8</v>
      </c>
      <c r="DR638" s="496" t="s">
        <v>689</v>
      </c>
      <c r="DS638" s="496" t="s">
        <v>2356</v>
      </c>
      <c r="DT638" s="496" t="s">
        <v>2356</v>
      </c>
      <c r="DU638" s="496" t="s">
        <v>1554</v>
      </c>
      <c r="DV638" s="496" t="s">
        <v>1555</v>
      </c>
      <c r="DW638" s="496" t="s">
        <v>1981</v>
      </c>
      <c r="DX638" s="497" t="s">
        <v>1982</v>
      </c>
      <c r="DZ638" s="543">
        <v>1</v>
      </c>
      <c r="EB638" s="493"/>
      <c r="EC638" s="493"/>
    </row>
    <row r="639" spans="5:133" ht="21" customHeight="1">
      <c r="E639" s="716"/>
      <c r="F639" s="724"/>
      <c r="G639" s="725"/>
      <c r="H639" s="724"/>
      <c r="I639" s="726"/>
      <c r="J639" s="950"/>
      <c r="K639" s="951"/>
      <c r="L639" s="793"/>
      <c r="M639" s="952"/>
      <c r="N639" s="953"/>
      <c r="O639" s="954"/>
      <c r="P639" s="955"/>
      <c r="Q639" s="956"/>
      <c r="R639" s="957"/>
      <c r="S639" s="800"/>
      <c r="T639" s="958"/>
      <c r="U639" s="802"/>
      <c r="V639" s="959"/>
      <c r="W639" s="960"/>
      <c r="X639" s="805"/>
      <c r="Y639" s="816"/>
      <c r="DO639" s="494"/>
      <c r="DP639" s="496" t="s">
        <v>2357</v>
      </c>
      <c r="DQ639" s="496" t="s">
        <v>8</v>
      </c>
      <c r="DR639" s="496" t="s">
        <v>689</v>
      </c>
      <c r="DS639" s="496" t="s">
        <v>2358</v>
      </c>
      <c r="DT639" s="496" t="s">
        <v>2358</v>
      </c>
      <c r="DU639" s="496" t="s">
        <v>1554</v>
      </c>
      <c r="DV639" s="496" t="s">
        <v>1555</v>
      </c>
      <c r="DW639" s="496" t="s">
        <v>1981</v>
      </c>
      <c r="DX639" s="497" t="s">
        <v>1982</v>
      </c>
      <c r="DZ639" s="543">
        <v>1</v>
      </c>
      <c r="EB639" s="493"/>
      <c r="EC639" s="493"/>
    </row>
    <row r="640" spans="5:133" ht="21" customHeight="1">
      <c r="E640" s="716"/>
      <c r="F640" s="724"/>
      <c r="G640" s="725"/>
      <c r="H640" s="724"/>
      <c r="I640" s="726"/>
      <c r="J640" s="950"/>
      <c r="K640" s="951"/>
      <c r="L640" s="793"/>
      <c r="M640" s="952"/>
      <c r="N640" s="953"/>
      <c r="O640" s="954"/>
      <c r="P640" s="955"/>
      <c r="Q640" s="956"/>
      <c r="R640" s="957"/>
      <c r="S640" s="800"/>
      <c r="T640" s="958"/>
      <c r="U640" s="802"/>
      <c r="V640" s="959"/>
      <c r="W640" s="960"/>
      <c r="X640" s="805"/>
      <c r="Y640" s="816"/>
      <c r="DO640" s="494"/>
      <c r="DP640" s="496" t="s">
        <v>2359</v>
      </c>
      <c r="DQ640" s="496" t="s">
        <v>8</v>
      </c>
      <c r="DR640" s="496" t="s">
        <v>689</v>
      </c>
      <c r="DS640" s="496" t="s">
        <v>2360</v>
      </c>
      <c r="DT640" s="496" t="s">
        <v>2360</v>
      </c>
      <c r="DU640" s="496" t="s">
        <v>1554</v>
      </c>
      <c r="DV640" s="496" t="s">
        <v>1555</v>
      </c>
      <c r="DW640" s="496" t="s">
        <v>1981</v>
      </c>
      <c r="DX640" s="497" t="s">
        <v>1982</v>
      </c>
      <c r="DZ640" s="543">
        <v>1</v>
      </c>
      <c r="EB640" s="493"/>
      <c r="EC640" s="493"/>
    </row>
    <row r="641" spans="1:133" ht="21" customHeight="1">
      <c r="E641" s="716"/>
      <c r="F641" s="724"/>
      <c r="G641" s="725"/>
      <c r="H641" s="724"/>
      <c r="I641" s="726"/>
      <c r="J641" s="950"/>
      <c r="K641" s="951"/>
      <c r="L641" s="793"/>
      <c r="M641" s="952"/>
      <c r="N641" s="953"/>
      <c r="O641" s="954"/>
      <c r="P641" s="955"/>
      <c r="Q641" s="956"/>
      <c r="R641" s="957"/>
      <c r="S641" s="800"/>
      <c r="T641" s="958"/>
      <c r="U641" s="802"/>
      <c r="V641" s="959"/>
      <c r="W641" s="960"/>
      <c r="X641" s="805"/>
      <c r="Y641" s="816"/>
      <c r="DO641" s="494"/>
      <c r="DP641" s="496" t="s">
        <v>2361</v>
      </c>
      <c r="DQ641" s="496" t="s">
        <v>8</v>
      </c>
      <c r="DR641" s="496" t="s">
        <v>689</v>
      </c>
      <c r="DS641" s="496" t="s">
        <v>2362</v>
      </c>
      <c r="DT641" s="496" t="s">
        <v>2362</v>
      </c>
      <c r="DU641" s="496" t="s">
        <v>1554</v>
      </c>
      <c r="DV641" s="496" t="s">
        <v>1555</v>
      </c>
      <c r="DW641" s="496" t="s">
        <v>1981</v>
      </c>
      <c r="DX641" s="497" t="s">
        <v>1982</v>
      </c>
      <c r="DZ641" s="543">
        <v>1</v>
      </c>
      <c r="EB641" s="493"/>
      <c r="EC641" s="493"/>
    </row>
    <row r="642" spans="1:133" ht="21" customHeight="1">
      <c r="E642" s="716"/>
      <c r="F642" s="724"/>
      <c r="G642" s="725"/>
      <c r="H642" s="724"/>
      <c r="I642" s="726"/>
      <c r="J642" s="950"/>
      <c r="K642" s="951"/>
      <c r="L642" s="793"/>
      <c r="M642" s="952"/>
      <c r="N642" s="953"/>
      <c r="O642" s="954"/>
      <c r="P642" s="955"/>
      <c r="Q642" s="956"/>
      <c r="R642" s="957"/>
      <c r="S642" s="800"/>
      <c r="T642" s="958"/>
      <c r="U642" s="802"/>
      <c r="V642" s="959"/>
      <c r="W642" s="960"/>
      <c r="X642" s="805"/>
      <c r="Y642" s="816"/>
      <c r="DO642" s="494"/>
      <c r="DP642" s="496" t="s">
        <v>2363</v>
      </c>
      <c r="DQ642" s="496" t="s">
        <v>8</v>
      </c>
      <c r="DR642" s="496" t="s">
        <v>689</v>
      </c>
      <c r="DS642" s="496" t="s">
        <v>2364</v>
      </c>
      <c r="DT642" s="496" t="s">
        <v>2364</v>
      </c>
      <c r="DU642" s="496" t="s">
        <v>1554</v>
      </c>
      <c r="DV642" s="496" t="s">
        <v>1555</v>
      </c>
      <c r="DW642" s="496" t="s">
        <v>1981</v>
      </c>
      <c r="DX642" s="497" t="s">
        <v>1982</v>
      </c>
      <c r="DZ642" s="543">
        <v>1</v>
      </c>
      <c r="EB642" s="493"/>
      <c r="EC642" s="493"/>
    </row>
    <row r="643" spans="1:133" ht="21" customHeight="1">
      <c r="E643" s="716"/>
      <c r="F643" s="724"/>
      <c r="G643" s="725"/>
      <c r="H643" s="724"/>
      <c r="I643" s="726"/>
      <c r="J643" s="950"/>
      <c r="K643" s="951"/>
      <c r="L643" s="793"/>
      <c r="M643" s="952"/>
      <c r="N643" s="953"/>
      <c r="O643" s="954"/>
      <c r="P643" s="955"/>
      <c r="Q643" s="956"/>
      <c r="R643" s="957"/>
      <c r="S643" s="800"/>
      <c r="T643" s="958"/>
      <c r="U643" s="802"/>
      <c r="V643" s="959"/>
      <c r="W643" s="960"/>
      <c r="X643" s="805"/>
      <c r="Y643" s="816"/>
      <c r="DO643" s="494"/>
      <c r="DP643" s="496" t="s">
        <v>2365</v>
      </c>
      <c r="DQ643" s="496" t="s">
        <v>8</v>
      </c>
      <c r="DR643" s="496" t="s">
        <v>689</v>
      </c>
      <c r="DS643" s="496" t="s">
        <v>2366</v>
      </c>
      <c r="DT643" s="496" t="s">
        <v>2366</v>
      </c>
      <c r="DU643" s="496" t="s">
        <v>1554</v>
      </c>
      <c r="DV643" s="496" t="s">
        <v>1555</v>
      </c>
      <c r="DW643" s="496" t="s">
        <v>1981</v>
      </c>
      <c r="DX643" s="497" t="s">
        <v>1982</v>
      </c>
      <c r="DZ643" s="543">
        <v>1</v>
      </c>
      <c r="EB643" s="493"/>
      <c r="EC643" s="493"/>
    </row>
    <row r="644" spans="1:133" ht="21" customHeight="1">
      <c r="E644" s="716"/>
      <c r="F644" s="724"/>
      <c r="G644" s="725"/>
      <c r="H644" s="724"/>
      <c r="I644" s="726"/>
      <c r="J644" s="950"/>
      <c r="K644" s="951"/>
      <c r="L644" s="793"/>
      <c r="M644" s="952"/>
      <c r="N644" s="953"/>
      <c r="O644" s="954"/>
      <c r="P644" s="955"/>
      <c r="Q644" s="956"/>
      <c r="R644" s="957"/>
      <c r="S644" s="800"/>
      <c r="T644" s="958"/>
      <c r="U644" s="802"/>
      <c r="V644" s="959"/>
      <c r="W644" s="960"/>
      <c r="X644" s="805"/>
      <c r="Y644" s="816"/>
      <c r="DO644" s="494"/>
      <c r="DP644" s="496" t="s">
        <v>2367</v>
      </c>
      <c r="DQ644" s="496" t="s">
        <v>8</v>
      </c>
      <c r="DR644" s="496" t="s">
        <v>689</v>
      </c>
      <c r="DS644" s="496" t="s">
        <v>2368</v>
      </c>
      <c r="DT644" s="496" t="s">
        <v>2368</v>
      </c>
      <c r="DU644" s="496" t="s">
        <v>1554</v>
      </c>
      <c r="DV644" s="496" t="s">
        <v>1555</v>
      </c>
      <c r="DW644" s="496" t="s">
        <v>1981</v>
      </c>
      <c r="DX644" s="497" t="s">
        <v>1982</v>
      </c>
      <c r="DZ644" s="543">
        <v>1</v>
      </c>
      <c r="EB644" s="493"/>
      <c r="EC644" s="493"/>
    </row>
    <row r="645" spans="1:133" ht="21" customHeight="1">
      <c r="A645" s="963">
        <v>1</v>
      </c>
      <c r="B645" s="963"/>
      <c r="C645" s="963"/>
      <c r="D645" s="963"/>
      <c r="E645" s="716"/>
      <c r="F645" s="724"/>
      <c r="G645" s="725"/>
      <c r="H645" s="724"/>
      <c r="I645" s="726"/>
      <c r="J645" s="950"/>
      <c r="K645" s="951"/>
      <c r="L645" s="793"/>
      <c r="M645" s="952"/>
      <c r="N645" s="953"/>
      <c r="O645" s="954"/>
      <c r="P645" s="955"/>
      <c r="Q645" s="956"/>
      <c r="R645" s="957"/>
      <c r="S645" s="800"/>
      <c r="T645" s="958"/>
      <c r="U645" s="802"/>
      <c r="V645" s="959"/>
      <c r="W645" s="960"/>
      <c r="X645" s="805"/>
      <c r="Y645" s="816"/>
      <c r="AB645" s="963"/>
      <c r="DO645" s="494"/>
      <c r="DP645" s="496" t="s">
        <v>2369</v>
      </c>
      <c r="DQ645" s="496" t="s">
        <v>8</v>
      </c>
      <c r="DR645" s="496" t="s">
        <v>689</v>
      </c>
      <c r="DS645" s="496" t="s">
        <v>2370</v>
      </c>
      <c r="DT645" s="496" t="s">
        <v>2370</v>
      </c>
      <c r="DU645" s="496" t="s">
        <v>1554</v>
      </c>
      <c r="DV645" s="496" t="s">
        <v>1555</v>
      </c>
      <c r="DW645" s="496" t="s">
        <v>1981</v>
      </c>
      <c r="DX645" s="497" t="s">
        <v>1982</v>
      </c>
      <c r="DZ645" s="543">
        <v>1</v>
      </c>
      <c r="EB645" s="493"/>
      <c r="EC645" s="493"/>
    </row>
    <row r="646" spans="1:133" ht="21" customHeight="1">
      <c r="E646" s="716"/>
      <c r="F646" s="724"/>
      <c r="G646" s="725"/>
      <c r="H646" s="724"/>
      <c r="I646" s="726"/>
      <c r="J646" s="950"/>
      <c r="K646" s="951"/>
      <c r="L646" s="793"/>
      <c r="M646" s="952"/>
      <c r="N646" s="953"/>
      <c r="O646" s="954"/>
      <c r="P646" s="955"/>
      <c r="Q646" s="956"/>
      <c r="R646" s="957"/>
      <c r="S646" s="800"/>
      <c r="T646" s="958"/>
      <c r="U646" s="802"/>
      <c r="V646" s="959"/>
      <c r="W646" s="960"/>
      <c r="X646" s="805"/>
      <c r="Y646" s="816"/>
      <c r="DO646" s="494"/>
      <c r="DP646" s="496" t="s">
        <v>2371</v>
      </c>
      <c r="DQ646" s="496" t="s">
        <v>8</v>
      </c>
      <c r="DR646" s="496" t="s">
        <v>689</v>
      </c>
      <c r="DS646" s="496" t="s">
        <v>2372</v>
      </c>
      <c r="DT646" s="496" t="s">
        <v>2372</v>
      </c>
      <c r="DU646" s="496" t="s">
        <v>1554</v>
      </c>
      <c r="DV646" s="496" t="s">
        <v>1555</v>
      </c>
      <c r="DW646" s="496" t="s">
        <v>1981</v>
      </c>
      <c r="DX646" s="497" t="s">
        <v>1982</v>
      </c>
      <c r="DZ646" s="543">
        <v>1</v>
      </c>
      <c r="EB646" s="493"/>
      <c r="EC646" s="493"/>
    </row>
    <row r="647" spans="1:133" ht="21" customHeight="1">
      <c r="E647" s="716"/>
      <c r="F647" s="724"/>
      <c r="G647" s="725"/>
      <c r="H647" s="724"/>
      <c r="I647" s="726"/>
      <c r="J647" s="950"/>
      <c r="K647" s="951"/>
      <c r="L647" s="793"/>
      <c r="M647" s="952"/>
      <c r="N647" s="953"/>
      <c r="O647" s="954"/>
      <c r="P647" s="955"/>
      <c r="Q647" s="956"/>
      <c r="R647" s="957"/>
      <c r="S647" s="800"/>
      <c r="T647" s="958"/>
      <c r="U647" s="802"/>
      <c r="V647" s="959"/>
      <c r="W647" s="960"/>
      <c r="X647" s="805"/>
      <c r="Y647" s="816"/>
      <c r="DO647" s="494"/>
      <c r="DP647" s="496" t="s">
        <v>2373</v>
      </c>
      <c r="DQ647" s="496" t="s">
        <v>8</v>
      </c>
      <c r="DR647" s="496" t="s">
        <v>689</v>
      </c>
      <c r="DS647" s="496" t="s">
        <v>2374</v>
      </c>
      <c r="DT647" s="496" t="s">
        <v>2374</v>
      </c>
      <c r="DU647" s="496" t="s">
        <v>1554</v>
      </c>
      <c r="DV647" s="496" t="s">
        <v>1555</v>
      </c>
      <c r="DW647" s="496" t="s">
        <v>1981</v>
      </c>
      <c r="DX647" s="497" t="s">
        <v>1982</v>
      </c>
      <c r="DZ647" s="543">
        <v>1</v>
      </c>
      <c r="EB647" s="493"/>
      <c r="EC647" s="493"/>
    </row>
    <row r="648" spans="1:133" ht="21" customHeight="1">
      <c r="E648" s="716"/>
      <c r="F648" s="724"/>
      <c r="G648" s="725"/>
      <c r="H648" s="724"/>
      <c r="I648" s="726"/>
      <c r="J648" s="950"/>
      <c r="K648" s="951"/>
      <c r="L648" s="793"/>
      <c r="M648" s="952"/>
      <c r="N648" s="953"/>
      <c r="O648" s="954"/>
      <c r="P648" s="955"/>
      <c r="Q648" s="956"/>
      <c r="R648" s="957"/>
      <c r="S648" s="800"/>
      <c r="T648" s="958"/>
      <c r="U648" s="802"/>
      <c r="V648" s="959"/>
      <c r="W648" s="960"/>
      <c r="X648" s="805"/>
      <c r="Y648" s="816"/>
      <c r="DO648" s="494"/>
      <c r="DP648" s="496" t="s">
        <v>2375</v>
      </c>
      <c r="DQ648" s="496" t="s">
        <v>8</v>
      </c>
      <c r="DR648" s="496" t="s">
        <v>689</v>
      </c>
      <c r="DS648" s="496" t="s">
        <v>2376</v>
      </c>
      <c r="DT648" s="496" t="s">
        <v>2376</v>
      </c>
      <c r="DU648" s="496" t="s">
        <v>1554</v>
      </c>
      <c r="DV648" s="496" t="s">
        <v>1555</v>
      </c>
      <c r="DW648" s="496" t="s">
        <v>1981</v>
      </c>
      <c r="DX648" s="497" t="s">
        <v>1982</v>
      </c>
      <c r="DZ648" s="543">
        <v>1</v>
      </c>
      <c r="EB648" s="493"/>
      <c r="EC648" s="493"/>
    </row>
    <row r="649" spans="1:133" ht="21" customHeight="1">
      <c r="E649" s="716"/>
      <c r="F649" s="724"/>
      <c r="G649" s="725"/>
      <c r="H649" s="724"/>
      <c r="I649" s="726"/>
      <c r="J649" s="950"/>
      <c r="K649" s="951"/>
      <c r="L649" s="793"/>
      <c r="M649" s="952"/>
      <c r="N649" s="953"/>
      <c r="O649" s="954"/>
      <c r="P649" s="955"/>
      <c r="Q649" s="956"/>
      <c r="R649" s="957"/>
      <c r="S649" s="800"/>
      <c r="T649" s="958"/>
      <c r="U649" s="802"/>
      <c r="V649" s="959"/>
      <c r="W649" s="960"/>
      <c r="X649" s="805"/>
      <c r="Y649" s="816"/>
      <c r="DO649" s="494"/>
      <c r="DP649" s="496" t="s">
        <v>2377</v>
      </c>
      <c r="DQ649" s="496" t="s">
        <v>8</v>
      </c>
      <c r="DR649" s="496" t="s">
        <v>689</v>
      </c>
      <c r="DS649" s="496" t="s">
        <v>2378</v>
      </c>
      <c r="DT649" s="496" t="s">
        <v>2378</v>
      </c>
      <c r="DU649" s="496" t="s">
        <v>1554</v>
      </c>
      <c r="DV649" s="496" t="s">
        <v>1555</v>
      </c>
      <c r="DW649" s="496" t="s">
        <v>1981</v>
      </c>
      <c r="DX649" s="497" t="s">
        <v>1982</v>
      </c>
      <c r="DZ649" s="543">
        <v>1</v>
      </c>
      <c r="EB649" s="493"/>
      <c r="EC649" s="493"/>
    </row>
    <row r="650" spans="1:133" ht="21" customHeight="1">
      <c r="E650" s="716"/>
      <c r="F650" s="724"/>
      <c r="G650" s="725"/>
      <c r="H650" s="724"/>
      <c r="I650" s="726"/>
      <c r="J650" s="950"/>
      <c r="K650" s="951"/>
      <c r="L650" s="793"/>
      <c r="M650" s="952"/>
      <c r="N650" s="953"/>
      <c r="O650" s="954"/>
      <c r="P650" s="955"/>
      <c r="Q650" s="956"/>
      <c r="R650" s="957"/>
      <c r="S650" s="800"/>
      <c r="T650" s="958"/>
      <c r="U650" s="802"/>
      <c r="V650" s="959"/>
      <c r="W650" s="960"/>
      <c r="X650" s="805"/>
      <c r="Y650" s="816"/>
      <c r="DO650" s="494"/>
      <c r="DP650" s="496" t="s">
        <v>2379</v>
      </c>
      <c r="DQ650" s="496" t="s">
        <v>8</v>
      </c>
      <c r="DR650" s="496" t="s">
        <v>689</v>
      </c>
      <c r="DS650" s="496" t="s">
        <v>2380</v>
      </c>
      <c r="DT650" s="496" t="s">
        <v>2380</v>
      </c>
      <c r="DU650" s="496" t="s">
        <v>1554</v>
      </c>
      <c r="DV650" s="496" t="s">
        <v>1555</v>
      </c>
      <c r="DW650" s="496" t="s">
        <v>1981</v>
      </c>
      <c r="DX650" s="497" t="s">
        <v>1982</v>
      </c>
      <c r="DZ650" s="543">
        <v>1</v>
      </c>
      <c r="EB650" s="493"/>
      <c r="EC650" s="493"/>
    </row>
    <row r="651" spans="1:133" ht="21" customHeight="1">
      <c r="E651" s="716"/>
      <c r="F651" s="724"/>
      <c r="G651" s="725"/>
      <c r="H651" s="724"/>
      <c r="I651" s="726"/>
      <c r="J651" s="950"/>
      <c r="K651" s="951"/>
      <c r="L651" s="793"/>
      <c r="M651" s="952"/>
      <c r="N651" s="953"/>
      <c r="O651" s="954"/>
      <c r="P651" s="955"/>
      <c r="Q651" s="956"/>
      <c r="R651" s="957"/>
      <c r="S651" s="800"/>
      <c r="T651" s="958"/>
      <c r="U651" s="802"/>
      <c r="V651" s="959"/>
      <c r="W651" s="960"/>
      <c r="X651" s="805"/>
      <c r="Y651" s="816"/>
      <c r="DO651" s="494"/>
      <c r="DP651" s="496" t="s">
        <v>2381</v>
      </c>
      <c r="DQ651" s="496" t="s">
        <v>8</v>
      </c>
      <c r="DR651" s="496" t="s">
        <v>689</v>
      </c>
      <c r="DS651" s="496" t="s">
        <v>2382</v>
      </c>
      <c r="DT651" s="496" t="s">
        <v>2382</v>
      </c>
      <c r="DU651" s="496" t="s">
        <v>1554</v>
      </c>
      <c r="DV651" s="496" t="s">
        <v>1555</v>
      </c>
      <c r="DW651" s="496" t="s">
        <v>1981</v>
      </c>
      <c r="DX651" s="497" t="s">
        <v>1982</v>
      </c>
      <c r="DZ651" s="543">
        <v>1</v>
      </c>
      <c r="EB651" s="493"/>
      <c r="EC651" s="493"/>
    </row>
    <row r="652" spans="1:133" ht="21" customHeight="1">
      <c r="E652" s="716"/>
      <c r="F652" s="724"/>
      <c r="G652" s="725"/>
      <c r="H652" s="724"/>
      <c r="I652" s="726"/>
      <c r="J652" s="950"/>
      <c r="K652" s="951"/>
      <c r="L652" s="793"/>
      <c r="M652" s="952"/>
      <c r="N652" s="953"/>
      <c r="O652" s="954"/>
      <c r="P652" s="955"/>
      <c r="Q652" s="956"/>
      <c r="R652" s="957"/>
      <c r="S652" s="800"/>
      <c r="T652" s="958"/>
      <c r="U652" s="802"/>
      <c r="V652" s="959"/>
      <c r="W652" s="960"/>
      <c r="X652" s="805"/>
      <c r="Y652" s="816"/>
      <c r="DO652" s="494"/>
      <c r="DP652" s="496" t="s">
        <v>2383</v>
      </c>
      <c r="DQ652" s="496" t="s">
        <v>8</v>
      </c>
      <c r="DR652" s="496" t="s">
        <v>689</v>
      </c>
      <c r="DS652" s="496" t="s">
        <v>2384</v>
      </c>
      <c r="DT652" s="496" t="s">
        <v>2384</v>
      </c>
      <c r="DU652" s="496" t="s">
        <v>1554</v>
      </c>
      <c r="DV652" s="496" t="s">
        <v>1555</v>
      </c>
      <c r="DW652" s="496" t="s">
        <v>1981</v>
      </c>
      <c r="DX652" s="497" t="s">
        <v>1982</v>
      </c>
      <c r="DZ652" s="543">
        <v>1</v>
      </c>
      <c r="EB652" s="493"/>
      <c r="EC652" s="493"/>
    </row>
    <row r="653" spans="1:133" ht="21" customHeight="1">
      <c r="E653" s="716"/>
      <c r="F653" s="724"/>
      <c r="G653" s="725"/>
      <c r="H653" s="724"/>
      <c r="I653" s="726"/>
      <c r="J653" s="950"/>
      <c r="K653" s="951"/>
      <c r="L653" s="793"/>
      <c r="M653" s="952"/>
      <c r="N653" s="953"/>
      <c r="O653" s="954"/>
      <c r="P653" s="955"/>
      <c r="Q653" s="956"/>
      <c r="R653" s="957"/>
      <c r="S653" s="800"/>
      <c r="T653" s="958"/>
      <c r="U653" s="802"/>
      <c r="V653" s="959"/>
      <c r="W653" s="960"/>
      <c r="X653" s="805"/>
      <c r="Y653" s="816"/>
      <c r="DO653" s="494"/>
      <c r="DP653" s="496" t="s">
        <v>2385</v>
      </c>
      <c r="DQ653" s="496" t="s">
        <v>8</v>
      </c>
      <c r="DR653" s="496" t="s">
        <v>689</v>
      </c>
      <c r="DS653" s="496" t="s">
        <v>2386</v>
      </c>
      <c r="DT653" s="496" t="s">
        <v>2386</v>
      </c>
      <c r="DU653" s="496" t="s">
        <v>1554</v>
      </c>
      <c r="DV653" s="496" t="s">
        <v>1555</v>
      </c>
      <c r="DW653" s="496" t="s">
        <v>1981</v>
      </c>
      <c r="DX653" s="497" t="s">
        <v>1982</v>
      </c>
      <c r="DZ653" s="543">
        <v>1</v>
      </c>
      <c r="EB653" s="493"/>
      <c r="EC653" s="493"/>
    </row>
    <row r="654" spans="1:133" ht="21" customHeight="1">
      <c r="E654" s="716"/>
      <c r="F654" s="724"/>
      <c r="G654" s="725"/>
      <c r="H654" s="724"/>
      <c r="I654" s="726"/>
      <c r="J654" s="950"/>
      <c r="K654" s="951"/>
      <c r="L654" s="793"/>
      <c r="M654" s="952"/>
      <c r="N654" s="953"/>
      <c r="O654" s="954"/>
      <c r="P654" s="955"/>
      <c r="Q654" s="956"/>
      <c r="R654" s="957"/>
      <c r="S654" s="800"/>
      <c r="T654" s="958"/>
      <c r="U654" s="802"/>
      <c r="V654" s="959"/>
      <c r="W654" s="960"/>
      <c r="X654" s="805"/>
      <c r="Y654" s="816"/>
      <c r="DO654" s="494"/>
      <c r="DP654" s="496" t="s">
        <v>2387</v>
      </c>
      <c r="DQ654" s="496" t="s">
        <v>8</v>
      </c>
      <c r="DR654" s="496" t="s">
        <v>689</v>
      </c>
      <c r="DS654" s="496" t="s">
        <v>2388</v>
      </c>
      <c r="DT654" s="496" t="s">
        <v>2388</v>
      </c>
      <c r="DU654" s="496" t="s">
        <v>1554</v>
      </c>
      <c r="DV654" s="496" t="s">
        <v>1555</v>
      </c>
      <c r="DW654" s="496" t="s">
        <v>1981</v>
      </c>
      <c r="DX654" s="497" t="s">
        <v>1982</v>
      </c>
      <c r="DZ654" s="543">
        <v>1</v>
      </c>
      <c r="EB654" s="493"/>
      <c r="EC654" s="493"/>
    </row>
    <row r="655" spans="1:133" ht="21" customHeight="1">
      <c r="E655" s="716"/>
      <c r="F655" s="724"/>
      <c r="G655" s="725"/>
      <c r="H655" s="724"/>
      <c r="I655" s="726"/>
      <c r="J655" s="950"/>
      <c r="K655" s="951"/>
      <c r="L655" s="793"/>
      <c r="M655" s="952"/>
      <c r="N655" s="953"/>
      <c r="O655" s="954"/>
      <c r="P655" s="955"/>
      <c r="Q655" s="956"/>
      <c r="R655" s="957"/>
      <c r="S655" s="800"/>
      <c r="T655" s="958"/>
      <c r="U655" s="802"/>
      <c r="V655" s="959"/>
      <c r="W655" s="960"/>
      <c r="X655" s="805"/>
      <c r="Y655" s="816"/>
      <c r="DO655" s="494"/>
      <c r="DP655" s="496" t="s">
        <v>2389</v>
      </c>
      <c r="DQ655" s="496" t="s">
        <v>8</v>
      </c>
      <c r="DR655" s="496" t="s">
        <v>689</v>
      </c>
      <c r="DS655" s="496" t="s">
        <v>2390</v>
      </c>
      <c r="DT655" s="496" t="s">
        <v>2390</v>
      </c>
      <c r="DU655" s="496" t="s">
        <v>1554</v>
      </c>
      <c r="DV655" s="496" t="s">
        <v>1555</v>
      </c>
      <c r="DW655" s="496" t="s">
        <v>1981</v>
      </c>
      <c r="DX655" s="497" t="s">
        <v>1982</v>
      </c>
      <c r="DZ655" s="543">
        <v>1</v>
      </c>
      <c r="EB655" s="493"/>
      <c r="EC655" s="493"/>
    </row>
    <row r="656" spans="1:133" ht="21" customHeight="1">
      <c r="E656" s="716"/>
      <c r="F656" s="724"/>
      <c r="G656" s="725"/>
      <c r="H656" s="724"/>
      <c r="I656" s="726"/>
      <c r="J656" s="950"/>
      <c r="K656" s="951"/>
      <c r="L656" s="793"/>
      <c r="M656" s="952"/>
      <c r="N656" s="953"/>
      <c r="O656" s="954"/>
      <c r="P656" s="955"/>
      <c r="Q656" s="956"/>
      <c r="R656" s="957"/>
      <c r="S656" s="800"/>
      <c r="T656" s="958"/>
      <c r="U656" s="802"/>
      <c r="V656" s="959"/>
      <c r="W656" s="960"/>
      <c r="X656" s="805"/>
      <c r="Y656" s="816"/>
      <c r="DO656" s="494"/>
      <c r="DP656" s="496" t="s">
        <v>2391</v>
      </c>
      <c r="DQ656" s="496" t="s">
        <v>8</v>
      </c>
      <c r="DR656" s="496" t="s">
        <v>689</v>
      </c>
      <c r="DS656" s="496" t="s">
        <v>2392</v>
      </c>
      <c r="DT656" s="496" t="s">
        <v>2392</v>
      </c>
      <c r="DU656" s="496" t="s">
        <v>1554</v>
      </c>
      <c r="DV656" s="496" t="s">
        <v>1555</v>
      </c>
      <c r="DW656" s="496" t="s">
        <v>1981</v>
      </c>
      <c r="DX656" s="497" t="s">
        <v>1982</v>
      </c>
      <c r="DZ656" s="543">
        <v>1</v>
      </c>
      <c r="EB656" s="493"/>
      <c r="EC656" s="493"/>
    </row>
    <row r="657" spans="5:133" ht="21" customHeight="1">
      <c r="E657" s="716"/>
      <c r="F657" s="724"/>
      <c r="G657" s="725"/>
      <c r="H657" s="724"/>
      <c r="I657" s="726"/>
      <c r="J657" s="950"/>
      <c r="K657" s="951"/>
      <c r="L657" s="793"/>
      <c r="M657" s="952"/>
      <c r="N657" s="953"/>
      <c r="O657" s="954"/>
      <c r="P657" s="955"/>
      <c r="Q657" s="956"/>
      <c r="R657" s="957"/>
      <c r="S657" s="800"/>
      <c r="T657" s="958"/>
      <c r="U657" s="802"/>
      <c r="V657" s="959"/>
      <c r="W657" s="960"/>
      <c r="X657" s="805"/>
      <c r="Y657" s="816"/>
      <c r="DO657" s="494"/>
      <c r="DP657" s="496" t="s">
        <v>2393</v>
      </c>
      <c r="DQ657" s="496" t="s">
        <v>8</v>
      </c>
      <c r="DR657" s="496" t="s">
        <v>689</v>
      </c>
      <c r="DS657" s="496" t="s">
        <v>2394</v>
      </c>
      <c r="DT657" s="496" t="s">
        <v>2394</v>
      </c>
      <c r="DU657" s="496" t="s">
        <v>1554</v>
      </c>
      <c r="DV657" s="496" t="s">
        <v>1555</v>
      </c>
      <c r="DW657" s="496" t="s">
        <v>1981</v>
      </c>
      <c r="DX657" s="497" t="s">
        <v>1982</v>
      </c>
      <c r="DZ657" s="543">
        <v>1</v>
      </c>
      <c r="EB657" s="493"/>
      <c r="EC657" s="493"/>
    </row>
    <row r="658" spans="5:133" ht="21" customHeight="1">
      <c r="E658" s="716"/>
      <c r="F658" s="724"/>
      <c r="G658" s="725"/>
      <c r="H658" s="724"/>
      <c r="I658" s="726"/>
      <c r="J658" s="950"/>
      <c r="K658" s="951"/>
      <c r="L658" s="793"/>
      <c r="M658" s="952"/>
      <c r="N658" s="953"/>
      <c r="O658" s="954"/>
      <c r="P658" s="955"/>
      <c r="Q658" s="956"/>
      <c r="R658" s="957"/>
      <c r="S658" s="800"/>
      <c r="T658" s="958"/>
      <c r="U658" s="802"/>
      <c r="V658" s="959"/>
      <c r="W658" s="960"/>
      <c r="X658" s="805"/>
      <c r="Y658" s="816"/>
      <c r="DO658" s="494"/>
      <c r="DP658" s="496" t="s">
        <v>2395</v>
      </c>
      <c r="DQ658" s="496" t="s">
        <v>8</v>
      </c>
      <c r="DR658" s="496" t="s">
        <v>689</v>
      </c>
      <c r="DS658" s="496" t="s">
        <v>2396</v>
      </c>
      <c r="DT658" s="496" t="s">
        <v>2396</v>
      </c>
      <c r="DU658" s="496" t="s">
        <v>1554</v>
      </c>
      <c r="DV658" s="496" t="s">
        <v>1555</v>
      </c>
      <c r="DW658" s="496" t="s">
        <v>1981</v>
      </c>
      <c r="DX658" s="497" t="s">
        <v>1982</v>
      </c>
      <c r="DZ658" s="543">
        <v>1</v>
      </c>
      <c r="EB658" s="493"/>
      <c r="EC658" s="493"/>
    </row>
    <row r="659" spans="5:133" ht="21" customHeight="1">
      <c r="E659" s="716"/>
      <c r="F659" s="724"/>
      <c r="G659" s="725"/>
      <c r="H659" s="724"/>
      <c r="I659" s="726"/>
      <c r="J659" s="950"/>
      <c r="K659" s="951"/>
      <c r="L659" s="793"/>
      <c r="M659" s="952"/>
      <c r="N659" s="953"/>
      <c r="O659" s="954"/>
      <c r="P659" s="955"/>
      <c r="Q659" s="956"/>
      <c r="R659" s="957"/>
      <c r="S659" s="800"/>
      <c r="T659" s="958"/>
      <c r="U659" s="802"/>
      <c r="V659" s="959"/>
      <c r="W659" s="960"/>
      <c r="X659" s="805"/>
      <c r="Y659" s="816"/>
      <c r="DO659" s="494"/>
      <c r="DP659" s="496" t="s">
        <v>2397</v>
      </c>
      <c r="DQ659" s="496" t="s">
        <v>8</v>
      </c>
      <c r="DR659" s="496" t="s">
        <v>689</v>
      </c>
      <c r="DS659" s="496" t="s">
        <v>2398</v>
      </c>
      <c r="DT659" s="496" t="s">
        <v>2398</v>
      </c>
      <c r="DU659" s="496" t="s">
        <v>1554</v>
      </c>
      <c r="DV659" s="496" t="s">
        <v>1555</v>
      </c>
      <c r="DW659" s="496" t="s">
        <v>1981</v>
      </c>
      <c r="DX659" s="497" t="s">
        <v>1982</v>
      </c>
      <c r="DZ659" s="543">
        <v>1</v>
      </c>
      <c r="EB659" s="493"/>
      <c r="EC659" s="493"/>
    </row>
    <row r="660" spans="5:133" ht="21" customHeight="1">
      <c r="E660" s="716"/>
      <c r="F660" s="724"/>
      <c r="G660" s="725"/>
      <c r="H660" s="724"/>
      <c r="I660" s="726"/>
      <c r="J660" s="950"/>
      <c r="K660" s="951"/>
      <c r="L660" s="793"/>
      <c r="M660" s="952"/>
      <c r="N660" s="953"/>
      <c r="O660" s="954"/>
      <c r="P660" s="955"/>
      <c r="Q660" s="956"/>
      <c r="R660" s="957"/>
      <c r="S660" s="800"/>
      <c r="T660" s="958"/>
      <c r="U660" s="802"/>
      <c r="V660" s="959"/>
      <c r="W660" s="960"/>
      <c r="X660" s="805"/>
      <c r="Y660" s="816"/>
      <c r="DO660" s="494"/>
      <c r="DP660" s="496" t="s">
        <v>2399</v>
      </c>
      <c r="DQ660" s="496" t="s">
        <v>8</v>
      </c>
      <c r="DR660" s="496" t="s">
        <v>689</v>
      </c>
      <c r="DS660" s="496" t="s">
        <v>2400</v>
      </c>
      <c r="DT660" s="496" t="s">
        <v>2400</v>
      </c>
      <c r="DU660" s="496" t="s">
        <v>1554</v>
      </c>
      <c r="DV660" s="496" t="s">
        <v>1555</v>
      </c>
      <c r="DW660" s="496" t="s">
        <v>1981</v>
      </c>
      <c r="DX660" s="497" t="s">
        <v>1982</v>
      </c>
      <c r="DZ660" s="543">
        <v>1</v>
      </c>
      <c r="EB660" s="493"/>
      <c r="EC660" s="493"/>
    </row>
    <row r="661" spans="5:133" ht="21" customHeight="1">
      <c r="E661" s="716"/>
      <c r="F661" s="724"/>
      <c r="G661" s="725"/>
      <c r="H661" s="724"/>
      <c r="I661" s="726"/>
      <c r="J661" s="950"/>
      <c r="K661" s="951"/>
      <c r="L661" s="793"/>
      <c r="M661" s="952"/>
      <c r="N661" s="953"/>
      <c r="O661" s="954"/>
      <c r="P661" s="955"/>
      <c r="Q661" s="956"/>
      <c r="R661" s="957"/>
      <c r="S661" s="800"/>
      <c r="T661" s="958"/>
      <c r="U661" s="802"/>
      <c r="V661" s="959"/>
      <c r="W661" s="960"/>
      <c r="X661" s="805"/>
      <c r="Y661" s="816"/>
      <c r="DO661" s="494"/>
      <c r="DP661" s="496" t="s">
        <v>2401</v>
      </c>
      <c r="DQ661" s="496" t="s">
        <v>8</v>
      </c>
      <c r="DR661" s="496" t="s">
        <v>689</v>
      </c>
      <c r="DS661" s="496" t="s">
        <v>2402</v>
      </c>
      <c r="DT661" s="496" t="s">
        <v>2402</v>
      </c>
      <c r="DU661" s="496" t="s">
        <v>1554</v>
      </c>
      <c r="DV661" s="496" t="s">
        <v>1555</v>
      </c>
      <c r="DW661" s="496" t="s">
        <v>1981</v>
      </c>
      <c r="DX661" s="497" t="s">
        <v>1982</v>
      </c>
      <c r="DZ661" s="543">
        <v>1</v>
      </c>
      <c r="EB661" s="493"/>
      <c r="EC661" s="493"/>
    </row>
    <row r="662" spans="5:133" ht="21" customHeight="1">
      <c r="E662" s="716"/>
      <c r="F662" s="724"/>
      <c r="G662" s="725"/>
      <c r="H662" s="724"/>
      <c r="I662" s="726"/>
      <c r="J662" s="950"/>
      <c r="K662" s="951"/>
      <c r="L662" s="793"/>
      <c r="M662" s="952"/>
      <c r="N662" s="953"/>
      <c r="O662" s="954"/>
      <c r="P662" s="955"/>
      <c r="Q662" s="956"/>
      <c r="R662" s="957"/>
      <c r="S662" s="800"/>
      <c r="T662" s="958"/>
      <c r="U662" s="802"/>
      <c r="V662" s="959"/>
      <c r="W662" s="960"/>
      <c r="X662" s="805"/>
      <c r="Y662" s="816"/>
      <c r="DO662" s="494"/>
      <c r="DP662" s="496" t="s">
        <v>2403</v>
      </c>
      <c r="DQ662" s="496" t="s">
        <v>8</v>
      </c>
      <c r="DR662" s="496" t="s">
        <v>689</v>
      </c>
      <c r="DS662" s="496" t="s">
        <v>2404</v>
      </c>
      <c r="DT662" s="496" t="s">
        <v>2404</v>
      </c>
      <c r="DU662" s="496" t="s">
        <v>1554</v>
      </c>
      <c r="DV662" s="496" t="s">
        <v>1555</v>
      </c>
      <c r="DW662" s="496" t="s">
        <v>1981</v>
      </c>
      <c r="DX662" s="497" t="s">
        <v>1982</v>
      </c>
      <c r="DZ662" s="543">
        <v>1</v>
      </c>
      <c r="EB662" s="493"/>
      <c r="EC662" s="493"/>
    </row>
    <row r="663" spans="5:133" ht="21" customHeight="1">
      <c r="E663" s="716"/>
      <c r="F663" s="724"/>
      <c r="G663" s="725"/>
      <c r="H663" s="724"/>
      <c r="I663" s="726"/>
      <c r="J663" s="950"/>
      <c r="K663" s="951"/>
      <c r="L663" s="793"/>
      <c r="M663" s="952"/>
      <c r="N663" s="953"/>
      <c r="O663" s="954"/>
      <c r="P663" s="955"/>
      <c r="Q663" s="956"/>
      <c r="R663" s="957"/>
      <c r="S663" s="800"/>
      <c r="T663" s="958"/>
      <c r="U663" s="802"/>
      <c r="V663" s="959"/>
      <c r="W663" s="960"/>
      <c r="X663" s="805"/>
      <c r="Y663" s="816"/>
      <c r="DO663" s="494"/>
      <c r="DP663" s="496" t="s">
        <v>2405</v>
      </c>
      <c r="DQ663" s="496" t="s">
        <v>8</v>
      </c>
      <c r="DR663" s="496" t="s">
        <v>689</v>
      </c>
      <c r="DS663" s="496" t="s">
        <v>2406</v>
      </c>
      <c r="DT663" s="496" t="s">
        <v>2406</v>
      </c>
      <c r="DU663" s="496" t="s">
        <v>1554</v>
      </c>
      <c r="DV663" s="496" t="s">
        <v>1555</v>
      </c>
      <c r="DW663" s="496" t="s">
        <v>1981</v>
      </c>
      <c r="DX663" s="497" t="s">
        <v>1982</v>
      </c>
      <c r="DZ663" s="543">
        <v>1</v>
      </c>
      <c r="EB663" s="493"/>
      <c r="EC663" s="493"/>
    </row>
    <row r="664" spans="5:133" ht="21" customHeight="1">
      <c r="E664" s="716"/>
      <c r="F664" s="724"/>
      <c r="G664" s="725"/>
      <c r="H664" s="724"/>
      <c r="I664" s="726"/>
      <c r="J664" s="950"/>
      <c r="K664" s="951"/>
      <c r="L664" s="793"/>
      <c r="M664" s="952"/>
      <c r="N664" s="953"/>
      <c r="O664" s="954"/>
      <c r="P664" s="955"/>
      <c r="Q664" s="956"/>
      <c r="R664" s="957"/>
      <c r="S664" s="800"/>
      <c r="T664" s="958"/>
      <c r="U664" s="802"/>
      <c r="V664" s="959"/>
      <c r="W664" s="960"/>
      <c r="X664" s="805"/>
      <c r="Y664" s="816"/>
      <c r="DO664" s="494"/>
      <c r="DP664" s="496" t="s">
        <v>2407</v>
      </c>
      <c r="DQ664" s="496" t="s">
        <v>8</v>
      </c>
      <c r="DR664" s="496" t="s">
        <v>689</v>
      </c>
      <c r="DS664" s="496" t="s">
        <v>2408</v>
      </c>
      <c r="DT664" s="496" t="s">
        <v>2408</v>
      </c>
      <c r="DU664" s="496" t="s">
        <v>1554</v>
      </c>
      <c r="DV664" s="496" t="s">
        <v>1555</v>
      </c>
      <c r="DW664" s="496" t="s">
        <v>1981</v>
      </c>
      <c r="DX664" s="497" t="s">
        <v>1982</v>
      </c>
      <c r="DZ664" s="543">
        <v>1</v>
      </c>
      <c r="EB664" s="493"/>
      <c r="EC664" s="493"/>
    </row>
    <row r="665" spans="5:133" ht="21" customHeight="1">
      <c r="E665" s="716"/>
      <c r="F665" s="724"/>
      <c r="G665" s="725"/>
      <c r="H665" s="724"/>
      <c r="I665" s="726"/>
      <c r="J665" s="950"/>
      <c r="K665" s="951"/>
      <c r="L665" s="793"/>
      <c r="M665" s="952"/>
      <c r="N665" s="953"/>
      <c r="O665" s="954"/>
      <c r="P665" s="955"/>
      <c r="Q665" s="956"/>
      <c r="R665" s="957"/>
      <c r="S665" s="800"/>
      <c r="T665" s="958"/>
      <c r="U665" s="802"/>
      <c r="V665" s="959"/>
      <c r="W665" s="960"/>
      <c r="X665" s="805"/>
      <c r="Y665" s="816"/>
      <c r="DO665" s="494"/>
      <c r="DP665" s="496" t="s">
        <v>2409</v>
      </c>
      <c r="DQ665" s="496" t="s">
        <v>8</v>
      </c>
      <c r="DR665" s="496" t="s">
        <v>689</v>
      </c>
      <c r="DS665" s="496" t="s">
        <v>2410</v>
      </c>
      <c r="DT665" s="496" t="s">
        <v>2410</v>
      </c>
      <c r="DU665" s="496" t="s">
        <v>1554</v>
      </c>
      <c r="DV665" s="496" t="s">
        <v>1555</v>
      </c>
      <c r="DW665" s="496" t="s">
        <v>1981</v>
      </c>
      <c r="DX665" s="497" t="s">
        <v>1982</v>
      </c>
      <c r="DZ665" s="543">
        <v>1</v>
      </c>
      <c r="EB665" s="493"/>
      <c r="EC665" s="493"/>
    </row>
    <row r="666" spans="5:133" ht="21" customHeight="1">
      <c r="E666" s="716"/>
      <c r="F666" s="724"/>
      <c r="G666" s="725"/>
      <c r="H666" s="724"/>
      <c r="I666" s="726"/>
      <c r="J666" s="950"/>
      <c r="K666" s="951"/>
      <c r="L666" s="793"/>
      <c r="M666" s="952"/>
      <c r="N666" s="953"/>
      <c r="O666" s="954"/>
      <c r="P666" s="955"/>
      <c r="Q666" s="956"/>
      <c r="R666" s="957"/>
      <c r="S666" s="800"/>
      <c r="T666" s="958"/>
      <c r="U666" s="802"/>
      <c r="V666" s="959"/>
      <c r="W666" s="960"/>
      <c r="X666" s="805"/>
      <c r="Y666" s="816"/>
      <c r="DO666" s="494"/>
      <c r="DP666" s="496" t="s">
        <v>2411</v>
      </c>
      <c r="DQ666" s="496" t="s">
        <v>8</v>
      </c>
      <c r="DR666" s="496" t="s">
        <v>689</v>
      </c>
      <c r="DS666" s="496" t="s">
        <v>2412</v>
      </c>
      <c r="DT666" s="496" t="s">
        <v>2412</v>
      </c>
      <c r="DU666" s="496" t="s">
        <v>1554</v>
      </c>
      <c r="DV666" s="496" t="s">
        <v>1555</v>
      </c>
      <c r="DW666" s="496" t="s">
        <v>1981</v>
      </c>
      <c r="DX666" s="497" t="s">
        <v>1982</v>
      </c>
      <c r="DZ666" s="543">
        <v>1</v>
      </c>
      <c r="EB666" s="493"/>
      <c r="EC666" s="493"/>
    </row>
    <row r="667" spans="5:133" ht="21" customHeight="1">
      <c r="E667" s="716"/>
      <c r="F667" s="724"/>
      <c r="G667" s="725"/>
      <c r="H667" s="724"/>
      <c r="I667" s="726"/>
      <c r="J667" s="950"/>
      <c r="K667" s="951"/>
      <c r="L667" s="793"/>
      <c r="M667" s="952"/>
      <c r="N667" s="953"/>
      <c r="O667" s="954"/>
      <c r="P667" s="955"/>
      <c r="Q667" s="956"/>
      <c r="R667" s="957"/>
      <c r="S667" s="800"/>
      <c r="T667" s="958"/>
      <c r="U667" s="802"/>
      <c r="V667" s="959"/>
      <c r="W667" s="960"/>
      <c r="X667" s="805"/>
      <c r="Y667" s="816"/>
      <c r="DO667" s="494"/>
      <c r="DP667" s="496" t="s">
        <v>2413</v>
      </c>
      <c r="DQ667" s="496" t="s">
        <v>8</v>
      </c>
      <c r="DR667" s="496" t="s">
        <v>689</v>
      </c>
      <c r="DS667" s="496" t="s">
        <v>2414</v>
      </c>
      <c r="DT667" s="496" t="s">
        <v>2414</v>
      </c>
      <c r="DU667" s="496" t="s">
        <v>1554</v>
      </c>
      <c r="DV667" s="496" t="s">
        <v>1555</v>
      </c>
      <c r="DW667" s="496" t="s">
        <v>1981</v>
      </c>
      <c r="DX667" s="497" t="s">
        <v>1982</v>
      </c>
      <c r="DZ667" s="543">
        <v>1</v>
      </c>
      <c r="EB667" s="493"/>
      <c r="EC667" s="493"/>
    </row>
    <row r="668" spans="5:133" ht="21" customHeight="1">
      <c r="E668" s="716"/>
      <c r="F668" s="724"/>
      <c r="G668" s="725"/>
      <c r="H668" s="724"/>
      <c r="I668" s="726"/>
      <c r="J668" s="950"/>
      <c r="K668" s="951"/>
      <c r="L668" s="793"/>
      <c r="M668" s="952"/>
      <c r="N668" s="953"/>
      <c r="O668" s="954"/>
      <c r="P668" s="955"/>
      <c r="Q668" s="956"/>
      <c r="R668" s="957"/>
      <c r="S668" s="800"/>
      <c r="T668" s="958"/>
      <c r="U668" s="802"/>
      <c r="V668" s="959"/>
      <c r="W668" s="960"/>
      <c r="X668" s="805"/>
      <c r="Y668" s="816"/>
      <c r="DO668" s="494"/>
      <c r="DP668" s="496" t="s">
        <v>2415</v>
      </c>
      <c r="DQ668" s="496" t="s">
        <v>8</v>
      </c>
      <c r="DR668" s="496" t="s">
        <v>689</v>
      </c>
      <c r="DS668" s="496" t="s">
        <v>2416</v>
      </c>
      <c r="DT668" s="496" t="s">
        <v>2416</v>
      </c>
      <c r="DU668" s="496" t="s">
        <v>1554</v>
      </c>
      <c r="DV668" s="496" t="s">
        <v>1555</v>
      </c>
      <c r="DW668" s="496" t="s">
        <v>1981</v>
      </c>
      <c r="DX668" s="497" t="s">
        <v>1982</v>
      </c>
      <c r="DZ668" s="543">
        <v>1</v>
      </c>
      <c r="EB668" s="493"/>
      <c r="EC668" s="493"/>
    </row>
    <row r="669" spans="5:133" ht="21" customHeight="1">
      <c r="E669" s="716"/>
      <c r="F669" s="724"/>
      <c r="G669" s="725"/>
      <c r="H669" s="724"/>
      <c r="I669" s="726"/>
      <c r="J669" s="950"/>
      <c r="K669" s="951"/>
      <c r="L669" s="793"/>
      <c r="M669" s="952"/>
      <c r="N669" s="953"/>
      <c r="O669" s="954"/>
      <c r="P669" s="955"/>
      <c r="Q669" s="956"/>
      <c r="R669" s="957"/>
      <c r="S669" s="800"/>
      <c r="T669" s="958"/>
      <c r="U669" s="802"/>
      <c r="V669" s="959"/>
      <c r="W669" s="960"/>
      <c r="X669" s="805"/>
      <c r="Y669" s="816"/>
      <c r="DO669" s="494"/>
      <c r="DP669" s="496" t="s">
        <v>2417</v>
      </c>
      <c r="DQ669" s="496" t="s">
        <v>8</v>
      </c>
      <c r="DR669" s="496" t="s">
        <v>689</v>
      </c>
      <c r="DS669" s="496" t="s">
        <v>2418</v>
      </c>
      <c r="DT669" s="496" t="s">
        <v>2418</v>
      </c>
      <c r="DU669" s="496" t="s">
        <v>1554</v>
      </c>
      <c r="DV669" s="496" t="s">
        <v>1555</v>
      </c>
      <c r="DW669" s="496" t="s">
        <v>1981</v>
      </c>
      <c r="DX669" s="497" t="s">
        <v>1982</v>
      </c>
      <c r="DZ669" s="543">
        <v>1</v>
      </c>
      <c r="EB669" s="493"/>
      <c r="EC669" s="493"/>
    </row>
    <row r="670" spans="5:133" ht="21" customHeight="1">
      <c r="E670" s="716"/>
      <c r="F670" s="724"/>
      <c r="G670" s="725"/>
      <c r="H670" s="724"/>
      <c r="I670" s="726"/>
      <c r="J670" s="950"/>
      <c r="K670" s="951"/>
      <c r="L670" s="793"/>
      <c r="M670" s="952"/>
      <c r="N670" s="953"/>
      <c r="O670" s="954"/>
      <c r="P670" s="955"/>
      <c r="Q670" s="956"/>
      <c r="R670" s="957"/>
      <c r="S670" s="800"/>
      <c r="T670" s="958"/>
      <c r="U670" s="802"/>
      <c r="V670" s="959"/>
      <c r="W670" s="960"/>
      <c r="X670" s="805"/>
      <c r="Y670" s="816"/>
      <c r="DO670" s="494"/>
      <c r="DP670" s="496" t="s">
        <v>2419</v>
      </c>
      <c r="DQ670" s="496" t="s">
        <v>8</v>
      </c>
      <c r="DR670" s="496" t="s">
        <v>689</v>
      </c>
      <c r="DS670" s="496" t="s">
        <v>2420</v>
      </c>
      <c r="DT670" s="496" t="s">
        <v>2420</v>
      </c>
      <c r="DU670" s="496" t="s">
        <v>1554</v>
      </c>
      <c r="DV670" s="496" t="s">
        <v>1555</v>
      </c>
      <c r="DW670" s="496" t="s">
        <v>1981</v>
      </c>
      <c r="DX670" s="497" t="s">
        <v>1982</v>
      </c>
      <c r="DZ670" s="543">
        <v>1</v>
      </c>
      <c r="EB670" s="493"/>
      <c r="EC670" s="493"/>
    </row>
    <row r="671" spans="5:133" ht="21" customHeight="1">
      <c r="E671" s="716"/>
      <c r="F671" s="724"/>
      <c r="G671" s="725"/>
      <c r="H671" s="724"/>
      <c r="I671" s="726"/>
      <c r="J671" s="950"/>
      <c r="K671" s="951"/>
      <c r="L671" s="793"/>
      <c r="M671" s="952"/>
      <c r="N671" s="953"/>
      <c r="O671" s="954"/>
      <c r="P671" s="955"/>
      <c r="Q671" s="956"/>
      <c r="R671" s="957"/>
      <c r="S671" s="800"/>
      <c r="T671" s="958"/>
      <c r="U671" s="802"/>
      <c r="V671" s="959"/>
      <c r="W671" s="960"/>
      <c r="X671" s="805"/>
      <c r="Y671" s="816"/>
      <c r="DO671" s="494"/>
      <c r="DP671" s="496" t="s">
        <v>2421</v>
      </c>
      <c r="DQ671" s="496" t="s">
        <v>8</v>
      </c>
      <c r="DR671" s="496" t="s">
        <v>689</v>
      </c>
      <c r="DS671" s="496" t="s">
        <v>1024</v>
      </c>
      <c r="DT671" s="496" t="s">
        <v>1024</v>
      </c>
      <c r="DU671" s="496" t="s">
        <v>1554</v>
      </c>
      <c r="DV671" s="496" t="s">
        <v>1555</v>
      </c>
      <c r="DW671" s="496" t="s">
        <v>1981</v>
      </c>
      <c r="DX671" s="497" t="s">
        <v>1982</v>
      </c>
      <c r="DZ671" s="543">
        <v>1</v>
      </c>
      <c r="EB671" s="493"/>
      <c r="EC671" s="493"/>
    </row>
    <row r="672" spans="5:133" ht="21" customHeight="1">
      <c r="E672" s="716"/>
      <c r="F672" s="724"/>
      <c r="G672" s="725"/>
      <c r="H672" s="724"/>
      <c r="I672" s="726"/>
      <c r="J672" s="950"/>
      <c r="K672" s="951"/>
      <c r="L672" s="793"/>
      <c r="M672" s="952"/>
      <c r="N672" s="953"/>
      <c r="O672" s="954"/>
      <c r="P672" s="955"/>
      <c r="Q672" s="956"/>
      <c r="R672" s="957"/>
      <c r="S672" s="800"/>
      <c r="T672" s="958"/>
      <c r="U672" s="802"/>
      <c r="V672" s="959"/>
      <c r="W672" s="960"/>
      <c r="X672" s="805"/>
      <c r="Y672" s="816"/>
      <c r="DO672" s="494"/>
      <c r="DP672" s="496" t="s">
        <v>2422</v>
      </c>
      <c r="DQ672" s="496" t="s">
        <v>8</v>
      </c>
      <c r="DR672" s="496" t="s">
        <v>689</v>
      </c>
      <c r="DS672" s="496" t="s">
        <v>2423</v>
      </c>
      <c r="DT672" s="496" t="s">
        <v>2423</v>
      </c>
      <c r="DU672" s="496" t="s">
        <v>1554</v>
      </c>
      <c r="DV672" s="496" t="s">
        <v>1555</v>
      </c>
      <c r="DW672" s="496" t="s">
        <v>1981</v>
      </c>
      <c r="DX672" s="497" t="s">
        <v>1982</v>
      </c>
      <c r="DZ672" s="543">
        <v>1</v>
      </c>
      <c r="EB672" s="493"/>
      <c r="EC672" s="493"/>
    </row>
    <row r="673" spans="5:133" ht="21" customHeight="1">
      <c r="E673" s="716"/>
      <c r="F673" s="724"/>
      <c r="G673" s="725"/>
      <c r="H673" s="724"/>
      <c r="I673" s="726"/>
      <c r="J673" s="950"/>
      <c r="K673" s="951"/>
      <c r="L673" s="793"/>
      <c r="M673" s="952"/>
      <c r="N673" s="953"/>
      <c r="O673" s="954"/>
      <c r="P673" s="955"/>
      <c r="Q673" s="956"/>
      <c r="R673" s="957"/>
      <c r="S673" s="800"/>
      <c r="T673" s="958"/>
      <c r="U673" s="802"/>
      <c r="V673" s="959"/>
      <c r="W673" s="960"/>
      <c r="X673" s="805"/>
      <c r="Y673" s="816"/>
      <c r="DO673" s="494"/>
      <c r="DP673" s="496" t="s">
        <v>2424</v>
      </c>
      <c r="DQ673" s="496" t="s">
        <v>8</v>
      </c>
      <c r="DR673" s="496" t="s">
        <v>689</v>
      </c>
      <c r="DS673" s="496" t="s">
        <v>2425</v>
      </c>
      <c r="DT673" s="496" t="s">
        <v>2425</v>
      </c>
      <c r="DU673" s="496" t="s">
        <v>1554</v>
      </c>
      <c r="DV673" s="496" t="s">
        <v>1555</v>
      </c>
      <c r="DW673" s="496" t="s">
        <v>1981</v>
      </c>
      <c r="DX673" s="497" t="s">
        <v>1982</v>
      </c>
      <c r="DZ673" s="543">
        <v>1</v>
      </c>
      <c r="EB673" s="493"/>
      <c r="EC673" s="493"/>
    </row>
    <row r="674" spans="5:133" ht="21" customHeight="1">
      <c r="E674" s="716"/>
      <c r="F674" s="724"/>
      <c r="G674" s="725"/>
      <c r="H674" s="724"/>
      <c r="I674" s="726"/>
      <c r="J674" s="950"/>
      <c r="K674" s="951"/>
      <c r="L674" s="793"/>
      <c r="M674" s="952"/>
      <c r="N674" s="953"/>
      <c r="O674" s="954"/>
      <c r="P674" s="955"/>
      <c r="Q674" s="956"/>
      <c r="R674" s="957"/>
      <c r="S674" s="800"/>
      <c r="T674" s="958"/>
      <c r="U674" s="802"/>
      <c r="V674" s="959"/>
      <c r="W674" s="960"/>
      <c r="X674" s="805"/>
      <c r="Y674" s="816"/>
      <c r="DO674" s="494"/>
      <c r="DP674" s="496" t="s">
        <v>2426</v>
      </c>
      <c r="DQ674" s="496" t="s">
        <v>8</v>
      </c>
      <c r="DR674" s="496" t="s">
        <v>689</v>
      </c>
      <c r="DS674" s="496" t="s">
        <v>2427</v>
      </c>
      <c r="DT674" s="496" t="s">
        <v>2427</v>
      </c>
      <c r="DU674" s="496" t="s">
        <v>1554</v>
      </c>
      <c r="DV674" s="496" t="s">
        <v>1555</v>
      </c>
      <c r="DW674" s="496" t="s">
        <v>1981</v>
      </c>
      <c r="DX674" s="497" t="s">
        <v>1982</v>
      </c>
      <c r="DZ674" s="543">
        <v>1</v>
      </c>
      <c r="EB674" s="493"/>
      <c r="EC674" s="493"/>
    </row>
    <row r="675" spans="5:133" ht="21" customHeight="1">
      <c r="E675" s="716"/>
      <c r="F675" s="724"/>
      <c r="G675" s="725"/>
      <c r="H675" s="724"/>
      <c r="I675" s="726"/>
      <c r="J675" s="950"/>
      <c r="K675" s="951"/>
      <c r="L675" s="793"/>
      <c r="M675" s="952"/>
      <c r="N675" s="953"/>
      <c r="O675" s="954"/>
      <c r="P675" s="955"/>
      <c r="Q675" s="956"/>
      <c r="R675" s="957"/>
      <c r="S675" s="800"/>
      <c r="T675" s="958"/>
      <c r="U675" s="802"/>
      <c r="V675" s="959"/>
      <c r="W675" s="960"/>
      <c r="X675" s="805"/>
      <c r="Y675" s="816"/>
      <c r="DO675" s="494"/>
      <c r="DP675" s="496" t="s">
        <v>2428</v>
      </c>
      <c r="DQ675" s="496" t="s">
        <v>8</v>
      </c>
      <c r="DR675" s="496" t="s">
        <v>689</v>
      </c>
      <c r="DS675" s="496" t="s">
        <v>2429</v>
      </c>
      <c r="DT675" s="496" t="s">
        <v>2429</v>
      </c>
      <c r="DU675" s="496" t="s">
        <v>1554</v>
      </c>
      <c r="DV675" s="496" t="s">
        <v>1555</v>
      </c>
      <c r="DW675" s="496" t="s">
        <v>1981</v>
      </c>
      <c r="DX675" s="497" t="s">
        <v>1982</v>
      </c>
      <c r="DZ675" s="543">
        <v>1</v>
      </c>
      <c r="EB675" s="493"/>
      <c r="EC675" s="493"/>
    </row>
    <row r="676" spans="5:133" ht="21" customHeight="1">
      <c r="E676" s="716"/>
      <c r="F676" s="724"/>
      <c r="G676" s="725"/>
      <c r="H676" s="724"/>
      <c r="I676" s="726"/>
      <c r="J676" s="950"/>
      <c r="K676" s="951"/>
      <c r="L676" s="793"/>
      <c r="M676" s="952"/>
      <c r="N676" s="953"/>
      <c r="O676" s="954"/>
      <c r="P676" s="955"/>
      <c r="Q676" s="956"/>
      <c r="R676" s="957"/>
      <c r="S676" s="800"/>
      <c r="T676" s="958"/>
      <c r="U676" s="802"/>
      <c r="V676" s="959"/>
      <c r="W676" s="960"/>
      <c r="X676" s="805"/>
      <c r="Y676" s="816"/>
      <c r="DO676" s="494"/>
      <c r="DP676" s="496" t="s">
        <v>2430</v>
      </c>
      <c r="DQ676" s="496" t="s">
        <v>8</v>
      </c>
      <c r="DR676" s="496" t="s">
        <v>689</v>
      </c>
      <c r="DS676" s="496" t="s">
        <v>2431</v>
      </c>
      <c r="DT676" s="496" t="s">
        <v>2431</v>
      </c>
      <c r="DU676" s="496" t="s">
        <v>1554</v>
      </c>
      <c r="DV676" s="496" t="s">
        <v>1555</v>
      </c>
      <c r="DW676" s="496" t="s">
        <v>1981</v>
      </c>
      <c r="DX676" s="497" t="s">
        <v>1982</v>
      </c>
      <c r="DZ676" s="543">
        <v>1</v>
      </c>
      <c r="EB676" s="493"/>
      <c r="EC676" s="493"/>
    </row>
    <row r="677" spans="5:133" ht="21" customHeight="1">
      <c r="E677" s="716"/>
      <c r="F677" s="724"/>
      <c r="G677" s="725"/>
      <c r="H677" s="724"/>
      <c r="I677" s="726"/>
      <c r="J677" s="950"/>
      <c r="K677" s="951"/>
      <c r="L677" s="793"/>
      <c r="M677" s="952"/>
      <c r="N677" s="953"/>
      <c r="O677" s="954"/>
      <c r="P677" s="955"/>
      <c r="Q677" s="956"/>
      <c r="R677" s="957"/>
      <c r="S677" s="800"/>
      <c r="T677" s="958"/>
      <c r="U677" s="802"/>
      <c r="V677" s="959"/>
      <c r="W677" s="960"/>
      <c r="X677" s="805"/>
      <c r="Y677" s="816"/>
      <c r="DO677" s="494"/>
      <c r="DP677" s="496" t="s">
        <v>2432</v>
      </c>
      <c r="DQ677" s="496" t="s">
        <v>8</v>
      </c>
      <c r="DR677" s="496" t="s">
        <v>689</v>
      </c>
      <c r="DS677" s="496" t="s">
        <v>2433</v>
      </c>
      <c r="DT677" s="496" t="s">
        <v>2433</v>
      </c>
      <c r="DU677" s="496" t="s">
        <v>1554</v>
      </c>
      <c r="DV677" s="496" t="s">
        <v>1555</v>
      </c>
      <c r="DW677" s="496" t="s">
        <v>1981</v>
      </c>
      <c r="DX677" s="497" t="s">
        <v>1982</v>
      </c>
      <c r="DZ677" s="543">
        <v>1</v>
      </c>
      <c r="EB677" s="493"/>
      <c r="EC677" s="493"/>
    </row>
    <row r="678" spans="5:133" ht="21" customHeight="1">
      <c r="E678" s="716"/>
      <c r="F678" s="724"/>
      <c r="G678" s="725"/>
      <c r="H678" s="724"/>
      <c r="I678" s="726"/>
      <c r="J678" s="950"/>
      <c r="K678" s="951"/>
      <c r="L678" s="793"/>
      <c r="M678" s="952"/>
      <c r="N678" s="953"/>
      <c r="O678" s="954"/>
      <c r="P678" s="955"/>
      <c r="Q678" s="956"/>
      <c r="R678" s="957"/>
      <c r="S678" s="800"/>
      <c r="T678" s="958"/>
      <c r="U678" s="802"/>
      <c r="V678" s="959"/>
      <c r="W678" s="960"/>
      <c r="X678" s="805"/>
      <c r="Y678" s="816"/>
      <c r="DO678" s="494"/>
      <c r="DP678" s="496" t="s">
        <v>2434</v>
      </c>
      <c r="DQ678" s="496" t="s">
        <v>8</v>
      </c>
      <c r="DR678" s="496" t="s">
        <v>689</v>
      </c>
      <c r="DS678" s="496" t="s">
        <v>2435</v>
      </c>
      <c r="DT678" s="496" t="s">
        <v>2435</v>
      </c>
      <c r="DU678" s="496" t="s">
        <v>1554</v>
      </c>
      <c r="DV678" s="496" t="s">
        <v>1555</v>
      </c>
      <c r="DW678" s="496" t="s">
        <v>1981</v>
      </c>
      <c r="DX678" s="497" t="s">
        <v>1982</v>
      </c>
      <c r="DZ678" s="543">
        <v>1</v>
      </c>
      <c r="EB678" s="493"/>
      <c r="EC678" s="493"/>
    </row>
    <row r="679" spans="5:133" ht="21" customHeight="1">
      <c r="E679" s="716"/>
      <c r="F679" s="724"/>
      <c r="G679" s="725"/>
      <c r="H679" s="724"/>
      <c r="I679" s="726"/>
      <c r="J679" s="950"/>
      <c r="K679" s="951"/>
      <c r="L679" s="793"/>
      <c r="M679" s="952"/>
      <c r="N679" s="953"/>
      <c r="O679" s="954"/>
      <c r="P679" s="955"/>
      <c r="Q679" s="956"/>
      <c r="R679" s="957"/>
      <c r="S679" s="800"/>
      <c r="T679" s="958"/>
      <c r="U679" s="802"/>
      <c r="V679" s="959"/>
      <c r="W679" s="960"/>
      <c r="X679" s="805"/>
      <c r="Y679" s="816"/>
      <c r="DO679" s="494"/>
      <c r="DP679" s="496" t="s">
        <v>2436</v>
      </c>
      <c r="DQ679" s="496" t="s">
        <v>8</v>
      </c>
      <c r="DR679" s="496" t="s">
        <v>689</v>
      </c>
      <c r="DS679" s="496" t="s">
        <v>2437</v>
      </c>
      <c r="DT679" s="496" t="s">
        <v>2437</v>
      </c>
      <c r="DU679" s="496" t="s">
        <v>1554</v>
      </c>
      <c r="DV679" s="496" t="s">
        <v>1555</v>
      </c>
      <c r="DW679" s="496" t="s">
        <v>1981</v>
      </c>
      <c r="DX679" s="497" t="s">
        <v>1982</v>
      </c>
      <c r="DZ679" s="543">
        <v>1</v>
      </c>
      <c r="EB679" s="493"/>
      <c r="EC679" s="493"/>
    </row>
    <row r="680" spans="5:133" ht="21" customHeight="1">
      <c r="E680" s="716"/>
      <c r="F680" s="724"/>
      <c r="G680" s="725"/>
      <c r="H680" s="724"/>
      <c r="I680" s="726"/>
      <c r="J680" s="950"/>
      <c r="K680" s="951"/>
      <c r="L680" s="793"/>
      <c r="M680" s="952"/>
      <c r="N680" s="953"/>
      <c r="O680" s="954"/>
      <c r="P680" s="955"/>
      <c r="Q680" s="956"/>
      <c r="R680" s="957"/>
      <c r="S680" s="800"/>
      <c r="T680" s="958"/>
      <c r="U680" s="802"/>
      <c r="V680" s="959"/>
      <c r="W680" s="960"/>
      <c r="X680" s="805"/>
      <c r="Y680" s="816"/>
      <c r="DO680" s="494"/>
      <c r="DP680" s="496" t="s">
        <v>2438</v>
      </c>
      <c r="DQ680" s="496" t="s">
        <v>8</v>
      </c>
      <c r="DR680" s="496" t="s">
        <v>689</v>
      </c>
      <c r="DS680" s="496" t="s">
        <v>2439</v>
      </c>
      <c r="DT680" s="496" t="s">
        <v>2439</v>
      </c>
      <c r="DU680" s="496" t="s">
        <v>1554</v>
      </c>
      <c r="DV680" s="496" t="s">
        <v>1555</v>
      </c>
      <c r="DW680" s="496" t="s">
        <v>1981</v>
      </c>
      <c r="DX680" s="497" t="s">
        <v>1982</v>
      </c>
      <c r="DZ680" s="543">
        <v>1</v>
      </c>
      <c r="EB680" s="493"/>
      <c r="EC680" s="493"/>
    </row>
    <row r="681" spans="5:133" ht="21" customHeight="1">
      <c r="E681" s="716"/>
      <c r="F681" s="724"/>
      <c r="G681" s="725"/>
      <c r="H681" s="724"/>
      <c r="I681" s="726"/>
      <c r="J681" s="950"/>
      <c r="K681" s="951"/>
      <c r="L681" s="793"/>
      <c r="M681" s="952"/>
      <c r="N681" s="953"/>
      <c r="O681" s="954"/>
      <c r="P681" s="955"/>
      <c r="Q681" s="956"/>
      <c r="R681" s="957"/>
      <c r="S681" s="800"/>
      <c r="T681" s="958"/>
      <c r="U681" s="802"/>
      <c r="V681" s="959"/>
      <c r="W681" s="960"/>
      <c r="X681" s="805"/>
      <c r="Y681" s="816"/>
      <c r="DO681" s="494"/>
      <c r="DP681" s="496" t="s">
        <v>2440</v>
      </c>
      <c r="DQ681" s="496" t="s">
        <v>8</v>
      </c>
      <c r="DR681" s="496" t="s">
        <v>689</v>
      </c>
      <c r="DS681" s="496" t="s">
        <v>2441</v>
      </c>
      <c r="DT681" s="496" t="s">
        <v>2441</v>
      </c>
      <c r="DU681" s="496" t="s">
        <v>1554</v>
      </c>
      <c r="DV681" s="496" t="s">
        <v>1555</v>
      </c>
      <c r="DW681" s="496" t="s">
        <v>1981</v>
      </c>
      <c r="DX681" s="497" t="s">
        <v>1982</v>
      </c>
      <c r="DZ681" s="543">
        <v>1</v>
      </c>
      <c r="EB681" s="493"/>
      <c r="EC681" s="493"/>
    </row>
    <row r="682" spans="5:133" ht="21" customHeight="1">
      <c r="E682" s="716"/>
      <c r="F682" s="724"/>
      <c r="G682" s="725"/>
      <c r="H682" s="724"/>
      <c r="I682" s="726"/>
      <c r="J682" s="950"/>
      <c r="K682" s="951"/>
      <c r="L682" s="793"/>
      <c r="M682" s="952"/>
      <c r="N682" s="953"/>
      <c r="O682" s="954"/>
      <c r="P682" s="955"/>
      <c r="Q682" s="956"/>
      <c r="R682" s="957"/>
      <c r="S682" s="800"/>
      <c r="T682" s="958"/>
      <c r="U682" s="802"/>
      <c r="V682" s="959"/>
      <c r="W682" s="960"/>
      <c r="X682" s="805"/>
      <c r="Y682" s="816"/>
      <c r="DO682" s="494"/>
      <c r="DP682" s="496" t="s">
        <v>2442</v>
      </c>
      <c r="DQ682" s="496" t="s">
        <v>8</v>
      </c>
      <c r="DR682" s="496" t="s">
        <v>689</v>
      </c>
      <c r="DS682" s="496" t="s">
        <v>2443</v>
      </c>
      <c r="DT682" s="496" t="s">
        <v>2443</v>
      </c>
      <c r="DU682" s="496" t="s">
        <v>1554</v>
      </c>
      <c r="DV682" s="496" t="s">
        <v>1555</v>
      </c>
      <c r="DW682" s="496" t="s">
        <v>1981</v>
      </c>
      <c r="DX682" s="497" t="s">
        <v>1982</v>
      </c>
      <c r="DZ682" s="543">
        <v>1</v>
      </c>
      <c r="EB682" s="493"/>
      <c r="EC682" s="493"/>
    </row>
    <row r="683" spans="5:133" ht="21" customHeight="1">
      <c r="E683" s="716"/>
      <c r="F683" s="724"/>
      <c r="G683" s="725"/>
      <c r="H683" s="724"/>
      <c r="I683" s="726"/>
      <c r="J683" s="950"/>
      <c r="K683" s="951"/>
      <c r="L683" s="793"/>
      <c r="M683" s="952"/>
      <c r="N683" s="953"/>
      <c r="O683" s="954"/>
      <c r="P683" s="955"/>
      <c r="Q683" s="956"/>
      <c r="R683" s="957"/>
      <c r="S683" s="800"/>
      <c r="T683" s="958"/>
      <c r="U683" s="802"/>
      <c r="V683" s="959"/>
      <c r="W683" s="960"/>
      <c r="X683" s="805"/>
      <c r="Y683" s="816"/>
      <c r="DO683" s="494"/>
      <c r="DP683" s="496" t="s">
        <v>2444</v>
      </c>
      <c r="DQ683" s="496" t="s">
        <v>8</v>
      </c>
      <c r="DR683" s="496" t="s">
        <v>689</v>
      </c>
      <c r="DS683" s="496" t="s">
        <v>2445</v>
      </c>
      <c r="DT683" s="496" t="s">
        <v>2445</v>
      </c>
      <c r="DU683" s="496" t="s">
        <v>1554</v>
      </c>
      <c r="DV683" s="496" t="s">
        <v>1555</v>
      </c>
      <c r="DW683" s="496" t="s">
        <v>1981</v>
      </c>
      <c r="DX683" s="497" t="s">
        <v>1982</v>
      </c>
      <c r="DZ683" s="543">
        <v>1</v>
      </c>
      <c r="EB683" s="493"/>
      <c r="EC683" s="493"/>
    </row>
    <row r="684" spans="5:133" ht="21" customHeight="1">
      <c r="E684" s="716"/>
      <c r="F684" s="724"/>
      <c r="G684" s="725"/>
      <c r="H684" s="724"/>
      <c r="I684" s="726"/>
      <c r="J684" s="950"/>
      <c r="K684" s="951"/>
      <c r="L684" s="793"/>
      <c r="M684" s="952"/>
      <c r="N684" s="953"/>
      <c r="O684" s="954"/>
      <c r="P684" s="955"/>
      <c r="Q684" s="956"/>
      <c r="R684" s="957"/>
      <c r="S684" s="800"/>
      <c r="T684" s="958"/>
      <c r="U684" s="802"/>
      <c r="V684" s="959"/>
      <c r="W684" s="960"/>
      <c r="X684" s="805"/>
      <c r="Y684" s="816"/>
      <c r="DO684" s="494"/>
      <c r="DP684" s="496" t="s">
        <v>2446</v>
      </c>
      <c r="DQ684" s="496" t="s">
        <v>8</v>
      </c>
      <c r="DR684" s="496" t="s">
        <v>689</v>
      </c>
      <c r="DS684" s="496" t="s">
        <v>2447</v>
      </c>
      <c r="DT684" s="496" t="s">
        <v>2447</v>
      </c>
      <c r="DU684" s="496" t="s">
        <v>1554</v>
      </c>
      <c r="DV684" s="496" t="s">
        <v>1555</v>
      </c>
      <c r="DW684" s="496" t="s">
        <v>1981</v>
      </c>
      <c r="DX684" s="497" t="s">
        <v>1982</v>
      </c>
      <c r="DZ684" s="543">
        <v>1</v>
      </c>
      <c r="EB684" s="493"/>
      <c r="EC684" s="493"/>
    </row>
    <row r="685" spans="5:133" ht="21" customHeight="1">
      <c r="E685" s="716"/>
      <c r="F685" s="724"/>
      <c r="G685" s="725"/>
      <c r="H685" s="724"/>
      <c r="I685" s="726"/>
      <c r="J685" s="950"/>
      <c r="K685" s="951"/>
      <c r="L685" s="793"/>
      <c r="M685" s="952"/>
      <c r="N685" s="953"/>
      <c r="O685" s="954"/>
      <c r="P685" s="955"/>
      <c r="Q685" s="956"/>
      <c r="R685" s="957"/>
      <c r="S685" s="800"/>
      <c r="T685" s="958"/>
      <c r="U685" s="802"/>
      <c r="V685" s="959"/>
      <c r="W685" s="960"/>
      <c r="X685" s="805"/>
      <c r="Y685" s="816"/>
      <c r="DO685" s="494"/>
      <c r="DP685" s="496" t="s">
        <v>2448</v>
      </c>
      <c r="DQ685" s="496" t="s">
        <v>8</v>
      </c>
      <c r="DR685" s="496" t="s">
        <v>689</v>
      </c>
      <c r="DS685" s="496" t="s">
        <v>2449</v>
      </c>
      <c r="DT685" s="496" t="s">
        <v>2449</v>
      </c>
      <c r="DU685" s="496" t="s">
        <v>1554</v>
      </c>
      <c r="DV685" s="496" t="s">
        <v>1555</v>
      </c>
      <c r="DW685" s="496" t="s">
        <v>1981</v>
      </c>
      <c r="DX685" s="497" t="s">
        <v>1982</v>
      </c>
      <c r="DZ685" s="543">
        <v>1</v>
      </c>
      <c r="EB685" s="493"/>
      <c r="EC685" s="493"/>
    </row>
    <row r="686" spans="5:133" ht="21" customHeight="1">
      <c r="E686" s="716"/>
      <c r="F686" s="724"/>
      <c r="G686" s="725"/>
      <c r="H686" s="724"/>
      <c r="I686" s="726"/>
      <c r="J686" s="950"/>
      <c r="K686" s="951"/>
      <c r="L686" s="793"/>
      <c r="M686" s="952"/>
      <c r="N686" s="953"/>
      <c r="O686" s="954"/>
      <c r="P686" s="955"/>
      <c r="Q686" s="956"/>
      <c r="R686" s="957"/>
      <c r="S686" s="800"/>
      <c r="T686" s="958"/>
      <c r="U686" s="802"/>
      <c r="V686" s="959"/>
      <c r="W686" s="960"/>
      <c r="X686" s="805"/>
      <c r="Y686" s="816"/>
      <c r="DO686" s="494"/>
      <c r="DP686" s="496" t="s">
        <v>2450</v>
      </c>
      <c r="DQ686" s="496" t="s">
        <v>8</v>
      </c>
      <c r="DR686" s="496" t="s">
        <v>689</v>
      </c>
      <c r="DS686" s="496" t="s">
        <v>2451</v>
      </c>
      <c r="DT686" s="496" t="s">
        <v>2451</v>
      </c>
      <c r="DU686" s="496" t="s">
        <v>1554</v>
      </c>
      <c r="DV686" s="496" t="s">
        <v>1555</v>
      </c>
      <c r="DW686" s="496" t="s">
        <v>1981</v>
      </c>
      <c r="DX686" s="497" t="s">
        <v>1982</v>
      </c>
      <c r="DZ686" s="543">
        <v>1</v>
      </c>
      <c r="EB686" s="493"/>
      <c r="EC686" s="493"/>
    </row>
    <row r="687" spans="5:133" ht="21" customHeight="1">
      <c r="E687" s="716"/>
      <c r="F687" s="724"/>
      <c r="G687" s="725"/>
      <c r="H687" s="724"/>
      <c r="I687" s="726"/>
      <c r="J687" s="950"/>
      <c r="K687" s="951"/>
      <c r="L687" s="793"/>
      <c r="M687" s="952"/>
      <c r="N687" s="953"/>
      <c r="O687" s="954"/>
      <c r="P687" s="955"/>
      <c r="Q687" s="956"/>
      <c r="R687" s="957"/>
      <c r="S687" s="800"/>
      <c r="T687" s="958"/>
      <c r="U687" s="802"/>
      <c r="V687" s="959"/>
      <c r="W687" s="960"/>
      <c r="X687" s="805"/>
      <c r="Y687" s="816"/>
      <c r="DO687" s="494"/>
      <c r="DP687" s="496" t="s">
        <v>2452</v>
      </c>
      <c r="DQ687" s="496" t="s">
        <v>8</v>
      </c>
      <c r="DR687" s="496" t="s">
        <v>689</v>
      </c>
      <c r="DS687" s="496" t="s">
        <v>2453</v>
      </c>
      <c r="DT687" s="496" t="s">
        <v>2453</v>
      </c>
      <c r="DU687" s="496" t="s">
        <v>1554</v>
      </c>
      <c r="DV687" s="496" t="s">
        <v>1555</v>
      </c>
      <c r="DW687" s="496" t="s">
        <v>1981</v>
      </c>
      <c r="DX687" s="497" t="s">
        <v>1982</v>
      </c>
      <c r="DZ687" s="543">
        <v>1</v>
      </c>
      <c r="EB687" s="493"/>
      <c r="EC687" s="493"/>
    </row>
    <row r="688" spans="5:133" ht="21" customHeight="1">
      <c r="E688" s="716"/>
      <c r="F688" s="724"/>
      <c r="G688" s="725"/>
      <c r="H688" s="724"/>
      <c r="I688" s="726"/>
      <c r="J688" s="950"/>
      <c r="K688" s="951"/>
      <c r="L688" s="793"/>
      <c r="M688" s="952"/>
      <c r="N688" s="953"/>
      <c r="O688" s="954"/>
      <c r="P688" s="955"/>
      <c r="Q688" s="956"/>
      <c r="R688" s="957"/>
      <c r="S688" s="800"/>
      <c r="T688" s="958"/>
      <c r="U688" s="802"/>
      <c r="V688" s="959"/>
      <c r="W688" s="960"/>
      <c r="X688" s="805"/>
      <c r="Y688" s="816"/>
      <c r="DO688" s="494"/>
      <c r="DP688" s="496" t="s">
        <v>2454</v>
      </c>
      <c r="DQ688" s="496" t="s">
        <v>8</v>
      </c>
      <c r="DR688" s="496" t="s">
        <v>689</v>
      </c>
      <c r="DS688" s="496" t="s">
        <v>2455</v>
      </c>
      <c r="DT688" s="496" t="s">
        <v>2455</v>
      </c>
      <c r="DU688" s="496" t="s">
        <v>1554</v>
      </c>
      <c r="DV688" s="496" t="s">
        <v>1555</v>
      </c>
      <c r="DW688" s="496" t="s">
        <v>1981</v>
      </c>
      <c r="DX688" s="497" t="s">
        <v>1982</v>
      </c>
      <c r="DZ688" s="543">
        <v>1</v>
      </c>
      <c r="EB688" s="493"/>
      <c r="EC688" s="493"/>
    </row>
    <row r="689" spans="5:133" ht="21" customHeight="1">
      <c r="E689" s="716"/>
      <c r="F689" s="724"/>
      <c r="G689" s="725"/>
      <c r="H689" s="724"/>
      <c r="I689" s="726"/>
      <c r="J689" s="950"/>
      <c r="K689" s="951"/>
      <c r="L689" s="793"/>
      <c r="M689" s="952"/>
      <c r="N689" s="953"/>
      <c r="O689" s="954"/>
      <c r="P689" s="955"/>
      <c r="Q689" s="956"/>
      <c r="R689" s="957"/>
      <c r="S689" s="800"/>
      <c r="T689" s="958"/>
      <c r="U689" s="802"/>
      <c r="V689" s="959"/>
      <c r="W689" s="960"/>
      <c r="X689" s="805"/>
      <c r="Y689" s="816"/>
      <c r="DO689" s="494"/>
      <c r="DP689" s="496" t="s">
        <v>2456</v>
      </c>
      <c r="DQ689" s="496" t="s">
        <v>8</v>
      </c>
      <c r="DR689" s="496" t="s">
        <v>689</v>
      </c>
      <c r="DS689" s="496" t="s">
        <v>2457</v>
      </c>
      <c r="DT689" s="496" t="s">
        <v>2457</v>
      </c>
      <c r="DU689" s="496" t="s">
        <v>1554</v>
      </c>
      <c r="DV689" s="496" t="s">
        <v>1555</v>
      </c>
      <c r="DW689" s="496" t="s">
        <v>1981</v>
      </c>
      <c r="DX689" s="497" t="s">
        <v>1982</v>
      </c>
      <c r="DZ689" s="543">
        <v>1</v>
      </c>
      <c r="EB689" s="493"/>
      <c r="EC689" s="493"/>
    </row>
    <row r="690" spans="5:133" ht="21" customHeight="1">
      <c r="E690" s="716"/>
      <c r="F690" s="724"/>
      <c r="G690" s="725"/>
      <c r="H690" s="724"/>
      <c r="I690" s="726"/>
      <c r="J690" s="950"/>
      <c r="K690" s="951"/>
      <c r="L690" s="793"/>
      <c r="M690" s="952"/>
      <c r="N690" s="953"/>
      <c r="O690" s="954"/>
      <c r="P690" s="955"/>
      <c r="Q690" s="956"/>
      <c r="R690" s="957"/>
      <c r="S690" s="800"/>
      <c r="T690" s="958"/>
      <c r="U690" s="802"/>
      <c r="V690" s="959"/>
      <c r="W690" s="960"/>
      <c r="X690" s="805"/>
      <c r="Y690" s="816"/>
      <c r="DO690" s="494"/>
      <c r="DP690" s="496" t="s">
        <v>2458</v>
      </c>
      <c r="DQ690" s="496" t="s">
        <v>8</v>
      </c>
      <c r="DR690" s="496" t="s">
        <v>689</v>
      </c>
      <c r="DS690" s="496" t="s">
        <v>2459</v>
      </c>
      <c r="DT690" s="496" t="s">
        <v>2459</v>
      </c>
      <c r="DU690" s="496" t="s">
        <v>1554</v>
      </c>
      <c r="DV690" s="496" t="s">
        <v>1555</v>
      </c>
      <c r="DW690" s="496" t="s">
        <v>1981</v>
      </c>
      <c r="DX690" s="497" t="s">
        <v>1982</v>
      </c>
      <c r="DZ690" s="543">
        <v>1</v>
      </c>
      <c r="EB690" s="493"/>
      <c r="EC690" s="493"/>
    </row>
    <row r="691" spans="5:133" ht="21" customHeight="1">
      <c r="E691" s="716"/>
      <c r="F691" s="724"/>
      <c r="G691" s="725"/>
      <c r="H691" s="724"/>
      <c r="I691" s="726"/>
      <c r="J691" s="950"/>
      <c r="K691" s="951"/>
      <c r="L691" s="793"/>
      <c r="M691" s="952"/>
      <c r="N691" s="953"/>
      <c r="O691" s="954"/>
      <c r="P691" s="955"/>
      <c r="Q691" s="956"/>
      <c r="R691" s="957"/>
      <c r="S691" s="800"/>
      <c r="T691" s="958"/>
      <c r="U691" s="802"/>
      <c r="V691" s="959"/>
      <c r="W691" s="960"/>
      <c r="X691" s="805"/>
      <c r="Y691" s="816"/>
      <c r="DO691" s="494"/>
      <c r="DP691" s="496" t="s">
        <v>2460</v>
      </c>
      <c r="DQ691" s="496" t="s">
        <v>8</v>
      </c>
      <c r="DR691" s="496" t="s">
        <v>689</v>
      </c>
      <c r="DS691" s="496" t="s">
        <v>2461</v>
      </c>
      <c r="DT691" s="496" t="s">
        <v>2461</v>
      </c>
      <c r="DU691" s="496" t="s">
        <v>1554</v>
      </c>
      <c r="DV691" s="496" t="s">
        <v>1555</v>
      </c>
      <c r="DW691" s="496" t="s">
        <v>1981</v>
      </c>
      <c r="DX691" s="497" t="s">
        <v>1982</v>
      </c>
      <c r="DZ691" s="543">
        <v>1</v>
      </c>
      <c r="EB691" s="493"/>
      <c r="EC691" s="493"/>
    </row>
    <row r="692" spans="5:133" ht="21" customHeight="1">
      <c r="E692" s="716"/>
      <c r="F692" s="724"/>
      <c r="G692" s="725"/>
      <c r="H692" s="724"/>
      <c r="I692" s="726"/>
      <c r="J692" s="950"/>
      <c r="K692" s="951"/>
      <c r="L692" s="793"/>
      <c r="M692" s="952"/>
      <c r="N692" s="953"/>
      <c r="O692" s="954"/>
      <c r="P692" s="955"/>
      <c r="Q692" s="956"/>
      <c r="R692" s="957"/>
      <c r="S692" s="800"/>
      <c r="T692" s="958"/>
      <c r="U692" s="802"/>
      <c r="V692" s="959"/>
      <c r="W692" s="960"/>
      <c r="X692" s="805"/>
      <c r="Y692" s="816"/>
      <c r="DO692" s="494"/>
      <c r="DP692" s="496" t="s">
        <v>2462</v>
      </c>
      <c r="DQ692" s="496" t="s">
        <v>8</v>
      </c>
      <c r="DR692" s="496" t="s">
        <v>689</v>
      </c>
      <c r="DS692" s="496" t="s">
        <v>2463</v>
      </c>
      <c r="DT692" s="496" t="s">
        <v>2463</v>
      </c>
      <c r="DU692" s="496" t="s">
        <v>1554</v>
      </c>
      <c r="DV692" s="496" t="s">
        <v>1555</v>
      </c>
      <c r="DW692" s="496" t="s">
        <v>1981</v>
      </c>
      <c r="DX692" s="497" t="s">
        <v>1982</v>
      </c>
      <c r="DZ692" s="543">
        <v>1</v>
      </c>
      <c r="EB692" s="493"/>
      <c r="EC692" s="493"/>
    </row>
    <row r="693" spans="5:133" ht="21" customHeight="1">
      <c r="E693" s="716"/>
      <c r="F693" s="724"/>
      <c r="G693" s="725"/>
      <c r="H693" s="724"/>
      <c r="I693" s="726"/>
      <c r="J693" s="950"/>
      <c r="K693" s="951"/>
      <c r="L693" s="793"/>
      <c r="M693" s="952"/>
      <c r="N693" s="953"/>
      <c r="O693" s="954"/>
      <c r="P693" s="955"/>
      <c r="Q693" s="956"/>
      <c r="R693" s="957"/>
      <c r="S693" s="800"/>
      <c r="T693" s="958"/>
      <c r="U693" s="802"/>
      <c r="V693" s="959"/>
      <c r="W693" s="960"/>
      <c r="X693" s="805"/>
      <c r="Y693" s="816"/>
      <c r="DO693" s="494"/>
      <c r="DP693" s="496" t="s">
        <v>2464</v>
      </c>
      <c r="DQ693" s="496" t="s">
        <v>8</v>
      </c>
      <c r="DR693" s="496" t="s">
        <v>689</v>
      </c>
      <c r="DS693" s="496" t="s">
        <v>171</v>
      </c>
      <c r="DT693" s="496" t="s">
        <v>171</v>
      </c>
      <c r="DU693" s="496" t="s">
        <v>1554</v>
      </c>
      <c r="DV693" s="496" t="s">
        <v>1555</v>
      </c>
      <c r="DW693" s="496" t="s">
        <v>1981</v>
      </c>
      <c r="DX693" s="497" t="s">
        <v>1982</v>
      </c>
      <c r="DZ693" s="543">
        <v>1</v>
      </c>
      <c r="EB693" s="493"/>
      <c r="EC693" s="493"/>
    </row>
    <row r="694" spans="5:133" ht="21" customHeight="1">
      <c r="E694" s="716"/>
      <c r="F694" s="724"/>
      <c r="G694" s="725"/>
      <c r="H694" s="724"/>
      <c r="I694" s="726"/>
      <c r="J694" s="950"/>
      <c r="K694" s="951"/>
      <c r="L694" s="793"/>
      <c r="M694" s="952"/>
      <c r="N694" s="953"/>
      <c r="O694" s="954"/>
      <c r="P694" s="955"/>
      <c r="Q694" s="956"/>
      <c r="R694" s="957"/>
      <c r="S694" s="800"/>
      <c r="T694" s="958"/>
      <c r="U694" s="802"/>
      <c r="V694" s="959"/>
      <c r="W694" s="960"/>
      <c r="X694" s="805"/>
      <c r="Y694" s="816"/>
      <c r="DO694" s="494"/>
      <c r="DP694" s="496" t="s">
        <v>2465</v>
      </c>
      <c r="DQ694" s="496" t="s">
        <v>8</v>
      </c>
      <c r="DR694" s="496" t="s">
        <v>689</v>
      </c>
      <c r="DS694" s="496" t="s">
        <v>2466</v>
      </c>
      <c r="DT694" s="496" t="s">
        <v>2466</v>
      </c>
      <c r="DU694" s="496" t="s">
        <v>1554</v>
      </c>
      <c r="DV694" s="496" t="s">
        <v>1555</v>
      </c>
      <c r="DW694" s="496" t="s">
        <v>1981</v>
      </c>
      <c r="DX694" s="497" t="s">
        <v>1982</v>
      </c>
      <c r="DZ694" s="543">
        <v>1</v>
      </c>
      <c r="EB694" s="493"/>
      <c r="EC694" s="493"/>
    </row>
    <row r="695" spans="5:133" ht="21" customHeight="1">
      <c r="E695" s="716"/>
      <c r="F695" s="724"/>
      <c r="G695" s="725"/>
      <c r="H695" s="724"/>
      <c r="I695" s="726"/>
      <c r="J695" s="950"/>
      <c r="K695" s="951"/>
      <c r="L695" s="793"/>
      <c r="M695" s="952"/>
      <c r="N695" s="953"/>
      <c r="O695" s="954"/>
      <c r="P695" s="955"/>
      <c r="Q695" s="956"/>
      <c r="R695" s="957"/>
      <c r="S695" s="800"/>
      <c r="T695" s="958"/>
      <c r="U695" s="802"/>
      <c r="V695" s="959"/>
      <c r="W695" s="960"/>
      <c r="X695" s="805"/>
      <c r="Y695" s="816"/>
      <c r="DO695" s="494"/>
      <c r="DP695" s="496" t="s">
        <v>2467</v>
      </c>
      <c r="DQ695" s="496" t="s">
        <v>8</v>
      </c>
      <c r="DR695" s="496" t="s">
        <v>689</v>
      </c>
      <c r="DS695" s="496" t="s">
        <v>2468</v>
      </c>
      <c r="DT695" s="496" t="s">
        <v>2468</v>
      </c>
      <c r="DU695" s="496" t="s">
        <v>1554</v>
      </c>
      <c r="DV695" s="496" t="s">
        <v>1555</v>
      </c>
      <c r="DW695" s="496" t="s">
        <v>1981</v>
      </c>
      <c r="DX695" s="497" t="s">
        <v>1982</v>
      </c>
      <c r="DZ695" s="543">
        <v>1</v>
      </c>
      <c r="EB695" s="493"/>
      <c r="EC695" s="493"/>
    </row>
    <row r="696" spans="5:133" ht="21" customHeight="1">
      <c r="E696" s="716"/>
      <c r="F696" s="724"/>
      <c r="G696" s="725"/>
      <c r="H696" s="724"/>
      <c r="I696" s="726"/>
      <c r="J696" s="950"/>
      <c r="K696" s="951"/>
      <c r="L696" s="793"/>
      <c r="M696" s="952"/>
      <c r="N696" s="953"/>
      <c r="O696" s="954"/>
      <c r="P696" s="955"/>
      <c r="Q696" s="956"/>
      <c r="R696" s="957"/>
      <c r="S696" s="800"/>
      <c r="T696" s="958"/>
      <c r="U696" s="802"/>
      <c r="V696" s="959"/>
      <c r="W696" s="960"/>
      <c r="X696" s="805"/>
      <c r="Y696" s="816"/>
      <c r="DO696" s="494"/>
      <c r="DP696" s="496" t="s">
        <v>2469</v>
      </c>
      <c r="DQ696" s="496" t="s">
        <v>8</v>
      </c>
      <c r="DR696" s="496" t="s">
        <v>689</v>
      </c>
      <c r="DS696" s="496" t="s">
        <v>2470</v>
      </c>
      <c r="DT696" s="496" t="s">
        <v>2470</v>
      </c>
      <c r="DU696" s="496" t="s">
        <v>1554</v>
      </c>
      <c r="DV696" s="496" t="s">
        <v>1555</v>
      </c>
      <c r="DW696" s="496" t="s">
        <v>1981</v>
      </c>
      <c r="DX696" s="497" t="s">
        <v>1982</v>
      </c>
      <c r="DZ696" s="543">
        <v>1</v>
      </c>
      <c r="EB696" s="493"/>
      <c r="EC696" s="493"/>
    </row>
    <row r="697" spans="5:133" ht="21" customHeight="1">
      <c r="E697" s="716"/>
      <c r="F697" s="724"/>
      <c r="G697" s="725"/>
      <c r="H697" s="724"/>
      <c r="I697" s="726"/>
      <c r="J697" s="950"/>
      <c r="K697" s="951"/>
      <c r="L697" s="793"/>
      <c r="M697" s="952"/>
      <c r="N697" s="953"/>
      <c r="O697" s="954"/>
      <c r="P697" s="955"/>
      <c r="Q697" s="956"/>
      <c r="R697" s="957"/>
      <c r="S697" s="800"/>
      <c r="T697" s="958"/>
      <c r="U697" s="802"/>
      <c r="V697" s="959"/>
      <c r="W697" s="960"/>
      <c r="X697" s="805"/>
      <c r="Y697" s="816"/>
      <c r="DO697" s="494"/>
      <c r="DP697" s="496" t="s">
        <v>2471</v>
      </c>
      <c r="DQ697" s="496" t="s">
        <v>8</v>
      </c>
      <c r="DR697" s="496" t="s">
        <v>689</v>
      </c>
      <c r="DS697" s="496" t="s">
        <v>2472</v>
      </c>
      <c r="DT697" s="496" t="s">
        <v>2472</v>
      </c>
      <c r="DU697" s="496" t="s">
        <v>1554</v>
      </c>
      <c r="DV697" s="496" t="s">
        <v>1555</v>
      </c>
      <c r="DW697" s="496" t="s">
        <v>1981</v>
      </c>
      <c r="DX697" s="497" t="s">
        <v>1982</v>
      </c>
      <c r="DZ697" s="543">
        <v>1</v>
      </c>
      <c r="EB697" s="493"/>
      <c r="EC697" s="493"/>
    </row>
    <row r="698" spans="5:133" ht="21" customHeight="1">
      <c r="E698" s="716"/>
      <c r="F698" s="724"/>
      <c r="G698" s="725"/>
      <c r="H698" s="724"/>
      <c r="I698" s="726"/>
      <c r="J698" s="950"/>
      <c r="K698" s="951"/>
      <c r="L698" s="793"/>
      <c r="M698" s="952"/>
      <c r="N698" s="953"/>
      <c r="O698" s="954"/>
      <c r="P698" s="955"/>
      <c r="Q698" s="956"/>
      <c r="R698" s="957"/>
      <c r="S698" s="800"/>
      <c r="T698" s="958"/>
      <c r="U698" s="802"/>
      <c r="V698" s="959"/>
      <c r="W698" s="960"/>
      <c r="X698" s="805"/>
      <c r="Y698" s="816"/>
      <c r="DO698" s="494"/>
      <c r="DP698" s="496" t="s">
        <v>2473</v>
      </c>
      <c r="DQ698" s="496" t="s">
        <v>8</v>
      </c>
      <c r="DR698" s="496" t="s">
        <v>689</v>
      </c>
      <c r="DS698" s="496" t="s">
        <v>2474</v>
      </c>
      <c r="DT698" s="496" t="s">
        <v>2474</v>
      </c>
      <c r="DU698" s="496" t="s">
        <v>1554</v>
      </c>
      <c r="DV698" s="496" t="s">
        <v>1555</v>
      </c>
      <c r="DW698" s="496" t="s">
        <v>1981</v>
      </c>
      <c r="DX698" s="497" t="s">
        <v>1982</v>
      </c>
      <c r="DZ698" s="543">
        <v>1</v>
      </c>
      <c r="EB698" s="493"/>
      <c r="EC698" s="493"/>
    </row>
    <row r="699" spans="5:133" ht="21" customHeight="1">
      <c r="E699" s="716"/>
      <c r="F699" s="724"/>
      <c r="G699" s="725"/>
      <c r="H699" s="724"/>
      <c r="I699" s="726"/>
      <c r="J699" s="950"/>
      <c r="K699" s="951"/>
      <c r="L699" s="793"/>
      <c r="M699" s="952"/>
      <c r="N699" s="953"/>
      <c r="O699" s="954"/>
      <c r="P699" s="955"/>
      <c r="Q699" s="956"/>
      <c r="R699" s="957"/>
      <c r="S699" s="800"/>
      <c r="T699" s="958"/>
      <c r="U699" s="802"/>
      <c r="V699" s="959"/>
      <c r="W699" s="960"/>
      <c r="X699" s="805"/>
      <c r="Y699" s="816"/>
      <c r="DO699" s="494"/>
      <c r="DP699" s="496" t="s">
        <v>2475</v>
      </c>
      <c r="DQ699" s="496" t="s">
        <v>8</v>
      </c>
      <c r="DR699" s="496" t="s">
        <v>689</v>
      </c>
      <c r="DS699" s="496" t="s">
        <v>2476</v>
      </c>
      <c r="DT699" s="496" t="s">
        <v>2476</v>
      </c>
      <c r="DU699" s="496" t="s">
        <v>1554</v>
      </c>
      <c r="DV699" s="496" t="s">
        <v>1555</v>
      </c>
      <c r="DW699" s="496" t="s">
        <v>1981</v>
      </c>
      <c r="DX699" s="497" t="s">
        <v>1982</v>
      </c>
      <c r="DZ699" s="543">
        <v>1</v>
      </c>
      <c r="EB699" s="493"/>
      <c r="EC699" s="493"/>
    </row>
    <row r="700" spans="5:133" ht="21" customHeight="1">
      <c r="E700" s="716"/>
      <c r="F700" s="724"/>
      <c r="G700" s="725"/>
      <c r="H700" s="724"/>
      <c r="I700" s="726"/>
      <c r="J700" s="950"/>
      <c r="K700" s="951"/>
      <c r="L700" s="793"/>
      <c r="M700" s="952"/>
      <c r="N700" s="953"/>
      <c r="O700" s="954"/>
      <c r="P700" s="955"/>
      <c r="Q700" s="956"/>
      <c r="R700" s="957"/>
      <c r="S700" s="800"/>
      <c r="T700" s="958"/>
      <c r="U700" s="802"/>
      <c r="V700" s="959"/>
      <c r="W700" s="960"/>
      <c r="X700" s="805"/>
      <c r="Y700" s="816"/>
      <c r="DO700" s="494"/>
      <c r="DP700" s="496" t="s">
        <v>2477</v>
      </c>
      <c r="DQ700" s="496" t="s">
        <v>8</v>
      </c>
      <c r="DR700" s="496" t="s">
        <v>689</v>
      </c>
      <c r="DS700" s="496" t="s">
        <v>2478</v>
      </c>
      <c r="DT700" s="496" t="s">
        <v>2478</v>
      </c>
      <c r="DU700" s="496" t="s">
        <v>1554</v>
      </c>
      <c r="DV700" s="496" t="s">
        <v>1555</v>
      </c>
      <c r="DW700" s="496" t="s">
        <v>1981</v>
      </c>
      <c r="DX700" s="497" t="s">
        <v>1982</v>
      </c>
      <c r="DZ700" s="543">
        <v>1</v>
      </c>
      <c r="EB700" s="493"/>
      <c r="EC700" s="493"/>
    </row>
    <row r="701" spans="5:133" ht="21" customHeight="1">
      <c r="E701" s="716"/>
      <c r="F701" s="724"/>
      <c r="G701" s="725"/>
      <c r="H701" s="724"/>
      <c r="I701" s="726"/>
      <c r="J701" s="950"/>
      <c r="K701" s="951"/>
      <c r="L701" s="793"/>
      <c r="M701" s="952"/>
      <c r="N701" s="953"/>
      <c r="O701" s="954"/>
      <c r="P701" s="955"/>
      <c r="Q701" s="956"/>
      <c r="R701" s="957"/>
      <c r="S701" s="800"/>
      <c r="T701" s="958"/>
      <c r="U701" s="802"/>
      <c r="V701" s="959"/>
      <c r="W701" s="960"/>
      <c r="X701" s="805"/>
      <c r="Y701" s="816"/>
      <c r="DO701" s="494"/>
      <c r="DP701" s="496" t="s">
        <v>2479</v>
      </c>
      <c r="DQ701" s="496" t="s">
        <v>8</v>
      </c>
      <c r="DR701" s="496" t="s">
        <v>689</v>
      </c>
      <c r="DS701" s="496" t="s">
        <v>1025</v>
      </c>
      <c r="DT701" s="496" t="s">
        <v>1025</v>
      </c>
      <c r="DU701" s="496" t="s">
        <v>1554</v>
      </c>
      <c r="DV701" s="496" t="s">
        <v>1555</v>
      </c>
      <c r="DW701" s="496" t="s">
        <v>1981</v>
      </c>
      <c r="DX701" s="497" t="s">
        <v>1982</v>
      </c>
      <c r="DZ701" s="543">
        <v>1</v>
      </c>
      <c r="EB701" s="493"/>
      <c r="EC701" s="493"/>
    </row>
    <row r="702" spans="5:133" ht="21" customHeight="1">
      <c r="E702" s="716"/>
      <c r="F702" s="724"/>
      <c r="G702" s="725"/>
      <c r="H702" s="724"/>
      <c r="I702" s="726"/>
      <c r="J702" s="950"/>
      <c r="K702" s="951"/>
      <c r="L702" s="793"/>
      <c r="M702" s="952"/>
      <c r="N702" s="953"/>
      <c r="O702" s="954"/>
      <c r="P702" s="955"/>
      <c r="Q702" s="956"/>
      <c r="R702" s="957"/>
      <c r="S702" s="800"/>
      <c r="T702" s="958"/>
      <c r="U702" s="802"/>
      <c r="V702" s="959"/>
      <c r="W702" s="960"/>
      <c r="X702" s="805"/>
      <c r="Y702" s="816"/>
      <c r="DO702" s="494"/>
      <c r="DP702" s="496" t="s">
        <v>2480</v>
      </c>
      <c r="DQ702" s="496" t="s">
        <v>8</v>
      </c>
      <c r="DR702" s="496" t="s">
        <v>689</v>
      </c>
      <c r="DS702" s="496" t="s">
        <v>2481</v>
      </c>
      <c r="DT702" s="496" t="s">
        <v>2481</v>
      </c>
      <c r="DU702" s="496" t="s">
        <v>1554</v>
      </c>
      <c r="DV702" s="496" t="s">
        <v>1555</v>
      </c>
      <c r="DW702" s="496" t="s">
        <v>1981</v>
      </c>
      <c r="DX702" s="497" t="s">
        <v>1982</v>
      </c>
      <c r="DZ702" s="543">
        <v>1</v>
      </c>
      <c r="EB702" s="493"/>
      <c r="EC702" s="493"/>
    </row>
    <row r="703" spans="5:133" ht="21" customHeight="1">
      <c r="E703" s="716"/>
      <c r="F703" s="724"/>
      <c r="G703" s="725"/>
      <c r="H703" s="724"/>
      <c r="I703" s="726"/>
      <c r="J703" s="950"/>
      <c r="K703" s="951"/>
      <c r="L703" s="793"/>
      <c r="M703" s="952"/>
      <c r="N703" s="953"/>
      <c r="O703" s="954"/>
      <c r="P703" s="955"/>
      <c r="Q703" s="956"/>
      <c r="R703" s="957"/>
      <c r="S703" s="800"/>
      <c r="T703" s="958"/>
      <c r="U703" s="802"/>
      <c r="V703" s="959"/>
      <c r="W703" s="960"/>
      <c r="X703" s="805"/>
      <c r="Y703" s="816"/>
      <c r="DO703" s="494"/>
      <c r="DP703" s="496" t="s">
        <v>2482</v>
      </c>
      <c r="DQ703" s="496" t="s">
        <v>8</v>
      </c>
      <c r="DR703" s="496" t="s">
        <v>689</v>
      </c>
      <c r="DS703" s="496" t="s">
        <v>2483</v>
      </c>
      <c r="DT703" s="496" t="s">
        <v>2483</v>
      </c>
      <c r="DU703" s="496" t="s">
        <v>1554</v>
      </c>
      <c r="DV703" s="496" t="s">
        <v>1555</v>
      </c>
      <c r="DW703" s="496" t="s">
        <v>1981</v>
      </c>
      <c r="DX703" s="497" t="s">
        <v>1982</v>
      </c>
      <c r="DZ703" s="543">
        <v>1</v>
      </c>
      <c r="EB703" s="493"/>
      <c r="EC703" s="493"/>
    </row>
    <row r="704" spans="5:133" ht="21" customHeight="1">
      <c r="E704" s="716"/>
      <c r="F704" s="724"/>
      <c r="G704" s="725"/>
      <c r="H704" s="724"/>
      <c r="I704" s="726"/>
      <c r="J704" s="950"/>
      <c r="K704" s="951"/>
      <c r="L704" s="793"/>
      <c r="M704" s="952"/>
      <c r="N704" s="953"/>
      <c r="O704" s="954"/>
      <c r="P704" s="955"/>
      <c r="Q704" s="956"/>
      <c r="R704" s="957"/>
      <c r="S704" s="800"/>
      <c r="T704" s="958"/>
      <c r="U704" s="802"/>
      <c r="V704" s="959"/>
      <c r="W704" s="960"/>
      <c r="X704" s="805"/>
      <c r="Y704" s="816"/>
      <c r="DO704" s="494"/>
      <c r="DP704" s="496" t="s">
        <v>2484</v>
      </c>
      <c r="DQ704" s="496" t="s">
        <v>8</v>
      </c>
      <c r="DR704" s="496" t="s">
        <v>689</v>
      </c>
      <c r="DS704" s="496" t="s">
        <v>2485</v>
      </c>
      <c r="DT704" s="496" t="s">
        <v>2485</v>
      </c>
      <c r="DU704" s="496" t="s">
        <v>1554</v>
      </c>
      <c r="DV704" s="496" t="s">
        <v>1555</v>
      </c>
      <c r="DW704" s="496" t="s">
        <v>1981</v>
      </c>
      <c r="DX704" s="497" t="s">
        <v>1982</v>
      </c>
      <c r="DZ704" s="543">
        <v>1</v>
      </c>
      <c r="EB704" s="493"/>
      <c r="EC704" s="493"/>
    </row>
    <row r="705" spans="5:133" ht="21" customHeight="1">
      <c r="E705" s="716"/>
      <c r="F705" s="724"/>
      <c r="G705" s="725"/>
      <c r="H705" s="724"/>
      <c r="I705" s="726"/>
      <c r="J705" s="950"/>
      <c r="K705" s="951"/>
      <c r="L705" s="793"/>
      <c r="M705" s="952"/>
      <c r="N705" s="953"/>
      <c r="O705" s="954"/>
      <c r="P705" s="955"/>
      <c r="Q705" s="956"/>
      <c r="R705" s="957"/>
      <c r="S705" s="800"/>
      <c r="T705" s="958"/>
      <c r="U705" s="802"/>
      <c r="V705" s="959"/>
      <c r="W705" s="960"/>
      <c r="X705" s="805"/>
      <c r="Y705" s="816"/>
      <c r="DO705" s="494"/>
      <c r="DP705" s="496" t="s">
        <v>2486</v>
      </c>
      <c r="DQ705" s="496" t="s">
        <v>8</v>
      </c>
      <c r="DR705" s="496" t="s">
        <v>689</v>
      </c>
      <c r="DS705" s="496" t="s">
        <v>2487</v>
      </c>
      <c r="DT705" s="496" t="s">
        <v>2487</v>
      </c>
      <c r="DU705" s="496" t="s">
        <v>1554</v>
      </c>
      <c r="DV705" s="496" t="s">
        <v>1555</v>
      </c>
      <c r="DW705" s="496" t="s">
        <v>1981</v>
      </c>
      <c r="DX705" s="497" t="s">
        <v>1982</v>
      </c>
      <c r="DZ705" s="543">
        <v>1</v>
      </c>
      <c r="EB705" s="493"/>
      <c r="EC705" s="493"/>
    </row>
    <row r="706" spans="5:133" ht="21" customHeight="1">
      <c r="E706" s="716"/>
      <c r="F706" s="724"/>
      <c r="G706" s="725"/>
      <c r="H706" s="724"/>
      <c r="I706" s="726"/>
      <c r="J706" s="950"/>
      <c r="K706" s="951"/>
      <c r="L706" s="793"/>
      <c r="M706" s="952"/>
      <c r="N706" s="953"/>
      <c r="O706" s="954"/>
      <c r="P706" s="955"/>
      <c r="Q706" s="956"/>
      <c r="R706" s="957"/>
      <c r="S706" s="800"/>
      <c r="T706" s="958"/>
      <c r="U706" s="802"/>
      <c r="V706" s="959"/>
      <c r="W706" s="960"/>
      <c r="X706" s="805"/>
      <c r="Y706" s="816"/>
      <c r="DO706" s="494"/>
      <c r="DP706" s="496" t="s">
        <v>2488</v>
      </c>
      <c r="DQ706" s="496" t="s">
        <v>8</v>
      </c>
      <c r="DR706" s="496" t="s">
        <v>689</v>
      </c>
      <c r="DS706" s="496" t="s">
        <v>2489</v>
      </c>
      <c r="DT706" s="496" t="s">
        <v>2489</v>
      </c>
      <c r="DU706" s="496" t="s">
        <v>1554</v>
      </c>
      <c r="DV706" s="496" t="s">
        <v>1555</v>
      </c>
      <c r="DW706" s="496" t="s">
        <v>1981</v>
      </c>
      <c r="DX706" s="497" t="s">
        <v>1982</v>
      </c>
      <c r="DZ706" s="543">
        <v>1</v>
      </c>
      <c r="EB706" s="493"/>
      <c r="EC706" s="493"/>
    </row>
    <row r="707" spans="5:133" ht="21" customHeight="1">
      <c r="E707" s="716"/>
      <c r="F707" s="724"/>
      <c r="G707" s="725"/>
      <c r="H707" s="724"/>
      <c r="I707" s="726"/>
      <c r="J707" s="950"/>
      <c r="K707" s="951"/>
      <c r="L707" s="793"/>
      <c r="M707" s="952"/>
      <c r="N707" s="953"/>
      <c r="O707" s="954"/>
      <c r="P707" s="955"/>
      <c r="Q707" s="956"/>
      <c r="R707" s="957"/>
      <c r="S707" s="800"/>
      <c r="T707" s="958"/>
      <c r="U707" s="802"/>
      <c r="V707" s="959"/>
      <c r="W707" s="960"/>
      <c r="X707" s="805"/>
      <c r="Y707" s="816"/>
      <c r="DO707" s="494"/>
      <c r="DP707" s="496" t="s">
        <v>2490</v>
      </c>
      <c r="DQ707" s="496" t="s">
        <v>8</v>
      </c>
      <c r="DR707" s="496" t="s">
        <v>689</v>
      </c>
      <c r="DS707" s="496" t="s">
        <v>2491</v>
      </c>
      <c r="DT707" s="496" t="s">
        <v>2491</v>
      </c>
      <c r="DU707" s="496" t="s">
        <v>1554</v>
      </c>
      <c r="DV707" s="496" t="s">
        <v>1555</v>
      </c>
      <c r="DW707" s="496" t="s">
        <v>1981</v>
      </c>
      <c r="DX707" s="497" t="s">
        <v>1982</v>
      </c>
      <c r="DZ707" s="543">
        <v>1</v>
      </c>
      <c r="EB707" s="493"/>
      <c r="EC707" s="493"/>
    </row>
    <row r="708" spans="5:133" ht="21" customHeight="1">
      <c r="E708" s="716"/>
      <c r="F708" s="724"/>
      <c r="G708" s="725"/>
      <c r="H708" s="724"/>
      <c r="I708" s="726"/>
      <c r="J708" s="950"/>
      <c r="K708" s="951"/>
      <c r="L708" s="793"/>
      <c r="M708" s="952"/>
      <c r="N708" s="953"/>
      <c r="O708" s="954"/>
      <c r="P708" s="955"/>
      <c r="Q708" s="956"/>
      <c r="R708" s="957"/>
      <c r="S708" s="800"/>
      <c r="T708" s="958"/>
      <c r="U708" s="802"/>
      <c r="V708" s="959"/>
      <c r="W708" s="960"/>
      <c r="X708" s="805"/>
      <c r="Y708" s="816"/>
      <c r="DO708" s="494"/>
      <c r="DP708" s="496" t="s">
        <v>2492</v>
      </c>
      <c r="DQ708" s="496" t="s">
        <v>8</v>
      </c>
      <c r="DR708" s="496" t="s">
        <v>689</v>
      </c>
      <c r="DS708" s="496" t="s">
        <v>2493</v>
      </c>
      <c r="DT708" s="496" t="s">
        <v>2493</v>
      </c>
      <c r="DU708" s="496" t="s">
        <v>1554</v>
      </c>
      <c r="DV708" s="496" t="s">
        <v>1555</v>
      </c>
      <c r="DW708" s="496" t="s">
        <v>1981</v>
      </c>
      <c r="DX708" s="497" t="s">
        <v>1982</v>
      </c>
      <c r="DZ708" s="543">
        <v>1</v>
      </c>
      <c r="EB708" s="493"/>
      <c r="EC708" s="493"/>
    </row>
    <row r="709" spans="5:133" ht="21" customHeight="1">
      <c r="E709" s="716"/>
      <c r="F709" s="724"/>
      <c r="G709" s="725"/>
      <c r="H709" s="724"/>
      <c r="I709" s="726"/>
      <c r="J709" s="950"/>
      <c r="K709" s="951"/>
      <c r="L709" s="793"/>
      <c r="M709" s="952"/>
      <c r="N709" s="953"/>
      <c r="O709" s="954"/>
      <c r="P709" s="955"/>
      <c r="Q709" s="956"/>
      <c r="R709" s="957"/>
      <c r="S709" s="800"/>
      <c r="T709" s="958"/>
      <c r="U709" s="802"/>
      <c r="V709" s="959"/>
      <c r="W709" s="960"/>
      <c r="X709" s="805"/>
      <c r="Y709" s="816"/>
      <c r="DO709" s="494"/>
      <c r="DP709" s="496" t="s">
        <v>2494</v>
      </c>
      <c r="DQ709" s="496" t="s">
        <v>8</v>
      </c>
      <c r="DR709" s="496" t="s">
        <v>689</v>
      </c>
      <c r="DS709" s="496" t="s">
        <v>2495</v>
      </c>
      <c r="DT709" s="496" t="s">
        <v>2495</v>
      </c>
      <c r="DU709" s="496" t="s">
        <v>1554</v>
      </c>
      <c r="DV709" s="496" t="s">
        <v>1555</v>
      </c>
      <c r="DW709" s="496" t="s">
        <v>1981</v>
      </c>
      <c r="DX709" s="497" t="s">
        <v>1982</v>
      </c>
      <c r="DZ709" s="543">
        <v>1</v>
      </c>
      <c r="EB709" s="493"/>
      <c r="EC709" s="493"/>
    </row>
    <row r="710" spans="5:133" ht="21" customHeight="1">
      <c r="E710" s="716"/>
      <c r="F710" s="724"/>
      <c r="G710" s="725"/>
      <c r="H710" s="724"/>
      <c r="I710" s="726"/>
      <c r="J710" s="950"/>
      <c r="K710" s="951"/>
      <c r="L710" s="793"/>
      <c r="M710" s="952"/>
      <c r="N710" s="953"/>
      <c r="O710" s="954"/>
      <c r="P710" s="955"/>
      <c r="Q710" s="956"/>
      <c r="R710" s="957"/>
      <c r="S710" s="800"/>
      <c r="T710" s="958"/>
      <c r="U710" s="802"/>
      <c r="V710" s="959"/>
      <c r="W710" s="960"/>
      <c r="X710" s="805"/>
      <c r="Y710" s="816"/>
      <c r="DO710" s="494"/>
      <c r="DP710" s="496" t="s">
        <v>2496</v>
      </c>
      <c r="DQ710" s="496" t="s">
        <v>8</v>
      </c>
      <c r="DR710" s="496" t="s">
        <v>689</v>
      </c>
      <c r="DS710" s="496" t="s">
        <v>1026</v>
      </c>
      <c r="DT710" s="496" t="s">
        <v>1026</v>
      </c>
      <c r="DU710" s="496" t="s">
        <v>1554</v>
      </c>
      <c r="DV710" s="496" t="s">
        <v>1555</v>
      </c>
      <c r="DW710" s="496" t="s">
        <v>1981</v>
      </c>
      <c r="DX710" s="497" t="s">
        <v>1982</v>
      </c>
      <c r="DZ710" s="543">
        <v>1</v>
      </c>
      <c r="EB710" s="493"/>
      <c r="EC710" s="493"/>
    </row>
    <row r="711" spans="5:133" ht="21" customHeight="1">
      <c r="E711" s="716"/>
      <c r="F711" s="724"/>
      <c r="G711" s="725"/>
      <c r="H711" s="724"/>
      <c r="I711" s="726"/>
      <c r="J711" s="950"/>
      <c r="K711" s="951"/>
      <c r="L711" s="793"/>
      <c r="M711" s="952"/>
      <c r="N711" s="953"/>
      <c r="O711" s="954"/>
      <c r="P711" s="955"/>
      <c r="Q711" s="956"/>
      <c r="R711" s="957"/>
      <c r="S711" s="800"/>
      <c r="T711" s="958"/>
      <c r="U711" s="802"/>
      <c r="V711" s="959"/>
      <c r="W711" s="960"/>
      <c r="X711" s="805"/>
      <c r="Y711" s="816"/>
      <c r="DO711" s="494"/>
      <c r="DP711" s="496" t="s">
        <v>2497</v>
      </c>
      <c r="DQ711" s="496" t="s">
        <v>8</v>
      </c>
      <c r="DR711" s="496" t="s">
        <v>689</v>
      </c>
      <c r="DS711" s="496" t="s">
        <v>2498</v>
      </c>
      <c r="DT711" s="496" t="s">
        <v>2498</v>
      </c>
      <c r="DU711" s="496" t="s">
        <v>1554</v>
      </c>
      <c r="DV711" s="496" t="s">
        <v>1555</v>
      </c>
      <c r="DW711" s="496" t="s">
        <v>1981</v>
      </c>
      <c r="DX711" s="497" t="s">
        <v>1982</v>
      </c>
      <c r="DZ711" s="543">
        <v>1</v>
      </c>
      <c r="EB711" s="493"/>
      <c r="EC711" s="493"/>
    </row>
    <row r="712" spans="5:133" ht="21" customHeight="1">
      <c r="E712" s="716"/>
      <c r="F712" s="724"/>
      <c r="G712" s="725"/>
      <c r="H712" s="724"/>
      <c r="I712" s="726"/>
      <c r="J712" s="950"/>
      <c r="K712" s="951"/>
      <c r="L712" s="793"/>
      <c r="M712" s="952"/>
      <c r="N712" s="953"/>
      <c r="O712" s="954"/>
      <c r="P712" s="955"/>
      <c r="Q712" s="956"/>
      <c r="R712" s="957"/>
      <c r="S712" s="800"/>
      <c r="T712" s="958"/>
      <c r="U712" s="802"/>
      <c r="V712" s="959"/>
      <c r="W712" s="960"/>
      <c r="X712" s="805"/>
      <c r="Y712" s="816"/>
      <c r="DO712" s="494"/>
      <c r="DP712" s="496" t="s">
        <v>2499</v>
      </c>
      <c r="DQ712" s="496" t="s">
        <v>8</v>
      </c>
      <c r="DR712" s="496" t="s">
        <v>689</v>
      </c>
      <c r="DS712" s="496" t="s">
        <v>2500</v>
      </c>
      <c r="DT712" s="496" t="s">
        <v>2500</v>
      </c>
      <c r="DU712" s="496" t="s">
        <v>1554</v>
      </c>
      <c r="DV712" s="496" t="s">
        <v>1555</v>
      </c>
      <c r="DW712" s="496" t="s">
        <v>1981</v>
      </c>
      <c r="DX712" s="497" t="s">
        <v>1982</v>
      </c>
      <c r="DZ712" s="543">
        <v>1</v>
      </c>
      <c r="EB712" s="493"/>
      <c r="EC712" s="493"/>
    </row>
    <row r="713" spans="5:133" ht="21" customHeight="1">
      <c r="E713" s="716"/>
      <c r="F713" s="724"/>
      <c r="G713" s="725"/>
      <c r="H713" s="724"/>
      <c r="I713" s="726"/>
      <c r="J713" s="950"/>
      <c r="K713" s="951"/>
      <c r="L713" s="793"/>
      <c r="M713" s="952"/>
      <c r="N713" s="953"/>
      <c r="O713" s="954"/>
      <c r="P713" s="955"/>
      <c r="Q713" s="956"/>
      <c r="R713" s="957"/>
      <c r="S713" s="800"/>
      <c r="T713" s="958"/>
      <c r="U713" s="802"/>
      <c r="V713" s="959"/>
      <c r="W713" s="960"/>
      <c r="X713" s="805"/>
      <c r="Y713" s="816"/>
      <c r="DO713" s="494"/>
      <c r="DP713" s="496" t="s">
        <v>2501</v>
      </c>
      <c r="DQ713" s="496" t="s">
        <v>8</v>
      </c>
      <c r="DR713" s="496" t="s">
        <v>689</v>
      </c>
      <c r="DS713" s="496" t="s">
        <v>2502</v>
      </c>
      <c r="DT713" s="496" t="s">
        <v>2502</v>
      </c>
      <c r="DU713" s="496" t="s">
        <v>1554</v>
      </c>
      <c r="DV713" s="496" t="s">
        <v>1555</v>
      </c>
      <c r="DW713" s="496" t="s">
        <v>1981</v>
      </c>
      <c r="DX713" s="497" t="s">
        <v>1982</v>
      </c>
      <c r="DZ713" s="543">
        <v>1</v>
      </c>
      <c r="EB713" s="493"/>
      <c r="EC713" s="493"/>
    </row>
    <row r="714" spans="5:133" ht="21" customHeight="1">
      <c r="E714" s="716"/>
      <c r="F714" s="724"/>
      <c r="G714" s="725"/>
      <c r="H714" s="724"/>
      <c r="I714" s="726"/>
      <c r="J714" s="950"/>
      <c r="K714" s="951"/>
      <c r="L714" s="793"/>
      <c r="M714" s="952"/>
      <c r="N714" s="953"/>
      <c r="O714" s="954"/>
      <c r="P714" s="955"/>
      <c r="Q714" s="956"/>
      <c r="R714" s="957"/>
      <c r="S714" s="800"/>
      <c r="T714" s="958"/>
      <c r="U714" s="802"/>
      <c r="V714" s="959"/>
      <c r="W714" s="960"/>
      <c r="X714" s="805"/>
      <c r="Y714" s="816"/>
      <c r="DO714" s="494"/>
      <c r="DP714" s="496" t="s">
        <v>2503</v>
      </c>
      <c r="DQ714" s="496" t="s">
        <v>8</v>
      </c>
      <c r="DR714" s="496" t="s">
        <v>689</v>
      </c>
      <c r="DS714" s="496" t="s">
        <v>2504</v>
      </c>
      <c r="DT714" s="496" t="s">
        <v>2504</v>
      </c>
      <c r="DU714" s="496" t="s">
        <v>1554</v>
      </c>
      <c r="DV714" s="496" t="s">
        <v>1555</v>
      </c>
      <c r="DW714" s="496" t="s">
        <v>1981</v>
      </c>
      <c r="DX714" s="497" t="s">
        <v>1982</v>
      </c>
      <c r="DZ714" s="543">
        <v>1</v>
      </c>
      <c r="EB714" s="493"/>
      <c r="EC714" s="493"/>
    </row>
    <row r="715" spans="5:133" ht="21" customHeight="1">
      <c r="E715" s="716"/>
      <c r="F715" s="724"/>
      <c r="G715" s="725"/>
      <c r="H715" s="724"/>
      <c r="I715" s="726"/>
      <c r="J715" s="950"/>
      <c r="K715" s="951"/>
      <c r="L715" s="793"/>
      <c r="M715" s="952"/>
      <c r="N715" s="953"/>
      <c r="O715" s="954"/>
      <c r="P715" s="955"/>
      <c r="Q715" s="956"/>
      <c r="R715" s="957"/>
      <c r="S715" s="800"/>
      <c r="T715" s="958"/>
      <c r="U715" s="802"/>
      <c r="V715" s="959"/>
      <c r="W715" s="960"/>
      <c r="X715" s="805"/>
      <c r="Y715" s="816"/>
      <c r="DO715" s="494"/>
      <c r="DP715" s="496" t="s">
        <v>2505</v>
      </c>
      <c r="DQ715" s="496" t="s">
        <v>8</v>
      </c>
      <c r="DR715" s="496" t="s">
        <v>689</v>
      </c>
      <c r="DS715" s="496" t="s">
        <v>2506</v>
      </c>
      <c r="DT715" s="496" t="s">
        <v>2506</v>
      </c>
      <c r="DU715" s="496" t="s">
        <v>1554</v>
      </c>
      <c r="DV715" s="496" t="s">
        <v>1555</v>
      </c>
      <c r="DW715" s="496" t="s">
        <v>1981</v>
      </c>
      <c r="DX715" s="497" t="s">
        <v>1982</v>
      </c>
      <c r="DZ715" s="543">
        <v>1</v>
      </c>
      <c r="EB715" s="493"/>
      <c r="EC715" s="493"/>
    </row>
    <row r="716" spans="5:133" ht="21" customHeight="1">
      <c r="E716" s="716"/>
      <c r="F716" s="724"/>
      <c r="G716" s="725"/>
      <c r="H716" s="724"/>
      <c r="I716" s="726"/>
      <c r="J716" s="950"/>
      <c r="K716" s="951"/>
      <c r="L716" s="793"/>
      <c r="M716" s="952"/>
      <c r="N716" s="953"/>
      <c r="O716" s="954"/>
      <c r="P716" s="955"/>
      <c r="Q716" s="956"/>
      <c r="R716" s="957"/>
      <c r="S716" s="800"/>
      <c r="T716" s="958"/>
      <c r="U716" s="802"/>
      <c r="V716" s="959"/>
      <c r="W716" s="960"/>
      <c r="X716" s="805"/>
      <c r="Y716" s="816"/>
      <c r="DO716" s="494"/>
      <c r="DP716" s="496" t="s">
        <v>2507</v>
      </c>
      <c r="DQ716" s="496" t="s">
        <v>8</v>
      </c>
      <c r="DR716" s="496" t="s">
        <v>689</v>
      </c>
      <c r="DS716" s="496" t="s">
        <v>2508</v>
      </c>
      <c r="DT716" s="496" t="s">
        <v>2508</v>
      </c>
      <c r="DU716" s="496" t="s">
        <v>1554</v>
      </c>
      <c r="DV716" s="496" t="s">
        <v>1555</v>
      </c>
      <c r="DW716" s="496" t="s">
        <v>1981</v>
      </c>
      <c r="DX716" s="497" t="s">
        <v>1982</v>
      </c>
      <c r="DZ716" s="543">
        <v>1</v>
      </c>
      <c r="EB716" s="493"/>
      <c r="EC716" s="493"/>
    </row>
    <row r="717" spans="5:133" ht="21" customHeight="1">
      <c r="E717" s="716"/>
      <c r="F717" s="724"/>
      <c r="G717" s="725"/>
      <c r="H717" s="724"/>
      <c r="I717" s="726"/>
      <c r="J717" s="950"/>
      <c r="K717" s="951"/>
      <c r="L717" s="793"/>
      <c r="M717" s="952"/>
      <c r="N717" s="953"/>
      <c r="O717" s="954"/>
      <c r="P717" s="955"/>
      <c r="Q717" s="956"/>
      <c r="R717" s="957"/>
      <c r="S717" s="800"/>
      <c r="T717" s="958"/>
      <c r="U717" s="802"/>
      <c r="V717" s="959"/>
      <c r="W717" s="960"/>
      <c r="X717" s="805"/>
      <c r="Y717" s="816"/>
      <c r="DO717" s="494"/>
      <c r="DP717" s="496" t="s">
        <v>2509</v>
      </c>
      <c r="DQ717" s="496" t="s">
        <v>8</v>
      </c>
      <c r="DR717" s="496" t="s">
        <v>689</v>
      </c>
      <c r="DS717" s="496" t="s">
        <v>2510</v>
      </c>
      <c r="DT717" s="496" t="s">
        <v>2510</v>
      </c>
      <c r="DU717" s="496" t="s">
        <v>1554</v>
      </c>
      <c r="DV717" s="496" t="s">
        <v>1555</v>
      </c>
      <c r="DW717" s="496" t="s">
        <v>1981</v>
      </c>
      <c r="DX717" s="497" t="s">
        <v>1982</v>
      </c>
      <c r="DZ717" s="543">
        <v>1</v>
      </c>
      <c r="EB717" s="493"/>
      <c r="EC717" s="493"/>
    </row>
    <row r="718" spans="5:133" ht="21" customHeight="1">
      <c r="E718" s="716"/>
      <c r="F718" s="724"/>
      <c r="G718" s="725"/>
      <c r="H718" s="724"/>
      <c r="I718" s="726"/>
      <c r="J718" s="950"/>
      <c r="K718" s="951"/>
      <c r="L718" s="793"/>
      <c r="M718" s="952"/>
      <c r="N718" s="953"/>
      <c r="O718" s="954"/>
      <c r="P718" s="955"/>
      <c r="Q718" s="956"/>
      <c r="R718" s="957"/>
      <c r="S718" s="800"/>
      <c r="T718" s="958"/>
      <c r="U718" s="802"/>
      <c r="V718" s="959"/>
      <c r="W718" s="960"/>
      <c r="X718" s="805"/>
      <c r="Y718" s="816"/>
      <c r="DO718" s="494"/>
      <c r="DP718" s="496" t="s">
        <v>2511</v>
      </c>
      <c r="DQ718" s="496" t="s">
        <v>8</v>
      </c>
      <c r="DR718" s="496" t="s">
        <v>689</v>
      </c>
      <c r="DS718" s="496" t="s">
        <v>2512</v>
      </c>
      <c r="DT718" s="496" t="s">
        <v>2512</v>
      </c>
      <c r="DU718" s="496" t="s">
        <v>1554</v>
      </c>
      <c r="DV718" s="496" t="s">
        <v>1555</v>
      </c>
      <c r="DW718" s="496" t="s">
        <v>1981</v>
      </c>
      <c r="DX718" s="497" t="s">
        <v>1982</v>
      </c>
      <c r="DZ718" s="543">
        <v>1</v>
      </c>
      <c r="EB718" s="493"/>
      <c r="EC718" s="493"/>
    </row>
    <row r="719" spans="5:133" ht="21" customHeight="1">
      <c r="E719" s="716"/>
      <c r="F719" s="724"/>
      <c r="G719" s="725"/>
      <c r="H719" s="724"/>
      <c r="I719" s="726"/>
      <c r="J719" s="950"/>
      <c r="K719" s="951"/>
      <c r="L719" s="793"/>
      <c r="M719" s="952"/>
      <c r="N719" s="953"/>
      <c r="O719" s="954"/>
      <c r="P719" s="955"/>
      <c r="Q719" s="956"/>
      <c r="R719" s="957"/>
      <c r="S719" s="800"/>
      <c r="T719" s="958"/>
      <c r="U719" s="802"/>
      <c r="V719" s="959"/>
      <c r="W719" s="960"/>
      <c r="X719" s="805"/>
      <c r="Y719" s="816"/>
      <c r="DO719" s="494"/>
      <c r="DP719" s="496" t="s">
        <v>2513</v>
      </c>
      <c r="DQ719" s="496" t="s">
        <v>8</v>
      </c>
      <c r="DR719" s="496" t="s">
        <v>689</v>
      </c>
      <c r="DS719" s="496" t="s">
        <v>2514</v>
      </c>
      <c r="DT719" s="496" t="s">
        <v>2514</v>
      </c>
      <c r="DU719" s="496" t="s">
        <v>1554</v>
      </c>
      <c r="DV719" s="496" t="s">
        <v>1555</v>
      </c>
      <c r="DW719" s="496" t="s">
        <v>1981</v>
      </c>
      <c r="DX719" s="497" t="s">
        <v>1982</v>
      </c>
      <c r="DZ719" s="543">
        <v>1</v>
      </c>
      <c r="EB719" s="493"/>
      <c r="EC719" s="493"/>
    </row>
    <row r="720" spans="5:133" ht="21" customHeight="1">
      <c r="E720" s="716"/>
      <c r="F720" s="724"/>
      <c r="G720" s="725"/>
      <c r="H720" s="724"/>
      <c r="I720" s="726"/>
      <c r="J720" s="950"/>
      <c r="K720" s="951"/>
      <c r="L720" s="793"/>
      <c r="M720" s="952"/>
      <c r="N720" s="953"/>
      <c r="O720" s="954"/>
      <c r="P720" s="955"/>
      <c r="Q720" s="956"/>
      <c r="R720" s="957"/>
      <c r="S720" s="800"/>
      <c r="T720" s="958"/>
      <c r="U720" s="802"/>
      <c r="V720" s="959"/>
      <c r="W720" s="960"/>
      <c r="X720" s="805"/>
      <c r="Y720" s="816"/>
      <c r="DO720" s="494"/>
      <c r="DP720" s="496" t="s">
        <v>2515</v>
      </c>
      <c r="DQ720" s="496" t="s">
        <v>8</v>
      </c>
      <c r="DR720" s="496" t="s">
        <v>689</v>
      </c>
      <c r="DS720" s="496" t="s">
        <v>2516</v>
      </c>
      <c r="DT720" s="496" t="s">
        <v>2516</v>
      </c>
      <c r="DU720" s="496" t="s">
        <v>1554</v>
      </c>
      <c r="DV720" s="496" t="s">
        <v>1555</v>
      </c>
      <c r="DW720" s="496" t="s">
        <v>1981</v>
      </c>
      <c r="DX720" s="497" t="s">
        <v>1982</v>
      </c>
      <c r="DZ720" s="543">
        <v>1</v>
      </c>
      <c r="EB720" s="493"/>
      <c r="EC720" s="493"/>
    </row>
    <row r="721" spans="5:133" ht="21" customHeight="1">
      <c r="E721" s="716"/>
      <c r="F721" s="724"/>
      <c r="G721" s="725"/>
      <c r="H721" s="724"/>
      <c r="I721" s="726"/>
      <c r="J721" s="950"/>
      <c r="K721" s="951"/>
      <c r="L721" s="793"/>
      <c r="M721" s="952"/>
      <c r="N721" s="953"/>
      <c r="O721" s="954"/>
      <c r="P721" s="955"/>
      <c r="Q721" s="956"/>
      <c r="R721" s="957"/>
      <c r="S721" s="800"/>
      <c r="T721" s="958"/>
      <c r="U721" s="802"/>
      <c r="V721" s="959"/>
      <c r="W721" s="960"/>
      <c r="X721" s="805"/>
      <c r="Y721" s="816"/>
      <c r="DO721" s="494"/>
      <c r="DP721" s="496" t="s">
        <v>2517</v>
      </c>
      <c r="DQ721" s="496" t="s">
        <v>8</v>
      </c>
      <c r="DR721" s="496" t="s">
        <v>689</v>
      </c>
      <c r="DS721" s="496" t="s">
        <v>2518</v>
      </c>
      <c r="DT721" s="496" t="s">
        <v>2518</v>
      </c>
      <c r="DU721" s="496" t="s">
        <v>1554</v>
      </c>
      <c r="DV721" s="496" t="s">
        <v>1555</v>
      </c>
      <c r="DW721" s="496" t="s">
        <v>1981</v>
      </c>
      <c r="DX721" s="497" t="s">
        <v>1982</v>
      </c>
      <c r="DZ721" s="543">
        <v>1</v>
      </c>
      <c r="EB721" s="493"/>
      <c r="EC721" s="493"/>
    </row>
    <row r="722" spans="5:133" ht="21" customHeight="1">
      <c r="E722" s="716"/>
      <c r="F722" s="724"/>
      <c r="G722" s="725"/>
      <c r="H722" s="724"/>
      <c r="I722" s="726"/>
      <c r="J722" s="950"/>
      <c r="K722" s="951"/>
      <c r="L722" s="793"/>
      <c r="M722" s="952"/>
      <c r="N722" s="953"/>
      <c r="O722" s="954"/>
      <c r="P722" s="955"/>
      <c r="Q722" s="956"/>
      <c r="R722" s="957"/>
      <c r="S722" s="800"/>
      <c r="T722" s="958"/>
      <c r="U722" s="802"/>
      <c r="V722" s="959"/>
      <c r="W722" s="960"/>
      <c r="X722" s="805"/>
      <c r="Y722" s="816"/>
      <c r="DO722" s="494"/>
      <c r="DP722" s="496" t="s">
        <v>2519</v>
      </c>
      <c r="DQ722" s="496" t="s">
        <v>8</v>
      </c>
      <c r="DR722" s="496" t="s">
        <v>689</v>
      </c>
      <c r="DS722" s="496" t="s">
        <v>2520</v>
      </c>
      <c r="DT722" s="496" t="s">
        <v>2520</v>
      </c>
      <c r="DU722" s="496" t="s">
        <v>1554</v>
      </c>
      <c r="DV722" s="496" t="s">
        <v>1555</v>
      </c>
      <c r="DW722" s="496" t="s">
        <v>1981</v>
      </c>
      <c r="DX722" s="497" t="s">
        <v>1982</v>
      </c>
      <c r="DZ722" s="543">
        <v>1</v>
      </c>
      <c r="EB722" s="493"/>
      <c r="EC722" s="493"/>
    </row>
    <row r="723" spans="5:133" ht="21" customHeight="1">
      <c r="E723" s="716"/>
      <c r="F723" s="724"/>
      <c r="G723" s="725"/>
      <c r="H723" s="724"/>
      <c r="I723" s="726"/>
      <c r="J723" s="950"/>
      <c r="K723" s="951"/>
      <c r="L723" s="793"/>
      <c r="M723" s="952"/>
      <c r="N723" s="953"/>
      <c r="O723" s="954"/>
      <c r="P723" s="955"/>
      <c r="Q723" s="956"/>
      <c r="R723" s="957"/>
      <c r="S723" s="800"/>
      <c r="T723" s="958"/>
      <c r="U723" s="802"/>
      <c r="V723" s="959"/>
      <c r="W723" s="960"/>
      <c r="X723" s="805"/>
      <c r="Y723" s="816"/>
      <c r="DO723" s="494"/>
      <c r="DP723" s="496" t="s">
        <v>2521</v>
      </c>
      <c r="DQ723" s="496" t="s">
        <v>8</v>
      </c>
      <c r="DR723" s="496" t="s">
        <v>689</v>
      </c>
      <c r="DS723" s="496" t="s">
        <v>2522</v>
      </c>
      <c r="DT723" s="496" t="s">
        <v>2522</v>
      </c>
      <c r="DU723" s="496" t="s">
        <v>1554</v>
      </c>
      <c r="DV723" s="496" t="s">
        <v>1555</v>
      </c>
      <c r="DW723" s="496" t="s">
        <v>1981</v>
      </c>
      <c r="DX723" s="497" t="s">
        <v>1982</v>
      </c>
      <c r="DZ723" s="543">
        <v>1</v>
      </c>
      <c r="EB723" s="493"/>
      <c r="EC723" s="493"/>
    </row>
    <row r="724" spans="5:133" ht="21" customHeight="1">
      <c r="E724" s="716"/>
      <c r="F724" s="724"/>
      <c r="G724" s="725"/>
      <c r="H724" s="724"/>
      <c r="I724" s="726"/>
      <c r="J724" s="950"/>
      <c r="K724" s="951"/>
      <c r="L724" s="793"/>
      <c r="M724" s="952"/>
      <c r="N724" s="953"/>
      <c r="O724" s="954"/>
      <c r="P724" s="955"/>
      <c r="Q724" s="956"/>
      <c r="R724" s="957"/>
      <c r="S724" s="800"/>
      <c r="T724" s="958"/>
      <c r="U724" s="802"/>
      <c r="V724" s="959"/>
      <c r="W724" s="960"/>
      <c r="X724" s="805"/>
      <c r="Y724" s="816"/>
      <c r="DO724" s="494"/>
      <c r="DP724" s="496" t="s">
        <v>2523</v>
      </c>
      <c r="DQ724" s="496" t="s">
        <v>8</v>
      </c>
      <c r="DR724" s="496" t="s">
        <v>689</v>
      </c>
      <c r="DS724" s="496" t="s">
        <v>1027</v>
      </c>
      <c r="DT724" s="496" t="s">
        <v>1027</v>
      </c>
      <c r="DU724" s="496" t="s">
        <v>1554</v>
      </c>
      <c r="DV724" s="496" t="s">
        <v>1555</v>
      </c>
      <c r="DW724" s="496" t="s">
        <v>1981</v>
      </c>
      <c r="DX724" s="497" t="s">
        <v>1982</v>
      </c>
      <c r="DZ724" s="543">
        <v>1</v>
      </c>
      <c r="EB724" s="493"/>
      <c r="EC724" s="493"/>
    </row>
    <row r="725" spans="5:133" ht="21" customHeight="1">
      <c r="E725" s="716"/>
      <c r="F725" s="724"/>
      <c r="G725" s="725"/>
      <c r="H725" s="724"/>
      <c r="I725" s="726"/>
      <c r="J725" s="950"/>
      <c r="K725" s="951"/>
      <c r="L725" s="793"/>
      <c r="M725" s="952"/>
      <c r="N725" s="953"/>
      <c r="O725" s="954"/>
      <c r="P725" s="955"/>
      <c r="Q725" s="956"/>
      <c r="R725" s="957"/>
      <c r="S725" s="800"/>
      <c r="T725" s="958"/>
      <c r="U725" s="802"/>
      <c r="V725" s="959"/>
      <c r="W725" s="960"/>
      <c r="X725" s="805"/>
      <c r="Y725" s="816"/>
      <c r="DO725" s="494"/>
      <c r="DP725" s="496" t="s">
        <v>2524</v>
      </c>
      <c r="DQ725" s="496" t="s">
        <v>8</v>
      </c>
      <c r="DR725" s="496" t="s">
        <v>689</v>
      </c>
      <c r="DS725" s="496" t="s">
        <v>2525</v>
      </c>
      <c r="DT725" s="496" t="s">
        <v>2525</v>
      </c>
      <c r="DU725" s="496" t="s">
        <v>1554</v>
      </c>
      <c r="DV725" s="496" t="s">
        <v>1555</v>
      </c>
      <c r="DW725" s="496" t="s">
        <v>1981</v>
      </c>
      <c r="DX725" s="497" t="s">
        <v>1982</v>
      </c>
      <c r="DZ725" s="543">
        <v>1</v>
      </c>
      <c r="EB725" s="493"/>
      <c r="EC725" s="493"/>
    </row>
    <row r="726" spans="5:133" ht="21" customHeight="1">
      <c r="E726" s="716"/>
      <c r="F726" s="724"/>
      <c r="G726" s="725"/>
      <c r="H726" s="724"/>
      <c r="I726" s="726"/>
      <c r="J726" s="950"/>
      <c r="K726" s="951"/>
      <c r="L726" s="793"/>
      <c r="M726" s="952"/>
      <c r="N726" s="953"/>
      <c r="O726" s="954"/>
      <c r="P726" s="955"/>
      <c r="Q726" s="956"/>
      <c r="R726" s="957"/>
      <c r="S726" s="800"/>
      <c r="T726" s="958"/>
      <c r="U726" s="802"/>
      <c r="V726" s="959"/>
      <c r="W726" s="960"/>
      <c r="X726" s="805"/>
      <c r="Y726" s="816"/>
      <c r="DO726" s="494"/>
      <c r="DP726" s="496" t="s">
        <v>2526</v>
      </c>
      <c r="DQ726" s="496" t="s">
        <v>8</v>
      </c>
      <c r="DR726" s="496" t="s">
        <v>689</v>
      </c>
      <c r="DS726" s="496" t="s">
        <v>2527</v>
      </c>
      <c r="DT726" s="496" t="s">
        <v>2527</v>
      </c>
      <c r="DU726" s="496" t="s">
        <v>1554</v>
      </c>
      <c r="DV726" s="496" t="s">
        <v>1555</v>
      </c>
      <c r="DW726" s="496" t="s">
        <v>1981</v>
      </c>
      <c r="DX726" s="497" t="s">
        <v>1982</v>
      </c>
      <c r="DZ726" s="543">
        <v>1</v>
      </c>
      <c r="EB726" s="493"/>
      <c r="EC726" s="493"/>
    </row>
    <row r="727" spans="5:133" ht="21" customHeight="1">
      <c r="E727" s="716"/>
      <c r="F727" s="724"/>
      <c r="G727" s="725"/>
      <c r="H727" s="724"/>
      <c r="I727" s="726"/>
      <c r="J727" s="950"/>
      <c r="K727" s="951"/>
      <c r="L727" s="793"/>
      <c r="M727" s="952"/>
      <c r="N727" s="953"/>
      <c r="O727" s="954"/>
      <c r="P727" s="955"/>
      <c r="Q727" s="956"/>
      <c r="R727" s="957"/>
      <c r="S727" s="800"/>
      <c r="T727" s="958"/>
      <c r="U727" s="802"/>
      <c r="V727" s="959"/>
      <c r="W727" s="960"/>
      <c r="X727" s="805"/>
      <c r="Y727" s="816"/>
      <c r="DO727" s="494"/>
      <c r="DP727" s="496" t="s">
        <v>2528</v>
      </c>
      <c r="DQ727" s="496" t="s">
        <v>8</v>
      </c>
      <c r="DR727" s="496" t="s">
        <v>689</v>
      </c>
      <c r="DS727" s="496" t="s">
        <v>2529</v>
      </c>
      <c r="DT727" s="496" t="s">
        <v>2529</v>
      </c>
      <c r="DU727" s="496" t="s">
        <v>1554</v>
      </c>
      <c r="DV727" s="496" t="s">
        <v>1555</v>
      </c>
      <c r="DW727" s="496" t="s">
        <v>1981</v>
      </c>
      <c r="DX727" s="497" t="s">
        <v>1982</v>
      </c>
      <c r="DZ727" s="543">
        <v>1</v>
      </c>
      <c r="EB727" s="493"/>
      <c r="EC727" s="493"/>
    </row>
    <row r="728" spans="5:133" ht="21" customHeight="1">
      <c r="E728" s="716"/>
      <c r="F728" s="724"/>
      <c r="G728" s="725"/>
      <c r="H728" s="724"/>
      <c r="I728" s="726"/>
      <c r="J728" s="950"/>
      <c r="K728" s="951"/>
      <c r="L728" s="793"/>
      <c r="M728" s="952"/>
      <c r="N728" s="953"/>
      <c r="O728" s="954"/>
      <c r="P728" s="955"/>
      <c r="Q728" s="956"/>
      <c r="R728" s="957"/>
      <c r="S728" s="800"/>
      <c r="T728" s="958"/>
      <c r="U728" s="802"/>
      <c r="V728" s="959"/>
      <c r="W728" s="960"/>
      <c r="X728" s="805"/>
      <c r="Y728" s="816"/>
      <c r="DO728" s="494"/>
      <c r="DP728" s="496" t="s">
        <v>2530</v>
      </c>
      <c r="DQ728" s="496" t="s">
        <v>8</v>
      </c>
      <c r="DR728" s="496" t="s">
        <v>689</v>
      </c>
      <c r="DS728" s="496" t="s">
        <v>2531</v>
      </c>
      <c r="DT728" s="496" t="s">
        <v>2531</v>
      </c>
      <c r="DU728" s="496" t="s">
        <v>1554</v>
      </c>
      <c r="DV728" s="496" t="s">
        <v>1555</v>
      </c>
      <c r="DW728" s="496" t="s">
        <v>1981</v>
      </c>
      <c r="DX728" s="497" t="s">
        <v>1982</v>
      </c>
      <c r="DZ728" s="543">
        <v>1</v>
      </c>
      <c r="EB728" s="493"/>
      <c r="EC728" s="493"/>
    </row>
    <row r="729" spans="5:133" ht="21" customHeight="1">
      <c r="E729" s="716"/>
      <c r="F729" s="724"/>
      <c r="G729" s="725"/>
      <c r="H729" s="724"/>
      <c r="I729" s="726"/>
      <c r="J729" s="950"/>
      <c r="K729" s="951"/>
      <c r="L729" s="793"/>
      <c r="M729" s="952"/>
      <c r="N729" s="953"/>
      <c r="O729" s="954"/>
      <c r="P729" s="955"/>
      <c r="Q729" s="956"/>
      <c r="R729" s="957"/>
      <c r="S729" s="800"/>
      <c r="T729" s="958"/>
      <c r="U729" s="802"/>
      <c r="V729" s="959"/>
      <c r="W729" s="960"/>
      <c r="X729" s="805"/>
      <c r="Y729" s="816"/>
      <c r="DO729" s="494"/>
      <c r="DP729" s="496" t="s">
        <v>2532</v>
      </c>
      <c r="DQ729" s="496" t="s">
        <v>8</v>
      </c>
      <c r="DR729" s="496" t="s">
        <v>689</v>
      </c>
      <c r="DS729" s="496" t="s">
        <v>2533</v>
      </c>
      <c r="DT729" s="496" t="s">
        <v>2533</v>
      </c>
      <c r="DU729" s="496" t="s">
        <v>1554</v>
      </c>
      <c r="DV729" s="496" t="s">
        <v>1555</v>
      </c>
      <c r="DW729" s="496" t="s">
        <v>1981</v>
      </c>
      <c r="DX729" s="497" t="s">
        <v>1982</v>
      </c>
      <c r="DZ729" s="543">
        <v>1</v>
      </c>
      <c r="EB729" s="493"/>
      <c r="EC729" s="493"/>
    </row>
    <row r="730" spans="5:133" ht="21" customHeight="1">
      <c r="E730" s="716"/>
      <c r="F730" s="724"/>
      <c r="G730" s="725"/>
      <c r="H730" s="724"/>
      <c r="I730" s="726"/>
      <c r="J730" s="950"/>
      <c r="K730" s="951"/>
      <c r="L730" s="793"/>
      <c r="M730" s="952"/>
      <c r="N730" s="953"/>
      <c r="O730" s="954"/>
      <c r="P730" s="955"/>
      <c r="Q730" s="956"/>
      <c r="R730" s="957"/>
      <c r="S730" s="800"/>
      <c r="T730" s="958"/>
      <c r="U730" s="802"/>
      <c r="V730" s="959"/>
      <c r="W730" s="960"/>
      <c r="X730" s="805"/>
      <c r="Y730" s="816"/>
      <c r="DO730" s="494"/>
      <c r="DP730" s="496" t="s">
        <v>2534</v>
      </c>
      <c r="DQ730" s="496" t="s">
        <v>8</v>
      </c>
      <c r="DR730" s="496" t="s">
        <v>689</v>
      </c>
      <c r="DS730" s="496" t="s">
        <v>2535</v>
      </c>
      <c r="DT730" s="496" t="s">
        <v>2535</v>
      </c>
      <c r="DU730" s="496" t="s">
        <v>1554</v>
      </c>
      <c r="DV730" s="496" t="s">
        <v>1555</v>
      </c>
      <c r="DW730" s="496" t="s">
        <v>1981</v>
      </c>
      <c r="DX730" s="497" t="s">
        <v>1982</v>
      </c>
      <c r="DZ730" s="543">
        <v>1</v>
      </c>
      <c r="EB730" s="493"/>
      <c r="EC730" s="493"/>
    </row>
    <row r="731" spans="5:133" ht="21" customHeight="1">
      <c r="E731" s="716"/>
      <c r="F731" s="724"/>
      <c r="G731" s="725"/>
      <c r="H731" s="724"/>
      <c r="I731" s="726"/>
      <c r="J731" s="950"/>
      <c r="K731" s="951"/>
      <c r="L731" s="793"/>
      <c r="M731" s="952"/>
      <c r="N731" s="953"/>
      <c r="O731" s="954"/>
      <c r="P731" s="955"/>
      <c r="Q731" s="956"/>
      <c r="R731" s="957"/>
      <c r="S731" s="800"/>
      <c r="T731" s="958"/>
      <c r="U731" s="802"/>
      <c r="V731" s="959"/>
      <c r="W731" s="960"/>
      <c r="X731" s="805"/>
      <c r="Y731" s="816"/>
      <c r="DO731" s="494"/>
      <c r="DP731" s="496" t="s">
        <v>2536</v>
      </c>
      <c r="DQ731" s="496" t="s">
        <v>8</v>
      </c>
      <c r="DR731" s="496" t="s">
        <v>689</v>
      </c>
      <c r="DS731" s="496" t="s">
        <v>2537</v>
      </c>
      <c r="DT731" s="496" t="s">
        <v>2537</v>
      </c>
      <c r="DU731" s="496" t="s">
        <v>1554</v>
      </c>
      <c r="DV731" s="496" t="s">
        <v>1555</v>
      </c>
      <c r="DW731" s="496" t="s">
        <v>1981</v>
      </c>
      <c r="DX731" s="497" t="s">
        <v>1982</v>
      </c>
      <c r="DZ731" s="543">
        <v>1</v>
      </c>
      <c r="EB731" s="493"/>
      <c r="EC731" s="493"/>
    </row>
    <row r="732" spans="5:133" ht="21" customHeight="1">
      <c r="E732" s="716"/>
      <c r="F732" s="724"/>
      <c r="G732" s="725"/>
      <c r="H732" s="724"/>
      <c r="I732" s="726"/>
      <c r="J732" s="950"/>
      <c r="K732" s="951"/>
      <c r="L732" s="793"/>
      <c r="M732" s="952"/>
      <c r="N732" s="953"/>
      <c r="O732" s="954"/>
      <c r="P732" s="955"/>
      <c r="Q732" s="956"/>
      <c r="R732" s="957"/>
      <c r="S732" s="800"/>
      <c r="T732" s="958"/>
      <c r="U732" s="802"/>
      <c r="V732" s="959"/>
      <c r="W732" s="960"/>
      <c r="X732" s="805"/>
      <c r="Y732" s="816"/>
      <c r="DO732" s="494"/>
      <c r="DP732" s="496" t="s">
        <v>2538</v>
      </c>
      <c r="DQ732" s="496" t="s">
        <v>8</v>
      </c>
      <c r="DR732" s="496" t="s">
        <v>689</v>
      </c>
      <c r="DS732" s="496" t="s">
        <v>2539</v>
      </c>
      <c r="DT732" s="496" t="s">
        <v>2539</v>
      </c>
      <c r="DU732" s="496" t="s">
        <v>1554</v>
      </c>
      <c r="DV732" s="496" t="s">
        <v>1555</v>
      </c>
      <c r="DW732" s="496" t="s">
        <v>1981</v>
      </c>
      <c r="DX732" s="497" t="s">
        <v>1982</v>
      </c>
      <c r="DZ732" s="543">
        <v>1</v>
      </c>
      <c r="EB732" s="493"/>
      <c r="EC732" s="493"/>
    </row>
    <row r="733" spans="5:133" ht="21" customHeight="1">
      <c r="E733" s="716"/>
      <c r="F733" s="724"/>
      <c r="G733" s="725"/>
      <c r="H733" s="724"/>
      <c r="I733" s="726"/>
      <c r="J733" s="950"/>
      <c r="K733" s="951"/>
      <c r="L733" s="793"/>
      <c r="M733" s="952"/>
      <c r="N733" s="953"/>
      <c r="O733" s="954"/>
      <c r="P733" s="955"/>
      <c r="Q733" s="956"/>
      <c r="R733" s="957"/>
      <c r="S733" s="800"/>
      <c r="T733" s="958"/>
      <c r="U733" s="802"/>
      <c r="V733" s="959"/>
      <c r="W733" s="960"/>
      <c r="X733" s="805"/>
      <c r="Y733" s="816"/>
      <c r="DO733" s="494"/>
      <c r="DP733" s="496" t="s">
        <v>2540</v>
      </c>
      <c r="DQ733" s="496" t="s">
        <v>8</v>
      </c>
      <c r="DR733" s="496" t="s">
        <v>689</v>
      </c>
      <c r="DS733" s="496" t="s">
        <v>2541</v>
      </c>
      <c r="DT733" s="496" t="s">
        <v>2541</v>
      </c>
      <c r="DU733" s="496" t="s">
        <v>1554</v>
      </c>
      <c r="DV733" s="496" t="s">
        <v>1555</v>
      </c>
      <c r="DW733" s="496" t="s">
        <v>1981</v>
      </c>
      <c r="DX733" s="497" t="s">
        <v>1982</v>
      </c>
      <c r="DZ733" s="543">
        <v>1</v>
      </c>
      <c r="EB733" s="493"/>
      <c r="EC733" s="493"/>
    </row>
    <row r="734" spans="5:133" ht="21" customHeight="1">
      <c r="E734" s="716"/>
      <c r="F734" s="724"/>
      <c r="G734" s="725"/>
      <c r="H734" s="724"/>
      <c r="I734" s="726"/>
      <c r="J734" s="950"/>
      <c r="K734" s="951"/>
      <c r="L734" s="793"/>
      <c r="M734" s="952"/>
      <c r="N734" s="953"/>
      <c r="O734" s="954"/>
      <c r="P734" s="955"/>
      <c r="Q734" s="956"/>
      <c r="R734" s="957"/>
      <c r="S734" s="800"/>
      <c r="T734" s="958"/>
      <c r="U734" s="802"/>
      <c r="V734" s="959"/>
      <c r="W734" s="960"/>
      <c r="X734" s="805"/>
      <c r="Y734" s="816"/>
      <c r="DO734" s="494"/>
      <c r="DP734" s="496" t="s">
        <v>2542</v>
      </c>
      <c r="DQ734" s="496" t="s">
        <v>8</v>
      </c>
      <c r="DR734" s="496" t="s">
        <v>689</v>
      </c>
      <c r="DS734" s="496" t="s">
        <v>2543</v>
      </c>
      <c r="DT734" s="496" t="s">
        <v>2543</v>
      </c>
      <c r="DU734" s="496" t="s">
        <v>1554</v>
      </c>
      <c r="DV734" s="496" t="s">
        <v>1555</v>
      </c>
      <c r="DW734" s="496" t="s">
        <v>1981</v>
      </c>
      <c r="DX734" s="497" t="s">
        <v>1982</v>
      </c>
      <c r="DZ734" s="543">
        <v>1</v>
      </c>
      <c r="EB734" s="493"/>
      <c r="EC734" s="493"/>
    </row>
    <row r="735" spans="5:133" ht="21" customHeight="1">
      <c r="E735" s="716"/>
      <c r="F735" s="724"/>
      <c r="G735" s="725"/>
      <c r="H735" s="724"/>
      <c r="I735" s="726"/>
      <c r="J735" s="950"/>
      <c r="K735" s="951"/>
      <c r="L735" s="793"/>
      <c r="M735" s="952"/>
      <c r="N735" s="953"/>
      <c r="O735" s="954"/>
      <c r="P735" s="955"/>
      <c r="Q735" s="956"/>
      <c r="R735" s="957"/>
      <c r="S735" s="800"/>
      <c r="T735" s="958"/>
      <c r="U735" s="802"/>
      <c r="V735" s="959"/>
      <c r="W735" s="960"/>
      <c r="X735" s="805"/>
      <c r="Y735" s="816"/>
      <c r="DO735" s="494"/>
      <c r="DP735" s="496" t="s">
        <v>2544</v>
      </c>
      <c r="DQ735" s="496" t="s">
        <v>8</v>
      </c>
      <c r="DR735" s="496" t="s">
        <v>689</v>
      </c>
      <c r="DS735" s="496" t="s">
        <v>2545</v>
      </c>
      <c r="DT735" s="496" t="s">
        <v>2545</v>
      </c>
      <c r="DU735" s="496" t="s">
        <v>1554</v>
      </c>
      <c r="DV735" s="496" t="s">
        <v>1555</v>
      </c>
      <c r="DW735" s="496" t="s">
        <v>1981</v>
      </c>
      <c r="DX735" s="497" t="s">
        <v>1982</v>
      </c>
      <c r="DZ735" s="543">
        <v>1</v>
      </c>
      <c r="EB735" s="493"/>
      <c r="EC735" s="493"/>
    </row>
    <row r="736" spans="5:133" ht="21" customHeight="1">
      <c r="E736" s="716"/>
      <c r="F736" s="724"/>
      <c r="G736" s="725"/>
      <c r="H736" s="724"/>
      <c r="I736" s="726"/>
      <c r="J736" s="950"/>
      <c r="K736" s="951"/>
      <c r="L736" s="793"/>
      <c r="M736" s="952"/>
      <c r="N736" s="953"/>
      <c r="O736" s="954"/>
      <c r="P736" s="955"/>
      <c r="Q736" s="956"/>
      <c r="R736" s="957"/>
      <c r="S736" s="800"/>
      <c r="T736" s="958"/>
      <c r="U736" s="802"/>
      <c r="V736" s="959"/>
      <c r="W736" s="960"/>
      <c r="X736" s="805"/>
      <c r="Y736" s="816"/>
      <c r="DO736" s="494"/>
      <c r="DP736" s="496" t="s">
        <v>2546</v>
      </c>
      <c r="DQ736" s="496" t="s">
        <v>8</v>
      </c>
      <c r="DR736" s="496" t="s">
        <v>689</v>
      </c>
      <c r="DS736" s="496" t="s">
        <v>2547</v>
      </c>
      <c r="DT736" s="496" t="s">
        <v>2547</v>
      </c>
      <c r="DU736" s="496" t="s">
        <v>1554</v>
      </c>
      <c r="DV736" s="496" t="s">
        <v>1555</v>
      </c>
      <c r="DW736" s="496" t="s">
        <v>1981</v>
      </c>
      <c r="DX736" s="497" t="s">
        <v>1982</v>
      </c>
      <c r="DZ736" s="543">
        <v>1</v>
      </c>
      <c r="EB736" s="493"/>
      <c r="EC736" s="493"/>
    </row>
    <row r="737" spans="5:133" ht="21" customHeight="1">
      <c r="E737" s="716"/>
      <c r="F737" s="724"/>
      <c r="G737" s="725"/>
      <c r="H737" s="724"/>
      <c r="I737" s="726"/>
      <c r="J737" s="950"/>
      <c r="K737" s="951"/>
      <c r="L737" s="793"/>
      <c r="M737" s="952"/>
      <c r="N737" s="953"/>
      <c r="O737" s="954"/>
      <c r="P737" s="955"/>
      <c r="Q737" s="956"/>
      <c r="R737" s="957"/>
      <c r="S737" s="800"/>
      <c r="T737" s="958"/>
      <c r="U737" s="802"/>
      <c r="V737" s="959"/>
      <c r="W737" s="960"/>
      <c r="X737" s="805"/>
      <c r="Y737" s="816"/>
      <c r="DO737" s="494"/>
      <c r="DP737" s="496" t="s">
        <v>2548</v>
      </c>
      <c r="DQ737" s="496" t="s">
        <v>8</v>
      </c>
      <c r="DR737" s="496" t="s">
        <v>689</v>
      </c>
      <c r="DS737" s="496" t="s">
        <v>2549</v>
      </c>
      <c r="DT737" s="496" t="s">
        <v>2549</v>
      </c>
      <c r="DU737" s="496" t="s">
        <v>1554</v>
      </c>
      <c r="DV737" s="496" t="s">
        <v>1555</v>
      </c>
      <c r="DW737" s="496" t="s">
        <v>1981</v>
      </c>
      <c r="DX737" s="497" t="s">
        <v>1982</v>
      </c>
      <c r="DZ737" s="543">
        <v>1</v>
      </c>
      <c r="EB737" s="493"/>
      <c r="EC737" s="493"/>
    </row>
    <row r="738" spans="5:133" ht="21" customHeight="1">
      <c r="E738" s="716"/>
      <c r="F738" s="724"/>
      <c r="G738" s="725"/>
      <c r="H738" s="724"/>
      <c r="I738" s="726"/>
      <c r="J738" s="950"/>
      <c r="K738" s="951"/>
      <c r="L738" s="793"/>
      <c r="M738" s="952"/>
      <c r="N738" s="953"/>
      <c r="O738" s="954"/>
      <c r="P738" s="955"/>
      <c r="Q738" s="956"/>
      <c r="R738" s="957"/>
      <c r="S738" s="800"/>
      <c r="T738" s="958"/>
      <c r="U738" s="802"/>
      <c r="V738" s="959"/>
      <c r="W738" s="960"/>
      <c r="X738" s="805"/>
      <c r="Y738" s="816"/>
      <c r="DO738" s="494"/>
      <c r="DP738" s="496" t="s">
        <v>2550</v>
      </c>
      <c r="DQ738" s="496" t="s">
        <v>8</v>
      </c>
      <c r="DR738" s="496" t="s">
        <v>689</v>
      </c>
      <c r="DS738" s="496" t="s">
        <v>2551</v>
      </c>
      <c r="DT738" s="496" t="s">
        <v>2551</v>
      </c>
      <c r="DU738" s="496" t="s">
        <v>1085</v>
      </c>
      <c r="DV738" s="496" t="s">
        <v>2063</v>
      </c>
      <c r="DW738" s="496" t="s">
        <v>1087</v>
      </c>
      <c r="DX738" s="497" t="s">
        <v>1088</v>
      </c>
      <c r="DZ738" s="543">
        <v>1</v>
      </c>
      <c r="EB738" s="493"/>
      <c r="EC738" s="493"/>
    </row>
    <row r="739" spans="5:133" ht="21" customHeight="1">
      <c r="E739" s="716"/>
      <c r="F739" s="724"/>
      <c r="G739" s="725"/>
      <c r="H739" s="724"/>
      <c r="I739" s="726"/>
      <c r="J739" s="950"/>
      <c r="K739" s="951"/>
      <c r="L739" s="793"/>
      <c r="M739" s="952"/>
      <c r="N739" s="953"/>
      <c r="O739" s="954"/>
      <c r="P739" s="955"/>
      <c r="Q739" s="956"/>
      <c r="R739" s="957"/>
      <c r="S739" s="800"/>
      <c r="T739" s="958"/>
      <c r="U739" s="802"/>
      <c r="V739" s="959"/>
      <c r="W739" s="960"/>
      <c r="X739" s="805"/>
      <c r="Y739" s="816"/>
      <c r="DO739" s="494"/>
      <c r="DP739" s="496" t="s">
        <v>2552</v>
      </c>
      <c r="DQ739" s="496" t="s">
        <v>8</v>
      </c>
      <c r="DR739" s="496" t="s">
        <v>689</v>
      </c>
      <c r="DS739" s="496" t="s">
        <v>2553</v>
      </c>
      <c r="DT739" s="496" t="s">
        <v>2553</v>
      </c>
      <c r="DU739" s="496" t="s">
        <v>1554</v>
      </c>
      <c r="DV739" s="496" t="s">
        <v>1555</v>
      </c>
      <c r="DW739" s="496" t="s">
        <v>1981</v>
      </c>
      <c r="DX739" s="497" t="s">
        <v>1982</v>
      </c>
      <c r="DZ739" s="543">
        <v>1</v>
      </c>
      <c r="EB739" s="493"/>
      <c r="EC739" s="493"/>
    </row>
    <row r="740" spans="5:133" ht="21" customHeight="1">
      <c r="E740" s="716"/>
      <c r="F740" s="724"/>
      <c r="G740" s="725"/>
      <c r="H740" s="724"/>
      <c r="I740" s="726"/>
      <c r="J740" s="950"/>
      <c r="K740" s="951"/>
      <c r="L740" s="793"/>
      <c r="M740" s="952"/>
      <c r="N740" s="953"/>
      <c r="O740" s="954"/>
      <c r="P740" s="955"/>
      <c r="Q740" s="956"/>
      <c r="R740" s="957"/>
      <c r="S740" s="800"/>
      <c r="T740" s="958"/>
      <c r="U740" s="802"/>
      <c r="V740" s="959"/>
      <c r="W740" s="960"/>
      <c r="X740" s="805"/>
      <c r="Y740" s="816"/>
      <c r="DO740" s="494"/>
      <c r="DP740" s="496" t="s">
        <v>2554</v>
      </c>
      <c r="DQ740" s="496" t="s">
        <v>8</v>
      </c>
      <c r="DR740" s="496" t="s">
        <v>689</v>
      </c>
      <c r="DS740" s="496" t="s">
        <v>2555</v>
      </c>
      <c r="DT740" s="496" t="s">
        <v>2555</v>
      </c>
      <c r="DU740" s="496" t="s">
        <v>1554</v>
      </c>
      <c r="DV740" s="496" t="s">
        <v>1555</v>
      </c>
      <c r="DW740" s="496" t="s">
        <v>1981</v>
      </c>
      <c r="DX740" s="497" t="s">
        <v>1982</v>
      </c>
      <c r="DZ740" s="543">
        <v>1</v>
      </c>
      <c r="EB740" s="493"/>
      <c r="EC740" s="493"/>
    </row>
    <row r="741" spans="5:133" ht="21" customHeight="1">
      <c r="E741" s="716"/>
      <c r="F741" s="724"/>
      <c r="G741" s="725"/>
      <c r="H741" s="724"/>
      <c r="I741" s="726"/>
      <c r="J741" s="950"/>
      <c r="K741" s="951"/>
      <c r="L741" s="793"/>
      <c r="M741" s="952"/>
      <c r="N741" s="953"/>
      <c r="O741" s="954"/>
      <c r="P741" s="955"/>
      <c r="Q741" s="956"/>
      <c r="R741" s="957"/>
      <c r="S741" s="800"/>
      <c r="T741" s="958"/>
      <c r="U741" s="802"/>
      <c r="V741" s="959"/>
      <c r="W741" s="960"/>
      <c r="X741" s="805"/>
      <c r="Y741" s="816"/>
      <c r="DO741" s="494"/>
      <c r="DP741" s="496" t="s">
        <v>2556</v>
      </c>
      <c r="DQ741" s="496" t="s">
        <v>8</v>
      </c>
      <c r="DR741" s="496" t="s">
        <v>689</v>
      </c>
      <c r="DS741" s="496" t="s">
        <v>2557</v>
      </c>
      <c r="DT741" s="496" t="s">
        <v>2557</v>
      </c>
      <c r="DU741" s="496" t="s">
        <v>1554</v>
      </c>
      <c r="DV741" s="496" t="s">
        <v>1555</v>
      </c>
      <c r="DW741" s="496" t="s">
        <v>1981</v>
      </c>
      <c r="DX741" s="497" t="s">
        <v>1982</v>
      </c>
      <c r="DZ741" s="543">
        <v>1</v>
      </c>
      <c r="EB741" s="493"/>
      <c r="EC741" s="493"/>
    </row>
    <row r="742" spans="5:133" ht="21" customHeight="1">
      <c r="E742" s="716"/>
      <c r="F742" s="724"/>
      <c r="G742" s="725"/>
      <c r="H742" s="724"/>
      <c r="I742" s="726"/>
      <c r="J742" s="950"/>
      <c r="K742" s="951"/>
      <c r="L742" s="793"/>
      <c r="M742" s="952"/>
      <c r="N742" s="953"/>
      <c r="O742" s="954"/>
      <c r="P742" s="955"/>
      <c r="Q742" s="956"/>
      <c r="R742" s="957"/>
      <c r="S742" s="800"/>
      <c r="T742" s="958"/>
      <c r="U742" s="802"/>
      <c r="V742" s="959"/>
      <c r="W742" s="960"/>
      <c r="X742" s="805"/>
      <c r="Y742" s="816"/>
      <c r="DO742" s="494"/>
      <c r="DP742" s="496" t="s">
        <v>2558</v>
      </c>
      <c r="DQ742" s="496" t="s">
        <v>8</v>
      </c>
      <c r="DR742" s="496" t="s">
        <v>689</v>
      </c>
      <c r="DS742" s="496" t="s">
        <v>2559</v>
      </c>
      <c r="DT742" s="496" t="s">
        <v>2559</v>
      </c>
      <c r="DU742" s="496" t="s">
        <v>1554</v>
      </c>
      <c r="DV742" s="496" t="s">
        <v>1555</v>
      </c>
      <c r="DW742" s="496" t="s">
        <v>1981</v>
      </c>
      <c r="DX742" s="497" t="s">
        <v>1982</v>
      </c>
      <c r="DZ742" s="543">
        <v>1</v>
      </c>
      <c r="EB742" s="493"/>
      <c r="EC742" s="493"/>
    </row>
    <row r="743" spans="5:133" ht="21" customHeight="1">
      <c r="E743" s="716"/>
      <c r="F743" s="724"/>
      <c r="G743" s="725"/>
      <c r="H743" s="724"/>
      <c r="I743" s="726"/>
      <c r="J743" s="950"/>
      <c r="K743" s="951"/>
      <c r="L743" s="793"/>
      <c r="M743" s="952"/>
      <c r="N743" s="953"/>
      <c r="O743" s="954"/>
      <c r="P743" s="955"/>
      <c r="Q743" s="956"/>
      <c r="R743" s="957"/>
      <c r="S743" s="800"/>
      <c r="T743" s="958"/>
      <c r="U743" s="802"/>
      <c r="V743" s="959"/>
      <c r="W743" s="960"/>
      <c r="X743" s="805"/>
      <c r="Y743" s="816"/>
      <c r="DO743" s="494"/>
      <c r="DP743" s="496" t="s">
        <v>2560</v>
      </c>
      <c r="DQ743" s="496" t="s">
        <v>8</v>
      </c>
      <c r="DR743" s="496" t="s">
        <v>689</v>
      </c>
      <c r="DS743" s="496" t="s">
        <v>2561</v>
      </c>
      <c r="DT743" s="496" t="s">
        <v>2561</v>
      </c>
      <c r="DU743" s="496" t="s">
        <v>1554</v>
      </c>
      <c r="DV743" s="496" t="s">
        <v>1555</v>
      </c>
      <c r="DW743" s="496" t="s">
        <v>1981</v>
      </c>
      <c r="DX743" s="497" t="s">
        <v>1982</v>
      </c>
      <c r="DZ743" s="543">
        <v>1</v>
      </c>
      <c r="EB743" s="493"/>
      <c r="EC743" s="493"/>
    </row>
    <row r="744" spans="5:133" ht="21" customHeight="1">
      <c r="E744" s="716"/>
      <c r="F744" s="724"/>
      <c r="G744" s="725"/>
      <c r="H744" s="724"/>
      <c r="I744" s="726"/>
      <c r="J744" s="950"/>
      <c r="K744" s="951"/>
      <c r="L744" s="793"/>
      <c r="M744" s="952"/>
      <c r="N744" s="953"/>
      <c r="O744" s="954"/>
      <c r="P744" s="955"/>
      <c r="Q744" s="956"/>
      <c r="R744" s="957"/>
      <c r="S744" s="800"/>
      <c r="T744" s="958"/>
      <c r="U744" s="802"/>
      <c r="V744" s="959"/>
      <c r="W744" s="960"/>
      <c r="X744" s="805"/>
      <c r="Y744" s="816"/>
      <c r="DO744" s="494"/>
      <c r="DP744" s="496" t="s">
        <v>2562</v>
      </c>
      <c r="DQ744" s="496" t="s">
        <v>8</v>
      </c>
      <c r="DR744" s="496" t="s">
        <v>689</v>
      </c>
      <c r="DS744" s="496" t="s">
        <v>2563</v>
      </c>
      <c r="DT744" s="496" t="s">
        <v>2563</v>
      </c>
      <c r="DU744" s="496" t="s">
        <v>1085</v>
      </c>
      <c r="DV744" s="496" t="s">
        <v>2063</v>
      </c>
      <c r="DW744" s="496" t="s">
        <v>1087</v>
      </c>
      <c r="DX744" s="497" t="s">
        <v>1088</v>
      </c>
      <c r="DZ744" s="543">
        <v>1</v>
      </c>
      <c r="EB744" s="493"/>
      <c r="EC744" s="493"/>
    </row>
    <row r="745" spans="5:133" ht="21" customHeight="1">
      <c r="E745" s="716"/>
      <c r="F745" s="724"/>
      <c r="G745" s="725"/>
      <c r="H745" s="724"/>
      <c r="I745" s="726"/>
      <c r="J745" s="950"/>
      <c r="K745" s="951"/>
      <c r="L745" s="793"/>
      <c r="M745" s="952"/>
      <c r="N745" s="953"/>
      <c r="O745" s="954"/>
      <c r="P745" s="955"/>
      <c r="Q745" s="956"/>
      <c r="R745" s="957"/>
      <c r="S745" s="800"/>
      <c r="T745" s="958"/>
      <c r="U745" s="802"/>
      <c r="V745" s="959"/>
      <c r="W745" s="960"/>
      <c r="X745" s="805"/>
      <c r="Y745" s="816"/>
      <c r="DO745" s="494"/>
      <c r="DP745" s="496" t="s">
        <v>2564</v>
      </c>
      <c r="DQ745" s="496" t="s">
        <v>8</v>
      </c>
      <c r="DR745" s="496" t="s">
        <v>689</v>
      </c>
      <c r="DS745" s="496" t="s">
        <v>357</v>
      </c>
      <c r="DT745" s="496" t="s">
        <v>357</v>
      </c>
      <c r="DU745" s="496" t="s">
        <v>1151</v>
      </c>
      <c r="DV745" s="496" t="s">
        <v>1152</v>
      </c>
      <c r="DW745" s="496" t="s">
        <v>1087</v>
      </c>
      <c r="DX745" s="497" t="s">
        <v>1153</v>
      </c>
      <c r="DZ745" s="543">
        <v>1</v>
      </c>
      <c r="EB745" s="493"/>
      <c r="EC745" s="493"/>
    </row>
    <row r="746" spans="5:133" ht="21" customHeight="1">
      <c r="E746" s="716"/>
      <c r="F746" s="724"/>
      <c r="G746" s="725"/>
      <c r="H746" s="724"/>
      <c r="I746" s="726"/>
      <c r="J746" s="950"/>
      <c r="K746" s="951"/>
      <c r="L746" s="793"/>
      <c r="M746" s="952"/>
      <c r="N746" s="953"/>
      <c r="O746" s="954"/>
      <c r="P746" s="955"/>
      <c r="Q746" s="956"/>
      <c r="R746" s="957"/>
      <c r="S746" s="800"/>
      <c r="T746" s="958"/>
      <c r="U746" s="802"/>
      <c r="V746" s="959"/>
      <c r="W746" s="960"/>
      <c r="X746" s="805"/>
      <c r="Y746" s="816"/>
      <c r="DO746" s="494"/>
      <c r="DP746" s="496" t="s">
        <v>2565</v>
      </c>
      <c r="DQ746" s="496" t="s">
        <v>8</v>
      </c>
      <c r="DR746" s="496" t="s">
        <v>689</v>
      </c>
      <c r="DS746" s="496" t="s">
        <v>2566</v>
      </c>
      <c r="DT746" s="496" t="s">
        <v>2566</v>
      </c>
      <c r="DU746" s="496" t="s">
        <v>1085</v>
      </c>
      <c r="DV746" s="496" t="s">
        <v>2063</v>
      </c>
      <c r="DW746" s="496" t="s">
        <v>1087</v>
      </c>
      <c r="DX746" s="497" t="s">
        <v>1088</v>
      </c>
      <c r="DZ746" s="543">
        <v>1</v>
      </c>
      <c r="EB746" s="493"/>
      <c r="EC746" s="493"/>
    </row>
    <row r="747" spans="5:133" ht="21" customHeight="1">
      <c r="E747" s="716"/>
      <c r="F747" s="724"/>
      <c r="G747" s="725"/>
      <c r="H747" s="724"/>
      <c r="I747" s="726"/>
      <c r="J747" s="950"/>
      <c r="K747" s="951"/>
      <c r="L747" s="793"/>
      <c r="M747" s="952"/>
      <c r="N747" s="953"/>
      <c r="O747" s="954"/>
      <c r="P747" s="955"/>
      <c r="Q747" s="956"/>
      <c r="R747" s="957"/>
      <c r="S747" s="800"/>
      <c r="T747" s="958"/>
      <c r="U747" s="802"/>
      <c r="V747" s="959"/>
      <c r="W747" s="960"/>
      <c r="X747" s="805"/>
      <c r="Y747" s="816"/>
      <c r="DO747" s="494"/>
      <c r="DP747" s="496" t="s">
        <v>2567</v>
      </c>
      <c r="DQ747" s="496" t="s">
        <v>8</v>
      </c>
      <c r="DR747" s="496" t="s">
        <v>689</v>
      </c>
      <c r="DS747" s="496" t="s">
        <v>2568</v>
      </c>
      <c r="DT747" s="496" t="s">
        <v>2568</v>
      </c>
      <c r="DU747" s="496" t="s">
        <v>1554</v>
      </c>
      <c r="DV747" s="496" t="s">
        <v>1555</v>
      </c>
      <c r="DW747" s="496" t="s">
        <v>1981</v>
      </c>
      <c r="DX747" s="497" t="s">
        <v>1982</v>
      </c>
      <c r="DZ747" s="543">
        <v>1</v>
      </c>
      <c r="EB747" s="493"/>
      <c r="EC747" s="493"/>
    </row>
    <row r="748" spans="5:133" ht="21" customHeight="1">
      <c r="E748" s="716"/>
      <c r="F748" s="724"/>
      <c r="G748" s="725"/>
      <c r="H748" s="724"/>
      <c r="I748" s="726"/>
      <c r="J748" s="950"/>
      <c r="K748" s="951"/>
      <c r="L748" s="793"/>
      <c r="M748" s="952"/>
      <c r="N748" s="953"/>
      <c r="O748" s="954"/>
      <c r="P748" s="955"/>
      <c r="Q748" s="956"/>
      <c r="R748" s="957"/>
      <c r="S748" s="800"/>
      <c r="T748" s="958"/>
      <c r="U748" s="802"/>
      <c r="V748" s="959"/>
      <c r="W748" s="960"/>
      <c r="X748" s="805"/>
      <c r="Y748" s="816"/>
      <c r="DO748" s="494"/>
      <c r="DP748" s="496" t="s">
        <v>2569</v>
      </c>
      <c r="DQ748" s="496" t="s">
        <v>8</v>
      </c>
      <c r="DR748" s="496" t="s">
        <v>689</v>
      </c>
      <c r="DS748" s="496" t="s">
        <v>1028</v>
      </c>
      <c r="DT748" s="496" t="s">
        <v>1028</v>
      </c>
      <c r="DU748" s="496" t="s">
        <v>1554</v>
      </c>
      <c r="DV748" s="496" t="s">
        <v>1555</v>
      </c>
      <c r="DW748" s="496" t="s">
        <v>1981</v>
      </c>
      <c r="DX748" s="497" t="s">
        <v>1982</v>
      </c>
      <c r="DZ748" s="543">
        <v>1</v>
      </c>
      <c r="EB748" s="493"/>
      <c r="EC748" s="493"/>
    </row>
    <row r="749" spans="5:133" ht="21" customHeight="1">
      <c r="E749" s="716"/>
      <c r="F749" s="724"/>
      <c r="G749" s="725"/>
      <c r="H749" s="724"/>
      <c r="I749" s="726"/>
      <c r="J749" s="950"/>
      <c r="K749" s="951"/>
      <c r="L749" s="793"/>
      <c r="M749" s="952"/>
      <c r="N749" s="953"/>
      <c r="O749" s="954"/>
      <c r="P749" s="955"/>
      <c r="Q749" s="956"/>
      <c r="R749" s="957"/>
      <c r="S749" s="800"/>
      <c r="T749" s="958"/>
      <c r="U749" s="802"/>
      <c r="V749" s="959"/>
      <c r="W749" s="960"/>
      <c r="X749" s="805"/>
      <c r="Y749" s="816"/>
      <c r="DO749" s="494"/>
      <c r="DP749" s="496" t="s">
        <v>2570</v>
      </c>
      <c r="DQ749" s="496" t="s">
        <v>8</v>
      </c>
      <c r="DR749" s="496" t="s">
        <v>689</v>
      </c>
      <c r="DS749" s="496" t="s">
        <v>2571</v>
      </c>
      <c r="DT749" s="496" t="s">
        <v>2571</v>
      </c>
      <c r="DU749" s="496" t="s">
        <v>1554</v>
      </c>
      <c r="DV749" s="496" t="s">
        <v>1555</v>
      </c>
      <c r="DW749" s="496" t="s">
        <v>1981</v>
      </c>
      <c r="DX749" s="497" t="s">
        <v>1982</v>
      </c>
      <c r="DZ749" s="543">
        <v>1</v>
      </c>
      <c r="EB749" s="493"/>
      <c r="EC749" s="493"/>
    </row>
    <row r="750" spans="5:133" ht="21" customHeight="1">
      <c r="E750" s="716"/>
      <c r="F750" s="724"/>
      <c r="G750" s="725"/>
      <c r="H750" s="724"/>
      <c r="I750" s="726"/>
      <c r="J750" s="950"/>
      <c r="K750" s="951"/>
      <c r="L750" s="793"/>
      <c r="M750" s="952"/>
      <c r="N750" s="953"/>
      <c r="O750" s="954"/>
      <c r="P750" s="955"/>
      <c r="Q750" s="956"/>
      <c r="R750" s="957"/>
      <c r="S750" s="800"/>
      <c r="T750" s="958"/>
      <c r="U750" s="802"/>
      <c r="V750" s="959"/>
      <c r="W750" s="960"/>
      <c r="X750" s="805"/>
      <c r="Y750" s="816"/>
      <c r="DO750" s="494"/>
      <c r="DP750" s="496" t="s">
        <v>2572</v>
      </c>
      <c r="DQ750" s="496" t="s">
        <v>8</v>
      </c>
      <c r="DR750" s="496" t="s">
        <v>689</v>
      </c>
      <c r="DS750" s="496" t="s">
        <v>2573</v>
      </c>
      <c r="DT750" s="496" t="s">
        <v>2573</v>
      </c>
      <c r="DU750" s="496" t="s">
        <v>1554</v>
      </c>
      <c r="DV750" s="496" t="s">
        <v>1555</v>
      </c>
      <c r="DW750" s="496" t="s">
        <v>1981</v>
      </c>
      <c r="DX750" s="497" t="s">
        <v>1982</v>
      </c>
      <c r="DZ750" s="543">
        <v>1</v>
      </c>
      <c r="EB750" s="493"/>
      <c r="EC750" s="493"/>
    </row>
    <row r="751" spans="5:133" ht="21" customHeight="1">
      <c r="E751" s="716"/>
      <c r="F751" s="724"/>
      <c r="G751" s="725"/>
      <c r="H751" s="724"/>
      <c r="I751" s="726"/>
      <c r="J751" s="950"/>
      <c r="K751" s="951"/>
      <c r="L751" s="793"/>
      <c r="M751" s="952"/>
      <c r="N751" s="953"/>
      <c r="O751" s="954"/>
      <c r="P751" s="955"/>
      <c r="Q751" s="956"/>
      <c r="R751" s="957"/>
      <c r="S751" s="800"/>
      <c r="T751" s="958"/>
      <c r="U751" s="802"/>
      <c r="V751" s="959"/>
      <c r="W751" s="960"/>
      <c r="X751" s="805"/>
      <c r="Y751" s="816"/>
      <c r="DO751" s="494"/>
      <c r="DP751" s="496" t="s">
        <v>2574</v>
      </c>
      <c r="DQ751" s="496" t="s">
        <v>8</v>
      </c>
      <c r="DR751" s="496" t="s">
        <v>689</v>
      </c>
      <c r="DS751" s="496" t="s">
        <v>2575</v>
      </c>
      <c r="DT751" s="496" t="s">
        <v>2575</v>
      </c>
      <c r="DU751" s="496" t="s">
        <v>1554</v>
      </c>
      <c r="DV751" s="496" t="s">
        <v>1555</v>
      </c>
      <c r="DW751" s="496" t="s">
        <v>1981</v>
      </c>
      <c r="DX751" s="497" t="s">
        <v>1982</v>
      </c>
      <c r="DZ751" s="543">
        <v>1</v>
      </c>
      <c r="EB751" s="493"/>
      <c r="EC751" s="493"/>
    </row>
    <row r="752" spans="5:133" ht="21" customHeight="1">
      <c r="E752" s="716"/>
      <c r="F752" s="724"/>
      <c r="G752" s="725"/>
      <c r="H752" s="724"/>
      <c r="I752" s="726"/>
      <c r="J752" s="950"/>
      <c r="K752" s="951"/>
      <c r="L752" s="793"/>
      <c r="M752" s="952"/>
      <c r="N752" s="953"/>
      <c r="O752" s="954"/>
      <c r="P752" s="955"/>
      <c r="Q752" s="956"/>
      <c r="R752" s="957"/>
      <c r="S752" s="800"/>
      <c r="T752" s="958"/>
      <c r="U752" s="802"/>
      <c r="V752" s="959"/>
      <c r="W752" s="960"/>
      <c r="X752" s="805"/>
      <c r="Y752" s="816"/>
      <c r="DO752" s="494"/>
      <c r="DP752" s="496" t="s">
        <v>2576</v>
      </c>
      <c r="DQ752" s="496" t="s">
        <v>8</v>
      </c>
      <c r="DR752" s="496" t="s">
        <v>689</v>
      </c>
      <c r="DS752" s="496" t="s">
        <v>1029</v>
      </c>
      <c r="DT752" s="496" t="s">
        <v>1029</v>
      </c>
      <c r="DU752" s="496" t="s">
        <v>1554</v>
      </c>
      <c r="DV752" s="496" t="s">
        <v>1555</v>
      </c>
      <c r="DW752" s="496" t="s">
        <v>1981</v>
      </c>
      <c r="DX752" s="497" t="s">
        <v>1982</v>
      </c>
      <c r="DZ752" s="543">
        <v>1</v>
      </c>
      <c r="EB752" s="493"/>
      <c r="EC752" s="493"/>
    </row>
    <row r="753" spans="5:133" ht="21" customHeight="1">
      <c r="E753" s="716"/>
      <c r="F753" s="724"/>
      <c r="G753" s="725"/>
      <c r="H753" s="724"/>
      <c r="I753" s="726"/>
      <c r="J753" s="950"/>
      <c r="K753" s="951"/>
      <c r="L753" s="793"/>
      <c r="M753" s="952"/>
      <c r="N753" s="953"/>
      <c r="O753" s="954"/>
      <c r="P753" s="955"/>
      <c r="Q753" s="956"/>
      <c r="R753" s="957"/>
      <c r="S753" s="800"/>
      <c r="T753" s="958"/>
      <c r="U753" s="802"/>
      <c r="V753" s="959"/>
      <c r="W753" s="960"/>
      <c r="X753" s="805"/>
      <c r="Y753" s="816"/>
      <c r="DO753" s="494"/>
      <c r="DP753" s="496" t="s">
        <v>2577</v>
      </c>
      <c r="DQ753" s="496" t="s">
        <v>8</v>
      </c>
      <c r="DR753" s="496" t="s">
        <v>689</v>
      </c>
      <c r="DS753" s="496" t="s">
        <v>2578</v>
      </c>
      <c r="DT753" s="496" t="s">
        <v>2578</v>
      </c>
      <c r="DU753" s="496" t="s">
        <v>1554</v>
      </c>
      <c r="DV753" s="496" t="s">
        <v>1555</v>
      </c>
      <c r="DW753" s="496" t="s">
        <v>1981</v>
      </c>
      <c r="DX753" s="497" t="s">
        <v>1982</v>
      </c>
      <c r="DZ753" s="543">
        <v>1</v>
      </c>
      <c r="EB753" s="493"/>
      <c r="EC753" s="493"/>
    </row>
    <row r="754" spans="5:133" ht="21" customHeight="1">
      <c r="E754" s="716"/>
      <c r="F754" s="724"/>
      <c r="G754" s="725"/>
      <c r="H754" s="724"/>
      <c r="I754" s="726"/>
      <c r="J754" s="950"/>
      <c r="K754" s="951"/>
      <c r="L754" s="793"/>
      <c r="M754" s="952"/>
      <c r="N754" s="953"/>
      <c r="O754" s="954"/>
      <c r="P754" s="955"/>
      <c r="Q754" s="956"/>
      <c r="R754" s="957"/>
      <c r="S754" s="800"/>
      <c r="T754" s="958"/>
      <c r="U754" s="802"/>
      <c r="V754" s="959"/>
      <c r="W754" s="960"/>
      <c r="X754" s="805"/>
      <c r="Y754" s="816"/>
      <c r="DO754" s="494"/>
      <c r="DP754" s="496" t="s">
        <v>2579</v>
      </c>
      <c r="DQ754" s="496" t="s">
        <v>8</v>
      </c>
      <c r="DR754" s="496" t="s">
        <v>689</v>
      </c>
      <c r="DS754" s="496" t="s">
        <v>2580</v>
      </c>
      <c r="DT754" s="496" t="s">
        <v>2580</v>
      </c>
      <c r="DU754" s="496" t="s">
        <v>1085</v>
      </c>
      <c r="DV754" s="496" t="s">
        <v>2063</v>
      </c>
      <c r="DW754" s="496" t="s">
        <v>1087</v>
      </c>
      <c r="DX754" s="497" t="s">
        <v>1088</v>
      </c>
      <c r="DZ754" s="543">
        <v>1</v>
      </c>
      <c r="EB754" s="493"/>
      <c r="EC754" s="493"/>
    </row>
    <row r="755" spans="5:133" ht="21" customHeight="1">
      <c r="E755" s="716"/>
      <c r="F755" s="724"/>
      <c r="G755" s="725"/>
      <c r="H755" s="724"/>
      <c r="I755" s="726"/>
      <c r="J755" s="950"/>
      <c r="K755" s="951"/>
      <c r="L755" s="793"/>
      <c r="M755" s="952"/>
      <c r="N755" s="953"/>
      <c r="O755" s="954"/>
      <c r="P755" s="955"/>
      <c r="Q755" s="956"/>
      <c r="R755" s="957"/>
      <c r="S755" s="800"/>
      <c r="T755" s="958"/>
      <c r="U755" s="802"/>
      <c r="V755" s="959"/>
      <c r="W755" s="960"/>
      <c r="X755" s="805"/>
      <c r="Y755" s="816"/>
      <c r="DO755" s="494"/>
      <c r="DP755" s="496" t="s">
        <v>2581</v>
      </c>
      <c r="DQ755" s="496" t="s">
        <v>8</v>
      </c>
      <c r="DR755" s="496" t="s">
        <v>689</v>
      </c>
      <c r="DS755" s="496" t="s">
        <v>2582</v>
      </c>
      <c r="DT755" s="496" t="s">
        <v>2582</v>
      </c>
      <c r="DU755" s="496" t="s">
        <v>1554</v>
      </c>
      <c r="DV755" s="496" t="s">
        <v>1555</v>
      </c>
      <c r="DW755" s="496" t="s">
        <v>1981</v>
      </c>
      <c r="DX755" s="497" t="s">
        <v>1982</v>
      </c>
      <c r="DZ755" s="543">
        <v>1</v>
      </c>
      <c r="EB755" s="493"/>
      <c r="EC755" s="493"/>
    </row>
    <row r="756" spans="5:133" ht="21" customHeight="1">
      <c r="E756" s="716"/>
      <c r="F756" s="724"/>
      <c r="G756" s="725"/>
      <c r="H756" s="724"/>
      <c r="I756" s="726"/>
      <c r="J756" s="950"/>
      <c r="K756" s="951"/>
      <c r="L756" s="793"/>
      <c r="M756" s="952"/>
      <c r="N756" s="953"/>
      <c r="O756" s="954"/>
      <c r="P756" s="955"/>
      <c r="Q756" s="956"/>
      <c r="R756" s="957"/>
      <c r="S756" s="800"/>
      <c r="T756" s="958"/>
      <c r="U756" s="802"/>
      <c r="V756" s="959"/>
      <c r="W756" s="960"/>
      <c r="X756" s="805"/>
      <c r="Y756" s="816"/>
      <c r="DO756" s="494"/>
      <c r="DP756" s="496" t="s">
        <v>2583</v>
      </c>
      <c r="DQ756" s="496" t="s">
        <v>8</v>
      </c>
      <c r="DR756" s="496" t="s">
        <v>689</v>
      </c>
      <c r="DS756" s="496" t="s">
        <v>2584</v>
      </c>
      <c r="DT756" s="496" t="s">
        <v>2584</v>
      </c>
      <c r="DU756" s="496" t="s">
        <v>1554</v>
      </c>
      <c r="DV756" s="496" t="s">
        <v>1555</v>
      </c>
      <c r="DW756" s="496" t="s">
        <v>1981</v>
      </c>
      <c r="DX756" s="497" t="s">
        <v>1982</v>
      </c>
      <c r="DZ756" s="543">
        <v>1</v>
      </c>
      <c r="EB756" s="493"/>
      <c r="EC756" s="493"/>
    </row>
    <row r="757" spans="5:133" ht="21" customHeight="1">
      <c r="E757" s="716"/>
      <c r="F757" s="724"/>
      <c r="G757" s="725"/>
      <c r="H757" s="724"/>
      <c r="I757" s="726"/>
      <c r="J757" s="950"/>
      <c r="K757" s="951"/>
      <c r="L757" s="793"/>
      <c r="M757" s="952"/>
      <c r="N757" s="953"/>
      <c r="O757" s="954"/>
      <c r="P757" s="955"/>
      <c r="Q757" s="956"/>
      <c r="R757" s="957"/>
      <c r="S757" s="800"/>
      <c r="T757" s="958"/>
      <c r="U757" s="802"/>
      <c r="V757" s="959"/>
      <c r="W757" s="960"/>
      <c r="X757" s="805"/>
      <c r="Y757" s="816"/>
      <c r="DO757" s="494"/>
      <c r="DP757" s="496" t="s">
        <v>2585</v>
      </c>
      <c r="DQ757" s="496" t="s">
        <v>8</v>
      </c>
      <c r="DR757" s="496" t="s">
        <v>689</v>
      </c>
      <c r="DS757" s="496" t="s">
        <v>2586</v>
      </c>
      <c r="DT757" s="496" t="s">
        <v>2586</v>
      </c>
      <c r="DU757" s="496" t="s">
        <v>1554</v>
      </c>
      <c r="DV757" s="496" t="s">
        <v>1555</v>
      </c>
      <c r="DW757" s="496" t="s">
        <v>1981</v>
      </c>
      <c r="DX757" s="497" t="s">
        <v>1982</v>
      </c>
      <c r="DZ757" s="543">
        <v>1</v>
      </c>
      <c r="EB757" s="493"/>
      <c r="EC757" s="493"/>
    </row>
    <row r="758" spans="5:133" ht="21" customHeight="1">
      <c r="E758" s="716"/>
      <c r="F758" s="724"/>
      <c r="G758" s="725"/>
      <c r="H758" s="724"/>
      <c r="I758" s="726"/>
      <c r="J758" s="950"/>
      <c r="K758" s="951"/>
      <c r="L758" s="793"/>
      <c r="M758" s="952"/>
      <c r="N758" s="953"/>
      <c r="O758" s="954"/>
      <c r="P758" s="955"/>
      <c r="Q758" s="956"/>
      <c r="R758" s="957"/>
      <c r="S758" s="800"/>
      <c r="T758" s="958"/>
      <c r="U758" s="802"/>
      <c r="V758" s="959"/>
      <c r="W758" s="960"/>
      <c r="X758" s="805"/>
      <c r="Y758" s="816"/>
      <c r="DO758" s="494"/>
      <c r="DP758" s="496" t="s">
        <v>2587</v>
      </c>
      <c r="DQ758" s="496" t="s">
        <v>8</v>
      </c>
      <c r="DR758" s="496" t="s">
        <v>689</v>
      </c>
      <c r="DS758" s="496" t="s">
        <v>1030</v>
      </c>
      <c r="DT758" s="496" t="s">
        <v>1030</v>
      </c>
      <c r="DU758" s="496" t="s">
        <v>1085</v>
      </c>
      <c r="DV758" s="496" t="s">
        <v>2063</v>
      </c>
      <c r="DW758" s="496" t="s">
        <v>1087</v>
      </c>
      <c r="DX758" s="497" t="s">
        <v>1088</v>
      </c>
      <c r="DZ758" s="543">
        <v>1</v>
      </c>
      <c r="EB758" s="493"/>
      <c r="EC758" s="493"/>
    </row>
    <row r="759" spans="5:133" ht="21" customHeight="1">
      <c r="E759" s="716"/>
      <c r="F759" s="724"/>
      <c r="G759" s="725"/>
      <c r="H759" s="724"/>
      <c r="I759" s="726"/>
      <c r="J759" s="950"/>
      <c r="K759" s="951"/>
      <c r="L759" s="793"/>
      <c r="M759" s="952"/>
      <c r="N759" s="953"/>
      <c r="O759" s="954"/>
      <c r="P759" s="955"/>
      <c r="Q759" s="956"/>
      <c r="R759" s="957"/>
      <c r="S759" s="800"/>
      <c r="T759" s="958"/>
      <c r="U759" s="802"/>
      <c r="V759" s="959"/>
      <c r="W759" s="960"/>
      <c r="X759" s="805"/>
      <c r="Y759" s="816"/>
      <c r="DO759" s="494"/>
      <c r="DP759" s="496" t="s">
        <v>2588</v>
      </c>
      <c r="DQ759" s="496" t="s">
        <v>8</v>
      </c>
      <c r="DR759" s="496" t="s">
        <v>689</v>
      </c>
      <c r="DS759" s="496" t="s">
        <v>2589</v>
      </c>
      <c r="DT759" s="496" t="s">
        <v>2589</v>
      </c>
      <c r="DU759" s="496" t="s">
        <v>1554</v>
      </c>
      <c r="DV759" s="496" t="s">
        <v>1555</v>
      </c>
      <c r="DW759" s="496" t="s">
        <v>1981</v>
      </c>
      <c r="DX759" s="497" t="s">
        <v>1982</v>
      </c>
      <c r="DZ759" s="543">
        <v>1</v>
      </c>
      <c r="EB759" s="493"/>
      <c r="EC759" s="493"/>
    </row>
    <row r="760" spans="5:133" ht="21" customHeight="1">
      <c r="E760" s="716"/>
      <c r="F760" s="724"/>
      <c r="G760" s="725"/>
      <c r="H760" s="724"/>
      <c r="I760" s="726"/>
      <c r="J760" s="950"/>
      <c r="K760" s="951"/>
      <c r="L760" s="793"/>
      <c r="M760" s="952"/>
      <c r="N760" s="953"/>
      <c r="O760" s="954"/>
      <c r="P760" s="955"/>
      <c r="Q760" s="956"/>
      <c r="R760" s="957"/>
      <c r="S760" s="800"/>
      <c r="T760" s="958"/>
      <c r="U760" s="802"/>
      <c r="V760" s="959"/>
      <c r="W760" s="960"/>
      <c r="X760" s="805"/>
      <c r="Y760" s="816"/>
      <c r="DO760" s="494"/>
      <c r="DP760" s="496" t="s">
        <v>2590</v>
      </c>
      <c r="DQ760" s="496" t="s">
        <v>8</v>
      </c>
      <c r="DR760" s="496" t="s">
        <v>689</v>
      </c>
      <c r="DS760" s="496" t="s">
        <v>2591</v>
      </c>
      <c r="DT760" s="496" t="s">
        <v>2591</v>
      </c>
      <c r="DU760" s="496" t="s">
        <v>1554</v>
      </c>
      <c r="DV760" s="496" t="s">
        <v>1555</v>
      </c>
      <c r="DW760" s="496" t="s">
        <v>1981</v>
      </c>
      <c r="DX760" s="497" t="s">
        <v>1982</v>
      </c>
      <c r="DZ760" s="543">
        <v>1</v>
      </c>
      <c r="EB760" s="493"/>
      <c r="EC760" s="493"/>
    </row>
    <row r="761" spans="5:133" ht="21" customHeight="1">
      <c r="E761" s="716"/>
      <c r="F761" s="724"/>
      <c r="G761" s="725"/>
      <c r="H761" s="724"/>
      <c r="I761" s="726"/>
      <c r="J761" s="950"/>
      <c r="K761" s="951"/>
      <c r="L761" s="793"/>
      <c r="M761" s="952"/>
      <c r="N761" s="953"/>
      <c r="O761" s="954"/>
      <c r="P761" s="955"/>
      <c r="Q761" s="956"/>
      <c r="R761" s="957"/>
      <c r="S761" s="800"/>
      <c r="T761" s="958"/>
      <c r="U761" s="802"/>
      <c r="V761" s="959"/>
      <c r="W761" s="960"/>
      <c r="X761" s="805"/>
      <c r="Y761" s="816"/>
      <c r="DO761" s="494"/>
      <c r="DP761" s="496" t="s">
        <v>2592</v>
      </c>
      <c r="DQ761" s="496" t="s">
        <v>8</v>
      </c>
      <c r="DR761" s="496" t="s">
        <v>689</v>
      </c>
      <c r="DS761" s="496" t="s">
        <v>2593</v>
      </c>
      <c r="DT761" s="496" t="s">
        <v>2593</v>
      </c>
      <c r="DU761" s="496" t="s">
        <v>1554</v>
      </c>
      <c r="DV761" s="496" t="s">
        <v>1555</v>
      </c>
      <c r="DW761" s="496" t="s">
        <v>1981</v>
      </c>
      <c r="DX761" s="497" t="s">
        <v>1982</v>
      </c>
      <c r="DZ761" s="543">
        <v>1</v>
      </c>
      <c r="EB761" s="493"/>
      <c r="EC761" s="493"/>
    </row>
    <row r="762" spans="5:133" ht="21" customHeight="1">
      <c r="E762" s="716"/>
      <c r="F762" s="724"/>
      <c r="G762" s="725"/>
      <c r="H762" s="724"/>
      <c r="I762" s="726"/>
      <c r="J762" s="950"/>
      <c r="K762" s="951"/>
      <c r="L762" s="793"/>
      <c r="M762" s="952"/>
      <c r="N762" s="953"/>
      <c r="O762" s="954"/>
      <c r="P762" s="955"/>
      <c r="Q762" s="956"/>
      <c r="R762" s="957"/>
      <c r="S762" s="800"/>
      <c r="T762" s="958"/>
      <c r="U762" s="802"/>
      <c r="V762" s="959"/>
      <c r="W762" s="960"/>
      <c r="X762" s="805"/>
      <c r="Y762" s="816"/>
      <c r="DO762" s="494"/>
      <c r="DP762" s="496" t="s">
        <v>2594</v>
      </c>
      <c r="DQ762" s="496" t="s">
        <v>8</v>
      </c>
      <c r="DR762" s="496" t="s">
        <v>689</v>
      </c>
      <c r="DS762" s="496" t="s">
        <v>2595</v>
      </c>
      <c r="DT762" s="496" t="s">
        <v>2595</v>
      </c>
      <c r="DU762" s="496" t="s">
        <v>1554</v>
      </c>
      <c r="DV762" s="496" t="s">
        <v>1555</v>
      </c>
      <c r="DW762" s="496" t="s">
        <v>1981</v>
      </c>
      <c r="DX762" s="497" t="s">
        <v>1982</v>
      </c>
      <c r="DZ762" s="543">
        <v>1</v>
      </c>
      <c r="EB762" s="493"/>
      <c r="EC762" s="493"/>
    </row>
    <row r="763" spans="5:133" ht="21" customHeight="1">
      <c r="E763" s="716"/>
      <c r="F763" s="724"/>
      <c r="G763" s="725"/>
      <c r="H763" s="724"/>
      <c r="I763" s="726"/>
      <c r="J763" s="950"/>
      <c r="K763" s="951"/>
      <c r="L763" s="793"/>
      <c r="M763" s="952"/>
      <c r="N763" s="953"/>
      <c r="O763" s="954"/>
      <c r="P763" s="955"/>
      <c r="Q763" s="956"/>
      <c r="R763" s="957"/>
      <c r="S763" s="800"/>
      <c r="T763" s="958"/>
      <c r="U763" s="802"/>
      <c r="V763" s="959"/>
      <c r="W763" s="960"/>
      <c r="X763" s="805"/>
      <c r="Y763" s="816"/>
      <c r="DO763" s="494"/>
      <c r="DP763" s="496" t="s">
        <v>2596</v>
      </c>
      <c r="DQ763" s="496" t="s">
        <v>8</v>
      </c>
      <c r="DR763" s="496" t="s">
        <v>689</v>
      </c>
      <c r="DS763" s="496" t="s">
        <v>2597</v>
      </c>
      <c r="DT763" s="496" t="s">
        <v>2597</v>
      </c>
      <c r="DU763" s="496" t="s">
        <v>1554</v>
      </c>
      <c r="DV763" s="496" t="s">
        <v>1555</v>
      </c>
      <c r="DW763" s="496" t="s">
        <v>1981</v>
      </c>
      <c r="DX763" s="497" t="s">
        <v>1982</v>
      </c>
      <c r="DZ763" s="543">
        <v>1</v>
      </c>
      <c r="EB763" s="493"/>
      <c r="EC763" s="493"/>
    </row>
    <row r="764" spans="5:133" ht="21" customHeight="1">
      <c r="E764" s="543">
        <v>1</v>
      </c>
      <c r="F764" s="543">
        <v>1</v>
      </c>
      <c r="G764" s="543">
        <v>1</v>
      </c>
      <c r="H764" s="543">
        <v>1</v>
      </c>
      <c r="I764" s="543">
        <v>1</v>
      </c>
      <c r="J764" s="543">
        <v>1</v>
      </c>
      <c r="K764" s="543">
        <v>1</v>
      </c>
      <c r="L764" s="543">
        <v>1</v>
      </c>
      <c r="M764" s="543">
        <v>1</v>
      </c>
      <c r="N764" s="543">
        <v>1</v>
      </c>
      <c r="O764" s="543">
        <v>1</v>
      </c>
      <c r="P764" s="543">
        <v>1</v>
      </c>
      <c r="Q764" s="543">
        <v>1</v>
      </c>
      <c r="R764" s="543">
        <v>1</v>
      </c>
      <c r="S764" s="543">
        <v>1</v>
      </c>
      <c r="T764" s="543">
        <v>1</v>
      </c>
      <c r="U764" s="543">
        <v>1</v>
      </c>
      <c r="V764" s="543">
        <v>1</v>
      </c>
      <c r="W764" s="543">
        <v>1</v>
      </c>
      <c r="X764" s="543">
        <v>1</v>
      </c>
      <c r="Y764" s="543">
        <v>1</v>
      </c>
      <c r="DO764" s="494"/>
      <c r="DP764" s="496" t="s">
        <v>2598</v>
      </c>
      <c r="DQ764" s="496" t="s">
        <v>8</v>
      </c>
      <c r="DR764" s="496" t="s">
        <v>689</v>
      </c>
      <c r="DS764" s="496" t="s">
        <v>2599</v>
      </c>
      <c r="DT764" s="496" t="s">
        <v>2599</v>
      </c>
      <c r="DU764" s="496" t="s">
        <v>1554</v>
      </c>
      <c r="DV764" s="496" t="s">
        <v>1555</v>
      </c>
      <c r="DW764" s="496" t="s">
        <v>1981</v>
      </c>
      <c r="DX764" s="497" t="s">
        <v>1982</v>
      </c>
      <c r="DZ764" s="543">
        <v>1</v>
      </c>
      <c r="EB764" s="493"/>
      <c r="EC764" s="493"/>
    </row>
    <row r="765" spans="5:133" ht="21" customHeight="1">
      <c r="DO765" s="494"/>
      <c r="DP765" s="496" t="s">
        <v>2600</v>
      </c>
      <c r="DQ765" s="496" t="s">
        <v>8</v>
      </c>
      <c r="DR765" s="496" t="s">
        <v>689</v>
      </c>
      <c r="DS765" s="496" t="s">
        <v>2601</v>
      </c>
      <c r="DT765" s="496" t="s">
        <v>2601</v>
      </c>
      <c r="DU765" s="496" t="s">
        <v>1554</v>
      </c>
      <c r="DV765" s="496" t="s">
        <v>1555</v>
      </c>
      <c r="DW765" s="496" t="s">
        <v>1981</v>
      </c>
      <c r="DX765" s="497" t="s">
        <v>1982</v>
      </c>
      <c r="DZ765" s="543">
        <v>1</v>
      </c>
      <c r="EB765" s="493"/>
      <c r="EC765" s="493"/>
    </row>
    <row r="766" spans="5:133" ht="21" customHeight="1">
      <c r="DO766" s="494"/>
      <c r="DP766" s="496" t="s">
        <v>2602</v>
      </c>
      <c r="DQ766" s="496" t="s">
        <v>8</v>
      </c>
      <c r="DR766" s="496" t="s">
        <v>689</v>
      </c>
      <c r="DS766" s="496" t="s">
        <v>2603</v>
      </c>
      <c r="DT766" s="496" t="s">
        <v>2603</v>
      </c>
      <c r="DU766" s="496" t="s">
        <v>1554</v>
      </c>
      <c r="DV766" s="496" t="s">
        <v>1555</v>
      </c>
      <c r="DW766" s="496" t="s">
        <v>1981</v>
      </c>
      <c r="DX766" s="497" t="s">
        <v>1982</v>
      </c>
      <c r="DZ766" s="543">
        <v>1</v>
      </c>
      <c r="EB766" s="493"/>
      <c r="EC766" s="493"/>
    </row>
    <row r="767" spans="5:133" ht="21" customHeight="1">
      <c r="DO767" s="494"/>
      <c r="DP767" s="496" t="s">
        <v>2604</v>
      </c>
      <c r="DQ767" s="496" t="s">
        <v>8</v>
      </c>
      <c r="DR767" s="496" t="s">
        <v>689</v>
      </c>
      <c r="DS767" s="496" t="s">
        <v>2605</v>
      </c>
      <c r="DT767" s="496" t="s">
        <v>2605</v>
      </c>
      <c r="DU767" s="496" t="s">
        <v>1554</v>
      </c>
      <c r="DV767" s="496" t="s">
        <v>1555</v>
      </c>
      <c r="DW767" s="496" t="s">
        <v>1981</v>
      </c>
      <c r="DX767" s="497" t="s">
        <v>1982</v>
      </c>
      <c r="DZ767" s="543">
        <v>1</v>
      </c>
      <c r="EB767" s="493"/>
      <c r="EC767" s="493"/>
    </row>
    <row r="768" spans="5:133" ht="21" customHeight="1">
      <c r="DO768" s="494"/>
      <c r="DP768" s="496" t="s">
        <v>2606</v>
      </c>
      <c r="DQ768" s="496" t="s">
        <v>8</v>
      </c>
      <c r="DR768" s="496" t="s">
        <v>689</v>
      </c>
      <c r="DS768" s="496" t="s">
        <v>2607</v>
      </c>
      <c r="DT768" s="496" t="s">
        <v>2607</v>
      </c>
      <c r="DU768" s="496" t="s">
        <v>1554</v>
      </c>
      <c r="DV768" s="496" t="s">
        <v>1555</v>
      </c>
      <c r="DW768" s="496" t="s">
        <v>1981</v>
      </c>
      <c r="DX768" s="497" t="s">
        <v>1982</v>
      </c>
      <c r="DZ768" s="543">
        <v>1</v>
      </c>
      <c r="EB768" s="493"/>
      <c r="EC768" s="493"/>
    </row>
    <row r="769" spans="26:133" ht="21" customHeight="1">
      <c r="DO769" s="494"/>
      <c r="DP769" s="496" t="s">
        <v>2608</v>
      </c>
      <c r="DQ769" s="496" t="s">
        <v>8</v>
      </c>
      <c r="DR769" s="496" t="s">
        <v>689</v>
      </c>
      <c r="DS769" s="496" t="s">
        <v>2609</v>
      </c>
      <c r="DT769" s="496" t="s">
        <v>2609</v>
      </c>
      <c r="DU769" s="496" t="s">
        <v>1554</v>
      </c>
      <c r="DV769" s="496" t="s">
        <v>1555</v>
      </c>
      <c r="DW769" s="496" t="s">
        <v>1981</v>
      </c>
      <c r="DX769" s="497" t="s">
        <v>1982</v>
      </c>
      <c r="DZ769" s="543">
        <v>1</v>
      </c>
      <c r="EB769" s="493"/>
      <c r="EC769" s="493"/>
    </row>
    <row r="770" spans="26:133" ht="21" customHeight="1">
      <c r="DO770" s="494"/>
      <c r="DP770" s="496" t="s">
        <v>2610</v>
      </c>
      <c r="DQ770" s="496" t="s">
        <v>8</v>
      </c>
      <c r="DR770" s="496" t="s">
        <v>689</v>
      </c>
      <c r="DS770" s="496" t="s">
        <v>2611</v>
      </c>
      <c r="DT770" s="496" t="s">
        <v>2611</v>
      </c>
      <c r="DU770" s="496" t="s">
        <v>1554</v>
      </c>
      <c r="DV770" s="496" t="s">
        <v>1555</v>
      </c>
      <c r="DW770" s="496" t="s">
        <v>1981</v>
      </c>
      <c r="DX770" s="497" t="s">
        <v>1982</v>
      </c>
      <c r="DZ770" s="543">
        <v>1</v>
      </c>
      <c r="EB770" s="493"/>
      <c r="EC770" s="493"/>
    </row>
    <row r="771" spans="26:133" ht="21" customHeight="1">
      <c r="DO771" s="494"/>
      <c r="DP771" s="496" t="s">
        <v>2612</v>
      </c>
      <c r="DQ771" s="496" t="s">
        <v>8</v>
      </c>
      <c r="DR771" s="496" t="s">
        <v>689</v>
      </c>
      <c r="DS771" s="496" t="s">
        <v>2613</v>
      </c>
      <c r="DT771" s="496" t="s">
        <v>2613</v>
      </c>
      <c r="DU771" s="496" t="s">
        <v>1554</v>
      </c>
      <c r="DV771" s="496" t="s">
        <v>1555</v>
      </c>
      <c r="DW771" s="496" t="s">
        <v>1981</v>
      </c>
      <c r="DX771" s="497" t="s">
        <v>1982</v>
      </c>
      <c r="DZ771" s="543">
        <v>1</v>
      </c>
      <c r="EB771" s="493"/>
      <c r="EC771" s="493"/>
    </row>
    <row r="772" spans="26:133" ht="21" customHeight="1">
      <c r="DO772" s="494"/>
      <c r="DP772" s="496" t="s">
        <v>2614</v>
      </c>
      <c r="DQ772" s="496" t="s">
        <v>8</v>
      </c>
      <c r="DR772" s="496" t="s">
        <v>689</v>
      </c>
      <c r="DS772" s="496" t="s">
        <v>1031</v>
      </c>
      <c r="DT772" s="496" t="s">
        <v>1031</v>
      </c>
      <c r="DU772" s="496" t="s">
        <v>1085</v>
      </c>
      <c r="DV772" s="496" t="s">
        <v>2063</v>
      </c>
      <c r="DW772" s="496" t="s">
        <v>1087</v>
      </c>
      <c r="DX772" s="497" t="s">
        <v>1088</v>
      </c>
      <c r="DZ772" s="543">
        <v>1</v>
      </c>
      <c r="EB772" s="493"/>
      <c r="EC772" s="493"/>
    </row>
    <row r="773" spans="26:133" ht="21" customHeight="1">
      <c r="DO773" s="494"/>
      <c r="DP773" s="496" t="s">
        <v>2615</v>
      </c>
      <c r="DQ773" s="496" t="s">
        <v>8</v>
      </c>
      <c r="DR773" s="496" t="s">
        <v>689</v>
      </c>
      <c r="DS773" s="496" t="s">
        <v>2616</v>
      </c>
      <c r="DT773" s="496" t="s">
        <v>700</v>
      </c>
      <c r="DU773" s="496" t="s">
        <v>1085</v>
      </c>
      <c r="DV773" s="496" t="s">
        <v>2063</v>
      </c>
      <c r="DW773" s="496" t="s">
        <v>1087</v>
      </c>
      <c r="DX773" s="497" t="s">
        <v>1088</v>
      </c>
      <c r="DZ773" s="543">
        <v>1</v>
      </c>
      <c r="EB773" s="493"/>
      <c r="EC773" s="493"/>
    </row>
    <row r="774" spans="26:133" ht="21" customHeight="1">
      <c r="DO774" s="494"/>
      <c r="DP774" s="496" t="s">
        <v>2617</v>
      </c>
      <c r="DQ774" s="496" t="s">
        <v>8</v>
      </c>
      <c r="DR774" s="496" t="s">
        <v>689</v>
      </c>
      <c r="DS774" s="496" t="s">
        <v>2618</v>
      </c>
      <c r="DT774" s="496" t="s">
        <v>2619</v>
      </c>
      <c r="DU774" s="496" t="s">
        <v>1085</v>
      </c>
      <c r="DV774" s="496" t="s">
        <v>2063</v>
      </c>
      <c r="DW774" s="496" t="s">
        <v>1087</v>
      </c>
      <c r="DX774" s="497" t="s">
        <v>1088</v>
      </c>
      <c r="DZ774" s="543">
        <v>1</v>
      </c>
      <c r="EB774" s="493"/>
      <c r="EC774" s="493"/>
    </row>
    <row r="775" spans="26:133" ht="21" customHeight="1">
      <c r="DO775" s="494"/>
      <c r="DP775" s="496" t="s">
        <v>2620</v>
      </c>
      <c r="DQ775" s="496" t="s">
        <v>8</v>
      </c>
      <c r="DR775" s="496" t="s">
        <v>689</v>
      </c>
      <c r="DS775" s="496" t="s">
        <v>2621</v>
      </c>
      <c r="DT775" s="496" t="s">
        <v>2621</v>
      </c>
      <c r="DU775" s="496" t="s">
        <v>1554</v>
      </c>
      <c r="DV775" s="496" t="s">
        <v>1555</v>
      </c>
      <c r="DW775" s="496" t="s">
        <v>1981</v>
      </c>
      <c r="DX775" s="497" t="s">
        <v>1982</v>
      </c>
      <c r="DZ775" s="543">
        <v>1</v>
      </c>
      <c r="EB775" s="493"/>
      <c r="EC775" s="493"/>
    </row>
    <row r="776" spans="26:133" ht="21" customHeight="1">
      <c r="DO776" s="494"/>
      <c r="DP776" s="496" t="s">
        <v>2622</v>
      </c>
      <c r="DQ776" s="496" t="s">
        <v>8</v>
      </c>
      <c r="DR776" s="496" t="s">
        <v>689</v>
      </c>
      <c r="DS776" s="496" t="s">
        <v>2623</v>
      </c>
      <c r="DT776" s="496" t="s">
        <v>2623</v>
      </c>
      <c r="DU776" s="496" t="s">
        <v>1554</v>
      </c>
      <c r="DV776" s="496" t="s">
        <v>1555</v>
      </c>
      <c r="DW776" s="496" t="s">
        <v>1981</v>
      </c>
      <c r="DX776" s="497" t="s">
        <v>1982</v>
      </c>
      <c r="DZ776" s="543">
        <v>1</v>
      </c>
      <c r="EB776" s="493"/>
      <c r="EC776" s="493"/>
    </row>
    <row r="777" spans="26:133" ht="21" customHeight="1">
      <c r="DO777" s="494"/>
      <c r="DP777" s="496" t="s">
        <v>2624</v>
      </c>
      <c r="DQ777" s="496" t="s">
        <v>8</v>
      </c>
      <c r="DR777" s="496" t="s">
        <v>689</v>
      </c>
      <c r="DS777" s="496" t="s">
        <v>2625</v>
      </c>
      <c r="DT777" s="496" t="s">
        <v>2625</v>
      </c>
      <c r="DU777" s="496" t="s">
        <v>1554</v>
      </c>
      <c r="DV777" s="496" t="s">
        <v>1555</v>
      </c>
      <c r="DW777" s="496" t="s">
        <v>1981</v>
      </c>
      <c r="DX777" s="497" t="s">
        <v>1982</v>
      </c>
      <c r="DZ777" s="543">
        <v>1</v>
      </c>
      <c r="EB777" s="493"/>
      <c r="EC777" s="493"/>
    </row>
    <row r="778" spans="26:133" ht="21" customHeight="1">
      <c r="DO778" s="494"/>
      <c r="DP778" s="496" t="s">
        <v>2626</v>
      </c>
      <c r="DQ778" s="496" t="s">
        <v>8</v>
      </c>
      <c r="DR778" s="496" t="s">
        <v>689</v>
      </c>
      <c r="DS778" s="496" t="s">
        <v>2627</v>
      </c>
      <c r="DT778" s="496" t="s">
        <v>2627</v>
      </c>
      <c r="DU778" s="496" t="s">
        <v>1554</v>
      </c>
      <c r="DV778" s="496" t="s">
        <v>1555</v>
      </c>
      <c r="DW778" s="496" t="s">
        <v>1981</v>
      </c>
      <c r="DX778" s="497" t="s">
        <v>1982</v>
      </c>
      <c r="DZ778" s="543">
        <v>1</v>
      </c>
      <c r="EB778" s="493"/>
      <c r="EC778" s="493"/>
    </row>
    <row r="779" spans="26:133" ht="21" customHeight="1">
      <c r="DO779" s="494"/>
      <c r="DP779" s="496" t="s">
        <v>2628</v>
      </c>
      <c r="DQ779" s="496" t="s">
        <v>8</v>
      </c>
      <c r="DR779" s="496" t="s">
        <v>689</v>
      </c>
      <c r="DS779" s="496" t="s">
        <v>2629</v>
      </c>
      <c r="DT779" s="496" t="s">
        <v>2629</v>
      </c>
      <c r="DU779" s="496" t="s">
        <v>1554</v>
      </c>
      <c r="DV779" s="496" t="s">
        <v>1555</v>
      </c>
      <c r="DW779" s="496" t="s">
        <v>1981</v>
      </c>
      <c r="DX779" s="497" t="s">
        <v>1982</v>
      </c>
      <c r="DZ779" s="543">
        <v>1</v>
      </c>
      <c r="EB779" s="493"/>
      <c r="EC779" s="493"/>
    </row>
    <row r="780" spans="26:133" ht="21" customHeight="1">
      <c r="Z780" s="543">
        <v>1</v>
      </c>
      <c r="DO780" s="494"/>
      <c r="DP780" s="496" t="s">
        <v>2630</v>
      </c>
      <c r="DQ780" s="496" t="s">
        <v>8</v>
      </c>
      <c r="DR780" s="496" t="s">
        <v>689</v>
      </c>
      <c r="DS780" s="496" t="s">
        <v>2631</v>
      </c>
      <c r="DT780" s="496" t="s">
        <v>2631</v>
      </c>
      <c r="DU780" s="496" t="s">
        <v>1554</v>
      </c>
      <c r="DV780" s="496" t="s">
        <v>1555</v>
      </c>
      <c r="DW780" s="496" t="s">
        <v>1981</v>
      </c>
      <c r="DX780" s="497" t="s">
        <v>1982</v>
      </c>
      <c r="DZ780" s="543">
        <v>1</v>
      </c>
      <c r="EB780" s="493"/>
      <c r="EC780" s="493"/>
    </row>
    <row r="781" spans="26:133" ht="21" customHeight="1">
      <c r="DO781" s="494"/>
      <c r="DP781" s="496" t="s">
        <v>2632</v>
      </c>
      <c r="DQ781" s="496" t="s">
        <v>8</v>
      </c>
      <c r="DR781" s="496" t="s">
        <v>689</v>
      </c>
      <c r="DS781" s="496" t="s">
        <v>2633</v>
      </c>
      <c r="DT781" s="496" t="s">
        <v>2633</v>
      </c>
      <c r="DU781" s="496" t="s">
        <v>1554</v>
      </c>
      <c r="DV781" s="496" t="s">
        <v>1555</v>
      </c>
      <c r="DW781" s="496" t="s">
        <v>1981</v>
      </c>
      <c r="DX781" s="497" t="s">
        <v>1982</v>
      </c>
      <c r="DZ781" s="543">
        <v>1</v>
      </c>
      <c r="EB781" s="493"/>
      <c r="EC781" s="493"/>
    </row>
    <row r="782" spans="26:133" ht="21" customHeight="1">
      <c r="DO782" s="494"/>
      <c r="DP782" s="496" t="s">
        <v>2634</v>
      </c>
      <c r="DQ782" s="496" t="s">
        <v>8</v>
      </c>
      <c r="DR782" s="496" t="s">
        <v>689</v>
      </c>
      <c r="DS782" s="496" t="s">
        <v>2635</v>
      </c>
      <c r="DT782" s="496" t="s">
        <v>2635</v>
      </c>
      <c r="DU782" s="496" t="s">
        <v>1554</v>
      </c>
      <c r="DV782" s="496" t="s">
        <v>1555</v>
      </c>
      <c r="DW782" s="496" t="s">
        <v>1981</v>
      </c>
      <c r="DX782" s="497" t="s">
        <v>1982</v>
      </c>
      <c r="DZ782" s="543">
        <v>1</v>
      </c>
      <c r="EB782" s="493"/>
      <c r="EC782" s="493"/>
    </row>
    <row r="783" spans="26:133" ht="21" customHeight="1">
      <c r="DO783" s="494"/>
      <c r="DP783" s="496" t="s">
        <v>2636</v>
      </c>
      <c r="DQ783" s="496" t="s">
        <v>8</v>
      </c>
      <c r="DR783" s="496" t="s">
        <v>689</v>
      </c>
      <c r="DS783" s="496" t="s">
        <v>2637</v>
      </c>
      <c r="DT783" s="496" t="s">
        <v>2637</v>
      </c>
      <c r="DU783" s="496" t="s">
        <v>1554</v>
      </c>
      <c r="DV783" s="496" t="s">
        <v>1555</v>
      </c>
      <c r="DW783" s="496" t="s">
        <v>1981</v>
      </c>
      <c r="DX783" s="497" t="s">
        <v>1982</v>
      </c>
      <c r="DZ783" s="543">
        <v>1</v>
      </c>
      <c r="EB783" s="493"/>
      <c r="EC783" s="493"/>
    </row>
    <row r="784" spans="26:133" ht="21" customHeight="1">
      <c r="DO784" s="494"/>
      <c r="DP784" s="496" t="s">
        <v>2638</v>
      </c>
      <c r="DQ784" s="496" t="s">
        <v>8</v>
      </c>
      <c r="DR784" s="496" t="s">
        <v>689</v>
      </c>
      <c r="DS784" s="496" t="s">
        <v>2639</v>
      </c>
      <c r="DT784" s="496" t="s">
        <v>2639</v>
      </c>
      <c r="DU784" s="496" t="s">
        <v>1554</v>
      </c>
      <c r="DV784" s="496" t="s">
        <v>1555</v>
      </c>
      <c r="DW784" s="496" t="s">
        <v>1981</v>
      </c>
      <c r="DX784" s="497" t="s">
        <v>1982</v>
      </c>
      <c r="DZ784" s="543">
        <v>1</v>
      </c>
      <c r="EB784" s="493"/>
      <c r="EC784" s="493"/>
    </row>
    <row r="785" spans="119:133" ht="21" customHeight="1">
      <c r="DO785" s="494"/>
      <c r="DP785" s="496" t="s">
        <v>2640</v>
      </c>
      <c r="DQ785" s="496" t="s">
        <v>8</v>
      </c>
      <c r="DR785" s="496" t="s">
        <v>689</v>
      </c>
      <c r="DS785" s="496" t="s">
        <v>2641</v>
      </c>
      <c r="DT785" s="496" t="s">
        <v>2641</v>
      </c>
      <c r="DU785" s="496" t="s">
        <v>1554</v>
      </c>
      <c r="DV785" s="496" t="s">
        <v>1555</v>
      </c>
      <c r="DW785" s="496" t="s">
        <v>1981</v>
      </c>
      <c r="DX785" s="497" t="s">
        <v>1982</v>
      </c>
      <c r="DZ785" s="543">
        <v>1</v>
      </c>
      <c r="EB785" s="493"/>
      <c r="EC785" s="493"/>
    </row>
    <row r="786" spans="119:133" ht="21" customHeight="1">
      <c r="DO786" s="494"/>
      <c r="DP786" s="496" t="s">
        <v>2642</v>
      </c>
      <c r="DQ786" s="496" t="s">
        <v>8</v>
      </c>
      <c r="DR786" s="496" t="s">
        <v>689</v>
      </c>
      <c r="DS786" s="496" t="s">
        <v>2643</v>
      </c>
      <c r="DT786" s="496" t="s">
        <v>2643</v>
      </c>
      <c r="DU786" s="496" t="s">
        <v>1554</v>
      </c>
      <c r="DV786" s="496" t="s">
        <v>1555</v>
      </c>
      <c r="DW786" s="496" t="s">
        <v>1981</v>
      </c>
      <c r="DX786" s="497" t="s">
        <v>1982</v>
      </c>
      <c r="DZ786" s="543">
        <v>1</v>
      </c>
      <c r="EB786" s="493"/>
      <c r="EC786" s="493"/>
    </row>
    <row r="787" spans="119:133" ht="21" customHeight="1">
      <c r="DO787" s="494"/>
      <c r="DP787" s="496" t="s">
        <v>2644</v>
      </c>
      <c r="DQ787" s="496" t="s">
        <v>8</v>
      </c>
      <c r="DR787" s="496" t="s">
        <v>689</v>
      </c>
      <c r="DS787" s="496" t="s">
        <v>2645</v>
      </c>
      <c r="DT787" s="496" t="s">
        <v>2645</v>
      </c>
      <c r="DU787" s="496" t="s">
        <v>1554</v>
      </c>
      <c r="DV787" s="496" t="s">
        <v>1555</v>
      </c>
      <c r="DW787" s="496" t="s">
        <v>1981</v>
      </c>
      <c r="DX787" s="497" t="s">
        <v>1982</v>
      </c>
      <c r="DZ787" s="543">
        <v>1</v>
      </c>
      <c r="EB787" s="493"/>
      <c r="EC787" s="493"/>
    </row>
    <row r="788" spans="119:133" ht="21" customHeight="1">
      <c r="DO788" s="494"/>
      <c r="DP788" s="496" t="s">
        <v>2646</v>
      </c>
      <c r="DQ788" s="496" t="s">
        <v>8</v>
      </c>
      <c r="DR788" s="496" t="s">
        <v>689</v>
      </c>
      <c r="DS788" s="496" t="s">
        <v>2647</v>
      </c>
      <c r="DT788" s="496" t="s">
        <v>2647</v>
      </c>
      <c r="DU788" s="496" t="s">
        <v>1554</v>
      </c>
      <c r="DV788" s="496" t="s">
        <v>1555</v>
      </c>
      <c r="DW788" s="496" t="s">
        <v>1981</v>
      </c>
      <c r="DX788" s="497" t="s">
        <v>1982</v>
      </c>
      <c r="DZ788" s="543">
        <v>1</v>
      </c>
      <c r="EB788" s="493"/>
      <c r="EC788" s="493"/>
    </row>
    <row r="789" spans="119:133" ht="21" customHeight="1">
      <c r="DO789" s="494"/>
      <c r="DP789" s="496" t="s">
        <v>2648</v>
      </c>
      <c r="DQ789" s="496" t="s">
        <v>8</v>
      </c>
      <c r="DR789" s="496" t="s">
        <v>689</v>
      </c>
      <c r="DS789" s="496" t="s">
        <v>2649</v>
      </c>
      <c r="DT789" s="496" t="s">
        <v>2649</v>
      </c>
      <c r="DU789" s="496" t="s">
        <v>1554</v>
      </c>
      <c r="DV789" s="496" t="s">
        <v>1555</v>
      </c>
      <c r="DW789" s="496" t="s">
        <v>1981</v>
      </c>
      <c r="DX789" s="497" t="s">
        <v>1982</v>
      </c>
      <c r="DZ789" s="543">
        <v>1</v>
      </c>
      <c r="EB789" s="493"/>
      <c r="EC789" s="493"/>
    </row>
    <row r="790" spans="119:133" ht="21" customHeight="1">
      <c r="DO790" s="494"/>
      <c r="DP790" s="496" t="s">
        <v>2650</v>
      </c>
      <c r="DQ790" s="496" t="s">
        <v>8</v>
      </c>
      <c r="DR790" s="496" t="s">
        <v>689</v>
      </c>
      <c r="DS790" s="496" t="s">
        <v>2651</v>
      </c>
      <c r="DT790" s="496" t="s">
        <v>2651</v>
      </c>
      <c r="DU790" s="496" t="s">
        <v>1554</v>
      </c>
      <c r="DV790" s="496" t="s">
        <v>1555</v>
      </c>
      <c r="DW790" s="496" t="s">
        <v>1981</v>
      </c>
      <c r="DX790" s="497" t="s">
        <v>1982</v>
      </c>
      <c r="DZ790" s="543">
        <v>1</v>
      </c>
      <c r="EB790" s="493"/>
      <c r="EC790" s="493"/>
    </row>
    <row r="791" spans="119:133" ht="21" customHeight="1">
      <c r="DO791" s="494"/>
      <c r="DP791" s="496" t="s">
        <v>2652</v>
      </c>
      <c r="DQ791" s="496" t="s">
        <v>8</v>
      </c>
      <c r="DR791" s="496" t="s">
        <v>689</v>
      </c>
      <c r="DS791" s="496" t="s">
        <v>2653</v>
      </c>
      <c r="DT791" s="496" t="s">
        <v>2653</v>
      </c>
      <c r="DU791" s="496" t="s">
        <v>1554</v>
      </c>
      <c r="DV791" s="496" t="s">
        <v>1555</v>
      </c>
      <c r="DW791" s="496" t="s">
        <v>1981</v>
      </c>
      <c r="DX791" s="497" t="s">
        <v>1982</v>
      </c>
      <c r="DZ791" s="543">
        <v>1</v>
      </c>
      <c r="EB791" s="493"/>
      <c r="EC791" s="493"/>
    </row>
    <row r="792" spans="119:133" ht="21" customHeight="1">
      <c r="DO792" s="494"/>
      <c r="DP792" s="496" t="s">
        <v>2654</v>
      </c>
      <c r="DQ792" s="496" t="s">
        <v>8</v>
      </c>
      <c r="DR792" s="496" t="s">
        <v>689</v>
      </c>
      <c r="DS792" s="496" t="s">
        <v>2655</v>
      </c>
      <c r="DT792" s="496" t="s">
        <v>2655</v>
      </c>
      <c r="DU792" s="496" t="s">
        <v>1554</v>
      </c>
      <c r="DV792" s="496" t="s">
        <v>1555</v>
      </c>
      <c r="DW792" s="496" t="s">
        <v>1981</v>
      </c>
      <c r="DX792" s="497" t="s">
        <v>1982</v>
      </c>
      <c r="DZ792" s="543">
        <v>1</v>
      </c>
      <c r="EB792" s="493"/>
      <c r="EC792" s="493"/>
    </row>
    <row r="793" spans="119:133" ht="21" customHeight="1">
      <c r="DO793" s="494"/>
      <c r="DP793" s="496" t="s">
        <v>2656</v>
      </c>
      <c r="DQ793" s="496" t="s">
        <v>8</v>
      </c>
      <c r="DR793" s="496" t="s">
        <v>689</v>
      </c>
      <c r="DS793" s="496" t="s">
        <v>2657</v>
      </c>
      <c r="DT793" s="496" t="s">
        <v>2657</v>
      </c>
      <c r="DU793" s="496" t="s">
        <v>1554</v>
      </c>
      <c r="DV793" s="496" t="s">
        <v>1555</v>
      </c>
      <c r="DW793" s="496" t="s">
        <v>1981</v>
      </c>
      <c r="DX793" s="497" t="s">
        <v>1982</v>
      </c>
      <c r="DZ793" s="543">
        <v>1</v>
      </c>
      <c r="EB793" s="493"/>
      <c r="EC793" s="493"/>
    </row>
    <row r="794" spans="119:133" ht="21" customHeight="1">
      <c r="DO794" s="494"/>
      <c r="DP794" s="496" t="s">
        <v>2658</v>
      </c>
      <c r="DQ794" s="496" t="s">
        <v>8</v>
      </c>
      <c r="DR794" s="496" t="s">
        <v>689</v>
      </c>
      <c r="DS794" s="496" t="s">
        <v>2659</v>
      </c>
      <c r="DT794" s="496" t="s">
        <v>2659</v>
      </c>
      <c r="DU794" s="496" t="s">
        <v>1554</v>
      </c>
      <c r="DV794" s="496" t="s">
        <v>1555</v>
      </c>
      <c r="DW794" s="496" t="s">
        <v>1981</v>
      </c>
      <c r="DX794" s="497" t="s">
        <v>1982</v>
      </c>
      <c r="DZ794" s="543">
        <v>1</v>
      </c>
      <c r="EB794" s="493"/>
      <c r="EC794" s="493"/>
    </row>
    <row r="795" spans="119:133" ht="21" customHeight="1">
      <c r="DO795" s="494"/>
      <c r="DP795" s="496" t="s">
        <v>2660</v>
      </c>
      <c r="DQ795" s="496" t="s">
        <v>8</v>
      </c>
      <c r="DR795" s="496" t="s">
        <v>689</v>
      </c>
      <c r="DS795" s="496" t="s">
        <v>2661</v>
      </c>
      <c r="DT795" s="496" t="s">
        <v>2661</v>
      </c>
      <c r="DU795" s="496" t="s">
        <v>1554</v>
      </c>
      <c r="DV795" s="496" t="s">
        <v>1555</v>
      </c>
      <c r="DW795" s="496" t="s">
        <v>1981</v>
      </c>
      <c r="DX795" s="497" t="s">
        <v>1982</v>
      </c>
      <c r="DZ795" s="543">
        <v>1</v>
      </c>
      <c r="EB795" s="493"/>
      <c r="EC795" s="493"/>
    </row>
    <row r="796" spans="119:133" ht="21" customHeight="1">
      <c r="DO796" s="494"/>
      <c r="DP796" s="496" t="s">
        <v>2662</v>
      </c>
      <c r="DQ796" s="496" t="s">
        <v>8</v>
      </c>
      <c r="DR796" s="496" t="s">
        <v>689</v>
      </c>
      <c r="DS796" s="496" t="s">
        <v>2663</v>
      </c>
      <c r="DT796" s="496" t="s">
        <v>2663</v>
      </c>
      <c r="DU796" s="496" t="s">
        <v>1554</v>
      </c>
      <c r="DV796" s="496" t="s">
        <v>1555</v>
      </c>
      <c r="DW796" s="496" t="s">
        <v>1981</v>
      </c>
      <c r="DX796" s="497" t="s">
        <v>1982</v>
      </c>
      <c r="DZ796" s="543">
        <v>1</v>
      </c>
      <c r="EB796" s="493"/>
      <c r="EC796" s="493"/>
    </row>
    <row r="797" spans="119:133" ht="21" customHeight="1">
      <c r="DO797" s="494"/>
      <c r="DP797" s="496" t="s">
        <v>2664</v>
      </c>
      <c r="DQ797" s="496" t="s">
        <v>8</v>
      </c>
      <c r="DR797" s="496" t="s">
        <v>689</v>
      </c>
      <c r="DS797" s="496" t="s">
        <v>2665</v>
      </c>
      <c r="DT797" s="496" t="s">
        <v>2665</v>
      </c>
      <c r="DU797" s="496" t="s">
        <v>1554</v>
      </c>
      <c r="DV797" s="496" t="s">
        <v>1555</v>
      </c>
      <c r="DW797" s="496" t="s">
        <v>1981</v>
      </c>
      <c r="DX797" s="497" t="s">
        <v>1982</v>
      </c>
      <c r="DZ797" s="543">
        <v>1</v>
      </c>
      <c r="EB797" s="493"/>
      <c r="EC797" s="493"/>
    </row>
    <row r="798" spans="119:133" ht="21" customHeight="1">
      <c r="DO798" s="494"/>
      <c r="DP798" s="496" t="s">
        <v>2666</v>
      </c>
      <c r="DQ798" s="496" t="s">
        <v>8</v>
      </c>
      <c r="DR798" s="496" t="s">
        <v>689</v>
      </c>
      <c r="DS798" s="496" t="s">
        <v>2667</v>
      </c>
      <c r="DT798" s="496" t="s">
        <v>2667</v>
      </c>
      <c r="DU798" s="496" t="s">
        <v>1554</v>
      </c>
      <c r="DV798" s="496" t="s">
        <v>1555</v>
      </c>
      <c r="DW798" s="496" t="s">
        <v>1981</v>
      </c>
      <c r="DX798" s="497" t="s">
        <v>1982</v>
      </c>
      <c r="DZ798" s="543">
        <v>1</v>
      </c>
      <c r="EB798" s="493"/>
      <c r="EC798" s="493"/>
    </row>
    <row r="799" spans="119:133" ht="21" customHeight="1">
      <c r="DO799" s="494"/>
      <c r="DP799" s="496" t="s">
        <v>2668</v>
      </c>
      <c r="DQ799" s="496" t="s">
        <v>8</v>
      </c>
      <c r="DR799" s="496" t="s">
        <v>689</v>
      </c>
      <c r="DS799" s="496" t="s">
        <v>2669</v>
      </c>
      <c r="DT799" s="496" t="s">
        <v>2669</v>
      </c>
      <c r="DU799" s="496" t="s">
        <v>1554</v>
      </c>
      <c r="DV799" s="496" t="s">
        <v>1555</v>
      </c>
      <c r="DW799" s="496" t="s">
        <v>1981</v>
      </c>
      <c r="DX799" s="497" t="s">
        <v>1982</v>
      </c>
      <c r="DZ799" s="543">
        <v>1</v>
      </c>
      <c r="EB799" s="493"/>
      <c r="EC799" s="493"/>
    </row>
    <row r="800" spans="119:133" ht="21" customHeight="1">
      <c r="DO800" s="494"/>
      <c r="DP800" s="496" t="s">
        <v>2670</v>
      </c>
      <c r="DQ800" s="496" t="s">
        <v>8</v>
      </c>
      <c r="DR800" s="496" t="s">
        <v>689</v>
      </c>
      <c r="DS800" s="496" t="s">
        <v>2671</v>
      </c>
      <c r="DT800" s="496" t="s">
        <v>2671</v>
      </c>
      <c r="DU800" s="496" t="s">
        <v>1554</v>
      </c>
      <c r="DV800" s="496" t="s">
        <v>1555</v>
      </c>
      <c r="DW800" s="496" t="s">
        <v>1981</v>
      </c>
      <c r="DX800" s="497" t="s">
        <v>1982</v>
      </c>
      <c r="DZ800" s="543">
        <v>1</v>
      </c>
      <c r="EB800" s="493"/>
      <c r="EC800" s="493"/>
    </row>
    <row r="801" spans="119:133" ht="21" customHeight="1">
      <c r="DO801" s="494"/>
      <c r="DP801" s="496" t="s">
        <v>2672</v>
      </c>
      <c r="DQ801" s="496" t="s">
        <v>8</v>
      </c>
      <c r="DR801" s="496" t="s">
        <v>689</v>
      </c>
      <c r="DS801" s="496" t="s">
        <v>2673</v>
      </c>
      <c r="DT801" s="496" t="s">
        <v>2673</v>
      </c>
      <c r="DU801" s="496" t="s">
        <v>1554</v>
      </c>
      <c r="DV801" s="496" t="s">
        <v>1555</v>
      </c>
      <c r="DW801" s="496" t="s">
        <v>1981</v>
      </c>
      <c r="DX801" s="497" t="s">
        <v>1982</v>
      </c>
      <c r="DZ801" s="543">
        <v>1</v>
      </c>
      <c r="EB801" s="493"/>
      <c r="EC801" s="493"/>
    </row>
    <row r="802" spans="119:133" ht="21" customHeight="1">
      <c r="DO802" s="494"/>
      <c r="DP802" s="496" t="s">
        <v>2674</v>
      </c>
      <c r="DQ802" s="496" t="s">
        <v>8</v>
      </c>
      <c r="DR802" s="496" t="s">
        <v>689</v>
      </c>
      <c r="DS802" s="496" t="s">
        <v>2675</v>
      </c>
      <c r="DT802" s="496" t="s">
        <v>2675</v>
      </c>
      <c r="DU802" s="496" t="s">
        <v>1554</v>
      </c>
      <c r="DV802" s="496" t="s">
        <v>1555</v>
      </c>
      <c r="DW802" s="496" t="s">
        <v>1981</v>
      </c>
      <c r="DX802" s="497" t="s">
        <v>1982</v>
      </c>
      <c r="DZ802" s="543">
        <v>1</v>
      </c>
      <c r="EB802" s="493"/>
      <c r="EC802" s="493"/>
    </row>
    <row r="803" spans="119:133" ht="21" customHeight="1">
      <c r="DO803" s="494"/>
      <c r="DP803" s="496" t="s">
        <v>2676</v>
      </c>
      <c r="DQ803" s="496" t="s">
        <v>8</v>
      </c>
      <c r="DR803" s="496" t="s">
        <v>689</v>
      </c>
      <c r="DS803" s="496" t="s">
        <v>2677</v>
      </c>
      <c r="DT803" s="496" t="s">
        <v>2677</v>
      </c>
      <c r="DU803" s="496" t="s">
        <v>1554</v>
      </c>
      <c r="DV803" s="496" t="s">
        <v>1555</v>
      </c>
      <c r="DW803" s="496" t="s">
        <v>1981</v>
      </c>
      <c r="DX803" s="497" t="s">
        <v>1982</v>
      </c>
      <c r="DZ803" s="543">
        <v>1</v>
      </c>
      <c r="EB803" s="493"/>
      <c r="EC803" s="493"/>
    </row>
    <row r="804" spans="119:133" ht="21" customHeight="1">
      <c r="DO804" s="494"/>
      <c r="DP804" s="496" t="s">
        <v>2678</v>
      </c>
      <c r="DQ804" s="496" t="s">
        <v>8</v>
      </c>
      <c r="DR804" s="496" t="s">
        <v>689</v>
      </c>
      <c r="DS804" s="496" t="s">
        <v>2679</v>
      </c>
      <c r="DT804" s="496" t="s">
        <v>2679</v>
      </c>
      <c r="DU804" s="496" t="s">
        <v>1554</v>
      </c>
      <c r="DV804" s="496" t="s">
        <v>1555</v>
      </c>
      <c r="DW804" s="496" t="s">
        <v>1981</v>
      </c>
      <c r="DX804" s="497" t="s">
        <v>1982</v>
      </c>
      <c r="DZ804" s="543">
        <v>1</v>
      </c>
      <c r="EB804" s="493"/>
      <c r="EC804" s="493"/>
    </row>
    <row r="805" spans="119:133" ht="21" customHeight="1">
      <c r="DO805" s="494"/>
      <c r="DP805" s="496" t="s">
        <v>2680</v>
      </c>
      <c r="DQ805" s="496" t="s">
        <v>8</v>
      </c>
      <c r="DR805" s="496" t="s">
        <v>689</v>
      </c>
      <c r="DS805" s="496" t="s">
        <v>2681</v>
      </c>
      <c r="DT805" s="496" t="s">
        <v>2681</v>
      </c>
      <c r="DU805" s="496" t="s">
        <v>1554</v>
      </c>
      <c r="DV805" s="496" t="s">
        <v>1555</v>
      </c>
      <c r="DW805" s="496" t="s">
        <v>1981</v>
      </c>
      <c r="DX805" s="497" t="s">
        <v>1982</v>
      </c>
      <c r="DZ805" s="543">
        <v>1</v>
      </c>
      <c r="EB805" s="493"/>
      <c r="EC805" s="493"/>
    </row>
    <row r="806" spans="119:133" ht="21" customHeight="1">
      <c r="DO806" s="494"/>
      <c r="DP806" s="496" t="s">
        <v>2682</v>
      </c>
      <c r="DQ806" s="496" t="s">
        <v>8</v>
      </c>
      <c r="DR806" s="496" t="s">
        <v>689</v>
      </c>
      <c r="DS806" s="496" t="s">
        <v>2683</v>
      </c>
      <c r="DT806" s="496" t="s">
        <v>2683</v>
      </c>
      <c r="DU806" s="496" t="s">
        <v>1554</v>
      </c>
      <c r="DV806" s="496" t="s">
        <v>1555</v>
      </c>
      <c r="DW806" s="496" t="s">
        <v>1981</v>
      </c>
      <c r="DX806" s="497" t="s">
        <v>1982</v>
      </c>
      <c r="DZ806" s="543">
        <v>1</v>
      </c>
      <c r="EB806" s="493"/>
      <c r="EC806" s="493"/>
    </row>
    <row r="807" spans="119:133" ht="21" customHeight="1">
      <c r="DO807" s="494"/>
      <c r="DP807" s="496" t="s">
        <v>2684</v>
      </c>
      <c r="DQ807" s="496" t="s">
        <v>8</v>
      </c>
      <c r="DR807" s="496" t="s">
        <v>689</v>
      </c>
      <c r="DS807" s="496" t="s">
        <v>2685</v>
      </c>
      <c r="DT807" s="496" t="s">
        <v>2685</v>
      </c>
      <c r="DU807" s="496" t="s">
        <v>1554</v>
      </c>
      <c r="DV807" s="496" t="s">
        <v>1555</v>
      </c>
      <c r="DW807" s="496" t="s">
        <v>1981</v>
      </c>
      <c r="DX807" s="497" t="s">
        <v>1982</v>
      </c>
      <c r="DZ807" s="543">
        <v>1</v>
      </c>
      <c r="EB807" s="493"/>
      <c r="EC807" s="493"/>
    </row>
    <row r="808" spans="119:133" ht="21" customHeight="1">
      <c r="DO808" s="494"/>
      <c r="DP808" s="496" t="s">
        <v>2686</v>
      </c>
      <c r="DQ808" s="496" t="s">
        <v>8</v>
      </c>
      <c r="DR808" s="496" t="s">
        <v>689</v>
      </c>
      <c r="DS808" s="496" t="s">
        <v>2687</v>
      </c>
      <c r="DT808" s="496" t="s">
        <v>2687</v>
      </c>
      <c r="DU808" s="496" t="s">
        <v>1554</v>
      </c>
      <c r="DV808" s="496" t="s">
        <v>1555</v>
      </c>
      <c r="DW808" s="496" t="s">
        <v>1981</v>
      </c>
      <c r="DX808" s="497" t="s">
        <v>1982</v>
      </c>
      <c r="DZ808" s="543">
        <v>1</v>
      </c>
      <c r="EB808" s="493"/>
      <c r="EC808" s="493"/>
    </row>
    <row r="809" spans="119:133" ht="21" customHeight="1">
      <c r="DO809" s="494"/>
      <c r="DP809" s="496" t="s">
        <v>2688</v>
      </c>
      <c r="DQ809" s="496" t="s">
        <v>8</v>
      </c>
      <c r="DR809" s="496" t="s">
        <v>689</v>
      </c>
      <c r="DS809" s="496" t="s">
        <v>2689</v>
      </c>
      <c r="DT809" s="496" t="s">
        <v>2689</v>
      </c>
      <c r="DU809" s="496" t="s">
        <v>1554</v>
      </c>
      <c r="DV809" s="496" t="s">
        <v>1555</v>
      </c>
      <c r="DW809" s="496" t="s">
        <v>1981</v>
      </c>
      <c r="DX809" s="497" t="s">
        <v>1982</v>
      </c>
      <c r="DZ809" s="543">
        <v>1</v>
      </c>
      <c r="EB809" s="493"/>
      <c r="EC809" s="493"/>
    </row>
    <row r="810" spans="119:133" ht="21" customHeight="1">
      <c r="DO810" s="494"/>
      <c r="DP810" s="496" t="s">
        <v>2690</v>
      </c>
      <c r="DQ810" s="496" t="s">
        <v>8</v>
      </c>
      <c r="DR810" s="496" t="s">
        <v>689</v>
      </c>
      <c r="DS810" s="496" t="s">
        <v>2691</v>
      </c>
      <c r="DT810" s="496" t="s">
        <v>2691</v>
      </c>
      <c r="DU810" s="496" t="s">
        <v>1554</v>
      </c>
      <c r="DV810" s="496" t="s">
        <v>1555</v>
      </c>
      <c r="DW810" s="496" t="s">
        <v>1981</v>
      </c>
      <c r="DX810" s="497" t="s">
        <v>1982</v>
      </c>
      <c r="DZ810" s="543">
        <v>1</v>
      </c>
      <c r="EB810" s="493"/>
      <c r="EC810" s="493"/>
    </row>
    <row r="811" spans="119:133" ht="21" customHeight="1">
      <c r="DO811" s="494"/>
      <c r="DP811" s="496" t="s">
        <v>2692</v>
      </c>
      <c r="DQ811" s="496" t="s">
        <v>8</v>
      </c>
      <c r="DR811" s="496" t="s">
        <v>689</v>
      </c>
      <c r="DS811" s="496" t="s">
        <v>2693</v>
      </c>
      <c r="DT811" s="496" t="s">
        <v>2693</v>
      </c>
      <c r="DU811" s="496" t="s">
        <v>1554</v>
      </c>
      <c r="DV811" s="496" t="s">
        <v>1555</v>
      </c>
      <c r="DW811" s="496" t="s">
        <v>1981</v>
      </c>
      <c r="DX811" s="497" t="s">
        <v>1982</v>
      </c>
      <c r="DZ811" s="543">
        <v>1</v>
      </c>
      <c r="EB811" s="493"/>
      <c r="EC811" s="493"/>
    </row>
    <row r="812" spans="119:133" ht="21" customHeight="1">
      <c r="DO812" s="494"/>
      <c r="DP812" s="496" t="s">
        <v>2694</v>
      </c>
      <c r="DQ812" s="496" t="s">
        <v>8</v>
      </c>
      <c r="DR812" s="496" t="s">
        <v>689</v>
      </c>
      <c r="DS812" s="496" t="s">
        <v>2695</v>
      </c>
      <c r="DT812" s="496" t="s">
        <v>2695</v>
      </c>
      <c r="DU812" s="496" t="s">
        <v>1554</v>
      </c>
      <c r="DV812" s="496" t="s">
        <v>1555</v>
      </c>
      <c r="DW812" s="496" t="s">
        <v>1981</v>
      </c>
      <c r="DX812" s="497" t="s">
        <v>1982</v>
      </c>
      <c r="DZ812" s="543">
        <v>1</v>
      </c>
      <c r="EB812" s="493"/>
      <c r="EC812" s="493"/>
    </row>
    <row r="813" spans="119:133" ht="21" customHeight="1">
      <c r="DO813" s="494"/>
      <c r="DP813" s="496" t="s">
        <v>2696</v>
      </c>
      <c r="DQ813" s="496" t="s">
        <v>8</v>
      </c>
      <c r="DR813" s="496" t="s">
        <v>689</v>
      </c>
      <c r="DS813" s="496" t="s">
        <v>2697</v>
      </c>
      <c r="DT813" s="496" t="s">
        <v>2697</v>
      </c>
      <c r="DU813" s="496" t="s">
        <v>1554</v>
      </c>
      <c r="DV813" s="496" t="s">
        <v>1555</v>
      </c>
      <c r="DW813" s="496" t="s">
        <v>1981</v>
      </c>
      <c r="DX813" s="497" t="s">
        <v>1982</v>
      </c>
      <c r="DZ813" s="543">
        <v>1</v>
      </c>
      <c r="EB813" s="493"/>
      <c r="EC813" s="493"/>
    </row>
    <row r="814" spans="119:133" ht="21" customHeight="1">
      <c r="DO814" s="494"/>
      <c r="DP814" s="496" t="s">
        <v>2698</v>
      </c>
      <c r="DQ814" s="496" t="s">
        <v>8</v>
      </c>
      <c r="DR814" s="496" t="s">
        <v>689</v>
      </c>
      <c r="DS814" s="496" t="s">
        <v>358</v>
      </c>
      <c r="DT814" s="496" t="s">
        <v>358</v>
      </c>
      <c r="DU814" s="496" t="s">
        <v>1554</v>
      </c>
      <c r="DV814" s="496" t="s">
        <v>1555</v>
      </c>
      <c r="DW814" s="496" t="s">
        <v>1981</v>
      </c>
      <c r="DX814" s="497" t="s">
        <v>1982</v>
      </c>
      <c r="DZ814" s="543">
        <v>1</v>
      </c>
      <c r="EB814" s="493"/>
      <c r="EC814" s="493"/>
    </row>
    <row r="815" spans="119:133" ht="21" customHeight="1">
      <c r="DO815" s="494"/>
      <c r="DP815" s="496" t="s">
        <v>2699</v>
      </c>
      <c r="DQ815" s="496" t="s">
        <v>8</v>
      </c>
      <c r="DR815" s="496" t="s">
        <v>689</v>
      </c>
      <c r="DS815" s="496" t="s">
        <v>2700</v>
      </c>
      <c r="DT815" s="496" t="s">
        <v>2700</v>
      </c>
      <c r="DU815" s="496" t="s">
        <v>1151</v>
      </c>
      <c r="DV815" s="496" t="s">
        <v>1152</v>
      </c>
      <c r="DW815" s="496" t="s">
        <v>1087</v>
      </c>
      <c r="DX815" s="497" t="s">
        <v>1153</v>
      </c>
      <c r="DZ815" s="543">
        <v>1</v>
      </c>
      <c r="EB815" s="493"/>
      <c r="EC815" s="493"/>
    </row>
    <row r="816" spans="119:133" ht="21" customHeight="1">
      <c r="DO816" s="494"/>
      <c r="DP816" s="496" t="s">
        <v>2701</v>
      </c>
      <c r="DQ816" s="496" t="s">
        <v>8</v>
      </c>
      <c r="DR816" s="496" t="s">
        <v>689</v>
      </c>
      <c r="DS816" s="496" t="s">
        <v>2702</v>
      </c>
      <c r="DT816" s="496" t="s">
        <v>2702</v>
      </c>
      <c r="DU816" s="496" t="s">
        <v>1151</v>
      </c>
      <c r="DV816" s="496" t="s">
        <v>1152</v>
      </c>
      <c r="DW816" s="496" t="s">
        <v>1087</v>
      </c>
      <c r="DX816" s="497" t="s">
        <v>1153</v>
      </c>
      <c r="DZ816" s="543">
        <v>1</v>
      </c>
      <c r="EB816" s="493"/>
      <c r="EC816" s="493"/>
    </row>
    <row r="817" spans="119:133" ht="21" customHeight="1">
      <c r="DO817" s="494"/>
      <c r="DP817" s="496" t="s">
        <v>2703</v>
      </c>
      <c r="DQ817" s="496" t="s">
        <v>8</v>
      </c>
      <c r="DR817" s="496" t="s">
        <v>689</v>
      </c>
      <c r="DS817" s="496" t="s">
        <v>359</v>
      </c>
      <c r="DT817" s="496" t="s">
        <v>359</v>
      </c>
      <c r="DU817" s="496" t="s">
        <v>1554</v>
      </c>
      <c r="DV817" s="496" t="s">
        <v>1555</v>
      </c>
      <c r="DW817" s="496" t="s">
        <v>1981</v>
      </c>
      <c r="DX817" s="497" t="s">
        <v>1982</v>
      </c>
      <c r="DZ817" s="543">
        <v>1</v>
      </c>
      <c r="EB817" s="493"/>
      <c r="EC817" s="493"/>
    </row>
    <row r="818" spans="119:133" ht="21" customHeight="1">
      <c r="DO818" s="494"/>
      <c r="DP818" s="496" t="s">
        <v>2704</v>
      </c>
      <c r="DQ818" s="496" t="s">
        <v>8</v>
      </c>
      <c r="DR818" s="496" t="s">
        <v>689</v>
      </c>
      <c r="DS818" s="496" t="s">
        <v>2705</v>
      </c>
      <c r="DT818" s="496" t="s">
        <v>2705</v>
      </c>
      <c r="DU818" s="496" t="s">
        <v>1554</v>
      </c>
      <c r="DV818" s="496" t="s">
        <v>1555</v>
      </c>
      <c r="DW818" s="496" t="s">
        <v>1981</v>
      </c>
      <c r="DX818" s="497" t="s">
        <v>1982</v>
      </c>
      <c r="DZ818" s="543">
        <v>1</v>
      </c>
      <c r="EB818" s="493"/>
      <c r="EC818" s="493"/>
    </row>
    <row r="819" spans="119:133" ht="21" customHeight="1">
      <c r="DO819" s="494"/>
      <c r="DP819" s="496" t="s">
        <v>2706</v>
      </c>
      <c r="DQ819" s="496" t="s">
        <v>8</v>
      </c>
      <c r="DR819" s="496" t="s">
        <v>689</v>
      </c>
      <c r="DS819" s="496" t="s">
        <v>2707</v>
      </c>
      <c r="DT819" s="496" t="s">
        <v>2707</v>
      </c>
      <c r="DU819" s="496" t="s">
        <v>1554</v>
      </c>
      <c r="DV819" s="496" t="s">
        <v>1555</v>
      </c>
      <c r="DW819" s="496" t="s">
        <v>1981</v>
      </c>
      <c r="DX819" s="497" t="s">
        <v>1982</v>
      </c>
      <c r="DZ819" s="543">
        <v>1</v>
      </c>
      <c r="EB819" s="493"/>
      <c r="EC819" s="493"/>
    </row>
    <row r="820" spans="119:133" ht="21" customHeight="1">
      <c r="DO820" s="494"/>
      <c r="DP820" s="496" t="s">
        <v>2708</v>
      </c>
      <c r="DQ820" s="496" t="s">
        <v>8</v>
      </c>
      <c r="DR820" s="496" t="s">
        <v>689</v>
      </c>
      <c r="DS820" s="496" t="s">
        <v>2709</v>
      </c>
      <c r="DT820" s="496" t="s">
        <v>2709</v>
      </c>
      <c r="DU820" s="496" t="s">
        <v>1554</v>
      </c>
      <c r="DV820" s="496" t="s">
        <v>1555</v>
      </c>
      <c r="DW820" s="496" t="s">
        <v>1981</v>
      </c>
      <c r="DX820" s="497" t="s">
        <v>1982</v>
      </c>
      <c r="DZ820" s="543">
        <v>1</v>
      </c>
      <c r="EB820" s="493"/>
      <c r="EC820" s="493"/>
    </row>
    <row r="821" spans="119:133" ht="21" customHeight="1">
      <c r="DO821" s="494"/>
      <c r="DP821" s="496" t="s">
        <v>2710</v>
      </c>
      <c r="DQ821" s="496" t="s">
        <v>8</v>
      </c>
      <c r="DR821" s="496" t="s">
        <v>689</v>
      </c>
      <c r="DS821" s="496" t="s">
        <v>2711</v>
      </c>
      <c r="DT821" s="496" t="s">
        <v>2711</v>
      </c>
      <c r="DU821" s="496" t="s">
        <v>1554</v>
      </c>
      <c r="DV821" s="496" t="s">
        <v>1555</v>
      </c>
      <c r="DW821" s="496" t="s">
        <v>1981</v>
      </c>
      <c r="DX821" s="497" t="s">
        <v>1982</v>
      </c>
      <c r="DZ821" s="543">
        <v>1</v>
      </c>
      <c r="EB821" s="493"/>
      <c r="EC821" s="493"/>
    </row>
    <row r="822" spans="119:133" ht="21" customHeight="1">
      <c r="DO822" s="494"/>
      <c r="DP822" s="496" t="s">
        <v>2712</v>
      </c>
      <c r="DQ822" s="496" t="s">
        <v>8</v>
      </c>
      <c r="DR822" s="496" t="s">
        <v>689</v>
      </c>
      <c r="DS822" s="496" t="s">
        <v>2713</v>
      </c>
      <c r="DT822" s="496" t="s">
        <v>2713</v>
      </c>
      <c r="DU822" s="496" t="s">
        <v>1554</v>
      </c>
      <c r="DV822" s="496" t="s">
        <v>1555</v>
      </c>
      <c r="DW822" s="496" t="s">
        <v>1981</v>
      </c>
      <c r="DX822" s="497" t="s">
        <v>1982</v>
      </c>
      <c r="DZ822" s="543">
        <v>1</v>
      </c>
      <c r="EB822" s="493"/>
      <c r="EC822" s="493"/>
    </row>
    <row r="823" spans="119:133" ht="21" customHeight="1">
      <c r="DO823" s="494"/>
      <c r="DP823" s="496" t="s">
        <v>2714</v>
      </c>
      <c r="DQ823" s="496" t="s">
        <v>8</v>
      </c>
      <c r="DR823" s="496" t="s">
        <v>689</v>
      </c>
      <c r="DS823" s="496" t="s">
        <v>2715</v>
      </c>
      <c r="DT823" s="496" t="s">
        <v>2715</v>
      </c>
      <c r="DU823" s="496" t="s">
        <v>1554</v>
      </c>
      <c r="DV823" s="496" t="s">
        <v>1555</v>
      </c>
      <c r="DW823" s="496" t="s">
        <v>1981</v>
      </c>
      <c r="DX823" s="497" t="s">
        <v>1982</v>
      </c>
      <c r="DZ823" s="543">
        <v>1</v>
      </c>
      <c r="EB823" s="493"/>
      <c r="EC823" s="493"/>
    </row>
    <row r="824" spans="119:133" ht="21" customHeight="1">
      <c r="DO824" s="494"/>
      <c r="DP824" s="496" t="s">
        <v>2716</v>
      </c>
      <c r="DQ824" s="496" t="s">
        <v>8</v>
      </c>
      <c r="DR824" s="496" t="s">
        <v>689</v>
      </c>
      <c r="DS824" s="496" t="s">
        <v>2717</v>
      </c>
      <c r="DT824" s="496" t="s">
        <v>2717</v>
      </c>
      <c r="DU824" s="496" t="s">
        <v>1554</v>
      </c>
      <c r="DV824" s="496" t="s">
        <v>1555</v>
      </c>
      <c r="DW824" s="496" t="s">
        <v>1981</v>
      </c>
      <c r="DX824" s="497" t="s">
        <v>1982</v>
      </c>
      <c r="DZ824" s="543">
        <v>1</v>
      </c>
      <c r="EB824" s="493"/>
      <c r="EC824" s="493"/>
    </row>
    <row r="825" spans="119:133" ht="21" customHeight="1">
      <c r="DO825" s="494"/>
      <c r="DP825" s="496" t="s">
        <v>2718</v>
      </c>
      <c r="DQ825" s="496" t="s">
        <v>8</v>
      </c>
      <c r="DR825" s="496" t="s">
        <v>689</v>
      </c>
      <c r="DS825" s="496" t="s">
        <v>2719</v>
      </c>
      <c r="DT825" s="496" t="s">
        <v>2719</v>
      </c>
      <c r="DU825" s="496" t="s">
        <v>1085</v>
      </c>
      <c r="DV825" s="496" t="s">
        <v>2063</v>
      </c>
      <c r="DW825" s="496" t="s">
        <v>1087</v>
      </c>
      <c r="DX825" s="497" t="s">
        <v>1088</v>
      </c>
      <c r="DZ825" s="543">
        <v>1</v>
      </c>
      <c r="EB825" s="493"/>
      <c r="EC825" s="493"/>
    </row>
    <row r="826" spans="119:133" ht="21" customHeight="1">
      <c r="DO826" s="494"/>
      <c r="DP826" s="496" t="s">
        <v>2720</v>
      </c>
      <c r="DQ826" s="496" t="s">
        <v>8</v>
      </c>
      <c r="DR826" s="496" t="s">
        <v>689</v>
      </c>
      <c r="DS826" s="496" t="s">
        <v>1032</v>
      </c>
      <c r="DT826" s="496" t="s">
        <v>1032</v>
      </c>
      <c r="DU826" s="496" t="s">
        <v>1554</v>
      </c>
      <c r="DV826" s="496" t="s">
        <v>1555</v>
      </c>
      <c r="DW826" s="496" t="s">
        <v>1981</v>
      </c>
      <c r="DX826" s="497" t="s">
        <v>1982</v>
      </c>
      <c r="DZ826" s="543">
        <v>1</v>
      </c>
      <c r="EB826" s="493"/>
      <c r="EC826" s="493"/>
    </row>
    <row r="827" spans="119:133" ht="21" customHeight="1">
      <c r="DO827" s="494"/>
      <c r="DP827" s="496" t="s">
        <v>2721</v>
      </c>
      <c r="DQ827" s="496" t="s">
        <v>8</v>
      </c>
      <c r="DR827" s="496" t="s">
        <v>689</v>
      </c>
      <c r="DS827" s="496" t="s">
        <v>2722</v>
      </c>
      <c r="DT827" s="496" t="s">
        <v>2722</v>
      </c>
      <c r="DU827" s="496" t="s">
        <v>1554</v>
      </c>
      <c r="DV827" s="496" t="s">
        <v>1555</v>
      </c>
      <c r="DW827" s="496" t="s">
        <v>1981</v>
      </c>
      <c r="DX827" s="497" t="s">
        <v>1982</v>
      </c>
      <c r="DZ827" s="543">
        <v>1</v>
      </c>
      <c r="EB827" s="493"/>
      <c r="EC827" s="493"/>
    </row>
    <row r="828" spans="119:133" ht="21" customHeight="1">
      <c r="DO828" s="494"/>
      <c r="DP828" s="496" t="s">
        <v>2723</v>
      </c>
      <c r="DQ828" s="496" t="s">
        <v>8</v>
      </c>
      <c r="DR828" s="496" t="s">
        <v>689</v>
      </c>
      <c r="DS828" s="496" t="s">
        <v>2724</v>
      </c>
      <c r="DT828" s="496" t="s">
        <v>2724</v>
      </c>
      <c r="DU828" s="496" t="s">
        <v>1554</v>
      </c>
      <c r="DV828" s="496" t="s">
        <v>1555</v>
      </c>
      <c r="DW828" s="496" t="s">
        <v>1981</v>
      </c>
      <c r="DX828" s="497" t="s">
        <v>1982</v>
      </c>
      <c r="DZ828" s="543">
        <v>1</v>
      </c>
      <c r="EB828" s="493"/>
      <c r="EC828" s="493"/>
    </row>
    <row r="829" spans="119:133" ht="21" customHeight="1">
      <c r="DO829" s="494"/>
      <c r="DP829" s="496" t="s">
        <v>2725</v>
      </c>
      <c r="DQ829" s="496" t="s">
        <v>8</v>
      </c>
      <c r="DR829" s="496" t="s">
        <v>689</v>
      </c>
      <c r="DS829" s="496" t="s">
        <v>2726</v>
      </c>
      <c r="DT829" s="496" t="s">
        <v>2726</v>
      </c>
      <c r="DU829" s="496" t="s">
        <v>1554</v>
      </c>
      <c r="DV829" s="496" t="s">
        <v>1555</v>
      </c>
      <c r="DW829" s="496" t="s">
        <v>1981</v>
      </c>
      <c r="DX829" s="497" t="s">
        <v>1982</v>
      </c>
      <c r="DZ829" s="543">
        <v>1</v>
      </c>
      <c r="EB829" s="493"/>
      <c r="EC829" s="493"/>
    </row>
    <row r="830" spans="119:133" ht="21" customHeight="1">
      <c r="DO830" s="494"/>
      <c r="DP830" s="496" t="s">
        <v>2727</v>
      </c>
      <c r="DQ830" s="496" t="s">
        <v>8</v>
      </c>
      <c r="DR830" s="496" t="s">
        <v>689</v>
      </c>
      <c r="DS830" s="496" t="s">
        <v>2728</v>
      </c>
      <c r="DT830" s="496" t="s">
        <v>2728</v>
      </c>
      <c r="DU830" s="496" t="s">
        <v>1554</v>
      </c>
      <c r="DV830" s="496" t="s">
        <v>1555</v>
      </c>
      <c r="DW830" s="496" t="s">
        <v>1981</v>
      </c>
      <c r="DX830" s="497" t="s">
        <v>1982</v>
      </c>
      <c r="DZ830" s="543">
        <v>1</v>
      </c>
      <c r="EB830" s="493"/>
      <c r="EC830" s="493"/>
    </row>
    <row r="831" spans="119:133" ht="21" customHeight="1">
      <c r="DO831" s="494"/>
      <c r="DP831" s="496" t="s">
        <v>2729</v>
      </c>
      <c r="DQ831" s="496" t="s">
        <v>8</v>
      </c>
      <c r="DR831" s="496" t="s">
        <v>689</v>
      </c>
      <c r="DS831" s="496" t="s">
        <v>2730</v>
      </c>
      <c r="DT831" s="496" t="s">
        <v>2730</v>
      </c>
      <c r="DU831" s="496" t="s">
        <v>1554</v>
      </c>
      <c r="DV831" s="496" t="s">
        <v>1555</v>
      </c>
      <c r="DW831" s="496" t="s">
        <v>1981</v>
      </c>
      <c r="DX831" s="497" t="s">
        <v>1982</v>
      </c>
      <c r="DZ831" s="543">
        <v>1</v>
      </c>
      <c r="EB831" s="493"/>
      <c r="EC831" s="493"/>
    </row>
    <row r="832" spans="119:133" ht="21" customHeight="1">
      <c r="DO832" s="494"/>
      <c r="DP832" s="496" t="s">
        <v>2731</v>
      </c>
      <c r="DQ832" s="496" t="s">
        <v>8</v>
      </c>
      <c r="DR832" s="496" t="s">
        <v>689</v>
      </c>
      <c r="DS832" s="496" t="s">
        <v>2732</v>
      </c>
      <c r="DT832" s="496" t="s">
        <v>2732</v>
      </c>
      <c r="DU832" s="496" t="s">
        <v>1554</v>
      </c>
      <c r="DV832" s="496" t="s">
        <v>1555</v>
      </c>
      <c r="DW832" s="496" t="s">
        <v>1981</v>
      </c>
      <c r="DX832" s="497" t="s">
        <v>1982</v>
      </c>
      <c r="DZ832" s="543">
        <v>1</v>
      </c>
      <c r="EB832" s="493"/>
      <c r="EC832" s="493"/>
    </row>
    <row r="833" spans="119:133" ht="21" customHeight="1">
      <c r="DO833" s="494"/>
      <c r="DP833" s="496" t="s">
        <v>2733</v>
      </c>
      <c r="DQ833" s="496" t="s">
        <v>8</v>
      </c>
      <c r="DR833" s="496" t="s">
        <v>689</v>
      </c>
      <c r="DS833" s="496" t="s">
        <v>2734</v>
      </c>
      <c r="DT833" s="496" t="s">
        <v>2734</v>
      </c>
      <c r="DU833" s="496" t="s">
        <v>1554</v>
      </c>
      <c r="DV833" s="496" t="s">
        <v>1555</v>
      </c>
      <c r="DW833" s="496" t="s">
        <v>1981</v>
      </c>
      <c r="DX833" s="497" t="s">
        <v>1982</v>
      </c>
      <c r="DZ833" s="543">
        <v>1</v>
      </c>
      <c r="EB833" s="493"/>
      <c r="EC833" s="493"/>
    </row>
    <row r="834" spans="119:133" ht="21" customHeight="1">
      <c r="DO834" s="494"/>
      <c r="DP834" s="496" t="s">
        <v>2735</v>
      </c>
      <c r="DQ834" s="496" t="s">
        <v>8</v>
      </c>
      <c r="DR834" s="496" t="s">
        <v>689</v>
      </c>
      <c r="DS834" s="496" t="s">
        <v>2736</v>
      </c>
      <c r="DT834" s="496" t="s">
        <v>2736</v>
      </c>
      <c r="DU834" s="496" t="s">
        <v>1554</v>
      </c>
      <c r="DV834" s="496" t="s">
        <v>1555</v>
      </c>
      <c r="DW834" s="496" t="s">
        <v>1981</v>
      </c>
      <c r="DX834" s="497" t="s">
        <v>1982</v>
      </c>
      <c r="DZ834" s="543">
        <v>1</v>
      </c>
      <c r="EB834" s="493"/>
      <c r="EC834" s="493"/>
    </row>
    <row r="835" spans="119:133" ht="21" customHeight="1">
      <c r="DO835" s="494"/>
      <c r="DP835" s="496" t="s">
        <v>2737</v>
      </c>
      <c r="DQ835" s="496" t="s">
        <v>8</v>
      </c>
      <c r="DR835" s="496" t="s">
        <v>689</v>
      </c>
      <c r="DS835" s="496" t="s">
        <v>2738</v>
      </c>
      <c r="DT835" s="496" t="s">
        <v>2738</v>
      </c>
      <c r="DU835" s="496" t="s">
        <v>1554</v>
      </c>
      <c r="DV835" s="496" t="s">
        <v>1555</v>
      </c>
      <c r="DW835" s="496" t="s">
        <v>1981</v>
      </c>
      <c r="DX835" s="497" t="s">
        <v>1982</v>
      </c>
      <c r="DZ835" s="543">
        <v>1</v>
      </c>
      <c r="EB835" s="493"/>
      <c r="EC835" s="493"/>
    </row>
    <row r="836" spans="119:133" ht="21" customHeight="1">
      <c r="DO836" s="494"/>
      <c r="DP836" s="496" t="s">
        <v>2739</v>
      </c>
      <c r="DQ836" s="496" t="s">
        <v>8</v>
      </c>
      <c r="DR836" s="496" t="s">
        <v>689</v>
      </c>
      <c r="DS836" s="496" t="s">
        <v>2740</v>
      </c>
      <c r="DT836" s="496" t="s">
        <v>2740</v>
      </c>
      <c r="DU836" s="496" t="s">
        <v>1554</v>
      </c>
      <c r="DV836" s="496" t="s">
        <v>1555</v>
      </c>
      <c r="DW836" s="496" t="s">
        <v>1981</v>
      </c>
      <c r="DX836" s="497" t="s">
        <v>1982</v>
      </c>
      <c r="DZ836" s="543">
        <v>1</v>
      </c>
      <c r="EB836" s="493"/>
      <c r="EC836" s="493"/>
    </row>
    <row r="837" spans="119:133" ht="21" customHeight="1">
      <c r="DO837" s="494"/>
      <c r="DP837" s="496" t="s">
        <v>2741</v>
      </c>
      <c r="DQ837" s="496" t="s">
        <v>8</v>
      </c>
      <c r="DR837" s="496" t="s">
        <v>689</v>
      </c>
      <c r="DS837" s="496" t="s">
        <v>2742</v>
      </c>
      <c r="DT837" s="496" t="s">
        <v>2742</v>
      </c>
      <c r="DU837" s="496" t="s">
        <v>1554</v>
      </c>
      <c r="DV837" s="496" t="s">
        <v>1555</v>
      </c>
      <c r="DW837" s="496" t="s">
        <v>1981</v>
      </c>
      <c r="DX837" s="497" t="s">
        <v>1982</v>
      </c>
      <c r="DZ837" s="543">
        <v>1</v>
      </c>
      <c r="EB837" s="493"/>
      <c r="EC837" s="493"/>
    </row>
    <row r="838" spans="119:133" ht="21" customHeight="1">
      <c r="DO838" s="494"/>
      <c r="DP838" s="496" t="s">
        <v>2743</v>
      </c>
      <c r="DQ838" s="496" t="s">
        <v>8</v>
      </c>
      <c r="DR838" s="496" t="s">
        <v>689</v>
      </c>
      <c r="DS838" s="496" t="s">
        <v>2744</v>
      </c>
      <c r="DT838" s="496" t="s">
        <v>2744</v>
      </c>
      <c r="DU838" s="496" t="s">
        <v>1554</v>
      </c>
      <c r="DV838" s="496" t="s">
        <v>1555</v>
      </c>
      <c r="DW838" s="496" t="s">
        <v>1981</v>
      </c>
      <c r="DX838" s="497" t="s">
        <v>1982</v>
      </c>
      <c r="DZ838" s="543">
        <v>1</v>
      </c>
      <c r="EB838" s="493"/>
      <c r="EC838" s="493"/>
    </row>
    <row r="839" spans="119:133" ht="21" customHeight="1">
      <c r="DO839" s="494"/>
      <c r="DP839" s="496" t="s">
        <v>2745</v>
      </c>
      <c r="DQ839" s="496" t="s">
        <v>8</v>
      </c>
      <c r="DR839" s="496" t="s">
        <v>689</v>
      </c>
      <c r="DS839" s="496" t="s">
        <v>2746</v>
      </c>
      <c r="DT839" s="496" t="s">
        <v>2746</v>
      </c>
      <c r="DU839" s="496" t="s">
        <v>1554</v>
      </c>
      <c r="DV839" s="496" t="s">
        <v>1555</v>
      </c>
      <c r="DW839" s="496" t="s">
        <v>1981</v>
      </c>
      <c r="DX839" s="497" t="s">
        <v>1982</v>
      </c>
      <c r="DZ839" s="543">
        <v>1</v>
      </c>
      <c r="EB839" s="493"/>
      <c r="EC839" s="493"/>
    </row>
    <row r="840" spans="119:133" ht="21" customHeight="1">
      <c r="DO840" s="494"/>
      <c r="DP840" s="496" t="s">
        <v>2747</v>
      </c>
      <c r="DQ840" s="496" t="s">
        <v>8</v>
      </c>
      <c r="DR840" s="496" t="s">
        <v>689</v>
      </c>
      <c r="DS840" s="496" t="s">
        <v>2748</v>
      </c>
      <c r="DT840" s="496" t="s">
        <v>2748</v>
      </c>
      <c r="DU840" s="496" t="s">
        <v>1554</v>
      </c>
      <c r="DV840" s="496" t="s">
        <v>1555</v>
      </c>
      <c r="DW840" s="496" t="s">
        <v>1981</v>
      </c>
      <c r="DX840" s="497" t="s">
        <v>1982</v>
      </c>
      <c r="DZ840" s="543">
        <v>1</v>
      </c>
      <c r="EB840" s="493"/>
      <c r="EC840" s="493"/>
    </row>
    <row r="841" spans="119:133" ht="21" customHeight="1">
      <c r="DO841" s="494"/>
      <c r="DP841" s="496" t="s">
        <v>2749</v>
      </c>
      <c r="DQ841" s="496" t="s">
        <v>8</v>
      </c>
      <c r="DR841" s="496" t="s">
        <v>689</v>
      </c>
      <c r="DS841" s="496" t="s">
        <v>2750</v>
      </c>
      <c r="DT841" s="496" t="s">
        <v>2750</v>
      </c>
      <c r="DU841" s="496" t="s">
        <v>1554</v>
      </c>
      <c r="DV841" s="496" t="s">
        <v>1555</v>
      </c>
      <c r="DW841" s="496" t="s">
        <v>1981</v>
      </c>
      <c r="DX841" s="497" t="s">
        <v>1982</v>
      </c>
      <c r="DZ841" s="543">
        <v>1</v>
      </c>
      <c r="EB841" s="493"/>
      <c r="EC841" s="493"/>
    </row>
    <row r="842" spans="119:133" ht="21" customHeight="1">
      <c r="DO842" s="494"/>
      <c r="DP842" s="496" t="s">
        <v>2751</v>
      </c>
      <c r="DQ842" s="496" t="s">
        <v>8</v>
      </c>
      <c r="DR842" s="496" t="s">
        <v>689</v>
      </c>
      <c r="DS842" s="496" t="s">
        <v>2752</v>
      </c>
      <c r="DT842" s="496" t="s">
        <v>2752</v>
      </c>
      <c r="DU842" s="496" t="s">
        <v>1554</v>
      </c>
      <c r="DV842" s="496" t="s">
        <v>1555</v>
      </c>
      <c r="DW842" s="496" t="s">
        <v>1981</v>
      </c>
      <c r="DX842" s="497" t="s">
        <v>1982</v>
      </c>
      <c r="DZ842" s="543">
        <v>1</v>
      </c>
      <c r="EB842" s="493"/>
      <c r="EC842" s="493"/>
    </row>
    <row r="843" spans="119:133" ht="21" customHeight="1">
      <c r="DO843" s="494"/>
      <c r="DP843" s="496" t="s">
        <v>2753</v>
      </c>
      <c r="DQ843" s="496" t="s">
        <v>8</v>
      </c>
      <c r="DR843" s="496" t="s">
        <v>689</v>
      </c>
      <c r="DS843" s="496" t="s">
        <v>174</v>
      </c>
      <c r="DT843" s="496" t="s">
        <v>174</v>
      </c>
      <c r="DU843" s="496" t="s">
        <v>1554</v>
      </c>
      <c r="DV843" s="496" t="s">
        <v>1555</v>
      </c>
      <c r="DW843" s="496" t="s">
        <v>1981</v>
      </c>
      <c r="DX843" s="497" t="s">
        <v>1982</v>
      </c>
      <c r="DZ843" s="543">
        <v>1</v>
      </c>
      <c r="EB843" s="493"/>
      <c r="EC843" s="493"/>
    </row>
    <row r="844" spans="119:133" ht="21" customHeight="1">
      <c r="DO844" s="494"/>
      <c r="DP844" s="496" t="s">
        <v>2754</v>
      </c>
      <c r="DQ844" s="496" t="s">
        <v>8</v>
      </c>
      <c r="DR844" s="496" t="s">
        <v>689</v>
      </c>
      <c r="DS844" s="496" t="s">
        <v>2755</v>
      </c>
      <c r="DT844" s="496" t="s">
        <v>2755</v>
      </c>
      <c r="DU844" s="496" t="s">
        <v>1554</v>
      </c>
      <c r="DV844" s="496" t="s">
        <v>1555</v>
      </c>
      <c r="DW844" s="496" t="s">
        <v>1981</v>
      </c>
      <c r="DX844" s="497" t="s">
        <v>1982</v>
      </c>
      <c r="DZ844" s="543">
        <v>1</v>
      </c>
      <c r="EB844" s="493"/>
      <c r="EC844" s="493"/>
    </row>
    <row r="845" spans="119:133" ht="21" customHeight="1">
      <c r="DO845" s="494"/>
      <c r="DP845" s="496" t="s">
        <v>2756</v>
      </c>
      <c r="DQ845" s="496" t="s">
        <v>8</v>
      </c>
      <c r="DR845" s="496" t="s">
        <v>689</v>
      </c>
      <c r="DS845" s="496" t="s">
        <v>1033</v>
      </c>
      <c r="DT845" s="496" t="s">
        <v>1033</v>
      </c>
      <c r="DU845" s="496" t="s">
        <v>1554</v>
      </c>
      <c r="DV845" s="496" t="s">
        <v>1555</v>
      </c>
      <c r="DW845" s="496" t="s">
        <v>1981</v>
      </c>
      <c r="DX845" s="497" t="s">
        <v>1982</v>
      </c>
      <c r="DZ845" s="543">
        <v>1</v>
      </c>
      <c r="EB845" s="493"/>
      <c r="EC845" s="493"/>
    </row>
    <row r="846" spans="119:133" ht="21" customHeight="1">
      <c r="DO846" s="494"/>
      <c r="DP846" s="496" t="s">
        <v>2757</v>
      </c>
      <c r="DQ846" s="496" t="s">
        <v>8</v>
      </c>
      <c r="DR846" s="496" t="s">
        <v>689</v>
      </c>
      <c r="DS846" s="496" t="s">
        <v>701</v>
      </c>
      <c r="DT846" s="496" t="s">
        <v>701</v>
      </c>
      <c r="DU846" s="496" t="s">
        <v>1554</v>
      </c>
      <c r="DV846" s="496" t="s">
        <v>1555</v>
      </c>
      <c r="DW846" s="496" t="s">
        <v>1981</v>
      </c>
      <c r="DX846" s="497" t="s">
        <v>1982</v>
      </c>
      <c r="DZ846" s="543">
        <v>1</v>
      </c>
      <c r="EB846" s="493"/>
      <c r="EC846" s="493"/>
    </row>
    <row r="847" spans="119:133" ht="21" customHeight="1">
      <c r="DO847" s="494"/>
      <c r="DP847" s="496" t="s">
        <v>2758</v>
      </c>
      <c r="DQ847" s="496" t="s">
        <v>8</v>
      </c>
      <c r="DR847" s="496" t="s">
        <v>689</v>
      </c>
      <c r="DS847" s="496" t="s">
        <v>2759</v>
      </c>
      <c r="DT847" s="496" t="s">
        <v>2759</v>
      </c>
      <c r="DU847" s="496" t="s">
        <v>1554</v>
      </c>
      <c r="DV847" s="496" t="s">
        <v>1555</v>
      </c>
      <c r="DW847" s="496" t="s">
        <v>1981</v>
      </c>
      <c r="DX847" s="497" t="s">
        <v>1982</v>
      </c>
      <c r="DZ847" s="543">
        <v>1</v>
      </c>
      <c r="EB847" s="493"/>
      <c r="EC847" s="493"/>
    </row>
    <row r="848" spans="119:133" ht="21" customHeight="1">
      <c r="DO848" s="494"/>
      <c r="DP848" s="496" t="s">
        <v>2760</v>
      </c>
      <c r="DQ848" s="496" t="s">
        <v>8</v>
      </c>
      <c r="DR848" s="496" t="s">
        <v>689</v>
      </c>
      <c r="DS848" s="496" t="s">
        <v>2761</v>
      </c>
      <c r="DT848" s="496" t="s">
        <v>2761</v>
      </c>
      <c r="DU848" s="496" t="s">
        <v>1554</v>
      </c>
      <c r="DV848" s="496" t="s">
        <v>1555</v>
      </c>
      <c r="DW848" s="496" t="s">
        <v>1981</v>
      </c>
      <c r="DX848" s="497" t="s">
        <v>1982</v>
      </c>
      <c r="DZ848" s="543">
        <v>1</v>
      </c>
      <c r="EB848" s="493"/>
      <c r="EC848" s="493"/>
    </row>
    <row r="849" spans="119:133" ht="21" customHeight="1">
      <c r="DO849" s="494"/>
      <c r="DP849" s="496" t="s">
        <v>2762</v>
      </c>
      <c r="DQ849" s="496" t="s">
        <v>8</v>
      </c>
      <c r="DR849" s="496" t="s">
        <v>689</v>
      </c>
      <c r="DS849" s="496" t="s">
        <v>2763</v>
      </c>
      <c r="DT849" s="496" t="s">
        <v>2763</v>
      </c>
      <c r="DU849" s="496" t="s">
        <v>1554</v>
      </c>
      <c r="DV849" s="496" t="s">
        <v>1555</v>
      </c>
      <c r="DW849" s="496" t="s">
        <v>1981</v>
      </c>
      <c r="DX849" s="497" t="s">
        <v>1982</v>
      </c>
      <c r="DZ849" s="543">
        <v>1</v>
      </c>
      <c r="EB849" s="493"/>
      <c r="EC849" s="493"/>
    </row>
    <row r="850" spans="119:133" ht="21" customHeight="1">
      <c r="DO850" s="494"/>
      <c r="DP850" s="496" t="s">
        <v>2764</v>
      </c>
      <c r="DQ850" s="496" t="s">
        <v>8</v>
      </c>
      <c r="DR850" s="496" t="s">
        <v>689</v>
      </c>
      <c r="DS850" s="496" t="s">
        <v>2765</v>
      </c>
      <c r="DT850" s="496" t="s">
        <v>2765</v>
      </c>
      <c r="DU850" s="496" t="s">
        <v>1554</v>
      </c>
      <c r="DV850" s="496" t="s">
        <v>1555</v>
      </c>
      <c r="DW850" s="496" t="s">
        <v>1981</v>
      </c>
      <c r="DX850" s="497" t="s">
        <v>1982</v>
      </c>
      <c r="DZ850" s="543">
        <v>1</v>
      </c>
      <c r="EB850" s="493"/>
      <c r="EC850" s="493"/>
    </row>
    <row r="851" spans="119:133" ht="21" customHeight="1">
      <c r="DO851" s="494"/>
      <c r="DP851" s="496" t="s">
        <v>2766</v>
      </c>
      <c r="DQ851" s="496" t="s">
        <v>8</v>
      </c>
      <c r="DR851" s="496" t="s">
        <v>689</v>
      </c>
      <c r="DS851" s="496" t="s">
        <v>2767</v>
      </c>
      <c r="DT851" s="496" t="s">
        <v>2767</v>
      </c>
      <c r="DU851" s="496" t="s">
        <v>1554</v>
      </c>
      <c r="DV851" s="496" t="s">
        <v>1555</v>
      </c>
      <c r="DW851" s="496" t="s">
        <v>1981</v>
      </c>
      <c r="DX851" s="497" t="s">
        <v>1982</v>
      </c>
      <c r="DZ851" s="543">
        <v>1</v>
      </c>
      <c r="EB851" s="493"/>
      <c r="EC851" s="493"/>
    </row>
    <row r="852" spans="119:133" ht="21" customHeight="1">
      <c r="DO852" s="494"/>
      <c r="DP852" s="496" t="s">
        <v>2768</v>
      </c>
      <c r="DQ852" s="496" t="s">
        <v>8</v>
      </c>
      <c r="DR852" s="496" t="s">
        <v>689</v>
      </c>
      <c r="DS852" s="496" t="s">
        <v>2769</v>
      </c>
      <c r="DT852" s="496" t="s">
        <v>2769</v>
      </c>
      <c r="DU852" s="496" t="s">
        <v>1554</v>
      </c>
      <c r="DV852" s="496" t="s">
        <v>1555</v>
      </c>
      <c r="DW852" s="496" t="s">
        <v>1981</v>
      </c>
      <c r="DX852" s="497" t="s">
        <v>1982</v>
      </c>
      <c r="DZ852" s="543">
        <v>1</v>
      </c>
      <c r="EB852" s="493"/>
      <c r="EC852" s="493"/>
    </row>
    <row r="853" spans="119:133" ht="21" customHeight="1">
      <c r="DO853" s="494"/>
      <c r="DP853" s="496" t="s">
        <v>2770</v>
      </c>
      <c r="DQ853" s="496" t="s">
        <v>8</v>
      </c>
      <c r="DR853" s="496" t="s">
        <v>689</v>
      </c>
      <c r="DS853" s="496" t="s">
        <v>1034</v>
      </c>
      <c r="DT853" s="496" t="s">
        <v>1034</v>
      </c>
      <c r="DU853" s="496" t="s">
        <v>1554</v>
      </c>
      <c r="DV853" s="496" t="s">
        <v>1555</v>
      </c>
      <c r="DW853" s="496" t="s">
        <v>1981</v>
      </c>
      <c r="DX853" s="497" t="s">
        <v>1982</v>
      </c>
      <c r="DZ853" s="543">
        <v>1</v>
      </c>
      <c r="EB853" s="493"/>
      <c r="EC853" s="493"/>
    </row>
    <row r="854" spans="119:133" ht="21" customHeight="1">
      <c r="DO854" s="494"/>
      <c r="DP854" s="496" t="s">
        <v>2771</v>
      </c>
      <c r="DQ854" s="496" t="s">
        <v>8</v>
      </c>
      <c r="DR854" s="496" t="s">
        <v>689</v>
      </c>
      <c r="DS854" s="496" t="s">
        <v>2772</v>
      </c>
      <c r="DT854" s="496" t="s">
        <v>2772</v>
      </c>
      <c r="DU854" s="496" t="s">
        <v>1554</v>
      </c>
      <c r="DV854" s="496" t="s">
        <v>1555</v>
      </c>
      <c r="DW854" s="496" t="s">
        <v>1981</v>
      </c>
      <c r="DX854" s="497" t="s">
        <v>1982</v>
      </c>
      <c r="DZ854" s="543">
        <v>1</v>
      </c>
      <c r="EB854" s="493"/>
      <c r="EC854" s="493"/>
    </row>
    <row r="855" spans="119:133" ht="21" customHeight="1">
      <c r="DO855" s="494"/>
      <c r="DP855" s="496" t="s">
        <v>2773</v>
      </c>
      <c r="DQ855" s="496" t="s">
        <v>8</v>
      </c>
      <c r="DR855" s="496" t="s">
        <v>689</v>
      </c>
      <c r="DS855" s="496" t="s">
        <v>2774</v>
      </c>
      <c r="DT855" s="496" t="s">
        <v>2774</v>
      </c>
      <c r="DU855" s="496" t="s">
        <v>1554</v>
      </c>
      <c r="DV855" s="496" t="s">
        <v>1555</v>
      </c>
      <c r="DW855" s="496" t="s">
        <v>1981</v>
      </c>
      <c r="DX855" s="497" t="s">
        <v>1982</v>
      </c>
      <c r="DZ855" s="543">
        <v>1</v>
      </c>
      <c r="EB855" s="493"/>
      <c r="EC855" s="493"/>
    </row>
    <row r="856" spans="119:133" ht="21" customHeight="1">
      <c r="DO856" s="494"/>
      <c r="DP856" s="496" t="s">
        <v>2775</v>
      </c>
      <c r="DQ856" s="496" t="s">
        <v>8</v>
      </c>
      <c r="DR856" s="496" t="s">
        <v>689</v>
      </c>
      <c r="DS856" s="496" t="s">
        <v>2776</v>
      </c>
      <c r="DT856" s="496" t="s">
        <v>2776</v>
      </c>
      <c r="DU856" s="496" t="s">
        <v>1554</v>
      </c>
      <c r="DV856" s="496" t="s">
        <v>1555</v>
      </c>
      <c r="DW856" s="496" t="s">
        <v>1981</v>
      </c>
      <c r="DX856" s="497" t="s">
        <v>1982</v>
      </c>
      <c r="DZ856" s="543">
        <v>1</v>
      </c>
      <c r="EB856" s="493"/>
      <c r="EC856" s="493"/>
    </row>
    <row r="857" spans="119:133" ht="21" customHeight="1">
      <c r="DO857" s="494"/>
      <c r="DP857" s="496" t="s">
        <v>2777</v>
      </c>
      <c r="DQ857" s="496" t="s">
        <v>8</v>
      </c>
      <c r="DR857" s="496" t="s">
        <v>689</v>
      </c>
      <c r="DS857" s="496" t="s">
        <v>1035</v>
      </c>
      <c r="DT857" s="496" t="s">
        <v>1035</v>
      </c>
      <c r="DU857" s="496" t="s">
        <v>1554</v>
      </c>
      <c r="DV857" s="496" t="s">
        <v>1555</v>
      </c>
      <c r="DW857" s="496" t="s">
        <v>1981</v>
      </c>
      <c r="DX857" s="497" t="s">
        <v>1982</v>
      </c>
      <c r="DZ857" s="543">
        <v>1</v>
      </c>
      <c r="EB857" s="493"/>
      <c r="EC857" s="493"/>
    </row>
    <row r="858" spans="119:133" ht="21" customHeight="1">
      <c r="DO858" s="494"/>
      <c r="DP858" s="496" t="s">
        <v>2778</v>
      </c>
      <c r="DQ858" s="496" t="s">
        <v>8</v>
      </c>
      <c r="DR858" s="496" t="s">
        <v>689</v>
      </c>
      <c r="DS858" s="496" t="s">
        <v>2779</v>
      </c>
      <c r="DT858" s="496" t="s">
        <v>2779</v>
      </c>
      <c r="DU858" s="496" t="s">
        <v>1554</v>
      </c>
      <c r="DV858" s="496" t="s">
        <v>1555</v>
      </c>
      <c r="DW858" s="496" t="s">
        <v>1981</v>
      </c>
      <c r="DX858" s="497" t="s">
        <v>1982</v>
      </c>
      <c r="DZ858" s="543">
        <v>1</v>
      </c>
      <c r="EB858" s="493"/>
      <c r="EC858" s="493"/>
    </row>
    <row r="859" spans="119:133" ht="21" customHeight="1">
      <c r="DO859" s="494"/>
      <c r="DP859" s="496" t="s">
        <v>2780</v>
      </c>
      <c r="DQ859" s="496" t="s">
        <v>8</v>
      </c>
      <c r="DR859" s="496" t="s">
        <v>689</v>
      </c>
      <c r="DS859" s="496" t="s">
        <v>2781</v>
      </c>
      <c r="DT859" s="496" t="s">
        <v>2781</v>
      </c>
      <c r="DU859" s="496" t="s">
        <v>1554</v>
      </c>
      <c r="DV859" s="496" t="s">
        <v>1555</v>
      </c>
      <c r="DW859" s="496" t="s">
        <v>1981</v>
      </c>
      <c r="DX859" s="497" t="s">
        <v>1982</v>
      </c>
      <c r="DZ859" s="543">
        <v>1</v>
      </c>
      <c r="EB859" s="493"/>
      <c r="EC859" s="493"/>
    </row>
    <row r="860" spans="119:133" ht="21" customHeight="1">
      <c r="DO860" s="494"/>
      <c r="DP860" s="496" t="s">
        <v>2782</v>
      </c>
      <c r="DQ860" s="496" t="s">
        <v>8</v>
      </c>
      <c r="DR860" s="496" t="s">
        <v>689</v>
      </c>
      <c r="DS860" s="496" t="s">
        <v>2783</v>
      </c>
      <c r="DT860" s="496" t="s">
        <v>2783</v>
      </c>
      <c r="DU860" s="496" t="s">
        <v>1554</v>
      </c>
      <c r="DV860" s="496" t="s">
        <v>1555</v>
      </c>
      <c r="DW860" s="496" t="s">
        <v>1981</v>
      </c>
      <c r="DX860" s="497" t="s">
        <v>1982</v>
      </c>
      <c r="DZ860" s="543">
        <v>1</v>
      </c>
      <c r="EB860" s="493"/>
      <c r="EC860" s="493"/>
    </row>
    <row r="861" spans="119:133" ht="21" customHeight="1">
      <c r="DO861" s="494"/>
      <c r="DP861" s="496" t="s">
        <v>2784</v>
      </c>
      <c r="DQ861" s="496" t="s">
        <v>8</v>
      </c>
      <c r="DR861" s="496" t="s">
        <v>689</v>
      </c>
      <c r="DS861" s="496" t="s">
        <v>2785</v>
      </c>
      <c r="DT861" s="496" t="s">
        <v>2785</v>
      </c>
      <c r="DU861" s="496" t="s">
        <v>1554</v>
      </c>
      <c r="DV861" s="496" t="s">
        <v>1555</v>
      </c>
      <c r="DW861" s="496" t="s">
        <v>1981</v>
      </c>
      <c r="DX861" s="497" t="s">
        <v>1982</v>
      </c>
      <c r="DZ861" s="543">
        <v>1</v>
      </c>
      <c r="EB861" s="493"/>
      <c r="EC861" s="493"/>
    </row>
    <row r="862" spans="119:133" ht="21" customHeight="1">
      <c r="DO862" s="494"/>
      <c r="DP862" s="496" t="s">
        <v>2786</v>
      </c>
      <c r="DQ862" s="496" t="s">
        <v>8</v>
      </c>
      <c r="DR862" s="496" t="s">
        <v>689</v>
      </c>
      <c r="DS862" s="496" t="s">
        <v>2787</v>
      </c>
      <c r="DT862" s="496" t="s">
        <v>2787</v>
      </c>
      <c r="DU862" s="496" t="s">
        <v>1554</v>
      </c>
      <c r="DV862" s="496" t="s">
        <v>1555</v>
      </c>
      <c r="DW862" s="496" t="s">
        <v>1981</v>
      </c>
      <c r="DX862" s="497" t="s">
        <v>1982</v>
      </c>
      <c r="DZ862" s="543">
        <v>1</v>
      </c>
      <c r="EB862" s="493"/>
      <c r="EC862" s="493"/>
    </row>
    <row r="863" spans="119:133" ht="21" customHeight="1">
      <c r="DO863" s="494"/>
      <c r="DP863" s="496" t="s">
        <v>2788</v>
      </c>
      <c r="DQ863" s="496" t="s">
        <v>8</v>
      </c>
      <c r="DR863" s="496" t="s">
        <v>689</v>
      </c>
      <c r="DS863" s="496" t="s">
        <v>2789</v>
      </c>
      <c r="DT863" s="496" t="s">
        <v>2789</v>
      </c>
      <c r="DU863" s="496" t="s">
        <v>1554</v>
      </c>
      <c r="DV863" s="496" t="s">
        <v>1555</v>
      </c>
      <c r="DW863" s="496" t="s">
        <v>1981</v>
      </c>
      <c r="DX863" s="497" t="s">
        <v>1982</v>
      </c>
      <c r="DZ863" s="543">
        <v>1</v>
      </c>
      <c r="EB863" s="493"/>
      <c r="EC863" s="493"/>
    </row>
    <row r="864" spans="119:133" ht="21" customHeight="1">
      <c r="DO864" s="494"/>
      <c r="DP864" s="496" t="s">
        <v>2790</v>
      </c>
      <c r="DQ864" s="496" t="s">
        <v>8</v>
      </c>
      <c r="DR864" s="496" t="s">
        <v>689</v>
      </c>
      <c r="DS864" s="496" t="s">
        <v>2791</v>
      </c>
      <c r="DT864" s="496" t="s">
        <v>2791</v>
      </c>
      <c r="DU864" s="496" t="s">
        <v>1554</v>
      </c>
      <c r="DV864" s="496" t="s">
        <v>1555</v>
      </c>
      <c r="DW864" s="496" t="s">
        <v>1981</v>
      </c>
      <c r="DX864" s="497" t="s">
        <v>1982</v>
      </c>
      <c r="DZ864" s="543">
        <v>1</v>
      </c>
      <c r="EB864" s="493"/>
      <c r="EC864" s="493"/>
    </row>
    <row r="865" spans="119:133" ht="21" customHeight="1">
      <c r="DO865" s="494"/>
      <c r="DP865" s="496" t="s">
        <v>2792</v>
      </c>
      <c r="DQ865" s="496" t="s">
        <v>8</v>
      </c>
      <c r="DR865" s="496" t="s">
        <v>689</v>
      </c>
      <c r="DS865" s="496" t="s">
        <v>2793</v>
      </c>
      <c r="DT865" s="496" t="s">
        <v>2793</v>
      </c>
      <c r="DU865" s="496" t="s">
        <v>1554</v>
      </c>
      <c r="DV865" s="496" t="s">
        <v>1555</v>
      </c>
      <c r="DW865" s="496" t="s">
        <v>1981</v>
      </c>
      <c r="DX865" s="497" t="s">
        <v>1982</v>
      </c>
      <c r="DZ865" s="543">
        <v>1</v>
      </c>
      <c r="EB865" s="493"/>
      <c r="EC865" s="493"/>
    </row>
    <row r="866" spans="119:133" ht="21" customHeight="1">
      <c r="DO866" s="494"/>
      <c r="DP866" s="496" t="s">
        <v>2794</v>
      </c>
      <c r="DQ866" s="496" t="s">
        <v>8</v>
      </c>
      <c r="DR866" s="496" t="s">
        <v>689</v>
      </c>
      <c r="DS866" s="496" t="s">
        <v>2795</v>
      </c>
      <c r="DT866" s="496" t="s">
        <v>2795</v>
      </c>
      <c r="DU866" s="496" t="s">
        <v>1554</v>
      </c>
      <c r="DV866" s="496" t="s">
        <v>1555</v>
      </c>
      <c r="DW866" s="496" t="s">
        <v>1981</v>
      </c>
      <c r="DX866" s="497" t="s">
        <v>1982</v>
      </c>
      <c r="DZ866" s="543">
        <v>1</v>
      </c>
      <c r="EB866" s="493"/>
      <c r="EC866" s="493"/>
    </row>
    <row r="867" spans="119:133" ht="21" customHeight="1">
      <c r="DO867" s="494"/>
      <c r="DP867" s="496" t="s">
        <v>2796</v>
      </c>
      <c r="DQ867" s="496" t="s">
        <v>8</v>
      </c>
      <c r="DR867" s="496" t="s">
        <v>689</v>
      </c>
      <c r="DS867" s="496" t="s">
        <v>2797</v>
      </c>
      <c r="DT867" s="496" t="s">
        <v>2797</v>
      </c>
      <c r="DU867" s="496" t="s">
        <v>1554</v>
      </c>
      <c r="DV867" s="496" t="s">
        <v>1555</v>
      </c>
      <c r="DW867" s="496" t="s">
        <v>1981</v>
      </c>
      <c r="DX867" s="497" t="s">
        <v>1982</v>
      </c>
      <c r="DZ867" s="543">
        <v>1</v>
      </c>
      <c r="EB867" s="493"/>
      <c r="EC867" s="493"/>
    </row>
    <row r="868" spans="119:133" ht="21" customHeight="1">
      <c r="DO868" s="494"/>
      <c r="DP868" s="496" t="s">
        <v>2798</v>
      </c>
      <c r="DQ868" s="496" t="s">
        <v>8</v>
      </c>
      <c r="DR868" s="496" t="s">
        <v>689</v>
      </c>
      <c r="DS868" s="496" t="s">
        <v>1036</v>
      </c>
      <c r="DT868" s="496" t="s">
        <v>1036</v>
      </c>
      <c r="DU868" s="496" t="s">
        <v>1554</v>
      </c>
      <c r="DV868" s="496" t="s">
        <v>1555</v>
      </c>
      <c r="DW868" s="496" t="s">
        <v>1981</v>
      </c>
      <c r="DX868" s="497" t="s">
        <v>1982</v>
      </c>
      <c r="DZ868" s="543">
        <v>1</v>
      </c>
      <c r="EB868" s="493"/>
      <c r="EC868" s="493"/>
    </row>
    <row r="869" spans="119:133" ht="21" customHeight="1">
      <c r="DO869" s="494"/>
      <c r="DP869" s="496" t="s">
        <v>2799</v>
      </c>
      <c r="DQ869" s="496" t="s">
        <v>8</v>
      </c>
      <c r="DR869" s="496" t="s">
        <v>689</v>
      </c>
      <c r="DS869" s="496" t="s">
        <v>2800</v>
      </c>
      <c r="DT869" s="496" t="s">
        <v>2800</v>
      </c>
      <c r="DU869" s="496" t="s">
        <v>1554</v>
      </c>
      <c r="DV869" s="496" t="s">
        <v>1555</v>
      </c>
      <c r="DW869" s="496" t="s">
        <v>1981</v>
      </c>
      <c r="DX869" s="497" t="s">
        <v>1982</v>
      </c>
      <c r="DZ869" s="543">
        <v>1</v>
      </c>
      <c r="EB869" s="493"/>
      <c r="EC869" s="493"/>
    </row>
    <row r="870" spans="119:133" ht="21" customHeight="1">
      <c r="DO870" s="494"/>
      <c r="DP870" s="496" t="s">
        <v>2801</v>
      </c>
      <c r="DQ870" s="496" t="s">
        <v>8</v>
      </c>
      <c r="DR870" s="496" t="s">
        <v>689</v>
      </c>
      <c r="DS870" s="496" t="s">
        <v>2802</v>
      </c>
      <c r="DT870" s="496" t="s">
        <v>2802</v>
      </c>
      <c r="DU870" s="496" t="s">
        <v>1554</v>
      </c>
      <c r="DV870" s="496" t="s">
        <v>1555</v>
      </c>
      <c r="DW870" s="496" t="s">
        <v>1981</v>
      </c>
      <c r="DX870" s="497" t="s">
        <v>1982</v>
      </c>
      <c r="DZ870" s="543">
        <v>1</v>
      </c>
      <c r="EB870" s="493"/>
      <c r="EC870" s="493"/>
    </row>
    <row r="871" spans="119:133" ht="21" customHeight="1">
      <c r="DO871" s="494"/>
      <c r="DP871" s="496" t="s">
        <v>2803</v>
      </c>
      <c r="DQ871" s="496" t="s">
        <v>8</v>
      </c>
      <c r="DR871" s="496" t="s">
        <v>689</v>
      </c>
      <c r="DS871" s="496" t="s">
        <v>2804</v>
      </c>
      <c r="DT871" s="496" t="s">
        <v>2804</v>
      </c>
      <c r="DU871" s="496" t="s">
        <v>1554</v>
      </c>
      <c r="DV871" s="496" t="s">
        <v>1555</v>
      </c>
      <c r="DW871" s="496" t="s">
        <v>1981</v>
      </c>
      <c r="DX871" s="497" t="s">
        <v>1982</v>
      </c>
      <c r="DZ871" s="543">
        <v>1</v>
      </c>
      <c r="EB871" s="493"/>
      <c r="EC871" s="493"/>
    </row>
    <row r="872" spans="119:133" ht="21" customHeight="1">
      <c r="DO872" s="494"/>
      <c r="DP872" s="496" t="s">
        <v>2805</v>
      </c>
      <c r="DQ872" s="496" t="s">
        <v>8</v>
      </c>
      <c r="DR872" s="496" t="s">
        <v>689</v>
      </c>
      <c r="DS872" s="496" t="s">
        <v>2806</v>
      </c>
      <c r="DT872" s="496" t="s">
        <v>2806</v>
      </c>
      <c r="DU872" s="496" t="s">
        <v>1554</v>
      </c>
      <c r="DV872" s="496" t="s">
        <v>1555</v>
      </c>
      <c r="DW872" s="496" t="s">
        <v>1981</v>
      </c>
      <c r="DX872" s="497" t="s">
        <v>1982</v>
      </c>
      <c r="DZ872" s="543">
        <v>1</v>
      </c>
      <c r="EB872" s="493"/>
      <c r="EC872" s="493"/>
    </row>
    <row r="873" spans="119:133" ht="21" customHeight="1">
      <c r="DO873" s="494"/>
      <c r="DP873" s="496" t="s">
        <v>2807</v>
      </c>
      <c r="DQ873" s="496" t="s">
        <v>8</v>
      </c>
      <c r="DR873" s="496" t="s">
        <v>689</v>
      </c>
      <c r="DS873" s="496" t="s">
        <v>2808</v>
      </c>
      <c r="DT873" s="496" t="s">
        <v>2808</v>
      </c>
      <c r="DU873" s="496" t="s">
        <v>1554</v>
      </c>
      <c r="DV873" s="496" t="s">
        <v>1555</v>
      </c>
      <c r="DW873" s="496" t="s">
        <v>1981</v>
      </c>
      <c r="DX873" s="497" t="s">
        <v>1982</v>
      </c>
      <c r="DZ873" s="543">
        <v>1</v>
      </c>
      <c r="EB873" s="493"/>
      <c r="EC873" s="493"/>
    </row>
    <row r="874" spans="119:133" ht="21" customHeight="1">
      <c r="DO874" s="494"/>
      <c r="DP874" s="496" t="s">
        <v>2809</v>
      </c>
      <c r="DQ874" s="496" t="s">
        <v>8</v>
      </c>
      <c r="DR874" s="496" t="s">
        <v>689</v>
      </c>
      <c r="DS874" s="496" t="s">
        <v>2810</v>
      </c>
      <c r="DT874" s="496" t="s">
        <v>2810</v>
      </c>
      <c r="DU874" s="496" t="s">
        <v>1554</v>
      </c>
      <c r="DV874" s="496" t="s">
        <v>1555</v>
      </c>
      <c r="DW874" s="496" t="s">
        <v>1981</v>
      </c>
      <c r="DX874" s="497" t="s">
        <v>1982</v>
      </c>
      <c r="DZ874" s="543">
        <v>1</v>
      </c>
      <c r="EB874" s="493"/>
      <c r="EC874" s="493"/>
    </row>
    <row r="875" spans="119:133" ht="21" customHeight="1">
      <c r="DO875" s="494"/>
      <c r="DP875" s="496" t="s">
        <v>2811</v>
      </c>
      <c r="DQ875" s="496" t="s">
        <v>8</v>
      </c>
      <c r="DR875" s="496" t="s">
        <v>689</v>
      </c>
      <c r="DS875" s="496" t="s">
        <v>1037</v>
      </c>
      <c r="DT875" s="496" t="s">
        <v>1037</v>
      </c>
      <c r="DU875" s="496" t="s">
        <v>1554</v>
      </c>
      <c r="DV875" s="496" t="s">
        <v>1555</v>
      </c>
      <c r="DW875" s="496" t="s">
        <v>1981</v>
      </c>
      <c r="DX875" s="497" t="s">
        <v>1982</v>
      </c>
      <c r="DZ875" s="543">
        <v>1</v>
      </c>
      <c r="EB875" s="493"/>
      <c r="EC875" s="493"/>
    </row>
    <row r="876" spans="119:133" ht="21" customHeight="1">
      <c r="DO876" s="494"/>
      <c r="DP876" s="496" t="s">
        <v>2812</v>
      </c>
      <c r="DQ876" s="496" t="s">
        <v>8</v>
      </c>
      <c r="DR876" s="496" t="s">
        <v>689</v>
      </c>
      <c r="DS876" s="496" t="s">
        <v>2813</v>
      </c>
      <c r="DT876" s="496" t="s">
        <v>2813</v>
      </c>
      <c r="DU876" s="496" t="s">
        <v>1554</v>
      </c>
      <c r="DV876" s="496" t="s">
        <v>1555</v>
      </c>
      <c r="DW876" s="496" t="s">
        <v>1981</v>
      </c>
      <c r="DX876" s="497" t="s">
        <v>1982</v>
      </c>
      <c r="DZ876" s="543">
        <v>1</v>
      </c>
      <c r="EB876" s="493"/>
      <c r="EC876" s="493"/>
    </row>
    <row r="877" spans="119:133" ht="21" customHeight="1">
      <c r="DO877" s="494"/>
      <c r="DP877" s="496" t="s">
        <v>2814</v>
      </c>
      <c r="DQ877" s="496" t="s">
        <v>8</v>
      </c>
      <c r="DR877" s="496" t="s">
        <v>689</v>
      </c>
      <c r="DS877" s="496" t="s">
        <v>2815</v>
      </c>
      <c r="DT877" s="496" t="s">
        <v>2815</v>
      </c>
      <c r="DU877" s="496" t="s">
        <v>1554</v>
      </c>
      <c r="DV877" s="496" t="s">
        <v>1555</v>
      </c>
      <c r="DW877" s="496" t="s">
        <v>1981</v>
      </c>
      <c r="DX877" s="497" t="s">
        <v>1982</v>
      </c>
      <c r="DZ877" s="543">
        <v>1</v>
      </c>
      <c r="EB877" s="493"/>
      <c r="EC877" s="493"/>
    </row>
    <row r="878" spans="119:133" ht="21" customHeight="1">
      <c r="DO878" s="494"/>
      <c r="DP878" s="496" t="s">
        <v>2816</v>
      </c>
      <c r="DQ878" s="496" t="s">
        <v>8</v>
      </c>
      <c r="DR878" s="496" t="s">
        <v>689</v>
      </c>
      <c r="DS878" s="496" t="s">
        <v>2817</v>
      </c>
      <c r="DT878" s="496" t="s">
        <v>2817</v>
      </c>
      <c r="DU878" s="496" t="s">
        <v>1554</v>
      </c>
      <c r="DV878" s="496" t="s">
        <v>1555</v>
      </c>
      <c r="DW878" s="496" t="s">
        <v>1981</v>
      </c>
      <c r="DX878" s="497" t="s">
        <v>1982</v>
      </c>
      <c r="DZ878" s="543">
        <v>1</v>
      </c>
      <c r="EB878" s="493"/>
      <c r="EC878" s="493"/>
    </row>
    <row r="879" spans="119:133" ht="21" customHeight="1">
      <c r="DO879" s="494"/>
      <c r="DP879" s="496" t="s">
        <v>2818</v>
      </c>
      <c r="DQ879" s="496" t="s">
        <v>8</v>
      </c>
      <c r="DR879" s="496" t="s">
        <v>689</v>
      </c>
      <c r="DS879" s="496" t="s">
        <v>2819</v>
      </c>
      <c r="DT879" s="496" t="s">
        <v>2819</v>
      </c>
      <c r="DU879" s="496" t="s">
        <v>1554</v>
      </c>
      <c r="DV879" s="496" t="s">
        <v>1555</v>
      </c>
      <c r="DW879" s="496" t="s">
        <v>1981</v>
      </c>
      <c r="DX879" s="497" t="s">
        <v>1982</v>
      </c>
      <c r="DZ879" s="543">
        <v>1</v>
      </c>
      <c r="EB879" s="493"/>
      <c r="EC879" s="493"/>
    </row>
    <row r="880" spans="119:133" ht="21" customHeight="1">
      <c r="DO880" s="494"/>
      <c r="DP880" s="496" t="s">
        <v>2820</v>
      </c>
      <c r="DQ880" s="496" t="s">
        <v>8</v>
      </c>
      <c r="DR880" s="496" t="s">
        <v>689</v>
      </c>
      <c r="DS880" s="496" t="s">
        <v>2821</v>
      </c>
      <c r="DT880" s="496" t="s">
        <v>2821</v>
      </c>
      <c r="DU880" s="496" t="s">
        <v>1554</v>
      </c>
      <c r="DV880" s="496" t="s">
        <v>1555</v>
      </c>
      <c r="DW880" s="496" t="s">
        <v>1981</v>
      </c>
      <c r="DX880" s="497" t="s">
        <v>1982</v>
      </c>
      <c r="DZ880" s="543">
        <v>1</v>
      </c>
      <c r="EB880" s="493"/>
      <c r="EC880" s="493"/>
    </row>
    <row r="881" spans="119:133" ht="21" customHeight="1">
      <c r="DO881" s="494"/>
      <c r="DP881" s="496" t="s">
        <v>2822</v>
      </c>
      <c r="DQ881" s="496" t="s">
        <v>8</v>
      </c>
      <c r="DR881" s="496" t="s">
        <v>689</v>
      </c>
      <c r="DS881" s="496" t="s">
        <v>2823</v>
      </c>
      <c r="DT881" s="496" t="s">
        <v>2823</v>
      </c>
      <c r="DU881" s="496" t="s">
        <v>1554</v>
      </c>
      <c r="DV881" s="496" t="s">
        <v>1555</v>
      </c>
      <c r="DW881" s="496" t="s">
        <v>1981</v>
      </c>
      <c r="DX881" s="497" t="s">
        <v>1982</v>
      </c>
      <c r="DZ881" s="543">
        <v>1</v>
      </c>
      <c r="EB881" s="493"/>
      <c r="EC881" s="493"/>
    </row>
    <row r="882" spans="119:133" ht="21" customHeight="1">
      <c r="DO882" s="494"/>
      <c r="DP882" s="496" t="s">
        <v>2824</v>
      </c>
      <c r="DQ882" s="496" t="s">
        <v>8</v>
      </c>
      <c r="DR882" s="496" t="s">
        <v>689</v>
      </c>
      <c r="DS882" s="496" t="s">
        <v>2825</v>
      </c>
      <c r="DT882" s="496" t="s">
        <v>2825</v>
      </c>
      <c r="DU882" s="496" t="s">
        <v>1554</v>
      </c>
      <c r="DV882" s="496" t="s">
        <v>1555</v>
      </c>
      <c r="DW882" s="496" t="s">
        <v>1981</v>
      </c>
      <c r="DX882" s="497" t="s">
        <v>1982</v>
      </c>
      <c r="DZ882" s="543">
        <v>1</v>
      </c>
      <c r="EB882" s="493"/>
      <c r="EC882" s="493"/>
    </row>
    <row r="883" spans="119:133" ht="21" customHeight="1">
      <c r="DO883" s="494"/>
      <c r="DP883" s="496" t="s">
        <v>2826</v>
      </c>
      <c r="DQ883" s="496" t="s">
        <v>8</v>
      </c>
      <c r="DR883" s="496" t="s">
        <v>689</v>
      </c>
      <c r="DS883" s="496" t="s">
        <v>2827</v>
      </c>
      <c r="DT883" s="496" t="s">
        <v>2827</v>
      </c>
      <c r="DU883" s="496" t="s">
        <v>1554</v>
      </c>
      <c r="DV883" s="496" t="s">
        <v>1555</v>
      </c>
      <c r="DW883" s="496" t="s">
        <v>1981</v>
      </c>
      <c r="DX883" s="497" t="s">
        <v>1982</v>
      </c>
      <c r="DZ883" s="543">
        <v>1</v>
      </c>
      <c r="EB883" s="493"/>
      <c r="EC883" s="493"/>
    </row>
    <row r="884" spans="119:133" ht="21" customHeight="1">
      <c r="DO884" s="494"/>
      <c r="DP884" s="496" t="s">
        <v>2828</v>
      </c>
      <c r="DQ884" s="496" t="s">
        <v>8</v>
      </c>
      <c r="DR884" s="496" t="s">
        <v>689</v>
      </c>
      <c r="DS884" s="496" t="s">
        <v>2829</v>
      </c>
      <c r="DT884" s="496" t="s">
        <v>2829</v>
      </c>
      <c r="DU884" s="496" t="s">
        <v>1554</v>
      </c>
      <c r="DV884" s="496" t="s">
        <v>1555</v>
      </c>
      <c r="DW884" s="496" t="s">
        <v>1981</v>
      </c>
      <c r="DX884" s="497" t="s">
        <v>1982</v>
      </c>
      <c r="DZ884" s="543">
        <v>1</v>
      </c>
      <c r="EB884" s="493"/>
      <c r="EC884" s="493"/>
    </row>
    <row r="885" spans="119:133" ht="21" customHeight="1">
      <c r="DO885" s="494"/>
      <c r="DP885" s="496" t="s">
        <v>2830</v>
      </c>
      <c r="DQ885" s="496" t="s">
        <v>8</v>
      </c>
      <c r="DR885" s="496" t="s">
        <v>689</v>
      </c>
      <c r="DS885" s="496" t="s">
        <v>2831</v>
      </c>
      <c r="DT885" s="496" t="s">
        <v>2831</v>
      </c>
      <c r="DU885" s="496" t="s">
        <v>1554</v>
      </c>
      <c r="DV885" s="496" t="s">
        <v>1555</v>
      </c>
      <c r="DW885" s="496" t="s">
        <v>1981</v>
      </c>
      <c r="DX885" s="497" t="s">
        <v>1982</v>
      </c>
      <c r="DZ885" s="543">
        <v>1</v>
      </c>
      <c r="EB885" s="493"/>
      <c r="EC885" s="493"/>
    </row>
    <row r="886" spans="119:133" ht="21" customHeight="1">
      <c r="DO886" s="494"/>
      <c r="DP886" s="496" t="s">
        <v>2832</v>
      </c>
      <c r="DQ886" s="496" t="s">
        <v>8</v>
      </c>
      <c r="DR886" s="496" t="s">
        <v>689</v>
      </c>
      <c r="DS886" s="496" t="s">
        <v>2833</v>
      </c>
      <c r="DT886" s="496" t="s">
        <v>2833</v>
      </c>
      <c r="DU886" s="496" t="s">
        <v>1554</v>
      </c>
      <c r="DV886" s="496" t="s">
        <v>1555</v>
      </c>
      <c r="DW886" s="496" t="s">
        <v>1981</v>
      </c>
      <c r="DX886" s="497" t="s">
        <v>1982</v>
      </c>
      <c r="DZ886" s="543">
        <v>1</v>
      </c>
      <c r="EB886" s="493"/>
      <c r="EC886" s="493"/>
    </row>
    <row r="887" spans="119:133" ht="21" customHeight="1">
      <c r="DO887" s="494"/>
      <c r="DP887" s="496" t="s">
        <v>2834</v>
      </c>
      <c r="DQ887" s="496" t="s">
        <v>8</v>
      </c>
      <c r="DR887" s="496" t="s">
        <v>689</v>
      </c>
      <c r="DS887" s="496" t="s">
        <v>2835</v>
      </c>
      <c r="DT887" s="496" t="s">
        <v>2835</v>
      </c>
      <c r="DU887" s="496" t="s">
        <v>1554</v>
      </c>
      <c r="DV887" s="496" t="s">
        <v>1555</v>
      </c>
      <c r="DW887" s="496" t="s">
        <v>1981</v>
      </c>
      <c r="DX887" s="497" t="s">
        <v>1982</v>
      </c>
      <c r="DZ887" s="543">
        <v>1</v>
      </c>
      <c r="EB887" s="493"/>
      <c r="EC887" s="493"/>
    </row>
    <row r="888" spans="119:133" ht="21" customHeight="1">
      <c r="DO888" s="494"/>
      <c r="DP888" s="496" t="s">
        <v>2836</v>
      </c>
      <c r="DQ888" s="496" t="s">
        <v>8</v>
      </c>
      <c r="DR888" s="496" t="s">
        <v>689</v>
      </c>
      <c r="DS888" s="496" t="s">
        <v>2837</v>
      </c>
      <c r="DT888" s="496" t="s">
        <v>2837</v>
      </c>
      <c r="DU888" s="496" t="s">
        <v>1554</v>
      </c>
      <c r="DV888" s="496" t="s">
        <v>1555</v>
      </c>
      <c r="DW888" s="496" t="s">
        <v>1981</v>
      </c>
      <c r="DX888" s="497" t="s">
        <v>1982</v>
      </c>
      <c r="DZ888" s="543">
        <v>1</v>
      </c>
      <c r="EB888" s="493"/>
      <c r="EC888" s="493"/>
    </row>
    <row r="889" spans="119:133" ht="21" customHeight="1">
      <c r="DO889" s="494"/>
      <c r="DP889" s="496" t="s">
        <v>2838</v>
      </c>
      <c r="DQ889" s="496" t="s">
        <v>8</v>
      </c>
      <c r="DR889" s="496" t="s">
        <v>689</v>
      </c>
      <c r="DS889" s="496" t="s">
        <v>2839</v>
      </c>
      <c r="DT889" s="496" t="s">
        <v>2839</v>
      </c>
      <c r="DU889" s="496" t="s">
        <v>1554</v>
      </c>
      <c r="DV889" s="496" t="s">
        <v>1555</v>
      </c>
      <c r="DW889" s="496" t="s">
        <v>1981</v>
      </c>
      <c r="DX889" s="497" t="s">
        <v>1982</v>
      </c>
      <c r="DZ889" s="543">
        <v>1</v>
      </c>
      <c r="EB889" s="493"/>
      <c r="EC889" s="493"/>
    </row>
    <row r="890" spans="119:133" ht="21" customHeight="1">
      <c r="DO890" s="494"/>
      <c r="DP890" s="496" t="s">
        <v>2840</v>
      </c>
      <c r="DQ890" s="496" t="s">
        <v>8</v>
      </c>
      <c r="DR890" s="496" t="s">
        <v>689</v>
      </c>
      <c r="DS890" s="496" t="s">
        <v>2841</v>
      </c>
      <c r="DT890" s="496" t="s">
        <v>2841</v>
      </c>
      <c r="DU890" s="496" t="s">
        <v>1554</v>
      </c>
      <c r="DV890" s="496" t="s">
        <v>1555</v>
      </c>
      <c r="DW890" s="496" t="s">
        <v>1981</v>
      </c>
      <c r="DX890" s="497" t="s">
        <v>1982</v>
      </c>
      <c r="DZ890" s="543">
        <v>1</v>
      </c>
      <c r="EB890" s="493"/>
      <c r="EC890" s="493"/>
    </row>
    <row r="891" spans="119:133" ht="21" customHeight="1">
      <c r="DO891" s="494"/>
      <c r="DP891" s="496" t="s">
        <v>2842</v>
      </c>
      <c r="DQ891" s="496" t="s">
        <v>8</v>
      </c>
      <c r="DR891" s="496" t="s">
        <v>689</v>
      </c>
      <c r="DS891" s="496" t="s">
        <v>2843</v>
      </c>
      <c r="DT891" s="496" t="s">
        <v>2843</v>
      </c>
      <c r="DU891" s="496" t="s">
        <v>1554</v>
      </c>
      <c r="DV891" s="496" t="s">
        <v>1555</v>
      </c>
      <c r="DW891" s="496" t="s">
        <v>1981</v>
      </c>
      <c r="DX891" s="497" t="s">
        <v>1982</v>
      </c>
      <c r="DZ891" s="543">
        <v>1</v>
      </c>
      <c r="EB891" s="493"/>
      <c r="EC891" s="493"/>
    </row>
    <row r="892" spans="119:133" ht="21" customHeight="1">
      <c r="DO892" s="494"/>
      <c r="DP892" s="496" t="s">
        <v>2844</v>
      </c>
      <c r="DQ892" s="496" t="s">
        <v>8</v>
      </c>
      <c r="DR892" s="496" t="s">
        <v>689</v>
      </c>
      <c r="DS892" s="496" t="s">
        <v>2845</v>
      </c>
      <c r="DT892" s="496" t="s">
        <v>2845</v>
      </c>
      <c r="DU892" s="496" t="s">
        <v>1554</v>
      </c>
      <c r="DV892" s="496" t="s">
        <v>1555</v>
      </c>
      <c r="DW892" s="496" t="s">
        <v>1981</v>
      </c>
      <c r="DX892" s="497" t="s">
        <v>1982</v>
      </c>
      <c r="DZ892" s="543">
        <v>1</v>
      </c>
      <c r="EB892" s="493"/>
      <c r="EC892" s="493"/>
    </row>
    <row r="893" spans="119:133" ht="21" customHeight="1">
      <c r="DO893" s="494"/>
      <c r="DP893" s="496" t="s">
        <v>2846</v>
      </c>
      <c r="DQ893" s="496" t="s">
        <v>8</v>
      </c>
      <c r="DR893" s="496" t="s">
        <v>689</v>
      </c>
      <c r="DS893" s="496" t="s">
        <v>2847</v>
      </c>
      <c r="DT893" s="496" t="s">
        <v>2847</v>
      </c>
      <c r="DU893" s="496" t="s">
        <v>1554</v>
      </c>
      <c r="DV893" s="496" t="s">
        <v>1555</v>
      </c>
      <c r="DW893" s="496" t="s">
        <v>1981</v>
      </c>
      <c r="DX893" s="497" t="s">
        <v>1982</v>
      </c>
      <c r="DZ893" s="543">
        <v>1</v>
      </c>
      <c r="EB893" s="493"/>
      <c r="EC893" s="493"/>
    </row>
    <row r="894" spans="119:133" ht="21" customHeight="1">
      <c r="DO894" s="494"/>
      <c r="DP894" s="496" t="s">
        <v>2848</v>
      </c>
      <c r="DQ894" s="496" t="s">
        <v>8</v>
      </c>
      <c r="DR894" s="496" t="s">
        <v>689</v>
      </c>
      <c r="DS894" s="496" t="s">
        <v>2849</v>
      </c>
      <c r="DT894" s="496" t="s">
        <v>2849</v>
      </c>
      <c r="DU894" s="496" t="s">
        <v>1554</v>
      </c>
      <c r="DV894" s="496" t="s">
        <v>1555</v>
      </c>
      <c r="DW894" s="496" t="s">
        <v>1981</v>
      </c>
      <c r="DX894" s="497" t="s">
        <v>1982</v>
      </c>
      <c r="DZ894" s="543">
        <v>1</v>
      </c>
      <c r="EB894" s="493"/>
      <c r="EC894" s="493"/>
    </row>
    <row r="895" spans="119:133" ht="21" customHeight="1">
      <c r="DO895" s="494"/>
      <c r="DP895" s="496" t="s">
        <v>2850</v>
      </c>
      <c r="DQ895" s="496" t="s">
        <v>8</v>
      </c>
      <c r="DR895" s="496" t="s">
        <v>689</v>
      </c>
      <c r="DS895" s="496" t="s">
        <v>2851</v>
      </c>
      <c r="DT895" s="496" t="s">
        <v>2851</v>
      </c>
      <c r="DU895" s="496" t="s">
        <v>1554</v>
      </c>
      <c r="DV895" s="496" t="s">
        <v>1555</v>
      </c>
      <c r="DW895" s="496" t="s">
        <v>1981</v>
      </c>
      <c r="DX895" s="497" t="s">
        <v>1982</v>
      </c>
      <c r="DZ895" s="543">
        <v>1</v>
      </c>
      <c r="EB895" s="493"/>
      <c r="EC895" s="493"/>
    </row>
    <row r="896" spans="119:133" ht="21" customHeight="1">
      <c r="DO896" s="494"/>
      <c r="DP896" s="496" t="s">
        <v>2852</v>
      </c>
      <c r="DQ896" s="496" t="s">
        <v>8</v>
      </c>
      <c r="DR896" s="496" t="s">
        <v>689</v>
      </c>
      <c r="DS896" s="496" t="s">
        <v>2853</v>
      </c>
      <c r="DT896" s="496" t="s">
        <v>2853</v>
      </c>
      <c r="DU896" s="496" t="s">
        <v>1151</v>
      </c>
      <c r="DV896" s="496" t="s">
        <v>1152</v>
      </c>
      <c r="DW896" s="496" t="s">
        <v>1087</v>
      </c>
      <c r="DX896" s="497" t="s">
        <v>1153</v>
      </c>
      <c r="DZ896" s="543">
        <v>1</v>
      </c>
      <c r="EB896" s="493"/>
      <c r="EC896" s="493"/>
    </row>
    <row r="897" spans="119:133" ht="21" customHeight="1">
      <c r="DO897" s="494"/>
      <c r="DP897" s="496" t="s">
        <v>2854</v>
      </c>
      <c r="DQ897" s="496" t="s">
        <v>8</v>
      </c>
      <c r="DR897" s="496" t="s">
        <v>689</v>
      </c>
      <c r="DS897" s="496" t="s">
        <v>2855</v>
      </c>
      <c r="DT897" s="496" t="s">
        <v>2855</v>
      </c>
      <c r="DU897" s="496" t="s">
        <v>1554</v>
      </c>
      <c r="DV897" s="496" t="s">
        <v>1555</v>
      </c>
      <c r="DW897" s="496" t="s">
        <v>1981</v>
      </c>
      <c r="DX897" s="497" t="s">
        <v>1982</v>
      </c>
      <c r="DZ897" s="543">
        <v>1</v>
      </c>
      <c r="EB897" s="493"/>
      <c r="EC897" s="493"/>
    </row>
    <row r="898" spans="119:133" ht="21" customHeight="1">
      <c r="DO898" s="494"/>
      <c r="DP898" s="496" t="s">
        <v>2856</v>
      </c>
      <c r="DQ898" s="496" t="s">
        <v>8</v>
      </c>
      <c r="DR898" s="496" t="s">
        <v>689</v>
      </c>
      <c r="DS898" s="496" t="s">
        <v>2857</v>
      </c>
      <c r="DT898" s="496" t="s">
        <v>2857</v>
      </c>
      <c r="DU898" s="496" t="s">
        <v>1554</v>
      </c>
      <c r="DV898" s="496" t="s">
        <v>1555</v>
      </c>
      <c r="DW898" s="496" t="s">
        <v>1981</v>
      </c>
      <c r="DX898" s="497" t="s">
        <v>1982</v>
      </c>
      <c r="DZ898" s="543">
        <v>1</v>
      </c>
      <c r="EB898" s="493"/>
      <c r="EC898" s="493"/>
    </row>
    <row r="899" spans="119:133" ht="21" customHeight="1">
      <c r="DO899" s="494"/>
      <c r="DP899" s="496" t="s">
        <v>2858</v>
      </c>
      <c r="DQ899" s="496" t="s">
        <v>8</v>
      </c>
      <c r="DR899" s="496" t="s">
        <v>689</v>
      </c>
      <c r="DS899" s="496" t="s">
        <v>2859</v>
      </c>
      <c r="DT899" s="496" t="s">
        <v>2859</v>
      </c>
      <c r="DU899" s="496" t="s">
        <v>1554</v>
      </c>
      <c r="DV899" s="496" t="s">
        <v>1555</v>
      </c>
      <c r="DW899" s="496" t="s">
        <v>1981</v>
      </c>
      <c r="DX899" s="497" t="s">
        <v>1982</v>
      </c>
      <c r="DZ899" s="543">
        <v>1</v>
      </c>
      <c r="EB899" s="493"/>
      <c r="EC899" s="493"/>
    </row>
    <row r="900" spans="119:133" ht="21" customHeight="1">
      <c r="DO900" s="494"/>
      <c r="DP900" s="496" t="s">
        <v>2860</v>
      </c>
      <c r="DQ900" s="496" t="s">
        <v>8</v>
      </c>
      <c r="DR900" s="496" t="s">
        <v>689</v>
      </c>
      <c r="DS900" s="496" t="s">
        <v>2861</v>
      </c>
      <c r="DT900" s="496" t="s">
        <v>2861</v>
      </c>
      <c r="DU900" s="496" t="s">
        <v>1554</v>
      </c>
      <c r="DV900" s="496" t="s">
        <v>1555</v>
      </c>
      <c r="DW900" s="496" t="s">
        <v>1981</v>
      </c>
      <c r="DX900" s="497" t="s">
        <v>1982</v>
      </c>
      <c r="DZ900" s="543">
        <v>1</v>
      </c>
      <c r="EB900" s="493"/>
      <c r="EC900" s="493"/>
    </row>
    <row r="901" spans="119:133" ht="21" customHeight="1">
      <c r="DO901" s="494"/>
      <c r="DP901" s="496" t="s">
        <v>2862</v>
      </c>
      <c r="DQ901" s="496" t="s">
        <v>8</v>
      </c>
      <c r="DR901" s="496" t="s">
        <v>689</v>
      </c>
      <c r="DS901" s="496" t="s">
        <v>2863</v>
      </c>
      <c r="DT901" s="496" t="s">
        <v>2863</v>
      </c>
      <c r="DU901" s="496" t="s">
        <v>1554</v>
      </c>
      <c r="DV901" s="496" t="s">
        <v>1555</v>
      </c>
      <c r="DW901" s="496" t="s">
        <v>1981</v>
      </c>
      <c r="DX901" s="497" t="s">
        <v>1982</v>
      </c>
      <c r="DZ901" s="543">
        <v>1</v>
      </c>
      <c r="EB901" s="493"/>
      <c r="EC901" s="493"/>
    </row>
    <row r="902" spans="119:133" ht="21" customHeight="1">
      <c r="DO902" s="494"/>
      <c r="DP902" s="496" t="s">
        <v>2864</v>
      </c>
      <c r="DQ902" s="496" t="s">
        <v>8</v>
      </c>
      <c r="DR902" s="496" t="s">
        <v>689</v>
      </c>
      <c r="DS902" s="496" t="s">
        <v>2865</v>
      </c>
      <c r="DT902" s="496" t="s">
        <v>2865</v>
      </c>
      <c r="DU902" s="496" t="s">
        <v>1554</v>
      </c>
      <c r="DV902" s="496" t="s">
        <v>1555</v>
      </c>
      <c r="DW902" s="496" t="s">
        <v>1981</v>
      </c>
      <c r="DX902" s="497" t="s">
        <v>1982</v>
      </c>
      <c r="DZ902" s="543">
        <v>1</v>
      </c>
      <c r="EB902" s="493"/>
      <c r="EC902" s="493"/>
    </row>
    <row r="903" spans="119:133" ht="21" customHeight="1">
      <c r="DO903" s="494"/>
      <c r="DP903" s="496" t="s">
        <v>2866</v>
      </c>
      <c r="DQ903" s="496" t="s">
        <v>8</v>
      </c>
      <c r="DR903" s="496" t="s">
        <v>689</v>
      </c>
      <c r="DS903" s="496" t="s">
        <v>2867</v>
      </c>
      <c r="DT903" s="496" t="s">
        <v>2867</v>
      </c>
      <c r="DU903" s="496" t="s">
        <v>1554</v>
      </c>
      <c r="DV903" s="496" t="s">
        <v>1555</v>
      </c>
      <c r="DW903" s="496" t="s">
        <v>1981</v>
      </c>
      <c r="DX903" s="497" t="s">
        <v>1982</v>
      </c>
      <c r="DZ903" s="543">
        <v>1</v>
      </c>
      <c r="EB903" s="493"/>
      <c r="EC903" s="493"/>
    </row>
    <row r="904" spans="119:133" ht="21" customHeight="1">
      <c r="DO904" s="494"/>
      <c r="DP904" s="496" t="s">
        <v>2868</v>
      </c>
      <c r="DQ904" s="496" t="s">
        <v>8</v>
      </c>
      <c r="DR904" s="496" t="s">
        <v>689</v>
      </c>
      <c r="DS904" s="496" t="s">
        <v>2869</v>
      </c>
      <c r="DT904" s="496" t="s">
        <v>2869</v>
      </c>
      <c r="DU904" s="496" t="s">
        <v>1554</v>
      </c>
      <c r="DV904" s="496" t="s">
        <v>1555</v>
      </c>
      <c r="DW904" s="496" t="s">
        <v>1981</v>
      </c>
      <c r="DX904" s="497" t="s">
        <v>1982</v>
      </c>
      <c r="DZ904" s="543">
        <v>1</v>
      </c>
      <c r="EB904" s="493"/>
      <c r="EC904" s="493"/>
    </row>
    <row r="905" spans="119:133" ht="21" customHeight="1">
      <c r="DO905" s="494"/>
      <c r="DP905" s="496" t="s">
        <v>2870</v>
      </c>
      <c r="DQ905" s="496" t="s">
        <v>8</v>
      </c>
      <c r="DR905" s="496" t="s">
        <v>689</v>
      </c>
      <c r="DS905" s="496" t="s">
        <v>2871</v>
      </c>
      <c r="DT905" s="496" t="s">
        <v>2871</v>
      </c>
      <c r="DU905" s="496" t="s">
        <v>1554</v>
      </c>
      <c r="DV905" s="496" t="s">
        <v>1555</v>
      </c>
      <c r="DW905" s="496" t="s">
        <v>1981</v>
      </c>
      <c r="DX905" s="497" t="s">
        <v>1982</v>
      </c>
      <c r="DZ905" s="543">
        <v>1</v>
      </c>
      <c r="EB905" s="493"/>
      <c r="EC905" s="493"/>
    </row>
    <row r="906" spans="119:133" ht="21" customHeight="1">
      <c r="DO906" s="494"/>
      <c r="DP906" s="496" t="s">
        <v>2872</v>
      </c>
      <c r="DQ906" s="496" t="s">
        <v>8</v>
      </c>
      <c r="DR906" s="496" t="s">
        <v>689</v>
      </c>
      <c r="DS906" s="496" t="s">
        <v>2873</v>
      </c>
      <c r="DT906" s="496" t="s">
        <v>2873</v>
      </c>
      <c r="DU906" s="496" t="s">
        <v>1554</v>
      </c>
      <c r="DV906" s="496" t="s">
        <v>1555</v>
      </c>
      <c r="DW906" s="496" t="s">
        <v>1981</v>
      </c>
      <c r="DX906" s="497" t="s">
        <v>1982</v>
      </c>
      <c r="DZ906" s="543">
        <v>1</v>
      </c>
      <c r="EB906" s="493"/>
      <c r="EC906" s="493"/>
    </row>
    <row r="907" spans="119:133" ht="21" customHeight="1">
      <c r="DO907" s="494"/>
      <c r="DP907" s="496" t="s">
        <v>2874</v>
      </c>
      <c r="DQ907" s="496" t="s">
        <v>8</v>
      </c>
      <c r="DR907" s="496" t="s">
        <v>689</v>
      </c>
      <c r="DS907" s="496" t="s">
        <v>2875</v>
      </c>
      <c r="DT907" s="496" t="s">
        <v>2875</v>
      </c>
      <c r="DU907" s="496" t="s">
        <v>1554</v>
      </c>
      <c r="DV907" s="496" t="s">
        <v>1555</v>
      </c>
      <c r="DW907" s="496" t="s">
        <v>1981</v>
      </c>
      <c r="DX907" s="497" t="s">
        <v>1982</v>
      </c>
      <c r="DZ907" s="543">
        <v>1</v>
      </c>
      <c r="EB907" s="493"/>
      <c r="EC907" s="493"/>
    </row>
    <row r="908" spans="119:133" ht="21" customHeight="1">
      <c r="DO908" s="494"/>
      <c r="DP908" s="496" t="s">
        <v>2876</v>
      </c>
      <c r="DQ908" s="496" t="s">
        <v>8</v>
      </c>
      <c r="DR908" s="496" t="s">
        <v>689</v>
      </c>
      <c r="DS908" s="496" t="s">
        <v>154</v>
      </c>
      <c r="DT908" s="496" t="s">
        <v>154</v>
      </c>
      <c r="DU908" s="496" t="s">
        <v>1554</v>
      </c>
      <c r="DV908" s="496" t="s">
        <v>1555</v>
      </c>
      <c r="DW908" s="496" t="s">
        <v>1981</v>
      </c>
      <c r="DX908" s="497" t="s">
        <v>1982</v>
      </c>
      <c r="DZ908" s="543">
        <v>1</v>
      </c>
      <c r="EB908" s="493"/>
      <c r="EC908" s="493"/>
    </row>
    <row r="909" spans="119:133" ht="21" customHeight="1">
      <c r="DO909" s="494"/>
      <c r="DP909" s="496" t="s">
        <v>2877</v>
      </c>
      <c r="DQ909" s="496" t="s">
        <v>8</v>
      </c>
      <c r="DR909" s="496" t="s">
        <v>689</v>
      </c>
      <c r="DS909" s="496" t="s">
        <v>2878</v>
      </c>
      <c r="DT909" s="496" t="s">
        <v>2878</v>
      </c>
      <c r="DU909" s="496" t="s">
        <v>1554</v>
      </c>
      <c r="DV909" s="496" t="s">
        <v>1555</v>
      </c>
      <c r="DW909" s="496" t="s">
        <v>1981</v>
      </c>
      <c r="DX909" s="497" t="s">
        <v>1982</v>
      </c>
      <c r="DZ909" s="543">
        <v>1</v>
      </c>
      <c r="EB909" s="493"/>
      <c r="EC909" s="493"/>
    </row>
    <row r="910" spans="119:133" ht="21" customHeight="1">
      <c r="DO910" s="494"/>
      <c r="DP910" s="496" t="s">
        <v>2879</v>
      </c>
      <c r="DQ910" s="496" t="s">
        <v>8</v>
      </c>
      <c r="DR910" s="496" t="s">
        <v>689</v>
      </c>
      <c r="DS910" s="496" t="s">
        <v>2880</v>
      </c>
      <c r="DT910" s="496" t="s">
        <v>2880</v>
      </c>
      <c r="DU910" s="496" t="s">
        <v>1554</v>
      </c>
      <c r="DV910" s="496" t="s">
        <v>1555</v>
      </c>
      <c r="DW910" s="496" t="s">
        <v>1981</v>
      </c>
      <c r="DX910" s="497" t="s">
        <v>1982</v>
      </c>
      <c r="DZ910" s="543">
        <v>1</v>
      </c>
      <c r="EB910" s="493"/>
      <c r="EC910" s="493"/>
    </row>
    <row r="911" spans="119:133" ht="21" customHeight="1">
      <c r="DO911" s="494"/>
      <c r="DP911" s="496" t="s">
        <v>2881</v>
      </c>
      <c r="DQ911" s="496" t="s">
        <v>8</v>
      </c>
      <c r="DR911" s="496" t="s">
        <v>689</v>
      </c>
      <c r="DS911" s="496" t="s">
        <v>2882</v>
      </c>
      <c r="DT911" s="496" t="s">
        <v>2882</v>
      </c>
      <c r="DU911" s="496" t="s">
        <v>1554</v>
      </c>
      <c r="DV911" s="496" t="s">
        <v>1555</v>
      </c>
      <c r="DW911" s="496" t="s">
        <v>1981</v>
      </c>
      <c r="DX911" s="497" t="s">
        <v>1982</v>
      </c>
      <c r="DZ911" s="543">
        <v>1</v>
      </c>
      <c r="EB911" s="493"/>
      <c r="EC911" s="493"/>
    </row>
    <row r="912" spans="119:133" ht="21" customHeight="1">
      <c r="DO912" s="494"/>
      <c r="DP912" s="496" t="s">
        <v>2883</v>
      </c>
      <c r="DQ912" s="496" t="s">
        <v>8</v>
      </c>
      <c r="DR912" s="496" t="s">
        <v>689</v>
      </c>
      <c r="DS912" s="496" t="s">
        <v>2884</v>
      </c>
      <c r="DT912" s="496" t="s">
        <v>2884</v>
      </c>
      <c r="DU912" s="496" t="s">
        <v>1554</v>
      </c>
      <c r="DV912" s="496" t="s">
        <v>1555</v>
      </c>
      <c r="DW912" s="496" t="s">
        <v>1981</v>
      </c>
      <c r="DX912" s="497" t="s">
        <v>1982</v>
      </c>
      <c r="DZ912" s="543">
        <v>1</v>
      </c>
      <c r="EB912" s="493"/>
      <c r="EC912" s="493"/>
    </row>
    <row r="913" spans="119:133" ht="21" customHeight="1">
      <c r="DO913" s="494"/>
      <c r="DP913" s="496" t="s">
        <v>2885</v>
      </c>
      <c r="DQ913" s="496" t="s">
        <v>8</v>
      </c>
      <c r="DR913" s="496" t="s">
        <v>689</v>
      </c>
      <c r="DS913" s="496" t="s">
        <v>2886</v>
      </c>
      <c r="DT913" s="496" t="s">
        <v>2886</v>
      </c>
      <c r="DU913" s="496" t="s">
        <v>1554</v>
      </c>
      <c r="DV913" s="496" t="s">
        <v>1555</v>
      </c>
      <c r="DW913" s="496" t="s">
        <v>1981</v>
      </c>
      <c r="DX913" s="497" t="s">
        <v>1982</v>
      </c>
      <c r="DZ913" s="543">
        <v>1</v>
      </c>
      <c r="EB913" s="493"/>
      <c r="EC913" s="493"/>
    </row>
    <row r="914" spans="119:133" ht="21" customHeight="1">
      <c r="DO914" s="494"/>
      <c r="DP914" s="496" t="s">
        <v>2887</v>
      </c>
      <c r="DQ914" s="496" t="s">
        <v>8</v>
      </c>
      <c r="DR914" s="496" t="s">
        <v>689</v>
      </c>
      <c r="DS914" s="496" t="s">
        <v>2888</v>
      </c>
      <c r="DT914" s="496" t="s">
        <v>2888</v>
      </c>
      <c r="DU914" s="496" t="s">
        <v>1554</v>
      </c>
      <c r="DV914" s="496" t="s">
        <v>1555</v>
      </c>
      <c r="DW914" s="496" t="s">
        <v>1981</v>
      </c>
      <c r="DX914" s="497" t="s">
        <v>1982</v>
      </c>
      <c r="DZ914" s="543">
        <v>1</v>
      </c>
      <c r="EB914" s="493"/>
      <c r="EC914" s="493"/>
    </row>
    <row r="915" spans="119:133" ht="21" customHeight="1">
      <c r="DO915" s="494"/>
      <c r="DP915" s="496" t="s">
        <v>2889</v>
      </c>
      <c r="DQ915" s="496" t="s">
        <v>8</v>
      </c>
      <c r="DR915" s="496" t="s">
        <v>689</v>
      </c>
      <c r="DS915" s="496" t="s">
        <v>2890</v>
      </c>
      <c r="DT915" s="496" t="s">
        <v>2890</v>
      </c>
      <c r="DU915" s="496" t="s">
        <v>1554</v>
      </c>
      <c r="DV915" s="496" t="s">
        <v>1555</v>
      </c>
      <c r="DW915" s="496" t="s">
        <v>1981</v>
      </c>
      <c r="DX915" s="497" t="s">
        <v>1982</v>
      </c>
      <c r="DZ915" s="543">
        <v>1</v>
      </c>
      <c r="EB915" s="493"/>
      <c r="EC915" s="493"/>
    </row>
    <row r="916" spans="119:133" ht="21" customHeight="1">
      <c r="DO916" s="494"/>
      <c r="DP916" s="496" t="s">
        <v>2891</v>
      </c>
      <c r="DQ916" s="496" t="s">
        <v>8</v>
      </c>
      <c r="DR916" s="496" t="s">
        <v>689</v>
      </c>
      <c r="DS916" s="496" t="s">
        <v>2892</v>
      </c>
      <c r="DT916" s="496" t="s">
        <v>2892</v>
      </c>
      <c r="DU916" s="496" t="s">
        <v>1554</v>
      </c>
      <c r="DV916" s="496" t="s">
        <v>1555</v>
      </c>
      <c r="DW916" s="496" t="s">
        <v>1981</v>
      </c>
      <c r="DX916" s="497" t="s">
        <v>1982</v>
      </c>
      <c r="DZ916" s="543">
        <v>1</v>
      </c>
      <c r="EB916" s="493"/>
      <c r="EC916" s="493"/>
    </row>
    <row r="917" spans="119:133" ht="21" customHeight="1">
      <c r="DO917" s="494"/>
      <c r="DP917" s="496" t="s">
        <v>2893</v>
      </c>
      <c r="DQ917" s="496" t="s">
        <v>8</v>
      </c>
      <c r="DR917" s="496" t="s">
        <v>689</v>
      </c>
      <c r="DS917" s="496" t="s">
        <v>2894</v>
      </c>
      <c r="DT917" s="496" t="s">
        <v>2894</v>
      </c>
      <c r="DU917" s="496" t="s">
        <v>1554</v>
      </c>
      <c r="DV917" s="496" t="s">
        <v>1555</v>
      </c>
      <c r="DW917" s="496" t="s">
        <v>1981</v>
      </c>
      <c r="DX917" s="497" t="s">
        <v>1982</v>
      </c>
      <c r="DZ917" s="543">
        <v>1</v>
      </c>
      <c r="EB917" s="493"/>
      <c r="EC917" s="493"/>
    </row>
    <row r="918" spans="119:133" ht="21" customHeight="1">
      <c r="DO918" s="494"/>
      <c r="DP918" s="496" t="s">
        <v>2895</v>
      </c>
      <c r="DQ918" s="496" t="s">
        <v>8</v>
      </c>
      <c r="DR918" s="496" t="s">
        <v>689</v>
      </c>
      <c r="DS918" s="496" t="s">
        <v>2896</v>
      </c>
      <c r="DT918" s="496" t="s">
        <v>2896</v>
      </c>
      <c r="DU918" s="496" t="s">
        <v>1554</v>
      </c>
      <c r="DV918" s="496" t="s">
        <v>1555</v>
      </c>
      <c r="DW918" s="496" t="s">
        <v>1981</v>
      </c>
      <c r="DX918" s="497" t="s">
        <v>1982</v>
      </c>
      <c r="DZ918" s="543">
        <v>1</v>
      </c>
      <c r="EB918" s="493"/>
      <c r="EC918" s="493"/>
    </row>
    <row r="919" spans="119:133" ht="21" customHeight="1">
      <c r="DO919" s="494"/>
      <c r="DP919" s="496" t="s">
        <v>2897</v>
      </c>
      <c r="DQ919" s="496" t="s">
        <v>8</v>
      </c>
      <c r="DR919" s="496" t="s">
        <v>689</v>
      </c>
      <c r="DS919" s="496" t="s">
        <v>2898</v>
      </c>
      <c r="DT919" s="496" t="s">
        <v>2898</v>
      </c>
      <c r="DU919" s="496" t="s">
        <v>1554</v>
      </c>
      <c r="DV919" s="496" t="s">
        <v>1555</v>
      </c>
      <c r="DW919" s="496" t="s">
        <v>1981</v>
      </c>
      <c r="DX919" s="497" t="s">
        <v>1982</v>
      </c>
      <c r="DZ919" s="543">
        <v>1</v>
      </c>
      <c r="EB919" s="493"/>
      <c r="EC919" s="493"/>
    </row>
    <row r="920" spans="119:133" ht="21" customHeight="1">
      <c r="DO920" s="494"/>
      <c r="DP920" s="496" t="s">
        <v>2899</v>
      </c>
      <c r="DQ920" s="496" t="s">
        <v>8</v>
      </c>
      <c r="DR920" s="496" t="s">
        <v>689</v>
      </c>
      <c r="DS920" s="496" t="s">
        <v>2900</v>
      </c>
      <c r="DT920" s="496" t="s">
        <v>2900</v>
      </c>
      <c r="DU920" s="496" t="s">
        <v>1554</v>
      </c>
      <c r="DV920" s="496" t="s">
        <v>1555</v>
      </c>
      <c r="DW920" s="496" t="s">
        <v>1981</v>
      </c>
      <c r="DX920" s="497" t="s">
        <v>1982</v>
      </c>
      <c r="DZ920" s="543">
        <v>1</v>
      </c>
      <c r="EB920" s="493"/>
      <c r="EC920" s="493"/>
    </row>
    <row r="921" spans="119:133" ht="21" customHeight="1">
      <c r="DO921" s="494"/>
      <c r="DP921" s="496" t="s">
        <v>2901</v>
      </c>
      <c r="DQ921" s="496" t="s">
        <v>8</v>
      </c>
      <c r="DR921" s="496" t="s">
        <v>689</v>
      </c>
      <c r="DS921" s="496" t="s">
        <v>2902</v>
      </c>
      <c r="DT921" s="496" t="s">
        <v>2902</v>
      </c>
      <c r="DU921" s="496" t="s">
        <v>1554</v>
      </c>
      <c r="DV921" s="496" t="s">
        <v>1555</v>
      </c>
      <c r="DW921" s="496" t="s">
        <v>1981</v>
      </c>
      <c r="DX921" s="497" t="s">
        <v>1982</v>
      </c>
      <c r="DZ921" s="543">
        <v>1</v>
      </c>
      <c r="EB921" s="493"/>
      <c r="EC921" s="493"/>
    </row>
    <row r="922" spans="119:133" ht="21" customHeight="1">
      <c r="DO922" s="494"/>
      <c r="DP922" s="496" t="s">
        <v>2903</v>
      </c>
      <c r="DQ922" s="496" t="s">
        <v>8</v>
      </c>
      <c r="DR922" s="496" t="s">
        <v>689</v>
      </c>
      <c r="DS922" s="496" t="s">
        <v>2904</v>
      </c>
      <c r="DT922" s="496" t="s">
        <v>2904</v>
      </c>
      <c r="DU922" s="496" t="s">
        <v>1085</v>
      </c>
      <c r="DV922" s="496" t="s">
        <v>2063</v>
      </c>
      <c r="DW922" s="496" t="s">
        <v>1087</v>
      </c>
      <c r="DX922" s="497" t="s">
        <v>1088</v>
      </c>
      <c r="DZ922" s="543">
        <v>1</v>
      </c>
      <c r="EB922" s="493"/>
      <c r="EC922" s="493"/>
    </row>
    <row r="923" spans="119:133" ht="21" customHeight="1">
      <c r="DO923" s="494"/>
      <c r="DP923" s="496" t="s">
        <v>2905</v>
      </c>
      <c r="DQ923" s="496" t="s">
        <v>8</v>
      </c>
      <c r="DR923" s="496" t="s">
        <v>689</v>
      </c>
      <c r="DS923" s="496" t="s">
        <v>2906</v>
      </c>
      <c r="DT923" s="496" t="s">
        <v>2906</v>
      </c>
      <c r="DU923" s="496" t="s">
        <v>1554</v>
      </c>
      <c r="DV923" s="496" t="s">
        <v>1555</v>
      </c>
      <c r="DW923" s="496" t="s">
        <v>1981</v>
      </c>
      <c r="DX923" s="497" t="s">
        <v>1982</v>
      </c>
      <c r="DZ923" s="543">
        <v>1</v>
      </c>
      <c r="EB923" s="493"/>
      <c r="EC923" s="493"/>
    </row>
    <row r="924" spans="119:133" ht="21" customHeight="1">
      <c r="DO924" s="494"/>
      <c r="DP924" s="496" t="s">
        <v>2907</v>
      </c>
      <c r="DQ924" s="496" t="s">
        <v>8</v>
      </c>
      <c r="DR924" s="496" t="s">
        <v>689</v>
      </c>
      <c r="DS924" s="496" t="s">
        <v>2908</v>
      </c>
      <c r="DT924" s="496" t="s">
        <v>2908</v>
      </c>
      <c r="DU924" s="496" t="s">
        <v>1554</v>
      </c>
      <c r="DV924" s="496" t="s">
        <v>1555</v>
      </c>
      <c r="DW924" s="496" t="s">
        <v>1981</v>
      </c>
      <c r="DX924" s="497" t="s">
        <v>1982</v>
      </c>
      <c r="DZ924" s="543">
        <v>1</v>
      </c>
      <c r="EB924" s="493"/>
      <c r="EC924" s="493"/>
    </row>
    <row r="925" spans="119:133" ht="21" customHeight="1">
      <c r="DO925" s="494"/>
      <c r="DP925" s="496" t="s">
        <v>2909</v>
      </c>
      <c r="DQ925" s="496" t="s">
        <v>8</v>
      </c>
      <c r="DR925" s="496" t="s">
        <v>689</v>
      </c>
      <c r="DS925" s="496" t="s">
        <v>2910</v>
      </c>
      <c r="DT925" s="496" t="s">
        <v>2910</v>
      </c>
      <c r="DU925" s="496" t="s">
        <v>1554</v>
      </c>
      <c r="DV925" s="496" t="s">
        <v>1555</v>
      </c>
      <c r="DW925" s="496" t="s">
        <v>1981</v>
      </c>
      <c r="DX925" s="497" t="s">
        <v>1982</v>
      </c>
      <c r="DZ925" s="543">
        <v>1</v>
      </c>
      <c r="EB925" s="493"/>
      <c r="EC925" s="493"/>
    </row>
    <row r="926" spans="119:133" ht="21" customHeight="1">
      <c r="DO926" s="494"/>
      <c r="DP926" s="496" t="s">
        <v>2911</v>
      </c>
      <c r="DQ926" s="496" t="s">
        <v>8</v>
      </c>
      <c r="DR926" s="496" t="s">
        <v>689</v>
      </c>
      <c r="DS926" s="496" t="s">
        <v>2912</v>
      </c>
      <c r="DT926" s="496" t="s">
        <v>2912</v>
      </c>
      <c r="DU926" s="496" t="s">
        <v>1554</v>
      </c>
      <c r="DV926" s="496" t="s">
        <v>1555</v>
      </c>
      <c r="DW926" s="496" t="s">
        <v>1981</v>
      </c>
      <c r="DX926" s="497" t="s">
        <v>1982</v>
      </c>
      <c r="DZ926" s="543">
        <v>1</v>
      </c>
      <c r="EB926" s="493"/>
      <c r="EC926" s="493"/>
    </row>
    <row r="927" spans="119:133" ht="21" customHeight="1">
      <c r="DO927" s="494"/>
      <c r="DP927" s="496" t="s">
        <v>2913</v>
      </c>
      <c r="DQ927" s="496" t="s">
        <v>8</v>
      </c>
      <c r="DR927" s="496" t="s">
        <v>689</v>
      </c>
      <c r="DS927" s="496" t="s">
        <v>2914</v>
      </c>
      <c r="DT927" s="496" t="s">
        <v>2914</v>
      </c>
      <c r="DU927" s="496" t="s">
        <v>1554</v>
      </c>
      <c r="DV927" s="496" t="s">
        <v>1555</v>
      </c>
      <c r="DW927" s="496" t="s">
        <v>1981</v>
      </c>
      <c r="DX927" s="497" t="s">
        <v>1982</v>
      </c>
      <c r="DZ927" s="543">
        <v>1</v>
      </c>
      <c r="EB927" s="493"/>
      <c r="EC927" s="493"/>
    </row>
    <row r="928" spans="119:133" ht="21" customHeight="1">
      <c r="DO928" s="494"/>
      <c r="DP928" s="496" t="s">
        <v>2915</v>
      </c>
      <c r="DQ928" s="496" t="s">
        <v>8</v>
      </c>
      <c r="DR928" s="496" t="s">
        <v>689</v>
      </c>
      <c r="DS928" s="496" t="s">
        <v>2916</v>
      </c>
      <c r="DT928" s="496" t="s">
        <v>2916</v>
      </c>
      <c r="DU928" s="496" t="s">
        <v>1554</v>
      </c>
      <c r="DV928" s="496" t="s">
        <v>1555</v>
      </c>
      <c r="DW928" s="496" t="s">
        <v>1981</v>
      </c>
      <c r="DX928" s="497" t="s">
        <v>1982</v>
      </c>
      <c r="DZ928" s="543">
        <v>1</v>
      </c>
      <c r="EB928" s="493"/>
      <c r="EC928" s="493"/>
    </row>
    <row r="929" spans="119:133" ht="21" customHeight="1">
      <c r="DO929" s="494"/>
      <c r="DP929" s="496" t="s">
        <v>2917</v>
      </c>
      <c r="DQ929" s="496" t="s">
        <v>8</v>
      </c>
      <c r="DR929" s="496" t="s">
        <v>689</v>
      </c>
      <c r="DS929" s="496" t="s">
        <v>1038</v>
      </c>
      <c r="DT929" s="496" t="s">
        <v>1038</v>
      </c>
      <c r="DU929" s="496" t="s">
        <v>1554</v>
      </c>
      <c r="DV929" s="496" t="s">
        <v>1555</v>
      </c>
      <c r="DW929" s="496" t="s">
        <v>1981</v>
      </c>
      <c r="DX929" s="497" t="s">
        <v>1982</v>
      </c>
      <c r="DZ929" s="543">
        <v>1</v>
      </c>
      <c r="EB929" s="493"/>
      <c r="EC929" s="493"/>
    </row>
    <row r="930" spans="119:133" ht="21" customHeight="1">
      <c r="DO930" s="494"/>
      <c r="DP930" s="496" t="s">
        <v>2918</v>
      </c>
      <c r="DQ930" s="496" t="s">
        <v>8</v>
      </c>
      <c r="DR930" s="496" t="s">
        <v>689</v>
      </c>
      <c r="DS930" s="496" t="s">
        <v>2919</v>
      </c>
      <c r="DT930" s="496" t="s">
        <v>2919</v>
      </c>
      <c r="DU930" s="496" t="s">
        <v>1554</v>
      </c>
      <c r="DV930" s="496" t="s">
        <v>1555</v>
      </c>
      <c r="DW930" s="496" t="s">
        <v>1981</v>
      </c>
      <c r="DX930" s="497" t="s">
        <v>1982</v>
      </c>
      <c r="DZ930" s="543">
        <v>1</v>
      </c>
      <c r="EB930" s="493"/>
      <c r="EC930" s="493"/>
    </row>
    <row r="931" spans="119:133" ht="21" customHeight="1">
      <c r="DO931" s="494"/>
      <c r="DP931" s="496" t="s">
        <v>2920</v>
      </c>
      <c r="DQ931" s="496" t="s">
        <v>8</v>
      </c>
      <c r="DR931" s="496" t="s">
        <v>689</v>
      </c>
      <c r="DS931" s="496" t="s">
        <v>2921</v>
      </c>
      <c r="DT931" s="496" t="s">
        <v>2921</v>
      </c>
      <c r="DU931" s="496" t="s">
        <v>1554</v>
      </c>
      <c r="DV931" s="496" t="s">
        <v>1555</v>
      </c>
      <c r="DW931" s="496" t="s">
        <v>1981</v>
      </c>
      <c r="DX931" s="497" t="s">
        <v>1982</v>
      </c>
      <c r="DZ931" s="543">
        <v>1</v>
      </c>
      <c r="EB931" s="493"/>
      <c r="EC931" s="493"/>
    </row>
    <row r="932" spans="119:133" ht="21" customHeight="1">
      <c r="DO932" s="494"/>
      <c r="DP932" s="496" t="s">
        <v>2922</v>
      </c>
      <c r="DQ932" s="496" t="s">
        <v>8</v>
      </c>
      <c r="DR932" s="496" t="s">
        <v>689</v>
      </c>
      <c r="DS932" s="496" t="s">
        <v>2923</v>
      </c>
      <c r="DT932" s="496" t="s">
        <v>2923</v>
      </c>
      <c r="DU932" s="496" t="s">
        <v>1554</v>
      </c>
      <c r="DV932" s="496" t="s">
        <v>1555</v>
      </c>
      <c r="DW932" s="496" t="s">
        <v>1981</v>
      </c>
      <c r="DX932" s="497" t="s">
        <v>1982</v>
      </c>
      <c r="DZ932" s="543">
        <v>1</v>
      </c>
      <c r="EB932" s="493"/>
      <c r="EC932" s="493"/>
    </row>
    <row r="933" spans="119:133" ht="21" customHeight="1">
      <c r="DO933" s="494"/>
      <c r="DP933" s="496" t="s">
        <v>2924</v>
      </c>
      <c r="DQ933" s="496" t="s">
        <v>8</v>
      </c>
      <c r="DR933" s="496" t="s">
        <v>689</v>
      </c>
      <c r="DS933" s="496" t="s">
        <v>2925</v>
      </c>
      <c r="DT933" s="496" t="s">
        <v>2925</v>
      </c>
      <c r="DU933" s="496" t="s">
        <v>1554</v>
      </c>
      <c r="DV933" s="496" t="s">
        <v>1555</v>
      </c>
      <c r="DW933" s="496" t="s">
        <v>1981</v>
      </c>
      <c r="DX933" s="497" t="s">
        <v>1982</v>
      </c>
      <c r="DZ933" s="543">
        <v>1</v>
      </c>
      <c r="EB933" s="493"/>
      <c r="EC933" s="493"/>
    </row>
    <row r="934" spans="119:133" ht="21" customHeight="1">
      <c r="DO934" s="494"/>
      <c r="DP934" s="496" t="s">
        <v>2926</v>
      </c>
      <c r="DQ934" s="496" t="s">
        <v>8</v>
      </c>
      <c r="DR934" s="496" t="s">
        <v>689</v>
      </c>
      <c r="DS934" s="496" t="s">
        <v>94</v>
      </c>
      <c r="DT934" s="496" t="s">
        <v>94</v>
      </c>
      <c r="DU934" s="496" t="s">
        <v>1554</v>
      </c>
      <c r="DV934" s="496" t="s">
        <v>1555</v>
      </c>
      <c r="DW934" s="496" t="s">
        <v>1981</v>
      </c>
      <c r="DX934" s="497" t="s">
        <v>1982</v>
      </c>
      <c r="DZ934" s="543">
        <v>1</v>
      </c>
      <c r="EB934" s="493"/>
      <c r="EC934" s="493"/>
    </row>
    <row r="935" spans="119:133" ht="21" customHeight="1">
      <c r="DO935" s="494"/>
      <c r="DP935" s="496" t="s">
        <v>2927</v>
      </c>
      <c r="DQ935" s="496" t="s">
        <v>8</v>
      </c>
      <c r="DR935" s="496" t="s">
        <v>689</v>
      </c>
      <c r="DS935" s="496" t="s">
        <v>2928</v>
      </c>
      <c r="DT935" s="496" t="s">
        <v>2928</v>
      </c>
      <c r="DU935" s="496" t="s">
        <v>1554</v>
      </c>
      <c r="DV935" s="496" t="s">
        <v>1555</v>
      </c>
      <c r="DW935" s="496" t="s">
        <v>1981</v>
      </c>
      <c r="DX935" s="497" t="s">
        <v>1982</v>
      </c>
      <c r="DZ935" s="543">
        <v>1</v>
      </c>
      <c r="EB935" s="493"/>
      <c r="EC935" s="493"/>
    </row>
    <row r="936" spans="119:133" ht="21" customHeight="1">
      <c r="DO936" s="494"/>
      <c r="DP936" s="496" t="s">
        <v>2929</v>
      </c>
      <c r="DQ936" s="496" t="s">
        <v>8</v>
      </c>
      <c r="DR936" s="496" t="s">
        <v>689</v>
      </c>
      <c r="DS936" s="496" t="s">
        <v>2930</v>
      </c>
      <c r="DT936" s="496" t="s">
        <v>2930</v>
      </c>
      <c r="DU936" s="496" t="s">
        <v>1554</v>
      </c>
      <c r="DV936" s="496" t="s">
        <v>1555</v>
      </c>
      <c r="DW936" s="496" t="s">
        <v>1981</v>
      </c>
      <c r="DX936" s="497" t="s">
        <v>1982</v>
      </c>
      <c r="DZ936" s="543">
        <v>1</v>
      </c>
      <c r="EB936" s="493"/>
      <c r="EC936" s="493"/>
    </row>
    <row r="937" spans="119:133" ht="21" customHeight="1">
      <c r="DO937" s="494"/>
      <c r="DP937" s="496" t="s">
        <v>2931</v>
      </c>
      <c r="DQ937" s="496" t="s">
        <v>8</v>
      </c>
      <c r="DR937" s="496" t="s">
        <v>689</v>
      </c>
      <c r="DS937" s="496" t="s">
        <v>2932</v>
      </c>
      <c r="DT937" s="496" t="s">
        <v>2932</v>
      </c>
      <c r="DU937" s="496" t="s">
        <v>1554</v>
      </c>
      <c r="DV937" s="496" t="s">
        <v>1555</v>
      </c>
      <c r="DW937" s="496" t="s">
        <v>1981</v>
      </c>
      <c r="DX937" s="497" t="s">
        <v>1982</v>
      </c>
      <c r="DZ937" s="543">
        <v>1</v>
      </c>
      <c r="EB937" s="493"/>
      <c r="EC937" s="493"/>
    </row>
    <row r="938" spans="119:133" ht="21" customHeight="1">
      <c r="DO938" s="494"/>
      <c r="DP938" s="496" t="s">
        <v>2933</v>
      </c>
      <c r="DQ938" s="496" t="s">
        <v>8</v>
      </c>
      <c r="DR938" s="496" t="s">
        <v>689</v>
      </c>
      <c r="DS938" s="496" t="s">
        <v>1039</v>
      </c>
      <c r="DT938" s="496" t="s">
        <v>1039</v>
      </c>
      <c r="DU938" s="496" t="s">
        <v>1554</v>
      </c>
      <c r="DV938" s="496" t="s">
        <v>1555</v>
      </c>
      <c r="DW938" s="496" t="s">
        <v>1981</v>
      </c>
      <c r="DX938" s="497" t="s">
        <v>1982</v>
      </c>
      <c r="DZ938" s="543">
        <v>1</v>
      </c>
      <c r="EB938" s="493"/>
      <c r="EC938" s="493"/>
    </row>
    <row r="939" spans="119:133" ht="21" customHeight="1">
      <c r="DO939" s="494"/>
      <c r="DP939" s="496" t="s">
        <v>2934</v>
      </c>
      <c r="DQ939" s="496" t="s">
        <v>8</v>
      </c>
      <c r="DR939" s="496" t="s">
        <v>689</v>
      </c>
      <c r="DS939" s="496" t="s">
        <v>2935</v>
      </c>
      <c r="DT939" s="496" t="s">
        <v>2935</v>
      </c>
      <c r="DU939" s="496" t="s">
        <v>1554</v>
      </c>
      <c r="DV939" s="496" t="s">
        <v>1555</v>
      </c>
      <c r="DW939" s="496" t="s">
        <v>1981</v>
      </c>
      <c r="DX939" s="497" t="s">
        <v>1982</v>
      </c>
      <c r="DZ939" s="543">
        <v>1</v>
      </c>
      <c r="EB939" s="493"/>
      <c r="EC939" s="493"/>
    </row>
    <row r="940" spans="119:133" ht="21" customHeight="1">
      <c r="DO940" s="494"/>
      <c r="DP940" s="496" t="s">
        <v>2936</v>
      </c>
      <c r="DQ940" s="496" t="s">
        <v>8</v>
      </c>
      <c r="DR940" s="496" t="s">
        <v>689</v>
      </c>
      <c r="DS940" s="496" t="s">
        <v>2937</v>
      </c>
      <c r="DT940" s="496" t="s">
        <v>2937</v>
      </c>
      <c r="DU940" s="496" t="s">
        <v>1554</v>
      </c>
      <c r="DV940" s="496" t="s">
        <v>1555</v>
      </c>
      <c r="DW940" s="496" t="s">
        <v>1981</v>
      </c>
      <c r="DX940" s="497" t="s">
        <v>1982</v>
      </c>
      <c r="DZ940" s="543">
        <v>1</v>
      </c>
      <c r="EB940" s="493"/>
      <c r="EC940" s="493"/>
    </row>
    <row r="941" spans="119:133" ht="21" customHeight="1">
      <c r="DO941" s="494"/>
      <c r="DP941" s="496" t="s">
        <v>2938</v>
      </c>
      <c r="DQ941" s="496" t="s">
        <v>8</v>
      </c>
      <c r="DR941" s="496" t="s">
        <v>689</v>
      </c>
      <c r="DS941" s="496" t="s">
        <v>2939</v>
      </c>
      <c r="DT941" s="496" t="s">
        <v>2939</v>
      </c>
      <c r="DU941" s="496" t="s">
        <v>1554</v>
      </c>
      <c r="DV941" s="496" t="s">
        <v>1555</v>
      </c>
      <c r="DW941" s="496" t="s">
        <v>1981</v>
      </c>
      <c r="DX941" s="497" t="s">
        <v>1982</v>
      </c>
      <c r="DZ941" s="543">
        <v>1</v>
      </c>
      <c r="EB941" s="493"/>
      <c r="EC941" s="493"/>
    </row>
    <row r="942" spans="119:133" ht="21" customHeight="1">
      <c r="DO942" s="494"/>
      <c r="DP942" s="496" t="s">
        <v>2940</v>
      </c>
      <c r="DQ942" s="496" t="s">
        <v>8</v>
      </c>
      <c r="DR942" s="496" t="s">
        <v>689</v>
      </c>
      <c r="DS942" s="496" t="s">
        <v>2941</v>
      </c>
      <c r="DT942" s="496" t="s">
        <v>2941</v>
      </c>
      <c r="DU942" s="496" t="s">
        <v>1554</v>
      </c>
      <c r="DV942" s="496" t="s">
        <v>1555</v>
      </c>
      <c r="DW942" s="496" t="s">
        <v>1981</v>
      </c>
      <c r="DX942" s="497" t="s">
        <v>1982</v>
      </c>
      <c r="DZ942" s="543">
        <v>1</v>
      </c>
      <c r="EB942" s="493"/>
      <c r="EC942" s="493"/>
    </row>
    <row r="943" spans="119:133" ht="21" customHeight="1">
      <c r="DO943" s="494"/>
      <c r="DP943" s="496" t="s">
        <v>2942</v>
      </c>
      <c r="DQ943" s="496" t="s">
        <v>8</v>
      </c>
      <c r="DR943" s="496" t="s">
        <v>689</v>
      </c>
      <c r="DS943" s="496" t="s">
        <v>2943</v>
      </c>
      <c r="DT943" s="496" t="s">
        <v>2943</v>
      </c>
      <c r="DU943" s="496" t="s">
        <v>1554</v>
      </c>
      <c r="DV943" s="496" t="s">
        <v>1555</v>
      </c>
      <c r="DW943" s="496" t="s">
        <v>1981</v>
      </c>
      <c r="DX943" s="497" t="s">
        <v>1982</v>
      </c>
      <c r="DZ943" s="543">
        <v>1</v>
      </c>
      <c r="EB943" s="493"/>
      <c r="EC943" s="493"/>
    </row>
    <row r="944" spans="119:133" ht="21" customHeight="1">
      <c r="DO944" s="494"/>
      <c r="DP944" s="496" t="s">
        <v>2944</v>
      </c>
      <c r="DQ944" s="496" t="s">
        <v>8</v>
      </c>
      <c r="DR944" s="496" t="s">
        <v>689</v>
      </c>
      <c r="DS944" s="496" t="s">
        <v>2945</v>
      </c>
      <c r="DT944" s="496" t="s">
        <v>2945</v>
      </c>
      <c r="DU944" s="496" t="s">
        <v>1554</v>
      </c>
      <c r="DV944" s="496" t="s">
        <v>1555</v>
      </c>
      <c r="DW944" s="496" t="s">
        <v>1981</v>
      </c>
      <c r="DX944" s="497" t="s">
        <v>1982</v>
      </c>
      <c r="DZ944" s="543">
        <v>1</v>
      </c>
      <c r="EB944" s="493"/>
      <c r="EC944" s="493"/>
    </row>
    <row r="945" spans="119:133" ht="21" customHeight="1">
      <c r="DO945" s="494"/>
      <c r="DP945" s="496" t="s">
        <v>2946</v>
      </c>
      <c r="DQ945" s="496" t="s">
        <v>8</v>
      </c>
      <c r="DR945" s="496" t="s">
        <v>689</v>
      </c>
      <c r="DS945" s="496" t="s">
        <v>2947</v>
      </c>
      <c r="DT945" s="496" t="s">
        <v>2947</v>
      </c>
      <c r="DU945" s="496" t="s">
        <v>1554</v>
      </c>
      <c r="DV945" s="496" t="s">
        <v>1555</v>
      </c>
      <c r="DW945" s="496" t="s">
        <v>1981</v>
      </c>
      <c r="DX945" s="497" t="s">
        <v>1982</v>
      </c>
      <c r="DZ945" s="543">
        <v>1</v>
      </c>
      <c r="EB945" s="493"/>
      <c r="EC945" s="493"/>
    </row>
    <row r="946" spans="119:133" ht="21" customHeight="1">
      <c r="DO946" s="494"/>
      <c r="DP946" s="496" t="s">
        <v>2948</v>
      </c>
      <c r="DQ946" s="496" t="s">
        <v>8</v>
      </c>
      <c r="DR946" s="496" t="s">
        <v>689</v>
      </c>
      <c r="DS946" s="496" t="s">
        <v>2949</v>
      </c>
      <c r="DT946" s="496" t="s">
        <v>2949</v>
      </c>
      <c r="DU946" s="496" t="s">
        <v>1554</v>
      </c>
      <c r="DV946" s="496" t="s">
        <v>1555</v>
      </c>
      <c r="DW946" s="496" t="s">
        <v>1981</v>
      </c>
      <c r="DX946" s="497" t="s">
        <v>1982</v>
      </c>
      <c r="DZ946" s="543">
        <v>1</v>
      </c>
      <c r="EB946" s="493"/>
      <c r="EC946" s="493"/>
    </row>
    <row r="947" spans="119:133" ht="21" customHeight="1">
      <c r="DO947" s="494"/>
      <c r="DP947" s="496" t="s">
        <v>2950</v>
      </c>
      <c r="DQ947" s="496" t="s">
        <v>8</v>
      </c>
      <c r="DR947" s="496" t="s">
        <v>689</v>
      </c>
      <c r="DS947" s="496" t="s">
        <v>2951</v>
      </c>
      <c r="DT947" s="496" t="s">
        <v>2951</v>
      </c>
      <c r="DU947" s="496" t="s">
        <v>1554</v>
      </c>
      <c r="DV947" s="496" t="s">
        <v>1555</v>
      </c>
      <c r="DW947" s="496" t="s">
        <v>1981</v>
      </c>
      <c r="DX947" s="497" t="s">
        <v>1982</v>
      </c>
      <c r="DZ947" s="543">
        <v>1</v>
      </c>
      <c r="EB947" s="493"/>
      <c r="EC947" s="493"/>
    </row>
    <row r="948" spans="119:133" ht="21" customHeight="1">
      <c r="DO948" s="494"/>
      <c r="DP948" s="496" t="s">
        <v>2952</v>
      </c>
      <c r="DQ948" s="496" t="s">
        <v>8</v>
      </c>
      <c r="DR948" s="496" t="s">
        <v>689</v>
      </c>
      <c r="DS948" s="496" t="s">
        <v>2953</v>
      </c>
      <c r="DT948" s="496" t="s">
        <v>2953</v>
      </c>
      <c r="DU948" s="496" t="s">
        <v>1554</v>
      </c>
      <c r="DV948" s="496" t="s">
        <v>1555</v>
      </c>
      <c r="DW948" s="496" t="s">
        <v>1981</v>
      </c>
      <c r="DX948" s="497" t="s">
        <v>1982</v>
      </c>
      <c r="DZ948" s="543">
        <v>1</v>
      </c>
      <c r="EB948" s="493"/>
      <c r="EC948" s="493"/>
    </row>
    <row r="949" spans="119:133" ht="21" customHeight="1">
      <c r="DO949" s="494"/>
      <c r="DP949" s="496" t="s">
        <v>2954</v>
      </c>
      <c r="DQ949" s="496" t="s">
        <v>8</v>
      </c>
      <c r="DR949" s="496" t="s">
        <v>689</v>
      </c>
      <c r="DS949" s="496" t="s">
        <v>2955</v>
      </c>
      <c r="DT949" s="496" t="s">
        <v>2955</v>
      </c>
      <c r="DU949" s="496" t="s">
        <v>1554</v>
      </c>
      <c r="DV949" s="496" t="s">
        <v>1555</v>
      </c>
      <c r="DW949" s="496" t="s">
        <v>1981</v>
      </c>
      <c r="DX949" s="497" t="s">
        <v>1982</v>
      </c>
      <c r="DZ949" s="543">
        <v>1</v>
      </c>
      <c r="EB949" s="493"/>
      <c r="EC949" s="493"/>
    </row>
    <row r="950" spans="119:133" ht="21" customHeight="1">
      <c r="DO950" s="494"/>
      <c r="DP950" s="496" t="s">
        <v>2956</v>
      </c>
      <c r="DQ950" s="496" t="s">
        <v>8</v>
      </c>
      <c r="DR950" s="496" t="s">
        <v>689</v>
      </c>
      <c r="DS950" s="496" t="s">
        <v>2957</v>
      </c>
      <c r="DT950" s="496" t="s">
        <v>2957</v>
      </c>
      <c r="DU950" s="496" t="s">
        <v>1554</v>
      </c>
      <c r="DV950" s="496" t="s">
        <v>1555</v>
      </c>
      <c r="DW950" s="496" t="s">
        <v>1981</v>
      </c>
      <c r="DX950" s="497" t="s">
        <v>1982</v>
      </c>
      <c r="DZ950" s="543">
        <v>1</v>
      </c>
      <c r="EB950" s="493"/>
      <c r="EC950" s="493"/>
    </row>
    <row r="951" spans="119:133" ht="21" customHeight="1">
      <c r="DO951" s="494"/>
      <c r="DP951" s="496" t="s">
        <v>2958</v>
      </c>
      <c r="DQ951" s="496" t="s">
        <v>8</v>
      </c>
      <c r="DR951" s="496" t="s">
        <v>689</v>
      </c>
      <c r="DS951" s="496" t="s">
        <v>2959</v>
      </c>
      <c r="DT951" s="496" t="s">
        <v>2959</v>
      </c>
      <c r="DU951" s="496" t="s">
        <v>1554</v>
      </c>
      <c r="DV951" s="496" t="s">
        <v>1555</v>
      </c>
      <c r="DW951" s="496" t="s">
        <v>1981</v>
      </c>
      <c r="DX951" s="497" t="s">
        <v>1982</v>
      </c>
      <c r="DZ951" s="543">
        <v>1</v>
      </c>
      <c r="EB951" s="493"/>
      <c r="EC951" s="493"/>
    </row>
    <row r="952" spans="119:133" ht="21" customHeight="1">
      <c r="DO952" s="494"/>
      <c r="DP952" s="496" t="s">
        <v>2960</v>
      </c>
      <c r="DQ952" s="496" t="s">
        <v>8</v>
      </c>
      <c r="DR952" s="496" t="s">
        <v>689</v>
      </c>
      <c r="DS952" s="496" t="s">
        <v>2961</v>
      </c>
      <c r="DT952" s="496" t="s">
        <v>2961</v>
      </c>
      <c r="DU952" s="496" t="s">
        <v>1554</v>
      </c>
      <c r="DV952" s="496" t="s">
        <v>1555</v>
      </c>
      <c r="DW952" s="496" t="s">
        <v>1981</v>
      </c>
      <c r="DX952" s="497" t="s">
        <v>1982</v>
      </c>
      <c r="DZ952" s="543">
        <v>1</v>
      </c>
      <c r="EB952" s="493"/>
      <c r="EC952" s="493"/>
    </row>
    <row r="953" spans="119:133" ht="21" customHeight="1">
      <c r="DO953" s="494"/>
      <c r="DP953" s="496" t="s">
        <v>2962</v>
      </c>
      <c r="DQ953" s="496" t="s">
        <v>8</v>
      </c>
      <c r="DR953" s="496" t="s">
        <v>689</v>
      </c>
      <c r="DS953" s="496" t="s">
        <v>2963</v>
      </c>
      <c r="DT953" s="496" t="s">
        <v>2963</v>
      </c>
      <c r="DU953" s="496" t="s">
        <v>1554</v>
      </c>
      <c r="DV953" s="496" t="s">
        <v>1555</v>
      </c>
      <c r="DW953" s="496" t="s">
        <v>1981</v>
      </c>
      <c r="DX953" s="497" t="s">
        <v>1982</v>
      </c>
      <c r="DZ953" s="543">
        <v>1</v>
      </c>
      <c r="EB953" s="493"/>
      <c r="EC953" s="493"/>
    </row>
    <row r="954" spans="119:133" ht="21" customHeight="1">
      <c r="DO954" s="494"/>
      <c r="DP954" s="496" t="s">
        <v>2964</v>
      </c>
      <c r="DQ954" s="496" t="s">
        <v>8</v>
      </c>
      <c r="DR954" s="496" t="s">
        <v>689</v>
      </c>
      <c r="DS954" s="496" t="s">
        <v>2965</v>
      </c>
      <c r="DT954" s="496" t="s">
        <v>2965</v>
      </c>
      <c r="DU954" s="496" t="s">
        <v>1554</v>
      </c>
      <c r="DV954" s="496" t="s">
        <v>1555</v>
      </c>
      <c r="DW954" s="496" t="s">
        <v>1981</v>
      </c>
      <c r="DX954" s="497" t="s">
        <v>1982</v>
      </c>
      <c r="DZ954" s="543">
        <v>1</v>
      </c>
      <c r="EB954" s="493"/>
      <c r="EC954" s="493"/>
    </row>
    <row r="955" spans="119:133" ht="21" customHeight="1">
      <c r="DO955" s="494"/>
      <c r="DP955" s="496" t="s">
        <v>2966</v>
      </c>
      <c r="DQ955" s="496" t="s">
        <v>8</v>
      </c>
      <c r="DR955" s="496" t="s">
        <v>689</v>
      </c>
      <c r="DS955" s="496" t="s">
        <v>2967</v>
      </c>
      <c r="DT955" s="496" t="s">
        <v>2967</v>
      </c>
      <c r="DU955" s="496" t="s">
        <v>1554</v>
      </c>
      <c r="DV955" s="496" t="s">
        <v>1555</v>
      </c>
      <c r="DW955" s="496" t="s">
        <v>1981</v>
      </c>
      <c r="DX955" s="497" t="s">
        <v>1982</v>
      </c>
      <c r="DZ955" s="543">
        <v>1</v>
      </c>
      <c r="EB955" s="493"/>
      <c r="EC955" s="493"/>
    </row>
    <row r="956" spans="119:133" ht="21" customHeight="1">
      <c r="DO956" s="494"/>
      <c r="DP956" s="496" t="s">
        <v>2968</v>
      </c>
      <c r="DQ956" s="496" t="s">
        <v>8</v>
      </c>
      <c r="DR956" s="496" t="s">
        <v>689</v>
      </c>
      <c r="DS956" s="496" t="s">
        <v>2969</v>
      </c>
      <c r="DT956" s="496" t="s">
        <v>2969</v>
      </c>
      <c r="DU956" s="496" t="s">
        <v>1554</v>
      </c>
      <c r="DV956" s="496" t="s">
        <v>1555</v>
      </c>
      <c r="DW956" s="496" t="s">
        <v>1981</v>
      </c>
      <c r="DX956" s="497" t="s">
        <v>1982</v>
      </c>
      <c r="DZ956" s="543">
        <v>1</v>
      </c>
      <c r="EB956" s="493"/>
      <c r="EC956" s="493"/>
    </row>
    <row r="957" spans="119:133" ht="21" customHeight="1">
      <c r="DO957" s="494"/>
      <c r="DP957" s="496" t="s">
        <v>2970</v>
      </c>
      <c r="DQ957" s="496" t="s">
        <v>8</v>
      </c>
      <c r="DR957" s="496" t="s">
        <v>689</v>
      </c>
      <c r="DS957" s="496" t="s">
        <v>2971</v>
      </c>
      <c r="DT957" s="496" t="s">
        <v>2971</v>
      </c>
      <c r="DU957" s="496" t="s">
        <v>1554</v>
      </c>
      <c r="DV957" s="496" t="s">
        <v>1555</v>
      </c>
      <c r="DW957" s="496" t="s">
        <v>1981</v>
      </c>
      <c r="DX957" s="497" t="s">
        <v>1982</v>
      </c>
      <c r="DZ957" s="543">
        <v>1</v>
      </c>
      <c r="EB957" s="493"/>
      <c r="EC957" s="493"/>
    </row>
    <row r="958" spans="119:133" ht="21" customHeight="1">
      <c r="DO958" s="494"/>
      <c r="DP958" s="496" t="s">
        <v>2972</v>
      </c>
      <c r="DQ958" s="496" t="s">
        <v>8</v>
      </c>
      <c r="DR958" s="496" t="s">
        <v>689</v>
      </c>
      <c r="DS958" s="496" t="s">
        <v>2973</v>
      </c>
      <c r="DT958" s="496" t="s">
        <v>2973</v>
      </c>
      <c r="DU958" s="496" t="s">
        <v>1554</v>
      </c>
      <c r="DV958" s="496" t="s">
        <v>1555</v>
      </c>
      <c r="DW958" s="496" t="s">
        <v>1981</v>
      </c>
      <c r="DX958" s="497" t="s">
        <v>1982</v>
      </c>
      <c r="DZ958" s="543">
        <v>1</v>
      </c>
      <c r="EB958" s="493"/>
      <c r="EC958" s="493"/>
    </row>
    <row r="959" spans="119:133" ht="21" customHeight="1">
      <c r="DO959" s="494"/>
      <c r="DP959" s="496" t="s">
        <v>2974</v>
      </c>
      <c r="DQ959" s="496" t="s">
        <v>8</v>
      </c>
      <c r="DR959" s="496" t="s">
        <v>689</v>
      </c>
      <c r="DS959" s="496" t="s">
        <v>2975</v>
      </c>
      <c r="DT959" s="496" t="s">
        <v>2975</v>
      </c>
      <c r="DU959" s="496" t="s">
        <v>1554</v>
      </c>
      <c r="DV959" s="496" t="s">
        <v>1555</v>
      </c>
      <c r="DW959" s="496" t="s">
        <v>1981</v>
      </c>
      <c r="DX959" s="497" t="s">
        <v>1982</v>
      </c>
      <c r="DZ959" s="543">
        <v>1</v>
      </c>
      <c r="EB959" s="493"/>
      <c r="EC959" s="493"/>
    </row>
    <row r="960" spans="119:133" ht="21" customHeight="1">
      <c r="DO960" s="494"/>
      <c r="DP960" s="496" t="s">
        <v>2976</v>
      </c>
      <c r="DQ960" s="496" t="s">
        <v>8</v>
      </c>
      <c r="DR960" s="496" t="s">
        <v>689</v>
      </c>
      <c r="DS960" s="496" t="s">
        <v>2977</v>
      </c>
      <c r="DT960" s="496" t="s">
        <v>2977</v>
      </c>
      <c r="DU960" s="496" t="s">
        <v>1554</v>
      </c>
      <c r="DV960" s="496" t="s">
        <v>1555</v>
      </c>
      <c r="DW960" s="496" t="s">
        <v>1981</v>
      </c>
      <c r="DX960" s="497" t="s">
        <v>1982</v>
      </c>
      <c r="DZ960" s="543">
        <v>1</v>
      </c>
      <c r="EB960" s="493"/>
      <c r="EC960" s="493"/>
    </row>
    <row r="961" spans="119:133" ht="21" customHeight="1">
      <c r="DO961" s="494"/>
      <c r="DP961" s="496" t="s">
        <v>2978</v>
      </c>
      <c r="DQ961" s="496" t="s">
        <v>8</v>
      </c>
      <c r="DR961" s="496" t="s">
        <v>689</v>
      </c>
      <c r="DS961" s="496" t="s">
        <v>2979</v>
      </c>
      <c r="DT961" s="496" t="s">
        <v>2979</v>
      </c>
      <c r="DU961" s="496" t="s">
        <v>1554</v>
      </c>
      <c r="DV961" s="496" t="s">
        <v>1555</v>
      </c>
      <c r="DW961" s="496" t="s">
        <v>1981</v>
      </c>
      <c r="DX961" s="497" t="s">
        <v>1982</v>
      </c>
      <c r="DZ961" s="543">
        <v>1</v>
      </c>
      <c r="EB961" s="493"/>
      <c r="EC961" s="493"/>
    </row>
    <row r="962" spans="119:133" ht="21" customHeight="1">
      <c r="DO962" s="494"/>
      <c r="DP962" s="496" t="s">
        <v>2980</v>
      </c>
      <c r="DQ962" s="496" t="s">
        <v>8</v>
      </c>
      <c r="DR962" s="496" t="s">
        <v>689</v>
      </c>
      <c r="DS962" s="496" t="s">
        <v>2981</v>
      </c>
      <c r="DT962" s="496" t="s">
        <v>2981</v>
      </c>
      <c r="DU962" s="496" t="s">
        <v>1554</v>
      </c>
      <c r="DV962" s="496" t="s">
        <v>1555</v>
      </c>
      <c r="DW962" s="496" t="s">
        <v>1981</v>
      </c>
      <c r="DX962" s="497" t="s">
        <v>1982</v>
      </c>
      <c r="DZ962" s="543">
        <v>1</v>
      </c>
      <c r="EB962" s="493"/>
      <c r="EC962" s="493"/>
    </row>
    <row r="963" spans="119:133" ht="21" customHeight="1">
      <c r="DO963" s="494"/>
      <c r="DP963" s="496" t="s">
        <v>2982</v>
      </c>
      <c r="DQ963" s="496" t="s">
        <v>8</v>
      </c>
      <c r="DR963" s="496" t="s">
        <v>689</v>
      </c>
      <c r="DS963" s="496" t="s">
        <v>2983</v>
      </c>
      <c r="DT963" s="496" t="s">
        <v>2983</v>
      </c>
      <c r="DU963" s="496" t="s">
        <v>1554</v>
      </c>
      <c r="DV963" s="496" t="s">
        <v>1555</v>
      </c>
      <c r="DW963" s="496" t="s">
        <v>1981</v>
      </c>
      <c r="DX963" s="497" t="s">
        <v>1982</v>
      </c>
      <c r="DZ963" s="543">
        <v>1</v>
      </c>
      <c r="EB963" s="493"/>
      <c r="EC963" s="493"/>
    </row>
    <row r="964" spans="119:133" ht="21" customHeight="1">
      <c r="DO964" s="494"/>
      <c r="DP964" s="496" t="s">
        <v>2984</v>
      </c>
      <c r="DQ964" s="496" t="s">
        <v>8</v>
      </c>
      <c r="DR964" s="496" t="s">
        <v>689</v>
      </c>
      <c r="DS964" s="496" t="s">
        <v>2985</v>
      </c>
      <c r="DT964" s="496" t="s">
        <v>2985</v>
      </c>
      <c r="DU964" s="496" t="s">
        <v>1554</v>
      </c>
      <c r="DV964" s="496" t="s">
        <v>1555</v>
      </c>
      <c r="DW964" s="496" t="s">
        <v>1981</v>
      </c>
      <c r="DX964" s="497" t="s">
        <v>1982</v>
      </c>
      <c r="DZ964" s="543">
        <v>1</v>
      </c>
      <c r="EB964" s="493"/>
      <c r="EC964" s="493"/>
    </row>
    <row r="965" spans="119:133" ht="21" customHeight="1">
      <c r="DO965" s="494"/>
      <c r="DP965" s="496" t="s">
        <v>2986</v>
      </c>
      <c r="DQ965" s="496" t="s">
        <v>8</v>
      </c>
      <c r="DR965" s="496" t="s">
        <v>689</v>
      </c>
      <c r="DS965" s="496" t="s">
        <v>2987</v>
      </c>
      <c r="DT965" s="496" t="s">
        <v>2987</v>
      </c>
      <c r="DU965" s="496" t="s">
        <v>1554</v>
      </c>
      <c r="DV965" s="496" t="s">
        <v>1555</v>
      </c>
      <c r="DW965" s="496" t="s">
        <v>1981</v>
      </c>
      <c r="DX965" s="497" t="s">
        <v>1982</v>
      </c>
      <c r="DZ965" s="543">
        <v>1</v>
      </c>
      <c r="EB965" s="493"/>
      <c r="EC965" s="493"/>
    </row>
    <row r="966" spans="119:133" ht="21" customHeight="1">
      <c r="DO966" s="494"/>
      <c r="DP966" s="496" t="s">
        <v>2988</v>
      </c>
      <c r="DQ966" s="496" t="s">
        <v>8</v>
      </c>
      <c r="DR966" s="496" t="s">
        <v>689</v>
      </c>
      <c r="DS966" s="496" t="s">
        <v>2989</v>
      </c>
      <c r="DT966" s="496" t="s">
        <v>2989</v>
      </c>
      <c r="DU966" s="496" t="s">
        <v>1554</v>
      </c>
      <c r="DV966" s="496" t="s">
        <v>1555</v>
      </c>
      <c r="DW966" s="496" t="s">
        <v>1981</v>
      </c>
      <c r="DX966" s="497" t="s">
        <v>1982</v>
      </c>
      <c r="DZ966" s="543">
        <v>1</v>
      </c>
      <c r="EB966" s="493"/>
      <c r="EC966" s="493"/>
    </row>
    <row r="967" spans="119:133" ht="21" customHeight="1">
      <c r="DO967" s="494"/>
      <c r="DP967" s="496" t="s">
        <v>2990</v>
      </c>
      <c r="DQ967" s="496" t="s">
        <v>8</v>
      </c>
      <c r="DR967" s="496" t="s">
        <v>689</v>
      </c>
      <c r="DS967" s="496" t="s">
        <v>2991</v>
      </c>
      <c r="DT967" s="496" t="s">
        <v>2991</v>
      </c>
      <c r="DU967" s="496" t="s">
        <v>1554</v>
      </c>
      <c r="DV967" s="496" t="s">
        <v>1555</v>
      </c>
      <c r="DW967" s="496" t="s">
        <v>1981</v>
      </c>
      <c r="DX967" s="497" t="s">
        <v>1982</v>
      </c>
      <c r="DZ967" s="543">
        <v>1</v>
      </c>
      <c r="EB967" s="493"/>
      <c r="EC967" s="493"/>
    </row>
    <row r="968" spans="119:133" ht="21" customHeight="1">
      <c r="DO968" s="494"/>
      <c r="DP968" s="496" t="s">
        <v>2992</v>
      </c>
      <c r="DQ968" s="496" t="s">
        <v>8</v>
      </c>
      <c r="DR968" s="496" t="s">
        <v>689</v>
      </c>
      <c r="DS968" s="496" t="s">
        <v>2993</v>
      </c>
      <c r="DT968" s="496" t="s">
        <v>2993</v>
      </c>
      <c r="DU968" s="496" t="s">
        <v>1554</v>
      </c>
      <c r="DV968" s="496" t="s">
        <v>1555</v>
      </c>
      <c r="DW968" s="496" t="s">
        <v>1981</v>
      </c>
      <c r="DX968" s="497" t="s">
        <v>1982</v>
      </c>
      <c r="DZ968" s="543">
        <v>1</v>
      </c>
      <c r="EB968" s="493"/>
      <c r="EC968" s="493"/>
    </row>
    <row r="969" spans="119:133" ht="21" customHeight="1">
      <c r="DO969" s="494"/>
      <c r="DP969" s="496" t="s">
        <v>2994</v>
      </c>
      <c r="DQ969" s="496" t="s">
        <v>8</v>
      </c>
      <c r="DR969" s="496" t="s">
        <v>689</v>
      </c>
      <c r="DS969" s="496" t="s">
        <v>2995</v>
      </c>
      <c r="DT969" s="496" t="s">
        <v>2995</v>
      </c>
      <c r="DU969" s="496" t="s">
        <v>1554</v>
      </c>
      <c r="DV969" s="496" t="s">
        <v>1555</v>
      </c>
      <c r="DW969" s="496" t="s">
        <v>1981</v>
      </c>
      <c r="DX969" s="497" t="s">
        <v>1982</v>
      </c>
      <c r="DZ969" s="543">
        <v>1</v>
      </c>
      <c r="EB969" s="493"/>
      <c r="EC969" s="493"/>
    </row>
    <row r="970" spans="119:133" ht="21" customHeight="1">
      <c r="DO970" s="494"/>
      <c r="DP970" s="496" t="s">
        <v>2996</v>
      </c>
      <c r="DQ970" s="496" t="s">
        <v>8</v>
      </c>
      <c r="DR970" s="496" t="s">
        <v>689</v>
      </c>
      <c r="DS970" s="496" t="s">
        <v>2997</v>
      </c>
      <c r="DT970" s="496" t="s">
        <v>2997</v>
      </c>
      <c r="DU970" s="496" t="s">
        <v>1554</v>
      </c>
      <c r="DV970" s="496" t="s">
        <v>1555</v>
      </c>
      <c r="DW970" s="496" t="s">
        <v>1981</v>
      </c>
      <c r="DX970" s="497" t="s">
        <v>1982</v>
      </c>
      <c r="DZ970" s="543">
        <v>1</v>
      </c>
      <c r="EB970" s="493"/>
      <c r="EC970" s="493"/>
    </row>
    <row r="971" spans="119:133" ht="21" customHeight="1">
      <c r="DO971" s="494"/>
      <c r="DP971" s="496" t="s">
        <v>2998</v>
      </c>
      <c r="DQ971" s="496" t="s">
        <v>8</v>
      </c>
      <c r="DR971" s="496" t="s">
        <v>689</v>
      </c>
      <c r="DS971" s="496" t="s">
        <v>2999</v>
      </c>
      <c r="DT971" s="496" t="s">
        <v>2999</v>
      </c>
      <c r="DU971" s="496" t="s">
        <v>1554</v>
      </c>
      <c r="DV971" s="496" t="s">
        <v>1555</v>
      </c>
      <c r="DW971" s="496" t="s">
        <v>1981</v>
      </c>
      <c r="DX971" s="497" t="s">
        <v>1982</v>
      </c>
      <c r="DZ971" s="543">
        <v>1</v>
      </c>
      <c r="EB971" s="493"/>
      <c r="EC971" s="493"/>
    </row>
    <row r="972" spans="119:133" ht="21" customHeight="1">
      <c r="DO972" s="494"/>
      <c r="DP972" s="496" t="s">
        <v>3000</v>
      </c>
      <c r="DQ972" s="496" t="s">
        <v>8</v>
      </c>
      <c r="DR972" s="496" t="s">
        <v>689</v>
      </c>
      <c r="DS972" s="496" t="s">
        <v>3001</v>
      </c>
      <c r="DT972" s="496" t="s">
        <v>3001</v>
      </c>
      <c r="DU972" s="496" t="s">
        <v>1554</v>
      </c>
      <c r="DV972" s="496" t="s">
        <v>1555</v>
      </c>
      <c r="DW972" s="496" t="s">
        <v>1981</v>
      </c>
      <c r="DX972" s="497" t="s">
        <v>1982</v>
      </c>
      <c r="DZ972" s="543">
        <v>1</v>
      </c>
      <c r="EB972" s="493"/>
      <c r="EC972" s="493"/>
    </row>
    <row r="973" spans="119:133" ht="21" customHeight="1">
      <c r="DO973" s="494"/>
      <c r="DP973" s="496" t="s">
        <v>3002</v>
      </c>
      <c r="DQ973" s="496" t="s">
        <v>8</v>
      </c>
      <c r="DR973" s="496" t="s">
        <v>689</v>
      </c>
      <c r="DS973" s="496" t="s">
        <v>3003</v>
      </c>
      <c r="DT973" s="496" t="s">
        <v>3003</v>
      </c>
      <c r="DU973" s="496" t="s">
        <v>1554</v>
      </c>
      <c r="DV973" s="496" t="s">
        <v>1555</v>
      </c>
      <c r="DW973" s="496" t="s">
        <v>1981</v>
      </c>
      <c r="DX973" s="497" t="s">
        <v>1982</v>
      </c>
      <c r="DZ973" s="543">
        <v>1</v>
      </c>
      <c r="EB973" s="493"/>
      <c r="EC973" s="493"/>
    </row>
    <row r="974" spans="119:133" ht="21" customHeight="1">
      <c r="DO974" s="494"/>
      <c r="DP974" s="496" t="s">
        <v>3004</v>
      </c>
      <c r="DQ974" s="496" t="s">
        <v>8</v>
      </c>
      <c r="DR974" s="496" t="s">
        <v>689</v>
      </c>
      <c r="DS974" s="496" t="s">
        <v>3005</v>
      </c>
      <c r="DT974" s="496" t="s">
        <v>3005</v>
      </c>
      <c r="DU974" s="496" t="s">
        <v>1554</v>
      </c>
      <c r="DV974" s="496" t="s">
        <v>1555</v>
      </c>
      <c r="DW974" s="496" t="s">
        <v>1981</v>
      </c>
      <c r="DX974" s="497" t="s">
        <v>1982</v>
      </c>
      <c r="DZ974" s="543">
        <v>1</v>
      </c>
      <c r="EB974" s="493"/>
      <c r="EC974" s="493"/>
    </row>
    <row r="975" spans="119:133" ht="21" customHeight="1">
      <c r="DO975" s="494"/>
      <c r="DP975" s="496" t="s">
        <v>3006</v>
      </c>
      <c r="DQ975" s="496" t="s">
        <v>8</v>
      </c>
      <c r="DR975" s="496" t="s">
        <v>689</v>
      </c>
      <c r="DS975" s="496" t="s">
        <v>3007</v>
      </c>
      <c r="DT975" s="496" t="s">
        <v>3007</v>
      </c>
      <c r="DU975" s="496" t="s">
        <v>1554</v>
      </c>
      <c r="DV975" s="496" t="s">
        <v>1555</v>
      </c>
      <c r="DW975" s="496" t="s">
        <v>1981</v>
      </c>
      <c r="DX975" s="497" t="s">
        <v>1982</v>
      </c>
      <c r="DZ975" s="543">
        <v>1</v>
      </c>
      <c r="EB975" s="493"/>
      <c r="EC975" s="493"/>
    </row>
    <row r="976" spans="119:133" ht="21" customHeight="1">
      <c r="DO976" s="494"/>
      <c r="DP976" s="496" t="s">
        <v>3008</v>
      </c>
      <c r="DQ976" s="496" t="s">
        <v>8</v>
      </c>
      <c r="DR976" s="496" t="s">
        <v>689</v>
      </c>
      <c r="DS976" s="496" t="s">
        <v>3009</v>
      </c>
      <c r="DT976" s="496" t="s">
        <v>3009</v>
      </c>
      <c r="DU976" s="496" t="s">
        <v>1554</v>
      </c>
      <c r="DV976" s="496" t="s">
        <v>1555</v>
      </c>
      <c r="DW976" s="496" t="s">
        <v>1981</v>
      </c>
      <c r="DX976" s="497" t="s">
        <v>1982</v>
      </c>
      <c r="DZ976" s="543">
        <v>1</v>
      </c>
      <c r="EB976" s="493"/>
      <c r="EC976" s="493"/>
    </row>
    <row r="977" spans="119:133" ht="21" customHeight="1">
      <c r="DO977" s="494"/>
      <c r="DP977" s="496" t="s">
        <v>3010</v>
      </c>
      <c r="DQ977" s="496" t="s">
        <v>8</v>
      </c>
      <c r="DR977" s="496" t="s">
        <v>689</v>
      </c>
      <c r="DS977" s="496" t="s">
        <v>3011</v>
      </c>
      <c r="DT977" s="496" t="s">
        <v>3011</v>
      </c>
      <c r="DU977" s="496" t="s">
        <v>1554</v>
      </c>
      <c r="DV977" s="496" t="s">
        <v>1555</v>
      </c>
      <c r="DW977" s="496" t="s">
        <v>1981</v>
      </c>
      <c r="DX977" s="497" t="s">
        <v>1982</v>
      </c>
      <c r="DZ977" s="543">
        <v>1</v>
      </c>
      <c r="EB977" s="493"/>
      <c r="EC977" s="493"/>
    </row>
    <row r="978" spans="119:133" ht="21" customHeight="1">
      <c r="DO978" s="494"/>
      <c r="DP978" s="496" t="s">
        <v>3012</v>
      </c>
      <c r="DQ978" s="496" t="s">
        <v>8</v>
      </c>
      <c r="DR978" s="496" t="s">
        <v>689</v>
      </c>
      <c r="DS978" s="496" t="s">
        <v>3013</v>
      </c>
      <c r="DT978" s="496" t="s">
        <v>3013</v>
      </c>
      <c r="DU978" s="496" t="s">
        <v>1554</v>
      </c>
      <c r="DV978" s="496" t="s">
        <v>1555</v>
      </c>
      <c r="DW978" s="496" t="s">
        <v>1981</v>
      </c>
      <c r="DX978" s="497" t="s">
        <v>1982</v>
      </c>
      <c r="DZ978" s="543">
        <v>1</v>
      </c>
      <c r="EB978" s="493"/>
      <c r="EC978" s="493"/>
    </row>
    <row r="979" spans="119:133" ht="21" customHeight="1">
      <c r="DO979" s="494"/>
      <c r="DP979" s="496" t="s">
        <v>3014</v>
      </c>
      <c r="DQ979" s="496" t="s">
        <v>8</v>
      </c>
      <c r="DR979" s="496" t="s">
        <v>689</v>
      </c>
      <c r="DS979" s="496" t="s">
        <v>3015</v>
      </c>
      <c r="DT979" s="496" t="s">
        <v>3015</v>
      </c>
      <c r="DU979" s="496" t="s">
        <v>1554</v>
      </c>
      <c r="DV979" s="496" t="s">
        <v>1555</v>
      </c>
      <c r="DW979" s="496" t="s">
        <v>1981</v>
      </c>
      <c r="DX979" s="497" t="s">
        <v>1982</v>
      </c>
      <c r="DZ979" s="543">
        <v>1</v>
      </c>
      <c r="EB979" s="493"/>
      <c r="EC979" s="493"/>
    </row>
    <row r="980" spans="119:133" ht="21" customHeight="1">
      <c r="DO980" s="494"/>
      <c r="DP980" s="496" t="s">
        <v>3016</v>
      </c>
      <c r="DQ980" s="496" t="s">
        <v>8</v>
      </c>
      <c r="DR980" s="496" t="s">
        <v>689</v>
      </c>
      <c r="DS980" s="496" t="s">
        <v>3017</v>
      </c>
      <c r="DT980" s="496" t="s">
        <v>3017</v>
      </c>
      <c r="DU980" s="496" t="s">
        <v>1554</v>
      </c>
      <c r="DV980" s="496" t="s">
        <v>1555</v>
      </c>
      <c r="DW980" s="496" t="s">
        <v>1981</v>
      </c>
      <c r="DX980" s="497" t="s">
        <v>1982</v>
      </c>
      <c r="DZ980" s="543">
        <v>1</v>
      </c>
      <c r="EB980" s="493"/>
      <c r="EC980" s="493"/>
    </row>
    <row r="981" spans="119:133" ht="21" customHeight="1">
      <c r="DO981" s="494"/>
      <c r="DP981" s="496" t="s">
        <v>3018</v>
      </c>
      <c r="DQ981" s="496" t="s">
        <v>8</v>
      </c>
      <c r="DR981" s="496" t="s">
        <v>689</v>
      </c>
      <c r="DS981" s="496" t="s">
        <v>3019</v>
      </c>
      <c r="DT981" s="496" t="s">
        <v>3019</v>
      </c>
      <c r="DU981" s="496" t="s">
        <v>1151</v>
      </c>
      <c r="DV981" s="496" t="s">
        <v>1152</v>
      </c>
      <c r="DW981" s="496" t="s">
        <v>1087</v>
      </c>
      <c r="DX981" s="497" t="s">
        <v>1153</v>
      </c>
      <c r="DZ981" s="543">
        <v>1</v>
      </c>
      <c r="EB981" s="493"/>
      <c r="EC981" s="493"/>
    </row>
    <row r="982" spans="119:133" ht="21" customHeight="1">
      <c r="DO982" s="494"/>
      <c r="DP982" s="496" t="s">
        <v>3020</v>
      </c>
      <c r="DQ982" s="496" t="s">
        <v>8</v>
      </c>
      <c r="DR982" s="496" t="s">
        <v>689</v>
      </c>
      <c r="DS982" s="496" t="s">
        <v>3021</v>
      </c>
      <c r="DT982" s="496" t="s">
        <v>3021</v>
      </c>
      <c r="DU982" s="496" t="s">
        <v>1554</v>
      </c>
      <c r="DV982" s="496" t="s">
        <v>1555</v>
      </c>
      <c r="DW982" s="496" t="s">
        <v>1981</v>
      </c>
      <c r="DX982" s="497" t="s">
        <v>1982</v>
      </c>
      <c r="DZ982" s="543">
        <v>1</v>
      </c>
      <c r="EB982" s="493"/>
      <c r="EC982" s="493"/>
    </row>
    <row r="983" spans="119:133" ht="21" customHeight="1">
      <c r="DO983" s="494"/>
      <c r="DP983" s="496" t="s">
        <v>3022</v>
      </c>
      <c r="DQ983" s="496" t="s">
        <v>8</v>
      </c>
      <c r="DR983" s="496" t="s">
        <v>689</v>
      </c>
      <c r="DS983" s="496" t="s">
        <v>3023</v>
      </c>
      <c r="DT983" s="496" t="s">
        <v>3023</v>
      </c>
      <c r="DU983" s="496" t="s">
        <v>1554</v>
      </c>
      <c r="DV983" s="496" t="s">
        <v>1555</v>
      </c>
      <c r="DW983" s="496" t="s">
        <v>1981</v>
      </c>
      <c r="DX983" s="497" t="s">
        <v>1982</v>
      </c>
      <c r="DZ983" s="543">
        <v>1</v>
      </c>
      <c r="EB983" s="493"/>
      <c r="EC983" s="493"/>
    </row>
    <row r="984" spans="119:133" ht="21" customHeight="1">
      <c r="DO984" s="494"/>
      <c r="DP984" s="496" t="s">
        <v>3024</v>
      </c>
      <c r="DQ984" s="496" t="s">
        <v>8</v>
      </c>
      <c r="DR984" s="496" t="s">
        <v>689</v>
      </c>
      <c r="DS984" s="496" t="s">
        <v>360</v>
      </c>
      <c r="DT984" s="496" t="s">
        <v>360</v>
      </c>
      <c r="DU984" s="496" t="s">
        <v>1554</v>
      </c>
      <c r="DV984" s="496" t="s">
        <v>1555</v>
      </c>
      <c r="DW984" s="496" t="s">
        <v>1981</v>
      </c>
      <c r="DX984" s="497" t="s">
        <v>1982</v>
      </c>
      <c r="DZ984" s="543">
        <v>1</v>
      </c>
      <c r="EB984" s="493"/>
      <c r="EC984" s="493"/>
    </row>
    <row r="985" spans="119:133" ht="21" customHeight="1">
      <c r="DO985" s="494"/>
      <c r="DP985" s="496" t="s">
        <v>3025</v>
      </c>
      <c r="DQ985" s="496" t="s">
        <v>8</v>
      </c>
      <c r="DR985" s="496" t="s">
        <v>689</v>
      </c>
      <c r="DS985" s="496" t="s">
        <v>3026</v>
      </c>
      <c r="DT985" s="496" t="s">
        <v>3026</v>
      </c>
      <c r="DU985" s="496" t="s">
        <v>1554</v>
      </c>
      <c r="DV985" s="496" t="s">
        <v>1555</v>
      </c>
      <c r="DW985" s="496" t="s">
        <v>1981</v>
      </c>
      <c r="DX985" s="497" t="s">
        <v>1982</v>
      </c>
      <c r="DZ985" s="543">
        <v>1</v>
      </c>
      <c r="EB985" s="493"/>
      <c r="EC985" s="493"/>
    </row>
    <row r="986" spans="119:133" ht="21" customHeight="1">
      <c r="DO986" s="494"/>
      <c r="DP986" s="496" t="s">
        <v>3027</v>
      </c>
      <c r="DQ986" s="496" t="s">
        <v>8</v>
      </c>
      <c r="DR986" s="496" t="s">
        <v>689</v>
      </c>
      <c r="DS986" s="496" t="s">
        <v>3028</v>
      </c>
      <c r="DT986" s="496" t="s">
        <v>3028</v>
      </c>
      <c r="DU986" s="496" t="s">
        <v>1554</v>
      </c>
      <c r="DV986" s="496" t="s">
        <v>1555</v>
      </c>
      <c r="DW986" s="496" t="s">
        <v>1981</v>
      </c>
      <c r="DX986" s="497" t="s">
        <v>1982</v>
      </c>
      <c r="DZ986" s="543">
        <v>1</v>
      </c>
      <c r="EB986" s="493"/>
      <c r="EC986" s="493"/>
    </row>
    <row r="987" spans="119:133" ht="21" customHeight="1">
      <c r="DO987" s="494"/>
      <c r="DP987" s="496" t="s">
        <v>3029</v>
      </c>
      <c r="DQ987" s="496" t="s">
        <v>8</v>
      </c>
      <c r="DR987" s="496" t="s">
        <v>689</v>
      </c>
      <c r="DS987" s="496" t="s">
        <v>3030</v>
      </c>
      <c r="DT987" s="496" t="s">
        <v>3030</v>
      </c>
      <c r="DU987" s="496" t="s">
        <v>1554</v>
      </c>
      <c r="DV987" s="496" t="s">
        <v>1555</v>
      </c>
      <c r="DW987" s="496" t="s">
        <v>1981</v>
      </c>
      <c r="DX987" s="497" t="s">
        <v>1982</v>
      </c>
      <c r="DZ987" s="543">
        <v>1</v>
      </c>
      <c r="EB987" s="493"/>
      <c r="EC987" s="493"/>
    </row>
    <row r="988" spans="119:133" ht="21" customHeight="1">
      <c r="DO988" s="494"/>
      <c r="DP988" s="496" t="s">
        <v>3031</v>
      </c>
      <c r="DQ988" s="496" t="s">
        <v>8</v>
      </c>
      <c r="DR988" s="496" t="s">
        <v>689</v>
      </c>
      <c r="DS988" s="496" t="s">
        <v>3032</v>
      </c>
      <c r="DT988" s="496" t="s">
        <v>3032</v>
      </c>
      <c r="DU988" s="496" t="s">
        <v>1554</v>
      </c>
      <c r="DV988" s="496" t="s">
        <v>1555</v>
      </c>
      <c r="DW988" s="496" t="s">
        <v>1981</v>
      </c>
      <c r="DX988" s="497" t="s">
        <v>1982</v>
      </c>
      <c r="DZ988" s="543">
        <v>1</v>
      </c>
      <c r="EB988" s="493"/>
      <c r="EC988" s="493"/>
    </row>
    <row r="989" spans="119:133" ht="21" customHeight="1">
      <c r="DO989" s="494"/>
      <c r="DP989" s="496" t="s">
        <v>3033</v>
      </c>
      <c r="DQ989" s="496" t="s">
        <v>8</v>
      </c>
      <c r="DR989" s="496" t="s">
        <v>689</v>
      </c>
      <c r="DS989" s="496" t="s">
        <v>3034</v>
      </c>
      <c r="DT989" s="496" t="s">
        <v>3034</v>
      </c>
      <c r="DU989" s="496" t="s">
        <v>1554</v>
      </c>
      <c r="DV989" s="496" t="s">
        <v>1555</v>
      </c>
      <c r="DW989" s="496" t="s">
        <v>1981</v>
      </c>
      <c r="DX989" s="497" t="s">
        <v>1982</v>
      </c>
      <c r="DZ989" s="543">
        <v>1</v>
      </c>
      <c r="EB989" s="493"/>
      <c r="EC989" s="493"/>
    </row>
    <row r="990" spans="119:133" ht="21" customHeight="1">
      <c r="DO990" s="494"/>
      <c r="DP990" s="496" t="s">
        <v>3035</v>
      </c>
      <c r="DQ990" s="496" t="s">
        <v>8</v>
      </c>
      <c r="DR990" s="496" t="s">
        <v>689</v>
      </c>
      <c r="DS990" s="496" t="s">
        <v>1040</v>
      </c>
      <c r="DT990" s="496" t="s">
        <v>1040</v>
      </c>
      <c r="DU990" s="496" t="s">
        <v>1554</v>
      </c>
      <c r="DV990" s="496" t="s">
        <v>1555</v>
      </c>
      <c r="DW990" s="496" t="s">
        <v>1981</v>
      </c>
      <c r="DX990" s="497" t="s">
        <v>1982</v>
      </c>
      <c r="DZ990" s="543">
        <v>1</v>
      </c>
      <c r="EB990" s="493"/>
      <c r="EC990" s="493"/>
    </row>
    <row r="991" spans="119:133" ht="21" customHeight="1">
      <c r="DO991" s="494"/>
      <c r="DP991" s="496" t="s">
        <v>3036</v>
      </c>
      <c r="DQ991" s="496" t="s">
        <v>8</v>
      </c>
      <c r="DR991" s="496" t="s">
        <v>689</v>
      </c>
      <c r="DS991" s="496" t="s">
        <v>3037</v>
      </c>
      <c r="DT991" s="496" t="s">
        <v>3037</v>
      </c>
      <c r="DU991" s="496" t="s">
        <v>1554</v>
      </c>
      <c r="DV991" s="496" t="s">
        <v>1555</v>
      </c>
      <c r="DW991" s="496" t="s">
        <v>1981</v>
      </c>
      <c r="DX991" s="497" t="s">
        <v>1982</v>
      </c>
      <c r="DZ991" s="543">
        <v>1</v>
      </c>
      <c r="EB991" s="493"/>
      <c r="EC991" s="493"/>
    </row>
    <row r="992" spans="119:133" ht="21" customHeight="1">
      <c r="DO992" s="494"/>
      <c r="DP992" s="496" t="s">
        <v>3038</v>
      </c>
      <c r="DQ992" s="496" t="s">
        <v>8</v>
      </c>
      <c r="DR992" s="496" t="s">
        <v>689</v>
      </c>
      <c r="DS992" s="496" t="s">
        <v>3039</v>
      </c>
      <c r="DT992" s="496" t="s">
        <v>3039</v>
      </c>
      <c r="DU992" s="496" t="s">
        <v>1554</v>
      </c>
      <c r="DV992" s="496" t="s">
        <v>1555</v>
      </c>
      <c r="DW992" s="496" t="s">
        <v>1981</v>
      </c>
      <c r="DX992" s="497" t="s">
        <v>1982</v>
      </c>
      <c r="DZ992" s="543">
        <v>1</v>
      </c>
      <c r="EB992" s="493"/>
      <c r="EC992" s="493"/>
    </row>
    <row r="993" spans="119:133" ht="21" customHeight="1">
      <c r="DO993" s="494"/>
      <c r="DP993" s="496" t="s">
        <v>3040</v>
      </c>
      <c r="DQ993" s="496" t="s">
        <v>8</v>
      </c>
      <c r="DR993" s="496" t="s">
        <v>689</v>
      </c>
      <c r="DS993" s="496" t="s">
        <v>3041</v>
      </c>
      <c r="DT993" s="496" t="s">
        <v>3041</v>
      </c>
      <c r="DU993" s="496" t="s">
        <v>1554</v>
      </c>
      <c r="DV993" s="496" t="s">
        <v>1555</v>
      </c>
      <c r="DW993" s="496" t="s">
        <v>1981</v>
      </c>
      <c r="DX993" s="497" t="s">
        <v>1982</v>
      </c>
      <c r="DZ993" s="543">
        <v>1</v>
      </c>
      <c r="EB993" s="493"/>
      <c r="EC993" s="493"/>
    </row>
    <row r="994" spans="119:133" ht="21" customHeight="1">
      <c r="DO994" s="494"/>
      <c r="DP994" s="496" t="s">
        <v>3042</v>
      </c>
      <c r="DQ994" s="496" t="s">
        <v>8</v>
      </c>
      <c r="DR994" s="496" t="s">
        <v>689</v>
      </c>
      <c r="DS994" s="496" t="s">
        <v>3043</v>
      </c>
      <c r="DT994" s="496" t="s">
        <v>3043</v>
      </c>
      <c r="DU994" s="496" t="s">
        <v>1554</v>
      </c>
      <c r="DV994" s="496" t="s">
        <v>1555</v>
      </c>
      <c r="DW994" s="496" t="s">
        <v>1981</v>
      </c>
      <c r="DX994" s="497" t="s">
        <v>1982</v>
      </c>
      <c r="DZ994" s="543">
        <v>1</v>
      </c>
      <c r="EB994" s="493"/>
      <c r="EC994" s="493"/>
    </row>
    <row r="995" spans="119:133" ht="21" customHeight="1">
      <c r="DO995" s="494"/>
      <c r="DP995" s="496" t="s">
        <v>3044</v>
      </c>
      <c r="DQ995" s="496" t="s">
        <v>8</v>
      </c>
      <c r="DR995" s="496" t="s">
        <v>689</v>
      </c>
      <c r="DS995" s="496" t="s">
        <v>3045</v>
      </c>
      <c r="DT995" s="496" t="s">
        <v>3045</v>
      </c>
      <c r="DU995" s="496" t="s">
        <v>1554</v>
      </c>
      <c r="DV995" s="496" t="s">
        <v>1555</v>
      </c>
      <c r="DW995" s="496" t="s">
        <v>1981</v>
      </c>
      <c r="DX995" s="497" t="s">
        <v>1982</v>
      </c>
      <c r="DZ995" s="543">
        <v>1</v>
      </c>
      <c r="EB995" s="493"/>
      <c r="EC995" s="493"/>
    </row>
    <row r="996" spans="119:133" ht="21" customHeight="1">
      <c r="DO996" s="494"/>
      <c r="DP996" s="496" t="s">
        <v>3046</v>
      </c>
      <c r="DQ996" s="496" t="s">
        <v>8</v>
      </c>
      <c r="DR996" s="496" t="s">
        <v>689</v>
      </c>
      <c r="DS996" s="496" t="s">
        <v>3047</v>
      </c>
      <c r="DT996" s="496" t="s">
        <v>3047</v>
      </c>
      <c r="DU996" s="496" t="s">
        <v>1554</v>
      </c>
      <c r="DV996" s="496" t="s">
        <v>1555</v>
      </c>
      <c r="DW996" s="496" t="s">
        <v>1981</v>
      </c>
      <c r="DX996" s="497" t="s">
        <v>1982</v>
      </c>
      <c r="DZ996" s="543">
        <v>1</v>
      </c>
      <c r="EB996" s="493"/>
      <c r="EC996" s="493"/>
    </row>
    <row r="997" spans="119:133" ht="21" customHeight="1">
      <c r="DO997" s="494"/>
      <c r="DP997" s="496" t="s">
        <v>3048</v>
      </c>
      <c r="DQ997" s="496" t="s">
        <v>8</v>
      </c>
      <c r="DR997" s="496" t="s">
        <v>689</v>
      </c>
      <c r="DS997" s="496" t="s">
        <v>3049</v>
      </c>
      <c r="DT997" s="496" t="s">
        <v>3049</v>
      </c>
      <c r="DU997" s="496" t="s">
        <v>1554</v>
      </c>
      <c r="DV997" s="496" t="s">
        <v>1555</v>
      </c>
      <c r="DW997" s="496" t="s">
        <v>1981</v>
      </c>
      <c r="DX997" s="497" t="s">
        <v>1982</v>
      </c>
      <c r="DZ997" s="543">
        <v>1</v>
      </c>
      <c r="EB997" s="493"/>
      <c r="EC997" s="493"/>
    </row>
    <row r="998" spans="119:133" ht="21" customHeight="1">
      <c r="DO998" s="494"/>
      <c r="DP998" s="496" t="s">
        <v>3050</v>
      </c>
      <c r="DQ998" s="496" t="s">
        <v>8</v>
      </c>
      <c r="DR998" s="496" t="s">
        <v>689</v>
      </c>
      <c r="DS998" s="496" t="s">
        <v>3051</v>
      </c>
      <c r="DT998" s="496" t="s">
        <v>3051</v>
      </c>
      <c r="DU998" s="496" t="s">
        <v>1554</v>
      </c>
      <c r="DV998" s="496" t="s">
        <v>1555</v>
      </c>
      <c r="DW998" s="496" t="s">
        <v>1981</v>
      </c>
      <c r="DX998" s="497" t="s">
        <v>1982</v>
      </c>
      <c r="DZ998" s="543">
        <v>1</v>
      </c>
      <c r="EB998" s="493"/>
      <c r="EC998" s="493"/>
    </row>
    <row r="999" spans="119:133" ht="21" customHeight="1">
      <c r="DO999" s="494"/>
      <c r="DP999" s="496" t="s">
        <v>3052</v>
      </c>
      <c r="DQ999" s="496" t="s">
        <v>8</v>
      </c>
      <c r="DR999" s="496" t="s">
        <v>689</v>
      </c>
      <c r="DS999" s="496" t="s">
        <v>3053</v>
      </c>
      <c r="DT999" s="496" t="s">
        <v>3053</v>
      </c>
      <c r="DU999" s="496" t="s">
        <v>1554</v>
      </c>
      <c r="DV999" s="496" t="s">
        <v>1555</v>
      </c>
      <c r="DW999" s="496" t="s">
        <v>1981</v>
      </c>
      <c r="DX999" s="497" t="s">
        <v>1982</v>
      </c>
      <c r="DZ999" s="543">
        <v>1</v>
      </c>
      <c r="EB999" s="493"/>
      <c r="EC999" s="493"/>
    </row>
    <row r="1000" spans="119:133" ht="21" customHeight="1">
      <c r="DO1000" s="494"/>
      <c r="DP1000" s="496" t="s">
        <v>3054</v>
      </c>
      <c r="DQ1000" s="496" t="s">
        <v>8</v>
      </c>
      <c r="DR1000" s="496" t="s">
        <v>689</v>
      </c>
      <c r="DS1000" s="496" t="s">
        <v>3055</v>
      </c>
      <c r="DT1000" s="496" t="s">
        <v>3055</v>
      </c>
      <c r="DU1000" s="496" t="s">
        <v>1554</v>
      </c>
      <c r="DV1000" s="496" t="s">
        <v>1555</v>
      </c>
      <c r="DW1000" s="496" t="s">
        <v>1981</v>
      </c>
      <c r="DX1000" s="497" t="s">
        <v>1982</v>
      </c>
      <c r="DZ1000" s="543">
        <v>1</v>
      </c>
      <c r="EB1000" s="493"/>
      <c r="EC1000" s="493"/>
    </row>
    <row r="1001" spans="119:133" ht="21" customHeight="1">
      <c r="DO1001" s="494"/>
      <c r="DP1001" s="496" t="s">
        <v>3056</v>
      </c>
      <c r="DQ1001" s="496" t="s">
        <v>8</v>
      </c>
      <c r="DR1001" s="496" t="s">
        <v>689</v>
      </c>
      <c r="DS1001" s="496" t="s">
        <v>3057</v>
      </c>
      <c r="DT1001" s="496" t="s">
        <v>3057</v>
      </c>
      <c r="DU1001" s="496" t="s">
        <v>1554</v>
      </c>
      <c r="DV1001" s="496" t="s">
        <v>1555</v>
      </c>
      <c r="DW1001" s="496" t="s">
        <v>1981</v>
      </c>
      <c r="DX1001" s="497" t="s">
        <v>1982</v>
      </c>
      <c r="DZ1001" s="543">
        <v>1</v>
      </c>
      <c r="EB1001" s="493"/>
      <c r="EC1001" s="493"/>
    </row>
    <row r="1002" spans="119:133" ht="21" customHeight="1">
      <c r="DO1002" s="494"/>
      <c r="DP1002" s="496" t="s">
        <v>3058</v>
      </c>
      <c r="DQ1002" s="496" t="s">
        <v>8</v>
      </c>
      <c r="DR1002" s="496" t="s">
        <v>689</v>
      </c>
      <c r="DS1002" s="496" t="s">
        <v>3059</v>
      </c>
      <c r="DT1002" s="496" t="s">
        <v>3059</v>
      </c>
      <c r="DU1002" s="496" t="s">
        <v>1554</v>
      </c>
      <c r="DV1002" s="496" t="s">
        <v>1555</v>
      </c>
      <c r="DW1002" s="496" t="s">
        <v>1981</v>
      </c>
      <c r="DX1002" s="497" t="s">
        <v>1982</v>
      </c>
      <c r="DZ1002" s="543">
        <v>1</v>
      </c>
      <c r="EB1002" s="493"/>
      <c r="EC1002" s="493"/>
    </row>
    <row r="1003" spans="119:133" ht="21" customHeight="1">
      <c r="DO1003" s="494"/>
      <c r="DP1003" s="496" t="s">
        <v>3060</v>
      </c>
      <c r="DQ1003" s="496" t="s">
        <v>8</v>
      </c>
      <c r="DR1003" s="496" t="s">
        <v>689</v>
      </c>
      <c r="DS1003" s="496" t="s">
        <v>3061</v>
      </c>
      <c r="DT1003" s="496" t="s">
        <v>3061</v>
      </c>
      <c r="DU1003" s="496" t="s">
        <v>1554</v>
      </c>
      <c r="DV1003" s="496" t="s">
        <v>1555</v>
      </c>
      <c r="DW1003" s="496" t="s">
        <v>1981</v>
      </c>
      <c r="DX1003" s="497" t="s">
        <v>1982</v>
      </c>
      <c r="DZ1003" s="543">
        <v>1</v>
      </c>
      <c r="EB1003" s="493"/>
      <c r="EC1003" s="493"/>
    </row>
    <row r="1004" spans="119:133" ht="21" customHeight="1">
      <c r="DO1004" s="494"/>
      <c r="DP1004" s="496" t="s">
        <v>3062</v>
      </c>
      <c r="DQ1004" s="496" t="s">
        <v>8</v>
      </c>
      <c r="DR1004" s="496" t="s">
        <v>689</v>
      </c>
      <c r="DS1004" s="496" t="s">
        <v>3063</v>
      </c>
      <c r="DT1004" s="496" t="s">
        <v>3063</v>
      </c>
      <c r="DU1004" s="496" t="s">
        <v>1085</v>
      </c>
      <c r="DV1004" s="496" t="s">
        <v>2063</v>
      </c>
      <c r="DW1004" s="496" t="s">
        <v>1087</v>
      </c>
      <c r="DX1004" s="497" t="s">
        <v>1088</v>
      </c>
      <c r="DZ1004" s="543">
        <v>1</v>
      </c>
      <c r="EB1004" s="493"/>
      <c r="EC1004" s="493"/>
    </row>
    <row r="1005" spans="119:133" ht="21" customHeight="1">
      <c r="DO1005" s="494"/>
      <c r="DP1005" s="496" t="s">
        <v>3064</v>
      </c>
      <c r="DQ1005" s="496" t="s">
        <v>8</v>
      </c>
      <c r="DR1005" s="496" t="s">
        <v>689</v>
      </c>
      <c r="DS1005" s="496" t="s">
        <v>3065</v>
      </c>
      <c r="DT1005" s="496" t="s">
        <v>3065</v>
      </c>
      <c r="DU1005" s="496" t="s">
        <v>1554</v>
      </c>
      <c r="DV1005" s="496" t="s">
        <v>1555</v>
      </c>
      <c r="DW1005" s="496" t="s">
        <v>1981</v>
      </c>
      <c r="DX1005" s="497" t="s">
        <v>1982</v>
      </c>
      <c r="DZ1005" s="543">
        <v>1</v>
      </c>
      <c r="EB1005" s="493"/>
      <c r="EC1005" s="493"/>
    </row>
    <row r="1006" spans="119:133" ht="21" customHeight="1">
      <c r="DO1006" s="494"/>
      <c r="DP1006" s="496" t="s">
        <v>3066</v>
      </c>
      <c r="DQ1006" s="496" t="s">
        <v>8</v>
      </c>
      <c r="DR1006" s="496" t="s">
        <v>689</v>
      </c>
      <c r="DS1006" s="496" t="s">
        <v>3067</v>
      </c>
      <c r="DT1006" s="496" t="s">
        <v>3067</v>
      </c>
      <c r="DU1006" s="496" t="s">
        <v>1554</v>
      </c>
      <c r="DV1006" s="496" t="s">
        <v>1555</v>
      </c>
      <c r="DW1006" s="496" t="s">
        <v>1981</v>
      </c>
      <c r="DX1006" s="497" t="s">
        <v>1982</v>
      </c>
      <c r="DZ1006" s="543">
        <v>1</v>
      </c>
      <c r="EB1006" s="493"/>
      <c r="EC1006" s="493"/>
    </row>
    <row r="1007" spans="119:133" ht="21" customHeight="1">
      <c r="DO1007" s="494"/>
      <c r="DP1007" s="496" t="s">
        <v>3068</v>
      </c>
      <c r="DQ1007" s="496" t="s">
        <v>8</v>
      </c>
      <c r="DR1007" s="496" t="s">
        <v>689</v>
      </c>
      <c r="DS1007" s="496" t="s">
        <v>3069</v>
      </c>
      <c r="DT1007" s="496" t="s">
        <v>3069</v>
      </c>
      <c r="DU1007" s="496" t="s">
        <v>1554</v>
      </c>
      <c r="DV1007" s="496" t="s">
        <v>1555</v>
      </c>
      <c r="DW1007" s="496" t="s">
        <v>1981</v>
      </c>
      <c r="DX1007" s="497" t="s">
        <v>1982</v>
      </c>
      <c r="DZ1007" s="543">
        <v>1</v>
      </c>
      <c r="EB1007" s="493"/>
      <c r="EC1007" s="493"/>
    </row>
    <row r="1008" spans="119:133" ht="21" customHeight="1">
      <c r="DO1008" s="494"/>
      <c r="DP1008" s="496" t="s">
        <v>3070</v>
      </c>
      <c r="DQ1008" s="496" t="s">
        <v>8</v>
      </c>
      <c r="DR1008" s="496" t="s">
        <v>689</v>
      </c>
      <c r="DS1008" s="496" t="s">
        <v>3071</v>
      </c>
      <c r="DT1008" s="496" t="s">
        <v>3071</v>
      </c>
      <c r="DU1008" s="496" t="s">
        <v>1554</v>
      </c>
      <c r="DV1008" s="496" t="s">
        <v>1555</v>
      </c>
      <c r="DW1008" s="496" t="s">
        <v>1981</v>
      </c>
      <c r="DX1008" s="497" t="s">
        <v>1982</v>
      </c>
      <c r="DZ1008" s="543">
        <v>1</v>
      </c>
      <c r="EB1008" s="493"/>
      <c r="EC1008" s="493"/>
    </row>
    <row r="1009" spans="119:133" ht="21" customHeight="1">
      <c r="DO1009" s="494"/>
      <c r="DP1009" s="496" t="s">
        <v>3072</v>
      </c>
      <c r="DQ1009" s="496" t="s">
        <v>8</v>
      </c>
      <c r="DR1009" s="496" t="s">
        <v>689</v>
      </c>
      <c r="DS1009" s="496" t="s">
        <v>3073</v>
      </c>
      <c r="DT1009" s="496" t="s">
        <v>3073</v>
      </c>
      <c r="DU1009" s="496" t="s">
        <v>1554</v>
      </c>
      <c r="DV1009" s="496" t="s">
        <v>1555</v>
      </c>
      <c r="DW1009" s="496" t="s">
        <v>1981</v>
      </c>
      <c r="DX1009" s="497" t="s">
        <v>1982</v>
      </c>
      <c r="DZ1009" s="543">
        <v>1</v>
      </c>
      <c r="EB1009" s="493"/>
      <c r="EC1009" s="493"/>
    </row>
    <row r="1010" spans="119:133" ht="21" customHeight="1">
      <c r="DO1010" s="494"/>
      <c r="DP1010" s="496" t="s">
        <v>3074</v>
      </c>
      <c r="DQ1010" s="496" t="s">
        <v>8</v>
      </c>
      <c r="DR1010" s="496" t="s">
        <v>689</v>
      </c>
      <c r="DS1010" s="496" t="s">
        <v>1041</v>
      </c>
      <c r="DT1010" s="496" t="s">
        <v>1041</v>
      </c>
      <c r="DU1010" s="496" t="s">
        <v>1085</v>
      </c>
      <c r="DV1010" s="496" t="s">
        <v>2063</v>
      </c>
      <c r="DW1010" s="496" t="s">
        <v>1087</v>
      </c>
      <c r="DX1010" s="497" t="s">
        <v>1088</v>
      </c>
      <c r="DZ1010" s="543">
        <v>1</v>
      </c>
      <c r="EB1010" s="493"/>
      <c r="EC1010" s="493"/>
    </row>
    <row r="1011" spans="119:133" ht="21" customHeight="1">
      <c r="DO1011" s="494"/>
      <c r="DP1011" s="496" t="s">
        <v>3075</v>
      </c>
      <c r="DQ1011" s="496" t="s">
        <v>8</v>
      </c>
      <c r="DR1011" s="496" t="s">
        <v>689</v>
      </c>
      <c r="DS1011" s="496" t="s">
        <v>3076</v>
      </c>
      <c r="DT1011" s="496" t="s">
        <v>3077</v>
      </c>
      <c r="DU1011" s="496" t="s">
        <v>1085</v>
      </c>
      <c r="DV1011" s="496" t="s">
        <v>2063</v>
      </c>
      <c r="DW1011" s="496" t="s">
        <v>1087</v>
      </c>
      <c r="DX1011" s="497" t="s">
        <v>1088</v>
      </c>
      <c r="DZ1011" s="543">
        <v>1</v>
      </c>
      <c r="EB1011" s="493"/>
      <c r="EC1011" s="493"/>
    </row>
    <row r="1012" spans="119:133" ht="21" customHeight="1">
      <c r="DO1012" s="494"/>
      <c r="DP1012" s="496" t="s">
        <v>3078</v>
      </c>
      <c r="DQ1012" s="496" t="s">
        <v>8</v>
      </c>
      <c r="DR1012" s="496" t="s">
        <v>689</v>
      </c>
      <c r="DS1012" s="496" t="s">
        <v>3079</v>
      </c>
      <c r="DT1012" s="496" t="s">
        <v>1042</v>
      </c>
      <c r="DU1012" s="496" t="s">
        <v>1085</v>
      </c>
      <c r="DV1012" s="496" t="s">
        <v>2063</v>
      </c>
      <c r="DW1012" s="496" t="s">
        <v>1087</v>
      </c>
      <c r="DX1012" s="497" t="s">
        <v>1088</v>
      </c>
      <c r="DZ1012" s="543">
        <v>1</v>
      </c>
      <c r="EB1012" s="493"/>
      <c r="EC1012" s="493"/>
    </row>
    <row r="1013" spans="119:133" ht="21" customHeight="1">
      <c r="DO1013" s="494"/>
      <c r="DP1013" s="496" t="s">
        <v>3080</v>
      </c>
      <c r="DQ1013" s="496" t="s">
        <v>8</v>
      </c>
      <c r="DR1013" s="496" t="s">
        <v>689</v>
      </c>
      <c r="DS1013" s="496" t="s">
        <v>3081</v>
      </c>
      <c r="DT1013" s="496" t="s">
        <v>3082</v>
      </c>
      <c r="DU1013" s="496" t="s">
        <v>1085</v>
      </c>
      <c r="DV1013" s="496" t="s">
        <v>2063</v>
      </c>
      <c r="DW1013" s="496" t="s">
        <v>1087</v>
      </c>
      <c r="DX1013" s="497" t="s">
        <v>1088</v>
      </c>
      <c r="DZ1013" s="543">
        <v>1</v>
      </c>
      <c r="EB1013" s="493"/>
      <c r="EC1013" s="493"/>
    </row>
    <row r="1014" spans="119:133" ht="21" customHeight="1">
      <c r="DO1014" s="494"/>
      <c r="DP1014" s="496" t="s">
        <v>3083</v>
      </c>
      <c r="DQ1014" s="496" t="s">
        <v>8</v>
      </c>
      <c r="DR1014" s="496" t="s">
        <v>689</v>
      </c>
      <c r="DS1014" s="496" t="s">
        <v>3084</v>
      </c>
      <c r="DT1014" s="496" t="s">
        <v>3085</v>
      </c>
      <c r="DU1014" s="496" t="s">
        <v>1085</v>
      </c>
      <c r="DV1014" s="496" t="s">
        <v>2063</v>
      </c>
      <c r="DW1014" s="496" t="s">
        <v>1087</v>
      </c>
      <c r="DX1014" s="497" t="s">
        <v>1088</v>
      </c>
      <c r="DZ1014" s="543">
        <v>1</v>
      </c>
      <c r="EB1014" s="493"/>
      <c r="EC1014" s="493"/>
    </row>
    <row r="1015" spans="119:133" ht="21" customHeight="1">
      <c r="DO1015" s="494"/>
      <c r="DP1015" s="496" t="s">
        <v>3086</v>
      </c>
      <c r="DQ1015" s="496" t="s">
        <v>8</v>
      </c>
      <c r="DR1015" s="496" t="s">
        <v>689</v>
      </c>
      <c r="DS1015" s="496" t="s">
        <v>3087</v>
      </c>
      <c r="DT1015" s="496" t="s">
        <v>3087</v>
      </c>
      <c r="DU1015" s="496" t="s">
        <v>1554</v>
      </c>
      <c r="DV1015" s="496" t="s">
        <v>1555</v>
      </c>
      <c r="DW1015" s="496" t="s">
        <v>1981</v>
      </c>
      <c r="DX1015" s="497" t="s">
        <v>1982</v>
      </c>
      <c r="DZ1015" s="543">
        <v>1</v>
      </c>
      <c r="EB1015" s="493"/>
      <c r="EC1015" s="493"/>
    </row>
    <row r="1016" spans="119:133" ht="21" customHeight="1">
      <c r="DO1016" s="494"/>
      <c r="DP1016" s="496" t="s">
        <v>3088</v>
      </c>
      <c r="DQ1016" s="496" t="s">
        <v>8</v>
      </c>
      <c r="DR1016" s="496" t="s">
        <v>689</v>
      </c>
      <c r="DS1016" s="496" t="s">
        <v>3089</v>
      </c>
      <c r="DT1016" s="496" t="s">
        <v>3089</v>
      </c>
      <c r="DU1016" s="496" t="s">
        <v>1554</v>
      </c>
      <c r="DV1016" s="496" t="s">
        <v>1555</v>
      </c>
      <c r="DW1016" s="496" t="s">
        <v>1981</v>
      </c>
      <c r="DX1016" s="497" t="s">
        <v>1982</v>
      </c>
      <c r="DZ1016" s="543">
        <v>1</v>
      </c>
      <c r="EB1016" s="493"/>
      <c r="EC1016" s="493"/>
    </row>
    <row r="1017" spans="119:133" ht="21" customHeight="1">
      <c r="DO1017" s="494"/>
      <c r="DP1017" s="496" t="s">
        <v>3090</v>
      </c>
      <c r="DQ1017" s="496" t="s">
        <v>8</v>
      </c>
      <c r="DR1017" s="496" t="s">
        <v>689</v>
      </c>
      <c r="DS1017" s="496" t="s">
        <v>3091</v>
      </c>
      <c r="DT1017" s="496" t="s">
        <v>3091</v>
      </c>
      <c r="DU1017" s="496" t="s">
        <v>1554</v>
      </c>
      <c r="DV1017" s="496" t="s">
        <v>1555</v>
      </c>
      <c r="DW1017" s="496" t="s">
        <v>1981</v>
      </c>
      <c r="DX1017" s="497" t="s">
        <v>1982</v>
      </c>
      <c r="DZ1017" s="543">
        <v>1</v>
      </c>
      <c r="EB1017" s="493"/>
      <c r="EC1017" s="493"/>
    </row>
    <row r="1018" spans="119:133" ht="21" customHeight="1">
      <c r="DO1018" s="494"/>
      <c r="DP1018" s="496" t="s">
        <v>3092</v>
      </c>
      <c r="DQ1018" s="496" t="s">
        <v>8</v>
      </c>
      <c r="DR1018" s="496" t="s">
        <v>689</v>
      </c>
      <c r="DS1018" s="496" t="s">
        <v>3093</v>
      </c>
      <c r="DT1018" s="496" t="s">
        <v>3093</v>
      </c>
      <c r="DU1018" s="496" t="s">
        <v>1554</v>
      </c>
      <c r="DV1018" s="496" t="s">
        <v>1555</v>
      </c>
      <c r="DW1018" s="496" t="s">
        <v>1981</v>
      </c>
      <c r="DX1018" s="497" t="s">
        <v>1982</v>
      </c>
      <c r="DZ1018" s="543">
        <v>1</v>
      </c>
      <c r="EB1018" s="493"/>
      <c r="EC1018" s="493"/>
    </row>
    <row r="1019" spans="119:133" ht="21" customHeight="1">
      <c r="DO1019" s="494"/>
      <c r="DP1019" s="496" t="s">
        <v>3094</v>
      </c>
      <c r="DQ1019" s="496" t="s">
        <v>8</v>
      </c>
      <c r="DR1019" s="496" t="s">
        <v>689</v>
      </c>
      <c r="DS1019" s="496" t="s">
        <v>3095</v>
      </c>
      <c r="DT1019" s="496" t="s">
        <v>3095</v>
      </c>
      <c r="DU1019" s="496" t="s">
        <v>1554</v>
      </c>
      <c r="DV1019" s="496" t="s">
        <v>1555</v>
      </c>
      <c r="DW1019" s="496" t="s">
        <v>1981</v>
      </c>
      <c r="DX1019" s="497" t="s">
        <v>1982</v>
      </c>
      <c r="DZ1019" s="543">
        <v>1</v>
      </c>
      <c r="EB1019" s="493"/>
      <c r="EC1019" s="493"/>
    </row>
    <row r="1020" spans="119:133" ht="21" customHeight="1">
      <c r="DO1020" s="494"/>
      <c r="DP1020" s="496" t="s">
        <v>3096</v>
      </c>
      <c r="DQ1020" s="496" t="s">
        <v>8</v>
      </c>
      <c r="DR1020" s="496" t="s">
        <v>689</v>
      </c>
      <c r="DS1020" s="496" t="s">
        <v>3097</v>
      </c>
      <c r="DT1020" s="496" t="s">
        <v>3097</v>
      </c>
      <c r="DU1020" s="496" t="s">
        <v>1554</v>
      </c>
      <c r="DV1020" s="496" t="s">
        <v>1555</v>
      </c>
      <c r="DW1020" s="496" t="s">
        <v>1981</v>
      </c>
      <c r="DX1020" s="497" t="s">
        <v>1982</v>
      </c>
      <c r="DZ1020" s="543">
        <v>1</v>
      </c>
      <c r="EB1020" s="493"/>
      <c r="EC1020" s="493"/>
    </row>
    <row r="1021" spans="119:133" ht="21" customHeight="1">
      <c r="DO1021" s="494"/>
      <c r="DP1021" s="496" t="s">
        <v>3098</v>
      </c>
      <c r="DQ1021" s="496" t="s">
        <v>8</v>
      </c>
      <c r="DR1021" s="496" t="s">
        <v>689</v>
      </c>
      <c r="DS1021" s="496" t="s">
        <v>3099</v>
      </c>
      <c r="DT1021" s="496" t="s">
        <v>3099</v>
      </c>
      <c r="DU1021" s="496" t="s">
        <v>1554</v>
      </c>
      <c r="DV1021" s="496" t="s">
        <v>1555</v>
      </c>
      <c r="DW1021" s="496" t="s">
        <v>1981</v>
      </c>
      <c r="DX1021" s="497" t="s">
        <v>1982</v>
      </c>
      <c r="DZ1021" s="543">
        <v>1</v>
      </c>
      <c r="EB1021" s="493"/>
      <c r="EC1021" s="493"/>
    </row>
    <row r="1022" spans="119:133" ht="21" customHeight="1">
      <c r="DO1022" s="494"/>
      <c r="DP1022" s="496" t="s">
        <v>3100</v>
      </c>
      <c r="DQ1022" s="496" t="s">
        <v>8</v>
      </c>
      <c r="DR1022" s="496" t="s">
        <v>689</v>
      </c>
      <c r="DS1022" s="496" t="s">
        <v>3101</v>
      </c>
      <c r="DT1022" s="496" t="s">
        <v>3101</v>
      </c>
      <c r="DU1022" s="496" t="s">
        <v>1554</v>
      </c>
      <c r="DV1022" s="496" t="s">
        <v>1555</v>
      </c>
      <c r="DW1022" s="496" t="s">
        <v>1981</v>
      </c>
      <c r="DX1022" s="497" t="s">
        <v>1982</v>
      </c>
      <c r="DZ1022" s="543">
        <v>1</v>
      </c>
      <c r="EB1022" s="493"/>
      <c r="EC1022" s="493"/>
    </row>
    <row r="1023" spans="119:133" ht="21" customHeight="1">
      <c r="DO1023" s="494"/>
      <c r="DP1023" s="496" t="s">
        <v>3102</v>
      </c>
      <c r="DQ1023" s="496" t="s">
        <v>8</v>
      </c>
      <c r="DR1023" s="496" t="s">
        <v>689</v>
      </c>
      <c r="DS1023" s="496" t="s">
        <v>3103</v>
      </c>
      <c r="DT1023" s="496" t="s">
        <v>3103</v>
      </c>
      <c r="DU1023" s="496" t="s">
        <v>1554</v>
      </c>
      <c r="DV1023" s="496" t="s">
        <v>1555</v>
      </c>
      <c r="DW1023" s="496" t="s">
        <v>1981</v>
      </c>
      <c r="DX1023" s="497" t="s">
        <v>1982</v>
      </c>
      <c r="DZ1023" s="543">
        <v>1</v>
      </c>
      <c r="EB1023" s="493"/>
      <c r="EC1023" s="493"/>
    </row>
    <row r="1024" spans="119:133" ht="21" customHeight="1">
      <c r="DO1024" s="494"/>
      <c r="DP1024" s="496" t="s">
        <v>3104</v>
      </c>
      <c r="DQ1024" s="496" t="s">
        <v>8</v>
      </c>
      <c r="DR1024" s="496" t="s">
        <v>689</v>
      </c>
      <c r="DS1024" s="496" t="s">
        <v>3105</v>
      </c>
      <c r="DT1024" s="496" t="s">
        <v>3105</v>
      </c>
      <c r="DU1024" s="496" t="s">
        <v>1554</v>
      </c>
      <c r="DV1024" s="496" t="s">
        <v>1555</v>
      </c>
      <c r="DW1024" s="496" t="s">
        <v>1981</v>
      </c>
      <c r="DX1024" s="497" t="s">
        <v>1982</v>
      </c>
      <c r="DZ1024" s="543">
        <v>1</v>
      </c>
      <c r="EB1024" s="493"/>
      <c r="EC1024" s="493"/>
    </row>
    <row r="1025" spans="119:133" ht="21" customHeight="1">
      <c r="DO1025" s="494"/>
      <c r="DP1025" s="496" t="s">
        <v>3106</v>
      </c>
      <c r="DQ1025" s="496" t="s">
        <v>8</v>
      </c>
      <c r="DR1025" s="496" t="s">
        <v>689</v>
      </c>
      <c r="DS1025" s="496" t="s">
        <v>3107</v>
      </c>
      <c r="DT1025" s="496" t="s">
        <v>3107</v>
      </c>
      <c r="DU1025" s="496" t="s">
        <v>1554</v>
      </c>
      <c r="DV1025" s="496" t="s">
        <v>1555</v>
      </c>
      <c r="DW1025" s="496" t="s">
        <v>1981</v>
      </c>
      <c r="DX1025" s="497" t="s">
        <v>1982</v>
      </c>
      <c r="DZ1025" s="543">
        <v>1</v>
      </c>
      <c r="EB1025" s="493"/>
      <c r="EC1025" s="493"/>
    </row>
    <row r="1026" spans="119:133" ht="21" customHeight="1">
      <c r="DO1026" s="494"/>
      <c r="DP1026" s="496" t="s">
        <v>3108</v>
      </c>
      <c r="DQ1026" s="496" t="s">
        <v>8</v>
      </c>
      <c r="DR1026" s="496" t="s">
        <v>689</v>
      </c>
      <c r="DS1026" s="496" t="s">
        <v>3109</v>
      </c>
      <c r="DT1026" s="496" t="s">
        <v>3109</v>
      </c>
      <c r="DU1026" s="496" t="s">
        <v>1554</v>
      </c>
      <c r="DV1026" s="496" t="s">
        <v>1555</v>
      </c>
      <c r="DW1026" s="496" t="s">
        <v>1981</v>
      </c>
      <c r="DX1026" s="497" t="s">
        <v>1982</v>
      </c>
      <c r="DZ1026" s="543">
        <v>1</v>
      </c>
      <c r="EB1026" s="493"/>
      <c r="EC1026" s="493"/>
    </row>
    <row r="1027" spans="119:133" ht="21" customHeight="1">
      <c r="DO1027" s="494"/>
      <c r="DP1027" s="496" t="s">
        <v>3110</v>
      </c>
      <c r="DQ1027" s="496" t="s">
        <v>8</v>
      </c>
      <c r="DR1027" s="496" t="s">
        <v>689</v>
      </c>
      <c r="DS1027" s="496" t="s">
        <v>3111</v>
      </c>
      <c r="DT1027" s="496" t="s">
        <v>3111</v>
      </c>
      <c r="DU1027" s="496" t="s">
        <v>1554</v>
      </c>
      <c r="DV1027" s="496" t="s">
        <v>1555</v>
      </c>
      <c r="DW1027" s="496" t="s">
        <v>1981</v>
      </c>
      <c r="DX1027" s="497" t="s">
        <v>1982</v>
      </c>
      <c r="DZ1027" s="543">
        <v>1</v>
      </c>
      <c r="EB1027" s="493"/>
      <c r="EC1027" s="493"/>
    </row>
    <row r="1028" spans="119:133" ht="21" customHeight="1">
      <c r="DO1028" s="494"/>
      <c r="DP1028" s="496" t="s">
        <v>3112</v>
      </c>
      <c r="DQ1028" s="496" t="s">
        <v>8</v>
      </c>
      <c r="DR1028" s="496" t="s">
        <v>689</v>
      </c>
      <c r="DS1028" s="496" t="s">
        <v>3113</v>
      </c>
      <c r="DT1028" s="496" t="s">
        <v>3113</v>
      </c>
      <c r="DU1028" s="496" t="s">
        <v>1554</v>
      </c>
      <c r="DV1028" s="496" t="s">
        <v>1555</v>
      </c>
      <c r="DW1028" s="496" t="s">
        <v>1981</v>
      </c>
      <c r="DX1028" s="497" t="s">
        <v>1982</v>
      </c>
      <c r="DZ1028" s="543">
        <v>1</v>
      </c>
      <c r="EB1028" s="493"/>
      <c r="EC1028" s="493"/>
    </row>
    <row r="1029" spans="119:133" ht="21" customHeight="1">
      <c r="DO1029" s="494"/>
      <c r="DP1029" s="496" t="s">
        <v>3114</v>
      </c>
      <c r="DQ1029" s="496" t="s">
        <v>8</v>
      </c>
      <c r="DR1029" s="496" t="s">
        <v>689</v>
      </c>
      <c r="DS1029" s="496" t="s">
        <v>3115</v>
      </c>
      <c r="DT1029" s="496" t="s">
        <v>3115</v>
      </c>
      <c r="DU1029" s="496" t="s">
        <v>1554</v>
      </c>
      <c r="DV1029" s="496" t="s">
        <v>1555</v>
      </c>
      <c r="DW1029" s="496" t="s">
        <v>1981</v>
      </c>
      <c r="DX1029" s="497" t="s">
        <v>1982</v>
      </c>
      <c r="DZ1029" s="543">
        <v>1</v>
      </c>
      <c r="EB1029" s="493"/>
      <c r="EC1029" s="493"/>
    </row>
    <row r="1030" spans="119:133" ht="21" customHeight="1">
      <c r="DO1030" s="494"/>
      <c r="DP1030" s="496" t="s">
        <v>3116</v>
      </c>
      <c r="DQ1030" s="496" t="s">
        <v>8</v>
      </c>
      <c r="DR1030" s="496" t="s">
        <v>689</v>
      </c>
      <c r="DS1030" s="496" t="s">
        <v>3117</v>
      </c>
      <c r="DT1030" s="496" t="s">
        <v>3117</v>
      </c>
      <c r="DU1030" s="496" t="s">
        <v>1554</v>
      </c>
      <c r="DV1030" s="496" t="s">
        <v>1555</v>
      </c>
      <c r="DW1030" s="496" t="s">
        <v>1981</v>
      </c>
      <c r="DX1030" s="497" t="s">
        <v>1982</v>
      </c>
      <c r="DZ1030" s="543">
        <v>1</v>
      </c>
      <c r="EB1030" s="493"/>
      <c r="EC1030" s="493"/>
    </row>
    <row r="1031" spans="119:133" ht="21" customHeight="1">
      <c r="DO1031" s="494"/>
      <c r="DP1031" s="496" t="s">
        <v>3118</v>
      </c>
      <c r="DQ1031" s="496" t="s">
        <v>8</v>
      </c>
      <c r="DR1031" s="496" t="s">
        <v>689</v>
      </c>
      <c r="DS1031" s="496" t="s">
        <v>3119</v>
      </c>
      <c r="DT1031" s="496" t="s">
        <v>3119</v>
      </c>
      <c r="DU1031" s="496" t="s">
        <v>1554</v>
      </c>
      <c r="DV1031" s="496" t="s">
        <v>1555</v>
      </c>
      <c r="DW1031" s="496" t="s">
        <v>1981</v>
      </c>
      <c r="DX1031" s="497" t="s">
        <v>1982</v>
      </c>
      <c r="DZ1031" s="543">
        <v>1</v>
      </c>
      <c r="EB1031" s="493"/>
      <c r="EC1031" s="493"/>
    </row>
    <row r="1032" spans="119:133" ht="21" customHeight="1">
      <c r="DO1032" s="494"/>
      <c r="DP1032" s="496" t="s">
        <v>3120</v>
      </c>
      <c r="DQ1032" s="496" t="s">
        <v>8</v>
      </c>
      <c r="DR1032" s="496" t="s">
        <v>689</v>
      </c>
      <c r="DS1032" s="496" t="s">
        <v>3121</v>
      </c>
      <c r="DT1032" s="496" t="s">
        <v>3121</v>
      </c>
      <c r="DU1032" s="496" t="s">
        <v>1554</v>
      </c>
      <c r="DV1032" s="496" t="s">
        <v>1555</v>
      </c>
      <c r="DW1032" s="496" t="s">
        <v>1981</v>
      </c>
      <c r="DX1032" s="497" t="s">
        <v>1982</v>
      </c>
      <c r="DZ1032" s="543">
        <v>1</v>
      </c>
      <c r="EB1032" s="493"/>
      <c r="EC1032" s="493"/>
    </row>
    <row r="1033" spans="119:133" ht="21" customHeight="1">
      <c r="DO1033" s="494"/>
      <c r="DP1033" s="496" t="s">
        <v>3122</v>
      </c>
      <c r="DQ1033" s="496" t="s">
        <v>8</v>
      </c>
      <c r="DR1033" s="496" t="s">
        <v>689</v>
      </c>
      <c r="DS1033" s="496" t="s">
        <v>3123</v>
      </c>
      <c r="DT1033" s="496" t="s">
        <v>3123</v>
      </c>
      <c r="DU1033" s="496" t="s">
        <v>1554</v>
      </c>
      <c r="DV1033" s="496" t="s">
        <v>1555</v>
      </c>
      <c r="DW1033" s="496" t="s">
        <v>1981</v>
      </c>
      <c r="DX1033" s="497" t="s">
        <v>1982</v>
      </c>
      <c r="DZ1033" s="543">
        <v>1</v>
      </c>
      <c r="EB1033" s="493"/>
      <c r="EC1033" s="493"/>
    </row>
    <row r="1034" spans="119:133" ht="21" customHeight="1">
      <c r="DO1034" s="494"/>
      <c r="DP1034" s="496" t="s">
        <v>3124</v>
      </c>
      <c r="DQ1034" s="496" t="s">
        <v>8</v>
      </c>
      <c r="DR1034" s="496" t="s">
        <v>689</v>
      </c>
      <c r="DS1034" s="496" t="s">
        <v>3125</v>
      </c>
      <c r="DT1034" s="496" t="s">
        <v>3125</v>
      </c>
      <c r="DU1034" s="496" t="s">
        <v>1554</v>
      </c>
      <c r="DV1034" s="496" t="s">
        <v>1555</v>
      </c>
      <c r="DW1034" s="496" t="s">
        <v>1981</v>
      </c>
      <c r="DX1034" s="497" t="s">
        <v>1982</v>
      </c>
      <c r="DZ1034" s="543">
        <v>1</v>
      </c>
      <c r="EB1034" s="493"/>
      <c r="EC1034" s="493"/>
    </row>
    <row r="1035" spans="119:133" ht="21" customHeight="1">
      <c r="DO1035" s="494"/>
      <c r="DP1035" s="496" t="s">
        <v>3126</v>
      </c>
      <c r="DQ1035" s="496" t="s">
        <v>8</v>
      </c>
      <c r="DR1035" s="496" t="s">
        <v>689</v>
      </c>
      <c r="DS1035" s="496" t="s">
        <v>3127</v>
      </c>
      <c r="DT1035" s="496" t="s">
        <v>3127</v>
      </c>
      <c r="DU1035" s="496" t="s">
        <v>1554</v>
      </c>
      <c r="DV1035" s="496" t="s">
        <v>1555</v>
      </c>
      <c r="DW1035" s="496" t="s">
        <v>1981</v>
      </c>
      <c r="DX1035" s="497" t="s">
        <v>1982</v>
      </c>
      <c r="DZ1035" s="543">
        <v>1</v>
      </c>
      <c r="EB1035" s="493"/>
      <c r="EC1035" s="493"/>
    </row>
    <row r="1036" spans="119:133" ht="21" customHeight="1">
      <c r="DO1036" s="494"/>
      <c r="DP1036" s="496" t="s">
        <v>3128</v>
      </c>
      <c r="DQ1036" s="496" t="s">
        <v>8</v>
      </c>
      <c r="DR1036" s="496" t="s">
        <v>689</v>
      </c>
      <c r="DS1036" s="496" t="s">
        <v>3129</v>
      </c>
      <c r="DT1036" s="496" t="s">
        <v>3129</v>
      </c>
      <c r="DU1036" s="496" t="s">
        <v>1554</v>
      </c>
      <c r="DV1036" s="496" t="s">
        <v>1555</v>
      </c>
      <c r="DW1036" s="496" t="s">
        <v>1981</v>
      </c>
      <c r="DX1036" s="497" t="s">
        <v>1982</v>
      </c>
      <c r="DZ1036" s="543">
        <v>1</v>
      </c>
      <c r="EB1036" s="493"/>
      <c r="EC1036" s="493"/>
    </row>
    <row r="1037" spans="119:133" ht="21" customHeight="1">
      <c r="DO1037" s="494"/>
      <c r="DP1037" s="496" t="s">
        <v>3130</v>
      </c>
      <c r="DQ1037" s="496" t="s">
        <v>8</v>
      </c>
      <c r="DR1037" s="496" t="s">
        <v>689</v>
      </c>
      <c r="DS1037" s="496" t="s">
        <v>3131</v>
      </c>
      <c r="DT1037" s="496" t="s">
        <v>3131</v>
      </c>
      <c r="DU1037" s="496" t="s">
        <v>1554</v>
      </c>
      <c r="DV1037" s="496" t="s">
        <v>1555</v>
      </c>
      <c r="DW1037" s="496" t="s">
        <v>1981</v>
      </c>
      <c r="DX1037" s="497" t="s">
        <v>1982</v>
      </c>
      <c r="DZ1037" s="543">
        <v>1</v>
      </c>
      <c r="EB1037" s="493"/>
      <c r="EC1037" s="493"/>
    </row>
    <row r="1038" spans="119:133" ht="21" customHeight="1">
      <c r="DO1038" s="494"/>
      <c r="DP1038" s="496" t="s">
        <v>3132</v>
      </c>
      <c r="DQ1038" s="496" t="s">
        <v>8</v>
      </c>
      <c r="DR1038" s="496" t="s">
        <v>689</v>
      </c>
      <c r="DS1038" s="496" t="s">
        <v>3133</v>
      </c>
      <c r="DT1038" s="496" t="s">
        <v>3133</v>
      </c>
      <c r="DU1038" s="496" t="s">
        <v>1554</v>
      </c>
      <c r="DV1038" s="496" t="s">
        <v>1555</v>
      </c>
      <c r="DW1038" s="496" t="s">
        <v>1981</v>
      </c>
      <c r="DX1038" s="497" t="s">
        <v>1982</v>
      </c>
      <c r="DZ1038" s="543">
        <v>1</v>
      </c>
      <c r="EB1038" s="493"/>
      <c r="EC1038" s="493"/>
    </row>
    <row r="1039" spans="119:133" ht="21" customHeight="1">
      <c r="DO1039" s="494"/>
      <c r="DP1039" s="496" t="s">
        <v>3134</v>
      </c>
      <c r="DQ1039" s="496" t="s">
        <v>8</v>
      </c>
      <c r="DR1039" s="496" t="s">
        <v>689</v>
      </c>
      <c r="DS1039" s="496" t="s">
        <v>3135</v>
      </c>
      <c r="DT1039" s="496" t="s">
        <v>3135</v>
      </c>
      <c r="DU1039" s="496" t="s">
        <v>1554</v>
      </c>
      <c r="DV1039" s="496" t="s">
        <v>1555</v>
      </c>
      <c r="DW1039" s="496" t="s">
        <v>1981</v>
      </c>
      <c r="DX1039" s="497" t="s">
        <v>1982</v>
      </c>
      <c r="DZ1039" s="543">
        <v>1</v>
      </c>
      <c r="EB1039" s="493"/>
      <c r="EC1039" s="493"/>
    </row>
    <row r="1040" spans="119:133" ht="21" customHeight="1">
      <c r="DO1040" s="494"/>
      <c r="DP1040" s="496" t="s">
        <v>3136</v>
      </c>
      <c r="DQ1040" s="496" t="s">
        <v>8</v>
      </c>
      <c r="DR1040" s="496" t="s">
        <v>689</v>
      </c>
      <c r="DS1040" s="496" t="s">
        <v>3137</v>
      </c>
      <c r="DT1040" s="496" t="s">
        <v>3137</v>
      </c>
      <c r="DU1040" s="496" t="s">
        <v>1554</v>
      </c>
      <c r="DV1040" s="496" t="s">
        <v>1555</v>
      </c>
      <c r="DW1040" s="496" t="s">
        <v>1981</v>
      </c>
      <c r="DX1040" s="497" t="s">
        <v>1982</v>
      </c>
      <c r="DZ1040" s="543">
        <v>1</v>
      </c>
      <c r="EB1040" s="493"/>
      <c r="EC1040" s="493"/>
    </row>
    <row r="1041" spans="119:133" ht="21" customHeight="1">
      <c r="DO1041" s="494"/>
      <c r="DP1041" s="496" t="s">
        <v>3138</v>
      </c>
      <c r="DQ1041" s="496" t="s">
        <v>8</v>
      </c>
      <c r="DR1041" s="496" t="s">
        <v>689</v>
      </c>
      <c r="DS1041" s="496" t="s">
        <v>3139</v>
      </c>
      <c r="DT1041" s="496" t="s">
        <v>3139</v>
      </c>
      <c r="DU1041" s="496" t="s">
        <v>1554</v>
      </c>
      <c r="DV1041" s="496" t="s">
        <v>1555</v>
      </c>
      <c r="DW1041" s="496" t="s">
        <v>1981</v>
      </c>
      <c r="DX1041" s="497" t="s">
        <v>1982</v>
      </c>
      <c r="DZ1041" s="543">
        <v>1</v>
      </c>
      <c r="EB1041" s="493"/>
      <c r="EC1041" s="493"/>
    </row>
    <row r="1042" spans="119:133" ht="21" customHeight="1">
      <c r="DO1042" s="494"/>
      <c r="DP1042" s="496" t="s">
        <v>3140</v>
      </c>
      <c r="DQ1042" s="496" t="s">
        <v>8</v>
      </c>
      <c r="DR1042" s="496" t="s">
        <v>689</v>
      </c>
      <c r="DS1042" s="496" t="s">
        <v>3141</v>
      </c>
      <c r="DT1042" s="496" t="s">
        <v>3141</v>
      </c>
      <c r="DU1042" s="496" t="s">
        <v>1554</v>
      </c>
      <c r="DV1042" s="496" t="s">
        <v>1555</v>
      </c>
      <c r="DW1042" s="496" t="s">
        <v>1981</v>
      </c>
      <c r="DX1042" s="497" t="s">
        <v>1982</v>
      </c>
      <c r="DZ1042" s="543">
        <v>1</v>
      </c>
      <c r="EB1042" s="493"/>
      <c r="EC1042" s="493"/>
    </row>
    <row r="1043" spans="119:133" ht="21" customHeight="1">
      <c r="DO1043" s="494"/>
      <c r="DP1043" s="496" t="s">
        <v>3142</v>
      </c>
      <c r="DQ1043" s="496" t="s">
        <v>8</v>
      </c>
      <c r="DR1043" s="496" t="s">
        <v>689</v>
      </c>
      <c r="DS1043" s="496" t="s">
        <v>3143</v>
      </c>
      <c r="DT1043" s="496" t="s">
        <v>3143</v>
      </c>
      <c r="DU1043" s="496" t="s">
        <v>1554</v>
      </c>
      <c r="DV1043" s="496" t="s">
        <v>1555</v>
      </c>
      <c r="DW1043" s="496" t="s">
        <v>1981</v>
      </c>
      <c r="DX1043" s="497" t="s">
        <v>1982</v>
      </c>
      <c r="DZ1043" s="543">
        <v>1</v>
      </c>
      <c r="EB1043" s="493"/>
      <c r="EC1043" s="493"/>
    </row>
    <row r="1044" spans="119:133" ht="21" customHeight="1">
      <c r="DO1044" s="494"/>
      <c r="DP1044" s="496" t="s">
        <v>3144</v>
      </c>
      <c r="DQ1044" s="496" t="s">
        <v>8</v>
      </c>
      <c r="DR1044" s="496" t="s">
        <v>689</v>
      </c>
      <c r="DS1044" s="496" t="s">
        <v>3145</v>
      </c>
      <c r="DT1044" s="496" t="s">
        <v>3145</v>
      </c>
      <c r="DU1044" s="496" t="s">
        <v>1554</v>
      </c>
      <c r="DV1044" s="496" t="s">
        <v>1555</v>
      </c>
      <c r="DW1044" s="496" t="s">
        <v>1981</v>
      </c>
      <c r="DX1044" s="497" t="s">
        <v>1982</v>
      </c>
      <c r="DZ1044" s="543">
        <v>1</v>
      </c>
      <c r="EB1044" s="493"/>
      <c r="EC1044" s="493"/>
    </row>
    <row r="1045" spans="119:133" ht="21" customHeight="1">
      <c r="DO1045" s="494"/>
      <c r="DP1045" s="496" t="s">
        <v>3146</v>
      </c>
      <c r="DQ1045" s="496" t="s">
        <v>8</v>
      </c>
      <c r="DR1045" s="496" t="s">
        <v>689</v>
      </c>
      <c r="DS1045" s="496" t="s">
        <v>3147</v>
      </c>
      <c r="DT1045" s="496" t="s">
        <v>3147</v>
      </c>
      <c r="DU1045" s="496" t="s">
        <v>1554</v>
      </c>
      <c r="DV1045" s="496" t="s">
        <v>1555</v>
      </c>
      <c r="DW1045" s="496" t="s">
        <v>1981</v>
      </c>
      <c r="DX1045" s="497" t="s">
        <v>1982</v>
      </c>
      <c r="DZ1045" s="543">
        <v>1</v>
      </c>
      <c r="EB1045" s="493"/>
      <c r="EC1045" s="493"/>
    </row>
    <row r="1046" spans="119:133" ht="21" customHeight="1">
      <c r="DO1046" s="494"/>
      <c r="DP1046" s="496" t="s">
        <v>3148</v>
      </c>
      <c r="DQ1046" s="496" t="s">
        <v>8</v>
      </c>
      <c r="DR1046" s="496" t="s">
        <v>689</v>
      </c>
      <c r="DS1046" s="496" t="s">
        <v>3149</v>
      </c>
      <c r="DT1046" s="496" t="s">
        <v>3149</v>
      </c>
      <c r="DU1046" s="496" t="s">
        <v>1554</v>
      </c>
      <c r="DV1046" s="496" t="s">
        <v>1555</v>
      </c>
      <c r="DW1046" s="496" t="s">
        <v>1981</v>
      </c>
      <c r="DX1046" s="497" t="s">
        <v>1982</v>
      </c>
      <c r="DZ1046" s="543">
        <v>1</v>
      </c>
      <c r="EB1046" s="493"/>
      <c r="EC1046" s="493"/>
    </row>
    <row r="1047" spans="119:133" ht="21" customHeight="1">
      <c r="DO1047" s="494"/>
      <c r="DP1047" s="496" t="s">
        <v>3150</v>
      </c>
      <c r="DQ1047" s="496" t="s">
        <v>8</v>
      </c>
      <c r="DR1047" s="496" t="s">
        <v>689</v>
      </c>
      <c r="DS1047" s="496" t="s">
        <v>1043</v>
      </c>
      <c r="DT1047" s="496" t="s">
        <v>1043</v>
      </c>
      <c r="DU1047" s="496" t="s">
        <v>1554</v>
      </c>
      <c r="DV1047" s="496" t="s">
        <v>1555</v>
      </c>
      <c r="DW1047" s="496" t="s">
        <v>1981</v>
      </c>
      <c r="DX1047" s="497" t="s">
        <v>1982</v>
      </c>
      <c r="DZ1047" s="543">
        <v>1</v>
      </c>
      <c r="EB1047" s="493"/>
      <c r="EC1047" s="493"/>
    </row>
    <row r="1048" spans="119:133" ht="21" customHeight="1">
      <c r="DO1048" s="494"/>
      <c r="DP1048" s="496" t="s">
        <v>3151</v>
      </c>
      <c r="DQ1048" s="496" t="s">
        <v>8</v>
      </c>
      <c r="DR1048" s="496" t="s">
        <v>689</v>
      </c>
      <c r="DS1048" s="496" t="s">
        <v>3152</v>
      </c>
      <c r="DT1048" s="496" t="s">
        <v>3152</v>
      </c>
      <c r="DU1048" s="496" t="s">
        <v>1554</v>
      </c>
      <c r="DV1048" s="496" t="s">
        <v>1555</v>
      </c>
      <c r="DW1048" s="496" t="s">
        <v>1981</v>
      </c>
      <c r="DX1048" s="497" t="s">
        <v>1982</v>
      </c>
      <c r="DZ1048" s="543">
        <v>1</v>
      </c>
      <c r="EB1048" s="493"/>
      <c r="EC1048" s="493"/>
    </row>
    <row r="1049" spans="119:133" ht="21" customHeight="1">
      <c r="DO1049" s="494"/>
      <c r="DP1049" s="496" t="s">
        <v>3153</v>
      </c>
      <c r="DQ1049" s="496" t="s">
        <v>8</v>
      </c>
      <c r="DR1049" s="496" t="s">
        <v>689</v>
      </c>
      <c r="DS1049" s="496" t="s">
        <v>3154</v>
      </c>
      <c r="DT1049" s="496" t="s">
        <v>3154</v>
      </c>
      <c r="DU1049" s="496" t="s">
        <v>1554</v>
      </c>
      <c r="DV1049" s="496" t="s">
        <v>1555</v>
      </c>
      <c r="DW1049" s="496" t="s">
        <v>1981</v>
      </c>
      <c r="DX1049" s="497" t="s">
        <v>1982</v>
      </c>
      <c r="DZ1049" s="543">
        <v>1</v>
      </c>
      <c r="EB1049" s="493"/>
      <c r="EC1049" s="493"/>
    </row>
    <row r="1050" spans="119:133" ht="21" customHeight="1">
      <c r="DO1050" s="494"/>
      <c r="DP1050" s="496" t="s">
        <v>3155</v>
      </c>
      <c r="DQ1050" s="496" t="s">
        <v>8</v>
      </c>
      <c r="DR1050" s="496" t="s">
        <v>689</v>
      </c>
      <c r="DS1050" s="496" t="s">
        <v>3156</v>
      </c>
      <c r="DT1050" s="496" t="s">
        <v>3156</v>
      </c>
      <c r="DU1050" s="496" t="s">
        <v>1554</v>
      </c>
      <c r="DV1050" s="496" t="s">
        <v>1555</v>
      </c>
      <c r="DW1050" s="496" t="s">
        <v>1981</v>
      </c>
      <c r="DX1050" s="497" t="s">
        <v>1982</v>
      </c>
      <c r="DZ1050" s="543">
        <v>1</v>
      </c>
      <c r="EB1050" s="493"/>
      <c r="EC1050" s="493"/>
    </row>
    <row r="1051" spans="119:133" ht="21" customHeight="1">
      <c r="DO1051" s="494"/>
      <c r="DP1051" s="496" t="s">
        <v>3157</v>
      </c>
      <c r="DQ1051" s="496" t="s">
        <v>8</v>
      </c>
      <c r="DR1051" s="496" t="s">
        <v>689</v>
      </c>
      <c r="DS1051" s="496" t="s">
        <v>3158</v>
      </c>
      <c r="DT1051" s="496" t="s">
        <v>3158</v>
      </c>
      <c r="DU1051" s="496" t="s">
        <v>1554</v>
      </c>
      <c r="DV1051" s="496" t="s">
        <v>1555</v>
      </c>
      <c r="DW1051" s="496" t="s">
        <v>1981</v>
      </c>
      <c r="DX1051" s="497" t="s">
        <v>1982</v>
      </c>
      <c r="DZ1051" s="543">
        <v>1</v>
      </c>
      <c r="EB1051" s="493"/>
      <c r="EC1051" s="493"/>
    </row>
    <row r="1052" spans="119:133" ht="21" customHeight="1">
      <c r="DO1052" s="494"/>
      <c r="DP1052" s="496" t="s">
        <v>3159</v>
      </c>
      <c r="DQ1052" s="496" t="s">
        <v>8</v>
      </c>
      <c r="DR1052" s="496" t="s">
        <v>689</v>
      </c>
      <c r="DS1052" s="496" t="s">
        <v>3160</v>
      </c>
      <c r="DT1052" s="496" t="s">
        <v>3160</v>
      </c>
      <c r="DU1052" s="496" t="s">
        <v>1554</v>
      </c>
      <c r="DV1052" s="496" t="s">
        <v>1555</v>
      </c>
      <c r="DW1052" s="496" t="s">
        <v>1981</v>
      </c>
      <c r="DX1052" s="497" t="s">
        <v>1982</v>
      </c>
      <c r="DZ1052" s="543">
        <v>1</v>
      </c>
      <c r="EB1052" s="493"/>
      <c r="EC1052" s="493"/>
    </row>
    <row r="1053" spans="119:133" ht="21" customHeight="1">
      <c r="DO1053" s="494"/>
      <c r="DP1053" s="496" t="s">
        <v>3161</v>
      </c>
      <c r="DQ1053" s="496" t="s">
        <v>8</v>
      </c>
      <c r="DR1053" s="496" t="s">
        <v>689</v>
      </c>
      <c r="DS1053" s="496" t="s">
        <v>3162</v>
      </c>
      <c r="DT1053" s="496" t="s">
        <v>3162</v>
      </c>
      <c r="DU1053" s="496" t="s">
        <v>1554</v>
      </c>
      <c r="DV1053" s="496" t="s">
        <v>1555</v>
      </c>
      <c r="DW1053" s="496" t="s">
        <v>1981</v>
      </c>
      <c r="DX1053" s="497" t="s">
        <v>1982</v>
      </c>
      <c r="DZ1053" s="543">
        <v>1</v>
      </c>
      <c r="EB1053" s="493"/>
      <c r="EC1053" s="493"/>
    </row>
    <row r="1054" spans="119:133" ht="21" customHeight="1">
      <c r="DO1054" s="494"/>
      <c r="DP1054" s="496" t="s">
        <v>3163</v>
      </c>
      <c r="DQ1054" s="496" t="s">
        <v>8</v>
      </c>
      <c r="DR1054" s="496" t="s">
        <v>689</v>
      </c>
      <c r="DS1054" s="496" t="s">
        <v>3164</v>
      </c>
      <c r="DT1054" s="496" t="s">
        <v>3164</v>
      </c>
      <c r="DU1054" s="496" t="s">
        <v>1554</v>
      </c>
      <c r="DV1054" s="496" t="s">
        <v>1555</v>
      </c>
      <c r="DW1054" s="496" t="s">
        <v>1981</v>
      </c>
      <c r="DX1054" s="497" t="s">
        <v>1982</v>
      </c>
      <c r="DZ1054" s="543">
        <v>1</v>
      </c>
      <c r="EB1054" s="493"/>
      <c r="EC1054" s="493"/>
    </row>
    <row r="1055" spans="119:133" ht="21" customHeight="1">
      <c r="DO1055" s="494"/>
      <c r="DP1055" s="496" t="s">
        <v>3165</v>
      </c>
      <c r="DQ1055" s="496" t="s">
        <v>8</v>
      </c>
      <c r="DR1055" s="496" t="s">
        <v>689</v>
      </c>
      <c r="DS1055" s="496" t="s">
        <v>3166</v>
      </c>
      <c r="DT1055" s="496" t="s">
        <v>3166</v>
      </c>
      <c r="DU1055" s="496" t="s">
        <v>1554</v>
      </c>
      <c r="DV1055" s="496" t="s">
        <v>1555</v>
      </c>
      <c r="DW1055" s="496" t="s">
        <v>1981</v>
      </c>
      <c r="DX1055" s="497" t="s">
        <v>1982</v>
      </c>
      <c r="DZ1055" s="543">
        <v>1</v>
      </c>
      <c r="EB1055" s="493"/>
      <c r="EC1055" s="493"/>
    </row>
    <row r="1056" spans="119:133" ht="21" customHeight="1">
      <c r="DO1056" s="494"/>
      <c r="DP1056" s="496" t="s">
        <v>3167</v>
      </c>
      <c r="DQ1056" s="496" t="s">
        <v>8</v>
      </c>
      <c r="DR1056" s="496" t="s">
        <v>689</v>
      </c>
      <c r="DS1056" s="496" t="s">
        <v>3168</v>
      </c>
      <c r="DT1056" s="496" t="s">
        <v>3168</v>
      </c>
      <c r="DU1056" s="496" t="s">
        <v>1554</v>
      </c>
      <c r="DV1056" s="496" t="s">
        <v>1555</v>
      </c>
      <c r="DW1056" s="496" t="s">
        <v>1981</v>
      </c>
      <c r="DX1056" s="497" t="s">
        <v>1982</v>
      </c>
      <c r="DZ1056" s="543">
        <v>1</v>
      </c>
      <c r="EB1056" s="493"/>
      <c r="EC1056" s="493"/>
    </row>
    <row r="1057" spans="119:133" ht="21" customHeight="1">
      <c r="DO1057" s="494"/>
      <c r="DP1057" s="496" t="s">
        <v>3169</v>
      </c>
      <c r="DQ1057" s="496" t="s">
        <v>8</v>
      </c>
      <c r="DR1057" s="496" t="s">
        <v>689</v>
      </c>
      <c r="DS1057" s="496" t="s">
        <v>3170</v>
      </c>
      <c r="DT1057" s="496" t="s">
        <v>3170</v>
      </c>
      <c r="DU1057" s="496" t="s">
        <v>1554</v>
      </c>
      <c r="DV1057" s="496" t="s">
        <v>1555</v>
      </c>
      <c r="DW1057" s="496" t="s">
        <v>1981</v>
      </c>
      <c r="DX1057" s="497" t="s">
        <v>1982</v>
      </c>
      <c r="DZ1057" s="543">
        <v>1</v>
      </c>
      <c r="EB1057" s="493"/>
      <c r="EC1057" s="493"/>
    </row>
    <row r="1058" spans="119:133" ht="21" customHeight="1">
      <c r="DO1058" s="494"/>
      <c r="DP1058" s="496" t="s">
        <v>3171</v>
      </c>
      <c r="DQ1058" s="496" t="s">
        <v>8</v>
      </c>
      <c r="DR1058" s="496" t="s">
        <v>689</v>
      </c>
      <c r="DS1058" s="496" t="s">
        <v>3172</v>
      </c>
      <c r="DT1058" s="496" t="s">
        <v>3172</v>
      </c>
      <c r="DU1058" s="496" t="s">
        <v>1554</v>
      </c>
      <c r="DV1058" s="496" t="s">
        <v>1555</v>
      </c>
      <c r="DW1058" s="496" t="s">
        <v>1981</v>
      </c>
      <c r="DX1058" s="497" t="s">
        <v>1982</v>
      </c>
      <c r="DZ1058" s="543">
        <v>1</v>
      </c>
      <c r="EB1058" s="493"/>
      <c r="EC1058" s="493"/>
    </row>
    <row r="1059" spans="119:133" ht="21" customHeight="1">
      <c r="DO1059" s="494"/>
      <c r="DP1059" s="496" t="s">
        <v>3173</v>
      </c>
      <c r="DQ1059" s="496" t="s">
        <v>8</v>
      </c>
      <c r="DR1059" s="496" t="s">
        <v>689</v>
      </c>
      <c r="DS1059" s="496" t="s">
        <v>3174</v>
      </c>
      <c r="DT1059" s="496" t="s">
        <v>3174</v>
      </c>
      <c r="DU1059" s="496" t="s">
        <v>1554</v>
      </c>
      <c r="DV1059" s="496" t="s">
        <v>1555</v>
      </c>
      <c r="DW1059" s="496" t="s">
        <v>1981</v>
      </c>
      <c r="DX1059" s="497" t="s">
        <v>1982</v>
      </c>
      <c r="DZ1059" s="543">
        <v>1</v>
      </c>
      <c r="EB1059" s="493"/>
      <c r="EC1059" s="493"/>
    </row>
    <row r="1060" spans="119:133" ht="21" customHeight="1">
      <c r="DO1060" s="494"/>
      <c r="DP1060" s="496" t="s">
        <v>3175</v>
      </c>
      <c r="DQ1060" s="496" t="s">
        <v>8</v>
      </c>
      <c r="DR1060" s="496" t="s">
        <v>689</v>
      </c>
      <c r="DS1060" s="496" t="s">
        <v>3176</v>
      </c>
      <c r="DT1060" s="496" t="s">
        <v>3176</v>
      </c>
      <c r="DU1060" s="496" t="s">
        <v>1554</v>
      </c>
      <c r="DV1060" s="496" t="s">
        <v>1555</v>
      </c>
      <c r="DW1060" s="496" t="s">
        <v>1981</v>
      </c>
      <c r="DX1060" s="497" t="s">
        <v>1982</v>
      </c>
      <c r="DZ1060" s="543">
        <v>1</v>
      </c>
      <c r="EB1060" s="493"/>
      <c r="EC1060" s="493"/>
    </row>
    <row r="1061" spans="119:133" ht="21" customHeight="1">
      <c r="DO1061" s="494"/>
      <c r="DP1061" s="496" t="s">
        <v>3177</v>
      </c>
      <c r="DQ1061" s="496" t="s">
        <v>8</v>
      </c>
      <c r="DR1061" s="496" t="s">
        <v>689</v>
      </c>
      <c r="DS1061" s="496" t="s">
        <v>3178</v>
      </c>
      <c r="DT1061" s="496" t="s">
        <v>3178</v>
      </c>
      <c r="DU1061" s="496" t="s">
        <v>1554</v>
      </c>
      <c r="DV1061" s="496" t="s">
        <v>1555</v>
      </c>
      <c r="DW1061" s="496" t="s">
        <v>1981</v>
      </c>
      <c r="DX1061" s="497" t="s">
        <v>1982</v>
      </c>
      <c r="DZ1061" s="543">
        <v>1</v>
      </c>
      <c r="EB1061" s="493"/>
      <c r="EC1061" s="493"/>
    </row>
    <row r="1062" spans="119:133" ht="21" customHeight="1">
      <c r="DO1062" s="494"/>
      <c r="DP1062" s="496" t="s">
        <v>3179</v>
      </c>
      <c r="DQ1062" s="496" t="s">
        <v>8</v>
      </c>
      <c r="DR1062" s="496" t="s">
        <v>689</v>
      </c>
      <c r="DS1062" s="496" t="s">
        <v>3180</v>
      </c>
      <c r="DT1062" s="496" t="s">
        <v>3180</v>
      </c>
      <c r="DU1062" s="496" t="s">
        <v>1554</v>
      </c>
      <c r="DV1062" s="496" t="s">
        <v>1555</v>
      </c>
      <c r="DW1062" s="496" t="s">
        <v>1981</v>
      </c>
      <c r="DX1062" s="497" t="s">
        <v>1982</v>
      </c>
      <c r="DZ1062" s="543">
        <v>1</v>
      </c>
      <c r="EB1062" s="493"/>
      <c r="EC1062" s="493"/>
    </row>
    <row r="1063" spans="119:133" ht="21" customHeight="1">
      <c r="DO1063" s="494"/>
      <c r="DP1063" s="496" t="s">
        <v>3181</v>
      </c>
      <c r="DQ1063" s="496" t="s">
        <v>8</v>
      </c>
      <c r="DR1063" s="496" t="s">
        <v>689</v>
      </c>
      <c r="DS1063" s="496" t="s">
        <v>3182</v>
      </c>
      <c r="DT1063" s="496" t="s">
        <v>3182</v>
      </c>
      <c r="DU1063" s="496" t="s">
        <v>1554</v>
      </c>
      <c r="DV1063" s="496" t="s">
        <v>1555</v>
      </c>
      <c r="DW1063" s="496" t="s">
        <v>1981</v>
      </c>
      <c r="DX1063" s="497" t="s">
        <v>1982</v>
      </c>
      <c r="DZ1063" s="543">
        <v>1</v>
      </c>
      <c r="EB1063" s="493"/>
      <c r="EC1063" s="493"/>
    </row>
    <row r="1064" spans="119:133" ht="21" customHeight="1">
      <c r="DO1064" s="494"/>
      <c r="DP1064" s="496" t="s">
        <v>3183</v>
      </c>
      <c r="DQ1064" s="496" t="s">
        <v>8</v>
      </c>
      <c r="DR1064" s="496" t="s">
        <v>689</v>
      </c>
      <c r="DS1064" s="496" t="s">
        <v>3184</v>
      </c>
      <c r="DT1064" s="496" t="s">
        <v>3184</v>
      </c>
      <c r="DU1064" s="496" t="s">
        <v>1554</v>
      </c>
      <c r="DV1064" s="496" t="s">
        <v>1555</v>
      </c>
      <c r="DW1064" s="496" t="s">
        <v>1981</v>
      </c>
      <c r="DX1064" s="497" t="s">
        <v>1982</v>
      </c>
      <c r="DZ1064" s="543">
        <v>1</v>
      </c>
      <c r="EB1064" s="493"/>
      <c r="EC1064" s="493"/>
    </row>
    <row r="1065" spans="119:133" ht="21" customHeight="1">
      <c r="DO1065" s="494"/>
      <c r="DP1065" s="496" t="s">
        <v>3185</v>
      </c>
      <c r="DQ1065" s="496" t="s">
        <v>8</v>
      </c>
      <c r="DR1065" s="496" t="s">
        <v>689</v>
      </c>
      <c r="DS1065" s="496" t="s">
        <v>3186</v>
      </c>
      <c r="DT1065" s="496" t="s">
        <v>3186</v>
      </c>
      <c r="DU1065" s="496" t="s">
        <v>1554</v>
      </c>
      <c r="DV1065" s="496" t="s">
        <v>1555</v>
      </c>
      <c r="DW1065" s="496" t="s">
        <v>1981</v>
      </c>
      <c r="DX1065" s="497" t="s">
        <v>1982</v>
      </c>
      <c r="DZ1065" s="543">
        <v>1</v>
      </c>
      <c r="EB1065" s="493"/>
      <c r="EC1065" s="493"/>
    </row>
    <row r="1066" spans="119:133" ht="21" customHeight="1">
      <c r="DO1066" s="494"/>
      <c r="DP1066" s="496" t="s">
        <v>3187</v>
      </c>
      <c r="DQ1066" s="496" t="s">
        <v>8</v>
      </c>
      <c r="DR1066" s="496" t="s">
        <v>689</v>
      </c>
      <c r="DS1066" s="496" t="s">
        <v>3188</v>
      </c>
      <c r="DT1066" s="496" t="s">
        <v>3188</v>
      </c>
      <c r="DU1066" s="496" t="s">
        <v>1554</v>
      </c>
      <c r="DV1066" s="496" t="s">
        <v>1555</v>
      </c>
      <c r="DW1066" s="496" t="s">
        <v>1981</v>
      </c>
      <c r="DX1066" s="497" t="s">
        <v>1982</v>
      </c>
      <c r="DZ1066" s="543">
        <v>1</v>
      </c>
      <c r="EB1066" s="493"/>
      <c r="EC1066" s="493"/>
    </row>
    <row r="1067" spans="119:133" ht="21" customHeight="1">
      <c r="DO1067" s="494"/>
      <c r="DP1067" s="496" t="s">
        <v>3189</v>
      </c>
      <c r="DQ1067" s="496" t="s">
        <v>8</v>
      </c>
      <c r="DR1067" s="496" t="s">
        <v>689</v>
      </c>
      <c r="DS1067" s="496" t="s">
        <v>3190</v>
      </c>
      <c r="DT1067" s="496" t="s">
        <v>3190</v>
      </c>
      <c r="DU1067" s="496" t="s">
        <v>1554</v>
      </c>
      <c r="DV1067" s="496" t="s">
        <v>1555</v>
      </c>
      <c r="DW1067" s="496" t="s">
        <v>1981</v>
      </c>
      <c r="DX1067" s="497" t="s">
        <v>1982</v>
      </c>
      <c r="DZ1067" s="543">
        <v>1</v>
      </c>
      <c r="EB1067" s="493"/>
      <c r="EC1067" s="493"/>
    </row>
    <row r="1068" spans="119:133" ht="21" customHeight="1">
      <c r="DO1068" s="494"/>
      <c r="DP1068" s="496" t="s">
        <v>3191</v>
      </c>
      <c r="DQ1068" s="496" t="s">
        <v>8</v>
      </c>
      <c r="DR1068" s="496" t="s">
        <v>689</v>
      </c>
      <c r="DS1068" s="496" t="s">
        <v>3192</v>
      </c>
      <c r="DT1068" s="496" t="s">
        <v>3192</v>
      </c>
      <c r="DU1068" s="496" t="s">
        <v>1554</v>
      </c>
      <c r="DV1068" s="496" t="s">
        <v>1555</v>
      </c>
      <c r="DW1068" s="496" t="s">
        <v>1981</v>
      </c>
      <c r="DX1068" s="497" t="s">
        <v>1982</v>
      </c>
      <c r="DZ1068" s="543">
        <v>1</v>
      </c>
      <c r="EB1068" s="493"/>
      <c r="EC1068" s="493"/>
    </row>
    <row r="1069" spans="119:133" ht="21" customHeight="1">
      <c r="DO1069" s="494"/>
      <c r="DP1069" s="496" t="s">
        <v>3193</v>
      </c>
      <c r="DQ1069" s="496" t="s">
        <v>8</v>
      </c>
      <c r="DR1069" s="496" t="s">
        <v>689</v>
      </c>
      <c r="DS1069" s="496" t="s">
        <v>3194</v>
      </c>
      <c r="DT1069" s="496" t="s">
        <v>3194</v>
      </c>
      <c r="DU1069" s="496" t="s">
        <v>1554</v>
      </c>
      <c r="DV1069" s="496" t="s">
        <v>1555</v>
      </c>
      <c r="DW1069" s="496" t="s">
        <v>1981</v>
      </c>
      <c r="DX1069" s="497" t="s">
        <v>1982</v>
      </c>
      <c r="DZ1069" s="543">
        <v>1</v>
      </c>
      <c r="EB1069" s="493"/>
      <c r="EC1069" s="493"/>
    </row>
    <row r="1070" spans="119:133" ht="21" customHeight="1">
      <c r="DO1070" s="494"/>
      <c r="DP1070" s="496" t="s">
        <v>3195</v>
      </c>
      <c r="DQ1070" s="496" t="s">
        <v>8</v>
      </c>
      <c r="DR1070" s="496" t="s">
        <v>689</v>
      </c>
      <c r="DS1070" s="496" t="s">
        <v>3196</v>
      </c>
      <c r="DT1070" s="496" t="s">
        <v>3196</v>
      </c>
      <c r="DU1070" s="496" t="s">
        <v>1554</v>
      </c>
      <c r="DV1070" s="496" t="s">
        <v>1555</v>
      </c>
      <c r="DW1070" s="496" t="s">
        <v>1981</v>
      </c>
      <c r="DX1070" s="497" t="s">
        <v>1982</v>
      </c>
      <c r="DZ1070" s="543">
        <v>1</v>
      </c>
      <c r="EB1070" s="493"/>
      <c r="EC1070" s="493"/>
    </row>
    <row r="1071" spans="119:133" ht="21" customHeight="1">
      <c r="DO1071" s="494"/>
      <c r="DP1071" s="496" t="s">
        <v>3197</v>
      </c>
      <c r="DQ1071" s="496" t="s">
        <v>8</v>
      </c>
      <c r="DR1071" s="496" t="s">
        <v>689</v>
      </c>
      <c r="DS1071" s="496" t="s">
        <v>3198</v>
      </c>
      <c r="DT1071" s="496" t="s">
        <v>3198</v>
      </c>
      <c r="DU1071" s="496" t="s">
        <v>1554</v>
      </c>
      <c r="DV1071" s="496" t="s">
        <v>1555</v>
      </c>
      <c r="DW1071" s="496" t="s">
        <v>1981</v>
      </c>
      <c r="DX1071" s="497" t="s">
        <v>1982</v>
      </c>
      <c r="DZ1071" s="543">
        <v>1</v>
      </c>
      <c r="EB1071" s="493"/>
      <c r="EC1071" s="493"/>
    </row>
    <row r="1072" spans="119:133" ht="21" customHeight="1">
      <c r="DO1072" s="494"/>
      <c r="DP1072" s="496" t="s">
        <v>3199</v>
      </c>
      <c r="DQ1072" s="496" t="s">
        <v>8</v>
      </c>
      <c r="DR1072" s="496" t="s">
        <v>689</v>
      </c>
      <c r="DS1072" s="496" t="s">
        <v>3200</v>
      </c>
      <c r="DT1072" s="496" t="s">
        <v>3200</v>
      </c>
      <c r="DU1072" s="496" t="s">
        <v>1554</v>
      </c>
      <c r="DV1072" s="496" t="s">
        <v>1555</v>
      </c>
      <c r="DW1072" s="496" t="s">
        <v>1981</v>
      </c>
      <c r="DX1072" s="497" t="s">
        <v>1982</v>
      </c>
      <c r="DZ1072" s="543">
        <v>1</v>
      </c>
      <c r="EB1072" s="493"/>
      <c r="EC1072" s="493"/>
    </row>
    <row r="1073" spans="119:133" ht="21" customHeight="1">
      <c r="DO1073" s="494"/>
      <c r="DP1073" s="496" t="s">
        <v>3201</v>
      </c>
      <c r="DQ1073" s="496" t="s">
        <v>8</v>
      </c>
      <c r="DR1073" s="496" t="s">
        <v>689</v>
      </c>
      <c r="DS1073" s="496" t="s">
        <v>3202</v>
      </c>
      <c r="DT1073" s="496" t="s">
        <v>3202</v>
      </c>
      <c r="DU1073" s="496" t="s">
        <v>1554</v>
      </c>
      <c r="DV1073" s="496" t="s">
        <v>1555</v>
      </c>
      <c r="DW1073" s="496" t="s">
        <v>1981</v>
      </c>
      <c r="DX1073" s="497" t="s">
        <v>1982</v>
      </c>
      <c r="DZ1073" s="543">
        <v>1</v>
      </c>
      <c r="EB1073" s="493"/>
      <c r="EC1073" s="493"/>
    </row>
    <row r="1074" spans="119:133" ht="21" customHeight="1">
      <c r="DO1074" s="494"/>
      <c r="DP1074" s="496" t="s">
        <v>3203</v>
      </c>
      <c r="DQ1074" s="496" t="s">
        <v>8</v>
      </c>
      <c r="DR1074" s="496" t="s">
        <v>689</v>
      </c>
      <c r="DS1074" s="496" t="s">
        <v>3204</v>
      </c>
      <c r="DT1074" s="496" t="s">
        <v>3204</v>
      </c>
      <c r="DU1074" s="496" t="s">
        <v>1554</v>
      </c>
      <c r="DV1074" s="496" t="s">
        <v>1555</v>
      </c>
      <c r="DW1074" s="496" t="s">
        <v>1981</v>
      </c>
      <c r="DX1074" s="497" t="s">
        <v>1982</v>
      </c>
      <c r="DZ1074" s="543">
        <v>1</v>
      </c>
      <c r="EB1074" s="493"/>
      <c r="EC1074" s="493"/>
    </row>
    <row r="1075" spans="119:133" ht="21" customHeight="1">
      <c r="DO1075" s="494"/>
      <c r="DP1075" s="496" t="s">
        <v>3205</v>
      </c>
      <c r="DQ1075" s="496" t="s">
        <v>8</v>
      </c>
      <c r="DR1075" s="496" t="s">
        <v>689</v>
      </c>
      <c r="DS1075" s="496" t="s">
        <v>3206</v>
      </c>
      <c r="DT1075" s="496" t="s">
        <v>3206</v>
      </c>
      <c r="DU1075" s="496" t="s">
        <v>1554</v>
      </c>
      <c r="DV1075" s="496" t="s">
        <v>1555</v>
      </c>
      <c r="DW1075" s="496" t="s">
        <v>1981</v>
      </c>
      <c r="DX1075" s="497" t="s">
        <v>1982</v>
      </c>
      <c r="DZ1075" s="543">
        <v>1</v>
      </c>
      <c r="EB1075" s="493"/>
      <c r="EC1075" s="493"/>
    </row>
    <row r="1076" spans="119:133" ht="21" customHeight="1">
      <c r="DO1076" s="494"/>
      <c r="DP1076" s="496" t="s">
        <v>3207</v>
      </c>
      <c r="DQ1076" s="496" t="s">
        <v>8</v>
      </c>
      <c r="DR1076" s="496" t="s">
        <v>689</v>
      </c>
      <c r="DS1076" s="496" t="s">
        <v>3208</v>
      </c>
      <c r="DT1076" s="496" t="s">
        <v>3208</v>
      </c>
      <c r="DU1076" s="496" t="s">
        <v>1554</v>
      </c>
      <c r="DV1076" s="496" t="s">
        <v>1555</v>
      </c>
      <c r="DW1076" s="496" t="s">
        <v>1981</v>
      </c>
      <c r="DX1076" s="497" t="s">
        <v>1982</v>
      </c>
      <c r="DZ1076" s="543">
        <v>1</v>
      </c>
      <c r="EB1076" s="493"/>
      <c r="EC1076" s="493"/>
    </row>
    <row r="1077" spans="119:133" ht="21" customHeight="1">
      <c r="DO1077" s="494"/>
      <c r="DP1077" s="496" t="s">
        <v>3209</v>
      </c>
      <c r="DQ1077" s="496" t="s">
        <v>8</v>
      </c>
      <c r="DR1077" s="496" t="s">
        <v>689</v>
      </c>
      <c r="DS1077" s="496" t="s">
        <v>3210</v>
      </c>
      <c r="DT1077" s="496" t="s">
        <v>3210</v>
      </c>
      <c r="DU1077" s="496" t="s">
        <v>1554</v>
      </c>
      <c r="DV1077" s="496" t="s">
        <v>1555</v>
      </c>
      <c r="DW1077" s="496" t="s">
        <v>1981</v>
      </c>
      <c r="DX1077" s="497" t="s">
        <v>1982</v>
      </c>
      <c r="DZ1077" s="543">
        <v>1</v>
      </c>
      <c r="EB1077" s="493"/>
      <c r="EC1077" s="493"/>
    </row>
    <row r="1078" spans="119:133" ht="21" customHeight="1">
      <c r="DO1078" s="494"/>
      <c r="DP1078" s="496" t="s">
        <v>3211</v>
      </c>
      <c r="DQ1078" s="496" t="s">
        <v>8</v>
      </c>
      <c r="DR1078" s="496" t="s">
        <v>689</v>
      </c>
      <c r="DS1078" s="496" t="s">
        <v>3212</v>
      </c>
      <c r="DT1078" s="496" t="s">
        <v>3212</v>
      </c>
      <c r="DU1078" s="496" t="s">
        <v>1554</v>
      </c>
      <c r="DV1078" s="496" t="s">
        <v>1555</v>
      </c>
      <c r="DW1078" s="496" t="s">
        <v>1981</v>
      </c>
      <c r="DX1078" s="497" t="s">
        <v>1982</v>
      </c>
      <c r="DZ1078" s="543">
        <v>1</v>
      </c>
      <c r="EB1078" s="493"/>
      <c r="EC1078" s="493"/>
    </row>
    <row r="1079" spans="119:133" ht="21" customHeight="1">
      <c r="DO1079" s="494"/>
      <c r="DP1079" s="496" t="s">
        <v>3213</v>
      </c>
      <c r="DQ1079" s="496" t="s">
        <v>8</v>
      </c>
      <c r="DR1079" s="496" t="s">
        <v>689</v>
      </c>
      <c r="DS1079" s="496" t="s">
        <v>3214</v>
      </c>
      <c r="DT1079" s="496" t="s">
        <v>3214</v>
      </c>
      <c r="DU1079" s="496" t="s">
        <v>1554</v>
      </c>
      <c r="DV1079" s="496" t="s">
        <v>1555</v>
      </c>
      <c r="DW1079" s="496" t="s">
        <v>1981</v>
      </c>
      <c r="DX1079" s="497" t="s">
        <v>1982</v>
      </c>
      <c r="DZ1079" s="543">
        <v>1</v>
      </c>
      <c r="EB1079" s="493"/>
      <c r="EC1079" s="493"/>
    </row>
    <row r="1080" spans="119:133" ht="21" customHeight="1">
      <c r="DO1080" s="494"/>
      <c r="DP1080" s="496" t="s">
        <v>3215</v>
      </c>
      <c r="DQ1080" s="496" t="s">
        <v>8</v>
      </c>
      <c r="DR1080" s="496" t="s">
        <v>689</v>
      </c>
      <c r="DS1080" s="496" t="s">
        <v>3216</v>
      </c>
      <c r="DT1080" s="496" t="s">
        <v>3216</v>
      </c>
      <c r="DU1080" s="496" t="s">
        <v>1554</v>
      </c>
      <c r="DV1080" s="496" t="s">
        <v>1555</v>
      </c>
      <c r="DW1080" s="496" t="s">
        <v>1981</v>
      </c>
      <c r="DX1080" s="497" t="s">
        <v>1982</v>
      </c>
      <c r="DZ1080" s="543">
        <v>1</v>
      </c>
      <c r="EB1080" s="493"/>
      <c r="EC1080" s="493"/>
    </row>
    <row r="1081" spans="119:133" ht="21" customHeight="1">
      <c r="DO1081" s="494"/>
      <c r="DP1081" s="496" t="s">
        <v>3217</v>
      </c>
      <c r="DQ1081" s="496" t="s">
        <v>8</v>
      </c>
      <c r="DR1081" s="496" t="s">
        <v>689</v>
      </c>
      <c r="DS1081" s="496" t="s">
        <v>3218</v>
      </c>
      <c r="DT1081" s="496" t="s">
        <v>3218</v>
      </c>
      <c r="DU1081" s="496" t="s">
        <v>1554</v>
      </c>
      <c r="DV1081" s="496" t="s">
        <v>1555</v>
      </c>
      <c r="DW1081" s="496" t="s">
        <v>1981</v>
      </c>
      <c r="DX1081" s="497" t="s">
        <v>1982</v>
      </c>
      <c r="DZ1081" s="543">
        <v>1</v>
      </c>
      <c r="EB1081" s="493"/>
      <c r="EC1081" s="493"/>
    </row>
    <row r="1082" spans="119:133" ht="21" customHeight="1">
      <c r="DO1082" s="494"/>
      <c r="DP1082" s="496" t="s">
        <v>3219</v>
      </c>
      <c r="DQ1082" s="496" t="s">
        <v>8</v>
      </c>
      <c r="DR1082" s="496" t="s">
        <v>689</v>
      </c>
      <c r="DS1082" s="496" t="s">
        <v>3220</v>
      </c>
      <c r="DT1082" s="496" t="s">
        <v>3220</v>
      </c>
      <c r="DU1082" s="496" t="s">
        <v>1554</v>
      </c>
      <c r="DV1082" s="496" t="s">
        <v>1555</v>
      </c>
      <c r="DW1082" s="496" t="s">
        <v>1981</v>
      </c>
      <c r="DX1082" s="497" t="s">
        <v>1982</v>
      </c>
      <c r="DZ1082" s="543">
        <v>1</v>
      </c>
      <c r="EB1082" s="493"/>
      <c r="EC1082" s="493"/>
    </row>
    <row r="1083" spans="119:133" ht="21" customHeight="1">
      <c r="DO1083" s="494"/>
      <c r="DP1083" s="496" t="s">
        <v>3221</v>
      </c>
      <c r="DQ1083" s="496" t="s">
        <v>8</v>
      </c>
      <c r="DR1083" s="496" t="s">
        <v>689</v>
      </c>
      <c r="DS1083" s="496" t="s">
        <v>3222</v>
      </c>
      <c r="DT1083" s="496" t="s">
        <v>3222</v>
      </c>
      <c r="DU1083" s="496" t="s">
        <v>1554</v>
      </c>
      <c r="DV1083" s="496" t="s">
        <v>1555</v>
      </c>
      <c r="DW1083" s="496" t="s">
        <v>1981</v>
      </c>
      <c r="DX1083" s="497" t="s">
        <v>1982</v>
      </c>
      <c r="DZ1083" s="543">
        <v>1</v>
      </c>
      <c r="EB1083" s="493"/>
      <c r="EC1083" s="493"/>
    </row>
    <row r="1084" spans="119:133" ht="21" customHeight="1">
      <c r="DO1084" s="494"/>
      <c r="DP1084" s="496" t="s">
        <v>3223</v>
      </c>
      <c r="DQ1084" s="496" t="s">
        <v>8</v>
      </c>
      <c r="DR1084" s="496" t="s">
        <v>689</v>
      </c>
      <c r="DS1084" s="496" t="s">
        <v>3224</v>
      </c>
      <c r="DT1084" s="496" t="s">
        <v>3224</v>
      </c>
      <c r="DU1084" s="496" t="s">
        <v>1554</v>
      </c>
      <c r="DV1084" s="496" t="s">
        <v>1555</v>
      </c>
      <c r="DW1084" s="496" t="s">
        <v>1981</v>
      </c>
      <c r="DX1084" s="497" t="s">
        <v>1982</v>
      </c>
      <c r="DZ1084" s="543">
        <v>1</v>
      </c>
      <c r="EB1084" s="493"/>
      <c r="EC1084" s="493"/>
    </row>
    <row r="1085" spans="119:133" ht="21" customHeight="1">
      <c r="DO1085" s="494"/>
      <c r="DP1085" s="496" t="s">
        <v>3225</v>
      </c>
      <c r="DQ1085" s="496" t="s">
        <v>8</v>
      </c>
      <c r="DR1085" s="496" t="s">
        <v>689</v>
      </c>
      <c r="DS1085" s="496" t="s">
        <v>19</v>
      </c>
      <c r="DT1085" s="496" t="s">
        <v>19</v>
      </c>
      <c r="DU1085" s="496" t="s">
        <v>1085</v>
      </c>
      <c r="DV1085" s="496" t="s">
        <v>2063</v>
      </c>
      <c r="DW1085" s="496" t="s">
        <v>1087</v>
      </c>
      <c r="DX1085" s="497" t="s">
        <v>1088</v>
      </c>
      <c r="DZ1085" s="543">
        <v>1</v>
      </c>
      <c r="EB1085" s="493"/>
      <c r="EC1085" s="493"/>
    </row>
    <row r="1086" spans="119:133" ht="21" customHeight="1">
      <c r="DO1086" s="494"/>
      <c r="DP1086" s="496" t="s">
        <v>3226</v>
      </c>
      <c r="DQ1086" s="496" t="s">
        <v>8</v>
      </c>
      <c r="DR1086" s="496" t="s">
        <v>689</v>
      </c>
      <c r="DS1086" s="496" t="s">
        <v>3227</v>
      </c>
      <c r="DT1086" s="496" t="s">
        <v>3227</v>
      </c>
      <c r="DU1086" s="496" t="s">
        <v>1554</v>
      </c>
      <c r="DV1086" s="496" t="s">
        <v>1555</v>
      </c>
      <c r="DW1086" s="496" t="s">
        <v>1981</v>
      </c>
      <c r="DX1086" s="497" t="s">
        <v>1982</v>
      </c>
      <c r="DZ1086" s="543">
        <v>1</v>
      </c>
      <c r="EB1086" s="493"/>
      <c r="EC1086" s="493"/>
    </row>
    <row r="1087" spans="119:133" ht="21" customHeight="1">
      <c r="DO1087" s="494"/>
      <c r="DP1087" s="496" t="s">
        <v>3228</v>
      </c>
      <c r="DQ1087" s="496" t="s">
        <v>8</v>
      </c>
      <c r="DR1087" s="496" t="s">
        <v>689</v>
      </c>
      <c r="DS1087" s="496" t="s">
        <v>3229</v>
      </c>
      <c r="DT1087" s="496" t="s">
        <v>3229</v>
      </c>
      <c r="DU1087" s="496" t="s">
        <v>1554</v>
      </c>
      <c r="DV1087" s="496" t="s">
        <v>1555</v>
      </c>
      <c r="DW1087" s="496" t="s">
        <v>1981</v>
      </c>
      <c r="DX1087" s="497" t="s">
        <v>1982</v>
      </c>
      <c r="DZ1087" s="543">
        <v>1</v>
      </c>
      <c r="EB1087" s="493"/>
      <c r="EC1087" s="493"/>
    </row>
    <row r="1088" spans="119:133" ht="21" customHeight="1">
      <c r="DO1088" s="494"/>
      <c r="DP1088" s="496" t="s">
        <v>3230</v>
      </c>
      <c r="DQ1088" s="496" t="s">
        <v>8</v>
      </c>
      <c r="DR1088" s="496" t="s">
        <v>689</v>
      </c>
      <c r="DS1088" s="496" t="s">
        <v>3231</v>
      </c>
      <c r="DT1088" s="496" t="s">
        <v>3231</v>
      </c>
      <c r="DU1088" s="496" t="s">
        <v>1554</v>
      </c>
      <c r="DV1088" s="496" t="s">
        <v>1555</v>
      </c>
      <c r="DW1088" s="496" t="s">
        <v>1981</v>
      </c>
      <c r="DX1088" s="497" t="s">
        <v>1982</v>
      </c>
      <c r="DZ1088" s="543">
        <v>1</v>
      </c>
      <c r="EB1088" s="493"/>
      <c r="EC1088" s="493"/>
    </row>
    <row r="1089" spans="119:133" ht="21" customHeight="1">
      <c r="DO1089" s="494"/>
      <c r="DP1089" s="496" t="s">
        <v>3232</v>
      </c>
      <c r="DQ1089" s="496" t="s">
        <v>8</v>
      </c>
      <c r="DR1089" s="496" t="s">
        <v>689</v>
      </c>
      <c r="DS1089" s="496" t="s">
        <v>3233</v>
      </c>
      <c r="DT1089" s="496" t="s">
        <v>3233</v>
      </c>
      <c r="DU1089" s="496" t="s">
        <v>1554</v>
      </c>
      <c r="DV1089" s="496" t="s">
        <v>1555</v>
      </c>
      <c r="DW1089" s="496" t="s">
        <v>1981</v>
      </c>
      <c r="DX1089" s="497" t="s">
        <v>1982</v>
      </c>
      <c r="DZ1089" s="543">
        <v>1</v>
      </c>
      <c r="EB1089" s="493"/>
      <c r="EC1089" s="493"/>
    </row>
    <row r="1090" spans="119:133" ht="21" customHeight="1">
      <c r="DO1090" s="494"/>
      <c r="DP1090" s="496" t="s">
        <v>3234</v>
      </c>
      <c r="DQ1090" s="496" t="s">
        <v>8</v>
      </c>
      <c r="DR1090" s="496" t="s">
        <v>689</v>
      </c>
      <c r="DS1090" s="496" t="s">
        <v>3235</v>
      </c>
      <c r="DT1090" s="496" t="s">
        <v>3235</v>
      </c>
      <c r="DU1090" s="496" t="s">
        <v>1554</v>
      </c>
      <c r="DV1090" s="496" t="s">
        <v>1555</v>
      </c>
      <c r="DW1090" s="496" t="s">
        <v>1981</v>
      </c>
      <c r="DX1090" s="497" t="s">
        <v>1982</v>
      </c>
      <c r="DZ1090" s="543">
        <v>1</v>
      </c>
      <c r="EB1090" s="493"/>
      <c r="EC1090" s="493"/>
    </row>
    <row r="1091" spans="119:133" ht="21" customHeight="1">
      <c r="DO1091" s="494"/>
      <c r="DP1091" s="496" t="s">
        <v>3236</v>
      </c>
      <c r="DQ1091" s="496" t="s">
        <v>8</v>
      </c>
      <c r="DR1091" s="496" t="s">
        <v>689</v>
      </c>
      <c r="DS1091" s="496" t="s">
        <v>3237</v>
      </c>
      <c r="DT1091" s="496" t="s">
        <v>3237</v>
      </c>
      <c r="DU1091" s="496" t="s">
        <v>1554</v>
      </c>
      <c r="DV1091" s="496" t="s">
        <v>1555</v>
      </c>
      <c r="DW1091" s="496" t="s">
        <v>1981</v>
      </c>
      <c r="DX1091" s="497" t="s">
        <v>1982</v>
      </c>
      <c r="DZ1091" s="543">
        <v>1</v>
      </c>
      <c r="EB1091" s="493"/>
      <c r="EC1091" s="493"/>
    </row>
    <row r="1092" spans="119:133" ht="21" customHeight="1">
      <c r="DO1092" s="494"/>
      <c r="DP1092" s="496" t="s">
        <v>3238</v>
      </c>
      <c r="DQ1092" s="496" t="s">
        <v>8</v>
      </c>
      <c r="DR1092" s="496" t="s">
        <v>689</v>
      </c>
      <c r="DS1092" s="496" t="s">
        <v>3239</v>
      </c>
      <c r="DT1092" s="496" t="s">
        <v>3239</v>
      </c>
      <c r="DU1092" s="496" t="s">
        <v>1554</v>
      </c>
      <c r="DV1092" s="496" t="s">
        <v>1555</v>
      </c>
      <c r="DW1092" s="496" t="s">
        <v>1981</v>
      </c>
      <c r="DX1092" s="497" t="s">
        <v>1982</v>
      </c>
      <c r="DZ1092" s="543">
        <v>1</v>
      </c>
      <c r="EB1092" s="493"/>
      <c r="EC1092" s="493"/>
    </row>
    <row r="1093" spans="119:133" ht="21" customHeight="1">
      <c r="DO1093" s="494"/>
      <c r="DP1093" s="496" t="s">
        <v>3240</v>
      </c>
      <c r="DQ1093" s="496" t="s">
        <v>8</v>
      </c>
      <c r="DR1093" s="496" t="s">
        <v>689</v>
      </c>
      <c r="DS1093" s="496" t="s">
        <v>3241</v>
      </c>
      <c r="DT1093" s="496" t="s">
        <v>3241</v>
      </c>
      <c r="DU1093" s="496" t="s">
        <v>1554</v>
      </c>
      <c r="DV1093" s="496" t="s">
        <v>1555</v>
      </c>
      <c r="DW1093" s="496" t="s">
        <v>1981</v>
      </c>
      <c r="DX1093" s="497" t="s">
        <v>1982</v>
      </c>
      <c r="DZ1093" s="543">
        <v>1</v>
      </c>
      <c r="EB1093" s="493"/>
      <c r="EC1093" s="493"/>
    </row>
    <row r="1094" spans="119:133" ht="21" customHeight="1">
      <c r="DO1094" s="494"/>
      <c r="DP1094" s="496" t="s">
        <v>3242</v>
      </c>
      <c r="DQ1094" s="496" t="s">
        <v>8</v>
      </c>
      <c r="DR1094" s="496" t="s">
        <v>689</v>
      </c>
      <c r="DS1094" s="496" t="s">
        <v>3243</v>
      </c>
      <c r="DT1094" s="496" t="s">
        <v>3243</v>
      </c>
      <c r="DU1094" s="496" t="s">
        <v>1554</v>
      </c>
      <c r="DV1094" s="496" t="s">
        <v>1555</v>
      </c>
      <c r="DW1094" s="496" t="s">
        <v>1981</v>
      </c>
      <c r="DX1094" s="497" t="s">
        <v>1982</v>
      </c>
      <c r="DZ1094" s="543">
        <v>1</v>
      </c>
      <c r="EB1094" s="493"/>
      <c r="EC1094" s="493"/>
    </row>
    <row r="1095" spans="119:133" ht="21" customHeight="1">
      <c r="DO1095" s="494"/>
      <c r="DP1095" s="496" t="s">
        <v>3244</v>
      </c>
      <c r="DQ1095" s="496" t="s">
        <v>8</v>
      </c>
      <c r="DR1095" s="496" t="s">
        <v>689</v>
      </c>
      <c r="DS1095" s="496" t="s">
        <v>3245</v>
      </c>
      <c r="DT1095" s="496" t="s">
        <v>3245</v>
      </c>
      <c r="DU1095" s="496" t="s">
        <v>1554</v>
      </c>
      <c r="DV1095" s="496" t="s">
        <v>1555</v>
      </c>
      <c r="DW1095" s="496" t="s">
        <v>1981</v>
      </c>
      <c r="DX1095" s="497" t="s">
        <v>1982</v>
      </c>
      <c r="DZ1095" s="543">
        <v>1</v>
      </c>
      <c r="EB1095" s="493"/>
      <c r="EC1095" s="493"/>
    </row>
    <row r="1096" spans="119:133" ht="21" customHeight="1">
      <c r="DO1096" s="494"/>
      <c r="DP1096" s="496" t="s">
        <v>3246</v>
      </c>
      <c r="DQ1096" s="496" t="s">
        <v>8</v>
      </c>
      <c r="DR1096" s="496" t="s">
        <v>689</v>
      </c>
      <c r="DS1096" s="496" t="s">
        <v>31</v>
      </c>
      <c r="DT1096" s="496" t="s">
        <v>31</v>
      </c>
      <c r="DU1096" s="496" t="s">
        <v>1085</v>
      </c>
      <c r="DV1096" s="496" t="s">
        <v>2063</v>
      </c>
      <c r="DW1096" s="496" t="s">
        <v>1087</v>
      </c>
      <c r="DX1096" s="497" t="s">
        <v>1088</v>
      </c>
      <c r="DZ1096" s="543">
        <v>1</v>
      </c>
      <c r="EB1096" s="493"/>
      <c r="EC1096" s="493"/>
    </row>
    <row r="1097" spans="119:133" ht="21" customHeight="1">
      <c r="DO1097" s="494"/>
      <c r="DP1097" s="496" t="s">
        <v>3247</v>
      </c>
      <c r="DQ1097" s="496" t="s">
        <v>8</v>
      </c>
      <c r="DR1097" s="496" t="s">
        <v>689</v>
      </c>
      <c r="DS1097" s="496" t="s">
        <v>3248</v>
      </c>
      <c r="DT1097" s="496" t="s">
        <v>3248</v>
      </c>
      <c r="DU1097" s="496" t="s">
        <v>1554</v>
      </c>
      <c r="DV1097" s="496" t="s">
        <v>1555</v>
      </c>
      <c r="DW1097" s="496" t="s">
        <v>1981</v>
      </c>
      <c r="DX1097" s="497" t="s">
        <v>1982</v>
      </c>
      <c r="DZ1097" s="543">
        <v>1</v>
      </c>
      <c r="EB1097" s="493"/>
      <c r="EC1097" s="493"/>
    </row>
    <row r="1098" spans="119:133" ht="21" customHeight="1">
      <c r="DO1098" s="494"/>
      <c r="DP1098" s="496" t="s">
        <v>3249</v>
      </c>
      <c r="DQ1098" s="496" t="s">
        <v>8</v>
      </c>
      <c r="DR1098" s="496" t="s">
        <v>689</v>
      </c>
      <c r="DS1098" s="496" t="s">
        <v>3250</v>
      </c>
      <c r="DT1098" s="496" t="s">
        <v>3250</v>
      </c>
      <c r="DU1098" s="496" t="s">
        <v>1554</v>
      </c>
      <c r="DV1098" s="496" t="s">
        <v>1555</v>
      </c>
      <c r="DW1098" s="496" t="s">
        <v>1981</v>
      </c>
      <c r="DX1098" s="497" t="s">
        <v>1982</v>
      </c>
      <c r="DZ1098" s="543">
        <v>1</v>
      </c>
      <c r="EB1098" s="493"/>
      <c r="EC1098" s="493"/>
    </row>
    <row r="1099" spans="119:133" ht="21" customHeight="1">
      <c r="DO1099" s="494"/>
      <c r="DP1099" s="496" t="s">
        <v>3251</v>
      </c>
      <c r="DQ1099" s="496" t="s">
        <v>8</v>
      </c>
      <c r="DR1099" s="496" t="s">
        <v>689</v>
      </c>
      <c r="DS1099" s="496" t="s">
        <v>3252</v>
      </c>
      <c r="DT1099" s="496" t="s">
        <v>3252</v>
      </c>
      <c r="DU1099" s="496" t="s">
        <v>1554</v>
      </c>
      <c r="DV1099" s="496" t="s">
        <v>1555</v>
      </c>
      <c r="DW1099" s="496" t="s">
        <v>1981</v>
      </c>
      <c r="DX1099" s="497" t="s">
        <v>1982</v>
      </c>
      <c r="DZ1099" s="543">
        <v>1</v>
      </c>
      <c r="EB1099" s="493"/>
      <c r="EC1099" s="493"/>
    </row>
    <row r="1100" spans="119:133" ht="21" customHeight="1">
      <c r="DO1100" s="494"/>
      <c r="DP1100" s="496" t="s">
        <v>3253</v>
      </c>
      <c r="DQ1100" s="496" t="s">
        <v>8</v>
      </c>
      <c r="DR1100" s="496" t="s">
        <v>689</v>
      </c>
      <c r="DS1100" s="496" t="s">
        <v>1044</v>
      </c>
      <c r="DT1100" s="496" t="s">
        <v>1044</v>
      </c>
      <c r="DU1100" s="496" t="s">
        <v>1085</v>
      </c>
      <c r="DV1100" s="496" t="s">
        <v>2063</v>
      </c>
      <c r="DW1100" s="496" t="s">
        <v>1087</v>
      </c>
      <c r="DX1100" s="497" t="s">
        <v>1088</v>
      </c>
      <c r="DZ1100" s="543">
        <v>1</v>
      </c>
      <c r="EB1100" s="493"/>
      <c r="EC1100" s="493"/>
    </row>
    <row r="1101" spans="119:133" ht="21" customHeight="1">
      <c r="DO1101" s="494"/>
      <c r="DP1101" s="496" t="s">
        <v>3254</v>
      </c>
      <c r="DQ1101" s="496" t="s">
        <v>8</v>
      </c>
      <c r="DR1101" s="496" t="s">
        <v>689</v>
      </c>
      <c r="DS1101" s="496" t="s">
        <v>3255</v>
      </c>
      <c r="DT1101" s="496" t="s">
        <v>3256</v>
      </c>
      <c r="DU1101" s="496" t="s">
        <v>1085</v>
      </c>
      <c r="DV1101" s="496" t="s">
        <v>2063</v>
      </c>
      <c r="DW1101" s="496" t="s">
        <v>1087</v>
      </c>
      <c r="DX1101" s="497" t="s">
        <v>1088</v>
      </c>
      <c r="DZ1101" s="543">
        <v>1</v>
      </c>
      <c r="EB1101" s="493"/>
      <c r="EC1101" s="493"/>
    </row>
    <row r="1102" spans="119:133" ht="21" customHeight="1">
      <c r="DO1102" s="494"/>
      <c r="DP1102" s="496" t="s">
        <v>3257</v>
      </c>
      <c r="DQ1102" s="496" t="s">
        <v>8</v>
      </c>
      <c r="DR1102" s="496" t="s">
        <v>689</v>
      </c>
      <c r="DS1102" s="496" t="s">
        <v>3258</v>
      </c>
      <c r="DT1102" s="496" t="s">
        <v>3258</v>
      </c>
      <c r="DU1102" s="496" t="s">
        <v>1085</v>
      </c>
      <c r="DV1102" s="496" t="s">
        <v>2063</v>
      </c>
      <c r="DW1102" s="496" t="s">
        <v>1087</v>
      </c>
      <c r="DX1102" s="497" t="s">
        <v>1088</v>
      </c>
      <c r="DZ1102" s="543">
        <v>1</v>
      </c>
      <c r="EB1102" s="493"/>
      <c r="EC1102" s="493"/>
    </row>
    <row r="1103" spans="119:133" ht="21" customHeight="1">
      <c r="DO1103" s="494"/>
      <c r="DP1103" s="496" t="s">
        <v>3259</v>
      </c>
      <c r="DQ1103" s="496" t="s">
        <v>8</v>
      </c>
      <c r="DR1103" s="496" t="s">
        <v>689</v>
      </c>
      <c r="DS1103" s="496" t="s">
        <v>1045</v>
      </c>
      <c r="DT1103" s="496" t="s">
        <v>1045</v>
      </c>
      <c r="DU1103" s="496" t="s">
        <v>1554</v>
      </c>
      <c r="DV1103" s="496" t="s">
        <v>1555</v>
      </c>
      <c r="DW1103" s="496" t="s">
        <v>1981</v>
      </c>
      <c r="DX1103" s="497" t="s">
        <v>1982</v>
      </c>
      <c r="DZ1103" s="543">
        <v>1</v>
      </c>
      <c r="EB1103" s="493"/>
      <c r="EC1103" s="493"/>
    </row>
    <row r="1104" spans="119:133" ht="21" customHeight="1">
      <c r="DO1104" s="494"/>
      <c r="DP1104" s="496" t="s">
        <v>3260</v>
      </c>
      <c r="DQ1104" s="496" t="s">
        <v>8</v>
      </c>
      <c r="DR1104" s="496" t="s">
        <v>689</v>
      </c>
      <c r="DS1104" s="496" t="s">
        <v>3261</v>
      </c>
      <c r="DT1104" s="496" t="s">
        <v>3261</v>
      </c>
      <c r="DU1104" s="496" t="s">
        <v>1554</v>
      </c>
      <c r="DV1104" s="496" t="s">
        <v>1555</v>
      </c>
      <c r="DW1104" s="496" t="s">
        <v>1981</v>
      </c>
      <c r="DX1104" s="497" t="s">
        <v>1982</v>
      </c>
      <c r="DZ1104" s="543">
        <v>1</v>
      </c>
      <c r="EB1104" s="493"/>
      <c r="EC1104" s="493"/>
    </row>
    <row r="1105" spans="119:133" ht="21" customHeight="1">
      <c r="DO1105" s="494"/>
      <c r="DP1105" s="496" t="s">
        <v>3262</v>
      </c>
      <c r="DQ1105" s="496" t="s">
        <v>8</v>
      </c>
      <c r="DR1105" s="496" t="s">
        <v>689</v>
      </c>
      <c r="DS1105" s="496" t="s">
        <v>3263</v>
      </c>
      <c r="DT1105" s="496" t="s">
        <v>3263</v>
      </c>
      <c r="DU1105" s="496" t="s">
        <v>1554</v>
      </c>
      <c r="DV1105" s="496" t="s">
        <v>1555</v>
      </c>
      <c r="DW1105" s="496" t="s">
        <v>1981</v>
      </c>
      <c r="DX1105" s="497" t="s">
        <v>1982</v>
      </c>
      <c r="DZ1105" s="543">
        <v>1</v>
      </c>
      <c r="EB1105" s="493"/>
      <c r="EC1105" s="493"/>
    </row>
    <row r="1106" spans="119:133" ht="21" customHeight="1">
      <c r="DO1106" s="494"/>
      <c r="DP1106" s="496" t="s">
        <v>3264</v>
      </c>
      <c r="DQ1106" s="496" t="s">
        <v>8</v>
      </c>
      <c r="DR1106" s="496" t="s">
        <v>689</v>
      </c>
      <c r="DS1106" s="496" t="s">
        <v>3265</v>
      </c>
      <c r="DT1106" s="496" t="s">
        <v>3265</v>
      </c>
      <c r="DU1106" s="496" t="s">
        <v>1554</v>
      </c>
      <c r="DV1106" s="496" t="s">
        <v>1555</v>
      </c>
      <c r="DW1106" s="496" t="s">
        <v>1981</v>
      </c>
      <c r="DX1106" s="497" t="s">
        <v>1982</v>
      </c>
      <c r="DZ1106" s="543">
        <v>1</v>
      </c>
      <c r="EB1106" s="493"/>
      <c r="EC1106" s="493"/>
    </row>
    <row r="1107" spans="119:133" ht="21" customHeight="1">
      <c r="DO1107" s="494"/>
      <c r="DP1107" s="496" t="s">
        <v>3266</v>
      </c>
      <c r="DQ1107" s="496" t="s">
        <v>8</v>
      </c>
      <c r="DR1107" s="496" t="s">
        <v>689</v>
      </c>
      <c r="DS1107" s="496" t="s">
        <v>3267</v>
      </c>
      <c r="DT1107" s="496" t="s">
        <v>3267</v>
      </c>
      <c r="DU1107" s="496" t="s">
        <v>1554</v>
      </c>
      <c r="DV1107" s="496" t="s">
        <v>1555</v>
      </c>
      <c r="DW1107" s="496" t="s">
        <v>1981</v>
      </c>
      <c r="DX1107" s="497" t="s">
        <v>1982</v>
      </c>
      <c r="DZ1107" s="543">
        <v>1</v>
      </c>
      <c r="EB1107" s="493"/>
      <c r="EC1107" s="493"/>
    </row>
    <row r="1108" spans="119:133" ht="21" customHeight="1">
      <c r="DO1108" s="494"/>
      <c r="DP1108" s="496" t="s">
        <v>3268</v>
      </c>
      <c r="DQ1108" s="496" t="s">
        <v>8</v>
      </c>
      <c r="DR1108" s="496" t="s">
        <v>689</v>
      </c>
      <c r="DS1108" s="496" t="s">
        <v>3269</v>
      </c>
      <c r="DT1108" s="496" t="s">
        <v>3269</v>
      </c>
      <c r="DU1108" s="496" t="s">
        <v>1554</v>
      </c>
      <c r="DV1108" s="496" t="s">
        <v>1555</v>
      </c>
      <c r="DW1108" s="496" t="s">
        <v>1981</v>
      </c>
      <c r="DX1108" s="497" t="s">
        <v>1982</v>
      </c>
      <c r="DZ1108" s="543">
        <v>1</v>
      </c>
      <c r="EB1108" s="493"/>
      <c r="EC1108" s="493"/>
    </row>
    <row r="1109" spans="119:133" ht="21" customHeight="1">
      <c r="DO1109" s="494"/>
      <c r="DP1109" s="496" t="s">
        <v>3270</v>
      </c>
      <c r="DQ1109" s="496" t="s">
        <v>8</v>
      </c>
      <c r="DR1109" s="496" t="s">
        <v>689</v>
      </c>
      <c r="DS1109" s="496" t="s">
        <v>3271</v>
      </c>
      <c r="DT1109" s="496" t="s">
        <v>3271</v>
      </c>
      <c r="DU1109" s="496" t="s">
        <v>1554</v>
      </c>
      <c r="DV1109" s="496" t="s">
        <v>1555</v>
      </c>
      <c r="DW1109" s="496" t="s">
        <v>1981</v>
      </c>
      <c r="DX1109" s="497" t="s">
        <v>1982</v>
      </c>
      <c r="DZ1109" s="543">
        <v>1</v>
      </c>
      <c r="EB1109" s="493"/>
      <c r="EC1109" s="493"/>
    </row>
    <row r="1110" spans="119:133" ht="21" customHeight="1">
      <c r="DO1110" s="494"/>
      <c r="DP1110" s="496" t="s">
        <v>3272</v>
      </c>
      <c r="DQ1110" s="496" t="s">
        <v>8</v>
      </c>
      <c r="DR1110" s="496" t="s">
        <v>689</v>
      </c>
      <c r="DS1110" s="496" t="s">
        <v>3273</v>
      </c>
      <c r="DT1110" s="496" t="s">
        <v>3273</v>
      </c>
      <c r="DU1110" s="496" t="s">
        <v>1554</v>
      </c>
      <c r="DV1110" s="496" t="s">
        <v>1555</v>
      </c>
      <c r="DW1110" s="496" t="s">
        <v>1981</v>
      </c>
      <c r="DX1110" s="497" t="s">
        <v>1982</v>
      </c>
      <c r="DZ1110" s="543">
        <v>1</v>
      </c>
      <c r="EB1110" s="493"/>
      <c r="EC1110" s="493"/>
    </row>
    <row r="1111" spans="119:133" ht="21" customHeight="1">
      <c r="DO1111" s="494"/>
      <c r="DP1111" s="496" t="s">
        <v>3274</v>
      </c>
      <c r="DQ1111" s="496" t="s">
        <v>8</v>
      </c>
      <c r="DR1111" s="496" t="s">
        <v>689</v>
      </c>
      <c r="DS1111" s="496" t="s">
        <v>3275</v>
      </c>
      <c r="DT1111" s="496" t="s">
        <v>3275</v>
      </c>
      <c r="DU1111" s="496" t="s">
        <v>1554</v>
      </c>
      <c r="DV1111" s="496" t="s">
        <v>1555</v>
      </c>
      <c r="DW1111" s="496" t="s">
        <v>1981</v>
      </c>
      <c r="DX1111" s="497" t="s">
        <v>1982</v>
      </c>
      <c r="DZ1111" s="543">
        <v>1</v>
      </c>
      <c r="EB1111" s="493"/>
      <c r="EC1111" s="493"/>
    </row>
    <row r="1112" spans="119:133" ht="21" customHeight="1">
      <c r="DO1112" s="494"/>
      <c r="DP1112" s="496" t="s">
        <v>3276</v>
      </c>
      <c r="DQ1112" s="496" t="s">
        <v>8</v>
      </c>
      <c r="DR1112" s="496" t="s">
        <v>689</v>
      </c>
      <c r="DS1112" s="496" t="s">
        <v>3277</v>
      </c>
      <c r="DT1112" s="496" t="s">
        <v>3277</v>
      </c>
      <c r="DU1112" s="496" t="s">
        <v>1554</v>
      </c>
      <c r="DV1112" s="496" t="s">
        <v>1555</v>
      </c>
      <c r="DW1112" s="496" t="s">
        <v>1981</v>
      </c>
      <c r="DX1112" s="497" t="s">
        <v>1982</v>
      </c>
      <c r="DZ1112" s="543">
        <v>1</v>
      </c>
      <c r="EB1112" s="493"/>
      <c r="EC1112" s="493"/>
    </row>
    <row r="1113" spans="119:133" ht="21" customHeight="1">
      <c r="DO1113" s="494"/>
      <c r="DP1113" s="496" t="s">
        <v>3278</v>
      </c>
      <c r="DQ1113" s="496" t="s">
        <v>8</v>
      </c>
      <c r="DR1113" s="496" t="s">
        <v>689</v>
      </c>
      <c r="DS1113" s="496" t="s">
        <v>3279</v>
      </c>
      <c r="DT1113" s="496" t="s">
        <v>3279</v>
      </c>
      <c r="DU1113" s="496" t="s">
        <v>1554</v>
      </c>
      <c r="DV1113" s="496" t="s">
        <v>1555</v>
      </c>
      <c r="DW1113" s="496" t="s">
        <v>1981</v>
      </c>
      <c r="DX1113" s="497" t="s">
        <v>1982</v>
      </c>
      <c r="DZ1113" s="543">
        <v>1</v>
      </c>
      <c r="EB1113" s="493"/>
      <c r="EC1113" s="493"/>
    </row>
    <row r="1114" spans="119:133" ht="21" customHeight="1">
      <c r="DO1114" s="494"/>
      <c r="DP1114" s="496" t="s">
        <v>3280</v>
      </c>
      <c r="DQ1114" s="496" t="s">
        <v>8</v>
      </c>
      <c r="DR1114" s="496" t="s">
        <v>689</v>
      </c>
      <c r="DS1114" s="496" t="s">
        <v>3281</v>
      </c>
      <c r="DT1114" s="496" t="s">
        <v>3281</v>
      </c>
      <c r="DU1114" s="496" t="s">
        <v>1554</v>
      </c>
      <c r="DV1114" s="496" t="s">
        <v>1555</v>
      </c>
      <c r="DW1114" s="496" t="s">
        <v>1981</v>
      </c>
      <c r="DX1114" s="497" t="s">
        <v>1982</v>
      </c>
      <c r="DZ1114" s="543">
        <v>1</v>
      </c>
      <c r="EB1114" s="493"/>
      <c r="EC1114" s="493"/>
    </row>
    <row r="1115" spans="119:133" ht="21" customHeight="1">
      <c r="DO1115" s="494"/>
      <c r="DP1115" s="496" t="s">
        <v>3282</v>
      </c>
      <c r="DQ1115" s="496" t="s">
        <v>8</v>
      </c>
      <c r="DR1115" s="496" t="s">
        <v>689</v>
      </c>
      <c r="DS1115" s="496" t="s">
        <v>3283</v>
      </c>
      <c r="DT1115" s="496" t="s">
        <v>3283</v>
      </c>
      <c r="DU1115" s="496" t="s">
        <v>1554</v>
      </c>
      <c r="DV1115" s="496" t="s">
        <v>1555</v>
      </c>
      <c r="DW1115" s="496" t="s">
        <v>1981</v>
      </c>
      <c r="DX1115" s="497" t="s">
        <v>1982</v>
      </c>
      <c r="DZ1115" s="543">
        <v>1</v>
      </c>
      <c r="EB1115" s="493"/>
      <c r="EC1115" s="493"/>
    </row>
    <row r="1116" spans="119:133" ht="21" customHeight="1">
      <c r="DO1116" s="494"/>
      <c r="DP1116" s="496" t="s">
        <v>3284</v>
      </c>
      <c r="DQ1116" s="496" t="s">
        <v>8</v>
      </c>
      <c r="DR1116" s="496" t="s">
        <v>689</v>
      </c>
      <c r="DS1116" s="496" t="s">
        <v>3285</v>
      </c>
      <c r="DT1116" s="496" t="s">
        <v>3285</v>
      </c>
      <c r="DU1116" s="496" t="s">
        <v>1554</v>
      </c>
      <c r="DV1116" s="496" t="s">
        <v>1555</v>
      </c>
      <c r="DW1116" s="496" t="s">
        <v>1981</v>
      </c>
      <c r="DX1116" s="497" t="s">
        <v>1982</v>
      </c>
      <c r="DZ1116" s="543">
        <v>1</v>
      </c>
      <c r="EB1116" s="493"/>
      <c r="EC1116" s="493"/>
    </row>
    <row r="1117" spans="119:133" ht="21" customHeight="1">
      <c r="DO1117" s="494"/>
      <c r="DP1117" s="496" t="s">
        <v>3286</v>
      </c>
      <c r="DQ1117" s="496" t="s">
        <v>8</v>
      </c>
      <c r="DR1117" s="496" t="s">
        <v>689</v>
      </c>
      <c r="DS1117" s="496" t="s">
        <v>3287</v>
      </c>
      <c r="DT1117" s="496" t="s">
        <v>3287</v>
      </c>
      <c r="DU1117" s="496" t="s">
        <v>1554</v>
      </c>
      <c r="DV1117" s="496" t="s">
        <v>1555</v>
      </c>
      <c r="DW1117" s="496" t="s">
        <v>1981</v>
      </c>
      <c r="DX1117" s="497" t="s">
        <v>1982</v>
      </c>
      <c r="DZ1117" s="543">
        <v>1</v>
      </c>
      <c r="EB1117" s="493"/>
      <c r="EC1117" s="493"/>
    </row>
    <row r="1118" spans="119:133" ht="21" customHeight="1">
      <c r="DO1118" s="494"/>
      <c r="DP1118" s="496" t="s">
        <v>3288</v>
      </c>
      <c r="DQ1118" s="496" t="s">
        <v>8</v>
      </c>
      <c r="DR1118" s="496" t="s">
        <v>689</v>
      </c>
      <c r="DS1118" s="496" t="s">
        <v>3289</v>
      </c>
      <c r="DT1118" s="496" t="s">
        <v>3289</v>
      </c>
      <c r="DU1118" s="496" t="s">
        <v>1554</v>
      </c>
      <c r="DV1118" s="496" t="s">
        <v>1555</v>
      </c>
      <c r="DW1118" s="496" t="s">
        <v>1981</v>
      </c>
      <c r="DX1118" s="497" t="s">
        <v>1982</v>
      </c>
      <c r="DZ1118" s="543">
        <v>1</v>
      </c>
      <c r="EB1118" s="493"/>
      <c r="EC1118" s="493"/>
    </row>
    <row r="1119" spans="119:133" ht="21" customHeight="1">
      <c r="DO1119" s="494"/>
      <c r="DP1119" s="496" t="s">
        <v>3290</v>
      </c>
      <c r="DQ1119" s="496" t="s">
        <v>8</v>
      </c>
      <c r="DR1119" s="496" t="s">
        <v>689</v>
      </c>
      <c r="DS1119" s="496" t="s">
        <v>3291</v>
      </c>
      <c r="DT1119" s="496" t="s">
        <v>3291</v>
      </c>
      <c r="DU1119" s="496" t="s">
        <v>1554</v>
      </c>
      <c r="DV1119" s="496" t="s">
        <v>1555</v>
      </c>
      <c r="DW1119" s="496" t="s">
        <v>1981</v>
      </c>
      <c r="DX1119" s="497" t="s">
        <v>1982</v>
      </c>
      <c r="DZ1119" s="543">
        <v>1</v>
      </c>
      <c r="EB1119" s="493"/>
      <c r="EC1119" s="493"/>
    </row>
    <row r="1120" spans="119:133" ht="21" customHeight="1">
      <c r="DO1120" s="494"/>
      <c r="DP1120" s="496" t="s">
        <v>3292</v>
      </c>
      <c r="DQ1120" s="496" t="s">
        <v>8</v>
      </c>
      <c r="DR1120" s="496" t="s">
        <v>689</v>
      </c>
      <c r="DS1120" s="496" t="s">
        <v>3293</v>
      </c>
      <c r="DT1120" s="496" t="s">
        <v>3293</v>
      </c>
      <c r="DU1120" s="496" t="s">
        <v>1554</v>
      </c>
      <c r="DV1120" s="496" t="s">
        <v>1555</v>
      </c>
      <c r="DW1120" s="496" t="s">
        <v>1981</v>
      </c>
      <c r="DX1120" s="497" t="s">
        <v>1982</v>
      </c>
      <c r="DZ1120" s="543">
        <v>1</v>
      </c>
      <c r="EB1120" s="493"/>
      <c r="EC1120" s="493"/>
    </row>
    <row r="1121" spans="119:133" ht="21" customHeight="1">
      <c r="DO1121" s="494"/>
      <c r="DP1121" s="496" t="s">
        <v>3294</v>
      </c>
      <c r="DQ1121" s="496" t="s">
        <v>8</v>
      </c>
      <c r="DR1121" s="496" t="s">
        <v>689</v>
      </c>
      <c r="DS1121" s="496" t="s">
        <v>3295</v>
      </c>
      <c r="DT1121" s="496" t="s">
        <v>3295</v>
      </c>
      <c r="DU1121" s="496" t="s">
        <v>1554</v>
      </c>
      <c r="DV1121" s="496" t="s">
        <v>1555</v>
      </c>
      <c r="DW1121" s="496" t="s">
        <v>1981</v>
      </c>
      <c r="DX1121" s="497" t="s">
        <v>1982</v>
      </c>
      <c r="DZ1121" s="543">
        <v>1</v>
      </c>
      <c r="EB1121" s="493"/>
      <c r="EC1121" s="493"/>
    </row>
    <row r="1122" spans="119:133" ht="21" customHeight="1">
      <c r="DO1122" s="494"/>
      <c r="DP1122" s="496" t="s">
        <v>3296</v>
      </c>
      <c r="DQ1122" s="496" t="s">
        <v>8</v>
      </c>
      <c r="DR1122" s="496" t="s">
        <v>689</v>
      </c>
      <c r="DS1122" s="496" t="s">
        <v>3297</v>
      </c>
      <c r="DT1122" s="496" t="s">
        <v>3297</v>
      </c>
      <c r="DU1122" s="496" t="s">
        <v>1554</v>
      </c>
      <c r="DV1122" s="496" t="s">
        <v>1555</v>
      </c>
      <c r="DW1122" s="496" t="s">
        <v>1981</v>
      </c>
      <c r="DX1122" s="497" t="s">
        <v>1982</v>
      </c>
      <c r="DZ1122" s="543">
        <v>1</v>
      </c>
      <c r="EB1122" s="493"/>
      <c r="EC1122" s="493"/>
    </row>
    <row r="1123" spans="119:133" ht="21" customHeight="1">
      <c r="DO1123" s="494"/>
      <c r="DP1123" s="496" t="s">
        <v>3298</v>
      </c>
      <c r="DQ1123" s="496" t="s">
        <v>8</v>
      </c>
      <c r="DR1123" s="496" t="s">
        <v>689</v>
      </c>
      <c r="DS1123" s="496" t="s">
        <v>3299</v>
      </c>
      <c r="DT1123" s="496" t="s">
        <v>3299</v>
      </c>
      <c r="DU1123" s="496" t="s">
        <v>1554</v>
      </c>
      <c r="DV1123" s="496" t="s">
        <v>1555</v>
      </c>
      <c r="DW1123" s="496" t="s">
        <v>1981</v>
      </c>
      <c r="DX1123" s="497" t="s">
        <v>1982</v>
      </c>
      <c r="DZ1123" s="543">
        <v>1</v>
      </c>
      <c r="EB1123" s="493"/>
      <c r="EC1123" s="493"/>
    </row>
    <row r="1124" spans="119:133" ht="21" customHeight="1">
      <c r="DO1124" s="494"/>
      <c r="DP1124" s="496" t="s">
        <v>3300</v>
      </c>
      <c r="DQ1124" s="496" t="s">
        <v>8</v>
      </c>
      <c r="DR1124" s="496" t="s">
        <v>689</v>
      </c>
      <c r="DS1124" s="496" t="s">
        <v>3301</v>
      </c>
      <c r="DT1124" s="496" t="s">
        <v>3301</v>
      </c>
      <c r="DU1124" s="496" t="s">
        <v>1554</v>
      </c>
      <c r="DV1124" s="496" t="s">
        <v>1555</v>
      </c>
      <c r="DW1124" s="496" t="s">
        <v>1981</v>
      </c>
      <c r="DX1124" s="497" t="s">
        <v>1982</v>
      </c>
      <c r="DZ1124" s="543">
        <v>1</v>
      </c>
      <c r="EB1124" s="493"/>
      <c r="EC1124" s="493"/>
    </row>
    <row r="1125" spans="119:133" ht="21" customHeight="1">
      <c r="DO1125" s="494"/>
      <c r="DP1125" s="496" t="s">
        <v>3302</v>
      </c>
      <c r="DQ1125" s="496" t="s">
        <v>8</v>
      </c>
      <c r="DR1125" s="496" t="s">
        <v>689</v>
      </c>
      <c r="DS1125" s="496" t="s">
        <v>3303</v>
      </c>
      <c r="DT1125" s="496" t="s">
        <v>3303</v>
      </c>
      <c r="DU1125" s="496" t="s">
        <v>1554</v>
      </c>
      <c r="DV1125" s="496" t="s">
        <v>1555</v>
      </c>
      <c r="DW1125" s="496" t="s">
        <v>1981</v>
      </c>
      <c r="DX1125" s="497" t="s">
        <v>1982</v>
      </c>
      <c r="DZ1125" s="543">
        <v>1</v>
      </c>
      <c r="EB1125" s="493"/>
      <c r="EC1125" s="493"/>
    </row>
    <row r="1126" spans="119:133" ht="21" customHeight="1">
      <c r="DO1126" s="494"/>
      <c r="DP1126" s="496" t="s">
        <v>3304</v>
      </c>
      <c r="DQ1126" s="496" t="s">
        <v>8</v>
      </c>
      <c r="DR1126" s="496" t="s">
        <v>689</v>
      </c>
      <c r="DS1126" s="496" t="s">
        <v>3305</v>
      </c>
      <c r="DT1126" s="496" t="s">
        <v>3305</v>
      </c>
      <c r="DU1126" s="496" t="s">
        <v>1554</v>
      </c>
      <c r="DV1126" s="496" t="s">
        <v>1555</v>
      </c>
      <c r="DW1126" s="496" t="s">
        <v>1981</v>
      </c>
      <c r="DX1126" s="497" t="s">
        <v>1982</v>
      </c>
      <c r="DZ1126" s="543">
        <v>1</v>
      </c>
      <c r="EB1126" s="493"/>
      <c r="EC1126" s="493"/>
    </row>
    <row r="1127" spans="119:133" ht="21" customHeight="1">
      <c r="DO1127" s="494"/>
      <c r="DP1127" s="496" t="s">
        <v>3306</v>
      </c>
      <c r="DQ1127" s="496" t="s">
        <v>8</v>
      </c>
      <c r="DR1127" s="496" t="s">
        <v>689</v>
      </c>
      <c r="DS1127" s="496" t="s">
        <v>3307</v>
      </c>
      <c r="DT1127" s="496" t="s">
        <v>3307</v>
      </c>
      <c r="DU1127" s="496" t="s">
        <v>1554</v>
      </c>
      <c r="DV1127" s="496" t="s">
        <v>1555</v>
      </c>
      <c r="DW1127" s="496" t="s">
        <v>1981</v>
      </c>
      <c r="DX1127" s="497" t="s">
        <v>1982</v>
      </c>
      <c r="DZ1127" s="543">
        <v>1</v>
      </c>
      <c r="EB1127" s="493"/>
      <c r="EC1127" s="493"/>
    </row>
    <row r="1128" spans="119:133" ht="21" customHeight="1">
      <c r="DO1128" s="494"/>
      <c r="DP1128" s="496" t="s">
        <v>3308</v>
      </c>
      <c r="DQ1128" s="496" t="s">
        <v>8</v>
      </c>
      <c r="DR1128" s="496" t="s">
        <v>689</v>
      </c>
      <c r="DS1128" s="496" t="s">
        <v>3309</v>
      </c>
      <c r="DT1128" s="496" t="s">
        <v>3309</v>
      </c>
      <c r="DU1128" s="496" t="s">
        <v>1554</v>
      </c>
      <c r="DV1128" s="496" t="s">
        <v>1555</v>
      </c>
      <c r="DW1128" s="496" t="s">
        <v>1981</v>
      </c>
      <c r="DX1128" s="497" t="s">
        <v>1982</v>
      </c>
      <c r="DZ1128" s="543">
        <v>1</v>
      </c>
      <c r="EB1128" s="493"/>
      <c r="EC1128" s="493"/>
    </row>
    <row r="1129" spans="119:133" ht="21" customHeight="1">
      <c r="DO1129" s="494"/>
      <c r="DP1129" s="496" t="s">
        <v>3310</v>
      </c>
      <c r="DQ1129" s="496" t="s">
        <v>8</v>
      </c>
      <c r="DR1129" s="496" t="s">
        <v>689</v>
      </c>
      <c r="DS1129" s="496" t="s">
        <v>3311</v>
      </c>
      <c r="DT1129" s="496" t="s">
        <v>3311</v>
      </c>
      <c r="DU1129" s="496" t="s">
        <v>1554</v>
      </c>
      <c r="DV1129" s="496" t="s">
        <v>1555</v>
      </c>
      <c r="DW1129" s="496" t="s">
        <v>1981</v>
      </c>
      <c r="DX1129" s="497" t="s">
        <v>1982</v>
      </c>
      <c r="DZ1129" s="543">
        <v>1</v>
      </c>
      <c r="EB1129" s="493"/>
      <c r="EC1129" s="493"/>
    </row>
    <row r="1130" spans="119:133" ht="21" customHeight="1">
      <c r="DO1130" s="494"/>
      <c r="DP1130" s="496" t="s">
        <v>3312</v>
      </c>
      <c r="DQ1130" s="496" t="s">
        <v>8</v>
      </c>
      <c r="DR1130" s="496" t="s">
        <v>689</v>
      </c>
      <c r="DS1130" s="496" t="s">
        <v>3313</v>
      </c>
      <c r="DT1130" s="496" t="s">
        <v>3313</v>
      </c>
      <c r="DU1130" s="496" t="s">
        <v>1554</v>
      </c>
      <c r="DV1130" s="496" t="s">
        <v>1555</v>
      </c>
      <c r="DW1130" s="496" t="s">
        <v>1981</v>
      </c>
      <c r="DX1130" s="497" t="s">
        <v>1982</v>
      </c>
      <c r="DZ1130" s="543">
        <v>1</v>
      </c>
      <c r="EB1130" s="493"/>
      <c r="EC1130" s="493"/>
    </row>
    <row r="1131" spans="119:133" ht="21" customHeight="1">
      <c r="DO1131" s="494"/>
      <c r="DP1131" s="496" t="s">
        <v>3314</v>
      </c>
      <c r="DQ1131" s="496" t="s">
        <v>8</v>
      </c>
      <c r="DR1131" s="496" t="s">
        <v>689</v>
      </c>
      <c r="DS1131" s="496" t="s">
        <v>3315</v>
      </c>
      <c r="DT1131" s="496" t="s">
        <v>3315</v>
      </c>
      <c r="DU1131" s="496" t="s">
        <v>1554</v>
      </c>
      <c r="DV1131" s="496" t="s">
        <v>1555</v>
      </c>
      <c r="DW1131" s="496" t="s">
        <v>1981</v>
      </c>
      <c r="DX1131" s="497" t="s">
        <v>1982</v>
      </c>
      <c r="DZ1131" s="543">
        <v>1</v>
      </c>
      <c r="EB1131" s="493"/>
      <c r="EC1131" s="493"/>
    </row>
    <row r="1132" spans="119:133" ht="21" customHeight="1">
      <c r="DO1132" s="494"/>
      <c r="DP1132" s="496" t="s">
        <v>3316</v>
      </c>
      <c r="DQ1132" s="496" t="s">
        <v>8</v>
      </c>
      <c r="DR1132" s="496" t="s">
        <v>689</v>
      </c>
      <c r="DS1132" s="496" t="s">
        <v>3317</v>
      </c>
      <c r="DT1132" s="496" t="s">
        <v>3317</v>
      </c>
      <c r="DU1132" s="496" t="s">
        <v>1554</v>
      </c>
      <c r="DV1132" s="496" t="s">
        <v>1555</v>
      </c>
      <c r="DW1132" s="496" t="s">
        <v>1981</v>
      </c>
      <c r="DX1132" s="497" t="s">
        <v>1982</v>
      </c>
      <c r="DZ1132" s="543">
        <v>1</v>
      </c>
      <c r="EB1132" s="493"/>
      <c r="EC1132" s="493"/>
    </row>
    <row r="1133" spans="119:133" ht="21" customHeight="1">
      <c r="DO1133" s="494"/>
      <c r="DP1133" s="496" t="s">
        <v>3318</v>
      </c>
      <c r="DQ1133" s="496" t="s">
        <v>8</v>
      </c>
      <c r="DR1133" s="496" t="s">
        <v>689</v>
      </c>
      <c r="DS1133" s="496" t="s">
        <v>3319</v>
      </c>
      <c r="DT1133" s="496" t="s">
        <v>3319</v>
      </c>
      <c r="DU1133" s="496" t="s">
        <v>1554</v>
      </c>
      <c r="DV1133" s="496" t="s">
        <v>1555</v>
      </c>
      <c r="DW1133" s="496" t="s">
        <v>1981</v>
      </c>
      <c r="DX1133" s="497" t="s">
        <v>1982</v>
      </c>
      <c r="DZ1133" s="543">
        <v>1</v>
      </c>
      <c r="EB1133" s="493"/>
      <c r="EC1133" s="493"/>
    </row>
    <row r="1134" spans="119:133" ht="21" customHeight="1">
      <c r="DO1134" s="494"/>
      <c r="DP1134" s="496" t="s">
        <v>3320</v>
      </c>
      <c r="DQ1134" s="496" t="s">
        <v>8</v>
      </c>
      <c r="DR1134" s="496" t="s">
        <v>689</v>
      </c>
      <c r="DS1134" s="496" t="s">
        <v>3321</v>
      </c>
      <c r="DT1134" s="496" t="s">
        <v>3321</v>
      </c>
      <c r="DU1134" s="496" t="s">
        <v>1554</v>
      </c>
      <c r="DV1134" s="496" t="s">
        <v>1555</v>
      </c>
      <c r="DW1134" s="496" t="s">
        <v>1981</v>
      </c>
      <c r="DX1134" s="497" t="s">
        <v>1982</v>
      </c>
      <c r="DZ1134" s="543">
        <v>1</v>
      </c>
      <c r="EB1134" s="493"/>
      <c r="EC1134" s="493"/>
    </row>
    <row r="1135" spans="119:133" ht="21" customHeight="1">
      <c r="DO1135" s="494"/>
      <c r="DP1135" s="496" t="s">
        <v>3322</v>
      </c>
      <c r="DQ1135" s="496" t="s">
        <v>8</v>
      </c>
      <c r="DR1135" s="496" t="s">
        <v>689</v>
      </c>
      <c r="DS1135" s="496" t="s">
        <v>3323</v>
      </c>
      <c r="DT1135" s="496" t="s">
        <v>3323</v>
      </c>
      <c r="DU1135" s="496" t="s">
        <v>1554</v>
      </c>
      <c r="DV1135" s="496" t="s">
        <v>1555</v>
      </c>
      <c r="DW1135" s="496" t="s">
        <v>1981</v>
      </c>
      <c r="DX1135" s="497" t="s">
        <v>1982</v>
      </c>
      <c r="DZ1135" s="543">
        <v>1</v>
      </c>
      <c r="EB1135" s="493"/>
      <c r="EC1135" s="493"/>
    </row>
    <row r="1136" spans="119:133" ht="21" customHeight="1">
      <c r="DO1136" s="494"/>
      <c r="DP1136" s="496" t="s">
        <v>3324</v>
      </c>
      <c r="DQ1136" s="496" t="s">
        <v>8</v>
      </c>
      <c r="DR1136" s="496" t="s">
        <v>689</v>
      </c>
      <c r="DS1136" s="496" t="s">
        <v>3325</v>
      </c>
      <c r="DT1136" s="496" t="s">
        <v>3325</v>
      </c>
      <c r="DU1136" s="496" t="s">
        <v>1554</v>
      </c>
      <c r="DV1136" s="496" t="s">
        <v>1555</v>
      </c>
      <c r="DW1136" s="496" t="s">
        <v>1981</v>
      </c>
      <c r="DX1136" s="497" t="s">
        <v>1982</v>
      </c>
      <c r="DZ1136" s="543">
        <v>1</v>
      </c>
      <c r="EB1136" s="493"/>
      <c r="EC1136" s="493"/>
    </row>
    <row r="1137" spans="119:133" ht="21" customHeight="1">
      <c r="DO1137" s="494"/>
      <c r="DP1137" s="496" t="s">
        <v>3326</v>
      </c>
      <c r="DQ1137" s="496" t="s">
        <v>8</v>
      </c>
      <c r="DR1137" s="496" t="s">
        <v>689</v>
      </c>
      <c r="DS1137" s="496" t="s">
        <v>3327</v>
      </c>
      <c r="DT1137" s="496" t="s">
        <v>3327</v>
      </c>
      <c r="DU1137" s="496" t="s">
        <v>1554</v>
      </c>
      <c r="DV1137" s="496" t="s">
        <v>1555</v>
      </c>
      <c r="DW1137" s="496" t="s">
        <v>1981</v>
      </c>
      <c r="DX1137" s="497" t="s">
        <v>1982</v>
      </c>
      <c r="DZ1137" s="543">
        <v>1</v>
      </c>
      <c r="EB1137" s="493"/>
      <c r="EC1137" s="493"/>
    </row>
    <row r="1138" spans="119:133" ht="21" customHeight="1">
      <c r="DO1138" s="494"/>
      <c r="DP1138" s="496" t="s">
        <v>3328</v>
      </c>
      <c r="DQ1138" s="496" t="s">
        <v>8</v>
      </c>
      <c r="DR1138" s="496" t="s">
        <v>689</v>
      </c>
      <c r="DS1138" s="496" t="s">
        <v>3329</v>
      </c>
      <c r="DT1138" s="496" t="s">
        <v>3329</v>
      </c>
      <c r="DU1138" s="496" t="s">
        <v>1554</v>
      </c>
      <c r="DV1138" s="496" t="s">
        <v>1555</v>
      </c>
      <c r="DW1138" s="496" t="s">
        <v>1981</v>
      </c>
      <c r="DX1138" s="497" t="s">
        <v>1982</v>
      </c>
      <c r="DZ1138" s="543">
        <v>1</v>
      </c>
      <c r="EB1138" s="493"/>
      <c r="EC1138" s="493"/>
    </row>
    <row r="1139" spans="119:133" ht="21" customHeight="1">
      <c r="DO1139" s="494"/>
      <c r="DP1139" s="496" t="s">
        <v>3330</v>
      </c>
      <c r="DQ1139" s="496" t="s">
        <v>8</v>
      </c>
      <c r="DR1139" s="496" t="s">
        <v>689</v>
      </c>
      <c r="DS1139" s="496" t="s">
        <v>3331</v>
      </c>
      <c r="DT1139" s="496" t="s">
        <v>3331</v>
      </c>
      <c r="DU1139" s="496" t="s">
        <v>1554</v>
      </c>
      <c r="DV1139" s="496" t="s">
        <v>1555</v>
      </c>
      <c r="DW1139" s="496" t="s">
        <v>1981</v>
      </c>
      <c r="DX1139" s="497" t="s">
        <v>1982</v>
      </c>
      <c r="DZ1139" s="543">
        <v>1</v>
      </c>
      <c r="EB1139" s="493"/>
      <c r="EC1139" s="493"/>
    </row>
    <row r="1140" spans="119:133" ht="21" customHeight="1">
      <c r="DO1140" s="494"/>
      <c r="DP1140" s="496" t="s">
        <v>3332</v>
      </c>
      <c r="DQ1140" s="496" t="s">
        <v>8</v>
      </c>
      <c r="DR1140" s="496" t="s">
        <v>689</v>
      </c>
      <c r="DS1140" s="496" t="s">
        <v>3333</v>
      </c>
      <c r="DT1140" s="496" t="s">
        <v>3333</v>
      </c>
      <c r="DU1140" s="496" t="s">
        <v>1554</v>
      </c>
      <c r="DV1140" s="496" t="s">
        <v>1555</v>
      </c>
      <c r="DW1140" s="496" t="s">
        <v>1981</v>
      </c>
      <c r="DX1140" s="497" t="s">
        <v>1982</v>
      </c>
      <c r="DZ1140" s="543">
        <v>1</v>
      </c>
      <c r="EB1140" s="493"/>
      <c r="EC1140" s="493"/>
    </row>
    <row r="1141" spans="119:133" ht="21" customHeight="1">
      <c r="DO1141" s="494"/>
      <c r="DP1141" s="496" t="s">
        <v>3334</v>
      </c>
      <c r="DQ1141" s="496" t="s">
        <v>8</v>
      </c>
      <c r="DR1141" s="496" t="s">
        <v>689</v>
      </c>
      <c r="DS1141" s="496" t="s">
        <v>3335</v>
      </c>
      <c r="DT1141" s="496" t="s">
        <v>3335</v>
      </c>
      <c r="DU1141" s="496" t="s">
        <v>1554</v>
      </c>
      <c r="DV1141" s="496" t="s">
        <v>1555</v>
      </c>
      <c r="DW1141" s="496" t="s">
        <v>1981</v>
      </c>
      <c r="DX1141" s="497" t="s">
        <v>1982</v>
      </c>
      <c r="DZ1141" s="543">
        <v>1</v>
      </c>
      <c r="EB1141" s="493"/>
      <c r="EC1141" s="493"/>
    </row>
    <row r="1142" spans="119:133" ht="21" customHeight="1">
      <c r="DO1142" s="494"/>
      <c r="DP1142" s="496" t="s">
        <v>3336</v>
      </c>
      <c r="DQ1142" s="496" t="s">
        <v>8</v>
      </c>
      <c r="DR1142" s="496" t="s">
        <v>689</v>
      </c>
      <c r="DS1142" s="496" t="s">
        <v>3337</v>
      </c>
      <c r="DT1142" s="496" t="s">
        <v>3337</v>
      </c>
      <c r="DU1142" s="496" t="s">
        <v>1554</v>
      </c>
      <c r="DV1142" s="496" t="s">
        <v>1555</v>
      </c>
      <c r="DW1142" s="496" t="s">
        <v>1981</v>
      </c>
      <c r="DX1142" s="497" t="s">
        <v>1982</v>
      </c>
      <c r="DZ1142" s="543">
        <v>1</v>
      </c>
      <c r="EB1142" s="493"/>
      <c r="EC1142" s="493"/>
    </row>
    <row r="1143" spans="119:133" ht="21" customHeight="1">
      <c r="DO1143" s="494"/>
      <c r="DP1143" s="496" t="s">
        <v>3338</v>
      </c>
      <c r="DQ1143" s="496" t="s">
        <v>8</v>
      </c>
      <c r="DR1143" s="496" t="s">
        <v>689</v>
      </c>
      <c r="DS1143" s="496" t="s">
        <v>3339</v>
      </c>
      <c r="DT1143" s="496" t="s">
        <v>3339</v>
      </c>
      <c r="DU1143" s="496" t="s">
        <v>1554</v>
      </c>
      <c r="DV1143" s="496" t="s">
        <v>1555</v>
      </c>
      <c r="DW1143" s="496" t="s">
        <v>1981</v>
      </c>
      <c r="DX1143" s="497" t="s">
        <v>1982</v>
      </c>
      <c r="DZ1143" s="543">
        <v>1</v>
      </c>
      <c r="EB1143" s="493"/>
      <c r="EC1143" s="493"/>
    </row>
    <row r="1144" spans="119:133" ht="21" customHeight="1">
      <c r="DO1144" s="494"/>
      <c r="DP1144" s="496" t="s">
        <v>3340</v>
      </c>
      <c r="DQ1144" s="496" t="s">
        <v>8</v>
      </c>
      <c r="DR1144" s="496" t="s">
        <v>689</v>
      </c>
      <c r="DS1144" s="496" t="s">
        <v>3341</v>
      </c>
      <c r="DT1144" s="496" t="s">
        <v>3341</v>
      </c>
      <c r="DU1144" s="496" t="s">
        <v>1554</v>
      </c>
      <c r="DV1144" s="496" t="s">
        <v>1555</v>
      </c>
      <c r="DW1144" s="496" t="s">
        <v>1981</v>
      </c>
      <c r="DX1144" s="497" t="s">
        <v>1982</v>
      </c>
      <c r="DZ1144" s="543">
        <v>1</v>
      </c>
      <c r="EB1144" s="493"/>
      <c r="EC1144" s="493"/>
    </row>
    <row r="1145" spans="119:133" ht="21" customHeight="1">
      <c r="DO1145" s="494"/>
      <c r="DP1145" s="496" t="s">
        <v>3342</v>
      </c>
      <c r="DQ1145" s="496" t="s">
        <v>8</v>
      </c>
      <c r="DR1145" s="496" t="s">
        <v>689</v>
      </c>
      <c r="DS1145" s="496" t="s">
        <v>3343</v>
      </c>
      <c r="DT1145" s="496" t="s">
        <v>3343</v>
      </c>
      <c r="DU1145" s="496" t="s">
        <v>1554</v>
      </c>
      <c r="DV1145" s="496" t="s">
        <v>1555</v>
      </c>
      <c r="DW1145" s="496" t="s">
        <v>1981</v>
      </c>
      <c r="DX1145" s="497" t="s">
        <v>1982</v>
      </c>
      <c r="DZ1145" s="543">
        <v>1</v>
      </c>
      <c r="EB1145" s="493"/>
      <c r="EC1145" s="493"/>
    </row>
    <row r="1146" spans="119:133" ht="21" customHeight="1">
      <c r="DO1146" s="494"/>
      <c r="DP1146" s="496" t="s">
        <v>3344</v>
      </c>
      <c r="DQ1146" s="496" t="s">
        <v>8</v>
      </c>
      <c r="DR1146" s="496" t="s">
        <v>689</v>
      </c>
      <c r="DS1146" s="496" t="s">
        <v>3345</v>
      </c>
      <c r="DT1146" s="496" t="s">
        <v>3345</v>
      </c>
      <c r="DU1146" s="496" t="s">
        <v>1554</v>
      </c>
      <c r="DV1146" s="496" t="s">
        <v>1555</v>
      </c>
      <c r="DW1146" s="496" t="s">
        <v>1981</v>
      </c>
      <c r="DX1146" s="497" t="s">
        <v>1982</v>
      </c>
      <c r="DZ1146" s="543">
        <v>1</v>
      </c>
      <c r="EB1146" s="493"/>
      <c r="EC1146" s="493"/>
    </row>
    <row r="1147" spans="119:133" ht="21" customHeight="1">
      <c r="DO1147" s="494"/>
      <c r="DP1147" s="496" t="s">
        <v>3346</v>
      </c>
      <c r="DQ1147" s="496" t="s">
        <v>8</v>
      </c>
      <c r="DR1147" s="496" t="s">
        <v>689</v>
      </c>
      <c r="DS1147" s="496" t="s">
        <v>3347</v>
      </c>
      <c r="DT1147" s="496" t="s">
        <v>3347</v>
      </c>
      <c r="DU1147" s="496" t="s">
        <v>1554</v>
      </c>
      <c r="DV1147" s="496" t="s">
        <v>1555</v>
      </c>
      <c r="DW1147" s="496" t="s">
        <v>1981</v>
      </c>
      <c r="DX1147" s="497" t="s">
        <v>1982</v>
      </c>
      <c r="DZ1147" s="543">
        <v>1</v>
      </c>
      <c r="EB1147" s="493"/>
      <c r="EC1147" s="493"/>
    </row>
    <row r="1148" spans="119:133" ht="21" customHeight="1">
      <c r="DO1148" s="494"/>
      <c r="DP1148" s="496" t="s">
        <v>3348</v>
      </c>
      <c r="DQ1148" s="496" t="s">
        <v>8</v>
      </c>
      <c r="DR1148" s="496" t="s">
        <v>689</v>
      </c>
      <c r="DS1148" s="496" t="s">
        <v>3349</v>
      </c>
      <c r="DT1148" s="496" t="s">
        <v>3349</v>
      </c>
      <c r="DU1148" s="496" t="s">
        <v>1554</v>
      </c>
      <c r="DV1148" s="496" t="s">
        <v>1555</v>
      </c>
      <c r="DW1148" s="496" t="s">
        <v>1981</v>
      </c>
      <c r="DX1148" s="497" t="s">
        <v>1982</v>
      </c>
      <c r="DZ1148" s="543">
        <v>1</v>
      </c>
      <c r="EB1148" s="493"/>
      <c r="EC1148" s="493"/>
    </row>
    <row r="1149" spans="119:133" ht="21" customHeight="1">
      <c r="DO1149" s="494"/>
      <c r="DP1149" s="496" t="s">
        <v>3350</v>
      </c>
      <c r="DQ1149" s="496" t="s">
        <v>8</v>
      </c>
      <c r="DR1149" s="496" t="s">
        <v>689</v>
      </c>
      <c r="DS1149" s="496" t="s">
        <v>3351</v>
      </c>
      <c r="DT1149" s="496" t="s">
        <v>3351</v>
      </c>
      <c r="DU1149" s="496" t="s">
        <v>1554</v>
      </c>
      <c r="DV1149" s="496" t="s">
        <v>1555</v>
      </c>
      <c r="DW1149" s="496" t="s">
        <v>1981</v>
      </c>
      <c r="DX1149" s="497" t="s">
        <v>1982</v>
      </c>
      <c r="DZ1149" s="543">
        <v>1</v>
      </c>
      <c r="EB1149" s="493"/>
      <c r="EC1149" s="493"/>
    </row>
    <row r="1150" spans="119:133" ht="21" customHeight="1">
      <c r="DO1150" s="494"/>
      <c r="DP1150" s="496" t="s">
        <v>3352</v>
      </c>
      <c r="DQ1150" s="496" t="s">
        <v>8</v>
      </c>
      <c r="DR1150" s="496" t="s">
        <v>689</v>
      </c>
      <c r="DS1150" s="496" t="s">
        <v>3353</v>
      </c>
      <c r="DT1150" s="496" t="s">
        <v>3353</v>
      </c>
      <c r="DU1150" s="496" t="s">
        <v>1554</v>
      </c>
      <c r="DV1150" s="496" t="s">
        <v>1555</v>
      </c>
      <c r="DW1150" s="496" t="s">
        <v>1981</v>
      </c>
      <c r="DX1150" s="497" t="s">
        <v>1982</v>
      </c>
      <c r="DZ1150" s="543">
        <v>1</v>
      </c>
      <c r="EB1150" s="493"/>
      <c r="EC1150" s="493"/>
    </row>
    <row r="1151" spans="119:133" ht="21" customHeight="1">
      <c r="DO1151" s="494"/>
      <c r="DP1151" s="496" t="s">
        <v>3354</v>
      </c>
      <c r="DQ1151" s="496" t="s">
        <v>8</v>
      </c>
      <c r="DR1151" s="496" t="s">
        <v>689</v>
      </c>
      <c r="DS1151" s="496" t="s">
        <v>3355</v>
      </c>
      <c r="DT1151" s="496" t="s">
        <v>3355</v>
      </c>
      <c r="DU1151" s="496" t="s">
        <v>1554</v>
      </c>
      <c r="DV1151" s="496" t="s">
        <v>1555</v>
      </c>
      <c r="DW1151" s="496" t="s">
        <v>1981</v>
      </c>
      <c r="DX1151" s="497" t="s">
        <v>1982</v>
      </c>
      <c r="DZ1151" s="543">
        <v>1</v>
      </c>
      <c r="EB1151" s="493"/>
      <c r="EC1151" s="493"/>
    </row>
    <row r="1152" spans="119:133" ht="21" customHeight="1">
      <c r="DO1152" s="494"/>
      <c r="DP1152" s="496" t="s">
        <v>3356</v>
      </c>
      <c r="DQ1152" s="496" t="s">
        <v>8</v>
      </c>
      <c r="DR1152" s="496" t="s">
        <v>689</v>
      </c>
      <c r="DS1152" s="496" t="s">
        <v>3357</v>
      </c>
      <c r="DT1152" s="496" t="s">
        <v>3357</v>
      </c>
      <c r="DU1152" s="496" t="s">
        <v>1554</v>
      </c>
      <c r="DV1152" s="496" t="s">
        <v>1555</v>
      </c>
      <c r="DW1152" s="496" t="s">
        <v>1981</v>
      </c>
      <c r="DX1152" s="497" t="s">
        <v>1982</v>
      </c>
      <c r="DZ1152" s="543">
        <v>1</v>
      </c>
      <c r="EB1152" s="493"/>
      <c r="EC1152" s="493"/>
    </row>
    <row r="1153" spans="119:133" ht="21" customHeight="1">
      <c r="DO1153" s="494"/>
      <c r="DP1153" s="496" t="s">
        <v>3358</v>
      </c>
      <c r="DQ1153" s="496" t="s">
        <v>8</v>
      </c>
      <c r="DR1153" s="496" t="s">
        <v>689</v>
      </c>
      <c r="DS1153" s="496" t="s">
        <v>3359</v>
      </c>
      <c r="DT1153" s="496" t="s">
        <v>3359</v>
      </c>
      <c r="DU1153" s="496" t="s">
        <v>1554</v>
      </c>
      <c r="DV1153" s="496" t="s">
        <v>1555</v>
      </c>
      <c r="DW1153" s="496" t="s">
        <v>1981</v>
      </c>
      <c r="DX1153" s="497" t="s">
        <v>1982</v>
      </c>
      <c r="DZ1153" s="543">
        <v>1</v>
      </c>
      <c r="EB1153" s="493"/>
      <c r="EC1153" s="493"/>
    </row>
    <row r="1154" spans="119:133" ht="21" customHeight="1">
      <c r="DO1154" s="494"/>
      <c r="DP1154" s="496" t="s">
        <v>3360</v>
      </c>
      <c r="DQ1154" s="496" t="s">
        <v>8</v>
      </c>
      <c r="DR1154" s="496" t="s">
        <v>689</v>
      </c>
      <c r="DS1154" s="496" t="s">
        <v>3361</v>
      </c>
      <c r="DT1154" s="496" t="s">
        <v>3361</v>
      </c>
      <c r="DU1154" s="496" t="s">
        <v>1554</v>
      </c>
      <c r="DV1154" s="496" t="s">
        <v>1555</v>
      </c>
      <c r="DW1154" s="496" t="s">
        <v>1981</v>
      </c>
      <c r="DX1154" s="497" t="s">
        <v>1982</v>
      </c>
      <c r="DZ1154" s="543">
        <v>1</v>
      </c>
      <c r="EB1154" s="493"/>
      <c r="EC1154" s="493"/>
    </row>
    <row r="1155" spans="119:133" ht="21" customHeight="1">
      <c r="DO1155" s="494"/>
      <c r="DP1155" s="496" t="s">
        <v>3362</v>
      </c>
      <c r="DQ1155" s="496" t="s">
        <v>8</v>
      </c>
      <c r="DR1155" s="496" t="s">
        <v>689</v>
      </c>
      <c r="DS1155" s="496" t="s">
        <v>3363</v>
      </c>
      <c r="DT1155" s="496" t="s">
        <v>3363</v>
      </c>
      <c r="DU1155" s="496" t="s">
        <v>1554</v>
      </c>
      <c r="DV1155" s="496" t="s">
        <v>1555</v>
      </c>
      <c r="DW1155" s="496" t="s">
        <v>1981</v>
      </c>
      <c r="DX1155" s="497" t="s">
        <v>1982</v>
      </c>
      <c r="DZ1155" s="543">
        <v>1</v>
      </c>
      <c r="EB1155" s="493"/>
      <c r="EC1155" s="493"/>
    </row>
    <row r="1156" spans="119:133" ht="21" customHeight="1">
      <c r="DO1156" s="494"/>
      <c r="DP1156" s="496" t="s">
        <v>3364</v>
      </c>
      <c r="DQ1156" s="496" t="s">
        <v>8</v>
      </c>
      <c r="DR1156" s="496" t="s">
        <v>689</v>
      </c>
      <c r="DS1156" s="496" t="s">
        <v>3365</v>
      </c>
      <c r="DT1156" s="496" t="s">
        <v>3365</v>
      </c>
      <c r="DU1156" s="496" t="s">
        <v>1554</v>
      </c>
      <c r="DV1156" s="496" t="s">
        <v>1555</v>
      </c>
      <c r="DW1156" s="496" t="s">
        <v>1981</v>
      </c>
      <c r="DX1156" s="497" t="s">
        <v>1982</v>
      </c>
      <c r="DZ1156" s="543">
        <v>1</v>
      </c>
      <c r="EB1156" s="493"/>
      <c r="EC1156" s="493"/>
    </row>
    <row r="1157" spans="119:133" ht="21" customHeight="1">
      <c r="DO1157" s="494"/>
      <c r="DP1157" s="496" t="s">
        <v>3366</v>
      </c>
      <c r="DQ1157" s="496" t="s">
        <v>8</v>
      </c>
      <c r="DR1157" s="496" t="s">
        <v>689</v>
      </c>
      <c r="DS1157" s="496" t="s">
        <v>3367</v>
      </c>
      <c r="DT1157" s="496" t="s">
        <v>3367</v>
      </c>
      <c r="DU1157" s="496" t="s">
        <v>1554</v>
      </c>
      <c r="DV1157" s="496" t="s">
        <v>1555</v>
      </c>
      <c r="DW1157" s="496" t="s">
        <v>1981</v>
      </c>
      <c r="DX1157" s="497" t="s">
        <v>1982</v>
      </c>
      <c r="DZ1157" s="543">
        <v>1</v>
      </c>
      <c r="EB1157" s="493"/>
      <c r="EC1157" s="493"/>
    </row>
    <row r="1158" spans="119:133" ht="21" customHeight="1">
      <c r="DO1158" s="494"/>
      <c r="DP1158" s="496" t="s">
        <v>3368</v>
      </c>
      <c r="DQ1158" s="496" t="s">
        <v>8</v>
      </c>
      <c r="DR1158" s="496" t="s">
        <v>689</v>
      </c>
      <c r="DS1158" s="496" t="s">
        <v>3369</v>
      </c>
      <c r="DT1158" s="496" t="s">
        <v>3369</v>
      </c>
      <c r="DU1158" s="496" t="s">
        <v>1554</v>
      </c>
      <c r="DV1158" s="496" t="s">
        <v>1555</v>
      </c>
      <c r="DW1158" s="496" t="s">
        <v>1981</v>
      </c>
      <c r="DX1158" s="497" t="s">
        <v>1982</v>
      </c>
      <c r="DZ1158" s="543">
        <v>1</v>
      </c>
      <c r="EB1158" s="493"/>
      <c r="EC1158" s="493"/>
    </row>
    <row r="1159" spans="119:133" ht="21" customHeight="1">
      <c r="DO1159" s="494"/>
      <c r="DP1159" s="496" t="s">
        <v>3370</v>
      </c>
      <c r="DQ1159" s="496" t="s">
        <v>8</v>
      </c>
      <c r="DR1159" s="496" t="s">
        <v>689</v>
      </c>
      <c r="DS1159" s="496" t="s">
        <v>1046</v>
      </c>
      <c r="DT1159" s="496" t="s">
        <v>1046</v>
      </c>
      <c r="DU1159" s="496" t="s">
        <v>1085</v>
      </c>
      <c r="DV1159" s="496" t="s">
        <v>2063</v>
      </c>
      <c r="DW1159" s="496" t="s">
        <v>1087</v>
      </c>
      <c r="DX1159" s="497" t="s">
        <v>1088</v>
      </c>
      <c r="DZ1159" s="543">
        <v>1</v>
      </c>
      <c r="EB1159" s="493"/>
      <c r="EC1159" s="493"/>
    </row>
    <row r="1160" spans="119:133" ht="21" customHeight="1">
      <c r="DO1160" s="494"/>
      <c r="DP1160" s="496" t="s">
        <v>3371</v>
      </c>
      <c r="DQ1160" s="496" t="s">
        <v>8</v>
      </c>
      <c r="DR1160" s="496" t="s">
        <v>689</v>
      </c>
      <c r="DS1160" s="496" t="s">
        <v>3372</v>
      </c>
      <c r="DT1160" s="496" t="s">
        <v>3372</v>
      </c>
      <c r="DU1160" s="496" t="s">
        <v>1554</v>
      </c>
      <c r="DV1160" s="496" t="s">
        <v>1555</v>
      </c>
      <c r="DW1160" s="496" t="s">
        <v>1981</v>
      </c>
      <c r="DX1160" s="497" t="s">
        <v>1982</v>
      </c>
      <c r="DZ1160" s="543">
        <v>1</v>
      </c>
      <c r="EB1160" s="493"/>
      <c r="EC1160" s="493"/>
    </row>
    <row r="1161" spans="119:133" ht="21" customHeight="1">
      <c r="DO1161" s="494"/>
      <c r="DP1161" s="496" t="s">
        <v>3373</v>
      </c>
      <c r="DQ1161" s="496" t="s">
        <v>8</v>
      </c>
      <c r="DR1161" s="496" t="s">
        <v>689</v>
      </c>
      <c r="DS1161" s="496" t="s">
        <v>3374</v>
      </c>
      <c r="DT1161" s="496" t="s">
        <v>3374</v>
      </c>
      <c r="DU1161" s="496" t="s">
        <v>1554</v>
      </c>
      <c r="DV1161" s="496" t="s">
        <v>1555</v>
      </c>
      <c r="DW1161" s="496" t="s">
        <v>1981</v>
      </c>
      <c r="DX1161" s="497" t="s">
        <v>1982</v>
      </c>
      <c r="DZ1161" s="543">
        <v>1</v>
      </c>
      <c r="EB1161" s="493"/>
      <c r="EC1161" s="493"/>
    </row>
    <row r="1162" spans="119:133" ht="21" customHeight="1">
      <c r="DO1162" s="494"/>
      <c r="DP1162" s="496" t="s">
        <v>3375</v>
      </c>
      <c r="DQ1162" s="496" t="s">
        <v>8</v>
      </c>
      <c r="DR1162" s="496" t="s">
        <v>689</v>
      </c>
      <c r="DS1162" s="496" t="s">
        <v>3376</v>
      </c>
      <c r="DT1162" s="496" t="s">
        <v>3376</v>
      </c>
      <c r="DU1162" s="496" t="s">
        <v>1554</v>
      </c>
      <c r="DV1162" s="496" t="s">
        <v>1555</v>
      </c>
      <c r="DW1162" s="496" t="s">
        <v>1981</v>
      </c>
      <c r="DX1162" s="497" t="s">
        <v>1982</v>
      </c>
      <c r="DZ1162" s="543">
        <v>1</v>
      </c>
      <c r="EB1162" s="493"/>
      <c r="EC1162" s="493"/>
    </row>
    <row r="1163" spans="119:133" ht="21" customHeight="1">
      <c r="DO1163" s="494"/>
      <c r="DP1163" s="496" t="s">
        <v>3377</v>
      </c>
      <c r="DQ1163" s="496" t="s">
        <v>8</v>
      </c>
      <c r="DR1163" s="496" t="s">
        <v>689</v>
      </c>
      <c r="DS1163" s="496" t="s">
        <v>3378</v>
      </c>
      <c r="DT1163" s="496" t="s">
        <v>3378</v>
      </c>
      <c r="DU1163" s="496" t="s">
        <v>1554</v>
      </c>
      <c r="DV1163" s="496" t="s">
        <v>1555</v>
      </c>
      <c r="DW1163" s="496" t="s">
        <v>1981</v>
      </c>
      <c r="DX1163" s="497" t="s">
        <v>1982</v>
      </c>
      <c r="DZ1163" s="543">
        <v>1</v>
      </c>
      <c r="EB1163" s="493"/>
      <c r="EC1163" s="493"/>
    </row>
    <row r="1164" spans="119:133" ht="21" customHeight="1">
      <c r="DO1164" s="494"/>
      <c r="DP1164" s="496" t="s">
        <v>3379</v>
      </c>
      <c r="DQ1164" s="496" t="s">
        <v>8</v>
      </c>
      <c r="DR1164" s="496" t="s">
        <v>689</v>
      </c>
      <c r="DS1164" s="496" t="s">
        <v>1047</v>
      </c>
      <c r="DT1164" s="496" t="s">
        <v>1047</v>
      </c>
      <c r="DU1164" s="496" t="s">
        <v>1554</v>
      </c>
      <c r="DV1164" s="496" t="s">
        <v>1555</v>
      </c>
      <c r="DW1164" s="496" t="s">
        <v>1981</v>
      </c>
      <c r="DX1164" s="497" t="s">
        <v>1982</v>
      </c>
      <c r="DZ1164" s="543">
        <v>1</v>
      </c>
      <c r="EB1164" s="493"/>
      <c r="EC1164" s="493"/>
    </row>
    <row r="1165" spans="119:133" ht="21" customHeight="1">
      <c r="DO1165" s="494"/>
      <c r="DP1165" s="496" t="s">
        <v>3380</v>
      </c>
      <c r="DQ1165" s="496" t="s">
        <v>8</v>
      </c>
      <c r="DR1165" s="496" t="s">
        <v>689</v>
      </c>
      <c r="DS1165" s="496" t="s">
        <v>1048</v>
      </c>
      <c r="DT1165" s="496" t="s">
        <v>1048</v>
      </c>
      <c r="DU1165" s="496" t="s">
        <v>1554</v>
      </c>
      <c r="DV1165" s="496" t="s">
        <v>1555</v>
      </c>
      <c r="DW1165" s="496" t="s">
        <v>1981</v>
      </c>
      <c r="DX1165" s="497" t="s">
        <v>1982</v>
      </c>
      <c r="DZ1165" s="543">
        <v>1</v>
      </c>
      <c r="EB1165" s="493"/>
      <c r="EC1165" s="493"/>
    </row>
    <row r="1166" spans="119:133" ht="21" customHeight="1">
      <c r="DO1166" s="494"/>
      <c r="DP1166" s="496" t="s">
        <v>3381</v>
      </c>
      <c r="DQ1166" s="496" t="s">
        <v>8</v>
      </c>
      <c r="DR1166" s="496" t="s">
        <v>689</v>
      </c>
      <c r="DS1166" s="496" t="s">
        <v>3382</v>
      </c>
      <c r="DT1166" s="496" t="s">
        <v>3382</v>
      </c>
      <c r="DU1166" s="496" t="s">
        <v>1554</v>
      </c>
      <c r="DV1166" s="496" t="s">
        <v>1555</v>
      </c>
      <c r="DW1166" s="496" t="s">
        <v>1981</v>
      </c>
      <c r="DX1166" s="497" t="s">
        <v>1982</v>
      </c>
      <c r="DZ1166" s="543">
        <v>1</v>
      </c>
      <c r="EB1166" s="493"/>
      <c r="EC1166" s="493"/>
    </row>
    <row r="1167" spans="119:133" ht="21" customHeight="1">
      <c r="DO1167" s="494"/>
      <c r="DP1167" s="496" t="s">
        <v>3383</v>
      </c>
      <c r="DQ1167" s="496" t="s">
        <v>8</v>
      </c>
      <c r="DR1167" s="496" t="s">
        <v>689</v>
      </c>
      <c r="DS1167" s="496" t="s">
        <v>3384</v>
      </c>
      <c r="DT1167" s="496" t="s">
        <v>3384</v>
      </c>
      <c r="DU1167" s="496" t="s">
        <v>1554</v>
      </c>
      <c r="DV1167" s="496" t="s">
        <v>1555</v>
      </c>
      <c r="DW1167" s="496" t="s">
        <v>1981</v>
      </c>
      <c r="DX1167" s="497" t="s">
        <v>1982</v>
      </c>
      <c r="DZ1167" s="543">
        <v>1</v>
      </c>
      <c r="EB1167" s="493"/>
      <c r="EC1167" s="493"/>
    </row>
    <row r="1168" spans="119:133" ht="21" customHeight="1">
      <c r="DO1168" s="494"/>
      <c r="DP1168" s="496" t="s">
        <v>3385</v>
      </c>
      <c r="DQ1168" s="496" t="s">
        <v>8</v>
      </c>
      <c r="DR1168" s="496" t="s">
        <v>689</v>
      </c>
      <c r="DS1168" s="496" t="s">
        <v>3386</v>
      </c>
      <c r="DT1168" s="496" t="s">
        <v>3386</v>
      </c>
      <c r="DU1168" s="496" t="s">
        <v>1554</v>
      </c>
      <c r="DV1168" s="496" t="s">
        <v>1555</v>
      </c>
      <c r="DW1168" s="496" t="s">
        <v>1981</v>
      </c>
      <c r="DX1168" s="497" t="s">
        <v>1982</v>
      </c>
      <c r="DZ1168" s="543">
        <v>1</v>
      </c>
      <c r="EB1168" s="493"/>
      <c r="EC1168" s="493"/>
    </row>
    <row r="1169" spans="119:133" ht="21" customHeight="1">
      <c r="DO1169" s="494"/>
      <c r="DP1169" s="496" t="s">
        <v>3387</v>
      </c>
      <c r="DQ1169" s="496" t="s">
        <v>8</v>
      </c>
      <c r="DR1169" s="496" t="s">
        <v>689</v>
      </c>
      <c r="DS1169" s="496" t="s">
        <v>3388</v>
      </c>
      <c r="DT1169" s="496" t="s">
        <v>3388</v>
      </c>
      <c r="DU1169" s="496" t="s">
        <v>1554</v>
      </c>
      <c r="DV1169" s="496" t="s">
        <v>1555</v>
      </c>
      <c r="DW1169" s="496" t="s">
        <v>1981</v>
      </c>
      <c r="DX1169" s="497" t="s">
        <v>1982</v>
      </c>
      <c r="DZ1169" s="543">
        <v>1</v>
      </c>
      <c r="EB1169" s="493"/>
      <c r="EC1169" s="493"/>
    </row>
    <row r="1170" spans="119:133" ht="21" customHeight="1">
      <c r="DO1170" s="494"/>
      <c r="DP1170" s="496" t="s">
        <v>3389</v>
      </c>
      <c r="DQ1170" s="496" t="s">
        <v>8</v>
      </c>
      <c r="DR1170" s="496" t="s">
        <v>689</v>
      </c>
      <c r="DS1170" s="496" t="s">
        <v>3390</v>
      </c>
      <c r="DT1170" s="496" t="s">
        <v>3390</v>
      </c>
      <c r="DU1170" s="496" t="s">
        <v>1554</v>
      </c>
      <c r="DV1170" s="496" t="s">
        <v>1555</v>
      </c>
      <c r="DW1170" s="496" t="s">
        <v>1981</v>
      </c>
      <c r="DX1170" s="497" t="s">
        <v>1982</v>
      </c>
      <c r="DZ1170" s="543">
        <v>1</v>
      </c>
      <c r="EB1170" s="493"/>
      <c r="EC1170" s="493"/>
    </row>
    <row r="1171" spans="119:133" ht="21" customHeight="1">
      <c r="DO1171" s="494"/>
      <c r="DP1171" s="496" t="s">
        <v>3391</v>
      </c>
      <c r="DQ1171" s="496" t="s">
        <v>8</v>
      </c>
      <c r="DR1171" s="496" t="s">
        <v>689</v>
      </c>
      <c r="DS1171" s="496" t="s">
        <v>3392</v>
      </c>
      <c r="DT1171" s="496" t="s">
        <v>3392</v>
      </c>
      <c r="DU1171" s="496" t="s">
        <v>1554</v>
      </c>
      <c r="DV1171" s="496" t="s">
        <v>1555</v>
      </c>
      <c r="DW1171" s="496" t="s">
        <v>1981</v>
      </c>
      <c r="DX1171" s="497" t="s">
        <v>1982</v>
      </c>
      <c r="DZ1171" s="543">
        <v>1</v>
      </c>
      <c r="EB1171" s="493"/>
      <c r="EC1171" s="493"/>
    </row>
    <row r="1172" spans="119:133" ht="21" customHeight="1">
      <c r="DO1172" s="494"/>
      <c r="DP1172" s="496" t="s">
        <v>3393</v>
      </c>
      <c r="DQ1172" s="496" t="s">
        <v>8</v>
      </c>
      <c r="DR1172" s="496" t="s">
        <v>689</v>
      </c>
      <c r="DS1172" s="496" t="s">
        <v>3394</v>
      </c>
      <c r="DT1172" s="496" t="s">
        <v>3394</v>
      </c>
      <c r="DU1172" s="496" t="s">
        <v>1554</v>
      </c>
      <c r="DV1172" s="496" t="s">
        <v>1555</v>
      </c>
      <c r="DW1172" s="496" t="s">
        <v>1981</v>
      </c>
      <c r="DX1172" s="497" t="s">
        <v>1982</v>
      </c>
      <c r="DZ1172" s="543">
        <v>1</v>
      </c>
      <c r="EB1172" s="493"/>
      <c r="EC1172" s="493"/>
    </row>
    <row r="1173" spans="119:133" ht="21" customHeight="1">
      <c r="DO1173" s="494"/>
      <c r="DP1173" s="496" t="s">
        <v>3395</v>
      </c>
      <c r="DQ1173" s="496" t="s">
        <v>8</v>
      </c>
      <c r="DR1173" s="496" t="s">
        <v>689</v>
      </c>
      <c r="DS1173" s="496" t="s">
        <v>3396</v>
      </c>
      <c r="DT1173" s="496" t="s">
        <v>3396</v>
      </c>
      <c r="DU1173" s="496" t="s">
        <v>1554</v>
      </c>
      <c r="DV1173" s="496" t="s">
        <v>1555</v>
      </c>
      <c r="DW1173" s="496" t="s">
        <v>1981</v>
      </c>
      <c r="DX1173" s="497" t="s">
        <v>1982</v>
      </c>
      <c r="DZ1173" s="543">
        <v>1</v>
      </c>
      <c r="EB1173" s="493"/>
      <c r="EC1173" s="493"/>
    </row>
    <row r="1174" spans="119:133" ht="21" customHeight="1">
      <c r="DO1174" s="494"/>
      <c r="DP1174" s="496" t="s">
        <v>3397</v>
      </c>
      <c r="DQ1174" s="496" t="s">
        <v>8</v>
      </c>
      <c r="DR1174" s="496" t="s">
        <v>689</v>
      </c>
      <c r="DS1174" s="496" t="s">
        <v>3398</v>
      </c>
      <c r="DT1174" s="496" t="s">
        <v>3398</v>
      </c>
      <c r="DU1174" s="496" t="s">
        <v>1554</v>
      </c>
      <c r="DV1174" s="496" t="s">
        <v>1555</v>
      </c>
      <c r="DW1174" s="496" t="s">
        <v>1981</v>
      </c>
      <c r="DX1174" s="497" t="s">
        <v>1982</v>
      </c>
      <c r="DZ1174" s="543">
        <v>1</v>
      </c>
      <c r="EB1174" s="493"/>
      <c r="EC1174" s="493"/>
    </row>
    <row r="1175" spans="119:133" ht="21" customHeight="1">
      <c r="DO1175" s="494"/>
      <c r="DP1175" s="496" t="s">
        <v>3399</v>
      </c>
      <c r="DQ1175" s="496" t="s">
        <v>8</v>
      </c>
      <c r="DR1175" s="496" t="s">
        <v>689</v>
      </c>
      <c r="DS1175" s="496" t="s">
        <v>3400</v>
      </c>
      <c r="DT1175" s="496" t="s">
        <v>3400</v>
      </c>
      <c r="DU1175" s="496" t="s">
        <v>1554</v>
      </c>
      <c r="DV1175" s="496" t="s">
        <v>1555</v>
      </c>
      <c r="DW1175" s="496" t="s">
        <v>1981</v>
      </c>
      <c r="DX1175" s="497" t="s">
        <v>1982</v>
      </c>
      <c r="DZ1175" s="543">
        <v>1</v>
      </c>
      <c r="EB1175" s="493"/>
      <c r="EC1175" s="493"/>
    </row>
    <row r="1176" spans="119:133" ht="21" customHeight="1">
      <c r="DO1176" s="494"/>
      <c r="DP1176" s="496" t="s">
        <v>3401</v>
      </c>
      <c r="DQ1176" s="496" t="s">
        <v>8</v>
      </c>
      <c r="DR1176" s="496" t="s">
        <v>689</v>
      </c>
      <c r="DS1176" s="496" t="s">
        <v>3402</v>
      </c>
      <c r="DT1176" s="496" t="s">
        <v>3402</v>
      </c>
      <c r="DU1176" s="496" t="s">
        <v>1554</v>
      </c>
      <c r="DV1176" s="496" t="s">
        <v>1555</v>
      </c>
      <c r="DW1176" s="496" t="s">
        <v>1981</v>
      </c>
      <c r="DX1176" s="497" t="s">
        <v>1982</v>
      </c>
      <c r="DZ1176" s="543">
        <v>1</v>
      </c>
      <c r="EB1176" s="493"/>
      <c r="EC1176" s="493"/>
    </row>
    <row r="1177" spans="119:133" ht="21" customHeight="1">
      <c r="DO1177" s="494"/>
      <c r="DP1177" s="496" t="s">
        <v>3403</v>
      </c>
      <c r="DQ1177" s="496" t="s">
        <v>8</v>
      </c>
      <c r="DR1177" s="496" t="s">
        <v>689</v>
      </c>
      <c r="DS1177" s="496" t="s">
        <v>3404</v>
      </c>
      <c r="DT1177" s="496" t="s">
        <v>3404</v>
      </c>
      <c r="DU1177" s="496" t="s">
        <v>1554</v>
      </c>
      <c r="DV1177" s="496" t="s">
        <v>1555</v>
      </c>
      <c r="DW1177" s="496" t="s">
        <v>1981</v>
      </c>
      <c r="DX1177" s="497" t="s">
        <v>1982</v>
      </c>
      <c r="DZ1177" s="543">
        <v>1</v>
      </c>
      <c r="EB1177" s="493"/>
      <c r="EC1177" s="493"/>
    </row>
    <row r="1178" spans="119:133" ht="21" customHeight="1">
      <c r="DO1178" s="494"/>
      <c r="DP1178" s="496" t="s">
        <v>3405</v>
      </c>
      <c r="DQ1178" s="496" t="s">
        <v>8</v>
      </c>
      <c r="DR1178" s="496" t="s">
        <v>689</v>
      </c>
      <c r="DS1178" s="496" t="s">
        <v>3406</v>
      </c>
      <c r="DT1178" s="496" t="s">
        <v>3406</v>
      </c>
      <c r="DU1178" s="496" t="s">
        <v>1554</v>
      </c>
      <c r="DV1178" s="496" t="s">
        <v>1555</v>
      </c>
      <c r="DW1178" s="496" t="s">
        <v>1981</v>
      </c>
      <c r="DX1178" s="497" t="s">
        <v>1982</v>
      </c>
      <c r="DZ1178" s="543">
        <v>1</v>
      </c>
      <c r="EB1178" s="493"/>
      <c r="EC1178" s="493"/>
    </row>
    <row r="1179" spans="119:133" ht="21" customHeight="1">
      <c r="DO1179" s="494"/>
      <c r="DP1179" s="496" t="s">
        <v>3407</v>
      </c>
      <c r="DQ1179" s="496" t="s">
        <v>8</v>
      </c>
      <c r="DR1179" s="496" t="s">
        <v>689</v>
      </c>
      <c r="DS1179" s="496" t="s">
        <v>3408</v>
      </c>
      <c r="DT1179" s="496" t="s">
        <v>3408</v>
      </c>
      <c r="DU1179" s="496" t="s">
        <v>1554</v>
      </c>
      <c r="DV1179" s="496" t="s">
        <v>1555</v>
      </c>
      <c r="DW1179" s="496" t="s">
        <v>1981</v>
      </c>
      <c r="DX1179" s="497" t="s">
        <v>1982</v>
      </c>
      <c r="DZ1179" s="543">
        <v>1</v>
      </c>
      <c r="EB1179" s="493"/>
      <c r="EC1179" s="493"/>
    </row>
    <row r="1180" spans="119:133" ht="21" customHeight="1">
      <c r="DO1180" s="494"/>
      <c r="DP1180" s="496" t="s">
        <v>3409</v>
      </c>
      <c r="DQ1180" s="496" t="s">
        <v>8</v>
      </c>
      <c r="DR1180" s="496" t="s">
        <v>689</v>
      </c>
      <c r="DS1180" s="496" t="s">
        <v>3410</v>
      </c>
      <c r="DT1180" s="496" t="s">
        <v>3410</v>
      </c>
      <c r="DU1180" s="496" t="s">
        <v>1554</v>
      </c>
      <c r="DV1180" s="496" t="s">
        <v>1555</v>
      </c>
      <c r="DW1180" s="496" t="s">
        <v>1981</v>
      </c>
      <c r="DX1180" s="497" t="s">
        <v>1982</v>
      </c>
      <c r="DZ1180" s="543">
        <v>1</v>
      </c>
      <c r="EB1180" s="493"/>
      <c r="EC1180" s="493"/>
    </row>
    <row r="1181" spans="119:133" ht="21" customHeight="1">
      <c r="DO1181" s="494"/>
      <c r="DP1181" s="496" t="s">
        <v>3411</v>
      </c>
      <c r="DQ1181" s="496" t="s">
        <v>8</v>
      </c>
      <c r="DR1181" s="496" t="s">
        <v>689</v>
      </c>
      <c r="DS1181" s="496" t="s">
        <v>1049</v>
      </c>
      <c r="DT1181" s="496" t="s">
        <v>1049</v>
      </c>
      <c r="DU1181" s="496" t="s">
        <v>1554</v>
      </c>
      <c r="DV1181" s="496" t="s">
        <v>1555</v>
      </c>
      <c r="DW1181" s="496" t="s">
        <v>1981</v>
      </c>
      <c r="DX1181" s="497" t="s">
        <v>1982</v>
      </c>
      <c r="DZ1181" s="543">
        <v>1</v>
      </c>
      <c r="EB1181" s="493"/>
      <c r="EC1181" s="493"/>
    </row>
    <row r="1182" spans="119:133" ht="21" customHeight="1">
      <c r="DO1182" s="494"/>
      <c r="DP1182" s="496" t="s">
        <v>3412</v>
      </c>
      <c r="DQ1182" s="496" t="s">
        <v>8</v>
      </c>
      <c r="DR1182" s="496" t="s">
        <v>689</v>
      </c>
      <c r="DS1182" s="496" t="s">
        <v>3413</v>
      </c>
      <c r="DT1182" s="496" t="s">
        <v>3413</v>
      </c>
      <c r="DU1182" s="496" t="s">
        <v>1554</v>
      </c>
      <c r="DV1182" s="496" t="s">
        <v>1555</v>
      </c>
      <c r="DW1182" s="496" t="s">
        <v>1981</v>
      </c>
      <c r="DX1182" s="497" t="s">
        <v>1982</v>
      </c>
      <c r="DZ1182" s="543">
        <v>1</v>
      </c>
      <c r="EB1182" s="493"/>
      <c r="EC1182" s="493"/>
    </row>
    <row r="1183" spans="119:133" ht="21" customHeight="1">
      <c r="DO1183" s="494"/>
      <c r="DP1183" s="496" t="s">
        <v>3414</v>
      </c>
      <c r="DQ1183" s="496" t="s">
        <v>8</v>
      </c>
      <c r="DR1183" s="496" t="s">
        <v>689</v>
      </c>
      <c r="DS1183" s="496" t="s">
        <v>362</v>
      </c>
      <c r="DT1183" s="496" t="s">
        <v>362</v>
      </c>
      <c r="DU1183" s="496" t="s">
        <v>1151</v>
      </c>
      <c r="DV1183" s="496" t="s">
        <v>1152</v>
      </c>
      <c r="DW1183" s="496" t="s">
        <v>1087</v>
      </c>
      <c r="DX1183" s="497" t="s">
        <v>1153</v>
      </c>
      <c r="DZ1183" s="543">
        <v>1</v>
      </c>
      <c r="EB1183" s="493"/>
      <c r="EC1183" s="493"/>
    </row>
    <row r="1184" spans="119:133" ht="21" customHeight="1">
      <c r="DO1184" s="494"/>
      <c r="DP1184" s="496" t="s">
        <v>3415</v>
      </c>
      <c r="DQ1184" s="496" t="s">
        <v>8</v>
      </c>
      <c r="DR1184" s="496" t="s">
        <v>689</v>
      </c>
      <c r="DS1184" s="496" t="s">
        <v>1050</v>
      </c>
      <c r="DT1184" s="496" t="s">
        <v>1050</v>
      </c>
      <c r="DU1184" s="496" t="s">
        <v>1554</v>
      </c>
      <c r="DV1184" s="496" t="s">
        <v>1555</v>
      </c>
      <c r="DW1184" s="496" t="s">
        <v>1981</v>
      </c>
      <c r="DX1184" s="497" t="s">
        <v>1982</v>
      </c>
      <c r="DZ1184" s="543">
        <v>1</v>
      </c>
      <c r="EB1184" s="493"/>
      <c r="EC1184" s="493"/>
    </row>
    <row r="1185" spans="119:133" ht="21" customHeight="1">
      <c r="DO1185" s="494"/>
      <c r="DP1185" s="496" t="s">
        <v>3416</v>
      </c>
      <c r="DQ1185" s="496" t="s">
        <v>8</v>
      </c>
      <c r="DR1185" s="496" t="s">
        <v>689</v>
      </c>
      <c r="DS1185" s="496" t="s">
        <v>3417</v>
      </c>
      <c r="DT1185" s="496" t="s">
        <v>3417</v>
      </c>
      <c r="DU1185" s="496" t="s">
        <v>1554</v>
      </c>
      <c r="DV1185" s="496" t="s">
        <v>1555</v>
      </c>
      <c r="DW1185" s="496" t="s">
        <v>1981</v>
      </c>
      <c r="DX1185" s="497" t="s">
        <v>1982</v>
      </c>
      <c r="DZ1185" s="543">
        <v>1</v>
      </c>
      <c r="EB1185" s="493"/>
      <c r="EC1185" s="493"/>
    </row>
    <row r="1186" spans="119:133" ht="21" customHeight="1">
      <c r="DO1186" s="494"/>
      <c r="DP1186" s="496" t="s">
        <v>3418</v>
      </c>
      <c r="DQ1186" s="496" t="s">
        <v>8</v>
      </c>
      <c r="DR1186" s="496" t="s">
        <v>689</v>
      </c>
      <c r="DS1186" s="496" t="s">
        <v>3419</v>
      </c>
      <c r="DT1186" s="496" t="s">
        <v>3419</v>
      </c>
      <c r="DU1186" s="496" t="s">
        <v>1554</v>
      </c>
      <c r="DV1186" s="496" t="s">
        <v>1555</v>
      </c>
      <c r="DW1186" s="496" t="s">
        <v>1981</v>
      </c>
      <c r="DX1186" s="497" t="s">
        <v>1982</v>
      </c>
      <c r="DZ1186" s="543">
        <v>1</v>
      </c>
      <c r="EB1186" s="493"/>
      <c r="EC1186" s="493"/>
    </row>
    <row r="1187" spans="119:133" ht="21" customHeight="1">
      <c r="DO1187" s="494"/>
      <c r="DP1187" s="496" t="s">
        <v>3420</v>
      </c>
      <c r="DQ1187" s="496" t="s">
        <v>8</v>
      </c>
      <c r="DR1187" s="496" t="s">
        <v>689</v>
      </c>
      <c r="DS1187" s="496" t="s">
        <v>3421</v>
      </c>
      <c r="DT1187" s="496" t="s">
        <v>3421</v>
      </c>
      <c r="DU1187" s="496" t="s">
        <v>1554</v>
      </c>
      <c r="DV1187" s="496" t="s">
        <v>1555</v>
      </c>
      <c r="DW1187" s="496" t="s">
        <v>1981</v>
      </c>
      <c r="DX1187" s="497" t="s">
        <v>1982</v>
      </c>
      <c r="DZ1187" s="543">
        <v>1</v>
      </c>
      <c r="EB1187" s="493"/>
      <c r="EC1187" s="493"/>
    </row>
    <row r="1188" spans="119:133" ht="21" customHeight="1">
      <c r="DO1188" s="494"/>
      <c r="DP1188" s="496" t="s">
        <v>3422</v>
      </c>
      <c r="DQ1188" s="496" t="s">
        <v>8</v>
      </c>
      <c r="DR1188" s="496" t="s">
        <v>689</v>
      </c>
      <c r="DS1188" s="496" t="s">
        <v>3423</v>
      </c>
      <c r="DT1188" s="496" t="s">
        <v>3423</v>
      </c>
      <c r="DU1188" s="496" t="s">
        <v>1554</v>
      </c>
      <c r="DV1188" s="496" t="s">
        <v>1555</v>
      </c>
      <c r="DW1188" s="496" t="s">
        <v>1981</v>
      </c>
      <c r="DX1188" s="497" t="s">
        <v>1982</v>
      </c>
      <c r="DZ1188" s="543">
        <v>1</v>
      </c>
      <c r="EB1188" s="493"/>
      <c r="EC1188" s="493"/>
    </row>
    <row r="1189" spans="119:133" ht="21" customHeight="1">
      <c r="DO1189" s="494"/>
      <c r="DP1189" s="496" t="s">
        <v>3424</v>
      </c>
      <c r="DQ1189" s="496" t="s">
        <v>8</v>
      </c>
      <c r="DR1189" s="496" t="s">
        <v>689</v>
      </c>
      <c r="DS1189" s="496" t="s">
        <v>3425</v>
      </c>
      <c r="DT1189" s="496" t="s">
        <v>3425</v>
      </c>
      <c r="DU1189" s="496" t="s">
        <v>1554</v>
      </c>
      <c r="DV1189" s="496" t="s">
        <v>1555</v>
      </c>
      <c r="DW1189" s="496" t="s">
        <v>1981</v>
      </c>
      <c r="DX1189" s="497" t="s">
        <v>1982</v>
      </c>
      <c r="DZ1189" s="543">
        <v>1</v>
      </c>
      <c r="EB1189" s="493"/>
      <c r="EC1189" s="493"/>
    </row>
    <row r="1190" spans="119:133" ht="21" customHeight="1">
      <c r="DO1190" s="494"/>
      <c r="DP1190" s="496" t="s">
        <v>3426</v>
      </c>
      <c r="DQ1190" s="496" t="s">
        <v>8</v>
      </c>
      <c r="DR1190" s="496" t="s">
        <v>689</v>
      </c>
      <c r="DS1190" s="496" t="s">
        <v>3427</v>
      </c>
      <c r="DT1190" s="496" t="s">
        <v>3427</v>
      </c>
      <c r="DU1190" s="496" t="s">
        <v>1554</v>
      </c>
      <c r="DV1190" s="496" t="s">
        <v>1555</v>
      </c>
      <c r="DW1190" s="496" t="s">
        <v>1981</v>
      </c>
      <c r="DX1190" s="497" t="s">
        <v>1982</v>
      </c>
      <c r="DZ1190" s="543">
        <v>1</v>
      </c>
      <c r="EB1190" s="493"/>
      <c r="EC1190" s="493"/>
    </row>
    <row r="1191" spans="119:133" ht="21" customHeight="1">
      <c r="DO1191" s="494"/>
      <c r="DP1191" s="496" t="s">
        <v>3428</v>
      </c>
      <c r="DQ1191" s="496" t="s">
        <v>8</v>
      </c>
      <c r="DR1191" s="496" t="s">
        <v>689</v>
      </c>
      <c r="DS1191" s="496" t="s">
        <v>107</v>
      </c>
      <c r="DT1191" s="496" t="s">
        <v>107</v>
      </c>
      <c r="DU1191" s="496" t="s">
        <v>1554</v>
      </c>
      <c r="DV1191" s="496" t="s">
        <v>1555</v>
      </c>
      <c r="DW1191" s="496" t="s">
        <v>1981</v>
      </c>
      <c r="DX1191" s="497" t="s">
        <v>1982</v>
      </c>
      <c r="DZ1191" s="543">
        <v>1</v>
      </c>
      <c r="EB1191" s="493"/>
      <c r="EC1191" s="493"/>
    </row>
    <row r="1192" spans="119:133" ht="21" customHeight="1">
      <c r="DO1192" s="494"/>
      <c r="DP1192" s="496" t="s">
        <v>3429</v>
      </c>
      <c r="DQ1192" s="496" t="s">
        <v>8</v>
      </c>
      <c r="DR1192" s="496" t="s">
        <v>689</v>
      </c>
      <c r="DS1192" s="496" t="s">
        <v>3430</v>
      </c>
      <c r="DT1192" s="496" t="s">
        <v>3430</v>
      </c>
      <c r="DU1192" s="496" t="s">
        <v>1554</v>
      </c>
      <c r="DV1192" s="496" t="s">
        <v>1555</v>
      </c>
      <c r="DW1192" s="496" t="s">
        <v>1981</v>
      </c>
      <c r="DX1192" s="497" t="s">
        <v>1982</v>
      </c>
      <c r="DZ1192" s="543">
        <v>1</v>
      </c>
      <c r="EB1192" s="493"/>
      <c r="EC1192" s="493"/>
    </row>
    <row r="1193" spans="119:133" ht="21" customHeight="1">
      <c r="DO1193" s="494"/>
      <c r="DP1193" s="496" t="s">
        <v>3431</v>
      </c>
      <c r="DQ1193" s="496" t="s">
        <v>8</v>
      </c>
      <c r="DR1193" s="496" t="s">
        <v>689</v>
      </c>
      <c r="DS1193" s="496" t="s">
        <v>3432</v>
      </c>
      <c r="DT1193" s="496" t="s">
        <v>3432</v>
      </c>
      <c r="DU1193" s="496" t="s">
        <v>1554</v>
      </c>
      <c r="DV1193" s="496" t="s">
        <v>1555</v>
      </c>
      <c r="DW1193" s="496" t="s">
        <v>1981</v>
      </c>
      <c r="DX1193" s="497" t="s">
        <v>1982</v>
      </c>
      <c r="DZ1193" s="543">
        <v>1</v>
      </c>
      <c r="EB1193" s="493"/>
      <c r="EC1193" s="493"/>
    </row>
    <row r="1194" spans="119:133" ht="21" customHeight="1">
      <c r="DO1194" s="494"/>
      <c r="DP1194" s="496" t="s">
        <v>3433</v>
      </c>
      <c r="DQ1194" s="496" t="s">
        <v>8</v>
      </c>
      <c r="DR1194" s="496" t="s">
        <v>689</v>
      </c>
      <c r="DS1194" s="496" t="s">
        <v>121</v>
      </c>
      <c r="DT1194" s="496" t="s">
        <v>121</v>
      </c>
      <c r="DU1194" s="496" t="s">
        <v>1151</v>
      </c>
      <c r="DV1194" s="496" t="s">
        <v>1152</v>
      </c>
      <c r="DW1194" s="496" t="s">
        <v>1087</v>
      </c>
      <c r="DX1194" s="497" t="s">
        <v>1153</v>
      </c>
      <c r="DZ1194" s="543">
        <v>1</v>
      </c>
      <c r="EB1194" s="493"/>
      <c r="EC1194" s="493"/>
    </row>
    <row r="1195" spans="119:133" ht="21" customHeight="1">
      <c r="DO1195" s="494"/>
      <c r="DP1195" s="496" t="s">
        <v>3434</v>
      </c>
      <c r="DQ1195" s="496" t="s">
        <v>8</v>
      </c>
      <c r="DR1195" s="496" t="s">
        <v>689</v>
      </c>
      <c r="DS1195" s="496" t="s">
        <v>3435</v>
      </c>
      <c r="DT1195" s="496" t="s">
        <v>3435</v>
      </c>
      <c r="DU1195" s="496" t="s">
        <v>1554</v>
      </c>
      <c r="DV1195" s="496" t="s">
        <v>1555</v>
      </c>
      <c r="DW1195" s="496" t="s">
        <v>1981</v>
      </c>
      <c r="DX1195" s="497" t="s">
        <v>1982</v>
      </c>
      <c r="DZ1195" s="543">
        <v>1</v>
      </c>
      <c r="EB1195" s="493"/>
      <c r="EC1195" s="493"/>
    </row>
    <row r="1196" spans="119:133" ht="21" customHeight="1">
      <c r="DO1196" s="494"/>
      <c r="DP1196" s="496" t="s">
        <v>3436</v>
      </c>
      <c r="DQ1196" s="496" t="s">
        <v>8</v>
      </c>
      <c r="DR1196" s="496" t="s">
        <v>689</v>
      </c>
      <c r="DS1196" s="496" t="s">
        <v>3437</v>
      </c>
      <c r="DT1196" s="496" t="s">
        <v>3437</v>
      </c>
      <c r="DU1196" s="496" t="s">
        <v>1554</v>
      </c>
      <c r="DV1196" s="496" t="s">
        <v>1555</v>
      </c>
      <c r="DW1196" s="496" t="s">
        <v>1981</v>
      </c>
      <c r="DX1196" s="497" t="s">
        <v>1982</v>
      </c>
      <c r="DZ1196" s="543">
        <v>1</v>
      </c>
      <c r="EB1196" s="493"/>
      <c r="EC1196" s="493"/>
    </row>
    <row r="1197" spans="119:133" ht="21" customHeight="1">
      <c r="DO1197" s="494"/>
      <c r="DP1197" s="496" t="s">
        <v>3438</v>
      </c>
      <c r="DQ1197" s="496" t="s">
        <v>8</v>
      </c>
      <c r="DR1197" s="496" t="s">
        <v>689</v>
      </c>
      <c r="DS1197" s="496" t="s">
        <v>3439</v>
      </c>
      <c r="DT1197" s="496" t="s">
        <v>3439</v>
      </c>
      <c r="DU1197" s="496" t="s">
        <v>1554</v>
      </c>
      <c r="DV1197" s="496" t="s">
        <v>1555</v>
      </c>
      <c r="DW1197" s="496" t="s">
        <v>1981</v>
      </c>
      <c r="DX1197" s="497" t="s">
        <v>1982</v>
      </c>
      <c r="DZ1197" s="543">
        <v>1</v>
      </c>
      <c r="EB1197" s="493"/>
      <c r="EC1197" s="493"/>
    </row>
    <row r="1198" spans="119:133" ht="21" customHeight="1">
      <c r="DO1198" s="494"/>
      <c r="DP1198" s="496" t="s">
        <v>3440</v>
      </c>
      <c r="DQ1198" s="496" t="s">
        <v>8</v>
      </c>
      <c r="DR1198" s="496" t="s">
        <v>689</v>
      </c>
      <c r="DS1198" s="496" t="s">
        <v>3441</v>
      </c>
      <c r="DT1198" s="496" t="s">
        <v>3441</v>
      </c>
      <c r="DU1198" s="496" t="s">
        <v>1554</v>
      </c>
      <c r="DV1198" s="496" t="s">
        <v>1555</v>
      </c>
      <c r="DW1198" s="496" t="s">
        <v>1981</v>
      </c>
      <c r="DX1198" s="497" t="s">
        <v>1982</v>
      </c>
      <c r="DZ1198" s="543">
        <v>1</v>
      </c>
      <c r="EB1198" s="493"/>
      <c r="EC1198" s="493"/>
    </row>
    <row r="1199" spans="119:133" ht="21" customHeight="1">
      <c r="DO1199" s="494"/>
      <c r="DP1199" s="496" t="s">
        <v>3442</v>
      </c>
      <c r="DQ1199" s="496" t="s">
        <v>8</v>
      </c>
      <c r="DR1199" s="496" t="s">
        <v>689</v>
      </c>
      <c r="DS1199" s="496" t="s">
        <v>3443</v>
      </c>
      <c r="DT1199" s="496" t="s">
        <v>3443</v>
      </c>
      <c r="DU1199" s="496" t="s">
        <v>1554</v>
      </c>
      <c r="DV1199" s="496" t="s">
        <v>1555</v>
      </c>
      <c r="DW1199" s="496" t="s">
        <v>1981</v>
      </c>
      <c r="DX1199" s="497" t="s">
        <v>1982</v>
      </c>
      <c r="DZ1199" s="543">
        <v>1</v>
      </c>
      <c r="EB1199" s="493"/>
      <c r="EC1199" s="493"/>
    </row>
    <row r="1200" spans="119:133" ht="21" customHeight="1">
      <c r="DO1200" s="494"/>
      <c r="DP1200" s="496" t="s">
        <v>3444</v>
      </c>
      <c r="DQ1200" s="496" t="s">
        <v>8</v>
      </c>
      <c r="DR1200" s="496" t="s">
        <v>689</v>
      </c>
      <c r="DS1200" s="496" t="s">
        <v>3445</v>
      </c>
      <c r="DT1200" s="496" t="s">
        <v>3445</v>
      </c>
      <c r="DU1200" s="496" t="s">
        <v>1554</v>
      </c>
      <c r="DV1200" s="496" t="s">
        <v>1555</v>
      </c>
      <c r="DW1200" s="496" t="s">
        <v>1981</v>
      </c>
      <c r="DX1200" s="497" t="s">
        <v>1982</v>
      </c>
      <c r="DZ1200" s="543">
        <v>1</v>
      </c>
      <c r="EB1200" s="493"/>
      <c r="EC1200" s="493"/>
    </row>
    <row r="1201" spans="119:133" ht="21" customHeight="1">
      <c r="DO1201" s="494"/>
      <c r="DP1201" s="496" t="s">
        <v>3446</v>
      </c>
      <c r="DQ1201" s="496" t="s">
        <v>8</v>
      </c>
      <c r="DR1201" s="496" t="s">
        <v>689</v>
      </c>
      <c r="DS1201" s="496" t="s">
        <v>1051</v>
      </c>
      <c r="DT1201" s="496" t="s">
        <v>1051</v>
      </c>
      <c r="DU1201" s="496" t="s">
        <v>1085</v>
      </c>
      <c r="DV1201" s="496" t="s">
        <v>2063</v>
      </c>
      <c r="DW1201" s="496" t="s">
        <v>1087</v>
      </c>
      <c r="DX1201" s="497" t="s">
        <v>1088</v>
      </c>
      <c r="DZ1201" s="543">
        <v>1</v>
      </c>
      <c r="EB1201" s="493"/>
      <c r="EC1201" s="493"/>
    </row>
    <row r="1202" spans="119:133" ht="21" customHeight="1">
      <c r="DO1202" s="494"/>
      <c r="DP1202" s="496" t="s">
        <v>3447</v>
      </c>
      <c r="DQ1202" s="496" t="s">
        <v>8</v>
      </c>
      <c r="DR1202" s="496" t="s">
        <v>689</v>
      </c>
      <c r="DS1202" s="496" t="s">
        <v>1052</v>
      </c>
      <c r="DT1202" s="496" t="s">
        <v>1052</v>
      </c>
      <c r="DU1202" s="496" t="s">
        <v>1085</v>
      </c>
      <c r="DV1202" s="496" t="s">
        <v>2063</v>
      </c>
      <c r="DW1202" s="496" t="s">
        <v>1087</v>
      </c>
      <c r="DX1202" s="497" t="s">
        <v>1088</v>
      </c>
      <c r="DZ1202" s="543">
        <v>1</v>
      </c>
      <c r="EB1202" s="493"/>
      <c r="EC1202" s="493"/>
    </row>
    <row r="1203" spans="119:133" ht="21" customHeight="1">
      <c r="DO1203" s="494"/>
      <c r="DP1203" s="496" t="s">
        <v>3448</v>
      </c>
      <c r="DQ1203" s="496" t="s">
        <v>8</v>
      </c>
      <c r="DR1203" s="496" t="s">
        <v>689</v>
      </c>
      <c r="DS1203" s="496" t="s">
        <v>57</v>
      </c>
      <c r="DT1203" s="496" t="s">
        <v>57</v>
      </c>
      <c r="DU1203" s="496" t="s">
        <v>1554</v>
      </c>
      <c r="DV1203" s="496" t="s">
        <v>1555</v>
      </c>
      <c r="DW1203" s="496" t="s">
        <v>1981</v>
      </c>
      <c r="DX1203" s="497" t="s">
        <v>1982</v>
      </c>
      <c r="DZ1203" s="543">
        <v>1</v>
      </c>
      <c r="EB1203" s="493"/>
      <c r="EC1203" s="493"/>
    </row>
    <row r="1204" spans="119:133" ht="21" customHeight="1">
      <c r="DO1204" s="494"/>
      <c r="DP1204" s="496" t="s">
        <v>3449</v>
      </c>
      <c r="DQ1204" s="496" t="s">
        <v>8</v>
      </c>
      <c r="DR1204" s="496" t="s">
        <v>689</v>
      </c>
      <c r="DS1204" s="496" t="s">
        <v>3450</v>
      </c>
      <c r="DT1204" s="496" t="s">
        <v>3450</v>
      </c>
      <c r="DU1204" s="496" t="s">
        <v>1554</v>
      </c>
      <c r="DV1204" s="496" t="s">
        <v>1555</v>
      </c>
      <c r="DW1204" s="496" t="s">
        <v>1981</v>
      </c>
      <c r="DX1204" s="497" t="s">
        <v>1982</v>
      </c>
      <c r="DZ1204" s="543">
        <v>1</v>
      </c>
      <c r="EB1204" s="493"/>
      <c r="EC1204" s="493"/>
    </row>
    <row r="1205" spans="119:133" ht="21" customHeight="1">
      <c r="DO1205" s="494"/>
      <c r="DP1205" s="496" t="s">
        <v>3451</v>
      </c>
      <c r="DQ1205" s="496" t="s">
        <v>8</v>
      </c>
      <c r="DR1205" s="496" t="s">
        <v>689</v>
      </c>
      <c r="DS1205" s="496" t="s">
        <v>3452</v>
      </c>
      <c r="DT1205" s="496" t="s">
        <v>3452</v>
      </c>
      <c r="DU1205" s="496" t="s">
        <v>1554</v>
      </c>
      <c r="DV1205" s="496" t="s">
        <v>1555</v>
      </c>
      <c r="DW1205" s="496" t="s">
        <v>1981</v>
      </c>
      <c r="DX1205" s="497" t="s">
        <v>1982</v>
      </c>
      <c r="DZ1205" s="543">
        <v>1</v>
      </c>
      <c r="EB1205" s="493"/>
      <c r="EC1205" s="493"/>
    </row>
    <row r="1206" spans="119:133" ht="21" customHeight="1">
      <c r="DO1206" s="494"/>
      <c r="DP1206" s="496" t="s">
        <v>3453</v>
      </c>
      <c r="DQ1206" s="496" t="s">
        <v>8</v>
      </c>
      <c r="DR1206" s="496" t="s">
        <v>689</v>
      </c>
      <c r="DS1206" s="496" t="s">
        <v>3454</v>
      </c>
      <c r="DT1206" s="496" t="s">
        <v>3454</v>
      </c>
      <c r="DU1206" s="496" t="s">
        <v>1554</v>
      </c>
      <c r="DV1206" s="496" t="s">
        <v>1555</v>
      </c>
      <c r="DW1206" s="496" t="s">
        <v>1981</v>
      </c>
      <c r="DX1206" s="497" t="s">
        <v>1982</v>
      </c>
      <c r="DZ1206" s="543">
        <v>1</v>
      </c>
      <c r="EB1206" s="493"/>
      <c r="EC1206" s="493"/>
    </row>
    <row r="1207" spans="119:133" ht="21" customHeight="1">
      <c r="DO1207" s="494"/>
      <c r="DP1207" s="496" t="s">
        <v>3455</v>
      </c>
      <c r="DQ1207" s="496" t="s">
        <v>8</v>
      </c>
      <c r="DR1207" s="496" t="s">
        <v>689</v>
      </c>
      <c r="DS1207" s="496" t="s">
        <v>3456</v>
      </c>
      <c r="DT1207" s="496" t="s">
        <v>3456</v>
      </c>
      <c r="DU1207" s="496" t="s">
        <v>1554</v>
      </c>
      <c r="DV1207" s="496" t="s">
        <v>1555</v>
      </c>
      <c r="DW1207" s="496" t="s">
        <v>1981</v>
      </c>
      <c r="DX1207" s="497" t="s">
        <v>1982</v>
      </c>
      <c r="DZ1207" s="543">
        <v>1</v>
      </c>
      <c r="EB1207" s="493"/>
      <c r="EC1207" s="493"/>
    </row>
    <row r="1208" spans="119:133" ht="21" customHeight="1">
      <c r="DO1208" s="494"/>
      <c r="DP1208" s="496" t="s">
        <v>3457</v>
      </c>
      <c r="DQ1208" s="496" t="s">
        <v>8</v>
      </c>
      <c r="DR1208" s="496" t="s">
        <v>689</v>
      </c>
      <c r="DS1208" s="496" t="s">
        <v>3458</v>
      </c>
      <c r="DT1208" s="496" t="s">
        <v>3458</v>
      </c>
      <c r="DU1208" s="496" t="s">
        <v>1554</v>
      </c>
      <c r="DV1208" s="496" t="s">
        <v>1555</v>
      </c>
      <c r="DW1208" s="496" t="s">
        <v>1981</v>
      </c>
      <c r="DX1208" s="497" t="s">
        <v>1982</v>
      </c>
      <c r="DZ1208" s="543">
        <v>1</v>
      </c>
      <c r="EB1208" s="493"/>
      <c r="EC1208" s="493"/>
    </row>
    <row r="1209" spans="119:133" ht="21" customHeight="1">
      <c r="DO1209" s="494"/>
      <c r="DP1209" s="496" t="s">
        <v>3459</v>
      </c>
      <c r="DQ1209" s="496" t="s">
        <v>8</v>
      </c>
      <c r="DR1209" s="496" t="s">
        <v>689</v>
      </c>
      <c r="DS1209" s="496" t="s">
        <v>3460</v>
      </c>
      <c r="DT1209" s="496" t="s">
        <v>3460</v>
      </c>
      <c r="DU1209" s="496" t="s">
        <v>1554</v>
      </c>
      <c r="DV1209" s="496" t="s">
        <v>1555</v>
      </c>
      <c r="DW1209" s="496" t="s">
        <v>1981</v>
      </c>
      <c r="DX1209" s="497" t="s">
        <v>1982</v>
      </c>
      <c r="DZ1209" s="543">
        <v>1</v>
      </c>
      <c r="EB1209" s="493"/>
      <c r="EC1209" s="493"/>
    </row>
    <row r="1210" spans="119:133" ht="21" customHeight="1">
      <c r="DO1210" s="494"/>
      <c r="DP1210" s="496" t="s">
        <v>3461</v>
      </c>
      <c r="DQ1210" s="496" t="s">
        <v>8</v>
      </c>
      <c r="DR1210" s="496" t="s">
        <v>689</v>
      </c>
      <c r="DS1210" s="496" t="s">
        <v>3462</v>
      </c>
      <c r="DT1210" s="496" t="s">
        <v>3462</v>
      </c>
      <c r="DU1210" s="496" t="s">
        <v>1554</v>
      </c>
      <c r="DV1210" s="496" t="s">
        <v>1555</v>
      </c>
      <c r="DW1210" s="496" t="s">
        <v>1981</v>
      </c>
      <c r="DX1210" s="497" t="s">
        <v>1982</v>
      </c>
      <c r="DZ1210" s="543">
        <v>1</v>
      </c>
      <c r="EB1210" s="493"/>
      <c r="EC1210" s="493"/>
    </row>
    <row r="1211" spans="119:133" ht="21" customHeight="1">
      <c r="DO1211" s="494"/>
      <c r="DP1211" s="496" t="s">
        <v>3463</v>
      </c>
      <c r="DQ1211" s="496" t="s">
        <v>8</v>
      </c>
      <c r="DR1211" s="496" t="s">
        <v>689</v>
      </c>
      <c r="DS1211" s="496" t="s">
        <v>3464</v>
      </c>
      <c r="DT1211" s="496" t="s">
        <v>3464</v>
      </c>
      <c r="DU1211" s="496" t="s">
        <v>1554</v>
      </c>
      <c r="DV1211" s="496" t="s">
        <v>1555</v>
      </c>
      <c r="DW1211" s="496" t="s">
        <v>1981</v>
      </c>
      <c r="DX1211" s="497" t="s">
        <v>1982</v>
      </c>
      <c r="DZ1211" s="543">
        <v>1</v>
      </c>
      <c r="EB1211" s="493"/>
      <c r="EC1211" s="493"/>
    </row>
    <row r="1212" spans="119:133" ht="21" customHeight="1">
      <c r="DO1212" s="494"/>
      <c r="DP1212" s="496" t="s">
        <v>3465</v>
      </c>
      <c r="DQ1212" s="496" t="s">
        <v>8</v>
      </c>
      <c r="DR1212" s="496" t="s">
        <v>689</v>
      </c>
      <c r="DS1212" s="496" t="s">
        <v>3466</v>
      </c>
      <c r="DT1212" s="496" t="s">
        <v>3466</v>
      </c>
      <c r="DU1212" s="496" t="s">
        <v>1554</v>
      </c>
      <c r="DV1212" s="496" t="s">
        <v>1555</v>
      </c>
      <c r="DW1212" s="496" t="s">
        <v>1981</v>
      </c>
      <c r="DX1212" s="497" t="s">
        <v>1982</v>
      </c>
      <c r="DZ1212" s="543">
        <v>1</v>
      </c>
      <c r="EB1212" s="493"/>
      <c r="EC1212" s="493"/>
    </row>
    <row r="1213" spans="119:133" ht="21" customHeight="1">
      <c r="DO1213" s="494"/>
      <c r="DP1213" s="496" t="s">
        <v>3467</v>
      </c>
      <c r="DQ1213" s="496" t="s">
        <v>8</v>
      </c>
      <c r="DR1213" s="496" t="s">
        <v>689</v>
      </c>
      <c r="DS1213" s="496" t="s">
        <v>3468</v>
      </c>
      <c r="DT1213" s="496" t="s">
        <v>3468</v>
      </c>
      <c r="DU1213" s="496" t="s">
        <v>1554</v>
      </c>
      <c r="DV1213" s="496" t="s">
        <v>1555</v>
      </c>
      <c r="DW1213" s="496" t="s">
        <v>1981</v>
      </c>
      <c r="DX1213" s="497" t="s">
        <v>1982</v>
      </c>
      <c r="DZ1213" s="543">
        <v>1</v>
      </c>
      <c r="EB1213" s="493"/>
      <c r="EC1213" s="493"/>
    </row>
    <row r="1214" spans="119:133" ht="21" customHeight="1">
      <c r="DO1214" s="494"/>
      <c r="DP1214" s="496" t="s">
        <v>3469</v>
      </c>
      <c r="DQ1214" s="496" t="s">
        <v>8</v>
      </c>
      <c r="DR1214" s="496" t="s">
        <v>689</v>
      </c>
      <c r="DS1214" s="496" t="s">
        <v>3470</v>
      </c>
      <c r="DT1214" s="496" t="s">
        <v>3470</v>
      </c>
      <c r="DU1214" s="496" t="s">
        <v>1151</v>
      </c>
      <c r="DV1214" s="496" t="s">
        <v>1152</v>
      </c>
      <c r="DW1214" s="496" t="s">
        <v>1087</v>
      </c>
      <c r="DX1214" s="497" t="s">
        <v>1153</v>
      </c>
      <c r="DZ1214" s="543">
        <v>1</v>
      </c>
      <c r="EB1214" s="493"/>
      <c r="EC1214" s="493"/>
    </row>
    <row r="1215" spans="119:133" ht="21" customHeight="1">
      <c r="DO1215" s="494"/>
      <c r="DP1215" s="496" t="s">
        <v>3471</v>
      </c>
      <c r="DQ1215" s="496" t="s">
        <v>8</v>
      </c>
      <c r="DR1215" s="496" t="s">
        <v>689</v>
      </c>
      <c r="DS1215" s="496" t="s">
        <v>3472</v>
      </c>
      <c r="DT1215" s="496" t="s">
        <v>3472</v>
      </c>
      <c r="DU1215" s="496" t="s">
        <v>1151</v>
      </c>
      <c r="DV1215" s="496" t="s">
        <v>1152</v>
      </c>
      <c r="DW1215" s="496" t="s">
        <v>1087</v>
      </c>
      <c r="DX1215" s="497" t="s">
        <v>1153</v>
      </c>
      <c r="DZ1215" s="543">
        <v>1</v>
      </c>
      <c r="EB1215" s="493"/>
      <c r="EC1215" s="493"/>
    </row>
    <row r="1216" spans="119:133" ht="21" customHeight="1">
      <c r="DO1216" s="494"/>
      <c r="DP1216" s="496" t="s">
        <v>3473</v>
      </c>
      <c r="DQ1216" s="496" t="s">
        <v>8</v>
      </c>
      <c r="DR1216" s="496" t="s">
        <v>689</v>
      </c>
      <c r="DS1216" s="496" t="s">
        <v>3474</v>
      </c>
      <c r="DT1216" s="496" t="s">
        <v>3474</v>
      </c>
      <c r="DU1216" s="496" t="s">
        <v>1151</v>
      </c>
      <c r="DV1216" s="496" t="s">
        <v>1152</v>
      </c>
      <c r="DW1216" s="496" t="s">
        <v>1087</v>
      </c>
      <c r="DX1216" s="497" t="s">
        <v>1153</v>
      </c>
      <c r="DZ1216" s="543">
        <v>1</v>
      </c>
      <c r="EB1216" s="493"/>
      <c r="EC1216" s="493"/>
    </row>
    <row r="1217" spans="119:133" ht="21" customHeight="1">
      <c r="DO1217" s="494"/>
      <c r="DP1217" s="496" t="s">
        <v>3475</v>
      </c>
      <c r="DQ1217" s="496" t="s">
        <v>8</v>
      </c>
      <c r="DR1217" s="496" t="s">
        <v>689</v>
      </c>
      <c r="DS1217" s="496" t="s">
        <v>3476</v>
      </c>
      <c r="DT1217" s="496" t="s">
        <v>3476</v>
      </c>
      <c r="DU1217" s="496" t="s">
        <v>1151</v>
      </c>
      <c r="DV1217" s="496" t="s">
        <v>1152</v>
      </c>
      <c r="DW1217" s="496" t="s">
        <v>1087</v>
      </c>
      <c r="DX1217" s="497" t="s">
        <v>1153</v>
      </c>
      <c r="DZ1217" s="543">
        <v>1</v>
      </c>
      <c r="EB1217" s="493"/>
      <c r="EC1217" s="493"/>
    </row>
    <row r="1218" spans="119:133" ht="21" customHeight="1">
      <c r="DO1218" s="494"/>
      <c r="DP1218" s="496" t="s">
        <v>3477</v>
      </c>
      <c r="DQ1218" s="496" t="s">
        <v>8</v>
      </c>
      <c r="DR1218" s="496" t="s">
        <v>689</v>
      </c>
      <c r="DS1218" s="496" t="s">
        <v>3478</v>
      </c>
      <c r="DT1218" s="496" t="s">
        <v>3478</v>
      </c>
      <c r="DU1218" s="496" t="s">
        <v>1554</v>
      </c>
      <c r="DV1218" s="496" t="s">
        <v>1555</v>
      </c>
      <c r="DW1218" s="496" t="s">
        <v>1981</v>
      </c>
      <c r="DX1218" s="497" t="s">
        <v>1982</v>
      </c>
      <c r="DZ1218" s="543">
        <v>1</v>
      </c>
      <c r="EB1218" s="493"/>
      <c r="EC1218" s="493"/>
    </row>
    <row r="1219" spans="119:133" ht="21" customHeight="1">
      <c r="DO1219" s="494"/>
      <c r="DP1219" s="496" t="s">
        <v>3479</v>
      </c>
      <c r="DQ1219" s="496" t="s">
        <v>8</v>
      </c>
      <c r="DR1219" s="496" t="s">
        <v>689</v>
      </c>
      <c r="DS1219" s="496" t="s">
        <v>3480</v>
      </c>
      <c r="DT1219" s="496" t="s">
        <v>3480</v>
      </c>
      <c r="DU1219" s="496" t="s">
        <v>1554</v>
      </c>
      <c r="DV1219" s="496" t="s">
        <v>1555</v>
      </c>
      <c r="DW1219" s="496" t="s">
        <v>1981</v>
      </c>
      <c r="DX1219" s="497" t="s">
        <v>1982</v>
      </c>
      <c r="DZ1219" s="543">
        <v>1</v>
      </c>
      <c r="EB1219" s="493"/>
      <c r="EC1219" s="493"/>
    </row>
    <row r="1220" spans="119:133" ht="21" customHeight="1">
      <c r="DO1220" s="494"/>
      <c r="DP1220" s="496" t="s">
        <v>3481</v>
      </c>
      <c r="DQ1220" s="496" t="s">
        <v>8</v>
      </c>
      <c r="DR1220" s="496" t="s">
        <v>689</v>
      </c>
      <c r="DS1220" s="496" t="s">
        <v>3482</v>
      </c>
      <c r="DT1220" s="496" t="s">
        <v>3482</v>
      </c>
      <c r="DU1220" s="496" t="s">
        <v>1554</v>
      </c>
      <c r="DV1220" s="496" t="s">
        <v>1555</v>
      </c>
      <c r="DW1220" s="496" t="s">
        <v>1981</v>
      </c>
      <c r="DX1220" s="497" t="s">
        <v>1982</v>
      </c>
      <c r="DZ1220" s="543">
        <v>1</v>
      </c>
      <c r="EB1220" s="493"/>
      <c r="EC1220" s="493"/>
    </row>
    <row r="1221" spans="119:133" ht="21" customHeight="1">
      <c r="DO1221" s="494"/>
      <c r="DP1221" s="496" t="s">
        <v>3483</v>
      </c>
      <c r="DQ1221" s="496" t="s">
        <v>8</v>
      </c>
      <c r="DR1221" s="496" t="s">
        <v>689</v>
      </c>
      <c r="DS1221" s="496" t="s">
        <v>3484</v>
      </c>
      <c r="DT1221" s="496" t="s">
        <v>3484</v>
      </c>
      <c r="DU1221" s="496" t="s">
        <v>1554</v>
      </c>
      <c r="DV1221" s="496" t="s">
        <v>1555</v>
      </c>
      <c r="DW1221" s="496" t="s">
        <v>1981</v>
      </c>
      <c r="DX1221" s="497" t="s">
        <v>1982</v>
      </c>
      <c r="DZ1221" s="543">
        <v>1</v>
      </c>
      <c r="EB1221" s="493"/>
      <c r="EC1221" s="493"/>
    </row>
    <row r="1222" spans="119:133" ht="21" customHeight="1">
      <c r="DO1222" s="494"/>
      <c r="DP1222" s="496" t="s">
        <v>3485</v>
      </c>
      <c r="DQ1222" s="496" t="s">
        <v>8</v>
      </c>
      <c r="DR1222" s="496" t="s">
        <v>689</v>
      </c>
      <c r="DS1222" s="496" t="s">
        <v>3486</v>
      </c>
      <c r="DT1222" s="496" t="s">
        <v>3486</v>
      </c>
      <c r="DU1222" s="496" t="s">
        <v>1554</v>
      </c>
      <c r="DV1222" s="496" t="s">
        <v>1555</v>
      </c>
      <c r="DW1222" s="496" t="s">
        <v>1981</v>
      </c>
      <c r="DX1222" s="497" t="s">
        <v>1982</v>
      </c>
      <c r="DZ1222" s="543">
        <v>1</v>
      </c>
      <c r="EB1222" s="493"/>
      <c r="EC1222" s="493"/>
    </row>
    <row r="1223" spans="119:133" ht="21" customHeight="1">
      <c r="DO1223" s="494"/>
      <c r="DP1223" s="496" t="s">
        <v>3487</v>
      </c>
      <c r="DQ1223" s="496" t="s">
        <v>8</v>
      </c>
      <c r="DR1223" s="496" t="s">
        <v>689</v>
      </c>
      <c r="DS1223" s="496" t="s">
        <v>3488</v>
      </c>
      <c r="DT1223" s="496" t="s">
        <v>3488</v>
      </c>
      <c r="DU1223" s="496" t="s">
        <v>1554</v>
      </c>
      <c r="DV1223" s="496" t="s">
        <v>1555</v>
      </c>
      <c r="DW1223" s="496" t="s">
        <v>1981</v>
      </c>
      <c r="DX1223" s="497" t="s">
        <v>1982</v>
      </c>
      <c r="DZ1223" s="543">
        <v>1</v>
      </c>
      <c r="EB1223" s="493"/>
      <c r="EC1223" s="493"/>
    </row>
    <row r="1224" spans="119:133" ht="21" customHeight="1">
      <c r="DO1224" s="494"/>
      <c r="DP1224" s="496" t="s">
        <v>3489</v>
      </c>
      <c r="DQ1224" s="496" t="s">
        <v>8</v>
      </c>
      <c r="DR1224" s="496" t="s">
        <v>689</v>
      </c>
      <c r="DS1224" s="496" t="s">
        <v>3490</v>
      </c>
      <c r="DT1224" s="496" t="s">
        <v>3490</v>
      </c>
      <c r="DU1224" s="496" t="s">
        <v>1554</v>
      </c>
      <c r="DV1224" s="496" t="s">
        <v>1555</v>
      </c>
      <c r="DW1224" s="496" t="s">
        <v>1981</v>
      </c>
      <c r="DX1224" s="497" t="s">
        <v>1982</v>
      </c>
      <c r="DZ1224" s="543">
        <v>1</v>
      </c>
      <c r="EB1224" s="493"/>
      <c r="EC1224" s="493"/>
    </row>
    <row r="1225" spans="119:133" ht="21" customHeight="1">
      <c r="DO1225" s="494"/>
      <c r="DP1225" s="496" t="s">
        <v>3491</v>
      </c>
      <c r="DQ1225" s="496" t="s">
        <v>8</v>
      </c>
      <c r="DR1225" s="496" t="s">
        <v>689</v>
      </c>
      <c r="DS1225" s="496" t="s">
        <v>3492</v>
      </c>
      <c r="DT1225" s="496" t="s">
        <v>3492</v>
      </c>
      <c r="DU1225" s="496" t="s">
        <v>1554</v>
      </c>
      <c r="DV1225" s="496" t="s">
        <v>1555</v>
      </c>
      <c r="DW1225" s="496" t="s">
        <v>1981</v>
      </c>
      <c r="DX1225" s="497" t="s">
        <v>1982</v>
      </c>
      <c r="DZ1225" s="543">
        <v>1</v>
      </c>
      <c r="EB1225" s="493"/>
      <c r="EC1225" s="493"/>
    </row>
    <row r="1226" spans="119:133" ht="21" customHeight="1">
      <c r="DO1226" s="494"/>
      <c r="DP1226" s="496" t="s">
        <v>3493</v>
      </c>
      <c r="DQ1226" s="496" t="s">
        <v>8</v>
      </c>
      <c r="DR1226" s="496" t="s">
        <v>689</v>
      </c>
      <c r="DS1226" s="496" t="s">
        <v>3494</v>
      </c>
      <c r="DT1226" s="496" t="s">
        <v>3494</v>
      </c>
      <c r="DU1226" s="496" t="s">
        <v>1554</v>
      </c>
      <c r="DV1226" s="496" t="s">
        <v>1555</v>
      </c>
      <c r="DW1226" s="496" t="s">
        <v>1981</v>
      </c>
      <c r="DX1226" s="497" t="s">
        <v>1982</v>
      </c>
      <c r="DZ1226" s="543">
        <v>1</v>
      </c>
      <c r="EB1226" s="493"/>
      <c r="EC1226" s="493"/>
    </row>
    <row r="1227" spans="119:133" ht="21" customHeight="1">
      <c r="DO1227" s="494"/>
      <c r="DP1227" s="496" t="s">
        <v>3495</v>
      </c>
      <c r="DQ1227" s="496" t="s">
        <v>8</v>
      </c>
      <c r="DR1227" s="496" t="s">
        <v>689</v>
      </c>
      <c r="DS1227" s="496" t="s">
        <v>3496</v>
      </c>
      <c r="DT1227" s="496" t="s">
        <v>3496</v>
      </c>
      <c r="DU1227" s="496" t="s">
        <v>1554</v>
      </c>
      <c r="DV1227" s="496" t="s">
        <v>1555</v>
      </c>
      <c r="DW1227" s="496" t="s">
        <v>1981</v>
      </c>
      <c r="DX1227" s="497" t="s">
        <v>1982</v>
      </c>
      <c r="DZ1227" s="543">
        <v>1</v>
      </c>
      <c r="EB1227" s="493"/>
      <c r="EC1227" s="493"/>
    </row>
    <row r="1228" spans="119:133" ht="21" customHeight="1">
      <c r="DO1228" s="494"/>
      <c r="DP1228" s="496" t="s">
        <v>3497</v>
      </c>
      <c r="DQ1228" s="496" t="s">
        <v>8</v>
      </c>
      <c r="DR1228" s="496" t="s">
        <v>689</v>
      </c>
      <c r="DS1228" s="496" t="s">
        <v>3498</v>
      </c>
      <c r="DT1228" s="496" t="s">
        <v>3498</v>
      </c>
      <c r="DU1228" s="496" t="s">
        <v>1554</v>
      </c>
      <c r="DV1228" s="496" t="s">
        <v>1555</v>
      </c>
      <c r="DW1228" s="496" t="s">
        <v>1981</v>
      </c>
      <c r="DX1228" s="497" t="s">
        <v>1982</v>
      </c>
      <c r="DZ1228" s="543">
        <v>1</v>
      </c>
      <c r="EB1228" s="493"/>
      <c r="EC1228" s="493"/>
    </row>
    <row r="1229" spans="119:133" ht="21" customHeight="1">
      <c r="DO1229" s="494"/>
      <c r="DP1229" s="496" t="s">
        <v>3499</v>
      </c>
      <c r="DQ1229" s="496" t="s">
        <v>8</v>
      </c>
      <c r="DR1229" s="496" t="s">
        <v>689</v>
      </c>
      <c r="DS1229" s="496" t="s">
        <v>3500</v>
      </c>
      <c r="DT1229" s="496" t="s">
        <v>3500</v>
      </c>
      <c r="DU1229" s="496" t="s">
        <v>1554</v>
      </c>
      <c r="DV1229" s="496" t="s">
        <v>1555</v>
      </c>
      <c r="DW1229" s="496" t="s">
        <v>1981</v>
      </c>
      <c r="DX1229" s="497" t="s">
        <v>1982</v>
      </c>
      <c r="DZ1229" s="543">
        <v>1</v>
      </c>
      <c r="EB1229" s="493"/>
      <c r="EC1229" s="493"/>
    </row>
    <row r="1230" spans="119:133" ht="21" customHeight="1">
      <c r="DO1230" s="494"/>
      <c r="DP1230" s="496" t="s">
        <v>3501</v>
      </c>
      <c r="DQ1230" s="496" t="s">
        <v>8</v>
      </c>
      <c r="DR1230" s="496" t="s">
        <v>689</v>
      </c>
      <c r="DS1230" s="496" t="s">
        <v>3502</v>
      </c>
      <c r="DT1230" s="496" t="s">
        <v>3502</v>
      </c>
      <c r="DU1230" s="496" t="s">
        <v>1554</v>
      </c>
      <c r="DV1230" s="496" t="s">
        <v>1555</v>
      </c>
      <c r="DW1230" s="496" t="s">
        <v>1981</v>
      </c>
      <c r="DX1230" s="497" t="s">
        <v>1982</v>
      </c>
      <c r="DZ1230" s="543">
        <v>1</v>
      </c>
      <c r="EB1230" s="493"/>
      <c r="EC1230" s="493"/>
    </row>
    <row r="1231" spans="119:133" ht="21" customHeight="1">
      <c r="DO1231" s="494"/>
      <c r="DP1231" s="496" t="s">
        <v>3503</v>
      </c>
      <c r="DQ1231" s="496" t="s">
        <v>8</v>
      </c>
      <c r="DR1231" s="496" t="s">
        <v>689</v>
      </c>
      <c r="DS1231" s="496" t="s">
        <v>3504</v>
      </c>
      <c r="DT1231" s="496" t="s">
        <v>3504</v>
      </c>
      <c r="DU1231" s="496" t="s">
        <v>1554</v>
      </c>
      <c r="DV1231" s="496" t="s">
        <v>1555</v>
      </c>
      <c r="DW1231" s="496" t="s">
        <v>1981</v>
      </c>
      <c r="DX1231" s="497" t="s">
        <v>1982</v>
      </c>
      <c r="DZ1231" s="543">
        <v>1</v>
      </c>
      <c r="EB1231" s="493"/>
      <c r="EC1231" s="493"/>
    </row>
    <row r="1232" spans="119:133" ht="21" customHeight="1">
      <c r="DO1232" s="494"/>
      <c r="DP1232" s="496" t="s">
        <v>3505</v>
      </c>
      <c r="DQ1232" s="496" t="s">
        <v>8</v>
      </c>
      <c r="DR1232" s="496" t="s">
        <v>689</v>
      </c>
      <c r="DS1232" s="496" t="s">
        <v>3506</v>
      </c>
      <c r="DT1232" s="496" t="s">
        <v>3506</v>
      </c>
      <c r="DU1232" s="496" t="s">
        <v>1554</v>
      </c>
      <c r="DV1232" s="496" t="s">
        <v>1555</v>
      </c>
      <c r="DW1232" s="496" t="s">
        <v>1981</v>
      </c>
      <c r="DX1232" s="497" t="s">
        <v>1982</v>
      </c>
      <c r="DZ1232" s="543">
        <v>1</v>
      </c>
      <c r="EB1232" s="493"/>
      <c r="EC1232" s="493"/>
    </row>
    <row r="1233" spans="119:133" ht="21" customHeight="1">
      <c r="DO1233" s="494"/>
      <c r="DP1233" s="496" t="s">
        <v>3507</v>
      </c>
      <c r="DQ1233" s="496" t="s">
        <v>8</v>
      </c>
      <c r="DR1233" s="496" t="s">
        <v>689</v>
      </c>
      <c r="DS1233" s="496" t="s">
        <v>3508</v>
      </c>
      <c r="DT1233" s="496" t="s">
        <v>3508</v>
      </c>
      <c r="DU1233" s="496" t="s">
        <v>1554</v>
      </c>
      <c r="DV1233" s="496" t="s">
        <v>1555</v>
      </c>
      <c r="DW1233" s="496" t="s">
        <v>1981</v>
      </c>
      <c r="DX1233" s="497" t="s">
        <v>1982</v>
      </c>
      <c r="DZ1233" s="543">
        <v>1</v>
      </c>
      <c r="EB1233" s="493"/>
      <c r="EC1233" s="493"/>
    </row>
    <row r="1234" spans="119:133" ht="21" customHeight="1">
      <c r="DO1234" s="494"/>
      <c r="DP1234" s="496" t="s">
        <v>3509</v>
      </c>
      <c r="DQ1234" s="496" t="s">
        <v>8</v>
      </c>
      <c r="DR1234" s="496" t="s">
        <v>689</v>
      </c>
      <c r="DS1234" s="496" t="s">
        <v>3510</v>
      </c>
      <c r="DT1234" s="496" t="s">
        <v>3510</v>
      </c>
      <c r="DU1234" s="496" t="s">
        <v>1554</v>
      </c>
      <c r="DV1234" s="496" t="s">
        <v>1555</v>
      </c>
      <c r="DW1234" s="496" t="s">
        <v>1981</v>
      </c>
      <c r="DX1234" s="497" t="s">
        <v>1982</v>
      </c>
      <c r="DZ1234" s="543">
        <v>1</v>
      </c>
      <c r="EB1234" s="493"/>
      <c r="EC1234" s="493"/>
    </row>
    <row r="1235" spans="119:133" ht="21" customHeight="1">
      <c r="DO1235" s="494"/>
      <c r="DP1235" s="496" t="s">
        <v>3511</v>
      </c>
      <c r="DQ1235" s="496" t="s">
        <v>8</v>
      </c>
      <c r="DR1235" s="496" t="s">
        <v>689</v>
      </c>
      <c r="DS1235" s="496" t="s">
        <v>3512</v>
      </c>
      <c r="DT1235" s="496" t="s">
        <v>3512</v>
      </c>
      <c r="DU1235" s="496" t="s">
        <v>1554</v>
      </c>
      <c r="DV1235" s="496" t="s">
        <v>1555</v>
      </c>
      <c r="DW1235" s="496" t="s">
        <v>1981</v>
      </c>
      <c r="DX1235" s="497" t="s">
        <v>1982</v>
      </c>
      <c r="DZ1235" s="543">
        <v>1</v>
      </c>
      <c r="EB1235" s="493"/>
      <c r="EC1235" s="493"/>
    </row>
    <row r="1236" spans="119:133" ht="21" customHeight="1">
      <c r="DO1236" s="494"/>
      <c r="DP1236" s="496" t="s">
        <v>3513</v>
      </c>
      <c r="DQ1236" s="496" t="s">
        <v>8</v>
      </c>
      <c r="DR1236" s="496" t="s">
        <v>689</v>
      </c>
      <c r="DS1236" s="496" t="s">
        <v>3514</v>
      </c>
      <c r="DT1236" s="496" t="s">
        <v>3514</v>
      </c>
      <c r="DU1236" s="496" t="s">
        <v>1554</v>
      </c>
      <c r="DV1236" s="496" t="s">
        <v>1555</v>
      </c>
      <c r="DW1236" s="496" t="s">
        <v>1981</v>
      </c>
      <c r="DX1236" s="497" t="s">
        <v>1982</v>
      </c>
      <c r="DZ1236" s="543">
        <v>1</v>
      </c>
      <c r="EB1236" s="493"/>
      <c r="EC1236" s="493"/>
    </row>
    <row r="1237" spans="119:133" ht="21" customHeight="1">
      <c r="DO1237" s="494"/>
      <c r="DP1237" s="496" t="s">
        <v>3515</v>
      </c>
      <c r="DQ1237" s="496" t="s">
        <v>8</v>
      </c>
      <c r="DR1237" s="496" t="s">
        <v>689</v>
      </c>
      <c r="DS1237" s="496" t="s">
        <v>3516</v>
      </c>
      <c r="DT1237" s="496" t="s">
        <v>3516</v>
      </c>
      <c r="DU1237" s="496" t="s">
        <v>1554</v>
      </c>
      <c r="DV1237" s="496" t="s">
        <v>1555</v>
      </c>
      <c r="DW1237" s="496" t="s">
        <v>1981</v>
      </c>
      <c r="DX1237" s="497" t="s">
        <v>1982</v>
      </c>
      <c r="DZ1237" s="543">
        <v>1</v>
      </c>
      <c r="EB1237" s="493"/>
      <c r="EC1237" s="493"/>
    </row>
    <row r="1238" spans="119:133" ht="21" customHeight="1">
      <c r="DO1238" s="494"/>
      <c r="DP1238" s="496" t="s">
        <v>3517</v>
      </c>
      <c r="DQ1238" s="496" t="s">
        <v>8</v>
      </c>
      <c r="DR1238" s="496" t="s">
        <v>689</v>
      </c>
      <c r="DS1238" s="496" t="s">
        <v>3518</v>
      </c>
      <c r="DT1238" s="496" t="s">
        <v>3518</v>
      </c>
      <c r="DU1238" s="496" t="s">
        <v>1554</v>
      </c>
      <c r="DV1238" s="496" t="s">
        <v>1555</v>
      </c>
      <c r="DW1238" s="496" t="s">
        <v>1981</v>
      </c>
      <c r="DX1238" s="497" t="s">
        <v>1982</v>
      </c>
      <c r="DZ1238" s="543">
        <v>1</v>
      </c>
      <c r="EB1238" s="493"/>
      <c r="EC1238" s="493"/>
    </row>
    <row r="1239" spans="119:133" ht="21" customHeight="1">
      <c r="DO1239" s="494"/>
      <c r="DP1239" s="496" t="s">
        <v>3519</v>
      </c>
      <c r="DQ1239" s="496" t="s">
        <v>8</v>
      </c>
      <c r="DR1239" s="496" t="s">
        <v>689</v>
      </c>
      <c r="DS1239" s="496" t="s">
        <v>3520</v>
      </c>
      <c r="DT1239" s="496" t="s">
        <v>3520</v>
      </c>
      <c r="DU1239" s="496" t="s">
        <v>1554</v>
      </c>
      <c r="DV1239" s="496" t="s">
        <v>1555</v>
      </c>
      <c r="DW1239" s="496" t="s">
        <v>1981</v>
      </c>
      <c r="DX1239" s="497" t="s">
        <v>1982</v>
      </c>
      <c r="DZ1239" s="543">
        <v>1</v>
      </c>
      <c r="EB1239" s="493"/>
      <c r="EC1239" s="493"/>
    </row>
    <row r="1240" spans="119:133" ht="21" customHeight="1">
      <c r="DO1240" s="494"/>
      <c r="DP1240" s="496" t="s">
        <v>3521</v>
      </c>
      <c r="DQ1240" s="496" t="s">
        <v>8</v>
      </c>
      <c r="DR1240" s="496" t="s">
        <v>689</v>
      </c>
      <c r="DS1240" s="496" t="s">
        <v>3522</v>
      </c>
      <c r="DT1240" s="496" t="s">
        <v>3522</v>
      </c>
      <c r="DU1240" s="496" t="s">
        <v>1554</v>
      </c>
      <c r="DV1240" s="496" t="s">
        <v>1555</v>
      </c>
      <c r="DW1240" s="496" t="s">
        <v>1981</v>
      </c>
      <c r="DX1240" s="497" t="s">
        <v>1982</v>
      </c>
      <c r="DZ1240" s="543">
        <v>1</v>
      </c>
      <c r="EB1240" s="493"/>
      <c r="EC1240" s="493"/>
    </row>
    <row r="1241" spans="119:133" ht="21" customHeight="1">
      <c r="DO1241" s="494"/>
      <c r="DP1241" s="496" t="s">
        <v>3523</v>
      </c>
      <c r="DQ1241" s="496" t="s">
        <v>8</v>
      </c>
      <c r="DR1241" s="496" t="s">
        <v>689</v>
      </c>
      <c r="DS1241" s="496" t="s">
        <v>3524</v>
      </c>
      <c r="DT1241" s="496" t="s">
        <v>3524</v>
      </c>
      <c r="DU1241" s="496" t="s">
        <v>1554</v>
      </c>
      <c r="DV1241" s="496" t="s">
        <v>1555</v>
      </c>
      <c r="DW1241" s="496" t="s">
        <v>1981</v>
      </c>
      <c r="DX1241" s="497" t="s">
        <v>1982</v>
      </c>
      <c r="DZ1241" s="543">
        <v>1</v>
      </c>
      <c r="EB1241" s="493"/>
      <c r="EC1241" s="493"/>
    </row>
    <row r="1242" spans="119:133" ht="21" customHeight="1">
      <c r="DO1242" s="494"/>
      <c r="DP1242" s="496" t="s">
        <v>3525</v>
      </c>
      <c r="DQ1242" s="496" t="s">
        <v>8</v>
      </c>
      <c r="DR1242" s="496" t="s">
        <v>689</v>
      </c>
      <c r="DS1242" s="496" t="s">
        <v>3526</v>
      </c>
      <c r="DT1242" s="496" t="s">
        <v>3526</v>
      </c>
      <c r="DU1242" s="496" t="s">
        <v>1554</v>
      </c>
      <c r="DV1242" s="496" t="s">
        <v>1555</v>
      </c>
      <c r="DW1242" s="496" t="s">
        <v>1981</v>
      </c>
      <c r="DX1242" s="497" t="s">
        <v>1982</v>
      </c>
      <c r="DZ1242" s="543">
        <v>1</v>
      </c>
      <c r="EB1242" s="493"/>
      <c r="EC1242" s="493"/>
    </row>
    <row r="1243" spans="119:133" ht="21" customHeight="1">
      <c r="DO1243" s="494"/>
      <c r="DP1243" s="496" t="s">
        <v>3527</v>
      </c>
      <c r="DQ1243" s="496" t="s">
        <v>8</v>
      </c>
      <c r="DR1243" s="496" t="s">
        <v>689</v>
      </c>
      <c r="DS1243" s="496" t="s">
        <v>3528</v>
      </c>
      <c r="DT1243" s="496" t="s">
        <v>3528</v>
      </c>
      <c r="DU1243" s="496" t="s">
        <v>1554</v>
      </c>
      <c r="DV1243" s="496" t="s">
        <v>1555</v>
      </c>
      <c r="DW1243" s="496" t="s">
        <v>1981</v>
      </c>
      <c r="DX1243" s="497" t="s">
        <v>1982</v>
      </c>
      <c r="DZ1243" s="543">
        <v>1</v>
      </c>
      <c r="EB1243" s="493"/>
      <c r="EC1243" s="493"/>
    </row>
    <row r="1244" spans="119:133" ht="21" customHeight="1">
      <c r="DO1244" s="494"/>
      <c r="DP1244" s="496" t="s">
        <v>3529</v>
      </c>
      <c r="DQ1244" s="496" t="s">
        <v>8</v>
      </c>
      <c r="DR1244" s="496" t="s">
        <v>689</v>
      </c>
      <c r="DS1244" s="496" t="s">
        <v>3530</v>
      </c>
      <c r="DT1244" s="496" t="s">
        <v>3530</v>
      </c>
      <c r="DU1244" s="496" t="s">
        <v>1554</v>
      </c>
      <c r="DV1244" s="496" t="s">
        <v>1555</v>
      </c>
      <c r="DW1244" s="496" t="s">
        <v>1981</v>
      </c>
      <c r="DX1244" s="497" t="s">
        <v>1982</v>
      </c>
      <c r="DZ1244" s="543">
        <v>1</v>
      </c>
      <c r="EB1244" s="493"/>
      <c r="EC1244" s="493"/>
    </row>
    <row r="1245" spans="119:133" ht="21" customHeight="1">
      <c r="DO1245" s="494"/>
      <c r="DP1245" s="496" t="s">
        <v>3531</v>
      </c>
      <c r="DQ1245" s="496" t="s">
        <v>8</v>
      </c>
      <c r="DR1245" s="496" t="s">
        <v>689</v>
      </c>
      <c r="DS1245" s="496" t="s">
        <v>3532</v>
      </c>
      <c r="DT1245" s="496" t="s">
        <v>3532</v>
      </c>
      <c r="DU1245" s="496" t="s">
        <v>1554</v>
      </c>
      <c r="DV1245" s="496" t="s">
        <v>1555</v>
      </c>
      <c r="DW1245" s="496" t="s">
        <v>1981</v>
      </c>
      <c r="DX1245" s="497" t="s">
        <v>1982</v>
      </c>
      <c r="DZ1245" s="543">
        <v>1</v>
      </c>
      <c r="EB1245" s="493"/>
      <c r="EC1245" s="493"/>
    </row>
    <row r="1246" spans="119:133" ht="21" customHeight="1">
      <c r="DO1246" s="494"/>
      <c r="DP1246" s="496" t="s">
        <v>3533</v>
      </c>
      <c r="DQ1246" s="496" t="s">
        <v>8</v>
      </c>
      <c r="DR1246" s="496" t="s">
        <v>689</v>
      </c>
      <c r="DS1246" s="496" t="s">
        <v>160</v>
      </c>
      <c r="DT1246" s="496" t="s">
        <v>160</v>
      </c>
      <c r="DU1246" s="496" t="s">
        <v>1554</v>
      </c>
      <c r="DV1246" s="496" t="s">
        <v>1555</v>
      </c>
      <c r="DW1246" s="496" t="s">
        <v>1981</v>
      </c>
      <c r="DX1246" s="497" t="s">
        <v>1982</v>
      </c>
      <c r="DZ1246" s="543">
        <v>1</v>
      </c>
      <c r="EB1246" s="493"/>
      <c r="EC1246" s="493"/>
    </row>
    <row r="1247" spans="119:133" ht="21" customHeight="1">
      <c r="DO1247" s="494"/>
      <c r="DP1247" s="496" t="s">
        <v>3534</v>
      </c>
      <c r="DQ1247" s="496" t="s">
        <v>8</v>
      </c>
      <c r="DR1247" s="496" t="s">
        <v>689</v>
      </c>
      <c r="DS1247" s="496" t="s">
        <v>3535</v>
      </c>
      <c r="DT1247" s="496" t="s">
        <v>3535</v>
      </c>
      <c r="DU1247" s="496" t="s">
        <v>1554</v>
      </c>
      <c r="DV1247" s="496" t="s">
        <v>1555</v>
      </c>
      <c r="DW1247" s="496" t="s">
        <v>1981</v>
      </c>
      <c r="DX1247" s="497" t="s">
        <v>1982</v>
      </c>
      <c r="DZ1247" s="543">
        <v>1</v>
      </c>
      <c r="EB1247" s="493"/>
      <c r="EC1247" s="493"/>
    </row>
    <row r="1248" spans="119:133" ht="21" customHeight="1">
      <c r="DO1248" s="494"/>
      <c r="DP1248" s="496" t="s">
        <v>3536</v>
      </c>
      <c r="DQ1248" s="496" t="s">
        <v>8</v>
      </c>
      <c r="DR1248" s="496" t="s">
        <v>689</v>
      </c>
      <c r="DS1248" s="496" t="s">
        <v>3537</v>
      </c>
      <c r="DT1248" s="496" t="s">
        <v>3537</v>
      </c>
      <c r="DU1248" s="496" t="s">
        <v>1554</v>
      </c>
      <c r="DV1248" s="496" t="s">
        <v>1555</v>
      </c>
      <c r="DW1248" s="496" t="s">
        <v>1981</v>
      </c>
      <c r="DX1248" s="497" t="s">
        <v>1982</v>
      </c>
      <c r="DZ1248" s="543">
        <v>1</v>
      </c>
      <c r="EB1248" s="493"/>
      <c r="EC1248" s="493"/>
    </row>
    <row r="1249" spans="119:133" ht="21" customHeight="1">
      <c r="DO1249" s="494"/>
      <c r="DP1249" s="496" t="s">
        <v>3538</v>
      </c>
      <c r="DQ1249" s="496" t="s">
        <v>8</v>
      </c>
      <c r="DR1249" s="496" t="s">
        <v>689</v>
      </c>
      <c r="DS1249" s="496" t="s">
        <v>3539</v>
      </c>
      <c r="DT1249" s="496" t="s">
        <v>3539</v>
      </c>
      <c r="DU1249" s="496" t="s">
        <v>1554</v>
      </c>
      <c r="DV1249" s="496" t="s">
        <v>1555</v>
      </c>
      <c r="DW1249" s="496" t="s">
        <v>1981</v>
      </c>
      <c r="DX1249" s="497" t="s">
        <v>1982</v>
      </c>
      <c r="DZ1249" s="543">
        <v>1</v>
      </c>
      <c r="EB1249" s="493"/>
      <c r="EC1249" s="493"/>
    </row>
    <row r="1250" spans="119:133" ht="21" customHeight="1">
      <c r="DO1250" s="494"/>
      <c r="DP1250" s="496" t="s">
        <v>3540</v>
      </c>
      <c r="DQ1250" s="496" t="s">
        <v>8</v>
      </c>
      <c r="DR1250" s="496" t="s">
        <v>689</v>
      </c>
      <c r="DS1250" s="496" t="s">
        <v>3541</v>
      </c>
      <c r="DT1250" s="496" t="s">
        <v>3541</v>
      </c>
      <c r="DU1250" s="496" t="s">
        <v>1554</v>
      </c>
      <c r="DV1250" s="496" t="s">
        <v>1555</v>
      </c>
      <c r="DW1250" s="496" t="s">
        <v>1981</v>
      </c>
      <c r="DX1250" s="497" t="s">
        <v>1982</v>
      </c>
      <c r="DZ1250" s="543">
        <v>1</v>
      </c>
      <c r="EB1250" s="493"/>
      <c r="EC1250" s="493"/>
    </row>
    <row r="1251" spans="119:133" ht="21" customHeight="1">
      <c r="DO1251" s="494"/>
      <c r="DP1251" s="496" t="s">
        <v>3542</v>
      </c>
      <c r="DQ1251" s="496" t="s">
        <v>8</v>
      </c>
      <c r="DR1251" s="496" t="s">
        <v>689</v>
      </c>
      <c r="DS1251" s="496" t="s">
        <v>3543</v>
      </c>
      <c r="DT1251" s="496" t="s">
        <v>3543</v>
      </c>
      <c r="DU1251" s="496" t="s">
        <v>1554</v>
      </c>
      <c r="DV1251" s="496" t="s">
        <v>1555</v>
      </c>
      <c r="DW1251" s="496" t="s">
        <v>1981</v>
      </c>
      <c r="DX1251" s="497" t="s">
        <v>1982</v>
      </c>
      <c r="DZ1251" s="543">
        <v>1</v>
      </c>
      <c r="EB1251" s="493"/>
      <c r="EC1251" s="493"/>
    </row>
    <row r="1252" spans="119:133" ht="21" customHeight="1">
      <c r="DO1252" s="494"/>
      <c r="DP1252" s="496" t="s">
        <v>3544</v>
      </c>
      <c r="DQ1252" s="496" t="s">
        <v>8</v>
      </c>
      <c r="DR1252" s="496" t="s">
        <v>689</v>
      </c>
      <c r="DS1252" s="496" t="s">
        <v>3545</v>
      </c>
      <c r="DT1252" s="496" t="s">
        <v>3545</v>
      </c>
      <c r="DU1252" s="496" t="s">
        <v>1554</v>
      </c>
      <c r="DV1252" s="496" t="s">
        <v>1555</v>
      </c>
      <c r="DW1252" s="496" t="s">
        <v>1981</v>
      </c>
      <c r="DX1252" s="497" t="s">
        <v>1982</v>
      </c>
      <c r="DZ1252" s="543">
        <v>1</v>
      </c>
      <c r="EB1252" s="493"/>
      <c r="EC1252" s="493"/>
    </row>
    <row r="1253" spans="119:133" ht="21" customHeight="1">
      <c r="DO1253" s="494"/>
      <c r="DP1253" s="496" t="s">
        <v>3546</v>
      </c>
      <c r="DQ1253" s="496" t="s">
        <v>8</v>
      </c>
      <c r="DR1253" s="496" t="s">
        <v>689</v>
      </c>
      <c r="DS1253" s="496" t="s">
        <v>3547</v>
      </c>
      <c r="DT1253" s="496" t="s">
        <v>3547</v>
      </c>
      <c r="DU1253" s="496" t="s">
        <v>1554</v>
      </c>
      <c r="DV1253" s="496" t="s">
        <v>1555</v>
      </c>
      <c r="DW1253" s="496" t="s">
        <v>1981</v>
      </c>
      <c r="DX1253" s="497" t="s">
        <v>1982</v>
      </c>
      <c r="DZ1253" s="543">
        <v>1</v>
      </c>
      <c r="EB1253" s="493"/>
      <c r="EC1253" s="493"/>
    </row>
    <row r="1254" spans="119:133" ht="21" customHeight="1">
      <c r="DO1254" s="494"/>
      <c r="DP1254" s="496" t="s">
        <v>3548</v>
      </c>
      <c r="DQ1254" s="496" t="s">
        <v>8</v>
      </c>
      <c r="DR1254" s="496" t="s">
        <v>689</v>
      </c>
      <c r="DS1254" s="496" t="s">
        <v>3549</v>
      </c>
      <c r="DT1254" s="496" t="s">
        <v>3549</v>
      </c>
      <c r="DU1254" s="496" t="s">
        <v>1554</v>
      </c>
      <c r="DV1254" s="496" t="s">
        <v>1555</v>
      </c>
      <c r="DW1254" s="496" t="s">
        <v>1981</v>
      </c>
      <c r="DX1254" s="497" t="s">
        <v>1982</v>
      </c>
      <c r="DZ1254" s="543">
        <v>1</v>
      </c>
      <c r="EB1254" s="493"/>
      <c r="EC1254" s="493"/>
    </row>
    <row r="1255" spans="119:133" ht="21" customHeight="1">
      <c r="DO1255" s="494"/>
      <c r="DP1255" s="496" t="s">
        <v>3550</v>
      </c>
      <c r="DQ1255" s="496" t="s">
        <v>8</v>
      </c>
      <c r="DR1255" s="496" t="s">
        <v>689</v>
      </c>
      <c r="DS1255" s="496" t="s">
        <v>3551</v>
      </c>
      <c r="DT1255" s="496" t="s">
        <v>3551</v>
      </c>
      <c r="DU1255" s="496" t="s">
        <v>1554</v>
      </c>
      <c r="DV1255" s="496" t="s">
        <v>1555</v>
      </c>
      <c r="DW1255" s="496" t="s">
        <v>1981</v>
      </c>
      <c r="DX1255" s="497" t="s">
        <v>1982</v>
      </c>
      <c r="DZ1255" s="543">
        <v>1</v>
      </c>
      <c r="EB1255" s="493"/>
      <c r="EC1255" s="493"/>
    </row>
    <row r="1256" spans="119:133" ht="21" customHeight="1">
      <c r="DO1256" s="494"/>
      <c r="DP1256" s="496" t="s">
        <v>3552</v>
      </c>
      <c r="DQ1256" s="496" t="s">
        <v>8</v>
      </c>
      <c r="DR1256" s="496" t="s">
        <v>689</v>
      </c>
      <c r="DS1256" s="496" t="s">
        <v>3553</v>
      </c>
      <c r="DT1256" s="496" t="s">
        <v>3553</v>
      </c>
      <c r="DU1256" s="496" t="s">
        <v>1554</v>
      </c>
      <c r="DV1256" s="496" t="s">
        <v>1555</v>
      </c>
      <c r="DW1256" s="496" t="s">
        <v>1981</v>
      </c>
      <c r="DX1256" s="497" t="s">
        <v>1982</v>
      </c>
      <c r="DZ1256" s="543">
        <v>1</v>
      </c>
      <c r="EB1256" s="493"/>
      <c r="EC1256" s="493"/>
    </row>
    <row r="1257" spans="119:133" ht="21" customHeight="1">
      <c r="DO1257" s="494"/>
      <c r="DP1257" s="496" t="s">
        <v>3554</v>
      </c>
      <c r="DQ1257" s="496" t="s">
        <v>8</v>
      </c>
      <c r="DR1257" s="496" t="s">
        <v>689</v>
      </c>
      <c r="DS1257" s="496" t="s">
        <v>3555</v>
      </c>
      <c r="DT1257" s="496" t="s">
        <v>3555</v>
      </c>
      <c r="DU1257" s="496" t="s">
        <v>1554</v>
      </c>
      <c r="DV1257" s="496" t="s">
        <v>1555</v>
      </c>
      <c r="DW1257" s="496" t="s">
        <v>1981</v>
      </c>
      <c r="DX1257" s="497" t="s">
        <v>1982</v>
      </c>
      <c r="DZ1257" s="543">
        <v>1</v>
      </c>
      <c r="EB1257" s="493"/>
      <c r="EC1257" s="493"/>
    </row>
    <row r="1258" spans="119:133" ht="21" customHeight="1">
      <c r="DO1258" s="494"/>
      <c r="DP1258" s="496" t="s">
        <v>3556</v>
      </c>
      <c r="DQ1258" s="496" t="s">
        <v>8</v>
      </c>
      <c r="DR1258" s="496" t="s">
        <v>689</v>
      </c>
      <c r="DS1258" s="496" t="s">
        <v>3557</v>
      </c>
      <c r="DT1258" s="496" t="s">
        <v>3557</v>
      </c>
      <c r="DU1258" s="496" t="s">
        <v>1554</v>
      </c>
      <c r="DV1258" s="496" t="s">
        <v>1555</v>
      </c>
      <c r="DW1258" s="496" t="s">
        <v>1981</v>
      </c>
      <c r="DX1258" s="497" t="s">
        <v>1982</v>
      </c>
      <c r="DZ1258" s="543">
        <v>1</v>
      </c>
      <c r="EB1258" s="493"/>
      <c r="EC1258" s="493"/>
    </row>
    <row r="1259" spans="119:133" ht="21" customHeight="1">
      <c r="DO1259" s="494"/>
      <c r="DP1259" s="496" t="s">
        <v>3558</v>
      </c>
      <c r="DQ1259" s="496" t="s">
        <v>8</v>
      </c>
      <c r="DR1259" s="496" t="s">
        <v>689</v>
      </c>
      <c r="DS1259" s="496" t="s">
        <v>3559</v>
      </c>
      <c r="DT1259" s="496" t="s">
        <v>3559</v>
      </c>
      <c r="DU1259" s="496" t="s">
        <v>1554</v>
      </c>
      <c r="DV1259" s="496" t="s">
        <v>1555</v>
      </c>
      <c r="DW1259" s="496" t="s">
        <v>1981</v>
      </c>
      <c r="DX1259" s="497" t="s">
        <v>1982</v>
      </c>
      <c r="DZ1259" s="543">
        <v>1</v>
      </c>
      <c r="EB1259" s="493"/>
      <c r="EC1259" s="493"/>
    </row>
    <row r="1260" spans="119:133" ht="21" customHeight="1">
      <c r="DO1260" s="494"/>
      <c r="DP1260" s="496" t="s">
        <v>3560</v>
      </c>
      <c r="DQ1260" s="496" t="s">
        <v>8</v>
      </c>
      <c r="DR1260" s="496" t="s">
        <v>689</v>
      </c>
      <c r="DS1260" s="496" t="s">
        <v>3561</v>
      </c>
      <c r="DT1260" s="496" t="s">
        <v>3561</v>
      </c>
      <c r="DU1260" s="496" t="s">
        <v>1554</v>
      </c>
      <c r="DV1260" s="496" t="s">
        <v>1555</v>
      </c>
      <c r="DW1260" s="496" t="s">
        <v>1981</v>
      </c>
      <c r="DX1260" s="497" t="s">
        <v>1982</v>
      </c>
      <c r="DZ1260" s="543">
        <v>1</v>
      </c>
      <c r="EB1260" s="493"/>
      <c r="EC1260" s="493"/>
    </row>
    <row r="1261" spans="119:133" ht="21" customHeight="1">
      <c r="DO1261" s="494"/>
      <c r="DP1261" s="496" t="s">
        <v>3562</v>
      </c>
      <c r="DQ1261" s="496" t="s">
        <v>8</v>
      </c>
      <c r="DR1261" s="496" t="s">
        <v>689</v>
      </c>
      <c r="DS1261" s="496" t="s">
        <v>3563</v>
      </c>
      <c r="DT1261" s="496" t="s">
        <v>3563</v>
      </c>
      <c r="DU1261" s="496" t="s">
        <v>1554</v>
      </c>
      <c r="DV1261" s="496" t="s">
        <v>1555</v>
      </c>
      <c r="DW1261" s="496" t="s">
        <v>1981</v>
      </c>
      <c r="DX1261" s="497" t="s">
        <v>1982</v>
      </c>
      <c r="DZ1261" s="543">
        <v>1</v>
      </c>
      <c r="EB1261" s="493"/>
      <c r="EC1261" s="493"/>
    </row>
    <row r="1262" spans="119:133" ht="21" customHeight="1">
      <c r="DO1262" s="494"/>
      <c r="DP1262" s="496" t="s">
        <v>3564</v>
      </c>
      <c r="DQ1262" s="496" t="s">
        <v>8</v>
      </c>
      <c r="DR1262" s="496" t="s">
        <v>689</v>
      </c>
      <c r="DS1262" s="496" t="s">
        <v>3565</v>
      </c>
      <c r="DT1262" s="496" t="s">
        <v>3565</v>
      </c>
      <c r="DU1262" s="496" t="s">
        <v>1554</v>
      </c>
      <c r="DV1262" s="496" t="s">
        <v>1555</v>
      </c>
      <c r="DW1262" s="496" t="s">
        <v>1981</v>
      </c>
      <c r="DX1262" s="497" t="s">
        <v>1982</v>
      </c>
      <c r="DZ1262" s="543">
        <v>1</v>
      </c>
      <c r="EB1262" s="493"/>
      <c r="EC1262" s="493"/>
    </row>
    <row r="1263" spans="119:133" ht="21" customHeight="1">
      <c r="DO1263" s="494"/>
      <c r="DP1263" s="496" t="s">
        <v>3566</v>
      </c>
      <c r="DQ1263" s="496" t="s">
        <v>8</v>
      </c>
      <c r="DR1263" s="496" t="s">
        <v>689</v>
      </c>
      <c r="DS1263" s="496" t="s">
        <v>3567</v>
      </c>
      <c r="DT1263" s="496" t="s">
        <v>3567</v>
      </c>
      <c r="DU1263" s="496" t="s">
        <v>1554</v>
      </c>
      <c r="DV1263" s="496" t="s">
        <v>1555</v>
      </c>
      <c r="DW1263" s="496" t="s">
        <v>1981</v>
      </c>
      <c r="DX1263" s="497" t="s">
        <v>1982</v>
      </c>
      <c r="DZ1263" s="543">
        <v>1</v>
      </c>
      <c r="EB1263" s="493"/>
      <c r="EC1263" s="493"/>
    </row>
    <row r="1264" spans="119:133" ht="21" customHeight="1">
      <c r="DO1264" s="494"/>
      <c r="DP1264" s="496" t="s">
        <v>3568</v>
      </c>
      <c r="DQ1264" s="496" t="s">
        <v>8</v>
      </c>
      <c r="DR1264" s="496" t="s">
        <v>689</v>
      </c>
      <c r="DS1264" s="496" t="s">
        <v>3569</v>
      </c>
      <c r="DT1264" s="496" t="s">
        <v>3569</v>
      </c>
      <c r="DU1264" s="496" t="s">
        <v>1554</v>
      </c>
      <c r="DV1264" s="496" t="s">
        <v>1555</v>
      </c>
      <c r="DW1264" s="496" t="s">
        <v>1981</v>
      </c>
      <c r="DX1264" s="497" t="s">
        <v>1982</v>
      </c>
      <c r="DZ1264" s="543">
        <v>1</v>
      </c>
      <c r="EB1264" s="493"/>
      <c r="EC1264" s="493"/>
    </row>
    <row r="1265" spans="119:133" ht="21" customHeight="1">
      <c r="DO1265" s="494"/>
      <c r="DP1265" s="496" t="s">
        <v>3570</v>
      </c>
      <c r="DQ1265" s="496" t="s">
        <v>8</v>
      </c>
      <c r="DR1265" s="496" t="s">
        <v>689</v>
      </c>
      <c r="DS1265" s="496" t="s">
        <v>3571</v>
      </c>
      <c r="DT1265" s="496" t="s">
        <v>3571</v>
      </c>
      <c r="DU1265" s="496" t="s">
        <v>1554</v>
      </c>
      <c r="DV1265" s="496" t="s">
        <v>1555</v>
      </c>
      <c r="DW1265" s="496" t="s">
        <v>1981</v>
      </c>
      <c r="DX1265" s="497" t="s">
        <v>1982</v>
      </c>
      <c r="DZ1265" s="543">
        <v>1</v>
      </c>
      <c r="EB1265" s="493"/>
      <c r="EC1265" s="493"/>
    </row>
    <row r="1266" spans="119:133" ht="21" customHeight="1">
      <c r="DO1266" s="494"/>
      <c r="DP1266" s="496" t="s">
        <v>3572</v>
      </c>
      <c r="DQ1266" s="496" t="s">
        <v>8</v>
      </c>
      <c r="DR1266" s="496" t="s">
        <v>689</v>
      </c>
      <c r="DS1266" s="496" t="s">
        <v>3573</v>
      </c>
      <c r="DT1266" s="496" t="s">
        <v>3573</v>
      </c>
      <c r="DU1266" s="496" t="s">
        <v>1554</v>
      </c>
      <c r="DV1266" s="496" t="s">
        <v>1555</v>
      </c>
      <c r="DW1266" s="496" t="s">
        <v>1981</v>
      </c>
      <c r="DX1266" s="497" t="s">
        <v>1982</v>
      </c>
      <c r="DZ1266" s="543">
        <v>1</v>
      </c>
      <c r="EB1266" s="493"/>
      <c r="EC1266" s="493"/>
    </row>
    <row r="1267" spans="119:133" ht="21" customHeight="1">
      <c r="DO1267" s="494"/>
      <c r="DP1267" s="496" t="s">
        <v>3574</v>
      </c>
      <c r="DQ1267" s="496" t="s">
        <v>8</v>
      </c>
      <c r="DR1267" s="496" t="s">
        <v>689</v>
      </c>
      <c r="DS1267" s="496" t="s">
        <v>1053</v>
      </c>
      <c r="DT1267" s="496" t="s">
        <v>1053</v>
      </c>
      <c r="DU1267" s="496" t="s">
        <v>1085</v>
      </c>
      <c r="DV1267" s="496" t="s">
        <v>2063</v>
      </c>
      <c r="DW1267" s="496" t="s">
        <v>1087</v>
      </c>
      <c r="DX1267" s="497" t="s">
        <v>1088</v>
      </c>
      <c r="DZ1267" s="543">
        <v>1</v>
      </c>
      <c r="EB1267" s="493"/>
      <c r="EC1267" s="493"/>
    </row>
    <row r="1268" spans="119:133" ht="21" customHeight="1">
      <c r="DO1268" s="494"/>
      <c r="DP1268" s="496" t="s">
        <v>3575</v>
      </c>
      <c r="DQ1268" s="496" t="s">
        <v>8</v>
      </c>
      <c r="DR1268" s="496" t="s">
        <v>689</v>
      </c>
      <c r="DS1268" s="496" t="s">
        <v>3576</v>
      </c>
      <c r="DT1268" s="496" t="s">
        <v>3576</v>
      </c>
      <c r="DU1268" s="496" t="s">
        <v>1554</v>
      </c>
      <c r="DV1268" s="496" t="s">
        <v>1555</v>
      </c>
      <c r="DW1268" s="496" t="s">
        <v>1981</v>
      </c>
      <c r="DX1268" s="497" t="s">
        <v>1982</v>
      </c>
      <c r="DZ1268" s="543">
        <v>1</v>
      </c>
      <c r="EB1268" s="493"/>
      <c r="EC1268" s="493"/>
    </row>
    <row r="1269" spans="119:133" ht="21" customHeight="1">
      <c r="DO1269" s="494"/>
      <c r="DP1269" s="496" t="s">
        <v>3577</v>
      </c>
      <c r="DQ1269" s="496" t="s">
        <v>8</v>
      </c>
      <c r="DR1269" s="496" t="s">
        <v>689</v>
      </c>
      <c r="DS1269" s="496" t="s">
        <v>3578</v>
      </c>
      <c r="DT1269" s="496" t="s">
        <v>3578</v>
      </c>
      <c r="DU1269" s="496" t="s">
        <v>1554</v>
      </c>
      <c r="DV1269" s="496" t="s">
        <v>1555</v>
      </c>
      <c r="DW1269" s="496" t="s">
        <v>1981</v>
      </c>
      <c r="DX1269" s="497" t="s">
        <v>1982</v>
      </c>
      <c r="DZ1269" s="543">
        <v>1</v>
      </c>
      <c r="EB1269" s="493"/>
      <c r="EC1269" s="493"/>
    </row>
    <row r="1270" spans="119:133" ht="21" customHeight="1">
      <c r="DO1270" s="494"/>
      <c r="DP1270" s="496" t="s">
        <v>3579</v>
      </c>
      <c r="DQ1270" s="496" t="s">
        <v>8</v>
      </c>
      <c r="DR1270" s="496" t="s">
        <v>689</v>
      </c>
      <c r="DS1270" s="496" t="s">
        <v>3580</v>
      </c>
      <c r="DT1270" s="496" t="s">
        <v>3580</v>
      </c>
      <c r="DU1270" s="496" t="s">
        <v>1554</v>
      </c>
      <c r="DV1270" s="496" t="s">
        <v>1555</v>
      </c>
      <c r="DW1270" s="496" t="s">
        <v>1981</v>
      </c>
      <c r="DX1270" s="497" t="s">
        <v>1982</v>
      </c>
      <c r="DZ1270" s="543">
        <v>1</v>
      </c>
      <c r="EB1270" s="493"/>
      <c r="EC1270" s="493"/>
    </row>
    <row r="1271" spans="119:133" ht="21" customHeight="1">
      <c r="DO1271" s="494"/>
      <c r="DP1271" s="496" t="s">
        <v>3581</v>
      </c>
      <c r="DQ1271" s="496" t="s">
        <v>8</v>
      </c>
      <c r="DR1271" s="496" t="s">
        <v>689</v>
      </c>
      <c r="DS1271" s="496" t="s">
        <v>3582</v>
      </c>
      <c r="DT1271" s="496" t="s">
        <v>3582</v>
      </c>
      <c r="DU1271" s="496" t="s">
        <v>1554</v>
      </c>
      <c r="DV1271" s="496" t="s">
        <v>1555</v>
      </c>
      <c r="DW1271" s="496" t="s">
        <v>1981</v>
      </c>
      <c r="DX1271" s="497" t="s">
        <v>1982</v>
      </c>
      <c r="DZ1271" s="543">
        <v>1</v>
      </c>
      <c r="EB1271" s="493"/>
      <c r="EC1271" s="493"/>
    </row>
    <row r="1272" spans="119:133" ht="21" customHeight="1">
      <c r="DO1272" s="494"/>
      <c r="DP1272" s="496" t="s">
        <v>3583</v>
      </c>
      <c r="DQ1272" s="496" t="s">
        <v>8</v>
      </c>
      <c r="DR1272" s="496" t="s">
        <v>689</v>
      </c>
      <c r="DS1272" s="496" t="s">
        <v>3584</v>
      </c>
      <c r="DT1272" s="496" t="s">
        <v>3584</v>
      </c>
      <c r="DU1272" s="496" t="s">
        <v>1554</v>
      </c>
      <c r="DV1272" s="496" t="s">
        <v>1555</v>
      </c>
      <c r="DW1272" s="496" t="s">
        <v>1981</v>
      </c>
      <c r="DX1272" s="497" t="s">
        <v>1982</v>
      </c>
      <c r="DZ1272" s="543">
        <v>1</v>
      </c>
      <c r="EB1272" s="493"/>
      <c r="EC1272" s="493"/>
    </row>
    <row r="1273" spans="119:133" ht="21" customHeight="1">
      <c r="DO1273" s="494"/>
      <c r="DP1273" s="496" t="s">
        <v>3585</v>
      </c>
      <c r="DQ1273" s="496" t="s">
        <v>8</v>
      </c>
      <c r="DR1273" s="496" t="s">
        <v>689</v>
      </c>
      <c r="DS1273" s="496" t="s">
        <v>3586</v>
      </c>
      <c r="DT1273" s="496" t="s">
        <v>3586</v>
      </c>
      <c r="DU1273" s="496" t="s">
        <v>1554</v>
      </c>
      <c r="DV1273" s="496" t="s">
        <v>1555</v>
      </c>
      <c r="DW1273" s="496" t="s">
        <v>1981</v>
      </c>
      <c r="DX1273" s="497" t="s">
        <v>1982</v>
      </c>
      <c r="DZ1273" s="543">
        <v>1</v>
      </c>
      <c r="EB1273" s="493"/>
      <c r="EC1273" s="493"/>
    </row>
    <row r="1274" spans="119:133" ht="21" customHeight="1">
      <c r="DO1274" s="494"/>
      <c r="DP1274" s="496" t="s">
        <v>3587</v>
      </c>
      <c r="DQ1274" s="496" t="s">
        <v>8</v>
      </c>
      <c r="DR1274" s="496" t="s">
        <v>689</v>
      </c>
      <c r="DS1274" s="496" t="s">
        <v>3588</v>
      </c>
      <c r="DT1274" s="496" t="s">
        <v>3588</v>
      </c>
      <c r="DU1274" s="496" t="s">
        <v>1554</v>
      </c>
      <c r="DV1274" s="496" t="s">
        <v>1555</v>
      </c>
      <c r="DW1274" s="496" t="s">
        <v>1981</v>
      </c>
      <c r="DX1274" s="497" t="s">
        <v>1982</v>
      </c>
      <c r="DZ1274" s="543">
        <v>1</v>
      </c>
      <c r="EB1274" s="493"/>
      <c r="EC1274" s="493"/>
    </row>
    <row r="1275" spans="119:133" ht="21" customHeight="1">
      <c r="DO1275" s="494"/>
      <c r="DP1275" s="496" t="s">
        <v>3589</v>
      </c>
      <c r="DQ1275" s="496" t="s">
        <v>8</v>
      </c>
      <c r="DR1275" s="496" t="s">
        <v>689</v>
      </c>
      <c r="DS1275" s="496" t="s">
        <v>3590</v>
      </c>
      <c r="DT1275" s="496" t="s">
        <v>3590</v>
      </c>
      <c r="DU1275" s="496" t="s">
        <v>1554</v>
      </c>
      <c r="DV1275" s="496" t="s">
        <v>1555</v>
      </c>
      <c r="DW1275" s="496" t="s">
        <v>1981</v>
      </c>
      <c r="DX1275" s="497" t="s">
        <v>1982</v>
      </c>
      <c r="DZ1275" s="543">
        <v>1</v>
      </c>
      <c r="EB1275" s="493"/>
      <c r="EC1275" s="493"/>
    </row>
    <row r="1276" spans="119:133" ht="21" customHeight="1">
      <c r="DO1276" s="494"/>
      <c r="DP1276" s="496" t="s">
        <v>3591</v>
      </c>
      <c r="DQ1276" s="496" t="s">
        <v>8</v>
      </c>
      <c r="DR1276" s="496" t="s">
        <v>689</v>
      </c>
      <c r="DS1276" s="496" t="s">
        <v>3592</v>
      </c>
      <c r="DT1276" s="496" t="s">
        <v>3592</v>
      </c>
      <c r="DU1276" s="496" t="s">
        <v>1554</v>
      </c>
      <c r="DV1276" s="496" t="s">
        <v>1555</v>
      </c>
      <c r="DW1276" s="496" t="s">
        <v>1981</v>
      </c>
      <c r="DX1276" s="497" t="s">
        <v>1982</v>
      </c>
      <c r="DZ1276" s="543">
        <v>1</v>
      </c>
      <c r="EB1276" s="493"/>
      <c r="EC1276" s="493"/>
    </row>
    <row r="1277" spans="119:133" ht="21" customHeight="1">
      <c r="DO1277" s="494"/>
      <c r="DP1277" s="496" t="s">
        <v>3593</v>
      </c>
      <c r="DQ1277" s="496" t="s">
        <v>8</v>
      </c>
      <c r="DR1277" s="496" t="s">
        <v>689</v>
      </c>
      <c r="DS1277" s="496" t="s">
        <v>3594</v>
      </c>
      <c r="DT1277" s="496" t="s">
        <v>3594</v>
      </c>
      <c r="DU1277" s="496" t="s">
        <v>1554</v>
      </c>
      <c r="DV1277" s="496" t="s">
        <v>1555</v>
      </c>
      <c r="DW1277" s="496" t="s">
        <v>1981</v>
      </c>
      <c r="DX1277" s="497" t="s">
        <v>1982</v>
      </c>
      <c r="DZ1277" s="543">
        <v>1</v>
      </c>
      <c r="EB1277" s="493"/>
      <c r="EC1277" s="493"/>
    </row>
    <row r="1278" spans="119:133" ht="21" customHeight="1">
      <c r="DO1278" s="494"/>
      <c r="DP1278" s="496" t="s">
        <v>3595</v>
      </c>
      <c r="DQ1278" s="496" t="s">
        <v>8</v>
      </c>
      <c r="DR1278" s="496" t="s">
        <v>689</v>
      </c>
      <c r="DS1278" s="496" t="s">
        <v>3596</v>
      </c>
      <c r="DT1278" s="496" t="s">
        <v>3596</v>
      </c>
      <c r="DU1278" s="496" t="s">
        <v>1554</v>
      </c>
      <c r="DV1278" s="496" t="s">
        <v>1555</v>
      </c>
      <c r="DW1278" s="496" t="s">
        <v>1981</v>
      </c>
      <c r="DX1278" s="497" t="s">
        <v>1982</v>
      </c>
      <c r="DZ1278" s="543">
        <v>1</v>
      </c>
      <c r="EB1278" s="493"/>
      <c r="EC1278" s="493"/>
    </row>
    <row r="1279" spans="119:133" ht="21" customHeight="1">
      <c r="DO1279" s="494"/>
      <c r="DP1279" s="496" t="s">
        <v>3597</v>
      </c>
      <c r="DQ1279" s="496" t="s">
        <v>8</v>
      </c>
      <c r="DR1279" s="496" t="s">
        <v>689</v>
      </c>
      <c r="DS1279" s="496" t="s">
        <v>179</v>
      </c>
      <c r="DT1279" s="496" t="s">
        <v>179</v>
      </c>
      <c r="DU1279" s="496" t="s">
        <v>1085</v>
      </c>
      <c r="DV1279" s="496" t="s">
        <v>2063</v>
      </c>
      <c r="DW1279" s="496" t="s">
        <v>1087</v>
      </c>
      <c r="DX1279" s="497" t="s">
        <v>1088</v>
      </c>
      <c r="DZ1279" s="543">
        <v>1</v>
      </c>
      <c r="EB1279" s="493"/>
      <c r="EC1279" s="493"/>
    </row>
    <row r="1280" spans="119:133" ht="21" customHeight="1">
      <c r="DO1280" s="494"/>
      <c r="DP1280" s="496" t="s">
        <v>3598</v>
      </c>
      <c r="DQ1280" s="496" t="s">
        <v>8</v>
      </c>
      <c r="DR1280" s="496" t="s">
        <v>689</v>
      </c>
      <c r="DS1280" s="496" t="s">
        <v>3599</v>
      </c>
      <c r="DT1280" s="496" t="s">
        <v>3599</v>
      </c>
      <c r="DU1280" s="496" t="s">
        <v>1151</v>
      </c>
      <c r="DV1280" s="496" t="s">
        <v>1152</v>
      </c>
      <c r="DW1280" s="496" t="s">
        <v>1087</v>
      </c>
      <c r="DX1280" s="497" t="s">
        <v>1153</v>
      </c>
      <c r="DZ1280" s="543">
        <v>1</v>
      </c>
      <c r="EB1280" s="493"/>
      <c r="EC1280" s="493"/>
    </row>
    <row r="1281" spans="119:133" ht="21" customHeight="1">
      <c r="DO1281" s="494"/>
      <c r="DP1281" s="496" t="s">
        <v>3600</v>
      </c>
      <c r="DQ1281" s="496" t="s">
        <v>8</v>
      </c>
      <c r="DR1281" s="496" t="s">
        <v>689</v>
      </c>
      <c r="DS1281" s="496" t="s">
        <v>3601</v>
      </c>
      <c r="DT1281" s="496" t="s">
        <v>3601</v>
      </c>
      <c r="DU1281" s="496" t="s">
        <v>1554</v>
      </c>
      <c r="DV1281" s="496" t="s">
        <v>1555</v>
      </c>
      <c r="DW1281" s="496" t="s">
        <v>1981</v>
      </c>
      <c r="DX1281" s="497" t="s">
        <v>1982</v>
      </c>
      <c r="DZ1281" s="543">
        <v>1</v>
      </c>
      <c r="EB1281" s="493"/>
      <c r="EC1281" s="493"/>
    </row>
    <row r="1282" spans="119:133" ht="21" customHeight="1">
      <c r="DO1282" s="494"/>
      <c r="DP1282" s="496" t="s">
        <v>3602</v>
      </c>
      <c r="DQ1282" s="496" t="s">
        <v>8</v>
      </c>
      <c r="DR1282" s="496" t="s">
        <v>689</v>
      </c>
      <c r="DS1282" s="496" t="s">
        <v>3603</v>
      </c>
      <c r="DT1282" s="496" t="s">
        <v>3603</v>
      </c>
      <c r="DU1282" s="496" t="s">
        <v>1554</v>
      </c>
      <c r="DV1282" s="496" t="s">
        <v>1555</v>
      </c>
      <c r="DW1282" s="496" t="s">
        <v>1981</v>
      </c>
      <c r="DX1282" s="497" t="s">
        <v>1982</v>
      </c>
      <c r="DZ1282" s="543">
        <v>1</v>
      </c>
      <c r="EB1282" s="493"/>
      <c r="EC1282" s="493"/>
    </row>
    <row r="1283" spans="119:133" ht="21" customHeight="1">
      <c r="DO1283" s="494"/>
      <c r="DP1283" s="496" t="s">
        <v>3604</v>
      </c>
      <c r="DQ1283" s="496" t="s">
        <v>8</v>
      </c>
      <c r="DR1283" s="496" t="s">
        <v>689</v>
      </c>
      <c r="DS1283" s="496" t="s">
        <v>3605</v>
      </c>
      <c r="DT1283" s="496" t="s">
        <v>3605</v>
      </c>
      <c r="DU1283" s="496" t="s">
        <v>1554</v>
      </c>
      <c r="DV1283" s="496" t="s">
        <v>1555</v>
      </c>
      <c r="DW1283" s="496" t="s">
        <v>1981</v>
      </c>
      <c r="DX1283" s="497" t="s">
        <v>1982</v>
      </c>
      <c r="DZ1283" s="543">
        <v>1</v>
      </c>
      <c r="EB1283" s="493"/>
      <c r="EC1283" s="493"/>
    </row>
    <row r="1284" spans="119:133" ht="21" customHeight="1">
      <c r="DO1284" s="494"/>
      <c r="DP1284" s="496" t="s">
        <v>3606</v>
      </c>
      <c r="DQ1284" s="496" t="s">
        <v>8</v>
      </c>
      <c r="DR1284" s="496" t="s">
        <v>689</v>
      </c>
      <c r="DS1284" s="496" t="s">
        <v>3607</v>
      </c>
      <c r="DT1284" s="496" t="s">
        <v>3607</v>
      </c>
      <c r="DU1284" s="496" t="s">
        <v>1554</v>
      </c>
      <c r="DV1284" s="496" t="s">
        <v>1555</v>
      </c>
      <c r="DW1284" s="496" t="s">
        <v>1981</v>
      </c>
      <c r="DX1284" s="497" t="s">
        <v>1982</v>
      </c>
      <c r="DZ1284" s="543">
        <v>1</v>
      </c>
      <c r="EB1284" s="493"/>
      <c r="EC1284" s="493"/>
    </row>
    <row r="1285" spans="119:133" ht="21" customHeight="1">
      <c r="DO1285" s="494"/>
      <c r="DP1285" s="496" t="s">
        <v>3608</v>
      </c>
      <c r="DQ1285" s="496" t="s">
        <v>8</v>
      </c>
      <c r="DR1285" s="496" t="s">
        <v>689</v>
      </c>
      <c r="DS1285" s="496" t="s">
        <v>3609</v>
      </c>
      <c r="DT1285" s="496" t="s">
        <v>3609</v>
      </c>
      <c r="DU1285" s="496" t="s">
        <v>1554</v>
      </c>
      <c r="DV1285" s="496" t="s">
        <v>1555</v>
      </c>
      <c r="DW1285" s="496" t="s">
        <v>1981</v>
      </c>
      <c r="DX1285" s="497" t="s">
        <v>1982</v>
      </c>
      <c r="DZ1285" s="543">
        <v>1</v>
      </c>
      <c r="EB1285" s="493"/>
      <c r="EC1285" s="493"/>
    </row>
    <row r="1286" spans="119:133" ht="21" customHeight="1">
      <c r="DO1286" s="494"/>
      <c r="DP1286" s="496" t="s">
        <v>3610</v>
      </c>
      <c r="DQ1286" s="496" t="s">
        <v>8</v>
      </c>
      <c r="DR1286" s="496" t="s">
        <v>689</v>
      </c>
      <c r="DS1286" s="496" t="s">
        <v>3611</v>
      </c>
      <c r="DT1286" s="496" t="s">
        <v>3611</v>
      </c>
      <c r="DU1286" s="496" t="s">
        <v>1554</v>
      </c>
      <c r="DV1286" s="496" t="s">
        <v>1555</v>
      </c>
      <c r="DW1286" s="496" t="s">
        <v>1981</v>
      </c>
      <c r="DX1286" s="497" t="s">
        <v>1982</v>
      </c>
      <c r="DZ1286" s="543">
        <v>1</v>
      </c>
      <c r="EB1286" s="493"/>
      <c r="EC1286" s="493"/>
    </row>
    <row r="1287" spans="119:133" ht="21" customHeight="1">
      <c r="DO1287" s="494"/>
      <c r="DP1287" s="496" t="s">
        <v>3612</v>
      </c>
      <c r="DQ1287" s="496" t="s">
        <v>8</v>
      </c>
      <c r="DR1287" s="496" t="s">
        <v>689</v>
      </c>
      <c r="DS1287" s="496" t="s">
        <v>3613</v>
      </c>
      <c r="DT1287" s="496" t="s">
        <v>3613</v>
      </c>
      <c r="DU1287" s="496" t="s">
        <v>1554</v>
      </c>
      <c r="DV1287" s="496" t="s">
        <v>1555</v>
      </c>
      <c r="DW1287" s="496" t="s">
        <v>1981</v>
      </c>
      <c r="DX1287" s="497" t="s">
        <v>1982</v>
      </c>
      <c r="DZ1287" s="543">
        <v>1</v>
      </c>
      <c r="EB1287" s="493"/>
      <c r="EC1287" s="493"/>
    </row>
    <row r="1288" spans="119:133" ht="21" customHeight="1">
      <c r="DO1288" s="494"/>
      <c r="DP1288" s="496" t="s">
        <v>3614</v>
      </c>
      <c r="DQ1288" s="496" t="s">
        <v>8</v>
      </c>
      <c r="DR1288" s="496" t="s">
        <v>689</v>
      </c>
      <c r="DS1288" s="496" t="s">
        <v>3615</v>
      </c>
      <c r="DT1288" s="496" t="s">
        <v>3615</v>
      </c>
      <c r="DU1288" s="496" t="s">
        <v>1554</v>
      </c>
      <c r="DV1288" s="496" t="s">
        <v>1555</v>
      </c>
      <c r="DW1288" s="496" t="s">
        <v>1981</v>
      </c>
      <c r="DX1288" s="497" t="s">
        <v>1982</v>
      </c>
      <c r="DZ1288" s="543">
        <v>1</v>
      </c>
      <c r="EB1288" s="493"/>
      <c r="EC1288" s="493"/>
    </row>
    <row r="1289" spans="119:133" ht="21" customHeight="1">
      <c r="DO1289" s="494"/>
      <c r="DP1289" s="496" t="s">
        <v>3616</v>
      </c>
      <c r="DQ1289" s="496" t="s">
        <v>8</v>
      </c>
      <c r="DR1289" s="496" t="s">
        <v>689</v>
      </c>
      <c r="DS1289" s="496" t="s">
        <v>1054</v>
      </c>
      <c r="DT1289" s="496" t="s">
        <v>1054</v>
      </c>
      <c r="DU1289" s="496" t="s">
        <v>1085</v>
      </c>
      <c r="DV1289" s="496" t="s">
        <v>2063</v>
      </c>
      <c r="DW1289" s="496" t="s">
        <v>1087</v>
      </c>
      <c r="DX1289" s="497" t="s">
        <v>1088</v>
      </c>
      <c r="DZ1289" s="543">
        <v>1</v>
      </c>
      <c r="EB1289" s="493"/>
      <c r="EC1289" s="493"/>
    </row>
    <row r="1290" spans="119:133" ht="21" customHeight="1">
      <c r="DO1290" s="494"/>
      <c r="DP1290" s="496" t="s">
        <v>3617</v>
      </c>
      <c r="DQ1290" s="496" t="s">
        <v>8</v>
      </c>
      <c r="DR1290" s="496" t="s">
        <v>689</v>
      </c>
      <c r="DS1290" s="496" t="s">
        <v>3618</v>
      </c>
      <c r="DT1290" s="496" t="s">
        <v>3618</v>
      </c>
      <c r="DU1290" s="496" t="s">
        <v>1085</v>
      </c>
      <c r="DV1290" s="496" t="s">
        <v>2063</v>
      </c>
      <c r="DW1290" s="496" t="s">
        <v>1087</v>
      </c>
      <c r="DX1290" s="497" t="s">
        <v>1088</v>
      </c>
      <c r="DZ1290" s="543">
        <v>1</v>
      </c>
      <c r="EB1290" s="493"/>
      <c r="EC1290" s="493"/>
    </row>
    <row r="1291" spans="119:133" ht="21" customHeight="1">
      <c r="DO1291" s="494"/>
      <c r="DP1291" s="496" t="s">
        <v>3619</v>
      </c>
      <c r="DQ1291" s="496" t="s">
        <v>8</v>
      </c>
      <c r="DR1291" s="496" t="s">
        <v>689</v>
      </c>
      <c r="DS1291" s="496" t="s">
        <v>3620</v>
      </c>
      <c r="DT1291" s="496" t="s">
        <v>3620</v>
      </c>
      <c r="DU1291" s="496" t="s">
        <v>1554</v>
      </c>
      <c r="DV1291" s="496" t="s">
        <v>1555</v>
      </c>
      <c r="DW1291" s="496" t="s">
        <v>1981</v>
      </c>
      <c r="DX1291" s="497" t="s">
        <v>1982</v>
      </c>
      <c r="DZ1291" s="543">
        <v>1</v>
      </c>
      <c r="EB1291" s="493"/>
      <c r="EC1291" s="493"/>
    </row>
    <row r="1292" spans="119:133" ht="21" customHeight="1">
      <c r="DO1292" s="494"/>
      <c r="DP1292" s="496" t="s">
        <v>3621</v>
      </c>
      <c r="DQ1292" s="496" t="s">
        <v>8</v>
      </c>
      <c r="DR1292" s="496" t="s">
        <v>689</v>
      </c>
      <c r="DS1292" s="496" t="s">
        <v>1055</v>
      </c>
      <c r="DT1292" s="496" t="s">
        <v>1055</v>
      </c>
      <c r="DU1292" s="496" t="s">
        <v>1085</v>
      </c>
      <c r="DV1292" s="496" t="s">
        <v>2063</v>
      </c>
      <c r="DW1292" s="496" t="s">
        <v>1087</v>
      </c>
      <c r="DX1292" s="497" t="s">
        <v>1088</v>
      </c>
      <c r="DZ1292" s="543">
        <v>1</v>
      </c>
      <c r="EB1292" s="493"/>
      <c r="EC1292" s="493"/>
    </row>
    <row r="1293" spans="119:133" ht="21" customHeight="1">
      <c r="DO1293" s="494"/>
      <c r="DP1293" s="496" t="s">
        <v>3622</v>
      </c>
      <c r="DQ1293" s="496" t="s">
        <v>8</v>
      </c>
      <c r="DR1293" s="496" t="s">
        <v>689</v>
      </c>
      <c r="DS1293" s="496" t="s">
        <v>3623</v>
      </c>
      <c r="DT1293" s="496" t="s">
        <v>3623</v>
      </c>
      <c r="DU1293" s="496" t="s">
        <v>1554</v>
      </c>
      <c r="DV1293" s="496" t="s">
        <v>1555</v>
      </c>
      <c r="DW1293" s="496" t="s">
        <v>1981</v>
      </c>
      <c r="DX1293" s="497" t="s">
        <v>1982</v>
      </c>
      <c r="DZ1293" s="543">
        <v>1</v>
      </c>
      <c r="EB1293" s="493"/>
      <c r="EC1293" s="493"/>
    </row>
    <row r="1294" spans="119:133" ht="21" customHeight="1">
      <c r="DO1294" s="494"/>
      <c r="DP1294" s="496" t="s">
        <v>3624</v>
      </c>
      <c r="DQ1294" s="496" t="s">
        <v>8</v>
      </c>
      <c r="DR1294" s="496" t="s">
        <v>689</v>
      </c>
      <c r="DS1294" s="496" t="s">
        <v>3625</v>
      </c>
      <c r="DT1294" s="496" t="s">
        <v>3625</v>
      </c>
      <c r="DU1294" s="496" t="s">
        <v>1554</v>
      </c>
      <c r="DV1294" s="496" t="s">
        <v>1555</v>
      </c>
      <c r="DW1294" s="496" t="s">
        <v>1981</v>
      </c>
      <c r="DX1294" s="497" t="s">
        <v>1982</v>
      </c>
      <c r="DZ1294" s="543">
        <v>1</v>
      </c>
      <c r="EB1294" s="493"/>
      <c r="EC1294" s="493"/>
    </row>
    <row r="1295" spans="119:133" ht="21" customHeight="1">
      <c r="DO1295" s="494"/>
      <c r="DP1295" s="496" t="s">
        <v>3626</v>
      </c>
      <c r="DQ1295" s="496" t="s">
        <v>8</v>
      </c>
      <c r="DR1295" s="496" t="s">
        <v>689</v>
      </c>
      <c r="DS1295" s="496" t="s">
        <v>3627</v>
      </c>
      <c r="DT1295" s="496" t="s">
        <v>3627</v>
      </c>
      <c r="DU1295" s="496" t="s">
        <v>1554</v>
      </c>
      <c r="DV1295" s="496" t="s">
        <v>1555</v>
      </c>
      <c r="DW1295" s="496" t="s">
        <v>1981</v>
      </c>
      <c r="DX1295" s="497" t="s">
        <v>1982</v>
      </c>
      <c r="DZ1295" s="543">
        <v>1</v>
      </c>
      <c r="EB1295" s="493"/>
      <c r="EC1295" s="493"/>
    </row>
    <row r="1296" spans="119:133" ht="21" customHeight="1">
      <c r="DO1296" s="494"/>
      <c r="DP1296" s="496" t="s">
        <v>3628</v>
      </c>
      <c r="DQ1296" s="496" t="s">
        <v>8</v>
      </c>
      <c r="DR1296" s="496" t="s">
        <v>689</v>
      </c>
      <c r="DS1296" s="496" t="s">
        <v>3629</v>
      </c>
      <c r="DT1296" s="496" t="s">
        <v>3629</v>
      </c>
      <c r="DU1296" s="496" t="s">
        <v>1554</v>
      </c>
      <c r="DV1296" s="496" t="s">
        <v>1555</v>
      </c>
      <c r="DW1296" s="496" t="s">
        <v>1981</v>
      </c>
      <c r="DX1296" s="497" t="s">
        <v>1982</v>
      </c>
      <c r="DZ1296" s="543">
        <v>1</v>
      </c>
      <c r="EB1296" s="493"/>
      <c r="EC1296" s="493"/>
    </row>
    <row r="1297" spans="119:133" ht="21" customHeight="1">
      <c r="DO1297" s="494"/>
      <c r="DP1297" s="496" t="s">
        <v>3630</v>
      </c>
      <c r="DQ1297" s="496" t="s">
        <v>8</v>
      </c>
      <c r="DR1297" s="496" t="s">
        <v>689</v>
      </c>
      <c r="DS1297" s="496" t="s">
        <v>3631</v>
      </c>
      <c r="DT1297" s="496" t="s">
        <v>3631</v>
      </c>
      <c r="DU1297" s="496" t="s">
        <v>1554</v>
      </c>
      <c r="DV1297" s="496" t="s">
        <v>1555</v>
      </c>
      <c r="DW1297" s="496" t="s">
        <v>1981</v>
      </c>
      <c r="DX1297" s="497" t="s">
        <v>1982</v>
      </c>
      <c r="DZ1297" s="543">
        <v>1</v>
      </c>
      <c r="EB1297" s="493"/>
      <c r="EC1297" s="493"/>
    </row>
    <row r="1298" spans="119:133" ht="21" customHeight="1">
      <c r="DO1298" s="494"/>
      <c r="DP1298" s="496" t="s">
        <v>3632</v>
      </c>
      <c r="DQ1298" s="496" t="s">
        <v>8</v>
      </c>
      <c r="DR1298" s="496" t="s">
        <v>689</v>
      </c>
      <c r="DS1298" s="496" t="s">
        <v>3633</v>
      </c>
      <c r="DT1298" s="496" t="s">
        <v>3633</v>
      </c>
      <c r="DU1298" s="496" t="s">
        <v>1554</v>
      </c>
      <c r="DV1298" s="496" t="s">
        <v>1555</v>
      </c>
      <c r="DW1298" s="496" t="s">
        <v>1981</v>
      </c>
      <c r="DX1298" s="497" t="s">
        <v>1982</v>
      </c>
      <c r="DZ1298" s="543">
        <v>1</v>
      </c>
      <c r="EB1298" s="493"/>
      <c r="EC1298" s="493"/>
    </row>
    <row r="1299" spans="119:133" ht="21" customHeight="1">
      <c r="DO1299" s="494"/>
      <c r="DP1299" s="496" t="s">
        <v>3634</v>
      </c>
      <c r="DQ1299" s="496" t="s">
        <v>8</v>
      </c>
      <c r="DR1299" s="496" t="s">
        <v>689</v>
      </c>
      <c r="DS1299" s="496" t="s">
        <v>3635</v>
      </c>
      <c r="DT1299" s="496" t="s">
        <v>3635</v>
      </c>
      <c r="DU1299" s="496" t="s">
        <v>1554</v>
      </c>
      <c r="DV1299" s="496" t="s">
        <v>1555</v>
      </c>
      <c r="DW1299" s="496" t="s">
        <v>1981</v>
      </c>
      <c r="DX1299" s="497" t="s">
        <v>1982</v>
      </c>
      <c r="DZ1299" s="543">
        <v>1</v>
      </c>
      <c r="EB1299" s="493"/>
      <c r="EC1299" s="493"/>
    </row>
    <row r="1300" spans="119:133" ht="21" customHeight="1">
      <c r="DO1300" s="494"/>
      <c r="DP1300" s="496" t="s">
        <v>3636</v>
      </c>
      <c r="DQ1300" s="496" t="s">
        <v>8</v>
      </c>
      <c r="DR1300" s="496" t="s">
        <v>689</v>
      </c>
      <c r="DS1300" s="496" t="s">
        <v>3637</v>
      </c>
      <c r="DT1300" s="496" t="s">
        <v>3637</v>
      </c>
      <c r="DU1300" s="496" t="s">
        <v>1554</v>
      </c>
      <c r="DV1300" s="496" t="s">
        <v>1555</v>
      </c>
      <c r="DW1300" s="496" t="s">
        <v>1981</v>
      </c>
      <c r="DX1300" s="497" t="s">
        <v>1982</v>
      </c>
      <c r="DZ1300" s="543">
        <v>1</v>
      </c>
      <c r="EB1300" s="493"/>
      <c r="EC1300" s="493"/>
    </row>
    <row r="1301" spans="119:133" ht="21" customHeight="1">
      <c r="DO1301" s="494"/>
      <c r="DP1301" s="496" t="s">
        <v>3638</v>
      </c>
      <c r="DQ1301" s="496" t="s">
        <v>8</v>
      </c>
      <c r="DR1301" s="496" t="s">
        <v>689</v>
      </c>
      <c r="DS1301" s="496" t="s">
        <v>3639</v>
      </c>
      <c r="DT1301" s="496" t="s">
        <v>3639</v>
      </c>
      <c r="DU1301" s="496" t="s">
        <v>1554</v>
      </c>
      <c r="DV1301" s="496" t="s">
        <v>1555</v>
      </c>
      <c r="DW1301" s="496" t="s">
        <v>1981</v>
      </c>
      <c r="DX1301" s="497" t="s">
        <v>1982</v>
      </c>
      <c r="DZ1301" s="543">
        <v>1</v>
      </c>
      <c r="EB1301" s="493"/>
      <c r="EC1301" s="493"/>
    </row>
    <row r="1302" spans="119:133" ht="21" customHeight="1">
      <c r="DO1302" s="494"/>
      <c r="DP1302" s="496" t="s">
        <v>3640</v>
      </c>
      <c r="DQ1302" s="496" t="s">
        <v>8</v>
      </c>
      <c r="DR1302" s="496" t="s">
        <v>689</v>
      </c>
      <c r="DS1302" s="496" t="s">
        <v>1056</v>
      </c>
      <c r="DT1302" s="496" t="s">
        <v>1056</v>
      </c>
      <c r="DU1302" s="496" t="s">
        <v>1554</v>
      </c>
      <c r="DV1302" s="496" t="s">
        <v>1555</v>
      </c>
      <c r="DW1302" s="496" t="s">
        <v>1981</v>
      </c>
      <c r="DX1302" s="497" t="s">
        <v>1982</v>
      </c>
      <c r="DZ1302" s="543">
        <v>1</v>
      </c>
      <c r="EB1302" s="493"/>
      <c r="EC1302" s="493"/>
    </row>
    <row r="1303" spans="119:133" ht="21" customHeight="1">
      <c r="DO1303" s="494"/>
      <c r="DP1303" s="496" t="s">
        <v>3641</v>
      </c>
      <c r="DQ1303" s="496" t="s">
        <v>8</v>
      </c>
      <c r="DR1303" s="496" t="s">
        <v>689</v>
      </c>
      <c r="DS1303" s="496" t="s">
        <v>1057</v>
      </c>
      <c r="DT1303" s="496" t="s">
        <v>1057</v>
      </c>
      <c r="DU1303" s="496" t="s">
        <v>1554</v>
      </c>
      <c r="DV1303" s="496" t="s">
        <v>1555</v>
      </c>
      <c r="DW1303" s="496" t="s">
        <v>1981</v>
      </c>
      <c r="DX1303" s="497" t="s">
        <v>1982</v>
      </c>
      <c r="DZ1303" s="543">
        <v>1</v>
      </c>
      <c r="EB1303" s="493"/>
      <c r="EC1303" s="493"/>
    </row>
    <row r="1304" spans="119:133" ht="21" customHeight="1">
      <c r="DO1304" s="494"/>
      <c r="DP1304" s="496" t="s">
        <v>3642</v>
      </c>
      <c r="DQ1304" s="496" t="s">
        <v>8</v>
      </c>
      <c r="DR1304" s="496" t="s">
        <v>689</v>
      </c>
      <c r="DS1304" s="496" t="s">
        <v>3643</v>
      </c>
      <c r="DT1304" s="496" t="s">
        <v>3643</v>
      </c>
      <c r="DU1304" s="496" t="s">
        <v>1554</v>
      </c>
      <c r="DV1304" s="496" t="s">
        <v>1555</v>
      </c>
      <c r="DW1304" s="496" t="s">
        <v>1981</v>
      </c>
      <c r="DX1304" s="497" t="s">
        <v>1982</v>
      </c>
      <c r="DZ1304" s="543">
        <v>1</v>
      </c>
      <c r="EB1304" s="493"/>
      <c r="EC1304" s="493"/>
    </row>
    <row r="1305" spans="119:133" ht="21" customHeight="1">
      <c r="DO1305" s="494"/>
      <c r="DP1305" s="496" t="s">
        <v>3644</v>
      </c>
      <c r="DQ1305" s="496" t="s">
        <v>8</v>
      </c>
      <c r="DR1305" s="496" t="s">
        <v>689</v>
      </c>
      <c r="DS1305" s="496" t="s">
        <v>1058</v>
      </c>
      <c r="DT1305" s="496" t="s">
        <v>1058</v>
      </c>
      <c r="DU1305" s="496" t="s">
        <v>1554</v>
      </c>
      <c r="DV1305" s="496" t="s">
        <v>1555</v>
      </c>
      <c r="DW1305" s="496" t="s">
        <v>1981</v>
      </c>
      <c r="DX1305" s="497" t="s">
        <v>1982</v>
      </c>
      <c r="DZ1305" s="543">
        <v>1</v>
      </c>
      <c r="EB1305" s="493"/>
      <c r="EC1305" s="493"/>
    </row>
    <row r="1306" spans="119:133" ht="21" customHeight="1">
      <c r="DO1306" s="494"/>
      <c r="DP1306" s="496" t="s">
        <v>3645</v>
      </c>
      <c r="DQ1306" s="496" t="s">
        <v>8</v>
      </c>
      <c r="DR1306" s="496" t="s">
        <v>689</v>
      </c>
      <c r="DS1306" s="496" t="s">
        <v>3646</v>
      </c>
      <c r="DT1306" s="496" t="s">
        <v>3646</v>
      </c>
      <c r="DU1306" s="496" t="s">
        <v>1554</v>
      </c>
      <c r="DV1306" s="496" t="s">
        <v>1555</v>
      </c>
      <c r="DW1306" s="496" t="s">
        <v>1981</v>
      </c>
      <c r="DX1306" s="497" t="s">
        <v>1982</v>
      </c>
      <c r="DZ1306" s="543">
        <v>1</v>
      </c>
      <c r="EB1306" s="493"/>
      <c r="EC1306" s="493"/>
    </row>
    <row r="1307" spans="119:133" ht="21" customHeight="1">
      <c r="DO1307" s="494"/>
      <c r="DP1307" s="496" t="s">
        <v>3647</v>
      </c>
      <c r="DQ1307" s="496" t="s">
        <v>8</v>
      </c>
      <c r="DR1307" s="496" t="s">
        <v>689</v>
      </c>
      <c r="DS1307" s="496" t="s">
        <v>3648</v>
      </c>
      <c r="DT1307" s="496" t="s">
        <v>3648</v>
      </c>
      <c r="DU1307" s="496" t="s">
        <v>1554</v>
      </c>
      <c r="DV1307" s="496" t="s">
        <v>1555</v>
      </c>
      <c r="DW1307" s="496" t="s">
        <v>1981</v>
      </c>
      <c r="DX1307" s="497" t="s">
        <v>1982</v>
      </c>
      <c r="DZ1307" s="543">
        <v>1</v>
      </c>
      <c r="EB1307" s="493"/>
      <c r="EC1307" s="493"/>
    </row>
    <row r="1308" spans="119:133" ht="21" customHeight="1">
      <c r="DO1308" s="494"/>
      <c r="DP1308" s="496" t="s">
        <v>3649</v>
      </c>
      <c r="DQ1308" s="496" t="s">
        <v>8</v>
      </c>
      <c r="DR1308" s="496" t="s">
        <v>689</v>
      </c>
      <c r="DS1308" s="496" t="s">
        <v>3650</v>
      </c>
      <c r="DT1308" s="496" t="s">
        <v>3650</v>
      </c>
      <c r="DU1308" s="496" t="s">
        <v>1554</v>
      </c>
      <c r="DV1308" s="496" t="s">
        <v>1555</v>
      </c>
      <c r="DW1308" s="496" t="s">
        <v>1981</v>
      </c>
      <c r="DX1308" s="497" t="s">
        <v>1982</v>
      </c>
      <c r="DZ1308" s="543">
        <v>1</v>
      </c>
      <c r="EB1308" s="493"/>
      <c r="EC1308" s="493"/>
    </row>
    <row r="1309" spans="119:133" ht="21" customHeight="1">
      <c r="DO1309" s="494"/>
      <c r="DP1309" s="496" t="s">
        <v>3651</v>
      </c>
      <c r="DQ1309" s="496" t="s">
        <v>8</v>
      </c>
      <c r="DR1309" s="496" t="s">
        <v>689</v>
      </c>
      <c r="DS1309" s="496" t="s">
        <v>1059</v>
      </c>
      <c r="DT1309" s="496" t="s">
        <v>1059</v>
      </c>
      <c r="DU1309" s="496" t="s">
        <v>1554</v>
      </c>
      <c r="DV1309" s="496" t="s">
        <v>1555</v>
      </c>
      <c r="DW1309" s="496" t="s">
        <v>1981</v>
      </c>
      <c r="DX1309" s="497" t="s">
        <v>1982</v>
      </c>
      <c r="DZ1309" s="543">
        <v>1</v>
      </c>
      <c r="EB1309" s="493"/>
      <c r="EC1309" s="493"/>
    </row>
    <row r="1310" spans="119:133" ht="21" customHeight="1">
      <c r="DO1310" s="494"/>
      <c r="DP1310" s="496" t="s">
        <v>3652</v>
      </c>
      <c r="DQ1310" s="496" t="s">
        <v>8</v>
      </c>
      <c r="DR1310" s="496" t="s">
        <v>689</v>
      </c>
      <c r="DS1310" s="496" t="s">
        <v>3653</v>
      </c>
      <c r="DT1310" s="496" t="s">
        <v>3653</v>
      </c>
      <c r="DU1310" s="496" t="s">
        <v>1554</v>
      </c>
      <c r="DV1310" s="496" t="s">
        <v>1555</v>
      </c>
      <c r="DW1310" s="496" t="s">
        <v>1981</v>
      </c>
      <c r="DX1310" s="497" t="s">
        <v>1982</v>
      </c>
      <c r="DZ1310" s="543">
        <v>1</v>
      </c>
      <c r="EB1310" s="493"/>
      <c r="EC1310" s="493"/>
    </row>
    <row r="1311" spans="119:133" ht="21" customHeight="1">
      <c r="DO1311" s="494"/>
      <c r="DP1311" s="496" t="s">
        <v>3654</v>
      </c>
      <c r="DQ1311" s="496" t="s">
        <v>8</v>
      </c>
      <c r="DR1311" s="496" t="s">
        <v>689</v>
      </c>
      <c r="DS1311" s="496" t="s">
        <v>3655</v>
      </c>
      <c r="DT1311" s="496" t="s">
        <v>3655</v>
      </c>
      <c r="DU1311" s="496" t="s">
        <v>1554</v>
      </c>
      <c r="DV1311" s="496" t="s">
        <v>1555</v>
      </c>
      <c r="DW1311" s="496" t="s">
        <v>1981</v>
      </c>
      <c r="DX1311" s="497" t="s">
        <v>1982</v>
      </c>
      <c r="DZ1311" s="543">
        <v>1</v>
      </c>
      <c r="EB1311" s="493"/>
      <c r="EC1311" s="493"/>
    </row>
    <row r="1312" spans="119:133" ht="21" customHeight="1">
      <c r="DO1312" s="494"/>
      <c r="DP1312" s="496" t="s">
        <v>3656</v>
      </c>
      <c r="DQ1312" s="496" t="s">
        <v>8</v>
      </c>
      <c r="DR1312" s="496" t="s">
        <v>689</v>
      </c>
      <c r="DS1312" s="496" t="s">
        <v>3657</v>
      </c>
      <c r="DT1312" s="496" t="s">
        <v>3657</v>
      </c>
      <c r="DU1312" s="496" t="s">
        <v>1554</v>
      </c>
      <c r="DV1312" s="496" t="s">
        <v>1555</v>
      </c>
      <c r="DW1312" s="496" t="s">
        <v>1981</v>
      </c>
      <c r="DX1312" s="497" t="s">
        <v>1982</v>
      </c>
      <c r="DZ1312" s="543">
        <v>1</v>
      </c>
      <c r="EB1312" s="493"/>
      <c r="EC1312" s="493"/>
    </row>
    <row r="1313" spans="119:133" ht="21" customHeight="1">
      <c r="DO1313" s="494"/>
      <c r="DP1313" s="496" t="s">
        <v>3658</v>
      </c>
      <c r="DQ1313" s="496" t="s">
        <v>8</v>
      </c>
      <c r="DR1313" s="496" t="s">
        <v>689</v>
      </c>
      <c r="DS1313" s="496" t="s">
        <v>1060</v>
      </c>
      <c r="DT1313" s="496" t="s">
        <v>1060</v>
      </c>
      <c r="DU1313" s="496" t="s">
        <v>1554</v>
      </c>
      <c r="DV1313" s="496" t="s">
        <v>1555</v>
      </c>
      <c r="DW1313" s="496" t="s">
        <v>1981</v>
      </c>
      <c r="DX1313" s="497" t="s">
        <v>1982</v>
      </c>
      <c r="DZ1313" s="543">
        <v>1</v>
      </c>
      <c r="EB1313" s="493"/>
      <c r="EC1313" s="493"/>
    </row>
    <row r="1314" spans="119:133" ht="21" customHeight="1">
      <c r="DO1314" s="494"/>
      <c r="DP1314" s="496" t="s">
        <v>3659</v>
      </c>
      <c r="DQ1314" s="496" t="s">
        <v>8</v>
      </c>
      <c r="DR1314" s="496" t="s">
        <v>689</v>
      </c>
      <c r="DS1314" s="496" t="s">
        <v>3660</v>
      </c>
      <c r="DT1314" s="496" t="s">
        <v>3660</v>
      </c>
      <c r="DU1314" s="496" t="s">
        <v>1554</v>
      </c>
      <c r="DV1314" s="496" t="s">
        <v>1555</v>
      </c>
      <c r="DW1314" s="496" t="s">
        <v>1981</v>
      </c>
      <c r="DX1314" s="497" t="s">
        <v>1982</v>
      </c>
      <c r="DZ1314" s="543">
        <v>1</v>
      </c>
      <c r="EB1314" s="493"/>
      <c r="EC1314" s="493"/>
    </row>
    <row r="1315" spans="119:133" ht="21" customHeight="1">
      <c r="DO1315" s="494"/>
      <c r="DP1315" s="496" t="s">
        <v>3661</v>
      </c>
      <c r="DQ1315" s="496" t="s">
        <v>8</v>
      </c>
      <c r="DR1315" s="496" t="s">
        <v>689</v>
      </c>
      <c r="DS1315" s="496" t="s">
        <v>3662</v>
      </c>
      <c r="DT1315" s="496" t="s">
        <v>3662</v>
      </c>
      <c r="DU1315" s="496" t="s">
        <v>1554</v>
      </c>
      <c r="DV1315" s="496" t="s">
        <v>1555</v>
      </c>
      <c r="DW1315" s="496" t="s">
        <v>1981</v>
      </c>
      <c r="DX1315" s="497" t="s">
        <v>1982</v>
      </c>
      <c r="DZ1315" s="543">
        <v>1</v>
      </c>
      <c r="EB1315" s="493"/>
      <c r="EC1315" s="493"/>
    </row>
    <row r="1316" spans="119:133" ht="21" customHeight="1">
      <c r="DO1316" s="494"/>
      <c r="DP1316" s="496" t="s">
        <v>3663</v>
      </c>
      <c r="DQ1316" s="496" t="s">
        <v>8</v>
      </c>
      <c r="DR1316" s="496" t="s">
        <v>689</v>
      </c>
      <c r="DS1316" s="496" t="s">
        <v>3664</v>
      </c>
      <c r="DT1316" s="496" t="s">
        <v>3664</v>
      </c>
      <c r="DU1316" s="496" t="s">
        <v>1554</v>
      </c>
      <c r="DV1316" s="496" t="s">
        <v>1555</v>
      </c>
      <c r="DW1316" s="496" t="s">
        <v>1981</v>
      </c>
      <c r="DX1316" s="497" t="s">
        <v>1982</v>
      </c>
      <c r="DZ1316" s="543">
        <v>1</v>
      </c>
      <c r="EB1316" s="493"/>
      <c r="EC1316" s="493"/>
    </row>
    <row r="1317" spans="119:133" ht="21" customHeight="1">
      <c r="DO1317" s="494"/>
      <c r="DP1317" s="496" t="s">
        <v>3665</v>
      </c>
      <c r="DQ1317" s="496" t="s">
        <v>8</v>
      </c>
      <c r="DR1317" s="496" t="s">
        <v>689</v>
      </c>
      <c r="DS1317" s="496" t="s">
        <v>3666</v>
      </c>
      <c r="DT1317" s="496" t="s">
        <v>3666</v>
      </c>
      <c r="DU1317" s="496" t="s">
        <v>1554</v>
      </c>
      <c r="DV1317" s="496" t="s">
        <v>1555</v>
      </c>
      <c r="DW1317" s="496" t="s">
        <v>1981</v>
      </c>
      <c r="DX1317" s="497" t="s">
        <v>1982</v>
      </c>
      <c r="DZ1317" s="543">
        <v>1</v>
      </c>
      <c r="EB1317" s="493"/>
      <c r="EC1317" s="493"/>
    </row>
    <row r="1318" spans="119:133" ht="21" customHeight="1">
      <c r="DO1318" s="494"/>
      <c r="DP1318" s="496" t="s">
        <v>3667</v>
      </c>
      <c r="DQ1318" s="496" t="s">
        <v>8</v>
      </c>
      <c r="DR1318" s="496" t="s">
        <v>689</v>
      </c>
      <c r="DS1318" s="496" t="s">
        <v>3668</v>
      </c>
      <c r="DT1318" s="496" t="s">
        <v>3668</v>
      </c>
      <c r="DU1318" s="496" t="s">
        <v>1554</v>
      </c>
      <c r="DV1318" s="496" t="s">
        <v>1555</v>
      </c>
      <c r="DW1318" s="496" t="s">
        <v>1981</v>
      </c>
      <c r="DX1318" s="497" t="s">
        <v>1982</v>
      </c>
      <c r="DZ1318" s="543">
        <v>1</v>
      </c>
      <c r="EB1318" s="493"/>
      <c r="EC1318" s="493"/>
    </row>
    <row r="1319" spans="119:133" ht="21" customHeight="1">
      <c r="DO1319" s="494"/>
      <c r="DP1319" s="496" t="s">
        <v>3669</v>
      </c>
      <c r="DQ1319" s="496" t="s">
        <v>8</v>
      </c>
      <c r="DR1319" s="496" t="s">
        <v>689</v>
      </c>
      <c r="DS1319" s="496" t="s">
        <v>3670</v>
      </c>
      <c r="DT1319" s="496" t="s">
        <v>3670</v>
      </c>
      <c r="DU1319" s="496" t="s">
        <v>1554</v>
      </c>
      <c r="DV1319" s="496" t="s">
        <v>1555</v>
      </c>
      <c r="DW1319" s="496" t="s">
        <v>1981</v>
      </c>
      <c r="DX1319" s="497" t="s">
        <v>1982</v>
      </c>
      <c r="DZ1319" s="543">
        <v>1</v>
      </c>
      <c r="EB1319" s="493"/>
      <c r="EC1319" s="493"/>
    </row>
    <row r="1320" spans="119:133" ht="21" customHeight="1">
      <c r="DO1320" s="494"/>
      <c r="DP1320" s="496" t="s">
        <v>3671</v>
      </c>
      <c r="DQ1320" s="496" t="s">
        <v>8</v>
      </c>
      <c r="DR1320" s="496" t="s">
        <v>689</v>
      </c>
      <c r="DS1320" s="496" t="s">
        <v>3672</v>
      </c>
      <c r="DT1320" s="496" t="s">
        <v>3672</v>
      </c>
      <c r="DU1320" s="496" t="s">
        <v>1554</v>
      </c>
      <c r="DV1320" s="496" t="s">
        <v>1555</v>
      </c>
      <c r="DW1320" s="496" t="s">
        <v>1981</v>
      </c>
      <c r="DX1320" s="497" t="s">
        <v>1982</v>
      </c>
      <c r="DZ1320" s="543">
        <v>1</v>
      </c>
      <c r="EB1320" s="493"/>
      <c r="EC1320" s="493"/>
    </row>
    <row r="1321" spans="119:133" ht="21" customHeight="1">
      <c r="DO1321" s="494"/>
      <c r="DP1321" s="496" t="s">
        <v>3673</v>
      </c>
      <c r="DQ1321" s="496" t="s">
        <v>8</v>
      </c>
      <c r="DR1321" s="496" t="s">
        <v>689</v>
      </c>
      <c r="DS1321" s="496" t="s">
        <v>3674</v>
      </c>
      <c r="DT1321" s="496" t="s">
        <v>3674</v>
      </c>
      <c r="DU1321" s="496" t="s">
        <v>1151</v>
      </c>
      <c r="DV1321" s="496" t="s">
        <v>1152</v>
      </c>
      <c r="DW1321" s="496" t="s">
        <v>1087</v>
      </c>
      <c r="DX1321" s="497" t="s">
        <v>1153</v>
      </c>
      <c r="DZ1321" s="543">
        <v>1</v>
      </c>
      <c r="EB1321" s="493"/>
      <c r="EC1321" s="493"/>
    </row>
    <row r="1322" spans="119:133" ht="21" customHeight="1">
      <c r="DO1322" s="494"/>
      <c r="DP1322" s="496" t="s">
        <v>3675</v>
      </c>
      <c r="DQ1322" s="496" t="s">
        <v>8</v>
      </c>
      <c r="DR1322" s="496" t="s">
        <v>689</v>
      </c>
      <c r="DS1322" s="496" t="s">
        <v>145</v>
      </c>
      <c r="DT1322" s="496" t="s">
        <v>145</v>
      </c>
      <c r="DU1322" s="496" t="s">
        <v>1554</v>
      </c>
      <c r="DV1322" s="496" t="s">
        <v>1555</v>
      </c>
      <c r="DW1322" s="496" t="s">
        <v>1981</v>
      </c>
      <c r="DX1322" s="497" t="s">
        <v>1982</v>
      </c>
      <c r="DZ1322" s="543">
        <v>1</v>
      </c>
      <c r="EB1322" s="493"/>
      <c r="EC1322" s="493"/>
    </row>
    <row r="1323" spans="119:133" ht="21" customHeight="1">
      <c r="DO1323" s="494"/>
      <c r="DP1323" s="496" t="s">
        <v>3676</v>
      </c>
      <c r="DQ1323" s="496" t="s">
        <v>8</v>
      </c>
      <c r="DR1323" s="496" t="s">
        <v>689</v>
      </c>
      <c r="DS1323" s="496" t="s">
        <v>3677</v>
      </c>
      <c r="DT1323" s="496" t="s">
        <v>3677</v>
      </c>
      <c r="DU1323" s="496" t="s">
        <v>1554</v>
      </c>
      <c r="DV1323" s="496" t="s">
        <v>1555</v>
      </c>
      <c r="DW1323" s="496" t="s">
        <v>1981</v>
      </c>
      <c r="DX1323" s="497" t="s">
        <v>1982</v>
      </c>
      <c r="DZ1323" s="543">
        <v>1</v>
      </c>
      <c r="EB1323" s="493"/>
      <c r="EC1323" s="493"/>
    </row>
    <row r="1324" spans="119:133" ht="21" customHeight="1">
      <c r="DO1324" s="494"/>
      <c r="DP1324" s="496" t="s">
        <v>3678</v>
      </c>
      <c r="DQ1324" s="496" t="s">
        <v>8</v>
      </c>
      <c r="DR1324" s="496" t="s">
        <v>689</v>
      </c>
      <c r="DS1324" s="496" t="s">
        <v>363</v>
      </c>
      <c r="DT1324" s="496" t="s">
        <v>363</v>
      </c>
      <c r="DU1324" s="496" t="s">
        <v>1151</v>
      </c>
      <c r="DV1324" s="496" t="s">
        <v>1152</v>
      </c>
      <c r="DW1324" s="496" t="s">
        <v>1087</v>
      </c>
      <c r="DX1324" s="497" t="s">
        <v>1153</v>
      </c>
      <c r="DZ1324" s="543">
        <v>1</v>
      </c>
      <c r="EB1324" s="493"/>
      <c r="EC1324" s="493"/>
    </row>
    <row r="1325" spans="119:133" ht="21" customHeight="1">
      <c r="DO1325" s="494"/>
      <c r="DP1325" s="496" t="s">
        <v>3679</v>
      </c>
      <c r="DQ1325" s="496" t="s">
        <v>8</v>
      </c>
      <c r="DR1325" s="496" t="s">
        <v>689</v>
      </c>
      <c r="DS1325" s="496" t="s">
        <v>1061</v>
      </c>
      <c r="DT1325" s="496" t="s">
        <v>1061</v>
      </c>
      <c r="DU1325" s="496" t="s">
        <v>1554</v>
      </c>
      <c r="DV1325" s="496" t="s">
        <v>1555</v>
      </c>
      <c r="DW1325" s="496" t="s">
        <v>1981</v>
      </c>
      <c r="DX1325" s="497" t="s">
        <v>1982</v>
      </c>
      <c r="DZ1325" s="543">
        <v>1</v>
      </c>
      <c r="EB1325" s="493"/>
      <c r="EC1325" s="493"/>
    </row>
    <row r="1326" spans="119:133" ht="21" customHeight="1">
      <c r="DO1326" s="494"/>
      <c r="DP1326" s="496" t="s">
        <v>3680</v>
      </c>
      <c r="DQ1326" s="496" t="s">
        <v>8</v>
      </c>
      <c r="DR1326" s="496" t="s">
        <v>689</v>
      </c>
      <c r="DS1326" s="496" t="s">
        <v>3681</v>
      </c>
      <c r="DT1326" s="496" t="s">
        <v>3681</v>
      </c>
      <c r="DU1326" s="496" t="s">
        <v>1554</v>
      </c>
      <c r="DV1326" s="496" t="s">
        <v>1555</v>
      </c>
      <c r="DW1326" s="496" t="s">
        <v>1981</v>
      </c>
      <c r="DX1326" s="497" t="s">
        <v>1982</v>
      </c>
      <c r="DZ1326" s="543">
        <v>1</v>
      </c>
      <c r="EB1326" s="493"/>
      <c r="EC1326" s="493"/>
    </row>
    <row r="1327" spans="119:133" ht="21" customHeight="1">
      <c r="DO1327" s="494"/>
      <c r="DP1327" s="496" t="s">
        <v>3682</v>
      </c>
      <c r="DQ1327" s="496" t="s">
        <v>8</v>
      </c>
      <c r="DR1327" s="496" t="s">
        <v>689</v>
      </c>
      <c r="DS1327" s="496" t="s">
        <v>3683</v>
      </c>
      <c r="DT1327" s="496" t="s">
        <v>3683</v>
      </c>
      <c r="DU1327" s="496" t="s">
        <v>1554</v>
      </c>
      <c r="DV1327" s="496" t="s">
        <v>1555</v>
      </c>
      <c r="DW1327" s="496" t="s">
        <v>1981</v>
      </c>
      <c r="DX1327" s="497" t="s">
        <v>1982</v>
      </c>
      <c r="DZ1327" s="543">
        <v>1</v>
      </c>
      <c r="EB1327" s="493"/>
      <c r="EC1327" s="493"/>
    </row>
    <row r="1328" spans="119:133" ht="21" customHeight="1">
      <c r="DO1328" s="494"/>
      <c r="DP1328" s="496" t="s">
        <v>3684</v>
      </c>
      <c r="DQ1328" s="496" t="s">
        <v>8</v>
      </c>
      <c r="DR1328" s="496" t="s">
        <v>689</v>
      </c>
      <c r="DS1328" s="496" t="s">
        <v>3685</v>
      </c>
      <c r="DT1328" s="496" t="s">
        <v>3685</v>
      </c>
      <c r="DU1328" s="496" t="s">
        <v>1554</v>
      </c>
      <c r="DV1328" s="496" t="s">
        <v>1555</v>
      </c>
      <c r="DW1328" s="496" t="s">
        <v>1981</v>
      </c>
      <c r="DX1328" s="497" t="s">
        <v>1982</v>
      </c>
      <c r="DZ1328" s="543">
        <v>1</v>
      </c>
      <c r="EB1328" s="493"/>
      <c r="EC1328" s="493"/>
    </row>
    <row r="1329" spans="119:133" ht="21" customHeight="1">
      <c r="DO1329" s="494"/>
      <c r="DP1329" s="496" t="s">
        <v>3686</v>
      </c>
      <c r="DQ1329" s="496" t="s">
        <v>8</v>
      </c>
      <c r="DR1329" s="496" t="s">
        <v>689</v>
      </c>
      <c r="DS1329" s="496" t="s">
        <v>3687</v>
      </c>
      <c r="DT1329" s="496" t="s">
        <v>3687</v>
      </c>
      <c r="DU1329" s="496" t="s">
        <v>1554</v>
      </c>
      <c r="DV1329" s="496" t="s">
        <v>1555</v>
      </c>
      <c r="DW1329" s="496" t="s">
        <v>1981</v>
      </c>
      <c r="DX1329" s="497" t="s">
        <v>1982</v>
      </c>
      <c r="DZ1329" s="543">
        <v>1</v>
      </c>
      <c r="EB1329" s="493"/>
      <c r="EC1329" s="493"/>
    </row>
    <row r="1330" spans="119:133" ht="21" customHeight="1">
      <c r="DO1330" s="494"/>
      <c r="DP1330" s="496" t="s">
        <v>3688</v>
      </c>
      <c r="DQ1330" s="496" t="s">
        <v>8</v>
      </c>
      <c r="DR1330" s="496" t="s">
        <v>689</v>
      </c>
      <c r="DS1330" s="496" t="s">
        <v>3689</v>
      </c>
      <c r="DT1330" s="496" t="s">
        <v>3689</v>
      </c>
      <c r="DU1330" s="496" t="s">
        <v>1554</v>
      </c>
      <c r="DV1330" s="496" t="s">
        <v>1555</v>
      </c>
      <c r="DW1330" s="496" t="s">
        <v>1981</v>
      </c>
      <c r="DX1330" s="497" t="s">
        <v>1982</v>
      </c>
      <c r="DZ1330" s="543">
        <v>1</v>
      </c>
      <c r="EB1330" s="493"/>
      <c r="EC1330" s="493"/>
    </row>
    <row r="1331" spans="119:133" ht="21" customHeight="1">
      <c r="DO1331" s="494"/>
      <c r="DP1331" s="496" t="s">
        <v>3690</v>
      </c>
      <c r="DQ1331" s="496" t="s">
        <v>8</v>
      </c>
      <c r="DR1331" s="496" t="s">
        <v>689</v>
      </c>
      <c r="DS1331" s="496" t="s">
        <v>3691</v>
      </c>
      <c r="DT1331" s="496" t="s">
        <v>3691</v>
      </c>
      <c r="DU1331" s="496" t="s">
        <v>1554</v>
      </c>
      <c r="DV1331" s="496" t="s">
        <v>1555</v>
      </c>
      <c r="DW1331" s="496" t="s">
        <v>1981</v>
      </c>
      <c r="DX1331" s="497" t="s">
        <v>1982</v>
      </c>
      <c r="DZ1331" s="543">
        <v>1</v>
      </c>
      <c r="EB1331" s="493"/>
      <c r="EC1331" s="493"/>
    </row>
    <row r="1332" spans="119:133" ht="21" customHeight="1">
      <c r="DO1332" s="494"/>
      <c r="DP1332" s="496" t="s">
        <v>3692</v>
      </c>
      <c r="DQ1332" s="496" t="s">
        <v>8</v>
      </c>
      <c r="DR1332" s="496" t="s">
        <v>689</v>
      </c>
      <c r="DS1332" s="496" t="s">
        <v>3693</v>
      </c>
      <c r="DT1332" s="496" t="s">
        <v>3693</v>
      </c>
      <c r="DU1332" s="496" t="s">
        <v>1554</v>
      </c>
      <c r="DV1332" s="496" t="s">
        <v>1555</v>
      </c>
      <c r="DW1332" s="496" t="s">
        <v>1981</v>
      </c>
      <c r="DX1332" s="497" t="s">
        <v>1982</v>
      </c>
      <c r="DZ1332" s="543">
        <v>1</v>
      </c>
      <c r="EB1332" s="493"/>
      <c r="EC1332" s="493"/>
    </row>
    <row r="1333" spans="119:133" ht="21" customHeight="1">
      <c r="DO1333" s="494"/>
      <c r="DP1333" s="496" t="s">
        <v>3694</v>
      </c>
      <c r="DQ1333" s="496" t="s">
        <v>8</v>
      </c>
      <c r="DR1333" s="496" t="s">
        <v>689</v>
      </c>
      <c r="DS1333" s="496" t="s">
        <v>3695</v>
      </c>
      <c r="DT1333" s="496" t="s">
        <v>3695</v>
      </c>
      <c r="DU1333" s="496" t="s">
        <v>1554</v>
      </c>
      <c r="DV1333" s="496" t="s">
        <v>1555</v>
      </c>
      <c r="DW1333" s="496" t="s">
        <v>1981</v>
      </c>
      <c r="DX1333" s="497" t="s">
        <v>1982</v>
      </c>
      <c r="DZ1333" s="543">
        <v>1</v>
      </c>
      <c r="EB1333" s="493"/>
      <c r="EC1333" s="493"/>
    </row>
    <row r="1334" spans="119:133" ht="21" customHeight="1">
      <c r="DO1334" s="494"/>
      <c r="DP1334" s="496" t="s">
        <v>3696</v>
      </c>
      <c r="DQ1334" s="496" t="s">
        <v>8</v>
      </c>
      <c r="DR1334" s="496" t="s">
        <v>689</v>
      </c>
      <c r="DS1334" s="496" t="s">
        <v>3697</v>
      </c>
      <c r="DT1334" s="496" t="s">
        <v>3697</v>
      </c>
      <c r="DU1334" s="496" t="s">
        <v>1554</v>
      </c>
      <c r="DV1334" s="496" t="s">
        <v>1555</v>
      </c>
      <c r="DW1334" s="496" t="s">
        <v>1981</v>
      </c>
      <c r="DX1334" s="497" t="s">
        <v>1982</v>
      </c>
      <c r="DZ1334" s="543">
        <v>1</v>
      </c>
      <c r="EB1334" s="493"/>
      <c r="EC1334" s="493"/>
    </row>
    <row r="1335" spans="119:133" ht="21" customHeight="1">
      <c r="DO1335" s="494"/>
      <c r="DP1335" s="496" t="s">
        <v>3698</v>
      </c>
      <c r="DQ1335" s="496" t="s">
        <v>8</v>
      </c>
      <c r="DR1335" s="496" t="s">
        <v>689</v>
      </c>
      <c r="DS1335" s="496" t="s">
        <v>3699</v>
      </c>
      <c r="DT1335" s="496" t="s">
        <v>3699</v>
      </c>
      <c r="DU1335" s="496" t="s">
        <v>1554</v>
      </c>
      <c r="DV1335" s="496" t="s">
        <v>1555</v>
      </c>
      <c r="DW1335" s="496" t="s">
        <v>1981</v>
      </c>
      <c r="DX1335" s="497" t="s">
        <v>1982</v>
      </c>
      <c r="DZ1335" s="543">
        <v>1</v>
      </c>
      <c r="EB1335" s="493"/>
      <c r="EC1335" s="493"/>
    </row>
    <row r="1336" spans="119:133" ht="21" customHeight="1">
      <c r="DO1336" s="494"/>
      <c r="DP1336" s="496" t="s">
        <v>3700</v>
      </c>
      <c r="DQ1336" s="496" t="s">
        <v>8</v>
      </c>
      <c r="DR1336" s="496" t="s">
        <v>689</v>
      </c>
      <c r="DS1336" s="496" t="s">
        <v>3701</v>
      </c>
      <c r="DT1336" s="496" t="s">
        <v>3701</v>
      </c>
      <c r="DU1336" s="496" t="s">
        <v>1554</v>
      </c>
      <c r="DV1336" s="496" t="s">
        <v>1555</v>
      </c>
      <c r="DW1336" s="496" t="s">
        <v>1981</v>
      </c>
      <c r="DX1336" s="497" t="s">
        <v>1982</v>
      </c>
      <c r="DZ1336" s="543">
        <v>1</v>
      </c>
      <c r="EB1336" s="493"/>
      <c r="EC1336" s="493"/>
    </row>
    <row r="1337" spans="119:133" ht="21" customHeight="1">
      <c r="DO1337" s="494"/>
      <c r="DP1337" s="496" t="s">
        <v>3702</v>
      </c>
      <c r="DQ1337" s="496" t="s">
        <v>8</v>
      </c>
      <c r="DR1337" s="496" t="s">
        <v>689</v>
      </c>
      <c r="DS1337" s="496" t="s">
        <v>3703</v>
      </c>
      <c r="DT1337" s="496" t="s">
        <v>3703</v>
      </c>
      <c r="DU1337" s="496" t="s">
        <v>1554</v>
      </c>
      <c r="DV1337" s="496" t="s">
        <v>1555</v>
      </c>
      <c r="DW1337" s="496" t="s">
        <v>1981</v>
      </c>
      <c r="DX1337" s="497" t="s">
        <v>1982</v>
      </c>
      <c r="DZ1337" s="543">
        <v>1</v>
      </c>
      <c r="EB1337" s="493"/>
      <c r="EC1337" s="493"/>
    </row>
    <row r="1338" spans="119:133" ht="21" customHeight="1">
      <c r="DO1338" s="494"/>
      <c r="DP1338" s="496" t="s">
        <v>3704</v>
      </c>
      <c r="DQ1338" s="496" t="s">
        <v>8</v>
      </c>
      <c r="DR1338" s="496" t="s">
        <v>689</v>
      </c>
      <c r="DS1338" s="496" t="s">
        <v>3705</v>
      </c>
      <c r="DT1338" s="496" t="s">
        <v>3705</v>
      </c>
      <c r="DU1338" s="496" t="s">
        <v>1554</v>
      </c>
      <c r="DV1338" s="496" t="s">
        <v>1555</v>
      </c>
      <c r="DW1338" s="496" t="s">
        <v>1981</v>
      </c>
      <c r="DX1338" s="497" t="s">
        <v>1982</v>
      </c>
      <c r="DZ1338" s="543">
        <v>1</v>
      </c>
      <c r="EB1338" s="493"/>
      <c r="EC1338" s="493"/>
    </row>
    <row r="1339" spans="119:133" ht="21" customHeight="1">
      <c r="DO1339" s="494"/>
      <c r="DP1339" s="496" t="s">
        <v>3706</v>
      </c>
      <c r="DQ1339" s="496" t="s">
        <v>8</v>
      </c>
      <c r="DR1339" s="496" t="s">
        <v>689</v>
      </c>
      <c r="DS1339" s="496" t="s">
        <v>3707</v>
      </c>
      <c r="DT1339" s="496" t="s">
        <v>3707</v>
      </c>
      <c r="DU1339" s="496" t="s">
        <v>1554</v>
      </c>
      <c r="DV1339" s="496" t="s">
        <v>1555</v>
      </c>
      <c r="DW1339" s="496" t="s">
        <v>1981</v>
      </c>
      <c r="DX1339" s="497" t="s">
        <v>1982</v>
      </c>
      <c r="DZ1339" s="543">
        <v>1</v>
      </c>
      <c r="EB1339" s="493"/>
      <c r="EC1339" s="493"/>
    </row>
    <row r="1340" spans="119:133" ht="21" customHeight="1">
      <c r="DO1340" s="494"/>
      <c r="DP1340" s="496" t="s">
        <v>3708</v>
      </c>
      <c r="DQ1340" s="496" t="s">
        <v>8</v>
      </c>
      <c r="DR1340" s="496" t="s">
        <v>689</v>
      </c>
      <c r="DS1340" s="496" t="s">
        <v>3709</v>
      </c>
      <c r="DT1340" s="496" t="s">
        <v>3709</v>
      </c>
      <c r="DU1340" s="496" t="s">
        <v>1554</v>
      </c>
      <c r="DV1340" s="496" t="s">
        <v>1555</v>
      </c>
      <c r="DW1340" s="496" t="s">
        <v>1981</v>
      </c>
      <c r="DX1340" s="497" t="s">
        <v>1982</v>
      </c>
      <c r="DZ1340" s="543">
        <v>1</v>
      </c>
      <c r="EB1340" s="493"/>
      <c r="EC1340" s="493"/>
    </row>
    <row r="1341" spans="119:133" ht="21" customHeight="1">
      <c r="DO1341" s="494"/>
      <c r="DP1341" s="496" t="s">
        <v>3710</v>
      </c>
      <c r="DQ1341" s="496" t="s">
        <v>8</v>
      </c>
      <c r="DR1341" s="496" t="s">
        <v>689</v>
      </c>
      <c r="DS1341" s="496" t="s">
        <v>3711</v>
      </c>
      <c r="DT1341" s="496" t="s">
        <v>3711</v>
      </c>
      <c r="DU1341" s="496" t="s">
        <v>1554</v>
      </c>
      <c r="DV1341" s="496" t="s">
        <v>1555</v>
      </c>
      <c r="DW1341" s="496" t="s">
        <v>1981</v>
      </c>
      <c r="DX1341" s="497" t="s">
        <v>1982</v>
      </c>
      <c r="DZ1341" s="543">
        <v>1</v>
      </c>
      <c r="EB1341" s="493"/>
      <c r="EC1341" s="493"/>
    </row>
    <row r="1342" spans="119:133" ht="21" customHeight="1">
      <c r="DO1342" s="494"/>
      <c r="DP1342" s="496" t="s">
        <v>3712</v>
      </c>
      <c r="DQ1342" s="496" t="s">
        <v>8</v>
      </c>
      <c r="DR1342" s="496" t="s">
        <v>689</v>
      </c>
      <c r="DS1342" s="496" t="s">
        <v>3713</v>
      </c>
      <c r="DT1342" s="496" t="s">
        <v>3713</v>
      </c>
      <c r="DU1342" s="496" t="s">
        <v>1554</v>
      </c>
      <c r="DV1342" s="496" t="s">
        <v>1555</v>
      </c>
      <c r="DW1342" s="496" t="s">
        <v>1981</v>
      </c>
      <c r="DX1342" s="497" t="s">
        <v>1982</v>
      </c>
      <c r="DZ1342" s="543">
        <v>1</v>
      </c>
      <c r="EB1342" s="493"/>
      <c r="EC1342" s="493"/>
    </row>
    <row r="1343" spans="119:133" ht="21" customHeight="1">
      <c r="DO1343" s="494"/>
      <c r="DP1343" s="496" t="s">
        <v>3714</v>
      </c>
      <c r="DQ1343" s="496" t="s">
        <v>8</v>
      </c>
      <c r="DR1343" s="496" t="s">
        <v>689</v>
      </c>
      <c r="DS1343" s="496" t="s">
        <v>3715</v>
      </c>
      <c r="DT1343" s="496" t="s">
        <v>3715</v>
      </c>
      <c r="DU1343" s="496" t="s">
        <v>1554</v>
      </c>
      <c r="DV1343" s="496" t="s">
        <v>1555</v>
      </c>
      <c r="DW1343" s="496" t="s">
        <v>1981</v>
      </c>
      <c r="DX1343" s="497" t="s">
        <v>1982</v>
      </c>
      <c r="DZ1343" s="543">
        <v>1</v>
      </c>
      <c r="EB1343" s="493"/>
      <c r="EC1343" s="493"/>
    </row>
    <row r="1344" spans="119:133" ht="21" customHeight="1">
      <c r="DO1344" s="494"/>
      <c r="DP1344" s="496" t="s">
        <v>3716</v>
      </c>
      <c r="DQ1344" s="496" t="s">
        <v>8</v>
      </c>
      <c r="DR1344" s="496" t="s">
        <v>689</v>
      </c>
      <c r="DS1344" s="496" t="s">
        <v>3717</v>
      </c>
      <c r="DT1344" s="496" t="s">
        <v>3717</v>
      </c>
      <c r="DU1344" s="496" t="s">
        <v>1554</v>
      </c>
      <c r="DV1344" s="496" t="s">
        <v>1555</v>
      </c>
      <c r="DW1344" s="496" t="s">
        <v>1981</v>
      </c>
      <c r="DX1344" s="497" t="s">
        <v>1982</v>
      </c>
      <c r="DZ1344" s="543">
        <v>1</v>
      </c>
      <c r="EB1344" s="493"/>
      <c r="EC1344" s="493"/>
    </row>
    <row r="1345" spans="119:133" ht="21" customHeight="1">
      <c r="DO1345" s="494"/>
      <c r="DP1345" s="496" t="s">
        <v>3718</v>
      </c>
      <c r="DQ1345" s="496" t="s">
        <v>8</v>
      </c>
      <c r="DR1345" s="496" t="s">
        <v>689</v>
      </c>
      <c r="DS1345" s="496" t="s">
        <v>3719</v>
      </c>
      <c r="DT1345" s="496" t="s">
        <v>3719</v>
      </c>
      <c r="DU1345" s="496" t="s">
        <v>1554</v>
      </c>
      <c r="DV1345" s="496" t="s">
        <v>1555</v>
      </c>
      <c r="DW1345" s="496" t="s">
        <v>1981</v>
      </c>
      <c r="DX1345" s="497" t="s">
        <v>1982</v>
      </c>
      <c r="DZ1345" s="543">
        <v>1</v>
      </c>
      <c r="EB1345" s="493"/>
      <c r="EC1345" s="493"/>
    </row>
    <row r="1346" spans="119:133" ht="21" customHeight="1">
      <c r="DO1346" s="494"/>
      <c r="DP1346" s="496" t="s">
        <v>3720</v>
      </c>
      <c r="DQ1346" s="496" t="s">
        <v>8</v>
      </c>
      <c r="DR1346" s="496" t="s">
        <v>689</v>
      </c>
      <c r="DS1346" s="496" t="s">
        <v>3721</v>
      </c>
      <c r="DT1346" s="496" t="s">
        <v>3721</v>
      </c>
      <c r="DU1346" s="496" t="s">
        <v>1554</v>
      </c>
      <c r="DV1346" s="496" t="s">
        <v>1555</v>
      </c>
      <c r="DW1346" s="496" t="s">
        <v>1981</v>
      </c>
      <c r="DX1346" s="497" t="s">
        <v>1982</v>
      </c>
      <c r="DZ1346" s="543">
        <v>1</v>
      </c>
      <c r="EB1346" s="493"/>
      <c r="EC1346" s="493"/>
    </row>
    <row r="1347" spans="119:133" ht="21" customHeight="1">
      <c r="DO1347" s="494"/>
      <c r="DP1347" s="496" t="s">
        <v>3722</v>
      </c>
      <c r="DQ1347" s="496" t="s">
        <v>8</v>
      </c>
      <c r="DR1347" s="496" t="s">
        <v>689</v>
      </c>
      <c r="DS1347" s="496" t="s">
        <v>3723</v>
      </c>
      <c r="DT1347" s="496" t="s">
        <v>3723</v>
      </c>
      <c r="DU1347" s="496" t="s">
        <v>1554</v>
      </c>
      <c r="DV1347" s="496" t="s">
        <v>1555</v>
      </c>
      <c r="DW1347" s="496" t="s">
        <v>1981</v>
      </c>
      <c r="DX1347" s="497" t="s">
        <v>1982</v>
      </c>
      <c r="DZ1347" s="543">
        <v>1</v>
      </c>
      <c r="EB1347" s="493"/>
      <c r="EC1347" s="493"/>
    </row>
    <row r="1348" spans="119:133" ht="21" customHeight="1">
      <c r="DO1348" s="494"/>
      <c r="DP1348" s="496" t="s">
        <v>3724</v>
      </c>
      <c r="DQ1348" s="496" t="s">
        <v>8</v>
      </c>
      <c r="DR1348" s="496" t="s">
        <v>689</v>
      </c>
      <c r="DS1348" s="496" t="s">
        <v>3725</v>
      </c>
      <c r="DT1348" s="496" t="s">
        <v>3725</v>
      </c>
      <c r="DU1348" s="496" t="s">
        <v>1554</v>
      </c>
      <c r="DV1348" s="496" t="s">
        <v>1555</v>
      </c>
      <c r="DW1348" s="496" t="s">
        <v>1981</v>
      </c>
      <c r="DX1348" s="497" t="s">
        <v>1982</v>
      </c>
      <c r="DZ1348" s="543">
        <v>1</v>
      </c>
      <c r="EB1348" s="493"/>
      <c r="EC1348" s="493"/>
    </row>
    <row r="1349" spans="119:133" ht="21" customHeight="1">
      <c r="DO1349" s="494"/>
      <c r="DP1349" s="496" t="s">
        <v>3726</v>
      </c>
      <c r="DQ1349" s="496" t="s">
        <v>8</v>
      </c>
      <c r="DR1349" s="496" t="s">
        <v>689</v>
      </c>
      <c r="DS1349" s="496" t="s">
        <v>3727</v>
      </c>
      <c r="DT1349" s="496" t="s">
        <v>3727</v>
      </c>
      <c r="DU1349" s="496" t="s">
        <v>1554</v>
      </c>
      <c r="DV1349" s="496" t="s">
        <v>1555</v>
      </c>
      <c r="DW1349" s="496" t="s">
        <v>1981</v>
      </c>
      <c r="DX1349" s="497" t="s">
        <v>1982</v>
      </c>
      <c r="DZ1349" s="543">
        <v>1</v>
      </c>
      <c r="EB1349" s="493"/>
      <c r="EC1349" s="493"/>
    </row>
    <row r="1350" spans="119:133" ht="21" customHeight="1">
      <c r="DO1350" s="494"/>
      <c r="DP1350" s="496" t="s">
        <v>3728</v>
      </c>
      <c r="DQ1350" s="496" t="s">
        <v>8</v>
      </c>
      <c r="DR1350" s="496" t="s">
        <v>689</v>
      </c>
      <c r="DS1350" s="496" t="s">
        <v>3729</v>
      </c>
      <c r="DT1350" s="496" t="s">
        <v>3729</v>
      </c>
      <c r="DU1350" s="496" t="s">
        <v>1554</v>
      </c>
      <c r="DV1350" s="496" t="s">
        <v>1555</v>
      </c>
      <c r="DW1350" s="496" t="s">
        <v>1981</v>
      </c>
      <c r="DX1350" s="497" t="s">
        <v>1982</v>
      </c>
      <c r="DZ1350" s="543">
        <v>1</v>
      </c>
      <c r="EB1350" s="493"/>
      <c r="EC1350" s="493"/>
    </row>
    <row r="1351" spans="119:133" ht="21" customHeight="1">
      <c r="DO1351" s="494"/>
      <c r="DP1351" s="496" t="s">
        <v>3730</v>
      </c>
      <c r="DQ1351" s="496" t="s">
        <v>8</v>
      </c>
      <c r="DR1351" s="496" t="s">
        <v>689</v>
      </c>
      <c r="DS1351" s="496" t="s">
        <v>3731</v>
      </c>
      <c r="DT1351" s="496" t="s">
        <v>3731</v>
      </c>
      <c r="DU1351" s="496" t="s">
        <v>1554</v>
      </c>
      <c r="DV1351" s="496" t="s">
        <v>1555</v>
      </c>
      <c r="DW1351" s="496" t="s">
        <v>1981</v>
      </c>
      <c r="DX1351" s="497" t="s">
        <v>1982</v>
      </c>
      <c r="DZ1351" s="543">
        <v>1</v>
      </c>
      <c r="EB1351" s="493"/>
      <c r="EC1351" s="493"/>
    </row>
    <row r="1352" spans="119:133" ht="21" customHeight="1">
      <c r="DO1352" s="494"/>
      <c r="DP1352" s="496" t="s">
        <v>3732</v>
      </c>
      <c r="DQ1352" s="496" t="s">
        <v>8</v>
      </c>
      <c r="DR1352" s="496" t="s">
        <v>689</v>
      </c>
      <c r="DS1352" s="496" t="s">
        <v>3733</v>
      </c>
      <c r="DT1352" s="496" t="s">
        <v>3733</v>
      </c>
      <c r="DU1352" s="496" t="s">
        <v>1554</v>
      </c>
      <c r="DV1352" s="496" t="s">
        <v>1555</v>
      </c>
      <c r="DW1352" s="496" t="s">
        <v>1981</v>
      </c>
      <c r="DX1352" s="497" t="s">
        <v>1982</v>
      </c>
      <c r="DZ1352" s="543">
        <v>1</v>
      </c>
      <c r="EB1352" s="493"/>
      <c r="EC1352" s="493"/>
    </row>
    <row r="1353" spans="119:133" ht="21" customHeight="1">
      <c r="DO1353" s="494"/>
      <c r="DP1353" s="496" t="s">
        <v>3734</v>
      </c>
      <c r="DQ1353" s="496" t="s">
        <v>8</v>
      </c>
      <c r="DR1353" s="496" t="s">
        <v>689</v>
      </c>
      <c r="DS1353" s="496" t="s">
        <v>3735</v>
      </c>
      <c r="DT1353" s="496" t="s">
        <v>3735</v>
      </c>
      <c r="DU1353" s="496" t="s">
        <v>1554</v>
      </c>
      <c r="DV1353" s="496" t="s">
        <v>1555</v>
      </c>
      <c r="DW1353" s="496" t="s">
        <v>1981</v>
      </c>
      <c r="DX1353" s="497" t="s">
        <v>1982</v>
      </c>
      <c r="DZ1353" s="543">
        <v>1</v>
      </c>
      <c r="EB1353" s="493"/>
      <c r="EC1353" s="493"/>
    </row>
    <row r="1354" spans="119:133" ht="21" customHeight="1">
      <c r="DO1354" s="494"/>
      <c r="DP1354" s="496" t="s">
        <v>3736</v>
      </c>
      <c r="DQ1354" s="496" t="s">
        <v>8</v>
      </c>
      <c r="DR1354" s="496" t="s">
        <v>689</v>
      </c>
      <c r="DS1354" s="496" t="s">
        <v>3737</v>
      </c>
      <c r="DT1354" s="496" t="s">
        <v>3737</v>
      </c>
      <c r="DU1354" s="496" t="s">
        <v>1554</v>
      </c>
      <c r="DV1354" s="496" t="s">
        <v>1555</v>
      </c>
      <c r="DW1354" s="496" t="s">
        <v>1981</v>
      </c>
      <c r="DX1354" s="497" t="s">
        <v>1982</v>
      </c>
      <c r="DZ1354" s="543">
        <v>1</v>
      </c>
      <c r="EB1354" s="493"/>
      <c r="EC1354" s="493"/>
    </row>
    <row r="1355" spans="119:133" ht="21" customHeight="1">
      <c r="DO1355" s="494"/>
      <c r="DP1355" s="496" t="s">
        <v>3738</v>
      </c>
      <c r="DQ1355" s="496" t="s">
        <v>8</v>
      </c>
      <c r="DR1355" s="496" t="s">
        <v>689</v>
      </c>
      <c r="DS1355" s="496" t="s">
        <v>3739</v>
      </c>
      <c r="DT1355" s="496" t="s">
        <v>3739</v>
      </c>
      <c r="DU1355" s="496" t="s">
        <v>1554</v>
      </c>
      <c r="DV1355" s="496" t="s">
        <v>1555</v>
      </c>
      <c r="DW1355" s="496" t="s">
        <v>1981</v>
      </c>
      <c r="DX1355" s="497" t="s">
        <v>1982</v>
      </c>
      <c r="DZ1355" s="543">
        <v>1</v>
      </c>
      <c r="EB1355" s="493"/>
      <c r="EC1355" s="493"/>
    </row>
    <row r="1356" spans="119:133" ht="21" customHeight="1">
      <c r="DO1356" s="494"/>
      <c r="DP1356" s="496" t="s">
        <v>3740</v>
      </c>
      <c r="DQ1356" s="496" t="s">
        <v>8</v>
      </c>
      <c r="DR1356" s="496" t="s">
        <v>689</v>
      </c>
      <c r="DS1356" s="496" t="s">
        <v>3741</v>
      </c>
      <c r="DT1356" s="496" t="s">
        <v>3741</v>
      </c>
      <c r="DU1356" s="496" t="s">
        <v>1554</v>
      </c>
      <c r="DV1356" s="496" t="s">
        <v>1555</v>
      </c>
      <c r="DW1356" s="496" t="s">
        <v>1981</v>
      </c>
      <c r="DX1356" s="497" t="s">
        <v>1982</v>
      </c>
      <c r="DZ1356" s="543">
        <v>1</v>
      </c>
      <c r="EB1356" s="493"/>
      <c r="EC1356" s="493"/>
    </row>
    <row r="1357" spans="119:133" ht="21" customHeight="1">
      <c r="DO1357" s="494"/>
      <c r="DP1357" s="496" t="s">
        <v>3742</v>
      </c>
      <c r="DQ1357" s="496" t="s">
        <v>8</v>
      </c>
      <c r="DR1357" s="496" t="s">
        <v>689</v>
      </c>
      <c r="DS1357" s="496" t="s">
        <v>3743</v>
      </c>
      <c r="DT1357" s="496" t="s">
        <v>3743</v>
      </c>
      <c r="DU1357" s="496" t="s">
        <v>1554</v>
      </c>
      <c r="DV1357" s="496" t="s">
        <v>1555</v>
      </c>
      <c r="DW1357" s="496" t="s">
        <v>1981</v>
      </c>
      <c r="DX1357" s="497" t="s">
        <v>1982</v>
      </c>
      <c r="DZ1357" s="543">
        <v>1</v>
      </c>
      <c r="EB1357" s="493"/>
      <c r="EC1357" s="493"/>
    </row>
    <row r="1358" spans="119:133" ht="21" customHeight="1">
      <c r="DO1358" s="494"/>
      <c r="DP1358" s="496" t="s">
        <v>3744</v>
      </c>
      <c r="DQ1358" s="496" t="s">
        <v>8</v>
      </c>
      <c r="DR1358" s="496" t="s">
        <v>689</v>
      </c>
      <c r="DS1358" s="496" t="s">
        <v>3745</v>
      </c>
      <c r="DT1358" s="496" t="s">
        <v>3745</v>
      </c>
      <c r="DU1358" s="496" t="s">
        <v>1554</v>
      </c>
      <c r="DV1358" s="496" t="s">
        <v>1555</v>
      </c>
      <c r="DW1358" s="496" t="s">
        <v>1981</v>
      </c>
      <c r="DX1358" s="497" t="s">
        <v>1982</v>
      </c>
      <c r="DZ1358" s="543">
        <v>1</v>
      </c>
      <c r="EB1358" s="493"/>
      <c r="EC1358" s="493"/>
    </row>
    <row r="1359" spans="119:133" ht="21" customHeight="1">
      <c r="DO1359" s="494"/>
      <c r="DP1359" s="496" t="s">
        <v>3746</v>
      </c>
      <c r="DQ1359" s="496" t="s">
        <v>8</v>
      </c>
      <c r="DR1359" s="496" t="s">
        <v>689</v>
      </c>
      <c r="DS1359" s="496" t="s">
        <v>3747</v>
      </c>
      <c r="DT1359" s="496" t="s">
        <v>3747</v>
      </c>
      <c r="DU1359" s="496" t="s">
        <v>1554</v>
      </c>
      <c r="DV1359" s="496" t="s">
        <v>1555</v>
      </c>
      <c r="DW1359" s="496" t="s">
        <v>1981</v>
      </c>
      <c r="DX1359" s="497" t="s">
        <v>1982</v>
      </c>
      <c r="DZ1359" s="543">
        <v>1</v>
      </c>
      <c r="EB1359" s="493"/>
      <c r="EC1359" s="493"/>
    </row>
    <row r="1360" spans="119:133" ht="21" customHeight="1">
      <c r="DO1360" s="494"/>
      <c r="DP1360" s="496" t="s">
        <v>3748</v>
      </c>
      <c r="DQ1360" s="496" t="s">
        <v>8</v>
      </c>
      <c r="DR1360" s="496" t="s">
        <v>689</v>
      </c>
      <c r="DS1360" s="496" t="s">
        <v>3749</v>
      </c>
      <c r="DT1360" s="496" t="s">
        <v>3749</v>
      </c>
      <c r="DU1360" s="496" t="s">
        <v>1554</v>
      </c>
      <c r="DV1360" s="496" t="s">
        <v>1555</v>
      </c>
      <c r="DW1360" s="496" t="s">
        <v>1981</v>
      </c>
      <c r="DX1360" s="497" t="s">
        <v>1982</v>
      </c>
      <c r="DZ1360" s="543">
        <v>1</v>
      </c>
      <c r="EB1360" s="493"/>
      <c r="EC1360" s="493"/>
    </row>
    <row r="1361" spans="119:133" ht="21" customHeight="1">
      <c r="DO1361" s="494"/>
      <c r="DP1361" s="496" t="s">
        <v>3750</v>
      </c>
      <c r="DQ1361" s="496" t="s">
        <v>8</v>
      </c>
      <c r="DR1361" s="496" t="s">
        <v>689</v>
      </c>
      <c r="DS1361" s="496" t="s">
        <v>3751</v>
      </c>
      <c r="DT1361" s="496" t="s">
        <v>3751</v>
      </c>
      <c r="DU1361" s="496" t="s">
        <v>1554</v>
      </c>
      <c r="DV1361" s="496" t="s">
        <v>1555</v>
      </c>
      <c r="DW1361" s="496" t="s">
        <v>1981</v>
      </c>
      <c r="DX1361" s="497" t="s">
        <v>1982</v>
      </c>
      <c r="DZ1361" s="543">
        <v>1</v>
      </c>
      <c r="EB1361" s="493"/>
      <c r="EC1361" s="493"/>
    </row>
    <row r="1362" spans="119:133" ht="21" customHeight="1">
      <c r="DO1362" s="494"/>
      <c r="DP1362" s="496" t="s">
        <v>3752</v>
      </c>
      <c r="DQ1362" s="496" t="s">
        <v>8</v>
      </c>
      <c r="DR1362" s="496" t="s">
        <v>689</v>
      </c>
      <c r="DS1362" s="496" t="s">
        <v>3753</v>
      </c>
      <c r="DT1362" s="496" t="s">
        <v>3753</v>
      </c>
      <c r="DU1362" s="496" t="s">
        <v>1554</v>
      </c>
      <c r="DV1362" s="496" t="s">
        <v>1555</v>
      </c>
      <c r="DW1362" s="496" t="s">
        <v>1981</v>
      </c>
      <c r="DX1362" s="497" t="s">
        <v>1982</v>
      </c>
      <c r="DZ1362" s="543">
        <v>1</v>
      </c>
      <c r="EB1362" s="493"/>
      <c r="EC1362" s="493"/>
    </row>
    <row r="1363" spans="119:133" ht="21" customHeight="1">
      <c r="DO1363" s="494"/>
      <c r="DP1363" s="496" t="s">
        <v>3754</v>
      </c>
      <c r="DQ1363" s="496" t="s">
        <v>8</v>
      </c>
      <c r="DR1363" s="496" t="s">
        <v>689</v>
      </c>
      <c r="DS1363" s="496" t="s">
        <v>3755</v>
      </c>
      <c r="DT1363" s="496" t="s">
        <v>3755</v>
      </c>
      <c r="DU1363" s="496" t="s">
        <v>1554</v>
      </c>
      <c r="DV1363" s="496" t="s">
        <v>1555</v>
      </c>
      <c r="DW1363" s="496" t="s">
        <v>1981</v>
      </c>
      <c r="DX1363" s="497" t="s">
        <v>1982</v>
      </c>
      <c r="DZ1363" s="543">
        <v>1</v>
      </c>
      <c r="EB1363" s="493"/>
      <c r="EC1363" s="493"/>
    </row>
    <row r="1364" spans="119:133" ht="21" customHeight="1">
      <c r="DO1364" s="494"/>
      <c r="DP1364" s="496" t="s">
        <v>3756</v>
      </c>
      <c r="DQ1364" s="496" t="s">
        <v>8</v>
      </c>
      <c r="DR1364" s="496" t="s">
        <v>689</v>
      </c>
      <c r="DS1364" s="496" t="s">
        <v>3757</v>
      </c>
      <c r="DT1364" s="496" t="s">
        <v>3757</v>
      </c>
      <c r="DU1364" s="496" t="s">
        <v>1554</v>
      </c>
      <c r="DV1364" s="496" t="s">
        <v>1555</v>
      </c>
      <c r="DW1364" s="496" t="s">
        <v>1981</v>
      </c>
      <c r="DX1364" s="497" t="s">
        <v>1982</v>
      </c>
      <c r="DZ1364" s="543">
        <v>1</v>
      </c>
      <c r="EB1364" s="493"/>
      <c r="EC1364" s="493"/>
    </row>
    <row r="1365" spans="119:133" ht="21" customHeight="1">
      <c r="DO1365" s="494"/>
      <c r="DP1365" s="496" t="s">
        <v>3758</v>
      </c>
      <c r="DQ1365" s="496" t="s">
        <v>8</v>
      </c>
      <c r="DR1365" s="496" t="s">
        <v>689</v>
      </c>
      <c r="DS1365" s="496" t="s">
        <v>3759</v>
      </c>
      <c r="DT1365" s="496" t="s">
        <v>3759</v>
      </c>
      <c r="DU1365" s="496" t="s">
        <v>1554</v>
      </c>
      <c r="DV1365" s="496" t="s">
        <v>1555</v>
      </c>
      <c r="DW1365" s="496" t="s">
        <v>1981</v>
      </c>
      <c r="DX1365" s="497" t="s">
        <v>1982</v>
      </c>
      <c r="DZ1365" s="543">
        <v>1</v>
      </c>
      <c r="EB1365" s="493"/>
      <c r="EC1365" s="493"/>
    </row>
    <row r="1366" spans="119:133" ht="21" customHeight="1">
      <c r="DO1366" s="494"/>
      <c r="DP1366" s="496" t="s">
        <v>3760</v>
      </c>
      <c r="DQ1366" s="496" t="s">
        <v>8</v>
      </c>
      <c r="DR1366" s="496" t="s">
        <v>689</v>
      </c>
      <c r="DS1366" s="496" t="s">
        <v>3761</v>
      </c>
      <c r="DT1366" s="496" t="s">
        <v>3761</v>
      </c>
      <c r="DU1366" s="496" t="s">
        <v>1554</v>
      </c>
      <c r="DV1366" s="496" t="s">
        <v>1555</v>
      </c>
      <c r="DW1366" s="496" t="s">
        <v>1981</v>
      </c>
      <c r="DX1366" s="497" t="s">
        <v>1982</v>
      </c>
      <c r="DZ1366" s="543">
        <v>1</v>
      </c>
      <c r="EB1366" s="493"/>
      <c r="EC1366" s="493"/>
    </row>
    <row r="1367" spans="119:133" ht="21" customHeight="1">
      <c r="DO1367" s="494"/>
      <c r="DP1367" s="496" t="s">
        <v>3762</v>
      </c>
      <c r="DQ1367" s="496" t="s">
        <v>8</v>
      </c>
      <c r="DR1367" s="496" t="s">
        <v>689</v>
      </c>
      <c r="DS1367" s="496" t="s">
        <v>3763</v>
      </c>
      <c r="DT1367" s="496" t="s">
        <v>3763</v>
      </c>
      <c r="DU1367" s="496" t="s">
        <v>1554</v>
      </c>
      <c r="DV1367" s="496" t="s">
        <v>1555</v>
      </c>
      <c r="DW1367" s="496" t="s">
        <v>1981</v>
      </c>
      <c r="DX1367" s="497" t="s">
        <v>1982</v>
      </c>
      <c r="DZ1367" s="543">
        <v>1</v>
      </c>
      <c r="EB1367" s="493"/>
      <c r="EC1367" s="493"/>
    </row>
    <row r="1368" spans="119:133" ht="21" customHeight="1">
      <c r="DO1368" s="494"/>
      <c r="DP1368" s="496" t="s">
        <v>3764</v>
      </c>
      <c r="DQ1368" s="496" t="s">
        <v>8</v>
      </c>
      <c r="DR1368" s="496" t="s">
        <v>689</v>
      </c>
      <c r="DS1368" s="496" t="s">
        <v>3765</v>
      </c>
      <c r="DT1368" s="496" t="s">
        <v>3765</v>
      </c>
      <c r="DU1368" s="496" t="s">
        <v>1554</v>
      </c>
      <c r="DV1368" s="496" t="s">
        <v>1555</v>
      </c>
      <c r="DW1368" s="496" t="s">
        <v>1981</v>
      </c>
      <c r="DX1368" s="497" t="s">
        <v>1982</v>
      </c>
      <c r="DZ1368" s="543">
        <v>1</v>
      </c>
      <c r="EB1368" s="493"/>
      <c r="EC1368" s="493"/>
    </row>
    <row r="1369" spans="119:133" ht="21" customHeight="1">
      <c r="DO1369" s="494"/>
      <c r="DP1369" s="496" t="s">
        <v>3766</v>
      </c>
      <c r="DQ1369" s="496" t="s">
        <v>8</v>
      </c>
      <c r="DR1369" s="496" t="s">
        <v>689</v>
      </c>
      <c r="DS1369" s="496" t="s">
        <v>3767</v>
      </c>
      <c r="DT1369" s="496" t="s">
        <v>3767</v>
      </c>
      <c r="DU1369" s="496" t="s">
        <v>1554</v>
      </c>
      <c r="DV1369" s="496" t="s">
        <v>1555</v>
      </c>
      <c r="DW1369" s="496" t="s">
        <v>1981</v>
      </c>
      <c r="DX1369" s="497" t="s">
        <v>1982</v>
      </c>
      <c r="DZ1369" s="543">
        <v>1</v>
      </c>
      <c r="EB1369" s="493"/>
      <c r="EC1369" s="493"/>
    </row>
    <row r="1370" spans="119:133" ht="21" customHeight="1">
      <c r="DO1370" s="494"/>
      <c r="DP1370" s="496" t="s">
        <v>3768</v>
      </c>
      <c r="DQ1370" s="496" t="s">
        <v>8</v>
      </c>
      <c r="DR1370" s="496" t="s">
        <v>689</v>
      </c>
      <c r="DS1370" s="496" t="s">
        <v>1062</v>
      </c>
      <c r="DT1370" s="496" t="s">
        <v>1062</v>
      </c>
      <c r="DU1370" s="496" t="s">
        <v>1554</v>
      </c>
      <c r="DV1370" s="496" t="s">
        <v>1555</v>
      </c>
      <c r="DW1370" s="496" t="s">
        <v>1981</v>
      </c>
      <c r="DX1370" s="497" t="s">
        <v>1982</v>
      </c>
      <c r="DZ1370" s="543">
        <v>1</v>
      </c>
      <c r="EB1370" s="493"/>
      <c r="EC1370" s="493"/>
    </row>
    <row r="1371" spans="119:133" ht="21" customHeight="1">
      <c r="DO1371" s="494"/>
      <c r="DP1371" s="496" t="s">
        <v>3769</v>
      </c>
      <c r="DQ1371" s="496" t="s">
        <v>8</v>
      </c>
      <c r="DR1371" s="496" t="s">
        <v>689</v>
      </c>
      <c r="DS1371" s="496" t="s">
        <v>3770</v>
      </c>
      <c r="DT1371" s="496" t="s">
        <v>3770</v>
      </c>
      <c r="DU1371" s="496" t="s">
        <v>1554</v>
      </c>
      <c r="DV1371" s="496" t="s">
        <v>1555</v>
      </c>
      <c r="DW1371" s="496" t="s">
        <v>1981</v>
      </c>
      <c r="DX1371" s="497" t="s">
        <v>1982</v>
      </c>
      <c r="DZ1371" s="543">
        <v>1</v>
      </c>
      <c r="EB1371" s="493"/>
      <c r="EC1371" s="493"/>
    </row>
    <row r="1372" spans="119:133" ht="21" customHeight="1">
      <c r="DO1372" s="494"/>
      <c r="DP1372" s="496" t="s">
        <v>3771</v>
      </c>
      <c r="DQ1372" s="496" t="s">
        <v>8</v>
      </c>
      <c r="DR1372" s="496" t="s">
        <v>689</v>
      </c>
      <c r="DS1372" s="496" t="s">
        <v>3772</v>
      </c>
      <c r="DT1372" s="496" t="s">
        <v>3772</v>
      </c>
      <c r="DU1372" s="496" t="s">
        <v>1554</v>
      </c>
      <c r="DV1372" s="496" t="s">
        <v>1555</v>
      </c>
      <c r="DW1372" s="496" t="s">
        <v>1981</v>
      </c>
      <c r="DX1372" s="497" t="s">
        <v>1982</v>
      </c>
      <c r="DZ1372" s="543">
        <v>1</v>
      </c>
      <c r="EB1372" s="493"/>
      <c r="EC1372" s="493"/>
    </row>
    <row r="1373" spans="119:133" ht="21" customHeight="1">
      <c r="DO1373" s="494"/>
      <c r="DP1373" s="496" t="s">
        <v>3773</v>
      </c>
      <c r="DQ1373" s="496" t="s">
        <v>8</v>
      </c>
      <c r="DR1373" s="496" t="s">
        <v>690</v>
      </c>
      <c r="DS1373" s="496" t="s">
        <v>3774</v>
      </c>
      <c r="DT1373" s="496" t="s">
        <v>3775</v>
      </c>
      <c r="DU1373" s="496" t="s">
        <v>1151</v>
      </c>
      <c r="DV1373" s="496" t="s">
        <v>1446</v>
      </c>
      <c r="DW1373" s="496" t="s">
        <v>1087</v>
      </c>
      <c r="DX1373" s="497" t="s">
        <v>1153</v>
      </c>
      <c r="DZ1373" s="543">
        <v>1</v>
      </c>
      <c r="EB1373" s="493"/>
      <c r="EC1373" s="493"/>
    </row>
    <row r="1374" spans="119:133" ht="21" customHeight="1">
      <c r="DO1374" s="494"/>
      <c r="DP1374" s="496" t="s">
        <v>3776</v>
      </c>
      <c r="DQ1374" s="496" t="s">
        <v>8</v>
      </c>
      <c r="DR1374" s="496" t="s">
        <v>690</v>
      </c>
      <c r="DS1374" s="496" t="s">
        <v>3777</v>
      </c>
      <c r="DT1374" s="496" t="s">
        <v>3778</v>
      </c>
      <c r="DU1374" s="496" t="s">
        <v>1151</v>
      </c>
      <c r="DV1374" s="496" t="s">
        <v>1446</v>
      </c>
      <c r="DW1374" s="496" t="s">
        <v>1087</v>
      </c>
      <c r="DX1374" s="497" t="s">
        <v>1153</v>
      </c>
      <c r="DZ1374" s="543">
        <v>1</v>
      </c>
      <c r="EB1374" s="493"/>
      <c r="EC1374" s="493"/>
    </row>
    <row r="1375" spans="119:133" ht="21" customHeight="1">
      <c r="DO1375" s="494"/>
      <c r="DP1375" s="496" t="s">
        <v>3779</v>
      </c>
      <c r="DQ1375" s="496" t="s">
        <v>8</v>
      </c>
      <c r="DR1375" s="496" t="s">
        <v>690</v>
      </c>
      <c r="DS1375" s="496" t="s">
        <v>3780</v>
      </c>
      <c r="DT1375" s="496" t="s">
        <v>3781</v>
      </c>
      <c r="DU1375" s="496" t="s">
        <v>1151</v>
      </c>
      <c r="DV1375" s="496" t="s">
        <v>1446</v>
      </c>
      <c r="DW1375" s="496" t="s">
        <v>1087</v>
      </c>
      <c r="DX1375" s="497" t="s">
        <v>1153</v>
      </c>
      <c r="DZ1375" s="543">
        <v>1</v>
      </c>
      <c r="EB1375" s="493"/>
      <c r="EC1375" s="493"/>
    </row>
    <row r="1376" spans="119:133" ht="21" customHeight="1">
      <c r="DO1376" s="494"/>
      <c r="DP1376" s="496" t="s">
        <v>3782</v>
      </c>
      <c r="DQ1376" s="496" t="s">
        <v>8</v>
      </c>
      <c r="DR1376" s="496" t="s">
        <v>690</v>
      </c>
      <c r="DS1376" s="496" t="s">
        <v>3783</v>
      </c>
      <c r="DT1376" s="496" t="s">
        <v>3784</v>
      </c>
      <c r="DU1376" s="496" t="s">
        <v>1151</v>
      </c>
      <c r="DV1376" s="496" t="s">
        <v>1446</v>
      </c>
      <c r="DW1376" s="496" t="s">
        <v>1087</v>
      </c>
      <c r="DX1376" s="497" t="s">
        <v>1153</v>
      </c>
      <c r="DZ1376" s="543">
        <v>1</v>
      </c>
      <c r="EB1376" s="493"/>
      <c r="EC1376" s="493"/>
    </row>
    <row r="1377" spans="119:133" ht="21" customHeight="1">
      <c r="DO1377" s="494"/>
      <c r="DP1377" s="496" t="s">
        <v>3785</v>
      </c>
      <c r="DQ1377" s="496" t="s">
        <v>8</v>
      </c>
      <c r="DR1377" s="496" t="s">
        <v>690</v>
      </c>
      <c r="DS1377" s="496" t="s">
        <v>3786</v>
      </c>
      <c r="DT1377" s="496" t="s">
        <v>3787</v>
      </c>
      <c r="DU1377" s="496" t="s">
        <v>1151</v>
      </c>
      <c r="DV1377" s="496" t="s">
        <v>1446</v>
      </c>
      <c r="DW1377" s="496" t="s">
        <v>1087</v>
      </c>
      <c r="DX1377" s="497" t="s">
        <v>1153</v>
      </c>
      <c r="DZ1377" s="543">
        <v>1</v>
      </c>
      <c r="EB1377" s="493"/>
      <c r="EC1377" s="493"/>
    </row>
    <row r="1378" spans="119:133" ht="21" customHeight="1">
      <c r="DO1378" s="494"/>
      <c r="DP1378" s="496" t="s">
        <v>3788</v>
      </c>
      <c r="DQ1378" s="496" t="s">
        <v>8</v>
      </c>
      <c r="DR1378" s="496" t="s">
        <v>690</v>
      </c>
      <c r="DS1378" s="496" t="s">
        <v>3789</v>
      </c>
      <c r="DT1378" s="496" t="s">
        <v>3789</v>
      </c>
      <c r="DU1378" s="496" t="s">
        <v>1151</v>
      </c>
      <c r="DV1378" s="496" t="s">
        <v>1446</v>
      </c>
      <c r="DW1378" s="496" t="s">
        <v>1087</v>
      </c>
      <c r="DX1378" s="497" t="s">
        <v>1153</v>
      </c>
      <c r="DZ1378" s="543">
        <v>1</v>
      </c>
      <c r="EB1378" s="493"/>
      <c r="EC1378" s="493"/>
    </row>
    <row r="1379" spans="119:133" ht="21" customHeight="1">
      <c r="DO1379" s="494"/>
      <c r="DP1379" s="496" t="s">
        <v>3790</v>
      </c>
      <c r="DQ1379" s="496" t="s">
        <v>8</v>
      </c>
      <c r="DR1379" s="496" t="s">
        <v>690</v>
      </c>
      <c r="DS1379" s="496" t="s">
        <v>3791</v>
      </c>
      <c r="DT1379" s="496" t="s">
        <v>3791</v>
      </c>
      <c r="DU1379" s="496" t="s">
        <v>1151</v>
      </c>
      <c r="DV1379" s="496" t="s">
        <v>1446</v>
      </c>
      <c r="DW1379" s="496" t="s">
        <v>1087</v>
      </c>
      <c r="DX1379" s="497" t="s">
        <v>1153</v>
      </c>
      <c r="DZ1379" s="543">
        <v>1</v>
      </c>
      <c r="EB1379" s="493"/>
      <c r="EC1379" s="493"/>
    </row>
    <row r="1380" spans="119:133" ht="21" customHeight="1">
      <c r="DO1380" s="494"/>
      <c r="DP1380" s="496" t="s">
        <v>3792</v>
      </c>
      <c r="DQ1380" s="496" t="s">
        <v>8</v>
      </c>
      <c r="DR1380" s="496" t="s">
        <v>690</v>
      </c>
      <c r="DS1380" s="496" t="s">
        <v>3793</v>
      </c>
      <c r="DT1380" s="496" t="s">
        <v>3793</v>
      </c>
      <c r="DU1380" s="496" t="s">
        <v>1151</v>
      </c>
      <c r="DV1380" s="496" t="s">
        <v>1446</v>
      </c>
      <c r="DW1380" s="496" t="s">
        <v>1087</v>
      </c>
      <c r="DX1380" s="497" t="s">
        <v>1153</v>
      </c>
      <c r="DZ1380" s="543">
        <v>1</v>
      </c>
      <c r="EB1380" s="493"/>
      <c r="EC1380" s="493"/>
    </row>
    <row r="1381" spans="119:133" ht="21" customHeight="1">
      <c r="DO1381" s="494"/>
      <c r="DP1381" s="496" t="s">
        <v>3794</v>
      </c>
      <c r="DQ1381" s="496" t="s">
        <v>8</v>
      </c>
      <c r="DR1381" s="496" t="s">
        <v>690</v>
      </c>
      <c r="DS1381" s="496" t="s">
        <v>3795</v>
      </c>
      <c r="DT1381" s="496" t="s">
        <v>3795</v>
      </c>
      <c r="DU1381" s="496" t="s">
        <v>1151</v>
      </c>
      <c r="DV1381" s="496" t="s">
        <v>1446</v>
      </c>
      <c r="DW1381" s="496" t="s">
        <v>1087</v>
      </c>
      <c r="DX1381" s="497" t="s">
        <v>1153</v>
      </c>
      <c r="DZ1381" s="543">
        <v>1</v>
      </c>
      <c r="EB1381" s="493"/>
      <c r="EC1381" s="493"/>
    </row>
    <row r="1382" spans="119:133" ht="21" customHeight="1">
      <c r="DO1382" s="494"/>
      <c r="DP1382" s="496" t="s">
        <v>3796</v>
      </c>
      <c r="DQ1382" s="496" t="s">
        <v>8</v>
      </c>
      <c r="DR1382" s="496" t="s">
        <v>1511</v>
      </c>
      <c r="DS1382" s="496" t="s">
        <v>3797</v>
      </c>
      <c r="DT1382" s="496" t="s">
        <v>3798</v>
      </c>
      <c r="DU1382" s="496" t="s">
        <v>1085</v>
      </c>
      <c r="DV1382" s="496" t="s">
        <v>3799</v>
      </c>
      <c r="DW1382" s="496" t="s">
        <v>1087</v>
      </c>
      <c r="DX1382" s="497" t="s">
        <v>1088</v>
      </c>
      <c r="DZ1382" s="543">
        <v>1</v>
      </c>
      <c r="EB1382" s="493"/>
      <c r="EC1382" s="493"/>
    </row>
    <row r="1383" spans="119:133" ht="21" customHeight="1">
      <c r="DO1383" s="494"/>
      <c r="DP1383" s="496" t="s">
        <v>3800</v>
      </c>
      <c r="DQ1383" s="496" t="s">
        <v>8</v>
      </c>
      <c r="DR1383" s="496" t="s">
        <v>1511</v>
      </c>
      <c r="DS1383" s="496" t="s">
        <v>3801</v>
      </c>
      <c r="DT1383" s="496" t="s">
        <v>3801</v>
      </c>
      <c r="DU1383" s="496" t="s">
        <v>1085</v>
      </c>
      <c r="DV1383" s="496" t="s">
        <v>3799</v>
      </c>
      <c r="DW1383" s="496" t="s">
        <v>1087</v>
      </c>
      <c r="DX1383" s="497" t="s">
        <v>1088</v>
      </c>
      <c r="DZ1383" s="543">
        <v>1</v>
      </c>
      <c r="EB1383" s="493"/>
      <c r="EC1383" s="493"/>
    </row>
    <row r="1384" spans="119:133" ht="21" customHeight="1">
      <c r="DO1384" s="494"/>
      <c r="DP1384" s="496" t="s">
        <v>3802</v>
      </c>
      <c r="DQ1384" s="496" t="s">
        <v>8</v>
      </c>
      <c r="DR1384" s="496" t="s">
        <v>1511</v>
      </c>
      <c r="DS1384" s="496" t="s">
        <v>3803</v>
      </c>
      <c r="DT1384" s="496" t="s">
        <v>3803</v>
      </c>
      <c r="DU1384" s="496" t="s">
        <v>1085</v>
      </c>
      <c r="DV1384" s="496" t="s">
        <v>3799</v>
      </c>
      <c r="DW1384" s="496" t="s">
        <v>1087</v>
      </c>
      <c r="DX1384" s="497" t="s">
        <v>1088</v>
      </c>
      <c r="DZ1384" s="543">
        <v>1</v>
      </c>
      <c r="EB1384" s="493"/>
      <c r="EC1384" s="493"/>
    </row>
    <row r="1385" spans="119:133" ht="21" customHeight="1">
      <c r="DO1385" s="494"/>
      <c r="DP1385" s="496" t="s">
        <v>3804</v>
      </c>
      <c r="DQ1385" s="496" t="s">
        <v>8</v>
      </c>
      <c r="DR1385" s="496" t="s">
        <v>1511</v>
      </c>
      <c r="DS1385" s="496" t="s">
        <v>3805</v>
      </c>
      <c r="DT1385" s="496" t="s">
        <v>3806</v>
      </c>
      <c r="DU1385" s="496" t="s">
        <v>1085</v>
      </c>
      <c r="DV1385" s="496" t="s">
        <v>3799</v>
      </c>
      <c r="DW1385" s="496" t="s">
        <v>1087</v>
      </c>
      <c r="DX1385" s="497" t="s">
        <v>1088</v>
      </c>
      <c r="DZ1385" s="543">
        <v>1</v>
      </c>
      <c r="EB1385" s="493"/>
      <c r="EC1385" s="493"/>
    </row>
    <row r="1386" spans="119:133" ht="21" customHeight="1">
      <c r="DO1386" s="494"/>
      <c r="DP1386" s="496" t="s">
        <v>3807</v>
      </c>
      <c r="DQ1386" s="496" t="s">
        <v>8</v>
      </c>
      <c r="DR1386" s="496" t="s">
        <v>1511</v>
      </c>
      <c r="DS1386" s="496" t="s">
        <v>3808</v>
      </c>
      <c r="DT1386" s="496" t="s">
        <v>3808</v>
      </c>
      <c r="DU1386" s="496" t="s">
        <v>1085</v>
      </c>
      <c r="DV1386" s="496" t="s">
        <v>3799</v>
      </c>
      <c r="DW1386" s="496" t="s">
        <v>1087</v>
      </c>
      <c r="DX1386" s="497" t="s">
        <v>1088</v>
      </c>
      <c r="DZ1386" s="543">
        <v>1</v>
      </c>
      <c r="EB1386" s="493"/>
      <c r="EC1386" s="493"/>
    </row>
    <row r="1387" spans="119:133" ht="21" customHeight="1">
      <c r="DO1387" s="494"/>
      <c r="DP1387" s="496" t="s">
        <v>3809</v>
      </c>
      <c r="DQ1387" s="496" t="s">
        <v>8</v>
      </c>
      <c r="DR1387" s="496" t="s">
        <v>1511</v>
      </c>
      <c r="DS1387" s="496" t="s">
        <v>3810</v>
      </c>
      <c r="DT1387" s="496" t="s">
        <v>3810</v>
      </c>
      <c r="DU1387" s="496" t="s">
        <v>1085</v>
      </c>
      <c r="DV1387" s="496" t="s">
        <v>3799</v>
      </c>
      <c r="DW1387" s="496" t="s">
        <v>1087</v>
      </c>
      <c r="DX1387" s="497" t="s">
        <v>1088</v>
      </c>
      <c r="DZ1387" s="543">
        <v>1</v>
      </c>
      <c r="EB1387" s="493"/>
      <c r="EC1387" s="493"/>
    </row>
    <row r="1388" spans="119:133" ht="21" customHeight="1">
      <c r="DO1388" s="494"/>
      <c r="DP1388" s="496" t="s">
        <v>3811</v>
      </c>
      <c r="DQ1388" s="496" t="s">
        <v>8</v>
      </c>
      <c r="DR1388" s="496" t="s">
        <v>1511</v>
      </c>
      <c r="DS1388" s="496" t="s">
        <v>3812</v>
      </c>
      <c r="DT1388" s="496" t="s">
        <v>3812</v>
      </c>
      <c r="DU1388" s="496" t="s">
        <v>1085</v>
      </c>
      <c r="DV1388" s="496" t="s">
        <v>3799</v>
      </c>
      <c r="DW1388" s="496" t="s">
        <v>1087</v>
      </c>
      <c r="DX1388" s="497" t="s">
        <v>1088</v>
      </c>
      <c r="DZ1388" s="543">
        <v>1</v>
      </c>
      <c r="EB1388" s="493"/>
      <c r="EC1388" s="493"/>
    </row>
    <row r="1389" spans="119:133" ht="21" customHeight="1">
      <c r="DO1389" s="494"/>
      <c r="DP1389" s="496" t="s">
        <v>3813</v>
      </c>
      <c r="DQ1389" s="496" t="s">
        <v>8</v>
      </c>
      <c r="DR1389" s="496" t="s">
        <v>1511</v>
      </c>
      <c r="DS1389" s="496" t="s">
        <v>1537</v>
      </c>
      <c r="DT1389" s="496" t="s">
        <v>1537</v>
      </c>
      <c r="DU1389" s="496" t="s">
        <v>1085</v>
      </c>
      <c r="DV1389" s="496" t="s">
        <v>3799</v>
      </c>
      <c r="DW1389" s="496" t="s">
        <v>1087</v>
      </c>
      <c r="DX1389" s="497" t="s">
        <v>1088</v>
      </c>
      <c r="DZ1389" s="543">
        <v>1</v>
      </c>
      <c r="EB1389" s="493"/>
      <c r="EC1389" s="493"/>
    </row>
    <row r="1390" spans="119:133" ht="21" customHeight="1">
      <c r="DO1390" s="494"/>
      <c r="DP1390" s="496" t="s">
        <v>3814</v>
      </c>
      <c r="DQ1390" s="496" t="s">
        <v>8</v>
      </c>
      <c r="DR1390" s="496" t="s">
        <v>1511</v>
      </c>
      <c r="DS1390" s="496" t="s">
        <v>3815</v>
      </c>
      <c r="DT1390" s="496" t="s">
        <v>3816</v>
      </c>
      <c r="DU1390" s="496" t="s">
        <v>1085</v>
      </c>
      <c r="DV1390" s="496" t="s">
        <v>3799</v>
      </c>
      <c r="DW1390" s="496" t="s">
        <v>1087</v>
      </c>
      <c r="DX1390" s="497" t="s">
        <v>1088</v>
      </c>
      <c r="DZ1390" s="543">
        <v>1</v>
      </c>
      <c r="EB1390" s="493"/>
      <c r="EC1390" s="493"/>
    </row>
    <row r="1391" spans="119:133" ht="21" customHeight="1">
      <c r="DO1391" s="494"/>
      <c r="DP1391" s="496" t="s">
        <v>3817</v>
      </c>
      <c r="DQ1391" s="496" t="s">
        <v>8</v>
      </c>
      <c r="DR1391" s="496" t="s">
        <v>1511</v>
      </c>
      <c r="DS1391" s="496" t="s">
        <v>1542</v>
      </c>
      <c r="DT1391" s="496" t="s">
        <v>1542</v>
      </c>
      <c r="DU1391" s="496" t="s">
        <v>1085</v>
      </c>
      <c r="DV1391" s="496" t="s">
        <v>3799</v>
      </c>
      <c r="DW1391" s="496" t="s">
        <v>1087</v>
      </c>
      <c r="DX1391" s="497" t="s">
        <v>1088</v>
      </c>
      <c r="DZ1391" s="543">
        <v>1</v>
      </c>
      <c r="EB1391" s="493"/>
      <c r="EC1391" s="493"/>
    </row>
    <row r="1392" spans="119:133" ht="21" customHeight="1">
      <c r="DO1392" s="494"/>
      <c r="DP1392" s="496" t="s">
        <v>3818</v>
      </c>
      <c r="DQ1392" s="496" t="s">
        <v>8</v>
      </c>
      <c r="DR1392" s="496" t="s">
        <v>1511</v>
      </c>
      <c r="DS1392" s="496" t="s">
        <v>3819</v>
      </c>
      <c r="DT1392" s="496" t="s">
        <v>3819</v>
      </c>
      <c r="DU1392" s="496" t="s">
        <v>1085</v>
      </c>
      <c r="DV1392" s="496" t="s">
        <v>3799</v>
      </c>
      <c r="DW1392" s="496" t="s">
        <v>1087</v>
      </c>
      <c r="DX1392" s="497" t="s">
        <v>1088</v>
      </c>
      <c r="DZ1392" s="543">
        <v>1</v>
      </c>
      <c r="EB1392" s="493"/>
      <c r="EC1392" s="493"/>
    </row>
    <row r="1393" spans="119:133" ht="21" customHeight="1">
      <c r="DO1393" s="494"/>
      <c r="DP1393" s="496" t="s">
        <v>3820</v>
      </c>
      <c r="DQ1393" s="496" t="s">
        <v>9</v>
      </c>
      <c r="DR1393" s="496" t="s">
        <v>689</v>
      </c>
      <c r="DS1393" s="496" t="s">
        <v>20</v>
      </c>
      <c r="DT1393" s="496" t="s">
        <v>20</v>
      </c>
      <c r="DU1393" s="496" t="s">
        <v>1085</v>
      </c>
      <c r="DV1393" s="496" t="s">
        <v>3821</v>
      </c>
      <c r="DW1393" s="496" t="s">
        <v>1087</v>
      </c>
      <c r="DX1393" s="497" t="s">
        <v>1088</v>
      </c>
      <c r="DZ1393" s="543">
        <v>1</v>
      </c>
      <c r="EB1393" s="493"/>
      <c r="EC1393" s="493"/>
    </row>
    <row r="1394" spans="119:133" ht="21" customHeight="1">
      <c r="DO1394" s="494"/>
      <c r="DP1394" s="496" t="s">
        <v>3822</v>
      </c>
      <c r="DQ1394" s="496" t="s">
        <v>9</v>
      </c>
      <c r="DR1394" s="496" t="s">
        <v>689</v>
      </c>
      <c r="DS1394" s="496" t="s">
        <v>1</v>
      </c>
      <c r="DT1394" s="496" t="s">
        <v>1</v>
      </c>
      <c r="DU1394" s="496" t="s">
        <v>1085</v>
      </c>
      <c r="DV1394" s="496" t="s">
        <v>3821</v>
      </c>
      <c r="DW1394" s="496" t="s">
        <v>1087</v>
      </c>
      <c r="DX1394" s="497" t="s">
        <v>1088</v>
      </c>
      <c r="DZ1394" s="543">
        <v>1</v>
      </c>
      <c r="EB1394" s="493"/>
      <c r="EC1394" s="493"/>
    </row>
    <row r="1395" spans="119:133" ht="21" customHeight="1">
      <c r="DO1395" s="494"/>
      <c r="DP1395" s="496" t="s">
        <v>3823</v>
      </c>
      <c r="DQ1395" s="496" t="s">
        <v>9</v>
      </c>
      <c r="DR1395" s="496" t="s">
        <v>689</v>
      </c>
      <c r="DS1395" s="496" t="s">
        <v>46</v>
      </c>
      <c r="DT1395" s="496" t="s">
        <v>46</v>
      </c>
      <c r="DU1395" s="496" t="s">
        <v>1085</v>
      </c>
      <c r="DV1395" s="496" t="s">
        <v>3821</v>
      </c>
      <c r="DW1395" s="496" t="s">
        <v>1087</v>
      </c>
      <c r="DX1395" s="497" t="s">
        <v>1088</v>
      </c>
      <c r="DZ1395" s="543">
        <v>1</v>
      </c>
      <c r="EB1395" s="493"/>
      <c r="EC1395" s="493"/>
    </row>
    <row r="1396" spans="119:133" ht="21" customHeight="1">
      <c r="DO1396" s="494"/>
      <c r="DP1396" s="496" t="s">
        <v>3824</v>
      </c>
      <c r="DQ1396" s="496" t="s">
        <v>9</v>
      </c>
      <c r="DR1396" s="496" t="s">
        <v>689</v>
      </c>
      <c r="DS1396" s="496" t="s">
        <v>3825</v>
      </c>
      <c r="DT1396" s="496" t="s">
        <v>40</v>
      </c>
      <c r="DU1396" s="496" t="s">
        <v>1085</v>
      </c>
      <c r="DV1396" s="496" t="s">
        <v>3821</v>
      </c>
      <c r="DW1396" s="496" t="s">
        <v>1087</v>
      </c>
      <c r="DX1396" s="497" t="s">
        <v>1088</v>
      </c>
      <c r="DZ1396" s="543">
        <v>1</v>
      </c>
      <c r="EB1396" s="493"/>
      <c r="EC1396" s="493"/>
    </row>
    <row r="1397" spans="119:133" ht="21" customHeight="1">
      <c r="DO1397" s="494"/>
      <c r="DP1397" s="496" t="s">
        <v>3826</v>
      </c>
      <c r="DQ1397" s="496" t="s">
        <v>9</v>
      </c>
      <c r="DR1397" s="496" t="s">
        <v>689</v>
      </c>
      <c r="DS1397" s="496" t="s">
        <v>3827</v>
      </c>
      <c r="DT1397" s="496" t="s">
        <v>108</v>
      </c>
      <c r="DU1397" s="496" t="s">
        <v>1085</v>
      </c>
      <c r="DV1397" s="496" t="s">
        <v>3821</v>
      </c>
      <c r="DW1397" s="496" t="s">
        <v>1087</v>
      </c>
      <c r="DX1397" s="497" t="s">
        <v>1088</v>
      </c>
      <c r="DZ1397" s="543">
        <v>1</v>
      </c>
      <c r="EB1397" s="493"/>
      <c r="EC1397" s="493"/>
    </row>
    <row r="1398" spans="119:133" ht="21" customHeight="1">
      <c r="DO1398" s="494"/>
      <c r="DP1398" s="496" t="s">
        <v>3828</v>
      </c>
      <c r="DQ1398" s="496" t="s">
        <v>9</v>
      </c>
      <c r="DR1398" s="496" t="s">
        <v>689</v>
      </c>
      <c r="DS1398" s="496" t="s">
        <v>3829</v>
      </c>
      <c r="DT1398" s="496" t="s">
        <v>122</v>
      </c>
      <c r="DU1398" s="496" t="s">
        <v>1085</v>
      </c>
      <c r="DV1398" s="496" t="s">
        <v>3821</v>
      </c>
      <c r="DW1398" s="496" t="s">
        <v>1087</v>
      </c>
      <c r="DX1398" s="497" t="s">
        <v>1088</v>
      </c>
      <c r="DZ1398" s="543">
        <v>1</v>
      </c>
      <c r="EB1398" s="493"/>
      <c r="EC1398" s="493"/>
    </row>
    <row r="1399" spans="119:133" ht="21" customHeight="1">
      <c r="DO1399" s="494"/>
      <c r="DP1399" s="496" t="s">
        <v>3830</v>
      </c>
      <c r="DQ1399" s="496" t="s">
        <v>9</v>
      </c>
      <c r="DR1399" s="496" t="s">
        <v>689</v>
      </c>
      <c r="DS1399" s="496" t="s">
        <v>3831</v>
      </c>
      <c r="DT1399" s="496" t="s">
        <v>3831</v>
      </c>
      <c r="DU1399" s="496" t="s">
        <v>1085</v>
      </c>
      <c r="DV1399" s="496" t="s">
        <v>3821</v>
      </c>
      <c r="DW1399" s="496" t="s">
        <v>1087</v>
      </c>
      <c r="DX1399" s="497" t="s">
        <v>1088</v>
      </c>
      <c r="DZ1399" s="543">
        <v>1</v>
      </c>
      <c r="EB1399" s="493"/>
      <c r="EC1399" s="493"/>
    </row>
    <row r="1400" spans="119:133" ht="21" customHeight="1">
      <c r="DO1400" s="494"/>
      <c r="DP1400" s="496" t="s">
        <v>3832</v>
      </c>
      <c r="DQ1400" s="496" t="s">
        <v>9</v>
      </c>
      <c r="DR1400" s="496" t="s">
        <v>689</v>
      </c>
      <c r="DS1400" s="496" t="s">
        <v>270</v>
      </c>
      <c r="DT1400" s="496" t="s">
        <v>270</v>
      </c>
      <c r="DU1400" s="496" t="s">
        <v>1151</v>
      </c>
      <c r="DV1400" s="496" t="s">
        <v>1152</v>
      </c>
      <c r="DW1400" s="496" t="s">
        <v>1087</v>
      </c>
      <c r="DX1400" s="497" t="s">
        <v>1153</v>
      </c>
      <c r="DZ1400" s="543">
        <v>1</v>
      </c>
      <c r="EB1400" s="493"/>
      <c r="EC1400" s="493"/>
    </row>
    <row r="1401" spans="119:133" ht="21" customHeight="1">
      <c r="DO1401" s="494"/>
      <c r="DP1401" s="496" t="s">
        <v>3833</v>
      </c>
      <c r="DQ1401" s="496" t="s">
        <v>9</v>
      </c>
      <c r="DR1401" s="496" t="s">
        <v>689</v>
      </c>
      <c r="DS1401" s="496" t="s">
        <v>3834</v>
      </c>
      <c r="DT1401" s="496" t="s">
        <v>3834</v>
      </c>
      <c r="DU1401" s="496" t="s">
        <v>1151</v>
      </c>
      <c r="DV1401" s="496" t="s">
        <v>1152</v>
      </c>
      <c r="DW1401" s="496" t="s">
        <v>1087</v>
      </c>
      <c r="DX1401" s="497" t="s">
        <v>1153</v>
      </c>
      <c r="DZ1401" s="543">
        <v>1</v>
      </c>
      <c r="EB1401" s="493"/>
      <c r="EC1401" s="493"/>
    </row>
    <row r="1402" spans="119:133" ht="21" customHeight="1">
      <c r="DO1402" s="494"/>
      <c r="DP1402" s="496" t="s">
        <v>3835</v>
      </c>
      <c r="DQ1402" s="496" t="s">
        <v>9</v>
      </c>
      <c r="DR1402" s="496" t="s">
        <v>689</v>
      </c>
      <c r="DS1402" s="496" t="s">
        <v>3836</v>
      </c>
      <c r="DT1402" s="496" t="s">
        <v>3836</v>
      </c>
      <c r="DU1402" s="496" t="s">
        <v>1151</v>
      </c>
      <c r="DV1402" s="496" t="s">
        <v>1152</v>
      </c>
      <c r="DW1402" s="496" t="s">
        <v>1087</v>
      </c>
      <c r="DX1402" s="497" t="s">
        <v>1153</v>
      </c>
      <c r="DZ1402" s="543">
        <v>1</v>
      </c>
      <c r="EB1402" s="493"/>
      <c r="EC1402" s="493"/>
    </row>
    <row r="1403" spans="119:133" ht="21" customHeight="1">
      <c r="DO1403" s="494"/>
      <c r="DP1403" s="496" t="s">
        <v>3837</v>
      </c>
      <c r="DQ1403" s="496" t="s">
        <v>9</v>
      </c>
      <c r="DR1403" s="496" t="s">
        <v>689</v>
      </c>
      <c r="DS1403" s="496" t="s">
        <v>135</v>
      </c>
      <c r="DT1403" s="496" t="s">
        <v>135</v>
      </c>
      <c r="DU1403" s="496" t="s">
        <v>1085</v>
      </c>
      <c r="DV1403" s="496" t="s">
        <v>3821</v>
      </c>
      <c r="DW1403" s="496" t="s">
        <v>1087</v>
      </c>
      <c r="DX1403" s="497" t="s">
        <v>1088</v>
      </c>
      <c r="DZ1403" s="543">
        <v>1</v>
      </c>
      <c r="EB1403" s="493"/>
      <c r="EC1403" s="493"/>
    </row>
    <row r="1404" spans="119:133" ht="21" customHeight="1">
      <c r="DO1404" s="494"/>
      <c r="DP1404" s="496" t="s">
        <v>3838</v>
      </c>
      <c r="DQ1404" s="496" t="s">
        <v>9</v>
      </c>
      <c r="DR1404" s="496" t="s">
        <v>689</v>
      </c>
      <c r="DS1404" s="496" t="s">
        <v>3839</v>
      </c>
      <c r="DT1404" s="496" t="s">
        <v>166</v>
      </c>
      <c r="DU1404" s="496" t="s">
        <v>1085</v>
      </c>
      <c r="DV1404" s="496" t="s">
        <v>3821</v>
      </c>
      <c r="DW1404" s="496" t="s">
        <v>1087</v>
      </c>
      <c r="DX1404" s="497" t="s">
        <v>1088</v>
      </c>
      <c r="DZ1404" s="543">
        <v>1</v>
      </c>
      <c r="EB1404" s="493"/>
      <c r="EC1404" s="493"/>
    </row>
    <row r="1405" spans="119:133" ht="21" customHeight="1">
      <c r="DO1405" s="494"/>
      <c r="DP1405" s="496" t="s">
        <v>3840</v>
      </c>
      <c r="DQ1405" s="496" t="s">
        <v>9</v>
      </c>
      <c r="DR1405" s="496" t="s">
        <v>689</v>
      </c>
      <c r="DS1405" s="496" t="s">
        <v>272</v>
      </c>
      <c r="DT1405" s="496" t="s">
        <v>272</v>
      </c>
      <c r="DU1405" s="496" t="s">
        <v>1085</v>
      </c>
      <c r="DV1405" s="496" t="s">
        <v>3821</v>
      </c>
      <c r="DW1405" s="496" t="s">
        <v>1087</v>
      </c>
      <c r="DX1405" s="497" t="s">
        <v>1088</v>
      </c>
      <c r="DZ1405" s="543">
        <v>1</v>
      </c>
      <c r="EB1405" s="493"/>
      <c r="EC1405" s="493"/>
    </row>
    <row r="1406" spans="119:133" ht="21" customHeight="1">
      <c r="DO1406" s="494"/>
      <c r="DP1406" s="496" t="s">
        <v>3841</v>
      </c>
      <c r="DQ1406" s="496" t="s">
        <v>9</v>
      </c>
      <c r="DR1406" s="496" t="s">
        <v>689</v>
      </c>
      <c r="DS1406" s="496" t="s">
        <v>3842</v>
      </c>
      <c r="DT1406" s="496" t="s">
        <v>3842</v>
      </c>
      <c r="DU1406" s="496" t="s">
        <v>1151</v>
      </c>
      <c r="DV1406" s="496" t="s">
        <v>1152</v>
      </c>
      <c r="DW1406" s="496" t="s">
        <v>1087</v>
      </c>
      <c r="DX1406" s="497" t="s">
        <v>1153</v>
      </c>
      <c r="DZ1406" s="543">
        <v>1</v>
      </c>
      <c r="EB1406" s="493"/>
      <c r="EC1406" s="493"/>
    </row>
    <row r="1407" spans="119:133" ht="21" customHeight="1">
      <c r="DO1407" s="494"/>
      <c r="DP1407" s="496" t="s">
        <v>3843</v>
      </c>
      <c r="DQ1407" s="496" t="s">
        <v>9</v>
      </c>
      <c r="DR1407" s="496" t="s">
        <v>689</v>
      </c>
      <c r="DS1407" s="496" t="s">
        <v>273</v>
      </c>
      <c r="DT1407" s="496" t="s">
        <v>273</v>
      </c>
      <c r="DU1407" s="496" t="s">
        <v>1085</v>
      </c>
      <c r="DV1407" s="496" t="s">
        <v>3821</v>
      </c>
      <c r="DW1407" s="496" t="s">
        <v>1087</v>
      </c>
      <c r="DX1407" s="497" t="s">
        <v>1088</v>
      </c>
      <c r="DZ1407" s="543">
        <v>1</v>
      </c>
      <c r="EB1407" s="493"/>
      <c r="EC1407" s="493"/>
    </row>
    <row r="1408" spans="119:133" ht="21" customHeight="1">
      <c r="DO1408" s="494"/>
      <c r="DP1408" s="496" t="s">
        <v>3844</v>
      </c>
      <c r="DQ1408" s="496" t="s">
        <v>9</v>
      </c>
      <c r="DR1408" s="496" t="s">
        <v>689</v>
      </c>
      <c r="DS1408" s="496" t="s">
        <v>3845</v>
      </c>
      <c r="DT1408" s="496" t="s">
        <v>3846</v>
      </c>
      <c r="DU1408" s="496" t="s">
        <v>1085</v>
      </c>
      <c r="DV1408" s="496" t="s">
        <v>3821</v>
      </c>
      <c r="DW1408" s="496" t="s">
        <v>1087</v>
      </c>
      <c r="DX1408" s="497" t="s">
        <v>1088</v>
      </c>
      <c r="DZ1408" s="543">
        <v>1</v>
      </c>
      <c r="EB1408" s="493"/>
      <c r="EC1408" s="493"/>
    </row>
    <row r="1409" spans="119:133" ht="21" customHeight="1">
      <c r="DO1409" s="494"/>
      <c r="DP1409" s="496" t="s">
        <v>3847</v>
      </c>
      <c r="DQ1409" s="496" t="s">
        <v>9</v>
      </c>
      <c r="DR1409" s="496" t="s">
        <v>689</v>
      </c>
      <c r="DS1409" s="496" t="s">
        <v>3848</v>
      </c>
      <c r="DT1409" s="496" t="s">
        <v>3849</v>
      </c>
      <c r="DU1409" s="496" t="s">
        <v>1085</v>
      </c>
      <c r="DV1409" s="496" t="s">
        <v>3821</v>
      </c>
      <c r="DW1409" s="496" t="s">
        <v>1087</v>
      </c>
      <c r="DX1409" s="497" t="s">
        <v>1088</v>
      </c>
      <c r="DZ1409" s="543">
        <v>1</v>
      </c>
      <c r="EB1409" s="493"/>
      <c r="EC1409" s="493"/>
    </row>
    <row r="1410" spans="119:133" ht="21" customHeight="1">
      <c r="DO1410" s="494"/>
      <c r="DP1410" s="496" t="s">
        <v>3850</v>
      </c>
      <c r="DQ1410" s="496" t="s">
        <v>9</v>
      </c>
      <c r="DR1410" s="496" t="s">
        <v>689</v>
      </c>
      <c r="DS1410" s="496" t="s">
        <v>3851</v>
      </c>
      <c r="DT1410" s="496" t="s">
        <v>3851</v>
      </c>
      <c r="DU1410" s="496" t="s">
        <v>1085</v>
      </c>
      <c r="DV1410" s="496" t="s">
        <v>3821</v>
      </c>
      <c r="DW1410" s="496" t="s">
        <v>1087</v>
      </c>
      <c r="DX1410" s="497" t="s">
        <v>1088</v>
      </c>
      <c r="DZ1410" s="543">
        <v>1</v>
      </c>
      <c r="EB1410" s="493"/>
      <c r="EC1410" s="493"/>
    </row>
    <row r="1411" spans="119:133" ht="21" customHeight="1">
      <c r="DO1411" s="494"/>
      <c r="DP1411" s="496" t="s">
        <v>3852</v>
      </c>
      <c r="DQ1411" s="496" t="s">
        <v>9</v>
      </c>
      <c r="DR1411" s="496" t="s">
        <v>689</v>
      </c>
      <c r="DS1411" s="496" t="s">
        <v>3853</v>
      </c>
      <c r="DT1411" s="496" t="s">
        <v>3854</v>
      </c>
      <c r="DU1411" s="496" t="s">
        <v>1085</v>
      </c>
      <c r="DV1411" s="496" t="s">
        <v>3821</v>
      </c>
      <c r="DW1411" s="496" t="s">
        <v>1087</v>
      </c>
      <c r="DX1411" s="497" t="s">
        <v>1088</v>
      </c>
      <c r="DZ1411" s="543">
        <v>1</v>
      </c>
      <c r="EB1411" s="493"/>
      <c r="EC1411" s="493"/>
    </row>
    <row r="1412" spans="119:133" ht="21" customHeight="1">
      <c r="DO1412" s="494"/>
      <c r="DP1412" s="496" t="s">
        <v>3855</v>
      </c>
      <c r="DQ1412" s="496" t="s">
        <v>9</v>
      </c>
      <c r="DR1412" s="496" t="s">
        <v>689</v>
      </c>
      <c r="DS1412" s="496" t="s">
        <v>3856</v>
      </c>
      <c r="DT1412" s="496" t="s">
        <v>3857</v>
      </c>
      <c r="DU1412" s="496" t="s">
        <v>1085</v>
      </c>
      <c r="DV1412" s="496" t="s">
        <v>3821</v>
      </c>
      <c r="DW1412" s="496" t="s">
        <v>1087</v>
      </c>
      <c r="DX1412" s="497" t="s">
        <v>1088</v>
      </c>
      <c r="DZ1412" s="543">
        <v>1</v>
      </c>
      <c r="EB1412" s="493"/>
      <c r="EC1412" s="493"/>
    </row>
    <row r="1413" spans="119:133" ht="21" customHeight="1">
      <c r="DO1413" s="494"/>
      <c r="DP1413" s="496" t="s">
        <v>3858</v>
      </c>
      <c r="DQ1413" s="496" t="s">
        <v>9</v>
      </c>
      <c r="DR1413" s="496" t="s">
        <v>689</v>
      </c>
      <c r="DS1413" s="496" t="s">
        <v>3859</v>
      </c>
      <c r="DT1413" s="496" t="s">
        <v>3859</v>
      </c>
      <c r="DU1413" s="496" t="s">
        <v>1085</v>
      </c>
      <c r="DV1413" s="496" t="s">
        <v>3821</v>
      </c>
      <c r="DW1413" s="496" t="s">
        <v>1087</v>
      </c>
      <c r="DX1413" s="497" t="s">
        <v>1088</v>
      </c>
      <c r="DZ1413" s="543">
        <v>1</v>
      </c>
      <c r="EB1413" s="493"/>
      <c r="EC1413" s="493"/>
    </row>
    <row r="1414" spans="119:133" ht="21" customHeight="1">
      <c r="DO1414" s="494"/>
      <c r="DP1414" s="496" t="s">
        <v>3860</v>
      </c>
      <c r="DQ1414" s="496" t="s">
        <v>10</v>
      </c>
      <c r="DR1414" s="496" t="s">
        <v>689</v>
      </c>
      <c r="DS1414" s="496" t="s">
        <v>21</v>
      </c>
      <c r="DT1414" s="496" t="s">
        <v>21</v>
      </c>
      <c r="DU1414" s="496" t="s">
        <v>1085</v>
      </c>
      <c r="DV1414" s="496" t="s">
        <v>3861</v>
      </c>
      <c r="DW1414" s="496" t="s">
        <v>1087</v>
      </c>
      <c r="DX1414" s="497" t="s">
        <v>1088</v>
      </c>
      <c r="DZ1414" s="543">
        <v>1</v>
      </c>
      <c r="EB1414" s="493"/>
      <c r="EC1414" s="493"/>
    </row>
    <row r="1415" spans="119:133" ht="21" customHeight="1">
      <c r="DO1415" s="494"/>
      <c r="DP1415" s="496" t="s">
        <v>3862</v>
      </c>
      <c r="DQ1415" s="496" t="s">
        <v>10</v>
      </c>
      <c r="DR1415" s="496" t="s">
        <v>689</v>
      </c>
      <c r="DS1415" s="496" t="s">
        <v>3863</v>
      </c>
      <c r="DT1415" s="496" t="s">
        <v>3864</v>
      </c>
      <c r="DU1415" s="496" t="s">
        <v>1085</v>
      </c>
      <c r="DV1415" s="496" t="s">
        <v>3861</v>
      </c>
      <c r="DW1415" s="496" t="s">
        <v>1087</v>
      </c>
      <c r="DX1415" s="497" t="s">
        <v>1088</v>
      </c>
      <c r="DZ1415" s="543">
        <v>1</v>
      </c>
      <c r="EB1415" s="493"/>
      <c r="EC1415" s="493"/>
    </row>
    <row r="1416" spans="119:133" ht="21" customHeight="1">
      <c r="DO1416" s="494"/>
      <c r="DP1416" s="496" t="s">
        <v>3865</v>
      </c>
      <c r="DQ1416" s="496" t="s">
        <v>10</v>
      </c>
      <c r="DR1416" s="496" t="s">
        <v>689</v>
      </c>
      <c r="DS1416" s="496" t="s">
        <v>3866</v>
      </c>
      <c r="DT1416" s="496" t="s">
        <v>59</v>
      </c>
      <c r="DU1416" s="496" t="s">
        <v>1085</v>
      </c>
      <c r="DV1416" s="496" t="s">
        <v>3861</v>
      </c>
      <c r="DW1416" s="496" t="s">
        <v>1087</v>
      </c>
      <c r="DX1416" s="497" t="s">
        <v>1088</v>
      </c>
      <c r="DZ1416" s="543">
        <v>1</v>
      </c>
      <c r="EB1416" s="493"/>
      <c r="EC1416" s="493"/>
    </row>
    <row r="1417" spans="119:133" ht="21" customHeight="1">
      <c r="DO1417" s="494"/>
      <c r="DP1417" s="496" t="s">
        <v>3867</v>
      </c>
      <c r="DQ1417" s="496" t="s">
        <v>10</v>
      </c>
      <c r="DR1417" s="496" t="s">
        <v>689</v>
      </c>
      <c r="DS1417" s="496" t="s">
        <v>3868</v>
      </c>
      <c r="DT1417" s="496" t="s">
        <v>3868</v>
      </c>
      <c r="DU1417" s="496" t="s">
        <v>1085</v>
      </c>
      <c r="DV1417" s="496" t="s">
        <v>3861</v>
      </c>
      <c r="DW1417" s="496" t="s">
        <v>1087</v>
      </c>
      <c r="DX1417" s="497" t="s">
        <v>1088</v>
      </c>
      <c r="DZ1417" s="543">
        <v>1</v>
      </c>
      <c r="EB1417" s="493"/>
      <c r="EC1417" s="493"/>
    </row>
    <row r="1418" spans="119:133" ht="21" customHeight="1">
      <c r="DO1418" s="494"/>
      <c r="DP1418" s="496" t="s">
        <v>3869</v>
      </c>
      <c r="DQ1418" s="496" t="s">
        <v>10</v>
      </c>
      <c r="DR1418" s="496" t="s">
        <v>689</v>
      </c>
      <c r="DS1418" s="496" t="s">
        <v>3870</v>
      </c>
      <c r="DT1418" s="496" t="s">
        <v>3871</v>
      </c>
      <c r="DU1418" s="496" t="s">
        <v>1085</v>
      </c>
      <c r="DV1418" s="496" t="s">
        <v>3861</v>
      </c>
      <c r="DW1418" s="496" t="s">
        <v>1087</v>
      </c>
      <c r="DX1418" s="497" t="s">
        <v>1088</v>
      </c>
      <c r="DZ1418" s="543">
        <v>1</v>
      </c>
      <c r="EB1418" s="493"/>
      <c r="EC1418" s="493"/>
    </row>
    <row r="1419" spans="119:133" ht="21" customHeight="1">
      <c r="DO1419" s="494"/>
      <c r="DP1419" s="496" t="s">
        <v>3872</v>
      </c>
      <c r="DQ1419" s="496" t="s">
        <v>10</v>
      </c>
      <c r="DR1419" s="496" t="s">
        <v>689</v>
      </c>
      <c r="DS1419" s="496" t="s">
        <v>95</v>
      </c>
      <c r="DT1419" s="496" t="s">
        <v>95</v>
      </c>
      <c r="DU1419" s="496" t="s">
        <v>1085</v>
      </c>
      <c r="DV1419" s="496" t="s">
        <v>3861</v>
      </c>
      <c r="DW1419" s="496" t="s">
        <v>1087</v>
      </c>
      <c r="DX1419" s="497" t="s">
        <v>1088</v>
      </c>
      <c r="DZ1419" s="543">
        <v>1</v>
      </c>
      <c r="EB1419" s="493"/>
      <c r="EC1419" s="493"/>
    </row>
    <row r="1420" spans="119:133" ht="21" customHeight="1">
      <c r="DO1420" s="494"/>
      <c r="DP1420" s="496" t="s">
        <v>3873</v>
      </c>
      <c r="DQ1420" s="496" t="s">
        <v>10</v>
      </c>
      <c r="DR1420" s="496" t="s">
        <v>689</v>
      </c>
      <c r="DS1420" s="496" t="s">
        <v>109</v>
      </c>
      <c r="DT1420" s="496" t="s">
        <v>109</v>
      </c>
      <c r="DU1420" s="496" t="s">
        <v>1085</v>
      </c>
      <c r="DV1420" s="496" t="s">
        <v>3861</v>
      </c>
      <c r="DW1420" s="496" t="s">
        <v>1087</v>
      </c>
      <c r="DX1420" s="497" t="s">
        <v>1088</v>
      </c>
      <c r="DZ1420" s="543">
        <v>1</v>
      </c>
      <c r="EB1420" s="493"/>
      <c r="EC1420" s="493"/>
    </row>
    <row r="1421" spans="119:133" ht="21" customHeight="1">
      <c r="DO1421" s="494"/>
      <c r="DP1421" s="496" t="s">
        <v>3874</v>
      </c>
      <c r="DQ1421" s="496" t="s">
        <v>10</v>
      </c>
      <c r="DR1421" s="496" t="s">
        <v>689</v>
      </c>
      <c r="DS1421" s="496" t="s">
        <v>3875</v>
      </c>
      <c r="DT1421" s="496" t="s">
        <v>3876</v>
      </c>
      <c r="DU1421" s="496" t="s">
        <v>1085</v>
      </c>
      <c r="DV1421" s="496" t="s">
        <v>3861</v>
      </c>
      <c r="DW1421" s="496" t="s">
        <v>1087</v>
      </c>
      <c r="DX1421" s="497" t="s">
        <v>1088</v>
      </c>
      <c r="DZ1421" s="543">
        <v>1</v>
      </c>
      <c r="EB1421" s="493"/>
      <c r="EC1421" s="493"/>
    </row>
    <row r="1422" spans="119:133" ht="21" customHeight="1">
      <c r="DO1422" s="494"/>
      <c r="DP1422" s="496" t="s">
        <v>3877</v>
      </c>
      <c r="DQ1422" s="496" t="s">
        <v>10</v>
      </c>
      <c r="DR1422" s="496" t="s">
        <v>689</v>
      </c>
      <c r="DS1422" s="496" t="s">
        <v>3878</v>
      </c>
      <c r="DT1422" s="496" t="s">
        <v>3879</v>
      </c>
      <c r="DU1422" s="496" t="s">
        <v>1085</v>
      </c>
      <c r="DV1422" s="496" t="s">
        <v>3861</v>
      </c>
      <c r="DW1422" s="496" t="s">
        <v>1087</v>
      </c>
      <c r="DX1422" s="497" t="s">
        <v>1088</v>
      </c>
      <c r="DZ1422" s="543">
        <v>1</v>
      </c>
      <c r="EB1422" s="493"/>
      <c r="EC1422" s="493"/>
    </row>
    <row r="1423" spans="119:133" ht="21" customHeight="1">
      <c r="DO1423" s="494"/>
      <c r="DP1423" s="496" t="s">
        <v>3880</v>
      </c>
      <c r="DQ1423" s="496" t="s">
        <v>10</v>
      </c>
      <c r="DR1423" s="496" t="s">
        <v>689</v>
      </c>
      <c r="DS1423" s="496" t="s">
        <v>3881</v>
      </c>
      <c r="DT1423" s="496" t="s">
        <v>3881</v>
      </c>
      <c r="DU1423" s="496" t="s">
        <v>1085</v>
      </c>
      <c r="DV1423" s="496" t="s">
        <v>3861</v>
      </c>
      <c r="DW1423" s="496" t="s">
        <v>1087</v>
      </c>
      <c r="DX1423" s="497" t="s">
        <v>1088</v>
      </c>
      <c r="DZ1423" s="543">
        <v>1</v>
      </c>
      <c r="EB1423" s="493"/>
      <c r="EC1423" s="493"/>
    </row>
    <row r="1424" spans="119:133" ht="21" customHeight="1">
      <c r="DO1424" s="494"/>
      <c r="DP1424" s="496" t="s">
        <v>3882</v>
      </c>
      <c r="DQ1424" s="496" t="s">
        <v>10</v>
      </c>
      <c r="DR1424" s="496" t="s">
        <v>689</v>
      </c>
      <c r="DS1424" s="496" t="s">
        <v>155</v>
      </c>
      <c r="DT1424" s="496" t="s">
        <v>155</v>
      </c>
      <c r="DU1424" s="496" t="s">
        <v>1085</v>
      </c>
      <c r="DV1424" s="496" t="s">
        <v>3861</v>
      </c>
      <c r="DW1424" s="496" t="s">
        <v>1087</v>
      </c>
      <c r="DX1424" s="497" t="s">
        <v>1088</v>
      </c>
      <c r="DZ1424" s="543">
        <v>1</v>
      </c>
      <c r="EB1424" s="493"/>
      <c r="EC1424" s="493"/>
    </row>
    <row r="1425" spans="119:133" ht="21" customHeight="1">
      <c r="DO1425" s="494"/>
      <c r="DP1425" s="496" t="s">
        <v>3883</v>
      </c>
      <c r="DQ1425" s="496" t="s">
        <v>10</v>
      </c>
      <c r="DR1425" s="496" t="s">
        <v>689</v>
      </c>
      <c r="DS1425" s="496" t="s">
        <v>3884</v>
      </c>
      <c r="DT1425" s="496" t="s">
        <v>3884</v>
      </c>
      <c r="DU1425" s="496" t="s">
        <v>1085</v>
      </c>
      <c r="DV1425" s="496" t="s">
        <v>3861</v>
      </c>
      <c r="DW1425" s="496" t="s">
        <v>1087</v>
      </c>
      <c r="DX1425" s="497" t="s">
        <v>1088</v>
      </c>
      <c r="DZ1425" s="543">
        <v>1</v>
      </c>
      <c r="EB1425" s="493"/>
      <c r="EC1425" s="493"/>
    </row>
    <row r="1426" spans="119:133" ht="21" customHeight="1">
      <c r="DO1426" s="494"/>
      <c r="DP1426" s="496" t="s">
        <v>3885</v>
      </c>
      <c r="DQ1426" s="496" t="s">
        <v>10</v>
      </c>
      <c r="DR1426" s="496" t="s">
        <v>689</v>
      </c>
      <c r="DS1426" s="496" t="s">
        <v>175</v>
      </c>
      <c r="DT1426" s="496" t="s">
        <v>175</v>
      </c>
      <c r="DU1426" s="496" t="s">
        <v>1085</v>
      </c>
      <c r="DV1426" s="496" t="s">
        <v>3861</v>
      </c>
      <c r="DW1426" s="496" t="s">
        <v>1087</v>
      </c>
      <c r="DX1426" s="497" t="s">
        <v>1088</v>
      </c>
      <c r="DZ1426" s="543">
        <v>1</v>
      </c>
      <c r="EB1426" s="493"/>
      <c r="EC1426" s="493"/>
    </row>
    <row r="1427" spans="119:133" ht="21" customHeight="1">
      <c r="DO1427" s="494"/>
      <c r="DP1427" s="496" t="s">
        <v>3886</v>
      </c>
      <c r="DQ1427" s="496" t="s">
        <v>10</v>
      </c>
      <c r="DR1427" s="496" t="s">
        <v>689</v>
      </c>
      <c r="DS1427" s="496" t="s">
        <v>3887</v>
      </c>
      <c r="DT1427" s="496" t="s">
        <v>184</v>
      </c>
      <c r="DU1427" s="496" t="s">
        <v>1085</v>
      </c>
      <c r="DV1427" s="496" t="s">
        <v>3861</v>
      </c>
      <c r="DW1427" s="496" t="s">
        <v>1087</v>
      </c>
      <c r="DX1427" s="497" t="s">
        <v>1088</v>
      </c>
      <c r="DZ1427" s="543">
        <v>1</v>
      </c>
      <c r="EB1427" s="493"/>
      <c r="EC1427" s="493"/>
    </row>
    <row r="1428" spans="119:133" ht="21" customHeight="1">
      <c r="DO1428" s="494"/>
      <c r="DP1428" s="496" t="s">
        <v>3888</v>
      </c>
      <c r="DQ1428" s="496" t="s">
        <v>10</v>
      </c>
      <c r="DR1428" s="496" t="s">
        <v>689</v>
      </c>
      <c r="DS1428" s="496" t="s">
        <v>195</v>
      </c>
      <c r="DT1428" s="496" t="s">
        <v>195</v>
      </c>
      <c r="DU1428" s="496" t="s">
        <v>1085</v>
      </c>
      <c r="DV1428" s="496" t="s">
        <v>3861</v>
      </c>
      <c r="DW1428" s="496" t="s">
        <v>1087</v>
      </c>
      <c r="DX1428" s="497" t="s">
        <v>1088</v>
      </c>
      <c r="DZ1428" s="543">
        <v>1</v>
      </c>
      <c r="EB1428" s="493"/>
      <c r="EC1428" s="493"/>
    </row>
    <row r="1429" spans="119:133" ht="21" customHeight="1">
      <c r="DO1429" s="494"/>
      <c r="DP1429" s="496" t="s">
        <v>3889</v>
      </c>
      <c r="DQ1429" s="496" t="s">
        <v>10</v>
      </c>
      <c r="DR1429" s="496" t="s">
        <v>689</v>
      </c>
      <c r="DS1429" s="496" t="s">
        <v>3890</v>
      </c>
      <c r="DT1429" s="496" t="s">
        <v>3890</v>
      </c>
      <c r="DU1429" s="496" t="s">
        <v>1085</v>
      </c>
      <c r="DV1429" s="496" t="s">
        <v>3861</v>
      </c>
      <c r="DW1429" s="496" t="s">
        <v>1087</v>
      </c>
      <c r="DX1429" s="497" t="s">
        <v>1088</v>
      </c>
      <c r="DZ1429" s="543">
        <v>1</v>
      </c>
      <c r="EB1429" s="493"/>
      <c r="EC1429" s="493"/>
    </row>
    <row r="1430" spans="119:133" ht="21" customHeight="1">
      <c r="DO1430" s="494"/>
      <c r="DP1430" s="496" t="s">
        <v>3891</v>
      </c>
      <c r="DQ1430" s="496" t="s">
        <v>10</v>
      </c>
      <c r="DR1430" s="496" t="s">
        <v>689</v>
      </c>
      <c r="DS1430" s="496" t="s">
        <v>3892</v>
      </c>
      <c r="DT1430" s="496" t="s">
        <v>3892</v>
      </c>
      <c r="DU1430" s="496" t="s">
        <v>1085</v>
      </c>
      <c r="DV1430" s="496" t="s">
        <v>3861</v>
      </c>
      <c r="DW1430" s="496" t="s">
        <v>1087</v>
      </c>
      <c r="DX1430" s="497" t="s">
        <v>1088</v>
      </c>
      <c r="DZ1430" s="543">
        <v>1</v>
      </c>
      <c r="EB1430" s="493"/>
      <c r="EC1430" s="493"/>
    </row>
    <row r="1431" spans="119:133" ht="21" customHeight="1">
      <c r="DO1431" s="494"/>
      <c r="DP1431" s="496" t="s">
        <v>3893</v>
      </c>
      <c r="DQ1431" s="496" t="s">
        <v>10</v>
      </c>
      <c r="DR1431" s="496" t="s">
        <v>689</v>
      </c>
      <c r="DS1431" s="496" t="s">
        <v>3894</v>
      </c>
      <c r="DT1431" s="496" t="s">
        <v>199</v>
      </c>
      <c r="DU1431" s="496" t="s">
        <v>1085</v>
      </c>
      <c r="DV1431" s="496" t="s">
        <v>3861</v>
      </c>
      <c r="DW1431" s="496" t="s">
        <v>1087</v>
      </c>
      <c r="DX1431" s="497" t="s">
        <v>1088</v>
      </c>
      <c r="DZ1431" s="543">
        <v>1</v>
      </c>
      <c r="EB1431" s="493"/>
      <c r="EC1431" s="493"/>
    </row>
    <row r="1432" spans="119:133" ht="21" customHeight="1">
      <c r="DO1432" s="494"/>
      <c r="DP1432" s="496" t="s">
        <v>3895</v>
      </c>
      <c r="DQ1432" s="496" t="s">
        <v>10</v>
      </c>
      <c r="DR1432" s="496" t="s">
        <v>689</v>
      </c>
      <c r="DS1432" s="496" t="s">
        <v>3896</v>
      </c>
      <c r="DT1432" s="496" t="s">
        <v>3897</v>
      </c>
      <c r="DU1432" s="496" t="s">
        <v>1085</v>
      </c>
      <c r="DV1432" s="496" t="s">
        <v>3861</v>
      </c>
      <c r="DW1432" s="496" t="s">
        <v>1087</v>
      </c>
      <c r="DX1432" s="497" t="s">
        <v>1088</v>
      </c>
      <c r="DZ1432" s="543">
        <v>1</v>
      </c>
      <c r="EB1432" s="493"/>
      <c r="EC1432" s="493"/>
    </row>
    <row r="1433" spans="119:133" ht="21" customHeight="1">
      <c r="DO1433" s="494"/>
      <c r="DP1433" s="496" t="s">
        <v>3898</v>
      </c>
      <c r="DQ1433" s="496" t="s">
        <v>10</v>
      </c>
      <c r="DR1433" s="496" t="s">
        <v>689</v>
      </c>
      <c r="DS1433" s="496" t="s">
        <v>3899</v>
      </c>
      <c r="DT1433" s="496" t="s">
        <v>205</v>
      </c>
      <c r="DU1433" s="496" t="s">
        <v>1085</v>
      </c>
      <c r="DV1433" s="496" t="s">
        <v>3861</v>
      </c>
      <c r="DW1433" s="496" t="s">
        <v>1087</v>
      </c>
      <c r="DX1433" s="497" t="s">
        <v>1088</v>
      </c>
      <c r="DZ1433" s="543">
        <v>1</v>
      </c>
      <c r="EB1433" s="493"/>
      <c r="EC1433" s="493"/>
    </row>
    <row r="1434" spans="119:133" ht="21" customHeight="1">
      <c r="DO1434" s="494"/>
      <c r="DP1434" s="496" t="s">
        <v>3900</v>
      </c>
      <c r="DQ1434" s="496" t="s">
        <v>10</v>
      </c>
      <c r="DR1434" s="496" t="s">
        <v>689</v>
      </c>
      <c r="DS1434" s="496" t="s">
        <v>3901</v>
      </c>
      <c r="DT1434" s="496" t="s">
        <v>3902</v>
      </c>
      <c r="DU1434" s="496" t="s">
        <v>1085</v>
      </c>
      <c r="DV1434" s="496" t="s">
        <v>3861</v>
      </c>
      <c r="DW1434" s="496" t="s">
        <v>1087</v>
      </c>
      <c r="DX1434" s="497" t="s">
        <v>1088</v>
      </c>
      <c r="DZ1434" s="543">
        <v>1</v>
      </c>
      <c r="EB1434" s="493"/>
      <c r="EC1434" s="493"/>
    </row>
    <row r="1435" spans="119:133" ht="21" customHeight="1">
      <c r="DO1435" s="494"/>
      <c r="DP1435" s="496" t="s">
        <v>3903</v>
      </c>
      <c r="DQ1435" s="496" t="s">
        <v>10</v>
      </c>
      <c r="DR1435" s="496" t="s">
        <v>689</v>
      </c>
      <c r="DS1435" s="496" t="s">
        <v>211</v>
      </c>
      <c r="DT1435" s="496" t="s">
        <v>211</v>
      </c>
      <c r="DU1435" s="496" t="s">
        <v>1085</v>
      </c>
      <c r="DV1435" s="496" t="s">
        <v>3861</v>
      </c>
      <c r="DW1435" s="496" t="s">
        <v>1087</v>
      </c>
      <c r="DX1435" s="497" t="s">
        <v>1088</v>
      </c>
      <c r="DZ1435" s="543">
        <v>1</v>
      </c>
      <c r="EB1435" s="493"/>
      <c r="EC1435" s="493"/>
    </row>
    <row r="1436" spans="119:133" ht="21" customHeight="1">
      <c r="DO1436" s="494"/>
      <c r="DP1436" s="496" t="s">
        <v>3904</v>
      </c>
      <c r="DQ1436" s="496" t="s">
        <v>10</v>
      </c>
      <c r="DR1436" s="496" t="s">
        <v>689</v>
      </c>
      <c r="DS1436" s="496" t="s">
        <v>364</v>
      </c>
      <c r="DT1436" s="496" t="s">
        <v>364</v>
      </c>
      <c r="DU1436" s="496" t="s">
        <v>1085</v>
      </c>
      <c r="DV1436" s="496" t="s">
        <v>3861</v>
      </c>
      <c r="DW1436" s="496" t="s">
        <v>1087</v>
      </c>
      <c r="DX1436" s="497" t="s">
        <v>1088</v>
      </c>
      <c r="DZ1436" s="543">
        <v>1</v>
      </c>
      <c r="EB1436" s="493"/>
      <c r="EC1436" s="493"/>
    </row>
    <row r="1437" spans="119:133" ht="21" customHeight="1">
      <c r="DO1437" s="494"/>
      <c r="DP1437" s="496" t="s">
        <v>3905</v>
      </c>
      <c r="DQ1437" s="496" t="s">
        <v>10</v>
      </c>
      <c r="DR1437" s="496" t="s">
        <v>689</v>
      </c>
      <c r="DS1437" s="496" t="s">
        <v>214</v>
      </c>
      <c r="DT1437" s="496" t="s">
        <v>214</v>
      </c>
      <c r="DU1437" s="496" t="s">
        <v>1085</v>
      </c>
      <c r="DV1437" s="496" t="s">
        <v>3861</v>
      </c>
      <c r="DW1437" s="496" t="s">
        <v>1087</v>
      </c>
      <c r="DX1437" s="497" t="s">
        <v>1088</v>
      </c>
      <c r="DZ1437" s="543">
        <v>1</v>
      </c>
      <c r="EB1437" s="493"/>
      <c r="EC1437" s="493"/>
    </row>
    <row r="1438" spans="119:133" ht="21" customHeight="1">
      <c r="DO1438" s="494"/>
      <c r="DP1438" s="496" t="s">
        <v>3906</v>
      </c>
      <c r="DQ1438" s="496" t="s">
        <v>10</v>
      </c>
      <c r="DR1438" s="496" t="s">
        <v>689</v>
      </c>
      <c r="DS1438" s="496" t="s">
        <v>365</v>
      </c>
      <c r="DT1438" s="496" t="s">
        <v>365</v>
      </c>
      <c r="DU1438" s="496" t="s">
        <v>1151</v>
      </c>
      <c r="DV1438" s="496" t="s">
        <v>1152</v>
      </c>
      <c r="DW1438" s="496" t="s">
        <v>1087</v>
      </c>
      <c r="DX1438" s="497" t="s">
        <v>1153</v>
      </c>
      <c r="DZ1438" s="543">
        <v>1</v>
      </c>
      <c r="EB1438" s="493"/>
      <c r="EC1438" s="493"/>
    </row>
    <row r="1439" spans="119:133" ht="21" customHeight="1">
      <c r="DO1439" s="494"/>
      <c r="DP1439" s="496" t="s">
        <v>3907</v>
      </c>
      <c r="DQ1439" s="496" t="s">
        <v>10</v>
      </c>
      <c r="DR1439" s="496" t="s">
        <v>689</v>
      </c>
      <c r="DS1439" s="496" t="s">
        <v>3908</v>
      </c>
      <c r="DT1439" s="496" t="s">
        <v>3908</v>
      </c>
      <c r="DU1439" s="496" t="s">
        <v>1151</v>
      </c>
      <c r="DV1439" s="496" t="s">
        <v>1152</v>
      </c>
      <c r="DW1439" s="496" t="s">
        <v>1087</v>
      </c>
      <c r="DX1439" s="497" t="s">
        <v>1153</v>
      </c>
      <c r="DZ1439" s="543">
        <v>1</v>
      </c>
      <c r="EB1439" s="493"/>
      <c r="EC1439" s="493"/>
    </row>
    <row r="1440" spans="119:133" ht="21" customHeight="1">
      <c r="DO1440" s="494"/>
      <c r="DP1440" s="496" t="s">
        <v>3909</v>
      </c>
      <c r="DQ1440" s="496" t="s">
        <v>10</v>
      </c>
      <c r="DR1440" s="496" t="s">
        <v>689</v>
      </c>
      <c r="DS1440" s="496" t="s">
        <v>3910</v>
      </c>
      <c r="DT1440" s="496" t="s">
        <v>3910</v>
      </c>
      <c r="DU1440" s="496" t="s">
        <v>1151</v>
      </c>
      <c r="DV1440" s="496" t="s">
        <v>1152</v>
      </c>
      <c r="DW1440" s="496" t="s">
        <v>1087</v>
      </c>
      <c r="DX1440" s="497" t="s">
        <v>1153</v>
      </c>
      <c r="DZ1440" s="543">
        <v>1</v>
      </c>
      <c r="EB1440" s="493"/>
      <c r="EC1440" s="493"/>
    </row>
    <row r="1441" spans="119:133" ht="21" customHeight="1">
      <c r="DO1441" s="494"/>
      <c r="DP1441" s="496" t="s">
        <v>3911</v>
      </c>
      <c r="DQ1441" s="496" t="s">
        <v>10</v>
      </c>
      <c r="DR1441" s="496" t="s">
        <v>689</v>
      </c>
      <c r="DS1441" s="496" t="s">
        <v>216</v>
      </c>
      <c r="DT1441" s="496" t="s">
        <v>216</v>
      </c>
      <c r="DU1441" s="496" t="s">
        <v>1085</v>
      </c>
      <c r="DV1441" s="496" t="s">
        <v>3861</v>
      </c>
      <c r="DW1441" s="496" t="s">
        <v>1087</v>
      </c>
      <c r="DX1441" s="497" t="s">
        <v>1088</v>
      </c>
      <c r="DZ1441" s="543">
        <v>1</v>
      </c>
      <c r="EB1441" s="493"/>
      <c r="EC1441" s="493"/>
    </row>
    <row r="1442" spans="119:133" ht="21" customHeight="1">
      <c r="DO1442" s="494"/>
      <c r="DP1442" s="496" t="s">
        <v>3912</v>
      </c>
      <c r="DQ1442" s="496" t="s">
        <v>10</v>
      </c>
      <c r="DR1442" s="496" t="s">
        <v>689</v>
      </c>
      <c r="DS1442" s="496" t="s">
        <v>3913</v>
      </c>
      <c r="DT1442" s="496" t="s">
        <v>3913</v>
      </c>
      <c r="DU1442" s="496" t="s">
        <v>1151</v>
      </c>
      <c r="DV1442" s="496" t="s">
        <v>1152</v>
      </c>
      <c r="DW1442" s="496" t="s">
        <v>1087</v>
      </c>
      <c r="DX1442" s="497" t="s">
        <v>1153</v>
      </c>
      <c r="DZ1442" s="543">
        <v>1</v>
      </c>
      <c r="EB1442" s="493"/>
      <c r="EC1442" s="493"/>
    </row>
    <row r="1443" spans="119:133" ht="21" customHeight="1">
      <c r="DO1443" s="494"/>
      <c r="DP1443" s="496" t="s">
        <v>3914</v>
      </c>
      <c r="DQ1443" s="496" t="s">
        <v>10</v>
      </c>
      <c r="DR1443" s="496" t="s">
        <v>689</v>
      </c>
      <c r="DS1443" s="496" t="s">
        <v>366</v>
      </c>
      <c r="DT1443" s="496" t="s">
        <v>366</v>
      </c>
      <c r="DU1443" s="496" t="s">
        <v>1151</v>
      </c>
      <c r="DV1443" s="496" t="s">
        <v>1152</v>
      </c>
      <c r="DW1443" s="496" t="s">
        <v>1087</v>
      </c>
      <c r="DX1443" s="497" t="s">
        <v>1153</v>
      </c>
      <c r="DZ1443" s="543">
        <v>1</v>
      </c>
      <c r="EB1443" s="493"/>
      <c r="EC1443" s="493"/>
    </row>
    <row r="1444" spans="119:133" ht="21" customHeight="1">
      <c r="DO1444" s="494"/>
      <c r="DP1444" s="496" t="s">
        <v>3915</v>
      </c>
      <c r="DQ1444" s="496" t="s">
        <v>10</v>
      </c>
      <c r="DR1444" s="496" t="s">
        <v>689</v>
      </c>
      <c r="DS1444" s="496" t="s">
        <v>3916</v>
      </c>
      <c r="DT1444" s="496" t="s">
        <v>3916</v>
      </c>
      <c r="DU1444" s="496" t="s">
        <v>1151</v>
      </c>
      <c r="DV1444" s="496" t="s">
        <v>1152</v>
      </c>
      <c r="DW1444" s="496" t="s">
        <v>1087</v>
      </c>
      <c r="DX1444" s="497" t="s">
        <v>1153</v>
      </c>
      <c r="DZ1444" s="543">
        <v>1</v>
      </c>
      <c r="EB1444" s="493"/>
      <c r="EC1444" s="493"/>
    </row>
    <row r="1445" spans="119:133" ht="21" customHeight="1">
      <c r="DO1445" s="494"/>
      <c r="DP1445" s="496" t="s">
        <v>3917</v>
      </c>
      <c r="DQ1445" s="496" t="s">
        <v>10</v>
      </c>
      <c r="DR1445" s="496" t="s">
        <v>689</v>
      </c>
      <c r="DS1445" s="496" t="s">
        <v>367</v>
      </c>
      <c r="DT1445" s="496" t="s">
        <v>367</v>
      </c>
      <c r="DU1445" s="496" t="s">
        <v>1085</v>
      </c>
      <c r="DV1445" s="496" t="s">
        <v>3861</v>
      </c>
      <c r="DW1445" s="496" t="s">
        <v>1087</v>
      </c>
      <c r="DX1445" s="497" t="s">
        <v>1088</v>
      </c>
      <c r="DZ1445" s="543">
        <v>1</v>
      </c>
      <c r="EB1445" s="493"/>
      <c r="EC1445" s="493"/>
    </row>
    <row r="1446" spans="119:133" ht="21" customHeight="1">
      <c r="DO1446" s="494"/>
      <c r="DP1446" s="496" t="s">
        <v>3918</v>
      </c>
      <c r="DQ1446" s="496" t="s">
        <v>10</v>
      </c>
      <c r="DR1446" s="496" t="s">
        <v>689</v>
      </c>
      <c r="DS1446" s="496" t="s">
        <v>218</v>
      </c>
      <c r="DT1446" s="496" t="s">
        <v>218</v>
      </c>
      <c r="DU1446" s="496" t="s">
        <v>1085</v>
      </c>
      <c r="DV1446" s="496" t="s">
        <v>3861</v>
      </c>
      <c r="DW1446" s="496" t="s">
        <v>1087</v>
      </c>
      <c r="DX1446" s="497" t="s">
        <v>1088</v>
      </c>
      <c r="DZ1446" s="543">
        <v>1</v>
      </c>
      <c r="EB1446" s="493"/>
      <c r="EC1446" s="493"/>
    </row>
    <row r="1447" spans="119:133" ht="21" customHeight="1">
      <c r="DO1447" s="494"/>
      <c r="DP1447" s="496" t="s">
        <v>3919</v>
      </c>
      <c r="DQ1447" s="496" t="s">
        <v>10</v>
      </c>
      <c r="DR1447" s="496" t="s">
        <v>689</v>
      </c>
      <c r="DS1447" s="496" t="s">
        <v>3920</v>
      </c>
      <c r="DT1447" s="496" t="s">
        <v>3920</v>
      </c>
      <c r="DU1447" s="496" t="s">
        <v>1085</v>
      </c>
      <c r="DV1447" s="496" t="s">
        <v>3861</v>
      </c>
      <c r="DW1447" s="496" t="s">
        <v>1087</v>
      </c>
      <c r="DX1447" s="497" t="s">
        <v>1088</v>
      </c>
      <c r="DZ1447" s="543">
        <v>1</v>
      </c>
      <c r="EB1447" s="493"/>
      <c r="EC1447" s="493"/>
    </row>
    <row r="1448" spans="119:133" ht="21" customHeight="1">
      <c r="DO1448" s="494"/>
      <c r="DP1448" s="496" t="s">
        <v>3921</v>
      </c>
      <c r="DQ1448" s="496" t="s">
        <v>10</v>
      </c>
      <c r="DR1448" s="496" t="s">
        <v>689</v>
      </c>
      <c r="DS1448" s="496" t="s">
        <v>220</v>
      </c>
      <c r="DT1448" s="496" t="s">
        <v>220</v>
      </c>
      <c r="DU1448" s="496" t="s">
        <v>1085</v>
      </c>
      <c r="DV1448" s="496" t="s">
        <v>3861</v>
      </c>
      <c r="DW1448" s="496" t="s">
        <v>1087</v>
      </c>
      <c r="DX1448" s="497" t="s">
        <v>1088</v>
      </c>
      <c r="DZ1448" s="543">
        <v>1</v>
      </c>
      <c r="EB1448" s="493"/>
      <c r="EC1448" s="493"/>
    </row>
    <row r="1449" spans="119:133" ht="21" customHeight="1">
      <c r="DO1449" s="494"/>
      <c r="DP1449" s="496" t="s">
        <v>3922</v>
      </c>
      <c r="DQ1449" s="496" t="s">
        <v>10</v>
      </c>
      <c r="DR1449" s="496" t="s">
        <v>689</v>
      </c>
      <c r="DS1449" s="496" t="s">
        <v>3923</v>
      </c>
      <c r="DT1449" s="496" t="s">
        <v>3924</v>
      </c>
      <c r="DU1449" s="496" t="s">
        <v>1085</v>
      </c>
      <c r="DV1449" s="496" t="s">
        <v>3861</v>
      </c>
      <c r="DW1449" s="496" t="s">
        <v>1087</v>
      </c>
      <c r="DX1449" s="497" t="s">
        <v>1088</v>
      </c>
      <c r="DZ1449" s="543">
        <v>1</v>
      </c>
      <c r="EB1449" s="493"/>
      <c r="EC1449" s="493"/>
    </row>
    <row r="1450" spans="119:133" ht="21" customHeight="1">
      <c r="DO1450" s="494"/>
      <c r="DP1450" s="496" t="s">
        <v>3925</v>
      </c>
      <c r="DQ1450" s="496" t="s">
        <v>10</v>
      </c>
      <c r="DR1450" s="496" t="s">
        <v>689</v>
      </c>
      <c r="DS1450" s="496" t="s">
        <v>3926</v>
      </c>
      <c r="DT1450" s="496" t="s">
        <v>3926</v>
      </c>
      <c r="DU1450" s="496" t="s">
        <v>1085</v>
      </c>
      <c r="DV1450" s="496" t="s">
        <v>3861</v>
      </c>
      <c r="DW1450" s="496" t="s">
        <v>1087</v>
      </c>
      <c r="DX1450" s="497" t="s">
        <v>1088</v>
      </c>
      <c r="DZ1450" s="543">
        <v>1</v>
      </c>
      <c r="EB1450" s="493"/>
      <c r="EC1450" s="493"/>
    </row>
    <row r="1451" spans="119:133" ht="21" customHeight="1">
      <c r="DO1451" s="494"/>
      <c r="DP1451" s="496" t="s">
        <v>3927</v>
      </c>
      <c r="DQ1451" s="496" t="s">
        <v>10</v>
      </c>
      <c r="DR1451" s="496" t="s">
        <v>689</v>
      </c>
      <c r="DS1451" s="496" t="s">
        <v>3928</v>
      </c>
      <c r="DT1451" s="496" t="s">
        <v>3928</v>
      </c>
      <c r="DU1451" s="496" t="s">
        <v>1085</v>
      </c>
      <c r="DV1451" s="496" t="s">
        <v>3861</v>
      </c>
      <c r="DW1451" s="496" t="s">
        <v>1087</v>
      </c>
      <c r="DX1451" s="497" t="s">
        <v>1088</v>
      </c>
      <c r="DZ1451" s="543">
        <v>1</v>
      </c>
      <c r="EB1451" s="493"/>
      <c r="EC1451" s="493"/>
    </row>
    <row r="1452" spans="119:133" ht="21" customHeight="1">
      <c r="DO1452" s="494"/>
      <c r="DP1452" s="496" t="s">
        <v>3929</v>
      </c>
      <c r="DQ1452" s="496" t="s">
        <v>10</v>
      </c>
      <c r="DR1452" s="496" t="s">
        <v>690</v>
      </c>
      <c r="DS1452" s="496" t="s">
        <v>3930</v>
      </c>
      <c r="DT1452" s="496" t="s">
        <v>32</v>
      </c>
      <c r="DU1452" s="496" t="s">
        <v>1085</v>
      </c>
      <c r="DV1452" s="496" t="s">
        <v>3931</v>
      </c>
      <c r="DW1452" s="496" t="s">
        <v>1087</v>
      </c>
      <c r="DX1452" s="497" t="s">
        <v>1088</v>
      </c>
      <c r="DZ1452" s="543">
        <v>1</v>
      </c>
      <c r="EB1452" s="493"/>
      <c r="EC1452" s="493"/>
    </row>
    <row r="1453" spans="119:133" ht="21" customHeight="1">
      <c r="DO1453" s="494"/>
      <c r="DP1453" s="496" t="s">
        <v>3932</v>
      </c>
      <c r="DQ1453" s="496" t="s">
        <v>10</v>
      </c>
      <c r="DR1453" s="496" t="s">
        <v>690</v>
      </c>
      <c r="DS1453" s="496" t="s">
        <v>3933</v>
      </c>
      <c r="DT1453" s="496" t="s">
        <v>22</v>
      </c>
      <c r="DU1453" s="496" t="s">
        <v>1085</v>
      </c>
      <c r="DV1453" s="496" t="s">
        <v>3931</v>
      </c>
      <c r="DW1453" s="496" t="s">
        <v>1087</v>
      </c>
      <c r="DX1453" s="497" t="s">
        <v>1088</v>
      </c>
      <c r="DZ1453" s="543">
        <v>1</v>
      </c>
      <c r="EB1453" s="493"/>
      <c r="EC1453" s="493"/>
    </row>
    <row r="1454" spans="119:133" ht="21" customHeight="1">
      <c r="DO1454" s="494"/>
      <c r="DP1454" s="496" t="s">
        <v>3934</v>
      </c>
      <c r="DQ1454" s="496" t="s">
        <v>10</v>
      </c>
      <c r="DR1454" s="496" t="s">
        <v>1511</v>
      </c>
      <c r="DS1454" s="496" t="s">
        <v>3935</v>
      </c>
      <c r="DT1454" s="496" t="s">
        <v>3935</v>
      </c>
      <c r="DU1454" s="496" t="s">
        <v>1085</v>
      </c>
      <c r="DV1454" s="496" t="s">
        <v>3799</v>
      </c>
      <c r="DW1454" s="496" t="s">
        <v>1087</v>
      </c>
      <c r="DX1454" s="497" t="s">
        <v>1088</v>
      </c>
      <c r="DZ1454" s="543">
        <v>1</v>
      </c>
      <c r="EB1454" s="493"/>
      <c r="EC1454" s="493"/>
    </row>
    <row r="1455" spans="119:133" ht="21" customHeight="1">
      <c r="DO1455" s="494"/>
      <c r="DP1455" s="496" t="s">
        <v>3936</v>
      </c>
      <c r="DQ1455" s="496" t="s">
        <v>10</v>
      </c>
      <c r="DR1455" s="496" t="s">
        <v>1511</v>
      </c>
      <c r="DS1455" s="496" t="s">
        <v>3937</v>
      </c>
      <c r="DT1455" s="496" t="s">
        <v>3937</v>
      </c>
      <c r="DU1455" s="496" t="s">
        <v>1085</v>
      </c>
      <c r="DV1455" s="496" t="s">
        <v>3799</v>
      </c>
      <c r="DW1455" s="496" t="s">
        <v>1087</v>
      </c>
      <c r="DX1455" s="497" t="s">
        <v>1088</v>
      </c>
      <c r="DZ1455" s="543">
        <v>1</v>
      </c>
      <c r="EB1455" s="493"/>
      <c r="EC1455" s="493"/>
    </row>
    <row r="1456" spans="119:133" ht="21" customHeight="1">
      <c r="DO1456" s="494"/>
      <c r="DP1456" s="496" t="s">
        <v>3938</v>
      </c>
      <c r="DQ1456" s="496" t="s">
        <v>10</v>
      </c>
      <c r="DR1456" s="496" t="s">
        <v>1511</v>
      </c>
      <c r="DS1456" s="496" t="s">
        <v>3939</v>
      </c>
      <c r="DT1456" s="496" t="s">
        <v>3939</v>
      </c>
      <c r="DU1456" s="496" t="s">
        <v>1085</v>
      </c>
      <c r="DV1456" s="496" t="s">
        <v>3799</v>
      </c>
      <c r="DW1456" s="496" t="s">
        <v>1087</v>
      </c>
      <c r="DX1456" s="497" t="s">
        <v>1088</v>
      </c>
      <c r="DZ1456" s="543">
        <v>1</v>
      </c>
      <c r="EB1456" s="493"/>
      <c r="EC1456" s="493"/>
    </row>
    <row r="1457" spans="119:133" ht="21" customHeight="1">
      <c r="DO1457" s="494"/>
      <c r="DP1457" s="496" t="s">
        <v>3940</v>
      </c>
      <c r="DQ1457" s="496" t="s">
        <v>10</v>
      </c>
      <c r="DR1457" s="496" t="s">
        <v>1511</v>
      </c>
      <c r="DS1457" s="496" t="s">
        <v>1529</v>
      </c>
      <c r="DT1457" s="496" t="s">
        <v>1529</v>
      </c>
      <c r="DU1457" s="496" t="s">
        <v>1085</v>
      </c>
      <c r="DV1457" s="496" t="s">
        <v>3799</v>
      </c>
      <c r="DW1457" s="496" t="s">
        <v>1087</v>
      </c>
      <c r="DX1457" s="497" t="s">
        <v>1088</v>
      </c>
      <c r="DZ1457" s="543">
        <v>1</v>
      </c>
      <c r="EB1457" s="493"/>
      <c r="EC1457" s="493"/>
    </row>
    <row r="1458" spans="119:133" ht="21" customHeight="1">
      <c r="DO1458" s="494"/>
      <c r="DP1458" s="496" t="s">
        <v>3941</v>
      </c>
      <c r="DQ1458" s="496" t="s">
        <v>10</v>
      </c>
      <c r="DR1458" s="496" t="s">
        <v>1511</v>
      </c>
      <c r="DS1458" s="496" t="s">
        <v>3942</v>
      </c>
      <c r="DT1458" s="496" t="s">
        <v>3943</v>
      </c>
      <c r="DU1458" s="496" t="s">
        <v>1085</v>
      </c>
      <c r="DV1458" s="496" t="s">
        <v>3799</v>
      </c>
      <c r="DW1458" s="496" t="s">
        <v>1087</v>
      </c>
      <c r="DX1458" s="497" t="s">
        <v>1088</v>
      </c>
      <c r="DZ1458" s="543">
        <v>1</v>
      </c>
      <c r="EB1458" s="493"/>
      <c r="EC1458" s="493"/>
    </row>
    <row r="1459" spans="119:133" ht="21" customHeight="1">
      <c r="DO1459" s="494"/>
      <c r="DP1459" s="496" t="s">
        <v>3944</v>
      </c>
      <c r="DQ1459" s="496" t="s">
        <v>10</v>
      </c>
      <c r="DR1459" s="496" t="s">
        <v>1511</v>
      </c>
      <c r="DS1459" s="496" t="s">
        <v>3945</v>
      </c>
      <c r="DT1459" s="496" t="s">
        <v>3945</v>
      </c>
      <c r="DU1459" s="496" t="s">
        <v>1085</v>
      </c>
      <c r="DV1459" s="496" t="s">
        <v>3799</v>
      </c>
      <c r="DW1459" s="496" t="s">
        <v>1087</v>
      </c>
      <c r="DX1459" s="497" t="s">
        <v>1088</v>
      </c>
      <c r="DZ1459" s="543">
        <v>1</v>
      </c>
      <c r="EB1459" s="493"/>
      <c r="EC1459" s="493"/>
    </row>
    <row r="1460" spans="119:133" ht="21" customHeight="1">
      <c r="DO1460" s="494"/>
      <c r="DP1460" s="496" t="s">
        <v>3946</v>
      </c>
      <c r="DQ1460" s="496" t="s">
        <v>10</v>
      </c>
      <c r="DR1460" s="496" t="s">
        <v>1511</v>
      </c>
      <c r="DS1460" s="496" t="s">
        <v>3947</v>
      </c>
      <c r="DT1460" s="496" t="s">
        <v>3948</v>
      </c>
      <c r="DU1460" s="496" t="s">
        <v>1085</v>
      </c>
      <c r="DV1460" s="496" t="s">
        <v>3799</v>
      </c>
      <c r="DW1460" s="496" t="s">
        <v>1087</v>
      </c>
      <c r="DX1460" s="497" t="s">
        <v>1088</v>
      </c>
      <c r="DZ1460" s="543">
        <v>1</v>
      </c>
      <c r="EB1460" s="493"/>
      <c r="EC1460" s="493"/>
    </row>
    <row r="1461" spans="119:133" ht="21" customHeight="1">
      <c r="DO1461" s="494"/>
      <c r="DP1461" s="496" t="s">
        <v>3949</v>
      </c>
      <c r="DQ1461" s="496" t="s">
        <v>10</v>
      </c>
      <c r="DR1461" s="496" t="s">
        <v>1511</v>
      </c>
      <c r="DS1461" s="496" t="s">
        <v>3950</v>
      </c>
      <c r="DT1461" s="496" t="s">
        <v>3950</v>
      </c>
      <c r="DU1461" s="496" t="s">
        <v>1085</v>
      </c>
      <c r="DV1461" s="496" t="s">
        <v>3799</v>
      </c>
      <c r="DW1461" s="496" t="s">
        <v>1087</v>
      </c>
      <c r="DX1461" s="497" t="s">
        <v>1088</v>
      </c>
      <c r="DZ1461" s="543">
        <v>1</v>
      </c>
      <c r="EB1461" s="493"/>
      <c r="EC1461" s="493"/>
    </row>
    <row r="1462" spans="119:133" ht="21" customHeight="1">
      <c r="DO1462" s="494"/>
      <c r="DP1462" s="496" t="s">
        <v>3951</v>
      </c>
      <c r="DQ1462" s="496" t="s">
        <v>10</v>
      </c>
      <c r="DR1462" s="496" t="s">
        <v>1511</v>
      </c>
      <c r="DS1462" s="496" t="s">
        <v>3952</v>
      </c>
      <c r="DT1462" s="496" t="s">
        <v>3952</v>
      </c>
      <c r="DU1462" s="496" t="s">
        <v>1085</v>
      </c>
      <c r="DV1462" s="496" t="s">
        <v>3799</v>
      </c>
      <c r="DW1462" s="496" t="s">
        <v>1087</v>
      </c>
      <c r="DX1462" s="497" t="s">
        <v>1088</v>
      </c>
      <c r="DZ1462" s="543">
        <v>1</v>
      </c>
      <c r="EB1462" s="493"/>
      <c r="EC1462" s="493"/>
    </row>
    <row r="1463" spans="119:133" ht="21" customHeight="1">
      <c r="DO1463" s="494"/>
      <c r="DP1463" s="496" t="s">
        <v>3953</v>
      </c>
      <c r="DQ1463" s="496" t="s">
        <v>10</v>
      </c>
      <c r="DR1463" s="496" t="s">
        <v>1511</v>
      </c>
      <c r="DS1463" s="496" t="s">
        <v>3954</v>
      </c>
      <c r="DT1463" s="496" t="s">
        <v>3954</v>
      </c>
      <c r="DU1463" s="496" t="s">
        <v>1085</v>
      </c>
      <c r="DV1463" s="496" t="s">
        <v>3799</v>
      </c>
      <c r="DW1463" s="496" t="s">
        <v>1087</v>
      </c>
      <c r="DX1463" s="497" t="s">
        <v>1088</v>
      </c>
      <c r="DZ1463" s="543">
        <v>1</v>
      </c>
      <c r="EB1463" s="493"/>
      <c r="EC1463" s="493"/>
    </row>
    <row r="1464" spans="119:133" ht="21" customHeight="1">
      <c r="DO1464" s="494"/>
      <c r="DP1464" s="496" t="s">
        <v>3955</v>
      </c>
      <c r="DQ1464" s="496" t="s">
        <v>10</v>
      </c>
      <c r="DR1464" s="496" t="s">
        <v>1511</v>
      </c>
      <c r="DS1464" s="496" t="s">
        <v>3956</v>
      </c>
      <c r="DT1464" s="496" t="s">
        <v>3956</v>
      </c>
      <c r="DU1464" s="496" t="s">
        <v>1085</v>
      </c>
      <c r="DV1464" s="496" t="s">
        <v>3799</v>
      </c>
      <c r="DW1464" s="496" t="s">
        <v>1087</v>
      </c>
      <c r="DX1464" s="497" t="s">
        <v>1088</v>
      </c>
      <c r="DZ1464" s="543">
        <v>1</v>
      </c>
      <c r="EB1464" s="493"/>
      <c r="EC1464" s="493"/>
    </row>
    <row r="1465" spans="119:133" ht="21" customHeight="1">
      <c r="DO1465" s="494"/>
      <c r="DP1465" s="496" t="s">
        <v>3957</v>
      </c>
      <c r="DQ1465" s="496" t="s">
        <v>11</v>
      </c>
      <c r="DR1465" s="496" t="s">
        <v>689</v>
      </c>
      <c r="DS1465" s="496" t="s">
        <v>3958</v>
      </c>
      <c r="DT1465" s="496" t="s">
        <v>3958</v>
      </c>
      <c r="DU1465" s="496" t="s">
        <v>3959</v>
      </c>
      <c r="DV1465" s="496" t="s">
        <v>3960</v>
      </c>
      <c r="DW1465" s="496" t="s">
        <v>3961</v>
      </c>
      <c r="DX1465" s="497" t="s">
        <v>3962</v>
      </c>
      <c r="DZ1465" s="543">
        <v>1</v>
      </c>
      <c r="EB1465" s="493"/>
      <c r="EC1465" s="493"/>
    </row>
    <row r="1466" spans="119:133" ht="21" customHeight="1">
      <c r="DO1466" s="494"/>
      <c r="DP1466" s="496" t="s">
        <v>3963</v>
      </c>
      <c r="DQ1466" s="496" t="s">
        <v>11</v>
      </c>
      <c r="DR1466" s="496" t="s">
        <v>689</v>
      </c>
      <c r="DS1466" s="496" t="s">
        <v>3964</v>
      </c>
      <c r="DT1466" s="496" t="s">
        <v>3964</v>
      </c>
      <c r="DU1466" s="496" t="s">
        <v>3959</v>
      </c>
      <c r="DV1466" s="496" t="s">
        <v>3960</v>
      </c>
      <c r="DW1466" s="496" t="s">
        <v>3961</v>
      </c>
      <c r="DX1466" s="497" t="s">
        <v>3962</v>
      </c>
      <c r="DZ1466" s="543">
        <v>1</v>
      </c>
      <c r="EB1466" s="493"/>
      <c r="EC1466" s="493"/>
    </row>
    <row r="1467" spans="119:133" ht="21" customHeight="1">
      <c r="DO1467" s="494"/>
      <c r="DP1467" s="496" t="s">
        <v>3965</v>
      </c>
      <c r="DQ1467" s="496" t="s">
        <v>11</v>
      </c>
      <c r="DR1467" s="496" t="s">
        <v>689</v>
      </c>
      <c r="DS1467" s="496" t="s">
        <v>3966</v>
      </c>
      <c r="DT1467" s="496" t="s">
        <v>3966</v>
      </c>
      <c r="DU1467" s="496" t="s">
        <v>3959</v>
      </c>
      <c r="DV1467" s="496" t="s">
        <v>3960</v>
      </c>
      <c r="DW1467" s="496" t="s">
        <v>3961</v>
      </c>
      <c r="DX1467" s="497" t="s">
        <v>3962</v>
      </c>
      <c r="DZ1467" s="543">
        <v>1</v>
      </c>
      <c r="EB1467" s="493"/>
      <c r="EC1467" s="493"/>
    </row>
    <row r="1468" spans="119:133" ht="21" customHeight="1">
      <c r="DO1468" s="494"/>
      <c r="DP1468" s="496" t="s">
        <v>3967</v>
      </c>
      <c r="DQ1468" s="496" t="s">
        <v>11</v>
      </c>
      <c r="DR1468" s="496" t="s">
        <v>689</v>
      </c>
      <c r="DS1468" s="496" t="s">
        <v>3968</v>
      </c>
      <c r="DT1468" s="496" t="s">
        <v>3968</v>
      </c>
      <c r="DU1468" s="496" t="s">
        <v>3959</v>
      </c>
      <c r="DV1468" s="496" t="s">
        <v>3960</v>
      </c>
      <c r="DW1468" s="496" t="s">
        <v>3961</v>
      </c>
      <c r="DX1468" s="497" t="s">
        <v>3962</v>
      </c>
      <c r="DZ1468" s="543">
        <v>1</v>
      </c>
      <c r="EB1468" s="493"/>
      <c r="EC1468" s="493"/>
    </row>
    <row r="1469" spans="119:133" ht="21" customHeight="1">
      <c r="DO1469" s="494"/>
      <c r="DP1469" s="496" t="s">
        <v>3969</v>
      </c>
      <c r="DQ1469" s="496" t="s">
        <v>11</v>
      </c>
      <c r="DR1469" s="496" t="s">
        <v>689</v>
      </c>
      <c r="DS1469" s="496" t="s">
        <v>3970</v>
      </c>
      <c r="DT1469" s="496" t="s">
        <v>3970</v>
      </c>
      <c r="DU1469" s="496" t="s">
        <v>3959</v>
      </c>
      <c r="DV1469" s="496" t="s">
        <v>3960</v>
      </c>
      <c r="DW1469" s="496" t="s">
        <v>3961</v>
      </c>
      <c r="DX1469" s="497" t="s">
        <v>3962</v>
      </c>
      <c r="DZ1469" s="543">
        <v>1</v>
      </c>
      <c r="EB1469" s="493"/>
      <c r="EC1469" s="493"/>
    </row>
    <row r="1470" spans="119:133" ht="21" customHeight="1">
      <c r="DO1470" s="494"/>
      <c r="DP1470" s="496" t="s">
        <v>3971</v>
      </c>
      <c r="DQ1470" s="496" t="s">
        <v>11</v>
      </c>
      <c r="DR1470" s="496" t="s">
        <v>689</v>
      </c>
      <c r="DS1470" s="496" t="s">
        <v>3972</v>
      </c>
      <c r="DT1470" s="496" t="s">
        <v>3972</v>
      </c>
      <c r="DU1470" s="496" t="s">
        <v>3959</v>
      </c>
      <c r="DV1470" s="496" t="s">
        <v>3960</v>
      </c>
      <c r="DW1470" s="496" t="s">
        <v>3961</v>
      </c>
      <c r="DX1470" s="497" t="s">
        <v>3962</v>
      </c>
      <c r="DZ1470" s="543">
        <v>1</v>
      </c>
      <c r="EB1470" s="493"/>
      <c r="EC1470" s="493"/>
    </row>
    <row r="1471" spans="119:133" ht="21" customHeight="1">
      <c r="DO1471" s="494"/>
      <c r="DP1471" s="496" t="s">
        <v>3973</v>
      </c>
      <c r="DQ1471" s="496" t="s">
        <v>11</v>
      </c>
      <c r="DR1471" s="496" t="s">
        <v>689</v>
      </c>
      <c r="DS1471" s="496" t="s">
        <v>322</v>
      </c>
      <c r="DT1471" s="496" t="s">
        <v>322</v>
      </c>
      <c r="DU1471" s="496" t="s">
        <v>1085</v>
      </c>
      <c r="DV1471" s="496" t="s">
        <v>3974</v>
      </c>
      <c r="DW1471" s="496" t="s">
        <v>1087</v>
      </c>
      <c r="DX1471" s="497" t="s">
        <v>1088</v>
      </c>
      <c r="DZ1471" s="543">
        <v>1</v>
      </c>
      <c r="EB1471" s="493"/>
      <c r="EC1471" s="493"/>
    </row>
    <row r="1472" spans="119:133" ht="21" customHeight="1">
      <c r="DO1472" s="494"/>
      <c r="DP1472" s="496" t="s">
        <v>3975</v>
      </c>
      <c r="DQ1472" s="496" t="s">
        <v>11</v>
      </c>
      <c r="DR1472" s="496" t="s">
        <v>689</v>
      </c>
      <c r="DS1472" s="496" t="s">
        <v>935</v>
      </c>
      <c r="DT1472" s="496" t="s">
        <v>935</v>
      </c>
      <c r="DU1472" s="496" t="s">
        <v>3959</v>
      </c>
      <c r="DV1472" s="496" t="s">
        <v>3960</v>
      </c>
      <c r="DW1472" s="496" t="s">
        <v>3961</v>
      </c>
      <c r="DX1472" s="497" t="s">
        <v>3962</v>
      </c>
      <c r="DZ1472" s="543">
        <v>1</v>
      </c>
      <c r="EB1472" s="493"/>
      <c r="EC1472" s="493"/>
    </row>
    <row r="1473" spans="119:133" ht="21" customHeight="1">
      <c r="DO1473" s="494"/>
      <c r="DP1473" s="496" t="s">
        <v>3976</v>
      </c>
      <c r="DQ1473" s="496" t="s">
        <v>11</v>
      </c>
      <c r="DR1473" s="496" t="s">
        <v>689</v>
      </c>
      <c r="DS1473" s="496" t="s">
        <v>3977</v>
      </c>
      <c r="DT1473" s="496" t="s">
        <v>3977</v>
      </c>
      <c r="DU1473" s="496" t="s">
        <v>1151</v>
      </c>
      <c r="DV1473" s="496" t="s">
        <v>1152</v>
      </c>
      <c r="DW1473" s="496" t="s">
        <v>1087</v>
      </c>
      <c r="DX1473" s="497" t="s">
        <v>1153</v>
      </c>
      <c r="DZ1473" s="543">
        <v>1</v>
      </c>
      <c r="EB1473" s="493"/>
      <c r="EC1473" s="493"/>
    </row>
    <row r="1474" spans="119:133" ht="21" customHeight="1">
      <c r="DO1474" s="494"/>
      <c r="DP1474" s="496" t="s">
        <v>3978</v>
      </c>
      <c r="DQ1474" s="496" t="s">
        <v>11</v>
      </c>
      <c r="DR1474" s="496" t="s">
        <v>689</v>
      </c>
      <c r="DS1474" s="496" t="s">
        <v>3979</v>
      </c>
      <c r="DT1474" s="496" t="s">
        <v>3979</v>
      </c>
      <c r="DU1474" s="496" t="s">
        <v>3959</v>
      </c>
      <c r="DV1474" s="496" t="s">
        <v>3960</v>
      </c>
      <c r="DW1474" s="496" t="s">
        <v>3961</v>
      </c>
      <c r="DX1474" s="497" t="s">
        <v>3962</v>
      </c>
      <c r="DZ1474" s="543">
        <v>1</v>
      </c>
      <c r="EB1474" s="493"/>
      <c r="EC1474" s="493"/>
    </row>
    <row r="1475" spans="119:133" ht="21" customHeight="1">
      <c r="DO1475" s="494"/>
      <c r="DP1475" s="496" t="s">
        <v>3980</v>
      </c>
      <c r="DQ1475" s="496" t="s">
        <v>11</v>
      </c>
      <c r="DR1475" s="496" t="s">
        <v>689</v>
      </c>
      <c r="DS1475" s="496" t="s">
        <v>938</v>
      </c>
      <c r="DT1475" s="496" t="s">
        <v>938</v>
      </c>
      <c r="DU1475" s="496" t="s">
        <v>1085</v>
      </c>
      <c r="DV1475" s="496" t="s">
        <v>3974</v>
      </c>
      <c r="DW1475" s="496" t="s">
        <v>1087</v>
      </c>
      <c r="DX1475" s="497" t="s">
        <v>1088</v>
      </c>
      <c r="DZ1475" s="543">
        <v>1</v>
      </c>
      <c r="EB1475" s="493"/>
      <c r="EC1475" s="493"/>
    </row>
    <row r="1476" spans="119:133" ht="21" customHeight="1">
      <c r="DO1476" s="494"/>
      <c r="DP1476" s="496" t="s">
        <v>3981</v>
      </c>
      <c r="DQ1476" s="496" t="s">
        <v>11</v>
      </c>
      <c r="DR1476" s="496" t="s">
        <v>689</v>
      </c>
      <c r="DS1476" s="496" t="s">
        <v>3982</v>
      </c>
      <c r="DT1476" s="496" t="s">
        <v>3982</v>
      </c>
      <c r="DU1476" s="496" t="s">
        <v>3959</v>
      </c>
      <c r="DV1476" s="496" t="s">
        <v>3960</v>
      </c>
      <c r="DW1476" s="496" t="s">
        <v>3961</v>
      </c>
      <c r="DX1476" s="497" t="s">
        <v>3962</v>
      </c>
      <c r="DZ1476" s="543">
        <v>1</v>
      </c>
      <c r="EB1476" s="493"/>
      <c r="EC1476" s="493"/>
    </row>
    <row r="1477" spans="119:133" ht="21" customHeight="1">
      <c r="DO1477" s="494"/>
      <c r="DP1477" s="496" t="s">
        <v>3983</v>
      </c>
      <c r="DQ1477" s="496" t="s">
        <v>11</v>
      </c>
      <c r="DR1477" s="496" t="s">
        <v>689</v>
      </c>
      <c r="DS1477" s="496" t="s">
        <v>167</v>
      </c>
      <c r="DT1477" s="496" t="s">
        <v>167</v>
      </c>
      <c r="DU1477" s="496" t="s">
        <v>1085</v>
      </c>
      <c r="DV1477" s="496" t="s">
        <v>3974</v>
      </c>
      <c r="DW1477" s="496" t="s">
        <v>1087</v>
      </c>
      <c r="DX1477" s="497" t="s">
        <v>1088</v>
      </c>
      <c r="DZ1477" s="543">
        <v>1</v>
      </c>
      <c r="EB1477" s="493"/>
      <c r="EC1477" s="493"/>
    </row>
    <row r="1478" spans="119:133" ht="21" customHeight="1">
      <c r="DO1478" s="494"/>
      <c r="DP1478" s="496" t="s">
        <v>3984</v>
      </c>
      <c r="DQ1478" s="496" t="s">
        <v>11</v>
      </c>
      <c r="DR1478" s="496" t="s">
        <v>689</v>
      </c>
      <c r="DS1478" s="496" t="s">
        <v>939</v>
      </c>
      <c r="DT1478" s="496" t="s">
        <v>939</v>
      </c>
      <c r="DU1478" s="496" t="s">
        <v>3959</v>
      </c>
      <c r="DV1478" s="496" t="s">
        <v>3960</v>
      </c>
      <c r="DW1478" s="496" t="s">
        <v>3961</v>
      </c>
      <c r="DX1478" s="497" t="s">
        <v>3962</v>
      </c>
      <c r="DZ1478" s="543">
        <v>1</v>
      </c>
      <c r="EB1478" s="493"/>
      <c r="EC1478" s="493"/>
    </row>
    <row r="1479" spans="119:133" ht="21" customHeight="1">
      <c r="DO1479" s="494"/>
      <c r="DP1479" s="496" t="s">
        <v>3985</v>
      </c>
      <c r="DQ1479" s="496" t="s">
        <v>11</v>
      </c>
      <c r="DR1479" s="496" t="s">
        <v>689</v>
      </c>
      <c r="DS1479" s="496" t="s">
        <v>3986</v>
      </c>
      <c r="DT1479" s="496" t="s">
        <v>3987</v>
      </c>
      <c r="DU1479" s="496" t="s">
        <v>3959</v>
      </c>
      <c r="DV1479" s="496" t="s">
        <v>3960</v>
      </c>
      <c r="DW1479" s="496" t="s">
        <v>3961</v>
      </c>
      <c r="DX1479" s="497" t="s">
        <v>3962</v>
      </c>
      <c r="DZ1479" s="543">
        <v>1</v>
      </c>
      <c r="EB1479" s="493"/>
      <c r="EC1479" s="493"/>
    </row>
    <row r="1480" spans="119:133" ht="21" customHeight="1">
      <c r="DO1480" s="494"/>
      <c r="DP1480" s="496" t="s">
        <v>3988</v>
      </c>
      <c r="DQ1480" s="496" t="s">
        <v>11</v>
      </c>
      <c r="DR1480" s="496" t="s">
        <v>689</v>
      </c>
      <c r="DS1480" s="496" t="s">
        <v>696</v>
      </c>
      <c r="DT1480" s="496" t="s">
        <v>696</v>
      </c>
      <c r="DU1480" s="496" t="s">
        <v>1085</v>
      </c>
      <c r="DV1480" s="496" t="s">
        <v>3974</v>
      </c>
      <c r="DW1480" s="496" t="s">
        <v>1087</v>
      </c>
      <c r="DX1480" s="497" t="s">
        <v>1088</v>
      </c>
      <c r="DZ1480" s="543">
        <v>1</v>
      </c>
      <c r="EB1480" s="493"/>
      <c r="EC1480" s="493"/>
    </row>
    <row r="1481" spans="119:133" ht="21" customHeight="1">
      <c r="DO1481" s="494"/>
      <c r="DP1481" s="496" t="s">
        <v>3989</v>
      </c>
      <c r="DQ1481" s="496" t="s">
        <v>11</v>
      </c>
      <c r="DR1481" s="496" t="s">
        <v>689</v>
      </c>
      <c r="DS1481" s="496" t="s">
        <v>697</v>
      </c>
      <c r="DT1481" s="496" t="s">
        <v>697</v>
      </c>
      <c r="DU1481" s="496" t="s">
        <v>1085</v>
      </c>
      <c r="DV1481" s="496" t="s">
        <v>3974</v>
      </c>
      <c r="DW1481" s="496" t="s">
        <v>1087</v>
      </c>
      <c r="DX1481" s="497" t="s">
        <v>1088</v>
      </c>
      <c r="DZ1481" s="543">
        <v>1</v>
      </c>
      <c r="EB1481" s="493"/>
      <c r="EC1481" s="493"/>
    </row>
    <row r="1482" spans="119:133" ht="21" customHeight="1">
      <c r="DO1482" s="494"/>
      <c r="DP1482" s="496" t="s">
        <v>3990</v>
      </c>
      <c r="DQ1482" s="496" t="s">
        <v>11</v>
      </c>
      <c r="DR1482" s="496" t="s">
        <v>689</v>
      </c>
      <c r="DS1482" s="496" t="s">
        <v>695</v>
      </c>
      <c r="DT1482" s="496" t="s">
        <v>695</v>
      </c>
      <c r="DU1482" s="496" t="s">
        <v>1085</v>
      </c>
      <c r="DV1482" s="496" t="s">
        <v>3974</v>
      </c>
      <c r="DW1482" s="496" t="s">
        <v>1087</v>
      </c>
      <c r="DX1482" s="497" t="s">
        <v>1088</v>
      </c>
      <c r="DZ1482" s="543">
        <v>1</v>
      </c>
      <c r="EB1482" s="493"/>
      <c r="EC1482" s="493"/>
    </row>
    <row r="1483" spans="119:133" ht="21" customHeight="1">
      <c r="DO1483" s="494"/>
      <c r="DP1483" s="496" t="s">
        <v>3991</v>
      </c>
      <c r="DQ1483" s="496" t="s">
        <v>11</v>
      </c>
      <c r="DR1483" s="496" t="s">
        <v>689</v>
      </c>
      <c r="DS1483" s="496" t="s">
        <v>3992</v>
      </c>
      <c r="DT1483" s="496" t="s">
        <v>3993</v>
      </c>
      <c r="DU1483" s="496" t="s">
        <v>3959</v>
      </c>
      <c r="DV1483" s="496" t="s">
        <v>3960</v>
      </c>
      <c r="DW1483" s="496" t="s">
        <v>3961</v>
      </c>
      <c r="DX1483" s="497" t="s">
        <v>3962</v>
      </c>
      <c r="DZ1483" s="543">
        <v>1</v>
      </c>
      <c r="EB1483" s="493"/>
      <c r="EC1483" s="493"/>
    </row>
    <row r="1484" spans="119:133" ht="21" customHeight="1">
      <c r="DO1484" s="494"/>
      <c r="DP1484" s="496" t="s">
        <v>3994</v>
      </c>
      <c r="DQ1484" s="496" t="s">
        <v>11</v>
      </c>
      <c r="DR1484" s="496" t="s">
        <v>689</v>
      </c>
      <c r="DS1484" s="496" t="s">
        <v>3995</v>
      </c>
      <c r="DT1484" s="496" t="s">
        <v>3995</v>
      </c>
      <c r="DU1484" s="496" t="s">
        <v>3959</v>
      </c>
      <c r="DV1484" s="496" t="s">
        <v>3960</v>
      </c>
      <c r="DW1484" s="496" t="s">
        <v>3961</v>
      </c>
      <c r="DX1484" s="497" t="s">
        <v>3962</v>
      </c>
      <c r="DZ1484" s="543">
        <v>1</v>
      </c>
      <c r="EB1484" s="493"/>
      <c r="EC1484" s="493"/>
    </row>
    <row r="1485" spans="119:133" ht="21" customHeight="1">
      <c r="DO1485" s="494"/>
      <c r="DP1485" s="496" t="s">
        <v>3996</v>
      </c>
      <c r="DQ1485" s="496" t="s">
        <v>11</v>
      </c>
      <c r="DR1485" s="496" t="s">
        <v>689</v>
      </c>
      <c r="DS1485" s="496" t="s">
        <v>3997</v>
      </c>
      <c r="DT1485" s="496" t="s">
        <v>3998</v>
      </c>
      <c r="DU1485" s="496" t="s">
        <v>1085</v>
      </c>
      <c r="DV1485" s="496" t="s">
        <v>3974</v>
      </c>
      <c r="DW1485" s="496" t="s">
        <v>1087</v>
      </c>
      <c r="DX1485" s="497" t="s">
        <v>1088</v>
      </c>
      <c r="DZ1485" s="543">
        <v>1</v>
      </c>
      <c r="EB1485" s="493"/>
      <c r="EC1485" s="493"/>
    </row>
    <row r="1486" spans="119:133" ht="21" customHeight="1">
      <c r="DO1486" s="494"/>
      <c r="DP1486" s="496" t="s">
        <v>3999</v>
      </c>
      <c r="DQ1486" s="496" t="s">
        <v>11</v>
      </c>
      <c r="DR1486" s="496" t="s">
        <v>689</v>
      </c>
      <c r="DS1486" s="496" t="s">
        <v>940</v>
      </c>
      <c r="DT1486" s="496" t="s">
        <v>940</v>
      </c>
      <c r="DU1486" s="496" t="s">
        <v>3959</v>
      </c>
      <c r="DV1486" s="496" t="s">
        <v>3960</v>
      </c>
      <c r="DW1486" s="496" t="s">
        <v>3961</v>
      </c>
      <c r="DX1486" s="497" t="s">
        <v>3962</v>
      </c>
      <c r="DZ1486" s="543">
        <v>1</v>
      </c>
      <c r="EB1486" s="493"/>
      <c r="EC1486" s="493"/>
    </row>
    <row r="1487" spans="119:133" ht="21" customHeight="1">
      <c r="DO1487" s="494"/>
      <c r="DP1487" s="496" t="s">
        <v>4000</v>
      </c>
      <c r="DQ1487" s="496" t="s">
        <v>11</v>
      </c>
      <c r="DR1487" s="496" t="s">
        <v>689</v>
      </c>
      <c r="DS1487" s="496" t="s">
        <v>4001</v>
      </c>
      <c r="DT1487" s="496" t="s">
        <v>4001</v>
      </c>
      <c r="DU1487" s="496" t="s">
        <v>1085</v>
      </c>
      <c r="DV1487" s="496" t="s">
        <v>3974</v>
      </c>
      <c r="DW1487" s="496" t="s">
        <v>1087</v>
      </c>
      <c r="DX1487" s="497" t="s">
        <v>1088</v>
      </c>
      <c r="DZ1487" s="543">
        <v>1</v>
      </c>
      <c r="EB1487" s="493"/>
      <c r="EC1487" s="493"/>
    </row>
    <row r="1488" spans="119:133" ht="21" customHeight="1">
      <c r="DO1488" s="494"/>
      <c r="DP1488" s="496" t="s">
        <v>4002</v>
      </c>
      <c r="DQ1488" s="496" t="s">
        <v>11</v>
      </c>
      <c r="DR1488" s="496" t="s">
        <v>689</v>
      </c>
      <c r="DS1488" s="496" t="s">
        <v>4003</v>
      </c>
      <c r="DT1488" s="496" t="s">
        <v>4003</v>
      </c>
      <c r="DU1488" s="496" t="s">
        <v>3959</v>
      </c>
      <c r="DV1488" s="496" t="s">
        <v>3960</v>
      </c>
      <c r="DW1488" s="496" t="s">
        <v>3961</v>
      </c>
      <c r="DX1488" s="497" t="s">
        <v>3962</v>
      </c>
      <c r="DZ1488" s="543">
        <v>1</v>
      </c>
      <c r="EB1488" s="493"/>
      <c r="EC1488" s="493"/>
    </row>
    <row r="1489" spans="119:133" ht="21" customHeight="1">
      <c r="DO1489" s="494"/>
      <c r="DP1489" s="496" t="s">
        <v>4004</v>
      </c>
      <c r="DQ1489" s="496" t="s">
        <v>11</v>
      </c>
      <c r="DR1489" s="496" t="s">
        <v>689</v>
      </c>
      <c r="DS1489" s="496" t="s">
        <v>4005</v>
      </c>
      <c r="DT1489" s="496" t="s">
        <v>4005</v>
      </c>
      <c r="DU1489" s="496" t="s">
        <v>3959</v>
      </c>
      <c r="DV1489" s="496" t="s">
        <v>3960</v>
      </c>
      <c r="DW1489" s="496" t="s">
        <v>3961</v>
      </c>
      <c r="DX1489" s="497" t="s">
        <v>3962</v>
      </c>
      <c r="DZ1489" s="543">
        <v>1</v>
      </c>
      <c r="EB1489" s="493"/>
      <c r="EC1489" s="493"/>
    </row>
    <row r="1490" spans="119:133" ht="21" customHeight="1">
      <c r="DO1490" s="494"/>
      <c r="DP1490" s="496" t="s">
        <v>4006</v>
      </c>
      <c r="DQ1490" s="496" t="s">
        <v>11</v>
      </c>
      <c r="DR1490" s="496" t="s">
        <v>689</v>
      </c>
      <c r="DS1490" s="496" t="s">
        <v>4007</v>
      </c>
      <c r="DT1490" s="496" t="s">
        <v>4007</v>
      </c>
      <c r="DU1490" s="496" t="s">
        <v>3959</v>
      </c>
      <c r="DV1490" s="496" t="s">
        <v>3960</v>
      </c>
      <c r="DW1490" s="496" t="s">
        <v>3961</v>
      </c>
      <c r="DX1490" s="497" t="s">
        <v>3962</v>
      </c>
      <c r="DZ1490" s="543">
        <v>1</v>
      </c>
      <c r="EB1490" s="493"/>
      <c r="EC1490" s="493"/>
    </row>
    <row r="1491" spans="119:133" ht="21" customHeight="1">
      <c r="DO1491" s="494"/>
      <c r="DP1491" s="496" t="s">
        <v>4008</v>
      </c>
      <c r="DQ1491" s="496" t="s">
        <v>11</v>
      </c>
      <c r="DR1491" s="496" t="s">
        <v>689</v>
      </c>
      <c r="DS1491" s="496" t="s">
        <v>941</v>
      </c>
      <c r="DT1491" s="496" t="s">
        <v>941</v>
      </c>
      <c r="DU1491" s="496" t="s">
        <v>3959</v>
      </c>
      <c r="DV1491" s="496" t="s">
        <v>3960</v>
      </c>
      <c r="DW1491" s="496" t="s">
        <v>3961</v>
      </c>
      <c r="DX1491" s="497" t="s">
        <v>3962</v>
      </c>
      <c r="DZ1491" s="543">
        <v>1</v>
      </c>
      <c r="EB1491" s="493"/>
      <c r="EC1491" s="493"/>
    </row>
    <row r="1492" spans="119:133" ht="21" customHeight="1">
      <c r="DO1492" s="494"/>
      <c r="DP1492" s="496" t="s">
        <v>4009</v>
      </c>
      <c r="DQ1492" s="496" t="s">
        <v>11</v>
      </c>
      <c r="DR1492" s="496" t="s">
        <v>689</v>
      </c>
      <c r="DS1492" s="496" t="s">
        <v>943</v>
      </c>
      <c r="DT1492" s="496" t="s">
        <v>943</v>
      </c>
      <c r="DU1492" s="496" t="s">
        <v>1085</v>
      </c>
      <c r="DV1492" s="496" t="s">
        <v>3974</v>
      </c>
      <c r="DW1492" s="496" t="s">
        <v>1087</v>
      </c>
      <c r="DX1492" s="497" t="s">
        <v>1088</v>
      </c>
      <c r="DZ1492" s="543">
        <v>1</v>
      </c>
      <c r="EB1492" s="493"/>
      <c r="EC1492" s="493"/>
    </row>
    <row r="1493" spans="119:133" ht="21" customHeight="1">
      <c r="DO1493" s="494"/>
      <c r="DP1493" s="496" t="s">
        <v>4010</v>
      </c>
      <c r="DQ1493" s="496" t="s">
        <v>11</v>
      </c>
      <c r="DR1493" s="496" t="s">
        <v>689</v>
      </c>
      <c r="DS1493" s="496" t="s">
        <v>4011</v>
      </c>
      <c r="DT1493" s="496" t="s">
        <v>4011</v>
      </c>
      <c r="DU1493" s="496" t="s">
        <v>3959</v>
      </c>
      <c r="DV1493" s="496" t="s">
        <v>3960</v>
      </c>
      <c r="DW1493" s="496" t="s">
        <v>3961</v>
      </c>
      <c r="DX1493" s="497" t="s">
        <v>3962</v>
      </c>
      <c r="DZ1493" s="543">
        <v>1</v>
      </c>
      <c r="EB1493" s="493"/>
      <c r="EC1493" s="493"/>
    </row>
    <row r="1494" spans="119:133" ht="21" customHeight="1">
      <c r="DO1494" s="494"/>
      <c r="DP1494" s="496" t="s">
        <v>4012</v>
      </c>
      <c r="DQ1494" s="496" t="s">
        <v>11</v>
      </c>
      <c r="DR1494" s="496" t="s">
        <v>689</v>
      </c>
      <c r="DS1494" s="496" t="s">
        <v>4013</v>
      </c>
      <c r="DT1494" s="496" t="s">
        <v>4013</v>
      </c>
      <c r="DU1494" s="496" t="s">
        <v>3959</v>
      </c>
      <c r="DV1494" s="496" t="s">
        <v>3960</v>
      </c>
      <c r="DW1494" s="496" t="s">
        <v>3961</v>
      </c>
      <c r="DX1494" s="497" t="s">
        <v>3962</v>
      </c>
      <c r="DZ1494" s="543">
        <v>1</v>
      </c>
      <c r="EB1494" s="493"/>
      <c r="EC1494" s="493"/>
    </row>
    <row r="1495" spans="119:133" ht="21" customHeight="1">
      <c r="DO1495" s="494"/>
      <c r="DP1495" s="496" t="s">
        <v>4014</v>
      </c>
      <c r="DQ1495" s="496" t="s">
        <v>11</v>
      </c>
      <c r="DR1495" s="496" t="s">
        <v>689</v>
      </c>
      <c r="DS1495" s="496" t="s">
        <v>4015</v>
      </c>
      <c r="DT1495" s="496" t="s">
        <v>4016</v>
      </c>
      <c r="DU1495" s="496" t="s">
        <v>3959</v>
      </c>
      <c r="DV1495" s="496" t="s">
        <v>3960</v>
      </c>
      <c r="DW1495" s="496" t="s">
        <v>3961</v>
      </c>
      <c r="DX1495" s="497" t="s">
        <v>3962</v>
      </c>
      <c r="DZ1495" s="543">
        <v>1</v>
      </c>
      <c r="EB1495" s="493"/>
      <c r="EC1495" s="493"/>
    </row>
    <row r="1496" spans="119:133" ht="21" customHeight="1">
      <c r="DO1496" s="494"/>
      <c r="DP1496" s="496" t="s">
        <v>4017</v>
      </c>
      <c r="DQ1496" s="496" t="s">
        <v>11</v>
      </c>
      <c r="DR1496" s="496" t="s">
        <v>689</v>
      </c>
      <c r="DS1496" s="496" t="s">
        <v>4018</v>
      </c>
      <c r="DT1496" s="496" t="s">
        <v>4018</v>
      </c>
      <c r="DU1496" s="496" t="s">
        <v>1085</v>
      </c>
      <c r="DV1496" s="496" t="s">
        <v>3974</v>
      </c>
      <c r="DW1496" s="496" t="s">
        <v>1087</v>
      </c>
      <c r="DX1496" s="497" t="s">
        <v>1088</v>
      </c>
      <c r="DZ1496" s="543">
        <v>1</v>
      </c>
      <c r="EB1496" s="493"/>
      <c r="EC1496" s="493"/>
    </row>
    <row r="1497" spans="119:133" ht="21" customHeight="1">
      <c r="DO1497" s="494"/>
      <c r="DP1497" s="496" t="s">
        <v>4019</v>
      </c>
      <c r="DQ1497" s="496" t="s">
        <v>11</v>
      </c>
      <c r="DR1497" s="496" t="s">
        <v>689</v>
      </c>
      <c r="DS1497" s="496" t="s">
        <v>4020</v>
      </c>
      <c r="DT1497" s="496" t="s">
        <v>4020</v>
      </c>
      <c r="DU1497" s="496" t="s">
        <v>1085</v>
      </c>
      <c r="DV1497" s="496" t="s">
        <v>3974</v>
      </c>
      <c r="DW1497" s="496" t="s">
        <v>1087</v>
      </c>
      <c r="DX1497" s="497" t="s">
        <v>1088</v>
      </c>
      <c r="DZ1497" s="543">
        <v>1</v>
      </c>
      <c r="EB1497" s="493"/>
      <c r="EC1497" s="493"/>
    </row>
    <row r="1498" spans="119:133" ht="21" customHeight="1">
      <c r="DO1498" s="494"/>
      <c r="DP1498" s="496" t="s">
        <v>4021</v>
      </c>
      <c r="DQ1498" s="496" t="s">
        <v>11</v>
      </c>
      <c r="DR1498" s="496" t="s">
        <v>689</v>
      </c>
      <c r="DS1498" s="496" t="s">
        <v>4022</v>
      </c>
      <c r="DT1498" s="496" t="s">
        <v>4022</v>
      </c>
      <c r="DU1498" s="496" t="s">
        <v>3959</v>
      </c>
      <c r="DV1498" s="496" t="s">
        <v>3960</v>
      </c>
      <c r="DW1498" s="496" t="s">
        <v>3961</v>
      </c>
      <c r="DX1498" s="497" t="s">
        <v>3962</v>
      </c>
      <c r="DZ1498" s="543">
        <v>1</v>
      </c>
      <c r="EB1498" s="493"/>
      <c r="EC1498" s="493"/>
    </row>
    <row r="1499" spans="119:133" ht="21" customHeight="1">
      <c r="DO1499" s="494"/>
      <c r="DP1499" s="496" t="s">
        <v>4023</v>
      </c>
      <c r="DQ1499" s="496" t="s">
        <v>11</v>
      </c>
      <c r="DR1499" s="496" t="s">
        <v>689</v>
      </c>
      <c r="DS1499" s="496" t="s">
        <v>4024</v>
      </c>
      <c r="DT1499" s="496" t="s">
        <v>4024</v>
      </c>
      <c r="DU1499" s="496" t="s">
        <v>3959</v>
      </c>
      <c r="DV1499" s="496" t="s">
        <v>3960</v>
      </c>
      <c r="DW1499" s="496" t="s">
        <v>3961</v>
      </c>
      <c r="DX1499" s="497" t="s">
        <v>3962</v>
      </c>
      <c r="DZ1499" s="543">
        <v>1</v>
      </c>
      <c r="EB1499" s="493"/>
      <c r="EC1499" s="493"/>
    </row>
    <row r="1500" spans="119:133" ht="21" customHeight="1">
      <c r="DO1500" s="494"/>
      <c r="DP1500" s="496" t="s">
        <v>4025</v>
      </c>
      <c r="DQ1500" s="496" t="s">
        <v>11</v>
      </c>
      <c r="DR1500" s="496" t="s">
        <v>689</v>
      </c>
      <c r="DS1500" s="496" t="s">
        <v>4026</v>
      </c>
      <c r="DT1500" s="496" t="s">
        <v>4027</v>
      </c>
      <c r="DU1500" s="496" t="s">
        <v>3959</v>
      </c>
      <c r="DV1500" s="496" t="s">
        <v>3960</v>
      </c>
      <c r="DW1500" s="496" t="s">
        <v>3961</v>
      </c>
      <c r="DX1500" s="497" t="s">
        <v>3962</v>
      </c>
      <c r="DZ1500" s="543">
        <v>1</v>
      </c>
      <c r="EB1500" s="493"/>
      <c r="EC1500" s="493"/>
    </row>
    <row r="1501" spans="119:133" ht="21" customHeight="1">
      <c r="DO1501" s="494"/>
      <c r="DP1501" s="496" t="s">
        <v>4028</v>
      </c>
      <c r="DQ1501" s="496" t="s">
        <v>11</v>
      </c>
      <c r="DR1501" s="496" t="s">
        <v>689</v>
      </c>
      <c r="DS1501" s="496" t="s">
        <v>4029</v>
      </c>
      <c r="DT1501" s="496" t="s">
        <v>4029</v>
      </c>
      <c r="DU1501" s="496" t="s">
        <v>1085</v>
      </c>
      <c r="DV1501" s="496" t="s">
        <v>3974</v>
      </c>
      <c r="DW1501" s="496" t="s">
        <v>1087</v>
      </c>
      <c r="DX1501" s="497" t="s">
        <v>1088</v>
      </c>
      <c r="DZ1501" s="543">
        <v>1</v>
      </c>
      <c r="EB1501" s="493"/>
      <c r="EC1501" s="493"/>
    </row>
    <row r="1502" spans="119:133" ht="21" customHeight="1">
      <c r="DO1502" s="494"/>
      <c r="DP1502" s="496" t="s">
        <v>4030</v>
      </c>
      <c r="DQ1502" s="496" t="s">
        <v>11</v>
      </c>
      <c r="DR1502" s="496" t="s">
        <v>689</v>
      </c>
      <c r="DS1502" s="496" t="s">
        <v>323</v>
      </c>
      <c r="DT1502" s="496" t="s">
        <v>323</v>
      </c>
      <c r="DU1502" s="496" t="s">
        <v>1151</v>
      </c>
      <c r="DV1502" s="496" t="s">
        <v>1152</v>
      </c>
      <c r="DW1502" s="496" t="s">
        <v>1087</v>
      </c>
      <c r="DX1502" s="497" t="s">
        <v>1153</v>
      </c>
      <c r="DZ1502" s="543">
        <v>1</v>
      </c>
      <c r="EB1502" s="493"/>
      <c r="EC1502" s="493"/>
    </row>
    <row r="1503" spans="119:133" ht="21" customHeight="1">
      <c r="DO1503" s="494"/>
      <c r="DP1503" s="496" t="s">
        <v>4031</v>
      </c>
      <c r="DQ1503" s="496" t="s">
        <v>11</v>
      </c>
      <c r="DR1503" s="496" t="s">
        <v>689</v>
      </c>
      <c r="DS1503" s="496" t="s">
        <v>4032</v>
      </c>
      <c r="DT1503" s="496" t="s">
        <v>4032</v>
      </c>
      <c r="DU1503" s="496" t="s">
        <v>3959</v>
      </c>
      <c r="DV1503" s="496" t="s">
        <v>3960</v>
      </c>
      <c r="DW1503" s="496" t="s">
        <v>3961</v>
      </c>
      <c r="DX1503" s="497" t="s">
        <v>3962</v>
      </c>
      <c r="DZ1503" s="543">
        <v>1</v>
      </c>
      <c r="EB1503" s="493"/>
      <c r="EC1503" s="493"/>
    </row>
    <row r="1504" spans="119:133" ht="21" customHeight="1">
      <c r="DO1504" s="494"/>
      <c r="DP1504" s="496" t="s">
        <v>4033</v>
      </c>
      <c r="DQ1504" s="496" t="s">
        <v>11</v>
      </c>
      <c r="DR1504" s="496" t="s">
        <v>689</v>
      </c>
      <c r="DS1504" s="496" t="s">
        <v>4034</v>
      </c>
      <c r="DT1504" s="496" t="s">
        <v>4035</v>
      </c>
      <c r="DU1504" s="496" t="s">
        <v>3959</v>
      </c>
      <c r="DV1504" s="496" t="s">
        <v>3960</v>
      </c>
      <c r="DW1504" s="496" t="s">
        <v>3961</v>
      </c>
      <c r="DX1504" s="497" t="s">
        <v>3962</v>
      </c>
      <c r="DZ1504" s="543">
        <v>1</v>
      </c>
      <c r="EB1504" s="493"/>
      <c r="EC1504" s="493"/>
    </row>
    <row r="1505" spans="119:133" ht="21" customHeight="1">
      <c r="DO1505" s="494"/>
      <c r="DP1505" s="496" t="s">
        <v>4036</v>
      </c>
      <c r="DQ1505" s="496" t="s">
        <v>11</v>
      </c>
      <c r="DR1505" s="496" t="s">
        <v>689</v>
      </c>
      <c r="DS1505" s="496" t="s">
        <v>4037</v>
      </c>
      <c r="DT1505" s="496" t="s">
        <v>4037</v>
      </c>
      <c r="DU1505" s="496" t="s">
        <v>3959</v>
      </c>
      <c r="DV1505" s="496" t="s">
        <v>3960</v>
      </c>
      <c r="DW1505" s="496" t="s">
        <v>3961</v>
      </c>
      <c r="DX1505" s="497" t="s">
        <v>3962</v>
      </c>
      <c r="DZ1505" s="543">
        <v>1</v>
      </c>
      <c r="EB1505" s="493"/>
      <c r="EC1505" s="493"/>
    </row>
    <row r="1506" spans="119:133" ht="21" customHeight="1">
      <c r="DO1506" s="494"/>
      <c r="DP1506" s="496" t="s">
        <v>4038</v>
      </c>
      <c r="DQ1506" s="496" t="s">
        <v>11</v>
      </c>
      <c r="DR1506" s="496" t="s">
        <v>689</v>
      </c>
      <c r="DS1506" s="496" t="s">
        <v>4039</v>
      </c>
      <c r="DT1506" s="496" t="s">
        <v>4039</v>
      </c>
      <c r="DU1506" s="496" t="s">
        <v>3959</v>
      </c>
      <c r="DV1506" s="496" t="s">
        <v>3960</v>
      </c>
      <c r="DW1506" s="496" t="s">
        <v>3961</v>
      </c>
      <c r="DX1506" s="497" t="s">
        <v>3962</v>
      </c>
      <c r="DZ1506" s="543">
        <v>1</v>
      </c>
      <c r="EB1506" s="493"/>
      <c r="EC1506" s="493"/>
    </row>
    <row r="1507" spans="119:133" ht="21" customHeight="1">
      <c r="DO1507" s="494"/>
      <c r="DP1507" s="496" t="s">
        <v>4040</v>
      </c>
      <c r="DQ1507" s="496" t="s">
        <v>11</v>
      </c>
      <c r="DR1507" s="496" t="s">
        <v>689</v>
      </c>
      <c r="DS1507" s="496" t="s">
        <v>4041</v>
      </c>
      <c r="DT1507" s="496" t="s">
        <v>4041</v>
      </c>
      <c r="DU1507" s="496" t="s">
        <v>3959</v>
      </c>
      <c r="DV1507" s="496" t="s">
        <v>3960</v>
      </c>
      <c r="DW1507" s="496" t="s">
        <v>3961</v>
      </c>
      <c r="DX1507" s="497" t="s">
        <v>3962</v>
      </c>
      <c r="DZ1507" s="543">
        <v>1</v>
      </c>
      <c r="EB1507" s="493"/>
      <c r="EC1507" s="493"/>
    </row>
    <row r="1508" spans="119:133" ht="21" customHeight="1">
      <c r="DO1508" s="494"/>
      <c r="DP1508" s="496" t="s">
        <v>4042</v>
      </c>
      <c r="DQ1508" s="496" t="s">
        <v>11</v>
      </c>
      <c r="DR1508" s="496" t="s">
        <v>689</v>
      </c>
      <c r="DS1508" s="496" t="s">
        <v>4043</v>
      </c>
      <c r="DT1508" s="496" t="s">
        <v>4044</v>
      </c>
      <c r="DU1508" s="496" t="s">
        <v>3959</v>
      </c>
      <c r="DV1508" s="496" t="s">
        <v>3960</v>
      </c>
      <c r="DW1508" s="496" t="s">
        <v>3961</v>
      </c>
      <c r="DX1508" s="497" t="s">
        <v>3962</v>
      </c>
      <c r="DZ1508" s="543">
        <v>1</v>
      </c>
      <c r="EB1508" s="493"/>
      <c r="EC1508" s="493"/>
    </row>
    <row r="1509" spans="119:133" ht="21" customHeight="1">
      <c r="DO1509" s="494"/>
      <c r="DP1509" s="496" t="s">
        <v>4045</v>
      </c>
      <c r="DQ1509" s="496" t="s">
        <v>11</v>
      </c>
      <c r="DR1509" s="496" t="s">
        <v>689</v>
      </c>
      <c r="DS1509" s="496" t="s">
        <v>4046</v>
      </c>
      <c r="DT1509" s="496" t="s">
        <v>4047</v>
      </c>
      <c r="DU1509" s="496" t="s">
        <v>3959</v>
      </c>
      <c r="DV1509" s="496" t="s">
        <v>3960</v>
      </c>
      <c r="DW1509" s="496" t="s">
        <v>3961</v>
      </c>
      <c r="DX1509" s="497" t="s">
        <v>3962</v>
      </c>
      <c r="DZ1509" s="543">
        <v>1</v>
      </c>
      <c r="EB1509" s="493"/>
      <c r="EC1509" s="493"/>
    </row>
    <row r="1510" spans="119:133" ht="21" customHeight="1">
      <c r="DO1510" s="494"/>
      <c r="DP1510" s="496" t="s">
        <v>4048</v>
      </c>
      <c r="DQ1510" s="496" t="s">
        <v>11</v>
      </c>
      <c r="DR1510" s="496" t="s">
        <v>689</v>
      </c>
      <c r="DS1510" s="496" t="s">
        <v>944</v>
      </c>
      <c r="DT1510" s="496" t="s">
        <v>944</v>
      </c>
      <c r="DU1510" s="496" t="s">
        <v>1085</v>
      </c>
      <c r="DV1510" s="496" t="s">
        <v>3974</v>
      </c>
      <c r="DW1510" s="496" t="s">
        <v>1087</v>
      </c>
      <c r="DX1510" s="497" t="s">
        <v>1088</v>
      </c>
      <c r="DZ1510" s="543">
        <v>1</v>
      </c>
      <c r="EB1510" s="493"/>
      <c r="EC1510" s="493"/>
    </row>
    <row r="1511" spans="119:133" ht="21" customHeight="1">
      <c r="DO1511" s="494"/>
      <c r="DP1511" s="496" t="s">
        <v>4049</v>
      </c>
      <c r="DQ1511" s="496" t="s">
        <v>11</v>
      </c>
      <c r="DR1511" s="496" t="s">
        <v>689</v>
      </c>
      <c r="DS1511" s="496" t="s">
        <v>4050</v>
      </c>
      <c r="DT1511" s="496" t="s">
        <v>4050</v>
      </c>
      <c r="DU1511" s="496" t="s">
        <v>3959</v>
      </c>
      <c r="DV1511" s="496" t="s">
        <v>3960</v>
      </c>
      <c r="DW1511" s="496" t="s">
        <v>3961</v>
      </c>
      <c r="DX1511" s="497" t="s">
        <v>3962</v>
      </c>
      <c r="DZ1511" s="543">
        <v>1</v>
      </c>
      <c r="EB1511" s="493"/>
      <c r="EC1511" s="493"/>
    </row>
    <row r="1512" spans="119:133" ht="21" customHeight="1">
      <c r="DO1512" s="494"/>
      <c r="DP1512" s="496" t="s">
        <v>4051</v>
      </c>
      <c r="DQ1512" s="496" t="s">
        <v>11</v>
      </c>
      <c r="DR1512" s="496" t="s">
        <v>689</v>
      </c>
      <c r="DS1512" s="496" t="s">
        <v>4052</v>
      </c>
      <c r="DT1512" s="496" t="s">
        <v>4052</v>
      </c>
      <c r="DU1512" s="496" t="s">
        <v>1085</v>
      </c>
      <c r="DV1512" s="496" t="s">
        <v>3974</v>
      </c>
      <c r="DW1512" s="496" t="s">
        <v>1087</v>
      </c>
      <c r="DX1512" s="497" t="s">
        <v>1088</v>
      </c>
      <c r="DZ1512" s="543">
        <v>1</v>
      </c>
      <c r="EB1512" s="493"/>
      <c r="EC1512" s="493"/>
    </row>
    <row r="1513" spans="119:133" ht="21" customHeight="1">
      <c r="DO1513" s="494"/>
      <c r="DP1513" s="496" t="s">
        <v>4053</v>
      </c>
      <c r="DQ1513" s="496" t="s">
        <v>11</v>
      </c>
      <c r="DR1513" s="496" t="s">
        <v>689</v>
      </c>
      <c r="DS1513" s="496" t="s">
        <v>945</v>
      </c>
      <c r="DT1513" s="496" t="s">
        <v>945</v>
      </c>
      <c r="DU1513" s="496" t="s">
        <v>1085</v>
      </c>
      <c r="DV1513" s="496" t="s">
        <v>3974</v>
      </c>
      <c r="DW1513" s="496" t="s">
        <v>1087</v>
      </c>
      <c r="DX1513" s="497" t="s">
        <v>1088</v>
      </c>
      <c r="DZ1513" s="543">
        <v>1</v>
      </c>
      <c r="EB1513" s="493"/>
      <c r="EC1513" s="493"/>
    </row>
    <row r="1514" spans="119:133" ht="21" customHeight="1">
      <c r="DO1514" s="494"/>
      <c r="DP1514" s="496" t="s">
        <v>4054</v>
      </c>
      <c r="DQ1514" s="496" t="s">
        <v>11</v>
      </c>
      <c r="DR1514" s="496" t="s">
        <v>689</v>
      </c>
      <c r="DS1514" s="496" t="s">
        <v>4055</v>
      </c>
      <c r="DT1514" s="496" t="s">
        <v>4055</v>
      </c>
      <c r="DU1514" s="496" t="s">
        <v>3959</v>
      </c>
      <c r="DV1514" s="496" t="s">
        <v>3960</v>
      </c>
      <c r="DW1514" s="496" t="s">
        <v>3961</v>
      </c>
      <c r="DX1514" s="497" t="s">
        <v>3962</v>
      </c>
      <c r="DZ1514" s="543">
        <v>1</v>
      </c>
      <c r="EB1514" s="493"/>
      <c r="EC1514" s="493"/>
    </row>
    <row r="1515" spans="119:133" ht="21" customHeight="1">
      <c r="DO1515" s="494"/>
      <c r="DP1515" s="496" t="s">
        <v>4056</v>
      </c>
      <c r="DQ1515" s="496" t="s">
        <v>11</v>
      </c>
      <c r="DR1515" s="496" t="s">
        <v>689</v>
      </c>
      <c r="DS1515" s="496" t="s">
        <v>4057</v>
      </c>
      <c r="DT1515" s="496" t="s">
        <v>4057</v>
      </c>
      <c r="DU1515" s="496" t="s">
        <v>3959</v>
      </c>
      <c r="DV1515" s="496" t="s">
        <v>3960</v>
      </c>
      <c r="DW1515" s="496" t="s">
        <v>3961</v>
      </c>
      <c r="DX1515" s="497" t="s">
        <v>3962</v>
      </c>
      <c r="DZ1515" s="543">
        <v>1</v>
      </c>
      <c r="EB1515" s="493"/>
      <c r="EC1515" s="493"/>
    </row>
    <row r="1516" spans="119:133" ht="21" customHeight="1">
      <c r="DO1516" s="494"/>
      <c r="DP1516" s="496" t="s">
        <v>4058</v>
      </c>
      <c r="DQ1516" s="496" t="s">
        <v>11</v>
      </c>
      <c r="DR1516" s="496" t="s">
        <v>689</v>
      </c>
      <c r="DS1516" s="496" t="s">
        <v>4059</v>
      </c>
      <c r="DT1516" s="496" t="s">
        <v>4059</v>
      </c>
      <c r="DU1516" s="496" t="s">
        <v>1085</v>
      </c>
      <c r="DV1516" s="496" t="s">
        <v>3974</v>
      </c>
      <c r="DW1516" s="496" t="s">
        <v>1087</v>
      </c>
      <c r="DX1516" s="497" t="s">
        <v>1088</v>
      </c>
      <c r="DZ1516" s="543">
        <v>1</v>
      </c>
      <c r="EB1516" s="493"/>
      <c r="EC1516" s="493"/>
    </row>
    <row r="1517" spans="119:133" ht="21" customHeight="1">
      <c r="DO1517" s="494"/>
      <c r="DP1517" s="496" t="s">
        <v>4060</v>
      </c>
      <c r="DQ1517" s="496" t="s">
        <v>11</v>
      </c>
      <c r="DR1517" s="496" t="s">
        <v>689</v>
      </c>
      <c r="DS1517" s="496" t="s">
        <v>4061</v>
      </c>
      <c r="DT1517" s="496" t="s">
        <v>4062</v>
      </c>
      <c r="DU1517" s="496" t="s">
        <v>3959</v>
      </c>
      <c r="DV1517" s="496" t="s">
        <v>3960</v>
      </c>
      <c r="DW1517" s="496" t="s">
        <v>3961</v>
      </c>
      <c r="DX1517" s="497" t="s">
        <v>3962</v>
      </c>
      <c r="DZ1517" s="543">
        <v>1</v>
      </c>
      <c r="EB1517" s="493"/>
      <c r="EC1517" s="493"/>
    </row>
    <row r="1518" spans="119:133" ht="21" customHeight="1">
      <c r="DO1518" s="494"/>
      <c r="DP1518" s="496" t="s">
        <v>4063</v>
      </c>
      <c r="DQ1518" s="496" t="s">
        <v>11</v>
      </c>
      <c r="DR1518" s="496" t="s">
        <v>689</v>
      </c>
      <c r="DS1518" s="496" t="s">
        <v>4064</v>
      </c>
      <c r="DT1518" s="496" t="s">
        <v>4065</v>
      </c>
      <c r="DU1518" s="496" t="s">
        <v>1085</v>
      </c>
      <c r="DV1518" s="496" t="s">
        <v>3974</v>
      </c>
      <c r="DW1518" s="496" t="s">
        <v>1087</v>
      </c>
      <c r="DX1518" s="497" t="s">
        <v>1088</v>
      </c>
      <c r="DZ1518" s="543">
        <v>1</v>
      </c>
      <c r="EB1518" s="493"/>
      <c r="EC1518" s="493"/>
    </row>
    <row r="1519" spans="119:133" ht="21" customHeight="1">
      <c r="DO1519" s="494"/>
      <c r="DP1519" s="496" t="s">
        <v>4066</v>
      </c>
      <c r="DQ1519" s="496" t="s">
        <v>11</v>
      </c>
      <c r="DR1519" s="496" t="s">
        <v>689</v>
      </c>
      <c r="DS1519" s="496" t="s">
        <v>4067</v>
      </c>
      <c r="DT1519" s="496" t="s">
        <v>946</v>
      </c>
      <c r="DU1519" s="496" t="s">
        <v>3959</v>
      </c>
      <c r="DV1519" s="496" t="s">
        <v>3960</v>
      </c>
      <c r="DW1519" s="496" t="s">
        <v>3961</v>
      </c>
      <c r="DX1519" s="497" t="s">
        <v>3962</v>
      </c>
      <c r="DZ1519" s="543">
        <v>1</v>
      </c>
      <c r="EB1519" s="493"/>
      <c r="EC1519" s="493"/>
    </row>
    <row r="1520" spans="119:133" ht="21" customHeight="1">
      <c r="DO1520" s="494"/>
      <c r="DP1520" s="496" t="s">
        <v>4068</v>
      </c>
      <c r="DQ1520" s="496" t="s">
        <v>11</v>
      </c>
      <c r="DR1520" s="496" t="s">
        <v>689</v>
      </c>
      <c r="DS1520" s="496" t="s">
        <v>324</v>
      </c>
      <c r="DT1520" s="496" t="s">
        <v>324</v>
      </c>
      <c r="DU1520" s="496" t="s">
        <v>1151</v>
      </c>
      <c r="DV1520" s="496" t="s">
        <v>1152</v>
      </c>
      <c r="DW1520" s="496" t="s">
        <v>1087</v>
      </c>
      <c r="DX1520" s="497" t="s">
        <v>1153</v>
      </c>
      <c r="DZ1520" s="543">
        <v>1</v>
      </c>
      <c r="EB1520" s="493"/>
      <c r="EC1520" s="493"/>
    </row>
    <row r="1521" spans="119:133" ht="21" customHeight="1">
      <c r="DO1521" s="494"/>
      <c r="DP1521" s="496" t="s">
        <v>4069</v>
      </c>
      <c r="DQ1521" s="496" t="s">
        <v>11</v>
      </c>
      <c r="DR1521" s="496" t="s">
        <v>689</v>
      </c>
      <c r="DS1521" s="496" t="s">
        <v>4070</v>
      </c>
      <c r="DT1521" s="496" t="s">
        <v>325</v>
      </c>
      <c r="DU1521" s="496" t="s">
        <v>1085</v>
      </c>
      <c r="DV1521" s="496" t="s">
        <v>3974</v>
      </c>
      <c r="DW1521" s="496" t="s">
        <v>1087</v>
      </c>
      <c r="DX1521" s="497" t="s">
        <v>1088</v>
      </c>
      <c r="DZ1521" s="543">
        <v>1</v>
      </c>
      <c r="EB1521" s="493"/>
      <c r="EC1521" s="493"/>
    </row>
    <row r="1522" spans="119:133" ht="21" customHeight="1">
      <c r="DO1522" s="494"/>
      <c r="DP1522" s="496" t="s">
        <v>4071</v>
      </c>
      <c r="DQ1522" s="496" t="s">
        <v>11</v>
      </c>
      <c r="DR1522" s="496" t="s">
        <v>689</v>
      </c>
      <c r="DS1522" s="496" t="s">
        <v>4072</v>
      </c>
      <c r="DT1522" s="496" t="s">
        <v>4073</v>
      </c>
      <c r="DU1522" s="496" t="s">
        <v>3959</v>
      </c>
      <c r="DV1522" s="496" t="s">
        <v>3960</v>
      </c>
      <c r="DW1522" s="496" t="s">
        <v>3961</v>
      </c>
      <c r="DX1522" s="497" t="s">
        <v>3962</v>
      </c>
      <c r="DZ1522" s="543">
        <v>1</v>
      </c>
      <c r="EB1522" s="493"/>
      <c r="EC1522" s="493"/>
    </row>
    <row r="1523" spans="119:133" ht="21" customHeight="1">
      <c r="DO1523" s="494"/>
      <c r="DP1523" s="496" t="s">
        <v>4074</v>
      </c>
      <c r="DQ1523" s="496" t="s">
        <v>11</v>
      </c>
      <c r="DR1523" s="496" t="s">
        <v>689</v>
      </c>
      <c r="DS1523" s="496" t="s">
        <v>4075</v>
      </c>
      <c r="DT1523" s="496" t="s">
        <v>4076</v>
      </c>
      <c r="DU1523" s="496" t="s">
        <v>3959</v>
      </c>
      <c r="DV1523" s="496" t="s">
        <v>3960</v>
      </c>
      <c r="DW1523" s="496" t="s">
        <v>3961</v>
      </c>
      <c r="DX1523" s="497" t="s">
        <v>3962</v>
      </c>
      <c r="DZ1523" s="543">
        <v>1</v>
      </c>
      <c r="EB1523" s="493"/>
      <c r="EC1523" s="493"/>
    </row>
    <row r="1524" spans="119:133" ht="21" customHeight="1">
      <c r="DO1524" s="494"/>
      <c r="DP1524" s="496" t="s">
        <v>4077</v>
      </c>
      <c r="DQ1524" s="496" t="s">
        <v>11</v>
      </c>
      <c r="DR1524" s="496" t="s">
        <v>689</v>
      </c>
      <c r="DS1524" s="496" t="s">
        <v>4078</v>
      </c>
      <c r="DT1524" s="496" t="s">
        <v>110</v>
      </c>
      <c r="DU1524" s="496" t="s">
        <v>1085</v>
      </c>
      <c r="DV1524" s="496" t="s">
        <v>3974</v>
      </c>
      <c r="DW1524" s="496" t="s">
        <v>1087</v>
      </c>
      <c r="DX1524" s="497" t="s">
        <v>1088</v>
      </c>
      <c r="DZ1524" s="543">
        <v>1</v>
      </c>
      <c r="EB1524" s="493"/>
      <c r="EC1524" s="493"/>
    </row>
    <row r="1525" spans="119:133" ht="21" customHeight="1">
      <c r="DO1525" s="494"/>
      <c r="DP1525" s="496" t="s">
        <v>4079</v>
      </c>
      <c r="DQ1525" s="496" t="s">
        <v>11</v>
      </c>
      <c r="DR1525" s="496" t="s">
        <v>689</v>
      </c>
      <c r="DS1525" s="496" t="s">
        <v>4080</v>
      </c>
      <c r="DT1525" s="496" t="s">
        <v>96</v>
      </c>
      <c r="DU1525" s="496" t="s">
        <v>1085</v>
      </c>
      <c r="DV1525" s="496" t="s">
        <v>3974</v>
      </c>
      <c r="DW1525" s="496" t="s">
        <v>1087</v>
      </c>
      <c r="DX1525" s="497" t="s">
        <v>1088</v>
      </c>
      <c r="DZ1525" s="543">
        <v>1</v>
      </c>
      <c r="EB1525" s="493"/>
      <c r="EC1525" s="493"/>
    </row>
    <row r="1526" spans="119:133" ht="21" customHeight="1">
      <c r="DO1526" s="494"/>
      <c r="DP1526" s="496" t="s">
        <v>4081</v>
      </c>
      <c r="DQ1526" s="496" t="s">
        <v>11</v>
      </c>
      <c r="DR1526" s="496" t="s">
        <v>689</v>
      </c>
      <c r="DS1526" s="496" t="s">
        <v>4082</v>
      </c>
      <c r="DT1526" s="496" t="s">
        <v>4082</v>
      </c>
      <c r="DU1526" s="496" t="s">
        <v>3959</v>
      </c>
      <c r="DV1526" s="496" t="s">
        <v>3960</v>
      </c>
      <c r="DW1526" s="496" t="s">
        <v>3961</v>
      </c>
      <c r="DX1526" s="497" t="s">
        <v>3962</v>
      </c>
      <c r="DZ1526" s="543">
        <v>1</v>
      </c>
      <c r="EB1526" s="493"/>
      <c r="EC1526" s="493"/>
    </row>
    <row r="1527" spans="119:133" ht="21" customHeight="1">
      <c r="DO1527" s="494"/>
      <c r="DP1527" s="496" t="s">
        <v>4083</v>
      </c>
      <c r="DQ1527" s="496" t="s">
        <v>11</v>
      </c>
      <c r="DR1527" s="496" t="s">
        <v>689</v>
      </c>
      <c r="DS1527" s="496" t="s">
        <v>4084</v>
      </c>
      <c r="DT1527" s="496" t="s">
        <v>4084</v>
      </c>
      <c r="DU1527" s="496" t="s">
        <v>1085</v>
      </c>
      <c r="DV1527" s="496" t="s">
        <v>3974</v>
      </c>
      <c r="DW1527" s="496" t="s">
        <v>1087</v>
      </c>
      <c r="DX1527" s="497" t="s">
        <v>1088</v>
      </c>
      <c r="DZ1527" s="543">
        <v>1</v>
      </c>
      <c r="EB1527" s="493"/>
      <c r="EC1527" s="493"/>
    </row>
    <row r="1528" spans="119:133" ht="21" customHeight="1">
      <c r="DO1528" s="494"/>
      <c r="DP1528" s="496" t="s">
        <v>4085</v>
      </c>
      <c r="DQ1528" s="496" t="s">
        <v>11</v>
      </c>
      <c r="DR1528" s="496" t="s">
        <v>689</v>
      </c>
      <c r="DS1528" s="496" t="s">
        <v>947</v>
      </c>
      <c r="DT1528" s="496" t="s">
        <v>947</v>
      </c>
      <c r="DU1528" s="496" t="s">
        <v>3959</v>
      </c>
      <c r="DV1528" s="496" t="s">
        <v>3960</v>
      </c>
      <c r="DW1528" s="496" t="s">
        <v>3961</v>
      </c>
      <c r="DX1528" s="497" t="s">
        <v>3962</v>
      </c>
      <c r="DZ1528" s="543">
        <v>1</v>
      </c>
      <c r="EB1528" s="493"/>
      <c r="EC1528" s="493"/>
    </row>
    <row r="1529" spans="119:133" ht="21" customHeight="1">
      <c r="DO1529" s="494"/>
      <c r="DP1529" s="496" t="s">
        <v>4086</v>
      </c>
      <c r="DQ1529" s="496" t="s">
        <v>11</v>
      </c>
      <c r="DR1529" s="496" t="s">
        <v>689</v>
      </c>
      <c r="DS1529" s="496" t="s">
        <v>4087</v>
      </c>
      <c r="DT1529" s="496" t="s">
        <v>4087</v>
      </c>
      <c r="DU1529" s="496" t="s">
        <v>3959</v>
      </c>
      <c r="DV1529" s="496" t="s">
        <v>3960</v>
      </c>
      <c r="DW1529" s="496" t="s">
        <v>3961</v>
      </c>
      <c r="DX1529" s="497" t="s">
        <v>3962</v>
      </c>
      <c r="DZ1529" s="543">
        <v>1</v>
      </c>
      <c r="EB1529" s="493"/>
      <c r="EC1529" s="493"/>
    </row>
    <row r="1530" spans="119:133" ht="21" customHeight="1">
      <c r="DO1530" s="494"/>
      <c r="DP1530" s="496" t="s">
        <v>4088</v>
      </c>
      <c r="DQ1530" s="496" t="s">
        <v>11</v>
      </c>
      <c r="DR1530" s="496" t="s">
        <v>689</v>
      </c>
      <c r="DS1530" s="496" t="s">
        <v>948</v>
      </c>
      <c r="DT1530" s="496" t="s">
        <v>948</v>
      </c>
      <c r="DU1530" s="496" t="s">
        <v>1085</v>
      </c>
      <c r="DV1530" s="496" t="s">
        <v>3974</v>
      </c>
      <c r="DW1530" s="496" t="s">
        <v>1087</v>
      </c>
      <c r="DX1530" s="497" t="s">
        <v>1088</v>
      </c>
      <c r="DZ1530" s="543">
        <v>1</v>
      </c>
      <c r="EB1530" s="493"/>
      <c r="EC1530" s="493"/>
    </row>
    <row r="1531" spans="119:133" ht="21" customHeight="1">
      <c r="DO1531" s="494"/>
      <c r="DP1531" s="496" t="s">
        <v>4089</v>
      </c>
      <c r="DQ1531" s="496" t="s">
        <v>11</v>
      </c>
      <c r="DR1531" s="496" t="s">
        <v>689</v>
      </c>
      <c r="DS1531" s="496" t="s">
        <v>326</v>
      </c>
      <c r="DT1531" s="496" t="s">
        <v>326</v>
      </c>
      <c r="DU1531" s="496" t="s">
        <v>1151</v>
      </c>
      <c r="DV1531" s="496" t="s">
        <v>1152</v>
      </c>
      <c r="DW1531" s="496" t="s">
        <v>1087</v>
      </c>
      <c r="DX1531" s="497" t="s">
        <v>1153</v>
      </c>
      <c r="DZ1531" s="543">
        <v>1</v>
      </c>
      <c r="EB1531" s="493"/>
      <c r="EC1531" s="493"/>
    </row>
    <row r="1532" spans="119:133" ht="21" customHeight="1">
      <c r="DO1532" s="494"/>
      <c r="DP1532" s="496" t="s">
        <v>4090</v>
      </c>
      <c r="DQ1532" s="496" t="s">
        <v>11</v>
      </c>
      <c r="DR1532" s="496" t="s">
        <v>689</v>
      </c>
      <c r="DS1532" s="496" t="s">
        <v>4091</v>
      </c>
      <c r="DT1532" s="496" t="s">
        <v>4091</v>
      </c>
      <c r="DU1532" s="496" t="s">
        <v>3959</v>
      </c>
      <c r="DV1532" s="496" t="s">
        <v>3960</v>
      </c>
      <c r="DW1532" s="496" t="s">
        <v>3961</v>
      </c>
      <c r="DX1532" s="497" t="s">
        <v>3962</v>
      </c>
      <c r="DZ1532" s="543">
        <v>1</v>
      </c>
      <c r="EB1532" s="493"/>
      <c r="EC1532" s="493"/>
    </row>
    <row r="1533" spans="119:133" ht="21" customHeight="1">
      <c r="DO1533" s="494"/>
      <c r="DP1533" s="496" t="s">
        <v>4092</v>
      </c>
      <c r="DQ1533" s="496" t="s">
        <v>11</v>
      </c>
      <c r="DR1533" s="496" t="s">
        <v>689</v>
      </c>
      <c r="DS1533" s="496" t="s">
        <v>4093</v>
      </c>
      <c r="DT1533" s="496" t="s">
        <v>949</v>
      </c>
      <c r="DU1533" s="496" t="s">
        <v>1085</v>
      </c>
      <c r="DV1533" s="496" t="s">
        <v>3974</v>
      </c>
      <c r="DW1533" s="496" t="s">
        <v>1087</v>
      </c>
      <c r="DX1533" s="497" t="s">
        <v>1088</v>
      </c>
      <c r="DZ1533" s="543">
        <v>1</v>
      </c>
      <c r="EB1533" s="493"/>
      <c r="EC1533" s="493"/>
    </row>
    <row r="1534" spans="119:133" ht="21" customHeight="1">
      <c r="DO1534" s="494"/>
      <c r="DP1534" s="496" t="s">
        <v>4094</v>
      </c>
      <c r="DQ1534" s="496" t="s">
        <v>11</v>
      </c>
      <c r="DR1534" s="496" t="s">
        <v>689</v>
      </c>
      <c r="DS1534" s="496" t="s">
        <v>4095</v>
      </c>
      <c r="DT1534" s="496" t="s">
        <v>4096</v>
      </c>
      <c r="DU1534" s="496" t="s">
        <v>3959</v>
      </c>
      <c r="DV1534" s="496" t="s">
        <v>3960</v>
      </c>
      <c r="DW1534" s="496" t="s">
        <v>3961</v>
      </c>
      <c r="DX1534" s="497" t="s">
        <v>3962</v>
      </c>
      <c r="DZ1534" s="543">
        <v>1</v>
      </c>
      <c r="EB1534" s="493"/>
      <c r="EC1534" s="493"/>
    </row>
    <row r="1535" spans="119:133" ht="21" customHeight="1">
      <c r="DO1535" s="494"/>
      <c r="DP1535" s="496" t="s">
        <v>4097</v>
      </c>
      <c r="DQ1535" s="496" t="s">
        <v>11</v>
      </c>
      <c r="DR1535" s="496" t="s">
        <v>689</v>
      </c>
      <c r="DS1535" s="496" t="s">
        <v>4098</v>
      </c>
      <c r="DT1535" s="496" t="s">
        <v>4098</v>
      </c>
      <c r="DU1535" s="496" t="s">
        <v>3959</v>
      </c>
      <c r="DV1535" s="496" t="s">
        <v>3960</v>
      </c>
      <c r="DW1535" s="496" t="s">
        <v>3961</v>
      </c>
      <c r="DX1535" s="497" t="s">
        <v>3962</v>
      </c>
      <c r="DZ1535" s="543">
        <v>1</v>
      </c>
      <c r="EB1535" s="493"/>
      <c r="EC1535" s="493"/>
    </row>
    <row r="1536" spans="119:133" ht="21" customHeight="1">
      <c r="DO1536" s="494"/>
      <c r="DP1536" s="496" t="s">
        <v>4099</v>
      </c>
      <c r="DQ1536" s="496" t="s">
        <v>11</v>
      </c>
      <c r="DR1536" s="496" t="s">
        <v>689</v>
      </c>
      <c r="DS1536" s="496" t="s">
        <v>4100</v>
      </c>
      <c r="DT1536" s="496" t="s">
        <v>4100</v>
      </c>
      <c r="DU1536" s="496" t="s">
        <v>1085</v>
      </c>
      <c r="DV1536" s="496" t="s">
        <v>3974</v>
      </c>
      <c r="DW1536" s="496" t="s">
        <v>1087</v>
      </c>
      <c r="DX1536" s="497" t="s">
        <v>1088</v>
      </c>
      <c r="DZ1536" s="543">
        <v>1</v>
      </c>
      <c r="EB1536" s="493"/>
      <c r="EC1536" s="493"/>
    </row>
    <row r="1537" spans="119:133" ht="21" customHeight="1">
      <c r="DO1537" s="494"/>
      <c r="DP1537" s="496" t="s">
        <v>4101</v>
      </c>
      <c r="DQ1537" s="496" t="s">
        <v>11</v>
      </c>
      <c r="DR1537" s="496" t="s">
        <v>689</v>
      </c>
      <c r="DS1537" s="496" t="s">
        <v>4102</v>
      </c>
      <c r="DT1537" s="496" t="s">
        <v>4102</v>
      </c>
      <c r="DU1537" s="496" t="s">
        <v>1085</v>
      </c>
      <c r="DV1537" s="496" t="s">
        <v>3974</v>
      </c>
      <c r="DW1537" s="496" t="s">
        <v>1087</v>
      </c>
      <c r="DX1537" s="497" t="s">
        <v>1088</v>
      </c>
      <c r="DZ1537" s="543">
        <v>1</v>
      </c>
      <c r="EB1537" s="493"/>
      <c r="EC1537" s="493"/>
    </row>
    <row r="1538" spans="119:133" ht="21" customHeight="1">
      <c r="DO1538" s="494"/>
      <c r="DP1538" s="496" t="s">
        <v>4103</v>
      </c>
      <c r="DQ1538" s="496" t="s">
        <v>11</v>
      </c>
      <c r="DR1538" s="496" t="s">
        <v>689</v>
      </c>
      <c r="DS1538" s="496" t="s">
        <v>4104</v>
      </c>
      <c r="DT1538" s="496" t="s">
        <v>4104</v>
      </c>
      <c r="DU1538" s="496" t="s">
        <v>3959</v>
      </c>
      <c r="DV1538" s="496" t="s">
        <v>3960</v>
      </c>
      <c r="DW1538" s="496" t="s">
        <v>3961</v>
      </c>
      <c r="DX1538" s="497" t="s">
        <v>3962</v>
      </c>
      <c r="DZ1538" s="543">
        <v>1</v>
      </c>
      <c r="EB1538" s="493"/>
      <c r="EC1538" s="493"/>
    </row>
    <row r="1539" spans="119:133" ht="21" customHeight="1">
      <c r="DO1539" s="494"/>
      <c r="DP1539" s="496" t="s">
        <v>4105</v>
      </c>
      <c r="DQ1539" s="496" t="s">
        <v>11</v>
      </c>
      <c r="DR1539" s="496" t="s">
        <v>689</v>
      </c>
      <c r="DS1539" s="496" t="s">
        <v>4106</v>
      </c>
      <c r="DT1539" s="496" t="s">
        <v>4106</v>
      </c>
      <c r="DU1539" s="496" t="s">
        <v>3959</v>
      </c>
      <c r="DV1539" s="496" t="s">
        <v>3960</v>
      </c>
      <c r="DW1539" s="496" t="s">
        <v>3961</v>
      </c>
      <c r="DX1539" s="497" t="s">
        <v>3962</v>
      </c>
      <c r="DZ1539" s="543">
        <v>1</v>
      </c>
      <c r="EB1539" s="493"/>
      <c r="EC1539" s="493"/>
    </row>
    <row r="1540" spans="119:133" ht="21" customHeight="1">
      <c r="DO1540" s="494"/>
      <c r="DP1540" s="496" t="s">
        <v>4107</v>
      </c>
      <c r="DQ1540" s="496" t="s">
        <v>11</v>
      </c>
      <c r="DR1540" s="496" t="s">
        <v>689</v>
      </c>
      <c r="DS1540" s="496" t="s">
        <v>4108</v>
      </c>
      <c r="DT1540" s="496" t="s">
        <v>950</v>
      </c>
      <c r="DU1540" s="496" t="s">
        <v>1085</v>
      </c>
      <c r="DV1540" s="496" t="s">
        <v>3974</v>
      </c>
      <c r="DW1540" s="496" t="s">
        <v>1087</v>
      </c>
      <c r="DX1540" s="497" t="s">
        <v>1088</v>
      </c>
      <c r="DZ1540" s="543">
        <v>1</v>
      </c>
      <c r="EB1540" s="493"/>
      <c r="EC1540" s="493"/>
    </row>
    <row r="1541" spans="119:133" ht="21" customHeight="1">
      <c r="DO1541" s="494"/>
      <c r="DP1541" s="496" t="s">
        <v>4109</v>
      </c>
      <c r="DQ1541" s="496" t="s">
        <v>11</v>
      </c>
      <c r="DR1541" s="496" t="s">
        <v>689</v>
      </c>
      <c r="DS1541" s="496" t="s">
        <v>4110</v>
      </c>
      <c r="DT1541" s="496" t="s">
        <v>4110</v>
      </c>
      <c r="DU1541" s="496" t="s">
        <v>1085</v>
      </c>
      <c r="DV1541" s="496" t="s">
        <v>3974</v>
      </c>
      <c r="DW1541" s="496" t="s">
        <v>1087</v>
      </c>
      <c r="DX1541" s="497" t="s">
        <v>1088</v>
      </c>
      <c r="DZ1541" s="543">
        <v>1</v>
      </c>
      <c r="EB1541" s="493"/>
      <c r="EC1541" s="493"/>
    </row>
    <row r="1542" spans="119:133" ht="21" customHeight="1">
      <c r="DO1542" s="494"/>
      <c r="DP1542" s="496" t="s">
        <v>4111</v>
      </c>
      <c r="DQ1542" s="496" t="s">
        <v>11</v>
      </c>
      <c r="DR1542" s="496" t="s">
        <v>689</v>
      </c>
      <c r="DS1542" s="496" t="s">
        <v>4112</v>
      </c>
      <c r="DT1542" s="496" t="s">
        <v>4112</v>
      </c>
      <c r="DU1542" s="496" t="s">
        <v>3959</v>
      </c>
      <c r="DV1542" s="496" t="s">
        <v>3960</v>
      </c>
      <c r="DW1542" s="496" t="s">
        <v>3961</v>
      </c>
      <c r="DX1542" s="497" t="s">
        <v>3962</v>
      </c>
      <c r="DZ1542" s="543">
        <v>1</v>
      </c>
      <c r="EB1542" s="493"/>
      <c r="EC1542" s="493"/>
    </row>
    <row r="1543" spans="119:133" ht="21" customHeight="1">
      <c r="DO1543" s="494"/>
      <c r="DP1543" s="496" t="s">
        <v>4113</v>
      </c>
      <c r="DQ1543" s="496" t="s">
        <v>11</v>
      </c>
      <c r="DR1543" s="496" t="s">
        <v>689</v>
      </c>
      <c r="DS1543" s="496" t="s">
        <v>951</v>
      </c>
      <c r="DT1543" s="496" t="s">
        <v>951</v>
      </c>
      <c r="DU1543" s="496" t="s">
        <v>1085</v>
      </c>
      <c r="DV1543" s="496" t="s">
        <v>3974</v>
      </c>
      <c r="DW1543" s="496" t="s">
        <v>1087</v>
      </c>
      <c r="DX1543" s="497" t="s">
        <v>1088</v>
      </c>
      <c r="DZ1543" s="543">
        <v>1</v>
      </c>
      <c r="EB1543" s="493"/>
      <c r="EC1543" s="493"/>
    </row>
    <row r="1544" spans="119:133" ht="21" customHeight="1">
      <c r="DO1544" s="494"/>
      <c r="DP1544" s="496" t="s">
        <v>4114</v>
      </c>
      <c r="DQ1544" s="496" t="s">
        <v>11</v>
      </c>
      <c r="DR1544" s="496" t="s">
        <v>689</v>
      </c>
      <c r="DS1544" s="496" t="s">
        <v>327</v>
      </c>
      <c r="DT1544" s="496" t="s">
        <v>327</v>
      </c>
      <c r="DU1544" s="496" t="s">
        <v>1151</v>
      </c>
      <c r="DV1544" s="496" t="s">
        <v>1152</v>
      </c>
      <c r="DW1544" s="496" t="s">
        <v>1087</v>
      </c>
      <c r="DX1544" s="497" t="s">
        <v>1153</v>
      </c>
      <c r="DZ1544" s="543">
        <v>1</v>
      </c>
      <c r="EB1544" s="493"/>
      <c r="EC1544" s="493"/>
    </row>
    <row r="1545" spans="119:133" ht="21" customHeight="1">
      <c r="DO1545" s="494"/>
      <c r="DP1545" s="496" t="s">
        <v>4115</v>
      </c>
      <c r="DQ1545" s="496" t="s">
        <v>11</v>
      </c>
      <c r="DR1545" s="496" t="s">
        <v>689</v>
      </c>
      <c r="DS1545" s="496" t="s">
        <v>4116</v>
      </c>
      <c r="DT1545" s="496" t="s">
        <v>4116</v>
      </c>
      <c r="DU1545" s="496" t="s">
        <v>1085</v>
      </c>
      <c r="DV1545" s="496" t="s">
        <v>3974</v>
      </c>
      <c r="DW1545" s="496" t="s">
        <v>1087</v>
      </c>
      <c r="DX1545" s="497" t="s">
        <v>1088</v>
      </c>
      <c r="DZ1545" s="543">
        <v>1</v>
      </c>
      <c r="EB1545" s="493"/>
      <c r="EC1545" s="493"/>
    </row>
    <row r="1546" spans="119:133" ht="21" customHeight="1">
      <c r="DO1546" s="494"/>
      <c r="DP1546" s="496" t="s">
        <v>4117</v>
      </c>
      <c r="DQ1546" s="496" t="s">
        <v>11</v>
      </c>
      <c r="DR1546" s="496" t="s">
        <v>689</v>
      </c>
      <c r="DS1546" s="496" t="s">
        <v>4118</v>
      </c>
      <c r="DT1546" s="496" t="s">
        <v>4118</v>
      </c>
      <c r="DU1546" s="496" t="s">
        <v>1151</v>
      </c>
      <c r="DV1546" s="496" t="s">
        <v>1152</v>
      </c>
      <c r="DW1546" s="496" t="s">
        <v>1087</v>
      </c>
      <c r="DX1546" s="497" t="s">
        <v>1153</v>
      </c>
      <c r="DZ1546" s="543">
        <v>1</v>
      </c>
      <c r="EB1546" s="493"/>
      <c r="EC1546" s="493"/>
    </row>
    <row r="1547" spans="119:133" ht="21" customHeight="1">
      <c r="DO1547" s="494"/>
      <c r="DP1547" s="496" t="s">
        <v>4119</v>
      </c>
      <c r="DQ1547" s="496" t="s">
        <v>11</v>
      </c>
      <c r="DR1547" s="496" t="s">
        <v>689</v>
      </c>
      <c r="DS1547" s="496" t="s">
        <v>227</v>
      </c>
      <c r="DT1547" s="496" t="s">
        <v>161</v>
      </c>
      <c r="DU1547" s="496" t="s">
        <v>1085</v>
      </c>
      <c r="DV1547" s="496" t="s">
        <v>3974</v>
      </c>
      <c r="DW1547" s="496" t="s">
        <v>1087</v>
      </c>
      <c r="DX1547" s="497" t="s">
        <v>1088</v>
      </c>
      <c r="DZ1547" s="543">
        <v>1</v>
      </c>
      <c r="EB1547" s="493"/>
      <c r="EC1547" s="493"/>
    </row>
    <row r="1548" spans="119:133" ht="21" customHeight="1">
      <c r="DO1548" s="494"/>
      <c r="DP1548" s="496" t="s">
        <v>4120</v>
      </c>
      <c r="DQ1548" s="496" t="s">
        <v>11</v>
      </c>
      <c r="DR1548" s="496" t="s">
        <v>689</v>
      </c>
      <c r="DS1548" s="496" t="s">
        <v>4121</v>
      </c>
      <c r="DT1548" s="496" t="s">
        <v>4122</v>
      </c>
      <c r="DU1548" s="496" t="s">
        <v>3959</v>
      </c>
      <c r="DV1548" s="496" t="s">
        <v>3960</v>
      </c>
      <c r="DW1548" s="496" t="s">
        <v>3961</v>
      </c>
      <c r="DX1548" s="497" t="s">
        <v>3962</v>
      </c>
      <c r="DZ1548" s="543">
        <v>1</v>
      </c>
      <c r="EB1548" s="493"/>
      <c r="EC1548" s="493"/>
    </row>
    <row r="1549" spans="119:133" ht="21" customHeight="1">
      <c r="DO1549" s="494"/>
      <c r="DP1549" s="496" t="s">
        <v>4123</v>
      </c>
      <c r="DQ1549" s="496" t="s">
        <v>11</v>
      </c>
      <c r="DR1549" s="496" t="s">
        <v>689</v>
      </c>
      <c r="DS1549" s="496" t="s">
        <v>4124</v>
      </c>
      <c r="DT1549" s="496" t="s">
        <v>4125</v>
      </c>
      <c r="DU1549" s="496" t="s">
        <v>3959</v>
      </c>
      <c r="DV1549" s="496" t="s">
        <v>3960</v>
      </c>
      <c r="DW1549" s="496" t="s">
        <v>3961</v>
      </c>
      <c r="DX1549" s="497" t="s">
        <v>3962</v>
      </c>
      <c r="DZ1549" s="543">
        <v>1</v>
      </c>
      <c r="EB1549" s="493"/>
      <c r="EC1549" s="493"/>
    </row>
    <row r="1550" spans="119:133" ht="21" customHeight="1">
      <c r="DO1550" s="494"/>
      <c r="DP1550" s="496" t="s">
        <v>4126</v>
      </c>
      <c r="DQ1550" s="496" t="s">
        <v>11</v>
      </c>
      <c r="DR1550" s="496" t="s">
        <v>689</v>
      </c>
      <c r="DS1550" s="496" t="s">
        <v>4127</v>
      </c>
      <c r="DT1550" s="496" t="s">
        <v>4128</v>
      </c>
      <c r="DU1550" s="496" t="s">
        <v>1151</v>
      </c>
      <c r="DV1550" s="496" t="s">
        <v>1152</v>
      </c>
      <c r="DW1550" s="496" t="s">
        <v>1087</v>
      </c>
      <c r="DX1550" s="497" t="s">
        <v>1153</v>
      </c>
      <c r="DZ1550" s="543">
        <v>1</v>
      </c>
      <c r="EB1550" s="493"/>
      <c r="EC1550" s="493"/>
    </row>
    <row r="1551" spans="119:133" ht="21" customHeight="1">
      <c r="DO1551" s="494"/>
      <c r="DP1551" s="496" t="s">
        <v>4129</v>
      </c>
      <c r="DQ1551" s="496" t="s">
        <v>11</v>
      </c>
      <c r="DR1551" s="496" t="s">
        <v>689</v>
      </c>
      <c r="DS1551" s="496" t="s">
        <v>4130</v>
      </c>
      <c r="DT1551" s="496" t="s">
        <v>4131</v>
      </c>
      <c r="DU1551" s="496" t="s">
        <v>3959</v>
      </c>
      <c r="DV1551" s="496" t="s">
        <v>3960</v>
      </c>
      <c r="DW1551" s="496" t="s">
        <v>3961</v>
      </c>
      <c r="DX1551" s="497" t="s">
        <v>3962</v>
      </c>
      <c r="DZ1551" s="543">
        <v>1</v>
      </c>
      <c r="EB1551" s="493"/>
      <c r="EC1551" s="493"/>
    </row>
    <row r="1552" spans="119:133" ht="21" customHeight="1">
      <c r="DO1552" s="494"/>
      <c r="DP1552" s="496" t="s">
        <v>4132</v>
      </c>
      <c r="DQ1552" s="496" t="s">
        <v>11</v>
      </c>
      <c r="DR1552" s="496" t="s">
        <v>689</v>
      </c>
      <c r="DS1552" s="496" t="s">
        <v>4133</v>
      </c>
      <c r="DT1552" s="496" t="s">
        <v>698</v>
      </c>
      <c r="DU1552" s="496" t="s">
        <v>1085</v>
      </c>
      <c r="DV1552" s="496" t="s">
        <v>3974</v>
      </c>
      <c r="DW1552" s="496" t="s">
        <v>1087</v>
      </c>
      <c r="DX1552" s="497" t="s">
        <v>1088</v>
      </c>
      <c r="DZ1552" s="543">
        <v>1</v>
      </c>
      <c r="EB1552" s="493"/>
      <c r="EC1552" s="493"/>
    </row>
    <row r="1553" spans="119:133" ht="21" customHeight="1">
      <c r="DO1553" s="494"/>
      <c r="DP1553" s="496" t="s">
        <v>4134</v>
      </c>
      <c r="DQ1553" s="496" t="s">
        <v>11</v>
      </c>
      <c r="DR1553" s="496" t="s">
        <v>689</v>
      </c>
      <c r="DS1553" s="496" t="s">
        <v>4135</v>
      </c>
      <c r="DT1553" s="496" t="s">
        <v>4136</v>
      </c>
      <c r="DU1553" s="496" t="s">
        <v>3959</v>
      </c>
      <c r="DV1553" s="496" t="s">
        <v>3960</v>
      </c>
      <c r="DW1553" s="496" t="s">
        <v>3961</v>
      </c>
      <c r="DX1553" s="497" t="s">
        <v>3962</v>
      </c>
      <c r="DZ1553" s="543">
        <v>1</v>
      </c>
      <c r="EB1553" s="493"/>
      <c r="EC1553" s="493"/>
    </row>
    <row r="1554" spans="119:133" ht="21" customHeight="1">
      <c r="DO1554" s="494"/>
      <c r="DP1554" s="496" t="s">
        <v>4137</v>
      </c>
      <c r="DQ1554" s="496" t="s">
        <v>11</v>
      </c>
      <c r="DR1554" s="496" t="s">
        <v>689</v>
      </c>
      <c r="DS1554" s="496" t="s">
        <v>4138</v>
      </c>
      <c r="DT1554" s="496" t="s">
        <v>4139</v>
      </c>
      <c r="DU1554" s="496" t="s">
        <v>3959</v>
      </c>
      <c r="DV1554" s="496" t="s">
        <v>3960</v>
      </c>
      <c r="DW1554" s="496" t="s">
        <v>3961</v>
      </c>
      <c r="DX1554" s="497" t="s">
        <v>3962</v>
      </c>
      <c r="DZ1554" s="543">
        <v>1</v>
      </c>
      <c r="EB1554" s="493"/>
      <c r="EC1554" s="493"/>
    </row>
    <row r="1555" spans="119:133" ht="21" customHeight="1">
      <c r="DO1555" s="494"/>
      <c r="DP1555" s="496" t="s">
        <v>4140</v>
      </c>
      <c r="DQ1555" s="496" t="s">
        <v>11</v>
      </c>
      <c r="DR1555" s="496" t="s">
        <v>689</v>
      </c>
      <c r="DS1555" s="496" t="s">
        <v>4141</v>
      </c>
      <c r="DT1555" s="496" t="s">
        <v>180</v>
      </c>
      <c r="DU1555" s="496" t="s">
        <v>1085</v>
      </c>
      <c r="DV1555" s="496" t="s">
        <v>3974</v>
      </c>
      <c r="DW1555" s="496" t="s">
        <v>1087</v>
      </c>
      <c r="DX1555" s="497" t="s">
        <v>1088</v>
      </c>
      <c r="DZ1555" s="543">
        <v>1</v>
      </c>
      <c r="EB1555" s="493"/>
      <c r="EC1555" s="493"/>
    </row>
    <row r="1556" spans="119:133" ht="21" customHeight="1">
      <c r="DO1556" s="494"/>
      <c r="DP1556" s="496" t="s">
        <v>4142</v>
      </c>
      <c r="DQ1556" s="496" t="s">
        <v>11</v>
      </c>
      <c r="DR1556" s="496" t="s">
        <v>689</v>
      </c>
      <c r="DS1556" s="496" t="s">
        <v>1926</v>
      </c>
      <c r="DT1556" s="496" t="s">
        <v>956</v>
      </c>
      <c r="DU1556" s="496" t="s">
        <v>1085</v>
      </c>
      <c r="DV1556" s="496" t="s">
        <v>3974</v>
      </c>
      <c r="DW1556" s="496" t="s">
        <v>1087</v>
      </c>
      <c r="DX1556" s="497" t="s">
        <v>1088</v>
      </c>
      <c r="DZ1556" s="543">
        <v>1</v>
      </c>
      <c r="EB1556" s="493"/>
      <c r="EC1556" s="493"/>
    </row>
    <row r="1557" spans="119:133" ht="21" customHeight="1">
      <c r="DO1557" s="494"/>
      <c r="DP1557" s="496" t="s">
        <v>4143</v>
      </c>
      <c r="DQ1557" s="496" t="s">
        <v>11</v>
      </c>
      <c r="DR1557" s="496" t="s">
        <v>689</v>
      </c>
      <c r="DS1557" s="496" t="s">
        <v>329</v>
      </c>
      <c r="DT1557" s="496" t="s">
        <v>328</v>
      </c>
      <c r="DU1557" s="496" t="s">
        <v>1085</v>
      </c>
      <c r="DV1557" s="496" t="s">
        <v>3974</v>
      </c>
      <c r="DW1557" s="496" t="s">
        <v>1087</v>
      </c>
      <c r="DX1557" s="497" t="s">
        <v>1088</v>
      </c>
      <c r="DZ1557" s="543">
        <v>1</v>
      </c>
      <c r="EB1557" s="493"/>
      <c r="EC1557" s="493"/>
    </row>
    <row r="1558" spans="119:133" ht="21" customHeight="1">
      <c r="DO1558" s="494"/>
      <c r="DP1558" s="496" t="s">
        <v>4144</v>
      </c>
      <c r="DQ1558" s="496" t="s">
        <v>11</v>
      </c>
      <c r="DR1558" s="496" t="s">
        <v>689</v>
      </c>
      <c r="DS1558" s="496" t="s">
        <v>4145</v>
      </c>
      <c r="DT1558" s="496" t="s">
        <v>4145</v>
      </c>
      <c r="DU1558" s="496" t="s">
        <v>3959</v>
      </c>
      <c r="DV1558" s="496" t="s">
        <v>3960</v>
      </c>
      <c r="DW1558" s="496" t="s">
        <v>3961</v>
      </c>
      <c r="DX1558" s="497" t="s">
        <v>3962</v>
      </c>
      <c r="DZ1558" s="543">
        <v>1</v>
      </c>
      <c r="EB1558" s="493"/>
      <c r="EC1558" s="493"/>
    </row>
    <row r="1559" spans="119:133" ht="21" customHeight="1">
      <c r="DO1559" s="494"/>
      <c r="DP1559" s="496" t="s">
        <v>4146</v>
      </c>
      <c r="DQ1559" s="496" t="s">
        <v>11</v>
      </c>
      <c r="DR1559" s="496" t="s">
        <v>689</v>
      </c>
      <c r="DS1559" s="496" t="s">
        <v>4147</v>
      </c>
      <c r="DT1559" s="496" t="s">
        <v>4147</v>
      </c>
      <c r="DU1559" s="496" t="s">
        <v>3959</v>
      </c>
      <c r="DV1559" s="496" t="s">
        <v>3960</v>
      </c>
      <c r="DW1559" s="496" t="s">
        <v>3961</v>
      </c>
      <c r="DX1559" s="497" t="s">
        <v>3962</v>
      </c>
      <c r="DZ1559" s="543">
        <v>1</v>
      </c>
      <c r="EB1559" s="493"/>
      <c r="EC1559" s="493"/>
    </row>
    <row r="1560" spans="119:133" ht="21" customHeight="1">
      <c r="DO1560" s="494"/>
      <c r="DP1560" s="496" t="s">
        <v>4148</v>
      </c>
      <c r="DQ1560" s="496" t="s">
        <v>11</v>
      </c>
      <c r="DR1560" s="496" t="s">
        <v>689</v>
      </c>
      <c r="DS1560" s="496" t="s">
        <v>4149</v>
      </c>
      <c r="DT1560" s="496" t="s">
        <v>4149</v>
      </c>
      <c r="DU1560" s="496" t="s">
        <v>3959</v>
      </c>
      <c r="DV1560" s="496" t="s">
        <v>3960</v>
      </c>
      <c r="DW1560" s="496" t="s">
        <v>3961</v>
      </c>
      <c r="DX1560" s="497" t="s">
        <v>3962</v>
      </c>
      <c r="DZ1560" s="543">
        <v>1</v>
      </c>
      <c r="EB1560" s="493"/>
      <c r="EC1560" s="493"/>
    </row>
    <row r="1561" spans="119:133" ht="21" customHeight="1">
      <c r="DO1561" s="494"/>
      <c r="DP1561" s="496" t="s">
        <v>4150</v>
      </c>
      <c r="DQ1561" s="496" t="s">
        <v>11</v>
      </c>
      <c r="DR1561" s="496" t="s">
        <v>689</v>
      </c>
      <c r="DS1561" s="496" t="s">
        <v>4151</v>
      </c>
      <c r="DT1561" s="496" t="s">
        <v>4151</v>
      </c>
      <c r="DU1561" s="496" t="s">
        <v>3959</v>
      </c>
      <c r="DV1561" s="496" t="s">
        <v>3960</v>
      </c>
      <c r="DW1561" s="496" t="s">
        <v>3961</v>
      </c>
      <c r="DX1561" s="497" t="s">
        <v>3962</v>
      </c>
      <c r="DZ1561" s="543">
        <v>1</v>
      </c>
      <c r="EB1561" s="493"/>
      <c r="EC1561" s="493"/>
    </row>
    <row r="1562" spans="119:133" ht="21" customHeight="1">
      <c r="DO1562" s="494"/>
      <c r="DP1562" s="496" t="s">
        <v>4152</v>
      </c>
      <c r="DQ1562" s="496" t="s">
        <v>11</v>
      </c>
      <c r="DR1562" s="496" t="s">
        <v>689</v>
      </c>
      <c r="DS1562" s="496" t="s">
        <v>4153</v>
      </c>
      <c r="DT1562" s="496" t="s">
        <v>4153</v>
      </c>
      <c r="DU1562" s="496" t="s">
        <v>3959</v>
      </c>
      <c r="DV1562" s="496" t="s">
        <v>3960</v>
      </c>
      <c r="DW1562" s="496" t="s">
        <v>3961</v>
      </c>
      <c r="DX1562" s="497" t="s">
        <v>3962</v>
      </c>
      <c r="DZ1562" s="543">
        <v>1</v>
      </c>
      <c r="EB1562" s="493"/>
      <c r="EC1562" s="493"/>
    </row>
    <row r="1563" spans="119:133" ht="21" customHeight="1">
      <c r="DO1563" s="494"/>
      <c r="DP1563" s="496" t="s">
        <v>4154</v>
      </c>
      <c r="DQ1563" s="496" t="s">
        <v>11</v>
      </c>
      <c r="DR1563" s="496" t="s">
        <v>689</v>
      </c>
      <c r="DS1563" s="496" t="s">
        <v>4155</v>
      </c>
      <c r="DT1563" s="496" t="s">
        <v>4155</v>
      </c>
      <c r="DU1563" s="496" t="s">
        <v>1085</v>
      </c>
      <c r="DV1563" s="496" t="s">
        <v>3974</v>
      </c>
      <c r="DW1563" s="496" t="s">
        <v>1087</v>
      </c>
      <c r="DX1563" s="497" t="s">
        <v>1088</v>
      </c>
      <c r="DZ1563" s="543">
        <v>1</v>
      </c>
      <c r="EB1563" s="493"/>
      <c r="EC1563" s="493"/>
    </row>
    <row r="1564" spans="119:133" ht="21" customHeight="1">
      <c r="DO1564" s="494"/>
      <c r="DP1564" s="496" t="s">
        <v>4156</v>
      </c>
      <c r="DQ1564" s="496" t="s">
        <v>11</v>
      </c>
      <c r="DR1564" s="496" t="s">
        <v>689</v>
      </c>
      <c r="DS1564" s="496" t="s">
        <v>958</v>
      </c>
      <c r="DT1564" s="496" t="s">
        <v>958</v>
      </c>
      <c r="DU1564" s="496" t="s">
        <v>1085</v>
      </c>
      <c r="DV1564" s="496" t="s">
        <v>3974</v>
      </c>
      <c r="DW1564" s="496" t="s">
        <v>1087</v>
      </c>
      <c r="DX1564" s="497" t="s">
        <v>1088</v>
      </c>
      <c r="DZ1564" s="543">
        <v>1</v>
      </c>
      <c r="EB1564" s="493"/>
      <c r="EC1564" s="493"/>
    </row>
    <row r="1565" spans="119:133" ht="21" customHeight="1">
      <c r="DO1565" s="494"/>
      <c r="DP1565" s="496" t="s">
        <v>4157</v>
      </c>
      <c r="DQ1565" s="496" t="s">
        <v>11</v>
      </c>
      <c r="DR1565" s="496" t="s">
        <v>689</v>
      </c>
      <c r="DS1565" s="496" t="s">
        <v>959</v>
      </c>
      <c r="DT1565" s="496" t="s">
        <v>959</v>
      </c>
      <c r="DU1565" s="496" t="s">
        <v>1085</v>
      </c>
      <c r="DV1565" s="496" t="s">
        <v>3974</v>
      </c>
      <c r="DW1565" s="496" t="s">
        <v>1087</v>
      </c>
      <c r="DX1565" s="497" t="s">
        <v>1088</v>
      </c>
      <c r="DZ1565" s="543">
        <v>1</v>
      </c>
      <c r="EB1565" s="493"/>
      <c r="EC1565" s="493"/>
    </row>
    <row r="1566" spans="119:133" ht="21" customHeight="1">
      <c r="DO1566" s="494"/>
      <c r="DP1566" s="496" t="s">
        <v>4158</v>
      </c>
      <c r="DQ1566" s="496" t="s">
        <v>11</v>
      </c>
      <c r="DR1566" s="496" t="s">
        <v>689</v>
      </c>
      <c r="DS1566" s="496" t="s">
        <v>4159</v>
      </c>
      <c r="DT1566" s="496" t="s">
        <v>4160</v>
      </c>
      <c r="DU1566" s="496" t="s">
        <v>3959</v>
      </c>
      <c r="DV1566" s="496" t="s">
        <v>3960</v>
      </c>
      <c r="DW1566" s="496" t="s">
        <v>3961</v>
      </c>
      <c r="DX1566" s="497" t="s">
        <v>3962</v>
      </c>
      <c r="DZ1566" s="543">
        <v>1</v>
      </c>
      <c r="EB1566" s="493"/>
      <c r="EC1566" s="493"/>
    </row>
    <row r="1567" spans="119:133" ht="21" customHeight="1">
      <c r="DO1567" s="494"/>
      <c r="DP1567" s="496" t="s">
        <v>4161</v>
      </c>
      <c r="DQ1567" s="496" t="s">
        <v>11</v>
      </c>
      <c r="DR1567" s="496" t="s">
        <v>689</v>
      </c>
      <c r="DS1567" s="496" t="s">
        <v>4162</v>
      </c>
      <c r="DT1567" s="496" t="s">
        <v>4162</v>
      </c>
      <c r="DU1567" s="496" t="s">
        <v>3959</v>
      </c>
      <c r="DV1567" s="496" t="s">
        <v>3960</v>
      </c>
      <c r="DW1567" s="496" t="s">
        <v>3961</v>
      </c>
      <c r="DX1567" s="497" t="s">
        <v>3962</v>
      </c>
      <c r="DZ1567" s="543">
        <v>1</v>
      </c>
      <c r="EB1567" s="493"/>
      <c r="EC1567" s="493"/>
    </row>
    <row r="1568" spans="119:133" ht="21" customHeight="1">
      <c r="DO1568" s="494"/>
      <c r="DP1568" s="496" t="s">
        <v>4163</v>
      </c>
      <c r="DQ1568" s="496" t="s">
        <v>11</v>
      </c>
      <c r="DR1568" s="496" t="s">
        <v>689</v>
      </c>
      <c r="DS1568" s="496" t="s">
        <v>4164</v>
      </c>
      <c r="DT1568" s="496" t="s">
        <v>4165</v>
      </c>
      <c r="DU1568" s="496" t="s">
        <v>3959</v>
      </c>
      <c r="DV1568" s="496" t="s">
        <v>3960</v>
      </c>
      <c r="DW1568" s="496" t="s">
        <v>3961</v>
      </c>
      <c r="DX1568" s="497" t="s">
        <v>3962</v>
      </c>
      <c r="DZ1568" s="543">
        <v>1</v>
      </c>
      <c r="EB1568" s="493"/>
      <c r="EC1568" s="493"/>
    </row>
    <row r="1569" spans="119:133" ht="21" customHeight="1">
      <c r="DO1569" s="494"/>
      <c r="DP1569" s="496" t="s">
        <v>4166</v>
      </c>
      <c r="DQ1569" s="496" t="s">
        <v>11</v>
      </c>
      <c r="DR1569" s="496" t="s">
        <v>689</v>
      </c>
      <c r="DS1569" s="496" t="s">
        <v>4167</v>
      </c>
      <c r="DT1569" s="496" t="s">
        <v>4168</v>
      </c>
      <c r="DU1569" s="496" t="s">
        <v>3959</v>
      </c>
      <c r="DV1569" s="496" t="s">
        <v>3960</v>
      </c>
      <c r="DW1569" s="496" t="s">
        <v>3961</v>
      </c>
      <c r="DX1569" s="497" t="s">
        <v>3962</v>
      </c>
      <c r="DZ1569" s="543">
        <v>1</v>
      </c>
      <c r="EB1569" s="493"/>
      <c r="EC1569" s="493"/>
    </row>
    <row r="1570" spans="119:133" ht="21" customHeight="1">
      <c r="DO1570" s="494"/>
      <c r="DP1570" s="496" t="s">
        <v>4169</v>
      </c>
      <c r="DQ1570" s="496" t="s">
        <v>11</v>
      </c>
      <c r="DR1570" s="496" t="s">
        <v>689</v>
      </c>
      <c r="DS1570" s="496" t="s">
        <v>4170</v>
      </c>
      <c r="DT1570" s="496" t="s">
        <v>4170</v>
      </c>
      <c r="DU1570" s="496" t="s">
        <v>3959</v>
      </c>
      <c r="DV1570" s="496" t="s">
        <v>3960</v>
      </c>
      <c r="DW1570" s="496" t="s">
        <v>3961</v>
      </c>
      <c r="DX1570" s="497" t="s">
        <v>3962</v>
      </c>
      <c r="DZ1570" s="543">
        <v>1</v>
      </c>
      <c r="EB1570" s="493"/>
      <c r="EC1570" s="493"/>
    </row>
    <row r="1571" spans="119:133" ht="21" customHeight="1">
      <c r="DO1571" s="494"/>
      <c r="DP1571" s="496" t="s">
        <v>4171</v>
      </c>
      <c r="DQ1571" s="496" t="s">
        <v>11</v>
      </c>
      <c r="DR1571" s="496" t="s">
        <v>689</v>
      </c>
      <c r="DS1571" s="496" t="s">
        <v>961</v>
      </c>
      <c r="DT1571" s="496" t="s">
        <v>961</v>
      </c>
      <c r="DU1571" s="496" t="s">
        <v>1085</v>
      </c>
      <c r="DV1571" s="496" t="s">
        <v>3974</v>
      </c>
      <c r="DW1571" s="496" t="s">
        <v>1087</v>
      </c>
      <c r="DX1571" s="497" t="s">
        <v>1088</v>
      </c>
      <c r="DZ1571" s="543">
        <v>1</v>
      </c>
      <c r="EB1571" s="493"/>
      <c r="EC1571" s="493"/>
    </row>
    <row r="1572" spans="119:133" ht="21" customHeight="1">
      <c r="DO1572" s="494"/>
      <c r="DP1572" s="496" t="s">
        <v>4172</v>
      </c>
      <c r="DQ1572" s="496" t="s">
        <v>11</v>
      </c>
      <c r="DR1572" s="496" t="s">
        <v>689</v>
      </c>
      <c r="DS1572" s="496" t="s">
        <v>962</v>
      </c>
      <c r="DT1572" s="496" t="s">
        <v>962</v>
      </c>
      <c r="DU1572" s="496" t="s">
        <v>1085</v>
      </c>
      <c r="DV1572" s="496" t="s">
        <v>3974</v>
      </c>
      <c r="DW1572" s="496" t="s">
        <v>1087</v>
      </c>
      <c r="DX1572" s="497" t="s">
        <v>1088</v>
      </c>
      <c r="DZ1572" s="543">
        <v>1</v>
      </c>
      <c r="EB1572" s="493"/>
      <c r="EC1572" s="493"/>
    </row>
    <row r="1573" spans="119:133" ht="21" customHeight="1">
      <c r="DO1573" s="494"/>
      <c r="DP1573" s="496" t="s">
        <v>4173</v>
      </c>
      <c r="DQ1573" s="496" t="s">
        <v>11</v>
      </c>
      <c r="DR1573" s="496" t="s">
        <v>689</v>
      </c>
      <c r="DS1573" s="496" t="s">
        <v>4174</v>
      </c>
      <c r="DT1573" s="496" t="s">
        <v>4174</v>
      </c>
      <c r="DU1573" s="496" t="s">
        <v>3959</v>
      </c>
      <c r="DV1573" s="496" t="s">
        <v>3960</v>
      </c>
      <c r="DW1573" s="496" t="s">
        <v>3961</v>
      </c>
      <c r="DX1573" s="497" t="s">
        <v>3962</v>
      </c>
      <c r="DZ1573" s="543">
        <v>1</v>
      </c>
      <c r="EB1573" s="493"/>
      <c r="EC1573" s="493"/>
    </row>
    <row r="1574" spans="119:133" ht="21" customHeight="1">
      <c r="DO1574" s="494"/>
      <c r="DP1574" s="496" t="s">
        <v>4175</v>
      </c>
      <c r="DQ1574" s="496" t="s">
        <v>11</v>
      </c>
      <c r="DR1574" s="496" t="s">
        <v>689</v>
      </c>
      <c r="DS1574" s="496" t="s">
        <v>4176</v>
      </c>
      <c r="DT1574" s="496" t="s">
        <v>4176</v>
      </c>
      <c r="DU1574" s="496" t="s">
        <v>1085</v>
      </c>
      <c r="DV1574" s="496" t="s">
        <v>3974</v>
      </c>
      <c r="DW1574" s="496" t="s">
        <v>1087</v>
      </c>
      <c r="DX1574" s="497" t="s">
        <v>1088</v>
      </c>
      <c r="DZ1574" s="543">
        <v>1</v>
      </c>
      <c r="EB1574" s="493"/>
      <c r="EC1574" s="493"/>
    </row>
    <row r="1575" spans="119:133" ht="21" customHeight="1">
      <c r="DO1575" s="494"/>
      <c r="DP1575" s="496" t="s">
        <v>4177</v>
      </c>
      <c r="DQ1575" s="496" t="s">
        <v>11</v>
      </c>
      <c r="DR1575" s="496" t="s">
        <v>689</v>
      </c>
      <c r="DS1575" s="496" t="s">
        <v>4178</v>
      </c>
      <c r="DT1575" s="496" t="s">
        <v>4178</v>
      </c>
      <c r="DU1575" s="496" t="s">
        <v>1085</v>
      </c>
      <c r="DV1575" s="496" t="s">
        <v>3974</v>
      </c>
      <c r="DW1575" s="496" t="s">
        <v>1087</v>
      </c>
      <c r="DX1575" s="497" t="s">
        <v>1088</v>
      </c>
      <c r="DZ1575" s="543">
        <v>1</v>
      </c>
      <c r="EB1575" s="493"/>
      <c r="EC1575" s="493"/>
    </row>
    <row r="1576" spans="119:133" ht="21" customHeight="1">
      <c r="DO1576" s="494"/>
      <c r="DP1576" s="496" t="s">
        <v>4179</v>
      </c>
      <c r="DQ1576" s="496" t="s">
        <v>11</v>
      </c>
      <c r="DR1576" s="496" t="s">
        <v>689</v>
      </c>
      <c r="DS1576" s="496" t="s">
        <v>4180</v>
      </c>
      <c r="DT1576" s="496" t="s">
        <v>964</v>
      </c>
      <c r="DU1576" s="496" t="s">
        <v>3959</v>
      </c>
      <c r="DV1576" s="496" t="s">
        <v>3960</v>
      </c>
      <c r="DW1576" s="496" t="s">
        <v>3961</v>
      </c>
      <c r="DX1576" s="497" t="s">
        <v>3962</v>
      </c>
      <c r="DZ1576" s="543">
        <v>1</v>
      </c>
      <c r="EB1576" s="493"/>
      <c r="EC1576" s="493"/>
    </row>
    <row r="1577" spans="119:133" ht="21" customHeight="1">
      <c r="DO1577" s="494"/>
      <c r="DP1577" s="496" t="s">
        <v>4181</v>
      </c>
      <c r="DQ1577" s="496" t="s">
        <v>11</v>
      </c>
      <c r="DR1577" s="496" t="s">
        <v>689</v>
      </c>
      <c r="DS1577" s="496" t="s">
        <v>4182</v>
      </c>
      <c r="DT1577" s="496" t="s">
        <v>4182</v>
      </c>
      <c r="DU1577" s="496" t="s">
        <v>3959</v>
      </c>
      <c r="DV1577" s="496" t="s">
        <v>3960</v>
      </c>
      <c r="DW1577" s="496" t="s">
        <v>3961</v>
      </c>
      <c r="DX1577" s="497" t="s">
        <v>3962</v>
      </c>
      <c r="DZ1577" s="543">
        <v>1</v>
      </c>
      <c r="EB1577" s="493"/>
      <c r="EC1577" s="493"/>
    </row>
    <row r="1578" spans="119:133" ht="21" customHeight="1">
      <c r="DO1578" s="494"/>
      <c r="DP1578" s="496" t="s">
        <v>4183</v>
      </c>
      <c r="DQ1578" s="496" t="s">
        <v>11</v>
      </c>
      <c r="DR1578" s="496" t="s">
        <v>689</v>
      </c>
      <c r="DS1578" s="496" t="s">
        <v>176</v>
      </c>
      <c r="DT1578" s="496" t="s">
        <v>176</v>
      </c>
      <c r="DU1578" s="496" t="s">
        <v>1085</v>
      </c>
      <c r="DV1578" s="496" t="s">
        <v>3974</v>
      </c>
      <c r="DW1578" s="496" t="s">
        <v>1087</v>
      </c>
      <c r="DX1578" s="497" t="s">
        <v>1088</v>
      </c>
      <c r="DZ1578" s="543">
        <v>1</v>
      </c>
      <c r="EB1578" s="493"/>
      <c r="EC1578" s="493"/>
    </row>
    <row r="1579" spans="119:133" ht="21" customHeight="1">
      <c r="DO1579" s="494"/>
      <c r="DP1579" s="496" t="s">
        <v>4184</v>
      </c>
      <c r="DQ1579" s="496" t="s">
        <v>11</v>
      </c>
      <c r="DR1579" s="496" t="s">
        <v>689</v>
      </c>
      <c r="DS1579" s="496" t="s">
        <v>4185</v>
      </c>
      <c r="DT1579" s="496" t="s">
        <v>4186</v>
      </c>
      <c r="DU1579" s="496" t="s">
        <v>3959</v>
      </c>
      <c r="DV1579" s="496" t="s">
        <v>3960</v>
      </c>
      <c r="DW1579" s="496" t="s">
        <v>3961</v>
      </c>
      <c r="DX1579" s="497" t="s">
        <v>3962</v>
      </c>
      <c r="DZ1579" s="543">
        <v>1</v>
      </c>
      <c r="EB1579" s="493"/>
      <c r="EC1579" s="493"/>
    </row>
    <row r="1580" spans="119:133" ht="21" customHeight="1">
      <c r="DO1580" s="494"/>
      <c r="DP1580" s="496" t="s">
        <v>4187</v>
      </c>
      <c r="DQ1580" s="496" t="s">
        <v>11</v>
      </c>
      <c r="DR1580" s="496" t="s">
        <v>689</v>
      </c>
      <c r="DS1580" s="496" t="s">
        <v>4188</v>
      </c>
      <c r="DT1580" s="496" t="s">
        <v>4188</v>
      </c>
      <c r="DU1580" s="496" t="s">
        <v>3959</v>
      </c>
      <c r="DV1580" s="496" t="s">
        <v>3960</v>
      </c>
      <c r="DW1580" s="496" t="s">
        <v>3961</v>
      </c>
      <c r="DX1580" s="497" t="s">
        <v>3962</v>
      </c>
      <c r="DZ1580" s="543">
        <v>1</v>
      </c>
      <c r="EB1580" s="493"/>
      <c r="EC1580" s="493"/>
    </row>
    <row r="1581" spans="119:133" ht="21" customHeight="1">
      <c r="DO1581" s="494"/>
      <c r="DP1581" s="496" t="s">
        <v>4189</v>
      </c>
      <c r="DQ1581" s="496" t="s">
        <v>11</v>
      </c>
      <c r="DR1581" s="496" t="s">
        <v>689</v>
      </c>
      <c r="DS1581" s="496" t="s">
        <v>965</v>
      </c>
      <c r="DT1581" s="496" t="s">
        <v>965</v>
      </c>
      <c r="DU1581" s="496" t="s">
        <v>1085</v>
      </c>
      <c r="DV1581" s="496" t="s">
        <v>3974</v>
      </c>
      <c r="DW1581" s="496" t="s">
        <v>1087</v>
      </c>
      <c r="DX1581" s="497" t="s">
        <v>1088</v>
      </c>
      <c r="DZ1581" s="543">
        <v>1</v>
      </c>
      <c r="EB1581" s="493"/>
      <c r="EC1581" s="493"/>
    </row>
    <row r="1582" spans="119:133" ht="21" customHeight="1">
      <c r="DO1582" s="494"/>
      <c r="DP1582" s="496" t="s">
        <v>4190</v>
      </c>
      <c r="DQ1582" s="496" t="s">
        <v>11</v>
      </c>
      <c r="DR1582" s="496" t="s">
        <v>689</v>
      </c>
      <c r="DS1582" s="496" t="s">
        <v>4191</v>
      </c>
      <c r="DT1582" s="496" t="s">
        <v>4191</v>
      </c>
      <c r="DU1582" s="496" t="s">
        <v>3959</v>
      </c>
      <c r="DV1582" s="496" t="s">
        <v>3960</v>
      </c>
      <c r="DW1582" s="496" t="s">
        <v>3961</v>
      </c>
      <c r="DX1582" s="497" t="s">
        <v>3962</v>
      </c>
      <c r="DZ1582" s="543">
        <v>1</v>
      </c>
      <c r="EB1582" s="493"/>
      <c r="EC1582" s="493"/>
    </row>
    <row r="1583" spans="119:133" ht="21" customHeight="1">
      <c r="DO1583" s="494"/>
      <c r="DP1583" s="496" t="s">
        <v>4192</v>
      </c>
      <c r="DQ1583" s="496" t="s">
        <v>11</v>
      </c>
      <c r="DR1583" s="496" t="s">
        <v>689</v>
      </c>
      <c r="DS1583" s="496" t="s">
        <v>4193</v>
      </c>
      <c r="DT1583" s="496" t="s">
        <v>966</v>
      </c>
      <c r="DU1583" s="496" t="s">
        <v>3959</v>
      </c>
      <c r="DV1583" s="496" t="s">
        <v>3960</v>
      </c>
      <c r="DW1583" s="496" t="s">
        <v>3961</v>
      </c>
      <c r="DX1583" s="497" t="s">
        <v>3962</v>
      </c>
      <c r="DZ1583" s="543">
        <v>1</v>
      </c>
      <c r="EB1583" s="493"/>
      <c r="EC1583" s="493"/>
    </row>
    <row r="1584" spans="119:133" ht="21" customHeight="1">
      <c r="DO1584" s="494"/>
      <c r="DP1584" s="496" t="s">
        <v>4194</v>
      </c>
      <c r="DQ1584" s="496" t="s">
        <v>11</v>
      </c>
      <c r="DR1584" s="496" t="s">
        <v>689</v>
      </c>
      <c r="DS1584" s="496" t="s">
        <v>4195</v>
      </c>
      <c r="DT1584" s="496" t="s">
        <v>4195</v>
      </c>
      <c r="DU1584" s="496" t="s">
        <v>3959</v>
      </c>
      <c r="DV1584" s="496" t="s">
        <v>3960</v>
      </c>
      <c r="DW1584" s="496" t="s">
        <v>3961</v>
      </c>
      <c r="DX1584" s="497" t="s">
        <v>3962</v>
      </c>
      <c r="DZ1584" s="543">
        <v>1</v>
      </c>
      <c r="EB1584" s="493"/>
      <c r="EC1584" s="493"/>
    </row>
    <row r="1585" spans="119:133" ht="21" customHeight="1">
      <c r="DO1585" s="494"/>
      <c r="DP1585" s="496" t="s">
        <v>4196</v>
      </c>
      <c r="DQ1585" s="496" t="s">
        <v>11</v>
      </c>
      <c r="DR1585" s="496" t="s">
        <v>689</v>
      </c>
      <c r="DS1585" s="496" t="s">
        <v>4197</v>
      </c>
      <c r="DT1585" s="496" t="s">
        <v>4197</v>
      </c>
      <c r="DU1585" s="496" t="s">
        <v>3959</v>
      </c>
      <c r="DV1585" s="496" t="s">
        <v>3960</v>
      </c>
      <c r="DW1585" s="496" t="s">
        <v>3961</v>
      </c>
      <c r="DX1585" s="497" t="s">
        <v>3962</v>
      </c>
      <c r="DZ1585" s="543">
        <v>1</v>
      </c>
      <c r="EB1585" s="493"/>
      <c r="EC1585" s="493"/>
    </row>
    <row r="1586" spans="119:133" ht="21" customHeight="1">
      <c r="DO1586" s="494"/>
      <c r="DP1586" s="496" t="s">
        <v>4198</v>
      </c>
      <c r="DQ1586" s="496" t="s">
        <v>11</v>
      </c>
      <c r="DR1586" s="496" t="s">
        <v>689</v>
      </c>
      <c r="DS1586" s="496" t="s">
        <v>967</v>
      </c>
      <c r="DT1586" s="496" t="s">
        <v>967</v>
      </c>
      <c r="DU1586" s="496" t="s">
        <v>3959</v>
      </c>
      <c r="DV1586" s="496" t="s">
        <v>3960</v>
      </c>
      <c r="DW1586" s="496" t="s">
        <v>3961</v>
      </c>
      <c r="DX1586" s="497" t="s">
        <v>3962</v>
      </c>
      <c r="DZ1586" s="543">
        <v>1</v>
      </c>
      <c r="EB1586" s="493"/>
      <c r="EC1586" s="493"/>
    </row>
    <row r="1587" spans="119:133" ht="21" customHeight="1">
      <c r="DO1587" s="494"/>
      <c r="DP1587" s="496" t="s">
        <v>4199</v>
      </c>
      <c r="DQ1587" s="496" t="s">
        <v>11</v>
      </c>
      <c r="DR1587" s="496" t="s">
        <v>689</v>
      </c>
      <c r="DS1587" s="496" t="s">
        <v>4200</v>
      </c>
      <c r="DT1587" s="496" t="s">
        <v>4201</v>
      </c>
      <c r="DU1587" s="496" t="s">
        <v>3959</v>
      </c>
      <c r="DV1587" s="496" t="s">
        <v>3960</v>
      </c>
      <c r="DW1587" s="496" t="s">
        <v>3961</v>
      </c>
      <c r="DX1587" s="497" t="s">
        <v>3962</v>
      </c>
      <c r="DZ1587" s="543">
        <v>1</v>
      </c>
      <c r="EB1587" s="493"/>
      <c r="EC1587" s="493"/>
    </row>
    <row r="1588" spans="119:133" ht="21" customHeight="1">
      <c r="DO1588" s="494"/>
      <c r="DP1588" s="496" t="s">
        <v>4202</v>
      </c>
      <c r="DQ1588" s="496" t="s">
        <v>11</v>
      </c>
      <c r="DR1588" s="496" t="s">
        <v>689</v>
      </c>
      <c r="DS1588" s="496" t="s">
        <v>968</v>
      </c>
      <c r="DT1588" s="496" t="s">
        <v>968</v>
      </c>
      <c r="DU1588" s="496" t="s">
        <v>1085</v>
      </c>
      <c r="DV1588" s="496" t="s">
        <v>3974</v>
      </c>
      <c r="DW1588" s="496" t="s">
        <v>1087</v>
      </c>
      <c r="DX1588" s="497" t="s">
        <v>1088</v>
      </c>
      <c r="DZ1588" s="543">
        <v>1</v>
      </c>
      <c r="EB1588" s="493"/>
      <c r="EC1588" s="493"/>
    </row>
    <row r="1589" spans="119:133" ht="21" customHeight="1">
      <c r="DO1589" s="494"/>
      <c r="DP1589" s="496" t="s">
        <v>4203</v>
      </c>
      <c r="DQ1589" s="496" t="s">
        <v>11</v>
      </c>
      <c r="DR1589" s="496" t="s">
        <v>689</v>
      </c>
      <c r="DS1589" s="496" t="s">
        <v>4204</v>
      </c>
      <c r="DT1589" s="496" t="s">
        <v>4204</v>
      </c>
      <c r="DU1589" s="496" t="s">
        <v>3959</v>
      </c>
      <c r="DV1589" s="496" t="s">
        <v>3960</v>
      </c>
      <c r="DW1589" s="496" t="s">
        <v>3961</v>
      </c>
      <c r="DX1589" s="497" t="s">
        <v>3962</v>
      </c>
      <c r="DZ1589" s="543">
        <v>1</v>
      </c>
      <c r="EB1589" s="493"/>
      <c r="EC1589" s="493"/>
    </row>
    <row r="1590" spans="119:133" ht="21" customHeight="1">
      <c r="DO1590" s="494"/>
      <c r="DP1590" s="496" t="s">
        <v>4205</v>
      </c>
      <c r="DQ1590" s="496" t="s">
        <v>11</v>
      </c>
      <c r="DR1590" s="496" t="s">
        <v>689</v>
      </c>
      <c r="DS1590" s="496" t="s">
        <v>4206</v>
      </c>
      <c r="DT1590" s="496" t="s">
        <v>4206</v>
      </c>
      <c r="DU1590" s="496" t="s">
        <v>1085</v>
      </c>
      <c r="DV1590" s="496" t="s">
        <v>3974</v>
      </c>
      <c r="DW1590" s="496" t="s">
        <v>1087</v>
      </c>
      <c r="DX1590" s="497" t="s">
        <v>1088</v>
      </c>
      <c r="DZ1590" s="543">
        <v>1</v>
      </c>
      <c r="EB1590" s="493"/>
      <c r="EC1590" s="493"/>
    </row>
    <row r="1591" spans="119:133" ht="21" customHeight="1">
      <c r="DO1591" s="494"/>
      <c r="DP1591" s="496" t="s">
        <v>4207</v>
      </c>
      <c r="DQ1591" s="496" t="s">
        <v>11</v>
      </c>
      <c r="DR1591" s="496" t="s">
        <v>689</v>
      </c>
      <c r="DS1591" s="496" t="s">
        <v>4208</v>
      </c>
      <c r="DT1591" s="496" t="s">
        <v>4208</v>
      </c>
      <c r="DU1591" s="496" t="s">
        <v>3959</v>
      </c>
      <c r="DV1591" s="496" t="s">
        <v>3960</v>
      </c>
      <c r="DW1591" s="496" t="s">
        <v>3961</v>
      </c>
      <c r="DX1591" s="497" t="s">
        <v>3962</v>
      </c>
      <c r="DZ1591" s="543">
        <v>1</v>
      </c>
      <c r="EB1591" s="493"/>
      <c r="EC1591" s="493"/>
    </row>
    <row r="1592" spans="119:133" ht="21" customHeight="1">
      <c r="DO1592" s="494"/>
      <c r="DP1592" s="496" t="s">
        <v>4209</v>
      </c>
      <c r="DQ1592" s="496" t="s">
        <v>11</v>
      </c>
      <c r="DR1592" s="496" t="s">
        <v>689</v>
      </c>
      <c r="DS1592" s="496" t="s">
        <v>4210</v>
      </c>
      <c r="DT1592" s="496" t="s">
        <v>4210</v>
      </c>
      <c r="DU1592" s="496" t="s">
        <v>3959</v>
      </c>
      <c r="DV1592" s="496" t="s">
        <v>3960</v>
      </c>
      <c r="DW1592" s="496" t="s">
        <v>3961</v>
      </c>
      <c r="DX1592" s="497" t="s">
        <v>3962</v>
      </c>
      <c r="DZ1592" s="543">
        <v>1</v>
      </c>
      <c r="EB1592" s="493"/>
      <c r="EC1592" s="493"/>
    </row>
    <row r="1593" spans="119:133" ht="21" customHeight="1">
      <c r="DO1593" s="494"/>
      <c r="DP1593" s="496" t="s">
        <v>4211</v>
      </c>
      <c r="DQ1593" s="496" t="s">
        <v>11</v>
      </c>
      <c r="DR1593" s="496" t="s">
        <v>689</v>
      </c>
      <c r="DS1593" s="496" t="s">
        <v>4212</v>
      </c>
      <c r="DT1593" s="496" t="s">
        <v>4212</v>
      </c>
      <c r="DU1593" s="496" t="s">
        <v>3959</v>
      </c>
      <c r="DV1593" s="496" t="s">
        <v>3960</v>
      </c>
      <c r="DW1593" s="496" t="s">
        <v>3961</v>
      </c>
      <c r="DX1593" s="497" t="s">
        <v>3962</v>
      </c>
      <c r="DZ1593" s="543">
        <v>1</v>
      </c>
      <c r="EB1593" s="493"/>
      <c r="EC1593" s="493"/>
    </row>
    <row r="1594" spans="119:133" ht="21" customHeight="1">
      <c r="DO1594" s="494"/>
      <c r="DP1594" s="496" t="s">
        <v>4213</v>
      </c>
      <c r="DQ1594" s="496" t="s">
        <v>11</v>
      </c>
      <c r="DR1594" s="496" t="s">
        <v>689</v>
      </c>
      <c r="DS1594" s="496" t="s">
        <v>4214</v>
      </c>
      <c r="DT1594" s="496" t="s">
        <v>4214</v>
      </c>
      <c r="DU1594" s="496" t="s">
        <v>1085</v>
      </c>
      <c r="DV1594" s="496" t="s">
        <v>3974</v>
      </c>
      <c r="DW1594" s="496" t="s">
        <v>1087</v>
      </c>
      <c r="DX1594" s="497" t="s">
        <v>1088</v>
      </c>
      <c r="DZ1594" s="543">
        <v>1</v>
      </c>
      <c r="EB1594" s="493"/>
      <c r="EC1594" s="493"/>
    </row>
    <row r="1595" spans="119:133" ht="21" customHeight="1">
      <c r="DO1595" s="494"/>
      <c r="DP1595" s="496" t="s">
        <v>4215</v>
      </c>
      <c r="DQ1595" s="496" t="s">
        <v>11</v>
      </c>
      <c r="DR1595" s="496" t="s">
        <v>689</v>
      </c>
      <c r="DS1595" s="496" t="s">
        <v>4216</v>
      </c>
      <c r="DT1595" s="496" t="s">
        <v>4216</v>
      </c>
      <c r="DU1595" s="496" t="s">
        <v>1085</v>
      </c>
      <c r="DV1595" s="496" t="s">
        <v>3974</v>
      </c>
      <c r="DW1595" s="496" t="s">
        <v>1087</v>
      </c>
      <c r="DX1595" s="497" t="s">
        <v>1088</v>
      </c>
      <c r="DZ1595" s="543">
        <v>1</v>
      </c>
      <c r="EB1595" s="493"/>
      <c r="EC1595" s="493"/>
    </row>
    <row r="1596" spans="119:133" ht="21" customHeight="1">
      <c r="DO1596" s="494"/>
      <c r="DP1596" s="496" t="s">
        <v>4217</v>
      </c>
      <c r="DQ1596" s="496" t="s">
        <v>11</v>
      </c>
      <c r="DR1596" s="496" t="s">
        <v>689</v>
      </c>
      <c r="DS1596" s="496" t="s">
        <v>970</v>
      </c>
      <c r="DT1596" s="496" t="s">
        <v>970</v>
      </c>
      <c r="DU1596" s="496" t="s">
        <v>1085</v>
      </c>
      <c r="DV1596" s="496" t="s">
        <v>3974</v>
      </c>
      <c r="DW1596" s="496" t="s">
        <v>1087</v>
      </c>
      <c r="DX1596" s="497" t="s">
        <v>1088</v>
      </c>
      <c r="DZ1596" s="543">
        <v>1</v>
      </c>
      <c r="EB1596" s="493"/>
      <c r="EC1596" s="493"/>
    </row>
    <row r="1597" spans="119:133" ht="21" customHeight="1">
      <c r="DO1597" s="494"/>
      <c r="DP1597" s="496" t="s">
        <v>4218</v>
      </c>
      <c r="DQ1597" s="496" t="s">
        <v>11</v>
      </c>
      <c r="DR1597" s="496" t="s">
        <v>689</v>
      </c>
      <c r="DS1597" s="496" t="s">
        <v>4219</v>
      </c>
      <c r="DT1597" s="496" t="s">
        <v>4219</v>
      </c>
      <c r="DU1597" s="496" t="s">
        <v>1085</v>
      </c>
      <c r="DV1597" s="496" t="s">
        <v>3974</v>
      </c>
      <c r="DW1597" s="496" t="s">
        <v>1087</v>
      </c>
      <c r="DX1597" s="497" t="s">
        <v>1088</v>
      </c>
      <c r="DZ1597" s="543">
        <v>1</v>
      </c>
      <c r="EB1597" s="493"/>
      <c r="EC1597" s="493"/>
    </row>
    <row r="1598" spans="119:133" ht="21" customHeight="1">
      <c r="DO1598" s="494"/>
      <c r="DP1598" s="496" t="s">
        <v>4220</v>
      </c>
      <c r="DQ1598" s="496" t="s">
        <v>11</v>
      </c>
      <c r="DR1598" s="496" t="s">
        <v>689</v>
      </c>
      <c r="DS1598" s="496" t="s">
        <v>4221</v>
      </c>
      <c r="DT1598" s="496" t="s">
        <v>4221</v>
      </c>
      <c r="DU1598" s="496" t="s">
        <v>3959</v>
      </c>
      <c r="DV1598" s="496" t="s">
        <v>3960</v>
      </c>
      <c r="DW1598" s="496" t="s">
        <v>3961</v>
      </c>
      <c r="DX1598" s="497" t="s">
        <v>3962</v>
      </c>
      <c r="DZ1598" s="543">
        <v>1</v>
      </c>
      <c r="EB1598" s="493"/>
      <c r="EC1598" s="493"/>
    </row>
    <row r="1599" spans="119:133" ht="21" customHeight="1">
      <c r="DO1599" s="494"/>
      <c r="DP1599" s="496" t="s">
        <v>4222</v>
      </c>
      <c r="DQ1599" s="496" t="s">
        <v>11</v>
      </c>
      <c r="DR1599" s="496" t="s">
        <v>689</v>
      </c>
      <c r="DS1599" s="496" t="s">
        <v>4223</v>
      </c>
      <c r="DT1599" s="496" t="s">
        <v>971</v>
      </c>
      <c r="DU1599" s="496" t="s">
        <v>1085</v>
      </c>
      <c r="DV1599" s="496" t="s">
        <v>3974</v>
      </c>
      <c r="DW1599" s="496" t="s">
        <v>1087</v>
      </c>
      <c r="DX1599" s="497" t="s">
        <v>1088</v>
      </c>
      <c r="DZ1599" s="543">
        <v>1</v>
      </c>
      <c r="EB1599" s="493"/>
      <c r="EC1599" s="493"/>
    </row>
    <row r="1600" spans="119:133" ht="21" customHeight="1">
      <c r="DO1600" s="494"/>
      <c r="DP1600" s="496" t="s">
        <v>4224</v>
      </c>
      <c r="DQ1600" s="496" t="s">
        <v>11</v>
      </c>
      <c r="DR1600" s="496" t="s">
        <v>689</v>
      </c>
      <c r="DS1600" s="496" t="s">
        <v>4225</v>
      </c>
      <c r="DT1600" s="496" t="s">
        <v>4226</v>
      </c>
      <c r="DU1600" s="496" t="s">
        <v>3959</v>
      </c>
      <c r="DV1600" s="496" t="s">
        <v>3960</v>
      </c>
      <c r="DW1600" s="496" t="s">
        <v>3961</v>
      </c>
      <c r="DX1600" s="497" t="s">
        <v>3962</v>
      </c>
      <c r="DZ1600" s="543">
        <v>1</v>
      </c>
      <c r="EB1600" s="493"/>
      <c r="EC1600" s="493"/>
    </row>
    <row r="1601" spans="119:133" ht="21" customHeight="1">
      <c r="DO1601" s="494"/>
      <c r="DP1601" s="496" t="s">
        <v>4227</v>
      </c>
      <c r="DQ1601" s="496" t="s">
        <v>11</v>
      </c>
      <c r="DR1601" s="496" t="s">
        <v>689</v>
      </c>
      <c r="DS1601" s="496" t="s">
        <v>4228</v>
      </c>
      <c r="DT1601" s="496" t="s">
        <v>4228</v>
      </c>
      <c r="DU1601" s="496" t="s">
        <v>1085</v>
      </c>
      <c r="DV1601" s="496" t="s">
        <v>3974</v>
      </c>
      <c r="DW1601" s="496" t="s">
        <v>1087</v>
      </c>
      <c r="DX1601" s="497" t="s">
        <v>1088</v>
      </c>
      <c r="DZ1601" s="543">
        <v>1</v>
      </c>
      <c r="EB1601" s="493"/>
      <c r="EC1601" s="493"/>
    </row>
    <row r="1602" spans="119:133" ht="21" customHeight="1">
      <c r="DO1602" s="494"/>
      <c r="DP1602" s="496" t="s">
        <v>4229</v>
      </c>
      <c r="DQ1602" s="496" t="s">
        <v>11</v>
      </c>
      <c r="DR1602" s="496" t="s">
        <v>689</v>
      </c>
      <c r="DS1602" s="496" t="s">
        <v>4230</v>
      </c>
      <c r="DT1602" s="496" t="s">
        <v>4230</v>
      </c>
      <c r="DU1602" s="496" t="s">
        <v>3959</v>
      </c>
      <c r="DV1602" s="496" t="s">
        <v>3960</v>
      </c>
      <c r="DW1602" s="496" t="s">
        <v>3961</v>
      </c>
      <c r="DX1602" s="497" t="s">
        <v>3962</v>
      </c>
      <c r="DZ1602" s="543">
        <v>1</v>
      </c>
      <c r="EB1602" s="493"/>
      <c r="EC1602" s="493"/>
    </row>
    <row r="1603" spans="119:133" ht="21" customHeight="1">
      <c r="DO1603" s="494"/>
      <c r="DP1603" s="496" t="s">
        <v>4231</v>
      </c>
      <c r="DQ1603" s="496" t="s">
        <v>11</v>
      </c>
      <c r="DR1603" s="496" t="s">
        <v>689</v>
      </c>
      <c r="DS1603" s="496" t="s">
        <v>4232</v>
      </c>
      <c r="DT1603" s="496" t="s">
        <v>4232</v>
      </c>
      <c r="DU1603" s="496" t="s">
        <v>3959</v>
      </c>
      <c r="DV1603" s="496" t="s">
        <v>3960</v>
      </c>
      <c r="DW1603" s="496" t="s">
        <v>3961</v>
      </c>
      <c r="DX1603" s="497" t="s">
        <v>3962</v>
      </c>
      <c r="DZ1603" s="543">
        <v>1</v>
      </c>
      <c r="EB1603" s="493"/>
      <c r="EC1603" s="493"/>
    </row>
    <row r="1604" spans="119:133" ht="21" customHeight="1">
      <c r="DO1604" s="494"/>
      <c r="DP1604" s="496" t="s">
        <v>4233</v>
      </c>
      <c r="DQ1604" s="496" t="s">
        <v>11</v>
      </c>
      <c r="DR1604" s="496" t="s">
        <v>689</v>
      </c>
      <c r="DS1604" s="496" t="s">
        <v>4234</v>
      </c>
      <c r="DT1604" s="496" t="s">
        <v>4234</v>
      </c>
      <c r="DU1604" s="496" t="s">
        <v>3959</v>
      </c>
      <c r="DV1604" s="496" t="s">
        <v>3960</v>
      </c>
      <c r="DW1604" s="496" t="s">
        <v>3961</v>
      </c>
      <c r="DX1604" s="497" t="s">
        <v>3962</v>
      </c>
      <c r="DZ1604" s="543">
        <v>1</v>
      </c>
      <c r="EB1604" s="493"/>
      <c r="EC1604" s="493"/>
    </row>
    <row r="1605" spans="119:133" ht="21" customHeight="1">
      <c r="DO1605" s="494"/>
      <c r="DP1605" s="496" t="s">
        <v>4235</v>
      </c>
      <c r="DQ1605" s="496" t="s">
        <v>11</v>
      </c>
      <c r="DR1605" s="496" t="s">
        <v>689</v>
      </c>
      <c r="DS1605" s="496" t="s">
        <v>4236</v>
      </c>
      <c r="DT1605" s="496" t="s">
        <v>4236</v>
      </c>
      <c r="DU1605" s="496" t="s">
        <v>1151</v>
      </c>
      <c r="DV1605" s="496" t="s">
        <v>1152</v>
      </c>
      <c r="DW1605" s="496" t="s">
        <v>1087</v>
      </c>
      <c r="DX1605" s="497" t="s">
        <v>1153</v>
      </c>
      <c r="DZ1605" s="543">
        <v>1</v>
      </c>
      <c r="EB1605" s="493"/>
      <c r="EC1605" s="493"/>
    </row>
    <row r="1606" spans="119:133" ht="21" customHeight="1">
      <c r="DO1606" s="494"/>
      <c r="DP1606" s="496" t="s">
        <v>4237</v>
      </c>
      <c r="DQ1606" s="496" t="s">
        <v>11</v>
      </c>
      <c r="DR1606" s="496" t="s">
        <v>689</v>
      </c>
      <c r="DS1606" s="496" t="s">
        <v>4238</v>
      </c>
      <c r="DT1606" s="496" t="s">
        <v>4238</v>
      </c>
      <c r="DU1606" s="496" t="s">
        <v>3959</v>
      </c>
      <c r="DV1606" s="496" t="s">
        <v>3960</v>
      </c>
      <c r="DW1606" s="496" t="s">
        <v>3961</v>
      </c>
      <c r="DX1606" s="497" t="s">
        <v>3962</v>
      </c>
      <c r="DZ1606" s="543">
        <v>1</v>
      </c>
      <c r="EB1606" s="493"/>
      <c r="EC1606" s="493"/>
    </row>
    <row r="1607" spans="119:133" ht="21" customHeight="1">
      <c r="DO1607" s="494"/>
      <c r="DP1607" s="496" t="s">
        <v>4239</v>
      </c>
      <c r="DQ1607" s="496" t="s">
        <v>11</v>
      </c>
      <c r="DR1607" s="496" t="s">
        <v>689</v>
      </c>
      <c r="DS1607" s="496" t="s">
        <v>4240</v>
      </c>
      <c r="DT1607" s="496" t="s">
        <v>4240</v>
      </c>
      <c r="DU1607" s="496" t="s">
        <v>3959</v>
      </c>
      <c r="DV1607" s="496" t="s">
        <v>3960</v>
      </c>
      <c r="DW1607" s="496" t="s">
        <v>3961</v>
      </c>
      <c r="DX1607" s="497" t="s">
        <v>3962</v>
      </c>
      <c r="DZ1607" s="543">
        <v>1</v>
      </c>
      <c r="EB1607" s="493"/>
      <c r="EC1607" s="493"/>
    </row>
    <row r="1608" spans="119:133" ht="21" customHeight="1">
      <c r="DO1608" s="494"/>
      <c r="DP1608" s="496" t="s">
        <v>4241</v>
      </c>
      <c r="DQ1608" s="496" t="s">
        <v>11</v>
      </c>
      <c r="DR1608" s="496" t="s">
        <v>689</v>
      </c>
      <c r="DS1608" s="496" t="s">
        <v>4242</v>
      </c>
      <c r="DT1608" s="496" t="s">
        <v>4242</v>
      </c>
      <c r="DU1608" s="496" t="s">
        <v>3959</v>
      </c>
      <c r="DV1608" s="496" t="s">
        <v>3960</v>
      </c>
      <c r="DW1608" s="496" t="s">
        <v>3961</v>
      </c>
      <c r="DX1608" s="497" t="s">
        <v>3962</v>
      </c>
      <c r="DZ1608" s="543">
        <v>1</v>
      </c>
      <c r="EB1608" s="493"/>
      <c r="EC1608" s="493"/>
    </row>
    <row r="1609" spans="119:133" ht="21" customHeight="1">
      <c r="DO1609" s="494"/>
      <c r="DP1609" s="496" t="s">
        <v>4243</v>
      </c>
      <c r="DQ1609" s="496" t="s">
        <v>11</v>
      </c>
      <c r="DR1609" s="496" t="s">
        <v>689</v>
      </c>
      <c r="DS1609" s="496" t="s">
        <v>4244</v>
      </c>
      <c r="DT1609" s="496" t="s">
        <v>4245</v>
      </c>
      <c r="DU1609" s="496" t="s">
        <v>1085</v>
      </c>
      <c r="DV1609" s="496" t="s">
        <v>3974</v>
      </c>
      <c r="DW1609" s="496" t="s">
        <v>1087</v>
      </c>
      <c r="DX1609" s="497" t="s">
        <v>1088</v>
      </c>
      <c r="DZ1609" s="543">
        <v>1</v>
      </c>
      <c r="EB1609" s="493"/>
      <c r="EC1609" s="493"/>
    </row>
    <row r="1610" spans="119:133" ht="21" customHeight="1">
      <c r="DO1610" s="494"/>
      <c r="DP1610" s="496" t="s">
        <v>4246</v>
      </c>
      <c r="DQ1610" s="496" t="s">
        <v>11</v>
      </c>
      <c r="DR1610" s="496" t="s">
        <v>689</v>
      </c>
      <c r="DS1610" s="496" t="s">
        <v>974</v>
      </c>
      <c r="DT1610" s="496" t="s">
        <v>974</v>
      </c>
      <c r="DU1610" s="496" t="s">
        <v>1085</v>
      </c>
      <c r="DV1610" s="496" t="s">
        <v>3974</v>
      </c>
      <c r="DW1610" s="496" t="s">
        <v>1087</v>
      </c>
      <c r="DX1610" s="497" t="s">
        <v>1088</v>
      </c>
      <c r="DZ1610" s="543">
        <v>1</v>
      </c>
      <c r="EB1610" s="493"/>
      <c r="EC1610" s="493"/>
    </row>
    <row r="1611" spans="119:133" ht="21" customHeight="1">
      <c r="DO1611" s="494"/>
      <c r="DP1611" s="496" t="s">
        <v>4247</v>
      </c>
      <c r="DQ1611" s="496" t="s">
        <v>11</v>
      </c>
      <c r="DR1611" s="496" t="s">
        <v>689</v>
      </c>
      <c r="DS1611" s="496" t="s">
        <v>975</v>
      </c>
      <c r="DT1611" s="496" t="s">
        <v>975</v>
      </c>
      <c r="DU1611" s="496" t="s">
        <v>3959</v>
      </c>
      <c r="DV1611" s="496" t="s">
        <v>3960</v>
      </c>
      <c r="DW1611" s="496" t="s">
        <v>3961</v>
      </c>
      <c r="DX1611" s="497" t="s">
        <v>3962</v>
      </c>
      <c r="DZ1611" s="543">
        <v>1</v>
      </c>
      <c r="EB1611" s="493"/>
      <c r="EC1611" s="493"/>
    </row>
    <row r="1612" spans="119:133" ht="21" customHeight="1">
      <c r="DO1612" s="494"/>
      <c r="DP1612" s="496" t="s">
        <v>4248</v>
      </c>
      <c r="DQ1612" s="496" t="s">
        <v>11</v>
      </c>
      <c r="DR1612" s="496" t="s">
        <v>689</v>
      </c>
      <c r="DS1612" s="496" t="s">
        <v>4249</v>
      </c>
      <c r="DT1612" s="496" t="s">
        <v>4249</v>
      </c>
      <c r="DU1612" s="496" t="s">
        <v>3959</v>
      </c>
      <c r="DV1612" s="496" t="s">
        <v>3960</v>
      </c>
      <c r="DW1612" s="496" t="s">
        <v>3961</v>
      </c>
      <c r="DX1612" s="497" t="s">
        <v>3962</v>
      </c>
      <c r="DZ1612" s="543">
        <v>1</v>
      </c>
      <c r="EB1612" s="493"/>
      <c r="EC1612" s="493"/>
    </row>
    <row r="1613" spans="119:133" ht="21" customHeight="1">
      <c r="DO1613" s="494"/>
      <c r="DP1613" s="496" t="s">
        <v>4250</v>
      </c>
      <c r="DQ1613" s="496" t="s">
        <v>11</v>
      </c>
      <c r="DR1613" s="496" t="s">
        <v>689</v>
      </c>
      <c r="DS1613" s="496" t="s">
        <v>699</v>
      </c>
      <c r="DT1613" s="496" t="s">
        <v>699</v>
      </c>
      <c r="DU1613" s="496" t="s">
        <v>1085</v>
      </c>
      <c r="DV1613" s="496" t="s">
        <v>3974</v>
      </c>
      <c r="DW1613" s="496" t="s">
        <v>1087</v>
      </c>
      <c r="DX1613" s="497" t="s">
        <v>1088</v>
      </c>
      <c r="DZ1613" s="543">
        <v>1</v>
      </c>
      <c r="EB1613" s="493"/>
      <c r="EC1613" s="493"/>
    </row>
    <row r="1614" spans="119:133" ht="21" customHeight="1">
      <c r="DO1614" s="494"/>
      <c r="DP1614" s="496" t="s">
        <v>4251</v>
      </c>
      <c r="DQ1614" s="496" t="s">
        <v>11</v>
      </c>
      <c r="DR1614" s="496" t="s">
        <v>689</v>
      </c>
      <c r="DS1614" s="496" t="s">
        <v>4252</v>
      </c>
      <c r="DT1614" s="496" t="s">
        <v>4252</v>
      </c>
      <c r="DU1614" s="496" t="s">
        <v>1085</v>
      </c>
      <c r="DV1614" s="496" t="s">
        <v>3974</v>
      </c>
      <c r="DW1614" s="496" t="s">
        <v>1087</v>
      </c>
      <c r="DX1614" s="497" t="s">
        <v>1088</v>
      </c>
      <c r="DZ1614" s="543">
        <v>1</v>
      </c>
      <c r="EB1614" s="493"/>
      <c r="EC1614" s="493"/>
    </row>
    <row r="1615" spans="119:133" ht="21" customHeight="1">
      <c r="DO1615" s="494"/>
      <c r="DP1615" s="496" t="s">
        <v>4253</v>
      </c>
      <c r="DQ1615" s="496" t="s">
        <v>11</v>
      </c>
      <c r="DR1615" s="496" t="s">
        <v>689</v>
      </c>
      <c r="DS1615" s="496" t="s">
        <v>84</v>
      </c>
      <c r="DT1615" s="496" t="s">
        <v>84</v>
      </c>
      <c r="DU1615" s="496" t="s">
        <v>1085</v>
      </c>
      <c r="DV1615" s="496" t="s">
        <v>3974</v>
      </c>
      <c r="DW1615" s="496" t="s">
        <v>1087</v>
      </c>
      <c r="DX1615" s="497" t="s">
        <v>1088</v>
      </c>
      <c r="DZ1615" s="543">
        <v>1</v>
      </c>
      <c r="EB1615" s="493"/>
      <c r="EC1615" s="493"/>
    </row>
    <row r="1616" spans="119:133" ht="21" customHeight="1">
      <c r="DO1616" s="494"/>
      <c r="DP1616" s="496" t="s">
        <v>4254</v>
      </c>
      <c r="DQ1616" s="496" t="s">
        <v>11</v>
      </c>
      <c r="DR1616" s="496" t="s">
        <v>689</v>
      </c>
      <c r="DS1616" s="496" t="s">
        <v>4255</v>
      </c>
      <c r="DT1616" s="496" t="s">
        <v>4256</v>
      </c>
      <c r="DU1616" s="496" t="s">
        <v>3959</v>
      </c>
      <c r="DV1616" s="496" t="s">
        <v>3960</v>
      </c>
      <c r="DW1616" s="496" t="s">
        <v>3961</v>
      </c>
      <c r="DX1616" s="497" t="s">
        <v>3962</v>
      </c>
      <c r="DZ1616" s="543">
        <v>1</v>
      </c>
      <c r="EB1616" s="493"/>
      <c r="EC1616" s="493"/>
    </row>
    <row r="1617" spans="119:133" ht="21" customHeight="1">
      <c r="DO1617" s="494"/>
      <c r="DP1617" s="496" t="s">
        <v>4257</v>
      </c>
      <c r="DQ1617" s="496" t="s">
        <v>11</v>
      </c>
      <c r="DR1617" s="496" t="s">
        <v>689</v>
      </c>
      <c r="DS1617" s="496" t="s">
        <v>4258</v>
      </c>
      <c r="DT1617" s="496" t="s">
        <v>70</v>
      </c>
      <c r="DU1617" s="496" t="s">
        <v>1085</v>
      </c>
      <c r="DV1617" s="496" t="s">
        <v>3974</v>
      </c>
      <c r="DW1617" s="496" t="s">
        <v>1087</v>
      </c>
      <c r="DX1617" s="497" t="s">
        <v>1088</v>
      </c>
      <c r="DZ1617" s="543">
        <v>1</v>
      </c>
      <c r="EB1617" s="493"/>
      <c r="EC1617" s="493"/>
    </row>
    <row r="1618" spans="119:133" ht="21" customHeight="1">
      <c r="DO1618" s="494"/>
      <c r="DP1618" s="496" t="s">
        <v>4259</v>
      </c>
      <c r="DQ1618" s="496" t="s">
        <v>11</v>
      </c>
      <c r="DR1618" s="496" t="s">
        <v>689</v>
      </c>
      <c r="DS1618" s="496" t="s">
        <v>4260</v>
      </c>
      <c r="DT1618" s="496" t="s">
        <v>4260</v>
      </c>
      <c r="DU1618" s="496" t="s">
        <v>3959</v>
      </c>
      <c r="DV1618" s="496" t="s">
        <v>3960</v>
      </c>
      <c r="DW1618" s="496" t="s">
        <v>3961</v>
      </c>
      <c r="DX1618" s="497" t="s">
        <v>3962</v>
      </c>
      <c r="DZ1618" s="543">
        <v>1</v>
      </c>
      <c r="EB1618" s="493"/>
      <c r="EC1618" s="493"/>
    </row>
    <row r="1619" spans="119:133" ht="21" customHeight="1">
      <c r="DO1619" s="494"/>
      <c r="DP1619" s="496" t="s">
        <v>4261</v>
      </c>
      <c r="DQ1619" s="496" t="s">
        <v>11</v>
      </c>
      <c r="DR1619" s="496" t="s">
        <v>689</v>
      </c>
      <c r="DS1619" s="496" t="s">
        <v>23</v>
      </c>
      <c r="DT1619" s="496" t="s">
        <v>23</v>
      </c>
      <c r="DU1619" s="496" t="s">
        <v>1085</v>
      </c>
      <c r="DV1619" s="496" t="s">
        <v>3974</v>
      </c>
      <c r="DW1619" s="496" t="s">
        <v>1087</v>
      </c>
      <c r="DX1619" s="497" t="s">
        <v>1088</v>
      </c>
      <c r="DZ1619" s="543">
        <v>1</v>
      </c>
      <c r="EB1619" s="493"/>
      <c r="EC1619" s="493"/>
    </row>
    <row r="1620" spans="119:133" ht="21" customHeight="1">
      <c r="DO1620" s="494"/>
      <c r="DP1620" s="496" t="s">
        <v>4262</v>
      </c>
      <c r="DQ1620" s="496" t="s">
        <v>11</v>
      </c>
      <c r="DR1620" s="496" t="s">
        <v>689</v>
      </c>
      <c r="DS1620" s="496" t="s">
        <v>4263</v>
      </c>
      <c r="DT1620" s="496" t="s">
        <v>4264</v>
      </c>
      <c r="DU1620" s="496" t="s">
        <v>1085</v>
      </c>
      <c r="DV1620" s="496" t="s">
        <v>3974</v>
      </c>
      <c r="DW1620" s="496" t="s">
        <v>1087</v>
      </c>
      <c r="DX1620" s="497" t="s">
        <v>1088</v>
      </c>
      <c r="DZ1620" s="543">
        <v>1</v>
      </c>
      <c r="EB1620" s="493"/>
      <c r="EC1620" s="493"/>
    </row>
    <row r="1621" spans="119:133" ht="21" customHeight="1">
      <c r="DO1621" s="494"/>
      <c r="DP1621" s="496" t="s">
        <v>4265</v>
      </c>
      <c r="DQ1621" s="496" t="s">
        <v>11</v>
      </c>
      <c r="DR1621" s="496" t="s">
        <v>689</v>
      </c>
      <c r="DS1621" s="496" t="s">
        <v>4266</v>
      </c>
      <c r="DT1621" s="496" t="s">
        <v>4267</v>
      </c>
      <c r="DU1621" s="496" t="s">
        <v>3959</v>
      </c>
      <c r="DV1621" s="496" t="s">
        <v>3960</v>
      </c>
      <c r="DW1621" s="496" t="s">
        <v>3961</v>
      </c>
      <c r="DX1621" s="497" t="s">
        <v>3962</v>
      </c>
      <c r="DZ1621" s="543">
        <v>1</v>
      </c>
      <c r="EB1621" s="493"/>
      <c r="EC1621" s="493"/>
    </row>
    <row r="1622" spans="119:133" ht="21" customHeight="1">
      <c r="DO1622" s="494"/>
      <c r="DP1622" s="496" t="s">
        <v>4268</v>
      </c>
      <c r="DQ1622" s="496" t="s">
        <v>11</v>
      </c>
      <c r="DR1622" s="496" t="s">
        <v>689</v>
      </c>
      <c r="DS1622" s="496" t="s">
        <v>4269</v>
      </c>
      <c r="DT1622" s="496" t="s">
        <v>4269</v>
      </c>
      <c r="DU1622" s="496" t="s">
        <v>3959</v>
      </c>
      <c r="DV1622" s="496" t="s">
        <v>3960</v>
      </c>
      <c r="DW1622" s="496" t="s">
        <v>3961</v>
      </c>
      <c r="DX1622" s="497" t="s">
        <v>3962</v>
      </c>
      <c r="DZ1622" s="543">
        <v>1</v>
      </c>
      <c r="EB1622" s="493"/>
      <c r="EC1622" s="493"/>
    </row>
    <row r="1623" spans="119:133" ht="21" customHeight="1">
      <c r="DO1623" s="494"/>
      <c r="DP1623" s="496" t="s">
        <v>4270</v>
      </c>
      <c r="DQ1623" s="496" t="s">
        <v>11</v>
      </c>
      <c r="DR1623" s="496" t="s">
        <v>689</v>
      </c>
      <c r="DS1623" s="496" t="s">
        <v>4271</v>
      </c>
      <c r="DT1623" s="496" t="s">
        <v>4271</v>
      </c>
      <c r="DU1623" s="496" t="s">
        <v>1085</v>
      </c>
      <c r="DV1623" s="496" t="s">
        <v>3974</v>
      </c>
      <c r="DW1623" s="496" t="s">
        <v>1087</v>
      </c>
      <c r="DX1623" s="497" t="s">
        <v>1088</v>
      </c>
      <c r="DZ1623" s="543">
        <v>1</v>
      </c>
      <c r="EB1623" s="493"/>
      <c r="EC1623" s="493"/>
    </row>
    <row r="1624" spans="119:133" ht="21" customHeight="1">
      <c r="DO1624" s="494"/>
      <c r="DP1624" s="496" t="s">
        <v>4272</v>
      </c>
      <c r="DQ1624" s="496" t="s">
        <v>11</v>
      </c>
      <c r="DR1624" s="496" t="s">
        <v>689</v>
      </c>
      <c r="DS1624" s="496" t="s">
        <v>4273</v>
      </c>
      <c r="DT1624" s="496" t="s">
        <v>4273</v>
      </c>
      <c r="DU1624" s="496" t="s">
        <v>3959</v>
      </c>
      <c r="DV1624" s="496" t="s">
        <v>3960</v>
      </c>
      <c r="DW1624" s="496" t="s">
        <v>3961</v>
      </c>
      <c r="DX1624" s="497" t="s">
        <v>3962</v>
      </c>
      <c r="DZ1624" s="543">
        <v>1</v>
      </c>
      <c r="EB1624" s="493"/>
      <c r="EC1624" s="493"/>
    </row>
    <row r="1625" spans="119:133" ht="21" customHeight="1">
      <c r="DO1625" s="494"/>
      <c r="DP1625" s="496" t="s">
        <v>4274</v>
      </c>
      <c r="DQ1625" s="496" t="s">
        <v>11</v>
      </c>
      <c r="DR1625" s="496" t="s">
        <v>689</v>
      </c>
      <c r="DS1625" s="496" t="s">
        <v>4275</v>
      </c>
      <c r="DT1625" s="496" t="s">
        <v>4276</v>
      </c>
      <c r="DU1625" s="496" t="s">
        <v>1085</v>
      </c>
      <c r="DV1625" s="496" t="s">
        <v>3974</v>
      </c>
      <c r="DW1625" s="496" t="s">
        <v>1087</v>
      </c>
      <c r="DX1625" s="497" t="s">
        <v>1088</v>
      </c>
      <c r="DZ1625" s="543">
        <v>1</v>
      </c>
      <c r="EB1625" s="493"/>
      <c r="EC1625" s="493"/>
    </row>
    <row r="1626" spans="119:133" ht="21" customHeight="1">
      <c r="DO1626" s="494"/>
      <c r="DP1626" s="496" t="s">
        <v>4277</v>
      </c>
      <c r="DQ1626" s="496" t="s">
        <v>11</v>
      </c>
      <c r="DR1626" s="496" t="s">
        <v>689</v>
      </c>
      <c r="DS1626" s="496" t="s">
        <v>4278</v>
      </c>
      <c r="DT1626" s="496" t="s">
        <v>4278</v>
      </c>
      <c r="DU1626" s="496" t="s">
        <v>1085</v>
      </c>
      <c r="DV1626" s="496" t="s">
        <v>3974</v>
      </c>
      <c r="DW1626" s="496" t="s">
        <v>1087</v>
      </c>
      <c r="DX1626" s="497" t="s">
        <v>1088</v>
      </c>
      <c r="DZ1626" s="543">
        <v>1</v>
      </c>
      <c r="EB1626" s="493"/>
      <c r="EC1626" s="493"/>
    </row>
    <row r="1627" spans="119:133" ht="21" customHeight="1">
      <c r="DO1627" s="494"/>
      <c r="DP1627" s="496" t="s">
        <v>4279</v>
      </c>
      <c r="DQ1627" s="496" t="s">
        <v>11</v>
      </c>
      <c r="DR1627" s="496" t="s">
        <v>689</v>
      </c>
      <c r="DS1627" s="496" t="s">
        <v>4280</v>
      </c>
      <c r="DT1627" s="496" t="s">
        <v>58</v>
      </c>
      <c r="DU1627" s="496" t="s">
        <v>1085</v>
      </c>
      <c r="DV1627" s="496" t="s">
        <v>3974</v>
      </c>
      <c r="DW1627" s="496" t="s">
        <v>1087</v>
      </c>
      <c r="DX1627" s="497" t="s">
        <v>1088</v>
      </c>
      <c r="DZ1627" s="543">
        <v>1</v>
      </c>
      <c r="EB1627" s="493"/>
      <c r="EC1627" s="493"/>
    </row>
    <row r="1628" spans="119:133" ht="21" customHeight="1">
      <c r="DO1628" s="494"/>
      <c r="DP1628" s="496" t="s">
        <v>4281</v>
      </c>
      <c r="DQ1628" s="496" t="s">
        <v>11</v>
      </c>
      <c r="DR1628" s="496" t="s">
        <v>689</v>
      </c>
      <c r="DS1628" s="496" t="s">
        <v>4282</v>
      </c>
      <c r="DT1628" s="496" t="s">
        <v>47</v>
      </c>
      <c r="DU1628" s="496" t="s">
        <v>1085</v>
      </c>
      <c r="DV1628" s="496" t="s">
        <v>3974</v>
      </c>
      <c r="DW1628" s="496" t="s">
        <v>1087</v>
      </c>
      <c r="DX1628" s="497" t="s">
        <v>1088</v>
      </c>
      <c r="DZ1628" s="543">
        <v>1</v>
      </c>
      <c r="EB1628" s="493"/>
      <c r="EC1628" s="493"/>
    </row>
    <row r="1629" spans="119:133" ht="21" customHeight="1">
      <c r="DO1629" s="494"/>
      <c r="DP1629" s="496" t="s">
        <v>4283</v>
      </c>
      <c r="DQ1629" s="496" t="s">
        <v>11</v>
      </c>
      <c r="DR1629" s="496" t="s">
        <v>689</v>
      </c>
      <c r="DS1629" s="496" t="s">
        <v>156</v>
      </c>
      <c r="DT1629" s="496" t="s">
        <v>156</v>
      </c>
      <c r="DU1629" s="496" t="s">
        <v>1085</v>
      </c>
      <c r="DV1629" s="496" t="s">
        <v>3974</v>
      </c>
      <c r="DW1629" s="496" t="s">
        <v>1087</v>
      </c>
      <c r="DX1629" s="497" t="s">
        <v>1088</v>
      </c>
      <c r="DZ1629" s="543">
        <v>1</v>
      </c>
      <c r="EB1629" s="493"/>
      <c r="EC1629" s="493"/>
    </row>
    <row r="1630" spans="119:133" ht="21" customHeight="1">
      <c r="DO1630" s="494"/>
      <c r="DP1630" s="496" t="s">
        <v>4284</v>
      </c>
      <c r="DQ1630" s="496" t="s">
        <v>11</v>
      </c>
      <c r="DR1630" s="496" t="s">
        <v>689</v>
      </c>
      <c r="DS1630" s="496" t="s">
        <v>33</v>
      </c>
      <c r="DT1630" s="496" t="s">
        <v>33</v>
      </c>
      <c r="DU1630" s="496" t="s">
        <v>1085</v>
      </c>
      <c r="DV1630" s="496" t="s">
        <v>3974</v>
      </c>
      <c r="DW1630" s="496" t="s">
        <v>1087</v>
      </c>
      <c r="DX1630" s="497" t="s">
        <v>1088</v>
      </c>
      <c r="DZ1630" s="543">
        <v>1</v>
      </c>
      <c r="EB1630" s="493"/>
      <c r="EC1630" s="493"/>
    </row>
    <row r="1631" spans="119:133" ht="21" customHeight="1">
      <c r="DO1631" s="494"/>
      <c r="DP1631" s="496" t="s">
        <v>4285</v>
      </c>
      <c r="DQ1631" s="496" t="s">
        <v>11</v>
      </c>
      <c r="DR1631" s="496" t="s">
        <v>689</v>
      </c>
      <c r="DS1631" s="496" t="s">
        <v>4286</v>
      </c>
      <c r="DT1631" s="496" t="s">
        <v>4287</v>
      </c>
      <c r="DU1631" s="496" t="s">
        <v>1085</v>
      </c>
      <c r="DV1631" s="496" t="s">
        <v>3974</v>
      </c>
      <c r="DW1631" s="496" t="s">
        <v>1087</v>
      </c>
      <c r="DX1631" s="497" t="s">
        <v>1088</v>
      </c>
      <c r="DZ1631" s="543">
        <v>1</v>
      </c>
      <c r="EB1631" s="493"/>
      <c r="EC1631" s="493"/>
    </row>
    <row r="1632" spans="119:133" ht="21" customHeight="1">
      <c r="DO1632" s="494"/>
      <c r="DP1632" s="496" t="s">
        <v>4288</v>
      </c>
      <c r="DQ1632" s="496" t="s">
        <v>11</v>
      </c>
      <c r="DR1632" s="496" t="s">
        <v>689</v>
      </c>
      <c r="DS1632" s="496" t="s">
        <v>4289</v>
      </c>
      <c r="DT1632" s="496" t="s">
        <v>185</v>
      </c>
      <c r="DU1632" s="496" t="s">
        <v>3959</v>
      </c>
      <c r="DV1632" s="496" t="s">
        <v>3960</v>
      </c>
      <c r="DW1632" s="496" t="s">
        <v>3961</v>
      </c>
      <c r="DX1632" s="497" t="s">
        <v>3962</v>
      </c>
      <c r="DZ1632" s="543">
        <v>1</v>
      </c>
      <c r="EB1632" s="493"/>
      <c r="EC1632" s="493"/>
    </row>
    <row r="1633" spans="119:133" ht="21" customHeight="1">
      <c r="DO1633" s="494"/>
      <c r="DP1633" s="496" t="s">
        <v>4290</v>
      </c>
      <c r="DQ1633" s="496" t="s">
        <v>11</v>
      </c>
      <c r="DR1633" s="496" t="s">
        <v>689</v>
      </c>
      <c r="DS1633" s="496" t="s">
        <v>4291</v>
      </c>
      <c r="DT1633" s="496" t="s">
        <v>4292</v>
      </c>
      <c r="DU1633" s="496" t="s">
        <v>3959</v>
      </c>
      <c r="DV1633" s="496" t="s">
        <v>3960</v>
      </c>
      <c r="DW1633" s="496" t="s">
        <v>3961</v>
      </c>
      <c r="DX1633" s="497" t="s">
        <v>3962</v>
      </c>
      <c r="DZ1633" s="543">
        <v>1</v>
      </c>
      <c r="EB1633" s="493"/>
      <c r="EC1633" s="493"/>
    </row>
    <row r="1634" spans="119:133" ht="21" customHeight="1">
      <c r="DO1634" s="494"/>
      <c r="DP1634" s="496" t="s">
        <v>4293</v>
      </c>
      <c r="DQ1634" s="496" t="s">
        <v>11</v>
      </c>
      <c r="DR1634" s="496" t="s">
        <v>689</v>
      </c>
      <c r="DS1634" s="496" t="s">
        <v>4294</v>
      </c>
      <c r="DT1634" s="496" t="s">
        <v>4295</v>
      </c>
      <c r="DU1634" s="496" t="s">
        <v>3959</v>
      </c>
      <c r="DV1634" s="496" t="s">
        <v>3960</v>
      </c>
      <c r="DW1634" s="496" t="s">
        <v>3961</v>
      </c>
      <c r="DX1634" s="497" t="s">
        <v>3962</v>
      </c>
      <c r="DZ1634" s="543">
        <v>1</v>
      </c>
      <c r="EB1634" s="493"/>
      <c r="EC1634" s="493"/>
    </row>
    <row r="1635" spans="119:133" ht="21" customHeight="1">
      <c r="DO1635" s="494"/>
      <c r="DP1635" s="496" t="s">
        <v>4296</v>
      </c>
      <c r="DQ1635" s="496" t="s">
        <v>11</v>
      </c>
      <c r="DR1635" s="496" t="s">
        <v>689</v>
      </c>
      <c r="DS1635" s="496" t="s">
        <v>4297</v>
      </c>
      <c r="DT1635" s="496" t="s">
        <v>4298</v>
      </c>
      <c r="DU1635" s="496" t="s">
        <v>3959</v>
      </c>
      <c r="DV1635" s="496" t="s">
        <v>3960</v>
      </c>
      <c r="DW1635" s="496" t="s">
        <v>3961</v>
      </c>
      <c r="DX1635" s="497" t="s">
        <v>3962</v>
      </c>
      <c r="DZ1635" s="543">
        <v>1</v>
      </c>
      <c r="EB1635" s="493"/>
      <c r="EC1635" s="493"/>
    </row>
    <row r="1636" spans="119:133" ht="21" customHeight="1">
      <c r="DO1636" s="494"/>
      <c r="DP1636" s="496" t="s">
        <v>4299</v>
      </c>
      <c r="DQ1636" s="496" t="s">
        <v>11</v>
      </c>
      <c r="DR1636" s="496" t="s">
        <v>689</v>
      </c>
      <c r="DS1636" s="496" t="s">
        <v>4300</v>
      </c>
      <c r="DT1636" s="496" t="s">
        <v>4300</v>
      </c>
      <c r="DU1636" s="496" t="s">
        <v>3959</v>
      </c>
      <c r="DV1636" s="496" t="s">
        <v>3960</v>
      </c>
      <c r="DW1636" s="496" t="s">
        <v>3961</v>
      </c>
      <c r="DX1636" s="497" t="s">
        <v>3962</v>
      </c>
      <c r="DZ1636" s="543">
        <v>1</v>
      </c>
      <c r="EB1636" s="493"/>
      <c r="EC1636" s="493"/>
    </row>
    <row r="1637" spans="119:133" ht="21" customHeight="1">
      <c r="DO1637" s="494"/>
      <c r="DP1637" s="496" t="s">
        <v>4301</v>
      </c>
      <c r="DQ1637" s="496" t="s">
        <v>11</v>
      </c>
      <c r="DR1637" s="496" t="s">
        <v>689</v>
      </c>
      <c r="DS1637" s="496" t="s">
        <v>4302</v>
      </c>
      <c r="DT1637" s="496" t="s">
        <v>4303</v>
      </c>
      <c r="DU1637" s="496" t="s">
        <v>3959</v>
      </c>
      <c r="DV1637" s="496" t="s">
        <v>3960</v>
      </c>
      <c r="DW1637" s="496" t="s">
        <v>3961</v>
      </c>
      <c r="DX1637" s="497" t="s">
        <v>3962</v>
      </c>
      <c r="DZ1637" s="543">
        <v>1</v>
      </c>
      <c r="EB1637" s="493"/>
      <c r="EC1637" s="493"/>
    </row>
    <row r="1638" spans="119:133" ht="21" customHeight="1">
      <c r="DO1638" s="494"/>
      <c r="DP1638" s="496" t="s">
        <v>4304</v>
      </c>
      <c r="DQ1638" s="496" t="s">
        <v>11</v>
      </c>
      <c r="DR1638" s="496" t="s">
        <v>689</v>
      </c>
      <c r="DS1638" s="496" t="s">
        <v>4305</v>
      </c>
      <c r="DT1638" s="496" t="s">
        <v>4305</v>
      </c>
      <c r="DU1638" s="496" t="s">
        <v>3959</v>
      </c>
      <c r="DV1638" s="496" t="s">
        <v>3960</v>
      </c>
      <c r="DW1638" s="496" t="s">
        <v>3961</v>
      </c>
      <c r="DX1638" s="497" t="s">
        <v>3962</v>
      </c>
      <c r="DZ1638" s="543">
        <v>1</v>
      </c>
      <c r="EB1638" s="493"/>
      <c r="EC1638" s="493"/>
    </row>
    <row r="1639" spans="119:133" ht="21" customHeight="1">
      <c r="DO1639" s="494"/>
      <c r="DP1639" s="496" t="s">
        <v>4306</v>
      </c>
      <c r="DQ1639" s="496" t="s">
        <v>11</v>
      </c>
      <c r="DR1639" s="496" t="s">
        <v>689</v>
      </c>
      <c r="DS1639" s="496" t="s">
        <v>4307</v>
      </c>
      <c r="DT1639" s="496" t="s">
        <v>4307</v>
      </c>
      <c r="DU1639" s="496" t="s">
        <v>3959</v>
      </c>
      <c r="DV1639" s="496" t="s">
        <v>3960</v>
      </c>
      <c r="DW1639" s="496" t="s">
        <v>3961</v>
      </c>
      <c r="DX1639" s="497" t="s">
        <v>3962</v>
      </c>
      <c r="DZ1639" s="543">
        <v>1</v>
      </c>
      <c r="EB1639" s="493"/>
      <c r="EC1639" s="493"/>
    </row>
    <row r="1640" spans="119:133" ht="21" customHeight="1">
      <c r="DO1640" s="494"/>
      <c r="DP1640" s="496" t="s">
        <v>4308</v>
      </c>
      <c r="DQ1640" s="496" t="s">
        <v>11</v>
      </c>
      <c r="DR1640" s="496" t="s">
        <v>689</v>
      </c>
      <c r="DS1640" s="496" t="s">
        <v>4309</v>
      </c>
      <c r="DT1640" s="496" t="s">
        <v>4309</v>
      </c>
      <c r="DU1640" s="496" t="s">
        <v>3959</v>
      </c>
      <c r="DV1640" s="496" t="s">
        <v>3960</v>
      </c>
      <c r="DW1640" s="496" t="s">
        <v>3961</v>
      </c>
      <c r="DX1640" s="497" t="s">
        <v>3962</v>
      </c>
      <c r="DZ1640" s="543">
        <v>1</v>
      </c>
      <c r="EB1640" s="493"/>
      <c r="EC1640" s="493"/>
    </row>
    <row r="1641" spans="119:133" ht="21" customHeight="1">
      <c r="DO1641" s="494"/>
      <c r="DP1641" s="496" t="s">
        <v>4310</v>
      </c>
      <c r="DQ1641" s="496" t="s">
        <v>11</v>
      </c>
      <c r="DR1641" s="496" t="s">
        <v>689</v>
      </c>
      <c r="DS1641" s="496" t="s">
        <v>4311</v>
      </c>
      <c r="DT1641" s="496" t="s">
        <v>4311</v>
      </c>
      <c r="DU1641" s="496" t="s">
        <v>3959</v>
      </c>
      <c r="DV1641" s="496" t="s">
        <v>3960</v>
      </c>
      <c r="DW1641" s="496" t="s">
        <v>3961</v>
      </c>
      <c r="DX1641" s="497" t="s">
        <v>3962</v>
      </c>
      <c r="DZ1641" s="543">
        <v>1</v>
      </c>
      <c r="EB1641" s="493"/>
      <c r="EC1641" s="493"/>
    </row>
    <row r="1642" spans="119:133" ht="21" customHeight="1">
      <c r="DO1642" s="494"/>
      <c r="DP1642" s="496" t="s">
        <v>4312</v>
      </c>
      <c r="DQ1642" s="496" t="s">
        <v>11</v>
      </c>
      <c r="DR1642" s="496" t="s">
        <v>689</v>
      </c>
      <c r="DS1642" s="496" t="s">
        <v>4313</v>
      </c>
      <c r="DT1642" s="496" t="s">
        <v>4313</v>
      </c>
      <c r="DU1642" s="496" t="s">
        <v>1085</v>
      </c>
      <c r="DV1642" s="496" t="s">
        <v>3974</v>
      </c>
      <c r="DW1642" s="496" t="s">
        <v>1087</v>
      </c>
      <c r="DX1642" s="497" t="s">
        <v>1088</v>
      </c>
      <c r="DZ1642" s="543">
        <v>1</v>
      </c>
      <c r="EB1642" s="493"/>
      <c r="EC1642" s="493"/>
    </row>
    <row r="1643" spans="119:133" ht="21" customHeight="1">
      <c r="DO1643" s="494"/>
      <c r="DP1643" s="496" t="s">
        <v>4314</v>
      </c>
      <c r="DQ1643" s="496" t="s">
        <v>11</v>
      </c>
      <c r="DR1643" s="496" t="s">
        <v>689</v>
      </c>
      <c r="DS1643" s="496" t="s">
        <v>976</v>
      </c>
      <c r="DT1643" s="496" t="s">
        <v>976</v>
      </c>
      <c r="DU1643" s="496" t="s">
        <v>3959</v>
      </c>
      <c r="DV1643" s="496" t="s">
        <v>3960</v>
      </c>
      <c r="DW1643" s="496" t="s">
        <v>3961</v>
      </c>
      <c r="DX1643" s="497" t="s">
        <v>3962</v>
      </c>
      <c r="DZ1643" s="543">
        <v>1</v>
      </c>
      <c r="EB1643" s="493"/>
      <c r="EC1643" s="493"/>
    </row>
    <row r="1644" spans="119:133" ht="21" customHeight="1">
      <c r="DO1644" s="494"/>
      <c r="DP1644" s="496" t="s">
        <v>4315</v>
      </c>
      <c r="DQ1644" s="496" t="s">
        <v>11</v>
      </c>
      <c r="DR1644" s="496" t="s">
        <v>689</v>
      </c>
      <c r="DS1644" s="496" t="s">
        <v>4316</v>
      </c>
      <c r="DT1644" s="496" t="s">
        <v>4317</v>
      </c>
      <c r="DU1644" s="496" t="s">
        <v>3959</v>
      </c>
      <c r="DV1644" s="496" t="s">
        <v>3960</v>
      </c>
      <c r="DW1644" s="496" t="s">
        <v>3961</v>
      </c>
      <c r="DX1644" s="497" t="s">
        <v>3962</v>
      </c>
      <c r="DZ1644" s="543">
        <v>1</v>
      </c>
      <c r="EB1644" s="493"/>
      <c r="EC1644" s="493"/>
    </row>
    <row r="1645" spans="119:133" ht="21" customHeight="1">
      <c r="DO1645" s="494"/>
      <c r="DP1645" s="496" t="s">
        <v>4318</v>
      </c>
      <c r="DQ1645" s="496" t="s">
        <v>11</v>
      </c>
      <c r="DR1645" s="496" t="s">
        <v>689</v>
      </c>
      <c r="DS1645" s="496" t="s">
        <v>4319</v>
      </c>
      <c r="DT1645" s="496" t="s">
        <v>4319</v>
      </c>
      <c r="DU1645" s="496" t="s">
        <v>3959</v>
      </c>
      <c r="DV1645" s="496" t="s">
        <v>3960</v>
      </c>
      <c r="DW1645" s="496" t="s">
        <v>3961</v>
      </c>
      <c r="DX1645" s="497" t="s">
        <v>3962</v>
      </c>
      <c r="DZ1645" s="543">
        <v>1</v>
      </c>
      <c r="EB1645" s="493"/>
      <c r="EC1645" s="493"/>
    </row>
    <row r="1646" spans="119:133" ht="21" customHeight="1">
      <c r="DO1646" s="494"/>
      <c r="DP1646" s="496" t="s">
        <v>4320</v>
      </c>
      <c r="DQ1646" s="496" t="s">
        <v>11</v>
      </c>
      <c r="DR1646" s="496" t="s">
        <v>689</v>
      </c>
      <c r="DS1646" s="496" t="s">
        <v>4321</v>
      </c>
      <c r="DT1646" s="496" t="s">
        <v>4321</v>
      </c>
      <c r="DU1646" s="496" t="s">
        <v>3959</v>
      </c>
      <c r="DV1646" s="496" t="s">
        <v>3960</v>
      </c>
      <c r="DW1646" s="496" t="s">
        <v>3961</v>
      </c>
      <c r="DX1646" s="497" t="s">
        <v>3962</v>
      </c>
      <c r="DZ1646" s="543">
        <v>1</v>
      </c>
      <c r="EB1646" s="493"/>
      <c r="EC1646" s="493"/>
    </row>
    <row r="1647" spans="119:133" ht="21" customHeight="1">
      <c r="DO1647" s="494"/>
      <c r="DP1647" s="496" t="s">
        <v>4322</v>
      </c>
      <c r="DQ1647" s="496" t="s">
        <v>11</v>
      </c>
      <c r="DR1647" s="496" t="s">
        <v>689</v>
      </c>
      <c r="DS1647" s="496" t="s">
        <v>4323</v>
      </c>
      <c r="DT1647" s="496" t="s">
        <v>4323</v>
      </c>
      <c r="DU1647" s="496" t="s">
        <v>1085</v>
      </c>
      <c r="DV1647" s="496" t="s">
        <v>3974</v>
      </c>
      <c r="DW1647" s="496" t="s">
        <v>1087</v>
      </c>
      <c r="DX1647" s="497" t="s">
        <v>1088</v>
      </c>
      <c r="DZ1647" s="543">
        <v>1</v>
      </c>
      <c r="EB1647" s="493"/>
      <c r="EC1647" s="493"/>
    </row>
    <row r="1648" spans="119:133" ht="21" customHeight="1">
      <c r="DO1648" s="494"/>
      <c r="DP1648" s="496" t="s">
        <v>4324</v>
      </c>
      <c r="DQ1648" s="496" t="s">
        <v>11</v>
      </c>
      <c r="DR1648" s="496" t="s">
        <v>689</v>
      </c>
      <c r="DS1648" s="496" t="s">
        <v>4325</v>
      </c>
      <c r="DT1648" s="496" t="s">
        <v>4325</v>
      </c>
      <c r="DU1648" s="496" t="s">
        <v>1085</v>
      </c>
      <c r="DV1648" s="496" t="s">
        <v>3974</v>
      </c>
      <c r="DW1648" s="496" t="s">
        <v>1087</v>
      </c>
      <c r="DX1648" s="497" t="s">
        <v>1088</v>
      </c>
      <c r="DZ1648" s="543">
        <v>1</v>
      </c>
      <c r="EB1648" s="493"/>
      <c r="EC1648" s="493"/>
    </row>
    <row r="1649" spans="119:133" ht="21" customHeight="1">
      <c r="DO1649" s="494"/>
      <c r="DP1649" s="496" t="s">
        <v>4326</v>
      </c>
      <c r="DQ1649" s="496" t="s">
        <v>11</v>
      </c>
      <c r="DR1649" s="496" t="s">
        <v>689</v>
      </c>
      <c r="DS1649" s="496" t="s">
        <v>4327</v>
      </c>
      <c r="DT1649" s="496" t="s">
        <v>4328</v>
      </c>
      <c r="DU1649" s="496" t="s">
        <v>3959</v>
      </c>
      <c r="DV1649" s="496" t="s">
        <v>3960</v>
      </c>
      <c r="DW1649" s="496" t="s">
        <v>3961</v>
      </c>
      <c r="DX1649" s="497" t="s">
        <v>3962</v>
      </c>
      <c r="DZ1649" s="543">
        <v>1</v>
      </c>
      <c r="EB1649" s="493"/>
      <c r="EC1649" s="493"/>
    </row>
    <row r="1650" spans="119:133" ht="21" customHeight="1">
      <c r="DO1650" s="494"/>
      <c r="DP1650" s="496" t="s">
        <v>4329</v>
      </c>
      <c r="DQ1650" s="496" t="s">
        <v>11</v>
      </c>
      <c r="DR1650" s="496" t="s">
        <v>689</v>
      </c>
      <c r="DS1650" s="496" t="s">
        <v>330</v>
      </c>
      <c r="DT1650" s="496" t="s">
        <v>330</v>
      </c>
      <c r="DU1650" s="496" t="s">
        <v>1151</v>
      </c>
      <c r="DV1650" s="496" t="s">
        <v>1152</v>
      </c>
      <c r="DW1650" s="496" t="s">
        <v>1087</v>
      </c>
      <c r="DX1650" s="497" t="s">
        <v>1153</v>
      </c>
      <c r="DZ1650" s="543">
        <v>1</v>
      </c>
      <c r="EB1650" s="493"/>
      <c r="EC1650" s="493"/>
    </row>
    <row r="1651" spans="119:133" ht="21" customHeight="1">
      <c r="DO1651" s="494"/>
      <c r="DP1651" s="496" t="s">
        <v>4330</v>
      </c>
      <c r="DQ1651" s="496" t="s">
        <v>11</v>
      </c>
      <c r="DR1651" s="496" t="s">
        <v>689</v>
      </c>
      <c r="DS1651" s="496" t="s">
        <v>4331</v>
      </c>
      <c r="DT1651" s="496" t="s">
        <v>4331</v>
      </c>
      <c r="DU1651" s="496" t="s">
        <v>1085</v>
      </c>
      <c r="DV1651" s="496" t="s">
        <v>3974</v>
      </c>
      <c r="DW1651" s="496" t="s">
        <v>1087</v>
      </c>
      <c r="DX1651" s="497" t="s">
        <v>1088</v>
      </c>
      <c r="DZ1651" s="543">
        <v>1</v>
      </c>
      <c r="EB1651" s="493"/>
      <c r="EC1651" s="493"/>
    </row>
    <row r="1652" spans="119:133" ht="21" customHeight="1">
      <c r="DO1652" s="494"/>
      <c r="DP1652" s="496" t="s">
        <v>4332</v>
      </c>
      <c r="DQ1652" s="496" t="s">
        <v>11</v>
      </c>
      <c r="DR1652" s="496" t="s">
        <v>689</v>
      </c>
      <c r="DS1652" s="496" t="s">
        <v>977</v>
      </c>
      <c r="DT1652" s="496" t="s">
        <v>977</v>
      </c>
      <c r="DU1652" s="496" t="s">
        <v>1085</v>
      </c>
      <c r="DV1652" s="496" t="s">
        <v>3974</v>
      </c>
      <c r="DW1652" s="496" t="s">
        <v>1087</v>
      </c>
      <c r="DX1652" s="497" t="s">
        <v>1088</v>
      </c>
      <c r="DZ1652" s="543">
        <v>1</v>
      </c>
      <c r="EB1652" s="493"/>
      <c r="EC1652" s="493"/>
    </row>
    <row r="1653" spans="119:133" ht="21" customHeight="1">
      <c r="DO1653" s="494"/>
      <c r="DP1653" s="496" t="s">
        <v>4333</v>
      </c>
      <c r="DQ1653" s="496" t="s">
        <v>11</v>
      </c>
      <c r="DR1653" s="496" t="s">
        <v>689</v>
      </c>
      <c r="DS1653" s="496" t="s">
        <v>4334</v>
      </c>
      <c r="DT1653" s="496" t="s">
        <v>4335</v>
      </c>
      <c r="DU1653" s="496" t="s">
        <v>3959</v>
      </c>
      <c r="DV1653" s="496" t="s">
        <v>3960</v>
      </c>
      <c r="DW1653" s="496" t="s">
        <v>3961</v>
      </c>
      <c r="DX1653" s="497" t="s">
        <v>3962</v>
      </c>
      <c r="DZ1653" s="543">
        <v>1</v>
      </c>
      <c r="EB1653" s="493"/>
      <c r="EC1653" s="493"/>
    </row>
    <row r="1654" spans="119:133" ht="21" customHeight="1">
      <c r="DO1654" s="494"/>
      <c r="DP1654" s="496" t="s">
        <v>4336</v>
      </c>
      <c r="DQ1654" s="496" t="s">
        <v>11</v>
      </c>
      <c r="DR1654" s="496" t="s">
        <v>689</v>
      </c>
      <c r="DS1654" s="496" t="s">
        <v>4337</v>
      </c>
      <c r="DT1654" s="496" t="s">
        <v>4337</v>
      </c>
      <c r="DU1654" s="496" t="s">
        <v>3959</v>
      </c>
      <c r="DV1654" s="496" t="s">
        <v>3960</v>
      </c>
      <c r="DW1654" s="496" t="s">
        <v>3961</v>
      </c>
      <c r="DX1654" s="497" t="s">
        <v>3962</v>
      </c>
      <c r="DZ1654" s="543">
        <v>1</v>
      </c>
      <c r="EB1654" s="493"/>
      <c r="EC1654" s="493"/>
    </row>
    <row r="1655" spans="119:133" ht="21" customHeight="1">
      <c r="DO1655" s="494"/>
      <c r="DP1655" s="496" t="s">
        <v>4338</v>
      </c>
      <c r="DQ1655" s="496" t="s">
        <v>11</v>
      </c>
      <c r="DR1655" s="496" t="s">
        <v>689</v>
      </c>
      <c r="DS1655" s="496" t="s">
        <v>978</v>
      </c>
      <c r="DT1655" s="496" t="s">
        <v>978</v>
      </c>
      <c r="DU1655" s="496" t="s">
        <v>3959</v>
      </c>
      <c r="DV1655" s="496" t="s">
        <v>3960</v>
      </c>
      <c r="DW1655" s="496" t="s">
        <v>3961</v>
      </c>
      <c r="DX1655" s="497" t="s">
        <v>3962</v>
      </c>
      <c r="DZ1655" s="543">
        <v>1</v>
      </c>
      <c r="EB1655" s="493"/>
      <c r="EC1655" s="493"/>
    </row>
    <row r="1656" spans="119:133" ht="21" customHeight="1">
      <c r="DO1656" s="494"/>
      <c r="DP1656" s="496" t="s">
        <v>4339</v>
      </c>
      <c r="DQ1656" s="496" t="s">
        <v>11</v>
      </c>
      <c r="DR1656" s="496" t="s">
        <v>689</v>
      </c>
      <c r="DS1656" s="496" t="s">
        <v>981</v>
      </c>
      <c r="DT1656" s="496" t="s">
        <v>981</v>
      </c>
      <c r="DU1656" s="496" t="s">
        <v>1085</v>
      </c>
      <c r="DV1656" s="496" t="s">
        <v>3974</v>
      </c>
      <c r="DW1656" s="496" t="s">
        <v>1087</v>
      </c>
      <c r="DX1656" s="497" t="s">
        <v>1088</v>
      </c>
      <c r="DZ1656" s="543">
        <v>1</v>
      </c>
      <c r="EB1656" s="493"/>
      <c r="EC1656" s="493"/>
    </row>
    <row r="1657" spans="119:133" ht="21" customHeight="1">
      <c r="DO1657" s="494"/>
      <c r="DP1657" s="496" t="s">
        <v>4340</v>
      </c>
      <c r="DQ1657" s="496" t="s">
        <v>11</v>
      </c>
      <c r="DR1657" s="496" t="s">
        <v>689</v>
      </c>
      <c r="DS1657" s="496" t="s">
        <v>4341</v>
      </c>
      <c r="DT1657" s="496" t="s">
        <v>4341</v>
      </c>
      <c r="DU1657" s="496" t="s">
        <v>3959</v>
      </c>
      <c r="DV1657" s="496" t="s">
        <v>3960</v>
      </c>
      <c r="DW1657" s="496" t="s">
        <v>3961</v>
      </c>
      <c r="DX1657" s="497" t="s">
        <v>3962</v>
      </c>
      <c r="DZ1657" s="543">
        <v>1</v>
      </c>
      <c r="EB1657" s="493"/>
      <c r="EC1657" s="493"/>
    </row>
    <row r="1658" spans="119:133" ht="21" customHeight="1">
      <c r="DO1658" s="494"/>
      <c r="DP1658" s="496" t="s">
        <v>4342</v>
      </c>
      <c r="DQ1658" s="496" t="s">
        <v>11</v>
      </c>
      <c r="DR1658" s="496" t="s">
        <v>689</v>
      </c>
      <c r="DS1658" s="496" t="s">
        <v>982</v>
      </c>
      <c r="DT1658" s="496" t="s">
        <v>982</v>
      </c>
      <c r="DU1658" s="496" t="s">
        <v>1085</v>
      </c>
      <c r="DV1658" s="496" t="s">
        <v>3974</v>
      </c>
      <c r="DW1658" s="496" t="s">
        <v>1087</v>
      </c>
      <c r="DX1658" s="497" t="s">
        <v>1088</v>
      </c>
      <c r="DZ1658" s="543">
        <v>1</v>
      </c>
      <c r="EB1658" s="493"/>
      <c r="EC1658" s="493"/>
    </row>
    <row r="1659" spans="119:133" ht="21" customHeight="1">
      <c r="DO1659" s="494"/>
      <c r="DP1659" s="496" t="s">
        <v>4343</v>
      </c>
      <c r="DQ1659" s="496" t="s">
        <v>11</v>
      </c>
      <c r="DR1659" s="496" t="s">
        <v>689</v>
      </c>
      <c r="DS1659" s="496" t="s">
        <v>4344</v>
      </c>
      <c r="DT1659" s="496" t="s">
        <v>4344</v>
      </c>
      <c r="DU1659" s="496" t="s">
        <v>3959</v>
      </c>
      <c r="DV1659" s="496" t="s">
        <v>3960</v>
      </c>
      <c r="DW1659" s="496" t="s">
        <v>3961</v>
      </c>
      <c r="DX1659" s="497" t="s">
        <v>3962</v>
      </c>
      <c r="DZ1659" s="543">
        <v>1</v>
      </c>
      <c r="EB1659" s="493"/>
      <c r="EC1659" s="493"/>
    </row>
    <row r="1660" spans="119:133" ht="21" customHeight="1">
      <c r="DO1660" s="494"/>
      <c r="DP1660" s="496" t="s">
        <v>4345</v>
      </c>
      <c r="DQ1660" s="496" t="s">
        <v>11</v>
      </c>
      <c r="DR1660" s="496" t="s">
        <v>689</v>
      </c>
      <c r="DS1660" s="496" t="s">
        <v>4346</v>
      </c>
      <c r="DT1660" s="496" t="s">
        <v>4347</v>
      </c>
      <c r="DU1660" s="496" t="s">
        <v>3959</v>
      </c>
      <c r="DV1660" s="496" t="s">
        <v>3960</v>
      </c>
      <c r="DW1660" s="496" t="s">
        <v>3961</v>
      </c>
      <c r="DX1660" s="497" t="s">
        <v>3962</v>
      </c>
      <c r="DZ1660" s="543">
        <v>1</v>
      </c>
      <c r="EB1660" s="493"/>
      <c r="EC1660" s="493"/>
    </row>
    <row r="1661" spans="119:133" ht="21" customHeight="1">
      <c r="DO1661" s="494"/>
      <c r="DP1661" s="496" t="s">
        <v>4348</v>
      </c>
      <c r="DQ1661" s="496" t="s">
        <v>11</v>
      </c>
      <c r="DR1661" s="496" t="s">
        <v>689</v>
      </c>
      <c r="DS1661" s="496" t="s">
        <v>4349</v>
      </c>
      <c r="DT1661" s="496" t="s">
        <v>983</v>
      </c>
      <c r="DU1661" s="496" t="s">
        <v>3959</v>
      </c>
      <c r="DV1661" s="496" t="s">
        <v>3960</v>
      </c>
      <c r="DW1661" s="496" t="s">
        <v>3961</v>
      </c>
      <c r="DX1661" s="497" t="s">
        <v>3962</v>
      </c>
      <c r="DZ1661" s="543">
        <v>1</v>
      </c>
      <c r="EB1661" s="493"/>
      <c r="EC1661" s="493"/>
    </row>
    <row r="1662" spans="119:133" ht="21" customHeight="1">
      <c r="DO1662" s="494"/>
      <c r="DP1662" s="496" t="s">
        <v>4350</v>
      </c>
      <c r="DQ1662" s="496" t="s">
        <v>11</v>
      </c>
      <c r="DR1662" s="496" t="s">
        <v>689</v>
      </c>
      <c r="DS1662" s="496" t="s">
        <v>4351</v>
      </c>
      <c r="DT1662" s="496" t="s">
        <v>4351</v>
      </c>
      <c r="DU1662" s="496" t="s">
        <v>3959</v>
      </c>
      <c r="DV1662" s="496" t="s">
        <v>3960</v>
      </c>
      <c r="DW1662" s="496" t="s">
        <v>3961</v>
      </c>
      <c r="DX1662" s="497" t="s">
        <v>3962</v>
      </c>
      <c r="DZ1662" s="543">
        <v>1</v>
      </c>
      <c r="EB1662" s="493"/>
      <c r="EC1662" s="493"/>
    </row>
    <row r="1663" spans="119:133" ht="21" customHeight="1">
      <c r="DO1663" s="494"/>
      <c r="DP1663" s="496" t="s">
        <v>4352</v>
      </c>
      <c r="DQ1663" s="496" t="s">
        <v>11</v>
      </c>
      <c r="DR1663" s="496" t="s">
        <v>689</v>
      </c>
      <c r="DS1663" s="496" t="s">
        <v>985</v>
      </c>
      <c r="DT1663" s="496" t="s">
        <v>985</v>
      </c>
      <c r="DU1663" s="496" t="s">
        <v>1085</v>
      </c>
      <c r="DV1663" s="496" t="s">
        <v>3974</v>
      </c>
      <c r="DW1663" s="496" t="s">
        <v>1087</v>
      </c>
      <c r="DX1663" s="497" t="s">
        <v>1088</v>
      </c>
      <c r="DZ1663" s="543">
        <v>1</v>
      </c>
      <c r="EB1663" s="493"/>
      <c r="EC1663" s="493"/>
    </row>
    <row r="1664" spans="119:133" ht="21" customHeight="1">
      <c r="DO1664" s="494"/>
      <c r="DP1664" s="496" t="s">
        <v>4353</v>
      </c>
      <c r="DQ1664" s="496" t="s">
        <v>11</v>
      </c>
      <c r="DR1664" s="496" t="s">
        <v>689</v>
      </c>
      <c r="DS1664" s="496" t="s">
        <v>4354</v>
      </c>
      <c r="DT1664" s="496" t="s">
        <v>4355</v>
      </c>
      <c r="DU1664" s="496" t="s">
        <v>3959</v>
      </c>
      <c r="DV1664" s="496" t="s">
        <v>3960</v>
      </c>
      <c r="DW1664" s="496" t="s">
        <v>3961</v>
      </c>
      <c r="DX1664" s="497" t="s">
        <v>3962</v>
      </c>
      <c r="DZ1664" s="543">
        <v>1</v>
      </c>
      <c r="EB1664" s="493"/>
      <c r="EC1664" s="493"/>
    </row>
    <row r="1665" spans="119:133" ht="21" customHeight="1">
      <c r="DO1665" s="494"/>
      <c r="DP1665" s="496" t="s">
        <v>4356</v>
      </c>
      <c r="DQ1665" s="496" t="s">
        <v>11</v>
      </c>
      <c r="DR1665" s="496" t="s">
        <v>689</v>
      </c>
      <c r="DS1665" s="496" t="s">
        <v>4357</v>
      </c>
      <c r="DT1665" s="496" t="s">
        <v>4357</v>
      </c>
      <c r="DU1665" s="496" t="s">
        <v>1085</v>
      </c>
      <c r="DV1665" s="496" t="s">
        <v>3974</v>
      </c>
      <c r="DW1665" s="496" t="s">
        <v>1087</v>
      </c>
      <c r="DX1665" s="497" t="s">
        <v>1088</v>
      </c>
      <c r="DZ1665" s="543">
        <v>1</v>
      </c>
      <c r="EB1665" s="493"/>
      <c r="EC1665" s="493"/>
    </row>
    <row r="1666" spans="119:133" ht="21" customHeight="1">
      <c r="DO1666" s="494"/>
      <c r="DP1666" s="496" t="s">
        <v>4358</v>
      </c>
      <c r="DQ1666" s="496" t="s">
        <v>11</v>
      </c>
      <c r="DR1666" s="496" t="s">
        <v>689</v>
      </c>
      <c r="DS1666" s="496" t="s">
        <v>4359</v>
      </c>
      <c r="DT1666" s="496" t="s">
        <v>4359</v>
      </c>
      <c r="DU1666" s="496" t="s">
        <v>3959</v>
      </c>
      <c r="DV1666" s="496" t="s">
        <v>3960</v>
      </c>
      <c r="DW1666" s="496" t="s">
        <v>3961</v>
      </c>
      <c r="DX1666" s="497" t="s">
        <v>3962</v>
      </c>
      <c r="DZ1666" s="543">
        <v>1</v>
      </c>
      <c r="EB1666" s="493"/>
      <c r="EC1666" s="493"/>
    </row>
    <row r="1667" spans="119:133" ht="21" customHeight="1">
      <c r="DO1667" s="494"/>
      <c r="DP1667" s="496" t="s">
        <v>4360</v>
      </c>
      <c r="DQ1667" s="496" t="s">
        <v>11</v>
      </c>
      <c r="DR1667" s="496" t="s">
        <v>689</v>
      </c>
      <c r="DS1667" s="496" t="s">
        <v>4361</v>
      </c>
      <c r="DT1667" s="496" t="s">
        <v>4362</v>
      </c>
      <c r="DU1667" s="496" t="s">
        <v>3959</v>
      </c>
      <c r="DV1667" s="496" t="s">
        <v>3960</v>
      </c>
      <c r="DW1667" s="496" t="s">
        <v>3961</v>
      </c>
      <c r="DX1667" s="497" t="s">
        <v>3962</v>
      </c>
      <c r="DZ1667" s="543">
        <v>1</v>
      </c>
      <c r="EB1667" s="493"/>
      <c r="EC1667" s="493"/>
    </row>
    <row r="1668" spans="119:133" ht="21" customHeight="1">
      <c r="DO1668" s="494"/>
      <c r="DP1668" s="496" t="s">
        <v>4363</v>
      </c>
      <c r="DQ1668" s="496" t="s">
        <v>11</v>
      </c>
      <c r="DR1668" s="496" t="s">
        <v>689</v>
      </c>
      <c r="DS1668" s="496" t="s">
        <v>4364</v>
      </c>
      <c r="DT1668" s="496" t="s">
        <v>4365</v>
      </c>
      <c r="DU1668" s="496" t="s">
        <v>3959</v>
      </c>
      <c r="DV1668" s="496" t="s">
        <v>3960</v>
      </c>
      <c r="DW1668" s="496" t="s">
        <v>3961</v>
      </c>
      <c r="DX1668" s="497" t="s">
        <v>3962</v>
      </c>
      <c r="DZ1668" s="543">
        <v>1</v>
      </c>
      <c r="EB1668" s="493"/>
      <c r="EC1668" s="493"/>
    </row>
    <row r="1669" spans="119:133" ht="21" customHeight="1">
      <c r="DO1669" s="494"/>
      <c r="DP1669" s="496" t="s">
        <v>4366</v>
      </c>
      <c r="DQ1669" s="496" t="s">
        <v>11</v>
      </c>
      <c r="DR1669" s="496" t="s">
        <v>689</v>
      </c>
      <c r="DS1669" s="496" t="s">
        <v>4367</v>
      </c>
      <c r="DT1669" s="496" t="s">
        <v>4368</v>
      </c>
      <c r="DU1669" s="496" t="s">
        <v>3959</v>
      </c>
      <c r="DV1669" s="496" t="s">
        <v>3960</v>
      </c>
      <c r="DW1669" s="496" t="s">
        <v>3961</v>
      </c>
      <c r="DX1669" s="497" t="s">
        <v>3962</v>
      </c>
      <c r="DZ1669" s="543">
        <v>1</v>
      </c>
      <c r="EB1669" s="493"/>
      <c r="EC1669" s="493"/>
    </row>
    <row r="1670" spans="119:133" ht="21" customHeight="1">
      <c r="DO1670" s="494"/>
      <c r="DP1670" s="496" t="s">
        <v>4369</v>
      </c>
      <c r="DQ1670" s="496" t="s">
        <v>11</v>
      </c>
      <c r="DR1670" s="496" t="s">
        <v>689</v>
      </c>
      <c r="DS1670" s="496" t="s">
        <v>4370</v>
      </c>
      <c r="DT1670" s="496" t="s">
        <v>4370</v>
      </c>
      <c r="DU1670" s="496" t="s">
        <v>1085</v>
      </c>
      <c r="DV1670" s="496" t="s">
        <v>3974</v>
      </c>
      <c r="DW1670" s="496" t="s">
        <v>1087</v>
      </c>
      <c r="DX1670" s="497" t="s">
        <v>1088</v>
      </c>
      <c r="DZ1670" s="543">
        <v>1</v>
      </c>
      <c r="EB1670" s="493"/>
      <c r="EC1670" s="493"/>
    </row>
    <row r="1671" spans="119:133" ht="21" customHeight="1">
      <c r="DO1671" s="494"/>
      <c r="DP1671" s="496" t="s">
        <v>4371</v>
      </c>
      <c r="DQ1671" s="496" t="s">
        <v>11</v>
      </c>
      <c r="DR1671" s="496" t="s">
        <v>689</v>
      </c>
      <c r="DS1671" s="496" t="s">
        <v>4372</v>
      </c>
      <c r="DT1671" s="496" t="s">
        <v>4372</v>
      </c>
      <c r="DU1671" s="496" t="s">
        <v>3959</v>
      </c>
      <c r="DV1671" s="496" t="s">
        <v>3960</v>
      </c>
      <c r="DW1671" s="496" t="s">
        <v>3961</v>
      </c>
      <c r="DX1671" s="497" t="s">
        <v>3962</v>
      </c>
      <c r="DZ1671" s="543">
        <v>1</v>
      </c>
      <c r="EB1671" s="493"/>
      <c r="EC1671" s="493"/>
    </row>
    <row r="1672" spans="119:133" ht="21" customHeight="1">
      <c r="DO1672" s="494"/>
      <c r="DP1672" s="496" t="s">
        <v>4373</v>
      </c>
      <c r="DQ1672" s="496" t="s">
        <v>11</v>
      </c>
      <c r="DR1672" s="496" t="s">
        <v>689</v>
      </c>
      <c r="DS1672" s="496" t="s">
        <v>4374</v>
      </c>
      <c r="DT1672" s="496" t="s">
        <v>4375</v>
      </c>
      <c r="DU1672" s="496" t="s">
        <v>3959</v>
      </c>
      <c r="DV1672" s="496" t="s">
        <v>3960</v>
      </c>
      <c r="DW1672" s="496" t="s">
        <v>3961</v>
      </c>
      <c r="DX1672" s="497" t="s">
        <v>3962</v>
      </c>
      <c r="DZ1672" s="543">
        <v>1</v>
      </c>
      <c r="EB1672" s="493"/>
      <c r="EC1672" s="493"/>
    </row>
    <row r="1673" spans="119:133" ht="21" customHeight="1">
      <c r="DO1673" s="494"/>
      <c r="DP1673" s="496" t="s">
        <v>4376</v>
      </c>
      <c r="DQ1673" s="496" t="s">
        <v>11</v>
      </c>
      <c r="DR1673" s="496" t="s">
        <v>689</v>
      </c>
      <c r="DS1673" s="496" t="s">
        <v>4377</v>
      </c>
      <c r="DT1673" s="496" t="s">
        <v>4377</v>
      </c>
      <c r="DU1673" s="496" t="s">
        <v>3959</v>
      </c>
      <c r="DV1673" s="496" t="s">
        <v>3960</v>
      </c>
      <c r="DW1673" s="496" t="s">
        <v>3961</v>
      </c>
      <c r="DX1673" s="497" t="s">
        <v>3962</v>
      </c>
      <c r="DZ1673" s="543">
        <v>1</v>
      </c>
      <c r="EB1673" s="493"/>
      <c r="EC1673" s="493"/>
    </row>
    <row r="1674" spans="119:133" ht="21" customHeight="1">
      <c r="DO1674" s="494"/>
      <c r="DP1674" s="496" t="s">
        <v>4378</v>
      </c>
      <c r="DQ1674" s="496" t="s">
        <v>11</v>
      </c>
      <c r="DR1674" s="496" t="s">
        <v>689</v>
      </c>
      <c r="DS1674" s="496" t="s">
        <v>4379</v>
      </c>
      <c r="DT1674" s="496" t="s">
        <v>4380</v>
      </c>
      <c r="DU1674" s="496" t="s">
        <v>3959</v>
      </c>
      <c r="DV1674" s="496" t="s">
        <v>3960</v>
      </c>
      <c r="DW1674" s="496" t="s">
        <v>3961</v>
      </c>
      <c r="DX1674" s="497" t="s">
        <v>3962</v>
      </c>
      <c r="DZ1674" s="543">
        <v>1</v>
      </c>
      <c r="EB1674" s="493"/>
      <c r="EC1674" s="493"/>
    </row>
    <row r="1675" spans="119:133" ht="21" customHeight="1">
      <c r="DO1675" s="494"/>
      <c r="DP1675" s="496" t="s">
        <v>4381</v>
      </c>
      <c r="DQ1675" s="496" t="s">
        <v>11</v>
      </c>
      <c r="DR1675" s="496" t="s">
        <v>689</v>
      </c>
      <c r="DS1675" s="496" t="s">
        <v>331</v>
      </c>
      <c r="DT1675" s="496" t="s">
        <v>331</v>
      </c>
      <c r="DU1675" s="496" t="s">
        <v>1085</v>
      </c>
      <c r="DV1675" s="496" t="s">
        <v>3974</v>
      </c>
      <c r="DW1675" s="496" t="s">
        <v>1087</v>
      </c>
      <c r="DX1675" s="497" t="s">
        <v>1088</v>
      </c>
      <c r="DZ1675" s="543">
        <v>1</v>
      </c>
      <c r="EB1675" s="493"/>
      <c r="EC1675" s="493"/>
    </row>
    <row r="1676" spans="119:133" ht="21" customHeight="1">
      <c r="DO1676" s="494"/>
      <c r="DP1676" s="496" t="s">
        <v>4382</v>
      </c>
      <c r="DQ1676" s="496" t="s">
        <v>11</v>
      </c>
      <c r="DR1676" s="496" t="s">
        <v>689</v>
      </c>
      <c r="DS1676" s="496" t="s">
        <v>986</v>
      </c>
      <c r="DT1676" s="496" t="s">
        <v>986</v>
      </c>
      <c r="DU1676" s="496" t="s">
        <v>1085</v>
      </c>
      <c r="DV1676" s="496" t="s">
        <v>3974</v>
      </c>
      <c r="DW1676" s="496" t="s">
        <v>1087</v>
      </c>
      <c r="DX1676" s="497" t="s">
        <v>1088</v>
      </c>
      <c r="DZ1676" s="543">
        <v>1</v>
      </c>
      <c r="EB1676" s="493"/>
      <c r="EC1676" s="493"/>
    </row>
    <row r="1677" spans="119:133" ht="21" customHeight="1">
      <c r="DO1677" s="494"/>
      <c r="DP1677" s="496" t="s">
        <v>4383</v>
      </c>
      <c r="DQ1677" s="496" t="s">
        <v>11</v>
      </c>
      <c r="DR1677" s="496" t="s">
        <v>689</v>
      </c>
      <c r="DS1677" s="496" t="s">
        <v>4384</v>
      </c>
      <c r="DT1677" s="496" t="s">
        <v>4384</v>
      </c>
      <c r="DU1677" s="496" t="s">
        <v>1085</v>
      </c>
      <c r="DV1677" s="496" t="s">
        <v>3974</v>
      </c>
      <c r="DW1677" s="496" t="s">
        <v>1087</v>
      </c>
      <c r="DX1677" s="497" t="s">
        <v>1088</v>
      </c>
      <c r="DZ1677" s="543">
        <v>1</v>
      </c>
      <c r="EB1677" s="493"/>
      <c r="EC1677" s="493"/>
    </row>
    <row r="1678" spans="119:133" ht="21" customHeight="1">
      <c r="DO1678" s="494"/>
      <c r="DP1678" s="496" t="s">
        <v>4385</v>
      </c>
      <c r="DQ1678" s="496" t="s">
        <v>11</v>
      </c>
      <c r="DR1678" s="496" t="s">
        <v>689</v>
      </c>
      <c r="DS1678" s="496" t="s">
        <v>4386</v>
      </c>
      <c r="DT1678" s="496" t="s">
        <v>4386</v>
      </c>
      <c r="DU1678" s="496" t="s">
        <v>3959</v>
      </c>
      <c r="DV1678" s="496" t="s">
        <v>3960</v>
      </c>
      <c r="DW1678" s="496" t="s">
        <v>3961</v>
      </c>
      <c r="DX1678" s="497" t="s">
        <v>3962</v>
      </c>
      <c r="DZ1678" s="543">
        <v>1</v>
      </c>
      <c r="EB1678" s="493"/>
      <c r="EC1678" s="493"/>
    </row>
    <row r="1679" spans="119:133" ht="21" customHeight="1">
      <c r="DO1679" s="494"/>
      <c r="DP1679" s="496" t="s">
        <v>4387</v>
      </c>
      <c r="DQ1679" s="496" t="s">
        <v>11</v>
      </c>
      <c r="DR1679" s="496" t="s">
        <v>689</v>
      </c>
      <c r="DS1679" s="496" t="s">
        <v>4388</v>
      </c>
      <c r="DT1679" s="496" t="s">
        <v>4388</v>
      </c>
      <c r="DU1679" s="496" t="s">
        <v>3959</v>
      </c>
      <c r="DV1679" s="496" t="s">
        <v>3960</v>
      </c>
      <c r="DW1679" s="496" t="s">
        <v>3961</v>
      </c>
      <c r="DX1679" s="497" t="s">
        <v>3962</v>
      </c>
      <c r="DZ1679" s="543">
        <v>1</v>
      </c>
      <c r="EB1679" s="493"/>
      <c r="EC1679" s="493"/>
    </row>
    <row r="1680" spans="119:133" ht="21" customHeight="1">
      <c r="DO1680" s="494"/>
      <c r="DP1680" s="496" t="s">
        <v>4389</v>
      </c>
      <c r="DQ1680" s="496" t="s">
        <v>11</v>
      </c>
      <c r="DR1680" s="496" t="s">
        <v>689</v>
      </c>
      <c r="DS1680" s="496" t="s">
        <v>4390</v>
      </c>
      <c r="DT1680" s="496" t="s">
        <v>987</v>
      </c>
      <c r="DU1680" s="496" t="s">
        <v>1085</v>
      </c>
      <c r="DV1680" s="496" t="s">
        <v>3974</v>
      </c>
      <c r="DW1680" s="496" t="s">
        <v>1087</v>
      </c>
      <c r="DX1680" s="497" t="s">
        <v>1088</v>
      </c>
      <c r="DZ1680" s="543">
        <v>1</v>
      </c>
      <c r="EB1680" s="493"/>
      <c r="EC1680" s="493"/>
    </row>
    <row r="1681" spans="119:133" ht="21" customHeight="1">
      <c r="DO1681" s="494"/>
      <c r="DP1681" s="496" t="s">
        <v>4391</v>
      </c>
      <c r="DQ1681" s="496" t="s">
        <v>11</v>
      </c>
      <c r="DR1681" s="496" t="s">
        <v>689</v>
      </c>
      <c r="DS1681" s="496" t="s">
        <v>4392</v>
      </c>
      <c r="DT1681" s="496" t="s">
        <v>988</v>
      </c>
      <c r="DU1681" s="496" t="s">
        <v>3959</v>
      </c>
      <c r="DV1681" s="496" t="s">
        <v>3960</v>
      </c>
      <c r="DW1681" s="496" t="s">
        <v>3961</v>
      </c>
      <c r="DX1681" s="497" t="s">
        <v>3962</v>
      </c>
      <c r="DZ1681" s="543">
        <v>1</v>
      </c>
      <c r="EB1681" s="493"/>
      <c r="EC1681" s="493"/>
    </row>
    <row r="1682" spans="119:133" ht="21" customHeight="1">
      <c r="DO1682" s="494"/>
      <c r="DP1682" s="496" t="s">
        <v>4393</v>
      </c>
      <c r="DQ1682" s="496" t="s">
        <v>11</v>
      </c>
      <c r="DR1682" s="496" t="s">
        <v>689</v>
      </c>
      <c r="DS1682" s="496" t="s">
        <v>4394</v>
      </c>
      <c r="DT1682" s="496" t="s">
        <v>4395</v>
      </c>
      <c r="DU1682" s="496" t="s">
        <v>3959</v>
      </c>
      <c r="DV1682" s="496" t="s">
        <v>3960</v>
      </c>
      <c r="DW1682" s="496" t="s">
        <v>3961</v>
      </c>
      <c r="DX1682" s="497" t="s">
        <v>3962</v>
      </c>
      <c r="DZ1682" s="543">
        <v>1</v>
      </c>
      <c r="EB1682" s="493"/>
      <c r="EC1682" s="493"/>
    </row>
    <row r="1683" spans="119:133" ht="21" customHeight="1">
      <c r="DO1683" s="494"/>
      <c r="DP1683" s="496" t="s">
        <v>4396</v>
      </c>
      <c r="DQ1683" s="496" t="s">
        <v>11</v>
      </c>
      <c r="DR1683" s="496" t="s">
        <v>689</v>
      </c>
      <c r="DS1683" s="496" t="s">
        <v>146</v>
      </c>
      <c r="DT1683" s="496" t="s">
        <v>146</v>
      </c>
      <c r="DU1683" s="496" t="s">
        <v>1085</v>
      </c>
      <c r="DV1683" s="496" t="s">
        <v>3974</v>
      </c>
      <c r="DW1683" s="496" t="s">
        <v>1087</v>
      </c>
      <c r="DX1683" s="497" t="s">
        <v>1088</v>
      </c>
      <c r="DZ1683" s="543">
        <v>1</v>
      </c>
      <c r="EB1683" s="493"/>
      <c r="EC1683" s="493"/>
    </row>
    <row r="1684" spans="119:133" ht="21" customHeight="1">
      <c r="DO1684" s="494"/>
      <c r="DP1684" s="496" t="s">
        <v>4397</v>
      </c>
      <c r="DQ1684" s="496" t="s">
        <v>11</v>
      </c>
      <c r="DR1684" s="496" t="s">
        <v>689</v>
      </c>
      <c r="DS1684" s="496" t="s">
        <v>4398</v>
      </c>
      <c r="DT1684" s="496" t="s">
        <v>4399</v>
      </c>
      <c r="DU1684" s="496" t="s">
        <v>3959</v>
      </c>
      <c r="DV1684" s="496" t="s">
        <v>3960</v>
      </c>
      <c r="DW1684" s="496" t="s">
        <v>3961</v>
      </c>
      <c r="DX1684" s="497" t="s">
        <v>3962</v>
      </c>
      <c r="DZ1684" s="543">
        <v>1</v>
      </c>
      <c r="EB1684" s="493"/>
      <c r="EC1684" s="493"/>
    </row>
    <row r="1685" spans="119:133" ht="21" customHeight="1">
      <c r="DO1685" s="494"/>
      <c r="DP1685" s="496" t="s">
        <v>4400</v>
      </c>
      <c r="DQ1685" s="496" t="s">
        <v>11</v>
      </c>
      <c r="DR1685" s="496" t="s">
        <v>689</v>
      </c>
      <c r="DS1685" s="496" t="s">
        <v>4401</v>
      </c>
      <c r="DT1685" s="496" t="s">
        <v>123</v>
      </c>
      <c r="DU1685" s="496" t="s">
        <v>1085</v>
      </c>
      <c r="DV1685" s="496" t="s">
        <v>3974</v>
      </c>
      <c r="DW1685" s="496" t="s">
        <v>1087</v>
      </c>
      <c r="DX1685" s="497" t="s">
        <v>1088</v>
      </c>
      <c r="DZ1685" s="543">
        <v>1</v>
      </c>
      <c r="EB1685" s="493"/>
      <c r="EC1685" s="493"/>
    </row>
    <row r="1686" spans="119:133" ht="21" customHeight="1">
      <c r="DO1686" s="494"/>
      <c r="DP1686" s="496" t="s">
        <v>4402</v>
      </c>
      <c r="DQ1686" s="496" t="s">
        <v>11</v>
      </c>
      <c r="DR1686" s="496" t="s">
        <v>689</v>
      </c>
      <c r="DS1686" s="496" t="s">
        <v>4403</v>
      </c>
      <c r="DT1686" s="496" t="s">
        <v>4404</v>
      </c>
      <c r="DU1686" s="496" t="s">
        <v>3959</v>
      </c>
      <c r="DV1686" s="496" t="s">
        <v>3960</v>
      </c>
      <c r="DW1686" s="496" t="s">
        <v>3961</v>
      </c>
      <c r="DX1686" s="497" t="s">
        <v>3962</v>
      </c>
      <c r="DZ1686" s="543">
        <v>1</v>
      </c>
      <c r="EB1686" s="493"/>
      <c r="EC1686" s="493"/>
    </row>
    <row r="1687" spans="119:133" ht="21" customHeight="1">
      <c r="DO1687" s="494"/>
      <c r="DP1687" s="496" t="s">
        <v>4405</v>
      </c>
      <c r="DQ1687" s="496" t="s">
        <v>11</v>
      </c>
      <c r="DR1687" s="496" t="s">
        <v>689</v>
      </c>
      <c r="DS1687" s="496" t="s">
        <v>4406</v>
      </c>
      <c r="DT1687" s="496" t="s">
        <v>4407</v>
      </c>
      <c r="DU1687" s="496" t="s">
        <v>3959</v>
      </c>
      <c r="DV1687" s="496" t="s">
        <v>3960</v>
      </c>
      <c r="DW1687" s="496" t="s">
        <v>3961</v>
      </c>
      <c r="DX1687" s="497" t="s">
        <v>3962</v>
      </c>
      <c r="DZ1687" s="543">
        <v>1</v>
      </c>
      <c r="EB1687" s="493"/>
      <c r="EC1687" s="493"/>
    </row>
    <row r="1688" spans="119:133" ht="21" customHeight="1">
      <c r="DO1688" s="494"/>
      <c r="DP1688" s="496" t="s">
        <v>4408</v>
      </c>
      <c r="DQ1688" s="496" t="s">
        <v>11</v>
      </c>
      <c r="DR1688" s="496" t="s">
        <v>689</v>
      </c>
      <c r="DS1688" s="496" t="s">
        <v>4409</v>
      </c>
      <c r="DT1688" s="496" t="s">
        <v>136</v>
      </c>
      <c r="DU1688" s="496" t="s">
        <v>1085</v>
      </c>
      <c r="DV1688" s="496" t="s">
        <v>3974</v>
      </c>
      <c r="DW1688" s="496" t="s">
        <v>1087</v>
      </c>
      <c r="DX1688" s="497" t="s">
        <v>1088</v>
      </c>
      <c r="DZ1688" s="543">
        <v>1</v>
      </c>
      <c r="EB1688" s="493"/>
      <c r="EC1688" s="493"/>
    </row>
    <row r="1689" spans="119:133" ht="21" customHeight="1">
      <c r="DO1689" s="494"/>
      <c r="DP1689" s="496" t="s">
        <v>4410</v>
      </c>
      <c r="DQ1689" s="496" t="s">
        <v>11</v>
      </c>
      <c r="DR1689" s="496" t="s">
        <v>689</v>
      </c>
      <c r="DS1689" s="496" t="s">
        <v>4411</v>
      </c>
      <c r="DT1689" s="496" t="s">
        <v>4411</v>
      </c>
      <c r="DU1689" s="496" t="s">
        <v>1085</v>
      </c>
      <c r="DV1689" s="496" t="s">
        <v>3974</v>
      </c>
      <c r="DW1689" s="496" t="s">
        <v>1087</v>
      </c>
      <c r="DX1689" s="497" t="s">
        <v>1088</v>
      </c>
      <c r="DZ1689" s="543">
        <v>1</v>
      </c>
      <c r="EB1689" s="493"/>
      <c r="EC1689" s="493"/>
    </row>
    <row r="1690" spans="119:133" ht="21" customHeight="1">
      <c r="DO1690" s="494"/>
      <c r="DP1690" s="496" t="s">
        <v>4412</v>
      </c>
      <c r="DQ1690" s="496" t="s">
        <v>11</v>
      </c>
      <c r="DR1690" s="496" t="s">
        <v>689</v>
      </c>
      <c r="DS1690" s="496" t="s">
        <v>4413</v>
      </c>
      <c r="DT1690" s="496" t="s">
        <v>4413</v>
      </c>
      <c r="DU1690" s="496" t="s">
        <v>3959</v>
      </c>
      <c r="DV1690" s="496" t="s">
        <v>3960</v>
      </c>
      <c r="DW1690" s="496" t="s">
        <v>3961</v>
      </c>
      <c r="DX1690" s="497" t="s">
        <v>3962</v>
      </c>
      <c r="DZ1690" s="543">
        <v>1</v>
      </c>
      <c r="EB1690" s="493"/>
      <c r="EC1690" s="493"/>
    </row>
    <row r="1691" spans="119:133" ht="21" customHeight="1">
      <c r="DO1691" s="494"/>
      <c r="DP1691" s="496" t="s">
        <v>4414</v>
      </c>
      <c r="DQ1691" s="496" t="s">
        <v>11</v>
      </c>
      <c r="DR1691" s="496" t="s">
        <v>689</v>
      </c>
      <c r="DS1691" s="496" t="s">
        <v>4415</v>
      </c>
      <c r="DT1691" s="496" t="s">
        <v>4415</v>
      </c>
      <c r="DU1691" s="496" t="s">
        <v>3959</v>
      </c>
      <c r="DV1691" s="496" t="s">
        <v>3960</v>
      </c>
      <c r="DW1691" s="496" t="s">
        <v>3961</v>
      </c>
      <c r="DX1691" s="497" t="s">
        <v>3962</v>
      </c>
      <c r="DZ1691" s="543">
        <v>1</v>
      </c>
      <c r="EB1691" s="493"/>
      <c r="EC1691" s="493"/>
    </row>
    <row r="1692" spans="119:133" ht="21" customHeight="1">
      <c r="DO1692" s="494"/>
      <c r="DP1692" s="496" t="s">
        <v>4416</v>
      </c>
      <c r="DQ1692" s="496" t="s">
        <v>11</v>
      </c>
      <c r="DR1692" s="496" t="s">
        <v>689</v>
      </c>
      <c r="DS1692" s="496" t="s">
        <v>4417</v>
      </c>
      <c r="DT1692" s="496" t="s">
        <v>4417</v>
      </c>
      <c r="DU1692" s="496" t="s">
        <v>3959</v>
      </c>
      <c r="DV1692" s="496" t="s">
        <v>3960</v>
      </c>
      <c r="DW1692" s="496" t="s">
        <v>3961</v>
      </c>
      <c r="DX1692" s="497" t="s">
        <v>3962</v>
      </c>
      <c r="DZ1692" s="543">
        <v>1</v>
      </c>
      <c r="EB1692" s="493"/>
      <c r="EC1692" s="493"/>
    </row>
    <row r="1693" spans="119:133" ht="21" customHeight="1">
      <c r="DO1693" s="494"/>
      <c r="DP1693" s="496" t="s">
        <v>4418</v>
      </c>
      <c r="DQ1693" s="496" t="s">
        <v>11</v>
      </c>
      <c r="DR1693" s="496" t="s">
        <v>689</v>
      </c>
      <c r="DS1693" s="496" t="s">
        <v>989</v>
      </c>
      <c r="DT1693" s="496" t="s">
        <v>989</v>
      </c>
      <c r="DU1693" s="496" t="s">
        <v>1085</v>
      </c>
      <c r="DV1693" s="496" t="s">
        <v>3974</v>
      </c>
      <c r="DW1693" s="496" t="s">
        <v>1087</v>
      </c>
      <c r="DX1693" s="497" t="s">
        <v>1088</v>
      </c>
      <c r="DZ1693" s="543">
        <v>1</v>
      </c>
      <c r="EB1693" s="493"/>
      <c r="EC1693" s="493"/>
    </row>
    <row r="1694" spans="119:133" ht="21" customHeight="1">
      <c r="DO1694" s="494"/>
      <c r="DP1694" s="496" t="s">
        <v>4419</v>
      </c>
      <c r="DQ1694" s="496" t="s">
        <v>11</v>
      </c>
      <c r="DR1694" s="496" t="s">
        <v>689</v>
      </c>
      <c r="DS1694" s="496" t="s">
        <v>990</v>
      </c>
      <c r="DT1694" s="496" t="s">
        <v>990</v>
      </c>
      <c r="DU1694" s="496" t="s">
        <v>1085</v>
      </c>
      <c r="DV1694" s="496" t="s">
        <v>3974</v>
      </c>
      <c r="DW1694" s="496" t="s">
        <v>1087</v>
      </c>
      <c r="DX1694" s="497" t="s">
        <v>1088</v>
      </c>
      <c r="DZ1694" s="543">
        <v>1</v>
      </c>
      <c r="EB1694" s="493"/>
      <c r="EC1694" s="493"/>
    </row>
    <row r="1695" spans="119:133" ht="21" customHeight="1">
      <c r="DO1695" s="494"/>
      <c r="DP1695" s="496" t="s">
        <v>4420</v>
      </c>
      <c r="DQ1695" s="496" t="s">
        <v>11</v>
      </c>
      <c r="DR1695" s="496" t="s">
        <v>689</v>
      </c>
      <c r="DS1695" s="496" t="s">
        <v>4421</v>
      </c>
      <c r="DT1695" s="496" t="s">
        <v>4421</v>
      </c>
      <c r="DU1695" s="496" t="s">
        <v>3959</v>
      </c>
      <c r="DV1695" s="496" t="s">
        <v>3960</v>
      </c>
      <c r="DW1695" s="496" t="s">
        <v>3961</v>
      </c>
      <c r="DX1695" s="497" t="s">
        <v>3962</v>
      </c>
      <c r="DZ1695" s="543">
        <v>1</v>
      </c>
      <c r="EB1695" s="493"/>
      <c r="EC1695" s="493"/>
    </row>
    <row r="1696" spans="119:133" ht="21" customHeight="1">
      <c r="DO1696" s="494"/>
      <c r="DP1696" s="496" t="s">
        <v>4422</v>
      </c>
      <c r="DQ1696" s="496" t="s">
        <v>11</v>
      </c>
      <c r="DR1696" s="496" t="s">
        <v>689</v>
      </c>
      <c r="DS1696" s="496" t="s">
        <v>4423</v>
      </c>
      <c r="DT1696" s="496" t="s">
        <v>4423</v>
      </c>
      <c r="DU1696" s="496" t="s">
        <v>1085</v>
      </c>
      <c r="DV1696" s="496" t="s">
        <v>3974</v>
      </c>
      <c r="DW1696" s="496" t="s">
        <v>1087</v>
      </c>
      <c r="DX1696" s="497" t="s">
        <v>1088</v>
      </c>
      <c r="DZ1696" s="543">
        <v>1</v>
      </c>
      <c r="EB1696" s="493"/>
      <c r="EC1696" s="493"/>
    </row>
    <row r="1697" spans="119:133" ht="21" customHeight="1">
      <c r="DO1697" s="494"/>
      <c r="DP1697" s="496" t="s">
        <v>4424</v>
      </c>
      <c r="DQ1697" s="496" t="s">
        <v>11</v>
      </c>
      <c r="DR1697" s="496" t="s">
        <v>689</v>
      </c>
      <c r="DS1697" s="496" t="s">
        <v>4425</v>
      </c>
      <c r="DT1697" s="496" t="s">
        <v>4425</v>
      </c>
      <c r="DU1697" s="496" t="s">
        <v>3959</v>
      </c>
      <c r="DV1697" s="496" t="s">
        <v>3960</v>
      </c>
      <c r="DW1697" s="496" t="s">
        <v>3961</v>
      </c>
      <c r="DX1697" s="497" t="s">
        <v>3962</v>
      </c>
      <c r="DZ1697" s="543">
        <v>1</v>
      </c>
      <c r="EB1697" s="493"/>
      <c r="EC1697" s="493"/>
    </row>
    <row r="1698" spans="119:133" ht="21" customHeight="1">
      <c r="DO1698" s="494"/>
      <c r="DP1698" s="496" t="s">
        <v>4426</v>
      </c>
      <c r="DQ1698" s="496" t="s">
        <v>11</v>
      </c>
      <c r="DR1698" s="496" t="s">
        <v>689</v>
      </c>
      <c r="DS1698" s="496" t="s">
        <v>4427</v>
      </c>
      <c r="DT1698" s="496" t="s">
        <v>4427</v>
      </c>
      <c r="DU1698" s="496" t="s">
        <v>3959</v>
      </c>
      <c r="DV1698" s="496" t="s">
        <v>3960</v>
      </c>
      <c r="DW1698" s="496" t="s">
        <v>3961</v>
      </c>
      <c r="DX1698" s="497" t="s">
        <v>3962</v>
      </c>
      <c r="DZ1698" s="543">
        <v>1</v>
      </c>
      <c r="EB1698" s="493"/>
      <c r="EC1698" s="493"/>
    </row>
    <row r="1699" spans="119:133" ht="21" customHeight="1">
      <c r="DO1699" s="494"/>
      <c r="DP1699" s="496" t="s">
        <v>4428</v>
      </c>
      <c r="DQ1699" s="496" t="s">
        <v>11</v>
      </c>
      <c r="DR1699" s="496" t="s">
        <v>689</v>
      </c>
      <c r="DS1699" s="496" t="s">
        <v>991</v>
      </c>
      <c r="DT1699" s="496" t="s">
        <v>991</v>
      </c>
      <c r="DU1699" s="496" t="s">
        <v>1085</v>
      </c>
      <c r="DV1699" s="496" t="s">
        <v>3974</v>
      </c>
      <c r="DW1699" s="496" t="s">
        <v>1087</v>
      </c>
      <c r="DX1699" s="497" t="s">
        <v>1088</v>
      </c>
      <c r="DZ1699" s="543">
        <v>1</v>
      </c>
      <c r="EB1699" s="493"/>
      <c r="EC1699" s="493"/>
    </row>
    <row r="1700" spans="119:133" ht="21" customHeight="1">
      <c r="DO1700" s="494"/>
      <c r="DP1700" s="496" t="s">
        <v>4429</v>
      </c>
      <c r="DQ1700" s="496" t="s">
        <v>11</v>
      </c>
      <c r="DR1700" s="496" t="s">
        <v>689</v>
      </c>
      <c r="DS1700" s="496" t="s">
        <v>4430</v>
      </c>
      <c r="DT1700" s="496" t="s">
        <v>4431</v>
      </c>
      <c r="DU1700" s="496" t="s">
        <v>3959</v>
      </c>
      <c r="DV1700" s="496" t="s">
        <v>3960</v>
      </c>
      <c r="DW1700" s="496" t="s">
        <v>3961</v>
      </c>
      <c r="DX1700" s="497" t="s">
        <v>3962</v>
      </c>
      <c r="DZ1700" s="543">
        <v>1</v>
      </c>
      <c r="EB1700" s="493"/>
      <c r="EC1700" s="493"/>
    </row>
    <row r="1701" spans="119:133" ht="21" customHeight="1">
      <c r="DO1701" s="494"/>
      <c r="DP1701" s="496" t="s">
        <v>4432</v>
      </c>
      <c r="DQ1701" s="496" t="s">
        <v>11</v>
      </c>
      <c r="DR1701" s="496" t="s">
        <v>689</v>
      </c>
      <c r="DS1701" s="496" t="s">
        <v>4433</v>
      </c>
      <c r="DT1701" s="496" t="s">
        <v>992</v>
      </c>
      <c r="DU1701" s="496" t="s">
        <v>3959</v>
      </c>
      <c r="DV1701" s="496" t="s">
        <v>3960</v>
      </c>
      <c r="DW1701" s="496" t="s">
        <v>3961</v>
      </c>
      <c r="DX1701" s="497" t="s">
        <v>3962</v>
      </c>
      <c r="DZ1701" s="543">
        <v>1</v>
      </c>
      <c r="EB1701" s="493"/>
      <c r="EC1701" s="493"/>
    </row>
    <row r="1702" spans="119:133" ht="21" customHeight="1">
      <c r="DO1702" s="494"/>
      <c r="DP1702" s="496" t="s">
        <v>4434</v>
      </c>
      <c r="DQ1702" s="496" t="s">
        <v>11</v>
      </c>
      <c r="DR1702" s="496" t="s">
        <v>689</v>
      </c>
      <c r="DS1702" s="496" t="s">
        <v>4435</v>
      </c>
      <c r="DT1702" s="496" t="s">
        <v>993</v>
      </c>
      <c r="DU1702" s="496" t="s">
        <v>3959</v>
      </c>
      <c r="DV1702" s="496" t="s">
        <v>3960</v>
      </c>
      <c r="DW1702" s="496" t="s">
        <v>3961</v>
      </c>
      <c r="DX1702" s="497" t="s">
        <v>3962</v>
      </c>
      <c r="DZ1702" s="543">
        <v>1</v>
      </c>
      <c r="EB1702" s="493"/>
      <c r="EC1702" s="493"/>
    </row>
    <row r="1703" spans="119:133" ht="21" customHeight="1">
      <c r="DO1703" s="494"/>
      <c r="DP1703" s="496" t="s">
        <v>4436</v>
      </c>
      <c r="DQ1703" s="496" t="s">
        <v>11</v>
      </c>
      <c r="DR1703" s="496" t="s">
        <v>689</v>
      </c>
      <c r="DS1703" s="496" t="s">
        <v>994</v>
      </c>
      <c r="DT1703" s="496" t="s">
        <v>994</v>
      </c>
      <c r="DU1703" s="496" t="s">
        <v>1085</v>
      </c>
      <c r="DV1703" s="496" t="s">
        <v>3974</v>
      </c>
      <c r="DW1703" s="496" t="s">
        <v>1087</v>
      </c>
      <c r="DX1703" s="497" t="s">
        <v>1088</v>
      </c>
      <c r="DZ1703" s="543">
        <v>1</v>
      </c>
      <c r="EB1703" s="493"/>
      <c r="EC1703" s="493"/>
    </row>
    <row r="1704" spans="119:133" ht="21" customHeight="1">
      <c r="DO1704" s="494"/>
      <c r="DP1704" s="496" t="s">
        <v>4437</v>
      </c>
      <c r="DQ1704" s="496" t="s">
        <v>11</v>
      </c>
      <c r="DR1704" s="496" t="s">
        <v>689</v>
      </c>
      <c r="DS1704" s="496" t="s">
        <v>4438</v>
      </c>
      <c r="DT1704" s="496" t="s">
        <v>4439</v>
      </c>
      <c r="DU1704" s="496" t="s">
        <v>3959</v>
      </c>
      <c r="DV1704" s="496" t="s">
        <v>3960</v>
      </c>
      <c r="DW1704" s="496" t="s">
        <v>3961</v>
      </c>
      <c r="DX1704" s="497" t="s">
        <v>3962</v>
      </c>
      <c r="DZ1704" s="543">
        <v>1</v>
      </c>
      <c r="EB1704" s="493"/>
      <c r="EC1704" s="493"/>
    </row>
    <row r="1705" spans="119:133" ht="21" customHeight="1">
      <c r="DO1705" s="494"/>
      <c r="DP1705" s="496" t="s">
        <v>4440</v>
      </c>
      <c r="DQ1705" s="496" t="s">
        <v>11</v>
      </c>
      <c r="DR1705" s="496" t="s">
        <v>689</v>
      </c>
      <c r="DS1705" s="496" t="s">
        <v>4441</v>
      </c>
      <c r="DT1705" s="496" t="s">
        <v>4441</v>
      </c>
      <c r="DU1705" s="496" t="s">
        <v>1085</v>
      </c>
      <c r="DV1705" s="496" t="s">
        <v>3974</v>
      </c>
      <c r="DW1705" s="496" t="s">
        <v>1087</v>
      </c>
      <c r="DX1705" s="497" t="s">
        <v>1088</v>
      </c>
      <c r="DZ1705" s="543">
        <v>1</v>
      </c>
      <c r="EB1705" s="493"/>
      <c r="EC1705" s="493"/>
    </row>
    <row r="1706" spans="119:133" ht="21" customHeight="1">
      <c r="DO1706" s="494"/>
      <c r="DP1706" s="496" t="s">
        <v>4442</v>
      </c>
      <c r="DQ1706" s="496" t="s">
        <v>11</v>
      </c>
      <c r="DR1706" s="496" t="s">
        <v>689</v>
      </c>
      <c r="DS1706" s="496" t="s">
        <v>4443</v>
      </c>
      <c r="DT1706" s="496" t="s">
        <v>4444</v>
      </c>
      <c r="DU1706" s="496" t="s">
        <v>3959</v>
      </c>
      <c r="DV1706" s="496" t="s">
        <v>3960</v>
      </c>
      <c r="DW1706" s="496" t="s">
        <v>3961</v>
      </c>
      <c r="DX1706" s="497" t="s">
        <v>3962</v>
      </c>
      <c r="DZ1706" s="543">
        <v>1</v>
      </c>
      <c r="EB1706" s="493"/>
      <c r="EC1706" s="493"/>
    </row>
    <row r="1707" spans="119:133" ht="21" customHeight="1">
      <c r="DO1707" s="494"/>
      <c r="DP1707" s="496" t="s">
        <v>4445</v>
      </c>
      <c r="DQ1707" s="496" t="s">
        <v>11</v>
      </c>
      <c r="DR1707" s="496" t="s">
        <v>689</v>
      </c>
      <c r="DS1707" s="496" t="s">
        <v>4446</v>
      </c>
      <c r="DT1707" s="496" t="s">
        <v>4446</v>
      </c>
      <c r="DU1707" s="496" t="s">
        <v>3959</v>
      </c>
      <c r="DV1707" s="496" t="s">
        <v>3960</v>
      </c>
      <c r="DW1707" s="496" t="s">
        <v>3961</v>
      </c>
      <c r="DX1707" s="497" t="s">
        <v>3962</v>
      </c>
      <c r="DZ1707" s="543">
        <v>1</v>
      </c>
      <c r="EB1707" s="493"/>
      <c r="EC1707" s="493"/>
    </row>
    <row r="1708" spans="119:133" ht="21" customHeight="1">
      <c r="DO1708" s="494"/>
      <c r="DP1708" s="496" t="s">
        <v>4447</v>
      </c>
      <c r="DQ1708" s="496" t="s">
        <v>11</v>
      </c>
      <c r="DR1708" s="496" t="s">
        <v>689</v>
      </c>
      <c r="DS1708" s="496" t="s">
        <v>4448</v>
      </c>
      <c r="DT1708" s="496" t="s">
        <v>4448</v>
      </c>
      <c r="DU1708" s="496" t="s">
        <v>3959</v>
      </c>
      <c r="DV1708" s="496" t="s">
        <v>3960</v>
      </c>
      <c r="DW1708" s="496" t="s">
        <v>3961</v>
      </c>
      <c r="DX1708" s="497" t="s">
        <v>3962</v>
      </c>
      <c r="DZ1708" s="543">
        <v>1</v>
      </c>
      <c r="EB1708" s="493"/>
      <c r="EC1708" s="493"/>
    </row>
    <row r="1709" spans="119:133" ht="21" customHeight="1">
      <c r="DO1709" s="494"/>
      <c r="DP1709" s="496" t="s">
        <v>4449</v>
      </c>
      <c r="DQ1709" s="496" t="s">
        <v>11</v>
      </c>
      <c r="DR1709" s="496" t="s">
        <v>689</v>
      </c>
      <c r="DS1709" s="496" t="s">
        <v>4450</v>
      </c>
      <c r="DT1709" s="496" t="s">
        <v>4451</v>
      </c>
      <c r="DU1709" s="496" t="s">
        <v>3959</v>
      </c>
      <c r="DV1709" s="496" t="s">
        <v>3960</v>
      </c>
      <c r="DW1709" s="496" t="s">
        <v>3961</v>
      </c>
      <c r="DX1709" s="497" t="s">
        <v>3962</v>
      </c>
      <c r="DZ1709" s="543">
        <v>1</v>
      </c>
      <c r="EB1709" s="493"/>
      <c r="EC1709" s="493"/>
    </row>
    <row r="1710" spans="119:133" ht="21" customHeight="1">
      <c r="DO1710" s="494"/>
      <c r="DP1710" s="496" t="s">
        <v>4452</v>
      </c>
      <c r="DQ1710" s="496" t="s">
        <v>11</v>
      </c>
      <c r="DR1710" s="496" t="s">
        <v>689</v>
      </c>
      <c r="DS1710" s="496" t="s">
        <v>4453</v>
      </c>
      <c r="DT1710" s="496" t="s">
        <v>4453</v>
      </c>
      <c r="DU1710" s="496" t="s">
        <v>3959</v>
      </c>
      <c r="DV1710" s="496" t="s">
        <v>3960</v>
      </c>
      <c r="DW1710" s="496" t="s">
        <v>3961</v>
      </c>
      <c r="DX1710" s="497" t="s">
        <v>3962</v>
      </c>
      <c r="DZ1710" s="543">
        <v>1</v>
      </c>
      <c r="EB1710" s="493"/>
      <c r="EC1710" s="493"/>
    </row>
    <row r="1711" spans="119:133" ht="21" customHeight="1">
      <c r="DO1711" s="494"/>
      <c r="DP1711" s="496" t="s">
        <v>4454</v>
      </c>
      <c r="DQ1711" s="496" t="s">
        <v>11</v>
      </c>
      <c r="DR1711" s="496" t="s">
        <v>689</v>
      </c>
      <c r="DS1711" s="496" t="s">
        <v>4455</v>
      </c>
      <c r="DT1711" s="496" t="s">
        <v>4455</v>
      </c>
      <c r="DU1711" s="496" t="s">
        <v>1085</v>
      </c>
      <c r="DV1711" s="496" t="s">
        <v>3974</v>
      </c>
      <c r="DW1711" s="496" t="s">
        <v>1087</v>
      </c>
      <c r="DX1711" s="497" t="s">
        <v>1088</v>
      </c>
      <c r="DZ1711" s="543">
        <v>1</v>
      </c>
      <c r="EB1711" s="493"/>
      <c r="EC1711" s="493"/>
    </row>
    <row r="1712" spans="119:133" ht="21" customHeight="1">
      <c r="DO1712" s="494"/>
      <c r="DP1712" s="496" t="s">
        <v>4456</v>
      </c>
      <c r="DQ1712" s="496" t="s">
        <v>11</v>
      </c>
      <c r="DR1712" s="496" t="s">
        <v>689</v>
      </c>
      <c r="DS1712" s="496" t="s">
        <v>4457</v>
      </c>
      <c r="DT1712" s="496" t="s">
        <v>4458</v>
      </c>
      <c r="DU1712" s="496" t="s">
        <v>3959</v>
      </c>
      <c r="DV1712" s="496" t="s">
        <v>3960</v>
      </c>
      <c r="DW1712" s="496" t="s">
        <v>3961</v>
      </c>
      <c r="DX1712" s="497" t="s">
        <v>3962</v>
      </c>
      <c r="DZ1712" s="543">
        <v>1</v>
      </c>
      <c r="EB1712" s="493"/>
      <c r="EC1712" s="493"/>
    </row>
    <row r="1713" spans="119:133" ht="21" customHeight="1">
      <c r="DO1713" s="494"/>
      <c r="DP1713" s="496" t="s">
        <v>4459</v>
      </c>
      <c r="DQ1713" s="496" t="s">
        <v>11</v>
      </c>
      <c r="DR1713" s="496" t="s">
        <v>689</v>
      </c>
      <c r="DS1713" s="496" t="s">
        <v>4460</v>
      </c>
      <c r="DT1713" s="496" t="s">
        <v>4461</v>
      </c>
      <c r="DU1713" s="496" t="s">
        <v>3959</v>
      </c>
      <c r="DV1713" s="496" t="s">
        <v>3960</v>
      </c>
      <c r="DW1713" s="496" t="s">
        <v>3961</v>
      </c>
      <c r="DX1713" s="497" t="s">
        <v>3962</v>
      </c>
      <c r="DZ1713" s="543">
        <v>1</v>
      </c>
      <c r="EB1713" s="493"/>
      <c r="EC1713" s="493"/>
    </row>
    <row r="1714" spans="119:133" ht="21" customHeight="1">
      <c r="DO1714" s="494"/>
      <c r="DP1714" s="496" t="s">
        <v>4462</v>
      </c>
      <c r="DQ1714" s="496" t="s">
        <v>11</v>
      </c>
      <c r="DR1714" s="496" t="s">
        <v>689</v>
      </c>
      <c r="DS1714" s="496" t="s">
        <v>4463</v>
      </c>
      <c r="DT1714" s="496" t="s">
        <v>4463</v>
      </c>
      <c r="DU1714" s="496" t="s">
        <v>3959</v>
      </c>
      <c r="DV1714" s="496" t="s">
        <v>3960</v>
      </c>
      <c r="DW1714" s="496" t="s">
        <v>3961</v>
      </c>
      <c r="DX1714" s="497" t="s">
        <v>3962</v>
      </c>
      <c r="DZ1714" s="543">
        <v>1</v>
      </c>
      <c r="EB1714" s="493"/>
      <c r="EC1714" s="493"/>
    </row>
    <row r="1715" spans="119:133" ht="21" customHeight="1">
      <c r="DO1715" s="494"/>
      <c r="DP1715" s="496" t="s">
        <v>4464</v>
      </c>
      <c r="DQ1715" s="496" t="s">
        <v>11</v>
      </c>
      <c r="DR1715" s="496" t="s">
        <v>689</v>
      </c>
      <c r="DS1715" s="496" t="s">
        <v>4465</v>
      </c>
      <c r="DT1715" s="496" t="s">
        <v>4465</v>
      </c>
      <c r="DU1715" s="496" t="s">
        <v>1085</v>
      </c>
      <c r="DV1715" s="496" t="s">
        <v>3974</v>
      </c>
      <c r="DW1715" s="496" t="s">
        <v>1087</v>
      </c>
      <c r="DX1715" s="497" t="s">
        <v>1088</v>
      </c>
      <c r="DZ1715" s="543">
        <v>1</v>
      </c>
      <c r="EB1715" s="493"/>
      <c r="EC1715" s="493"/>
    </row>
    <row r="1716" spans="119:133" ht="21" customHeight="1">
      <c r="DO1716" s="494"/>
      <c r="DP1716" s="496" t="s">
        <v>4466</v>
      </c>
      <c r="DQ1716" s="496" t="s">
        <v>11</v>
      </c>
      <c r="DR1716" s="496" t="s">
        <v>689</v>
      </c>
      <c r="DS1716" s="496" t="s">
        <v>4467</v>
      </c>
      <c r="DT1716" s="496" t="s">
        <v>4468</v>
      </c>
      <c r="DU1716" s="496" t="s">
        <v>1085</v>
      </c>
      <c r="DV1716" s="496" t="s">
        <v>3974</v>
      </c>
      <c r="DW1716" s="496" t="s">
        <v>1087</v>
      </c>
      <c r="DX1716" s="497" t="s">
        <v>1088</v>
      </c>
      <c r="DZ1716" s="543">
        <v>1</v>
      </c>
      <c r="EB1716" s="493"/>
      <c r="EC1716" s="493"/>
    </row>
    <row r="1717" spans="119:133" ht="21" customHeight="1">
      <c r="DO1717" s="494"/>
      <c r="DP1717" s="496" t="s">
        <v>4469</v>
      </c>
      <c r="DQ1717" s="496" t="s">
        <v>11</v>
      </c>
      <c r="DR1717" s="496" t="s">
        <v>689</v>
      </c>
      <c r="DS1717" s="496" t="s">
        <v>4470</v>
      </c>
      <c r="DT1717" s="496" t="s">
        <v>4470</v>
      </c>
      <c r="DU1717" s="496" t="s">
        <v>3959</v>
      </c>
      <c r="DV1717" s="496" t="s">
        <v>3960</v>
      </c>
      <c r="DW1717" s="496" t="s">
        <v>3961</v>
      </c>
      <c r="DX1717" s="497" t="s">
        <v>3962</v>
      </c>
      <c r="DZ1717" s="543">
        <v>1</v>
      </c>
      <c r="EB1717" s="493"/>
      <c r="EC1717" s="493"/>
    </row>
    <row r="1718" spans="119:133" ht="21" customHeight="1">
      <c r="DO1718" s="494"/>
      <c r="DP1718" s="496" t="s">
        <v>4471</v>
      </c>
      <c r="DQ1718" s="496" t="s">
        <v>11</v>
      </c>
      <c r="DR1718" s="496" t="s">
        <v>689</v>
      </c>
      <c r="DS1718" s="496" t="s">
        <v>4472</v>
      </c>
      <c r="DT1718" s="496" t="s">
        <v>4472</v>
      </c>
      <c r="DU1718" s="496" t="s">
        <v>3959</v>
      </c>
      <c r="DV1718" s="496" t="s">
        <v>3960</v>
      </c>
      <c r="DW1718" s="496" t="s">
        <v>3961</v>
      </c>
      <c r="DX1718" s="497" t="s">
        <v>3962</v>
      </c>
      <c r="DZ1718" s="543">
        <v>1</v>
      </c>
      <c r="EB1718" s="493"/>
      <c r="EC1718" s="493"/>
    </row>
    <row r="1719" spans="119:133" ht="21" customHeight="1">
      <c r="DO1719" s="494"/>
      <c r="DP1719" s="496" t="s">
        <v>4473</v>
      </c>
      <c r="DQ1719" s="496" t="s">
        <v>11</v>
      </c>
      <c r="DR1719" s="496" t="s">
        <v>689</v>
      </c>
      <c r="DS1719" s="496" t="s">
        <v>4474</v>
      </c>
      <c r="DT1719" s="496" t="s">
        <v>4474</v>
      </c>
      <c r="DU1719" s="496" t="s">
        <v>3959</v>
      </c>
      <c r="DV1719" s="496" t="s">
        <v>3960</v>
      </c>
      <c r="DW1719" s="496" t="s">
        <v>3961</v>
      </c>
      <c r="DX1719" s="497" t="s">
        <v>3962</v>
      </c>
      <c r="DZ1719" s="543">
        <v>1</v>
      </c>
      <c r="EB1719" s="493"/>
      <c r="EC1719" s="493"/>
    </row>
    <row r="1720" spans="119:133" ht="21" customHeight="1">
      <c r="DO1720" s="494"/>
      <c r="DP1720" s="496" t="s">
        <v>4475</v>
      </c>
      <c r="DQ1720" s="496" t="s">
        <v>11</v>
      </c>
      <c r="DR1720" s="496" t="s">
        <v>689</v>
      </c>
      <c r="DS1720" s="496" t="s">
        <v>4476</v>
      </c>
      <c r="DT1720" s="496" t="s">
        <v>4476</v>
      </c>
      <c r="DU1720" s="496" t="s">
        <v>1085</v>
      </c>
      <c r="DV1720" s="496" t="s">
        <v>3974</v>
      </c>
      <c r="DW1720" s="496" t="s">
        <v>1087</v>
      </c>
      <c r="DX1720" s="497" t="s">
        <v>1088</v>
      </c>
      <c r="DZ1720" s="543">
        <v>1</v>
      </c>
      <c r="EB1720" s="493"/>
      <c r="EC1720" s="493"/>
    </row>
    <row r="1721" spans="119:133" ht="21" customHeight="1">
      <c r="DO1721" s="494"/>
      <c r="DP1721" s="496" t="s">
        <v>4477</v>
      </c>
      <c r="DQ1721" s="496" t="s">
        <v>11</v>
      </c>
      <c r="DR1721" s="496" t="s">
        <v>689</v>
      </c>
      <c r="DS1721" s="496" t="s">
        <v>4478</v>
      </c>
      <c r="DT1721" s="496" t="s">
        <v>4478</v>
      </c>
      <c r="DU1721" s="496" t="s">
        <v>3959</v>
      </c>
      <c r="DV1721" s="496" t="s">
        <v>3960</v>
      </c>
      <c r="DW1721" s="496" t="s">
        <v>3961</v>
      </c>
      <c r="DX1721" s="497" t="s">
        <v>3962</v>
      </c>
      <c r="DZ1721" s="543">
        <v>1</v>
      </c>
      <c r="EB1721" s="493"/>
      <c r="EC1721" s="493"/>
    </row>
    <row r="1722" spans="119:133" ht="21" customHeight="1">
      <c r="DO1722" s="494"/>
      <c r="DP1722" s="496" t="s">
        <v>4479</v>
      </c>
      <c r="DQ1722" s="496" t="s">
        <v>11</v>
      </c>
      <c r="DR1722" s="496" t="s">
        <v>689</v>
      </c>
      <c r="DS1722" s="496" t="s">
        <v>4480</v>
      </c>
      <c r="DT1722" s="496" t="s">
        <v>4480</v>
      </c>
      <c r="DU1722" s="496" t="s">
        <v>3959</v>
      </c>
      <c r="DV1722" s="496" t="s">
        <v>3960</v>
      </c>
      <c r="DW1722" s="496" t="s">
        <v>3961</v>
      </c>
      <c r="DX1722" s="497" t="s">
        <v>3962</v>
      </c>
      <c r="DZ1722" s="543">
        <v>1</v>
      </c>
      <c r="EB1722" s="493"/>
      <c r="EC1722" s="493"/>
    </row>
    <row r="1723" spans="119:133" ht="21" customHeight="1">
      <c r="DO1723" s="494"/>
      <c r="DP1723" s="496" t="s">
        <v>4481</v>
      </c>
      <c r="DQ1723" s="496" t="s">
        <v>11</v>
      </c>
      <c r="DR1723" s="496" t="s">
        <v>689</v>
      </c>
      <c r="DS1723" s="496" t="s">
        <v>4482</v>
      </c>
      <c r="DT1723" s="496" t="s">
        <v>4482</v>
      </c>
      <c r="DU1723" s="496" t="s">
        <v>3959</v>
      </c>
      <c r="DV1723" s="496" t="s">
        <v>3960</v>
      </c>
      <c r="DW1723" s="496" t="s">
        <v>3961</v>
      </c>
      <c r="DX1723" s="497" t="s">
        <v>3962</v>
      </c>
      <c r="DZ1723" s="543">
        <v>1</v>
      </c>
      <c r="EB1723" s="493"/>
      <c r="EC1723" s="493"/>
    </row>
    <row r="1724" spans="119:133" ht="21" customHeight="1">
      <c r="DO1724" s="494"/>
      <c r="DP1724" s="496" t="s">
        <v>4483</v>
      </c>
      <c r="DQ1724" s="496" t="s">
        <v>11</v>
      </c>
      <c r="DR1724" s="496" t="s">
        <v>689</v>
      </c>
      <c r="DS1724" s="496" t="s">
        <v>4484</v>
      </c>
      <c r="DT1724" s="496" t="s">
        <v>4484</v>
      </c>
      <c r="DU1724" s="496" t="s">
        <v>3959</v>
      </c>
      <c r="DV1724" s="496" t="s">
        <v>3960</v>
      </c>
      <c r="DW1724" s="496" t="s">
        <v>3961</v>
      </c>
      <c r="DX1724" s="497" t="s">
        <v>3962</v>
      </c>
      <c r="DZ1724" s="543">
        <v>1</v>
      </c>
      <c r="EB1724" s="493"/>
      <c r="EC1724" s="493"/>
    </row>
    <row r="1725" spans="119:133" ht="21" customHeight="1">
      <c r="DO1725" s="494"/>
      <c r="DP1725" s="496" t="s">
        <v>4485</v>
      </c>
      <c r="DQ1725" s="496" t="s">
        <v>11</v>
      </c>
      <c r="DR1725" s="496" t="s">
        <v>689</v>
      </c>
      <c r="DS1725" s="496" t="s">
        <v>4486</v>
      </c>
      <c r="DT1725" s="496" t="s">
        <v>4486</v>
      </c>
      <c r="DU1725" s="496" t="s">
        <v>3959</v>
      </c>
      <c r="DV1725" s="496" t="s">
        <v>3960</v>
      </c>
      <c r="DW1725" s="496" t="s">
        <v>3961</v>
      </c>
      <c r="DX1725" s="497" t="s">
        <v>3962</v>
      </c>
      <c r="DZ1725" s="543">
        <v>1</v>
      </c>
      <c r="EB1725" s="493"/>
      <c r="EC1725" s="493"/>
    </row>
    <row r="1726" spans="119:133" ht="21" customHeight="1">
      <c r="DO1726" s="494"/>
      <c r="DP1726" s="496" t="s">
        <v>4487</v>
      </c>
      <c r="DQ1726" s="496" t="s">
        <v>11</v>
      </c>
      <c r="DR1726" s="496" t="s">
        <v>689</v>
      </c>
      <c r="DS1726" s="496" t="s">
        <v>4488</v>
      </c>
      <c r="DT1726" s="496" t="s">
        <v>4489</v>
      </c>
      <c r="DU1726" s="496" t="s">
        <v>3959</v>
      </c>
      <c r="DV1726" s="496" t="s">
        <v>3960</v>
      </c>
      <c r="DW1726" s="496" t="s">
        <v>3961</v>
      </c>
      <c r="DX1726" s="497" t="s">
        <v>3962</v>
      </c>
      <c r="DZ1726" s="543">
        <v>1</v>
      </c>
      <c r="EB1726" s="493"/>
      <c r="EC1726" s="493"/>
    </row>
    <row r="1727" spans="119:133" ht="21" customHeight="1">
      <c r="DO1727" s="494"/>
      <c r="DP1727" s="496" t="s">
        <v>4490</v>
      </c>
      <c r="DQ1727" s="496" t="s">
        <v>11</v>
      </c>
      <c r="DR1727" s="496" t="s">
        <v>689</v>
      </c>
      <c r="DS1727" s="496" t="s">
        <v>4491</v>
      </c>
      <c r="DT1727" s="496" t="s">
        <v>4491</v>
      </c>
      <c r="DU1727" s="496" t="s">
        <v>3959</v>
      </c>
      <c r="DV1727" s="496" t="s">
        <v>3960</v>
      </c>
      <c r="DW1727" s="496" t="s">
        <v>3961</v>
      </c>
      <c r="DX1727" s="497" t="s">
        <v>3962</v>
      </c>
      <c r="DZ1727" s="543">
        <v>1</v>
      </c>
      <c r="EB1727" s="493"/>
      <c r="EC1727" s="493"/>
    </row>
    <row r="1728" spans="119:133" ht="21" customHeight="1">
      <c r="DO1728" s="494"/>
      <c r="DP1728" s="496" t="s">
        <v>4492</v>
      </c>
      <c r="DQ1728" s="496" t="s">
        <v>11</v>
      </c>
      <c r="DR1728" s="496" t="s">
        <v>689</v>
      </c>
      <c r="DS1728" s="496" t="s">
        <v>4493</v>
      </c>
      <c r="DT1728" s="496" t="s">
        <v>4493</v>
      </c>
      <c r="DU1728" s="496" t="s">
        <v>3959</v>
      </c>
      <c r="DV1728" s="496" t="s">
        <v>3960</v>
      </c>
      <c r="DW1728" s="496" t="s">
        <v>3961</v>
      </c>
      <c r="DX1728" s="497" t="s">
        <v>3962</v>
      </c>
      <c r="DZ1728" s="543">
        <v>1</v>
      </c>
      <c r="EB1728" s="493"/>
      <c r="EC1728" s="493"/>
    </row>
    <row r="1729" spans="119:133" ht="21" customHeight="1">
      <c r="DO1729" s="494"/>
      <c r="DP1729" s="496" t="s">
        <v>4494</v>
      </c>
      <c r="DQ1729" s="496" t="s">
        <v>11</v>
      </c>
      <c r="DR1729" s="496" t="s">
        <v>689</v>
      </c>
      <c r="DS1729" s="496" t="s">
        <v>4495</v>
      </c>
      <c r="DT1729" s="496" t="s">
        <v>4495</v>
      </c>
      <c r="DU1729" s="496" t="s">
        <v>3959</v>
      </c>
      <c r="DV1729" s="496" t="s">
        <v>3960</v>
      </c>
      <c r="DW1729" s="496" t="s">
        <v>3961</v>
      </c>
      <c r="DX1729" s="497" t="s">
        <v>3962</v>
      </c>
      <c r="DZ1729" s="543">
        <v>1</v>
      </c>
      <c r="EB1729" s="493"/>
      <c r="EC1729" s="493"/>
    </row>
    <row r="1730" spans="119:133" ht="21" customHeight="1">
      <c r="DO1730" s="494"/>
      <c r="DP1730" s="496" t="s">
        <v>4496</v>
      </c>
      <c r="DQ1730" s="496" t="s">
        <v>11</v>
      </c>
      <c r="DR1730" s="496" t="s">
        <v>689</v>
      </c>
      <c r="DS1730" s="496" t="s">
        <v>996</v>
      </c>
      <c r="DT1730" s="496" t="s">
        <v>996</v>
      </c>
      <c r="DU1730" s="496" t="s">
        <v>1085</v>
      </c>
      <c r="DV1730" s="496" t="s">
        <v>3974</v>
      </c>
      <c r="DW1730" s="496" t="s">
        <v>1087</v>
      </c>
      <c r="DX1730" s="497" t="s">
        <v>1088</v>
      </c>
      <c r="DZ1730" s="543">
        <v>1</v>
      </c>
      <c r="EB1730" s="493"/>
      <c r="EC1730" s="493"/>
    </row>
    <row r="1731" spans="119:133" ht="21" customHeight="1">
      <c r="DO1731" s="494"/>
      <c r="DP1731" s="496" t="s">
        <v>4497</v>
      </c>
      <c r="DQ1731" s="496" t="s">
        <v>11</v>
      </c>
      <c r="DR1731" s="496" t="s">
        <v>689</v>
      </c>
      <c r="DS1731" s="496" t="s">
        <v>4498</v>
      </c>
      <c r="DT1731" s="496" t="s">
        <v>4498</v>
      </c>
      <c r="DU1731" s="496" t="s">
        <v>1085</v>
      </c>
      <c r="DV1731" s="496" t="s">
        <v>3974</v>
      </c>
      <c r="DW1731" s="496" t="s">
        <v>1087</v>
      </c>
      <c r="DX1731" s="497" t="s">
        <v>1088</v>
      </c>
      <c r="DZ1731" s="543">
        <v>1</v>
      </c>
      <c r="EB1731" s="493"/>
      <c r="EC1731" s="493"/>
    </row>
    <row r="1732" spans="119:133" ht="21" customHeight="1">
      <c r="DO1732" s="494"/>
      <c r="DP1732" s="496" t="s">
        <v>4499</v>
      </c>
      <c r="DQ1732" s="496" t="s">
        <v>11</v>
      </c>
      <c r="DR1732" s="496" t="s">
        <v>689</v>
      </c>
      <c r="DS1732" s="496" t="s">
        <v>997</v>
      </c>
      <c r="DT1732" s="496" t="s">
        <v>997</v>
      </c>
      <c r="DU1732" s="496" t="s">
        <v>1085</v>
      </c>
      <c r="DV1732" s="496" t="s">
        <v>3974</v>
      </c>
      <c r="DW1732" s="496" t="s">
        <v>1087</v>
      </c>
      <c r="DX1732" s="497" t="s">
        <v>1088</v>
      </c>
      <c r="DZ1732" s="543">
        <v>1</v>
      </c>
      <c r="EB1732" s="493"/>
      <c r="EC1732" s="493"/>
    </row>
    <row r="1733" spans="119:133" ht="21" customHeight="1">
      <c r="DO1733" s="494"/>
      <c r="DP1733" s="496" t="s">
        <v>4500</v>
      </c>
      <c r="DQ1733" s="496" t="s">
        <v>11</v>
      </c>
      <c r="DR1733" s="496" t="s">
        <v>689</v>
      </c>
      <c r="DS1733" s="496" t="s">
        <v>4501</v>
      </c>
      <c r="DT1733" s="496" t="s">
        <v>4501</v>
      </c>
      <c r="DU1733" s="496" t="s">
        <v>3959</v>
      </c>
      <c r="DV1733" s="496" t="s">
        <v>3960</v>
      </c>
      <c r="DW1733" s="496" t="s">
        <v>3961</v>
      </c>
      <c r="DX1733" s="497" t="s">
        <v>3962</v>
      </c>
      <c r="DZ1733" s="543">
        <v>1</v>
      </c>
      <c r="EB1733" s="493"/>
      <c r="EC1733" s="493"/>
    </row>
    <row r="1734" spans="119:133" ht="21" customHeight="1">
      <c r="DO1734" s="494"/>
      <c r="DP1734" s="496" t="s">
        <v>4502</v>
      </c>
      <c r="DQ1734" s="496" t="s">
        <v>11</v>
      </c>
      <c r="DR1734" s="496" t="s">
        <v>689</v>
      </c>
      <c r="DS1734" s="496" t="s">
        <v>4503</v>
      </c>
      <c r="DT1734" s="496" t="s">
        <v>4504</v>
      </c>
      <c r="DU1734" s="496" t="s">
        <v>3959</v>
      </c>
      <c r="DV1734" s="496" t="s">
        <v>3960</v>
      </c>
      <c r="DW1734" s="496" t="s">
        <v>3961</v>
      </c>
      <c r="DX1734" s="497" t="s">
        <v>3962</v>
      </c>
      <c r="DZ1734" s="543">
        <v>1</v>
      </c>
      <c r="EB1734" s="493"/>
      <c r="EC1734" s="493"/>
    </row>
    <row r="1735" spans="119:133" ht="21" customHeight="1">
      <c r="DO1735" s="494"/>
      <c r="DP1735" s="496" t="s">
        <v>4505</v>
      </c>
      <c r="DQ1735" s="496" t="s">
        <v>11</v>
      </c>
      <c r="DR1735" s="496" t="s">
        <v>689</v>
      </c>
      <c r="DS1735" s="496" t="s">
        <v>4506</v>
      </c>
      <c r="DT1735" s="496" t="s">
        <v>4507</v>
      </c>
      <c r="DU1735" s="496" t="s">
        <v>3959</v>
      </c>
      <c r="DV1735" s="496" t="s">
        <v>3960</v>
      </c>
      <c r="DW1735" s="496" t="s">
        <v>3961</v>
      </c>
      <c r="DX1735" s="497" t="s">
        <v>3962</v>
      </c>
      <c r="DZ1735" s="543">
        <v>1</v>
      </c>
      <c r="EB1735" s="493"/>
      <c r="EC1735" s="493"/>
    </row>
    <row r="1736" spans="119:133" ht="21" customHeight="1">
      <c r="DO1736" s="494"/>
      <c r="DP1736" s="496" t="s">
        <v>4508</v>
      </c>
      <c r="DQ1736" s="496" t="s">
        <v>11</v>
      </c>
      <c r="DR1736" s="496" t="s">
        <v>689</v>
      </c>
      <c r="DS1736" s="496" t="s">
        <v>4509</v>
      </c>
      <c r="DT1736" s="496" t="s">
        <v>4510</v>
      </c>
      <c r="DU1736" s="496" t="s">
        <v>3959</v>
      </c>
      <c r="DV1736" s="496" t="s">
        <v>3960</v>
      </c>
      <c r="DW1736" s="496" t="s">
        <v>3961</v>
      </c>
      <c r="DX1736" s="497" t="s">
        <v>3962</v>
      </c>
      <c r="DZ1736" s="543">
        <v>1</v>
      </c>
      <c r="EB1736" s="493"/>
      <c r="EC1736" s="493"/>
    </row>
    <row r="1737" spans="119:133" ht="21" customHeight="1">
      <c r="DO1737" s="494"/>
      <c r="DP1737" s="496" t="s">
        <v>4511</v>
      </c>
      <c r="DQ1737" s="496" t="s">
        <v>11</v>
      </c>
      <c r="DR1737" s="496" t="s">
        <v>689</v>
      </c>
      <c r="DS1737" s="496" t="s">
        <v>4512</v>
      </c>
      <c r="DT1737" s="496" t="s">
        <v>4512</v>
      </c>
      <c r="DU1737" s="496" t="s">
        <v>3959</v>
      </c>
      <c r="DV1737" s="496" t="s">
        <v>3960</v>
      </c>
      <c r="DW1737" s="496" t="s">
        <v>3961</v>
      </c>
      <c r="DX1737" s="497" t="s">
        <v>3962</v>
      </c>
      <c r="DZ1737" s="543">
        <v>1</v>
      </c>
      <c r="EB1737" s="493"/>
      <c r="EC1737" s="493"/>
    </row>
    <row r="1738" spans="119:133" ht="21" customHeight="1">
      <c r="DO1738" s="494"/>
      <c r="DP1738" s="496" t="s">
        <v>4513</v>
      </c>
      <c r="DQ1738" s="496" t="s">
        <v>11</v>
      </c>
      <c r="DR1738" s="496" t="s">
        <v>689</v>
      </c>
      <c r="DS1738" s="496" t="s">
        <v>332</v>
      </c>
      <c r="DT1738" s="496" t="s">
        <v>332</v>
      </c>
      <c r="DU1738" s="496" t="s">
        <v>1151</v>
      </c>
      <c r="DV1738" s="496" t="s">
        <v>1152</v>
      </c>
      <c r="DW1738" s="496" t="s">
        <v>1087</v>
      </c>
      <c r="DX1738" s="497" t="s">
        <v>1153</v>
      </c>
      <c r="DZ1738" s="543">
        <v>1</v>
      </c>
      <c r="EB1738" s="493"/>
      <c r="EC1738" s="493"/>
    </row>
    <row r="1739" spans="119:133" ht="21" customHeight="1">
      <c r="DO1739" s="494"/>
      <c r="DP1739" s="496" t="s">
        <v>4514</v>
      </c>
      <c r="DQ1739" s="496" t="s">
        <v>11</v>
      </c>
      <c r="DR1739" s="496" t="s">
        <v>689</v>
      </c>
      <c r="DS1739" s="496" t="s">
        <v>4515</v>
      </c>
      <c r="DT1739" s="496" t="s">
        <v>4515</v>
      </c>
      <c r="DU1739" s="496" t="s">
        <v>3959</v>
      </c>
      <c r="DV1739" s="496" t="s">
        <v>3960</v>
      </c>
      <c r="DW1739" s="496" t="s">
        <v>3961</v>
      </c>
      <c r="DX1739" s="497" t="s">
        <v>3962</v>
      </c>
      <c r="DZ1739" s="543">
        <v>1</v>
      </c>
      <c r="EB1739" s="493"/>
      <c r="EC1739" s="493"/>
    </row>
    <row r="1740" spans="119:133" ht="21" customHeight="1">
      <c r="DO1740" s="494"/>
      <c r="DP1740" s="496" t="s">
        <v>4516</v>
      </c>
      <c r="DQ1740" s="496" t="s">
        <v>11</v>
      </c>
      <c r="DR1740" s="496" t="s">
        <v>689</v>
      </c>
      <c r="DS1740" s="496" t="s">
        <v>4517</v>
      </c>
      <c r="DT1740" s="496" t="s">
        <v>4517</v>
      </c>
      <c r="DU1740" s="496" t="s">
        <v>3959</v>
      </c>
      <c r="DV1740" s="496" t="s">
        <v>3960</v>
      </c>
      <c r="DW1740" s="496" t="s">
        <v>3961</v>
      </c>
      <c r="DX1740" s="497" t="s">
        <v>3962</v>
      </c>
      <c r="DZ1740" s="543">
        <v>1</v>
      </c>
      <c r="EB1740" s="493"/>
      <c r="EC1740" s="493"/>
    </row>
    <row r="1741" spans="119:133" ht="21" customHeight="1">
      <c r="DO1741" s="494"/>
      <c r="DP1741" s="496" t="s">
        <v>4518</v>
      </c>
      <c r="DQ1741" s="496" t="s">
        <v>11</v>
      </c>
      <c r="DR1741" s="496" t="s">
        <v>689</v>
      </c>
      <c r="DS1741" s="496" t="s">
        <v>172</v>
      </c>
      <c r="DT1741" s="496" t="s">
        <v>172</v>
      </c>
      <c r="DU1741" s="496" t="s">
        <v>1085</v>
      </c>
      <c r="DV1741" s="496" t="s">
        <v>3974</v>
      </c>
      <c r="DW1741" s="496" t="s">
        <v>1087</v>
      </c>
      <c r="DX1741" s="497" t="s">
        <v>1088</v>
      </c>
      <c r="DZ1741" s="543">
        <v>1</v>
      </c>
      <c r="EB1741" s="493"/>
      <c r="EC1741" s="493"/>
    </row>
    <row r="1742" spans="119:133" ht="21" customHeight="1">
      <c r="DO1742" s="494"/>
      <c r="DP1742" s="496" t="s">
        <v>4519</v>
      </c>
      <c r="DQ1742" s="496" t="s">
        <v>11</v>
      </c>
      <c r="DR1742" s="496" t="s">
        <v>689</v>
      </c>
      <c r="DS1742" s="496" t="s">
        <v>4520</v>
      </c>
      <c r="DT1742" s="496" t="s">
        <v>4521</v>
      </c>
      <c r="DU1742" s="496" t="s">
        <v>3959</v>
      </c>
      <c r="DV1742" s="496" t="s">
        <v>3960</v>
      </c>
      <c r="DW1742" s="496" t="s">
        <v>3961</v>
      </c>
      <c r="DX1742" s="497" t="s">
        <v>3962</v>
      </c>
      <c r="DZ1742" s="543">
        <v>1</v>
      </c>
      <c r="EB1742" s="493"/>
      <c r="EC1742" s="493"/>
    </row>
    <row r="1743" spans="119:133" ht="21" customHeight="1">
      <c r="DO1743" s="494"/>
      <c r="DP1743" s="496" t="s">
        <v>4522</v>
      </c>
      <c r="DQ1743" s="496" t="s">
        <v>11</v>
      </c>
      <c r="DR1743" s="496" t="s">
        <v>689</v>
      </c>
      <c r="DS1743" s="496" t="s">
        <v>4523</v>
      </c>
      <c r="DT1743" s="496" t="s">
        <v>4523</v>
      </c>
      <c r="DU1743" s="496" t="s">
        <v>3959</v>
      </c>
      <c r="DV1743" s="496" t="s">
        <v>3960</v>
      </c>
      <c r="DW1743" s="496" t="s">
        <v>3961</v>
      </c>
      <c r="DX1743" s="497" t="s">
        <v>3962</v>
      </c>
      <c r="DZ1743" s="543">
        <v>1</v>
      </c>
      <c r="EB1743" s="493"/>
      <c r="EC1743" s="493"/>
    </row>
    <row r="1744" spans="119:133" ht="21" customHeight="1">
      <c r="DO1744" s="494"/>
      <c r="DP1744" s="496" t="s">
        <v>4524</v>
      </c>
      <c r="DQ1744" s="496" t="s">
        <v>11</v>
      </c>
      <c r="DR1744" s="496" t="s">
        <v>689</v>
      </c>
      <c r="DS1744" s="496" t="s">
        <v>4525</v>
      </c>
      <c r="DT1744" s="496" t="s">
        <v>4525</v>
      </c>
      <c r="DU1744" s="496" t="s">
        <v>1085</v>
      </c>
      <c r="DV1744" s="496" t="s">
        <v>3974</v>
      </c>
      <c r="DW1744" s="496" t="s">
        <v>1087</v>
      </c>
      <c r="DX1744" s="497" t="s">
        <v>1088</v>
      </c>
      <c r="DZ1744" s="543">
        <v>1</v>
      </c>
      <c r="EB1744" s="493"/>
      <c r="EC1744" s="493"/>
    </row>
    <row r="1745" spans="119:133" ht="21" customHeight="1">
      <c r="DO1745" s="494"/>
      <c r="DP1745" s="496" t="s">
        <v>4526</v>
      </c>
      <c r="DQ1745" s="496" t="s">
        <v>11</v>
      </c>
      <c r="DR1745" s="496" t="s">
        <v>689</v>
      </c>
      <c r="DS1745" s="496" t="s">
        <v>4527</v>
      </c>
      <c r="DT1745" s="496" t="s">
        <v>4527</v>
      </c>
      <c r="DU1745" s="496" t="s">
        <v>1151</v>
      </c>
      <c r="DV1745" s="496" t="s">
        <v>1152</v>
      </c>
      <c r="DW1745" s="496" t="s">
        <v>1087</v>
      </c>
      <c r="DX1745" s="497" t="s">
        <v>1153</v>
      </c>
      <c r="DZ1745" s="543">
        <v>1</v>
      </c>
      <c r="EB1745" s="493"/>
      <c r="EC1745" s="493"/>
    </row>
    <row r="1746" spans="119:133" ht="21" customHeight="1">
      <c r="DO1746" s="494"/>
      <c r="DP1746" s="496" t="s">
        <v>4528</v>
      </c>
      <c r="DQ1746" s="496" t="s">
        <v>11</v>
      </c>
      <c r="DR1746" s="496" t="s">
        <v>689</v>
      </c>
      <c r="DS1746" s="496" t="s">
        <v>333</v>
      </c>
      <c r="DT1746" s="496" t="s">
        <v>333</v>
      </c>
      <c r="DU1746" s="496" t="s">
        <v>1085</v>
      </c>
      <c r="DV1746" s="496" t="s">
        <v>3974</v>
      </c>
      <c r="DW1746" s="496" t="s">
        <v>1087</v>
      </c>
      <c r="DX1746" s="497" t="s">
        <v>1088</v>
      </c>
      <c r="DZ1746" s="543">
        <v>1</v>
      </c>
      <c r="EB1746" s="493"/>
      <c r="EC1746" s="493"/>
    </row>
    <row r="1747" spans="119:133" ht="21" customHeight="1">
      <c r="DO1747" s="494"/>
      <c r="DP1747" s="496" t="s">
        <v>4529</v>
      </c>
      <c r="DQ1747" s="496" t="s">
        <v>11</v>
      </c>
      <c r="DR1747" s="496" t="s">
        <v>689</v>
      </c>
      <c r="DS1747" s="496" t="s">
        <v>4530</v>
      </c>
      <c r="DT1747" s="496" t="s">
        <v>4530</v>
      </c>
      <c r="DU1747" s="496" t="s">
        <v>3959</v>
      </c>
      <c r="DV1747" s="496" t="s">
        <v>3960</v>
      </c>
      <c r="DW1747" s="496" t="s">
        <v>3961</v>
      </c>
      <c r="DX1747" s="497" t="s">
        <v>3962</v>
      </c>
      <c r="DZ1747" s="543">
        <v>1</v>
      </c>
      <c r="EB1747" s="493"/>
      <c r="EC1747" s="493"/>
    </row>
    <row r="1748" spans="119:133" ht="21" customHeight="1">
      <c r="DO1748" s="494"/>
      <c r="DP1748" s="496" t="s">
        <v>4531</v>
      </c>
      <c r="DQ1748" s="496" t="s">
        <v>11</v>
      </c>
      <c r="DR1748" s="496" t="s">
        <v>689</v>
      </c>
      <c r="DS1748" s="496" t="s">
        <v>4532</v>
      </c>
      <c r="DT1748" s="496" t="s">
        <v>4532</v>
      </c>
      <c r="DU1748" s="496" t="s">
        <v>1151</v>
      </c>
      <c r="DV1748" s="496" t="s">
        <v>1152</v>
      </c>
      <c r="DW1748" s="496" t="s">
        <v>1087</v>
      </c>
      <c r="DX1748" s="497" t="s">
        <v>1153</v>
      </c>
      <c r="DZ1748" s="543">
        <v>1</v>
      </c>
      <c r="EB1748" s="493"/>
      <c r="EC1748" s="493"/>
    </row>
    <row r="1749" spans="119:133" ht="21" customHeight="1">
      <c r="DO1749" s="494"/>
      <c r="DP1749" s="496" t="s">
        <v>4533</v>
      </c>
      <c r="DQ1749" s="496" t="s">
        <v>11</v>
      </c>
      <c r="DR1749" s="496" t="s">
        <v>690</v>
      </c>
      <c r="DS1749" s="496" t="s">
        <v>4534</v>
      </c>
      <c r="DT1749" s="496" t="s">
        <v>4534</v>
      </c>
      <c r="DU1749" s="496" t="s">
        <v>1151</v>
      </c>
      <c r="DV1749" s="496" t="s">
        <v>1446</v>
      </c>
      <c r="DW1749" s="496" t="s">
        <v>1087</v>
      </c>
      <c r="DX1749" s="497" t="s">
        <v>1153</v>
      </c>
      <c r="DZ1749" s="543">
        <v>1</v>
      </c>
      <c r="EB1749" s="493"/>
      <c r="EC1749" s="493"/>
    </row>
    <row r="1750" spans="119:133" ht="21" customHeight="1">
      <c r="DO1750" s="494"/>
      <c r="DP1750" s="496" t="s">
        <v>4535</v>
      </c>
      <c r="DQ1750" s="496" t="s">
        <v>11</v>
      </c>
      <c r="DR1750" s="496" t="s">
        <v>690</v>
      </c>
      <c r="DS1750" s="496" t="s">
        <v>4536</v>
      </c>
      <c r="DT1750" s="496" t="s">
        <v>4536</v>
      </c>
      <c r="DU1750" s="496" t="s">
        <v>1151</v>
      </c>
      <c r="DV1750" s="496" t="s">
        <v>1446</v>
      </c>
      <c r="DW1750" s="496" t="s">
        <v>1087</v>
      </c>
      <c r="DX1750" s="497" t="s">
        <v>1153</v>
      </c>
      <c r="DZ1750" s="543">
        <v>1</v>
      </c>
      <c r="EB1750" s="493"/>
      <c r="EC1750" s="493"/>
    </row>
    <row r="1751" spans="119:133" ht="21" customHeight="1">
      <c r="DO1751" s="494"/>
      <c r="DP1751" s="496" t="s">
        <v>4537</v>
      </c>
      <c r="DQ1751" s="496" t="s">
        <v>11</v>
      </c>
      <c r="DR1751" s="496" t="s">
        <v>690</v>
      </c>
      <c r="DS1751" s="496" t="s">
        <v>4538</v>
      </c>
      <c r="DT1751" s="496" t="s">
        <v>4539</v>
      </c>
      <c r="DU1751" s="496" t="s">
        <v>3959</v>
      </c>
      <c r="DV1751" s="496" t="s">
        <v>4540</v>
      </c>
      <c r="DW1751" s="496" t="s">
        <v>3961</v>
      </c>
      <c r="DX1751" s="497" t="s">
        <v>3962</v>
      </c>
      <c r="DZ1751" s="543">
        <v>1</v>
      </c>
      <c r="EB1751" s="493"/>
      <c r="EC1751" s="493"/>
    </row>
    <row r="1752" spans="119:133" ht="21" customHeight="1">
      <c r="DO1752" s="494"/>
      <c r="DP1752" s="496" t="s">
        <v>4541</v>
      </c>
      <c r="DQ1752" s="496" t="s">
        <v>11</v>
      </c>
      <c r="DR1752" s="496" t="s">
        <v>690</v>
      </c>
      <c r="DS1752" s="496" t="s">
        <v>141</v>
      </c>
      <c r="DT1752" s="496" t="s">
        <v>141</v>
      </c>
      <c r="DU1752" s="496" t="s">
        <v>1085</v>
      </c>
      <c r="DV1752" s="496" t="s">
        <v>4542</v>
      </c>
      <c r="DW1752" s="496" t="s">
        <v>1087</v>
      </c>
      <c r="DX1752" s="497" t="s">
        <v>1088</v>
      </c>
      <c r="DZ1752" s="543">
        <v>1</v>
      </c>
      <c r="EB1752" s="493"/>
      <c r="EC1752" s="493"/>
    </row>
    <row r="1753" spans="119:133" ht="21" customHeight="1">
      <c r="DO1753" s="494"/>
      <c r="DP1753" s="496" t="s">
        <v>4543</v>
      </c>
      <c r="DQ1753" s="496" t="s">
        <v>11</v>
      </c>
      <c r="DR1753" s="496" t="s">
        <v>690</v>
      </c>
      <c r="DS1753" s="496" t="s">
        <v>46</v>
      </c>
      <c r="DT1753" s="496" t="s">
        <v>46</v>
      </c>
      <c r="DU1753" s="496" t="s">
        <v>1085</v>
      </c>
      <c r="DV1753" s="496" t="s">
        <v>4542</v>
      </c>
      <c r="DW1753" s="496" t="s">
        <v>1087</v>
      </c>
      <c r="DX1753" s="497" t="s">
        <v>1088</v>
      </c>
      <c r="DZ1753" s="543">
        <v>1</v>
      </c>
      <c r="EB1753" s="493"/>
      <c r="EC1753" s="493"/>
    </row>
    <row r="1754" spans="119:133" ht="21" customHeight="1">
      <c r="DO1754" s="494"/>
      <c r="DP1754" s="496" t="s">
        <v>4544</v>
      </c>
      <c r="DQ1754" s="496" t="s">
        <v>11</v>
      </c>
      <c r="DR1754" s="496" t="s">
        <v>690</v>
      </c>
      <c r="DS1754" s="496" t="s">
        <v>3825</v>
      </c>
      <c r="DT1754" s="496" t="s">
        <v>40</v>
      </c>
      <c r="DU1754" s="496" t="s">
        <v>1085</v>
      </c>
      <c r="DV1754" s="496" t="s">
        <v>4542</v>
      </c>
      <c r="DW1754" s="496" t="s">
        <v>1087</v>
      </c>
      <c r="DX1754" s="497" t="s">
        <v>1088</v>
      </c>
      <c r="DZ1754" s="543">
        <v>1</v>
      </c>
      <c r="EB1754" s="493"/>
      <c r="EC1754" s="493"/>
    </row>
    <row r="1755" spans="119:133" ht="21" customHeight="1">
      <c r="DO1755" s="494"/>
      <c r="DP1755" s="496" t="s">
        <v>4545</v>
      </c>
      <c r="DQ1755" s="496" t="s">
        <v>11</v>
      </c>
      <c r="DR1755" s="496" t="s">
        <v>690</v>
      </c>
      <c r="DS1755" s="496" t="s">
        <v>150</v>
      </c>
      <c r="DT1755" s="496" t="s">
        <v>150</v>
      </c>
      <c r="DU1755" s="496" t="s">
        <v>1085</v>
      </c>
      <c r="DV1755" s="496" t="s">
        <v>4542</v>
      </c>
      <c r="DW1755" s="496" t="s">
        <v>1087</v>
      </c>
      <c r="DX1755" s="497" t="s">
        <v>1088</v>
      </c>
      <c r="DZ1755" s="543">
        <v>1</v>
      </c>
      <c r="EB1755" s="493"/>
      <c r="EC1755" s="493"/>
    </row>
    <row r="1756" spans="119:133" ht="21" customHeight="1">
      <c r="DO1756" s="494"/>
      <c r="DP1756" s="496" t="s">
        <v>4546</v>
      </c>
      <c r="DQ1756" s="496" t="s">
        <v>11</v>
      </c>
      <c r="DR1756" s="496" t="s">
        <v>690</v>
      </c>
      <c r="DS1756" s="496" t="s">
        <v>158</v>
      </c>
      <c r="DT1756" s="496" t="s">
        <v>158</v>
      </c>
      <c r="DU1756" s="496" t="s">
        <v>1085</v>
      </c>
      <c r="DV1756" s="496" t="s">
        <v>4542</v>
      </c>
      <c r="DW1756" s="496" t="s">
        <v>1087</v>
      </c>
      <c r="DX1756" s="497" t="s">
        <v>1088</v>
      </c>
      <c r="DZ1756" s="543">
        <v>1</v>
      </c>
      <c r="EB1756" s="493"/>
      <c r="EC1756" s="493"/>
    </row>
    <row r="1757" spans="119:133" ht="21" customHeight="1">
      <c r="DO1757" s="494"/>
      <c r="DP1757" s="496" t="s">
        <v>4547</v>
      </c>
      <c r="DQ1757" s="496" t="s">
        <v>11</v>
      </c>
      <c r="DR1757" s="496" t="s">
        <v>690</v>
      </c>
      <c r="DS1757" s="496" t="s">
        <v>169</v>
      </c>
      <c r="DT1757" s="496" t="s">
        <v>169</v>
      </c>
      <c r="DU1757" s="496" t="s">
        <v>3959</v>
      </c>
      <c r="DV1757" s="496" t="s">
        <v>4540</v>
      </c>
      <c r="DW1757" s="496" t="s">
        <v>3961</v>
      </c>
      <c r="DX1757" s="497" t="s">
        <v>3962</v>
      </c>
      <c r="DZ1757" s="543">
        <v>1</v>
      </c>
      <c r="EB1757" s="493"/>
      <c r="EC1757" s="493"/>
    </row>
    <row r="1758" spans="119:133" ht="21" customHeight="1">
      <c r="DO1758" s="494"/>
      <c r="DP1758" s="496" t="s">
        <v>4548</v>
      </c>
      <c r="DQ1758" s="496" t="s">
        <v>11</v>
      </c>
      <c r="DR1758" s="496" t="s">
        <v>690</v>
      </c>
      <c r="DS1758" s="496" t="s">
        <v>4549</v>
      </c>
      <c r="DT1758" s="496" t="s">
        <v>4550</v>
      </c>
      <c r="DU1758" s="496" t="s">
        <v>1085</v>
      </c>
      <c r="DV1758" s="496" t="s">
        <v>4542</v>
      </c>
      <c r="DW1758" s="496" t="s">
        <v>1087</v>
      </c>
      <c r="DX1758" s="497" t="s">
        <v>1088</v>
      </c>
      <c r="DZ1758" s="543">
        <v>1</v>
      </c>
      <c r="EB1758" s="493"/>
      <c r="EC1758" s="493"/>
    </row>
    <row r="1759" spans="119:133" ht="21" customHeight="1">
      <c r="DO1759" s="494"/>
      <c r="DP1759" s="496" t="s">
        <v>4551</v>
      </c>
      <c r="DQ1759" s="496" t="s">
        <v>11</v>
      </c>
      <c r="DR1759" s="496" t="s">
        <v>690</v>
      </c>
      <c r="DS1759" s="496" t="s">
        <v>91</v>
      </c>
      <c r="DT1759" s="496" t="s">
        <v>91</v>
      </c>
      <c r="DU1759" s="496" t="s">
        <v>1085</v>
      </c>
      <c r="DV1759" s="496" t="s">
        <v>4542</v>
      </c>
      <c r="DW1759" s="496" t="s">
        <v>1087</v>
      </c>
      <c r="DX1759" s="497" t="s">
        <v>1088</v>
      </c>
      <c r="DZ1759" s="543">
        <v>1</v>
      </c>
      <c r="EB1759" s="493"/>
      <c r="EC1759" s="493"/>
    </row>
    <row r="1760" spans="119:133" ht="21" customHeight="1">
      <c r="DO1760" s="494"/>
      <c r="DP1760" s="496" t="s">
        <v>4552</v>
      </c>
      <c r="DQ1760" s="496" t="s">
        <v>11</v>
      </c>
      <c r="DR1760" s="496" t="s">
        <v>690</v>
      </c>
      <c r="DS1760" s="496" t="s">
        <v>4553</v>
      </c>
      <c r="DT1760" s="496" t="s">
        <v>130</v>
      </c>
      <c r="DU1760" s="496" t="s">
        <v>1085</v>
      </c>
      <c r="DV1760" s="496" t="s">
        <v>4542</v>
      </c>
      <c r="DW1760" s="496" t="s">
        <v>1087</v>
      </c>
      <c r="DX1760" s="497" t="s">
        <v>1088</v>
      </c>
      <c r="DZ1760" s="543">
        <v>1</v>
      </c>
      <c r="EB1760" s="493"/>
      <c r="EC1760" s="493"/>
    </row>
    <row r="1761" spans="119:133" ht="21" customHeight="1">
      <c r="DO1761" s="494"/>
      <c r="DP1761" s="496" t="s">
        <v>4554</v>
      </c>
      <c r="DQ1761" s="496" t="s">
        <v>11</v>
      </c>
      <c r="DR1761" s="496" t="s">
        <v>690</v>
      </c>
      <c r="DS1761" s="496" t="s">
        <v>4555</v>
      </c>
      <c r="DT1761" s="496" t="s">
        <v>4555</v>
      </c>
      <c r="DU1761" s="496" t="s">
        <v>1151</v>
      </c>
      <c r="DV1761" s="496" t="s">
        <v>1446</v>
      </c>
      <c r="DW1761" s="496" t="s">
        <v>1087</v>
      </c>
      <c r="DX1761" s="497" t="s">
        <v>1153</v>
      </c>
      <c r="DZ1761" s="543">
        <v>1</v>
      </c>
      <c r="EB1761" s="493"/>
      <c r="EC1761" s="493"/>
    </row>
    <row r="1762" spans="119:133" ht="21" customHeight="1">
      <c r="DO1762" s="494"/>
      <c r="DP1762" s="496" t="s">
        <v>4556</v>
      </c>
      <c r="DQ1762" s="496" t="s">
        <v>11</v>
      </c>
      <c r="DR1762" s="496" t="s">
        <v>690</v>
      </c>
      <c r="DS1762" s="496" t="s">
        <v>4557</v>
      </c>
      <c r="DT1762" s="496" t="s">
        <v>4557</v>
      </c>
      <c r="DU1762" s="496" t="s">
        <v>1151</v>
      </c>
      <c r="DV1762" s="496" t="s">
        <v>1446</v>
      </c>
      <c r="DW1762" s="496" t="s">
        <v>1087</v>
      </c>
      <c r="DX1762" s="497" t="s">
        <v>1153</v>
      </c>
      <c r="DZ1762" s="543">
        <v>1</v>
      </c>
      <c r="EB1762" s="493"/>
      <c r="EC1762" s="493"/>
    </row>
    <row r="1763" spans="119:133" ht="21" customHeight="1">
      <c r="DO1763" s="494"/>
      <c r="DP1763" s="496" t="s">
        <v>4558</v>
      </c>
      <c r="DQ1763" s="496" t="s">
        <v>11</v>
      </c>
      <c r="DR1763" s="496" t="s">
        <v>690</v>
      </c>
      <c r="DS1763" s="496" t="s">
        <v>4559</v>
      </c>
      <c r="DT1763" s="496" t="s">
        <v>4559</v>
      </c>
      <c r="DU1763" s="496" t="s">
        <v>3959</v>
      </c>
      <c r="DV1763" s="496" t="s">
        <v>4540</v>
      </c>
      <c r="DW1763" s="496" t="s">
        <v>3961</v>
      </c>
      <c r="DX1763" s="497" t="s">
        <v>3962</v>
      </c>
      <c r="DZ1763" s="543">
        <v>1</v>
      </c>
      <c r="EB1763" s="493"/>
      <c r="EC1763" s="493"/>
    </row>
    <row r="1764" spans="119:133" ht="21" customHeight="1">
      <c r="DO1764" s="494"/>
      <c r="DP1764" s="496" t="s">
        <v>4560</v>
      </c>
      <c r="DQ1764" s="496" t="s">
        <v>11</v>
      </c>
      <c r="DR1764" s="496" t="s">
        <v>690</v>
      </c>
      <c r="DS1764" s="496" t="s">
        <v>4561</v>
      </c>
      <c r="DT1764" s="496" t="s">
        <v>4561</v>
      </c>
      <c r="DU1764" s="496" t="s">
        <v>1151</v>
      </c>
      <c r="DV1764" s="496" t="s">
        <v>1446</v>
      </c>
      <c r="DW1764" s="496" t="s">
        <v>1087</v>
      </c>
      <c r="DX1764" s="497" t="s">
        <v>1153</v>
      </c>
      <c r="DZ1764" s="543">
        <v>1</v>
      </c>
      <c r="EB1764" s="493"/>
      <c r="EC1764" s="493"/>
    </row>
    <row r="1765" spans="119:133" ht="21" customHeight="1">
      <c r="DO1765" s="494"/>
      <c r="DP1765" s="496" t="s">
        <v>4562</v>
      </c>
      <c r="DQ1765" s="496" t="s">
        <v>11</v>
      </c>
      <c r="DR1765" s="496" t="s">
        <v>690</v>
      </c>
      <c r="DS1765" s="496" t="s">
        <v>4563</v>
      </c>
      <c r="DT1765" s="496" t="s">
        <v>4563</v>
      </c>
      <c r="DU1765" s="496" t="s">
        <v>1151</v>
      </c>
      <c r="DV1765" s="496" t="s">
        <v>1446</v>
      </c>
      <c r="DW1765" s="496" t="s">
        <v>1087</v>
      </c>
      <c r="DX1765" s="497" t="s">
        <v>1153</v>
      </c>
      <c r="DZ1765" s="543">
        <v>1</v>
      </c>
      <c r="EB1765" s="493"/>
      <c r="EC1765" s="493"/>
    </row>
    <row r="1766" spans="119:133" ht="21" customHeight="1">
      <c r="DO1766" s="494"/>
      <c r="DP1766" s="496" t="s">
        <v>4564</v>
      </c>
      <c r="DQ1766" s="496" t="s">
        <v>11</v>
      </c>
      <c r="DR1766" s="496" t="s">
        <v>690</v>
      </c>
      <c r="DS1766" s="496" t="s">
        <v>4565</v>
      </c>
      <c r="DT1766" s="496" t="s">
        <v>4565</v>
      </c>
      <c r="DU1766" s="496" t="s">
        <v>1151</v>
      </c>
      <c r="DV1766" s="496" t="s">
        <v>1446</v>
      </c>
      <c r="DW1766" s="496" t="s">
        <v>1087</v>
      </c>
      <c r="DX1766" s="497" t="s">
        <v>1153</v>
      </c>
      <c r="DZ1766" s="543">
        <v>1</v>
      </c>
      <c r="EB1766" s="493"/>
      <c r="EC1766" s="493"/>
    </row>
    <row r="1767" spans="119:133" ht="21" customHeight="1">
      <c r="DO1767" s="494"/>
      <c r="DP1767" s="496" t="s">
        <v>4566</v>
      </c>
      <c r="DQ1767" s="496" t="s">
        <v>11</v>
      </c>
      <c r="DR1767" s="496" t="s">
        <v>690</v>
      </c>
      <c r="DS1767" s="496" t="s">
        <v>4567</v>
      </c>
      <c r="DT1767" s="496" t="s">
        <v>125</v>
      </c>
      <c r="DU1767" s="496" t="s">
        <v>3959</v>
      </c>
      <c r="DV1767" s="496" t="s">
        <v>4540</v>
      </c>
      <c r="DW1767" s="496" t="s">
        <v>3961</v>
      </c>
      <c r="DX1767" s="497" t="s">
        <v>3962</v>
      </c>
      <c r="DZ1767" s="543">
        <v>1</v>
      </c>
      <c r="EB1767" s="493"/>
      <c r="EC1767" s="493"/>
    </row>
    <row r="1768" spans="119:133" ht="21" customHeight="1">
      <c r="DO1768" s="494"/>
      <c r="DP1768" s="496" t="s">
        <v>4568</v>
      </c>
      <c r="DQ1768" s="496" t="s">
        <v>11</v>
      </c>
      <c r="DR1768" s="496" t="s">
        <v>690</v>
      </c>
      <c r="DS1768" s="496" t="s">
        <v>4569</v>
      </c>
      <c r="DT1768" s="496" t="s">
        <v>71</v>
      </c>
      <c r="DU1768" s="496" t="s">
        <v>3959</v>
      </c>
      <c r="DV1768" s="496" t="s">
        <v>4540</v>
      </c>
      <c r="DW1768" s="496" t="s">
        <v>3961</v>
      </c>
      <c r="DX1768" s="497" t="s">
        <v>3962</v>
      </c>
      <c r="DZ1768" s="543">
        <v>1</v>
      </c>
      <c r="EB1768" s="493"/>
      <c r="EC1768" s="493"/>
    </row>
    <row r="1769" spans="119:133" ht="21" customHeight="1">
      <c r="DO1769" s="494"/>
      <c r="DP1769" s="496" t="s">
        <v>4570</v>
      </c>
      <c r="DQ1769" s="496" t="s">
        <v>11</v>
      </c>
      <c r="DR1769" s="496" t="s">
        <v>690</v>
      </c>
      <c r="DS1769" s="496" t="s">
        <v>4571</v>
      </c>
      <c r="DT1769" s="496" t="s">
        <v>4572</v>
      </c>
      <c r="DU1769" s="496" t="s">
        <v>1085</v>
      </c>
      <c r="DV1769" s="496" t="s">
        <v>4542</v>
      </c>
      <c r="DW1769" s="496" t="s">
        <v>1087</v>
      </c>
      <c r="DX1769" s="497" t="s">
        <v>1088</v>
      </c>
      <c r="DZ1769" s="543">
        <v>1</v>
      </c>
      <c r="EB1769" s="493"/>
      <c r="EC1769" s="493"/>
    </row>
    <row r="1770" spans="119:133" ht="21" customHeight="1">
      <c r="DO1770" s="494"/>
      <c r="DP1770" s="496" t="s">
        <v>4573</v>
      </c>
      <c r="DQ1770" s="496" t="s">
        <v>11</v>
      </c>
      <c r="DR1770" s="496" t="s">
        <v>690</v>
      </c>
      <c r="DS1770" s="496" t="s">
        <v>4574</v>
      </c>
      <c r="DT1770" s="496" t="s">
        <v>148</v>
      </c>
      <c r="DU1770" s="496" t="s">
        <v>3959</v>
      </c>
      <c r="DV1770" s="496" t="s">
        <v>4540</v>
      </c>
      <c r="DW1770" s="496" t="s">
        <v>3961</v>
      </c>
      <c r="DX1770" s="497" t="s">
        <v>3962</v>
      </c>
      <c r="DZ1770" s="543">
        <v>1</v>
      </c>
      <c r="EB1770" s="493"/>
      <c r="EC1770" s="493"/>
    </row>
    <row r="1771" spans="119:133" ht="21" customHeight="1">
      <c r="DO1771" s="494"/>
      <c r="DP1771" s="496" t="s">
        <v>4575</v>
      </c>
      <c r="DQ1771" s="496" t="s">
        <v>11</v>
      </c>
      <c r="DR1771" s="496" t="s">
        <v>690</v>
      </c>
      <c r="DS1771" s="496" t="s">
        <v>4576</v>
      </c>
      <c r="DT1771" s="496" t="s">
        <v>4577</v>
      </c>
      <c r="DU1771" s="496" t="s">
        <v>1085</v>
      </c>
      <c r="DV1771" s="496" t="s">
        <v>4542</v>
      </c>
      <c r="DW1771" s="496" t="s">
        <v>1087</v>
      </c>
      <c r="DX1771" s="497" t="s">
        <v>1088</v>
      </c>
      <c r="DZ1771" s="543">
        <v>1</v>
      </c>
      <c r="EB1771" s="493"/>
      <c r="EC1771" s="493"/>
    </row>
    <row r="1772" spans="119:133" ht="21" customHeight="1">
      <c r="DO1772" s="494"/>
      <c r="DP1772" s="496" t="s">
        <v>4578</v>
      </c>
      <c r="DQ1772" s="496" t="s">
        <v>11</v>
      </c>
      <c r="DR1772" s="496" t="s">
        <v>690</v>
      </c>
      <c r="DS1772" s="496" t="s">
        <v>4579</v>
      </c>
      <c r="DT1772" s="496" t="s">
        <v>79</v>
      </c>
      <c r="DU1772" s="496" t="s">
        <v>1085</v>
      </c>
      <c r="DV1772" s="496" t="s">
        <v>4542</v>
      </c>
      <c r="DW1772" s="496" t="s">
        <v>1087</v>
      </c>
      <c r="DX1772" s="497" t="s">
        <v>1088</v>
      </c>
      <c r="DZ1772" s="543">
        <v>1</v>
      </c>
      <c r="EB1772" s="493"/>
      <c r="EC1772" s="493"/>
    </row>
    <row r="1773" spans="119:133" ht="21" customHeight="1">
      <c r="DO1773" s="494"/>
      <c r="DP1773" s="496" t="s">
        <v>4580</v>
      </c>
      <c r="DQ1773" s="496" t="s">
        <v>11</v>
      </c>
      <c r="DR1773" s="496" t="s">
        <v>690</v>
      </c>
      <c r="DS1773" s="496" t="s">
        <v>4581</v>
      </c>
      <c r="DT1773" s="496" t="s">
        <v>4582</v>
      </c>
      <c r="DU1773" s="496" t="s">
        <v>1085</v>
      </c>
      <c r="DV1773" s="496" t="s">
        <v>4542</v>
      </c>
      <c r="DW1773" s="496" t="s">
        <v>1087</v>
      </c>
      <c r="DX1773" s="497" t="s">
        <v>1088</v>
      </c>
      <c r="DZ1773" s="543">
        <v>1</v>
      </c>
      <c r="EB1773" s="493"/>
      <c r="EC1773" s="493"/>
    </row>
    <row r="1774" spans="119:133" ht="21" customHeight="1">
      <c r="DO1774" s="494"/>
      <c r="DP1774" s="496" t="s">
        <v>4583</v>
      </c>
      <c r="DQ1774" s="496" t="s">
        <v>11</v>
      </c>
      <c r="DR1774" s="496" t="s">
        <v>690</v>
      </c>
      <c r="DS1774" s="496" t="s">
        <v>4584</v>
      </c>
      <c r="DT1774" s="496" t="s">
        <v>4585</v>
      </c>
      <c r="DU1774" s="496" t="s">
        <v>1085</v>
      </c>
      <c r="DV1774" s="496" t="s">
        <v>4542</v>
      </c>
      <c r="DW1774" s="496" t="s">
        <v>1087</v>
      </c>
      <c r="DX1774" s="497" t="s">
        <v>1088</v>
      </c>
      <c r="DZ1774" s="543">
        <v>1</v>
      </c>
      <c r="EB1774" s="493"/>
      <c r="EC1774" s="493"/>
    </row>
    <row r="1775" spans="119:133" ht="21" customHeight="1">
      <c r="DO1775" s="494"/>
      <c r="DP1775" s="496" t="s">
        <v>4586</v>
      </c>
      <c r="DQ1775" s="496" t="s">
        <v>11</v>
      </c>
      <c r="DR1775" s="496" t="s">
        <v>690</v>
      </c>
      <c r="DS1775" s="496" t="s">
        <v>4587</v>
      </c>
      <c r="DT1775" s="496" t="s">
        <v>85</v>
      </c>
      <c r="DU1775" s="496" t="s">
        <v>3959</v>
      </c>
      <c r="DV1775" s="496" t="s">
        <v>4540</v>
      </c>
      <c r="DW1775" s="496" t="s">
        <v>3961</v>
      </c>
      <c r="DX1775" s="497" t="s">
        <v>3962</v>
      </c>
      <c r="DZ1775" s="543">
        <v>1</v>
      </c>
      <c r="EB1775" s="493"/>
      <c r="EC1775" s="493"/>
    </row>
    <row r="1776" spans="119:133" ht="21" customHeight="1">
      <c r="DO1776" s="494"/>
      <c r="DP1776" s="496" t="s">
        <v>4588</v>
      </c>
      <c r="DQ1776" s="496" t="s">
        <v>11</v>
      </c>
      <c r="DR1776" s="496" t="s">
        <v>690</v>
      </c>
      <c r="DS1776" s="496" t="s">
        <v>3866</v>
      </c>
      <c r="DT1776" s="496" t="s">
        <v>59</v>
      </c>
      <c r="DU1776" s="496" t="s">
        <v>4589</v>
      </c>
      <c r="DV1776" s="496" t="s">
        <v>4590</v>
      </c>
      <c r="DW1776" s="496" t="s">
        <v>1087</v>
      </c>
      <c r="DX1776" s="497" t="s">
        <v>1088</v>
      </c>
      <c r="DZ1776" s="543">
        <v>1</v>
      </c>
      <c r="EB1776" s="493"/>
      <c r="EC1776" s="493"/>
    </row>
    <row r="1777" spans="119:133" ht="21" customHeight="1">
      <c r="DO1777" s="494"/>
      <c r="DP1777" s="496" t="s">
        <v>4591</v>
      </c>
      <c r="DQ1777" s="496" t="s">
        <v>11</v>
      </c>
      <c r="DR1777" s="496" t="s">
        <v>690</v>
      </c>
      <c r="DS1777" s="496" t="s">
        <v>4592</v>
      </c>
      <c r="DT1777" s="496" t="s">
        <v>111</v>
      </c>
      <c r="DU1777" s="496" t="s">
        <v>3959</v>
      </c>
      <c r="DV1777" s="496" t="s">
        <v>4540</v>
      </c>
      <c r="DW1777" s="496" t="s">
        <v>3961</v>
      </c>
      <c r="DX1777" s="497" t="s">
        <v>3962</v>
      </c>
      <c r="DZ1777" s="543">
        <v>1</v>
      </c>
      <c r="EB1777" s="493"/>
      <c r="EC1777" s="493"/>
    </row>
    <row r="1778" spans="119:133" ht="21" customHeight="1">
      <c r="DO1778" s="494"/>
      <c r="DP1778" s="496" t="s">
        <v>4593</v>
      </c>
      <c r="DQ1778" s="496" t="s">
        <v>11</v>
      </c>
      <c r="DR1778" s="496" t="s">
        <v>690</v>
      </c>
      <c r="DS1778" s="496" t="s">
        <v>4594</v>
      </c>
      <c r="DT1778" s="496" t="s">
        <v>4594</v>
      </c>
      <c r="DU1778" s="496" t="s">
        <v>3959</v>
      </c>
      <c r="DV1778" s="496" t="s">
        <v>4540</v>
      </c>
      <c r="DW1778" s="496" t="s">
        <v>3961</v>
      </c>
      <c r="DX1778" s="497" t="s">
        <v>3962</v>
      </c>
      <c r="DZ1778" s="543">
        <v>1</v>
      </c>
      <c r="EB1778" s="493"/>
      <c r="EC1778" s="493"/>
    </row>
    <row r="1779" spans="119:133" ht="21" customHeight="1">
      <c r="DO1779" s="494"/>
      <c r="DP1779" s="496" t="s">
        <v>4595</v>
      </c>
      <c r="DQ1779" s="496" t="s">
        <v>11</v>
      </c>
      <c r="DR1779" s="496" t="s">
        <v>690</v>
      </c>
      <c r="DS1779" s="496" t="s">
        <v>4596</v>
      </c>
      <c r="DT1779" s="496" t="s">
        <v>4597</v>
      </c>
      <c r="DU1779" s="496" t="s">
        <v>1085</v>
      </c>
      <c r="DV1779" s="496" t="s">
        <v>4542</v>
      </c>
      <c r="DW1779" s="496" t="s">
        <v>1087</v>
      </c>
      <c r="DX1779" s="497" t="s">
        <v>1088</v>
      </c>
      <c r="DZ1779" s="543">
        <v>1</v>
      </c>
      <c r="EB1779" s="493"/>
      <c r="EC1779" s="493"/>
    </row>
    <row r="1780" spans="119:133" ht="21" customHeight="1">
      <c r="DO1780" s="494"/>
      <c r="DP1780" s="496" t="s">
        <v>4598</v>
      </c>
      <c r="DQ1780" s="496" t="s">
        <v>11</v>
      </c>
      <c r="DR1780" s="496" t="s">
        <v>690</v>
      </c>
      <c r="DS1780" s="496" t="s">
        <v>4599</v>
      </c>
      <c r="DT1780" s="496" t="s">
        <v>4599</v>
      </c>
      <c r="DU1780" s="496" t="s">
        <v>3959</v>
      </c>
      <c r="DV1780" s="496" t="s">
        <v>4540</v>
      </c>
      <c r="DW1780" s="496" t="s">
        <v>3961</v>
      </c>
      <c r="DX1780" s="497" t="s">
        <v>3962</v>
      </c>
      <c r="DZ1780" s="543">
        <v>1</v>
      </c>
      <c r="EB1780" s="493"/>
      <c r="EC1780" s="493"/>
    </row>
    <row r="1781" spans="119:133" ht="21" customHeight="1">
      <c r="DO1781" s="494"/>
      <c r="DP1781" s="496" t="s">
        <v>4600</v>
      </c>
      <c r="DQ1781" s="496" t="s">
        <v>11</v>
      </c>
      <c r="DR1781" s="496" t="s">
        <v>690</v>
      </c>
      <c r="DS1781" s="496" t="s">
        <v>4601</v>
      </c>
      <c r="DT1781" s="496" t="s">
        <v>4602</v>
      </c>
      <c r="DU1781" s="496" t="s">
        <v>3959</v>
      </c>
      <c r="DV1781" s="496" t="s">
        <v>4540</v>
      </c>
      <c r="DW1781" s="496" t="s">
        <v>3961</v>
      </c>
      <c r="DX1781" s="497" t="s">
        <v>3962</v>
      </c>
      <c r="DZ1781" s="543">
        <v>1</v>
      </c>
      <c r="EB1781" s="493"/>
      <c r="EC1781" s="493"/>
    </row>
    <row r="1782" spans="119:133" ht="21" customHeight="1">
      <c r="DO1782" s="494"/>
      <c r="DP1782" s="496" t="s">
        <v>4603</v>
      </c>
      <c r="DQ1782" s="496" t="s">
        <v>11</v>
      </c>
      <c r="DR1782" s="496" t="s">
        <v>690</v>
      </c>
      <c r="DS1782" s="496" t="s">
        <v>147</v>
      </c>
      <c r="DT1782" s="496" t="s">
        <v>147</v>
      </c>
      <c r="DU1782" s="496" t="s">
        <v>1085</v>
      </c>
      <c r="DV1782" s="496" t="s">
        <v>4542</v>
      </c>
      <c r="DW1782" s="496" t="s">
        <v>1087</v>
      </c>
      <c r="DX1782" s="497" t="s">
        <v>1088</v>
      </c>
      <c r="DZ1782" s="543">
        <v>1</v>
      </c>
      <c r="EB1782" s="493"/>
      <c r="EC1782" s="493"/>
    </row>
    <row r="1783" spans="119:133" ht="21" customHeight="1">
      <c r="DO1783" s="494"/>
      <c r="DP1783" s="496" t="s">
        <v>4604</v>
      </c>
      <c r="DQ1783" s="496" t="s">
        <v>11</v>
      </c>
      <c r="DR1783" s="496" t="s">
        <v>690</v>
      </c>
      <c r="DS1783" s="496" t="s">
        <v>208</v>
      </c>
      <c r="DT1783" s="496" t="s">
        <v>208</v>
      </c>
      <c r="DU1783" s="496" t="s">
        <v>1085</v>
      </c>
      <c r="DV1783" s="496" t="s">
        <v>4542</v>
      </c>
      <c r="DW1783" s="496" t="s">
        <v>1087</v>
      </c>
      <c r="DX1783" s="497" t="s">
        <v>1088</v>
      </c>
      <c r="DZ1783" s="543">
        <v>1</v>
      </c>
      <c r="EB1783" s="493"/>
      <c r="EC1783" s="493"/>
    </row>
    <row r="1784" spans="119:133" ht="21" customHeight="1">
      <c r="DO1784" s="494"/>
      <c r="DP1784" s="496" t="s">
        <v>4605</v>
      </c>
      <c r="DQ1784" s="496" t="s">
        <v>11</v>
      </c>
      <c r="DR1784" s="496" t="s">
        <v>690</v>
      </c>
      <c r="DS1784" s="496" t="s">
        <v>181</v>
      </c>
      <c r="DT1784" s="496" t="s">
        <v>181</v>
      </c>
      <c r="DU1784" s="496" t="s">
        <v>1085</v>
      </c>
      <c r="DV1784" s="496" t="s">
        <v>4542</v>
      </c>
      <c r="DW1784" s="496" t="s">
        <v>1087</v>
      </c>
      <c r="DX1784" s="497" t="s">
        <v>1088</v>
      </c>
      <c r="DZ1784" s="543">
        <v>1</v>
      </c>
      <c r="EB1784" s="493"/>
      <c r="EC1784" s="493"/>
    </row>
    <row r="1785" spans="119:133" ht="21" customHeight="1">
      <c r="DO1785" s="494"/>
      <c r="DP1785" s="496" t="s">
        <v>4606</v>
      </c>
      <c r="DQ1785" s="496" t="s">
        <v>11</v>
      </c>
      <c r="DR1785" s="496" t="s">
        <v>690</v>
      </c>
      <c r="DS1785" s="496" t="s">
        <v>4607</v>
      </c>
      <c r="DT1785" s="496" t="s">
        <v>4607</v>
      </c>
      <c r="DU1785" s="496" t="s">
        <v>1085</v>
      </c>
      <c r="DV1785" s="496" t="s">
        <v>4542</v>
      </c>
      <c r="DW1785" s="496" t="s">
        <v>1087</v>
      </c>
      <c r="DX1785" s="497" t="s">
        <v>1088</v>
      </c>
      <c r="DZ1785" s="543">
        <v>1</v>
      </c>
      <c r="EB1785" s="493"/>
      <c r="EC1785" s="493"/>
    </row>
    <row r="1786" spans="119:133" ht="21" customHeight="1">
      <c r="DO1786" s="494"/>
      <c r="DP1786" s="496" t="s">
        <v>4608</v>
      </c>
      <c r="DQ1786" s="496" t="s">
        <v>11</v>
      </c>
      <c r="DR1786" s="496" t="s">
        <v>690</v>
      </c>
      <c r="DS1786" s="496" t="s">
        <v>124</v>
      </c>
      <c r="DT1786" s="496" t="s">
        <v>124</v>
      </c>
      <c r="DU1786" s="496" t="s">
        <v>1085</v>
      </c>
      <c r="DV1786" s="496" t="s">
        <v>4542</v>
      </c>
      <c r="DW1786" s="496" t="s">
        <v>1087</v>
      </c>
      <c r="DX1786" s="497" t="s">
        <v>1088</v>
      </c>
      <c r="DZ1786" s="543">
        <v>1</v>
      </c>
      <c r="EB1786" s="493"/>
      <c r="EC1786" s="493"/>
    </row>
    <row r="1787" spans="119:133" ht="21" customHeight="1">
      <c r="DO1787" s="494"/>
      <c r="DP1787" s="496" t="s">
        <v>4609</v>
      </c>
      <c r="DQ1787" s="496" t="s">
        <v>11</v>
      </c>
      <c r="DR1787" s="496" t="s">
        <v>690</v>
      </c>
      <c r="DS1787" s="496" t="s">
        <v>140</v>
      </c>
      <c r="DT1787" s="496" t="s">
        <v>140</v>
      </c>
      <c r="DU1787" s="496" t="s">
        <v>1085</v>
      </c>
      <c r="DV1787" s="496" t="s">
        <v>4542</v>
      </c>
      <c r="DW1787" s="496" t="s">
        <v>1087</v>
      </c>
      <c r="DX1787" s="497" t="s">
        <v>1088</v>
      </c>
      <c r="DZ1787" s="543">
        <v>1</v>
      </c>
      <c r="EB1787" s="493"/>
      <c r="EC1787" s="493"/>
    </row>
    <row r="1788" spans="119:133" ht="21" customHeight="1">
      <c r="DO1788" s="494"/>
      <c r="DP1788" s="496" t="s">
        <v>4610</v>
      </c>
      <c r="DQ1788" s="496" t="s">
        <v>11</v>
      </c>
      <c r="DR1788" s="496" t="s">
        <v>690</v>
      </c>
      <c r="DS1788" s="496" t="s">
        <v>4611</v>
      </c>
      <c r="DT1788" s="496" t="s">
        <v>4611</v>
      </c>
      <c r="DU1788" s="496" t="s">
        <v>1085</v>
      </c>
      <c r="DV1788" s="496" t="s">
        <v>4542</v>
      </c>
      <c r="DW1788" s="496" t="s">
        <v>1087</v>
      </c>
      <c r="DX1788" s="497" t="s">
        <v>1088</v>
      </c>
      <c r="DZ1788" s="543">
        <v>1</v>
      </c>
      <c r="EB1788" s="493"/>
      <c r="EC1788" s="493"/>
    </row>
    <row r="1789" spans="119:133" ht="21" customHeight="1">
      <c r="DO1789" s="494"/>
      <c r="DP1789" s="496" t="s">
        <v>4612</v>
      </c>
      <c r="DQ1789" s="496" t="s">
        <v>11</v>
      </c>
      <c r="DR1789" s="496" t="s">
        <v>690</v>
      </c>
      <c r="DS1789" s="496" t="s">
        <v>137</v>
      </c>
      <c r="DT1789" s="496" t="s">
        <v>137</v>
      </c>
      <c r="DU1789" s="496" t="s">
        <v>1085</v>
      </c>
      <c r="DV1789" s="496" t="s">
        <v>4542</v>
      </c>
      <c r="DW1789" s="496" t="s">
        <v>1087</v>
      </c>
      <c r="DX1789" s="497" t="s">
        <v>1088</v>
      </c>
      <c r="DZ1789" s="543">
        <v>1</v>
      </c>
      <c r="EB1789" s="493"/>
      <c r="EC1789" s="493"/>
    </row>
    <row r="1790" spans="119:133" ht="21" customHeight="1">
      <c r="DO1790" s="494"/>
      <c r="DP1790" s="496" t="s">
        <v>4613</v>
      </c>
      <c r="DQ1790" s="496" t="s">
        <v>11</v>
      </c>
      <c r="DR1790" s="496" t="s">
        <v>690</v>
      </c>
      <c r="DS1790" s="496" t="s">
        <v>175</v>
      </c>
      <c r="DT1790" s="496" t="s">
        <v>175</v>
      </c>
      <c r="DU1790" s="496" t="s">
        <v>1085</v>
      </c>
      <c r="DV1790" s="496" t="s">
        <v>4542</v>
      </c>
      <c r="DW1790" s="496" t="s">
        <v>1087</v>
      </c>
      <c r="DX1790" s="497" t="s">
        <v>1088</v>
      </c>
      <c r="DZ1790" s="543">
        <v>1</v>
      </c>
      <c r="EB1790" s="493"/>
      <c r="EC1790" s="493"/>
    </row>
    <row r="1791" spans="119:133" ht="21" customHeight="1">
      <c r="DO1791" s="494"/>
      <c r="DP1791" s="496" t="s">
        <v>4614</v>
      </c>
      <c r="DQ1791" s="496" t="s">
        <v>11</v>
      </c>
      <c r="DR1791" s="496" t="s">
        <v>690</v>
      </c>
      <c r="DS1791" s="496" t="s">
        <v>4615</v>
      </c>
      <c r="DT1791" s="496" t="s">
        <v>4616</v>
      </c>
      <c r="DU1791" s="496" t="s">
        <v>1085</v>
      </c>
      <c r="DV1791" s="496" t="s">
        <v>4542</v>
      </c>
      <c r="DW1791" s="496" t="s">
        <v>1087</v>
      </c>
      <c r="DX1791" s="497" t="s">
        <v>1088</v>
      </c>
      <c r="DZ1791" s="543">
        <v>1</v>
      </c>
      <c r="EB1791" s="493"/>
      <c r="EC1791" s="493"/>
    </row>
    <row r="1792" spans="119:133" ht="21" customHeight="1">
      <c r="DO1792" s="494"/>
      <c r="DP1792" s="496" t="s">
        <v>4617</v>
      </c>
      <c r="DQ1792" s="496" t="s">
        <v>11</v>
      </c>
      <c r="DR1792" s="496" t="s">
        <v>690</v>
      </c>
      <c r="DS1792" s="496" t="s">
        <v>4618</v>
      </c>
      <c r="DT1792" s="496" t="s">
        <v>4619</v>
      </c>
      <c r="DU1792" s="496" t="s">
        <v>3959</v>
      </c>
      <c r="DV1792" s="496" t="s">
        <v>4540</v>
      </c>
      <c r="DW1792" s="496" t="s">
        <v>3961</v>
      </c>
      <c r="DX1792" s="497" t="s">
        <v>3962</v>
      </c>
      <c r="DZ1792" s="543">
        <v>1</v>
      </c>
      <c r="EB1792" s="493"/>
      <c r="EC1792" s="493"/>
    </row>
    <row r="1793" spans="119:133" ht="21" customHeight="1">
      <c r="DO1793" s="494"/>
      <c r="DP1793" s="496" t="s">
        <v>4620</v>
      </c>
      <c r="DQ1793" s="496" t="s">
        <v>11</v>
      </c>
      <c r="DR1793" s="496" t="s">
        <v>690</v>
      </c>
      <c r="DS1793" s="496" t="s">
        <v>4621</v>
      </c>
      <c r="DT1793" s="496" t="s">
        <v>4621</v>
      </c>
      <c r="DU1793" s="496" t="s">
        <v>1151</v>
      </c>
      <c r="DV1793" s="496" t="s">
        <v>1446</v>
      </c>
      <c r="DW1793" s="496" t="s">
        <v>1087</v>
      </c>
      <c r="DX1793" s="497" t="s">
        <v>1153</v>
      </c>
      <c r="DZ1793" s="543">
        <v>1</v>
      </c>
      <c r="EB1793" s="493"/>
      <c r="EC1793" s="493"/>
    </row>
    <row r="1794" spans="119:133" ht="21" customHeight="1">
      <c r="DO1794" s="494"/>
      <c r="DP1794" s="496" t="s">
        <v>4622</v>
      </c>
      <c r="DQ1794" s="496" t="s">
        <v>11</v>
      </c>
      <c r="DR1794" s="496" t="s">
        <v>690</v>
      </c>
      <c r="DS1794" s="496" t="s">
        <v>4623</v>
      </c>
      <c r="DT1794" s="496" t="s">
        <v>4623</v>
      </c>
      <c r="DU1794" s="496" t="s">
        <v>3959</v>
      </c>
      <c r="DV1794" s="496" t="s">
        <v>4540</v>
      </c>
      <c r="DW1794" s="496" t="s">
        <v>3961</v>
      </c>
      <c r="DX1794" s="497" t="s">
        <v>3962</v>
      </c>
      <c r="DZ1794" s="543">
        <v>1</v>
      </c>
      <c r="EB1794" s="493"/>
      <c r="EC1794" s="493"/>
    </row>
    <row r="1795" spans="119:133" ht="21" customHeight="1">
      <c r="DO1795" s="494"/>
      <c r="DP1795" s="496" t="s">
        <v>4624</v>
      </c>
      <c r="DQ1795" s="496" t="s">
        <v>11</v>
      </c>
      <c r="DR1795" s="496" t="s">
        <v>690</v>
      </c>
      <c r="DS1795" s="496" t="s">
        <v>4625</v>
      </c>
      <c r="DT1795" s="496" t="s">
        <v>4626</v>
      </c>
      <c r="DU1795" s="496" t="s">
        <v>3959</v>
      </c>
      <c r="DV1795" s="496" t="s">
        <v>4540</v>
      </c>
      <c r="DW1795" s="496" t="s">
        <v>3961</v>
      </c>
      <c r="DX1795" s="497" t="s">
        <v>3962</v>
      </c>
      <c r="DZ1795" s="543">
        <v>1</v>
      </c>
      <c r="EB1795" s="493"/>
      <c r="EC1795" s="493"/>
    </row>
    <row r="1796" spans="119:133" ht="21" customHeight="1">
      <c r="DO1796" s="494"/>
      <c r="DP1796" s="496" t="s">
        <v>4627</v>
      </c>
      <c r="DQ1796" s="496" t="s">
        <v>11</v>
      </c>
      <c r="DR1796" s="496" t="s">
        <v>690</v>
      </c>
      <c r="DS1796" s="496" t="s">
        <v>3842</v>
      </c>
      <c r="DT1796" s="496" t="s">
        <v>3842</v>
      </c>
      <c r="DU1796" s="496" t="s">
        <v>1151</v>
      </c>
      <c r="DV1796" s="496" t="s">
        <v>1446</v>
      </c>
      <c r="DW1796" s="496" t="s">
        <v>1087</v>
      </c>
      <c r="DX1796" s="497" t="s">
        <v>1153</v>
      </c>
      <c r="DZ1796" s="543">
        <v>1</v>
      </c>
      <c r="EB1796" s="493"/>
      <c r="EC1796" s="493"/>
    </row>
    <row r="1797" spans="119:133" ht="21" customHeight="1">
      <c r="DO1797" s="494"/>
      <c r="DP1797" s="496" t="s">
        <v>4628</v>
      </c>
      <c r="DQ1797" s="496" t="s">
        <v>11</v>
      </c>
      <c r="DR1797" s="496" t="s">
        <v>690</v>
      </c>
      <c r="DS1797" s="496" t="s">
        <v>4629</v>
      </c>
      <c r="DT1797" s="496" t="s">
        <v>4629</v>
      </c>
      <c r="DU1797" s="496" t="s">
        <v>1151</v>
      </c>
      <c r="DV1797" s="496" t="s">
        <v>1446</v>
      </c>
      <c r="DW1797" s="496" t="s">
        <v>1087</v>
      </c>
      <c r="DX1797" s="497" t="s">
        <v>1153</v>
      </c>
      <c r="DZ1797" s="543">
        <v>1</v>
      </c>
      <c r="EB1797" s="493"/>
      <c r="EC1797" s="493"/>
    </row>
    <row r="1798" spans="119:133" ht="21" customHeight="1">
      <c r="DO1798" s="494"/>
      <c r="DP1798" s="496" t="s">
        <v>4630</v>
      </c>
      <c r="DQ1798" s="496" t="s">
        <v>11</v>
      </c>
      <c r="DR1798" s="496" t="s">
        <v>690</v>
      </c>
      <c r="DS1798" s="496" t="s">
        <v>3908</v>
      </c>
      <c r="DT1798" s="496" t="s">
        <v>3908</v>
      </c>
      <c r="DU1798" s="496" t="s">
        <v>1151</v>
      </c>
      <c r="DV1798" s="496" t="s">
        <v>1446</v>
      </c>
      <c r="DW1798" s="496" t="s">
        <v>1087</v>
      </c>
      <c r="DX1798" s="497" t="s">
        <v>1153</v>
      </c>
      <c r="DZ1798" s="543">
        <v>1</v>
      </c>
      <c r="EB1798" s="493"/>
      <c r="EC1798" s="493"/>
    </row>
    <row r="1799" spans="119:133" ht="21" customHeight="1">
      <c r="DO1799" s="494"/>
      <c r="DP1799" s="496" t="s">
        <v>4631</v>
      </c>
      <c r="DQ1799" s="496" t="s">
        <v>11</v>
      </c>
      <c r="DR1799" s="496" t="s">
        <v>1511</v>
      </c>
      <c r="DS1799" s="496" t="s">
        <v>4632</v>
      </c>
      <c r="DT1799" s="496" t="s">
        <v>4632</v>
      </c>
      <c r="DU1799" s="496" t="s">
        <v>3959</v>
      </c>
      <c r="DV1799" s="496" t="s">
        <v>4633</v>
      </c>
      <c r="DW1799" s="496" t="s">
        <v>3961</v>
      </c>
      <c r="DX1799" s="497" t="s">
        <v>3962</v>
      </c>
      <c r="DZ1799" s="543">
        <v>1</v>
      </c>
      <c r="EB1799" s="493"/>
      <c r="EC1799" s="493"/>
    </row>
    <row r="1800" spans="119:133" ht="21" customHeight="1">
      <c r="DO1800" s="494"/>
      <c r="DP1800" s="496" t="s">
        <v>4634</v>
      </c>
      <c r="DQ1800" s="496" t="s">
        <v>11</v>
      </c>
      <c r="DR1800" s="496" t="s">
        <v>1511</v>
      </c>
      <c r="DS1800" s="496" t="s">
        <v>4635</v>
      </c>
      <c r="DT1800" s="496" t="s">
        <v>4635</v>
      </c>
      <c r="DU1800" s="496" t="s">
        <v>3959</v>
      </c>
      <c r="DV1800" s="496" t="s">
        <v>4633</v>
      </c>
      <c r="DW1800" s="496" t="s">
        <v>3961</v>
      </c>
      <c r="DX1800" s="497" t="s">
        <v>3962</v>
      </c>
      <c r="DZ1800" s="543">
        <v>1</v>
      </c>
      <c r="EB1800" s="493"/>
      <c r="EC1800" s="493"/>
    </row>
    <row r="1801" spans="119:133" ht="21" customHeight="1">
      <c r="DO1801" s="494"/>
      <c r="DP1801" s="496" t="s">
        <v>4636</v>
      </c>
      <c r="DQ1801" s="496" t="s">
        <v>11</v>
      </c>
      <c r="DR1801" s="496" t="s">
        <v>1511</v>
      </c>
      <c r="DS1801" s="496" t="s">
        <v>3977</v>
      </c>
      <c r="DT1801" s="496" t="s">
        <v>3977</v>
      </c>
      <c r="DU1801" s="496" t="s">
        <v>3959</v>
      </c>
      <c r="DV1801" s="496" t="s">
        <v>4633</v>
      </c>
      <c r="DW1801" s="496" t="s">
        <v>3961</v>
      </c>
      <c r="DX1801" s="497" t="s">
        <v>3962</v>
      </c>
      <c r="DZ1801" s="543">
        <v>1</v>
      </c>
      <c r="EB1801" s="493"/>
      <c r="EC1801" s="493"/>
    </row>
    <row r="1802" spans="119:133" ht="21" customHeight="1">
      <c r="DO1802" s="494"/>
      <c r="DP1802" s="496" t="s">
        <v>4637</v>
      </c>
      <c r="DQ1802" s="496" t="s">
        <v>11</v>
      </c>
      <c r="DR1802" s="496" t="s">
        <v>1511</v>
      </c>
      <c r="DS1802" s="496" t="s">
        <v>936</v>
      </c>
      <c r="DT1802" s="496" t="s">
        <v>936</v>
      </c>
      <c r="DU1802" s="496" t="s">
        <v>1085</v>
      </c>
      <c r="DV1802" s="496" t="s">
        <v>1914</v>
      </c>
      <c r="DW1802" s="496" t="s">
        <v>1087</v>
      </c>
      <c r="DX1802" s="497" t="s">
        <v>1088</v>
      </c>
      <c r="DZ1802" s="543">
        <v>1</v>
      </c>
      <c r="EB1802" s="493"/>
      <c r="EC1802" s="493"/>
    </row>
    <row r="1803" spans="119:133" ht="21" customHeight="1">
      <c r="DO1803" s="494"/>
      <c r="DP1803" s="496" t="s">
        <v>4638</v>
      </c>
      <c r="DQ1803" s="496" t="s">
        <v>11</v>
      </c>
      <c r="DR1803" s="496" t="s">
        <v>1511</v>
      </c>
      <c r="DS1803" s="496" t="s">
        <v>4639</v>
      </c>
      <c r="DT1803" s="496" t="s">
        <v>881</v>
      </c>
      <c r="DU1803" s="496" t="s">
        <v>1085</v>
      </c>
      <c r="DV1803" s="496" t="s">
        <v>1914</v>
      </c>
      <c r="DW1803" s="496" t="s">
        <v>1087</v>
      </c>
      <c r="DX1803" s="497" t="s">
        <v>1088</v>
      </c>
      <c r="DZ1803" s="543">
        <v>1</v>
      </c>
      <c r="EB1803" s="493"/>
      <c r="EC1803" s="493"/>
    </row>
    <row r="1804" spans="119:133" ht="21" customHeight="1">
      <c r="DO1804" s="494"/>
      <c r="DP1804" s="496" t="s">
        <v>4640</v>
      </c>
      <c r="DQ1804" s="496" t="s">
        <v>11</v>
      </c>
      <c r="DR1804" s="496" t="s">
        <v>1511</v>
      </c>
      <c r="DS1804" s="496" t="s">
        <v>1512</v>
      </c>
      <c r="DT1804" s="496" t="s">
        <v>1512</v>
      </c>
      <c r="DU1804" s="496" t="s">
        <v>1085</v>
      </c>
      <c r="DV1804" s="496" t="s">
        <v>1914</v>
      </c>
      <c r="DW1804" s="496" t="s">
        <v>1087</v>
      </c>
      <c r="DX1804" s="497" t="s">
        <v>1088</v>
      </c>
      <c r="DZ1804" s="543">
        <v>1</v>
      </c>
      <c r="EB1804" s="493"/>
      <c r="EC1804" s="493"/>
    </row>
    <row r="1805" spans="119:133" ht="21" customHeight="1">
      <c r="DO1805" s="494"/>
      <c r="DP1805" s="496" t="s">
        <v>4641</v>
      </c>
      <c r="DQ1805" s="496" t="s">
        <v>11</v>
      </c>
      <c r="DR1805" s="496" t="s">
        <v>1511</v>
      </c>
      <c r="DS1805" s="496" t="s">
        <v>889</v>
      </c>
      <c r="DT1805" s="496" t="s">
        <v>889</v>
      </c>
      <c r="DU1805" s="496" t="s">
        <v>1085</v>
      </c>
      <c r="DV1805" s="496" t="s">
        <v>1914</v>
      </c>
      <c r="DW1805" s="496" t="s">
        <v>1087</v>
      </c>
      <c r="DX1805" s="497" t="s">
        <v>1088</v>
      </c>
      <c r="DZ1805" s="543">
        <v>1</v>
      </c>
      <c r="EB1805" s="493"/>
      <c r="EC1805" s="493"/>
    </row>
    <row r="1806" spans="119:133" ht="21" customHeight="1">
      <c r="DO1806" s="494"/>
      <c r="DP1806" s="496" t="s">
        <v>4642</v>
      </c>
      <c r="DQ1806" s="496" t="s">
        <v>11</v>
      </c>
      <c r="DR1806" s="496" t="s">
        <v>1511</v>
      </c>
      <c r="DS1806" s="496" t="s">
        <v>1517</v>
      </c>
      <c r="DT1806" s="496" t="s">
        <v>1517</v>
      </c>
      <c r="DU1806" s="496" t="s">
        <v>1151</v>
      </c>
      <c r="DV1806" s="496" t="s">
        <v>1518</v>
      </c>
      <c r="DW1806" s="496" t="s">
        <v>1087</v>
      </c>
      <c r="DX1806" s="497" t="s">
        <v>1153</v>
      </c>
      <c r="DZ1806" s="543">
        <v>1</v>
      </c>
      <c r="EB1806" s="493"/>
      <c r="EC1806" s="493"/>
    </row>
    <row r="1807" spans="119:133" ht="21" customHeight="1">
      <c r="DO1807" s="494"/>
      <c r="DP1807" s="496" t="s">
        <v>4643</v>
      </c>
      <c r="DQ1807" s="496" t="s">
        <v>11</v>
      </c>
      <c r="DR1807" s="496" t="s">
        <v>1511</v>
      </c>
      <c r="DS1807" s="496" t="s">
        <v>1520</v>
      </c>
      <c r="DT1807" s="496" t="s">
        <v>1520</v>
      </c>
      <c r="DU1807" s="496" t="s">
        <v>1151</v>
      </c>
      <c r="DV1807" s="496" t="s">
        <v>1518</v>
      </c>
      <c r="DW1807" s="496" t="s">
        <v>1087</v>
      </c>
      <c r="DX1807" s="497" t="s">
        <v>1153</v>
      </c>
      <c r="DZ1807" s="543">
        <v>1</v>
      </c>
      <c r="EB1807" s="493"/>
      <c r="EC1807" s="493"/>
    </row>
    <row r="1808" spans="119:133" ht="21" customHeight="1">
      <c r="DO1808" s="494"/>
      <c r="DP1808" s="496" t="s">
        <v>4644</v>
      </c>
      <c r="DQ1808" s="496" t="s">
        <v>11</v>
      </c>
      <c r="DR1808" s="496" t="s">
        <v>1511</v>
      </c>
      <c r="DS1808" s="496" t="s">
        <v>1821</v>
      </c>
      <c r="DT1808" s="496" t="s">
        <v>1821</v>
      </c>
      <c r="DU1808" s="496" t="s">
        <v>3959</v>
      </c>
      <c r="DV1808" s="496" t="s">
        <v>4633</v>
      </c>
      <c r="DW1808" s="496" t="s">
        <v>3961</v>
      </c>
      <c r="DX1808" s="497" t="s">
        <v>3962</v>
      </c>
      <c r="DZ1808" s="543">
        <v>1</v>
      </c>
      <c r="EB1808" s="493"/>
      <c r="EC1808" s="493"/>
    </row>
    <row r="1809" spans="119:133" ht="21" customHeight="1">
      <c r="DO1809" s="494"/>
      <c r="DP1809" s="496" t="s">
        <v>4645</v>
      </c>
      <c r="DQ1809" s="496" t="s">
        <v>11</v>
      </c>
      <c r="DR1809" s="496" t="s">
        <v>1511</v>
      </c>
      <c r="DS1809" s="496" t="s">
        <v>1522</v>
      </c>
      <c r="DT1809" s="496" t="s">
        <v>1522</v>
      </c>
      <c r="DU1809" s="496" t="s">
        <v>1085</v>
      </c>
      <c r="DV1809" s="496" t="s">
        <v>1914</v>
      </c>
      <c r="DW1809" s="496" t="s">
        <v>1087</v>
      </c>
      <c r="DX1809" s="497" t="s">
        <v>1088</v>
      </c>
      <c r="DZ1809" s="543">
        <v>1</v>
      </c>
      <c r="EB1809" s="493"/>
      <c r="EC1809" s="493"/>
    </row>
    <row r="1810" spans="119:133" ht="21" customHeight="1">
      <c r="DO1810" s="494"/>
      <c r="DP1810" s="496" t="s">
        <v>4646</v>
      </c>
      <c r="DQ1810" s="496" t="s">
        <v>11</v>
      </c>
      <c r="DR1810" s="496" t="s">
        <v>1511</v>
      </c>
      <c r="DS1810" s="496" t="s">
        <v>4647</v>
      </c>
      <c r="DT1810" s="496" t="s">
        <v>4647</v>
      </c>
      <c r="DU1810" s="496" t="s">
        <v>3959</v>
      </c>
      <c r="DV1810" s="496" t="s">
        <v>4633</v>
      </c>
      <c r="DW1810" s="496" t="s">
        <v>3961</v>
      </c>
      <c r="DX1810" s="497" t="s">
        <v>3962</v>
      </c>
      <c r="DZ1810" s="543">
        <v>1</v>
      </c>
      <c r="EB1810" s="493"/>
      <c r="EC1810" s="493"/>
    </row>
    <row r="1811" spans="119:133" ht="21" customHeight="1">
      <c r="DO1811" s="494"/>
      <c r="DP1811" s="496" t="s">
        <v>4648</v>
      </c>
      <c r="DQ1811" s="496" t="s">
        <v>11</v>
      </c>
      <c r="DR1811" s="496" t="s">
        <v>1511</v>
      </c>
      <c r="DS1811" s="496" t="s">
        <v>4649</v>
      </c>
      <c r="DT1811" s="496" t="s">
        <v>4649</v>
      </c>
      <c r="DU1811" s="496" t="s">
        <v>3959</v>
      </c>
      <c r="DV1811" s="496" t="s">
        <v>4633</v>
      </c>
      <c r="DW1811" s="496" t="s">
        <v>3961</v>
      </c>
      <c r="DX1811" s="497" t="s">
        <v>3962</v>
      </c>
      <c r="DZ1811" s="543">
        <v>1</v>
      </c>
      <c r="EB1811" s="493"/>
      <c r="EC1811" s="493"/>
    </row>
    <row r="1812" spans="119:133" ht="21" customHeight="1">
      <c r="DO1812" s="494"/>
      <c r="DP1812" s="496" t="s">
        <v>4650</v>
      </c>
      <c r="DQ1812" s="496" t="s">
        <v>11</v>
      </c>
      <c r="DR1812" s="496" t="s">
        <v>1511</v>
      </c>
      <c r="DS1812" s="496" t="s">
        <v>892</v>
      </c>
      <c r="DT1812" s="496" t="s">
        <v>892</v>
      </c>
      <c r="DU1812" s="496" t="s">
        <v>3959</v>
      </c>
      <c r="DV1812" s="496" t="s">
        <v>4633</v>
      </c>
      <c r="DW1812" s="496" t="s">
        <v>3961</v>
      </c>
      <c r="DX1812" s="497" t="s">
        <v>3962</v>
      </c>
      <c r="DZ1812" s="543">
        <v>1</v>
      </c>
      <c r="EB1812" s="493"/>
      <c r="EC1812" s="493"/>
    </row>
    <row r="1813" spans="119:133" ht="21" customHeight="1">
      <c r="DO1813" s="494"/>
      <c r="DP1813" s="496" t="s">
        <v>4651</v>
      </c>
      <c r="DQ1813" s="496" t="s">
        <v>11</v>
      </c>
      <c r="DR1813" s="496" t="s">
        <v>1511</v>
      </c>
      <c r="DS1813" s="496" t="s">
        <v>4652</v>
      </c>
      <c r="DT1813" s="496" t="s">
        <v>4653</v>
      </c>
      <c r="DU1813" s="496" t="s">
        <v>1085</v>
      </c>
      <c r="DV1813" s="496" t="s">
        <v>1914</v>
      </c>
      <c r="DW1813" s="496" t="s">
        <v>1087</v>
      </c>
      <c r="DX1813" s="497" t="s">
        <v>1088</v>
      </c>
      <c r="DZ1813" s="543">
        <v>1</v>
      </c>
      <c r="EB1813" s="493"/>
      <c r="EC1813" s="493"/>
    </row>
    <row r="1814" spans="119:133" ht="21" customHeight="1">
      <c r="DO1814" s="494"/>
      <c r="DP1814" s="496" t="s">
        <v>4654</v>
      </c>
      <c r="DQ1814" s="496" t="s">
        <v>11</v>
      </c>
      <c r="DR1814" s="496" t="s">
        <v>1511</v>
      </c>
      <c r="DS1814" s="496" t="s">
        <v>894</v>
      </c>
      <c r="DT1814" s="496" t="s">
        <v>894</v>
      </c>
      <c r="DU1814" s="496" t="s">
        <v>1085</v>
      </c>
      <c r="DV1814" s="496" t="s">
        <v>1914</v>
      </c>
      <c r="DW1814" s="496" t="s">
        <v>1087</v>
      </c>
      <c r="DX1814" s="497" t="s">
        <v>1088</v>
      </c>
      <c r="DZ1814" s="543">
        <v>1</v>
      </c>
      <c r="EB1814" s="493"/>
      <c r="EC1814" s="493"/>
    </row>
    <row r="1815" spans="119:133" ht="21" customHeight="1">
      <c r="DO1815" s="494"/>
      <c r="DP1815" s="496" t="s">
        <v>4655</v>
      </c>
      <c r="DQ1815" s="496" t="s">
        <v>11</v>
      </c>
      <c r="DR1815" s="496" t="s">
        <v>1511</v>
      </c>
      <c r="DS1815" s="496" t="s">
        <v>1823</v>
      </c>
      <c r="DT1815" s="496" t="s">
        <v>952</v>
      </c>
      <c r="DU1815" s="496" t="s">
        <v>3959</v>
      </c>
      <c r="DV1815" s="496" t="s">
        <v>4633</v>
      </c>
      <c r="DW1815" s="496" t="s">
        <v>3961</v>
      </c>
      <c r="DX1815" s="497" t="s">
        <v>3962</v>
      </c>
      <c r="DZ1815" s="543">
        <v>1</v>
      </c>
      <c r="EB1815" s="493"/>
      <c r="EC1815" s="493"/>
    </row>
    <row r="1816" spans="119:133" ht="21" customHeight="1">
      <c r="DO1816" s="494"/>
      <c r="DP1816" s="496" t="s">
        <v>4656</v>
      </c>
      <c r="DQ1816" s="496" t="s">
        <v>11</v>
      </c>
      <c r="DR1816" s="496" t="s">
        <v>1511</v>
      </c>
      <c r="DS1816" s="496" t="s">
        <v>1825</v>
      </c>
      <c r="DT1816" s="496" t="s">
        <v>953</v>
      </c>
      <c r="DU1816" s="496" t="s">
        <v>3959</v>
      </c>
      <c r="DV1816" s="496" t="s">
        <v>4633</v>
      </c>
      <c r="DW1816" s="496" t="s">
        <v>3961</v>
      </c>
      <c r="DX1816" s="497" t="s">
        <v>3962</v>
      </c>
      <c r="DZ1816" s="543">
        <v>1</v>
      </c>
      <c r="EB1816" s="493"/>
      <c r="EC1816" s="493"/>
    </row>
    <row r="1817" spans="119:133" ht="21" customHeight="1">
      <c r="DO1817" s="494"/>
      <c r="DP1817" s="496" t="s">
        <v>4657</v>
      </c>
      <c r="DQ1817" s="496" t="s">
        <v>11</v>
      </c>
      <c r="DR1817" s="496" t="s">
        <v>1511</v>
      </c>
      <c r="DS1817" s="496" t="s">
        <v>1827</v>
      </c>
      <c r="DT1817" s="496" t="s">
        <v>954</v>
      </c>
      <c r="DU1817" s="496" t="s">
        <v>3959</v>
      </c>
      <c r="DV1817" s="496" t="s">
        <v>4633</v>
      </c>
      <c r="DW1817" s="496" t="s">
        <v>3961</v>
      </c>
      <c r="DX1817" s="497" t="s">
        <v>3962</v>
      </c>
      <c r="DZ1817" s="543">
        <v>1</v>
      </c>
      <c r="EB1817" s="493"/>
      <c r="EC1817" s="493"/>
    </row>
    <row r="1818" spans="119:133" ht="21" customHeight="1">
      <c r="DO1818" s="494"/>
      <c r="DP1818" s="496" t="s">
        <v>4658</v>
      </c>
      <c r="DQ1818" s="496" t="s">
        <v>11</v>
      </c>
      <c r="DR1818" s="496" t="s">
        <v>1511</v>
      </c>
      <c r="DS1818" s="496" t="s">
        <v>4127</v>
      </c>
      <c r="DT1818" s="496" t="s">
        <v>4128</v>
      </c>
      <c r="DU1818" s="496" t="s">
        <v>3959</v>
      </c>
      <c r="DV1818" s="496" t="s">
        <v>4633</v>
      </c>
      <c r="DW1818" s="496" t="s">
        <v>3961</v>
      </c>
      <c r="DX1818" s="497" t="s">
        <v>3962</v>
      </c>
      <c r="DZ1818" s="543">
        <v>1</v>
      </c>
      <c r="EB1818" s="493"/>
      <c r="EC1818" s="493"/>
    </row>
    <row r="1819" spans="119:133" ht="21" customHeight="1">
      <c r="DO1819" s="494"/>
      <c r="DP1819" s="496" t="s">
        <v>4659</v>
      </c>
      <c r="DQ1819" s="496" t="s">
        <v>11</v>
      </c>
      <c r="DR1819" s="496" t="s">
        <v>1511</v>
      </c>
      <c r="DS1819" s="496" t="s">
        <v>4660</v>
      </c>
      <c r="DT1819" s="496" t="s">
        <v>955</v>
      </c>
      <c r="DU1819" s="496" t="s">
        <v>1085</v>
      </c>
      <c r="DV1819" s="496" t="s">
        <v>1914</v>
      </c>
      <c r="DW1819" s="496" t="s">
        <v>1087</v>
      </c>
      <c r="DX1819" s="497" t="s">
        <v>1088</v>
      </c>
      <c r="DZ1819" s="543">
        <v>1</v>
      </c>
      <c r="EB1819" s="493"/>
      <c r="EC1819" s="493"/>
    </row>
    <row r="1820" spans="119:133" ht="21" customHeight="1">
      <c r="DO1820" s="494"/>
      <c r="DP1820" s="496" t="s">
        <v>4661</v>
      </c>
      <c r="DQ1820" s="496" t="s">
        <v>11</v>
      </c>
      <c r="DR1820" s="496" t="s">
        <v>1511</v>
      </c>
      <c r="DS1820" s="496" t="s">
        <v>4662</v>
      </c>
      <c r="DT1820" s="496" t="s">
        <v>4663</v>
      </c>
      <c r="DU1820" s="496" t="s">
        <v>3959</v>
      </c>
      <c r="DV1820" s="496" t="s">
        <v>4633</v>
      </c>
      <c r="DW1820" s="496" t="s">
        <v>3961</v>
      </c>
      <c r="DX1820" s="497" t="s">
        <v>3962</v>
      </c>
      <c r="DZ1820" s="543">
        <v>1</v>
      </c>
      <c r="EB1820" s="493"/>
      <c r="EC1820" s="493"/>
    </row>
    <row r="1821" spans="119:133" ht="21" customHeight="1">
      <c r="DO1821" s="494"/>
      <c r="DP1821" s="496" t="s">
        <v>4664</v>
      </c>
      <c r="DQ1821" s="496" t="s">
        <v>11</v>
      </c>
      <c r="DR1821" s="496" t="s">
        <v>1511</v>
      </c>
      <c r="DS1821" s="496" t="s">
        <v>4665</v>
      </c>
      <c r="DT1821" s="496" t="s">
        <v>4666</v>
      </c>
      <c r="DU1821" s="496" t="s">
        <v>3959</v>
      </c>
      <c r="DV1821" s="496" t="s">
        <v>4633</v>
      </c>
      <c r="DW1821" s="496" t="s">
        <v>3961</v>
      </c>
      <c r="DX1821" s="497" t="s">
        <v>3962</v>
      </c>
      <c r="DZ1821" s="543">
        <v>1</v>
      </c>
      <c r="EB1821" s="493"/>
      <c r="EC1821" s="493"/>
    </row>
    <row r="1822" spans="119:133" ht="21" customHeight="1">
      <c r="DO1822" s="494"/>
      <c r="DP1822" s="496" t="s">
        <v>4667</v>
      </c>
      <c r="DQ1822" s="496" t="s">
        <v>11</v>
      </c>
      <c r="DR1822" s="496" t="s">
        <v>1511</v>
      </c>
      <c r="DS1822" s="496" t="s">
        <v>1832</v>
      </c>
      <c r="DT1822" s="496" t="s">
        <v>957</v>
      </c>
      <c r="DU1822" s="496" t="s">
        <v>3959</v>
      </c>
      <c r="DV1822" s="496" t="s">
        <v>4633</v>
      </c>
      <c r="DW1822" s="496" t="s">
        <v>3961</v>
      </c>
      <c r="DX1822" s="497" t="s">
        <v>3962</v>
      </c>
      <c r="DZ1822" s="543">
        <v>1</v>
      </c>
      <c r="EB1822" s="493"/>
      <c r="EC1822" s="493"/>
    </row>
    <row r="1823" spans="119:133" ht="21" customHeight="1">
      <c r="DO1823" s="494"/>
      <c r="DP1823" s="496" t="s">
        <v>4668</v>
      </c>
      <c r="DQ1823" s="496" t="s">
        <v>11</v>
      </c>
      <c r="DR1823" s="496" t="s">
        <v>1511</v>
      </c>
      <c r="DS1823" s="496" t="s">
        <v>897</v>
      </c>
      <c r="DT1823" s="496" t="s">
        <v>897</v>
      </c>
      <c r="DU1823" s="496" t="s">
        <v>3959</v>
      </c>
      <c r="DV1823" s="496" t="s">
        <v>4633</v>
      </c>
      <c r="DW1823" s="496" t="s">
        <v>3961</v>
      </c>
      <c r="DX1823" s="497" t="s">
        <v>3962</v>
      </c>
      <c r="DZ1823" s="543">
        <v>1</v>
      </c>
      <c r="EB1823" s="493"/>
      <c r="EC1823" s="493"/>
    </row>
    <row r="1824" spans="119:133" ht="21" customHeight="1">
      <c r="DO1824" s="494"/>
      <c r="DP1824" s="496" t="s">
        <v>4669</v>
      </c>
      <c r="DQ1824" s="496" t="s">
        <v>11</v>
      </c>
      <c r="DR1824" s="496" t="s">
        <v>1511</v>
      </c>
      <c r="DS1824" s="496" t="s">
        <v>4670</v>
      </c>
      <c r="DT1824" s="496" t="s">
        <v>898</v>
      </c>
      <c r="DU1824" s="496" t="s">
        <v>3959</v>
      </c>
      <c r="DV1824" s="496" t="s">
        <v>4633</v>
      </c>
      <c r="DW1824" s="496" t="s">
        <v>3961</v>
      </c>
      <c r="DX1824" s="497" t="s">
        <v>3962</v>
      </c>
      <c r="DZ1824" s="543">
        <v>1</v>
      </c>
      <c r="EB1824" s="493"/>
      <c r="EC1824" s="493"/>
    </row>
    <row r="1825" spans="119:133" ht="21" customHeight="1">
      <c r="DO1825" s="494"/>
      <c r="DP1825" s="496" t="s">
        <v>4671</v>
      </c>
      <c r="DQ1825" s="496" t="s">
        <v>11</v>
      </c>
      <c r="DR1825" s="496" t="s">
        <v>1511</v>
      </c>
      <c r="DS1825" s="496" t="s">
        <v>4672</v>
      </c>
      <c r="DT1825" s="496" t="s">
        <v>4672</v>
      </c>
      <c r="DU1825" s="496" t="s">
        <v>3959</v>
      </c>
      <c r="DV1825" s="496" t="s">
        <v>4633</v>
      </c>
      <c r="DW1825" s="496" t="s">
        <v>3961</v>
      </c>
      <c r="DX1825" s="497" t="s">
        <v>3962</v>
      </c>
      <c r="DZ1825" s="543">
        <v>1</v>
      </c>
      <c r="EB1825" s="493"/>
      <c r="EC1825" s="493"/>
    </row>
    <row r="1826" spans="119:133" ht="21" customHeight="1">
      <c r="DO1826" s="494"/>
      <c r="DP1826" s="496" t="s">
        <v>4673</v>
      </c>
      <c r="DQ1826" s="496" t="s">
        <v>11</v>
      </c>
      <c r="DR1826" s="496" t="s">
        <v>1511</v>
      </c>
      <c r="DS1826" s="496" t="s">
        <v>960</v>
      </c>
      <c r="DT1826" s="496" t="s">
        <v>960</v>
      </c>
      <c r="DU1826" s="496" t="s">
        <v>1085</v>
      </c>
      <c r="DV1826" s="496" t="s">
        <v>1914</v>
      </c>
      <c r="DW1826" s="496" t="s">
        <v>1087</v>
      </c>
      <c r="DX1826" s="497" t="s">
        <v>1088</v>
      </c>
      <c r="DZ1826" s="543">
        <v>1</v>
      </c>
      <c r="EB1826" s="493"/>
      <c r="EC1826" s="493"/>
    </row>
    <row r="1827" spans="119:133" ht="21" customHeight="1">
      <c r="DO1827" s="494"/>
      <c r="DP1827" s="496" t="s">
        <v>4674</v>
      </c>
      <c r="DQ1827" s="496" t="s">
        <v>11</v>
      </c>
      <c r="DR1827" s="496" t="s">
        <v>1511</v>
      </c>
      <c r="DS1827" s="496" t="s">
        <v>4675</v>
      </c>
      <c r="DT1827" s="496" t="s">
        <v>4676</v>
      </c>
      <c r="DU1827" s="496" t="s">
        <v>3959</v>
      </c>
      <c r="DV1827" s="496" t="s">
        <v>4633</v>
      </c>
      <c r="DW1827" s="496" t="s">
        <v>3961</v>
      </c>
      <c r="DX1827" s="497" t="s">
        <v>3962</v>
      </c>
      <c r="DZ1827" s="543">
        <v>1</v>
      </c>
      <c r="EB1827" s="493"/>
      <c r="EC1827" s="493"/>
    </row>
    <row r="1828" spans="119:133" ht="21" customHeight="1">
      <c r="DO1828" s="494"/>
      <c r="DP1828" s="496" t="s">
        <v>4677</v>
      </c>
      <c r="DQ1828" s="496" t="s">
        <v>11</v>
      </c>
      <c r="DR1828" s="496" t="s">
        <v>1511</v>
      </c>
      <c r="DS1828" s="496" t="s">
        <v>902</v>
      </c>
      <c r="DT1828" s="496" t="s">
        <v>902</v>
      </c>
      <c r="DU1828" s="496" t="s">
        <v>3959</v>
      </c>
      <c r="DV1828" s="496" t="s">
        <v>4633</v>
      </c>
      <c r="DW1828" s="496" t="s">
        <v>3961</v>
      </c>
      <c r="DX1828" s="497" t="s">
        <v>3962</v>
      </c>
      <c r="DZ1828" s="543">
        <v>1</v>
      </c>
      <c r="EB1828" s="493"/>
      <c r="EC1828" s="493"/>
    </row>
    <row r="1829" spans="119:133" ht="21" customHeight="1">
      <c r="DO1829" s="494"/>
      <c r="DP1829" s="496" t="s">
        <v>4678</v>
      </c>
      <c r="DQ1829" s="496" t="s">
        <v>11</v>
      </c>
      <c r="DR1829" s="496" t="s">
        <v>1511</v>
      </c>
      <c r="DS1829" s="496" t="s">
        <v>963</v>
      </c>
      <c r="DT1829" s="496" t="s">
        <v>963</v>
      </c>
      <c r="DU1829" s="496" t="s">
        <v>3959</v>
      </c>
      <c r="DV1829" s="496" t="s">
        <v>4633</v>
      </c>
      <c r="DW1829" s="496" t="s">
        <v>3961</v>
      </c>
      <c r="DX1829" s="497" t="s">
        <v>3962</v>
      </c>
      <c r="DZ1829" s="543">
        <v>1</v>
      </c>
      <c r="EB1829" s="493"/>
      <c r="EC1829" s="493"/>
    </row>
    <row r="1830" spans="119:133" ht="21" customHeight="1">
      <c r="DO1830" s="494"/>
      <c r="DP1830" s="496" t="s">
        <v>4679</v>
      </c>
      <c r="DQ1830" s="496" t="s">
        <v>11</v>
      </c>
      <c r="DR1830" s="496" t="s">
        <v>1511</v>
      </c>
      <c r="DS1830" s="496" t="s">
        <v>4680</v>
      </c>
      <c r="DT1830" s="496" t="s">
        <v>903</v>
      </c>
      <c r="DU1830" s="496" t="s">
        <v>3959</v>
      </c>
      <c r="DV1830" s="496" t="s">
        <v>4633</v>
      </c>
      <c r="DW1830" s="496" t="s">
        <v>3961</v>
      </c>
      <c r="DX1830" s="497" t="s">
        <v>3962</v>
      </c>
      <c r="DZ1830" s="543">
        <v>1</v>
      </c>
      <c r="EB1830" s="493"/>
      <c r="EC1830" s="493"/>
    </row>
    <row r="1831" spans="119:133" ht="21" customHeight="1">
      <c r="DO1831" s="494"/>
      <c r="DP1831" s="496" t="s">
        <v>4681</v>
      </c>
      <c r="DQ1831" s="496" t="s">
        <v>11</v>
      </c>
      <c r="DR1831" s="496" t="s">
        <v>1511</v>
      </c>
      <c r="DS1831" s="496" t="s">
        <v>4682</v>
      </c>
      <c r="DT1831" s="496" t="s">
        <v>4682</v>
      </c>
      <c r="DU1831" s="496" t="s">
        <v>3959</v>
      </c>
      <c r="DV1831" s="496" t="s">
        <v>4633</v>
      </c>
      <c r="DW1831" s="496" t="s">
        <v>3961</v>
      </c>
      <c r="DX1831" s="497" t="s">
        <v>3962</v>
      </c>
      <c r="DZ1831" s="543">
        <v>1</v>
      </c>
      <c r="EB1831" s="493"/>
      <c r="EC1831" s="493"/>
    </row>
    <row r="1832" spans="119:133" ht="21" customHeight="1">
      <c r="DO1832" s="494"/>
      <c r="DP1832" s="496" t="s">
        <v>4683</v>
      </c>
      <c r="DQ1832" s="496" t="s">
        <v>11</v>
      </c>
      <c r="DR1832" s="496" t="s">
        <v>1511</v>
      </c>
      <c r="DS1832" s="496" t="s">
        <v>4684</v>
      </c>
      <c r="DT1832" s="496" t="s">
        <v>4684</v>
      </c>
      <c r="DU1832" s="496" t="s">
        <v>3959</v>
      </c>
      <c r="DV1832" s="496" t="s">
        <v>4633</v>
      </c>
      <c r="DW1832" s="496" t="s">
        <v>3961</v>
      </c>
      <c r="DX1832" s="497" t="s">
        <v>3962</v>
      </c>
      <c r="DZ1832" s="543">
        <v>1</v>
      </c>
      <c r="EB1832" s="493"/>
      <c r="EC1832" s="493"/>
    </row>
    <row r="1833" spans="119:133" ht="21" customHeight="1">
      <c r="DO1833" s="494"/>
      <c r="DP1833" s="496" t="s">
        <v>4685</v>
      </c>
      <c r="DQ1833" s="496" t="s">
        <v>11</v>
      </c>
      <c r="DR1833" s="496" t="s">
        <v>1511</v>
      </c>
      <c r="DS1833" s="496" t="s">
        <v>4206</v>
      </c>
      <c r="DT1833" s="496" t="s">
        <v>4206</v>
      </c>
      <c r="DU1833" s="496" t="s">
        <v>3959</v>
      </c>
      <c r="DV1833" s="496" t="s">
        <v>4633</v>
      </c>
      <c r="DW1833" s="496" t="s">
        <v>3961</v>
      </c>
      <c r="DX1833" s="497" t="s">
        <v>3962</v>
      </c>
      <c r="DZ1833" s="543">
        <v>1</v>
      </c>
      <c r="EB1833" s="493"/>
      <c r="EC1833" s="493"/>
    </row>
    <row r="1834" spans="119:133" ht="21" customHeight="1">
      <c r="DO1834" s="494"/>
      <c r="DP1834" s="496" t="s">
        <v>4686</v>
      </c>
      <c r="DQ1834" s="496" t="s">
        <v>11</v>
      </c>
      <c r="DR1834" s="496" t="s">
        <v>1511</v>
      </c>
      <c r="DS1834" s="496" t="s">
        <v>969</v>
      </c>
      <c r="DT1834" s="496" t="s">
        <v>969</v>
      </c>
      <c r="DU1834" s="496" t="s">
        <v>1085</v>
      </c>
      <c r="DV1834" s="496" t="s">
        <v>1914</v>
      </c>
      <c r="DW1834" s="496" t="s">
        <v>1087</v>
      </c>
      <c r="DX1834" s="497" t="s">
        <v>1088</v>
      </c>
      <c r="DZ1834" s="543">
        <v>1</v>
      </c>
      <c r="EB1834" s="493"/>
      <c r="EC1834" s="493"/>
    </row>
    <row r="1835" spans="119:133" ht="21" customHeight="1">
      <c r="DO1835" s="494"/>
      <c r="DP1835" s="496" t="s">
        <v>4687</v>
      </c>
      <c r="DQ1835" s="496" t="s">
        <v>11</v>
      </c>
      <c r="DR1835" s="496" t="s">
        <v>1511</v>
      </c>
      <c r="DS1835" s="496" t="s">
        <v>4688</v>
      </c>
      <c r="DT1835" s="496" t="s">
        <v>4688</v>
      </c>
      <c r="DU1835" s="496" t="s">
        <v>3959</v>
      </c>
      <c r="DV1835" s="496" t="s">
        <v>4633</v>
      </c>
      <c r="DW1835" s="496" t="s">
        <v>3961</v>
      </c>
      <c r="DX1835" s="497" t="s">
        <v>3962</v>
      </c>
      <c r="DZ1835" s="543">
        <v>1</v>
      </c>
      <c r="EB1835" s="493"/>
      <c r="EC1835" s="493"/>
    </row>
    <row r="1836" spans="119:133" ht="21" customHeight="1">
      <c r="DO1836" s="494"/>
      <c r="DP1836" s="496" t="s">
        <v>4689</v>
      </c>
      <c r="DQ1836" s="496" t="s">
        <v>11</v>
      </c>
      <c r="DR1836" s="496" t="s">
        <v>1511</v>
      </c>
      <c r="DS1836" s="496" t="s">
        <v>4690</v>
      </c>
      <c r="DT1836" s="496" t="s">
        <v>4690</v>
      </c>
      <c r="DU1836" s="496" t="s">
        <v>3959</v>
      </c>
      <c r="DV1836" s="496" t="s">
        <v>4633</v>
      </c>
      <c r="DW1836" s="496" t="s">
        <v>3961</v>
      </c>
      <c r="DX1836" s="497" t="s">
        <v>3962</v>
      </c>
      <c r="DZ1836" s="543">
        <v>1</v>
      </c>
      <c r="EB1836" s="493"/>
      <c r="EC1836" s="493"/>
    </row>
    <row r="1837" spans="119:133" ht="21" customHeight="1">
      <c r="DO1837" s="494"/>
      <c r="DP1837" s="496" t="s">
        <v>4691</v>
      </c>
      <c r="DQ1837" s="496" t="s">
        <v>11</v>
      </c>
      <c r="DR1837" s="496" t="s">
        <v>1511</v>
      </c>
      <c r="DS1837" s="496" t="s">
        <v>4692</v>
      </c>
      <c r="DT1837" s="496" t="s">
        <v>4692</v>
      </c>
      <c r="DU1837" s="496" t="s">
        <v>1085</v>
      </c>
      <c r="DV1837" s="496" t="s">
        <v>1914</v>
      </c>
      <c r="DW1837" s="496" t="s">
        <v>1087</v>
      </c>
      <c r="DX1837" s="497" t="s">
        <v>1088</v>
      </c>
      <c r="DZ1837" s="543">
        <v>1</v>
      </c>
      <c r="EB1837" s="493"/>
      <c r="EC1837" s="493"/>
    </row>
    <row r="1838" spans="119:133" ht="21" customHeight="1">
      <c r="DO1838" s="494"/>
      <c r="DP1838" s="496" t="s">
        <v>4693</v>
      </c>
      <c r="DQ1838" s="496" t="s">
        <v>11</v>
      </c>
      <c r="DR1838" s="496" t="s">
        <v>1511</v>
      </c>
      <c r="DS1838" s="496" t="s">
        <v>4694</v>
      </c>
      <c r="DT1838" s="496" t="s">
        <v>4694</v>
      </c>
      <c r="DU1838" s="496" t="s">
        <v>3959</v>
      </c>
      <c r="DV1838" s="496" t="s">
        <v>4633</v>
      </c>
      <c r="DW1838" s="496" t="s">
        <v>3961</v>
      </c>
      <c r="DX1838" s="497" t="s">
        <v>3962</v>
      </c>
      <c r="DZ1838" s="543">
        <v>1</v>
      </c>
      <c r="EB1838" s="493"/>
      <c r="EC1838" s="493"/>
    </row>
    <row r="1839" spans="119:133" ht="21" customHeight="1">
      <c r="DO1839" s="494"/>
      <c r="DP1839" s="496" t="s">
        <v>4695</v>
      </c>
      <c r="DQ1839" s="496" t="s">
        <v>11</v>
      </c>
      <c r="DR1839" s="496" t="s">
        <v>1511</v>
      </c>
      <c r="DS1839" s="496" t="s">
        <v>4696</v>
      </c>
      <c r="DT1839" s="496" t="s">
        <v>4696</v>
      </c>
      <c r="DU1839" s="496" t="s">
        <v>3959</v>
      </c>
      <c r="DV1839" s="496" t="s">
        <v>4633</v>
      </c>
      <c r="DW1839" s="496" t="s">
        <v>3961</v>
      </c>
      <c r="DX1839" s="497" t="s">
        <v>3962</v>
      </c>
      <c r="DZ1839" s="543">
        <v>1</v>
      </c>
      <c r="EB1839" s="493"/>
      <c r="EC1839" s="493"/>
    </row>
    <row r="1840" spans="119:133" ht="21" customHeight="1">
      <c r="DO1840" s="494"/>
      <c r="DP1840" s="496" t="s">
        <v>4697</v>
      </c>
      <c r="DQ1840" s="496" t="s">
        <v>11</v>
      </c>
      <c r="DR1840" s="496" t="s">
        <v>1511</v>
      </c>
      <c r="DS1840" s="496" t="s">
        <v>4698</v>
      </c>
      <c r="DT1840" s="496" t="s">
        <v>4698</v>
      </c>
      <c r="DU1840" s="496" t="s">
        <v>1085</v>
      </c>
      <c r="DV1840" s="496" t="s">
        <v>1914</v>
      </c>
      <c r="DW1840" s="496" t="s">
        <v>1087</v>
      </c>
      <c r="DX1840" s="497" t="s">
        <v>1088</v>
      </c>
      <c r="DZ1840" s="543">
        <v>1</v>
      </c>
      <c r="EB1840" s="493"/>
      <c r="EC1840" s="493"/>
    </row>
    <row r="1841" spans="119:133" ht="21" customHeight="1">
      <c r="DO1841" s="494"/>
      <c r="DP1841" s="496" t="s">
        <v>4699</v>
      </c>
      <c r="DQ1841" s="496" t="s">
        <v>11</v>
      </c>
      <c r="DR1841" s="496" t="s">
        <v>1511</v>
      </c>
      <c r="DS1841" s="496" t="s">
        <v>4700</v>
      </c>
      <c r="DT1841" s="496" t="s">
        <v>4701</v>
      </c>
      <c r="DU1841" s="496" t="s">
        <v>3959</v>
      </c>
      <c r="DV1841" s="496" t="s">
        <v>4633</v>
      </c>
      <c r="DW1841" s="496" t="s">
        <v>3961</v>
      </c>
      <c r="DX1841" s="497" t="s">
        <v>3962</v>
      </c>
      <c r="DZ1841" s="543">
        <v>1</v>
      </c>
      <c r="EB1841" s="493"/>
      <c r="EC1841" s="493"/>
    </row>
    <row r="1842" spans="119:133" ht="21" customHeight="1">
      <c r="DO1842" s="494"/>
      <c r="DP1842" s="496" t="s">
        <v>4702</v>
      </c>
      <c r="DQ1842" s="496" t="s">
        <v>11</v>
      </c>
      <c r="DR1842" s="496" t="s">
        <v>1511</v>
      </c>
      <c r="DS1842" s="496" t="s">
        <v>3945</v>
      </c>
      <c r="DT1842" s="496" t="s">
        <v>3945</v>
      </c>
      <c r="DU1842" s="496" t="s">
        <v>1085</v>
      </c>
      <c r="DV1842" s="496" t="s">
        <v>1914</v>
      </c>
      <c r="DW1842" s="496" t="s">
        <v>1087</v>
      </c>
      <c r="DX1842" s="497" t="s">
        <v>1088</v>
      </c>
      <c r="DZ1842" s="543">
        <v>1</v>
      </c>
      <c r="EB1842" s="493"/>
      <c r="EC1842" s="493"/>
    </row>
    <row r="1843" spans="119:133" ht="21" customHeight="1">
      <c r="DO1843" s="494"/>
      <c r="DP1843" s="496" t="s">
        <v>4703</v>
      </c>
      <c r="DQ1843" s="496" t="s">
        <v>11</v>
      </c>
      <c r="DR1843" s="496" t="s">
        <v>1511</v>
      </c>
      <c r="DS1843" s="496" t="s">
        <v>979</v>
      </c>
      <c r="DT1843" s="496" t="s">
        <v>979</v>
      </c>
      <c r="DU1843" s="496" t="s">
        <v>1085</v>
      </c>
      <c r="DV1843" s="496" t="s">
        <v>1914</v>
      </c>
      <c r="DW1843" s="496" t="s">
        <v>1087</v>
      </c>
      <c r="DX1843" s="497" t="s">
        <v>1088</v>
      </c>
      <c r="DZ1843" s="543">
        <v>1</v>
      </c>
      <c r="EB1843" s="493"/>
      <c r="EC1843" s="493"/>
    </row>
    <row r="1844" spans="119:133" ht="21" customHeight="1">
      <c r="DO1844" s="494"/>
      <c r="DP1844" s="496" t="s">
        <v>4704</v>
      </c>
      <c r="DQ1844" s="496" t="s">
        <v>11</v>
      </c>
      <c r="DR1844" s="496" t="s">
        <v>1511</v>
      </c>
      <c r="DS1844" s="496" t="s">
        <v>980</v>
      </c>
      <c r="DT1844" s="496" t="s">
        <v>980</v>
      </c>
      <c r="DU1844" s="496" t="s">
        <v>3959</v>
      </c>
      <c r="DV1844" s="496" t="s">
        <v>4633</v>
      </c>
      <c r="DW1844" s="496" t="s">
        <v>3961</v>
      </c>
      <c r="DX1844" s="497" t="s">
        <v>3962</v>
      </c>
      <c r="DZ1844" s="543">
        <v>1</v>
      </c>
      <c r="EB1844" s="493"/>
      <c r="EC1844" s="493"/>
    </row>
    <row r="1845" spans="119:133" ht="21" customHeight="1">
      <c r="DO1845" s="494"/>
      <c r="DP1845" s="496" t="s">
        <v>4705</v>
      </c>
      <c r="DQ1845" s="496" t="s">
        <v>11</v>
      </c>
      <c r="DR1845" s="496" t="s">
        <v>1511</v>
      </c>
      <c r="DS1845" s="496" t="s">
        <v>4706</v>
      </c>
      <c r="DT1845" s="496" t="s">
        <v>4706</v>
      </c>
      <c r="DU1845" s="496" t="s">
        <v>3959</v>
      </c>
      <c r="DV1845" s="496" t="s">
        <v>4633</v>
      </c>
      <c r="DW1845" s="496" t="s">
        <v>3961</v>
      </c>
      <c r="DX1845" s="497" t="s">
        <v>3962</v>
      </c>
      <c r="DZ1845" s="543">
        <v>1</v>
      </c>
      <c r="EB1845" s="493"/>
      <c r="EC1845" s="493"/>
    </row>
    <row r="1846" spans="119:133" ht="21" customHeight="1">
      <c r="DO1846" s="494"/>
      <c r="DP1846" s="496" t="s">
        <v>4707</v>
      </c>
      <c r="DQ1846" s="496" t="s">
        <v>11</v>
      </c>
      <c r="DR1846" s="496" t="s">
        <v>1511</v>
      </c>
      <c r="DS1846" s="496" t="s">
        <v>4708</v>
      </c>
      <c r="DT1846" s="496" t="s">
        <v>4708</v>
      </c>
      <c r="DU1846" s="496" t="s">
        <v>1085</v>
      </c>
      <c r="DV1846" s="496" t="s">
        <v>1914</v>
      </c>
      <c r="DW1846" s="496" t="s">
        <v>1087</v>
      </c>
      <c r="DX1846" s="497" t="s">
        <v>1088</v>
      </c>
      <c r="DZ1846" s="543">
        <v>1</v>
      </c>
      <c r="EB1846" s="493"/>
      <c r="EC1846" s="493"/>
    </row>
    <row r="1847" spans="119:133" ht="21" customHeight="1">
      <c r="DO1847" s="494"/>
      <c r="DP1847" s="496" t="s">
        <v>4709</v>
      </c>
      <c r="DQ1847" s="496" t="s">
        <v>11</v>
      </c>
      <c r="DR1847" s="496" t="s">
        <v>1511</v>
      </c>
      <c r="DS1847" s="496" t="s">
        <v>984</v>
      </c>
      <c r="DT1847" s="496" t="s">
        <v>984</v>
      </c>
      <c r="DU1847" s="496" t="s">
        <v>1085</v>
      </c>
      <c r="DV1847" s="496" t="s">
        <v>1914</v>
      </c>
      <c r="DW1847" s="496" t="s">
        <v>1087</v>
      </c>
      <c r="DX1847" s="497" t="s">
        <v>1088</v>
      </c>
      <c r="DZ1847" s="543">
        <v>1</v>
      </c>
      <c r="EB1847" s="493"/>
      <c r="EC1847" s="493"/>
    </row>
    <row r="1848" spans="119:133" ht="21" customHeight="1">
      <c r="DO1848" s="494"/>
      <c r="DP1848" s="496" t="s">
        <v>4710</v>
      </c>
      <c r="DQ1848" s="496" t="s">
        <v>11</v>
      </c>
      <c r="DR1848" s="496" t="s">
        <v>1511</v>
      </c>
      <c r="DS1848" s="496" t="s">
        <v>4711</v>
      </c>
      <c r="DT1848" s="496" t="s">
        <v>914</v>
      </c>
      <c r="DU1848" s="496" t="s">
        <v>3959</v>
      </c>
      <c r="DV1848" s="496" t="s">
        <v>4633</v>
      </c>
      <c r="DW1848" s="496" t="s">
        <v>3961</v>
      </c>
      <c r="DX1848" s="497" t="s">
        <v>3962</v>
      </c>
      <c r="DZ1848" s="543">
        <v>1</v>
      </c>
      <c r="EB1848" s="493"/>
      <c r="EC1848" s="493"/>
    </row>
    <row r="1849" spans="119:133" ht="21" customHeight="1">
      <c r="DO1849" s="494"/>
      <c r="DP1849" s="496" t="s">
        <v>4712</v>
      </c>
      <c r="DQ1849" s="496" t="s">
        <v>11</v>
      </c>
      <c r="DR1849" s="496" t="s">
        <v>1511</v>
      </c>
      <c r="DS1849" s="496" t="s">
        <v>4713</v>
      </c>
      <c r="DT1849" s="496" t="s">
        <v>4713</v>
      </c>
      <c r="DU1849" s="496" t="s">
        <v>1151</v>
      </c>
      <c r="DV1849" s="496" t="s">
        <v>1518</v>
      </c>
      <c r="DW1849" s="496" t="s">
        <v>1087</v>
      </c>
      <c r="DX1849" s="497" t="s">
        <v>1153</v>
      </c>
      <c r="DZ1849" s="543">
        <v>1</v>
      </c>
      <c r="EB1849" s="493"/>
      <c r="EC1849" s="493"/>
    </row>
    <row r="1850" spans="119:133" ht="21" customHeight="1">
      <c r="DO1850" s="494"/>
      <c r="DP1850" s="496" t="s">
        <v>4714</v>
      </c>
      <c r="DQ1850" s="496" t="s">
        <v>11</v>
      </c>
      <c r="DR1850" s="496" t="s">
        <v>1511</v>
      </c>
      <c r="DS1850" s="496" t="s">
        <v>4715</v>
      </c>
      <c r="DT1850" s="496" t="s">
        <v>4716</v>
      </c>
      <c r="DU1850" s="496" t="s">
        <v>1085</v>
      </c>
      <c r="DV1850" s="496" t="s">
        <v>1914</v>
      </c>
      <c r="DW1850" s="496" t="s">
        <v>1087</v>
      </c>
      <c r="DX1850" s="497" t="s">
        <v>1088</v>
      </c>
      <c r="DZ1850" s="543">
        <v>1</v>
      </c>
      <c r="EB1850" s="493"/>
      <c r="EC1850" s="493"/>
    </row>
    <row r="1851" spans="119:133" ht="21" customHeight="1">
      <c r="DO1851" s="494"/>
      <c r="DP1851" s="496" t="s">
        <v>4717</v>
      </c>
      <c r="DQ1851" s="496" t="s">
        <v>11</v>
      </c>
      <c r="DR1851" s="496" t="s">
        <v>1511</v>
      </c>
      <c r="DS1851" s="496" t="s">
        <v>4718</v>
      </c>
      <c r="DT1851" s="496" t="s">
        <v>4718</v>
      </c>
      <c r="DU1851" s="496" t="s">
        <v>3959</v>
      </c>
      <c r="DV1851" s="496" t="s">
        <v>4633</v>
      </c>
      <c r="DW1851" s="496" t="s">
        <v>3961</v>
      </c>
      <c r="DX1851" s="497" t="s">
        <v>3962</v>
      </c>
      <c r="DZ1851" s="543">
        <v>1</v>
      </c>
      <c r="EB1851" s="493"/>
      <c r="EC1851" s="493"/>
    </row>
    <row r="1852" spans="119:133" ht="21" customHeight="1">
      <c r="DO1852" s="494"/>
      <c r="DP1852" s="496" t="s">
        <v>4719</v>
      </c>
      <c r="DQ1852" s="496" t="s">
        <v>11</v>
      </c>
      <c r="DR1852" s="496" t="s">
        <v>1511</v>
      </c>
      <c r="DS1852" s="496" t="s">
        <v>4720</v>
      </c>
      <c r="DT1852" s="496" t="s">
        <v>4720</v>
      </c>
      <c r="DU1852" s="496" t="s">
        <v>3959</v>
      </c>
      <c r="DV1852" s="496" t="s">
        <v>4633</v>
      </c>
      <c r="DW1852" s="496" t="s">
        <v>3961</v>
      </c>
      <c r="DX1852" s="497" t="s">
        <v>3962</v>
      </c>
      <c r="DZ1852" s="543">
        <v>1</v>
      </c>
      <c r="EB1852" s="493"/>
      <c r="EC1852" s="493"/>
    </row>
    <row r="1853" spans="119:133" ht="21" customHeight="1">
      <c r="DO1853" s="494"/>
      <c r="DP1853" s="496" t="s">
        <v>4721</v>
      </c>
      <c r="DQ1853" s="496" t="s">
        <v>11</v>
      </c>
      <c r="DR1853" s="496" t="s">
        <v>1511</v>
      </c>
      <c r="DS1853" s="496" t="s">
        <v>4722</v>
      </c>
      <c r="DT1853" s="496" t="s">
        <v>4723</v>
      </c>
      <c r="DU1853" s="496" t="s">
        <v>1085</v>
      </c>
      <c r="DV1853" s="496" t="s">
        <v>1914</v>
      </c>
      <c r="DW1853" s="496" t="s">
        <v>1087</v>
      </c>
      <c r="DX1853" s="497" t="s">
        <v>1088</v>
      </c>
      <c r="DZ1853" s="543">
        <v>1</v>
      </c>
      <c r="EB1853" s="493"/>
      <c r="EC1853" s="493"/>
    </row>
    <row r="1854" spans="119:133" ht="21" customHeight="1">
      <c r="DO1854" s="494"/>
      <c r="DP1854" s="496" t="s">
        <v>4724</v>
      </c>
      <c r="DQ1854" s="496" t="s">
        <v>11</v>
      </c>
      <c r="DR1854" s="496" t="s">
        <v>1511</v>
      </c>
      <c r="DS1854" s="496" t="s">
        <v>4725</v>
      </c>
      <c r="DT1854" s="496" t="s">
        <v>4726</v>
      </c>
      <c r="DU1854" s="496" t="s">
        <v>1085</v>
      </c>
      <c r="DV1854" s="496" t="s">
        <v>1914</v>
      </c>
      <c r="DW1854" s="496" t="s">
        <v>1087</v>
      </c>
      <c r="DX1854" s="497" t="s">
        <v>1088</v>
      </c>
      <c r="DZ1854" s="543">
        <v>1</v>
      </c>
      <c r="EB1854" s="493"/>
      <c r="EC1854" s="493"/>
    </row>
    <row r="1855" spans="119:133" ht="21" customHeight="1">
      <c r="DO1855" s="494"/>
      <c r="DP1855" s="496" t="s">
        <v>4727</v>
      </c>
      <c r="DQ1855" s="496" t="s">
        <v>11</v>
      </c>
      <c r="DR1855" s="496" t="s">
        <v>1511</v>
      </c>
      <c r="DS1855" s="496" t="s">
        <v>4728</v>
      </c>
      <c r="DT1855" s="496" t="s">
        <v>4729</v>
      </c>
      <c r="DU1855" s="496" t="s">
        <v>3959</v>
      </c>
      <c r="DV1855" s="496" t="s">
        <v>4633</v>
      </c>
      <c r="DW1855" s="496" t="s">
        <v>3961</v>
      </c>
      <c r="DX1855" s="497" t="s">
        <v>3962</v>
      </c>
      <c r="DZ1855" s="543">
        <v>1</v>
      </c>
      <c r="EB1855" s="493"/>
      <c r="EC1855" s="493"/>
    </row>
    <row r="1856" spans="119:133" ht="21" customHeight="1">
      <c r="DO1856" s="494"/>
      <c r="DP1856" s="496" t="s">
        <v>4730</v>
      </c>
      <c r="DQ1856" s="496" t="s">
        <v>11</v>
      </c>
      <c r="DR1856" s="496" t="s">
        <v>1511</v>
      </c>
      <c r="DS1856" s="496" t="s">
        <v>919</v>
      </c>
      <c r="DT1856" s="496" t="s">
        <v>919</v>
      </c>
      <c r="DU1856" s="496" t="s">
        <v>1085</v>
      </c>
      <c r="DV1856" s="496" t="s">
        <v>1914</v>
      </c>
      <c r="DW1856" s="496" t="s">
        <v>1087</v>
      </c>
      <c r="DX1856" s="497" t="s">
        <v>1088</v>
      </c>
      <c r="DZ1856" s="543">
        <v>1</v>
      </c>
      <c r="EB1856" s="493"/>
      <c r="EC1856" s="493"/>
    </row>
    <row r="1857" spans="119:133" ht="21" customHeight="1">
      <c r="DO1857" s="494"/>
      <c r="DP1857" s="496" t="s">
        <v>4731</v>
      </c>
      <c r="DQ1857" s="496" t="s">
        <v>11</v>
      </c>
      <c r="DR1857" s="496" t="s">
        <v>1511</v>
      </c>
      <c r="DS1857" s="496" t="s">
        <v>920</v>
      </c>
      <c r="DT1857" s="496" t="s">
        <v>920</v>
      </c>
      <c r="DU1857" s="496" t="s">
        <v>3959</v>
      </c>
      <c r="DV1857" s="496" t="s">
        <v>4633</v>
      </c>
      <c r="DW1857" s="496" t="s">
        <v>3961</v>
      </c>
      <c r="DX1857" s="497" t="s">
        <v>3962</v>
      </c>
      <c r="DZ1857" s="543">
        <v>1</v>
      </c>
      <c r="EB1857" s="493"/>
      <c r="EC1857" s="493"/>
    </row>
    <row r="1858" spans="119:133" ht="21" customHeight="1">
      <c r="DO1858" s="494"/>
      <c r="DP1858" s="496" t="s">
        <v>4732</v>
      </c>
      <c r="DQ1858" s="496" t="s">
        <v>11</v>
      </c>
      <c r="DR1858" s="496" t="s">
        <v>1511</v>
      </c>
      <c r="DS1858" s="496" t="s">
        <v>4733</v>
      </c>
      <c r="DT1858" s="496" t="s">
        <v>4733</v>
      </c>
      <c r="DU1858" s="496" t="s">
        <v>3959</v>
      </c>
      <c r="DV1858" s="496" t="s">
        <v>4633</v>
      </c>
      <c r="DW1858" s="496" t="s">
        <v>3961</v>
      </c>
      <c r="DX1858" s="497" t="s">
        <v>3962</v>
      </c>
      <c r="DZ1858" s="543">
        <v>1</v>
      </c>
      <c r="EB1858" s="493"/>
      <c r="EC1858" s="493"/>
    </row>
    <row r="1859" spans="119:133" ht="21" customHeight="1">
      <c r="DO1859" s="494"/>
      <c r="DP1859" s="496" t="s">
        <v>4734</v>
      </c>
      <c r="DQ1859" s="496" t="s">
        <v>11</v>
      </c>
      <c r="DR1859" s="496" t="s">
        <v>1511</v>
      </c>
      <c r="DS1859" s="496" t="s">
        <v>4735</v>
      </c>
      <c r="DT1859" s="496" t="s">
        <v>4736</v>
      </c>
      <c r="DU1859" s="496" t="s">
        <v>3959</v>
      </c>
      <c r="DV1859" s="496" t="s">
        <v>4633</v>
      </c>
      <c r="DW1859" s="496" t="s">
        <v>3961</v>
      </c>
      <c r="DX1859" s="497" t="s">
        <v>3962</v>
      </c>
      <c r="DZ1859" s="543">
        <v>1</v>
      </c>
      <c r="EB1859" s="493"/>
      <c r="EC1859" s="493"/>
    </row>
    <row r="1860" spans="119:133" ht="21" customHeight="1">
      <c r="DO1860" s="494"/>
      <c r="DP1860" s="496" t="s">
        <v>4737</v>
      </c>
      <c r="DQ1860" s="496" t="s">
        <v>11</v>
      </c>
      <c r="DR1860" s="496" t="s">
        <v>1511</v>
      </c>
      <c r="DS1860" s="496" t="s">
        <v>923</v>
      </c>
      <c r="DT1860" s="496" t="s">
        <v>923</v>
      </c>
      <c r="DU1860" s="496" t="s">
        <v>3959</v>
      </c>
      <c r="DV1860" s="496" t="s">
        <v>4633</v>
      </c>
      <c r="DW1860" s="496" t="s">
        <v>3961</v>
      </c>
      <c r="DX1860" s="497" t="s">
        <v>3962</v>
      </c>
      <c r="DZ1860" s="543">
        <v>1</v>
      </c>
      <c r="EB1860" s="493"/>
      <c r="EC1860" s="493"/>
    </row>
    <row r="1861" spans="119:133" ht="21" customHeight="1">
      <c r="DO1861" s="494"/>
      <c r="DP1861" s="496" t="s">
        <v>4738</v>
      </c>
      <c r="DQ1861" s="496" t="s">
        <v>11</v>
      </c>
      <c r="DR1861" s="496" t="s">
        <v>1511</v>
      </c>
      <c r="DS1861" s="496" t="s">
        <v>1534</v>
      </c>
      <c r="DT1861" s="496" t="s">
        <v>1535</v>
      </c>
      <c r="DU1861" s="496" t="s">
        <v>1151</v>
      </c>
      <c r="DV1861" s="496" t="s">
        <v>1518</v>
      </c>
      <c r="DW1861" s="496" t="s">
        <v>1087</v>
      </c>
      <c r="DX1861" s="497" t="s">
        <v>1153</v>
      </c>
      <c r="DZ1861" s="543">
        <v>1</v>
      </c>
      <c r="EB1861" s="493"/>
      <c r="EC1861" s="493"/>
    </row>
    <row r="1862" spans="119:133" ht="21" customHeight="1">
      <c r="DO1862" s="494"/>
      <c r="DP1862" s="496" t="s">
        <v>4739</v>
      </c>
      <c r="DQ1862" s="496" t="s">
        <v>11</v>
      </c>
      <c r="DR1862" s="496" t="s">
        <v>1511</v>
      </c>
      <c r="DS1862" s="496" t="s">
        <v>4740</v>
      </c>
      <c r="DT1862" s="496" t="s">
        <v>4740</v>
      </c>
      <c r="DU1862" s="496" t="s">
        <v>1085</v>
      </c>
      <c r="DV1862" s="496" t="s">
        <v>1914</v>
      </c>
      <c r="DW1862" s="496" t="s">
        <v>1087</v>
      </c>
      <c r="DX1862" s="497" t="s">
        <v>1088</v>
      </c>
      <c r="DZ1862" s="543">
        <v>1</v>
      </c>
      <c r="EB1862" s="493"/>
      <c r="EC1862" s="493"/>
    </row>
    <row r="1863" spans="119:133" ht="21" customHeight="1">
      <c r="DO1863" s="494"/>
      <c r="DP1863" s="496" t="s">
        <v>4741</v>
      </c>
      <c r="DQ1863" s="496" t="s">
        <v>11</v>
      </c>
      <c r="DR1863" s="496" t="s">
        <v>1511</v>
      </c>
      <c r="DS1863" s="496" t="s">
        <v>924</v>
      </c>
      <c r="DT1863" s="496" t="s">
        <v>924</v>
      </c>
      <c r="DU1863" s="496" t="s">
        <v>3959</v>
      </c>
      <c r="DV1863" s="496" t="s">
        <v>4633</v>
      </c>
      <c r="DW1863" s="496" t="s">
        <v>3961</v>
      </c>
      <c r="DX1863" s="497" t="s">
        <v>3962</v>
      </c>
      <c r="DZ1863" s="543">
        <v>1</v>
      </c>
      <c r="EB1863" s="493"/>
      <c r="EC1863" s="493"/>
    </row>
    <row r="1864" spans="119:133" ht="21" customHeight="1">
      <c r="DO1864" s="494"/>
      <c r="DP1864" s="496" t="s">
        <v>4742</v>
      </c>
      <c r="DQ1864" s="496" t="s">
        <v>11</v>
      </c>
      <c r="DR1864" s="496" t="s">
        <v>1511</v>
      </c>
      <c r="DS1864" s="496" t="s">
        <v>4743</v>
      </c>
      <c r="DT1864" s="496" t="s">
        <v>4743</v>
      </c>
      <c r="DU1864" s="496" t="s">
        <v>1151</v>
      </c>
      <c r="DV1864" s="496" t="s">
        <v>1518</v>
      </c>
      <c r="DW1864" s="496" t="s">
        <v>1087</v>
      </c>
      <c r="DX1864" s="497" t="s">
        <v>1153</v>
      </c>
      <c r="DZ1864" s="543">
        <v>1</v>
      </c>
      <c r="EB1864" s="493"/>
      <c r="EC1864" s="493"/>
    </row>
    <row r="1865" spans="119:133" ht="21" customHeight="1">
      <c r="DO1865" s="494"/>
      <c r="DP1865" s="496" t="s">
        <v>4744</v>
      </c>
      <c r="DQ1865" s="496" t="s">
        <v>11</v>
      </c>
      <c r="DR1865" s="496" t="s">
        <v>1511</v>
      </c>
      <c r="DS1865" s="496" t="s">
        <v>4745</v>
      </c>
      <c r="DT1865" s="496" t="s">
        <v>925</v>
      </c>
      <c r="DU1865" s="496" t="s">
        <v>3959</v>
      </c>
      <c r="DV1865" s="496" t="s">
        <v>4633</v>
      </c>
      <c r="DW1865" s="496" t="s">
        <v>3961</v>
      </c>
      <c r="DX1865" s="497" t="s">
        <v>3962</v>
      </c>
      <c r="DZ1865" s="543">
        <v>1</v>
      </c>
      <c r="EB1865" s="493"/>
      <c r="EC1865" s="493"/>
    </row>
    <row r="1866" spans="119:133" ht="21" customHeight="1">
      <c r="DO1866" s="494"/>
      <c r="DP1866" s="496" t="s">
        <v>4746</v>
      </c>
      <c r="DQ1866" s="496" t="s">
        <v>11</v>
      </c>
      <c r="DR1866" s="496" t="s">
        <v>1511</v>
      </c>
      <c r="DS1866" s="496" t="s">
        <v>1544</v>
      </c>
      <c r="DT1866" s="496" t="s">
        <v>1544</v>
      </c>
      <c r="DU1866" s="496" t="s">
        <v>1085</v>
      </c>
      <c r="DV1866" s="496" t="s">
        <v>1914</v>
      </c>
      <c r="DW1866" s="496" t="s">
        <v>1087</v>
      </c>
      <c r="DX1866" s="497" t="s">
        <v>1088</v>
      </c>
      <c r="DZ1866" s="543">
        <v>1</v>
      </c>
      <c r="EB1866" s="493"/>
      <c r="EC1866" s="493"/>
    </row>
    <row r="1867" spans="119:133" ht="21" customHeight="1">
      <c r="DO1867" s="494"/>
      <c r="DP1867" s="496" t="s">
        <v>4747</v>
      </c>
      <c r="DQ1867" s="496" t="s">
        <v>11</v>
      </c>
      <c r="DR1867" s="496" t="s">
        <v>1511</v>
      </c>
      <c r="DS1867" s="496" t="s">
        <v>926</v>
      </c>
      <c r="DT1867" s="496" t="s">
        <v>926</v>
      </c>
      <c r="DU1867" s="496" t="s">
        <v>3959</v>
      </c>
      <c r="DV1867" s="496" t="s">
        <v>4633</v>
      </c>
      <c r="DW1867" s="496" t="s">
        <v>3961</v>
      </c>
      <c r="DX1867" s="497" t="s">
        <v>3962</v>
      </c>
      <c r="DZ1867" s="543">
        <v>1</v>
      </c>
      <c r="EB1867" s="493"/>
      <c r="EC1867" s="493"/>
    </row>
    <row r="1868" spans="119:133" ht="21" customHeight="1">
      <c r="DO1868" s="494"/>
      <c r="DP1868" s="496" t="s">
        <v>4748</v>
      </c>
      <c r="DQ1868" s="496" t="s">
        <v>11</v>
      </c>
      <c r="DR1868" s="496" t="s">
        <v>1511</v>
      </c>
      <c r="DS1868" s="496" t="s">
        <v>4749</v>
      </c>
      <c r="DT1868" s="496" t="s">
        <v>4749</v>
      </c>
      <c r="DU1868" s="496" t="s">
        <v>3959</v>
      </c>
      <c r="DV1868" s="496" t="s">
        <v>4633</v>
      </c>
      <c r="DW1868" s="496" t="s">
        <v>3961</v>
      </c>
      <c r="DX1868" s="497" t="s">
        <v>3962</v>
      </c>
      <c r="DZ1868" s="543">
        <v>1</v>
      </c>
      <c r="EB1868" s="493"/>
      <c r="EC1868" s="493"/>
    </row>
    <row r="1869" spans="119:133" ht="21" customHeight="1">
      <c r="DO1869" s="494"/>
      <c r="DP1869" s="496" t="s">
        <v>4750</v>
      </c>
      <c r="DQ1869" s="496" t="s">
        <v>11</v>
      </c>
      <c r="DR1869" s="496" t="s">
        <v>1511</v>
      </c>
      <c r="DS1869" s="496" t="s">
        <v>4751</v>
      </c>
      <c r="DT1869" s="496" t="s">
        <v>4751</v>
      </c>
      <c r="DU1869" s="496" t="s">
        <v>3959</v>
      </c>
      <c r="DV1869" s="496" t="s">
        <v>4633</v>
      </c>
      <c r="DW1869" s="496" t="s">
        <v>3961</v>
      </c>
      <c r="DX1869" s="497" t="s">
        <v>3962</v>
      </c>
      <c r="DZ1869" s="543">
        <v>1</v>
      </c>
      <c r="EB1869" s="493"/>
      <c r="EC1869" s="493"/>
    </row>
    <row r="1870" spans="119:133" ht="21" customHeight="1">
      <c r="DO1870" s="494"/>
      <c r="DP1870" s="496" t="s">
        <v>4752</v>
      </c>
      <c r="DQ1870" s="496" t="s">
        <v>11</v>
      </c>
      <c r="DR1870" s="496" t="s">
        <v>1511</v>
      </c>
      <c r="DS1870" s="496" t="s">
        <v>1952</v>
      </c>
      <c r="DT1870" s="496" t="s">
        <v>1952</v>
      </c>
      <c r="DU1870" s="496" t="s">
        <v>1085</v>
      </c>
      <c r="DV1870" s="496" t="s">
        <v>1914</v>
      </c>
      <c r="DW1870" s="496" t="s">
        <v>1087</v>
      </c>
      <c r="DX1870" s="497" t="s">
        <v>1088</v>
      </c>
      <c r="DZ1870" s="543">
        <v>1</v>
      </c>
      <c r="EB1870" s="493"/>
      <c r="EC1870" s="493"/>
    </row>
    <row r="1871" spans="119:133" ht="21" customHeight="1">
      <c r="DO1871" s="494"/>
      <c r="DP1871" s="496" t="s">
        <v>4753</v>
      </c>
      <c r="DQ1871" s="496" t="s">
        <v>11</v>
      </c>
      <c r="DR1871" s="496" t="s">
        <v>1511</v>
      </c>
      <c r="DS1871" s="496" t="s">
        <v>4754</v>
      </c>
      <c r="DT1871" s="496" t="s">
        <v>4754</v>
      </c>
      <c r="DU1871" s="496" t="s">
        <v>3959</v>
      </c>
      <c r="DV1871" s="496" t="s">
        <v>4633</v>
      </c>
      <c r="DW1871" s="496" t="s">
        <v>3961</v>
      </c>
      <c r="DX1871" s="497" t="s">
        <v>3962</v>
      </c>
      <c r="DZ1871" s="543">
        <v>1</v>
      </c>
      <c r="EB1871" s="493"/>
      <c r="EC1871" s="493"/>
    </row>
    <row r="1872" spans="119:133" ht="21" customHeight="1">
      <c r="DO1872" s="494"/>
      <c r="DP1872" s="496" t="s">
        <v>4755</v>
      </c>
      <c r="DQ1872" s="496" t="s">
        <v>11</v>
      </c>
      <c r="DR1872" s="496" t="s">
        <v>1511</v>
      </c>
      <c r="DS1872" s="496" t="s">
        <v>995</v>
      </c>
      <c r="DT1872" s="496" t="s">
        <v>995</v>
      </c>
      <c r="DU1872" s="496" t="s">
        <v>3959</v>
      </c>
      <c r="DV1872" s="496" t="s">
        <v>4633</v>
      </c>
      <c r="DW1872" s="496" t="s">
        <v>3961</v>
      </c>
      <c r="DX1872" s="497" t="s">
        <v>3962</v>
      </c>
      <c r="DZ1872" s="543">
        <v>1</v>
      </c>
      <c r="EB1872" s="493"/>
      <c r="EC1872" s="493"/>
    </row>
    <row r="1873" spans="119:133" ht="21" customHeight="1">
      <c r="DO1873" s="494"/>
      <c r="DP1873" s="496" t="s">
        <v>4756</v>
      </c>
      <c r="DQ1873" s="496" t="s">
        <v>11</v>
      </c>
      <c r="DR1873" s="496" t="s">
        <v>1511</v>
      </c>
      <c r="DS1873" s="496" t="s">
        <v>1055</v>
      </c>
      <c r="DT1873" s="496" t="s">
        <v>1055</v>
      </c>
      <c r="DU1873" s="496" t="s">
        <v>3959</v>
      </c>
      <c r="DV1873" s="496" t="s">
        <v>4633</v>
      </c>
      <c r="DW1873" s="496" t="s">
        <v>3961</v>
      </c>
      <c r="DX1873" s="497" t="s">
        <v>3962</v>
      </c>
      <c r="DZ1873" s="543">
        <v>1</v>
      </c>
      <c r="EB1873" s="493"/>
      <c r="EC1873" s="493"/>
    </row>
    <row r="1874" spans="119:133" ht="21" customHeight="1">
      <c r="DO1874" s="494"/>
      <c r="DP1874" s="496" t="s">
        <v>4757</v>
      </c>
      <c r="DQ1874" s="496" t="s">
        <v>11</v>
      </c>
      <c r="DR1874" s="496" t="s">
        <v>1511</v>
      </c>
      <c r="DS1874" s="496" t="s">
        <v>931</v>
      </c>
      <c r="DT1874" s="496" t="s">
        <v>931</v>
      </c>
      <c r="DU1874" s="496" t="s">
        <v>3959</v>
      </c>
      <c r="DV1874" s="496" t="s">
        <v>4633</v>
      </c>
      <c r="DW1874" s="496" t="s">
        <v>3961</v>
      </c>
      <c r="DX1874" s="497" t="s">
        <v>3962</v>
      </c>
      <c r="DZ1874" s="543">
        <v>1</v>
      </c>
      <c r="EB1874" s="493"/>
      <c r="EC1874" s="493"/>
    </row>
    <row r="1875" spans="119:133" ht="21" customHeight="1">
      <c r="DO1875" s="494"/>
      <c r="DP1875" s="496" t="s">
        <v>4758</v>
      </c>
      <c r="DQ1875" s="496" t="s">
        <v>11</v>
      </c>
      <c r="DR1875" s="496" t="s">
        <v>1511</v>
      </c>
      <c r="DS1875" s="496" t="s">
        <v>4759</v>
      </c>
      <c r="DT1875" s="496" t="s">
        <v>4759</v>
      </c>
      <c r="DU1875" s="496" t="s">
        <v>3959</v>
      </c>
      <c r="DV1875" s="496" t="s">
        <v>4633</v>
      </c>
      <c r="DW1875" s="496" t="s">
        <v>3961</v>
      </c>
      <c r="DX1875" s="497" t="s">
        <v>3962</v>
      </c>
      <c r="DZ1875" s="543">
        <v>1</v>
      </c>
      <c r="EB1875" s="493"/>
      <c r="EC1875" s="493"/>
    </row>
    <row r="1876" spans="119:133" ht="21" customHeight="1">
      <c r="DO1876" s="494"/>
      <c r="DP1876" s="496" t="s">
        <v>4760</v>
      </c>
      <c r="DQ1876" s="496" t="s">
        <v>11</v>
      </c>
      <c r="DR1876" s="496" t="s">
        <v>1511</v>
      </c>
      <c r="DS1876" s="496" t="s">
        <v>4761</v>
      </c>
      <c r="DT1876" s="496" t="s">
        <v>4762</v>
      </c>
      <c r="DU1876" s="496" t="s">
        <v>1085</v>
      </c>
      <c r="DV1876" s="496" t="s">
        <v>1914</v>
      </c>
      <c r="DW1876" s="496" t="s">
        <v>1087</v>
      </c>
      <c r="DX1876" s="497" t="s">
        <v>1088</v>
      </c>
      <c r="DZ1876" s="543">
        <v>1</v>
      </c>
      <c r="EB1876" s="493"/>
      <c r="EC1876" s="493"/>
    </row>
    <row r="1877" spans="119:133" ht="21" customHeight="1">
      <c r="DO1877" s="494"/>
      <c r="DP1877" s="496" t="s">
        <v>4763</v>
      </c>
      <c r="DQ1877" s="496" t="s">
        <v>11</v>
      </c>
      <c r="DR1877" s="496" t="s">
        <v>1511</v>
      </c>
      <c r="DS1877" s="496" t="s">
        <v>1433</v>
      </c>
      <c r="DT1877" s="496" t="s">
        <v>1433</v>
      </c>
      <c r="DU1877" s="496" t="s">
        <v>1085</v>
      </c>
      <c r="DV1877" s="496" t="s">
        <v>1914</v>
      </c>
      <c r="DW1877" s="496" t="s">
        <v>1087</v>
      </c>
      <c r="DX1877" s="497" t="s">
        <v>1088</v>
      </c>
      <c r="DZ1877" s="543">
        <v>1</v>
      </c>
      <c r="EB1877" s="493"/>
      <c r="EC1877" s="493"/>
    </row>
    <row r="1878" spans="119:133" ht="21" customHeight="1">
      <c r="DO1878" s="494"/>
      <c r="DP1878" s="496" t="s">
        <v>4764</v>
      </c>
      <c r="DQ1878" s="496" t="s">
        <v>11</v>
      </c>
      <c r="DR1878" s="496" t="s">
        <v>1511</v>
      </c>
      <c r="DS1878" s="496" t="s">
        <v>4765</v>
      </c>
      <c r="DT1878" s="496" t="s">
        <v>4765</v>
      </c>
      <c r="DU1878" s="496" t="s">
        <v>1085</v>
      </c>
      <c r="DV1878" s="496" t="s">
        <v>1914</v>
      </c>
      <c r="DW1878" s="496" t="s">
        <v>1087</v>
      </c>
      <c r="DX1878" s="497" t="s">
        <v>1088</v>
      </c>
      <c r="DZ1878" s="543">
        <v>1</v>
      </c>
      <c r="EB1878" s="493"/>
      <c r="EC1878" s="493"/>
    </row>
    <row r="1879" spans="119:133" ht="21" customHeight="1">
      <c r="DO1879" s="494"/>
      <c r="DP1879" s="496" t="s">
        <v>4766</v>
      </c>
      <c r="DQ1879" s="496" t="s">
        <v>11</v>
      </c>
      <c r="DR1879" s="496" t="s">
        <v>1960</v>
      </c>
      <c r="DS1879" s="496" t="s">
        <v>1961</v>
      </c>
      <c r="DT1879" s="496" t="s">
        <v>1961</v>
      </c>
      <c r="DU1879" s="496" t="s">
        <v>1151</v>
      </c>
      <c r="DV1879" s="496" t="s">
        <v>1962</v>
      </c>
      <c r="DW1879" s="496" t="s">
        <v>1087</v>
      </c>
      <c r="DX1879" s="497" t="s">
        <v>1153</v>
      </c>
      <c r="DZ1879" s="543">
        <v>1</v>
      </c>
      <c r="EB1879" s="493"/>
      <c r="EC1879" s="493"/>
    </row>
    <row r="1880" spans="119:133" ht="21" customHeight="1">
      <c r="DO1880" s="494"/>
      <c r="DP1880" s="496" t="s">
        <v>4767</v>
      </c>
      <c r="DQ1880" s="496" t="s">
        <v>11</v>
      </c>
      <c r="DR1880" s="496" t="s">
        <v>1960</v>
      </c>
      <c r="DS1880" s="496" t="s">
        <v>1964</v>
      </c>
      <c r="DT1880" s="496" t="s">
        <v>1965</v>
      </c>
      <c r="DU1880" s="496" t="s">
        <v>1151</v>
      </c>
      <c r="DV1880" s="496" t="s">
        <v>1962</v>
      </c>
      <c r="DW1880" s="496" t="s">
        <v>1087</v>
      </c>
      <c r="DX1880" s="497" t="s">
        <v>1153</v>
      </c>
      <c r="DZ1880" s="543">
        <v>1</v>
      </c>
      <c r="EB1880" s="493"/>
      <c r="EC1880" s="493"/>
    </row>
    <row r="1881" spans="119:133" ht="21" customHeight="1">
      <c r="DO1881" s="494"/>
      <c r="DP1881" s="496" t="s">
        <v>4768</v>
      </c>
      <c r="DQ1881" s="496" t="s">
        <v>11</v>
      </c>
      <c r="DR1881" s="496" t="s">
        <v>1960</v>
      </c>
      <c r="DS1881" s="496" t="s">
        <v>1967</v>
      </c>
      <c r="DT1881" s="496" t="s">
        <v>1968</v>
      </c>
      <c r="DU1881" s="496" t="s">
        <v>1151</v>
      </c>
      <c r="DV1881" s="496" t="s">
        <v>1962</v>
      </c>
      <c r="DW1881" s="496" t="s">
        <v>1087</v>
      </c>
      <c r="DX1881" s="497" t="s">
        <v>1153</v>
      </c>
      <c r="DZ1881" s="543">
        <v>1</v>
      </c>
      <c r="EB1881" s="493"/>
      <c r="EC1881" s="493"/>
    </row>
    <row r="1882" spans="119:133" ht="21" customHeight="1">
      <c r="DO1882" s="494"/>
      <c r="DP1882" s="496" t="s">
        <v>4769</v>
      </c>
      <c r="DQ1882" s="496" t="s">
        <v>11</v>
      </c>
      <c r="DR1882" s="496" t="s">
        <v>1960</v>
      </c>
      <c r="DS1882" s="496" t="s">
        <v>1970</v>
      </c>
      <c r="DT1882" s="496" t="s">
        <v>1971</v>
      </c>
      <c r="DU1882" s="496" t="s">
        <v>1151</v>
      </c>
      <c r="DV1882" s="496" t="s">
        <v>1962</v>
      </c>
      <c r="DW1882" s="496" t="s">
        <v>1087</v>
      </c>
      <c r="DX1882" s="497" t="s">
        <v>1153</v>
      </c>
      <c r="DZ1882" s="543">
        <v>1</v>
      </c>
      <c r="EB1882" s="493"/>
      <c r="EC1882" s="493"/>
    </row>
    <row r="1883" spans="119:133" ht="21" customHeight="1">
      <c r="DO1883" s="494"/>
      <c r="DP1883" s="496" t="s">
        <v>4770</v>
      </c>
      <c r="DQ1883" s="496" t="s">
        <v>11</v>
      </c>
      <c r="DR1883" s="496" t="s">
        <v>1960</v>
      </c>
      <c r="DS1883" s="496" t="s">
        <v>1478</v>
      </c>
      <c r="DT1883" s="496" t="s">
        <v>860</v>
      </c>
      <c r="DU1883" s="496" t="s">
        <v>1151</v>
      </c>
      <c r="DV1883" s="496" t="s">
        <v>1962</v>
      </c>
      <c r="DW1883" s="496" t="s">
        <v>1087</v>
      </c>
      <c r="DX1883" s="497" t="s">
        <v>1153</v>
      </c>
      <c r="DZ1883" s="543">
        <v>1</v>
      </c>
      <c r="EB1883" s="493"/>
      <c r="EC1883" s="493"/>
    </row>
    <row r="1884" spans="119:133" ht="21" customHeight="1">
      <c r="DO1884" s="494"/>
      <c r="DP1884" s="496" t="s">
        <v>4771</v>
      </c>
      <c r="DQ1884" s="496" t="s">
        <v>11</v>
      </c>
      <c r="DR1884" s="496" t="s">
        <v>1960</v>
      </c>
      <c r="DS1884" s="496" t="s">
        <v>857</v>
      </c>
      <c r="DT1884" s="496" t="s">
        <v>861</v>
      </c>
      <c r="DU1884" s="496" t="s">
        <v>1151</v>
      </c>
      <c r="DV1884" s="496" t="s">
        <v>1962</v>
      </c>
      <c r="DW1884" s="496" t="s">
        <v>1087</v>
      </c>
      <c r="DX1884" s="497" t="s">
        <v>1153</v>
      </c>
      <c r="DZ1884" s="543">
        <v>1</v>
      </c>
      <c r="EB1884" s="493"/>
      <c r="EC1884" s="493"/>
    </row>
    <row r="1885" spans="119:133" ht="21" customHeight="1">
      <c r="DO1885" s="494"/>
      <c r="DP1885" s="496" t="s">
        <v>4772</v>
      </c>
      <c r="DQ1885" s="496" t="s">
        <v>11</v>
      </c>
      <c r="DR1885" s="496" t="s">
        <v>1960</v>
      </c>
      <c r="DS1885" s="496" t="s">
        <v>1486</v>
      </c>
      <c r="DT1885" s="496" t="s">
        <v>864</v>
      </c>
      <c r="DU1885" s="496" t="s">
        <v>1151</v>
      </c>
      <c r="DV1885" s="496" t="s">
        <v>1962</v>
      </c>
      <c r="DW1885" s="496" t="s">
        <v>1087</v>
      </c>
      <c r="DX1885" s="497" t="s">
        <v>1153</v>
      </c>
      <c r="DZ1885" s="543">
        <v>1</v>
      </c>
      <c r="EB1885" s="493"/>
      <c r="EC1885" s="493"/>
    </row>
    <row r="1886" spans="119:133" ht="21" customHeight="1">
      <c r="DO1886" s="494"/>
      <c r="DP1886" s="496" t="s">
        <v>4773</v>
      </c>
      <c r="DQ1886" s="496" t="s">
        <v>11</v>
      </c>
      <c r="DR1886" s="496" t="s">
        <v>1960</v>
      </c>
      <c r="DS1886" s="496" t="s">
        <v>1976</v>
      </c>
      <c r="DT1886" s="496" t="s">
        <v>1976</v>
      </c>
      <c r="DU1886" s="496" t="s">
        <v>1151</v>
      </c>
      <c r="DV1886" s="496" t="s">
        <v>1962</v>
      </c>
      <c r="DW1886" s="496" t="s">
        <v>1087</v>
      </c>
      <c r="DX1886" s="497" t="s">
        <v>1153</v>
      </c>
      <c r="DZ1886" s="543">
        <v>1</v>
      </c>
      <c r="EB1886" s="493"/>
      <c r="EC1886" s="493"/>
    </row>
    <row r="1887" spans="119:133" ht="21" customHeight="1">
      <c r="DO1887" s="494"/>
      <c r="DP1887" s="496" t="s">
        <v>4774</v>
      </c>
      <c r="DQ1887" s="496" t="s">
        <v>11</v>
      </c>
      <c r="DR1887" s="496" t="s">
        <v>1960</v>
      </c>
      <c r="DS1887" s="496" t="s">
        <v>1978</v>
      </c>
      <c r="DT1887" s="496" t="s">
        <v>1978</v>
      </c>
      <c r="DU1887" s="496" t="s">
        <v>1151</v>
      </c>
      <c r="DV1887" s="496" t="s">
        <v>1962</v>
      </c>
      <c r="DW1887" s="496" t="s">
        <v>1087</v>
      </c>
      <c r="DX1887" s="497" t="s">
        <v>1153</v>
      </c>
      <c r="DZ1887" s="543">
        <v>1</v>
      </c>
      <c r="EB1887" s="493"/>
      <c r="EC1887" s="493"/>
    </row>
    <row r="1888" spans="119:133" ht="21" customHeight="1">
      <c r="DO1888" s="494"/>
      <c r="DP1888" s="496" t="s">
        <v>4775</v>
      </c>
      <c r="DQ1888" s="496" t="s">
        <v>241</v>
      </c>
      <c r="DR1888" s="496" t="s">
        <v>689</v>
      </c>
      <c r="DS1888" s="496" t="s">
        <v>294</v>
      </c>
      <c r="DT1888" s="496" t="s">
        <v>294</v>
      </c>
      <c r="DU1888" s="496" t="s">
        <v>1151</v>
      </c>
      <c r="DV1888" s="496" t="s">
        <v>1152</v>
      </c>
      <c r="DW1888" s="496" t="s">
        <v>1087</v>
      </c>
      <c r="DX1888" s="497" t="s">
        <v>1153</v>
      </c>
      <c r="DZ1888" s="543">
        <v>1</v>
      </c>
      <c r="EB1888" s="493"/>
      <c r="EC1888" s="493"/>
    </row>
    <row r="1889" spans="119:133" ht="21" customHeight="1">
      <c r="DO1889" s="494"/>
      <c r="DP1889" s="496" t="s">
        <v>4776</v>
      </c>
      <c r="DQ1889" s="496" t="s">
        <v>241</v>
      </c>
      <c r="DR1889" s="496" t="s">
        <v>689</v>
      </c>
      <c r="DS1889" s="496" t="s">
        <v>4777</v>
      </c>
      <c r="DT1889" s="496" t="s">
        <v>4777</v>
      </c>
      <c r="DU1889" s="496" t="s">
        <v>1151</v>
      </c>
      <c r="DV1889" s="496" t="s">
        <v>1152</v>
      </c>
      <c r="DW1889" s="496" t="s">
        <v>1087</v>
      </c>
      <c r="DX1889" s="497" t="s">
        <v>1153</v>
      </c>
      <c r="DZ1889" s="543">
        <v>1</v>
      </c>
      <c r="EB1889" s="493"/>
      <c r="EC1889" s="493"/>
    </row>
    <row r="1890" spans="119:133" ht="21" customHeight="1">
      <c r="DO1890" s="494"/>
      <c r="DP1890" s="496" t="s">
        <v>4778</v>
      </c>
      <c r="DQ1890" s="496" t="s">
        <v>241</v>
      </c>
      <c r="DR1890" s="496" t="s">
        <v>689</v>
      </c>
      <c r="DS1890" s="496" t="s">
        <v>24</v>
      </c>
      <c r="DT1890" s="496" t="s">
        <v>24</v>
      </c>
      <c r="DU1890" s="496" t="s">
        <v>1085</v>
      </c>
      <c r="DV1890" s="496" t="s">
        <v>4779</v>
      </c>
      <c r="DW1890" s="496" t="s">
        <v>1087</v>
      </c>
      <c r="DX1890" s="497" t="s">
        <v>1088</v>
      </c>
      <c r="DZ1890" s="543">
        <v>1</v>
      </c>
      <c r="EB1890" s="493"/>
      <c r="EC1890" s="493"/>
    </row>
    <row r="1891" spans="119:133" ht="21" customHeight="1">
      <c r="DO1891" s="494"/>
      <c r="DP1891" s="496" t="s">
        <v>4780</v>
      </c>
      <c r="DQ1891" s="496" t="s">
        <v>241</v>
      </c>
      <c r="DR1891" s="496" t="s">
        <v>689</v>
      </c>
      <c r="DS1891" s="496" t="s">
        <v>34</v>
      </c>
      <c r="DT1891" s="496" t="s">
        <v>34</v>
      </c>
      <c r="DU1891" s="496" t="s">
        <v>1085</v>
      </c>
      <c r="DV1891" s="496" t="s">
        <v>4779</v>
      </c>
      <c r="DW1891" s="496" t="s">
        <v>1087</v>
      </c>
      <c r="DX1891" s="497" t="s">
        <v>1088</v>
      </c>
      <c r="DZ1891" s="543">
        <v>1</v>
      </c>
      <c r="EB1891" s="493"/>
      <c r="EC1891" s="493"/>
    </row>
    <row r="1892" spans="119:133" ht="21" customHeight="1">
      <c r="DO1892" s="494"/>
      <c r="DP1892" s="496" t="s">
        <v>4781</v>
      </c>
      <c r="DQ1892" s="496" t="s">
        <v>241</v>
      </c>
      <c r="DR1892" s="496" t="s">
        <v>689</v>
      </c>
      <c r="DS1892" s="496" t="s">
        <v>4782</v>
      </c>
      <c r="DT1892" s="496" t="s">
        <v>4782</v>
      </c>
      <c r="DU1892" s="496" t="s">
        <v>1085</v>
      </c>
      <c r="DV1892" s="496" t="s">
        <v>4779</v>
      </c>
      <c r="DW1892" s="496" t="s">
        <v>1087</v>
      </c>
      <c r="DX1892" s="497" t="s">
        <v>1088</v>
      </c>
      <c r="DZ1892" s="543">
        <v>1</v>
      </c>
      <c r="EB1892" s="493"/>
      <c r="EC1892" s="493"/>
    </row>
    <row r="1893" spans="119:133" ht="21" customHeight="1">
      <c r="DO1893" s="494"/>
      <c r="DP1893" s="496" t="s">
        <v>4783</v>
      </c>
      <c r="DQ1893" s="496" t="s">
        <v>241</v>
      </c>
      <c r="DR1893" s="496" t="s">
        <v>689</v>
      </c>
      <c r="DS1893" s="496" t="s">
        <v>4784</v>
      </c>
      <c r="DT1893" s="496" t="s">
        <v>4784</v>
      </c>
      <c r="DU1893" s="496" t="s">
        <v>1085</v>
      </c>
      <c r="DV1893" s="496" t="s">
        <v>4779</v>
      </c>
      <c r="DW1893" s="496" t="s">
        <v>1087</v>
      </c>
      <c r="DX1893" s="497" t="s">
        <v>1088</v>
      </c>
      <c r="DZ1893" s="543">
        <v>1</v>
      </c>
      <c r="EB1893" s="493"/>
      <c r="EC1893" s="493"/>
    </row>
    <row r="1894" spans="119:133" ht="21" customHeight="1">
      <c r="DO1894" s="494"/>
      <c r="DP1894" s="496" t="s">
        <v>4785</v>
      </c>
      <c r="DQ1894" s="496" t="s">
        <v>241</v>
      </c>
      <c r="DR1894" s="496" t="s">
        <v>689</v>
      </c>
      <c r="DS1894" s="496" t="s">
        <v>295</v>
      </c>
      <c r="DT1894" s="496" t="s">
        <v>295</v>
      </c>
      <c r="DU1894" s="496" t="s">
        <v>1151</v>
      </c>
      <c r="DV1894" s="496" t="s">
        <v>1152</v>
      </c>
      <c r="DW1894" s="496" t="s">
        <v>1087</v>
      </c>
      <c r="DX1894" s="497" t="s">
        <v>1153</v>
      </c>
      <c r="DZ1894" s="543">
        <v>1</v>
      </c>
      <c r="EB1894" s="493"/>
      <c r="EC1894" s="493"/>
    </row>
    <row r="1895" spans="119:133" ht="21" customHeight="1">
      <c r="DO1895" s="494"/>
      <c r="DP1895" s="496" t="s">
        <v>4786</v>
      </c>
      <c r="DQ1895" s="496" t="s">
        <v>241</v>
      </c>
      <c r="DR1895" s="496" t="s">
        <v>689</v>
      </c>
      <c r="DS1895" s="496" t="s">
        <v>4787</v>
      </c>
      <c r="DT1895" s="496" t="s">
        <v>4787</v>
      </c>
      <c r="DU1895" s="496" t="s">
        <v>1151</v>
      </c>
      <c r="DV1895" s="496" t="s">
        <v>1152</v>
      </c>
      <c r="DW1895" s="496" t="s">
        <v>1087</v>
      </c>
      <c r="DX1895" s="497" t="s">
        <v>1153</v>
      </c>
      <c r="DZ1895" s="543">
        <v>1</v>
      </c>
      <c r="EB1895" s="493"/>
      <c r="EC1895" s="493"/>
    </row>
    <row r="1896" spans="119:133" ht="21" customHeight="1">
      <c r="DO1896" s="494"/>
      <c r="DP1896" s="496" t="s">
        <v>4788</v>
      </c>
      <c r="DQ1896" s="496" t="s">
        <v>241</v>
      </c>
      <c r="DR1896" s="496" t="s">
        <v>689</v>
      </c>
      <c r="DS1896" s="496" t="s">
        <v>97</v>
      </c>
      <c r="DT1896" s="496" t="s">
        <v>97</v>
      </c>
      <c r="DU1896" s="496" t="s">
        <v>1085</v>
      </c>
      <c r="DV1896" s="496" t="s">
        <v>4779</v>
      </c>
      <c r="DW1896" s="496" t="s">
        <v>1087</v>
      </c>
      <c r="DX1896" s="497" t="s">
        <v>1088</v>
      </c>
      <c r="DZ1896" s="543">
        <v>1</v>
      </c>
      <c r="EB1896" s="493"/>
      <c r="EC1896" s="493"/>
    </row>
    <row r="1897" spans="119:133" ht="21" customHeight="1">
      <c r="DO1897" s="494"/>
      <c r="DP1897" s="496" t="s">
        <v>4789</v>
      </c>
      <c r="DQ1897" s="496" t="s">
        <v>241</v>
      </c>
      <c r="DR1897" s="496" t="s">
        <v>689</v>
      </c>
      <c r="DS1897" s="496" t="s">
        <v>112</v>
      </c>
      <c r="DT1897" s="496" t="s">
        <v>112</v>
      </c>
      <c r="DU1897" s="496" t="s">
        <v>1085</v>
      </c>
      <c r="DV1897" s="496" t="s">
        <v>4779</v>
      </c>
      <c r="DW1897" s="496" t="s">
        <v>1087</v>
      </c>
      <c r="DX1897" s="497" t="s">
        <v>1088</v>
      </c>
      <c r="DZ1897" s="543">
        <v>1</v>
      </c>
      <c r="EB1897" s="493"/>
      <c r="EC1897" s="493"/>
    </row>
    <row r="1898" spans="119:133" ht="21" customHeight="1">
      <c r="DO1898" s="494"/>
      <c r="DP1898" s="496" t="s">
        <v>4790</v>
      </c>
      <c r="DQ1898" s="496" t="s">
        <v>241</v>
      </c>
      <c r="DR1898" s="496" t="s">
        <v>689</v>
      </c>
      <c r="DS1898" s="496" t="s">
        <v>296</v>
      </c>
      <c r="DT1898" s="496" t="s">
        <v>296</v>
      </c>
      <c r="DU1898" s="496" t="s">
        <v>1151</v>
      </c>
      <c r="DV1898" s="496" t="s">
        <v>1152</v>
      </c>
      <c r="DW1898" s="496" t="s">
        <v>1087</v>
      </c>
      <c r="DX1898" s="497" t="s">
        <v>1153</v>
      </c>
      <c r="DZ1898" s="543">
        <v>1</v>
      </c>
      <c r="EB1898" s="493"/>
      <c r="EC1898" s="493"/>
    </row>
    <row r="1899" spans="119:133" ht="21" customHeight="1">
      <c r="DO1899" s="494"/>
      <c r="DP1899" s="496" t="s">
        <v>4791</v>
      </c>
      <c r="DQ1899" s="496" t="s">
        <v>241</v>
      </c>
      <c r="DR1899" s="496" t="s">
        <v>689</v>
      </c>
      <c r="DS1899" s="496" t="s">
        <v>4792</v>
      </c>
      <c r="DT1899" s="496" t="s">
        <v>4792</v>
      </c>
      <c r="DU1899" s="496" t="s">
        <v>1151</v>
      </c>
      <c r="DV1899" s="496" t="s">
        <v>1152</v>
      </c>
      <c r="DW1899" s="496" t="s">
        <v>1087</v>
      </c>
      <c r="DX1899" s="497" t="s">
        <v>1153</v>
      </c>
      <c r="DZ1899" s="543">
        <v>1</v>
      </c>
      <c r="EB1899" s="493"/>
      <c r="EC1899" s="493"/>
    </row>
    <row r="1900" spans="119:133" ht="21" customHeight="1">
      <c r="DO1900" s="494"/>
      <c r="DP1900" s="496" t="s">
        <v>4793</v>
      </c>
      <c r="DQ1900" s="496" t="s">
        <v>241</v>
      </c>
      <c r="DR1900" s="496" t="s">
        <v>689</v>
      </c>
      <c r="DS1900" s="496" t="s">
        <v>4794</v>
      </c>
      <c r="DT1900" s="496" t="s">
        <v>4794</v>
      </c>
      <c r="DU1900" s="496" t="s">
        <v>1085</v>
      </c>
      <c r="DV1900" s="496" t="s">
        <v>4779</v>
      </c>
      <c r="DW1900" s="496" t="s">
        <v>1087</v>
      </c>
      <c r="DX1900" s="497" t="s">
        <v>1088</v>
      </c>
      <c r="DZ1900" s="543">
        <v>1</v>
      </c>
      <c r="EB1900" s="493"/>
      <c r="EC1900" s="493"/>
    </row>
    <row r="1901" spans="119:133" ht="21" customHeight="1">
      <c r="DO1901" s="494"/>
      <c r="DP1901" s="496" t="s">
        <v>4795</v>
      </c>
      <c r="DQ1901" s="496" t="s">
        <v>241</v>
      </c>
      <c r="DR1901" s="496" t="s">
        <v>689</v>
      </c>
      <c r="DS1901" s="496" t="s">
        <v>4796</v>
      </c>
      <c r="DT1901" s="496" t="s">
        <v>4796</v>
      </c>
      <c r="DU1901" s="496" t="s">
        <v>1085</v>
      </c>
      <c r="DV1901" s="496" t="s">
        <v>4779</v>
      </c>
      <c r="DW1901" s="496" t="s">
        <v>1087</v>
      </c>
      <c r="DX1901" s="497" t="s">
        <v>1088</v>
      </c>
      <c r="DZ1901" s="543">
        <v>1</v>
      </c>
      <c r="EB1901" s="493"/>
      <c r="EC1901" s="493"/>
    </row>
    <row r="1902" spans="119:133" ht="21" customHeight="1">
      <c r="DO1902" s="494"/>
      <c r="DP1902" s="496" t="s">
        <v>4797</v>
      </c>
      <c r="DQ1902" s="496" t="s">
        <v>241</v>
      </c>
      <c r="DR1902" s="496" t="s">
        <v>689</v>
      </c>
      <c r="DS1902" s="496" t="s">
        <v>706</v>
      </c>
      <c r="DT1902" s="496" t="s">
        <v>706</v>
      </c>
      <c r="DU1902" s="496" t="s">
        <v>1085</v>
      </c>
      <c r="DV1902" s="496" t="s">
        <v>4779</v>
      </c>
      <c r="DW1902" s="496" t="s">
        <v>1087</v>
      </c>
      <c r="DX1902" s="497" t="s">
        <v>1088</v>
      </c>
      <c r="DZ1902" s="543">
        <v>1</v>
      </c>
      <c r="EB1902" s="493"/>
      <c r="EC1902" s="493"/>
    </row>
    <row r="1903" spans="119:133" ht="21" customHeight="1">
      <c r="DO1903" s="494"/>
      <c r="DP1903" s="496" t="s">
        <v>4798</v>
      </c>
      <c r="DQ1903" s="496" t="s">
        <v>241</v>
      </c>
      <c r="DR1903" s="496" t="s">
        <v>689</v>
      </c>
      <c r="DS1903" s="496" t="s">
        <v>705</v>
      </c>
      <c r="DT1903" s="496" t="s">
        <v>705</v>
      </c>
      <c r="DU1903" s="496" t="s">
        <v>1085</v>
      </c>
      <c r="DV1903" s="496" t="s">
        <v>4779</v>
      </c>
      <c r="DW1903" s="496" t="s">
        <v>1087</v>
      </c>
      <c r="DX1903" s="497" t="s">
        <v>1088</v>
      </c>
      <c r="DZ1903" s="543">
        <v>1</v>
      </c>
      <c r="EB1903" s="493"/>
      <c r="EC1903" s="493"/>
    </row>
    <row r="1904" spans="119:133" ht="21" customHeight="1">
      <c r="DO1904" s="494"/>
      <c r="DP1904" s="496" t="s">
        <v>4799</v>
      </c>
      <c r="DQ1904" s="496" t="s">
        <v>241</v>
      </c>
      <c r="DR1904" s="496" t="s">
        <v>689</v>
      </c>
      <c r="DS1904" s="496" t="s">
        <v>878</v>
      </c>
      <c r="DT1904" s="496" t="s">
        <v>878</v>
      </c>
      <c r="DU1904" s="496" t="s">
        <v>1085</v>
      </c>
      <c r="DV1904" s="496" t="s">
        <v>4779</v>
      </c>
      <c r="DW1904" s="496" t="s">
        <v>1087</v>
      </c>
      <c r="DX1904" s="497" t="s">
        <v>1088</v>
      </c>
      <c r="DZ1904" s="543">
        <v>1</v>
      </c>
      <c r="EB1904" s="493"/>
      <c r="EC1904" s="493"/>
    </row>
    <row r="1905" spans="119:133" ht="21" customHeight="1">
      <c r="DO1905" s="494"/>
      <c r="DP1905" s="496" t="s">
        <v>4800</v>
      </c>
      <c r="DQ1905" s="496" t="s">
        <v>241</v>
      </c>
      <c r="DR1905" s="496" t="s">
        <v>689</v>
      </c>
      <c r="DS1905" s="496" t="s">
        <v>297</v>
      </c>
      <c r="DT1905" s="496" t="s">
        <v>297</v>
      </c>
      <c r="DU1905" s="496" t="s">
        <v>1085</v>
      </c>
      <c r="DV1905" s="496" t="s">
        <v>4779</v>
      </c>
      <c r="DW1905" s="496" t="s">
        <v>1087</v>
      </c>
      <c r="DX1905" s="497" t="s">
        <v>1088</v>
      </c>
      <c r="DZ1905" s="543">
        <v>1</v>
      </c>
      <c r="EB1905" s="493"/>
      <c r="EC1905" s="493"/>
    </row>
    <row r="1906" spans="119:133" ht="21" customHeight="1">
      <c r="DO1906" s="494"/>
      <c r="DP1906" s="496" t="s">
        <v>4801</v>
      </c>
      <c r="DQ1906" s="496" t="s">
        <v>241</v>
      </c>
      <c r="DR1906" s="496" t="s">
        <v>689</v>
      </c>
      <c r="DS1906" s="496" t="s">
        <v>298</v>
      </c>
      <c r="DT1906" s="496" t="s">
        <v>298</v>
      </c>
      <c r="DU1906" s="496" t="s">
        <v>1151</v>
      </c>
      <c r="DV1906" s="496" t="s">
        <v>1152</v>
      </c>
      <c r="DW1906" s="496" t="s">
        <v>1087</v>
      </c>
      <c r="DX1906" s="497" t="s">
        <v>1153</v>
      </c>
      <c r="DZ1906" s="543">
        <v>1</v>
      </c>
      <c r="EB1906" s="493"/>
      <c r="EC1906" s="493"/>
    </row>
    <row r="1907" spans="119:133" ht="21" customHeight="1">
      <c r="DO1907" s="494"/>
      <c r="DP1907" s="496" t="s">
        <v>4802</v>
      </c>
      <c r="DQ1907" s="496" t="s">
        <v>241</v>
      </c>
      <c r="DR1907" s="496" t="s">
        <v>689</v>
      </c>
      <c r="DS1907" s="496" t="s">
        <v>4803</v>
      </c>
      <c r="DT1907" s="496" t="s">
        <v>4803</v>
      </c>
      <c r="DU1907" s="496" t="s">
        <v>1151</v>
      </c>
      <c r="DV1907" s="496" t="s">
        <v>1152</v>
      </c>
      <c r="DW1907" s="496" t="s">
        <v>1087</v>
      </c>
      <c r="DX1907" s="497" t="s">
        <v>1153</v>
      </c>
      <c r="DZ1907" s="543">
        <v>1</v>
      </c>
      <c r="EB1907" s="493"/>
      <c r="EC1907" s="493"/>
    </row>
    <row r="1908" spans="119:133" ht="21" customHeight="1">
      <c r="DO1908" s="494"/>
      <c r="DP1908" s="496" t="s">
        <v>4804</v>
      </c>
      <c r="DQ1908" s="496" t="s">
        <v>241</v>
      </c>
      <c r="DR1908" s="496" t="s">
        <v>689</v>
      </c>
      <c r="DS1908" s="496" t="s">
        <v>4805</v>
      </c>
      <c r="DT1908" s="496" t="s">
        <v>4805</v>
      </c>
      <c r="DU1908" s="496" t="s">
        <v>1085</v>
      </c>
      <c r="DV1908" s="496" t="s">
        <v>4779</v>
      </c>
      <c r="DW1908" s="496" t="s">
        <v>1087</v>
      </c>
      <c r="DX1908" s="497" t="s">
        <v>1088</v>
      </c>
      <c r="DZ1908" s="543">
        <v>1</v>
      </c>
      <c r="EB1908" s="493"/>
      <c r="EC1908" s="493"/>
    </row>
    <row r="1909" spans="119:133" ht="21" customHeight="1">
      <c r="DO1909" s="494"/>
      <c r="DP1909" s="496" t="s">
        <v>4806</v>
      </c>
      <c r="DQ1909" s="496" t="s">
        <v>241</v>
      </c>
      <c r="DR1909" s="496" t="s">
        <v>689</v>
      </c>
      <c r="DS1909" s="496" t="s">
        <v>4807</v>
      </c>
      <c r="DT1909" s="496" t="s">
        <v>4807</v>
      </c>
      <c r="DU1909" s="496" t="s">
        <v>1085</v>
      </c>
      <c r="DV1909" s="496" t="s">
        <v>4779</v>
      </c>
      <c r="DW1909" s="496" t="s">
        <v>1087</v>
      </c>
      <c r="DX1909" s="497" t="s">
        <v>1088</v>
      </c>
      <c r="DZ1909" s="543">
        <v>1</v>
      </c>
      <c r="EB1909" s="493"/>
      <c r="EC1909" s="493"/>
    </row>
    <row r="1910" spans="119:133" ht="21" customHeight="1">
      <c r="DO1910" s="494"/>
      <c r="DP1910" s="496" t="s">
        <v>4808</v>
      </c>
      <c r="DQ1910" s="496" t="s">
        <v>241</v>
      </c>
      <c r="DR1910" s="496" t="s">
        <v>689</v>
      </c>
      <c r="DS1910" s="496" t="s">
        <v>147</v>
      </c>
      <c r="DT1910" s="496" t="s">
        <v>147</v>
      </c>
      <c r="DU1910" s="496" t="s">
        <v>1085</v>
      </c>
      <c r="DV1910" s="496" t="s">
        <v>4779</v>
      </c>
      <c r="DW1910" s="496" t="s">
        <v>1087</v>
      </c>
      <c r="DX1910" s="497" t="s">
        <v>1088</v>
      </c>
      <c r="DZ1910" s="543">
        <v>1</v>
      </c>
      <c r="EB1910" s="493"/>
      <c r="EC1910" s="493"/>
    </row>
    <row r="1911" spans="119:133" ht="21" customHeight="1">
      <c r="DO1911" s="494"/>
      <c r="DP1911" s="496" t="s">
        <v>4809</v>
      </c>
      <c r="DQ1911" s="496" t="s">
        <v>241</v>
      </c>
      <c r="DR1911" s="496" t="s">
        <v>689</v>
      </c>
      <c r="DS1911" s="496" t="s">
        <v>181</v>
      </c>
      <c r="DT1911" s="496" t="s">
        <v>181</v>
      </c>
      <c r="DU1911" s="496" t="s">
        <v>1085</v>
      </c>
      <c r="DV1911" s="496" t="s">
        <v>4779</v>
      </c>
      <c r="DW1911" s="496" t="s">
        <v>1087</v>
      </c>
      <c r="DX1911" s="497" t="s">
        <v>1088</v>
      </c>
      <c r="DZ1911" s="543">
        <v>1</v>
      </c>
      <c r="EB1911" s="493"/>
      <c r="EC1911" s="493"/>
    </row>
    <row r="1912" spans="119:133" ht="21" customHeight="1">
      <c r="DO1912" s="494"/>
      <c r="DP1912" s="496" t="s">
        <v>4810</v>
      </c>
      <c r="DQ1912" s="496" t="s">
        <v>241</v>
      </c>
      <c r="DR1912" s="496" t="s">
        <v>689</v>
      </c>
      <c r="DS1912" s="496" t="s">
        <v>190</v>
      </c>
      <c r="DT1912" s="496" t="s">
        <v>190</v>
      </c>
      <c r="DU1912" s="496" t="s">
        <v>1085</v>
      </c>
      <c r="DV1912" s="496" t="s">
        <v>4779</v>
      </c>
      <c r="DW1912" s="496" t="s">
        <v>1087</v>
      </c>
      <c r="DX1912" s="497" t="s">
        <v>1088</v>
      </c>
      <c r="DZ1912" s="543">
        <v>1</v>
      </c>
      <c r="EB1912" s="493"/>
      <c r="EC1912" s="493"/>
    </row>
    <row r="1913" spans="119:133" ht="21" customHeight="1">
      <c r="DO1913" s="494"/>
      <c r="DP1913" s="496" t="s">
        <v>4811</v>
      </c>
      <c r="DQ1913" s="496" t="s">
        <v>241</v>
      </c>
      <c r="DR1913" s="496" t="s">
        <v>689</v>
      </c>
      <c r="DS1913" s="496" t="s">
        <v>4812</v>
      </c>
      <c r="DT1913" s="496" t="s">
        <v>4812</v>
      </c>
      <c r="DU1913" s="496" t="s">
        <v>1151</v>
      </c>
      <c r="DV1913" s="496" t="s">
        <v>1152</v>
      </c>
      <c r="DW1913" s="496" t="s">
        <v>1087</v>
      </c>
      <c r="DX1913" s="497" t="s">
        <v>1153</v>
      </c>
      <c r="DZ1913" s="543">
        <v>1</v>
      </c>
      <c r="EB1913" s="493"/>
      <c r="EC1913" s="493"/>
    </row>
    <row r="1914" spans="119:133" ht="21" customHeight="1">
      <c r="DO1914" s="494"/>
      <c r="DP1914" s="496" t="s">
        <v>4813</v>
      </c>
      <c r="DQ1914" s="496" t="s">
        <v>241</v>
      </c>
      <c r="DR1914" s="496" t="s">
        <v>689</v>
      </c>
      <c r="DS1914" s="496" t="s">
        <v>4814</v>
      </c>
      <c r="DT1914" s="496" t="s">
        <v>4814</v>
      </c>
      <c r="DU1914" s="496" t="s">
        <v>1151</v>
      </c>
      <c r="DV1914" s="496" t="s">
        <v>1152</v>
      </c>
      <c r="DW1914" s="496" t="s">
        <v>1087</v>
      </c>
      <c r="DX1914" s="497" t="s">
        <v>1153</v>
      </c>
      <c r="DZ1914" s="543">
        <v>1</v>
      </c>
      <c r="EB1914" s="493"/>
      <c r="EC1914" s="493"/>
    </row>
    <row r="1915" spans="119:133" ht="21" customHeight="1">
      <c r="DO1915" s="494"/>
      <c r="DP1915" s="496" t="s">
        <v>4815</v>
      </c>
      <c r="DQ1915" s="496" t="s">
        <v>241</v>
      </c>
      <c r="DR1915" s="496" t="s">
        <v>689</v>
      </c>
      <c r="DS1915" s="496" t="s">
        <v>300</v>
      </c>
      <c r="DT1915" s="496" t="s">
        <v>300</v>
      </c>
      <c r="DU1915" s="496" t="s">
        <v>1085</v>
      </c>
      <c r="DV1915" s="496" t="s">
        <v>4779</v>
      </c>
      <c r="DW1915" s="496" t="s">
        <v>1087</v>
      </c>
      <c r="DX1915" s="497" t="s">
        <v>1088</v>
      </c>
      <c r="DZ1915" s="543">
        <v>1</v>
      </c>
      <c r="EB1915" s="493"/>
      <c r="EC1915" s="493"/>
    </row>
    <row r="1916" spans="119:133" ht="21" customHeight="1">
      <c r="DO1916" s="494"/>
      <c r="DP1916" s="496" t="s">
        <v>4816</v>
      </c>
      <c r="DQ1916" s="496" t="s">
        <v>241</v>
      </c>
      <c r="DR1916" s="496" t="s">
        <v>689</v>
      </c>
      <c r="DS1916" s="496" t="s">
        <v>4817</v>
      </c>
      <c r="DT1916" s="496" t="s">
        <v>4817</v>
      </c>
      <c r="DU1916" s="496" t="s">
        <v>1085</v>
      </c>
      <c r="DV1916" s="496" t="s">
        <v>4779</v>
      </c>
      <c r="DW1916" s="496" t="s">
        <v>1087</v>
      </c>
      <c r="DX1916" s="497" t="s">
        <v>1088</v>
      </c>
      <c r="DZ1916" s="543">
        <v>1</v>
      </c>
      <c r="EB1916" s="493"/>
      <c r="EC1916" s="493"/>
    </row>
    <row r="1917" spans="119:133" ht="21" customHeight="1">
      <c r="DO1917" s="494"/>
      <c r="DP1917" s="496" t="s">
        <v>4818</v>
      </c>
      <c r="DQ1917" s="496" t="s">
        <v>241</v>
      </c>
      <c r="DR1917" s="496" t="s">
        <v>689</v>
      </c>
      <c r="DS1917" s="496" t="s">
        <v>196</v>
      </c>
      <c r="DT1917" s="496" t="s">
        <v>196</v>
      </c>
      <c r="DU1917" s="496" t="s">
        <v>1085</v>
      </c>
      <c r="DV1917" s="496" t="s">
        <v>4779</v>
      </c>
      <c r="DW1917" s="496" t="s">
        <v>1087</v>
      </c>
      <c r="DX1917" s="497" t="s">
        <v>1088</v>
      </c>
      <c r="DZ1917" s="543">
        <v>1</v>
      </c>
      <c r="EB1917" s="493"/>
      <c r="EC1917" s="493"/>
    </row>
    <row r="1918" spans="119:133" ht="21" customHeight="1">
      <c r="DO1918" s="494"/>
      <c r="DP1918" s="496" t="s">
        <v>4819</v>
      </c>
      <c r="DQ1918" s="496" t="s">
        <v>241</v>
      </c>
      <c r="DR1918" s="496" t="s">
        <v>689</v>
      </c>
      <c r="DS1918" s="496" t="s">
        <v>200</v>
      </c>
      <c r="DT1918" s="496" t="s">
        <v>200</v>
      </c>
      <c r="DU1918" s="496" t="s">
        <v>1085</v>
      </c>
      <c r="DV1918" s="496" t="s">
        <v>4779</v>
      </c>
      <c r="DW1918" s="496" t="s">
        <v>1087</v>
      </c>
      <c r="DX1918" s="497" t="s">
        <v>1088</v>
      </c>
      <c r="DZ1918" s="543">
        <v>1</v>
      </c>
      <c r="EB1918" s="493"/>
      <c r="EC1918" s="493"/>
    </row>
    <row r="1919" spans="119:133" ht="21" customHeight="1">
      <c r="DO1919" s="494"/>
      <c r="DP1919" s="496" t="s">
        <v>4820</v>
      </c>
      <c r="DQ1919" s="496" t="s">
        <v>241</v>
      </c>
      <c r="DR1919" s="496" t="s">
        <v>689</v>
      </c>
      <c r="DS1919" s="496" t="s">
        <v>203</v>
      </c>
      <c r="DT1919" s="496" t="s">
        <v>203</v>
      </c>
      <c r="DU1919" s="496" t="s">
        <v>1085</v>
      </c>
      <c r="DV1919" s="496" t="s">
        <v>4779</v>
      </c>
      <c r="DW1919" s="496" t="s">
        <v>1087</v>
      </c>
      <c r="DX1919" s="497" t="s">
        <v>1088</v>
      </c>
      <c r="DZ1919" s="543">
        <v>1</v>
      </c>
      <c r="EB1919" s="493"/>
      <c r="EC1919" s="493"/>
    </row>
    <row r="1920" spans="119:133" ht="21" customHeight="1">
      <c r="DO1920" s="494"/>
      <c r="DP1920" s="496" t="s">
        <v>4821</v>
      </c>
      <c r="DQ1920" s="496" t="s">
        <v>241</v>
      </c>
      <c r="DR1920" s="496" t="s">
        <v>689</v>
      </c>
      <c r="DS1920" s="496" t="s">
        <v>206</v>
      </c>
      <c r="DT1920" s="496" t="s">
        <v>206</v>
      </c>
      <c r="DU1920" s="496" t="s">
        <v>1085</v>
      </c>
      <c r="DV1920" s="496" t="s">
        <v>4779</v>
      </c>
      <c r="DW1920" s="496" t="s">
        <v>1087</v>
      </c>
      <c r="DX1920" s="497" t="s">
        <v>1088</v>
      </c>
      <c r="DZ1920" s="543">
        <v>1</v>
      </c>
      <c r="EB1920" s="493"/>
      <c r="EC1920" s="493"/>
    </row>
    <row r="1921" spans="119:133" ht="21" customHeight="1">
      <c r="DO1921" s="494"/>
      <c r="DP1921" s="496" t="s">
        <v>4822</v>
      </c>
      <c r="DQ1921" s="496" t="s">
        <v>241</v>
      </c>
      <c r="DR1921" s="496" t="s">
        <v>689</v>
      </c>
      <c r="DS1921" s="496" t="s">
        <v>209</v>
      </c>
      <c r="DT1921" s="496" t="s">
        <v>209</v>
      </c>
      <c r="DU1921" s="496" t="s">
        <v>1085</v>
      </c>
      <c r="DV1921" s="496" t="s">
        <v>4779</v>
      </c>
      <c r="DW1921" s="496" t="s">
        <v>1087</v>
      </c>
      <c r="DX1921" s="497" t="s">
        <v>1088</v>
      </c>
      <c r="DZ1921" s="543">
        <v>1</v>
      </c>
      <c r="EB1921" s="493"/>
      <c r="EC1921" s="493"/>
    </row>
    <row r="1922" spans="119:133" ht="21" customHeight="1">
      <c r="DO1922" s="494"/>
      <c r="DP1922" s="496" t="s">
        <v>4823</v>
      </c>
      <c r="DQ1922" s="496" t="s">
        <v>241</v>
      </c>
      <c r="DR1922" s="496" t="s">
        <v>689</v>
      </c>
      <c r="DS1922" s="496" t="s">
        <v>301</v>
      </c>
      <c r="DT1922" s="496" t="s">
        <v>212</v>
      </c>
      <c r="DU1922" s="496" t="s">
        <v>1085</v>
      </c>
      <c r="DV1922" s="496" t="s">
        <v>4779</v>
      </c>
      <c r="DW1922" s="496" t="s">
        <v>1087</v>
      </c>
      <c r="DX1922" s="497" t="s">
        <v>1088</v>
      </c>
      <c r="DZ1922" s="543">
        <v>1</v>
      </c>
      <c r="EB1922" s="493"/>
      <c r="EC1922" s="493"/>
    </row>
    <row r="1923" spans="119:133" ht="21" customHeight="1">
      <c r="DO1923" s="494"/>
      <c r="DP1923" s="496" t="s">
        <v>4824</v>
      </c>
      <c r="DQ1923" s="496" t="s">
        <v>241</v>
      </c>
      <c r="DR1923" s="496" t="s">
        <v>689</v>
      </c>
      <c r="DS1923" s="496" t="s">
        <v>4825</v>
      </c>
      <c r="DT1923" s="496" t="s">
        <v>213</v>
      </c>
      <c r="DU1923" s="496" t="s">
        <v>1085</v>
      </c>
      <c r="DV1923" s="496" t="s">
        <v>4779</v>
      </c>
      <c r="DW1923" s="496" t="s">
        <v>1087</v>
      </c>
      <c r="DX1923" s="497" t="s">
        <v>1088</v>
      </c>
      <c r="DZ1923" s="543">
        <v>1</v>
      </c>
      <c r="EB1923" s="493"/>
      <c r="EC1923" s="493"/>
    </row>
    <row r="1924" spans="119:133" ht="21" customHeight="1">
      <c r="DO1924" s="494"/>
      <c r="DP1924" s="496" t="s">
        <v>4826</v>
      </c>
      <c r="DQ1924" s="496" t="s">
        <v>241</v>
      </c>
      <c r="DR1924" s="496" t="s">
        <v>689</v>
      </c>
      <c r="DS1924" s="496" t="s">
        <v>215</v>
      </c>
      <c r="DT1924" s="496" t="s">
        <v>215</v>
      </c>
      <c r="DU1924" s="496" t="s">
        <v>1085</v>
      </c>
      <c r="DV1924" s="496" t="s">
        <v>4779</v>
      </c>
      <c r="DW1924" s="496" t="s">
        <v>1087</v>
      </c>
      <c r="DX1924" s="497" t="s">
        <v>1088</v>
      </c>
      <c r="DZ1924" s="543">
        <v>1</v>
      </c>
      <c r="EB1924" s="493"/>
      <c r="EC1924" s="493"/>
    </row>
    <row r="1925" spans="119:133" ht="21" customHeight="1">
      <c r="DO1925" s="494"/>
      <c r="DP1925" s="496" t="s">
        <v>4827</v>
      </c>
      <c r="DQ1925" s="496" t="s">
        <v>241</v>
      </c>
      <c r="DR1925" s="496" t="s">
        <v>689</v>
      </c>
      <c r="DS1925" s="496" t="s">
        <v>302</v>
      </c>
      <c r="DT1925" s="496" t="s">
        <v>302</v>
      </c>
      <c r="DU1925" s="496" t="s">
        <v>1085</v>
      </c>
      <c r="DV1925" s="496" t="s">
        <v>4779</v>
      </c>
      <c r="DW1925" s="496" t="s">
        <v>1087</v>
      </c>
      <c r="DX1925" s="497" t="s">
        <v>1088</v>
      </c>
      <c r="DZ1925" s="543">
        <v>1</v>
      </c>
      <c r="EB1925" s="493"/>
      <c r="EC1925" s="493"/>
    </row>
    <row r="1926" spans="119:133" ht="21" customHeight="1">
      <c r="DO1926" s="494"/>
      <c r="DP1926" s="496" t="s">
        <v>4828</v>
      </c>
      <c r="DQ1926" s="496" t="s">
        <v>241</v>
      </c>
      <c r="DR1926" s="496" t="s">
        <v>689</v>
      </c>
      <c r="DS1926" s="496" t="s">
        <v>4829</v>
      </c>
      <c r="DT1926" s="496" t="s">
        <v>4829</v>
      </c>
      <c r="DU1926" s="496" t="s">
        <v>1085</v>
      </c>
      <c r="DV1926" s="496" t="s">
        <v>4779</v>
      </c>
      <c r="DW1926" s="496" t="s">
        <v>1087</v>
      </c>
      <c r="DX1926" s="497" t="s">
        <v>1088</v>
      </c>
      <c r="DZ1926" s="543">
        <v>1</v>
      </c>
      <c r="EB1926" s="493"/>
      <c r="EC1926" s="493"/>
    </row>
    <row r="1927" spans="119:133" ht="21" customHeight="1">
      <c r="DO1927" s="494"/>
      <c r="DP1927" s="496" t="s">
        <v>4830</v>
      </c>
      <c r="DQ1927" s="496" t="s">
        <v>241</v>
      </c>
      <c r="DR1927" s="496" t="s">
        <v>689</v>
      </c>
      <c r="DS1927" s="496" t="s">
        <v>4831</v>
      </c>
      <c r="DT1927" s="496" t="s">
        <v>4831</v>
      </c>
      <c r="DU1927" s="496" t="s">
        <v>1085</v>
      </c>
      <c r="DV1927" s="496" t="s">
        <v>4779</v>
      </c>
      <c r="DW1927" s="496" t="s">
        <v>1087</v>
      </c>
      <c r="DX1927" s="497" t="s">
        <v>1088</v>
      </c>
      <c r="DZ1927" s="543">
        <v>1</v>
      </c>
      <c r="EB1927" s="493"/>
      <c r="EC1927" s="493"/>
    </row>
    <row r="1928" spans="119:133" ht="21" customHeight="1">
      <c r="DO1928" s="494"/>
      <c r="DP1928" s="496" t="s">
        <v>4832</v>
      </c>
      <c r="DQ1928" s="496" t="s">
        <v>241</v>
      </c>
      <c r="DR1928" s="496" t="s">
        <v>689</v>
      </c>
      <c r="DS1928" s="496" t="s">
        <v>4833</v>
      </c>
      <c r="DT1928" s="496" t="s">
        <v>303</v>
      </c>
      <c r="DU1928" s="496" t="s">
        <v>1085</v>
      </c>
      <c r="DV1928" s="496" t="s">
        <v>4779</v>
      </c>
      <c r="DW1928" s="496" t="s">
        <v>1087</v>
      </c>
      <c r="DX1928" s="497" t="s">
        <v>1088</v>
      </c>
      <c r="DZ1928" s="543">
        <v>1</v>
      </c>
      <c r="EB1928" s="493"/>
      <c r="EC1928" s="493"/>
    </row>
    <row r="1929" spans="119:133" ht="21" customHeight="1">
      <c r="DO1929" s="494"/>
      <c r="DP1929" s="496" t="s">
        <v>4834</v>
      </c>
      <c r="DQ1929" s="496" t="s">
        <v>241</v>
      </c>
      <c r="DR1929" s="496" t="s">
        <v>689</v>
      </c>
      <c r="DS1929" s="496" t="s">
        <v>4835</v>
      </c>
      <c r="DT1929" s="496" t="s">
        <v>217</v>
      </c>
      <c r="DU1929" s="496" t="s">
        <v>1085</v>
      </c>
      <c r="DV1929" s="496" t="s">
        <v>4779</v>
      </c>
      <c r="DW1929" s="496" t="s">
        <v>1087</v>
      </c>
      <c r="DX1929" s="497" t="s">
        <v>1088</v>
      </c>
      <c r="DZ1929" s="543">
        <v>1</v>
      </c>
      <c r="EB1929" s="493"/>
      <c r="EC1929" s="493"/>
    </row>
    <row r="1930" spans="119:133" ht="21" customHeight="1">
      <c r="DO1930" s="494"/>
      <c r="DP1930" s="496" t="s">
        <v>4836</v>
      </c>
      <c r="DQ1930" s="496" t="s">
        <v>241</v>
      </c>
      <c r="DR1930" s="496" t="s">
        <v>689</v>
      </c>
      <c r="DS1930" s="496" t="s">
        <v>4837</v>
      </c>
      <c r="DT1930" s="496" t="s">
        <v>219</v>
      </c>
      <c r="DU1930" s="496" t="s">
        <v>1085</v>
      </c>
      <c r="DV1930" s="496" t="s">
        <v>4779</v>
      </c>
      <c r="DW1930" s="496" t="s">
        <v>1087</v>
      </c>
      <c r="DX1930" s="497" t="s">
        <v>1088</v>
      </c>
      <c r="DZ1930" s="543">
        <v>1</v>
      </c>
      <c r="EB1930" s="493"/>
      <c r="EC1930" s="493"/>
    </row>
    <row r="1931" spans="119:133" ht="21" customHeight="1">
      <c r="DO1931" s="494"/>
      <c r="DP1931" s="496" t="s">
        <v>4838</v>
      </c>
      <c r="DQ1931" s="496" t="s">
        <v>241</v>
      </c>
      <c r="DR1931" s="496" t="s">
        <v>689</v>
      </c>
      <c r="DS1931" s="496" t="s">
        <v>221</v>
      </c>
      <c r="DT1931" s="496" t="s">
        <v>221</v>
      </c>
      <c r="DU1931" s="496" t="s">
        <v>1151</v>
      </c>
      <c r="DV1931" s="496" t="s">
        <v>1152</v>
      </c>
      <c r="DW1931" s="496" t="s">
        <v>1087</v>
      </c>
      <c r="DX1931" s="497" t="s">
        <v>1153</v>
      </c>
      <c r="DZ1931" s="543">
        <v>1</v>
      </c>
      <c r="EB1931" s="493"/>
      <c r="EC1931" s="493"/>
    </row>
    <row r="1932" spans="119:133" ht="21" customHeight="1">
      <c r="DO1932" s="494"/>
      <c r="DP1932" s="496" t="s">
        <v>4839</v>
      </c>
      <c r="DQ1932" s="496" t="s">
        <v>241</v>
      </c>
      <c r="DR1932" s="496" t="s">
        <v>689</v>
      </c>
      <c r="DS1932" s="496" t="s">
        <v>222</v>
      </c>
      <c r="DT1932" s="496" t="s">
        <v>222</v>
      </c>
      <c r="DU1932" s="496" t="s">
        <v>1085</v>
      </c>
      <c r="DV1932" s="496" t="s">
        <v>4779</v>
      </c>
      <c r="DW1932" s="496" t="s">
        <v>1087</v>
      </c>
      <c r="DX1932" s="497" t="s">
        <v>1088</v>
      </c>
      <c r="DZ1932" s="543">
        <v>1</v>
      </c>
      <c r="EB1932" s="493"/>
      <c r="EC1932" s="493"/>
    </row>
    <row r="1933" spans="119:133" ht="21" customHeight="1">
      <c r="DO1933" s="494"/>
      <c r="DP1933" s="496" t="s">
        <v>4840</v>
      </c>
      <c r="DQ1933" s="496" t="s">
        <v>241</v>
      </c>
      <c r="DR1933" s="496" t="s">
        <v>689</v>
      </c>
      <c r="DS1933" s="496" t="s">
        <v>223</v>
      </c>
      <c r="DT1933" s="496" t="s">
        <v>223</v>
      </c>
      <c r="DU1933" s="496" t="s">
        <v>1085</v>
      </c>
      <c r="DV1933" s="496" t="s">
        <v>4779</v>
      </c>
      <c r="DW1933" s="496" t="s">
        <v>1087</v>
      </c>
      <c r="DX1933" s="497" t="s">
        <v>1088</v>
      </c>
      <c r="DZ1933" s="543">
        <v>1</v>
      </c>
      <c r="EB1933" s="493"/>
      <c r="EC1933" s="493"/>
    </row>
    <row r="1934" spans="119:133" ht="21" customHeight="1">
      <c r="DO1934" s="494"/>
      <c r="DP1934" s="496" t="s">
        <v>4841</v>
      </c>
      <c r="DQ1934" s="496" t="s">
        <v>241</v>
      </c>
      <c r="DR1934" s="496" t="s">
        <v>689</v>
      </c>
      <c r="DS1934" s="496" t="s">
        <v>304</v>
      </c>
      <c r="DT1934" s="496" t="s">
        <v>304</v>
      </c>
      <c r="DU1934" s="496" t="s">
        <v>1151</v>
      </c>
      <c r="DV1934" s="496" t="s">
        <v>1152</v>
      </c>
      <c r="DW1934" s="496" t="s">
        <v>1087</v>
      </c>
      <c r="DX1934" s="497" t="s">
        <v>1153</v>
      </c>
      <c r="DZ1934" s="543">
        <v>1</v>
      </c>
      <c r="EB1934" s="493"/>
      <c r="EC1934" s="493"/>
    </row>
    <row r="1935" spans="119:133" ht="21" customHeight="1">
      <c r="DO1935" s="494"/>
      <c r="DP1935" s="496" t="s">
        <v>4842</v>
      </c>
      <c r="DQ1935" s="496" t="s">
        <v>241</v>
      </c>
      <c r="DR1935" s="496" t="s">
        <v>689</v>
      </c>
      <c r="DS1935" s="496" t="s">
        <v>4843</v>
      </c>
      <c r="DT1935" s="496" t="s">
        <v>4843</v>
      </c>
      <c r="DU1935" s="496" t="s">
        <v>1151</v>
      </c>
      <c r="DV1935" s="496" t="s">
        <v>1152</v>
      </c>
      <c r="DW1935" s="496" t="s">
        <v>1087</v>
      </c>
      <c r="DX1935" s="497" t="s">
        <v>1153</v>
      </c>
      <c r="DZ1935" s="543">
        <v>1</v>
      </c>
      <c r="EB1935" s="493"/>
      <c r="EC1935" s="493"/>
    </row>
    <row r="1936" spans="119:133" ht="21" customHeight="1">
      <c r="DO1936" s="494"/>
      <c r="DP1936" s="496" t="s">
        <v>4844</v>
      </c>
      <c r="DQ1936" s="496" t="s">
        <v>241</v>
      </c>
      <c r="DR1936" s="496" t="s">
        <v>689</v>
      </c>
      <c r="DS1936" s="496" t="s">
        <v>224</v>
      </c>
      <c r="DT1936" s="496" t="s">
        <v>224</v>
      </c>
      <c r="DU1936" s="496" t="s">
        <v>1085</v>
      </c>
      <c r="DV1936" s="496" t="s">
        <v>4779</v>
      </c>
      <c r="DW1936" s="496" t="s">
        <v>1087</v>
      </c>
      <c r="DX1936" s="497" t="s">
        <v>1088</v>
      </c>
      <c r="DZ1936" s="543">
        <v>1</v>
      </c>
      <c r="EB1936" s="493"/>
      <c r="EC1936" s="493"/>
    </row>
    <row r="1937" spans="119:133" ht="21" customHeight="1">
      <c r="DO1937" s="494"/>
      <c r="DP1937" s="496" t="s">
        <v>4845</v>
      </c>
      <c r="DQ1937" s="496" t="s">
        <v>241</v>
      </c>
      <c r="DR1937" s="496" t="s">
        <v>689</v>
      </c>
      <c r="DS1937" s="496" t="s">
        <v>225</v>
      </c>
      <c r="DT1937" s="496" t="s">
        <v>225</v>
      </c>
      <c r="DU1937" s="496" t="s">
        <v>1085</v>
      </c>
      <c r="DV1937" s="496" t="s">
        <v>4779</v>
      </c>
      <c r="DW1937" s="496" t="s">
        <v>1087</v>
      </c>
      <c r="DX1937" s="497" t="s">
        <v>1088</v>
      </c>
      <c r="DZ1937" s="543">
        <v>1</v>
      </c>
      <c r="EB1937" s="493"/>
      <c r="EC1937" s="493"/>
    </row>
    <row r="1938" spans="119:133" ht="21" customHeight="1">
      <c r="DO1938" s="494"/>
      <c r="DP1938" s="496" t="s">
        <v>4846</v>
      </c>
      <c r="DQ1938" s="496" t="s">
        <v>241</v>
      </c>
      <c r="DR1938" s="496" t="s">
        <v>689</v>
      </c>
      <c r="DS1938" s="496" t="s">
        <v>4847</v>
      </c>
      <c r="DT1938" s="496" t="s">
        <v>4847</v>
      </c>
      <c r="DU1938" s="496" t="s">
        <v>1085</v>
      </c>
      <c r="DV1938" s="496" t="s">
        <v>4779</v>
      </c>
      <c r="DW1938" s="496" t="s">
        <v>1087</v>
      </c>
      <c r="DX1938" s="497" t="s">
        <v>1088</v>
      </c>
      <c r="DZ1938" s="543">
        <v>1</v>
      </c>
      <c r="EB1938" s="493"/>
      <c r="EC1938" s="493"/>
    </row>
    <row r="1939" spans="119:133" ht="21" customHeight="1">
      <c r="DO1939" s="494"/>
      <c r="DP1939" s="496" t="s">
        <v>4848</v>
      </c>
      <c r="DQ1939" s="496" t="s">
        <v>241</v>
      </c>
      <c r="DR1939" s="496" t="s">
        <v>689</v>
      </c>
      <c r="DS1939" s="496" t="s">
        <v>4849</v>
      </c>
      <c r="DT1939" s="496" t="s">
        <v>4849</v>
      </c>
      <c r="DU1939" s="496" t="s">
        <v>1085</v>
      </c>
      <c r="DV1939" s="496" t="s">
        <v>4779</v>
      </c>
      <c r="DW1939" s="496" t="s">
        <v>1087</v>
      </c>
      <c r="DX1939" s="497" t="s">
        <v>1088</v>
      </c>
      <c r="DZ1939" s="543">
        <v>1</v>
      </c>
      <c r="EB1939" s="493"/>
      <c r="EC1939" s="493"/>
    </row>
    <row r="1940" spans="119:133" ht="21" customHeight="1">
      <c r="DO1940" s="494"/>
      <c r="DP1940" s="496" t="s">
        <v>4850</v>
      </c>
      <c r="DQ1940" s="496" t="s">
        <v>241</v>
      </c>
      <c r="DR1940" s="496" t="s">
        <v>689</v>
      </c>
      <c r="DS1940" s="496" t="s">
        <v>4851</v>
      </c>
      <c r="DT1940" s="496" t="s">
        <v>305</v>
      </c>
      <c r="DU1940" s="496" t="s">
        <v>1085</v>
      </c>
      <c r="DV1940" s="496" t="s">
        <v>4779</v>
      </c>
      <c r="DW1940" s="496" t="s">
        <v>1087</v>
      </c>
      <c r="DX1940" s="497" t="s">
        <v>1088</v>
      </c>
      <c r="DZ1940" s="543">
        <v>1</v>
      </c>
      <c r="EB1940" s="493"/>
      <c r="EC1940" s="493"/>
    </row>
    <row r="1941" spans="119:133" ht="21" customHeight="1">
      <c r="DO1941" s="494"/>
      <c r="DP1941" s="496" t="s">
        <v>4852</v>
      </c>
      <c r="DQ1941" s="496" t="s">
        <v>241</v>
      </c>
      <c r="DR1941" s="496" t="s">
        <v>689</v>
      </c>
      <c r="DS1941" s="496" t="s">
        <v>4853</v>
      </c>
      <c r="DT1941" s="496" t="s">
        <v>4854</v>
      </c>
      <c r="DU1941" s="496" t="s">
        <v>1085</v>
      </c>
      <c r="DV1941" s="496" t="s">
        <v>4779</v>
      </c>
      <c r="DW1941" s="496" t="s">
        <v>1087</v>
      </c>
      <c r="DX1941" s="497" t="s">
        <v>1088</v>
      </c>
      <c r="DZ1941" s="543">
        <v>1</v>
      </c>
      <c r="EB1941" s="493"/>
      <c r="EC1941" s="493"/>
    </row>
    <row r="1942" spans="119:133" ht="21" customHeight="1">
      <c r="DO1942" s="494"/>
      <c r="DP1942" s="496" t="s">
        <v>4855</v>
      </c>
      <c r="DQ1942" s="496" t="s">
        <v>241</v>
      </c>
      <c r="DR1942" s="496" t="s">
        <v>689</v>
      </c>
      <c r="DS1942" s="496" t="s">
        <v>4856</v>
      </c>
      <c r="DT1942" s="496" t="s">
        <v>4857</v>
      </c>
      <c r="DU1942" s="496" t="s">
        <v>1085</v>
      </c>
      <c r="DV1942" s="496" t="s">
        <v>4779</v>
      </c>
      <c r="DW1942" s="496" t="s">
        <v>1087</v>
      </c>
      <c r="DX1942" s="497" t="s">
        <v>1088</v>
      </c>
      <c r="DZ1942" s="543">
        <v>1</v>
      </c>
      <c r="EB1942" s="493"/>
      <c r="EC1942" s="493"/>
    </row>
    <row r="1943" spans="119:133" ht="21" customHeight="1">
      <c r="DO1943" s="494"/>
      <c r="DP1943" s="496" t="s">
        <v>4858</v>
      </c>
      <c r="DQ1943" s="496" t="s">
        <v>241</v>
      </c>
      <c r="DR1943" s="496" t="s">
        <v>689</v>
      </c>
      <c r="DS1943" s="496" t="s">
        <v>4859</v>
      </c>
      <c r="DT1943" s="496" t="s">
        <v>4860</v>
      </c>
      <c r="DU1943" s="496" t="s">
        <v>1085</v>
      </c>
      <c r="DV1943" s="496" t="s">
        <v>4779</v>
      </c>
      <c r="DW1943" s="496" t="s">
        <v>1087</v>
      </c>
      <c r="DX1943" s="497" t="s">
        <v>1088</v>
      </c>
      <c r="DZ1943" s="543">
        <v>1</v>
      </c>
      <c r="EB1943" s="493"/>
      <c r="EC1943" s="493"/>
    </row>
    <row r="1944" spans="119:133" ht="21" customHeight="1">
      <c r="DO1944" s="494"/>
      <c r="DP1944" s="496" t="s">
        <v>4861</v>
      </c>
      <c r="DQ1944" s="496" t="s">
        <v>241</v>
      </c>
      <c r="DR1944" s="496" t="s">
        <v>689</v>
      </c>
      <c r="DS1944" s="496" t="s">
        <v>306</v>
      </c>
      <c r="DT1944" s="496" t="s">
        <v>306</v>
      </c>
      <c r="DU1944" s="496" t="s">
        <v>1151</v>
      </c>
      <c r="DV1944" s="496" t="s">
        <v>1152</v>
      </c>
      <c r="DW1944" s="496" t="s">
        <v>1087</v>
      </c>
      <c r="DX1944" s="497" t="s">
        <v>1153</v>
      </c>
      <c r="DZ1944" s="543">
        <v>1</v>
      </c>
      <c r="EB1944" s="493"/>
      <c r="EC1944" s="493"/>
    </row>
    <row r="1945" spans="119:133" ht="21" customHeight="1">
      <c r="DO1945" s="494"/>
      <c r="DP1945" s="496" t="s">
        <v>4862</v>
      </c>
      <c r="DQ1945" s="496" t="s">
        <v>241</v>
      </c>
      <c r="DR1945" s="496" t="s">
        <v>689</v>
      </c>
      <c r="DS1945" s="496" t="s">
        <v>4863</v>
      </c>
      <c r="DT1945" s="496" t="s">
        <v>4863</v>
      </c>
      <c r="DU1945" s="496" t="s">
        <v>1151</v>
      </c>
      <c r="DV1945" s="496" t="s">
        <v>1152</v>
      </c>
      <c r="DW1945" s="496" t="s">
        <v>1087</v>
      </c>
      <c r="DX1945" s="497" t="s">
        <v>1153</v>
      </c>
      <c r="DZ1945" s="543">
        <v>1</v>
      </c>
      <c r="EB1945" s="493"/>
      <c r="EC1945" s="493"/>
    </row>
    <row r="1946" spans="119:133" ht="21" customHeight="1">
      <c r="DO1946" s="494"/>
      <c r="DP1946" s="496" t="s">
        <v>4864</v>
      </c>
      <c r="DQ1946" s="496" t="s">
        <v>241</v>
      </c>
      <c r="DR1946" s="496" t="s">
        <v>690</v>
      </c>
      <c r="DS1946" s="496" t="s">
        <v>998</v>
      </c>
      <c r="DT1946" s="496" t="s">
        <v>998</v>
      </c>
      <c r="DU1946" s="496" t="s">
        <v>1085</v>
      </c>
      <c r="DV1946" s="496" t="s">
        <v>4542</v>
      </c>
      <c r="DW1946" s="496" t="s">
        <v>1087</v>
      </c>
      <c r="DX1946" s="497" t="s">
        <v>1088</v>
      </c>
      <c r="DZ1946" s="543">
        <v>1</v>
      </c>
      <c r="EB1946" s="493"/>
      <c r="EC1946" s="493"/>
    </row>
    <row r="1947" spans="119:133" ht="21" customHeight="1">
      <c r="DO1947" s="494"/>
      <c r="DP1947" s="496" t="s">
        <v>4865</v>
      </c>
      <c r="DQ1947" s="496" t="s">
        <v>241</v>
      </c>
      <c r="DR1947" s="496" t="s">
        <v>690</v>
      </c>
      <c r="DS1947" s="496" t="s">
        <v>999</v>
      </c>
      <c r="DT1947" s="496" t="s">
        <v>999</v>
      </c>
      <c r="DU1947" s="496" t="s">
        <v>1085</v>
      </c>
      <c r="DV1947" s="496" t="s">
        <v>4542</v>
      </c>
      <c r="DW1947" s="496" t="s">
        <v>1087</v>
      </c>
      <c r="DX1947" s="497" t="s">
        <v>1088</v>
      </c>
      <c r="DZ1947" s="543">
        <v>1</v>
      </c>
      <c r="EB1947" s="493"/>
      <c r="EC1947" s="493"/>
    </row>
    <row r="1948" spans="119:133" ht="21" customHeight="1">
      <c r="DO1948" s="494"/>
      <c r="DP1948" s="496" t="s">
        <v>4866</v>
      </c>
      <c r="DQ1948" s="496" t="s">
        <v>241</v>
      </c>
      <c r="DR1948" s="496" t="s">
        <v>690</v>
      </c>
      <c r="DS1948" s="496" t="s">
        <v>4867</v>
      </c>
      <c r="DT1948" s="496" t="s">
        <v>98</v>
      </c>
      <c r="DU1948" s="496" t="s">
        <v>1085</v>
      </c>
      <c r="DV1948" s="496" t="s">
        <v>4542</v>
      </c>
      <c r="DW1948" s="496" t="s">
        <v>1087</v>
      </c>
      <c r="DX1948" s="497" t="s">
        <v>1088</v>
      </c>
      <c r="DZ1948" s="543">
        <v>1</v>
      </c>
      <c r="EB1948" s="493"/>
      <c r="EC1948" s="493"/>
    </row>
    <row r="1949" spans="119:133" ht="21" customHeight="1">
      <c r="DO1949" s="494"/>
      <c r="DP1949" s="496" t="s">
        <v>4868</v>
      </c>
      <c r="DQ1949" s="496" t="s">
        <v>241</v>
      </c>
      <c r="DR1949" s="496" t="s">
        <v>690</v>
      </c>
      <c r="DS1949" s="496" t="s">
        <v>4869</v>
      </c>
      <c r="DT1949" s="496" t="s">
        <v>139</v>
      </c>
      <c r="DU1949" s="496" t="s">
        <v>1085</v>
      </c>
      <c r="DV1949" s="496" t="s">
        <v>4542</v>
      </c>
      <c r="DW1949" s="496" t="s">
        <v>1087</v>
      </c>
      <c r="DX1949" s="497" t="s">
        <v>1088</v>
      </c>
      <c r="DZ1949" s="543">
        <v>1</v>
      </c>
      <c r="EB1949" s="493"/>
      <c r="EC1949" s="493"/>
    </row>
    <row r="1950" spans="119:133" ht="21" customHeight="1">
      <c r="DO1950" s="494"/>
      <c r="DP1950" s="496" t="s">
        <v>4870</v>
      </c>
      <c r="DQ1950" s="496" t="s">
        <v>241</v>
      </c>
      <c r="DR1950" s="496" t="s">
        <v>690</v>
      </c>
      <c r="DS1950" s="496" t="s">
        <v>4579</v>
      </c>
      <c r="DT1950" s="496" t="s">
        <v>79</v>
      </c>
      <c r="DU1950" s="496" t="s">
        <v>1085</v>
      </c>
      <c r="DV1950" s="496" t="s">
        <v>4542</v>
      </c>
      <c r="DW1950" s="496" t="s">
        <v>1087</v>
      </c>
      <c r="DX1950" s="497" t="s">
        <v>1088</v>
      </c>
      <c r="DZ1950" s="543">
        <v>1</v>
      </c>
      <c r="EB1950" s="493"/>
      <c r="EC1950" s="493"/>
    </row>
    <row r="1951" spans="119:133" ht="21" customHeight="1">
      <c r="DO1951" s="494"/>
      <c r="DP1951" s="496" t="s">
        <v>4871</v>
      </c>
      <c r="DQ1951" s="496" t="s">
        <v>241</v>
      </c>
      <c r="DR1951" s="496" t="s">
        <v>690</v>
      </c>
      <c r="DS1951" s="496" t="s">
        <v>4872</v>
      </c>
      <c r="DT1951" s="496" t="s">
        <v>4872</v>
      </c>
      <c r="DU1951" s="496" t="s">
        <v>1085</v>
      </c>
      <c r="DV1951" s="496" t="s">
        <v>4542</v>
      </c>
      <c r="DW1951" s="496" t="s">
        <v>1087</v>
      </c>
      <c r="DX1951" s="497" t="s">
        <v>1088</v>
      </c>
      <c r="DZ1951" s="543">
        <v>1</v>
      </c>
      <c r="EB1951" s="493"/>
      <c r="EC1951" s="493"/>
    </row>
    <row r="1952" spans="119:133" ht="21" customHeight="1">
      <c r="DO1952" s="494"/>
      <c r="DP1952" s="496" t="s">
        <v>4873</v>
      </c>
      <c r="DQ1952" s="496" t="s">
        <v>241</v>
      </c>
      <c r="DR1952" s="496" t="s">
        <v>690</v>
      </c>
      <c r="DS1952" s="496" t="s">
        <v>4874</v>
      </c>
      <c r="DT1952" s="496" t="s">
        <v>4874</v>
      </c>
      <c r="DU1952" s="496" t="s">
        <v>1085</v>
      </c>
      <c r="DV1952" s="496" t="s">
        <v>4542</v>
      </c>
      <c r="DW1952" s="496" t="s">
        <v>1087</v>
      </c>
      <c r="DX1952" s="497" t="s">
        <v>1088</v>
      </c>
      <c r="DZ1952" s="543">
        <v>1</v>
      </c>
      <c r="EB1952" s="493"/>
      <c r="EC1952" s="493"/>
    </row>
    <row r="1953" spans="119:133" ht="21" customHeight="1">
      <c r="DO1953" s="494"/>
      <c r="DP1953" s="496" t="s">
        <v>4875</v>
      </c>
      <c r="DQ1953" s="496" t="s">
        <v>241</v>
      </c>
      <c r="DR1953" s="496" t="s">
        <v>690</v>
      </c>
      <c r="DS1953" s="496" t="s">
        <v>72</v>
      </c>
      <c r="DT1953" s="496" t="s">
        <v>72</v>
      </c>
      <c r="DU1953" s="496" t="s">
        <v>1085</v>
      </c>
      <c r="DV1953" s="496" t="s">
        <v>4542</v>
      </c>
      <c r="DW1953" s="496" t="s">
        <v>1087</v>
      </c>
      <c r="DX1953" s="497" t="s">
        <v>1088</v>
      </c>
      <c r="DZ1953" s="543">
        <v>1</v>
      </c>
      <c r="EB1953" s="493"/>
      <c r="EC1953" s="493"/>
    </row>
    <row r="1954" spans="119:133" ht="21" customHeight="1">
      <c r="DO1954" s="494"/>
      <c r="DP1954" s="496" t="s">
        <v>4876</v>
      </c>
      <c r="DQ1954" s="496" t="s">
        <v>241</v>
      </c>
      <c r="DR1954" s="496" t="s">
        <v>690</v>
      </c>
      <c r="DS1954" s="496" t="s">
        <v>124</v>
      </c>
      <c r="DT1954" s="496" t="s">
        <v>124</v>
      </c>
      <c r="DU1954" s="496" t="s">
        <v>1085</v>
      </c>
      <c r="DV1954" s="496" t="s">
        <v>4542</v>
      </c>
      <c r="DW1954" s="496" t="s">
        <v>1087</v>
      </c>
      <c r="DX1954" s="497" t="s">
        <v>1088</v>
      </c>
      <c r="DZ1954" s="543">
        <v>1</v>
      </c>
      <c r="EB1954" s="493"/>
      <c r="EC1954" s="493"/>
    </row>
    <row r="1955" spans="119:133" ht="21" customHeight="1">
      <c r="DO1955" s="494"/>
      <c r="DP1955" s="496" t="s">
        <v>4877</v>
      </c>
      <c r="DQ1955" s="496" t="s">
        <v>241</v>
      </c>
      <c r="DR1955" s="496" t="s">
        <v>690</v>
      </c>
      <c r="DS1955" s="496" t="s">
        <v>113</v>
      </c>
      <c r="DT1955" s="496" t="s">
        <v>113</v>
      </c>
      <c r="DU1955" s="496" t="s">
        <v>1085</v>
      </c>
      <c r="DV1955" s="496" t="s">
        <v>4542</v>
      </c>
      <c r="DW1955" s="496" t="s">
        <v>1087</v>
      </c>
      <c r="DX1955" s="497" t="s">
        <v>1088</v>
      </c>
      <c r="DZ1955" s="543">
        <v>1</v>
      </c>
      <c r="EB1955" s="493"/>
      <c r="EC1955" s="493"/>
    </row>
    <row r="1956" spans="119:133" ht="21" customHeight="1">
      <c r="DO1956" s="494"/>
      <c r="DP1956" s="496" t="s">
        <v>4878</v>
      </c>
      <c r="DQ1956" s="496" t="s">
        <v>241</v>
      </c>
      <c r="DR1956" s="496" t="s">
        <v>690</v>
      </c>
      <c r="DS1956" s="496" t="s">
        <v>126</v>
      </c>
      <c r="DT1956" s="496" t="s">
        <v>126</v>
      </c>
      <c r="DU1956" s="496" t="s">
        <v>1085</v>
      </c>
      <c r="DV1956" s="496" t="s">
        <v>4542</v>
      </c>
      <c r="DW1956" s="496" t="s">
        <v>1087</v>
      </c>
      <c r="DX1956" s="497" t="s">
        <v>1088</v>
      </c>
      <c r="DZ1956" s="543">
        <v>1</v>
      </c>
      <c r="EB1956" s="493"/>
      <c r="EC1956" s="493"/>
    </row>
    <row r="1957" spans="119:133" ht="21" customHeight="1">
      <c r="DO1957" s="494"/>
      <c r="DP1957" s="496" t="s">
        <v>4879</v>
      </c>
      <c r="DQ1957" s="496" t="s">
        <v>241</v>
      </c>
      <c r="DR1957" s="496" t="s">
        <v>690</v>
      </c>
      <c r="DS1957" s="496" t="s">
        <v>163</v>
      </c>
      <c r="DT1957" s="496" t="s">
        <v>163</v>
      </c>
      <c r="DU1957" s="496" t="s">
        <v>1085</v>
      </c>
      <c r="DV1957" s="496" t="s">
        <v>4542</v>
      </c>
      <c r="DW1957" s="496" t="s">
        <v>1087</v>
      </c>
      <c r="DX1957" s="497" t="s">
        <v>1088</v>
      </c>
      <c r="DZ1957" s="543">
        <v>1</v>
      </c>
      <c r="EB1957" s="493"/>
      <c r="EC1957" s="493"/>
    </row>
    <row r="1958" spans="119:133" ht="21" customHeight="1">
      <c r="DO1958" s="494"/>
      <c r="DP1958" s="496" t="s">
        <v>4880</v>
      </c>
      <c r="DQ1958" s="496" t="s">
        <v>241</v>
      </c>
      <c r="DR1958" s="496" t="s">
        <v>690</v>
      </c>
      <c r="DS1958" s="496" t="s">
        <v>4881</v>
      </c>
      <c r="DT1958" s="496" t="s">
        <v>4882</v>
      </c>
      <c r="DU1958" s="496" t="s">
        <v>1085</v>
      </c>
      <c r="DV1958" s="496" t="s">
        <v>4542</v>
      </c>
      <c r="DW1958" s="496" t="s">
        <v>1087</v>
      </c>
      <c r="DX1958" s="497" t="s">
        <v>1088</v>
      </c>
      <c r="DZ1958" s="543">
        <v>1</v>
      </c>
      <c r="EB1958" s="493"/>
      <c r="EC1958" s="493"/>
    </row>
    <row r="1959" spans="119:133" ht="21" customHeight="1">
      <c r="DO1959" s="494"/>
      <c r="DP1959" s="496" t="s">
        <v>4883</v>
      </c>
      <c r="DQ1959" s="496" t="s">
        <v>241</v>
      </c>
      <c r="DR1959" s="496" t="s">
        <v>690</v>
      </c>
      <c r="DS1959" s="496" t="s">
        <v>60</v>
      </c>
      <c r="DT1959" s="496" t="s">
        <v>60</v>
      </c>
      <c r="DU1959" s="496" t="s">
        <v>1085</v>
      </c>
      <c r="DV1959" s="496" t="s">
        <v>4542</v>
      </c>
      <c r="DW1959" s="496" t="s">
        <v>1087</v>
      </c>
      <c r="DX1959" s="497" t="s">
        <v>1088</v>
      </c>
      <c r="DZ1959" s="543">
        <v>1</v>
      </c>
      <c r="EB1959" s="493"/>
      <c r="EC1959" s="493"/>
    </row>
    <row r="1960" spans="119:133" ht="21" customHeight="1">
      <c r="DO1960" s="494"/>
      <c r="DP1960" s="496" t="s">
        <v>4884</v>
      </c>
      <c r="DQ1960" s="496" t="s">
        <v>241</v>
      </c>
      <c r="DR1960" s="496" t="s">
        <v>690</v>
      </c>
      <c r="DS1960" s="496" t="s">
        <v>4885</v>
      </c>
      <c r="DT1960" s="496" t="s">
        <v>4885</v>
      </c>
      <c r="DU1960" s="496" t="s">
        <v>1085</v>
      </c>
      <c r="DV1960" s="496" t="s">
        <v>4542</v>
      </c>
      <c r="DW1960" s="496" t="s">
        <v>1087</v>
      </c>
      <c r="DX1960" s="497" t="s">
        <v>1088</v>
      </c>
      <c r="DZ1960" s="543">
        <v>1</v>
      </c>
      <c r="EB1960" s="493"/>
      <c r="EC1960" s="493"/>
    </row>
    <row r="1961" spans="119:133" ht="21" customHeight="1">
      <c r="DO1961" s="494"/>
      <c r="DP1961" s="496" t="s">
        <v>4886</v>
      </c>
      <c r="DQ1961" s="496" t="s">
        <v>241</v>
      </c>
      <c r="DR1961" s="496" t="s">
        <v>690</v>
      </c>
      <c r="DS1961" s="496" t="s">
        <v>4887</v>
      </c>
      <c r="DT1961" s="496" t="s">
        <v>4887</v>
      </c>
      <c r="DU1961" s="496" t="s">
        <v>1085</v>
      </c>
      <c r="DV1961" s="496" t="s">
        <v>4542</v>
      </c>
      <c r="DW1961" s="496" t="s">
        <v>1087</v>
      </c>
      <c r="DX1961" s="497" t="s">
        <v>1088</v>
      </c>
      <c r="DZ1961" s="543">
        <v>1</v>
      </c>
      <c r="EB1961" s="493"/>
      <c r="EC1961" s="493"/>
    </row>
    <row r="1962" spans="119:133" ht="21" customHeight="1">
      <c r="DO1962" s="494"/>
      <c r="DP1962" s="496" t="s">
        <v>4888</v>
      </c>
      <c r="DQ1962" s="496" t="s">
        <v>241</v>
      </c>
      <c r="DR1962" s="496" t="s">
        <v>690</v>
      </c>
      <c r="DS1962" s="496" t="s">
        <v>53</v>
      </c>
      <c r="DT1962" s="496" t="s">
        <v>53</v>
      </c>
      <c r="DU1962" s="496" t="s">
        <v>1085</v>
      </c>
      <c r="DV1962" s="496" t="s">
        <v>4542</v>
      </c>
      <c r="DW1962" s="496" t="s">
        <v>1087</v>
      </c>
      <c r="DX1962" s="497" t="s">
        <v>1088</v>
      </c>
      <c r="DZ1962" s="543">
        <v>1</v>
      </c>
      <c r="EB1962" s="493"/>
      <c r="EC1962" s="493"/>
    </row>
    <row r="1963" spans="119:133" ht="21" customHeight="1">
      <c r="DO1963" s="494"/>
      <c r="DP1963" s="496" t="s">
        <v>4889</v>
      </c>
      <c r="DQ1963" s="496" t="s">
        <v>241</v>
      </c>
      <c r="DR1963" s="496" t="s">
        <v>690</v>
      </c>
      <c r="DS1963" s="496" t="s">
        <v>28</v>
      </c>
      <c r="DT1963" s="496" t="s">
        <v>28</v>
      </c>
      <c r="DU1963" s="496" t="s">
        <v>1085</v>
      </c>
      <c r="DV1963" s="496" t="s">
        <v>4542</v>
      </c>
      <c r="DW1963" s="496" t="s">
        <v>1087</v>
      </c>
      <c r="DX1963" s="497" t="s">
        <v>1088</v>
      </c>
      <c r="DZ1963" s="543">
        <v>1</v>
      </c>
      <c r="EB1963" s="493"/>
      <c r="EC1963" s="493"/>
    </row>
    <row r="1964" spans="119:133" ht="21" customHeight="1">
      <c r="DO1964" s="494"/>
      <c r="DP1964" s="496" t="s">
        <v>4890</v>
      </c>
      <c r="DQ1964" s="496" t="s">
        <v>241</v>
      </c>
      <c r="DR1964" s="496" t="s">
        <v>690</v>
      </c>
      <c r="DS1964" s="496" t="s">
        <v>39</v>
      </c>
      <c r="DT1964" s="496" t="s">
        <v>39</v>
      </c>
      <c r="DU1964" s="496" t="s">
        <v>1085</v>
      </c>
      <c r="DV1964" s="496" t="s">
        <v>4542</v>
      </c>
      <c r="DW1964" s="496" t="s">
        <v>1087</v>
      </c>
      <c r="DX1964" s="497" t="s">
        <v>1088</v>
      </c>
      <c r="DZ1964" s="543">
        <v>1</v>
      </c>
      <c r="EB1964" s="493"/>
      <c r="EC1964" s="493"/>
    </row>
    <row r="1965" spans="119:133" ht="21" customHeight="1">
      <c r="DO1965" s="494"/>
      <c r="DP1965" s="496" t="s">
        <v>4891</v>
      </c>
      <c r="DQ1965" s="496" t="s">
        <v>241</v>
      </c>
      <c r="DR1965" s="496" t="s">
        <v>690</v>
      </c>
      <c r="DS1965" s="496" t="s">
        <v>4892</v>
      </c>
      <c r="DT1965" s="496" t="s">
        <v>4892</v>
      </c>
      <c r="DU1965" s="496" t="s">
        <v>1085</v>
      </c>
      <c r="DV1965" s="496" t="s">
        <v>4542</v>
      </c>
      <c r="DW1965" s="496" t="s">
        <v>1087</v>
      </c>
      <c r="DX1965" s="497" t="s">
        <v>1088</v>
      </c>
      <c r="DZ1965" s="543">
        <v>1</v>
      </c>
      <c r="EB1965" s="493"/>
      <c r="EC1965" s="493"/>
    </row>
    <row r="1966" spans="119:133" ht="21" customHeight="1">
      <c r="DO1966" s="494"/>
      <c r="DP1966" s="496" t="s">
        <v>4893</v>
      </c>
      <c r="DQ1966" s="496" t="s">
        <v>241</v>
      </c>
      <c r="DR1966" s="496" t="s">
        <v>690</v>
      </c>
      <c r="DS1966" s="496" t="s">
        <v>4894</v>
      </c>
      <c r="DT1966" s="496" t="s">
        <v>4894</v>
      </c>
      <c r="DU1966" s="496" t="s">
        <v>1085</v>
      </c>
      <c r="DV1966" s="496" t="s">
        <v>4542</v>
      </c>
      <c r="DW1966" s="496" t="s">
        <v>1087</v>
      </c>
      <c r="DX1966" s="497" t="s">
        <v>1088</v>
      </c>
      <c r="DZ1966" s="543">
        <v>1</v>
      </c>
      <c r="EB1966" s="493"/>
      <c r="EC1966" s="493"/>
    </row>
    <row r="1967" spans="119:133" ht="21" customHeight="1">
      <c r="DO1967" s="494"/>
      <c r="DP1967" s="496" t="s">
        <v>4895</v>
      </c>
      <c r="DQ1967" s="496" t="s">
        <v>241</v>
      </c>
      <c r="DR1967" s="496" t="s">
        <v>690</v>
      </c>
      <c r="DS1967" s="496" t="s">
        <v>104</v>
      </c>
      <c r="DT1967" s="496" t="s">
        <v>104</v>
      </c>
      <c r="DU1967" s="496" t="s">
        <v>1085</v>
      </c>
      <c r="DV1967" s="496" t="s">
        <v>4542</v>
      </c>
      <c r="DW1967" s="496" t="s">
        <v>1087</v>
      </c>
      <c r="DX1967" s="497" t="s">
        <v>1088</v>
      </c>
      <c r="DZ1967" s="543">
        <v>1</v>
      </c>
      <c r="EB1967" s="493"/>
      <c r="EC1967" s="493"/>
    </row>
    <row r="1968" spans="119:133" ht="21" customHeight="1">
      <c r="DO1968" s="494"/>
      <c r="DP1968" s="496" t="s">
        <v>4896</v>
      </c>
      <c r="DQ1968" s="496" t="s">
        <v>241</v>
      </c>
      <c r="DR1968" s="496" t="s">
        <v>690</v>
      </c>
      <c r="DS1968" s="496" t="s">
        <v>4897</v>
      </c>
      <c r="DT1968" s="496" t="s">
        <v>4897</v>
      </c>
      <c r="DU1968" s="496" t="s">
        <v>1085</v>
      </c>
      <c r="DV1968" s="496" t="s">
        <v>4542</v>
      </c>
      <c r="DW1968" s="496" t="s">
        <v>1087</v>
      </c>
      <c r="DX1968" s="497" t="s">
        <v>1088</v>
      </c>
      <c r="DZ1968" s="543">
        <v>1</v>
      </c>
      <c r="EB1968" s="493"/>
      <c r="EC1968" s="493"/>
    </row>
    <row r="1969" spans="119:133" ht="21" customHeight="1">
      <c r="DO1969" s="494"/>
      <c r="DP1969" s="496" t="s">
        <v>4898</v>
      </c>
      <c r="DQ1969" s="496" t="s">
        <v>241</v>
      </c>
      <c r="DR1969" s="496" t="s">
        <v>1511</v>
      </c>
      <c r="DS1969" s="496" t="s">
        <v>4899</v>
      </c>
      <c r="DT1969" s="496" t="s">
        <v>4899</v>
      </c>
      <c r="DU1969" s="496" t="s">
        <v>1085</v>
      </c>
      <c r="DV1969" s="496" t="s">
        <v>3799</v>
      </c>
      <c r="DW1969" s="496" t="s">
        <v>1087</v>
      </c>
      <c r="DX1969" s="497" t="s">
        <v>1088</v>
      </c>
      <c r="DZ1969" s="543">
        <v>1</v>
      </c>
      <c r="EB1969" s="493"/>
      <c r="EC1969" s="493"/>
    </row>
    <row r="1970" spans="119:133" ht="21" customHeight="1">
      <c r="DO1970" s="494"/>
      <c r="DP1970" s="496" t="s">
        <v>4900</v>
      </c>
      <c r="DQ1970" s="496" t="s">
        <v>241</v>
      </c>
      <c r="DR1970" s="496" t="s">
        <v>1511</v>
      </c>
      <c r="DS1970" s="496" t="s">
        <v>4901</v>
      </c>
      <c r="DT1970" s="496" t="s">
        <v>4902</v>
      </c>
      <c r="DU1970" s="496" t="s">
        <v>1085</v>
      </c>
      <c r="DV1970" s="496" t="s">
        <v>3799</v>
      </c>
      <c r="DW1970" s="496" t="s">
        <v>1087</v>
      </c>
      <c r="DX1970" s="497" t="s">
        <v>1088</v>
      </c>
      <c r="DZ1970" s="543">
        <v>1</v>
      </c>
      <c r="EB1970" s="493"/>
      <c r="EC1970" s="493"/>
    </row>
    <row r="1971" spans="119:133" ht="21" customHeight="1">
      <c r="DO1971" s="494"/>
      <c r="DP1971" s="496" t="s">
        <v>4903</v>
      </c>
      <c r="DQ1971" s="496" t="s">
        <v>241</v>
      </c>
      <c r="DR1971" s="496" t="s">
        <v>1511</v>
      </c>
      <c r="DS1971" s="496" t="s">
        <v>4904</v>
      </c>
      <c r="DT1971" s="496" t="s">
        <v>4904</v>
      </c>
      <c r="DU1971" s="496" t="s">
        <v>1085</v>
      </c>
      <c r="DV1971" s="496" t="s">
        <v>3799</v>
      </c>
      <c r="DW1971" s="496" t="s">
        <v>1087</v>
      </c>
      <c r="DX1971" s="497" t="s">
        <v>1088</v>
      </c>
      <c r="DZ1971" s="543">
        <v>1</v>
      </c>
      <c r="EB1971" s="493"/>
      <c r="EC1971" s="493"/>
    </row>
    <row r="1972" spans="119:133" ht="21" customHeight="1">
      <c r="DO1972" s="494"/>
      <c r="DP1972" s="496" t="s">
        <v>4905</v>
      </c>
      <c r="DQ1972" s="496" t="s">
        <v>241</v>
      </c>
      <c r="DR1972" s="496" t="s">
        <v>1511</v>
      </c>
      <c r="DS1972" s="496" t="s">
        <v>876</v>
      </c>
      <c r="DT1972" s="496" t="s">
        <v>876</v>
      </c>
      <c r="DU1972" s="496" t="s">
        <v>1085</v>
      </c>
      <c r="DV1972" s="496" t="s">
        <v>3799</v>
      </c>
      <c r="DW1972" s="496" t="s">
        <v>1087</v>
      </c>
      <c r="DX1972" s="497" t="s">
        <v>1088</v>
      </c>
      <c r="DZ1972" s="543">
        <v>1</v>
      </c>
      <c r="EB1972" s="493"/>
      <c r="EC1972" s="493"/>
    </row>
    <row r="1973" spans="119:133" ht="21" customHeight="1">
      <c r="DO1973" s="494"/>
      <c r="DP1973" s="496" t="s">
        <v>4906</v>
      </c>
      <c r="DQ1973" s="496" t="s">
        <v>241</v>
      </c>
      <c r="DR1973" s="496" t="s">
        <v>1511</v>
      </c>
      <c r="DS1973" s="496" t="s">
        <v>877</v>
      </c>
      <c r="DT1973" s="496" t="s">
        <v>877</v>
      </c>
      <c r="DU1973" s="496" t="s">
        <v>1085</v>
      </c>
      <c r="DV1973" s="496" t="s">
        <v>3799</v>
      </c>
      <c r="DW1973" s="496" t="s">
        <v>1087</v>
      </c>
      <c r="DX1973" s="497" t="s">
        <v>1088</v>
      </c>
      <c r="DZ1973" s="543">
        <v>1</v>
      </c>
      <c r="EB1973" s="493"/>
      <c r="EC1973" s="493"/>
    </row>
    <row r="1974" spans="119:133" ht="21" customHeight="1">
      <c r="DO1974" s="494"/>
      <c r="DP1974" s="496" t="s">
        <v>4907</v>
      </c>
      <c r="DQ1974" s="496" t="s">
        <v>241</v>
      </c>
      <c r="DR1974" s="496" t="s">
        <v>1511</v>
      </c>
      <c r="DS1974" s="496" t="s">
        <v>4908</v>
      </c>
      <c r="DT1974" s="496" t="s">
        <v>4908</v>
      </c>
      <c r="DU1974" s="496" t="s">
        <v>1151</v>
      </c>
      <c r="DV1974" s="496" t="s">
        <v>1518</v>
      </c>
      <c r="DW1974" s="496" t="s">
        <v>1087</v>
      </c>
      <c r="DX1974" s="497" t="s">
        <v>1153</v>
      </c>
      <c r="DZ1974" s="543">
        <v>1</v>
      </c>
      <c r="EB1974" s="493"/>
      <c r="EC1974" s="493"/>
    </row>
    <row r="1975" spans="119:133" ht="21" customHeight="1">
      <c r="DO1975" s="494"/>
      <c r="DP1975" s="496" t="s">
        <v>4909</v>
      </c>
      <c r="DQ1975" s="496" t="s">
        <v>241</v>
      </c>
      <c r="DR1975" s="496" t="s">
        <v>1511</v>
      </c>
      <c r="DS1975" s="496" t="s">
        <v>4910</v>
      </c>
      <c r="DT1975" s="496" t="s">
        <v>4911</v>
      </c>
      <c r="DU1975" s="496" t="s">
        <v>1085</v>
      </c>
      <c r="DV1975" s="496" t="s">
        <v>3799</v>
      </c>
      <c r="DW1975" s="496" t="s">
        <v>1087</v>
      </c>
      <c r="DX1975" s="497" t="s">
        <v>1088</v>
      </c>
      <c r="DZ1975" s="543">
        <v>1</v>
      </c>
      <c r="EB1975" s="493"/>
      <c r="EC1975" s="493"/>
    </row>
    <row r="1976" spans="119:133" ht="21" customHeight="1">
      <c r="DO1976" s="494"/>
      <c r="DP1976" s="496" t="s">
        <v>4912</v>
      </c>
      <c r="DQ1976" s="496" t="s">
        <v>241</v>
      </c>
      <c r="DR1976" s="496" t="s">
        <v>1511</v>
      </c>
      <c r="DS1976" s="496" t="s">
        <v>4913</v>
      </c>
      <c r="DT1976" s="496" t="s">
        <v>4913</v>
      </c>
      <c r="DU1976" s="496" t="s">
        <v>1085</v>
      </c>
      <c r="DV1976" s="496" t="s">
        <v>3799</v>
      </c>
      <c r="DW1976" s="496" t="s">
        <v>1087</v>
      </c>
      <c r="DX1976" s="497" t="s">
        <v>1088</v>
      </c>
      <c r="DZ1976" s="543">
        <v>1</v>
      </c>
      <c r="EB1976" s="493"/>
      <c r="EC1976" s="493"/>
    </row>
    <row r="1977" spans="119:133" ht="21" customHeight="1">
      <c r="DO1977" s="494"/>
      <c r="DP1977" s="496" t="s">
        <v>4914</v>
      </c>
      <c r="DQ1977" s="496" t="s">
        <v>241</v>
      </c>
      <c r="DR1977" s="496" t="s">
        <v>1511</v>
      </c>
      <c r="DS1977" s="496" t="s">
        <v>879</v>
      </c>
      <c r="DT1977" s="496" t="s">
        <v>879</v>
      </c>
      <c r="DU1977" s="496" t="s">
        <v>1085</v>
      </c>
      <c r="DV1977" s="496" t="s">
        <v>3799</v>
      </c>
      <c r="DW1977" s="496" t="s">
        <v>1087</v>
      </c>
      <c r="DX1977" s="497" t="s">
        <v>1088</v>
      </c>
      <c r="DZ1977" s="543">
        <v>1</v>
      </c>
      <c r="EB1977" s="493"/>
      <c r="EC1977" s="493"/>
    </row>
    <row r="1978" spans="119:133" ht="21" customHeight="1">
      <c r="DO1978" s="494"/>
      <c r="DP1978" s="496" t="s">
        <v>4915</v>
      </c>
      <c r="DQ1978" s="496" t="s">
        <v>241</v>
      </c>
      <c r="DR1978" s="496" t="s">
        <v>1511</v>
      </c>
      <c r="DS1978" s="496" t="s">
        <v>4916</v>
      </c>
      <c r="DT1978" s="496" t="s">
        <v>4916</v>
      </c>
      <c r="DU1978" s="496" t="s">
        <v>1085</v>
      </c>
      <c r="DV1978" s="496" t="s">
        <v>3799</v>
      </c>
      <c r="DW1978" s="496" t="s">
        <v>1087</v>
      </c>
      <c r="DX1978" s="497" t="s">
        <v>1088</v>
      </c>
      <c r="DZ1978" s="543">
        <v>1</v>
      </c>
      <c r="EB1978" s="493"/>
      <c r="EC1978" s="493"/>
    </row>
    <row r="1979" spans="119:133" ht="21" customHeight="1">
      <c r="DO1979" s="494"/>
      <c r="DP1979" s="496" t="s">
        <v>4917</v>
      </c>
      <c r="DQ1979" s="496" t="s">
        <v>241</v>
      </c>
      <c r="DR1979" s="496" t="s">
        <v>1511</v>
      </c>
      <c r="DS1979" s="496" t="s">
        <v>4918</v>
      </c>
      <c r="DT1979" s="496" t="s">
        <v>4918</v>
      </c>
      <c r="DU1979" s="496" t="s">
        <v>1085</v>
      </c>
      <c r="DV1979" s="496" t="s">
        <v>3799</v>
      </c>
      <c r="DW1979" s="496" t="s">
        <v>1087</v>
      </c>
      <c r="DX1979" s="497" t="s">
        <v>1088</v>
      </c>
      <c r="DZ1979" s="543">
        <v>1</v>
      </c>
      <c r="EB1979" s="493"/>
      <c r="EC1979" s="493"/>
    </row>
    <row r="1980" spans="119:133" ht="21" customHeight="1">
      <c r="DO1980" s="494"/>
      <c r="DP1980" s="496" t="s">
        <v>4919</v>
      </c>
      <c r="DQ1980" s="496" t="s">
        <v>241</v>
      </c>
      <c r="DR1980" s="496" t="s">
        <v>1511</v>
      </c>
      <c r="DS1980" s="496" t="s">
        <v>4920</v>
      </c>
      <c r="DT1980" s="496" t="s">
        <v>4920</v>
      </c>
      <c r="DU1980" s="496" t="s">
        <v>1151</v>
      </c>
      <c r="DV1980" s="496" t="s">
        <v>1518</v>
      </c>
      <c r="DW1980" s="496" t="s">
        <v>1087</v>
      </c>
      <c r="DX1980" s="497" t="s">
        <v>1153</v>
      </c>
      <c r="DZ1980" s="543">
        <v>1</v>
      </c>
      <c r="EB1980" s="493"/>
      <c r="EC1980" s="493"/>
    </row>
    <row r="1981" spans="119:133" ht="21" customHeight="1">
      <c r="DO1981" s="494"/>
      <c r="DP1981" s="496" t="s">
        <v>4921</v>
      </c>
      <c r="DQ1981" s="496" t="s">
        <v>241</v>
      </c>
      <c r="DR1981" s="496" t="s">
        <v>1511</v>
      </c>
      <c r="DS1981" s="496" t="s">
        <v>4922</v>
      </c>
      <c r="DT1981" s="496" t="s">
        <v>4923</v>
      </c>
      <c r="DU1981" s="496" t="s">
        <v>1085</v>
      </c>
      <c r="DV1981" s="496" t="s">
        <v>3799</v>
      </c>
      <c r="DW1981" s="496" t="s">
        <v>1087</v>
      </c>
      <c r="DX1981" s="497" t="s">
        <v>1088</v>
      </c>
      <c r="DZ1981" s="543">
        <v>1</v>
      </c>
      <c r="EB1981" s="493"/>
      <c r="EC1981" s="493"/>
    </row>
    <row r="1982" spans="119:133" ht="21" customHeight="1">
      <c r="DO1982" s="494"/>
      <c r="DP1982" s="496" t="s">
        <v>4924</v>
      </c>
      <c r="DQ1982" s="496" t="s">
        <v>241</v>
      </c>
      <c r="DR1982" s="496" t="s">
        <v>1511</v>
      </c>
      <c r="DS1982" s="496" t="s">
        <v>4925</v>
      </c>
      <c r="DT1982" s="496" t="s">
        <v>4925</v>
      </c>
      <c r="DU1982" s="496" t="s">
        <v>1085</v>
      </c>
      <c r="DV1982" s="496" t="s">
        <v>3799</v>
      </c>
      <c r="DW1982" s="496" t="s">
        <v>1087</v>
      </c>
      <c r="DX1982" s="497" t="s">
        <v>1088</v>
      </c>
      <c r="DZ1982" s="543">
        <v>1</v>
      </c>
      <c r="EB1982" s="493"/>
      <c r="EC1982" s="493"/>
    </row>
    <row r="1983" spans="119:133" ht="21" customHeight="1">
      <c r="DO1983" s="494"/>
      <c r="DP1983" s="496" t="s">
        <v>4926</v>
      </c>
      <c r="DQ1983" s="496" t="s">
        <v>241</v>
      </c>
      <c r="DR1983" s="496" t="s">
        <v>1511</v>
      </c>
      <c r="DS1983" s="496" t="s">
        <v>4713</v>
      </c>
      <c r="DT1983" s="496" t="s">
        <v>4713</v>
      </c>
      <c r="DU1983" s="496" t="s">
        <v>1085</v>
      </c>
      <c r="DV1983" s="496" t="s">
        <v>3799</v>
      </c>
      <c r="DW1983" s="496" t="s">
        <v>1087</v>
      </c>
      <c r="DX1983" s="497" t="s">
        <v>1088</v>
      </c>
      <c r="DZ1983" s="543">
        <v>1</v>
      </c>
      <c r="EB1983" s="493"/>
      <c r="EC1983" s="493"/>
    </row>
    <row r="1984" spans="119:133" ht="21" customHeight="1">
      <c r="DO1984" s="494"/>
      <c r="DP1984" s="496" t="s">
        <v>4927</v>
      </c>
      <c r="DQ1984" s="496" t="s">
        <v>241</v>
      </c>
      <c r="DR1984" s="496" t="s">
        <v>1511</v>
      </c>
      <c r="DS1984" s="496" t="s">
        <v>4928</v>
      </c>
      <c r="DT1984" s="496" t="s">
        <v>4928</v>
      </c>
      <c r="DU1984" s="496" t="s">
        <v>1085</v>
      </c>
      <c r="DV1984" s="496" t="s">
        <v>3799</v>
      </c>
      <c r="DW1984" s="496" t="s">
        <v>1087</v>
      </c>
      <c r="DX1984" s="497" t="s">
        <v>1088</v>
      </c>
      <c r="DZ1984" s="543">
        <v>1</v>
      </c>
      <c r="EB1984" s="493"/>
      <c r="EC1984" s="493"/>
    </row>
    <row r="1985" spans="119:133" ht="21" customHeight="1">
      <c r="DO1985" s="494"/>
      <c r="DP1985" s="496" t="s">
        <v>4929</v>
      </c>
      <c r="DQ1985" s="496" t="s">
        <v>241</v>
      </c>
      <c r="DR1985" s="496" t="s">
        <v>1511</v>
      </c>
      <c r="DS1985" s="496" t="s">
        <v>4930</v>
      </c>
      <c r="DT1985" s="496" t="s">
        <v>4931</v>
      </c>
      <c r="DU1985" s="496" t="s">
        <v>1085</v>
      </c>
      <c r="DV1985" s="496" t="s">
        <v>3799</v>
      </c>
      <c r="DW1985" s="496" t="s">
        <v>1087</v>
      </c>
      <c r="DX1985" s="497" t="s">
        <v>1088</v>
      </c>
      <c r="DZ1985" s="543">
        <v>1</v>
      </c>
      <c r="EB1985" s="493"/>
      <c r="EC1985" s="493"/>
    </row>
    <row r="1986" spans="119:133" ht="21" customHeight="1">
      <c r="DO1986" s="494"/>
      <c r="DP1986" s="496" t="s">
        <v>4932</v>
      </c>
      <c r="DQ1986" s="496" t="s">
        <v>236</v>
      </c>
      <c r="DR1986" s="496" t="s">
        <v>689</v>
      </c>
      <c r="DS1986" s="496" t="s">
        <v>275</v>
      </c>
      <c r="DT1986" s="496" t="s">
        <v>2</v>
      </c>
      <c r="DU1986" s="496" t="s">
        <v>1085</v>
      </c>
      <c r="DV1986" s="496" t="s">
        <v>4933</v>
      </c>
      <c r="DW1986" s="496" t="s">
        <v>1087</v>
      </c>
      <c r="DX1986" s="497" t="s">
        <v>1088</v>
      </c>
      <c r="DZ1986" s="543">
        <v>1</v>
      </c>
      <c r="EB1986" s="493"/>
      <c r="EC1986" s="493"/>
    </row>
    <row r="1987" spans="119:133" ht="21" customHeight="1">
      <c r="DO1987" s="494"/>
      <c r="DP1987" s="496" t="s">
        <v>4934</v>
      </c>
      <c r="DQ1987" s="496" t="s">
        <v>236</v>
      </c>
      <c r="DR1987" s="496" t="s">
        <v>689</v>
      </c>
      <c r="DS1987" s="496" t="s">
        <v>4935</v>
      </c>
      <c r="DT1987" s="496" t="s">
        <v>277</v>
      </c>
      <c r="DU1987" s="496" t="s">
        <v>1085</v>
      </c>
      <c r="DV1987" s="496" t="s">
        <v>4933</v>
      </c>
      <c r="DW1987" s="496" t="s">
        <v>1087</v>
      </c>
      <c r="DX1987" s="497" t="s">
        <v>1088</v>
      </c>
      <c r="DZ1987" s="543">
        <v>1</v>
      </c>
      <c r="EB1987" s="493"/>
      <c r="EC1987" s="493"/>
    </row>
    <row r="1988" spans="119:133" ht="21" customHeight="1">
      <c r="DO1988" s="494"/>
      <c r="DP1988" s="496" t="s">
        <v>4936</v>
      </c>
      <c r="DQ1988" s="496" t="s">
        <v>236</v>
      </c>
      <c r="DR1988" s="496" t="s">
        <v>689</v>
      </c>
      <c r="DS1988" s="496" t="s">
        <v>4937</v>
      </c>
      <c r="DT1988" s="496" t="s">
        <v>35</v>
      </c>
      <c r="DU1988" s="496" t="s">
        <v>1085</v>
      </c>
      <c r="DV1988" s="496" t="s">
        <v>4933</v>
      </c>
      <c r="DW1988" s="496" t="s">
        <v>1087</v>
      </c>
      <c r="DX1988" s="497" t="s">
        <v>1088</v>
      </c>
      <c r="DZ1988" s="543">
        <v>1</v>
      </c>
      <c r="EB1988" s="493"/>
      <c r="EC1988" s="493"/>
    </row>
    <row r="1989" spans="119:133" ht="21" customHeight="1">
      <c r="DO1989" s="494"/>
      <c r="DP1989" s="496" t="s">
        <v>4938</v>
      </c>
      <c r="DQ1989" s="496" t="s">
        <v>236</v>
      </c>
      <c r="DR1989" s="496" t="s">
        <v>689</v>
      </c>
      <c r="DS1989" s="496" t="s">
        <v>4939</v>
      </c>
      <c r="DT1989" s="496" t="s">
        <v>4939</v>
      </c>
      <c r="DU1989" s="496" t="s">
        <v>1151</v>
      </c>
      <c r="DV1989" s="496" t="s">
        <v>1152</v>
      </c>
      <c r="DW1989" s="496" t="s">
        <v>1087</v>
      </c>
      <c r="DX1989" s="497" t="s">
        <v>1153</v>
      </c>
      <c r="DZ1989" s="543">
        <v>1</v>
      </c>
      <c r="EB1989" s="493"/>
      <c r="EC1989" s="493"/>
    </row>
    <row r="1990" spans="119:133" ht="21" customHeight="1">
      <c r="DO1990" s="494"/>
      <c r="DP1990" s="496" t="s">
        <v>4940</v>
      </c>
      <c r="DQ1990" s="496" t="s">
        <v>236</v>
      </c>
      <c r="DR1990" s="496" t="s">
        <v>689</v>
      </c>
      <c r="DS1990" s="496" t="s">
        <v>280</v>
      </c>
      <c r="DT1990" s="496" t="s">
        <v>280</v>
      </c>
      <c r="DU1990" s="496" t="s">
        <v>1151</v>
      </c>
      <c r="DV1990" s="496" t="s">
        <v>1152</v>
      </c>
      <c r="DW1990" s="496" t="s">
        <v>1087</v>
      </c>
      <c r="DX1990" s="497" t="s">
        <v>1153</v>
      </c>
      <c r="DZ1990" s="543">
        <v>1</v>
      </c>
      <c r="EB1990" s="493"/>
      <c r="EC1990" s="493"/>
    </row>
    <row r="1991" spans="119:133" ht="21" customHeight="1">
      <c r="DO1991" s="494"/>
      <c r="DP1991" s="496" t="s">
        <v>4941</v>
      </c>
      <c r="DQ1991" s="496" t="s">
        <v>236</v>
      </c>
      <c r="DR1991" s="496" t="s">
        <v>689</v>
      </c>
      <c r="DS1991" s="496" t="s">
        <v>4942</v>
      </c>
      <c r="DT1991" s="496" t="s">
        <v>4943</v>
      </c>
      <c r="DU1991" s="496" t="s">
        <v>1085</v>
      </c>
      <c r="DV1991" s="496" t="s">
        <v>4933</v>
      </c>
      <c r="DW1991" s="496" t="s">
        <v>1087</v>
      </c>
      <c r="DX1991" s="497" t="s">
        <v>1088</v>
      </c>
      <c r="DZ1991" s="543">
        <v>1</v>
      </c>
      <c r="EB1991" s="493"/>
      <c r="EC1991" s="493"/>
    </row>
    <row r="1992" spans="119:133" ht="21" customHeight="1">
      <c r="DO1992" s="494"/>
      <c r="DP1992" s="496" t="s">
        <v>4944</v>
      </c>
      <c r="DQ1992" s="496" t="s">
        <v>236</v>
      </c>
      <c r="DR1992" s="496" t="s">
        <v>689</v>
      </c>
      <c r="DS1992" s="496" t="s">
        <v>4945</v>
      </c>
      <c r="DT1992" s="496" t="s">
        <v>73</v>
      </c>
      <c r="DU1992" s="496" t="s">
        <v>1085</v>
      </c>
      <c r="DV1992" s="496" t="s">
        <v>4933</v>
      </c>
      <c r="DW1992" s="496" t="s">
        <v>1087</v>
      </c>
      <c r="DX1992" s="497" t="s">
        <v>1088</v>
      </c>
      <c r="DZ1992" s="543">
        <v>1</v>
      </c>
      <c r="EB1992" s="493"/>
      <c r="EC1992" s="493"/>
    </row>
    <row r="1993" spans="119:133" ht="21" customHeight="1">
      <c r="DO1993" s="494"/>
      <c r="DP1993" s="496" t="s">
        <v>4946</v>
      </c>
      <c r="DQ1993" s="496" t="s">
        <v>236</v>
      </c>
      <c r="DR1993" s="496" t="s">
        <v>689</v>
      </c>
      <c r="DS1993" s="496" t="s">
        <v>4947</v>
      </c>
      <c r="DT1993" s="496" t="s">
        <v>86</v>
      </c>
      <c r="DU1993" s="496" t="s">
        <v>1085</v>
      </c>
      <c r="DV1993" s="496" t="s">
        <v>4933</v>
      </c>
      <c r="DW1993" s="496" t="s">
        <v>1087</v>
      </c>
      <c r="DX1993" s="497" t="s">
        <v>1088</v>
      </c>
      <c r="DZ1993" s="543">
        <v>1</v>
      </c>
      <c r="EB1993" s="493"/>
      <c r="EC1993" s="493"/>
    </row>
    <row r="1994" spans="119:133" ht="21" customHeight="1">
      <c r="DO1994" s="494"/>
      <c r="DP1994" s="496" t="s">
        <v>4948</v>
      </c>
      <c r="DQ1994" s="496" t="s">
        <v>236</v>
      </c>
      <c r="DR1994" s="496" t="s">
        <v>689</v>
      </c>
      <c r="DS1994" s="496" t="s">
        <v>4949</v>
      </c>
      <c r="DT1994" s="496" t="s">
        <v>99</v>
      </c>
      <c r="DU1994" s="496" t="s">
        <v>1085</v>
      </c>
      <c r="DV1994" s="496" t="s">
        <v>4933</v>
      </c>
      <c r="DW1994" s="496" t="s">
        <v>1087</v>
      </c>
      <c r="DX1994" s="497" t="s">
        <v>1088</v>
      </c>
      <c r="DZ1994" s="543">
        <v>1</v>
      </c>
      <c r="EB1994" s="493"/>
      <c r="EC1994" s="493"/>
    </row>
    <row r="1995" spans="119:133" ht="21" customHeight="1">
      <c r="DO1995" s="494"/>
      <c r="DP1995" s="496" t="s">
        <v>4950</v>
      </c>
      <c r="DQ1995" s="496" t="s">
        <v>236</v>
      </c>
      <c r="DR1995" s="496" t="s">
        <v>689</v>
      </c>
      <c r="DS1995" s="496" t="s">
        <v>4951</v>
      </c>
      <c r="DT1995" s="496" t="s">
        <v>114</v>
      </c>
      <c r="DU1995" s="496" t="s">
        <v>1085</v>
      </c>
      <c r="DV1995" s="496" t="s">
        <v>4933</v>
      </c>
      <c r="DW1995" s="496" t="s">
        <v>1087</v>
      </c>
      <c r="DX1995" s="497" t="s">
        <v>1088</v>
      </c>
      <c r="DZ1995" s="543">
        <v>1</v>
      </c>
      <c r="EB1995" s="493"/>
      <c r="EC1995" s="493"/>
    </row>
    <row r="1996" spans="119:133" ht="21" customHeight="1">
      <c r="DO1996" s="494"/>
      <c r="DP1996" s="496" t="s">
        <v>4952</v>
      </c>
      <c r="DQ1996" s="496" t="s">
        <v>236</v>
      </c>
      <c r="DR1996" s="496" t="s">
        <v>689</v>
      </c>
      <c r="DS1996" s="496" t="s">
        <v>4953</v>
      </c>
      <c r="DT1996" s="496" t="s">
        <v>4954</v>
      </c>
      <c r="DU1996" s="496" t="s">
        <v>1085</v>
      </c>
      <c r="DV1996" s="496" t="s">
        <v>4933</v>
      </c>
      <c r="DW1996" s="496" t="s">
        <v>1087</v>
      </c>
      <c r="DX1996" s="497" t="s">
        <v>1088</v>
      </c>
      <c r="DZ1996" s="543">
        <v>1</v>
      </c>
      <c r="EB1996" s="493"/>
      <c r="EC1996" s="493"/>
    </row>
    <row r="1997" spans="119:133" ht="21" customHeight="1">
      <c r="DO1997" s="494"/>
      <c r="DP1997" s="496" t="s">
        <v>4955</v>
      </c>
      <c r="DQ1997" s="496" t="s">
        <v>236</v>
      </c>
      <c r="DR1997" s="496" t="s">
        <v>689</v>
      </c>
      <c r="DS1997" s="496" t="s">
        <v>4956</v>
      </c>
      <c r="DT1997" s="496" t="s">
        <v>4957</v>
      </c>
      <c r="DU1997" s="496" t="s">
        <v>1085</v>
      </c>
      <c r="DV1997" s="496" t="s">
        <v>4933</v>
      </c>
      <c r="DW1997" s="496" t="s">
        <v>1087</v>
      </c>
      <c r="DX1997" s="497" t="s">
        <v>1088</v>
      </c>
      <c r="DZ1997" s="543">
        <v>1</v>
      </c>
      <c r="EB1997" s="493"/>
      <c r="EC1997" s="493"/>
    </row>
    <row r="1998" spans="119:133" ht="21" customHeight="1">
      <c r="DO1998" s="494"/>
      <c r="DP1998" s="496" t="s">
        <v>4958</v>
      </c>
      <c r="DQ1998" s="496" t="s">
        <v>236</v>
      </c>
      <c r="DR1998" s="496" t="s">
        <v>689</v>
      </c>
      <c r="DS1998" s="496" t="s">
        <v>4959</v>
      </c>
      <c r="DT1998" s="496" t="s">
        <v>4960</v>
      </c>
      <c r="DU1998" s="496" t="s">
        <v>1085</v>
      </c>
      <c r="DV1998" s="496" t="s">
        <v>4933</v>
      </c>
      <c r="DW1998" s="496" t="s">
        <v>1087</v>
      </c>
      <c r="DX1998" s="497" t="s">
        <v>1088</v>
      </c>
      <c r="DZ1998" s="543">
        <v>1</v>
      </c>
      <c r="EB1998" s="493"/>
      <c r="EC1998" s="493"/>
    </row>
    <row r="1999" spans="119:133" ht="21" customHeight="1">
      <c r="DO1999" s="494"/>
      <c r="DP1999" s="496" t="s">
        <v>4961</v>
      </c>
      <c r="DQ1999" s="496" t="s">
        <v>236</v>
      </c>
      <c r="DR1999" s="496" t="s">
        <v>689</v>
      </c>
      <c r="DS1999" s="496" t="s">
        <v>4962</v>
      </c>
      <c r="DT1999" s="496" t="s">
        <v>127</v>
      </c>
      <c r="DU1999" s="496" t="s">
        <v>1085</v>
      </c>
      <c r="DV1999" s="496" t="s">
        <v>4933</v>
      </c>
      <c r="DW1999" s="496" t="s">
        <v>1087</v>
      </c>
      <c r="DX1999" s="497" t="s">
        <v>1088</v>
      </c>
      <c r="DZ1999" s="543">
        <v>1</v>
      </c>
      <c r="EB1999" s="493"/>
      <c r="EC1999" s="493"/>
    </row>
    <row r="2000" spans="119:133" ht="21" customHeight="1">
      <c r="DO2000" s="494"/>
      <c r="DP2000" s="496" t="s">
        <v>4963</v>
      </c>
      <c r="DQ2000" s="496" t="s">
        <v>236</v>
      </c>
      <c r="DR2000" s="496" t="s">
        <v>1511</v>
      </c>
      <c r="DS2000" s="496" t="s">
        <v>1515</v>
      </c>
      <c r="DT2000" s="496" t="s">
        <v>1515</v>
      </c>
      <c r="DU2000" s="496" t="s">
        <v>1085</v>
      </c>
      <c r="DV2000" s="496" t="s">
        <v>3799</v>
      </c>
      <c r="DW2000" s="496" t="s">
        <v>1087</v>
      </c>
      <c r="DX2000" s="497" t="s">
        <v>1088</v>
      </c>
      <c r="DZ2000" s="543">
        <v>1</v>
      </c>
      <c r="EB2000" s="493"/>
      <c r="EC2000" s="493"/>
    </row>
    <row r="2001" spans="119:133" ht="21" customHeight="1">
      <c r="DO2001" s="494"/>
      <c r="DP2001" s="496" t="s">
        <v>4964</v>
      </c>
      <c r="DQ2001" s="496" t="s">
        <v>236</v>
      </c>
      <c r="DR2001" s="496" t="s">
        <v>1511</v>
      </c>
      <c r="DS2001" s="496" t="s">
        <v>4965</v>
      </c>
      <c r="DT2001" s="496" t="s">
        <v>4966</v>
      </c>
      <c r="DU2001" s="496" t="s">
        <v>1085</v>
      </c>
      <c r="DV2001" s="496" t="s">
        <v>3799</v>
      </c>
      <c r="DW2001" s="496" t="s">
        <v>1087</v>
      </c>
      <c r="DX2001" s="497" t="s">
        <v>1088</v>
      </c>
      <c r="DZ2001" s="543">
        <v>1</v>
      </c>
      <c r="EB2001" s="493"/>
      <c r="EC2001" s="493"/>
    </row>
    <row r="2002" spans="119:133" ht="21" customHeight="1">
      <c r="DO2002" s="494"/>
      <c r="DP2002" s="496" t="s">
        <v>4967</v>
      </c>
      <c r="DQ2002" s="496" t="s">
        <v>236</v>
      </c>
      <c r="DR2002" s="496" t="s">
        <v>1511</v>
      </c>
      <c r="DS2002" s="496" t="s">
        <v>1522</v>
      </c>
      <c r="DT2002" s="496" t="s">
        <v>1522</v>
      </c>
      <c r="DU2002" s="496" t="s">
        <v>1085</v>
      </c>
      <c r="DV2002" s="496" t="s">
        <v>3799</v>
      </c>
      <c r="DW2002" s="496" t="s">
        <v>1087</v>
      </c>
      <c r="DX2002" s="497" t="s">
        <v>1088</v>
      </c>
      <c r="DZ2002" s="543">
        <v>1</v>
      </c>
      <c r="EB2002" s="493"/>
      <c r="EC2002" s="493"/>
    </row>
    <row r="2003" spans="119:133" ht="21" customHeight="1">
      <c r="DO2003" s="494"/>
      <c r="DP2003" s="496" t="s">
        <v>4968</v>
      </c>
      <c r="DQ2003" s="496" t="s">
        <v>236</v>
      </c>
      <c r="DR2003" s="496" t="s">
        <v>1511</v>
      </c>
      <c r="DS2003" s="496" t="s">
        <v>4969</v>
      </c>
      <c r="DT2003" s="496" t="s">
        <v>4969</v>
      </c>
      <c r="DU2003" s="496" t="s">
        <v>1085</v>
      </c>
      <c r="DV2003" s="496" t="s">
        <v>3799</v>
      </c>
      <c r="DW2003" s="496" t="s">
        <v>1087</v>
      </c>
      <c r="DX2003" s="497" t="s">
        <v>1088</v>
      </c>
      <c r="DZ2003" s="543">
        <v>1</v>
      </c>
      <c r="EB2003" s="493"/>
      <c r="EC2003" s="493"/>
    </row>
    <row r="2004" spans="119:133" ht="21" customHeight="1">
      <c r="DO2004" s="494"/>
      <c r="DP2004" s="496" t="s">
        <v>4970</v>
      </c>
      <c r="DQ2004" s="496" t="s">
        <v>236</v>
      </c>
      <c r="DR2004" s="496" t="s">
        <v>1511</v>
      </c>
      <c r="DS2004" s="496" t="s">
        <v>1525</v>
      </c>
      <c r="DT2004" s="496" t="s">
        <v>1525</v>
      </c>
      <c r="DU2004" s="496" t="s">
        <v>1085</v>
      </c>
      <c r="DV2004" s="496" t="s">
        <v>3799</v>
      </c>
      <c r="DW2004" s="496" t="s">
        <v>1087</v>
      </c>
      <c r="DX2004" s="497" t="s">
        <v>1088</v>
      </c>
      <c r="DZ2004" s="543">
        <v>1</v>
      </c>
      <c r="EB2004" s="493"/>
      <c r="EC2004" s="493"/>
    </row>
    <row r="2005" spans="119:133" ht="21" customHeight="1">
      <c r="DO2005" s="494"/>
      <c r="DP2005" s="496" t="s">
        <v>4971</v>
      </c>
      <c r="DQ2005" s="496" t="s">
        <v>236</v>
      </c>
      <c r="DR2005" s="496" t="s">
        <v>1511</v>
      </c>
      <c r="DS2005" s="496" t="s">
        <v>1527</v>
      </c>
      <c r="DT2005" s="496" t="s">
        <v>1527</v>
      </c>
      <c r="DU2005" s="496" t="s">
        <v>1085</v>
      </c>
      <c r="DV2005" s="496" t="s">
        <v>3799</v>
      </c>
      <c r="DW2005" s="496" t="s">
        <v>1087</v>
      </c>
      <c r="DX2005" s="497" t="s">
        <v>1088</v>
      </c>
      <c r="DZ2005" s="543">
        <v>1</v>
      </c>
      <c r="EB2005" s="493"/>
      <c r="EC2005" s="493"/>
    </row>
    <row r="2006" spans="119:133" ht="21" customHeight="1">
      <c r="DO2006" s="494"/>
      <c r="DP2006" s="496" t="s">
        <v>4972</v>
      </c>
      <c r="DQ2006" s="496" t="s">
        <v>236</v>
      </c>
      <c r="DR2006" s="496" t="s">
        <v>1511</v>
      </c>
      <c r="DS2006" s="496" t="s">
        <v>4973</v>
      </c>
      <c r="DT2006" s="496" t="s">
        <v>4973</v>
      </c>
      <c r="DU2006" s="496" t="s">
        <v>1085</v>
      </c>
      <c r="DV2006" s="496" t="s">
        <v>3799</v>
      </c>
      <c r="DW2006" s="496" t="s">
        <v>1087</v>
      </c>
      <c r="DX2006" s="497" t="s">
        <v>1088</v>
      </c>
      <c r="DZ2006" s="543">
        <v>1</v>
      </c>
      <c r="EB2006" s="493"/>
      <c r="EC2006" s="493"/>
    </row>
    <row r="2007" spans="119:133" ht="21" customHeight="1">
      <c r="DO2007" s="494"/>
      <c r="DP2007" s="496" t="s">
        <v>4974</v>
      </c>
      <c r="DQ2007" s="496" t="s">
        <v>236</v>
      </c>
      <c r="DR2007" s="496" t="s">
        <v>1511</v>
      </c>
      <c r="DS2007" s="496" t="s">
        <v>4975</v>
      </c>
      <c r="DT2007" s="496" t="s">
        <v>4976</v>
      </c>
      <c r="DU2007" s="496" t="s">
        <v>1085</v>
      </c>
      <c r="DV2007" s="496" t="s">
        <v>3799</v>
      </c>
      <c r="DW2007" s="496" t="s">
        <v>1087</v>
      </c>
      <c r="DX2007" s="497" t="s">
        <v>1088</v>
      </c>
      <c r="DZ2007" s="543">
        <v>1</v>
      </c>
      <c r="EB2007" s="493"/>
      <c r="EC2007" s="493"/>
    </row>
    <row r="2008" spans="119:133" ht="21" customHeight="1">
      <c r="DO2008" s="494"/>
      <c r="DP2008" s="496" t="s">
        <v>4977</v>
      </c>
      <c r="DQ2008" s="496" t="s">
        <v>236</v>
      </c>
      <c r="DR2008" s="496" t="s">
        <v>1511</v>
      </c>
      <c r="DS2008" s="496" t="s">
        <v>4978</v>
      </c>
      <c r="DT2008" s="496" t="s">
        <v>4978</v>
      </c>
      <c r="DU2008" s="496" t="s">
        <v>1085</v>
      </c>
      <c r="DV2008" s="496" t="s">
        <v>3799</v>
      </c>
      <c r="DW2008" s="496" t="s">
        <v>1087</v>
      </c>
      <c r="DX2008" s="497" t="s">
        <v>1088</v>
      </c>
      <c r="DZ2008" s="543">
        <v>1</v>
      </c>
      <c r="EB2008" s="493"/>
      <c r="EC2008" s="493"/>
    </row>
    <row r="2009" spans="119:133" ht="21" customHeight="1">
      <c r="DO2009" s="494"/>
      <c r="DP2009" s="496" t="s">
        <v>4979</v>
      </c>
      <c r="DQ2009" s="496" t="s">
        <v>236</v>
      </c>
      <c r="DR2009" s="496" t="s">
        <v>1511</v>
      </c>
      <c r="DS2009" s="496" t="s">
        <v>1941</v>
      </c>
      <c r="DT2009" s="496" t="s">
        <v>913</v>
      </c>
      <c r="DU2009" s="496" t="s">
        <v>1085</v>
      </c>
      <c r="DV2009" s="496" t="s">
        <v>3799</v>
      </c>
      <c r="DW2009" s="496" t="s">
        <v>1087</v>
      </c>
      <c r="DX2009" s="497" t="s">
        <v>1088</v>
      </c>
      <c r="DZ2009" s="543">
        <v>1</v>
      </c>
      <c r="EB2009" s="493"/>
      <c r="EC2009" s="493"/>
    </row>
    <row r="2010" spans="119:133" ht="21" customHeight="1">
      <c r="DO2010" s="494"/>
      <c r="DP2010" s="496" t="s">
        <v>4980</v>
      </c>
      <c r="DQ2010" s="496" t="s">
        <v>236</v>
      </c>
      <c r="DR2010" s="496" t="s">
        <v>1511</v>
      </c>
      <c r="DS2010" s="496" t="s">
        <v>4981</v>
      </c>
      <c r="DT2010" s="496" t="s">
        <v>4981</v>
      </c>
      <c r="DU2010" s="496" t="s">
        <v>1085</v>
      </c>
      <c r="DV2010" s="496" t="s">
        <v>3799</v>
      </c>
      <c r="DW2010" s="496" t="s">
        <v>1087</v>
      </c>
      <c r="DX2010" s="497" t="s">
        <v>1088</v>
      </c>
      <c r="DZ2010" s="543">
        <v>1</v>
      </c>
      <c r="EB2010" s="493"/>
      <c r="EC2010" s="493"/>
    </row>
    <row r="2011" spans="119:133" ht="21" customHeight="1">
      <c r="DO2011" s="494"/>
      <c r="DP2011" s="496" t="s">
        <v>4982</v>
      </c>
      <c r="DQ2011" s="496" t="s">
        <v>236</v>
      </c>
      <c r="DR2011" s="496" t="s">
        <v>1511</v>
      </c>
      <c r="DS2011" s="496" t="s">
        <v>1544</v>
      </c>
      <c r="DT2011" s="496" t="s">
        <v>1544</v>
      </c>
      <c r="DU2011" s="496" t="s">
        <v>1085</v>
      </c>
      <c r="DV2011" s="496" t="s">
        <v>3799</v>
      </c>
      <c r="DW2011" s="496" t="s">
        <v>1087</v>
      </c>
      <c r="DX2011" s="497" t="s">
        <v>1088</v>
      </c>
      <c r="DZ2011" s="543">
        <v>1</v>
      </c>
      <c r="EB2011" s="493"/>
      <c r="EC2011" s="493"/>
    </row>
    <row r="2012" spans="119:133" ht="21" customHeight="1">
      <c r="DO2012" s="494"/>
      <c r="DP2012" s="496" t="s">
        <v>4983</v>
      </c>
      <c r="DQ2012" s="496" t="s">
        <v>236</v>
      </c>
      <c r="DR2012" s="496" t="s">
        <v>1511</v>
      </c>
      <c r="DS2012" s="496" t="s">
        <v>4984</v>
      </c>
      <c r="DT2012" s="496" t="s">
        <v>4985</v>
      </c>
      <c r="DU2012" s="496" t="s">
        <v>1085</v>
      </c>
      <c r="DV2012" s="496" t="s">
        <v>3799</v>
      </c>
      <c r="DW2012" s="496" t="s">
        <v>1087</v>
      </c>
      <c r="DX2012" s="497" t="s">
        <v>1088</v>
      </c>
      <c r="DZ2012" s="543">
        <v>1</v>
      </c>
      <c r="EB2012" s="493"/>
      <c r="EC2012" s="493"/>
    </row>
    <row r="2013" spans="119:133" ht="21" customHeight="1">
      <c r="DO2013" s="494"/>
      <c r="DP2013" s="496" t="s">
        <v>4986</v>
      </c>
      <c r="DQ2013" s="496" t="s">
        <v>236</v>
      </c>
      <c r="DR2013" s="496" t="s">
        <v>1511</v>
      </c>
      <c r="DS2013" s="496" t="s">
        <v>4987</v>
      </c>
      <c r="DT2013" s="496" t="s">
        <v>4987</v>
      </c>
      <c r="DU2013" s="496" t="s">
        <v>1085</v>
      </c>
      <c r="DV2013" s="496" t="s">
        <v>3799</v>
      </c>
      <c r="DW2013" s="496" t="s">
        <v>1087</v>
      </c>
      <c r="DX2013" s="497" t="s">
        <v>1088</v>
      </c>
      <c r="DZ2013" s="543">
        <v>1</v>
      </c>
      <c r="EB2013" s="493"/>
      <c r="EC2013" s="493"/>
    </row>
    <row r="2014" spans="119:133" ht="21" customHeight="1">
      <c r="DO2014" s="494"/>
      <c r="DP2014" s="496" t="s">
        <v>4988</v>
      </c>
      <c r="DQ2014" s="496" t="s">
        <v>236</v>
      </c>
      <c r="DR2014" s="496" t="s">
        <v>1511</v>
      </c>
      <c r="DS2014" s="496" t="s">
        <v>1955</v>
      </c>
      <c r="DT2014" s="496" t="s">
        <v>1955</v>
      </c>
      <c r="DU2014" s="496" t="s">
        <v>1085</v>
      </c>
      <c r="DV2014" s="496" t="s">
        <v>3799</v>
      </c>
      <c r="DW2014" s="496" t="s">
        <v>1087</v>
      </c>
      <c r="DX2014" s="497" t="s">
        <v>1088</v>
      </c>
      <c r="DZ2014" s="543">
        <v>1</v>
      </c>
      <c r="EB2014" s="493"/>
      <c r="EC2014" s="493"/>
    </row>
    <row r="2015" spans="119:133" ht="21" customHeight="1">
      <c r="DO2015" s="494"/>
      <c r="DP2015" s="496" t="s">
        <v>4989</v>
      </c>
      <c r="DQ2015" s="496" t="s">
        <v>12</v>
      </c>
      <c r="DR2015" s="496" t="s">
        <v>689</v>
      </c>
      <c r="DS2015" s="496" t="s">
        <v>4990</v>
      </c>
      <c r="DT2015" s="496" t="s">
        <v>4990</v>
      </c>
      <c r="DU2015" s="496" t="s">
        <v>1085</v>
      </c>
      <c r="DV2015" s="496" t="s">
        <v>4991</v>
      </c>
      <c r="DW2015" s="496" t="s">
        <v>1087</v>
      </c>
      <c r="DX2015" s="497" t="s">
        <v>1088</v>
      </c>
      <c r="DZ2015" s="543">
        <v>1</v>
      </c>
      <c r="EB2015" s="493"/>
      <c r="EC2015" s="493"/>
    </row>
    <row r="2016" spans="119:133" ht="21" customHeight="1">
      <c r="DO2016" s="494"/>
      <c r="DP2016" s="496" t="s">
        <v>4992</v>
      </c>
      <c r="DQ2016" s="496" t="s">
        <v>12</v>
      </c>
      <c r="DR2016" s="496" t="s">
        <v>689</v>
      </c>
      <c r="DS2016" s="496" t="s">
        <v>61</v>
      </c>
      <c r="DT2016" s="496" t="s">
        <v>61</v>
      </c>
      <c r="DU2016" s="496" t="s">
        <v>1085</v>
      </c>
      <c r="DV2016" s="496" t="s">
        <v>4991</v>
      </c>
      <c r="DW2016" s="496" t="s">
        <v>1087</v>
      </c>
      <c r="DX2016" s="497" t="s">
        <v>1088</v>
      </c>
      <c r="DZ2016" s="543">
        <v>1</v>
      </c>
      <c r="EB2016" s="493"/>
      <c r="EC2016" s="493"/>
    </row>
    <row r="2017" spans="119:133" ht="21" customHeight="1">
      <c r="DO2017" s="494"/>
      <c r="DP2017" s="496" t="s">
        <v>4993</v>
      </c>
      <c r="DQ2017" s="496" t="s">
        <v>12</v>
      </c>
      <c r="DR2017" s="496" t="s">
        <v>689</v>
      </c>
      <c r="DS2017" s="496" t="s">
        <v>36</v>
      </c>
      <c r="DT2017" s="496" t="s">
        <v>36</v>
      </c>
      <c r="DU2017" s="496" t="s">
        <v>1085</v>
      </c>
      <c r="DV2017" s="496" t="s">
        <v>4991</v>
      </c>
      <c r="DW2017" s="496" t="s">
        <v>1087</v>
      </c>
      <c r="DX2017" s="497" t="s">
        <v>1088</v>
      </c>
      <c r="DZ2017" s="543">
        <v>1</v>
      </c>
      <c r="EB2017" s="493"/>
      <c r="EC2017" s="493"/>
    </row>
    <row r="2018" spans="119:133" ht="21" customHeight="1">
      <c r="DO2018" s="494"/>
      <c r="DP2018" s="496" t="s">
        <v>4994</v>
      </c>
      <c r="DQ2018" s="496" t="s">
        <v>12</v>
      </c>
      <c r="DR2018" s="496" t="s">
        <v>689</v>
      </c>
      <c r="DS2018" s="496" t="s">
        <v>48</v>
      </c>
      <c r="DT2018" s="496" t="s">
        <v>48</v>
      </c>
      <c r="DU2018" s="496" t="s">
        <v>1085</v>
      </c>
      <c r="DV2018" s="496" t="s">
        <v>4991</v>
      </c>
      <c r="DW2018" s="496" t="s">
        <v>1087</v>
      </c>
      <c r="DX2018" s="497" t="s">
        <v>1088</v>
      </c>
      <c r="DZ2018" s="543">
        <v>1</v>
      </c>
      <c r="EB2018" s="493"/>
      <c r="EC2018" s="493"/>
    </row>
    <row r="2019" spans="119:133" ht="21" customHeight="1">
      <c r="DO2019" s="494"/>
      <c r="DP2019" s="496" t="s">
        <v>4995</v>
      </c>
      <c r="DQ2019" s="496" t="s">
        <v>12</v>
      </c>
      <c r="DR2019" s="496" t="s">
        <v>689</v>
      </c>
      <c r="DS2019" s="496" t="s">
        <v>87</v>
      </c>
      <c r="DT2019" s="496" t="s">
        <v>87</v>
      </c>
      <c r="DU2019" s="496" t="s">
        <v>1085</v>
      </c>
      <c r="DV2019" s="496" t="s">
        <v>4991</v>
      </c>
      <c r="DW2019" s="496" t="s">
        <v>1087</v>
      </c>
      <c r="DX2019" s="497" t="s">
        <v>1088</v>
      </c>
      <c r="DZ2019" s="543">
        <v>1</v>
      </c>
      <c r="EB2019" s="493"/>
      <c r="EC2019" s="493"/>
    </row>
    <row r="2020" spans="119:133" ht="21" customHeight="1">
      <c r="DO2020" s="494"/>
      <c r="DP2020" s="496" t="s">
        <v>4996</v>
      </c>
      <c r="DQ2020" s="496" t="s">
        <v>12</v>
      </c>
      <c r="DR2020" s="496" t="s">
        <v>689</v>
      </c>
      <c r="DS2020" s="496" t="s">
        <v>4997</v>
      </c>
      <c r="DT2020" s="496" t="s">
        <v>4998</v>
      </c>
      <c r="DU2020" s="496" t="s">
        <v>1085</v>
      </c>
      <c r="DV2020" s="496" t="s">
        <v>4991</v>
      </c>
      <c r="DW2020" s="496" t="s">
        <v>1087</v>
      </c>
      <c r="DX2020" s="497" t="s">
        <v>1088</v>
      </c>
      <c r="DZ2020" s="543">
        <v>1</v>
      </c>
      <c r="EB2020" s="493"/>
      <c r="EC2020" s="493"/>
    </row>
    <row r="2021" spans="119:133" ht="21" customHeight="1">
      <c r="DO2021" s="494"/>
      <c r="DP2021" s="496" t="s">
        <v>4999</v>
      </c>
      <c r="DQ2021" s="496" t="s">
        <v>12</v>
      </c>
      <c r="DR2021" s="496" t="s">
        <v>689</v>
      </c>
      <c r="DS2021" s="496" t="s">
        <v>25</v>
      </c>
      <c r="DT2021" s="496" t="s">
        <v>25</v>
      </c>
      <c r="DU2021" s="496" t="s">
        <v>1085</v>
      </c>
      <c r="DV2021" s="496" t="s">
        <v>4991</v>
      </c>
      <c r="DW2021" s="496" t="s">
        <v>1087</v>
      </c>
      <c r="DX2021" s="497" t="s">
        <v>1088</v>
      </c>
      <c r="DZ2021" s="543">
        <v>1</v>
      </c>
      <c r="EB2021" s="493"/>
      <c r="EC2021" s="493"/>
    </row>
    <row r="2022" spans="119:133" ht="21" customHeight="1">
      <c r="DO2022" s="494"/>
      <c r="DP2022" s="496" t="s">
        <v>5000</v>
      </c>
      <c r="DQ2022" s="496" t="s">
        <v>12</v>
      </c>
      <c r="DR2022" s="496" t="s">
        <v>689</v>
      </c>
      <c r="DS2022" s="496" t="s">
        <v>5001</v>
      </c>
      <c r="DT2022" s="496" t="s">
        <v>5002</v>
      </c>
      <c r="DU2022" s="496" t="s">
        <v>1085</v>
      </c>
      <c r="DV2022" s="496" t="s">
        <v>4991</v>
      </c>
      <c r="DW2022" s="496" t="s">
        <v>1087</v>
      </c>
      <c r="DX2022" s="497" t="s">
        <v>1088</v>
      </c>
      <c r="DZ2022" s="543">
        <v>1</v>
      </c>
      <c r="EB2022" s="493"/>
      <c r="EC2022" s="493"/>
    </row>
    <row r="2023" spans="119:133" ht="21" customHeight="1">
      <c r="DO2023" s="494"/>
      <c r="DP2023" s="496" t="s">
        <v>5003</v>
      </c>
      <c r="DQ2023" s="496" t="s">
        <v>12</v>
      </c>
      <c r="DR2023" s="496" t="s">
        <v>689</v>
      </c>
      <c r="DS2023" s="496" t="s">
        <v>5004</v>
      </c>
      <c r="DT2023" s="496" t="s">
        <v>5004</v>
      </c>
      <c r="DU2023" s="496" t="s">
        <v>1085</v>
      </c>
      <c r="DV2023" s="496" t="s">
        <v>4991</v>
      </c>
      <c r="DW2023" s="496" t="s">
        <v>1087</v>
      </c>
      <c r="DX2023" s="497" t="s">
        <v>1088</v>
      </c>
      <c r="DZ2023" s="543">
        <v>1</v>
      </c>
      <c r="EB2023" s="493"/>
      <c r="EC2023" s="493"/>
    </row>
    <row r="2024" spans="119:133" ht="21" customHeight="1">
      <c r="DO2024" s="494"/>
      <c r="DP2024" s="496" t="s">
        <v>5005</v>
      </c>
      <c r="DQ2024" s="496" t="s">
        <v>12</v>
      </c>
      <c r="DR2024" s="496" t="s">
        <v>689</v>
      </c>
      <c r="DS2024" s="496" t="s">
        <v>5006</v>
      </c>
      <c r="DT2024" s="496" t="s">
        <v>5006</v>
      </c>
      <c r="DU2024" s="496" t="s">
        <v>1085</v>
      </c>
      <c r="DV2024" s="496" t="s">
        <v>4991</v>
      </c>
      <c r="DW2024" s="496" t="s">
        <v>1087</v>
      </c>
      <c r="DX2024" s="497" t="s">
        <v>1088</v>
      </c>
      <c r="DZ2024" s="543">
        <v>1</v>
      </c>
      <c r="EB2024" s="493"/>
      <c r="EC2024" s="493"/>
    </row>
    <row r="2025" spans="119:133" ht="21" customHeight="1">
      <c r="DO2025" s="494"/>
      <c r="DP2025" s="496" t="s">
        <v>5007</v>
      </c>
      <c r="DQ2025" s="496" t="s">
        <v>12</v>
      </c>
      <c r="DR2025" s="496" t="s">
        <v>689</v>
      </c>
      <c r="DS2025" s="496" t="s">
        <v>74</v>
      </c>
      <c r="DT2025" s="496" t="s">
        <v>74</v>
      </c>
      <c r="DU2025" s="496" t="s">
        <v>1085</v>
      </c>
      <c r="DV2025" s="496" t="s">
        <v>4991</v>
      </c>
      <c r="DW2025" s="496" t="s">
        <v>1087</v>
      </c>
      <c r="DX2025" s="497" t="s">
        <v>1088</v>
      </c>
      <c r="DZ2025" s="543">
        <v>1</v>
      </c>
      <c r="EB2025" s="493"/>
      <c r="EC2025" s="493"/>
    </row>
    <row r="2026" spans="119:133" ht="21" customHeight="1">
      <c r="DO2026" s="494"/>
      <c r="DP2026" s="496" t="s">
        <v>5008</v>
      </c>
      <c r="DQ2026" s="496" t="s">
        <v>12</v>
      </c>
      <c r="DR2026" s="496" t="s">
        <v>689</v>
      </c>
      <c r="DS2026" s="496" t="s">
        <v>5009</v>
      </c>
      <c r="DT2026" s="496" t="s">
        <v>5009</v>
      </c>
      <c r="DU2026" s="496" t="s">
        <v>1085</v>
      </c>
      <c r="DV2026" s="496" t="s">
        <v>4991</v>
      </c>
      <c r="DW2026" s="496" t="s">
        <v>1087</v>
      </c>
      <c r="DX2026" s="497" t="s">
        <v>1088</v>
      </c>
      <c r="DZ2026" s="543">
        <v>1</v>
      </c>
      <c r="EB2026" s="493"/>
      <c r="EC2026" s="493"/>
    </row>
    <row r="2027" spans="119:133" ht="21" customHeight="1">
      <c r="DO2027" s="494"/>
      <c r="DP2027" s="496" t="s">
        <v>5010</v>
      </c>
      <c r="DQ2027" s="496" t="s">
        <v>12</v>
      </c>
      <c r="DR2027" s="496" t="s">
        <v>689</v>
      </c>
      <c r="DS2027" s="496" t="s">
        <v>344</v>
      </c>
      <c r="DT2027" s="496" t="s">
        <v>344</v>
      </c>
      <c r="DU2027" s="496" t="s">
        <v>1151</v>
      </c>
      <c r="DV2027" s="496" t="s">
        <v>1152</v>
      </c>
      <c r="DW2027" s="496" t="s">
        <v>1087</v>
      </c>
      <c r="DX2027" s="497" t="s">
        <v>1153</v>
      </c>
      <c r="DZ2027" s="543">
        <v>1</v>
      </c>
      <c r="EB2027" s="493"/>
      <c r="EC2027" s="493"/>
    </row>
    <row r="2028" spans="119:133" ht="21" customHeight="1">
      <c r="DO2028" s="494"/>
      <c r="DP2028" s="496" t="s">
        <v>5011</v>
      </c>
      <c r="DQ2028" s="496" t="s">
        <v>12</v>
      </c>
      <c r="DR2028" s="496" t="s">
        <v>689</v>
      </c>
      <c r="DS2028" s="496" t="s">
        <v>5012</v>
      </c>
      <c r="DT2028" s="496" t="s">
        <v>5012</v>
      </c>
      <c r="DU2028" s="496" t="s">
        <v>1151</v>
      </c>
      <c r="DV2028" s="496" t="s">
        <v>1152</v>
      </c>
      <c r="DW2028" s="496" t="s">
        <v>1087</v>
      </c>
      <c r="DX2028" s="497" t="s">
        <v>1153</v>
      </c>
      <c r="DZ2028" s="543">
        <v>1</v>
      </c>
      <c r="EB2028" s="493"/>
      <c r="EC2028" s="493"/>
    </row>
    <row r="2029" spans="119:133" ht="21" customHeight="1">
      <c r="DO2029" s="494"/>
      <c r="DP2029" s="496" t="s">
        <v>5013</v>
      </c>
      <c r="DQ2029" s="496" t="s">
        <v>12</v>
      </c>
      <c r="DR2029" s="496" t="s">
        <v>689</v>
      </c>
      <c r="DS2029" s="496" t="s">
        <v>5014</v>
      </c>
      <c r="DT2029" s="496" t="s">
        <v>5014</v>
      </c>
      <c r="DU2029" s="496" t="s">
        <v>1151</v>
      </c>
      <c r="DV2029" s="496" t="s">
        <v>1152</v>
      </c>
      <c r="DW2029" s="496" t="s">
        <v>1087</v>
      </c>
      <c r="DX2029" s="497" t="s">
        <v>1153</v>
      </c>
      <c r="DZ2029" s="543">
        <v>1</v>
      </c>
      <c r="EB2029" s="493"/>
      <c r="EC2029" s="493"/>
    </row>
    <row r="2030" spans="119:133" ht="21" customHeight="1">
      <c r="DO2030" s="494"/>
      <c r="DP2030" s="496" t="s">
        <v>5015</v>
      </c>
      <c r="DQ2030" s="496" t="s">
        <v>12</v>
      </c>
      <c r="DR2030" s="496" t="s">
        <v>689</v>
      </c>
      <c r="DS2030" s="496" t="s">
        <v>1015</v>
      </c>
      <c r="DT2030" s="496" t="s">
        <v>1015</v>
      </c>
      <c r="DU2030" s="496" t="s">
        <v>1085</v>
      </c>
      <c r="DV2030" s="496" t="s">
        <v>4991</v>
      </c>
      <c r="DW2030" s="496" t="s">
        <v>1087</v>
      </c>
      <c r="DX2030" s="497" t="s">
        <v>1088</v>
      </c>
      <c r="DZ2030" s="543">
        <v>1</v>
      </c>
      <c r="EB2030" s="493"/>
      <c r="EC2030" s="493"/>
    </row>
    <row r="2031" spans="119:133" ht="21" customHeight="1">
      <c r="DO2031" s="494"/>
      <c r="DP2031" s="496" t="s">
        <v>5016</v>
      </c>
      <c r="DQ2031" s="496" t="s">
        <v>12</v>
      </c>
      <c r="DR2031" s="496" t="s">
        <v>689</v>
      </c>
      <c r="DS2031" s="496" t="s">
        <v>5017</v>
      </c>
      <c r="DT2031" s="496" t="s">
        <v>5017</v>
      </c>
      <c r="DU2031" s="496" t="s">
        <v>1085</v>
      </c>
      <c r="DV2031" s="496" t="s">
        <v>4991</v>
      </c>
      <c r="DW2031" s="496" t="s">
        <v>1087</v>
      </c>
      <c r="DX2031" s="497" t="s">
        <v>1088</v>
      </c>
      <c r="DZ2031" s="543">
        <v>1</v>
      </c>
      <c r="EB2031" s="493"/>
      <c r="EC2031" s="493"/>
    </row>
    <row r="2032" spans="119:133" ht="21" customHeight="1">
      <c r="DO2032" s="494"/>
      <c r="DP2032" s="496" t="s">
        <v>5018</v>
      </c>
      <c r="DQ2032" s="496" t="s">
        <v>12</v>
      </c>
      <c r="DR2032" s="496" t="s">
        <v>689</v>
      </c>
      <c r="DS2032" s="496" t="s">
        <v>5019</v>
      </c>
      <c r="DT2032" s="496" t="s">
        <v>5020</v>
      </c>
      <c r="DU2032" s="496" t="s">
        <v>1085</v>
      </c>
      <c r="DV2032" s="496" t="s">
        <v>4991</v>
      </c>
      <c r="DW2032" s="496" t="s">
        <v>1087</v>
      </c>
      <c r="DX2032" s="497" t="s">
        <v>1088</v>
      </c>
      <c r="DZ2032" s="543">
        <v>1</v>
      </c>
      <c r="EB2032" s="493"/>
      <c r="EC2032" s="493"/>
    </row>
    <row r="2033" spans="119:133" ht="21" customHeight="1">
      <c r="DO2033" s="494"/>
      <c r="DP2033" s="496" t="s">
        <v>5021</v>
      </c>
      <c r="DQ2033" s="496" t="s">
        <v>12</v>
      </c>
      <c r="DR2033" s="496" t="s">
        <v>1511</v>
      </c>
      <c r="DS2033" s="496" t="s">
        <v>1522</v>
      </c>
      <c r="DT2033" s="496" t="s">
        <v>1522</v>
      </c>
      <c r="DU2033" s="496" t="s">
        <v>1085</v>
      </c>
      <c r="DV2033" s="496" t="s">
        <v>3799</v>
      </c>
      <c r="DW2033" s="496" t="s">
        <v>1087</v>
      </c>
      <c r="DX2033" s="497" t="s">
        <v>1088</v>
      </c>
      <c r="DZ2033" s="543">
        <v>1</v>
      </c>
      <c r="EB2033" s="493"/>
      <c r="EC2033" s="493"/>
    </row>
    <row r="2034" spans="119:133" ht="21" customHeight="1">
      <c r="DO2034" s="494"/>
      <c r="DP2034" s="496" t="s">
        <v>5022</v>
      </c>
      <c r="DQ2034" s="496" t="s">
        <v>12</v>
      </c>
      <c r="DR2034" s="496" t="s">
        <v>1511</v>
      </c>
      <c r="DS2034" s="496" t="s">
        <v>5023</v>
      </c>
      <c r="DT2034" s="496" t="s">
        <v>5023</v>
      </c>
      <c r="DU2034" s="496" t="s">
        <v>1085</v>
      </c>
      <c r="DV2034" s="496" t="s">
        <v>3799</v>
      </c>
      <c r="DW2034" s="496" t="s">
        <v>1087</v>
      </c>
      <c r="DX2034" s="497" t="s">
        <v>1088</v>
      </c>
      <c r="DZ2034" s="543">
        <v>1</v>
      </c>
      <c r="EB2034" s="493"/>
      <c r="EC2034" s="493"/>
    </row>
    <row r="2035" spans="119:133" ht="21" customHeight="1">
      <c r="DO2035" s="494"/>
      <c r="DP2035" s="496" t="s">
        <v>5024</v>
      </c>
      <c r="DQ2035" s="496" t="s">
        <v>12</v>
      </c>
      <c r="DR2035" s="496" t="s">
        <v>1511</v>
      </c>
      <c r="DS2035" s="496" t="s">
        <v>5025</v>
      </c>
      <c r="DT2035" s="496" t="s">
        <v>5025</v>
      </c>
      <c r="DU2035" s="496" t="s">
        <v>1085</v>
      </c>
      <c r="DV2035" s="496" t="s">
        <v>3799</v>
      </c>
      <c r="DW2035" s="496" t="s">
        <v>1087</v>
      </c>
      <c r="DX2035" s="497" t="s">
        <v>1088</v>
      </c>
      <c r="DZ2035" s="543">
        <v>1</v>
      </c>
      <c r="EB2035" s="493"/>
      <c r="EC2035" s="493"/>
    </row>
    <row r="2036" spans="119:133" ht="21" customHeight="1">
      <c r="DO2036" s="494"/>
      <c r="DP2036" s="496" t="s">
        <v>5026</v>
      </c>
      <c r="DQ2036" s="496" t="s">
        <v>12</v>
      </c>
      <c r="DR2036" s="496" t="s">
        <v>1511</v>
      </c>
      <c r="DS2036" s="496" t="s">
        <v>351</v>
      </c>
      <c r="DT2036" s="496" t="s">
        <v>351</v>
      </c>
      <c r="DU2036" s="496" t="s">
        <v>1085</v>
      </c>
      <c r="DV2036" s="496" t="s">
        <v>3799</v>
      </c>
      <c r="DW2036" s="496" t="s">
        <v>1087</v>
      </c>
      <c r="DX2036" s="497" t="s">
        <v>1088</v>
      </c>
      <c r="DZ2036" s="543">
        <v>1</v>
      </c>
      <c r="EB2036" s="493"/>
      <c r="EC2036" s="493"/>
    </row>
    <row r="2037" spans="119:133" ht="21" customHeight="1">
      <c r="DO2037" s="494"/>
      <c r="DP2037" s="496" t="s">
        <v>5027</v>
      </c>
      <c r="DQ2037" s="496" t="s">
        <v>12</v>
      </c>
      <c r="DR2037" s="496" t="s">
        <v>1511</v>
      </c>
      <c r="DS2037" s="496" t="s">
        <v>1941</v>
      </c>
      <c r="DT2037" s="496" t="s">
        <v>913</v>
      </c>
      <c r="DU2037" s="496" t="s">
        <v>1085</v>
      </c>
      <c r="DV2037" s="496" t="s">
        <v>3799</v>
      </c>
      <c r="DW2037" s="496" t="s">
        <v>1087</v>
      </c>
      <c r="DX2037" s="497" t="s">
        <v>1088</v>
      </c>
      <c r="DZ2037" s="543">
        <v>1</v>
      </c>
      <c r="EB2037" s="493"/>
      <c r="EC2037" s="493"/>
    </row>
    <row r="2038" spans="119:133" ht="21" customHeight="1">
      <c r="DO2038" s="494"/>
      <c r="DP2038" s="496" t="s">
        <v>5028</v>
      </c>
      <c r="DQ2038" s="496" t="s">
        <v>12</v>
      </c>
      <c r="DR2038" s="496" t="s">
        <v>1511</v>
      </c>
      <c r="DS2038" s="496" t="s">
        <v>5029</v>
      </c>
      <c r="DT2038" s="496" t="s">
        <v>5029</v>
      </c>
      <c r="DU2038" s="496" t="s">
        <v>1085</v>
      </c>
      <c r="DV2038" s="496" t="s">
        <v>3799</v>
      </c>
      <c r="DW2038" s="496" t="s">
        <v>1087</v>
      </c>
      <c r="DX2038" s="497" t="s">
        <v>1088</v>
      </c>
      <c r="DZ2038" s="543">
        <v>1</v>
      </c>
      <c r="EB2038" s="493"/>
      <c r="EC2038" s="493"/>
    </row>
    <row r="2039" spans="119:133" ht="21" customHeight="1">
      <c r="DO2039" s="494"/>
      <c r="DP2039" s="496" t="s">
        <v>5030</v>
      </c>
      <c r="DQ2039" s="496" t="s">
        <v>12</v>
      </c>
      <c r="DR2039" s="496" t="s">
        <v>1511</v>
      </c>
      <c r="DS2039" s="496" t="s">
        <v>5031</v>
      </c>
      <c r="DT2039" s="496" t="s">
        <v>5031</v>
      </c>
      <c r="DU2039" s="496" t="s">
        <v>1085</v>
      </c>
      <c r="DV2039" s="496" t="s">
        <v>3799</v>
      </c>
      <c r="DW2039" s="496" t="s">
        <v>1087</v>
      </c>
      <c r="DX2039" s="497" t="s">
        <v>1088</v>
      </c>
      <c r="DZ2039" s="543">
        <v>1</v>
      </c>
      <c r="EB2039" s="493"/>
      <c r="EC2039" s="493"/>
    </row>
    <row r="2040" spans="119:133" ht="21" customHeight="1">
      <c r="DO2040" s="494"/>
      <c r="DP2040" s="496" t="s">
        <v>5032</v>
      </c>
      <c r="DQ2040" s="496" t="s">
        <v>12</v>
      </c>
      <c r="DR2040" s="496" t="s">
        <v>1511</v>
      </c>
      <c r="DS2040" s="496" t="s">
        <v>5033</v>
      </c>
      <c r="DT2040" s="496" t="s">
        <v>5033</v>
      </c>
      <c r="DU2040" s="496" t="s">
        <v>1085</v>
      </c>
      <c r="DV2040" s="496" t="s">
        <v>3799</v>
      </c>
      <c r="DW2040" s="496" t="s">
        <v>1087</v>
      </c>
      <c r="DX2040" s="497" t="s">
        <v>1088</v>
      </c>
      <c r="DZ2040" s="543">
        <v>1</v>
      </c>
      <c r="EB2040" s="493"/>
      <c r="EC2040" s="493"/>
    </row>
    <row r="2041" spans="119:133" ht="21" customHeight="1">
      <c r="DO2041" s="494"/>
      <c r="DP2041" s="496" t="s">
        <v>5034</v>
      </c>
      <c r="DQ2041" s="496" t="s">
        <v>12</v>
      </c>
      <c r="DR2041" s="496" t="s">
        <v>1511</v>
      </c>
      <c r="DS2041" s="496" t="s">
        <v>1902</v>
      </c>
      <c r="DT2041" s="496" t="s">
        <v>1902</v>
      </c>
      <c r="DU2041" s="496" t="s">
        <v>1085</v>
      </c>
      <c r="DV2041" s="496" t="s">
        <v>3799</v>
      </c>
      <c r="DW2041" s="496" t="s">
        <v>1087</v>
      </c>
      <c r="DX2041" s="497" t="s">
        <v>1088</v>
      </c>
      <c r="DZ2041" s="543">
        <v>1</v>
      </c>
      <c r="EB2041" s="493"/>
      <c r="EC2041" s="493"/>
    </row>
    <row r="2042" spans="119:133" ht="21" customHeight="1">
      <c r="DO2042" s="494"/>
      <c r="DP2042" s="496" t="s">
        <v>5035</v>
      </c>
      <c r="DQ2042" s="496" t="s">
        <v>12</v>
      </c>
      <c r="DR2042" s="496" t="s">
        <v>1511</v>
      </c>
      <c r="DS2042" s="496" t="s">
        <v>1905</v>
      </c>
      <c r="DT2042" s="496" t="s">
        <v>1906</v>
      </c>
      <c r="DU2042" s="496" t="s">
        <v>1085</v>
      </c>
      <c r="DV2042" s="496" t="s">
        <v>3799</v>
      </c>
      <c r="DW2042" s="496" t="s">
        <v>1087</v>
      </c>
      <c r="DX2042" s="497" t="s">
        <v>1088</v>
      </c>
      <c r="DZ2042" s="543">
        <v>1</v>
      </c>
      <c r="EB2042" s="493"/>
      <c r="EC2042" s="493"/>
    </row>
    <row r="2043" spans="119:133" ht="21" customHeight="1">
      <c r="DO2043" s="494"/>
      <c r="DP2043" s="496" t="s">
        <v>5036</v>
      </c>
      <c r="DQ2043" s="496" t="s">
        <v>12</v>
      </c>
      <c r="DR2043" s="496" t="s">
        <v>1511</v>
      </c>
      <c r="DS2043" s="496" t="s">
        <v>1016</v>
      </c>
      <c r="DT2043" s="496" t="s">
        <v>1016</v>
      </c>
      <c r="DU2043" s="496" t="s">
        <v>1085</v>
      </c>
      <c r="DV2043" s="496" t="s">
        <v>3799</v>
      </c>
      <c r="DW2043" s="496" t="s">
        <v>1087</v>
      </c>
      <c r="DX2043" s="497" t="s">
        <v>1088</v>
      </c>
      <c r="DZ2043" s="543">
        <v>1</v>
      </c>
      <c r="EB2043" s="493"/>
      <c r="EC2043" s="493"/>
    </row>
    <row r="2044" spans="119:133" ht="21" customHeight="1">
      <c r="DO2044" s="494"/>
      <c r="DP2044" s="496" t="s">
        <v>5037</v>
      </c>
      <c r="DQ2044" s="496" t="s">
        <v>12</v>
      </c>
      <c r="DR2044" s="496" t="s">
        <v>1511</v>
      </c>
      <c r="DS2044" s="496" t="s">
        <v>1544</v>
      </c>
      <c r="DT2044" s="496" t="s">
        <v>1544</v>
      </c>
      <c r="DU2044" s="496" t="s">
        <v>1085</v>
      </c>
      <c r="DV2044" s="496" t="s">
        <v>3799</v>
      </c>
      <c r="DW2044" s="496" t="s">
        <v>1087</v>
      </c>
      <c r="DX2044" s="497" t="s">
        <v>1088</v>
      </c>
      <c r="DZ2044" s="543">
        <v>1</v>
      </c>
      <c r="EB2044" s="493"/>
      <c r="EC2044" s="493"/>
    </row>
    <row r="2045" spans="119:133" ht="21" customHeight="1">
      <c r="DO2045" s="494"/>
      <c r="DP2045" s="496" t="s">
        <v>5038</v>
      </c>
      <c r="DQ2045" s="496" t="s">
        <v>12</v>
      </c>
      <c r="DR2045" s="496" t="s">
        <v>1511</v>
      </c>
      <c r="DS2045" s="496" t="s">
        <v>1546</v>
      </c>
      <c r="DT2045" s="496" t="s">
        <v>1546</v>
      </c>
      <c r="DU2045" s="496" t="s">
        <v>1085</v>
      </c>
      <c r="DV2045" s="496" t="s">
        <v>3799</v>
      </c>
      <c r="DW2045" s="496" t="s">
        <v>1087</v>
      </c>
      <c r="DX2045" s="497" t="s">
        <v>1088</v>
      </c>
      <c r="DZ2045" s="543">
        <v>1</v>
      </c>
      <c r="EB2045" s="493"/>
      <c r="EC2045" s="493"/>
    </row>
    <row r="2046" spans="119:133" ht="21" customHeight="1">
      <c r="DO2046" s="494"/>
      <c r="DP2046" s="496" t="s">
        <v>5039</v>
      </c>
      <c r="DQ2046" s="496" t="s">
        <v>12</v>
      </c>
      <c r="DR2046" s="496" t="s">
        <v>1511</v>
      </c>
      <c r="DS2046" s="496" t="s">
        <v>1955</v>
      </c>
      <c r="DT2046" s="496" t="s">
        <v>1955</v>
      </c>
      <c r="DU2046" s="496" t="s">
        <v>1085</v>
      </c>
      <c r="DV2046" s="496" t="s">
        <v>3799</v>
      </c>
      <c r="DW2046" s="496" t="s">
        <v>1087</v>
      </c>
      <c r="DX2046" s="497" t="s">
        <v>1088</v>
      </c>
      <c r="DZ2046" s="543">
        <v>1</v>
      </c>
      <c r="EB2046" s="493"/>
      <c r="EC2046" s="493"/>
    </row>
    <row r="2047" spans="119:133" ht="21" customHeight="1">
      <c r="DO2047" s="494"/>
      <c r="DP2047" s="496" t="s">
        <v>5040</v>
      </c>
      <c r="DQ2047" s="496" t="s">
        <v>12</v>
      </c>
      <c r="DR2047" s="496" t="s">
        <v>1511</v>
      </c>
      <c r="DS2047" s="496" t="s">
        <v>1017</v>
      </c>
      <c r="DT2047" s="496" t="s">
        <v>1017</v>
      </c>
      <c r="DU2047" s="496" t="s">
        <v>1085</v>
      </c>
      <c r="DV2047" s="496" t="s">
        <v>3799</v>
      </c>
      <c r="DW2047" s="496" t="s">
        <v>1087</v>
      </c>
      <c r="DX2047" s="497" t="s">
        <v>1088</v>
      </c>
      <c r="DZ2047" s="543">
        <v>1</v>
      </c>
      <c r="EB2047" s="493"/>
      <c r="EC2047" s="493"/>
    </row>
    <row r="2048" spans="119:133" ht="21" customHeight="1">
      <c r="DO2048" s="494"/>
      <c r="DP2048" s="496" t="s">
        <v>5041</v>
      </c>
      <c r="DQ2048" s="496" t="s">
        <v>243</v>
      </c>
      <c r="DR2048" s="496" t="s">
        <v>689</v>
      </c>
      <c r="DS2048" s="496" t="s">
        <v>5042</v>
      </c>
      <c r="DT2048" s="496" t="s">
        <v>5042</v>
      </c>
      <c r="DU2048" s="496" t="s">
        <v>1085</v>
      </c>
      <c r="DV2048" s="496" t="s">
        <v>5043</v>
      </c>
      <c r="DW2048" s="496" t="s">
        <v>1087</v>
      </c>
      <c r="DX2048" s="497" t="s">
        <v>1088</v>
      </c>
      <c r="DZ2048" s="543">
        <v>1</v>
      </c>
      <c r="EB2048" s="493"/>
      <c r="EC2048" s="493"/>
    </row>
    <row r="2049" spans="119:133" ht="21" customHeight="1">
      <c r="DO2049" s="494"/>
      <c r="DP2049" s="496" t="s">
        <v>5044</v>
      </c>
      <c r="DQ2049" s="496" t="s">
        <v>243</v>
      </c>
      <c r="DR2049" s="496" t="s">
        <v>689</v>
      </c>
      <c r="DS2049" s="496" t="s">
        <v>128</v>
      </c>
      <c r="DT2049" s="496" t="s">
        <v>128</v>
      </c>
      <c r="DU2049" s="496" t="s">
        <v>1085</v>
      </c>
      <c r="DV2049" s="496" t="s">
        <v>5043</v>
      </c>
      <c r="DW2049" s="496" t="s">
        <v>1087</v>
      </c>
      <c r="DX2049" s="497" t="s">
        <v>1088</v>
      </c>
      <c r="DZ2049" s="543">
        <v>1</v>
      </c>
      <c r="EB2049" s="493"/>
      <c r="EC2049" s="493"/>
    </row>
    <row r="2050" spans="119:133" ht="21" customHeight="1">
      <c r="DO2050" s="494"/>
      <c r="DP2050" s="496" t="s">
        <v>5045</v>
      </c>
      <c r="DQ2050" s="496" t="s">
        <v>243</v>
      </c>
      <c r="DR2050" s="496" t="s">
        <v>689</v>
      </c>
      <c r="DS2050" s="496" t="s">
        <v>5046</v>
      </c>
      <c r="DT2050" s="496" t="s">
        <v>49</v>
      </c>
      <c r="DU2050" s="496" t="s">
        <v>1085</v>
      </c>
      <c r="DV2050" s="496" t="s">
        <v>5043</v>
      </c>
      <c r="DW2050" s="496" t="s">
        <v>1087</v>
      </c>
      <c r="DX2050" s="497" t="s">
        <v>1088</v>
      </c>
      <c r="DZ2050" s="543">
        <v>1</v>
      </c>
      <c r="EB2050" s="493"/>
      <c r="EC2050" s="493"/>
    </row>
    <row r="2051" spans="119:133" ht="21" customHeight="1">
      <c r="DO2051" s="494"/>
      <c r="DP2051" s="496" t="s">
        <v>5047</v>
      </c>
      <c r="DQ2051" s="496" t="s">
        <v>243</v>
      </c>
      <c r="DR2051" s="496" t="s">
        <v>689</v>
      </c>
      <c r="DS2051" s="496" t="s">
        <v>5048</v>
      </c>
      <c r="DT2051" s="496" t="s">
        <v>37</v>
      </c>
      <c r="DU2051" s="496" t="s">
        <v>1085</v>
      </c>
      <c r="DV2051" s="496" t="s">
        <v>5043</v>
      </c>
      <c r="DW2051" s="496" t="s">
        <v>1087</v>
      </c>
      <c r="DX2051" s="497" t="s">
        <v>1088</v>
      </c>
      <c r="DZ2051" s="543">
        <v>1</v>
      </c>
      <c r="EB2051" s="493"/>
      <c r="EC2051" s="493"/>
    </row>
    <row r="2052" spans="119:133" ht="21" customHeight="1">
      <c r="DO2052" s="494"/>
      <c r="DP2052" s="496" t="s">
        <v>5049</v>
      </c>
      <c r="DQ2052" s="496" t="s">
        <v>243</v>
      </c>
      <c r="DR2052" s="496" t="s">
        <v>689</v>
      </c>
      <c r="DS2052" s="496" t="s">
        <v>5050</v>
      </c>
      <c r="DT2052" s="496" t="s">
        <v>5050</v>
      </c>
      <c r="DU2052" s="496" t="s">
        <v>1085</v>
      </c>
      <c r="DV2052" s="496" t="s">
        <v>5043</v>
      </c>
      <c r="DW2052" s="496" t="s">
        <v>1087</v>
      </c>
      <c r="DX2052" s="497" t="s">
        <v>1088</v>
      </c>
      <c r="DZ2052" s="543">
        <v>1</v>
      </c>
      <c r="EB2052" s="493"/>
      <c r="EC2052" s="493"/>
    </row>
    <row r="2053" spans="119:133" ht="21" customHeight="1">
      <c r="DO2053" s="494"/>
      <c r="DP2053" s="496" t="s">
        <v>5051</v>
      </c>
      <c r="DQ2053" s="496" t="s">
        <v>243</v>
      </c>
      <c r="DR2053" s="496" t="s">
        <v>689</v>
      </c>
      <c r="DS2053" s="496" t="s">
        <v>5052</v>
      </c>
      <c r="DT2053" s="496" t="s">
        <v>5052</v>
      </c>
      <c r="DU2053" s="496" t="s">
        <v>1085</v>
      </c>
      <c r="DV2053" s="496" t="s">
        <v>5043</v>
      </c>
      <c r="DW2053" s="496" t="s">
        <v>1087</v>
      </c>
      <c r="DX2053" s="497" t="s">
        <v>1088</v>
      </c>
      <c r="DZ2053" s="543">
        <v>1</v>
      </c>
      <c r="EB2053" s="493"/>
      <c r="EC2053" s="493"/>
    </row>
    <row r="2054" spans="119:133" ht="21" customHeight="1">
      <c r="DO2054" s="494"/>
      <c r="DP2054" s="496" t="s">
        <v>5053</v>
      </c>
      <c r="DQ2054" s="496" t="s">
        <v>243</v>
      </c>
      <c r="DR2054" s="496" t="s">
        <v>689</v>
      </c>
      <c r="DS2054" s="496" t="s">
        <v>5054</v>
      </c>
      <c r="DT2054" s="496" t="s">
        <v>62</v>
      </c>
      <c r="DU2054" s="496" t="s">
        <v>1085</v>
      </c>
      <c r="DV2054" s="496" t="s">
        <v>5043</v>
      </c>
      <c r="DW2054" s="496" t="s">
        <v>1087</v>
      </c>
      <c r="DX2054" s="497" t="s">
        <v>1088</v>
      </c>
      <c r="DZ2054" s="543">
        <v>1</v>
      </c>
      <c r="EB2054" s="493"/>
      <c r="EC2054" s="493"/>
    </row>
    <row r="2055" spans="119:133" ht="21" customHeight="1">
      <c r="DO2055" s="494"/>
      <c r="DP2055" s="496" t="s">
        <v>5055</v>
      </c>
      <c r="DQ2055" s="496" t="s">
        <v>243</v>
      </c>
      <c r="DR2055" s="496" t="s">
        <v>689</v>
      </c>
      <c r="DS2055" s="496" t="s">
        <v>5056</v>
      </c>
      <c r="DT2055" s="496" t="s">
        <v>5057</v>
      </c>
      <c r="DU2055" s="496" t="s">
        <v>1085</v>
      </c>
      <c r="DV2055" s="496" t="s">
        <v>5043</v>
      </c>
      <c r="DW2055" s="496" t="s">
        <v>1087</v>
      </c>
      <c r="DX2055" s="497" t="s">
        <v>1088</v>
      </c>
      <c r="DZ2055" s="543">
        <v>1</v>
      </c>
      <c r="EB2055" s="493"/>
      <c r="EC2055" s="493"/>
    </row>
    <row r="2056" spans="119:133" ht="21" customHeight="1">
      <c r="DO2056" s="494"/>
      <c r="DP2056" s="496" t="s">
        <v>5058</v>
      </c>
      <c r="DQ2056" s="496" t="s">
        <v>243</v>
      </c>
      <c r="DR2056" s="496" t="s">
        <v>689</v>
      </c>
      <c r="DS2056" s="496" t="s">
        <v>5059</v>
      </c>
      <c r="DT2056" s="496" t="s">
        <v>115</v>
      </c>
      <c r="DU2056" s="496" t="s">
        <v>1085</v>
      </c>
      <c r="DV2056" s="496" t="s">
        <v>5043</v>
      </c>
      <c r="DW2056" s="496" t="s">
        <v>1087</v>
      </c>
      <c r="DX2056" s="497" t="s">
        <v>1088</v>
      </c>
      <c r="DZ2056" s="543">
        <v>1</v>
      </c>
      <c r="EB2056" s="493"/>
      <c r="EC2056" s="493"/>
    </row>
    <row r="2057" spans="119:133" ht="21" customHeight="1">
      <c r="DO2057" s="494"/>
      <c r="DP2057" s="496" t="s">
        <v>5060</v>
      </c>
      <c r="DQ2057" s="496" t="s">
        <v>243</v>
      </c>
      <c r="DR2057" s="496" t="s">
        <v>689</v>
      </c>
      <c r="DS2057" s="496" t="s">
        <v>5061</v>
      </c>
      <c r="DT2057" s="496" t="s">
        <v>100</v>
      </c>
      <c r="DU2057" s="496" t="s">
        <v>1085</v>
      </c>
      <c r="DV2057" s="496" t="s">
        <v>5043</v>
      </c>
      <c r="DW2057" s="496" t="s">
        <v>1087</v>
      </c>
      <c r="DX2057" s="497" t="s">
        <v>1088</v>
      </c>
      <c r="DZ2057" s="543">
        <v>1</v>
      </c>
      <c r="EB2057" s="493"/>
      <c r="EC2057" s="493"/>
    </row>
    <row r="2058" spans="119:133" ht="21" customHeight="1">
      <c r="DO2058" s="494"/>
      <c r="DP2058" s="496" t="s">
        <v>5062</v>
      </c>
      <c r="DQ2058" s="496" t="s">
        <v>243</v>
      </c>
      <c r="DR2058" s="496" t="s">
        <v>689</v>
      </c>
      <c r="DS2058" s="496" t="s">
        <v>5063</v>
      </c>
      <c r="DT2058" s="496" t="s">
        <v>3</v>
      </c>
      <c r="DU2058" s="496" t="s">
        <v>1085</v>
      </c>
      <c r="DV2058" s="496" t="s">
        <v>5043</v>
      </c>
      <c r="DW2058" s="496" t="s">
        <v>1087</v>
      </c>
      <c r="DX2058" s="497" t="s">
        <v>1088</v>
      </c>
      <c r="DZ2058" s="543">
        <v>1</v>
      </c>
      <c r="EB2058" s="493"/>
      <c r="EC2058" s="493"/>
    </row>
    <row r="2059" spans="119:133" ht="21" customHeight="1">
      <c r="DO2059" s="494"/>
      <c r="DP2059" s="496" t="s">
        <v>5064</v>
      </c>
      <c r="DQ2059" s="496" t="s">
        <v>243</v>
      </c>
      <c r="DR2059" s="496" t="s">
        <v>689</v>
      </c>
      <c r="DS2059" s="496" t="s">
        <v>5065</v>
      </c>
      <c r="DT2059" s="496" t="s">
        <v>5066</v>
      </c>
      <c r="DU2059" s="496" t="s">
        <v>1085</v>
      </c>
      <c r="DV2059" s="496" t="s">
        <v>5043</v>
      </c>
      <c r="DW2059" s="496" t="s">
        <v>1087</v>
      </c>
      <c r="DX2059" s="497" t="s">
        <v>1088</v>
      </c>
      <c r="DZ2059" s="543">
        <v>1</v>
      </c>
      <c r="EB2059" s="493"/>
      <c r="EC2059" s="493"/>
    </row>
    <row r="2060" spans="119:133" ht="21" customHeight="1">
      <c r="DO2060" s="494"/>
      <c r="DP2060" s="496" t="s">
        <v>5067</v>
      </c>
      <c r="DQ2060" s="496" t="s">
        <v>243</v>
      </c>
      <c r="DR2060" s="496" t="s">
        <v>689</v>
      </c>
      <c r="DS2060" s="496" t="s">
        <v>5068</v>
      </c>
      <c r="DT2060" s="496" t="s">
        <v>5069</v>
      </c>
      <c r="DU2060" s="496" t="s">
        <v>1085</v>
      </c>
      <c r="DV2060" s="496" t="s">
        <v>5043</v>
      </c>
      <c r="DW2060" s="496" t="s">
        <v>1087</v>
      </c>
      <c r="DX2060" s="497" t="s">
        <v>1088</v>
      </c>
      <c r="DZ2060" s="543">
        <v>1</v>
      </c>
      <c r="EB2060" s="493"/>
      <c r="EC2060" s="493"/>
    </row>
    <row r="2061" spans="119:133" ht="21" customHeight="1">
      <c r="DO2061" s="494"/>
      <c r="DP2061" s="496" t="s">
        <v>5070</v>
      </c>
      <c r="DQ2061" s="496" t="s">
        <v>243</v>
      </c>
      <c r="DR2061" s="496" t="s">
        <v>689</v>
      </c>
      <c r="DS2061" s="496" t="s">
        <v>5071</v>
      </c>
      <c r="DT2061" s="496" t="s">
        <v>5071</v>
      </c>
      <c r="DU2061" s="496" t="s">
        <v>1151</v>
      </c>
      <c r="DV2061" s="496" t="s">
        <v>1152</v>
      </c>
      <c r="DW2061" s="496" t="s">
        <v>1087</v>
      </c>
      <c r="DX2061" s="497" t="s">
        <v>1153</v>
      </c>
      <c r="DZ2061" s="543">
        <v>1</v>
      </c>
      <c r="EB2061" s="493"/>
      <c r="EC2061" s="493"/>
    </row>
    <row r="2062" spans="119:133" ht="21" customHeight="1">
      <c r="DO2062" s="494"/>
      <c r="DP2062" s="496" t="s">
        <v>5072</v>
      </c>
      <c r="DQ2062" s="496" t="s">
        <v>243</v>
      </c>
      <c r="DR2062" s="496" t="s">
        <v>689</v>
      </c>
      <c r="DS2062" s="496" t="s">
        <v>5073</v>
      </c>
      <c r="DT2062" s="496" t="s">
        <v>5073</v>
      </c>
      <c r="DU2062" s="496" t="s">
        <v>1151</v>
      </c>
      <c r="DV2062" s="496" t="s">
        <v>1152</v>
      </c>
      <c r="DW2062" s="496" t="s">
        <v>1087</v>
      </c>
      <c r="DX2062" s="497" t="s">
        <v>1153</v>
      </c>
      <c r="DZ2062" s="543">
        <v>1</v>
      </c>
      <c r="EB2062" s="493"/>
      <c r="EC2062" s="493"/>
    </row>
    <row r="2063" spans="119:133" ht="21" customHeight="1">
      <c r="DO2063" s="494"/>
      <c r="DP2063" s="496" t="s">
        <v>5074</v>
      </c>
      <c r="DQ2063" s="496" t="s">
        <v>243</v>
      </c>
      <c r="DR2063" s="496" t="s">
        <v>689</v>
      </c>
      <c r="DS2063" s="496" t="s">
        <v>5075</v>
      </c>
      <c r="DT2063" s="496" t="s">
        <v>5075</v>
      </c>
      <c r="DU2063" s="496" t="s">
        <v>1151</v>
      </c>
      <c r="DV2063" s="496" t="s">
        <v>1152</v>
      </c>
      <c r="DW2063" s="496" t="s">
        <v>1087</v>
      </c>
      <c r="DX2063" s="497" t="s">
        <v>1153</v>
      </c>
      <c r="DZ2063" s="543">
        <v>1</v>
      </c>
      <c r="EB2063" s="493"/>
      <c r="EC2063" s="493"/>
    </row>
    <row r="2064" spans="119:133" ht="21" customHeight="1">
      <c r="DO2064" s="494"/>
      <c r="DP2064" s="496" t="s">
        <v>5076</v>
      </c>
      <c r="DQ2064" s="496" t="s">
        <v>243</v>
      </c>
      <c r="DR2064" s="496" t="s">
        <v>689</v>
      </c>
      <c r="DS2064" s="496" t="s">
        <v>88</v>
      </c>
      <c r="DT2064" s="496" t="s">
        <v>88</v>
      </c>
      <c r="DU2064" s="496" t="s">
        <v>1085</v>
      </c>
      <c r="DV2064" s="496" t="s">
        <v>5043</v>
      </c>
      <c r="DW2064" s="496" t="s">
        <v>1087</v>
      </c>
      <c r="DX2064" s="497" t="s">
        <v>1088</v>
      </c>
      <c r="DZ2064" s="543">
        <v>1</v>
      </c>
      <c r="EB2064" s="493"/>
      <c r="EC2064" s="493"/>
    </row>
    <row r="2065" spans="119:133" ht="21" customHeight="1">
      <c r="DO2065" s="494"/>
      <c r="DP2065" s="496" t="s">
        <v>5077</v>
      </c>
      <c r="DQ2065" s="496" t="s">
        <v>243</v>
      </c>
      <c r="DR2065" s="496" t="s">
        <v>689</v>
      </c>
      <c r="DS2065" s="496" t="s">
        <v>5078</v>
      </c>
      <c r="DT2065" s="496" t="s">
        <v>5078</v>
      </c>
      <c r="DU2065" s="496" t="s">
        <v>1085</v>
      </c>
      <c r="DV2065" s="496" t="s">
        <v>5043</v>
      </c>
      <c r="DW2065" s="496" t="s">
        <v>1087</v>
      </c>
      <c r="DX2065" s="497" t="s">
        <v>1088</v>
      </c>
      <c r="DZ2065" s="543">
        <v>1</v>
      </c>
      <c r="EB2065" s="493"/>
      <c r="EC2065" s="493"/>
    </row>
    <row r="2066" spans="119:133" ht="21" customHeight="1">
      <c r="DO2066" s="494"/>
      <c r="DP2066" s="496" t="s">
        <v>5079</v>
      </c>
      <c r="DQ2066" s="496" t="s">
        <v>243</v>
      </c>
      <c r="DR2066" s="496" t="s">
        <v>689</v>
      </c>
      <c r="DS2066" s="496" t="s">
        <v>75</v>
      </c>
      <c r="DT2066" s="496" t="s">
        <v>75</v>
      </c>
      <c r="DU2066" s="496" t="s">
        <v>1085</v>
      </c>
      <c r="DV2066" s="496" t="s">
        <v>5043</v>
      </c>
      <c r="DW2066" s="496" t="s">
        <v>1087</v>
      </c>
      <c r="DX2066" s="497" t="s">
        <v>1088</v>
      </c>
      <c r="DZ2066" s="543">
        <v>1</v>
      </c>
      <c r="EB2066" s="493"/>
      <c r="EC2066" s="493"/>
    </row>
    <row r="2067" spans="119:133" ht="21" customHeight="1">
      <c r="DO2067" s="494"/>
      <c r="DP2067" s="496" t="s">
        <v>5080</v>
      </c>
      <c r="DQ2067" s="496" t="s">
        <v>243</v>
      </c>
      <c r="DR2067" s="496" t="s">
        <v>1511</v>
      </c>
      <c r="DS2067" s="496" t="s">
        <v>5081</v>
      </c>
      <c r="DT2067" s="496" t="s">
        <v>5082</v>
      </c>
      <c r="DU2067" s="496" t="s">
        <v>1085</v>
      </c>
      <c r="DV2067" s="496" t="s">
        <v>3799</v>
      </c>
      <c r="DW2067" s="496" t="s">
        <v>1087</v>
      </c>
      <c r="DX2067" s="497" t="s">
        <v>1088</v>
      </c>
      <c r="DZ2067" s="543">
        <v>1</v>
      </c>
      <c r="EB2067" s="493"/>
      <c r="EC2067" s="493"/>
    </row>
    <row r="2068" spans="119:133" ht="21" customHeight="1">
      <c r="DO2068" s="494"/>
      <c r="DP2068" s="496" t="s">
        <v>5083</v>
      </c>
      <c r="DQ2068" s="496" t="s">
        <v>243</v>
      </c>
      <c r="DR2068" s="496" t="s">
        <v>1511</v>
      </c>
      <c r="DS2068" s="496" t="s">
        <v>5084</v>
      </c>
      <c r="DT2068" s="496" t="s">
        <v>5084</v>
      </c>
      <c r="DU2068" s="496" t="s">
        <v>1085</v>
      </c>
      <c r="DV2068" s="496" t="s">
        <v>3799</v>
      </c>
      <c r="DW2068" s="496" t="s">
        <v>1087</v>
      </c>
      <c r="DX2068" s="497" t="s">
        <v>1088</v>
      </c>
      <c r="DZ2068" s="543">
        <v>1</v>
      </c>
      <c r="EB2068" s="493"/>
      <c r="EC2068" s="493"/>
    </row>
    <row r="2069" spans="119:133" ht="21" customHeight="1">
      <c r="DO2069" s="494"/>
      <c r="DP2069" s="496" t="s">
        <v>5085</v>
      </c>
      <c r="DQ2069" s="496" t="s">
        <v>243</v>
      </c>
      <c r="DR2069" s="496" t="s">
        <v>1511</v>
      </c>
      <c r="DS2069" s="496" t="s">
        <v>5086</v>
      </c>
      <c r="DT2069" s="496" t="s">
        <v>5086</v>
      </c>
      <c r="DU2069" s="496" t="s">
        <v>1085</v>
      </c>
      <c r="DV2069" s="496" t="s">
        <v>3799</v>
      </c>
      <c r="DW2069" s="496" t="s">
        <v>1087</v>
      </c>
      <c r="DX2069" s="497" t="s">
        <v>1088</v>
      </c>
      <c r="DZ2069" s="543">
        <v>1</v>
      </c>
      <c r="EB2069" s="493"/>
      <c r="EC2069" s="493"/>
    </row>
    <row r="2070" spans="119:133" ht="21" customHeight="1">
      <c r="DO2070" s="494"/>
      <c r="DP2070" s="496" t="s">
        <v>5087</v>
      </c>
      <c r="DQ2070" s="496" t="s">
        <v>243</v>
      </c>
      <c r="DR2070" s="496" t="s">
        <v>1511</v>
      </c>
      <c r="DS2070" s="496" t="s">
        <v>1199</v>
      </c>
      <c r="DT2070" s="496" t="s">
        <v>1199</v>
      </c>
      <c r="DU2070" s="496" t="s">
        <v>1085</v>
      </c>
      <c r="DV2070" s="496" t="s">
        <v>3799</v>
      </c>
      <c r="DW2070" s="496" t="s">
        <v>1087</v>
      </c>
      <c r="DX2070" s="497" t="s">
        <v>1088</v>
      </c>
      <c r="DZ2070" s="543">
        <v>1</v>
      </c>
      <c r="EB2070" s="493"/>
      <c r="EC2070" s="493"/>
    </row>
    <row r="2071" spans="119:133" ht="21" customHeight="1">
      <c r="DO2071" s="494"/>
      <c r="DP2071" s="496" t="s">
        <v>5088</v>
      </c>
      <c r="DQ2071" s="496" t="s">
        <v>243</v>
      </c>
      <c r="DR2071" s="496" t="s">
        <v>1511</v>
      </c>
      <c r="DS2071" s="496" t="s">
        <v>1067</v>
      </c>
      <c r="DT2071" s="496" t="s">
        <v>1067</v>
      </c>
      <c r="DU2071" s="496" t="s">
        <v>1085</v>
      </c>
      <c r="DV2071" s="496" t="s">
        <v>3799</v>
      </c>
      <c r="DW2071" s="496" t="s">
        <v>1087</v>
      </c>
      <c r="DX2071" s="497" t="s">
        <v>1088</v>
      </c>
      <c r="DZ2071" s="543">
        <v>1</v>
      </c>
      <c r="EB2071" s="493"/>
      <c r="EC2071" s="493"/>
    </row>
    <row r="2072" spans="119:133" ht="21" customHeight="1">
      <c r="DO2072" s="494"/>
      <c r="DP2072" s="496" t="s">
        <v>5089</v>
      </c>
      <c r="DQ2072" s="496" t="s">
        <v>243</v>
      </c>
      <c r="DR2072" s="496" t="s">
        <v>1511</v>
      </c>
      <c r="DS2072" s="496" t="s">
        <v>4913</v>
      </c>
      <c r="DT2072" s="496" t="s">
        <v>4913</v>
      </c>
      <c r="DU2072" s="496" t="s">
        <v>1085</v>
      </c>
      <c r="DV2072" s="496" t="s">
        <v>3799</v>
      </c>
      <c r="DW2072" s="496" t="s">
        <v>1087</v>
      </c>
      <c r="DX2072" s="497" t="s">
        <v>1088</v>
      </c>
      <c r="DZ2072" s="543">
        <v>1</v>
      </c>
      <c r="EB2072" s="493"/>
      <c r="EC2072" s="493"/>
    </row>
    <row r="2073" spans="119:133" ht="21" customHeight="1">
      <c r="DO2073" s="494"/>
      <c r="DP2073" s="496" t="s">
        <v>5090</v>
      </c>
      <c r="DQ2073" s="496" t="s">
        <v>243</v>
      </c>
      <c r="DR2073" s="496" t="s">
        <v>1511</v>
      </c>
      <c r="DS2073" s="496" t="s">
        <v>1068</v>
      </c>
      <c r="DT2073" s="496" t="s">
        <v>1068</v>
      </c>
      <c r="DU2073" s="496" t="s">
        <v>1085</v>
      </c>
      <c r="DV2073" s="496" t="s">
        <v>3799</v>
      </c>
      <c r="DW2073" s="496" t="s">
        <v>1087</v>
      </c>
      <c r="DX2073" s="497" t="s">
        <v>1088</v>
      </c>
      <c r="DZ2073" s="543">
        <v>1</v>
      </c>
      <c r="EB2073" s="493"/>
      <c r="EC2073" s="493"/>
    </row>
    <row r="2074" spans="119:133" ht="21" customHeight="1">
      <c r="DO2074" s="494"/>
      <c r="DP2074" s="496" t="s">
        <v>5091</v>
      </c>
      <c r="DQ2074" s="496" t="s">
        <v>243</v>
      </c>
      <c r="DR2074" s="496" t="s">
        <v>1511</v>
      </c>
      <c r="DS2074" s="496" t="s">
        <v>1069</v>
      </c>
      <c r="DT2074" s="496" t="s">
        <v>1069</v>
      </c>
      <c r="DU2074" s="496" t="s">
        <v>1085</v>
      </c>
      <c r="DV2074" s="496" t="s">
        <v>3799</v>
      </c>
      <c r="DW2074" s="496" t="s">
        <v>1087</v>
      </c>
      <c r="DX2074" s="497" t="s">
        <v>1088</v>
      </c>
      <c r="DZ2074" s="543">
        <v>1</v>
      </c>
      <c r="EB2074" s="493"/>
      <c r="EC2074" s="493"/>
    </row>
    <row r="2075" spans="119:133" ht="21" customHeight="1">
      <c r="DO2075" s="494"/>
      <c r="DP2075" s="496" t="s">
        <v>5092</v>
      </c>
      <c r="DQ2075" s="496" t="s">
        <v>243</v>
      </c>
      <c r="DR2075" s="496" t="s">
        <v>1511</v>
      </c>
      <c r="DS2075" s="496" t="s">
        <v>4918</v>
      </c>
      <c r="DT2075" s="496" t="s">
        <v>4918</v>
      </c>
      <c r="DU2075" s="496" t="s">
        <v>1085</v>
      </c>
      <c r="DV2075" s="496" t="s">
        <v>3799</v>
      </c>
      <c r="DW2075" s="496" t="s">
        <v>1087</v>
      </c>
      <c r="DX2075" s="497" t="s">
        <v>1088</v>
      </c>
      <c r="DZ2075" s="543">
        <v>1</v>
      </c>
      <c r="EB2075" s="493"/>
      <c r="EC2075" s="493"/>
    </row>
    <row r="2076" spans="119:133" ht="21" customHeight="1">
      <c r="DO2076" s="494"/>
      <c r="DP2076" s="496" t="s">
        <v>5093</v>
      </c>
      <c r="DQ2076" s="496" t="s">
        <v>243</v>
      </c>
      <c r="DR2076" s="496" t="s">
        <v>1511</v>
      </c>
      <c r="DS2076" s="496" t="s">
        <v>5094</v>
      </c>
      <c r="DT2076" s="496" t="s">
        <v>5094</v>
      </c>
      <c r="DU2076" s="496" t="s">
        <v>1085</v>
      </c>
      <c r="DV2076" s="496" t="s">
        <v>3799</v>
      </c>
      <c r="DW2076" s="496" t="s">
        <v>1087</v>
      </c>
      <c r="DX2076" s="497" t="s">
        <v>1088</v>
      </c>
      <c r="DZ2076" s="543">
        <v>1</v>
      </c>
      <c r="EB2076" s="493"/>
      <c r="EC2076" s="493"/>
    </row>
    <row r="2077" spans="119:133" ht="21" customHeight="1">
      <c r="DO2077" s="494"/>
      <c r="DP2077" s="496" t="s">
        <v>5095</v>
      </c>
      <c r="DQ2077" s="496" t="s">
        <v>243</v>
      </c>
      <c r="DR2077" s="496" t="s">
        <v>1511</v>
      </c>
      <c r="DS2077" s="496" t="s">
        <v>5096</v>
      </c>
      <c r="DT2077" s="496" t="s">
        <v>5096</v>
      </c>
      <c r="DU2077" s="496" t="s">
        <v>1085</v>
      </c>
      <c r="DV2077" s="496" t="s">
        <v>3799</v>
      </c>
      <c r="DW2077" s="496" t="s">
        <v>1087</v>
      </c>
      <c r="DX2077" s="497" t="s">
        <v>1088</v>
      </c>
      <c r="DZ2077" s="543">
        <v>1</v>
      </c>
      <c r="EB2077" s="493"/>
      <c r="EC2077" s="493"/>
    </row>
    <row r="2078" spans="119:133" ht="21" customHeight="1">
      <c r="DO2078" s="494"/>
      <c r="DP2078" s="496" t="s">
        <v>5097</v>
      </c>
      <c r="DQ2078" s="496" t="s">
        <v>243</v>
      </c>
      <c r="DR2078" s="496" t="s">
        <v>1511</v>
      </c>
      <c r="DS2078" s="496" t="s">
        <v>5098</v>
      </c>
      <c r="DT2078" s="496" t="s">
        <v>5098</v>
      </c>
      <c r="DU2078" s="496" t="s">
        <v>1085</v>
      </c>
      <c r="DV2078" s="496" t="s">
        <v>3799</v>
      </c>
      <c r="DW2078" s="496" t="s">
        <v>1087</v>
      </c>
      <c r="DX2078" s="497" t="s">
        <v>1088</v>
      </c>
      <c r="DZ2078" s="543">
        <v>1</v>
      </c>
      <c r="EB2078" s="493"/>
      <c r="EC2078" s="493"/>
    </row>
    <row r="2079" spans="119:133" ht="21" customHeight="1">
      <c r="DO2079" s="494"/>
      <c r="DP2079" s="496" t="s">
        <v>5099</v>
      </c>
      <c r="DQ2079" s="496" t="s">
        <v>243</v>
      </c>
      <c r="DR2079" s="496" t="s">
        <v>1511</v>
      </c>
      <c r="DS2079" s="496" t="s">
        <v>1339</v>
      </c>
      <c r="DT2079" s="496" t="s">
        <v>1339</v>
      </c>
      <c r="DU2079" s="496" t="s">
        <v>1085</v>
      </c>
      <c r="DV2079" s="496" t="s">
        <v>3799</v>
      </c>
      <c r="DW2079" s="496" t="s">
        <v>1087</v>
      </c>
      <c r="DX2079" s="497" t="s">
        <v>1088</v>
      </c>
      <c r="DZ2079" s="543">
        <v>1</v>
      </c>
      <c r="EB2079" s="493"/>
      <c r="EC2079" s="493"/>
    </row>
    <row r="2080" spans="119:133" ht="21" customHeight="1">
      <c r="DO2080" s="494"/>
      <c r="DP2080" s="496" t="s">
        <v>5100</v>
      </c>
      <c r="DQ2080" s="496" t="s">
        <v>243</v>
      </c>
      <c r="DR2080" s="496" t="s">
        <v>1511</v>
      </c>
      <c r="DS2080" s="496" t="s">
        <v>5101</v>
      </c>
      <c r="DT2080" s="496" t="s">
        <v>5101</v>
      </c>
      <c r="DU2080" s="496" t="s">
        <v>1085</v>
      </c>
      <c r="DV2080" s="496" t="s">
        <v>3799</v>
      </c>
      <c r="DW2080" s="496" t="s">
        <v>1087</v>
      </c>
      <c r="DX2080" s="497" t="s">
        <v>1088</v>
      </c>
      <c r="DZ2080" s="543">
        <v>1</v>
      </c>
      <c r="EB2080" s="493"/>
      <c r="EC2080" s="493"/>
    </row>
    <row r="2081" spans="119:133" ht="21" customHeight="1">
      <c r="DO2081" s="494"/>
      <c r="DP2081" s="496" t="s">
        <v>5102</v>
      </c>
      <c r="DQ2081" s="496" t="s">
        <v>243</v>
      </c>
      <c r="DR2081" s="496" t="s">
        <v>1511</v>
      </c>
      <c r="DS2081" s="496" t="s">
        <v>5103</v>
      </c>
      <c r="DT2081" s="496" t="s">
        <v>5103</v>
      </c>
      <c r="DU2081" s="496" t="s">
        <v>1085</v>
      </c>
      <c r="DV2081" s="496" t="s">
        <v>3799</v>
      </c>
      <c r="DW2081" s="496" t="s">
        <v>1087</v>
      </c>
      <c r="DX2081" s="497" t="s">
        <v>1088</v>
      </c>
      <c r="DZ2081" s="543">
        <v>1</v>
      </c>
      <c r="EB2081" s="493"/>
      <c r="EC2081" s="493"/>
    </row>
    <row r="2082" spans="119:133" ht="21" customHeight="1">
      <c r="DO2082" s="494"/>
      <c r="DP2082" s="496" t="s">
        <v>5104</v>
      </c>
      <c r="DQ2082" s="496" t="s">
        <v>13</v>
      </c>
      <c r="DR2082" s="496" t="s">
        <v>689</v>
      </c>
      <c r="DS2082" s="496" t="s">
        <v>5105</v>
      </c>
      <c r="DT2082" s="496" t="s">
        <v>5105</v>
      </c>
      <c r="DU2082" s="496" t="s">
        <v>1085</v>
      </c>
      <c r="DV2082" s="496" t="s">
        <v>5106</v>
      </c>
      <c r="DW2082" s="496" t="s">
        <v>1087</v>
      </c>
      <c r="DX2082" s="497" t="s">
        <v>1088</v>
      </c>
      <c r="DZ2082" s="543">
        <v>1</v>
      </c>
      <c r="EB2082" s="493"/>
      <c r="EC2082" s="493"/>
    </row>
    <row r="2083" spans="119:133" ht="21" customHeight="1">
      <c r="DO2083" s="494"/>
      <c r="DP2083" s="496" t="s">
        <v>5107</v>
      </c>
      <c r="DQ2083" s="496" t="s">
        <v>13</v>
      </c>
      <c r="DR2083" s="496" t="s">
        <v>689</v>
      </c>
      <c r="DS2083" s="496" t="s">
        <v>50</v>
      </c>
      <c r="DT2083" s="496" t="s">
        <v>50</v>
      </c>
      <c r="DU2083" s="496" t="s">
        <v>1085</v>
      </c>
      <c r="DV2083" s="496" t="s">
        <v>5106</v>
      </c>
      <c r="DW2083" s="496" t="s">
        <v>1087</v>
      </c>
      <c r="DX2083" s="497" t="s">
        <v>1088</v>
      </c>
      <c r="DZ2083" s="543">
        <v>1</v>
      </c>
      <c r="EB2083" s="493"/>
      <c r="EC2083" s="493"/>
    </row>
    <row r="2084" spans="119:133" ht="21" customHeight="1">
      <c r="DO2084" s="494"/>
      <c r="DP2084" s="496" t="s">
        <v>5108</v>
      </c>
      <c r="DQ2084" s="496" t="s">
        <v>13</v>
      </c>
      <c r="DR2084" s="496" t="s">
        <v>689</v>
      </c>
      <c r="DS2084" s="496" t="s">
        <v>76</v>
      </c>
      <c r="DT2084" s="496" t="s">
        <v>76</v>
      </c>
      <c r="DU2084" s="496" t="s">
        <v>1085</v>
      </c>
      <c r="DV2084" s="496" t="s">
        <v>5106</v>
      </c>
      <c r="DW2084" s="496" t="s">
        <v>1087</v>
      </c>
      <c r="DX2084" s="497" t="s">
        <v>1088</v>
      </c>
      <c r="DZ2084" s="543">
        <v>1</v>
      </c>
      <c r="EB2084" s="493"/>
      <c r="EC2084" s="493"/>
    </row>
    <row r="2085" spans="119:133" ht="21" customHeight="1">
      <c r="DO2085" s="494"/>
      <c r="DP2085" s="496" t="s">
        <v>5109</v>
      </c>
      <c r="DQ2085" s="496" t="s">
        <v>13</v>
      </c>
      <c r="DR2085" s="496" t="s">
        <v>689</v>
      </c>
      <c r="DS2085" s="496" t="s">
        <v>63</v>
      </c>
      <c r="DT2085" s="496" t="s">
        <v>63</v>
      </c>
      <c r="DU2085" s="496" t="s">
        <v>1085</v>
      </c>
      <c r="DV2085" s="496" t="s">
        <v>5106</v>
      </c>
      <c r="DW2085" s="496" t="s">
        <v>1087</v>
      </c>
      <c r="DX2085" s="497" t="s">
        <v>1088</v>
      </c>
      <c r="DZ2085" s="543">
        <v>1</v>
      </c>
      <c r="EB2085" s="493"/>
      <c r="EC2085" s="493"/>
    </row>
    <row r="2086" spans="119:133" ht="21" customHeight="1">
      <c r="DO2086" s="494"/>
      <c r="DP2086" s="496" t="s">
        <v>5110</v>
      </c>
      <c r="DQ2086" s="496" t="s">
        <v>13</v>
      </c>
      <c r="DR2086" s="496" t="s">
        <v>689</v>
      </c>
      <c r="DS2086" s="496" t="s">
        <v>5111</v>
      </c>
      <c r="DT2086" s="496" t="s">
        <v>368</v>
      </c>
      <c r="DU2086" s="496" t="s">
        <v>1085</v>
      </c>
      <c r="DV2086" s="496" t="s">
        <v>5106</v>
      </c>
      <c r="DW2086" s="496" t="s">
        <v>1087</v>
      </c>
      <c r="DX2086" s="497" t="s">
        <v>1088</v>
      </c>
      <c r="DZ2086" s="543">
        <v>1</v>
      </c>
      <c r="EB2086" s="493"/>
      <c r="EC2086" s="493"/>
    </row>
    <row r="2087" spans="119:133" ht="21" customHeight="1">
      <c r="DO2087" s="494"/>
      <c r="DP2087" s="496" t="s">
        <v>5112</v>
      </c>
      <c r="DQ2087" s="496" t="s">
        <v>13</v>
      </c>
      <c r="DR2087" s="496" t="s">
        <v>689</v>
      </c>
      <c r="DS2087" s="496" t="s">
        <v>5113</v>
      </c>
      <c r="DT2087" s="496" t="s">
        <v>369</v>
      </c>
      <c r="DU2087" s="496" t="s">
        <v>1085</v>
      </c>
      <c r="DV2087" s="496" t="s">
        <v>5106</v>
      </c>
      <c r="DW2087" s="496" t="s">
        <v>1087</v>
      </c>
      <c r="DX2087" s="497" t="s">
        <v>1088</v>
      </c>
      <c r="DZ2087" s="543">
        <v>1</v>
      </c>
      <c r="EB2087" s="493"/>
      <c r="EC2087" s="493"/>
    </row>
    <row r="2088" spans="119:133" ht="21" customHeight="1">
      <c r="DO2088" s="494"/>
      <c r="DP2088" s="496" t="s">
        <v>5114</v>
      </c>
      <c r="DQ2088" s="496" t="s">
        <v>13</v>
      </c>
      <c r="DR2088" s="496" t="s">
        <v>689</v>
      </c>
      <c r="DS2088" s="496" t="s">
        <v>5115</v>
      </c>
      <c r="DT2088" s="496" t="s">
        <v>370</v>
      </c>
      <c r="DU2088" s="496" t="s">
        <v>1085</v>
      </c>
      <c r="DV2088" s="496" t="s">
        <v>5106</v>
      </c>
      <c r="DW2088" s="496" t="s">
        <v>1087</v>
      </c>
      <c r="DX2088" s="497" t="s">
        <v>1088</v>
      </c>
      <c r="DZ2088" s="543">
        <v>1</v>
      </c>
      <c r="EB2088" s="493"/>
      <c r="EC2088" s="493"/>
    </row>
    <row r="2089" spans="119:133" ht="21" customHeight="1">
      <c r="DO2089" s="494"/>
      <c r="DP2089" s="496" t="s">
        <v>5116</v>
      </c>
      <c r="DQ2089" s="496" t="s">
        <v>13</v>
      </c>
      <c r="DR2089" s="496" t="s">
        <v>689</v>
      </c>
      <c r="DS2089" s="496" t="s">
        <v>5117</v>
      </c>
      <c r="DT2089" s="496" t="s">
        <v>371</v>
      </c>
      <c r="DU2089" s="496" t="s">
        <v>1085</v>
      </c>
      <c r="DV2089" s="496" t="s">
        <v>5106</v>
      </c>
      <c r="DW2089" s="496" t="s">
        <v>1087</v>
      </c>
      <c r="DX2089" s="497" t="s">
        <v>1088</v>
      </c>
      <c r="DZ2089" s="543">
        <v>1</v>
      </c>
      <c r="EB2089" s="493"/>
      <c r="EC2089" s="493"/>
    </row>
    <row r="2090" spans="119:133" ht="21" customHeight="1">
      <c r="DO2090" s="494"/>
      <c r="DP2090" s="496" t="s">
        <v>5118</v>
      </c>
      <c r="DQ2090" s="496" t="s">
        <v>13</v>
      </c>
      <c r="DR2090" s="496" t="s">
        <v>689</v>
      </c>
      <c r="DS2090" s="496" t="s">
        <v>5119</v>
      </c>
      <c r="DT2090" s="496" t="s">
        <v>372</v>
      </c>
      <c r="DU2090" s="496" t="s">
        <v>1085</v>
      </c>
      <c r="DV2090" s="496" t="s">
        <v>5106</v>
      </c>
      <c r="DW2090" s="496" t="s">
        <v>1087</v>
      </c>
      <c r="DX2090" s="497" t="s">
        <v>1088</v>
      </c>
      <c r="DZ2090" s="543">
        <v>1</v>
      </c>
      <c r="EB2090" s="493"/>
      <c r="EC2090" s="493"/>
    </row>
    <row r="2091" spans="119:133" ht="21" customHeight="1">
      <c r="DO2091" s="494"/>
      <c r="DP2091" s="496" t="s">
        <v>5120</v>
      </c>
      <c r="DQ2091" s="496" t="s">
        <v>13</v>
      </c>
      <c r="DR2091" s="496" t="s">
        <v>689</v>
      </c>
      <c r="DS2091" s="496" t="s">
        <v>5121</v>
      </c>
      <c r="DT2091" s="496" t="s">
        <v>373</v>
      </c>
      <c r="DU2091" s="496" t="s">
        <v>1085</v>
      </c>
      <c r="DV2091" s="496" t="s">
        <v>5106</v>
      </c>
      <c r="DW2091" s="496" t="s">
        <v>1087</v>
      </c>
      <c r="DX2091" s="497" t="s">
        <v>1088</v>
      </c>
      <c r="DZ2091" s="543">
        <v>1</v>
      </c>
      <c r="EB2091" s="493"/>
      <c r="EC2091" s="493"/>
    </row>
    <row r="2092" spans="119:133" ht="21" customHeight="1">
      <c r="DO2092" s="494"/>
      <c r="DP2092" s="496" t="s">
        <v>5122</v>
      </c>
      <c r="DQ2092" s="496" t="s">
        <v>13</v>
      </c>
      <c r="DR2092" s="496" t="s">
        <v>689</v>
      </c>
      <c r="DS2092" s="496" t="s">
        <v>5123</v>
      </c>
      <c r="DT2092" s="496" t="s">
        <v>374</v>
      </c>
      <c r="DU2092" s="496" t="s">
        <v>1085</v>
      </c>
      <c r="DV2092" s="496" t="s">
        <v>5106</v>
      </c>
      <c r="DW2092" s="496" t="s">
        <v>1087</v>
      </c>
      <c r="DX2092" s="497" t="s">
        <v>1088</v>
      </c>
      <c r="DZ2092" s="543">
        <v>1</v>
      </c>
      <c r="EB2092" s="493"/>
      <c r="EC2092" s="493"/>
    </row>
    <row r="2093" spans="119:133" ht="21" customHeight="1">
      <c r="DO2093" s="494"/>
      <c r="DP2093" s="496" t="s">
        <v>5124</v>
      </c>
      <c r="DQ2093" s="496" t="s">
        <v>13</v>
      </c>
      <c r="DR2093" s="496" t="s">
        <v>689</v>
      </c>
      <c r="DS2093" s="496" t="s">
        <v>5125</v>
      </c>
      <c r="DT2093" s="496" t="s">
        <v>375</v>
      </c>
      <c r="DU2093" s="496" t="s">
        <v>1085</v>
      </c>
      <c r="DV2093" s="496" t="s">
        <v>5106</v>
      </c>
      <c r="DW2093" s="496" t="s">
        <v>1087</v>
      </c>
      <c r="DX2093" s="497" t="s">
        <v>1088</v>
      </c>
      <c r="DZ2093" s="543">
        <v>1</v>
      </c>
      <c r="EB2093" s="493"/>
      <c r="EC2093" s="493"/>
    </row>
    <row r="2094" spans="119:133" ht="21" customHeight="1">
      <c r="DO2094" s="494"/>
      <c r="DP2094" s="496" t="s">
        <v>5126</v>
      </c>
      <c r="DQ2094" s="496" t="s">
        <v>13</v>
      </c>
      <c r="DR2094" s="496" t="s">
        <v>689</v>
      </c>
      <c r="DS2094" s="496" t="s">
        <v>5127</v>
      </c>
      <c r="DT2094" s="496" t="s">
        <v>376</v>
      </c>
      <c r="DU2094" s="496" t="s">
        <v>1085</v>
      </c>
      <c r="DV2094" s="496" t="s">
        <v>5106</v>
      </c>
      <c r="DW2094" s="496" t="s">
        <v>1087</v>
      </c>
      <c r="DX2094" s="497" t="s">
        <v>1088</v>
      </c>
      <c r="DZ2094" s="543">
        <v>1</v>
      </c>
      <c r="EB2094" s="493"/>
      <c r="EC2094" s="493"/>
    </row>
    <row r="2095" spans="119:133" ht="21" customHeight="1">
      <c r="DO2095" s="494"/>
      <c r="DP2095" s="496" t="s">
        <v>5128</v>
      </c>
      <c r="DQ2095" s="496" t="s">
        <v>13</v>
      </c>
      <c r="DR2095" s="496" t="s">
        <v>689</v>
      </c>
      <c r="DS2095" s="496" t="s">
        <v>5129</v>
      </c>
      <c r="DT2095" s="496" t="s">
        <v>5130</v>
      </c>
      <c r="DU2095" s="496" t="s">
        <v>1085</v>
      </c>
      <c r="DV2095" s="496" t="s">
        <v>5106</v>
      </c>
      <c r="DW2095" s="496" t="s">
        <v>1087</v>
      </c>
      <c r="DX2095" s="497" t="s">
        <v>1088</v>
      </c>
      <c r="DZ2095" s="543">
        <v>1</v>
      </c>
      <c r="EB2095" s="493"/>
      <c r="EC2095" s="493"/>
    </row>
    <row r="2096" spans="119:133" ht="21" customHeight="1">
      <c r="DO2096" s="494"/>
      <c r="DP2096" s="496" t="s">
        <v>5131</v>
      </c>
      <c r="DQ2096" s="496" t="s">
        <v>13</v>
      </c>
      <c r="DR2096" s="496" t="s">
        <v>689</v>
      </c>
      <c r="DS2096" s="496" t="s">
        <v>5132</v>
      </c>
      <c r="DT2096" s="496" t="s">
        <v>101</v>
      </c>
      <c r="DU2096" s="496" t="s">
        <v>1085</v>
      </c>
      <c r="DV2096" s="496" t="s">
        <v>5106</v>
      </c>
      <c r="DW2096" s="496" t="s">
        <v>1087</v>
      </c>
      <c r="DX2096" s="497" t="s">
        <v>1088</v>
      </c>
      <c r="DZ2096" s="543">
        <v>1</v>
      </c>
      <c r="EB2096" s="493"/>
      <c r="EC2096" s="493"/>
    </row>
    <row r="2097" spans="119:133" ht="21" customHeight="1">
      <c r="DO2097" s="494"/>
      <c r="DP2097" s="496" t="s">
        <v>5133</v>
      </c>
      <c r="DQ2097" s="496" t="s">
        <v>13</v>
      </c>
      <c r="DR2097" s="496" t="s">
        <v>689</v>
      </c>
      <c r="DS2097" s="496" t="s">
        <v>26</v>
      </c>
      <c r="DT2097" s="496" t="s">
        <v>26</v>
      </c>
      <c r="DU2097" s="496" t="s">
        <v>1085</v>
      </c>
      <c r="DV2097" s="496" t="s">
        <v>5106</v>
      </c>
      <c r="DW2097" s="496" t="s">
        <v>1087</v>
      </c>
      <c r="DX2097" s="497" t="s">
        <v>1088</v>
      </c>
      <c r="DZ2097" s="543">
        <v>1</v>
      </c>
      <c r="EB2097" s="493"/>
      <c r="EC2097" s="493"/>
    </row>
    <row r="2098" spans="119:133" ht="21" customHeight="1">
      <c r="DO2098" s="494"/>
      <c r="DP2098" s="496" t="s">
        <v>5134</v>
      </c>
      <c r="DQ2098" s="496" t="s">
        <v>13</v>
      </c>
      <c r="DR2098" s="496" t="s">
        <v>689</v>
      </c>
      <c r="DS2098" s="496" t="s">
        <v>4</v>
      </c>
      <c r="DT2098" s="496" t="s">
        <v>4</v>
      </c>
      <c r="DU2098" s="496" t="s">
        <v>1085</v>
      </c>
      <c r="DV2098" s="496" t="s">
        <v>5106</v>
      </c>
      <c r="DW2098" s="496" t="s">
        <v>1087</v>
      </c>
      <c r="DX2098" s="497" t="s">
        <v>1088</v>
      </c>
      <c r="DZ2098" s="543">
        <v>1</v>
      </c>
      <c r="EB2098" s="493"/>
      <c r="EC2098" s="493"/>
    </row>
    <row r="2099" spans="119:133" ht="21" customHeight="1">
      <c r="DO2099" s="494"/>
      <c r="DP2099" s="496" t="s">
        <v>5135</v>
      </c>
      <c r="DQ2099" s="496" t="s">
        <v>13</v>
      </c>
      <c r="DR2099" s="496" t="s">
        <v>689</v>
      </c>
      <c r="DS2099" s="496" t="s">
        <v>377</v>
      </c>
      <c r="DT2099" s="496" t="s">
        <v>377</v>
      </c>
      <c r="DU2099" s="496" t="s">
        <v>1151</v>
      </c>
      <c r="DV2099" s="496" t="s">
        <v>1152</v>
      </c>
      <c r="DW2099" s="496" t="s">
        <v>1087</v>
      </c>
      <c r="DX2099" s="497" t="s">
        <v>1153</v>
      </c>
      <c r="DZ2099" s="543">
        <v>1</v>
      </c>
      <c r="EB2099" s="493"/>
      <c r="EC2099" s="493"/>
    </row>
    <row r="2100" spans="119:133" ht="21" customHeight="1">
      <c r="DO2100" s="494"/>
      <c r="DP2100" s="496" t="s">
        <v>5136</v>
      </c>
      <c r="DQ2100" s="496" t="s">
        <v>13</v>
      </c>
      <c r="DR2100" s="496" t="s">
        <v>689</v>
      </c>
      <c r="DS2100" s="496" t="s">
        <v>378</v>
      </c>
      <c r="DT2100" s="496" t="s">
        <v>378</v>
      </c>
      <c r="DU2100" s="496" t="s">
        <v>1085</v>
      </c>
      <c r="DV2100" s="496" t="s">
        <v>5106</v>
      </c>
      <c r="DW2100" s="496" t="s">
        <v>1087</v>
      </c>
      <c r="DX2100" s="497" t="s">
        <v>1088</v>
      </c>
      <c r="DZ2100" s="543">
        <v>1</v>
      </c>
      <c r="EB2100" s="493"/>
      <c r="EC2100" s="493"/>
    </row>
    <row r="2101" spans="119:133" ht="21" customHeight="1">
      <c r="DO2101" s="494"/>
      <c r="DP2101" s="496" t="s">
        <v>5137</v>
      </c>
      <c r="DQ2101" s="496" t="s">
        <v>13</v>
      </c>
      <c r="DR2101" s="496" t="s">
        <v>689</v>
      </c>
      <c r="DS2101" s="496" t="s">
        <v>379</v>
      </c>
      <c r="DT2101" s="496" t="s">
        <v>379</v>
      </c>
      <c r="DU2101" s="496" t="s">
        <v>1085</v>
      </c>
      <c r="DV2101" s="496" t="s">
        <v>5106</v>
      </c>
      <c r="DW2101" s="496" t="s">
        <v>1087</v>
      </c>
      <c r="DX2101" s="497" t="s">
        <v>1088</v>
      </c>
      <c r="DZ2101" s="543">
        <v>1</v>
      </c>
      <c r="EB2101" s="493"/>
      <c r="EC2101" s="493"/>
    </row>
    <row r="2102" spans="119:133" ht="21" customHeight="1">
      <c r="DO2102" s="494"/>
      <c r="DP2102" s="496" t="s">
        <v>5138</v>
      </c>
      <c r="DQ2102" s="496" t="s">
        <v>13</v>
      </c>
      <c r="DR2102" s="496" t="s">
        <v>689</v>
      </c>
      <c r="DS2102" s="496" t="s">
        <v>5139</v>
      </c>
      <c r="DT2102" s="496" t="s">
        <v>5139</v>
      </c>
      <c r="DU2102" s="496" t="s">
        <v>1151</v>
      </c>
      <c r="DV2102" s="496" t="s">
        <v>1152</v>
      </c>
      <c r="DW2102" s="496" t="s">
        <v>1087</v>
      </c>
      <c r="DX2102" s="497" t="s">
        <v>1153</v>
      </c>
      <c r="DZ2102" s="543">
        <v>1</v>
      </c>
      <c r="EB2102" s="493"/>
      <c r="EC2102" s="493"/>
    </row>
    <row r="2103" spans="119:133" ht="21" customHeight="1">
      <c r="DO2103" s="494"/>
      <c r="DP2103" s="496" t="s">
        <v>5140</v>
      </c>
      <c r="DQ2103" s="496" t="s">
        <v>13</v>
      </c>
      <c r="DR2103" s="496" t="s">
        <v>1511</v>
      </c>
      <c r="DS2103" s="496" t="s">
        <v>1063</v>
      </c>
      <c r="DT2103" s="496" t="s">
        <v>1063</v>
      </c>
      <c r="DU2103" s="496" t="s">
        <v>1085</v>
      </c>
      <c r="DV2103" s="496" t="s">
        <v>5141</v>
      </c>
      <c r="DW2103" s="496" t="s">
        <v>1087</v>
      </c>
      <c r="DX2103" s="497" t="s">
        <v>1088</v>
      </c>
      <c r="DZ2103" s="543">
        <v>1</v>
      </c>
      <c r="EB2103" s="493"/>
      <c r="EC2103" s="493"/>
    </row>
    <row r="2104" spans="119:133" ht="21" customHeight="1">
      <c r="DO2104" s="494"/>
      <c r="DP2104" s="496" t="s">
        <v>5142</v>
      </c>
      <c r="DQ2104" s="496" t="s">
        <v>13</v>
      </c>
      <c r="DR2104" s="496" t="s">
        <v>1511</v>
      </c>
      <c r="DS2104" s="496" t="s">
        <v>1156</v>
      </c>
      <c r="DT2104" s="496" t="s">
        <v>883</v>
      </c>
      <c r="DU2104" s="496" t="s">
        <v>1085</v>
      </c>
      <c r="DV2104" s="496" t="s">
        <v>5141</v>
      </c>
      <c r="DW2104" s="496" t="s">
        <v>1087</v>
      </c>
      <c r="DX2104" s="497" t="s">
        <v>1088</v>
      </c>
      <c r="DZ2104" s="543">
        <v>1</v>
      </c>
      <c r="EB2104" s="493"/>
      <c r="EC2104" s="493"/>
    </row>
    <row r="2105" spans="119:133" ht="21" customHeight="1">
      <c r="DO2105" s="494"/>
      <c r="DP2105" s="496" t="s">
        <v>5143</v>
      </c>
      <c r="DQ2105" s="496" t="s">
        <v>13</v>
      </c>
      <c r="DR2105" s="496" t="s">
        <v>1511</v>
      </c>
      <c r="DS2105" s="496" t="s">
        <v>5144</v>
      </c>
      <c r="DT2105" s="496" t="s">
        <v>5144</v>
      </c>
      <c r="DU2105" s="496" t="s">
        <v>1085</v>
      </c>
      <c r="DV2105" s="496" t="s">
        <v>5141</v>
      </c>
      <c r="DW2105" s="496" t="s">
        <v>1087</v>
      </c>
      <c r="DX2105" s="497" t="s">
        <v>1088</v>
      </c>
      <c r="DZ2105" s="543">
        <v>1</v>
      </c>
      <c r="EB2105" s="493"/>
      <c r="EC2105" s="493"/>
    </row>
    <row r="2106" spans="119:133" ht="21" customHeight="1">
      <c r="DO2106" s="494"/>
      <c r="DP2106" s="496" t="s">
        <v>5145</v>
      </c>
      <c r="DQ2106" s="496" t="s">
        <v>13</v>
      </c>
      <c r="DR2106" s="496" t="s">
        <v>1511</v>
      </c>
      <c r="DS2106" s="496" t="s">
        <v>5146</v>
      </c>
      <c r="DT2106" s="496" t="s">
        <v>5146</v>
      </c>
      <c r="DU2106" s="496" t="s">
        <v>1085</v>
      </c>
      <c r="DV2106" s="496" t="s">
        <v>5141</v>
      </c>
      <c r="DW2106" s="496" t="s">
        <v>1087</v>
      </c>
      <c r="DX2106" s="497" t="s">
        <v>1088</v>
      </c>
      <c r="DZ2106" s="543">
        <v>1</v>
      </c>
      <c r="EB2106" s="493"/>
      <c r="EC2106" s="493"/>
    </row>
    <row r="2107" spans="119:133" ht="21" customHeight="1">
      <c r="DO2107" s="494"/>
      <c r="DP2107" s="496" t="s">
        <v>5147</v>
      </c>
      <c r="DQ2107" s="496" t="s">
        <v>13</v>
      </c>
      <c r="DR2107" s="496" t="s">
        <v>1511</v>
      </c>
      <c r="DS2107" s="496" t="s">
        <v>5148</v>
      </c>
      <c r="DT2107" s="496" t="s">
        <v>5148</v>
      </c>
      <c r="DU2107" s="496" t="s">
        <v>1085</v>
      </c>
      <c r="DV2107" s="496" t="s">
        <v>5141</v>
      </c>
      <c r="DW2107" s="496" t="s">
        <v>1087</v>
      </c>
      <c r="DX2107" s="497" t="s">
        <v>1088</v>
      </c>
      <c r="DZ2107" s="543">
        <v>1</v>
      </c>
      <c r="EB2107" s="493"/>
      <c r="EC2107" s="493"/>
    </row>
    <row r="2108" spans="119:133" ht="21" customHeight="1">
      <c r="DO2108" s="494"/>
      <c r="DP2108" s="496" t="s">
        <v>5149</v>
      </c>
      <c r="DQ2108" s="496" t="s">
        <v>13</v>
      </c>
      <c r="DR2108" s="496" t="s">
        <v>1511</v>
      </c>
      <c r="DS2108" s="496" t="s">
        <v>5150</v>
      </c>
      <c r="DT2108" s="496" t="s">
        <v>5150</v>
      </c>
      <c r="DU2108" s="496" t="s">
        <v>1085</v>
      </c>
      <c r="DV2108" s="496" t="s">
        <v>5141</v>
      </c>
      <c r="DW2108" s="496" t="s">
        <v>1087</v>
      </c>
      <c r="DX2108" s="497" t="s">
        <v>1088</v>
      </c>
      <c r="DZ2108" s="543">
        <v>1</v>
      </c>
      <c r="EB2108" s="493"/>
      <c r="EC2108" s="493"/>
    </row>
    <row r="2109" spans="119:133" ht="21" customHeight="1">
      <c r="DO2109" s="494"/>
      <c r="DP2109" s="496" t="s">
        <v>5151</v>
      </c>
      <c r="DQ2109" s="496" t="s">
        <v>13</v>
      </c>
      <c r="DR2109" s="496" t="s">
        <v>1511</v>
      </c>
      <c r="DS2109" s="496" t="s">
        <v>5152</v>
      </c>
      <c r="DT2109" s="496" t="s">
        <v>5152</v>
      </c>
      <c r="DU2109" s="496" t="s">
        <v>1151</v>
      </c>
      <c r="DV2109" s="496" t="s">
        <v>1518</v>
      </c>
      <c r="DW2109" s="496" t="s">
        <v>1087</v>
      </c>
      <c r="DX2109" s="497" t="s">
        <v>1153</v>
      </c>
      <c r="DZ2109" s="543">
        <v>1</v>
      </c>
      <c r="EB2109" s="493"/>
      <c r="EC2109" s="493"/>
    </row>
    <row r="2110" spans="119:133" ht="21" customHeight="1">
      <c r="DO2110" s="494"/>
      <c r="DP2110" s="496" t="s">
        <v>5153</v>
      </c>
      <c r="DQ2110" s="496" t="s">
        <v>13</v>
      </c>
      <c r="DR2110" s="496" t="s">
        <v>1511</v>
      </c>
      <c r="DS2110" s="496" t="s">
        <v>5154</v>
      </c>
      <c r="DT2110" s="496" t="s">
        <v>5154</v>
      </c>
      <c r="DU2110" s="496" t="s">
        <v>1085</v>
      </c>
      <c r="DV2110" s="496" t="s">
        <v>5141</v>
      </c>
      <c r="DW2110" s="496" t="s">
        <v>1087</v>
      </c>
      <c r="DX2110" s="497" t="s">
        <v>1088</v>
      </c>
      <c r="DZ2110" s="543">
        <v>1</v>
      </c>
      <c r="EB2110" s="493"/>
      <c r="EC2110" s="493"/>
    </row>
    <row r="2111" spans="119:133" ht="21" customHeight="1">
      <c r="DO2111" s="494"/>
      <c r="DP2111" s="496" t="s">
        <v>5155</v>
      </c>
      <c r="DQ2111" s="496" t="s">
        <v>13</v>
      </c>
      <c r="DR2111" s="496" t="s">
        <v>1511</v>
      </c>
      <c r="DS2111" s="496" t="s">
        <v>5156</v>
      </c>
      <c r="DT2111" s="496" t="s">
        <v>5157</v>
      </c>
      <c r="DU2111" s="496" t="s">
        <v>1085</v>
      </c>
      <c r="DV2111" s="496" t="s">
        <v>5141</v>
      </c>
      <c r="DW2111" s="496" t="s">
        <v>1087</v>
      </c>
      <c r="DX2111" s="497" t="s">
        <v>1088</v>
      </c>
      <c r="DZ2111" s="543">
        <v>1</v>
      </c>
      <c r="EB2111" s="493"/>
      <c r="EC2111" s="493"/>
    </row>
    <row r="2112" spans="119:133" ht="21" customHeight="1">
      <c r="DO2112" s="494"/>
      <c r="DP2112" s="496" t="s">
        <v>5158</v>
      </c>
      <c r="DQ2112" s="496" t="s">
        <v>13</v>
      </c>
      <c r="DR2112" s="496" t="s">
        <v>1511</v>
      </c>
      <c r="DS2112" s="496" t="s">
        <v>5159</v>
      </c>
      <c r="DT2112" s="496" t="s">
        <v>5160</v>
      </c>
      <c r="DU2112" s="496" t="s">
        <v>1085</v>
      </c>
      <c r="DV2112" s="496" t="s">
        <v>5141</v>
      </c>
      <c r="DW2112" s="496" t="s">
        <v>1087</v>
      </c>
      <c r="DX2112" s="497" t="s">
        <v>1088</v>
      </c>
      <c r="DZ2112" s="543">
        <v>1</v>
      </c>
      <c r="EB2112" s="493"/>
      <c r="EC2112" s="493"/>
    </row>
    <row r="2113" spans="119:133" ht="21" customHeight="1">
      <c r="DO2113" s="494"/>
      <c r="DP2113" s="496" t="s">
        <v>5161</v>
      </c>
      <c r="DQ2113" s="496" t="s">
        <v>13</v>
      </c>
      <c r="DR2113" s="496" t="s">
        <v>1511</v>
      </c>
      <c r="DS2113" s="496" t="s">
        <v>5162</v>
      </c>
      <c r="DT2113" s="496" t="s">
        <v>5163</v>
      </c>
      <c r="DU2113" s="496" t="s">
        <v>1085</v>
      </c>
      <c r="DV2113" s="496" t="s">
        <v>5141</v>
      </c>
      <c r="DW2113" s="496" t="s">
        <v>1087</v>
      </c>
      <c r="DX2113" s="497" t="s">
        <v>1088</v>
      </c>
      <c r="DZ2113" s="543">
        <v>1</v>
      </c>
      <c r="EB2113" s="493"/>
      <c r="EC2113" s="493"/>
    </row>
    <row r="2114" spans="119:133" ht="21" customHeight="1">
      <c r="DO2114" s="494"/>
      <c r="DP2114" s="496" t="s">
        <v>5164</v>
      </c>
      <c r="DQ2114" s="496" t="s">
        <v>13</v>
      </c>
      <c r="DR2114" s="496" t="s">
        <v>1511</v>
      </c>
      <c r="DS2114" s="496" t="s">
        <v>5165</v>
      </c>
      <c r="DT2114" s="496" t="s">
        <v>5165</v>
      </c>
      <c r="DU2114" s="496" t="s">
        <v>1085</v>
      </c>
      <c r="DV2114" s="496" t="s">
        <v>5141</v>
      </c>
      <c r="DW2114" s="496" t="s">
        <v>1087</v>
      </c>
      <c r="DX2114" s="497" t="s">
        <v>1088</v>
      </c>
      <c r="DZ2114" s="543">
        <v>1</v>
      </c>
      <c r="EB2114" s="493"/>
      <c r="EC2114" s="493"/>
    </row>
    <row r="2115" spans="119:133" ht="21" customHeight="1">
      <c r="DO2115" s="494"/>
      <c r="DP2115" s="496" t="s">
        <v>5166</v>
      </c>
      <c r="DQ2115" s="496" t="s">
        <v>13</v>
      </c>
      <c r="DR2115" s="496" t="s">
        <v>1511</v>
      </c>
      <c r="DS2115" s="496" t="s">
        <v>5167</v>
      </c>
      <c r="DT2115" s="496" t="s">
        <v>5167</v>
      </c>
      <c r="DU2115" s="496" t="s">
        <v>1085</v>
      </c>
      <c r="DV2115" s="496" t="s">
        <v>5141</v>
      </c>
      <c r="DW2115" s="496" t="s">
        <v>1087</v>
      </c>
      <c r="DX2115" s="497" t="s">
        <v>1088</v>
      </c>
      <c r="DZ2115" s="543">
        <v>1</v>
      </c>
      <c r="EB2115" s="493"/>
      <c r="EC2115" s="493"/>
    </row>
    <row r="2116" spans="119:133" ht="21" customHeight="1">
      <c r="DO2116" s="494"/>
      <c r="DP2116" s="496" t="s">
        <v>5168</v>
      </c>
      <c r="DQ2116" s="496" t="s">
        <v>13</v>
      </c>
      <c r="DR2116" s="496" t="s">
        <v>1511</v>
      </c>
      <c r="DS2116" s="496" t="s">
        <v>5169</v>
      </c>
      <c r="DT2116" s="496" t="s">
        <v>5169</v>
      </c>
      <c r="DU2116" s="496" t="s">
        <v>1085</v>
      </c>
      <c r="DV2116" s="496" t="s">
        <v>5141</v>
      </c>
      <c r="DW2116" s="496" t="s">
        <v>1087</v>
      </c>
      <c r="DX2116" s="497" t="s">
        <v>1088</v>
      </c>
      <c r="DZ2116" s="543">
        <v>1</v>
      </c>
      <c r="EB2116" s="493"/>
      <c r="EC2116" s="493"/>
    </row>
    <row r="2117" spans="119:133" ht="21" customHeight="1">
      <c r="DO2117" s="494"/>
      <c r="DP2117" s="496" t="s">
        <v>5170</v>
      </c>
      <c r="DQ2117" s="496" t="s">
        <v>13</v>
      </c>
      <c r="DR2117" s="496" t="s">
        <v>1511</v>
      </c>
      <c r="DS2117" s="496" t="s">
        <v>5171</v>
      </c>
      <c r="DT2117" s="496" t="s">
        <v>5171</v>
      </c>
      <c r="DU2117" s="496" t="s">
        <v>1085</v>
      </c>
      <c r="DV2117" s="496" t="s">
        <v>5141</v>
      </c>
      <c r="DW2117" s="496" t="s">
        <v>1087</v>
      </c>
      <c r="DX2117" s="497" t="s">
        <v>1088</v>
      </c>
      <c r="DZ2117" s="543">
        <v>1</v>
      </c>
      <c r="EB2117" s="493"/>
      <c r="EC2117" s="493"/>
    </row>
    <row r="2118" spans="119:133" ht="21" customHeight="1">
      <c r="DO2118" s="494"/>
      <c r="DP2118" s="496" t="s">
        <v>5172</v>
      </c>
      <c r="DQ2118" s="496" t="s">
        <v>13</v>
      </c>
      <c r="DR2118" s="496" t="s">
        <v>1511</v>
      </c>
      <c r="DS2118" s="496" t="s">
        <v>5173</v>
      </c>
      <c r="DT2118" s="496" t="s">
        <v>5173</v>
      </c>
      <c r="DU2118" s="496" t="s">
        <v>1151</v>
      </c>
      <c r="DV2118" s="496" t="s">
        <v>1518</v>
      </c>
      <c r="DW2118" s="496" t="s">
        <v>1087</v>
      </c>
      <c r="DX2118" s="497" t="s">
        <v>1153</v>
      </c>
      <c r="DZ2118" s="543">
        <v>1</v>
      </c>
      <c r="EB2118" s="493"/>
      <c r="EC2118" s="493"/>
    </row>
    <row r="2119" spans="119:133" ht="21" customHeight="1">
      <c r="DO2119" s="494"/>
      <c r="DP2119" s="496" t="s">
        <v>5174</v>
      </c>
      <c r="DQ2119" s="496" t="s">
        <v>13</v>
      </c>
      <c r="DR2119" s="496" t="s">
        <v>1511</v>
      </c>
      <c r="DS2119" s="496" t="s">
        <v>5175</v>
      </c>
      <c r="DT2119" s="496" t="s">
        <v>5175</v>
      </c>
      <c r="DU2119" s="496" t="s">
        <v>1151</v>
      </c>
      <c r="DV2119" s="496" t="s">
        <v>1518</v>
      </c>
      <c r="DW2119" s="496" t="s">
        <v>1087</v>
      </c>
      <c r="DX2119" s="497" t="s">
        <v>1153</v>
      </c>
      <c r="DZ2119" s="543">
        <v>1</v>
      </c>
      <c r="EB2119" s="493"/>
      <c r="EC2119" s="493"/>
    </row>
    <row r="2120" spans="119:133" ht="21" customHeight="1">
      <c r="DO2120" s="494"/>
      <c r="DP2120" s="496" t="s">
        <v>5176</v>
      </c>
      <c r="DQ2120" s="496" t="s">
        <v>13</v>
      </c>
      <c r="DR2120" s="496" t="s">
        <v>1511</v>
      </c>
      <c r="DS2120" s="496" t="s">
        <v>5177</v>
      </c>
      <c r="DT2120" s="496" t="s">
        <v>5178</v>
      </c>
      <c r="DU2120" s="496" t="s">
        <v>1085</v>
      </c>
      <c r="DV2120" s="496" t="s">
        <v>5141</v>
      </c>
      <c r="DW2120" s="496" t="s">
        <v>1087</v>
      </c>
      <c r="DX2120" s="497" t="s">
        <v>1088</v>
      </c>
      <c r="DZ2120" s="543">
        <v>1</v>
      </c>
      <c r="EB2120" s="493"/>
      <c r="EC2120" s="493"/>
    </row>
    <row r="2121" spans="119:133" ht="21" customHeight="1">
      <c r="DO2121" s="494"/>
      <c r="DP2121" s="496" t="s">
        <v>5179</v>
      </c>
      <c r="DQ2121" s="496" t="s">
        <v>13</v>
      </c>
      <c r="DR2121" s="496" t="s">
        <v>1511</v>
      </c>
      <c r="DS2121" s="496" t="s">
        <v>5180</v>
      </c>
      <c r="DT2121" s="496" t="s">
        <v>5744</v>
      </c>
      <c r="DU2121" s="496" t="s">
        <v>1085</v>
      </c>
      <c r="DV2121" s="496" t="s">
        <v>5745</v>
      </c>
      <c r="DW2121" s="496" t="s">
        <v>3961</v>
      </c>
      <c r="DX2121" s="497" t="s">
        <v>1153</v>
      </c>
      <c r="DZ2121" s="543">
        <v>1</v>
      </c>
      <c r="EB2121" s="493"/>
      <c r="EC2121" s="493"/>
    </row>
    <row r="2122" spans="119:133" ht="21" customHeight="1">
      <c r="DO2122" s="494"/>
      <c r="DP2122" s="496" t="s">
        <v>5181</v>
      </c>
      <c r="DQ2122" s="496" t="s">
        <v>13</v>
      </c>
      <c r="DR2122" s="496" t="s">
        <v>1511</v>
      </c>
      <c r="DS2122" s="496" t="s">
        <v>5182</v>
      </c>
      <c r="DT2122" s="496" t="s">
        <v>5183</v>
      </c>
      <c r="DU2122" s="496" t="s">
        <v>1085</v>
      </c>
      <c r="DV2122" s="496" t="s">
        <v>5141</v>
      </c>
      <c r="DW2122" s="496" t="s">
        <v>1087</v>
      </c>
      <c r="DX2122" s="497" t="s">
        <v>1088</v>
      </c>
      <c r="DZ2122" s="543">
        <v>1</v>
      </c>
      <c r="EB2122" s="493"/>
      <c r="EC2122" s="493"/>
    </row>
    <row r="2123" spans="119:133" ht="21" customHeight="1">
      <c r="DO2123" s="494"/>
      <c r="DP2123" s="496" t="s">
        <v>5184</v>
      </c>
      <c r="DQ2123" s="496" t="s">
        <v>13</v>
      </c>
      <c r="DR2123" s="496" t="s">
        <v>1511</v>
      </c>
      <c r="DS2123" s="496" t="s">
        <v>5185</v>
      </c>
      <c r="DT2123" s="496" t="s">
        <v>5185</v>
      </c>
      <c r="DU2123" s="496" t="s">
        <v>1085</v>
      </c>
      <c r="DV2123" s="496" t="s">
        <v>5141</v>
      </c>
      <c r="DW2123" s="496" t="s">
        <v>1087</v>
      </c>
      <c r="DX2123" s="497" t="s">
        <v>1088</v>
      </c>
      <c r="DZ2123" s="543">
        <v>1</v>
      </c>
      <c r="EB2123" s="493"/>
      <c r="EC2123" s="493"/>
    </row>
    <row r="2124" spans="119:133" ht="21" customHeight="1">
      <c r="DO2124" s="494"/>
      <c r="DP2124" s="496" t="s">
        <v>5186</v>
      </c>
      <c r="DQ2124" s="496" t="s">
        <v>13</v>
      </c>
      <c r="DR2124" s="496" t="s">
        <v>1511</v>
      </c>
      <c r="DS2124" s="496" t="s">
        <v>5187</v>
      </c>
      <c r="DT2124" s="496" t="s">
        <v>5188</v>
      </c>
      <c r="DU2124" s="496" t="s">
        <v>1085</v>
      </c>
      <c r="DV2124" s="496" t="s">
        <v>5141</v>
      </c>
      <c r="DW2124" s="496" t="s">
        <v>1087</v>
      </c>
      <c r="DX2124" s="497" t="s">
        <v>1088</v>
      </c>
      <c r="DZ2124" s="543">
        <v>1</v>
      </c>
      <c r="EB2124" s="493"/>
      <c r="EC2124" s="493"/>
    </row>
    <row r="2125" spans="119:133" ht="21" customHeight="1">
      <c r="DO2125" s="494"/>
      <c r="DP2125" s="496" t="s">
        <v>5189</v>
      </c>
      <c r="DQ2125" s="496" t="s">
        <v>13</v>
      </c>
      <c r="DR2125" s="496" t="s">
        <v>1511</v>
      </c>
      <c r="DS2125" s="496" t="s">
        <v>5190</v>
      </c>
      <c r="DT2125" s="496" t="s">
        <v>5190</v>
      </c>
      <c r="DU2125" s="496" t="s">
        <v>1085</v>
      </c>
      <c r="DV2125" s="496" t="s">
        <v>5141</v>
      </c>
      <c r="DW2125" s="496" t="s">
        <v>1087</v>
      </c>
      <c r="DX2125" s="497" t="s">
        <v>1088</v>
      </c>
      <c r="DZ2125" s="543">
        <v>1</v>
      </c>
      <c r="EB2125" s="493"/>
      <c r="EC2125" s="493"/>
    </row>
    <row r="2126" spans="119:133" ht="21" customHeight="1">
      <c r="DO2126" s="494"/>
      <c r="DP2126" s="496" t="s">
        <v>5191</v>
      </c>
      <c r="DQ2126" s="496" t="s">
        <v>13</v>
      </c>
      <c r="DR2126" s="496" t="s">
        <v>1511</v>
      </c>
      <c r="DS2126" s="496" t="s">
        <v>5192</v>
      </c>
      <c r="DT2126" s="496" t="s">
        <v>5192</v>
      </c>
      <c r="DU2126" s="496" t="s">
        <v>1085</v>
      </c>
      <c r="DV2126" s="496" t="s">
        <v>5141</v>
      </c>
      <c r="DW2126" s="496" t="s">
        <v>1087</v>
      </c>
      <c r="DX2126" s="497" t="s">
        <v>1088</v>
      </c>
      <c r="DZ2126" s="543">
        <v>1</v>
      </c>
      <c r="EB2126" s="493"/>
      <c r="EC2126" s="493"/>
    </row>
    <row r="2127" spans="119:133" ht="21" customHeight="1">
      <c r="DO2127" s="494"/>
      <c r="DP2127" s="496" t="s">
        <v>5193</v>
      </c>
      <c r="DQ2127" s="496" t="s">
        <v>13</v>
      </c>
      <c r="DR2127" s="496" t="s">
        <v>1511</v>
      </c>
      <c r="DS2127" s="496" t="s">
        <v>5194</v>
      </c>
      <c r="DT2127" s="496" t="s">
        <v>5195</v>
      </c>
      <c r="DU2127" s="496" t="s">
        <v>1085</v>
      </c>
      <c r="DV2127" s="496" t="s">
        <v>5141</v>
      </c>
      <c r="DW2127" s="496" t="s">
        <v>1087</v>
      </c>
      <c r="DX2127" s="497" t="s">
        <v>1088</v>
      </c>
      <c r="DZ2127" s="543">
        <v>1</v>
      </c>
      <c r="EB2127" s="493"/>
      <c r="EC2127" s="493"/>
    </row>
    <row r="2128" spans="119:133" ht="21" customHeight="1">
      <c r="DO2128" s="494"/>
      <c r="DP2128" s="496" t="s">
        <v>5196</v>
      </c>
      <c r="DQ2128" s="496" t="s">
        <v>13</v>
      </c>
      <c r="DR2128" s="496" t="s">
        <v>1511</v>
      </c>
      <c r="DS2128" s="496" t="s">
        <v>1064</v>
      </c>
      <c r="DT2128" s="496" t="s">
        <v>1064</v>
      </c>
      <c r="DU2128" s="496" t="s">
        <v>1085</v>
      </c>
      <c r="DV2128" s="496" t="s">
        <v>5141</v>
      </c>
      <c r="DW2128" s="496" t="s">
        <v>1087</v>
      </c>
      <c r="DX2128" s="497" t="s">
        <v>1088</v>
      </c>
      <c r="DZ2128" s="543">
        <v>1</v>
      </c>
      <c r="EB2128" s="493"/>
      <c r="EC2128" s="493"/>
    </row>
    <row r="2129" spans="119:133" ht="21" customHeight="1">
      <c r="DO2129" s="494"/>
      <c r="DP2129" s="496" t="s">
        <v>5197</v>
      </c>
      <c r="DQ2129" s="496" t="s">
        <v>13</v>
      </c>
      <c r="DR2129" s="496" t="s">
        <v>1511</v>
      </c>
      <c r="DS2129" s="496" t="s">
        <v>5198</v>
      </c>
      <c r="DT2129" s="496" t="s">
        <v>5198</v>
      </c>
      <c r="DU2129" s="496" t="s">
        <v>1151</v>
      </c>
      <c r="DV2129" s="496" t="s">
        <v>1518</v>
      </c>
      <c r="DW2129" s="496" t="s">
        <v>1087</v>
      </c>
      <c r="DX2129" s="497" t="s">
        <v>1153</v>
      </c>
      <c r="DZ2129" s="543">
        <v>1</v>
      </c>
      <c r="EB2129" s="493"/>
      <c r="EC2129" s="493"/>
    </row>
    <row r="2130" spans="119:133" ht="21" customHeight="1">
      <c r="DO2130" s="494"/>
      <c r="DP2130" s="496" t="s">
        <v>5199</v>
      </c>
      <c r="DQ2130" s="496" t="s">
        <v>13</v>
      </c>
      <c r="DR2130" s="496" t="s">
        <v>1511</v>
      </c>
      <c r="DS2130" s="496" t="s">
        <v>5200</v>
      </c>
      <c r="DT2130" s="496" t="s">
        <v>5200</v>
      </c>
      <c r="DU2130" s="496" t="s">
        <v>1085</v>
      </c>
      <c r="DV2130" s="496" t="s">
        <v>5141</v>
      </c>
      <c r="DW2130" s="496" t="s">
        <v>1087</v>
      </c>
      <c r="DX2130" s="497" t="s">
        <v>1088</v>
      </c>
      <c r="DZ2130" s="543">
        <v>1</v>
      </c>
      <c r="EB2130" s="493"/>
      <c r="EC2130" s="493"/>
    </row>
    <row r="2131" spans="119:133" ht="21" customHeight="1">
      <c r="DO2131" s="494"/>
      <c r="DP2131" s="496" t="s">
        <v>5201</v>
      </c>
      <c r="DQ2131" s="496" t="s">
        <v>13</v>
      </c>
      <c r="DR2131" s="496" t="s">
        <v>1511</v>
      </c>
      <c r="DS2131" s="496" t="s">
        <v>5202</v>
      </c>
      <c r="DT2131" s="496" t="s">
        <v>5202</v>
      </c>
      <c r="DU2131" s="496" t="s">
        <v>1085</v>
      </c>
      <c r="DV2131" s="496" t="s">
        <v>5141</v>
      </c>
      <c r="DW2131" s="496" t="s">
        <v>1087</v>
      </c>
      <c r="DX2131" s="497" t="s">
        <v>1088</v>
      </c>
      <c r="DZ2131" s="543">
        <v>1</v>
      </c>
      <c r="EB2131" s="493"/>
      <c r="EC2131" s="493"/>
    </row>
    <row r="2132" spans="119:133" ht="21" customHeight="1">
      <c r="DO2132" s="494"/>
      <c r="DP2132" s="496" t="s">
        <v>5203</v>
      </c>
      <c r="DQ2132" s="496" t="s">
        <v>13</v>
      </c>
      <c r="DR2132" s="496" t="s">
        <v>1511</v>
      </c>
      <c r="DS2132" s="496" t="s">
        <v>5204</v>
      </c>
      <c r="DT2132" s="496" t="s">
        <v>5204</v>
      </c>
      <c r="DU2132" s="496" t="s">
        <v>1151</v>
      </c>
      <c r="DV2132" s="496" t="s">
        <v>1518</v>
      </c>
      <c r="DW2132" s="496" t="s">
        <v>1087</v>
      </c>
      <c r="DX2132" s="497" t="s">
        <v>1153</v>
      </c>
      <c r="DZ2132" s="543">
        <v>1</v>
      </c>
      <c r="EB2132" s="493"/>
      <c r="EC2132" s="493"/>
    </row>
    <row r="2133" spans="119:133" ht="21" customHeight="1">
      <c r="DO2133" s="494"/>
      <c r="DP2133" s="496" t="s">
        <v>5205</v>
      </c>
      <c r="DQ2133" s="496" t="s">
        <v>13</v>
      </c>
      <c r="DR2133" s="496" t="s">
        <v>1511</v>
      </c>
      <c r="DS2133" s="496" t="s">
        <v>5206</v>
      </c>
      <c r="DT2133" s="496" t="s">
        <v>5206</v>
      </c>
      <c r="DU2133" s="496" t="s">
        <v>1085</v>
      </c>
      <c r="DV2133" s="496" t="s">
        <v>5141</v>
      </c>
      <c r="DW2133" s="496" t="s">
        <v>1087</v>
      </c>
      <c r="DX2133" s="497" t="s">
        <v>1088</v>
      </c>
      <c r="DZ2133" s="543">
        <v>1</v>
      </c>
      <c r="EB2133" s="493"/>
      <c r="EC2133" s="493"/>
    </row>
    <row r="2134" spans="119:133" ht="21" customHeight="1">
      <c r="DO2134" s="494"/>
      <c r="DP2134" s="496" t="s">
        <v>5207</v>
      </c>
      <c r="DQ2134" s="496" t="s">
        <v>13</v>
      </c>
      <c r="DR2134" s="496" t="s">
        <v>1511</v>
      </c>
      <c r="DS2134" s="496" t="s">
        <v>5208</v>
      </c>
      <c r="DT2134" s="496" t="s">
        <v>5208</v>
      </c>
      <c r="DU2134" s="496" t="s">
        <v>1085</v>
      </c>
      <c r="DV2134" s="496" t="s">
        <v>5141</v>
      </c>
      <c r="DW2134" s="496" t="s">
        <v>1087</v>
      </c>
      <c r="DX2134" s="497" t="s">
        <v>1088</v>
      </c>
      <c r="DZ2134" s="543">
        <v>1</v>
      </c>
      <c r="EB2134" s="493"/>
      <c r="EC2134" s="493"/>
    </row>
    <row r="2135" spans="119:133" ht="21" customHeight="1">
      <c r="DO2135" s="494"/>
      <c r="DP2135" s="496" t="s">
        <v>5209</v>
      </c>
      <c r="DQ2135" s="496" t="s">
        <v>13</v>
      </c>
      <c r="DR2135" s="496" t="s">
        <v>1511</v>
      </c>
      <c r="DS2135" s="496" t="s">
        <v>1065</v>
      </c>
      <c r="DT2135" s="496" t="s">
        <v>1065</v>
      </c>
      <c r="DU2135" s="496" t="s">
        <v>1085</v>
      </c>
      <c r="DV2135" s="496" t="s">
        <v>5141</v>
      </c>
      <c r="DW2135" s="496" t="s">
        <v>1087</v>
      </c>
      <c r="DX2135" s="497" t="s">
        <v>1088</v>
      </c>
      <c r="DZ2135" s="543">
        <v>1</v>
      </c>
      <c r="EB2135" s="493"/>
      <c r="EC2135" s="493"/>
    </row>
    <row r="2136" spans="119:133" ht="21" customHeight="1">
      <c r="DO2136" s="494"/>
      <c r="DP2136" s="496" t="s">
        <v>5210</v>
      </c>
      <c r="DQ2136" s="496" t="s">
        <v>13</v>
      </c>
      <c r="DR2136" s="496" t="s">
        <v>1511</v>
      </c>
      <c r="DS2136" s="496" t="s">
        <v>5211</v>
      </c>
      <c r="DT2136" s="496" t="s">
        <v>5212</v>
      </c>
      <c r="DU2136" s="496" t="s">
        <v>1085</v>
      </c>
      <c r="DV2136" s="496" t="s">
        <v>5141</v>
      </c>
      <c r="DW2136" s="496" t="s">
        <v>1087</v>
      </c>
      <c r="DX2136" s="497" t="s">
        <v>1088</v>
      </c>
      <c r="DZ2136" s="543">
        <v>1</v>
      </c>
      <c r="EB2136" s="493"/>
      <c r="EC2136" s="493"/>
    </row>
    <row r="2137" spans="119:133" ht="21" customHeight="1">
      <c r="DO2137" s="494"/>
      <c r="DP2137" s="496" t="s">
        <v>5213</v>
      </c>
      <c r="DQ2137" s="496" t="s">
        <v>13</v>
      </c>
      <c r="DR2137" s="496" t="s">
        <v>1511</v>
      </c>
      <c r="DS2137" s="496" t="s">
        <v>1066</v>
      </c>
      <c r="DT2137" s="496" t="s">
        <v>1066</v>
      </c>
      <c r="DU2137" s="496" t="s">
        <v>1085</v>
      </c>
      <c r="DV2137" s="496" t="s">
        <v>5141</v>
      </c>
      <c r="DW2137" s="496" t="s">
        <v>1087</v>
      </c>
      <c r="DX2137" s="497" t="s">
        <v>1088</v>
      </c>
      <c r="DZ2137" s="543">
        <v>1</v>
      </c>
      <c r="EB2137" s="493"/>
      <c r="EC2137" s="493"/>
    </row>
    <row r="2138" spans="119:133" ht="21" customHeight="1">
      <c r="DO2138" s="494"/>
      <c r="DP2138" s="496" t="s">
        <v>5214</v>
      </c>
      <c r="DQ2138" s="496" t="s">
        <v>13</v>
      </c>
      <c r="DR2138" s="496" t="s">
        <v>1511</v>
      </c>
      <c r="DS2138" s="496" t="s">
        <v>5215</v>
      </c>
      <c r="DT2138" s="496" t="s">
        <v>5215</v>
      </c>
      <c r="DU2138" s="496" t="s">
        <v>1085</v>
      </c>
      <c r="DV2138" s="496" t="s">
        <v>5141</v>
      </c>
      <c r="DW2138" s="496" t="s">
        <v>1087</v>
      </c>
      <c r="DX2138" s="497" t="s">
        <v>1088</v>
      </c>
      <c r="DZ2138" s="543">
        <v>1</v>
      </c>
      <c r="EB2138" s="493"/>
      <c r="EC2138" s="493"/>
    </row>
    <row r="2139" spans="119:133" ht="21" customHeight="1">
      <c r="DO2139" s="494"/>
      <c r="DP2139" s="496" t="s">
        <v>5216</v>
      </c>
      <c r="DQ2139" s="496" t="s">
        <v>13</v>
      </c>
      <c r="DR2139" s="496" t="s">
        <v>1511</v>
      </c>
      <c r="DS2139" s="496" t="s">
        <v>5217</v>
      </c>
      <c r="DT2139" s="496" t="s">
        <v>5217</v>
      </c>
      <c r="DU2139" s="496" t="s">
        <v>1085</v>
      </c>
      <c r="DV2139" s="496" t="s">
        <v>5141</v>
      </c>
      <c r="DW2139" s="496" t="s">
        <v>1087</v>
      </c>
      <c r="DX2139" s="497" t="s">
        <v>1088</v>
      </c>
      <c r="DZ2139" s="543">
        <v>1</v>
      </c>
      <c r="EB2139" s="493"/>
      <c r="EC2139" s="493"/>
    </row>
    <row r="2140" spans="119:133" ht="21" customHeight="1">
      <c r="DO2140" s="494"/>
      <c r="DP2140" s="496" t="s">
        <v>5218</v>
      </c>
      <c r="DQ2140" s="496" t="s">
        <v>13</v>
      </c>
      <c r="DR2140" s="496" t="s">
        <v>689</v>
      </c>
      <c r="DS2140" s="496" t="s">
        <v>5219</v>
      </c>
      <c r="DT2140" s="496" t="s">
        <v>5219</v>
      </c>
      <c r="DU2140" s="496" t="s">
        <v>1085</v>
      </c>
      <c r="DV2140" s="496" t="s">
        <v>5746</v>
      </c>
      <c r="DW2140" s="496" t="s">
        <v>1087</v>
      </c>
      <c r="DX2140" s="497" t="s">
        <v>1088</v>
      </c>
      <c r="DZ2140" s="543">
        <v>1</v>
      </c>
      <c r="EB2140" s="493"/>
      <c r="EC2140" s="493"/>
    </row>
    <row r="2141" spans="119:133" ht="21" customHeight="1">
      <c r="DO2141" s="494"/>
      <c r="DP2141" s="496" t="s">
        <v>5220</v>
      </c>
      <c r="DQ2141" s="496" t="s">
        <v>13</v>
      </c>
      <c r="DR2141" s="496" t="s">
        <v>1511</v>
      </c>
      <c r="DS2141" s="496" t="s">
        <v>5221</v>
      </c>
      <c r="DT2141" s="496" t="s">
        <v>5221</v>
      </c>
      <c r="DU2141" s="496" t="s">
        <v>1151</v>
      </c>
      <c r="DV2141" s="496" t="s">
        <v>1518</v>
      </c>
      <c r="DW2141" s="496" t="s">
        <v>1087</v>
      </c>
      <c r="DX2141" s="497" t="s">
        <v>1153</v>
      </c>
      <c r="DZ2141" s="543">
        <v>1</v>
      </c>
      <c r="EB2141" s="493"/>
      <c r="EC2141" s="493"/>
    </row>
    <row r="2142" spans="119:133" ht="21" customHeight="1">
      <c r="DO2142" s="494"/>
      <c r="DP2142" s="496" t="s">
        <v>5222</v>
      </c>
      <c r="DQ2142" s="496" t="s">
        <v>13</v>
      </c>
      <c r="DR2142" s="496" t="s">
        <v>1511</v>
      </c>
      <c r="DS2142" s="496" t="s">
        <v>5223</v>
      </c>
      <c r="DT2142" s="496" t="s">
        <v>5224</v>
      </c>
      <c r="DU2142" s="496" t="s">
        <v>1085</v>
      </c>
      <c r="DV2142" s="496" t="s">
        <v>5141</v>
      </c>
      <c r="DW2142" s="496" t="s">
        <v>1087</v>
      </c>
      <c r="DX2142" s="497" t="s">
        <v>1088</v>
      </c>
      <c r="DZ2142" s="543">
        <v>1</v>
      </c>
      <c r="EB2142" s="493"/>
      <c r="EC2142" s="493"/>
    </row>
    <row r="2143" spans="119:133" ht="21" customHeight="1">
      <c r="DO2143" s="494"/>
      <c r="DP2143" s="496" t="s">
        <v>5225</v>
      </c>
      <c r="DQ2143" s="496" t="s">
        <v>14</v>
      </c>
      <c r="DR2143" s="496" t="s">
        <v>689</v>
      </c>
      <c r="DS2143" s="496" t="s">
        <v>38</v>
      </c>
      <c r="DT2143" s="496" t="s">
        <v>38</v>
      </c>
      <c r="DU2143" s="496" t="s">
        <v>1085</v>
      </c>
      <c r="DV2143" s="496" t="s">
        <v>5226</v>
      </c>
      <c r="DW2143" s="496" t="s">
        <v>1087</v>
      </c>
      <c r="DX2143" s="497" t="s">
        <v>1088</v>
      </c>
      <c r="DZ2143" s="543">
        <v>1</v>
      </c>
      <c r="EB2143" s="493"/>
      <c r="EC2143" s="493"/>
    </row>
    <row r="2144" spans="119:133" ht="21" customHeight="1">
      <c r="DO2144" s="494"/>
      <c r="DP2144" s="496" t="s">
        <v>5227</v>
      </c>
      <c r="DQ2144" s="496" t="s">
        <v>14</v>
      </c>
      <c r="DR2144" s="496" t="s">
        <v>689</v>
      </c>
      <c r="DS2144" s="496" t="s">
        <v>64</v>
      </c>
      <c r="DT2144" s="496" t="s">
        <v>64</v>
      </c>
      <c r="DU2144" s="496" t="s">
        <v>1085</v>
      </c>
      <c r="DV2144" s="496" t="s">
        <v>5226</v>
      </c>
      <c r="DW2144" s="496" t="s">
        <v>1087</v>
      </c>
      <c r="DX2144" s="497" t="s">
        <v>1088</v>
      </c>
      <c r="DZ2144" s="543">
        <v>1</v>
      </c>
      <c r="EB2144" s="493"/>
      <c r="EC2144" s="493"/>
    </row>
    <row r="2145" spans="119:133" ht="21" customHeight="1">
      <c r="DO2145" s="494"/>
      <c r="DP2145" s="496" t="s">
        <v>5228</v>
      </c>
      <c r="DQ2145" s="496" t="s">
        <v>14</v>
      </c>
      <c r="DR2145" s="496" t="s">
        <v>689</v>
      </c>
      <c r="DS2145" s="496" t="s">
        <v>51</v>
      </c>
      <c r="DT2145" s="496" t="s">
        <v>51</v>
      </c>
      <c r="DU2145" s="496" t="s">
        <v>1085</v>
      </c>
      <c r="DV2145" s="496" t="s">
        <v>5226</v>
      </c>
      <c r="DW2145" s="496" t="s">
        <v>1087</v>
      </c>
      <c r="DX2145" s="497" t="s">
        <v>1088</v>
      </c>
      <c r="DZ2145" s="543">
        <v>1</v>
      </c>
      <c r="EB2145" s="493"/>
      <c r="EC2145" s="493"/>
    </row>
    <row r="2146" spans="119:133" ht="21" customHeight="1">
      <c r="DO2146" s="494"/>
      <c r="DP2146" s="496" t="s">
        <v>5229</v>
      </c>
      <c r="DQ2146" s="496" t="s">
        <v>14</v>
      </c>
      <c r="DR2146" s="496" t="s">
        <v>689</v>
      </c>
      <c r="DS2146" s="496" t="s">
        <v>5230</v>
      </c>
      <c r="DT2146" s="496" t="s">
        <v>5230</v>
      </c>
      <c r="DU2146" s="496" t="s">
        <v>1085</v>
      </c>
      <c r="DV2146" s="496" t="s">
        <v>5226</v>
      </c>
      <c r="DW2146" s="496" t="s">
        <v>1087</v>
      </c>
      <c r="DX2146" s="497" t="s">
        <v>1088</v>
      </c>
      <c r="DZ2146" s="543">
        <v>1</v>
      </c>
      <c r="EB2146" s="493"/>
      <c r="EC2146" s="493"/>
    </row>
    <row r="2147" spans="119:133" ht="21" customHeight="1">
      <c r="DO2147" s="494"/>
      <c r="DP2147" s="496" t="s">
        <v>5231</v>
      </c>
      <c r="DQ2147" s="496" t="s">
        <v>14</v>
      </c>
      <c r="DR2147" s="496" t="s">
        <v>689</v>
      </c>
      <c r="DS2147" s="496" t="s">
        <v>5</v>
      </c>
      <c r="DT2147" s="496" t="s">
        <v>5</v>
      </c>
      <c r="DU2147" s="496" t="s">
        <v>1085</v>
      </c>
      <c r="DV2147" s="496" t="s">
        <v>5226</v>
      </c>
      <c r="DW2147" s="496" t="s">
        <v>1087</v>
      </c>
      <c r="DX2147" s="497" t="s">
        <v>1088</v>
      </c>
      <c r="DZ2147" s="543">
        <v>1</v>
      </c>
      <c r="EB2147" s="493"/>
      <c r="EC2147" s="493"/>
    </row>
    <row r="2148" spans="119:133" ht="21" customHeight="1">
      <c r="DO2148" s="494"/>
      <c r="DP2148" s="496" t="s">
        <v>5232</v>
      </c>
      <c r="DQ2148" s="496" t="s">
        <v>14</v>
      </c>
      <c r="DR2148" s="496" t="s">
        <v>689</v>
      </c>
      <c r="DS2148" s="496" t="s">
        <v>5233</v>
      </c>
      <c r="DT2148" s="496" t="s">
        <v>5233</v>
      </c>
      <c r="DU2148" s="496" t="s">
        <v>1085</v>
      </c>
      <c r="DV2148" s="496" t="s">
        <v>5226</v>
      </c>
      <c r="DW2148" s="496" t="s">
        <v>1087</v>
      </c>
      <c r="DX2148" s="497" t="s">
        <v>1088</v>
      </c>
      <c r="DZ2148" s="543">
        <v>1</v>
      </c>
      <c r="EB2148" s="493"/>
      <c r="EC2148" s="493"/>
    </row>
    <row r="2149" spans="119:133" ht="21" customHeight="1">
      <c r="DO2149" s="494"/>
      <c r="DP2149" s="496" t="s">
        <v>5234</v>
      </c>
      <c r="DQ2149" s="496" t="s">
        <v>14</v>
      </c>
      <c r="DR2149" s="496" t="s">
        <v>689</v>
      </c>
      <c r="DS2149" s="496" t="s">
        <v>334</v>
      </c>
      <c r="DT2149" s="496" t="s">
        <v>334</v>
      </c>
      <c r="DU2149" s="496" t="s">
        <v>1151</v>
      </c>
      <c r="DV2149" s="496" t="s">
        <v>1152</v>
      </c>
      <c r="DW2149" s="496" t="s">
        <v>1087</v>
      </c>
      <c r="DX2149" s="497" t="s">
        <v>1153</v>
      </c>
      <c r="DZ2149" s="543">
        <v>1</v>
      </c>
      <c r="EB2149" s="493"/>
      <c r="EC2149" s="493"/>
    </row>
    <row r="2150" spans="119:133" ht="21" customHeight="1">
      <c r="DO2150" s="494"/>
      <c r="DP2150" s="496" t="s">
        <v>5235</v>
      </c>
      <c r="DQ2150" s="496" t="s">
        <v>14</v>
      </c>
      <c r="DR2150" s="496" t="s">
        <v>689</v>
      </c>
      <c r="DS2150" s="496" t="s">
        <v>5236</v>
      </c>
      <c r="DT2150" s="496" t="s">
        <v>5236</v>
      </c>
      <c r="DU2150" s="496" t="s">
        <v>1151</v>
      </c>
      <c r="DV2150" s="496" t="s">
        <v>1152</v>
      </c>
      <c r="DW2150" s="496" t="s">
        <v>1087</v>
      </c>
      <c r="DX2150" s="497" t="s">
        <v>1153</v>
      </c>
      <c r="DZ2150" s="543">
        <v>1</v>
      </c>
      <c r="EB2150" s="493"/>
      <c r="EC2150" s="493"/>
    </row>
    <row r="2151" spans="119:133" ht="21" customHeight="1">
      <c r="DO2151" s="494"/>
      <c r="DP2151" s="496" t="s">
        <v>5237</v>
      </c>
      <c r="DQ2151" s="496" t="s">
        <v>14</v>
      </c>
      <c r="DR2151" s="496" t="s">
        <v>689</v>
      </c>
      <c r="DS2151" s="496" t="s">
        <v>5238</v>
      </c>
      <c r="DT2151" s="496" t="s">
        <v>5238</v>
      </c>
      <c r="DU2151" s="496" t="s">
        <v>1085</v>
      </c>
      <c r="DV2151" s="496" t="s">
        <v>5226</v>
      </c>
      <c r="DW2151" s="496" t="s">
        <v>1087</v>
      </c>
      <c r="DX2151" s="497" t="s">
        <v>1088</v>
      </c>
      <c r="DZ2151" s="543">
        <v>1</v>
      </c>
      <c r="EB2151" s="493"/>
      <c r="EC2151" s="493"/>
    </row>
    <row r="2152" spans="119:133" ht="21" customHeight="1">
      <c r="DO2152" s="494"/>
      <c r="DP2152" s="496" t="s">
        <v>5239</v>
      </c>
      <c r="DQ2152" s="496" t="s">
        <v>14</v>
      </c>
      <c r="DR2152" s="496" t="s">
        <v>689</v>
      </c>
      <c r="DS2152" s="496" t="s">
        <v>5240</v>
      </c>
      <c r="DT2152" s="496" t="s">
        <v>77</v>
      </c>
      <c r="DU2152" s="496" t="s">
        <v>1085</v>
      </c>
      <c r="DV2152" s="496" t="s">
        <v>5226</v>
      </c>
      <c r="DW2152" s="496" t="s">
        <v>1087</v>
      </c>
      <c r="DX2152" s="497" t="s">
        <v>1088</v>
      </c>
      <c r="DZ2152" s="543">
        <v>1</v>
      </c>
      <c r="EB2152" s="493"/>
      <c r="EC2152" s="493"/>
    </row>
    <row r="2153" spans="119:133" ht="21" customHeight="1">
      <c r="DO2153" s="494"/>
      <c r="DP2153" s="496" t="s">
        <v>5241</v>
      </c>
      <c r="DQ2153" s="496" t="s">
        <v>14</v>
      </c>
      <c r="DR2153" s="496" t="s">
        <v>689</v>
      </c>
      <c r="DS2153" s="496" t="s">
        <v>5242</v>
      </c>
      <c r="DT2153" s="496" t="s">
        <v>89</v>
      </c>
      <c r="DU2153" s="496" t="s">
        <v>1085</v>
      </c>
      <c r="DV2153" s="496" t="s">
        <v>5226</v>
      </c>
      <c r="DW2153" s="496" t="s">
        <v>1087</v>
      </c>
      <c r="DX2153" s="497" t="s">
        <v>1088</v>
      </c>
      <c r="DZ2153" s="543">
        <v>1</v>
      </c>
      <c r="EB2153" s="493"/>
      <c r="EC2153" s="493"/>
    </row>
    <row r="2154" spans="119:133" ht="21" customHeight="1">
      <c r="DO2154" s="494"/>
      <c r="DP2154" s="496" t="s">
        <v>5243</v>
      </c>
      <c r="DQ2154" s="496" t="s">
        <v>14</v>
      </c>
      <c r="DR2154" s="496" t="s">
        <v>689</v>
      </c>
      <c r="DS2154" s="496" t="s">
        <v>116</v>
      </c>
      <c r="DT2154" s="496" t="s">
        <v>116</v>
      </c>
      <c r="DU2154" s="496" t="s">
        <v>1085</v>
      </c>
      <c r="DV2154" s="496" t="s">
        <v>5226</v>
      </c>
      <c r="DW2154" s="496" t="s">
        <v>1087</v>
      </c>
      <c r="DX2154" s="497" t="s">
        <v>1088</v>
      </c>
      <c r="DZ2154" s="543">
        <v>1</v>
      </c>
      <c r="EB2154" s="493"/>
      <c r="EC2154" s="493"/>
    </row>
    <row r="2155" spans="119:133" ht="21" customHeight="1">
      <c r="DO2155" s="494"/>
      <c r="DP2155" s="496" t="s">
        <v>5244</v>
      </c>
      <c r="DQ2155" s="496" t="s">
        <v>14</v>
      </c>
      <c r="DR2155" s="496" t="s">
        <v>689</v>
      </c>
      <c r="DS2155" s="496" t="s">
        <v>102</v>
      </c>
      <c r="DT2155" s="496" t="s">
        <v>102</v>
      </c>
      <c r="DU2155" s="496" t="s">
        <v>1085</v>
      </c>
      <c r="DV2155" s="496" t="s">
        <v>5226</v>
      </c>
      <c r="DW2155" s="496" t="s">
        <v>1087</v>
      </c>
      <c r="DX2155" s="497" t="s">
        <v>1088</v>
      </c>
      <c r="DZ2155" s="543">
        <v>1</v>
      </c>
      <c r="EB2155" s="493"/>
      <c r="EC2155" s="493"/>
    </row>
    <row r="2156" spans="119:133" ht="21" customHeight="1">
      <c r="DO2156" s="494"/>
      <c r="DP2156" s="496" t="s">
        <v>5245</v>
      </c>
      <c r="DQ2156" s="496" t="s">
        <v>14</v>
      </c>
      <c r="DR2156" s="496" t="s">
        <v>1511</v>
      </c>
      <c r="DS2156" s="496" t="s">
        <v>1443</v>
      </c>
      <c r="DT2156" s="496" t="s">
        <v>1443</v>
      </c>
      <c r="DU2156" s="496" t="s">
        <v>1085</v>
      </c>
      <c r="DV2156" s="496" t="s">
        <v>5246</v>
      </c>
      <c r="DW2156" s="496" t="s">
        <v>1087</v>
      </c>
      <c r="DX2156" s="497" t="s">
        <v>1088</v>
      </c>
      <c r="DZ2156" s="543">
        <v>1</v>
      </c>
      <c r="EB2156" s="493"/>
      <c r="EC2156" s="493"/>
    </row>
    <row r="2157" spans="119:133" ht="21" customHeight="1">
      <c r="DO2157" s="494"/>
      <c r="DP2157" s="496" t="s">
        <v>5247</v>
      </c>
      <c r="DQ2157" s="496" t="s">
        <v>14</v>
      </c>
      <c r="DR2157" s="496" t="s">
        <v>1511</v>
      </c>
      <c r="DS2157" s="496" t="s">
        <v>1492</v>
      </c>
      <c r="DT2157" s="496" t="s">
        <v>1492</v>
      </c>
      <c r="DU2157" s="496" t="s">
        <v>1085</v>
      </c>
      <c r="DV2157" s="496" t="s">
        <v>5246</v>
      </c>
      <c r="DW2157" s="496" t="s">
        <v>1087</v>
      </c>
      <c r="DX2157" s="497" t="s">
        <v>1088</v>
      </c>
      <c r="DZ2157" s="543">
        <v>1</v>
      </c>
      <c r="EB2157" s="493"/>
      <c r="EC2157" s="493"/>
    </row>
    <row r="2158" spans="119:133" ht="21" customHeight="1">
      <c r="DO2158" s="494"/>
      <c r="DP2158" s="496" t="s">
        <v>5248</v>
      </c>
      <c r="DQ2158" s="496" t="s">
        <v>14</v>
      </c>
      <c r="DR2158" s="496" t="s">
        <v>1511</v>
      </c>
      <c r="DS2158" s="496" t="s">
        <v>1498</v>
      </c>
      <c r="DT2158" s="496" t="s">
        <v>1499</v>
      </c>
      <c r="DU2158" s="496" t="s">
        <v>1085</v>
      </c>
      <c r="DV2158" s="496" t="s">
        <v>5246</v>
      </c>
      <c r="DW2158" s="496" t="s">
        <v>1087</v>
      </c>
      <c r="DX2158" s="497" t="s">
        <v>1088</v>
      </c>
      <c r="DZ2158" s="543">
        <v>1</v>
      </c>
      <c r="EB2158" s="493"/>
      <c r="EC2158" s="493"/>
    </row>
    <row r="2159" spans="119:133" ht="21" customHeight="1">
      <c r="DO2159" s="494"/>
      <c r="DP2159" s="496" t="s">
        <v>5249</v>
      </c>
      <c r="DQ2159" s="496" t="s">
        <v>14</v>
      </c>
      <c r="DR2159" s="496" t="s">
        <v>1511</v>
      </c>
      <c r="DS2159" s="496" t="s">
        <v>5250</v>
      </c>
      <c r="DT2159" s="496" t="s">
        <v>5251</v>
      </c>
      <c r="DU2159" s="496" t="s">
        <v>1085</v>
      </c>
      <c r="DV2159" s="496" t="s">
        <v>5246</v>
      </c>
      <c r="DW2159" s="496" t="s">
        <v>1087</v>
      </c>
      <c r="DX2159" s="497" t="s">
        <v>1088</v>
      </c>
      <c r="DZ2159" s="543">
        <v>1</v>
      </c>
      <c r="EB2159" s="493"/>
      <c r="EC2159" s="493"/>
    </row>
    <row r="2160" spans="119:133" ht="21" customHeight="1">
      <c r="DO2160" s="494"/>
      <c r="DP2160" s="496" t="s">
        <v>5252</v>
      </c>
      <c r="DQ2160" s="496" t="s">
        <v>14</v>
      </c>
      <c r="DR2160" s="496" t="s">
        <v>1511</v>
      </c>
      <c r="DS2160" s="496" t="s">
        <v>3947</v>
      </c>
      <c r="DT2160" s="496" t="s">
        <v>3948</v>
      </c>
      <c r="DU2160" s="496" t="s">
        <v>1085</v>
      </c>
      <c r="DV2160" s="496" t="s">
        <v>5246</v>
      </c>
      <c r="DW2160" s="496" t="s">
        <v>1087</v>
      </c>
      <c r="DX2160" s="497" t="s">
        <v>1088</v>
      </c>
      <c r="DZ2160" s="543">
        <v>1</v>
      </c>
      <c r="EB2160" s="493"/>
      <c r="EC2160" s="493"/>
    </row>
    <row r="2161" spans="119:133" ht="21" customHeight="1">
      <c r="DO2161" s="494"/>
      <c r="DP2161" s="496" t="s">
        <v>5253</v>
      </c>
      <c r="DQ2161" s="496" t="s">
        <v>14</v>
      </c>
      <c r="DR2161" s="496" t="s">
        <v>1511</v>
      </c>
      <c r="DS2161" s="496" t="s">
        <v>5254</v>
      </c>
      <c r="DT2161" s="496" t="s">
        <v>5255</v>
      </c>
      <c r="DU2161" s="496" t="s">
        <v>1085</v>
      </c>
      <c r="DV2161" s="496" t="s">
        <v>5246</v>
      </c>
      <c r="DW2161" s="496" t="s">
        <v>1087</v>
      </c>
      <c r="DX2161" s="497" t="s">
        <v>1088</v>
      </c>
      <c r="DZ2161" s="543">
        <v>1</v>
      </c>
      <c r="EB2161" s="493"/>
      <c r="EC2161" s="493"/>
    </row>
    <row r="2162" spans="119:133" ht="21" customHeight="1">
      <c r="DO2162" s="494"/>
      <c r="DP2162" s="496" t="s">
        <v>5256</v>
      </c>
      <c r="DQ2162" s="496" t="s">
        <v>15</v>
      </c>
      <c r="DR2162" s="496" t="s">
        <v>689</v>
      </c>
      <c r="DS2162" s="496" t="s">
        <v>5257</v>
      </c>
      <c r="DT2162" s="496" t="s">
        <v>5257</v>
      </c>
      <c r="DU2162" s="496" t="s">
        <v>1554</v>
      </c>
      <c r="DV2162" s="496" t="s">
        <v>1555</v>
      </c>
      <c r="DW2162" s="496" t="s">
        <v>1556</v>
      </c>
      <c r="DX2162" s="497" t="s">
        <v>5258</v>
      </c>
      <c r="DZ2162" s="543">
        <v>1</v>
      </c>
      <c r="EB2162" s="493"/>
      <c r="EC2162" s="493"/>
    </row>
    <row r="2163" spans="119:133" ht="21" customHeight="1">
      <c r="DO2163" s="494"/>
      <c r="DP2163" s="496" t="s">
        <v>5259</v>
      </c>
      <c r="DQ2163" s="496" t="s">
        <v>15</v>
      </c>
      <c r="DR2163" s="496" t="s">
        <v>689</v>
      </c>
      <c r="DS2163" s="496" t="s">
        <v>5260</v>
      </c>
      <c r="DT2163" s="496" t="s">
        <v>5260</v>
      </c>
      <c r="DU2163" s="496" t="s">
        <v>1554</v>
      </c>
      <c r="DV2163" s="496" t="s">
        <v>1555</v>
      </c>
      <c r="DW2163" s="496" t="s">
        <v>1556</v>
      </c>
      <c r="DX2163" s="497" t="s">
        <v>5258</v>
      </c>
      <c r="DZ2163" s="543">
        <v>1</v>
      </c>
      <c r="EB2163" s="493"/>
      <c r="EC2163" s="493"/>
    </row>
    <row r="2164" spans="119:133" ht="21" customHeight="1">
      <c r="DO2164" s="494"/>
      <c r="DP2164" s="496" t="s">
        <v>5261</v>
      </c>
      <c r="DQ2164" s="496" t="s">
        <v>15</v>
      </c>
      <c r="DR2164" s="496" t="s">
        <v>689</v>
      </c>
      <c r="DS2164" s="496" t="s">
        <v>5262</v>
      </c>
      <c r="DT2164" s="496" t="s">
        <v>5262</v>
      </c>
      <c r="DU2164" s="496" t="s">
        <v>1554</v>
      </c>
      <c r="DV2164" s="496" t="s">
        <v>1555</v>
      </c>
      <c r="DW2164" s="496" t="s">
        <v>1556</v>
      </c>
      <c r="DX2164" s="497" t="s">
        <v>5258</v>
      </c>
      <c r="DZ2164" s="543">
        <v>1</v>
      </c>
      <c r="EB2164" s="493"/>
      <c r="EC2164" s="493"/>
    </row>
    <row r="2165" spans="119:133" ht="21" customHeight="1">
      <c r="DO2165" s="494"/>
      <c r="DP2165" s="496" t="s">
        <v>5263</v>
      </c>
      <c r="DQ2165" s="496" t="s">
        <v>15</v>
      </c>
      <c r="DR2165" s="496" t="s">
        <v>689</v>
      </c>
      <c r="DS2165" s="496" t="s">
        <v>998</v>
      </c>
      <c r="DT2165" s="496" t="s">
        <v>998</v>
      </c>
      <c r="DU2165" s="496" t="s">
        <v>1554</v>
      </c>
      <c r="DV2165" s="496" t="s">
        <v>1555</v>
      </c>
      <c r="DW2165" s="496" t="s">
        <v>1556</v>
      </c>
      <c r="DX2165" s="497" t="s">
        <v>5258</v>
      </c>
      <c r="DZ2165" s="543">
        <v>1</v>
      </c>
      <c r="EB2165" s="493"/>
      <c r="EC2165" s="493"/>
    </row>
    <row r="2166" spans="119:133" ht="21" customHeight="1">
      <c r="DO2166" s="494"/>
      <c r="DP2166" s="496" t="s">
        <v>5264</v>
      </c>
      <c r="DQ2166" s="496" t="s">
        <v>15</v>
      </c>
      <c r="DR2166" s="496" t="s">
        <v>689</v>
      </c>
      <c r="DS2166" s="496" t="s">
        <v>5265</v>
      </c>
      <c r="DT2166" s="496" t="s">
        <v>5265</v>
      </c>
      <c r="DU2166" s="496" t="s">
        <v>1554</v>
      </c>
      <c r="DV2166" s="496" t="s">
        <v>1555</v>
      </c>
      <c r="DW2166" s="496" t="s">
        <v>1556</v>
      </c>
      <c r="DX2166" s="497" t="s">
        <v>5258</v>
      </c>
      <c r="DZ2166" s="543">
        <v>1</v>
      </c>
      <c r="EB2166" s="493"/>
      <c r="EC2166" s="493"/>
    </row>
    <row r="2167" spans="119:133" ht="21" customHeight="1">
      <c r="DO2167" s="494"/>
      <c r="DP2167" s="496" t="s">
        <v>5266</v>
      </c>
      <c r="DQ2167" s="496" t="s">
        <v>15</v>
      </c>
      <c r="DR2167" s="496" t="s">
        <v>689</v>
      </c>
      <c r="DS2167" s="496" t="s">
        <v>999</v>
      </c>
      <c r="DT2167" s="496" t="s">
        <v>999</v>
      </c>
      <c r="DU2167" s="496" t="s">
        <v>1151</v>
      </c>
      <c r="DV2167" s="496" t="s">
        <v>5267</v>
      </c>
      <c r="DW2167" s="496" t="s">
        <v>1087</v>
      </c>
      <c r="DX2167" s="497" t="s">
        <v>1153</v>
      </c>
      <c r="DZ2167" s="543">
        <v>1</v>
      </c>
      <c r="EB2167" s="493"/>
      <c r="EC2167" s="493"/>
    </row>
    <row r="2168" spans="119:133" ht="21" customHeight="1">
      <c r="DO2168" s="494"/>
      <c r="DP2168" s="496" t="s">
        <v>5268</v>
      </c>
      <c r="DQ2168" s="496" t="s">
        <v>15</v>
      </c>
      <c r="DR2168" s="496" t="s">
        <v>689</v>
      </c>
      <c r="DS2168" s="496" t="s">
        <v>5269</v>
      </c>
      <c r="DT2168" s="496" t="s">
        <v>5269</v>
      </c>
      <c r="DU2168" s="496" t="s">
        <v>1554</v>
      </c>
      <c r="DV2168" s="496" t="s">
        <v>1555</v>
      </c>
      <c r="DW2168" s="496" t="s">
        <v>1556</v>
      </c>
      <c r="DX2168" s="497" t="s">
        <v>5258</v>
      </c>
      <c r="DZ2168" s="543">
        <v>1</v>
      </c>
      <c r="EB2168" s="493"/>
      <c r="EC2168" s="493"/>
    </row>
    <row r="2169" spans="119:133" ht="21" customHeight="1">
      <c r="DO2169" s="494"/>
      <c r="DP2169" s="496" t="s">
        <v>5270</v>
      </c>
      <c r="DQ2169" s="496" t="s">
        <v>15</v>
      </c>
      <c r="DR2169" s="496" t="s">
        <v>689</v>
      </c>
      <c r="DS2169" s="496" t="s">
        <v>5271</v>
      </c>
      <c r="DT2169" s="496" t="s">
        <v>5271</v>
      </c>
      <c r="DU2169" s="496" t="s">
        <v>1554</v>
      </c>
      <c r="DV2169" s="496" t="s">
        <v>1555</v>
      </c>
      <c r="DW2169" s="496" t="s">
        <v>1556</v>
      </c>
      <c r="DX2169" s="497" t="s">
        <v>5258</v>
      </c>
      <c r="DZ2169" s="543">
        <v>1</v>
      </c>
      <c r="EB2169" s="493"/>
      <c r="EC2169" s="493"/>
    </row>
    <row r="2170" spans="119:133" ht="21" customHeight="1">
      <c r="DO2170" s="494"/>
      <c r="DP2170" s="496" t="s">
        <v>5272</v>
      </c>
      <c r="DQ2170" s="496" t="s">
        <v>15</v>
      </c>
      <c r="DR2170" s="496" t="s">
        <v>689</v>
      </c>
      <c r="DS2170" s="496" t="s">
        <v>5273</v>
      </c>
      <c r="DT2170" s="496" t="s">
        <v>5273</v>
      </c>
      <c r="DU2170" s="496" t="s">
        <v>1554</v>
      </c>
      <c r="DV2170" s="496" t="s">
        <v>1555</v>
      </c>
      <c r="DW2170" s="496" t="s">
        <v>1556</v>
      </c>
      <c r="DX2170" s="497" t="s">
        <v>5258</v>
      </c>
      <c r="DZ2170" s="543">
        <v>1</v>
      </c>
      <c r="EB2170" s="493"/>
      <c r="EC2170" s="493"/>
    </row>
    <row r="2171" spans="119:133" ht="21" customHeight="1">
      <c r="DO2171" s="494"/>
      <c r="DP2171" s="496" t="s">
        <v>5274</v>
      </c>
      <c r="DQ2171" s="496" t="s">
        <v>15</v>
      </c>
      <c r="DR2171" s="496" t="s">
        <v>689</v>
      </c>
      <c r="DS2171" s="496" t="s">
        <v>5275</v>
      </c>
      <c r="DT2171" s="496" t="s">
        <v>5275</v>
      </c>
      <c r="DU2171" s="496" t="s">
        <v>1554</v>
      </c>
      <c r="DV2171" s="496" t="s">
        <v>1555</v>
      </c>
      <c r="DW2171" s="496" t="s">
        <v>1556</v>
      </c>
      <c r="DX2171" s="497" t="s">
        <v>5258</v>
      </c>
      <c r="DZ2171" s="543">
        <v>1</v>
      </c>
      <c r="EB2171" s="493"/>
      <c r="EC2171" s="493"/>
    </row>
    <row r="2172" spans="119:133" ht="21" customHeight="1">
      <c r="DO2172" s="494"/>
      <c r="DP2172" s="496" t="s">
        <v>5276</v>
      </c>
      <c r="DQ2172" s="496" t="s">
        <v>15</v>
      </c>
      <c r="DR2172" s="496" t="s">
        <v>689</v>
      </c>
      <c r="DS2172" s="496" t="s">
        <v>5277</v>
      </c>
      <c r="DT2172" s="496" t="s">
        <v>5277</v>
      </c>
      <c r="DU2172" s="496" t="s">
        <v>1554</v>
      </c>
      <c r="DV2172" s="496" t="s">
        <v>1555</v>
      </c>
      <c r="DW2172" s="496" t="s">
        <v>1556</v>
      </c>
      <c r="DX2172" s="497" t="s">
        <v>5258</v>
      </c>
      <c r="DZ2172" s="543">
        <v>1</v>
      </c>
      <c r="EB2172" s="493"/>
      <c r="EC2172" s="493"/>
    </row>
    <row r="2173" spans="119:133" ht="21" customHeight="1">
      <c r="DO2173" s="494"/>
      <c r="DP2173" s="496" t="s">
        <v>5278</v>
      </c>
      <c r="DQ2173" s="496" t="s">
        <v>15</v>
      </c>
      <c r="DR2173" s="496" t="s">
        <v>689</v>
      </c>
      <c r="DS2173" s="496" t="s">
        <v>5279</v>
      </c>
      <c r="DT2173" s="496" t="s">
        <v>5279</v>
      </c>
      <c r="DU2173" s="496" t="s">
        <v>1554</v>
      </c>
      <c r="DV2173" s="496" t="s">
        <v>1555</v>
      </c>
      <c r="DW2173" s="496" t="s">
        <v>1556</v>
      </c>
      <c r="DX2173" s="497" t="s">
        <v>5258</v>
      </c>
      <c r="DZ2173" s="543">
        <v>1</v>
      </c>
      <c r="EB2173" s="493"/>
      <c r="EC2173" s="493"/>
    </row>
    <row r="2174" spans="119:133" ht="21" customHeight="1">
      <c r="DO2174" s="494"/>
      <c r="DP2174" s="496" t="s">
        <v>5280</v>
      </c>
      <c r="DQ2174" s="496" t="s">
        <v>15</v>
      </c>
      <c r="DR2174" s="496" t="s">
        <v>689</v>
      </c>
      <c r="DS2174" s="496" t="s">
        <v>5281</v>
      </c>
      <c r="DT2174" s="496" t="s">
        <v>5281</v>
      </c>
      <c r="DU2174" s="496" t="s">
        <v>1554</v>
      </c>
      <c r="DV2174" s="496" t="s">
        <v>1555</v>
      </c>
      <c r="DW2174" s="496" t="s">
        <v>1556</v>
      </c>
      <c r="DX2174" s="497" t="s">
        <v>5258</v>
      </c>
      <c r="DZ2174" s="543">
        <v>1</v>
      </c>
      <c r="EB2174" s="493"/>
      <c r="EC2174" s="493"/>
    </row>
    <row r="2175" spans="119:133" ht="21" customHeight="1">
      <c r="DO2175" s="494"/>
      <c r="DP2175" s="496" t="s">
        <v>5282</v>
      </c>
      <c r="DQ2175" s="496" t="s">
        <v>15</v>
      </c>
      <c r="DR2175" s="496" t="s">
        <v>689</v>
      </c>
      <c r="DS2175" s="496" t="s">
        <v>691</v>
      </c>
      <c r="DT2175" s="496" t="s">
        <v>691</v>
      </c>
      <c r="DU2175" s="496" t="s">
        <v>1554</v>
      </c>
      <c r="DV2175" s="496" t="s">
        <v>1555</v>
      </c>
      <c r="DW2175" s="496" t="s">
        <v>1556</v>
      </c>
      <c r="DX2175" s="497" t="s">
        <v>5258</v>
      </c>
      <c r="DZ2175" s="543">
        <v>1</v>
      </c>
      <c r="EB2175" s="493"/>
      <c r="EC2175" s="493"/>
    </row>
    <row r="2176" spans="119:133" ht="21" customHeight="1">
      <c r="DO2176" s="494"/>
      <c r="DP2176" s="496" t="s">
        <v>5283</v>
      </c>
      <c r="DQ2176" s="496" t="s">
        <v>15</v>
      </c>
      <c r="DR2176" s="496" t="s">
        <v>689</v>
      </c>
      <c r="DS2176" s="496" t="s">
        <v>1000</v>
      </c>
      <c r="DT2176" s="496" t="s">
        <v>1000</v>
      </c>
      <c r="DU2176" s="496" t="s">
        <v>1085</v>
      </c>
      <c r="DV2176" s="496" t="s">
        <v>5284</v>
      </c>
      <c r="DW2176" s="496" t="s">
        <v>1087</v>
      </c>
      <c r="DX2176" s="497" t="s">
        <v>1088</v>
      </c>
      <c r="DZ2176" s="543">
        <v>1</v>
      </c>
      <c r="EB2176" s="493"/>
      <c r="EC2176" s="493"/>
    </row>
    <row r="2177" spans="119:133" ht="21" customHeight="1">
      <c r="DO2177" s="494"/>
      <c r="DP2177" s="496" t="s">
        <v>5285</v>
      </c>
      <c r="DQ2177" s="496" t="s">
        <v>15</v>
      </c>
      <c r="DR2177" s="496" t="s">
        <v>689</v>
      </c>
      <c r="DS2177" s="496" t="s">
        <v>5286</v>
      </c>
      <c r="DT2177" s="496" t="s">
        <v>5286</v>
      </c>
      <c r="DU2177" s="496" t="s">
        <v>1554</v>
      </c>
      <c r="DV2177" s="496" t="s">
        <v>1555</v>
      </c>
      <c r="DW2177" s="496" t="s">
        <v>1556</v>
      </c>
      <c r="DX2177" s="497" t="s">
        <v>5258</v>
      </c>
      <c r="DZ2177" s="543">
        <v>1</v>
      </c>
      <c r="EB2177" s="493"/>
      <c r="EC2177" s="493"/>
    </row>
    <row r="2178" spans="119:133" ht="21" customHeight="1">
      <c r="DO2178" s="494"/>
      <c r="DP2178" s="496" t="s">
        <v>5287</v>
      </c>
      <c r="DQ2178" s="496" t="s">
        <v>15</v>
      </c>
      <c r="DR2178" s="496" t="s">
        <v>689</v>
      </c>
      <c r="DS2178" s="496" t="s">
        <v>5288</v>
      </c>
      <c r="DT2178" s="496" t="s">
        <v>5288</v>
      </c>
      <c r="DU2178" s="496" t="s">
        <v>1554</v>
      </c>
      <c r="DV2178" s="496" t="s">
        <v>1555</v>
      </c>
      <c r="DW2178" s="496" t="s">
        <v>1556</v>
      </c>
      <c r="DX2178" s="497" t="s">
        <v>5258</v>
      </c>
      <c r="DZ2178" s="543">
        <v>1</v>
      </c>
      <c r="EB2178" s="493"/>
      <c r="EC2178" s="493"/>
    </row>
    <row r="2179" spans="119:133" ht="21" customHeight="1">
      <c r="DO2179" s="494"/>
      <c r="DP2179" s="496" t="s">
        <v>5289</v>
      </c>
      <c r="DQ2179" s="496" t="s">
        <v>15</v>
      </c>
      <c r="DR2179" s="496" t="s">
        <v>689</v>
      </c>
      <c r="DS2179" s="496" t="s">
        <v>5290</v>
      </c>
      <c r="DT2179" s="496" t="s">
        <v>5290</v>
      </c>
      <c r="DU2179" s="496" t="s">
        <v>1085</v>
      </c>
      <c r="DV2179" s="496" t="s">
        <v>5284</v>
      </c>
      <c r="DW2179" s="496" t="s">
        <v>1087</v>
      </c>
      <c r="DX2179" s="497" t="s">
        <v>1088</v>
      </c>
      <c r="DZ2179" s="543">
        <v>1</v>
      </c>
      <c r="EB2179" s="493"/>
      <c r="EC2179" s="493"/>
    </row>
    <row r="2180" spans="119:133" ht="21" customHeight="1">
      <c r="DO2180" s="494"/>
      <c r="DP2180" s="496" t="s">
        <v>5291</v>
      </c>
      <c r="DQ2180" s="496" t="s">
        <v>15</v>
      </c>
      <c r="DR2180" s="496" t="s">
        <v>689</v>
      </c>
      <c r="DS2180" s="496" t="s">
        <v>5292</v>
      </c>
      <c r="DT2180" s="496" t="s">
        <v>5292</v>
      </c>
      <c r="DU2180" s="496" t="s">
        <v>1554</v>
      </c>
      <c r="DV2180" s="496" t="s">
        <v>1555</v>
      </c>
      <c r="DW2180" s="496" t="s">
        <v>1556</v>
      </c>
      <c r="DX2180" s="497" t="s">
        <v>5258</v>
      </c>
      <c r="DZ2180" s="543">
        <v>1</v>
      </c>
      <c r="EB2180" s="493"/>
      <c r="EC2180" s="493"/>
    </row>
    <row r="2181" spans="119:133" ht="21" customHeight="1">
      <c r="DO2181" s="494"/>
      <c r="DP2181" s="496" t="s">
        <v>5293</v>
      </c>
      <c r="DQ2181" s="496" t="s">
        <v>15</v>
      </c>
      <c r="DR2181" s="496" t="s">
        <v>689</v>
      </c>
      <c r="DS2181" s="496" t="s">
        <v>1001</v>
      </c>
      <c r="DT2181" s="496" t="s">
        <v>1001</v>
      </c>
      <c r="DU2181" s="496" t="s">
        <v>1554</v>
      </c>
      <c r="DV2181" s="496" t="s">
        <v>1555</v>
      </c>
      <c r="DW2181" s="496" t="s">
        <v>1556</v>
      </c>
      <c r="DX2181" s="497" t="s">
        <v>5258</v>
      </c>
      <c r="DZ2181" s="543">
        <v>1</v>
      </c>
      <c r="EB2181" s="493"/>
      <c r="EC2181" s="493"/>
    </row>
    <row r="2182" spans="119:133" ht="21" customHeight="1">
      <c r="DO2182" s="494"/>
      <c r="DP2182" s="496" t="s">
        <v>5294</v>
      </c>
      <c r="DQ2182" s="496" t="s">
        <v>15</v>
      </c>
      <c r="DR2182" s="496" t="s">
        <v>689</v>
      </c>
      <c r="DS2182" s="496" t="s">
        <v>343</v>
      </c>
      <c r="DT2182" s="496" t="s">
        <v>343</v>
      </c>
      <c r="DU2182" s="496" t="s">
        <v>1085</v>
      </c>
      <c r="DV2182" s="496" t="s">
        <v>5284</v>
      </c>
      <c r="DW2182" s="496" t="s">
        <v>1087</v>
      </c>
      <c r="DX2182" s="497" t="s">
        <v>1088</v>
      </c>
      <c r="DZ2182" s="543">
        <v>1</v>
      </c>
      <c r="EB2182" s="493"/>
      <c r="EC2182" s="493"/>
    </row>
    <row r="2183" spans="119:133" ht="21" customHeight="1">
      <c r="DO2183" s="494"/>
      <c r="DP2183" s="496" t="s">
        <v>5295</v>
      </c>
      <c r="DQ2183" s="496" t="s">
        <v>15</v>
      </c>
      <c r="DR2183" s="496" t="s">
        <v>689</v>
      </c>
      <c r="DS2183" s="496" t="s">
        <v>5296</v>
      </c>
      <c r="DT2183" s="496" t="s">
        <v>5296</v>
      </c>
      <c r="DU2183" s="496" t="s">
        <v>1554</v>
      </c>
      <c r="DV2183" s="496" t="s">
        <v>1555</v>
      </c>
      <c r="DW2183" s="496" t="s">
        <v>1556</v>
      </c>
      <c r="DX2183" s="497" t="s">
        <v>5258</v>
      </c>
      <c r="DZ2183" s="543">
        <v>1</v>
      </c>
      <c r="EB2183" s="493"/>
      <c r="EC2183" s="493"/>
    </row>
    <row r="2184" spans="119:133" ht="21" customHeight="1">
      <c r="DO2184" s="494"/>
      <c r="DP2184" s="496" t="s">
        <v>5297</v>
      </c>
      <c r="DQ2184" s="496" t="s">
        <v>15</v>
      </c>
      <c r="DR2184" s="496" t="s">
        <v>689</v>
      </c>
      <c r="DS2184" s="496" t="s">
        <v>173</v>
      </c>
      <c r="DT2184" s="496" t="s">
        <v>173</v>
      </c>
      <c r="DU2184" s="496" t="s">
        <v>1554</v>
      </c>
      <c r="DV2184" s="496" t="s">
        <v>1555</v>
      </c>
      <c r="DW2184" s="496" t="s">
        <v>1556</v>
      </c>
      <c r="DX2184" s="497" t="s">
        <v>5258</v>
      </c>
      <c r="DZ2184" s="543">
        <v>1</v>
      </c>
      <c r="EB2184" s="493"/>
      <c r="EC2184" s="493"/>
    </row>
    <row r="2185" spans="119:133" ht="21" customHeight="1">
      <c r="DO2185" s="494"/>
      <c r="DP2185" s="496" t="s">
        <v>5298</v>
      </c>
      <c r="DQ2185" s="496" t="s">
        <v>15</v>
      </c>
      <c r="DR2185" s="496" t="s">
        <v>689</v>
      </c>
      <c r="DS2185" s="496" t="s">
        <v>177</v>
      </c>
      <c r="DT2185" s="496" t="s">
        <v>177</v>
      </c>
      <c r="DU2185" s="496" t="s">
        <v>1085</v>
      </c>
      <c r="DV2185" s="496" t="s">
        <v>5284</v>
      </c>
      <c r="DW2185" s="496" t="s">
        <v>1087</v>
      </c>
      <c r="DX2185" s="497" t="s">
        <v>1088</v>
      </c>
      <c r="DZ2185" s="543">
        <v>1</v>
      </c>
      <c r="EB2185" s="493"/>
      <c r="EC2185" s="493"/>
    </row>
    <row r="2186" spans="119:133" ht="21" customHeight="1">
      <c r="DO2186" s="494"/>
      <c r="DP2186" s="496" t="s">
        <v>5299</v>
      </c>
      <c r="DQ2186" s="496" t="s">
        <v>15</v>
      </c>
      <c r="DR2186" s="496" t="s">
        <v>689</v>
      </c>
      <c r="DS2186" s="496" t="s">
        <v>692</v>
      </c>
      <c r="DT2186" s="496" t="s">
        <v>692</v>
      </c>
      <c r="DU2186" s="496" t="s">
        <v>1554</v>
      </c>
      <c r="DV2186" s="496" t="s">
        <v>1555</v>
      </c>
      <c r="DW2186" s="496" t="s">
        <v>1556</v>
      </c>
      <c r="DX2186" s="497" t="s">
        <v>5258</v>
      </c>
      <c r="DZ2186" s="543">
        <v>1</v>
      </c>
      <c r="EB2186" s="493"/>
      <c r="EC2186" s="493"/>
    </row>
    <row r="2187" spans="119:133" ht="21" customHeight="1">
      <c r="DO2187" s="494"/>
      <c r="DP2187" s="496" t="s">
        <v>5300</v>
      </c>
      <c r="DQ2187" s="496" t="s">
        <v>15</v>
      </c>
      <c r="DR2187" s="496" t="s">
        <v>689</v>
      </c>
      <c r="DS2187" s="496" t="s">
        <v>5301</v>
      </c>
      <c r="DT2187" s="496" t="s">
        <v>5301</v>
      </c>
      <c r="DU2187" s="496" t="s">
        <v>1554</v>
      </c>
      <c r="DV2187" s="496" t="s">
        <v>1555</v>
      </c>
      <c r="DW2187" s="496" t="s">
        <v>1556</v>
      </c>
      <c r="DX2187" s="497" t="s">
        <v>5258</v>
      </c>
      <c r="DZ2187" s="543">
        <v>1</v>
      </c>
      <c r="EB2187" s="493"/>
      <c r="EC2187" s="493"/>
    </row>
    <row r="2188" spans="119:133" ht="21" customHeight="1">
      <c r="DO2188" s="494"/>
      <c r="DP2188" s="496" t="s">
        <v>5302</v>
      </c>
      <c r="DQ2188" s="496" t="s">
        <v>15</v>
      </c>
      <c r="DR2188" s="496" t="s">
        <v>689</v>
      </c>
      <c r="DS2188" s="496" t="s">
        <v>5303</v>
      </c>
      <c r="DT2188" s="496" t="s">
        <v>5303</v>
      </c>
      <c r="DU2188" s="496" t="s">
        <v>1554</v>
      </c>
      <c r="DV2188" s="496" t="s">
        <v>1555</v>
      </c>
      <c r="DW2188" s="496" t="s">
        <v>1556</v>
      </c>
      <c r="DX2188" s="497" t="s">
        <v>5258</v>
      </c>
      <c r="DZ2188" s="543">
        <v>1</v>
      </c>
      <c r="EB2188" s="493"/>
      <c r="EC2188" s="493"/>
    </row>
    <row r="2189" spans="119:133" ht="21" customHeight="1">
      <c r="DO2189" s="494"/>
      <c r="DP2189" s="496" t="s">
        <v>5304</v>
      </c>
      <c r="DQ2189" s="496" t="s">
        <v>15</v>
      </c>
      <c r="DR2189" s="496" t="s">
        <v>689</v>
      </c>
      <c r="DS2189" s="496" t="s">
        <v>5305</v>
      </c>
      <c r="DT2189" s="496" t="s">
        <v>5305</v>
      </c>
      <c r="DU2189" s="496" t="s">
        <v>1554</v>
      </c>
      <c r="DV2189" s="496" t="s">
        <v>1555</v>
      </c>
      <c r="DW2189" s="496" t="s">
        <v>1556</v>
      </c>
      <c r="DX2189" s="497" t="s">
        <v>5258</v>
      </c>
      <c r="DZ2189" s="543">
        <v>1</v>
      </c>
      <c r="EB2189" s="493"/>
      <c r="EC2189" s="493"/>
    </row>
    <row r="2190" spans="119:133" ht="21" customHeight="1">
      <c r="DO2190" s="494"/>
      <c r="DP2190" s="496" t="s">
        <v>5306</v>
      </c>
      <c r="DQ2190" s="496" t="s">
        <v>15</v>
      </c>
      <c r="DR2190" s="496" t="s">
        <v>689</v>
      </c>
      <c r="DS2190" s="496" t="s">
        <v>5307</v>
      </c>
      <c r="DT2190" s="496" t="s">
        <v>5307</v>
      </c>
      <c r="DU2190" s="496" t="s">
        <v>1554</v>
      </c>
      <c r="DV2190" s="496" t="s">
        <v>1555</v>
      </c>
      <c r="DW2190" s="496" t="s">
        <v>1556</v>
      </c>
      <c r="DX2190" s="497" t="s">
        <v>5258</v>
      </c>
      <c r="DZ2190" s="543">
        <v>1</v>
      </c>
      <c r="EB2190" s="493"/>
      <c r="EC2190" s="493"/>
    </row>
    <row r="2191" spans="119:133" ht="21" customHeight="1">
      <c r="DO2191" s="494"/>
      <c r="DP2191" s="496" t="s">
        <v>5308</v>
      </c>
      <c r="DQ2191" s="496" t="s">
        <v>15</v>
      </c>
      <c r="DR2191" s="496" t="s">
        <v>689</v>
      </c>
      <c r="DS2191" s="496" t="s">
        <v>5309</v>
      </c>
      <c r="DT2191" s="496" t="s">
        <v>5309</v>
      </c>
      <c r="DU2191" s="496" t="s">
        <v>1554</v>
      </c>
      <c r="DV2191" s="496" t="s">
        <v>1555</v>
      </c>
      <c r="DW2191" s="496" t="s">
        <v>1556</v>
      </c>
      <c r="DX2191" s="497" t="s">
        <v>5258</v>
      </c>
      <c r="DZ2191" s="543">
        <v>1</v>
      </c>
      <c r="EB2191" s="493"/>
      <c r="EC2191" s="493"/>
    </row>
    <row r="2192" spans="119:133" ht="21" customHeight="1">
      <c r="DO2192" s="494"/>
      <c r="DP2192" s="496" t="s">
        <v>5310</v>
      </c>
      <c r="DQ2192" s="496" t="s">
        <v>15</v>
      </c>
      <c r="DR2192" s="496" t="s">
        <v>689</v>
      </c>
      <c r="DS2192" s="496" t="s">
        <v>5311</v>
      </c>
      <c r="DT2192" s="496" t="s">
        <v>5311</v>
      </c>
      <c r="DU2192" s="496" t="s">
        <v>1554</v>
      </c>
      <c r="DV2192" s="496" t="s">
        <v>1555</v>
      </c>
      <c r="DW2192" s="496" t="s">
        <v>1556</v>
      </c>
      <c r="DX2192" s="497" t="s">
        <v>5258</v>
      </c>
      <c r="DZ2192" s="543">
        <v>1</v>
      </c>
      <c r="EB2192" s="493"/>
      <c r="EC2192" s="493"/>
    </row>
    <row r="2193" spans="119:133" ht="21" customHeight="1">
      <c r="DO2193" s="494"/>
      <c r="DP2193" s="496" t="s">
        <v>5312</v>
      </c>
      <c r="DQ2193" s="496" t="s">
        <v>15</v>
      </c>
      <c r="DR2193" s="496" t="s">
        <v>689</v>
      </c>
      <c r="DS2193" s="496" t="s">
        <v>5313</v>
      </c>
      <c r="DT2193" s="496" t="s">
        <v>5313</v>
      </c>
      <c r="DU2193" s="496" t="s">
        <v>1554</v>
      </c>
      <c r="DV2193" s="496" t="s">
        <v>1555</v>
      </c>
      <c r="DW2193" s="496" t="s">
        <v>1556</v>
      </c>
      <c r="DX2193" s="497" t="s">
        <v>5258</v>
      </c>
      <c r="DZ2193" s="543">
        <v>1</v>
      </c>
      <c r="EB2193" s="493"/>
      <c r="EC2193" s="493"/>
    </row>
    <row r="2194" spans="119:133" ht="21" customHeight="1">
      <c r="DO2194" s="494"/>
      <c r="DP2194" s="496" t="s">
        <v>5314</v>
      </c>
      <c r="DQ2194" s="496" t="s">
        <v>15</v>
      </c>
      <c r="DR2194" s="496" t="s">
        <v>689</v>
      </c>
      <c r="DS2194" s="496" t="s">
        <v>5315</v>
      </c>
      <c r="DT2194" s="496" t="s">
        <v>5315</v>
      </c>
      <c r="DU2194" s="496" t="s">
        <v>1554</v>
      </c>
      <c r="DV2194" s="496" t="s">
        <v>1555</v>
      </c>
      <c r="DW2194" s="496" t="s">
        <v>1556</v>
      </c>
      <c r="DX2194" s="497" t="s">
        <v>5258</v>
      </c>
      <c r="DZ2194" s="543">
        <v>1</v>
      </c>
      <c r="EB2194" s="493"/>
      <c r="EC2194" s="493"/>
    </row>
    <row r="2195" spans="119:133" ht="21" customHeight="1">
      <c r="DO2195" s="494"/>
      <c r="DP2195" s="496" t="s">
        <v>5316</v>
      </c>
      <c r="DQ2195" s="496" t="s">
        <v>15</v>
      </c>
      <c r="DR2195" s="496" t="s">
        <v>689</v>
      </c>
      <c r="DS2195" s="496" t="s">
        <v>5317</v>
      </c>
      <c r="DT2195" s="496" t="s">
        <v>5317</v>
      </c>
      <c r="DU2195" s="496" t="s">
        <v>1554</v>
      </c>
      <c r="DV2195" s="496" t="s">
        <v>1555</v>
      </c>
      <c r="DW2195" s="496" t="s">
        <v>1556</v>
      </c>
      <c r="DX2195" s="497" t="s">
        <v>5258</v>
      </c>
      <c r="DZ2195" s="543">
        <v>1</v>
      </c>
      <c r="EB2195" s="493"/>
      <c r="EC2195" s="493"/>
    </row>
    <row r="2196" spans="119:133" ht="21" customHeight="1">
      <c r="DO2196" s="494"/>
      <c r="DP2196" s="496" t="s">
        <v>5318</v>
      </c>
      <c r="DQ2196" s="496" t="s">
        <v>15</v>
      </c>
      <c r="DR2196" s="496" t="s">
        <v>689</v>
      </c>
      <c r="DS2196" s="496" t="s">
        <v>5319</v>
      </c>
      <c r="DT2196" s="496" t="s">
        <v>5319</v>
      </c>
      <c r="DU2196" s="496" t="s">
        <v>1554</v>
      </c>
      <c r="DV2196" s="496" t="s">
        <v>1555</v>
      </c>
      <c r="DW2196" s="496" t="s">
        <v>1556</v>
      </c>
      <c r="DX2196" s="497" t="s">
        <v>5258</v>
      </c>
      <c r="DZ2196" s="543">
        <v>1</v>
      </c>
      <c r="EB2196" s="493"/>
      <c r="EC2196" s="493"/>
    </row>
    <row r="2197" spans="119:133" ht="21" customHeight="1">
      <c r="DO2197" s="494"/>
      <c r="DP2197" s="496" t="s">
        <v>5320</v>
      </c>
      <c r="DQ2197" s="496" t="s">
        <v>15</v>
      </c>
      <c r="DR2197" s="496" t="s">
        <v>689</v>
      </c>
      <c r="DS2197" s="496" t="s">
        <v>5321</v>
      </c>
      <c r="DT2197" s="496" t="s">
        <v>5321</v>
      </c>
      <c r="DU2197" s="496" t="s">
        <v>1554</v>
      </c>
      <c r="DV2197" s="496" t="s">
        <v>1555</v>
      </c>
      <c r="DW2197" s="496" t="s">
        <v>1556</v>
      </c>
      <c r="DX2197" s="497" t="s">
        <v>5258</v>
      </c>
      <c r="DZ2197" s="543">
        <v>1</v>
      </c>
      <c r="EB2197" s="493"/>
      <c r="EC2197" s="493"/>
    </row>
    <row r="2198" spans="119:133" ht="21" customHeight="1">
      <c r="DO2198" s="494"/>
      <c r="DP2198" s="496" t="s">
        <v>5322</v>
      </c>
      <c r="DQ2198" s="496" t="s">
        <v>15</v>
      </c>
      <c r="DR2198" s="496" t="s">
        <v>689</v>
      </c>
      <c r="DS2198" s="496" t="s">
        <v>5323</v>
      </c>
      <c r="DT2198" s="496" t="s">
        <v>5323</v>
      </c>
      <c r="DU2198" s="496" t="s">
        <v>1085</v>
      </c>
      <c r="DV2198" s="496" t="s">
        <v>5284</v>
      </c>
      <c r="DW2198" s="496" t="s">
        <v>1087</v>
      </c>
      <c r="DX2198" s="497" t="s">
        <v>1088</v>
      </c>
      <c r="DZ2198" s="543">
        <v>1</v>
      </c>
      <c r="EB2198" s="493"/>
      <c r="EC2198" s="493"/>
    </row>
    <row r="2199" spans="119:133" ht="21" customHeight="1">
      <c r="DO2199" s="494"/>
      <c r="DP2199" s="496" t="s">
        <v>5324</v>
      </c>
      <c r="DQ2199" s="496" t="s">
        <v>15</v>
      </c>
      <c r="DR2199" s="496" t="s">
        <v>689</v>
      </c>
      <c r="DS2199" s="496" t="s">
        <v>5325</v>
      </c>
      <c r="DT2199" s="496" t="s">
        <v>5325</v>
      </c>
      <c r="DU2199" s="496" t="s">
        <v>1554</v>
      </c>
      <c r="DV2199" s="496" t="s">
        <v>1555</v>
      </c>
      <c r="DW2199" s="496" t="s">
        <v>1556</v>
      </c>
      <c r="DX2199" s="497" t="s">
        <v>5258</v>
      </c>
      <c r="DZ2199" s="543">
        <v>1</v>
      </c>
      <c r="EB2199" s="493"/>
      <c r="EC2199" s="493"/>
    </row>
    <row r="2200" spans="119:133" ht="21" customHeight="1">
      <c r="DO2200" s="494"/>
      <c r="DP2200" s="496" t="s">
        <v>5326</v>
      </c>
      <c r="DQ2200" s="496" t="s">
        <v>15</v>
      </c>
      <c r="DR2200" s="496" t="s">
        <v>689</v>
      </c>
      <c r="DS2200" s="496" t="s">
        <v>5327</v>
      </c>
      <c r="DT2200" s="496" t="s">
        <v>5327</v>
      </c>
      <c r="DU2200" s="496" t="s">
        <v>1554</v>
      </c>
      <c r="DV2200" s="496" t="s">
        <v>1555</v>
      </c>
      <c r="DW2200" s="496" t="s">
        <v>1556</v>
      </c>
      <c r="DX2200" s="497" t="s">
        <v>5258</v>
      </c>
      <c r="DZ2200" s="543">
        <v>1</v>
      </c>
      <c r="EB2200" s="493"/>
      <c r="EC2200" s="493"/>
    </row>
    <row r="2201" spans="119:133" ht="21" customHeight="1">
      <c r="DO2201" s="494"/>
      <c r="DP2201" s="496" t="s">
        <v>5328</v>
      </c>
      <c r="DQ2201" s="496" t="s">
        <v>15</v>
      </c>
      <c r="DR2201" s="496" t="s">
        <v>689</v>
      </c>
      <c r="DS2201" s="496" t="s">
        <v>5329</v>
      </c>
      <c r="DT2201" s="496" t="s">
        <v>5329</v>
      </c>
      <c r="DU2201" s="496" t="s">
        <v>1554</v>
      </c>
      <c r="DV2201" s="496" t="s">
        <v>1555</v>
      </c>
      <c r="DW2201" s="496" t="s">
        <v>1556</v>
      </c>
      <c r="DX2201" s="497" t="s">
        <v>5258</v>
      </c>
      <c r="DZ2201" s="543">
        <v>1</v>
      </c>
      <c r="EB2201" s="493"/>
      <c r="EC2201" s="493"/>
    </row>
    <row r="2202" spans="119:133" ht="21" customHeight="1">
      <c r="DO2202" s="494"/>
      <c r="DP2202" s="496" t="s">
        <v>5330</v>
      </c>
      <c r="DQ2202" s="496" t="s">
        <v>15</v>
      </c>
      <c r="DR2202" s="496" t="s">
        <v>689</v>
      </c>
      <c r="DS2202" s="496" t="s">
        <v>5331</v>
      </c>
      <c r="DT2202" s="496" t="s">
        <v>5331</v>
      </c>
      <c r="DU2202" s="496" t="s">
        <v>1554</v>
      </c>
      <c r="DV2202" s="496" t="s">
        <v>1555</v>
      </c>
      <c r="DW2202" s="496" t="s">
        <v>1556</v>
      </c>
      <c r="DX2202" s="497" t="s">
        <v>5258</v>
      </c>
      <c r="DZ2202" s="543">
        <v>1</v>
      </c>
      <c r="EB2202" s="493"/>
      <c r="EC2202" s="493"/>
    </row>
    <row r="2203" spans="119:133" ht="21" customHeight="1">
      <c r="DO2203" s="494"/>
      <c r="DP2203" s="496" t="s">
        <v>5332</v>
      </c>
      <c r="DQ2203" s="496" t="s">
        <v>15</v>
      </c>
      <c r="DR2203" s="496" t="s">
        <v>689</v>
      </c>
      <c r="DS2203" s="496" t="s">
        <v>5333</v>
      </c>
      <c r="DT2203" s="496" t="s">
        <v>5333</v>
      </c>
      <c r="DU2203" s="496" t="s">
        <v>1554</v>
      </c>
      <c r="DV2203" s="496" t="s">
        <v>1555</v>
      </c>
      <c r="DW2203" s="496" t="s">
        <v>1556</v>
      </c>
      <c r="DX2203" s="497" t="s">
        <v>5258</v>
      </c>
      <c r="DZ2203" s="543">
        <v>1</v>
      </c>
      <c r="EB2203" s="493"/>
      <c r="EC2203" s="493"/>
    </row>
    <row r="2204" spans="119:133" ht="21" customHeight="1">
      <c r="DO2204" s="494"/>
      <c r="DP2204" s="496" t="s">
        <v>5334</v>
      </c>
      <c r="DQ2204" s="496" t="s">
        <v>15</v>
      </c>
      <c r="DR2204" s="496" t="s">
        <v>689</v>
      </c>
      <c r="DS2204" s="496" t="s">
        <v>1002</v>
      </c>
      <c r="DT2204" s="496" t="s">
        <v>1002</v>
      </c>
      <c r="DU2204" s="496" t="s">
        <v>1554</v>
      </c>
      <c r="DV2204" s="496" t="s">
        <v>1555</v>
      </c>
      <c r="DW2204" s="496" t="s">
        <v>1556</v>
      </c>
      <c r="DX2204" s="497" t="s">
        <v>5258</v>
      </c>
      <c r="DZ2204" s="543">
        <v>1</v>
      </c>
      <c r="EB2204" s="493"/>
      <c r="EC2204" s="493"/>
    </row>
    <row r="2205" spans="119:133" ht="21" customHeight="1">
      <c r="DO2205" s="494"/>
      <c r="DP2205" s="496" t="s">
        <v>5335</v>
      </c>
      <c r="DQ2205" s="496" t="s">
        <v>15</v>
      </c>
      <c r="DR2205" s="496" t="s">
        <v>689</v>
      </c>
      <c r="DS2205" s="496" t="s">
        <v>5336</v>
      </c>
      <c r="DT2205" s="496" t="s">
        <v>5336</v>
      </c>
      <c r="DU2205" s="496" t="s">
        <v>1554</v>
      </c>
      <c r="DV2205" s="496" t="s">
        <v>1555</v>
      </c>
      <c r="DW2205" s="496" t="s">
        <v>1556</v>
      </c>
      <c r="DX2205" s="497" t="s">
        <v>5258</v>
      </c>
      <c r="DZ2205" s="543">
        <v>1</v>
      </c>
      <c r="EB2205" s="493"/>
      <c r="EC2205" s="493"/>
    </row>
    <row r="2206" spans="119:133" ht="21" customHeight="1">
      <c r="DO2206" s="494"/>
      <c r="DP2206" s="496" t="s">
        <v>5337</v>
      </c>
      <c r="DQ2206" s="496" t="s">
        <v>15</v>
      </c>
      <c r="DR2206" s="496" t="s">
        <v>689</v>
      </c>
      <c r="DS2206" s="496" t="s">
        <v>5338</v>
      </c>
      <c r="DT2206" s="496" t="s">
        <v>5338</v>
      </c>
      <c r="DU2206" s="496" t="s">
        <v>1151</v>
      </c>
      <c r="DV2206" s="496" t="s">
        <v>1152</v>
      </c>
      <c r="DW2206" s="496" t="s">
        <v>1087</v>
      </c>
      <c r="DX2206" s="497" t="s">
        <v>1153</v>
      </c>
      <c r="DZ2206" s="543">
        <v>1</v>
      </c>
      <c r="EB2206" s="493"/>
      <c r="EC2206" s="493"/>
    </row>
    <row r="2207" spans="119:133" ht="21" customHeight="1">
      <c r="DO2207" s="494"/>
      <c r="DP2207" s="496" t="s">
        <v>5339</v>
      </c>
      <c r="DQ2207" s="496" t="s">
        <v>15</v>
      </c>
      <c r="DR2207" s="496" t="s">
        <v>689</v>
      </c>
      <c r="DS2207" s="496" t="s">
        <v>5340</v>
      </c>
      <c r="DT2207" s="496" t="s">
        <v>5340</v>
      </c>
      <c r="DU2207" s="496" t="s">
        <v>1554</v>
      </c>
      <c r="DV2207" s="496" t="s">
        <v>1555</v>
      </c>
      <c r="DW2207" s="496" t="s">
        <v>1556</v>
      </c>
      <c r="DX2207" s="497" t="s">
        <v>5258</v>
      </c>
      <c r="DZ2207" s="543">
        <v>1</v>
      </c>
      <c r="EB2207" s="493"/>
      <c r="EC2207" s="493"/>
    </row>
    <row r="2208" spans="119:133" ht="21" customHeight="1">
      <c r="DO2208" s="494"/>
      <c r="DP2208" s="496" t="s">
        <v>5341</v>
      </c>
      <c r="DQ2208" s="496" t="s">
        <v>15</v>
      </c>
      <c r="DR2208" s="496" t="s">
        <v>689</v>
      </c>
      <c r="DS2208" s="496" t="s">
        <v>5342</v>
      </c>
      <c r="DT2208" s="496" t="s">
        <v>5342</v>
      </c>
      <c r="DU2208" s="496" t="s">
        <v>1554</v>
      </c>
      <c r="DV2208" s="496" t="s">
        <v>1555</v>
      </c>
      <c r="DW2208" s="496" t="s">
        <v>1556</v>
      </c>
      <c r="DX2208" s="497" t="s">
        <v>5258</v>
      </c>
      <c r="DZ2208" s="543">
        <v>1</v>
      </c>
      <c r="EB2208" s="493"/>
      <c r="EC2208" s="493"/>
    </row>
    <row r="2209" spans="119:133" ht="21" customHeight="1">
      <c r="DO2209" s="494"/>
      <c r="DP2209" s="496" t="s">
        <v>5343</v>
      </c>
      <c r="DQ2209" s="496" t="s">
        <v>15</v>
      </c>
      <c r="DR2209" s="496" t="s">
        <v>689</v>
      </c>
      <c r="DS2209" s="496" t="s">
        <v>5344</v>
      </c>
      <c r="DT2209" s="496" t="s">
        <v>5344</v>
      </c>
      <c r="DU2209" s="496" t="s">
        <v>1554</v>
      </c>
      <c r="DV2209" s="496" t="s">
        <v>1555</v>
      </c>
      <c r="DW2209" s="496" t="s">
        <v>1556</v>
      </c>
      <c r="DX2209" s="497" t="s">
        <v>5258</v>
      </c>
      <c r="DZ2209" s="543">
        <v>1</v>
      </c>
      <c r="EB2209" s="493"/>
      <c r="EC2209" s="493"/>
    </row>
    <row r="2210" spans="119:133" ht="21" customHeight="1">
      <c r="DO2210" s="494"/>
      <c r="DP2210" s="496" t="s">
        <v>5345</v>
      </c>
      <c r="DQ2210" s="496" t="s">
        <v>15</v>
      </c>
      <c r="DR2210" s="496" t="s">
        <v>689</v>
      </c>
      <c r="DS2210" s="496" t="s">
        <v>129</v>
      </c>
      <c r="DT2210" s="496" t="s">
        <v>129</v>
      </c>
      <c r="DU2210" s="496" t="s">
        <v>1554</v>
      </c>
      <c r="DV2210" s="496" t="s">
        <v>1555</v>
      </c>
      <c r="DW2210" s="496" t="s">
        <v>1556</v>
      </c>
      <c r="DX2210" s="497" t="s">
        <v>5258</v>
      </c>
      <c r="DZ2210" s="543">
        <v>1</v>
      </c>
      <c r="EB2210" s="493"/>
      <c r="EC2210" s="493"/>
    </row>
    <row r="2211" spans="119:133" ht="21" customHeight="1">
      <c r="DO2211" s="494"/>
      <c r="DP2211" s="496" t="s">
        <v>5346</v>
      </c>
      <c r="DQ2211" s="496" t="s">
        <v>15</v>
      </c>
      <c r="DR2211" s="496" t="s">
        <v>689</v>
      </c>
      <c r="DS2211" s="496" t="s">
        <v>5347</v>
      </c>
      <c r="DT2211" s="496" t="s">
        <v>5347</v>
      </c>
      <c r="DU2211" s="496" t="s">
        <v>1554</v>
      </c>
      <c r="DV2211" s="496" t="s">
        <v>1555</v>
      </c>
      <c r="DW2211" s="496" t="s">
        <v>1556</v>
      </c>
      <c r="DX2211" s="497" t="s">
        <v>5258</v>
      </c>
      <c r="DZ2211" s="543">
        <v>1</v>
      </c>
      <c r="EB2211" s="493"/>
      <c r="EC2211" s="493"/>
    </row>
    <row r="2212" spans="119:133" ht="21" customHeight="1">
      <c r="DO2212" s="494"/>
      <c r="DP2212" s="496" t="s">
        <v>5348</v>
      </c>
      <c r="DQ2212" s="496" t="s">
        <v>15</v>
      </c>
      <c r="DR2212" s="496" t="s">
        <v>689</v>
      </c>
      <c r="DS2212" s="496" t="s">
        <v>5349</v>
      </c>
      <c r="DT2212" s="496" t="s">
        <v>5349</v>
      </c>
      <c r="DU2212" s="496" t="s">
        <v>1554</v>
      </c>
      <c r="DV2212" s="496" t="s">
        <v>1555</v>
      </c>
      <c r="DW2212" s="496" t="s">
        <v>1556</v>
      </c>
      <c r="DX2212" s="497" t="s">
        <v>5258</v>
      </c>
      <c r="DZ2212" s="543">
        <v>1</v>
      </c>
      <c r="EB2212" s="493"/>
      <c r="EC2212" s="493"/>
    </row>
    <row r="2213" spans="119:133" ht="21" customHeight="1">
      <c r="DO2213" s="494"/>
      <c r="DP2213" s="496" t="s">
        <v>5350</v>
      </c>
      <c r="DQ2213" s="496" t="s">
        <v>15</v>
      </c>
      <c r="DR2213" s="496" t="s">
        <v>689</v>
      </c>
      <c r="DS2213" s="496" t="s">
        <v>138</v>
      </c>
      <c r="DT2213" s="496" t="s">
        <v>138</v>
      </c>
      <c r="DU2213" s="496" t="s">
        <v>1085</v>
      </c>
      <c r="DV2213" s="496" t="s">
        <v>5284</v>
      </c>
      <c r="DW2213" s="496" t="s">
        <v>1087</v>
      </c>
      <c r="DX2213" s="497" t="s">
        <v>1088</v>
      </c>
      <c r="DZ2213" s="543">
        <v>1</v>
      </c>
      <c r="EB2213" s="493"/>
      <c r="EC2213" s="493"/>
    </row>
    <row r="2214" spans="119:133" ht="21" customHeight="1">
      <c r="DO2214" s="494"/>
      <c r="DP2214" s="496" t="s">
        <v>5351</v>
      </c>
      <c r="DQ2214" s="496" t="s">
        <v>15</v>
      </c>
      <c r="DR2214" s="496" t="s">
        <v>689</v>
      </c>
      <c r="DS2214" s="496" t="s">
        <v>335</v>
      </c>
      <c r="DT2214" s="496" t="s">
        <v>335</v>
      </c>
      <c r="DU2214" s="496" t="s">
        <v>1085</v>
      </c>
      <c r="DV2214" s="496" t="s">
        <v>5284</v>
      </c>
      <c r="DW2214" s="496" t="s">
        <v>1087</v>
      </c>
      <c r="DX2214" s="497" t="s">
        <v>1088</v>
      </c>
      <c r="DZ2214" s="543">
        <v>1</v>
      </c>
      <c r="EB2214" s="493"/>
      <c r="EC2214" s="493"/>
    </row>
    <row r="2215" spans="119:133" ht="21" customHeight="1">
      <c r="DO2215" s="494"/>
      <c r="DP2215" s="496" t="s">
        <v>5352</v>
      </c>
      <c r="DQ2215" s="496" t="s">
        <v>15</v>
      </c>
      <c r="DR2215" s="496" t="s">
        <v>689</v>
      </c>
      <c r="DS2215" s="496" t="s">
        <v>1003</v>
      </c>
      <c r="DT2215" s="496" t="s">
        <v>1003</v>
      </c>
      <c r="DU2215" s="496" t="s">
        <v>1085</v>
      </c>
      <c r="DV2215" s="496" t="s">
        <v>5284</v>
      </c>
      <c r="DW2215" s="496" t="s">
        <v>1087</v>
      </c>
      <c r="DX2215" s="497" t="s">
        <v>1088</v>
      </c>
      <c r="DZ2215" s="543">
        <v>1</v>
      </c>
      <c r="EB2215" s="493"/>
      <c r="EC2215" s="493"/>
    </row>
    <row r="2216" spans="119:133" ht="21" customHeight="1">
      <c r="DO2216" s="494"/>
      <c r="DP2216" s="496" t="s">
        <v>5353</v>
      </c>
      <c r="DQ2216" s="496" t="s">
        <v>15</v>
      </c>
      <c r="DR2216" s="496" t="s">
        <v>689</v>
      </c>
      <c r="DS2216" s="496" t="s">
        <v>204</v>
      </c>
      <c r="DT2216" s="496" t="s">
        <v>204</v>
      </c>
      <c r="DU2216" s="496" t="s">
        <v>1085</v>
      </c>
      <c r="DV2216" s="496" t="s">
        <v>5284</v>
      </c>
      <c r="DW2216" s="496" t="s">
        <v>1087</v>
      </c>
      <c r="DX2216" s="497" t="s">
        <v>1088</v>
      </c>
      <c r="DZ2216" s="543">
        <v>1</v>
      </c>
      <c r="EB2216" s="493"/>
      <c r="EC2216" s="493"/>
    </row>
    <row r="2217" spans="119:133" ht="21" customHeight="1">
      <c r="DO2217" s="494"/>
      <c r="DP2217" s="496" t="s">
        <v>5354</v>
      </c>
      <c r="DQ2217" s="496" t="s">
        <v>15</v>
      </c>
      <c r="DR2217" s="496" t="s">
        <v>689</v>
      </c>
      <c r="DS2217" s="496" t="s">
        <v>207</v>
      </c>
      <c r="DT2217" s="496" t="s">
        <v>207</v>
      </c>
      <c r="DU2217" s="496" t="s">
        <v>1085</v>
      </c>
      <c r="DV2217" s="496" t="s">
        <v>5284</v>
      </c>
      <c r="DW2217" s="496" t="s">
        <v>1087</v>
      </c>
      <c r="DX2217" s="497" t="s">
        <v>1088</v>
      </c>
      <c r="DZ2217" s="543">
        <v>1</v>
      </c>
      <c r="EB2217" s="493"/>
      <c r="EC2217" s="493"/>
    </row>
    <row r="2218" spans="119:133" ht="21" customHeight="1">
      <c r="DO2218" s="494"/>
      <c r="DP2218" s="496" t="s">
        <v>5355</v>
      </c>
      <c r="DQ2218" s="496" t="s">
        <v>15</v>
      </c>
      <c r="DR2218" s="496" t="s">
        <v>689</v>
      </c>
      <c r="DS2218" s="496" t="s">
        <v>5356</v>
      </c>
      <c r="DT2218" s="496" t="s">
        <v>5356</v>
      </c>
      <c r="DU2218" s="496" t="s">
        <v>1554</v>
      </c>
      <c r="DV2218" s="496" t="s">
        <v>1555</v>
      </c>
      <c r="DW2218" s="496" t="s">
        <v>1556</v>
      </c>
      <c r="DX2218" s="497" t="s">
        <v>5258</v>
      </c>
      <c r="DZ2218" s="543">
        <v>1</v>
      </c>
      <c r="EB2218" s="493"/>
      <c r="EC2218" s="493"/>
    </row>
    <row r="2219" spans="119:133" ht="21" customHeight="1">
      <c r="DO2219" s="494"/>
      <c r="DP2219" s="496" t="s">
        <v>5357</v>
      </c>
      <c r="DQ2219" s="496" t="s">
        <v>15</v>
      </c>
      <c r="DR2219" s="496" t="s">
        <v>689</v>
      </c>
      <c r="DS2219" s="496" t="s">
        <v>1004</v>
      </c>
      <c r="DT2219" s="496" t="s">
        <v>1004</v>
      </c>
      <c r="DU2219" s="496" t="s">
        <v>1554</v>
      </c>
      <c r="DV2219" s="496" t="s">
        <v>1555</v>
      </c>
      <c r="DW2219" s="496" t="s">
        <v>1556</v>
      </c>
      <c r="DX2219" s="497" t="s">
        <v>5258</v>
      </c>
      <c r="DZ2219" s="543">
        <v>1</v>
      </c>
      <c r="EB2219" s="493"/>
      <c r="EC2219" s="493"/>
    </row>
    <row r="2220" spans="119:133" ht="21" customHeight="1">
      <c r="DO2220" s="494"/>
      <c r="DP2220" s="496" t="s">
        <v>5358</v>
      </c>
      <c r="DQ2220" s="496" t="s">
        <v>15</v>
      </c>
      <c r="DR2220" s="496" t="s">
        <v>689</v>
      </c>
      <c r="DS2220" s="496" t="s">
        <v>5359</v>
      </c>
      <c r="DT2220" s="496" t="s">
        <v>5359</v>
      </c>
      <c r="DU2220" s="496" t="s">
        <v>1085</v>
      </c>
      <c r="DV2220" s="496" t="s">
        <v>5284</v>
      </c>
      <c r="DW2220" s="496" t="s">
        <v>1087</v>
      </c>
      <c r="DX2220" s="497" t="s">
        <v>1088</v>
      </c>
      <c r="DZ2220" s="543">
        <v>1</v>
      </c>
      <c r="EB2220" s="493"/>
      <c r="EC2220" s="493"/>
    </row>
    <row r="2221" spans="119:133" ht="21" customHeight="1">
      <c r="DO2221" s="494"/>
      <c r="DP2221" s="496" t="s">
        <v>5360</v>
      </c>
      <c r="DQ2221" s="496" t="s">
        <v>15</v>
      </c>
      <c r="DR2221" s="496" t="s">
        <v>689</v>
      </c>
      <c r="DS2221" s="496" t="s">
        <v>5361</v>
      </c>
      <c r="DT2221" s="496" t="s">
        <v>5361</v>
      </c>
      <c r="DU2221" s="496" t="s">
        <v>1554</v>
      </c>
      <c r="DV2221" s="496" t="s">
        <v>1555</v>
      </c>
      <c r="DW2221" s="496" t="s">
        <v>1556</v>
      </c>
      <c r="DX2221" s="497" t="s">
        <v>5258</v>
      </c>
      <c r="DZ2221" s="543">
        <v>1</v>
      </c>
      <c r="EB2221" s="493"/>
      <c r="EC2221" s="493"/>
    </row>
    <row r="2222" spans="119:133" ht="21" customHeight="1">
      <c r="DO2222" s="494"/>
      <c r="DP2222" s="496" t="s">
        <v>5362</v>
      </c>
      <c r="DQ2222" s="496" t="s">
        <v>15</v>
      </c>
      <c r="DR2222" s="496" t="s">
        <v>689</v>
      </c>
      <c r="DS2222" s="496" t="s">
        <v>5363</v>
      </c>
      <c r="DT2222" s="496" t="s">
        <v>5363</v>
      </c>
      <c r="DU2222" s="496" t="s">
        <v>1151</v>
      </c>
      <c r="DV2222" s="496" t="s">
        <v>1152</v>
      </c>
      <c r="DW2222" s="496" t="s">
        <v>1087</v>
      </c>
      <c r="DX2222" s="497" t="s">
        <v>1153</v>
      </c>
      <c r="DZ2222" s="543">
        <v>1</v>
      </c>
      <c r="EB2222" s="493"/>
      <c r="EC2222" s="493"/>
    </row>
    <row r="2223" spans="119:133" ht="21" customHeight="1">
      <c r="DO2223" s="494"/>
      <c r="DP2223" s="496" t="s">
        <v>5364</v>
      </c>
      <c r="DQ2223" s="496" t="s">
        <v>15</v>
      </c>
      <c r="DR2223" s="496" t="s">
        <v>689</v>
      </c>
      <c r="DS2223" s="496" t="s">
        <v>5365</v>
      </c>
      <c r="DT2223" s="496" t="s">
        <v>5365</v>
      </c>
      <c r="DU2223" s="496" t="s">
        <v>1554</v>
      </c>
      <c r="DV2223" s="496" t="s">
        <v>1555</v>
      </c>
      <c r="DW2223" s="496" t="s">
        <v>1556</v>
      </c>
      <c r="DX2223" s="497" t="s">
        <v>5258</v>
      </c>
      <c r="DZ2223" s="543">
        <v>1</v>
      </c>
      <c r="EB2223" s="493"/>
      <c r="EC2223" s="493"/>
    </row>
    <row r="2224" spans="119:133" ht="21" customHeight="1">
      <c r="DO2224" s="494"/>
      <c r="DP2224" s="496" t="s">
        <v>5366</v>
      </c>
      <c r="DQ2224" s="496" t="s">
        <v>15</v>
      </c>
      <c r="DR2224" s="496" t="s">
        <v>689</v>
      </c>
      <c r="DS2224" s="496" t="s">
        <v>5367</v>
      </c>
      <c r="DT2224" s="496" t="s">
        <v>5367</v>
      </c>
      <c r="DU2224" s="496" t="s">
        <v>1554</v>
      </c>
      <c r="DV2224" s="496" t="s">
        <v>1555</v>
      </c>
      <c r="DW2224" s="496" t="s">
        <v>1556</v>
      </c>
      <c r="DX2224" s="497" t="s">
        <v>5258</v>
      </c>
      <c r="DZ2224" s="543">
        <v>1</v>
      </c>
      <c r="EB2224" s="493"/>
      <c r="EC2224" s="493"/>
    </row>
    <row r="2225" spans="119:133" ht="21" customHeight="1">
      <c r="DO2225" s="494"/>
      <c r="DP2225" s="496" t="s">
        <v>5368</v>
      </c>
      <c r="DQ2225" s="496" t="s">
        <v>15</v>
      </c>
      <c r="DR2225" s="496" t="s">
        <v>689</v>
      </c>
      <c r="DS2225" s="496" t="s">
        <v>5369</v>
      </c>
      <c r="DT2225" s="496" t="s">
        <v>5369</v>
      </c>
      <c r="DU2225" s="496" t="s">
        <v>1554</v>
      </c>
      <c r="DV2225" s="496" t="s">
        <v>1555</v>
      </c>
      <c r="DW2225" s="496" t="s">
        <v>1556</v>
      </c>
      <c r="DX2225" s="497" t="s">
        <v>5258</v>
      </c>
      <c r="DZ2225" s="543">
        <v>1</v>
      </c>
      <c r="EB2225" s="493"/>
      <c r="EC2225" s="493"/>
    </row>
    <row r="2226" spans="119:133" ht="21" customHeight="1">
      <c r="DO2226" s="494"/>
      <c r="DP2226" s="496" t="s">
        <v>5370</v>
      </c>
      <c r="DQ2226" s="496" t="s">
        <v>15</v>
      </c>
      <c r="DR2226" s="496" t="s">
        <v>689</v>
      </c>
      <c r="DS2226" s="496" t="s">
        <v>5371</v>
      </c>
      <c r="DT2226" s="496" t="s">
        <v>5371</v>
      </c>
      <c r="DU2226" s="496" t="s">
        <v>1554</v>
      </c>
      <c r="DV2226" s="496" t="s">
        <v>1555</v>
      </c>
      <c r="DW2226" s="496" t="s">
        <v>1556</v>
      </c>
      <c r="DX2226" s="497" t="s">
        <v>5258</v>
      </c>
      <c r="DZ2226" s="543">
        <v>1</v>
      </c>
      <c r="EB2226" s="493"/>
      <c r="EC2226" s="493"/>
    </row>
    <row r="2227" spans="119:133" ht="21" customHeight="1">
      <c r="DO2227" s="494"/>
      <c r="DP2227" s="496" t="s">
        <v>5372</v>
      </c>
      <c r="DQ2227" s="496" t="s">
        <v>15</v>
      </c>
      <c r="DR2227" s="496" t="s">
        <v>689</v>
      </c>
      <c r="DS2227" s="496" t="s">
        <v>5373</v>
      </c>
      <c r="DT2227" s="496" t="s">
        <v>5373</v>
      </c>
      <c r="DU2227" s="496" t="s">
        <v>1554</v>
      </c>
      <c r="DV2227" s="496" t="s">
        <v>1555</v>
      </c>
      <c r="DW2227" s="496" t="s">
        <v>1556</v>
      </c>
      <c r="DX2227" s="497" t="s">
        <v>5258</v>
      </c>
      <c r="DZ2227" s="543">
        <v>1</v>
      </c>
      <c r="EB2227" s="493"/>
      <c r="EC2227" s="493"/>
    </row>
    <row r="2228" spans="119:133" ht="21" customHeight="1">
      <c r="DO2228" s="494"/>
      <c r="DP2228" s="496" t="s">
        <v>5374</v>
      </c>
      <c r="DQ2228" s="496" t="s">
        <v>15</v>
      </c>
      <c r="DR2228" s="496" t="s">
        <v>689</v>
      </c>
      <c r="DS2228" s="496" t="s">
        <v>5375</v>
      </c>
      <c r="DT2228" s="496" t="s">
        <v>5375</v>
      </c>
      <c r="DU2228" s="496" t="s">
        <v>1554</v>
      </c>
      <c r="DV2228" s="496" t="s">
        <v>1555</v>
      </c>
      <c r="DW2228" s="496" t="s">
        <v>1556</v>
      </c>
      <c r="DX2228" s="497" t="s">
        <v>5258</v>
      </c>
      <c r="DZ2228" s="543">
        <v>1</v>
      </c>
      <c r="EB2228" s="493"/>
      <c r="EC2228" s="493"/>
    </row>
    <row r="2229" spans="119:133" ht="21" customHeight="1">
      <c r="DO2229" s="494"/>
      <c r="DP2229" s="496" t="s">
        <v>5376</v>
      </c>
      <c r="DQ2229" s="496" t="s">
        <v>15</v>
      </c>
      <c r="DR2229" s="496" t="s">
        <v>689</v>
      </c>
      <c r="DS2229" s="496" t="s">
        <v>5377</v>
      </c>
      <c r="DT2229" s="496" t="s">
        <v>5377</v>
      </c>
      <c r="DU2229" s="496" t="s">
        <v>1554</v>
      </c>
      <c r="DV2229" s="496" t="s">
        <v>1555</v>
      </c>
      <c r="DW2229" s="496" t="s">
        <v>1556</v>
      </c>
      <c r="DX2229" s="497" t="s">
        <v>5258</v>
      </c>
      <c r="DZ2229" s="543">
        <v>1</v>
      </c>
      <c r="EB2229" s="493"/>
      <c r="EC2229" s="493"/>
    </row>
    <row r="2230" spans="119:133" ht="21" customHeight="1">
      <c r="DO2230" s="494"/>
      <c r="DP2230" s="496" t="s">
        <v>5378</v>
      </c>
      <c r="DQ2230" s="496" t="s">
        <v>15</v>
      </c>
      <c r="DR2230" s="496" t="s">
        <v>689</v>
      </c>
      <c r="DS2230" s="496" t="s">
        <v>5379</v>
      </c>
      <c r="DT2230" s="496" t="s">
        <v>5379</v>
      </c>
      <c r="DU2230" s="496" t="s">
        <v>1554</v>
      </c>
      <c r="DV2230" s="496" t="s">
        <v>1555</v>
      </c>
      <c r="DW2230" s="496" t="s">
        <v>1556</v>
      </c>
      <c r="DX2230" s="497" t="s">
        <v>5258</v>
      </c>
      <c r="DZ2230" s="543">
        <v>1</v>
      </c>
      <c r="EB2230" s="493"/>
      <c r="EC2230" s="493"/>
    </row>
    <row r="2231" spans="119:133" ht="21" customHeight="1">
      <c r="DO2231" s="494"/>
      <c r="DP2231" s="496" t="s">
        <v>5380</v>
      </c>
      <c r="DQ2231" s="496" t="s">
        <v>15</v>
      </c>
      <c r="DR2231" s="496" t="s">
        <v>689</v>
      </c>
      <c r="DS2231" s="496" t="s">
        <v>182</v>
      </c>
      <c r="DT2231" s="496" t="s">
        <v>182</v>
      </c>
      <c r="DU2231" s="496" t="s">
        <v>1554</v>
      </c>
      <c r="DV2231" s="496" t="s">
        <v>1555</v>
      </c>
      <c r="DW2231" s="496" t="s">
        <v>1556</v>
      </c>
      <c r="DX2231" s="497" t="s">
        <v>5258</v>
      </c>
      <c r="DZ2231" s="543">
        <v>1</v>
      </c>
      <c r="EB2231" s="493"/>
      <c r="EC2231" s="493"/>
    </row>
    <row r="2232" spans="119:133" ht="21" customHeight="1">
      <c r="DO2232" s="494"/>
      <c r="DP2232" s="496" t="s">
        <v>5381</v>
      </c>
      <c r="DQ2232" s="496" t="s">
        <v>15</v>
      </c>
      <c r="DR2232" s="496" t="s">
        <v>689</v>
      </c>
      <c r="DS2232" s="496" t="s">
        <v>5382</v>
      </c>
      <c r="DT2232" s="496" t="s">
        <v>5382</v>
      </c>
      <c r="DU2232" s="496" t="s">
        <v>1554</v>
      </c>
      <c r="DV2232" s="496" t="s">
        <v>1555</v>
      </c>
      <c r="DW2232" s="496" t="s">
        <v>1556</v>
      </c>
      <c r="DX2232" s="497" t="s">
        <v>5258</v>
      </c>
      <c r="DZ2232" s="543">
        <v>1</v>
      </c>
      <c r="EB2232" s="493"/>
      <c r="EC2232" s="493"/>
    </row>
    <row r="2233" spans="119:133" ht="21" customHeight="1">
      <c r="DO2233" s="494"/>
      <c r="DP2233" s="496" t="s">
        <v>5383</v>
      </c>
      <c r="DQ2233" s="496" t="s">
        <v>15</v>
      </c>
      <c r="DR2233" s="496" t="s">
        <v>689</v>
      </c>
      <c r="DS2233" s="496" t="s">
        <v>5384</v>
      </c>
      <c r="DT2233" s="496" t="s">
        <v>5384</v>
      </c>
      <c r="DU2233" s="496" t="s">
        <v>1554</v>
      </c>
      <c r="DV2233" s="496" t="s">
        <v>1555</v>
      </c>
      <c r="DW2233" s="496" t="s">
        <v>1556</v>
      </c>
      <c r="DX2233" s="497" t="s">
        <v>5258</v>
      </c>
      <c r="DZ2233" s="543">
        <v>1</v>
      </c>
      <c r="EB2233" s="493"/>
      <c r="EC2233" s="493"/>
    </row>
    <row r="2234" spans="119:133" ht="21" customHeight="1">
      <c r="DO2234" s="494"/>
      <c r="DP2234" s="496" t="s">
        <v>5385</v>
      </c>
      <c r="DQ2234" s="496" t="s">
        <v>15</v>
      </c>
      <c r="DR2234" s="496" t="s">
        <v>689</v>
      </c>
      <c r="DS2234" s="496" t="s">
        <v>5386</v>
      </c>
      <c r="DT2234" s="496" t="s">
        <v>5386</v>
      </c>
      <c r="DU2234" s="496" t="s">
        <v>1554</v>
      </c>
      <c r="DV2234" s="496" t="s">
        <v>1555</v>
      </c>
      <c r="DW2234" s="496" t="s">
        <v>1556</v>
      </c>
      <c r="DX2234" s="497" t="s">
        <v>5258</v>
      </c>
      <c r="DZ2234" s="543">
        <v>1</v>
      </c>
      <c r="EB2234" s="493"/>
      <c r="EC2234" s="493"/>
    </row>
    <row r="2235" spans="119:133" ht="21" customHeight="1">
      <c r="DO2235" s="494"/>
      <c r="DP2235" s="496" t="s">
        <v>5387</v>
      </c>
      <c r="DQ2235" s="496" t="s">
        <v>15</v>
      </c>
      <c r="DR2235" s="496" t="s">
        <v>689</v>
      </c>
      <c r="DS2235" s="496" t="s">
        <v>5388</v>
      </c>
      <c r="DT2235" s="496" t="s">
        <v>5388</v>
      </c>
      <c r="DU2235" s="496" t="s">
        <v>1554</v>
      </c>
      <c r="DV2235" s="496" t="s">
        <v>1555</v>
      </c>
      <c r="DW2235" s="496" t="s">
        <v>1556</v>
      </c>
      <c r="DX2235" s="497" t="s">
        <v>5258</v>
      </c>
      <c r="DZ2235" s="543">
        <v>1</v>
      </c>
      <c r="EB2235" s="493"/>
      <c r="EC2235" s="493"/>
    </row>
    <row r="2236" spans="119:133" ht="21" customHeight="1">
      <c r="DO2236" s="494"/>
      <c r="DP2236" s="496" t="s">
        <v>5389</v>
      </c>
      <c r="DQ2236" s="496" t="s">
        <v>15</v>
      </c>
      <c r="DR2236" s="496" t="s">
        <v>689</v>
      </c>
      <c r="DS2236" s="496" t="s">
        <v>5390</v>
      </c>
      <c r="DT2236" s="496" t="s">
        <v>5390</v>
      </c>
      <c r="DU2236" s="496" t="s">
        <v>1554</v>
      </c>
      <c r="DV2236" s="496" t="s">
        <v>1555</v>
      </c>
      <c r="DW2236" s="496" t="s">
        <v>1556</v>
      </c>
      <c r="DX2236" s="497" t="s">
        <v>5258</v>
      </c>
      <c r="DZ2236" s="543">
        <v>1</v>
      </c>
      <c r="EB2236" s="493"/>
      <c r="EC2236" s="493"/>
    </row>
    <row r="2237" spans="119:133" ht="21" customHeight="1">
      <c r="DO2237" s="494"/>
      <c r="DP2237" s="496" t="s">
        <v>5391</v>
      </c>
      <c r="DQ2237" s="496" t="s">
        <v>15</v>
      </c>
      <c r="DR2237" s="496" t="s">
        <v>689</v>
      </c>
      <c r="DS2237" s="496" t="s">
        <v>5392</v>
      </c>
      <c r="DT2237" s="496" t="s">
        <v>5392</v>
      </c>
      <c r="DU2237" s="496" t="s">
        <v>1554</v>
      </c>
      <c r="DV2237" s="496" t="s">
        <v>1555</v>
      </c>
      <c r="DW2237" s="496" t="s">
        <v>1556</v>
      </c>
      <c r="DX2237" s="497" t="s">
        <v>5258</v>
      </c>
      <c r="DZ2237" s="543">
        <v>1</v>
      </c>
      <c r="EB2237" s="493"/>
      <c r="EC2237" s="493"/>
    </row>
    <row r="2238" spans="119:133" ht="21" customHeight="1">
      <c r="DO2238" s="494"/>
      <c r="DP2238" s="496" t="s">
        <v>5393</v>
      </c>
      <c r="DQ2238" s="496" t="s">
        <v>15</v>
      </c>
      <c r="DR2238" s="496" t="s">
        <v>689</v>
      </c>
      <c r="DS2238" s="496" t="s">
        <v>5394</v>
      </c>
      <c r="DT2238" s="496" t="s">
        <v>5394</v>
      </c>
      <c r="DU2238" s="496" t="s">
        <v>1554</v>
      </c>
      <c r="DV2238" s="496" t="s">
        <v>1555</v>
      </c>
      <c r="DW2238" s="496" t="s">
        <v>1556</v>
      </c>
      <c r="DX2238" s="497" t="s">
        <v>5258</v>
      </c>
      <c r="DZ2238" s="543">
        <v>1</v>
      </c>
      <c r="EB2238" s="493"/>
      <c r="EC2238" s="493"/>
    </row>
    <row r="2239" spans="119:133" ht="21" customHeight="1">
      <c r="DO2239" s="494"/>
      <c r="DP2239" s="496" t="s">
        <v>5395</v>
      </c>
      <c r="DQ2239" s="496" t="s">
        <v>15</v>
      </c>
      <c r="DR2239" s="496" t="s">
        <v>689</v>
      </c>
      <c r="DS2239" s="496" t="s">
        <v>5396</v>
      </c>
      <c r="DT2239" s="496" t="s">
        <v>5396</v>
      </c>
      <c r="DU2239" s="496" t="s">
        <v>1554</v>
      </c>
      <c r="DV2239" s="496" t="s">
        <v>1555</v>
      </c>
      <c r="DW2239" s="496" t="s">
        <v>1556</v>
      </c>
      <c r="DX2239" s="497" t="s">
        <v>5258</v>
      </c>
      <c r="DZ2239" s="543">
        <v>1</v>
      </c>
      <c r="EB2239" s="493"/>
      <c r="EC2239" s="493"/>
    </row>
    <row r="2240" spans="119:133" ht="21" customHeight="1">
      <c r="DO2240" s="494"/>
      <c r="DP2240" s="496" t="s">
        <v>5397</v>
      </c>
      <c r="DQ2240" s="496" t="s">
        <v>15</v>
      </c>
      <c r="DR2240" s="496" t="s">
        <v>689</v>
      </c>
      <c r="DS2240" s="496" t="s">
        <v>5398</v>
      </c>
      <c r="DT2240" s="496" t="s">
        <v>5398</v>
      </c>
      <c r="DU2240" s="496" t="s">
        <v>1554</v>
      </c>
      <c r="DV2240" s="496" t="s">
        <v>1555</v>
      </c>
      <c r="DW2240" s="496" t="s">
        <v>1556</v>
      </c>
      <c r="DX2240" s="497" t="s">
        <v>5258</v>
      </c>
      <c r="DZ2240" s="543">
        <v>1</v>
      </c>
      <c r="EB2240" s="493"/>
      <c r="EC2240" s="493"/>
    </row>
    <row r="2241" spans="119:133" ht="21" customHeight="1">
      <c r="DO2241" s="494"/>
      <c r="DP2241" s="496" t="s">
        <v>5399</v>
      </c>
      <c r="DQ2241" s="496" t="s">
        <v>15</v>
      </c>
      <c r="DR2241" s="496" t="s">
        <v>689</v>
      </c>
      <c r="DS2241" s="496" t="s">
        <v>5400</v>
      </c>
      <c r="DT2241" s="496" t="s">
        <v>5400</v>
      </c>
      <c r="DU2241" s="496" t="s">
        <v>1554</v>
      </c>
      <c r="DV2241" s="496" t="s">
        <v>1555</v>
      </c>
      <c r="DW2241" s="496" t="s">
        <v>1556</v>
      </c>
      <c r="DX2241" s="497" t="s">
        <v>5258</v>
      </c>
      <c r="DZ2241" s="543">
        <v>1</v>
      </c>
      <c r="EB2241" s="493"/>
      <c r="EC2241" s="493"/>
    </row>
    <row r="2242" spans="119:133" ht="21" customHeight="1">
      <c r="DO2242" s="494"/>
      <c r="DP2242" s="496" t="s">
        <v>5401</v>
      </c>
      <c r="DQ2242" s="496" t="s">
        <v>15</v>
      </c>
      <c r="DR2242" s="496" t="s">
        <v>689</v>
      </c>
      <c r="DS2242" s="496" t="s">
        <v>5402</v>
      </c>
      <c r="DT2242" s="496" t="s">
        <v>5402</v>
      </c>
      <c r="DU2242" s="496" t="s">
        <v>1554</v>
      </c>
      <c r="DV2242" s="496" t="s">
        <v>1555</v>
      </c>
      <c r="DW2242" s="496" t="s">
        <v>1556</v>
      </c>
      <c r="DX2242" s="497" t="s">
        <v>5258</v>
      </c>
      <c r="DZ2242" s="543">
        <v>1</v>
      </c>
      <c r="EB2242" s="493"/>
      <c r="EC2242" s="493"/>
    </row>
    <row r="2243" spans="119:133" ht="21" customHeight="1">
      <c r="DO2243" s="494"/>
      <c r="DP2243" s="496" t="s">
        <v>5403</v>
      </c>
      <c r="DQ2243" s="496" t="s">
        <v>15</v>
      </c>
      <c r="DR2243" s="496" t="s">
        <v>689</v>
      </c>
      <c r="DS2243" s="496" t="s">
        <v>186</v>
      </c>
      <c r="DT2243" s="496" t="s">
        <v>186</v>
      </c>
      <c r="DU2243" s="496" t="s">
        <v>1085</v>
      </c>
      <c r="DV2243" s="496" t="s">
        <v>5284</v>
      </c>
      <c r="DW2243" s="496" t="s">
        <v>1087</v>
      </c>
      <c r="DX2243" s="497" t="s">
        <v>1088</v>
      </c>
      <c r="DZ2243" s="543">
        <v>1</v>
      </c>
      <c r="EB2243" s="493"/>
      <c r="EC2243" s="493"/>
    </row>
    <row r="2244" spans="119:133" ht="21" customHeight="1">
      <c r="DO2244" s="494"/>
      <c r="DP2244" s="496" t="s">
        <v>5404</v>
      </c>
      <c r="DQ2244" s="496" t="s">
        <v>15</v>
      </c>
      <c r="DR2244" s="496" t="s">
        <v>689</v>
      </c>
      <c r="DS2244" s="496" t="s">
        <v>5405</v>
      </c>
      <c r="DT2244" s="496" t="s">
        <v>5405</v>
      </c>
      <c r="DU2244" s="496" t="s">
        <v>1085</v>
      </c>
      <c r="DV2244" s="496" t="s">
        <v>5284</v>
      </c>
      <c r="DW2244" s="496" t="s">
        <v>1087</v>
      </c>
      <c r="DX2244" s="497" t="s">
        <v>1088</v>
      </c>
      <c r="DZ2244" s="543">
        <v>1</v>
      </c>
      <c r="EB2244" s="493"/>
      <c r="EC2244" s="493"/>
    </row>
    <row r="2245" spans="119:133" ht="21" customHeight="1">
      <c r="DO2245" s="494"/>
      <c r="DP2245" s="496" t="s">
        <v>5406</v>
      </c>
      <c r="DQ2245" s="496" t="s">
        <v>15</v>
      </c>
      <c r="DR2245" s="496" t="s">
        <v>689</v>
      </c>
      <c r="DS2245" s="496" t="s">
        <v>162</v>
      </c>
      <c r="DT2245" s="496" t="s">
        <v>162</v>
      </c>
      <c r="DU2245" s="496" t="s">
        <v>1085</v>
      </c>
      <c r="DV2245" s="496" t="s">
        <v>5284</v>
      </c>
      <c r="DW2245" s="496" t="s">
        <v>1087</v>
      </c>
      <c r="DX2245" s="497" t="s">
        <v>1088</v>
      </c>
      <c r="DZ2245" s="543">
        <v>1</v>
      </c>
      <c r="EB2245" s="493"/>
      <c r="EC2245" s="493"/>
    </row>
    <row r="2246" spans="119:133" ht="21" customHeight="1">
      <c r="DO2246" s="494"/>
      <c r="DP2246" s="496" t="s">
        <v>5407</v>
      </c>
      <c r="DQ2246" s="496" t="s">
        <v>15</v>
      </c>
      <c r="DR2246" s="496" t="s">
        <v>689</v>
      </c>
      <c r="DS2246" s="496" t="s">
        <v>168</v>
      </c>
      <c r="DT2246" s="496" t="s">
        <v>168</v>
      </c>
      <c r="DU2246" s="496" t="s">
        <v>1085</v>
      </c>
      <c r="DV2246" s="496" t="s">
        <v>5284</v>
      </c>
      <c r="DW2246" s="496" t="s">
        <v>1087</v>
      </c>
      <c r="DX2246" s="497" t="s">
        <v>1088</v>
      </c>
      <c r="DZ2246" s="543">
        <v>1</v>
      </c>
      <c r="EB2246" s="493"/>
      <c r="EC2246" s="493"/>
    </row>
    <row r="2247" spans="119:133" ht="21" customHeight="1">
      <c r="DO2247" s="494"/>
      <c r="DP2247" s="496" t="s">
        <v>5408</v>
      </c>
      <c r="DQ2247" s="496" t="s">
        <v>15</v>
      </c>
      <c r="DR2247" s="496" t="s">
        <v>689</v>
      </c>
      <c r="DS2247" s="496" t="s">
        <v>5409</v>
      </c>
      <c r="DT2247" s="496" t="s">
        <v>5410</v>
      </c>
      <c r="DU2247" s="496" t="s">
        <v>1085</v>
      </c>
      <c r="DV2247" s="496" t="s">
        <v>5284</v>
      </c>
      <c r="DW2247" s="496" t="s">
        <v>1087</v>
      </c>
      <c r="DX2247" s="497" t="s">
        <v>1088</v>
      </c>
      <c r="DZ2247" s="543">
        <v>1</v>
      </c>
      <c r="EB2247" s="493"/>
      <c r="EC2247" s="493"/>
    </row>
    <row r="2248" spans="119:133" ht="21" customHeight="1">
      <c r="DO2248" s="494"/>
      <c r="DP2248" s="496" t="s">
        <v>5411</v>
      </c>
      <c r="DQ2248" s="496" t="s">
        <v>15</v>
      </c>
      <c r="DR2248" s="496" t="s">
        <v>689</v>
      </c>
      <c r="DS2248" s="496" t="s">
        <v>5412</v>
      </c>
      <c r="DT2248" s="496" t="s">
        <v>5412</v>
      </c>
      <c r="DU2248" s="496" t="s">
        <v>1554</v>
      </c>
      <c r="DV2248" s="496" t="s">
        <v>1555</v>
      </c>
      <c r="DW2248" s="496" t="s">
        <v>1556</v>
      </c>
      <c r="DX2248" s="497" t="s">
        <v>5258</v>
      </c>
      <c r="DZ2248" s="543">
        <v>1</v>
      </c>
      <c r="EB2248" s="493"/>
      <c r="EC2248" s="493"/>
    </row>
    <row r="2249" spans="119:133" ht="21" customHeight="1">
      <c r="DO2249" s="494"/>
      <c r="DP2249" s="496" t="s">
        <v>5413</v>
      </c>
      <c r="DQ2249" s="496" t="s">
        <v>15</v>
      </c>
      <c r="DR2249" s="496" t="s">
        <v>689</v>
      </c>
      <c r="DS2249" s="496" t="s">
        <v>5414</v>
      </c>
      <c r="DT2249" s="496" t="s">
        <v>5414</v>
      </c>
      <c r="DU2249" s="496" t="s">
        <v>1554</v>
      </c>
      <c r="DV2249" s="496" t="s">
        <v>1555</v>
      </c>
      <c r="DW2249" s="496" t="s">
        <v>1556</v>
      </c>
      <c r="DX2249" s="497" t="s">
        <v>5258</v>
      </c>
      <c r="DZ2249" s="543">
        <v>1</v>
      </c>
      <c r="EB2249" s="493"/>
      <c r="EC2249" s="493"/>
    </row>
    <row r="2250" spans="119:133" ht="21" customHeight="1">
      <c r="DO2250" s="494"/>
      <c r="DP2250" s="496" t="s">
        <v>5415</v>
      </c>
      <c r="DQ2250" s="496" t="s">
        <v>15</v>
      </c>
      <c r="DR2250" s="496" t="s">
        <v>689</v>
      </c>
      <c r="DS2250" s="496" t="s">
        <v>5416</v>
      </c>
      <c r="DT2250" s="496" t="s">
        <v>5416</v>
      </c>
      <c r="DU2250" s="496" t="s">
        <v>1554</v>
      </c>
      <c r="DV2250" s="496" t="s">
        <v>1555</v>
      </c>
      <c r="DW2250" s="496" t="s">
        <v>1556</v>
      </c>
      <c r="DX2250" s="497" t="s">
        <v>5258</v>
      </c>
      <c r="DZ2250" s="543">
        <v>1</v>
      </c>
      <c r="EB2250" s="493"/>
      <c r="EC2250" s="493"/>
    </row>
    <row r="2251" spans="119:133" ht="21" customHeight="1">
      <c r="DO2251" s="494"/>
      <c r="DP2251" s="496" t="s">
        <v>5417</v>
      </c>
      <c r="DQ2251" s="496" t="s">
        <v>15</v>
      </c>
      <c r="DR2251" s="496" t="s">
        <v>689</v>
      </c>
      <c r="DS2251" s="496" t="s">
        <v>865</v>
      </c>
      <c r="DT2251" s="496" t="s">
        <v>865</v>
      </c>
      <c r="DU2251" s="496" t="s">
        <v>1085</v>
      </c>
      <c r="DV2251" s="496" t="s">
        <v>5284</v>
      </c>
      <c r="DW2251" s="496" t="s">
        <v>1087</v>
      </c>
      <c r="DX2251" s="497" t="s">
        <v>1088</v>
      </c>
      <c r="DZ2251" s="543">
        <v>1</v>
      </c>
      <c r="EB2251" s="493"/>
      <c r="EC2251" s="493"/>
    </row>
    <row r="2252" spans="119:133" ht="21" customHeight="1">
      <c r="DO2252" s="494"/>
      <c r="DP2252" s="496" t="s">
        <v>5418</v>
      </c>
      <c r="DQ2252" s="496" t="s">
        <v>15</v>
      </c>
      <c r="DR2252" s="496" t="s">
        <v>689</v>
      </c>
      <c r="DS2252" s="496" t="s">
        <v>5419</v>
      </c>
      <c r="DT2252" s="496" t="s">
        <v>5419</v>
      </c>
      <c r="DU2252" s="496" t="s">
        <v>1085</v>
      </c>
      <c r="DV2252" s="496" t="s">
        <v>5284</v>
      </c>
      <c r="DW2252" s="496" t="s">
        <v>1087</v>
      </c>
      <c r="DX2252" s="497" t="s">
        <v>1088</v>
      </c>
      <c r="DZ2252" s="543">
        <v>1</v>
      </c>
      <c r="EB2252" s="493"/>
      <c r="EC2252" s="493"/>
    </row>
    <row r="2253" spans="119:133" ht="21" customHeight="1">
      <c r="DO2253" s="494"/>
      <c r="DP2253" s="496" t="s">
        <v>5420</v>
      </c>
      <c r="DQ2253" s="496" t="s">
        <v>15</v>
      </c>
      <c r="DR2253" s="496" t="s">
        <v>689</v>
      </c>
      <c r="DS2253" s="496" t="s">
        <v>5421</v>
      </c>
      <c r="DT2253" s="496" t="s">
        <v>5421</v>
      </c>
      <c r="DU2253" s="496" t="s">
        <v>1554</v>
      </c>
      <c r="DV2253" s="496" t="s">
        <v>1555</v>
      </c>
      <c r="DW2253" s="496" t="s">
        <v>1556</v>
      </c>
      <c r="DX2253" s="497" t="s">
        <v>5258</v>
      </c>
      <c r="DZ2253" s="543">
        <v>1</v>
      </c>
      <c r="EB2253" s="493"/>
      <c r="EC2253" s="493"/>
    </row>
    <row r="2254" spans="119:133" ht="21" customHeight="1">
      <c r="DO2254" s="494"/>
      <c r="DP2254" s="496" t="s">
        <v>5422</v>
      </c>
      <c r="DQ2254" s="496" t="s">
        <v>15</v>
      </c>
      <c r="DR2254" s="496" t="s">
        <v>689</v>
      </c>
      <c r="DS2254" s="496" t="s">
        <v>5423</v>
      </c>
      <c r="DT2254" s="496" t="s">
        <v>5423</v>
      </c>
      <c r="DU2254" s="496" t="s">
        <v>1554</v>
      </c>
      <c r="DV2254" s="496" t="s">
        <v>1555</v>
      </c>
      <c r="DW2254" s="496" t="s">
        <v>1556</v>
      </c>
      <c r="DX2254" s="497" t="s">
        <v>5258</v>
      </c>
      <c r="DZ2254" s="543">
        <v>1</v>
      </c>
      <c r="EB2254" s="493"/>
      <c r="EC2254" s="493"/>
    </row>
    <row r="2255" spans="119:133" ht="21" customHeight="1">
      <c r="DO2255" s="494"/>
      <c r="DP2255" s="496" t="s">
        <v>5424</v>
      </c>
      <c r="DQ2255" s="496" t="s">
        <v>15</v>
      </c>
      <c r="DR2255" s="496" t="s">
        <v>689</v>
      </c>
      <c r="DS2255" s="496" t="s">
        <v>5425</v>
      </c>
      <c r="DT2255" s="496" t="s">
        <v>5425</v>
      </c>
      <c r="DU2255" s="496" t="s">
        <v>1554</v>
      </c>
      <c r="DV2255" s="496" t="s">
        <v>1555</v>
      </c>
      <c r="DW2255" s="496" t="s">
        <v>1556</v>
      </c>
      <c r="DX2255" s="497" t="s">
        <v>5258</v>
      </c>
      <c r="DZ2255" s="543">
        <v>1</v>
      </c>
      <c r="EB2255" s="493"/>
      <c r="EC2255" s="493"/>
    </row>
    <row r="2256" spans="119:133" ht="21" customHeight="1">
      <c r="DO2256" s="494"/>
      <c r="DP2256" s="496" t="s">
        <v>5426</v>
      </c>
      <c r="DQ2256" s="496" t="s">
        <v>15</v>
      </c>
      <c r="DR2256" s="496" t="s">
        <v>689</v>
      </c>
      <c r="DS2256" s="496" t="s">
        <v>5427</v>
      </c>
      <c r="DT2256" s="496" t="s">
        <v>5427</v>
      </c>
      <c r="DU2256" s="496" t="s">
        <v>1554</v>
      </c>
      <c r="DV2256" s="496" t="s">
        <v>1555</v>
      </c>
      <c r="DW2256" s="496" t="s">
        <v>1556</v>
      </c>
      <c r="DX2256" s="497" t="s">
        <v>5258</v>
      </c>
      <c r="DZ2256" s="543">
        <v>1</v>
      </c>
      <c r="EB2256" s="493"/>
      <c r="EC2256" s="493"/>
    </row>
    <row r="2257" spans="119:133" ht="21" customHeight="1">
      <c r="DO2257" s="494"/>
      <c r="DP2257" s="496" t="s">
        <v>5428</v>
      </c>
      <c r="DQ2257" s="496" t="s">
        <v>15</v>
      </c>
      <c r="DR2257" s="496" t="s">
        <v>689</v>
      </c>
      <c r="DS2257" s="496" t="s">
        <v>5429</v>
      </c>
      <c r="DT2257" s="496" t="s">
        <v>5429</v>
      </c>
      <c r="DU2257" s="496" t="s">
        <v>1554</v>
      </c>
      <c r="DV2257" s="496" t="s">
        <v>1555</v>
      </c>
      <c r="DW2257" s="496" t="s">
        <v>1556</v>
      </c>
      <c r="DX2257" s="497" t="s">
        <v>5258</v>
      </c>
      <c r="DZ2257" s="543">
        <v>1</v>
      </c>
      <c r="EB2257" s="493"/>
      <c r="EC2257" s="493"/>
    </row>
    <row r="2258" spans="119:133" ht="21" customHeight="1">
      <c r="DO2258" s="494"/>
      <c r="DP2258" s="496" t="s">
        <v>5430</v>
      </c>
      <c r="DQ2258" s="496" t="s">
        <v>15</v>
      </c>
      <c r="DR2258" s="496" t="s">
        <v>689</v>
      </c>
      <c r="DS2258" s="496" t="s">
        <v>5431</v>
      </c>
      <c r="DT2258" s="496" t="s">
        <v>78</v>
      </c>
      <c r="DU2258" s="496" t="s">
        <v>1085</v>
      </c>
      <c r="DV2258" s="496" t="s">
        <v>5284</v>
      </c>
      <c r="DW2258" s="496" t="s">
        <v>1087</v>
      </c>
      <c r="DX2258" s="497" t="s">
        <v>1088</v>
      </c>
      <c r="DZ2258" s="543">
        <v>1</v>
      </c>
      <c r="EB2258" s="493"/>
      <c r="EC2258" s="493"/>
    </row>
    <row r="2259" spans="119:133" ht="21" customHeight="1">
      <c r="DO2259" s="494"/>
      <c r="DP2259" s="496" t="s">
        <v>5432</v>
      </c>
      <c r="DQ2259" s="496" t="s">
        <v>15</v>
      </c>
      <c r="DR2259" s="496" t="s">
        <v>689</v>
      </c>
      <c r="DS2259" s="496" t="s">
        <v>5433</v>
      </c>
      <c r="DT2259" s="496" t="s">
        <v>5433</v>
      </c>
      <c r="DU2259" s="496" t="s">
        <v>1554</v>
      </c>
      <c r="DV2259" s="496" t="s">
        <v>1555</v>
      </c>
      <c r="DW2259" s="496" t="s">
        <v>1556</v>
      </c>
      <c r="DX2259" s="497" t="s">
        <v>5258</v>
      </c>
      <c r="DZ2259" s="543">
        <v>1</v>
      </c>
      <c r="EB2259" s="493"/>
      <c r="EC2259" s="493"/>
    </row>
    <row r="2260" spans="119:133" ht="21" customHeight="1">
      <c r="DO2260" s="494"/>
      <c r="DP2260" s="496" t="s">
        <v>5434</v>
      </c>
      <c r="DQ2260" s="496" t="s">
        <v>15</v>
      </c>
      <c r="DR2260" s="496" t="s">
        <v>689</v>
      </c>
      <c r="DS2260" s="496" t="s">
        <v>1005</v>
      </c>
      <c r="DT2260" s="496" t="s">
        <v>1005</v>
      </c>
      <c r="DU2260" s="496" t="s">
        <v>1554</v>
      </c>
      <c r="DV2260" s="496" t="s">
        <v>1555</v>
      </c>
      <c r="DW2260" s="496" t="s">
        <v>1556</v>
      </c>
      <c r="DX2260" s="497" t="s">
        <v>5258</v>
      </c>
      <c r="DZ2260" s="543">
        <v>1</v>
      </c>
      <c r="EB2260" s="493"/>
      <c r="EC2260" s="493"/>
    </row>
    <row r="2261" spans="119:133" ht="21" customHeight="1">
      <c r="DO2261" s="494"/>
      <c r="DP2261" s="496" t="s">
        <v>5435</v>
      </c>
      <c r="DQ2261" s="496" t="s">
        <v>15</v>
      </c>
      <c r="DR2261" s="496" t="s">
        <v>689</v>
      </c>
      <c r="DS2261" s="496" t="s">
        <v>5436</v>
      </c>
      <c r="DT2261" s="496" t="s">
        <v>5436</v>
      </c>
      <c r="DU2261" s="496" t="s">
        <v>1554</v>
      </c>
      <c r="DV2261" s="496" t="s">
        <v>1555</v>
      </c>
      <c r="DW2261" s="496" t="s">
        <v>1556</v>
      </c>
      <c r="DX2261" s="497" t="s">
        <v>5258</v>
      </c>
      <c r="DZ2261" s="543">
        <v>1</v>
      </c>
      <c r="EB2261" s="493"/>
      <c r="EC2261" s="493"/>
    </row>
    <row r="2262" spans="119:133" ht="21" customHeight="1">
      <c r="DO2262" s="494"/>
      <c r="DP2262" s="496" t="s">
        <v>5437</v>
      </c>
      <c r="DQ2262" s="496" t="s">
        <v>15</v>
      </c>
      <c r="DR2262" s="496" t="s">
        <v>689</v>
      </c>
      <c r="DS2262" s="496" t="s">
        <v>5438</v>
      </c>
      <c r="DT2262" s="496" t="s">
        <v>5438</v>
      </c>
      <c r="DU2262" s="496" t="s">
        <v>1554</v>
      </c>
      <c r="DV2262" s="496" t="s">
        <v>1555</v>
      </c>
      <c r="DW2262" s="496" t="s">
        <v>1556</v>
      </c>
      <c r="DX2262" s="497" t="s">
        <v>5258</v>
      </c>
      <c r="DZ2262" s="543">
        <v>1</v>
      </c>
      <c r="EB2262" s="493"/>
      <c r="EC2262" s="493"/>
    </row>
    <row r="2263" spans="119:133" ht="21" customHeight="1">
      <c r="DO2263" s="494"/>
      <c r="DP2263" s="496" t="s">
        <v>5439</v>
      </c>
      <c r="DQ2263" s="496" t="s">
        <v>15</v>
      </c>
      <c r="DR2263" s="496" t="s">
        <v>689</v>
      </c>
      <c r="DS2263" s="496" t="s">
        <v>5440</v>
      </c>
      <c r="DT2263" s="496" t="s">
        <v>5440</v>
      </c>
      <c r="DU2263" s="496" t="s">
        <v>1554</v>
      </c>
      <c r="DV2263" s="496" t="s">
        <v>1555</v>
      </c>
      <c r="DW2263" s="496" t="s">
        <v>1556</v>
      </c>
      <c r="DX2263" s="497" t="s">
        <v>5258</v>
      </c>
      <c r="DZ2263" s="543">
        <v>1</v>
      </c>
      <c r="EB2263" s="493"/>
      <c r="EC2263" s="493"/>
    </row>
    <row r="2264" spans="119:133" ht="21" customHeight="1">
      <c r="DO2264" s="494"/>
      <c r="DP2264" s="496" t="s">
        <v>5441</v>
      </c>
      <c r="DQ2264" s="496" t="s">
        <v>15</v>
      </c>
      <c r="DR2264" s="496" t="s">
        <v>689</v>
      </c>
      <c r="DS2264" s="496" t="s">
        <v>5442</v>
      </c>
      <c r="DT2264" s="496" t="s">
        <v>5442</v>
      </c>
      <c r="DU2264" s="496" t="s">
        <v>1554</v>
      </c>
      <c r="DV2264" s="496" t="s">
        <v>1555</v>
      </c>
      <c r="DW2264" s="496" t="s">
        <v>1556</v>
      </c>
      <c r="DX2264" s="497" t="s">
        <v>5258</v>
      </c>
      <c r="DZ2264" s="543">
        <v>1</v>
      </c>
      <c r="EB2264" s="493"/>
      <c r="EC2264" s="493"/>
    </row>
    <row r="2265" spans="119:133" ht="21" customHeight="1">
      <c r="DO2265" s="494"/>
      <c r="DP2265" s="496" t="s">
        <v>5443</v>
      </c>
      <c r="DQ2265" s="496" t="s">
        <v>15</v>
      </c>
      <c r="DR2265" s="496" t="s">
        <v>689</v>
      </c>
      <c r="DS2265" s="496" t="s">
        <v>1006</v>
      </c>
      <c r="DT2265" s="496" t="s">
        <v>1006</v>
      </c>
      <c r="DU2265" s="496" t="s">
        <v>1554</v>
      </c>
      <c r="DV2265" s="496" t="s">
        <v>1555</v>
      </c>
      <c r="DW2265" s="496" t="s">
        <v>1556</v>
      </c>
      <c r="DX2265" s="497" t="s">
        <v>5258</v>
      </c>
      <c r="DZ2265" s="543">
        <v>1</v>
      </c>
      <c r="EB2265" s="493"/>
      <c r="EC2265" s="493"/>
    </row>
    <row r="2266" spans="119:133" ht="21" customHeight="1">
      <c r="DO2266" s="494"/>
      <c r="DP2266" s="496" t="s">
        <v>5444</v>
      </c>
      <c r="DQ2266" s="496" t="s">
        <v>15</v>
      </c>
      <c r="DR2266" s="496" t="s">
        <v>689</v>
      </c>
      <c r="DS2266" s="496" t="s">
        <v>5445</v>
      </c>
      <c r="DT2266" s="496" t="s">
        <v>5445</v>
      </c>
      <c r="DU2266" s="496" t="s">
        <v>1554</v>
      </c>
      <c r="DV2266" s="496" t="s">
        <v>1555</v>
      </c>
      <c r="DW2266" s="496" t="s">
        <v>1556</v>
      </c>
      <c r="DX2266" s="497" t="s">
        <v>5258</v>
      </c>
      <c r="DZ2266" s="543">
        <v>1</v>
      </c>
      <c r="EB2266" s="493"/>
      <c r="EC2266" s="493"/>
    </row>
    <row r="2267" spans="119:133" ht="21" customHeight="1">
      <c r="DO2267" s="494"/>
      <c r="DP2267" s="496" t="s">
        <v>5446</v>
      </c>
      <c r="DQ2267" s="496" t="s">
        <v>15</v>
      </c>
      <c r="DR2267" s="496" t="s">
        <v>689</v>
      </c>
      <c r="DS2267" s="496" t="s">
        <v>5447</v>
      </c>
      <c r="DT2267" s="496" t="s">
        <v>5447</v>
      </c>
      <c r="DU2267" s="496" t="s">
        <v>1554</v>
      </c>
      <c r="DV2267" s="496" t="s">
        <v>1555</v>
      </c>
      <c r="DW2267" s="496" t="s">
        <v>1556</v>
      </c>
      <c r="DX2267" s="497" t="s">
        <v>5258</v>
      </c>
      <c r="DZ2267" s="543">
        <v>1</v>
      </c>
      <c r="EB2267" s="493"/>
      <c r="EC2267" s="493"/>
    </row>
    <row r="2268" spans="119:133" ht="21" customHeight="1">
      <c r="DO2268" s="494"/>
      <c r="DP2268" s="496" t="s">
        <v>5448</v>
      </c>
      <c r="DQ2268" s="496" t="s">
        <v>15</v>
      </c>
      <c r="DR2268" s="496" t="s">
        <v>689</v>
      </c>
      <c r="DS2268" s="496" t="s">
        <v>5449</v>
      </c>
      <c r="DT2268" s="496" t="s">
        <v>5449</v>
      </c>
      <c r="DU2268" s="496" t="s">
        <v>1554</v>
      </c>
      <c r="DV2268" s="496" t="s">
        <v>1555</v>
      </c>
      <c r="DW2268" s="496" t="s">
        <v>1556</v>
      </c>
      <c r="DX2268" s="497" t="s">
        <v>5258</v>
      </c>
      <c r="DZ2268" s="543">
        <v>1</v>
      </c>
      <c r="EB2268" s="493"/>
      <c r="EC2268" s="493"/>
    </row>
    <row r="2269" spans="119:133" ht="21" customHeight="1">
      <c r="DO2269" s="494"/>
      <c r="DP2269" s="496" t="s">
        <v>5450</v>
      </c>
      <c r="DQ2269" s="496" t="s">
        <v>15</v>
      </c>
      <c r="DR2269" s="496" t="s">
        <v>689</v>
      </c>
      <c r="DS2269" s="496" t="s">
        <v>5451</v>
      </c>
      <c r="DT2269" s="496" t="s">
        <v>5451</v>
      </c>
      <c r="DU2269" s="496" t="s">
        <v>1554</v>
      </c>
      <c r="DV2269" s="496" t="s">
        <v>1555</v>
      </c>
      <c r="DW2269" s="496" t="s">
        <v>1556</v>
      </c>
      <c r="DX2269" s="497" t="s">
        <v>5258</v>
      </c>
      <c r="DZ2269" s="543">
        <v>1</v>
      </c>
      <c r="EB2269" s="493"/>
      <c r="EC2269" s="493"/>
    </row>
    <row r="2270" spans="119:133" ht="21" customHeight="1">
      <c r="DO2270" s="494"/>
      <c r="DP2270" s="496" t="s">
        <v>5452</v>
      </c>
      <c r="DQ2270" s="496" t="s">
        <v>15</v>
      </c>
      <c r="DR2270" s="496" t="s">
        <v>689</v>
      </c>
      <c r="DS2270" s="496" t="s">
        <v>5453</v>
      </c>
      <c r="DT2270" s="496" t="s">
        <v>90</v>
      </c>
      <c r="DU2270" s="496" t="s">
        <v>1085</v>
      </c>
      <c r="DV2270" s="496" t="s">
        <v>5284</v>
      </c>
      <c r="DW2270" s="496" t="s">
        <v>1087</v>
      </c>
      <c r="DX2270" s="497" t="s">
        <v>1088</v>
      </c>
      <c r="DZ2270" s="543">
        <v>1</v>
      </c>
      <c r="EB2270" s="493"/>
      <c r="EC2270" s="493"/>
    </row>
    <row r="2271" spans="119:133" ht="21" customHeight="1">
      <c r="DO2271" s="494"/>
      <c r="DP2271" s="496" t="s">
        <v>5454</v>
      </c>
      <c r="DQ2271" s="496" t="s">
        <v>15</v>
      </c>
      <c r="DR2271" s="496" t="s">
        <v>689</v>
      </c>
      <c r="DS2271" s="496" t="s">
        <v>5455</v>
      </c>
      <c r="DT2271" s="496" t="s">
        <v>5455</v>
      </c>
      <c r="DU2271" s="496" t="s">
        <v>1554</v>
      </c>
      <c r="DV2271" s="496" t="s">
        <v>1555</v>
      </c>
      <c r="DW2271" s="496" t="s">
        <v>1556</v>
      </c>
      <c r="DX2271" s="497" t="s">
        <v>5258</v>
      </c>
      <c r="DZ2271" s="543">
        <v>1</v>
      </c>
      <c r="EB2271" s="493"/>
      <c r="EC2271" s="493"/>
    </row>
    <row r="2272" spans="119:133" ht="21" customHeight="1">
      <c r="DO2272" s="494"/>
      <c r="DP2272" s="496" t="s">
        <v>5456</v>
      </c>
      <c r="DQ2272" s="496" t="s">
        <v>15</v>
      </c>
      <c r="DR2272" s="496" t="s">
        <v>689</v>
      </c>
      <c r="DS2272" s="496" t="s">
        <v>5457</v>
      </c>
      <c r="DT2272" s="496" t="s">
        <v>5457</v>
      </c>
      <c r="DU2272" s="496" t="s">
        <v>1554</v>
      </c>
      <c r="DV2272" s="496" t="s">
        <v>1555</v>
      </c>
      <c r="DW2272" s="496" t="s">
        <v>1556</v>
      </c>
      <c r="DX2272" s="497" t="s">
        <v>5258</v>
      </c>
      <c r="DZ2272" s="543">
        <v>1</v>
      </c>
      <c r="EB2272" s="493"/>
      <c r="EC2272" s="493"/>
    </row>
    <row r="2273" spans="119:133" ht="21" customHeight="1">
      <c r="DO2273" s="494"/>
      <c r="DP2273" s="496" t="s">
        <v>5458</v>
      </c>
      <c r="DQ2273" s="496" t="s">
        <v>15</v>
      </c>
      <c r="DR2273" s="496" t="s">
        <v>689</v>
      </c>
      <c r="DS2273" s="496" t="s">
        <v>5459</v>
      </c>
      <c r="DT2273" s="496" t="s">
        <v>5459</v>
      </c>
      <c r="DU2273" s="496" t="s">
        <v>1085</v>
      </c>
      <c r="DV2273" s="496" t="s">
        <v>5284</v>
      </c>
      <c r="DW2273" s="496" t="s">
        <v>1087</v>
      </c>
      <c r="DX2273" s="497" t="s">
        <v>1088</v>
      </c>
      <c r="DZ2273" s="543">
        <v>1</v>
      </c>
      <c r="EB2273" s="493"/>
      <c r="EC2273" s="493"/>
    </row>
    <row r="2274" spans="119:133" ht="21" customHeight="1">
      <c r="DO2274" s="494"/>
      <c r="DP2274" s="496" t="s">
        <v>5460</v>
      </c>
      <c r="DQ2274" s="496" t="s">
        <v>15</v>
      </c>
      <c r="DR2274" s="496" t="s">
        <v>689</v>
      </c>
      <c r="DS2274" s="496" t="s">
        <v>5461</v>
      </c>
      <c r="DT2274" s="496" t="s">
        <v>5461</v>
      </c>
      <c r="DU2274" s="496" t="s">
        <v>1554</v>
      </c>
      <c r="DV2274" s="496" t="s">
        <v>1555</v>
      </c>
      <c r="DW2274" s="496" t="s">
        <v>1556</v>
      </c>
      <c r="DX2274" s="497" t="s">
        <v>5258</v>
      </c>
      <c r="DZ2274" s="543">
        <v>1</v>
      </c>
      <c r="EB2274" s="493"/>
      <c r="EC2274" s="493"/>
    </row>
    <row r="2275" spans="119:133" ht="21" customHeight="1">
      <c r="DO2275" s="494"/>
      <c r="DP2275" s="496" t="s">
        <v>5462</v>
      </c>
      <c r="DQ2275" s="496" t="s">
        <v>15</v>
      </c>
      <c r="DR2275" s="496" t="s">
        <v>689</v>
      </c>
      <c r="DS2275" s="496" t="s">
        <v>5463</v>
      </c>
      <c r="DT2275" s="496" t="s">
        <v>5463</v>
      </c>
      <c r="DU2275" s="496" t="s">
        <v>1554</v>
      </c>
      <c r="DV2275" s="496" t="s">
        <v>1555</v>
      </c>
      <c r="DW2275" s="496" t="s">
        <v>1556</v>
      </c>
      <c r="DX2275" s="497" t="s">
        <v>5258</v>
      </c>
      <c r="DZ2275" s="543">
        <v>1</v>
      </c>
      <c r="EB2275" s="493"/>
      <c r="EC2275" s="493"/>
    </row>
    <row r="2276" spans="119:133" ht="21" customHeight="1">
      <c r="DO2276" s="494"/>
      <c r="DP2276" s="496" t="s">
        <v>5464</v>
      </c>
      <c r="DQ2276" s="496" t="s">
        <v>15</v>
      </c>
      <c r="DR2276" s="496" t="s">
        <v>689</v>
      </c>
      <c r="DS2276" s="496" t="s">
        <v>5465</v>
      </c>
      <c r="DT2276" s="496" t="s">
        <v>5465</v>
      </c>
      <c r="DU2276" s="496" t="s">
        <v>1554</v>
      </c>
      <c r="DV2276" s="496" t="s">
        <v>1555</v>
      </c>
      <c r="DW2276" s="496" t="s">
        <v>1556</v>
      </c>
      <c r="DX2276" s="497" t="s">
        <v>5258</v>
      </c>
      <c r="DZ2276" s="543">
        <v>1</v>
      </c>
      <c r="EB2276" s="493"/>
      <c r="EC2276" s="493"/>
    </row>
    <row r="2277" spans="119:133" ht="21" customHeight="1">
      <c r="DO2277" s="494"/>
      <c r="DP2277" s="496" t="s">
        <v>5466</v>
      </c>
      <c r="DQ2277" s="496" t="s">
        <v>15</v>
      </c>
      <c r="DR2277" s="496" t="s">
        <v>689</v>
      </c>
      <c r="DS2277" s="496" t="s">
        <v>5467</v>
      </c>
      <c r="DT2277" s="496" t="s">
        <v>5467</v>
      </c>
      <c r="DU2277" s="496" t="s">
        <v>1554</v>
      </c>
      <c r="DV2277" s="496" t="s">
        <v>1555</v>
      </c>
      <c r="DW2277" s="496" t="s">
        <v>1556</v>
      </c>
      <c r="DX2277" s="497" t="s">
        <v>5258</v>
      </c>
      <c r="DZ2277" s="543">
        <v>1</v>
      </c>
      <c r="EB2277" s="493"/>
      <c r="EC2277" s="493"/>
    </row>
    <row r="2278" spans="119:133" ht="21" customHeight="1">
      <c r="DO2278" s="494"/>
      <c r="DP2278" s="496" t="s">
        <v>5468</v>
      </c>
      <c r="DQ2278" s="496" t="s">
        <v>15</v>
      </c>
      <c r="DR2278" s="496" t="s">
        <v>689</v>
      </c>
      <c r="DS2278" s="496" t="s">
        <v>5469</v>
      </c>
      <c r="DT2278" s="496" t="s">
        <v>5469</v>
      </c>
      <c r="DU2278" s="496" t="s">
        <v>1554</v>
      </c>
      <c r="DV2278" s="496" t="s">
        <v>1555</v>
      </c>
      <c r="DW2278" s="496" t="s">
        <v>1556</v>
      </c>
      <c r="DX2278" s="497" t="s">
        <v>5258</v>
      </c>
      <c r="DZ2278" s="543">
        <v>1</v>
      </c>
      <c r="EB2278" s="493"/>
      <c r="EC2278" s="493"/>
    </row>
    <row r="2279" spans="119:133" ht="21" customHeight="1">
      <c r="DO2279" s="494"/>
      <c r="DP2279" s="496" t="s">
        <v>5470</v>
      </c>
      <c r="DQ2279" s="496" t="s">
        <v>15</v>
      </c>
      <c r="DR2279" s="496" t="s">
        <v>689</v>
      </c>
      <c r="DS2279" s="496" t="s">
        <v>5471</v>
      </c>
      <c r="DT2279" s="496" t="s">
        <v>5471</v>
      </c>
      <c r="DU2279" s="496" t="s">
        <v>1554</v>
      </c>
      <c r="DV2279" s="496" t="s">
        <v>1555</v>
      </c>
      <c r="DW2279" s="496" t="s">
        <v>1556</v>
      </c>
      <c r="DX2279" s="497" t="s">
        <v>5258</v>
      </c>
      <c r="DZ2279" s="543">
        <v>1</v>
      </c>
      <c r="EB2279" s="493"/>
      <c r="EC2279" s="493"/>
    </row>
    <row r="2280" spans="119:133" ht="21" customHeight="1">
      <c r="DO2280" s="494"/>
      <c r="DP2280" s="496" t="s">
        <v>5472</v>
      </c>
      <c r="DQ2280" s="496" t="s">
        <v>15</v>
      </c>
      <c r="DR2280" s="496" t="s">
        <v>689</v>
      </c>
      <c r="DS2280" s="496" t="s">
        <v>5473</v>
      </c>
      <c r="DT2280" s="496" t="s">
        <v>5473</v>
      </c>
      <c r="DU2280" s="496" t="s">
        <v>1554</v>
      </c>
      <c r="DV2280" s="496" t="s">
        <v>1555</v>
      </c>
      <c r="DW2280" s="496" t="s">
        <v>1556</v>
      </c>
      <c r="DX2280" s="497" t="s">
        <v>5258</v>
      </c>
      <c r="DZ2280" s="543">
        <v>1</v>
      </c>
      <c r="EB2280" s="493"/>
      <c r="EC2280" s="493"/>
    </row>
    <row r="2281" spans="119:133" ht="21" customHeight="1">
      <c r="DO2281" s="494"/>
      <c r="DP2281" s="496" t="s">
        <v>5474</v>
      </c>
      <c r="DQ2281" s="496" t="s">
        <v>15</v>
      </c>
      <c r="DR2281" s="496" t="s">
        <v>689</v>
      </c>
      <c r="DS2281" s="496" t="s">
        <v>5475</v>
      </c>
      <c r="DT2281" s="496" t="s">
        <v>5475</v>
      </c>
      <c r="DU2281" s="496" t="s">
        <v>1554</v>
      </c>
      <c r="DV2281" s="496" t="s">
        <v>1555</v>
      </c>
      <c r="DW2281" s="496" t="s">
        <v>1556</v>
      </c>
      <c r="DX2281" s="497" t="s">
        <v>5258</v>
      </c>
      <c r="DZ2281" s="543">
        <v>1</v>
      </c>
      <c r="EB2281" s="493"/>
      <c r="EC2281" s="493"/>
    </row>
    <row r="2282" spans="119:133" ht="21" customHeight="1">
      <c r="DO2282" s="494"/>
      <c r="DP2282" s="496" t="s">
        <v>5476</v>
      </c>
      <c r="DQ2282" s="496" t="s">
        <v>15</v>
      </c>
      <c r="DR2282" s="496" t="s">
        <v>689</v>
      </c>
      <c r="DS2282" s="496" t="s">
        <v>5477</v>
      </c>
      <c r="DT2282" s="496" t="s">
        <v>5477</v>
      </c>
      <c r="DU2282" s="496" t="s">
        <v>1554</v>
      </c>
      <c r="DV2282" s="496" t="s">
        <v>1555</v>
      </c>
      <c r="DW2282" s="496" t="s">
        <v>1556</v>
      </c>
      <c r="DX2282" s="497" t="s">
        <v>5258</v>
      </c>
      <c r="DZ2282" s="543">
        <v>1</v>
      </c>
      <c r="EB2282" s="493"/>
      <c r="EC2282" s="493"/>
    </row>
    <row r="2283" spans="119:133" ht="21" customHeight="1">
      <c r="DO2283" s="494"/>
      <c r="DP2283" s="496" t="s">
        <v>5478</v>
      </c>
      <c r="DQ2283" s="496" t="s">
        <v>15</v>
      </c>
      <c r="DR2283" s="496" t="s">
        <v>689</v>
      </c>
      <c r="DS2283" s="496" t="s">
        <v>5479</v>
      </c>
      <c r="DT2283" s="496" t="s">
        <v>5479</v>
      </c>
      <c r="DU2283" s="496" t="s">
        <v>1554</v>
      </c>
      <c r="DV2283" s="496" t="s">
        <v>1555</v>
      </c>
      <c r="DW2283" s="496" t="s">
        <v>1556</v>
      </c>
      <c r="DX2283" s="497" t="s">
        <v>5258</v>
      </c>
      <c r="DZ2283" s="543">
        <v>1</v>
      </c>
      <c r="EB2283" s="493"/>
      <c r="EC2283" s="493"/>
    </row>
    <row r="2284" spans="119:133" ht="21" customHeight="1">
      <c r="DO2284" s="494"/>
      <c r="DP2284" s="496" t="s">
        <v>5480</v>
      </c>
      <c r="DQ2284" s="496" t="s">
        <v>15</v>
      </c>
      <c r="DR2284" s="496" t="s">
        <v>689</v>
      </c>
      <c r="DS2284" s="496" t="s">
        <v>5481</v>
      </c>
      <c r="DT2284" s="496" t="s">
        <v>5481</v>
      </c>
      <c r="DU2284" s="496" t="s">
        <v>1554</v>
      </c>
      <c r="DV2284" s="496" t="s">
        <v>1555</v>
      </c>
      <c r="DW2284" s="496" t="s">
        <v>1556</v>
      </c>
      <c r="DX2284" s="497" t="s">
        <v>5258</v>
      </c>
      <c r="DZ2284" s="543">
        <v>1</v>
      </c>
      <c r="EB2284" s="493"/>
      <c r="EC2284" s="493"/>
    </row>
    <row r="2285" spans="119:133" ht="21" customHeight="1">
      <c r="DO2285" s="494"/>
      <c r="DP2285" s="496" t="s">
        <v>5482</v>
      </c>
      <c r="DQ2285" s="496" t="s">
        <v>15</v>
      </c>
      <c r="DR2285" s="496" t="s">
        <v>689</v>
      </c>
      <c r="DS2285" s="496" t="s">
        <v>5483</v>
      </c>
      <c r="DT2285" s="496" t="s">
        <v>5483</v>
      </c>
      <c r="DU2285" s="496" t="s">
        <v>1554</v>
      </c>
      <c r="DV2285" s="496" t="s">
        <v>1555</v>
      </c>
      <c r="DW2285" s="496" t="s">
        <v>1556</v>
      </c>
      <c r="DX2285" s="497" t="s">
        <v>5258</v>
      </c>
      <c r="DZ2285" s="543">
        <v>1</v>
      </c>
      <c r="EB2285" s="493"/>
      <c r="EC2285" s="493"/>
    </row>
    <row r="2286" spans="119:133" ht="21" customHeight="1">
      <c r="DO2286" s="494"/>
      <c r="DP2286" s="496" t="s">
        <v>5484</v>
      </c>
      <c r="DQ2286" s="496" t="s">
        <v>15</v>
      </c>
      <c r="DR2286" s="496" t="s">
        <v>689</v>
      </c>
      <c r="DS2286" s="496" t="s">
        <v>5485</v>
      </c>
      <c r="DT2286" s="496" t="s">
        <v>5485</v>
      </c>
      <c r="DU2286" s="496" t="s">
        <v>1554</v>
      </c>
      <c r="DV2286" s="496" t="s">
        <v>1555</v>
      </c>
      <c r="DW2286" s="496" t="s">
        <v>1556</v>
      </c>
      <c r="DX2286" s="497" t="s">
        <v>5258</v>
      </c>
      <c r="DZ2286" s="543">
        <v>1</v>
      </c>
      <c r="EB2286" s="493"/>
      <c r="EC2286" s="493"/>
    </row>
    <row r="2287" spans="119:133" ht="21" customHeight="1">
      <c r="DO2287" s="494"/>
      <c r="DP2287" s="496" t="s">
        <v>5486</v>
      </c>
      <c r="DQ2287" s="496" t="s">
        <v>15</v>
      </c>
      <c r="DR2287" s="496" t="s">
        <v>689</v>
      </c>
      <c r="DS2287" s="496" t="s">
        <v>5487</v>
      </c>
      <c r="DT2287" s="496" t="s">
        <v>5487</v>
      </c>
      <c r="DU2287" s="496" t="s">
        <v>1151</v>
      </c>
      <c r="DV2287" s="496" t="s">
        <v>1152</v>
      </c>
      <c r="DW2287" s="496" t="s">
        <v>1087</v>
      </c>
      <c r="DX2287" s="497" t="s">
        <v>1153</v>
      </c>
      <c r="DZ2287" s="543">
        <v>1</v>
      </c>
      <c r="EB2287" s="493"/>
      <c r="EC2287" s="493"/>
    </row>
    <row r="2288" spans="119:133" ht="21" customHeight="1">
      <c r="DO2288" s="494"/>
      <c r="DP2288" s="496" t="s">
        <v>5488</v>
      </c>
      <c r="DQ2288" s="496" t="s">
        <v>15</v>
      </c>
      <c r="DR2288" s="496" t="s">
        <v>689</v>
      </c>
      <c r="DS2288" s="496" t="s">
        <v>5489</v>
      </c>
      <c r="DT2288" s="496" t="s">
        <v>5489</v>
      </c>
      <c r="DU2288" s="496" t="s">
        <v>1151</v>
      </c>
      <c r="DV2288" s="496" t="s">
        <v>1152</v>
      </c>
      <c r="DW2288" s="496" t="s">
        <v>1087</v>
      </c>
      <c r="DX2288" s="497" t="s">
        <v>1153</v>
      </c>
      <c r="DZ2288" s="543">
        <v>1</v>
      </c>
      <c r="EB2288" s="493"/>
      <c r="EC2288" s="493"/>
    </row>
    <row r="2289" spans="119:133" ht="21" customHeight="1">
      <c r="DO2289" s="494"/>
      <c r="DP2289" s="496" t="s">
        <v>5490</v>
      </c>
      <c r="DQ2289" s="496" t="s">
        <v>15</v>
      </c>
      <c r="DR2289" s="496" t="s">
        <v>689</v>
      </c>
      <c r="DS2289" s="496" t="s">
        <v>27</v>
      </c>
      <c r="DT2289" s="496" t="s">
        <v>27</v>
      </c>
      <c r="DU2289" s="496" t="s">
        <v>1085</v>
      </c>
      <c r="DV2289" s="496" t="s">
        <v>5284</v>
      </c>
      <c r="DW2289" s="496" t="s">
        <v>1087</v>
      </c>
      <c r="DX2289" s="497" t="s">
        <v>1088</v>
      </c>
      <c r="DZ2289" s="543">
        <v>1</v>
      </c>
      <c r="EB2289" s="493"/>
      <c r="EC2289" s="493"/>
    </row>
    <row r="2290" spans="119:133" ht="21" customHeight="1">
      <c r="DO2290" s="494"/>
      <c r="DP2290" s="496" t="s">
        <v>5491</v>
      </c>
      <c r="DQ2290" s="496" t="s">
        <v>15</v>
      </c>
      <c r="DR2290" s="496" t="s">
        <v>689</v>
      </c>
      <c r="DS2290" s="496" t="s">
        <v>6</v>
      </c>
      <c r="DT2290" s="496" t="s">
        <v>6</v>
      </c>
      <c r="DU2290" s="496" t="s">
        <v>1085</v>
      </c>
      <c r="DV2290" s="496" t="s">
        <v>5284</v>
      </c>
      <c r="DW2290" s="496" t="s">
        <v>1087</v>
      </c>
      <c r="DX2290" s="497" t="s">
        <v>1088</v>
      </c>
      <c r="DZ2290" s="543">
        <v>1</v>
      </c>
      <c r="EB2290" s="493"/>
      <c r="EC2290" s="493"/>
    </row>
    <row r="2291" spans="119:133" ht="21" customHeight="1">
      <c r="DO2291" s="494"/>
      <c r="DP2291" s="496" t="s">
        <v>5492</v>
      </c>
      <c r="DQ2291" s="496" t="s">
        <v>15</v>
      </c>
      <c r="DR2291" s="496" t="s">
        <v>689</v>
      </c>
      <c r="DS2291" s="496" t="s">
        <v>5493</v>
      </c>
      <c r="DT2291" s="496" t="s">
        <v>5493</v>
      </c>
      <c r="DU2291" s="496" t="s">
        <v>1554</v>
      </c>
      <c r="DV2291" s="496" t="s">
        <v>1555</v>
      </c>
      <c r="DW2291" s="496" t="s">
        <v>1556</v>
      </c>
      <c r="DX2291" s="497" t="s">
        <v>5258</v>
      </c>
      <c r="DZ2291" s="543">
        <v>1</v>
      </c>
      <c r="EB2291" s="493"/>
      <c r="EC2291" s="493"/>
    </row>
    <row r="2292" spans="119:133" ht="21" customHeight="1">
      <c r="DO2292" s="494"/>
      <c r="DP2292" s="496" t="s">
        <v>5494</v>
      </c>
      <c r="DQ2292" s="496" t="s">
        <v>15</v>
      </c>
      <c r="DR2292" s="496" t="s">
        <v>689</v>
      </c>
      <c r="DS2292" s="496" t="s">
        <v>52</v>
      </c>
      <c r="DT2292" s="496" t="s">
        <v>52</v>
      </c>
      <c r="DU2292" s="496" t="s">
        <v>1554</v>
      </c>
      <c r="DV2292" s="496" t="s">
        <v>1555</v>
      </c>
      <c r="DW2292" s="496" t="s">
        <v>1556</v>
      </c>
      <c r="DX2292" s="497" t="s">
        <v>5258</v>
      </c>
      <c r="DZ2292" s="543">
        <v>1</v>
      </c>
      <c r="EB2292" s="493"/>
      <c r="EC2292" s="493"/>
    </row>
    <row r="2293" spans="119:133" ht="21" customHeight="1">
      <c r="DO2293" s="494"/>
      <c r="DP2293" s="496" t="s">
        <v>5495</v>
      </c>
      <c r="DQ2293" s="496" t="s">
        <v>15</v>
      </c>
      <c r="DR2293" s="496" t="s">
        <v>689</v>
      </c>
      <c r="DS2293" s="496" t="s">
        <v>5496</v>
      </c>
      <c r="DT2293" s="496" t="s">
        <v>5496</v>
      </c>
      <c r="DU2293" s="496" t="s">
        <v>1554</v>
      </c>
      <c r="DV2293" s="496" t="s">
        <v>1555</v>
      </c>
      <c r="DW2293" s="496" t="s">
        <v>1556</v>
      </c>
      <c r="DX2293" s="497" t="s">
        <v>5258</v>
      </c>
      <c r="DZ2293" s="543">
        <v>1</v>
      </c>
      <c r="EB2293" s="493"/>
      <c r="EC2293" s="493"/>
    </row>
    <row r="2294" spans="119:133" ht="21" customHeight="1">
      <c r="DO2294" s="494"/>
      <c r="DP2294" s="496" t="s">
        <v>5497</v>
      </c>
      <c r="DQ2294" s="496" t="s">
        <v>15</v>
      </c>
      <c r="DR2294" s="496" t="s">
        <v>689</v>
      </c>
      <c r="DS2294" s="496" t="s">
        <v>5498</v>
      </c>
      <c r="DT2294" s="496" t="s">
        <v>5498</v>
      </c>
      <c r="DU2294" s="496" t="s">
        <v>1554</v>
      </c>
      <c r="DV2294" s="496" t="s">
        <v>1555</v>
      </c>
      <c r="DW2294" s="496" t="s">
        <v>1556</v>
      </c>
      <c r="DX2294" s="497" t="s">
        <v>5258</v>
      </c>
      <c r="DZ2294" s="543">
        <v>1</v>
      </c>
      <c r="EB2294" s="493"/>
      <c r="EC2294" s="493"/>
    </row>
    <row r="2295" spans="119:133" ht="21" customHeight="1">
      <c r="DO2295" s="494"/>
      <c r="DP2295" s="496" t="s">
        <v>5499</v>
      </c>
      <c r="DQ2295" s="496" t="s">
        <v>15</v>
      </c>
      <c r="DR2295" s="496" t="s">
        <v>689</v>
      </c>
      <c r="DS2295" s="496" t="s">
        <v>5500</v>
      </c>
      <c r="DT2295" s="496" t="s">
        <v>5500</v>
      </c>
      <c r="DU2295" s="496" t="s">
        <v>1554</v>
      </c>
      <c r="DV2295" s="496" t="s">
        <v>1555</v>
      </c>
      <c r="DW2295" s="496" t="s">
        <v>1556</v>
      </c>
      <c r="DX2295" s="497" t="s">
        <v>5258</v>
      </c>
      <c r="DZ2295" s="543">
        <v>1</v>
      </c>
      <c r="EB2295" s="493"/>
      <c r="EC2295" s="493"/>
    </row>
    <row r="2296" spans="119:133" ht="21" customHeight="1">
      <c r="DO2296" s="494"/>
      <c r="DP2296" s="496" t="s">
        <v>5501</v>
      </c>
      <c r="DQ2296" s="496" t="s">
        <v>15</v>
      </c>
      <c r="DR2296" s="496" t="s">
        <v>689</v>
      </c>
      <c r="DS2296" s="496" t="s">
        <v>5502</v>
      </c>
      <c r="DT2296" s="496" t="s">
        <v>5502</v>
      </c>
      <c r="DU2296" s="496" t="s">
        <v>1554</v>
      </c>
      <c r="DV2296" s="496" t="s">
        <v>1555</v>
      </c>
      <c r="DW2296" s="496" t="s">
        <v>1556</v>
      </c>
      <c r="DX2296" s="497" t="s">
        <v>5258</v>
      </c>
      <c r="DZ2296" s="543">
        <v>1</v>
      </c>
      <c r="EB2296" s="493"/>
      <c r="EC2296" s="493"/>
    </row>
    <row r="2297" spans="119:133" ht="21" customHeight="1">
      <c r="DO2297" s="494"/>
      <c r="DP2297" s="496" t="s">
        <v>5503</v>
      </c>
      <c r="DQ2297" s="496" t="s">
        <v>15</v>
      </c>
      <c r="DR2297" s="496" t="s">
        <v>689</v>
      </c>
      <c r="DS2297" s="496" t="s">
        <v>5504</v>
      </c>
      <c r="DT2297" s="496" t="s">
        <v>5504</v>
      </c>
      <c r="DU2297" s="496" t="s">
        <v>1554</v>
      </c>
      <c r="DV2297" s="496" t="s">
        <v>1555</v>
      </c>
      <c r="DW2297" s="496" t="s">
        <v>1556</v>
      </c>
      <c r="DX2297" s="497" t="s">
        <v>5258</v>
      </c>
      <c r="DZ2297" s="543">
        <v>1</v>
      </c>
      <c r="EB2297" s="493"/>
      <c r="EC2297" s="493"/>
    </row>
    <row r="2298" spans="119:133" ht="21" customHeight="1">
      <c r="DO2298" s="494"/>
      <c r="DP2298" s="496" t="s">
        <v>5505</v>
      </c>
      <c r="DQ2298" s="496" t="s">
        <v>15</v>
      </c>
      <c r="DR2298" s="496" t="s">
        <v>689</v>
      </c>
      <c r="DS2298" s="496" t="s">
        <v>5506</v>
      </c>
      <c r="DT2298" s="496" t="s">
        <v>5506</v>
      </c>
      <c r="DU2298" s="496" t="s">
        <v>1554</v>
      </c>
      <c r="DV2298" s="496" t="s">
        <v>1555</v>
      </c>
      <c r="DW2298" s="496" t="s">
        <v>1556</v>
      </c>
      <c r="DX2298" s="497" t="s">
        <v>5258</v>
      </c>
      <c r="DZ2298" s="543">
        <v>1</v>
      </c>
      <c r="EB2298" s="493"/>
      <c r="EC2298" s="493"/>
    </row>
    <row r="2299" spans="119:133" ht="21" customHeight="1">
      <c r="DO2299" s="494"/>
      <c r="DP2299" s="496" t="s">
        <v>5507</v>
      </c>
      <c r="DQ2299" s="496" t="s">
        <v>15</v>
      </c>
      <c r="DR2299" s="496" t="s">
        <v>689</v>
      </c>
      <c r="DS2299" s="496" t="s">
        <v>5508</v>
      </c>
      <c r="DT2299" s="496" t="s">
        <v>5508</v>
      </c>
      <c r="DU2299" s="496" t="s">
        <v>1554</v>
      </c>
      <c r="DV2299" s="496" t="s">
        <v>1555</v>
      </c>
      <c r="DW2299" s="496" t="s">
        <v>1556</v>
      </c>
      <c r="DX2299" s="497" t="s">
        <v>5258</v>
      </c>
      <c r="DZ2299" s="543">
        <v>1</v>
      </c>
      <c r="EB2299" s="493"/>
      <c r="EC2299" s="493"/>
    </row>
    <row r="2300" spans="119:133" ht="21" customHeight="1">
      <c r="DO2300" s="494"/>
      <c r="DP2300" s="496" t="s">
        <v>5509</v>
      </c>
      <c r="DQ2300" s="496" t="s">
        <v>15</v>
      </c>
      <c r="DR2300" s="496" t="s">
        <v>689</v>
      </c>
      <c r="DS2300" s="496" t="s">
        <v>5510</v>
      </c>
      <c r="DT2300" s="496" t="s">
        <v>5510</v>
      </c>
      <c r="DU2300" s="496" t="s">
        <v>1554</v>
      </c>
      <c r="DV2300" s="496" t="s">
        <v>1555</v>
      </c>
      <c r="DW2300" s="496" t="s">
        <v>1556</v>
      </c>
      <c r="DX2300" s="497" t="s">
        <v>5258</v>
      </c>
      <c r="DZ2300" s="543">
        <v>1</v>
      </c>
      <c r="EB2300" s="493"/>
      <c r="EC2300" s="493"/>
    </row>
    <row r="2301" spans="119:133" ht="21" customHeight="1">
      <c r="DO2301" s="494"/>
      <c r="DP2301" s="496" t="s">
        <v>5511</v>
      </c>
      <c r="DQ2301" s="496" t="s">
        <v>15</v>
      </c>
      <c r="DR2301" s="496" t="s">
        <v>689</v>
      </c>
      <c r="DS2301" s="496" t="s">
        <v>5512</v>
      </c>
      <c r="DT2301" s="496" t="s">
        <v>5512</v>
      </c>
      <c r="DU2301" s="496" t="s">
        <v>1554</v>
      </c>
      <c r="DV2301" s="496" t="s">
        <v>1555</v>
      </c>
      <c r="DW2301" s="496" t="s">
        <v>1556</v>
      </c>
      <c r="DX2301" s="497" t="s">
        <v>5258</v>
      </c>
      <c r="DZ2301" s="543">
        <v>1</v>
      </c>
      <c r="EB2301" s="493"/>
      <c r="EC2301" s="493"/>
    </row>
    <row r="2302" spans="119:133" ht="21" customHeight="1">
      <c r="DO2302" s="494"/>
      <c r="DP2302" s="496" t="s">
        <v>5513</v>
      </c>
      <c r="DQ2302" s="496" t="s">
        <v>15</v>
      </c>
      <c r="DR2302" s="496" t="s">
        <v>689</v>
      </c>
      <c r="DS2302" s="496" t="s">
        <v>65</v>
      </c>
      <c r="DT2302" s="496" t="s">
        <v>65</v>
      </c>
      <c r="DU2302" s="496" t="s">
        <v>1085</v>
      </c>
      <c r="DV2302" s="496" t="s">
        <v>5284</v>
      </c>
      <c r="DW2302" s="496" t="s">
        <v>1087</v>
      </c>
      <c r="DX2302" s="497" t="s">
        <v>1088</v>
      </c>
      <c r="DZ2302" s="543">
        <v>1</v>
      </c>
      <c r="EB2302" s="493"/>
      <c r="EC2302" s="493"/>
    </row>
    <row r="2303" spans="119:133" ht="21" customHeight="1">
      <c r="DO2303" s="494"/>
      <c r="DP2303" s="496" t="s">
        <v>5514</v>
      </c>
      <c r="DQ2303" s="496" t="s">
        <v>15</v>
      </c>
      <c r="DR2303" s="496" t="s">
        <v>689</v>
      </c>
      <c r="DS2303" s="496" t="s">
        <v>5515</v>
      </c>
      <c r="DT2303" s="496" t="s">
        <v>5515</v>
      </c>
      <c r="DU2303" s="496" t="s">
        <v>1554</v>
      </c>
      <c r="DV2303" s="496" t="s">
        <v>1555</v>
      </c>
      <c r="DW2303" s="496" t="s">
        <v>1556</v>
      </c>
      <c r="DX2303" s="497" t="s">
        <v>5258</v>
      </c>
      <c r="DZ2303" s="543">
        <v>1</v>
      </c>
      <c r="EB2303" s="493"/>
      <c r="EC2303" s="493"/>
    </row>
    <row r="2304" spans="119:133" ht="21" customHeight="1">
      <c r="DO2304" s="494"/>
      <c r="DP2304" s="496" t="s">
        <v>5516</v>
      </c>
      <c r="DQ2304" s="496" t="s">
        <v>15</v>
      </c>
      <c r="DR2304" s="496" t="s">
        <v>689</v>
      </c>
      <c r="DS2304" s="496" t="s">
        <v>5517</v>
      </c>
      <c r="DT2304" s="496" t="s">
        <v>5517</v>
      </c>
      <c r="DU2304" s="496" t="s">
        <v>1151</v>
      </c>
      <c r="DV2304" s="496" t="s">
        <v>1152</v>
      </c>
      <c r="DW2304" s="496" t="s">
        <v>1087</v>
      </c>
      <c r="DX2304" s="497" t="s">
        <v>1153</v>
      </c>
      <c r="DZ2304" s="543">
        <v>1</v>
      </c>
      <c r="EB2304" s="493"/>
      <c r="EC2304" s="493"/>
    </row>
    <row r="2305" spans="119:133" ht="21" customHeight="1">
      <c r="DO2305" s="494"/>
      <c r="DP2305" s="496" t="s">
        <v>5518</v>
      </c>
      <c r="DQ2305" s="496" t="s">
        <v>15</v>
      </c>
      <c r="DR2305" s="496" t="s">
        <v>689</v>
      </c>
      <c r="DS2305" s="496" t="s">
        <v>336</v>
      </c>
      <c r="DT2305" s="496" t="s">
        <v>336</v>
      </c>
      <c r="DU2305" s="496" t="s">
        <v>1151</v>
      </c>
      <c r="DV2305" s="496" t="s">
        <v>1152</v>
      </c>
      <c r="DW2305" s="496" t="s">
        <v>1087</v>
      </c>
      <c r="DX2305" s="497" t="s">
        <v>1153</v>
      </c>
      <c r="DZ2305" s="543">
        <v>1</v>
      </c>
      <c r="EB2305" s="493"/>
      <c r="EC2305" s="493"/>
    </row>
    <row r="2306" spans="119:133" ht="21" customHeight="1">
      <c r="DO2306" s="494"/>
      <c r="DP2306" s="496" t="s">
        <v>5519</v>
      </c>
      <c r="DQ2306" s="496" t="s">
        <v>15</v>
      </c>
      <c r="DR2306" s="496" t="s">
        <v>689</v>
      </c>
      <c r="DS2306" s="496" t="s">
        <v>5520</v>
      </c>
      <c r="DT2306" s="496" t="s">
        <v>5520</v>
      </c>
      <c r="DU2306" s="496" t="s">
        <v>1554</v>
      </c>
      <c r="DV2306" s="496" t="s">
        <v>1555</v>
      </c>
      <c r="DW2306" s="496" t="s">
        <v>1556</v>
      </c>
      <c r="DX2306" s="497" t="s">
        <v>5258</v>
      </c>
      <c r="DZ2306" s="543">
        <v>1</v>
      </c>
      <c r="EB2306" s="493"/>
      <c r="EC2306" s="493"/>
    </row>
    <row r="2307" spans="119:133" ht="21" customHeight="1">
      <c r="DO2307" s="494"/>
      <c r="DP2307" s="496" t="s">
        <v>5521</v>
      </c>
      <c r="DQ2307" s="496" t="s">
        <v>15</v>
      </c>
      <c r="DR2307" s="496" t="s">
        <v>689</v>
      </c>
      <c r="DS2307" s="496" t="s">
        <v>5522</v>
      </c>
      <c r="DT2307" s="496" t="s">
        <v>5522</v>
      </c>
      <c r="DU2307" s="496" t="s">
        <v>1554</v>
      </c>
      <c r="DV2307" s="496" t="s">
        <v>1555</v>
      </c>
      <c r="DW2307" s="496" t="s">
        <v>1556</v>
      </c>
      <c r="DX2307" s="497" t="s">
        <v>5258</v>
      </c>
      <c r="DZ2307" s="543">
        <v>1</v>
      </c>
      <c r="EB2307" s="493"/>
      <c r="EC2307" s="493"/>
    </row>
    <row r="2308" spans="119:133" ht="21" customHeight="1">
      <c r="DO2308" s="494"/>
      <c r="DP2308" s="496" t="s">
        <v>5523</v>
      </c>
      <c r="DQ2308" s="496" t="s">
        <v>15</v>
      </c>
      <c r="DR2308" s="496" t="s">
        <v>689</v>
      </c>
      <c r="DS2308" s="496" t="s">
        <v>5524</v>
      </c>
      <c r="DT2308" s="496" t="s">
        <v>5524</v>
      </c>
      <c r="DU2308" s="496" t="s">
        <v>1554</v>
      </c>
      <c r="DV2308" s="496" t="s">
        <v>1555</v>
      </c>
      <c r="DW2308" s="496" t="s">
        <v>1556</v>
      </c>
      <c r="DX2308" s="497" t="s">
        <v>5258</v>
      </c>
      <c r="DZ2308" s="543">
        <v>1</v>
      </c>
      <c r="EB2308" s="493"/>
      <c r="EC2308" s="493"/>
    </row>
    <row r="2309" spans="119:133" ht="21" customHeight="1">
      <c r="DO2309" s="494"/>
      <c r="DP2309" s="496" t="s">
        <v>5525</v>
      </c>
      <c r="DQ2309" s="496" t="s">
        <v>15</v>
      </c>
      <c r="DR2309" s="496" t="s">
        <v>689</v>
      </c>
      <c r="DS2309" s="496" t="s">
        <v>5526</v>
      </c>
      <c r="DT2309" s="496" t="s">
        <v>5526</v>
      </c>
      <c r="DU2309" s="496" t="s">
        <v>1554</v>
      </c>
      <c r="DV2309" s="496" t="s">
        <v>1555</v>
      </c>
      <c r="DW2309" s="496" t="s">
        <v>1556</v>
      </c>
      <c r="DX2309" s="497" t="s">
        <v>5258</v>
      </c>
      <c r="DZ2309" s="543">
        <v>1</v>
      </c>
      <c r="EB2309" s="493"/>
      <c r="EC2309" s="493"/>
    </row>
    <row r="2310" spans="119:133" ht="21" customHeight="1">
      <c r="DO2310" s="494"/>
      <c r="DP2310" s="496" t="s">
        <v>5527</v>
      </c>
      <c r="DQ2310" s="496" t="s">
        <v>15</v>
      </c>
      <c r="DR2310" s="496" t="s">
        <v>689</v>
      </c>
      <c r="DS2310" s="496" t="s">
        <v>5528</v>
      </c>
      <c r="DT2310" s="496" t="s">
        <v>5528</v>
      </c>
      <c r="DU2310" s="496" t="s">
        <v>1554</v>
      </c>
      <c r="DV2310" s="496" t="s">
        <v>1555</v>
      </c>
      <c r="DW2310" s="496" t="s">
        <v>1556</v>
      </c>
      <c r="DX2310" s="497" t="s">
        <v>5258</v>
      </c>
      <c r="DZ2310" s="543">
        <v>1</v>
      </c>
      <c r="EB2310" s="493"/>
      <c r="EC2310" s="493"/>
    </row>
    <row r="2311" spans="119:133" ht="21" customHeight="1">
      <c r="DO2311" s="494"/>
      <c r="DP2311" s="496" t="s">
        <v>5529</v>
      </c>
      <c r="DQ2311" s="496" t="s">
        <v>15</v>
      </c>
      <c r="DR2311" s="496" t="s">
        <v>689</v>
      </c>
      <c r="DS2311" s="496" t="s">
        <v>28</v>
      </c>
      <c r="DT2311" s="496" t="s">
        <v>28</v>
      </c>
      <c r="DU2311" s="496" t="s">
        <v>1085</v>
      </c>
      <c r="DV2311" s="496" t="s">
        <v>5284</v>
      </c>
      <c r="DW2311" s="496" t="s">
        <v>1087</v>
      </c>
      <c r="DX2311" s="497" t="s">
        <v>1088</v>
      </c>
      <c r="DZ2311" s="543">
        <v>1</v>
      </c>
      <c r="EB2311" s="493"/>
      <c r="EC2311" s="493"/>
    </row>
    <row r="2312" spans="119:133" ht="21" customHeight="1">
      <c r="DO2312" s="494"/>
      <c r="DP2312" s="496" t="s">
        <v>5530</v>
      </c>
      <c r="DQ2312" s="496" t="s">
        <v>15</v>
      </c>
      <c r="DR2312" s="496" t="s">
        <v>689</v>
      </c>
      <c r="DS2312" s="496" t="s">
        <v>39</v>
      </c>
      <c r="DT2312" s="496" t="s">
        <v>39</v>
      </c>
      <c r="DU2312" s="496" t="s">
        <v>1085</v>
      </c>
      <c r="DV2312" s="496" t="s">
        <v>5284</v>
      </c>
      <c r="DW2312" s="496" t="s">
        <v>1087</v>
      </c>
      <c r="DX2312" s="497" t="s">
        <v>1088</v>
      </c>
      <c r="DZ2312" s="543">
        <v>1</v>
      </c>
      <c r="EB2312" s="493"/>
      <c r="EC2312" s="493"/>
    </row>
    <row r="2313" spans="119:133" ht="21" customHeight="1">
      <c r="DO2313" s="494"/>
      <c r="DP2313" s="496" t="s">
        <v>5531</v>
      </c>
      <c r="DQ2313" s="496" t="s">
        <v>15</v>
      </c>
      <c r="DR2313" s="496" t="s">
        <v>689</v>
      </c>
      <c r="DS2313" s="496" t="s">
        <v>201</v>
      </c>
      <c r="DT2313" s="496" t="s">
        <v>201</v>
      </c>
      <c r="DU2313" s="496" t="s">
        <v>1085</v>
      </c>
      <c r="DV2313" s="496" t="s">
        <v>5284</v>
      </c>
      <c r="DW2313" s="496" t="s">
        <v>1087</v>
      </c>
      <c r="DX2313" s="497" t="s">
        <v>1088</v>
      </c>
      <c r="DZ2313" s="543">
        <v>1</v>
      </c>
      <c r="EB2313" s="493"/>
      <c r="EC2313" s="493"/>
    </row>
    <row r="2314" spans="119:133" ht="21" customHeight="1">
      <c r="DO2314" s="494"/>
      <c r="DP2314" s="496" t="s">
        <v>5532</v>
      </c>
      <c r="DQ2314" s="496" t="s">
        <v>15</v>
      </c>
      <c r="DR2314" s="496" t="s">
        <v>689</v>
      </c>
      <c r="DS2314" s="496" t="s">
        <v>5533</v>
      </c>
      <c r="DT2314" s="496" t="s">
        <v>5533</v>
      </c>
      <c r="DU2314" s="496" t="s">
        <v>1554</v>
      </c>
      <c r="DV2314" s="496" t="s">
        <v>1555</v>
      </c>
      <c r="DW2314" s="496" t="s">
        <v>1556</v>
      </c>
      <c r="DX2314" s="497" t="s">
        <v>5258</v>
      </c>
      <c r="DZ2314" s="543">
        <v>1</v>
      </c>
      <c r="EB2314" s="493"/>
      <c r="EC2314" s="493"/>
    </row>
    <row r="2315" spans="119:133" ht="21" customHeight="1">
      <c r="DO2315" s="494"/>
      <c r="DP2315" s="496" t="s">
        <v>5534</v>
      </c>
      <c r="DQ2315" s="496" t="s">
        <v>15</v>
      </c>
      <c r="DR2315" s="496" t="s">
        <v>689</v>
      </c>
      <c r="DS2315" s="496" t="s">
        <v>1007</v>
      </c>
      <c r="DT2315" s="496" t="s">
        <v>1007</v>
      </c>
      <c r="DU2315" s="496" t="s">
        <v>1554</v>
      </c>
      <c r="DV2315" s="496" t="s">
        <v>1555</v>
      </c>
      <c r="DW2315" s="496" t="s">
        <v>1556</v>
      </c>
      <c r="DX2315" s="497" t="s">
        <v>5258</v>
      </c>
      <c r="DZ2315" s="543">
        <v>1</v>
      </c>
      <c r="EB2315" s="493"/>
      <c r="EC2315" s="493"/>
    </row>
    <row r="2316" spans="119:133" ht="21" customHeight="1">
      <c r="DO2316" s="494"/>
      <c r="DP2316" s="496" t="s">
        <v>5535</v>
      </c>
      <c r="DQ2316" s="496" t="s">
        <v>15</v>
      </c>
      <c r="DR2316" s="496" t="s">
        <v>689</v>
      </c>
      <c r="DS2316" s="496" t="s">
        <v>5536</v>
      </c>
      <c r="DT2316" s="496" t="s">
        <v>5536</v>
      </c>
      <c r="DU2316" s="496" t="s">
        <v>1554</v>
      </c>
      <c r="DV2316" s="496" t="s">
        <v>1555</v>
      </c>
      <c r="DW2316" s="496" t="s">
        <v>1556</v>
      </c>
      <c r="DX2316" s="497" t="s">
        <v>5258</v>
      </c>
      <c r="DZ2316" s="543">
        <v>1</v>
      </c>
      <c r="EB2316" s="493"/>
      <c r="EC2316" s="493"/>
    </row>
    <row r="2317" spans="119:133" ht="21" customHeight="1">
      <c r="DO2317" s="494"/>
      <c r="DP2317" s="496" t="s">
        <v>5537</v>
      </c>
      <c r="DQ2317" s="496" t="s">
        <v>15</v>
      </c>
      <c r="DR2317" s="496" t="s">
        <v>689</v>
      </c>
      <c r="DS2317" s="496" t="s">
        <v>5538</v>
      </c>
      <c r="DT2317" s="496" t="s">
        <v>5538</v>
      </c>
      <c r="DU2317" s="496" t="s">
        <v>1554</v>
      </c>
      <c r="DV2317" s="496" t="s">
        <v>1555</v>
      </c>
      <c r="DW2317" s="496" t="s">
        <v>1556</v>
      </c>
      <c r="DX2317" s="497" t="s">
        <v>5258</v>
      </c>
      <c r="DZ2317" s="543">
        <v>1</v>
      </c>
      <c r="EB2317" s="493"/>
      <c r="EC2317" s="493"/>
    </row>
    <row r="2318" spans="119:133" ht="21" customHeight="1">
      <c r="DO2318" s="494"/>
      <c r="DP2318" s="496" t="s">
        <v>5539</v>
      </c>
      <c r="DQ2318" s="496" t="s">
        <v>15</v>
      </c>
      <c r="DR2318" s="496" t="s">
        <v>689</v>
      </c>
      <c r="DS2318" s="496" t="s">
        <v>5540</v>
      </c>
      <c r="DT2318" s="496" t="s">
        <v>5540</v>
      </c>
      <c r="DU2318" s="496" t="s">
        <v>1554</v>
      </c>
      <c r="DV2318" s="496" t="s">
        <v>1555</v>
      </c>
      <c r="DW2318" s="496" t="s">
        <v>1556</v>
      </c>
      <c r="DX2318" s="497" t="s">
        <v>5258</v>
      </c>
      <c r="DZ2318" s="543">
        <v>1</v>
      </c>
      <c r="EB2318" s="493"/>
      <c r="EC2318" s="493"/>
    </row>
    <row r="2319" spans="119:133" ht="21" customHeight="1">
      <c r="DO2319" s="494"/>
      <c r="DP2319" s="496" t="s">
        <v>5541</v>
      </c>
      <c r="DQ2319" s="496" t="s">
        <v>15</v>
      </c>
      <c r="DR2319" s="496" t="s">
        <v>689</v>
      </c>
      <c r="DS2319" s="496" t="s">
        <v>5542</v>
      </c>
      <c r="DT2319" s="496" t="s">
        <v>5542</v>
      </c>
      <c r="DU2319" s="496" t="s">
        <v>1085</v>
      </c>
      <c r="DV2319" s="496" t="s">
        <v>5284</v>
      </c>
      <c r="DW2319" s="496" t="s">
        <v>1087</v>
      </c>
      <c r="DX2319" s="497" t="s">
        <v>1088</v>
      </c>
      <c r="DZ2319" s="543">
        <v>1</v>
      </c>
      <c r="EB2319" s="493"/>
      <c r="EC2319" s="493"/>
    </row>
    <row r="2320" spans="119:133" ht="21" customHeight="1">
      <c r="DO2320" s="494"/>
      <c r="DP2320" s="496" t="s">
        <v>5543</v>
      </c>
      <c r="DQ2320" s="496" t="s">
        <v>15</v>
      </c>
      <c r="DR2320" s="496" t="s">
        <v>689</v>
      </c>
      <c r="DS2320" s="496" t="s">
        <v>5544</v>
      </c>
      <c r="DT2320" s="496" t="s">
        <v>5544</v>
      </c>
      <c r="DU2320" s="496" t="s">
        <v>1554</v>
      </c>
      <c r="DV2320" s="496" t="s">
        <v>1555</v>
      </c>
      <c r="DW2320" s="496" t="s">
        <v>1556</v>
      </c>
      <c r="DX2320" s="497" t="s">
        <v>5258</v>
      </c>
      <c r="DZ2320" s="543">
        <v>1</v>
      </c>
      <c r="EB2320" s="493"/>
      <c r="EC2320" s="493"/>
    </row>
    <row r="2321" spans="119:133" ht="21" customHeight="1">
      <c r="DO2321" s="494"/>
      <c r="DP2321" s="496" t="s">
        <v>5545</v>
      </c>
      <c r="DQ2321" s="496" t="s">
        <v>15</v>
      </c>
      <c r="DR2321" s="496" t="s">
        <v>689</v>
      </c>
      <c r="DS2321" s="496" t="s">
        <v>5546</v>
      </c>
      <c r="DT2321" s="496" t="s">
        <v>5546</v>
      </c>
      <c r="DU2321" s="496" t="s">
        <v>1554</v>
      </c>
      <c r="DV2321" s="496" t="s">
        <v>1555</v>
      </c>
      <c r="DW2321" s="496" t="s">
        <v>1556</v>
      </c>
      <c r="DX2321" s="497" t="s">
        <v>5258</v>
      </c>
      <c r="DZ2321" s="543">
        <v>1</v>
      </c>
      <c r="EB2321" s="493"/>
      <c r="EC2321" s="493"/>
    </row>
    <row r="2322" spans="119:133" ht="21" customHeight="1">
      <c r="DO2322" s="494"/>
      <c r="DP2322" s="496" t="s">
        <v>5547</v>
      </c>
      <c r="DQ2322" s="496" t="s">
        <v>15</v>
      </c>
      <c r="DR2322" s="496" t="s">
        <v>689</v>
      </c>
      <c r="DS2322" s="496" t="s">
        <v>337</v>
      </c>
      <c r="DT2322" s="496" t="s">
        <v>337</v>
      </c>
      <c r="DU2322" s="496" t="s">
        <v>1151</v>
      </c>
      <c r="DV2322" s="496" t="s">
        <v>1152</v>
      </c>
      <c r="DW2322" s="496" t="s">
        <v>1087</v>
      </c>
      <c r="DX2322" s="497" t="s">
        <v>1153</v>
      </c>
      <c r="DZ2322" s="543">
        <v>1</v>
      </c>
      <c r="EB2322" s="493"/>
      <c r="EC2322" s="493"/>
    </row>
    <row r="2323" spans="119:133" ht="21" customHeight="1">
      <c r="DO2323" s="494"/>
      <c r="DP2323" s="496" t="s">
        <v>5548</v>
      </c>
      <c r="DQ2323" s="496" t="s">
        <v>15</v>
      </c>
      <c r="DR2323" s="496" t="s">
        <v>689</v>
      </c>
      <c r="DS2323" s="496" t="s">
        <v>338</v>
      </c>
      <c r="DT2323" s="496" t="s">
        <v>338</v>
      </c>
      <c r="DU2323" s="496" t="s">
        <v>1151</v>
      </c>
      <c r="DV2323" s="496" t="s">
        <v>1152</v>
      </c>
      <c r="DW2323" s="496" t="s">
        <v>1087</v>
      </c>
      <c r="DX2323" s="497" t="s">
        <v>1153</v>
      </c>
      <c r="DZ2323" s="543">
        <v>1</v>
      </c>
      <c r="EB2323" s="493"/>
      <c r="EC2323" s="493"/>
    </row>
    <row r="2324" spans="119:133" ht="21" customHeight="1">
      <c r="DO2324" s="494"/>
      <c r="DP2324" s="496" t="s">
        <v>5549</v>
      </c>
      <c r="DQ2324" s="496" t="s">
        <v>15</v>
      </c>
      <c r="DR2324" s="496" t="s">
        <v>689</v>
      </c>
      <c r="DS2324" s="496" t="s">
        <v>103</v>
      </c>
      <c r="DT2324" s="496" t="s">
        <v>103</v>
      </c>
      <c r="DU2324" s="496" t="s">
        <v>1554</v>
      </c>
      <c r="DV2324" s="496" t="s">
        <v>1555</v>
      </c>
      <c r="DW2324" s="496" t="s">
        <v>1556</v>
      </c>
      <c r="DX2324" s="497" t="s">
        <v>5258</v>
      </c>
      <c r="DZ2324" s="543">
        <v>1</v>
      </c>
      <c r="EB2324" s="493"/>
      <c r="EC2324" s="493"/>
    </row>
    <row r="2325" spans="119:133" ht="21" customHeight="1">
      <c r="DO2325" s="494"/>
      <c r="DP2325" s="496" t="s">
        <v>5550</v>
      </c>
      <c r="DQ2325" s="496" t="s">
        <v>15</v>
      </c>
      <c r="DR2325" s="496" t="s">
        <v>689</v>
      </c>
      <c r="DS2325" s="496" t="s">
        <v>5551</v>
      </c>
      <c r="DT2325" s="496" t="s">
        <v>5551</v>
      </c>
      <c r="DU2325" s="496" t="s">
        <v>1554</v>
      </c>
      <c r="DV2325" s="496" t="s">
        <v>1555</v>
      </c>
      <c r="DW2325" s="496" t="s">
        <v>1556</v>
      </c>
      <c r="DX2325" s="497" t="s">
        <v>5258</v>
      </c>
      <c r="DZ2325" s="543">
        <v>1</v>
      </c>
      <c r="EB2325" s="493"/>
      <c r="EC2325" s="493"/>
    </row>
    <row r="2326" spans="119:133" ht="21" customHeight="1">
      <c r="DO2326" s="494"/>
      <c r="DP2326" s="496" t="s">
        <v>5552</v>
      </c>
      <c r="DQ2326" s="496" t="s">
        <v>15</v>
      </c>
      <c r="DR2326" s="496" t="s">
        <v>689</v>
      </c>
      <c r="DS2326" s="496" t="s">
        <v>5553</v>
      </c>
      <c r="DT2326" s="496" t="s">
        <v>5553</v>
      </c>
      <c r="DU2326" s="496" t="s">
        <v>1554</v>
      </c>
      <c r="DV2326" s="496" t="s">
        <v>1555</v>
      </c>
      <c r="DW2326" s="496" t="s">
        <v>1556</v>
      </c>
      <c r="DX2326" s="497" t="s">
        <v>5258</v>
      </c>
      <c r="DZ2326" s="543">
        <v>1</v>
      </c>
      <c r="EB2326" s="493"/>
      <c r="EC2326" s="493"/>
    </row>
    <row r="2327" spans="119:133" ht="21" customHeight="1">
      <c r="DO2327" s="494"/>
      <c r="DP2327" s="496" t="s">
        <v>5554</v>
      </c>
      <c r="DQ2327" s="496" t="s">
        <v>15</v>
      </c>
      <c r="DR2327" s="496" t="s">
        <v>689</v>
      </c>
      <c r="DS2327" s="496" t="s">
        <v>5555</v>
      </c>
      <c r="DT2327" s="496" t="s">
        <v>5555</v>
      </c>
      <c r="DU2327" s="496" t="s">
        <v>1554</v>
      </c>
      <c r="DV2327" s="496" t="s">
        <v>1555</v>
      </c>
      <c r="DW2327" s="496" t="s">
        <v>1556</v>
      </c>
      <c r="DX2327" s="497" t="s">
        <v>5258</v>
      </c>
      <c r="DZ2327" s="543">
        <v>1</v>
      </c>
      <c r="EB2327" s="493"/>
      <c r="EC2327" s="493"/>
    </row>
    <row r="2328" spans="119:133" ht="21" customHeight="1">
      <c r="DO2328" s="494"/>
      <c r="DP2328" s="496" t="s">
        <v>5556</v>
      </c>
      <c r="DQ2328" s="496" t="s">
        <v>15</v>
      </c>
      <c r="DR2328" s="496" t="s">
        <v>689</v>
      </c>
      <c r="DS2328" s="496" t="s">
        <v>5557</v>
      </c>
      <c r="DT2328" s="496" t="s">
        <v>5557</v>
      </c>
      <c r="DU2328" s="496" t="s">
        <v>1554</v>
      </c>
      <c r="DV2328" s="496" t="s">
        <v>1555</v>
      </c>
      <c r="DW2328" s="496" t="s">
        <v>1556</v>
      </c>
      <c r="DX2328" s="497" t="s">
        <v>5258</v>
      </c>
      <c r="DZ2328" s="543">
        <v>1</v>
      </c>
      <c r="EB2328" s="493"/>
      <c r="EC2328" s="493"/>
    </row>
    <row r="2329" spans="119:133" ht="21" customHeight="1">
      <c r="DO2329" s="494"/>
      <c r="DP2329" s="496" t="s">
        <v>5558</v>
      </c>
      <c r="DQ2329" s="496" t="s">
        <v>15</v>
      </c>
      <c r="DR2329" s="496" t="s">
        <v>689</v>
      </c>
      <c r="DS2329" s="496" t="s">
        <v>5559</v>
      </c>
      <c r="DT2329" s="496" t="s">
        <v>5559</v>
      </c>
      <c r="DU2329" s="496" t="s">
        <v>1554</v>
      </c>
      <c r="DV2329" s="496" t="s">
        <v>1555</v>
      </c>
      <c r="DW2329" s="496" t="s">
        <v>1556</v>
      </c>
      <c r="DX2329" s="497" t="s">
        <v>5258</v>
      </c>
      <c r="DZ2329" s="543">
        <v>1</v>
      </c>
      <c r="EB2329" s="493"/>
      <c r="EC2329" s="493"/>
    </row>
    <row r="2330" spans="119:133" ht="21" customHeight="1">
      <c r="DO2330" s="494"/>
      <c r="DP2330" s="496" t="s">
        <v>5560</v>
      </c>
      <c r="DQ2330" s="496" t="s">
        <v>15</v>
      </c>
      <c r="DR2330" s="496" t="s">
        <v>689</v>
      </c>
      <c r="DS2330" s="496" t="s">
        <v>5561</v>
      </c>
      <c r="DT2330" s="496" t="s">
        <v>5561</v>
      </c>
      <c r="DU2330" s="496" t="s">
        <v>1554</v>
      </c>
      <c r="DV2330" s="496" t="s">
        <v>1555</v>
      </c>
      <c r="DW2330" s="496" t="s">
        <v>1556</v>
      </c>
      <c r="DX2330" s="497" t="s">
        <v>5258</v>
      </c>
      <c r="DZ2330" s="543">
        <v>1</v>
      </c>
      <c r="EB2330" s="493"/>
      <c r="EC2330" s="493"/>
    </row>
    <row r="2331" spans="119:133" ht="21" customHeight="1">
      <c r="DO2331" s="494"/>
      <c r="DP2331" s="496" t="s">
        <v>5562</v>
      </c>
      <c r="DQ2331" s="496" t="s">
        <v>15</v>
      </c>
      <c r="DR2331" s="496" t="s">
        <v>689</v>
      </c>
      <c r="DS2331" s="496" t="s">
        <v>5563</v>
      </c>
      <c r="DT2331" s="496" t="s">
        <v>5563</v>
      </c>
      <c r="DU2331" s="496" t="s">
        <v>1554</v>
      </c>
      <c r="DV2331" s="496" t="s">
        <v>1555</v>
      </c>
      <c r="DW2331" s="496" t="s">
        <v>1556</v>
      </c>
      <c r="DX2331" s="497" t="s">
        <v>5258</v>
      </c>
      <c r="DZ2331" s="543">
        <v>1</v>
      </c>
      <c r="EB2331" s="493"/>
      <c r="EC2331" s="493"/>
    </row>
    <row r="2332" spans="119:133" ht="21" customHeight="1">
      <c r="DO2332" s="494"/>
      <c r="DP2332" s="496" t="s">
        <v>5564</v>
      </c>
      <c r="DQ2332" s="496" t="s">
        <v>15</v>
      </c>
      <c r="DR2332" s="496" t="s">
        <v>689</v>
      </c>
      <c r="DS2332" s="496" t="s">
        <v>5565</v>
      </c>
      <c r="DT2332" s="496" t="s">
        <v>5565</v>
      </c>
      <c r="DU2332" s="496" t="s">
        <v>1554</v>
      </c>
      <c r="DV2332" s="496" t="s">
        <v>1555</v>
      </c>
      <c r="DW2332" s="496" t="s">
        <v>1556</v>
      </c>
      <c r="DX2332" s="497" t="s">
        <v>5258</v>
      </c>
      <c r="DZ2332" s="543">
        <v>1</v>
      </c>
      <c r="EB2332" s="493"/>
      <c r="EC2332" s="493"/>
    </row>
    <row r="2333" spans="119:133" ht="21" customHeight="1">
      <c r="DO2333" s="494"/>
      <c r="DP2333" s="496" t="s">
        <v>5566</v>
      </c>
      <c r="DQ2333" s="496" t="s">
        <v>15</v>
      </c>
      <c r="DR2333" s="496" t="s">
        <v>689</v>
      </c>
      <c r="DS2333" s="496" t="s">
        <v>117</v>
      </c>
      <c r="DT2333" s="496" t="s">
        <v>117</v>
      </c>
      <c r="DU2333" s="496" t="s">
        <v>1085</v>
      </c>
      <c r="DV2333" s="496" t="s">
        <v>5284</v>
      </c>
      <c r="DW2333" s="496" t="s">
        <v>1087</v>
      </c>
      <c r="DX2333" s="497" t="s">
        <v>1088</v>
      </c>
      <c r="DZ2333" s="543">
        <v>1</v>
      </c>
      <c r="EB2333" s="493"/>
      <c r="EC2333" s="493"/>
    </row>
    <row r="2334" spans="119:133" ht="21" customHeight="1">
      <c r="DO2334" s="494"/>
      <c r="DP2334" s="496" t="s">
        <v>5567</v>
      </c>
      <c r="DQ2334" s="496" t="s">
        <v>15</v>
      </c>
      <c r="DR2334" s="496" t="s">
        <v>689</v>
      </c>
      <c r="DS2334" s="496" t="s">
        <v>5568</v>
      </c>
      <c r="DT2334" s="496" t="s">
        <v>5568</v>
      </c>
      <c r="DU2334" s="496" t="s">
        <v>1554</v>
      </c>
      <c r="DV2334" s="496" t="s">
        <v>1555</v>
      </c>
      <c r="DW2334" s="496" t="s">
        <v>1556</v>
      </c>
      <c r="DX2334" s="497" t="s">
        <v>5258</v>
      </c>
      <c r="DZ2334" s="543">
        <v>1</v>
      </c>
      <c r="EB2334" s="493"/>
      <c r="EC2334" s="493"/>
    </row>
    <row r="2335" spans="119:133" ht="21" customHeight="1">
      <c r="DO2335" s="494"/>
      <c r="DP2335" s="496" t="s">
        <v>5569</v>
      </c>
      <c r="DQ2335" s="496" t="s">
        <v>15</v>
      </c>
      <c r="DR2335" s="496" t="s">
        <v>689</v>
      </c>
      <c r="DS2335" s="496" t="s">
        <v>5570</v>
      </c>
      <c r="DT2335" s="496" t="s">
        <v>5570</v>
      </c>
      <c r="DU2335" s="496" t="s">
        <v>1554</v>
      </c>
      <c r="DV2335" s="496" t="s">
        <v>1555</v>
      </c>
      <c r="DW2335" s="496" t="s">
        <v>1556</v>
      </c>
      <c r="DX2335" s="497" t="s">
        <v>5258</v>
      </c>
      <c r="DZ2335" s="543">
        <v>1</v>
      </c>
      <c r="EB2335" s="493"/>
      <c r="EC2335" s="493"/>
    </row>
    <row r="2336" spans="119:133" ht="21" customHeight="1">
      <c r="DO2336" s="494"/>
      <c r="DP2336" s="496" t="s">
        <v>5571</v>
      </c>
      <c r="DQ2336" s="496" t="s">
        <v>15</v>
      </c>
      <c r="DR2336" s="496" t="s">
        <v>689</v>
      </c>
      <c r="DS2336" s="496" t="s">
        <v>5572</v>
      </c>
      <c r="DT2336" s="496" t="s">
        <v>5572</v>
      </c>
      <c r="DU2336" s="496" t="s">
        <v>1554</v>
      </c>
      <c r="DV2336" s="496" t="s">
        <v>1555</v>
      </c>
      <c r="DW2336" s="496" t="s">
        <v>1556</v>
      </c>
      <c r="DX2336" s="497" t="s">
        <v>5258</v>
      </c>
      <c r="DZ2336" s="543">
        <v>1</v>
      </c>
      <c r="EB2336" s="493"/>
      <c r="EC2336" s="493"/>
    </row>
    <row r="2337" spans="119:133" ht="21" customHeight="1">
      <c r="DO2337" s="494"/>
      <c r="DP2337" s="496" t="s">
        <v>5573</v>
      </c>
      <c r="DQ2337" s="496" t="s">
        <v>15</v>
      </c>
      <c r="DR2337" s="496" t="s">
        <v>689</v>
      </c>
      <c r="DS2337" s="496" t="s">
        <v>5574</v>
      </c>
      <c r="DT2337" s="496" t="s">
        <v>5574</v>
      </c>
      <c r="DU2337" s="496" t="s">
        <v>1554</v>
      </c>
      <c r="DV2337" s="496" t="s">
        <v>1555</v>
      </c>
      <c r="DW2337" s="496" t="s">
        <v>1556</v>
      </c>
      <c r="DX2337" s="497" t="s">
        <v>5258</v>
      </c>
      <c r="DZ2337" s="543">
        <v>1</v>
      </c>
      <c r="EB2337" s="493"/>
      <c r="EC2337" s="493"/>
    </row>
    <row r="2338" spans="119:133" ht="21" customHeight="1">
      <c r="DO2338" s="494"/>
      <c r="DP2338" s="496" t="s">
        <v>5575</v>
      </c>
      <c r="DQ2338" s="496" t="s">
        <v>15</v>
      </c>
      <c r="DR2338" s="496" t="s">
        <v>689</v>
      </c>
      <c r="DS2338" s="496" t="s">
        <v>339</v>
      </c>
      <c r="DT2338" s="496" t="s">
        <v>1008</v>
      </c>
      <c r="DU2338" s="496" t="s">
        <v>1085</v>
      </c>
      <c r="DV2338" s="496" t="s">
        <v>5284</v>
      </c>
      <c r="DW2338" s="496" t="s">
        <v>1087</v>
      </c>
      <c r="DX2338" s="497" t="s">
        <v>1088</v>
      </c>
      <c r="DZ2338" s="543">
        <v>1</v>
      </c>
      <c r="EB2338" s="493"/>
      <c r="EC2338" s="493"/>
    </row>
    <row r="2339" spans="119:133" ht="21" customHeight="1">
      <c r="DO2339" s="494"/>
      <c r="DP2339" s="496" t="s">
        <v>5576</v>
      </c>
      <c r="DQ2339" s="496" t="s">
        <v>15</v>
      </c>
      <c r="DR2339" s="496" t="s">
        <v>689</v>
      </c>
      <c r="DS2339" s="496" t="s">
        <v>5577</v>
      </c>
      <c r="DT2339" s="496" t="s">
        <v>1009</v>
      </c>
      <c r="DU2339" s="496" t="s">
        <v>1085</v>
      </c>
      <c r="DV2339" s="496" t="s">
        <v>5284</v>
      </c>
      <c r="DW2339" s="496" t="s">
        <v>1087</v>
      </c>
      <c r="DX2339" s="497" t="s">
        <v>1088</v>
      </c>
      <c r="DZ2339" s="543">
        <v>1</v>
      </c>
      <c r="EB2339" s="493"/>
      <c r="EC2339" s="493"/>
    </row>
    <row r="2340" spans="119:133" ht="21" customHeight="1">
      <c r="DO2340" s="494"/>
      <c r="DP2340" s="496" t="s">
        <v>5578</v>
      </c>
      <c r="DQ2340" s="496" t="s">
        <v>15</v>
      </c>
      <c r="DR2340" s="496" t="s">
        <v>689</v>
      </c>
      <c r="DS2340" s="496" t="s">
        <v>5579</v>
      </c>
      <c r="DT2340" s="496" t="s">
        <v>5579</v>
      </c>
      <c r="DU2340" s="496" t="s">
        <v>1554</v>
      </c>
      <c r="DV2340" s="496" t="s">
        <v>1555</v>
      </c>
      <c r="DW2340" s="496" t="s">
        <v>1556</v>
      </c>
      <c r="DX2340" s="497" t="s">
        <v>5258</v>
      </c>
      <c r="DZ2340" s="543">
        <v>1</v>
      </c>
      <c r="EB2340" s="493"/>
      <c r="EC2340" s="493"/>
    </row>
    <row r="2341" spans="119:133" ht="21" customHeight="1">
      <c r="DO2341" s="494"/>
      <c r="DP2341" s="496" t="s">
        <v>5580</v>
      </c>
      <c r="DQ2341" s="496" t="s">
        <v>15</v>
      </c>
      <c r="DR2341" s="496" t="s">
        <v>689</v>
      </c>
      <c r="DS2341" s="496" t="s">
        <v>5581</v>
      </c>
      <c r="DT2341" s="496" t="s">
        <v>5581</v>
      </c>
      <c r="DU2341" s="496" t="s">
        <v>1554</v>
      </c>
      <c r="DV2341" s="496" t="s">
        <v>1555</v>
      </c>
      <c r="DW2341" s="496" t="s">
        <v>1556</v>
      </c>
      <c r="DX2341" s="497" t="s">
        <v>5258</v>
      </c>
      <c r="DZ2341" s="543">
        <v>1</v>
      </c>
      <c r="EB2341" s="493"/>
      <c r="EC2341" s="493"/>
    </row>
    <row r="2342" spans="119:133" ht="21" customHeight="1">
      <c r="DO2342" s="494"/>
      <c r="DP2342" s="496" t="s">
        <v>5582</v>
      </c>
      <c r="DQ2342" s="496" t="s">
        <v>15</v>
      </c>
      <c r="DR2342" s="496" t="s">
        <v>689</v>
      </c>
      <c r="DS2342" s="496" t="s">
        <v>361</v>
      </c>
      <c r="DT2342" s="496" t="s">
        <v>361</v>
      </c>
      <c r="DU2342" s="496" t="s">
        <v>1554</v>
      </c>
      <c r="DV2342" s="496" t="s">
        <v>1555</v>
      </c>
      <c r="DW2342" s="496" t="s">
        <v>1556</v>
      </c>
      <c r="DX2342" s="497" t="s">
        <v>5258</v>
      </c>
      <c r="DZ2342" s="543">
        <v>1</v>
      </c>
      <c r="EB2342" s="493"/>
      <c r="EC2342" s="493"/>
    </row>
    <row r="2343" spans="119:133" ht="21" customHeight="1">
      <c r="DO2343" s="494"/>
      <c r="DP2343" s="496" t="s">
        <v>5583</v>
      </c>
      <c r="DQ2343" s="496" t="s">
        <v>15</v>
      </c>
      <c r="DR2343" s="496" t="s">
        <v>689</v>
      </c>
      <c r="DS2343" s="496" t="s">
        <v>5584</v>
      </c>
      <c r="DT2343" s="496" t="s">
        <v>5584</v>
      </c>
      <c r="DU2343" s="496" t="s">
        <v>1085</v>
      </c>
      <c r="DV2343" s="496" t="s">
        <v>5284</v>
      </c>
      <c r="DW2343" s="496" t="s">
        <v>1087</v>
      </c>
      <c r="DX2343" s="497" t="s">
        <v>1088</v>
      </c>
      <c r="DZ2343" s="543">
        <v>1</v>
      </c>
      <c r="EB2343" s="493"/>
      <c r="EC2343" s="493"/>
    </row>
    <row r="2344" spans="119:133" ht="21" customHeight="1">
      <c r="DO2344" s="494"/>
      <c r="DP2344" s="496" t="s">
        <v>5585</v>
      </c>
      <c r="DQ2344" s="496" t="s">
        <v>15</v>
      </c>
      <c r="DR2344" s="496" t="s">
        <v>689</v>
      </c>
      <c r="DS2344" s="496" t="s">
        <v>5586</v>
      </c>
      <c r="DT2344" s="496" t="s">
        <v>5586</v>
      </c>
      <c r="DU2344" s="496" t="s">
        <v>1554</v>
      </c>
      <c r="DV2344" s="496" t="s">
        <v>1555</v>
      </c>
      <c r="DW2344" s="496" t="s">
        <v>1556</v>
      </c>
      <c r="DX2344" s="497" t="s">
        <v>5258</v>
      </c>
      <c r="DZ2344" s="543">
        <v>1</v>
      </c>
      <c r="EB2344" s="493"/>
      <c r="EC2344" s="493"/>
    </row>
    <row r="2345" spans="119:133" ht="21" customHeight="1">
      <c r="DO2345" s="494"/>
      <c r="DP2345" s="496" t="s">
        <v>5587</v>
      </c>
      <c r="DQ2345" s="496" t="s">
        <v>15</v>
      </c>
      <c r="DR2345" s="496" t="s">
        <v>689</v>
      </c>
      <c r="DS2345" s="496" t="s">
        <v>5588</v>
      </c>
      <c r="DT2345" s="496" t="s">
        <v>5588</v>
      </c>
      <c r="DU2345" s="496" t="s">
        <v>1554</v>
      </c>
      <c r="DV2345" s="496" t="s">
        <v>1555</v>
      </c>
      <c r="DW2345" s="496" t="s">
        <v>1556</v>
      </c>
      <c r="DX2345" s="497" t="s">
        <v>5258</v>
      </c>
      <c r="DZ2345" s="543">
        <v>1</v>
      </c>
      <c r="EB2345" s="493"/>
      <c r="EC2345" s="493"/>
    </row>
    <row r="2346" spans="119:133" ht="21" customHeight="1">
      <c r="DO2346" s="494"/>
      <c r="DP2346" s="496" t="s">
        <v>5589</v>
      </c>
      <c r="DQ2346" s="496" t="s">
        <v>15</v>
      </c>
      <c r="DR2346" s="496" t="s">
        <v>689</v>
      </c>
      <c r="DS2346" s="496" t="s">
        <v>193</v>
      </c>
      <c r="DT2346" s="496" t="s">
        <v>193</v>
      </c>
      <c r="DU2346" s="496" t="s">
        <v>1554</v>
      </c>
      <c r="DV2346" s="496" t="s">
        <v>1555</v>
      </c>
      <c r="DW2346" s="496" t="s">
        <v>1556</v>
      </c>
      <c r="DX2346" s="497" t="s">
        <v>5258</v>
      </c>
      <c r="DZ2346" s="543">
        <v>1</v>
      </c>
      <c r="EB2346" s="493"/>
      <c r="EC2346" s="493"/>
    </row>
    <row r="2347" spans="119:133" ht="21" customHeight="1">
      <c r="DO2347" s="494"/>
      <c r="DP2347" s="496" t="s">
        <v>5590</v>
      </c>
      <c r="DQ2347" s="496" t="s">
        <v>15</v>
      </c>
      <c r="DR2347" s="496" t="s">
        <v>689</v>
      </c>
      <c r="DS2347" s="496" t="s">
        <v>5591</v>
      </c>
      <c r="DT2347" s="496" t="s">
        <v>5591</v>
      </c>
      <c r="DU2347" s="496" t="s">
        <v>1554</v>
      </c>
      <c r="DV2347" s="496" t="s">
        <v>1555</v>
      </c>
      <c r="DW2347" s="496" t="s">
        <v>1556</v>
      </c>
      <c r="DX2347" s="497" t="s">
        <v>5258</v>
      </c>
      <c r="DZ2347" s="543">
        <v>1</v>
      </c>
      <c r="EB2347" s="493"/>
      <c r="EC2347" s="493"/>
    </row>
    <row r="2348" spans="119:133" ht="21" customHeight="1">
      <c r="DO2348" s="494"/>
      <c r="DP2348" s="496" t="s">
        <v>5592</v>
      </c>
      <c r="DQ2348" s="496" t="s">
        <v>15</v>
      </c>
      <c r="DR2348" s="496" t="s">
        <v>689</v>
      </c>
      <c r="DS2348" s="496" t="s">
        <v>5593</v>
      </c>
      <c r="DT2348" s="496" t="s">
        <v>5593</v>
      </c>
      <c r="DU2348" s="496" t="s">
        <v>1554</v>
      </c>
      <c r="DV2348" s="496" t="s">
        <v>1555</v>
      </c>
      <c r="DW2348" s="496" t="s">
        <v>1556</v>
      </c>
      <c r="DX2348" s="497" t="s">
        <v>5258</v>
      </c>
      <c r="DZ2348" s="543">
        <v>1</v>
      </c>
      <c r="EB2348" s="493"/>
      <c r="EC2348" s="493"/>
    </row>
    <row r="2349" spans="119:133" ht="21" customHeight="1">
      <c r="DO2349" s="494"/>
      <c r="DP2349" s="496" t="s">
        <v>5594</v>
      </c>
      <c r="DQ2349" s="496" t="s">
        <v>15</v>
      </c>
      <c r="DR2349" s="496" t="s">
        <v>689</v>
      </c>
      <c r="DS2349" s="496" t="s">
        <v>5595</v>
      </c>
      <c r="DT2349" s="496" t="s">
        <v>5595</v>
      </c>
      <c r="DU2349" s="496" t="s">
        <v>1554</v>
      </c>
      <c r="DV2349" s="496" t="s">
        <v>1555</v>
      </c>
      <c r="DW2349" s="496" t="s">
        <v>1556</v>
      </c>
      <c r="DX2349" s="497" t="s">
        <v>5258</v>
      </c>
      <c r="DZ2349" s="543">
        <v>1</v>
      </c>
      <c r="EB2349" s="493"/>
      <c r="EC2349" s="493"/>
    </row>
    <row r="2350" spans="119:133" ht="21" customHeight="1">
      <c r="DO2350" s="494"/>
      <c r="DP2350" s="496" t="s">
        <v>5596</v>
      </c>
      <c r="DQ2350" s="496" t="s">
        <v>15</v>
      </c>
      <c r="DR2350" s="496" t="s">
        <v>689</v>
      </c>
      <c r="DS2350" s="496" t="s">
        <v>5597</v>
      </c>
      <c r="DT2350" s="496" t="s">
        <v>5597</v>
      </c>
      <c r="DU2350" s="496" t="s">
        <v>1554</v>
      </c>
      <c r="DV2350" s="496" t="s">
        <v>1555</v>
      </c>
      <c r="DW2350" s="496" t="s">
        <v>1556</v>
      </c>
      <c r="DX2350" s="497" t="s">
        <v>5258</v>
      </c>
      <c r="DZ2350" s="543">
        <v>1</v>
      </c>
      <c r="EB2350" s="493"/>
      <c r="EC2350" s="493"/>
    </row>
    <row r="2351" spans="119:133" ht="21" customHeight="1">
      <c r="DO2351" s="494"/>
      <c r="DP2351" s="496" t="s">
        <v>5598</v>
      </c>
      <c r="DQ2351" s="496" t="s">
        <v>15</v>
      </c>
      <c r="DR2351" s="496" t="s">
        <v>689</v>
      </c>
      <c r="DS2351" s="496" t="s">
        <v>5599</v>
      </c>
      <c r="DT2351" s="496" t="s">
        <v>5599</v>
      </c>
      <c r="DU2351" s="496" t="s">
        <v>1554</v>
      </c>
      <c r="DV2351" s="496" t="s">
        <v>1555</v>
      </c>
      <c r="DW2351" s="496" t="s">
        <v>1556</v>
      </c>
      <c r="DX2351" s="497" t="s">
        <v>5258</v>
      </c>
      <c r="DZ2351" s="543">
        <v>1</v>
      </c>
      <c r="EB2351" s="493"/>
      <c r="EC2351" s="493"/>
    </row>
    <row r="2352" spans="119:133" ht="21" customHeight="1">
      <c r="DO2352" s="494"/>
      <c r="DP2352" s="496" t="s">
        <v>5600</v>
      </c>
      <c r="DQ2352" s="496" t="s">
        <v>15</v>
      </c>
      <c r="DR2352" s="496" t="s">
        <v>689</v>
      </c>
      <c r="DS2352" s="496" t="s">
        <v>197</v>
      </c>
      <c r="DT2352" s="496" t="s">
        <v>197</v>
      </c>
      <c r="DU2352" s="496" t="s">
        <v>1085</v>
      </c>
      <c r="DV2352" s="496" t="s">
        <v>5284</v>
      </c>
      <c r="DW2352" s="496" t="s">
        <v>1087</v>
      </c>
      <c r="DX2352" s="497" t="s">
        <v>1088</v>
      </c>
      <c r="DZ2352" s="543">
        <v>1</v>
      </c>
      <c r="EB2352" s="493"/>
      <c r="EC2352" s="493"/>
    </row>
    <row r="2353" spans="119:133" ht="21" customHeight="1">
      <c r="DO2353" s="494"/>
      <c r="DP2353" s="496" t="s">
        <v>5601</v>
      </c>
      <c r="DQ2353" s="496" t="s">
        <v>15</v>
      </c>
      <c r="DR2353" s="496" t="s">
        <v>689</v>
      </c>
      <c r="DS2353" s="496" t="s">
        <v>5602</v>
      </c>
      <c r="DT2353" s="496" t="s">
        <v>5602</v>
      </c>
      <c r="DU2353" s="496" t="s">
        <v>1554</v>
      </c>
      <c r="DV2353" s="496" t="s">
        <v>1555</v>
      </c>
      <c r="DW2353" s="496" t="s">
        <v>1556</v>
      </c>
      <c r="DX2353" s="497" t="s">
        <v>5258</v>
      </c>
      <c r="DZ2353" s="543">
        <v>1</v>
      </c>
      <c r="EB2353" s="493"/>
      <c r="EC2353" s="493"/>
    </row>
    <row r="2354" spans="119:133" ht="21" customHeight="1">
      <c r="DO2354" s="494"/>
      <c r="DP2354" s="496" t="s">
        <v>5603</v>
      </c>
      <c r="DQ2354" s="496" t="s">
        <v>15</v>
      </c>
      <c r="DR2354" s="496" t="s">
        <v>689</v>
      </c>
      <c r="DS2354" s="496" t="s">
        <v>149</v>
      </c>
      <c r="DT2354" s="496" t="s">
        <v>149</v>
      </c>
      <c r="DU2354" s="496" t="s">
        <v>1554</v>
      </c>
      <c r="DV2354" s="496" t="s">
        <v>1555</v>
      </c>
      <c r="DW2354" s="496" t="s">
        <v>1556</v>
      </c>
      <c r="DX2354" s="497" t="s">
        <v>5258</v>
      </c>
      <c r="DZ2354" s="543">
        <v>1</v>
      </c>
      <c r="EB2354" s="493"/>
      <c r="EC2354" s="493"/>
    </row>
    <row r="2355" spans="119:133" ht="21" customHeight="1">
      <c r="DO2355" s="494"/>
      <c r="DP2355" s="496" t="s">
        <v>5604</v>
      </c>
      <c r="DQ2355" s="496" t="s">
        <v>15</v>
      </c>
      <c r="DR2355" s="496" t="s">
        <v>689</v>
      </c>
      <c r="DS2355" s="496" t="s">
        <v>157</v>
      </c>
      <c r="DT2355" s="496" t="s">
        <v>157</v>
      </c>
      <c r="DU2355" s="496" t="s">
        <v>1085</v>
      </c>
      <c r="DV2355" s="496" t="s">
        <v>5284</v>
      </c>
      <c r="DW2355" s="496" t="s">
        <v>1087</v>
      </c>
      <c r="DX2355" s="497" t="s">
        <v>1088</v>
      </c>
      <c r="DZ2355" s="543">
        <v>1</v>
      </c>
      <c r="EB2355" s="493"/>
      <c r="EC2355" s="493"/>
    </row>
    <row r="2356" spans="119:133" ht="21" customHeight="1">
      <c r="DO2356" s="494"/>
      <c r="DP2356" s="496" t="s">
        <v>5605</v>
      </c>
      <c r="DQ2356" s="496" t="s">
        <v>15</v>
      </c>
      <c r="DR2356" s="496" t="s">
        <v>689</v>
      </c>
      <c r="DS2356" s="496" t="s">
        <v>5606</v>
      </c>
      <c r="DT2356" s="496" t="s">
        <v>5606</v>
      </c>
      <c r="DU2356" s="496" t="s">
        <v>1554</v>
      </c>
      <c r="DV2356" s="496" t="s">
        <v>1555</v>
      </c>
      <c r="DW2356" s="496" t="s">
        <v>1556</v>
      </c>
      <c r="DX2356" s="497" t="s">
        <v>5258</v>
      </c>
      <c r="DZ2356" s="543">
        <v>1</v>
      </c>
      <c r="EB2356" s="493"/>
      <c r="EC2356" s="493"/>
    </row>
    <row r="2357" spans="119:133" ht="21" customHeight="1">
      <c r="DO2357" s="494"/>
      <c r="DP2357" s="496" t="s">
        <v>5607</v>
      </c>
      <c r="DQ2357" s="496" t="s">
        <v>15</v>
      </c>
      <c r="DR2357" s="496" t="s">
        <v>689</v>
      </c>
      <c r="DS2357" s="496" t="s">
        <v>5608</v>
      </c>
      <c r="DT2357" s="496" t="s">
        <v>5608</v>
      </c>
      <c r="DU2357" s="496" t="s">
        <v>1554</v>
      </c>
      <c r="DV2357" s="496" t="s">
        <v>1555</v>
      </c>
      <c r="DW2357" s="496" t="s">
        <v>1556</v>
      </c>
      <c r="DX2357" s="497" t="s">
        <v>5258</v>
      </c>
      <c r="DZ2357" s="543">
        <v>1</v>
      </c>
      <c r="EB2357" s="493"/>
      <c r="EC2357" s="493"/>
    </row>
    <row r="2358" spans="119:133" ht="21" customHeight="1">
      <c r="DO2358" s="494"/>
      <c r="DP2358" s="496" t="s">
        <v>5609</v>
      </c>
      <c r="DQ2358" s="496" t="s">
        <v>15</v>
      </c>
      <c r="DR2358" s="496" t="s">
        <v>689</v>
      </c>
      <c r="DS2358" s="496" t="s">
        <v>5610</v>
      </c>
      <c r="DT2358" s="496" t="s">
        <v>5610</v>
      </c>
      <c r="DU2358" s="496" t="s">
        <v>1554</v>
      </c>
      <c r="DV2358" s="496" t="s">
        <v>1555</v>
      </c>
      <c r="DW2358" s="496" t="s">
        <v>1556</v>
      </c>
      <c r="DX2358" s="497" t="s">
        <v>5258</v>
      </c>
      <c r="DZ2358" s="543">
        <v>1</v>
      </c>
      <c r="EB2358" s="493"/>
      <c r="EC2358" s="493"/>
    </row>
    <row r="2359" spans="119:133" ht="21" customHeight="1">
      <c r="DO2359" s="494"/>
      <c r="DP2359" s="496" t="s">
        <v>5611</v>
      </c>
      <c r="DQ2359" s="496" t="s">
        <v>15</v>
      </c>
      <c r="DR2359" s="496" t="s">
        <v>689</v>
      </c>
      <c r="DS2359" s="496" t="s">
        <v>5612</v>
      </c>
      <c r="DT2359" s="496" t="s">
        <v>5612</v>
      </c>
      <c r="DU2359" s="496" t="s">
        <v>1554</v>
      </c>
      <c r="DV2359" s="496" t="s">
        <v>1555</v>
      </c>
      <c r="DW2359" s="496" t="s">
        <v>1556</v>
      </c>
      <c r="DX2359" s="497" t="s">
        <v>5258</v>
      </c>
      <c r="DZ2359" s="543">
        <v>1</v>
      </c>
      <c r="EB2359" s="493"/>
      <c r="EC2359" s="493"/>
    </row>
    <row r="2360" spans="119:133" ht="21" customHeight="1">
      <c r="DO2360" s="494"/>
      <c r="DP2360" s="496" t="s">
        <v>5613</v>
      </c>
      <c r="DQ2360" s="496" t="s">
        <v>15</v>
      </c>
      <c r="DR2360" s="496" t="s">
        <v>689</v>
      </c>
      <c r="DS2360" s="496" t="s">
        <v>5614</v>
      </c>
      <c r="DT2360" s="496" t="s">
        <v>5614</v>
      </c>
      <c r="DU2360" s="496" t="s">
        <v>1554</v>
      </c>
      <c r="DV2360" s="496" t="s">
        <v>1555</v>
      </c>
      <c r="DW2360" s="496" t="s">
        <v>1556</v>
      </c>
      <c r="DX2360" s="497" t="s">
        <v>5258</v>
      </c>
      <c r="DZ2360" s="543">
        <v>1</v>
      </c>
      <c r="EB2360" s="493"/>
      <c r="EC2360" s="493"/>
    </row>
    <row r="2361" spans="119:133" ht="21" customHeight="1">
      <c r="DO2361" s="494"/>
      <c r="DP2361" s="496" t="s">
        <v>5615</v>
      </c>
      <c r="DQ2361" s="496" t="s">
        <v>15</v>
      </c>
      <c r="DR2361" s="496" t="s">
        <v>689</v>
      </c>
      <c r="DS2361" s="496" t="s">
        <v>5616</v>
      </c>
      <c r="DT2361" s="496" t="s">
        <v>5616</v>
      </c>
      <c r="DU2361" s="496" t="s">
        <v>1085</v>
      </c>
      <c r="DV2361" s="496" t="s">
        <v>5284</v>
      </c>
      <c r="DW2361" s="496" t="s">
        <v>1087</v>
      </c>
      <c r="DX2361" s="497" t="s">
        <v>1088</v>
      </c>
      <c r="DZ2361" s="543">
        <v>1</v>
      </c>
      <c r="EB2361" s="493"/>
      <c r="EC2361" s="493"/>
    </row>
    <row r="2362" spans="119:133" ht="21" customHeight="1">
      <c r="DO2362" s="494"/>
      <c r="DP2362" s="496" t="s">
        <v>5617</v>
      </c>
      <c r="DQ2362" s="496" t="s">
        <v>15</v>
      </c>
      <c r="DR2362" s="496" t="s">
        <v>689</v>
      </c>
      <c r="DS2362" s="496" t="s">
        <v>5618</v>
      </c>
      <c r="DT2362" s="496" t="s">
        <v>5618</v>
      </c>
      <c r="DU2362" s="496" t="s">
        <v>1554</v>
      </c>
      <c r="DV2362" s="496" t="s">
        <v>1555</v>
      </c>
      <c r="DW2362" s="496" t="s">
        <v>1556</v>
      </c>
      <c r="DX2362" s="497" t="s">
        <v>5258</v>
      </c>
      <c r="DZ2362" s="543">
        <v>1</v>
      </c>
      <c r="EB2362" s="493"/>
      <c r="EC2362" s="493"/>
    </row>
    <row r="2363" spans="119:133" ht="21" customHeight="1">
      <c r="DO2363" s="494"/>
      <c r="DP2363" s="496" t="s">
        <v>5619</v>
      </c>
      <c r="DQ2363" s="496" t="s">
        <v>15</v>
      </c>
      <c r="DR2363" s="496" t="s">
        <v>689</v>
      </c>
      <c r="DS2363" s="496" t="s">
        <v>210</v>
      </c>
      <c r="DT2363" s="496" t="s">
        <v>210</v>
      </c>
      <c r="DU2363" s="496" t="s">
        <v>1085</v>
      </c>
      <c r="DV2363" s="496" t="s">
        <v>5284</v>
      </c>
      <c r="DW2363" s="496" t="s">
        <v>1087</v>
      </c>
      <c r="DX2363" s="497" t="s">
        <v>1088</v>
      </c>
      <c r="DZ2363" s="543">
        <v>1</v>
      </c>
      <c r="EB2363" s="493"/>
      <c r="EC2363" s="493"/>
    </row>
    <row r="2364" spans="119:133" ht="21" customHeight="1">
      <c r="DO2364" s="494"/>
      <c r="DP2364" s="496" t="s">
        <v>5620</v>
      </c>
      <c r="DQ2364" s="496" t="s">
        <v>15</v>
      </c>
      <c r="DR2364" s="496" t="s">
        <v>689</v>
      </c>
      <c r="DS2364" s="496" t="s">
        <v>5621</v>
      </c>
      <c r="DT2364" s="496" t="s">
        <v>5621</v>
      </c>
      <c r="DU2364" s="496" t="s">
        <v>1554</v>
      </c>
      <c r="DV2364" s="496" t="s">
        <v>1555</v>
      </c>
      <c r="DW2364" s="496" t="s">
        <v>1556</v>
      </c>
      <c r="DX2364" s="497" t="s">
        <v>5258</v>
      </c>
      <c r="DZ2364" s="543">
        <v>1</v>
      </c>
      <c r="EB2364" s="493"/>
      <c r="EC2364" s="493"/>
    </row>
    <row r="2365" spans="119:133" ht="21" customHeight="1">
      <c r="DO2365" s="494"/>
      <c r="DP2365" s="496" t="s">
        <v>5622</v>
      </c>
      <c r="DQ2365" s="496" t="s">
        <v>15</v>
      </c>
      <c r="DR2365" s="496" t="s">
        <v>689</v>
      </c>
      <c r="DS2365" s="496" t="s">
        <v>5623</v>
      </c>
      <c r="DT2365" s="496" t="s">
        <v>5624</v>
      </c>
      <c r="DU2365" s="496" t="s">
        <v>1085</v>
      </c>
      <c r="DV2365" s="496" t="s">
        <v>5284</v>
      </c>
      <c r="DW2365" s="496" t="s">
        <v>1087</v>
      </c>
      <c r="DX2365" s="497" t="s">
        <v>1088</v>
      </c>
      <c r="DZ2365" s="543">
        <v>1</v>
      </c>
      <c r="EB2365" s="493"/>
      <c r="EC2365" s="493"/>
    </row>
    <row r="2366" spans="119:133" ht="21" customHeight="1">
      <c r="DO2366" s="494"/>
      <c r="DP2366" s="496" t="s">
        <v>5625</v>
      </c>
      <c r="DQ2366" s="496" t="s">
        <v>15</v>
      </c>
      <c r="DR2366" s="496" t="s">
        <v>689</v>
      </c>
      <c r="DS2366" s="496" t="s">
        <v>5626</v>
      </c>
      <c r="DT2366" s="496" t="s">
        <v>5627</v>
      </c>
      <c r="DU2366" s="496" t="s">
        <v>1085</v>
      </c>
      <c r="DV2366" s="496" t="s">
        <v>5284</v>
      </c>
      <c r="DW2366" s="496" t="s">
        <v>1087</v>
      </c>
      <c r="DX2366" s="497" t="s">
        <v>1088</v>
      </c>
      <c r="DZ2366" s="543">
        <v>1</v>
      </c>
      <c r="EB2366" s="493"/>
      <c r="EC2366" s="493"/>
    </row>
    <row r="2367" spans="119:133" ht="21" customHeight="1">
      <c r="DO2367" s="494"/>
      <c r="DP2367" s="496" t="s">
        <v>5628</v>
      </c>
      <c r="DQ2367" s="496" t="s">
        <v>15</v>
      </c>
      <c r="DR2367" s="496" t="s">
        <v>689</v>
      </c>
      <c r="DS2367" s="496" t="s">
        <v>5629</v>
      </c>
      <c r="DT2367" s="496" t="s">
        <v>5629</v>
      </c>
      <c r="DU2367" s="496" t="s">
        <v>1554</v>
      </c>
      <c r="DV2367" s="496" t="s">
        <v>1555</v>
      </c>
      <c r="DW2367" s="496" t="s">
        <v>1556</v>
      </c>
      <c r="DX2367" s="497" t="s">
        <v>5258</v>
      </c>
      <c r="DZ2367" s="543">
        <v>1</v>
      </c>
      <c r="EB2367" s="493"/>
      <c r="EC2367" s="493"/>
    </row>
    <row r="2368" spans="119:133" ht="21" customHeight="1">
      <c r="DO2368" s="494"/>
      <c r="DP2368" s="496" t="s">
        <v>5630</v>
      </c>
      <c r="DQ2368" s="496" t="s">
        <v>15</v>
      </c>
      <c r="DR2368" s="496" t="s">
        <v>689</v>
      </c>
      <c r="DS2368" s="496" t="s">
        <v>340</v>
      </c>
      <c r="DT2368" s="496" t="s">
        <v>340</v>
      </c>
      <c r="DU2368" s="496" t="s">
        <v>1151</v>
      </c>
      <c r="DV2368" s="496" t="s">
        <v>1152</v>
      </c>
      <c r="DW2368" s="496" t="s">
        <v>1087</v>
      </c>
      <c r="DX2368" s="497" t="s">
        <v>1153</v>
      </c>
      <c r="DZ2368" s="543">
        <v>1</v>
      </c>
      <c r="EB2368" s="493"/>
      <c r="EC2368" s="493"/>
    </row>
    <row r="2369" spans="119:133" ht="21" customHeight="1">
      <c r="DO2369" s="494"/>
      <c r="DP2369" s="496" t="s">
        <v>5631</v>
      </c>
      <c r="DQ2369" s="496" t="s">
        <v>15</v>
      </c>
      <c r="DR2369" s="496" t="s">
        <v>689</v>
      </c>
      <c r="DS2369" s="496" t="s">
        <v>341</v>
      </c>
      <c r="DT2369" s="496" t="s">
        <v>341</v>
      </c>
      <c r="DU2369" s="496" t="s">
        <v>1151</v>
      </c>
      <c r="DV2369" s="496" t="s">
        <v>1152</v>
      </c>
      <c r="DW2369" s="496" t="s">
        <v>1087</v>
      </c>
      <c r="DX2369" s="497" t="s">
        <v>1153</v>
      </c>
      <c r="DZ2369" s="543">
        <v>1</v>
      </c>
      <c r="EB2369" s="493"/>
      <c r="EC2369" s="493"/>
    </row>
    <row r="2370" spans="119:133" ht="21" customHeight="1">
      <c r="DO2370" s="494"/>
      <c r="DP2370" s="496" t="s">
        <v>5632</v>
      </c>
      <c r="DQ2370" s="496" t="s">
        <v>15</v>
      </c>
      <c r="DR2370" s="496" t="s">
        <v>689</v>
      </c>
      <c r="DS2370" s="496" t="s">
        <v>188</v>
      </c>
      <c r="DT2370" s="496" t="s">
        <v>188</v>
      </c>
      <c r="DU2370" s="496" t="s">
        <v>1554</v>
      </c>
      <c r="DV2370" s="496" t="s">
        <v>1555</v>
      </c>
      <c r="DW2370" s="496" t="s">
        <v>1556</v>
      </c>
      <c r="DX2370" s="497" t="s">
        <v>5258</v>
      </c>
      <c r="DZ2370" s="543">
        <v>1</v>
      </c>
      <c r="EB2370" s="493"/>
      <c r="EC2370" s="493"/>
    </row>
    <row r="2371" spans="119:133" ht="21" customHeight="1">
      <c r="DO2371" s="494"/>
      <c r="DP2371" s="496" t="s">
        <v>5633</v>
      </c>
      <c r="DQ2371" s="496" t="s">
        <v>15</v>
      </c>
      <c r="DR2371" s="496" t="s">
        <v>689</v>
      </c>
      <c r="DS2371" s="496" t="s">
        <v>5634</v>
      </c>
      <c r="DT2371" s="496" t="s">
        <v>5634</v>
      </c>
      <c r="DU2371" s="496" t="s">
        <v>1554</v>
      </c>
      <c r="DV2371" s="496" t="s">
        <v>1555</v>
      </c>
      <c r="DW2371" s="496" t="s">
        <v>1556</v>
      </c>
      <c r="DX2371" s="497" t="s">
        <v>5258</v>
      </c>
      <c r="DZ2371" s="543">
        <v>1</v>
      </c>
      <c r="EB2371" s="493"/>
      <c r="EC2371" s="493"/>
    </row>
    <row r="2372" spans="119:133" ht="21" customHeight="1">
      <c r="DO2372" s="494"/>
      <c r="DP2372" s="496" t="s">
        <v>5635</v>
      </c>
      <c r="DQ2372" s="496" t="s">
        <v>15</v>
      </c>
      <c r="DR2372" s="496" t="s">
        <v>689</v>
      </c>
      <c r="DS2372" s="496" t="s">
        <v>5636</v>
      </c>
      <c r="DT2372" s="496" t="s">
        <v>5636</v>
      </c>
      <c r="DU2372" s="496" t="s">
        <v>1554</v>
      </c>
      <c r="DV2372" s="496" t="s">
        <v>1555</v>
      </c>
      <c r="DW2372" s="496" t="s">
        <v>1556</v>
      </c>
      <c r="DX2372" s="497" t="s">
        <v>5258</v>
      </c>
      <c r="DZ2372" s="543">
        <v>1</v>
      </c>
      <c r="EB2372" s="493"/>
      <c r="EC2372" s="493"/>
    </row>
    <row r="2373" spans="119:133" ht="21" customHeight="1">
      <c r="DO2373" s="494"/>
      <c r="DP2373" s="496" t="s">
        <v>5637</v>
      </c>
      <c r="DQ2373" s="496" t="s">
        <v>15</v>
      </c>
      <c r="DR2373" s="496" t="s">
        <v>689</v>
      </c>
      <c r="DS2373" s="496" t="s">
        <v>5638</v>
      </c>
      <c r="DT2373" s="496" t="s">
        <v>5638</v>
      </c>
      <c r="DU2373" s="496" t="s">
        <v>1554</v>
      </c>
      <c r="DV2373" s="496" t="s">
        <v>1555</v>
      </c>
      <c r="DW2373" s="496" t="s">
        <v>1556</v>
      </c>
      <c r="DX2373" s="497" t="s">
        <v>5258</v>
      </c>
      <c r="DZ2373" s="543">
        <v>1</v>
      </c>
      <c r="EB2373" s="493"/>
      <c r="EC2373" s="493"/>
    </row>
    <row r="2374" spans="119:133" ht="21" customHeight="1">
      <c r="DO2374" s="494"/>
      <c r="DP2374" s="496" t="s">
        <v>5639</v>
      </c>
      <c r="DQ2374" s="496" t="s">
        <v>15</v>
      </c>
      <c r="DR2374" s="496" t="s">
        <v>689</v>
      </c>
      <c r="DS2374" s="496" t="s">
        <v>5640</v>
      </c>
      <c r="DT2374" s="496" t="s">
        <v>5640</v>
      </c>
      <c r="DU2374" s="496" t="s">
        <v>1554</v>
      </c>
      <c r="DV2374" s="496" t="s">
        <v>1555</v>
      </c>
      <c r="DW2374" s="496" t="s">
        <v>1556</v>
      </c>
      <c r="DX2374" s="497" t="s">
        <v>5258</v>
      </c>
      <c r="DZ2374" s="543">
        <v>1</v>
      </c>
      <c r="EB2374" s="493"/>
      <c r="EC2374" s="493"/>
    </row>
    <row r="2375" spans="119:133" ht="21" customHeight="1">
      <c r="DO2375" s="494"/>
      <c r="DP2375" s="496" t="s">
        <v>5641</v>
      </c>
      <c r="DQ2375" s="496" t="s">
        <v>15</v>
      </c>
      <c r="DR2375" s="496" t="s">
        <v>689</v>
      </c>
      <c r="DS2375" s="496" t="s">
        <v>5642</v>
      </c>
      <c r="DT2375" s="496" t="s">
        <v>5642</v>
      </c>
      <c r="DU2375" s="496" t="s">
        <v>1554</v>
      </c>
      <c r="DV2375" s="496" t="s">
        <v>1555</v>
      </c>
      <c r="DW2375" s="496" t="s">
        <v>1556</v>
      </c>
      <c r="DX2375" s="497" t="s">
        <v>5258</v>
      </c>
      <c r="DZ2375" s="543">
        <v>1</v>
      </c>
      <c r="EB2375" s="493"/>
      <c r="EC2375" s="493"/>
    </row>
    <row r="2376" spans="119:133" ht="21" customHeight="1">
      <c r="DO2376" s="494"/>
      <c r="DP2376" s="496" t="s">
        <v>5643</v>
      </c>
      <c r="DQ2376" s="496" t="s">
        <v>15</v>
      </c>
      <c r="DR2376" s="496" t="s">
        <v>689</v>
      </c>
      <c r="DS2376" s="496" t="s">
        <v>191</v>
      </c>
      <c r="DT2376" s="496" t="s">
        <v>191</v>
      </c>
      <c r="DU2376" s="496" t="s">
        <v>1085</v>
      </c>
      <c r="DV2376" s="496" t="s">
        <v>5284</v>
      </c>
      <c r="DW2376" s="496" t="s">
        <v>1087</v>
      </c>
      <c r="DX2376" s="497" t="s">
        <v>1088</v>
      </c>
      <c r="DZ2376" s="543">
        <v>1</v>
      </c>
      <c r="EB2376" s="493"/>
      <c r="EC2376" s="493"/>
    </row>
    <row r="2377" spans="119:133" ht="21" customHeight="1">
      <c r="DO2377" s="494"/>
      <c r="DP2377" s="496" t="s">
        <v>5644</v>
      </c>
      <c r="DQ2377" s="496" t="s">
        <v>15</v>
      </c>
      <c r="DR2377" s="496" t="s">
        <v>689</v>
      </c>
      <c r="DS2377" s="496" t="s">
        <v>5645</v>
      </c>
      <c r="DT2377" s="496" t="s">
        <v>5645</v>
      </c>
      <c r="DU2377" s="496" t="s">
        <v>1554</v>
      </c>
      <c r="DV2377" s="496" t="s">
        <v>1555</v>
      </c>
      <c r="DW2377" s="496" t="s">
        <v>1556</v>
      </c>
      <c r="DX2377" s="497" t="s">
        <v>5258</v>
      </c>
      <c r="DZ2377" s="543">
        <v>1</v>
      </c>
      <c r="EB2377" s="493"/>
      <c r="EC2377" s="493"/>
    </row>
    <row r="2378" spans="119:133" ht="21" customHeight="1">
      <c r="DO2378" s="494"/>
      <c r="DP2378" s="496" t="s">
        <v>5646</v>
      </c>
      <c r="DQ2378" s="496" t="s">
        <v>15</v>
      </c>
      <c r="DR2378" s="496" t="s">
        <v>689</v>
      </c>
      <c r="DS2378" s="496" t="s">
        <v>5647</v>
      </c>
      <c r="DT2378" s="496" t="s">
        <v>5647</v>
      </c>
      <c r="DU2378" s="496" t="s">
        <v>1554</v>
      </c>
      <c r="DV2378" s="496" t="s">
        <v>1555</v>
      </c>
      <c r="DW2378" s="496" t="s">
        <v>1556</v>
      </c>
      <c r="DX2378" s="497" t="s">
        <v>5258</v>
      </c>
      <c r="DZ2378" s="543">
        <v>1</v>
      </c>
      <c r="EB2378" s="493"/>
      <c r="EC2378" s="493"/>
    </row>
    <row r="2379" spans="119:133" ht="21" customHeight="1">
      <c r="DO2379" s="494"/>
      <c r="DP2379" s="496" t="s">
        <v>5648</v>
      </c>
      <c r="DQ2379" s="496" t="s">
        <v>15</v>
      </c>
      <c r="DR2379" s="496" t="s">
        <v>689</v>
      </c>
      <c r="DS2379" s="496" t="s">
        <v>5649</v>
      </c>
      <c r="DT2379" s="496" t="s">
        <v>5649</v>
      </c>
      <c r="DU2379" s="496" t="s">
        <v>1554</v>
      </c>
      <c r="DV2379" s="496" t="s">
        <v>1555</v>
      </c>
      <c r="DW2379" s="496" t="s">
        <v>1556</v>
      </c>
      <c r="DX2379" s="497" t="s">
        <v>5258</v>
      </c>
      <c r="DZ2379" s="543">
        <v>1</v>
      </c>
      <c r="EB2379" s="493"/>
      <c r="EC2379" s="493"/>
    </row>
    <row r="2380" spans="119:133" ht="21" customHeight="1">
      <c r="DO2380" s="494"/>
      <c r="DP2380" s="496" t="s">
        <v>5650</v>
      </c>
      <c r="DQ2380" s="496" t="s">
        <v>15</v>
      </c>
      <c r="DR2380" s="496" t="s">
        <v>689</v>
      </c>
      <c r="DS2380" s="496" t="s">
        <v>5651</v>
      </c>
      <c r="DT2380" s="496" t="s">
        <v>5651</v>
      </c>
      <c r="DU2380" s="496" t="s">
        <v>1554</v>
      </c>
      <c r="DV2380" s="496" t="s">
        <v>1555</v>
      </c>
      <c r="DW2380" s="496" t="s">
        <v>1556</v>
      </c>
      <c r="DX2380" s="497" t="s">
        <v>5258</v>
      </c>
      <c r="DZ2380" s="543">
        <v>1</v>
      </c>
      <c r="EB2380" s="493"/>
      <c r="EC2380" s="493"/>
    </row>
    <row r="2381" spans="119:133" ht="21" customHeight="1">
      <c r="DO2381" s="494"/>
      <c r="DP2381" s="496" t="s">
        <v>5652</v>
      </c>
      <c r="DQ2381" s="496" t="s">
        <v>15</v>
      </c>
      <c r="DR2381" s="496" t="s">
        <v>689</v>
      </c>
      <c r="DS2381" s="496" t="s">
        <v>5653</v>
      </c>
      <c r="DT2381" s="496" t="s">
        <v>5653</v>
      </c>
      <c r="DU2381" s="496" t="s">
        <v>1554</v>
      </c>
      <c r="DV2381" s="496" t="s">
        <v>1555</v>
      </c>
      <c r="DW2381" s="496" t="s">
        <v>1556</v>
      </c>
      <c r="DX2381" s="497" t="s">
        <v>5258</v>
      </c>
      <c r="DZ2381" s="543">
        <v>1</v>
      </c>
      <c r="EB2381" s="493"/>
      <c r="EC2381" s="493"/>
    </row>
    <row r="2382" spans="119:133" ht="21" customHeight="1">
      <c r="DO2382" s="494"/>
      <c r="DP2382" s="496" t="s">
        <v>5654</v>
      </c>
      <c r="DQ2382" s="496" t="s">
        <v>15</v>
      </c>
      <c r="DR2382" s="496" t="s">
        <v>689</v>
      </c>
      <c r="DS2382" s="496" t="s">
        <v>342</v>
      </c>
      <c r="DT2382" s="496" t="s">
        <v>342</v>
      </c>
      <c r="DU2382" s="496" t="s">
        <v>1151</v>
      </c>
      <c r="DV2382" s="496" t="s">
        <v>1152</v>
      </c>
      <c r="DW2382" s="496" t="s">
        <v>1087</v>
      </c>
      <c r="DX2382" s="497" t="s">
        <v>1153</v>
      </c>
      <c r="DZ2382" s="543">
        <v>1</v>
      </c>
      <c r="EB2382" s="493"/>
      <c r="EC2382" s="493"/>
    </row>
    <row r="2383" spans="119:133" ht="21" customHeight="1">
      <c r="DO2383" s="494"/>
      <c r="DP2383" s="496" t="s">
        <v>5655</v>
      </c>
      <c r="DQ2383" s="496" t="s">
        <v>15</v>
      </c>
      <c r="DR2383" s="496" t="s">
        <v>689</v>
      </c>
      <c r="DS2383" s="496" t="s">
        <v>5656</v>
      </c>
      <c r="DT2383" s="496" t="s">
        <v>5656</v>
      </c>
      <c r="DU2383" s="496" t="s">
        <v>1554</v>
      </c>
      <c r="DV2383" s="496" t="s">
        <v>1555</v>
      </c>
      <c r="DW2383" s="496" t="s">
        <v>1556</v>
      </c>
      <c r="DX2383" s="497" t="s">
        <v>5258</v>
      </c>
      <c r="DZ2383" s="543">
        <v>1</v>
      </c>
      <c r="EB2383" s="493"/>
      <c r="EC2383" s="493"/>
    </row>
    <row r="2384" spans="119:133" ht="21" customHeight="1">
      <c r="DO2384" s="494"/>
      <c r="DP2384" s="496" t="s">
        <v>5657</v>
      </c>
      <c r="DQ2384" s="496" t="s">
        <v>15</v>
      </c>
      <c r="DR2384" s="496" t="s">
        <v>689</v>
      </c>
      <c r="DS2384" s="496" t="s">
        <v>5658</v>
      </c>
      <c r="DT2384" s="496" t="s">
        <v>5658</v>
      </c>
      <c r="DU2384" s="496" t="s">
        <v>1554</v>
      </c>
      <c r="DV2384" s="496" t="s">
        <v>1555</v>
      </c>
      <c r="DW2384" s="496" t="s">
        <v>1556</v>
      </c>
      <c r="DX2384" s="497" t="s">
        <v>5258</v>
      </c>
      <c r="DZ2384" s="543">
        <v>1</v>
      </c>
      <c r="EB2384" s="493"/>
      <c r="EC2384" s="493"/>
    </row>
    <row r="2385" spans="119:133" ht="21" customHeight="1">
      <c r="DO2385" s="494"/>
      <c r="DP2385" s="496" t="s">
        <v>5659</v>
      </c>
      <c r="DQ2385" s="496" t="s">
        <v>15</v>
      </c>
      <c r="DR2385" s="496" t="s">
        <v>689</v>
      </c>
      <c r="DS2385" s="496" t="s">
        <v>5660</v>
      </c>
      <c r="DT2385" s="496" t="s">
        <v>5660</v>
      </c>
      <c r="DU2385" s="496" t="s">
        <v>1554</v>
      </c>
      <c r="DV2385" s="496" t="s">
        <v>1555</v>
      </c>
      <c r="DW2385" s="496" t="s">
        <v>1556</v>
      </c>
      <c r="DX2385" s="497" t="s">
        <v>5258</v>
      </c>
      <c r="DZ2385" s="543">
        <v>1</v>
      </c>
      <c r="EB2385" s="493"/>
      <c r="EC2385" s="493"/>
    </row>
    <row r="2386" spans="119:133" ht="21" customHeight="1">
      <c r="DO2386" s="494"/>
      <c r="DP2386" s="496" t="s">
        <v>5661</v>
      </c>
      <c r="DQ2386" s="496" t="s">
        <v>15</v>
      </c>
      <c r="DR2386" s="496" t="s">
        <v>689</v>
      </c>
      <c r="DS2386" s="496" t="s">
        <v>1010</v>
      </c>
      <c r="DT2386" s="496" t="s">
        <v>1010</v>
      </c>
      <c r="DU2386" s="496" t="s">
        <v>1554</v>
      </c>
      <c r="DV2386" s="496" t="s">
        <v>1555</v>
      </c>
      <c r="DW2386" s="496" t="s">
        <v>1556</v>
      </c>
      <c r="DX2386" s="497" t="s">
        <v>5258</v>
      </c>
      <c r="DZ2386" s="543">
        <v>1</v>
      </c>
      <c r="EB2386" s="493"/>
      <c r="EC2386" s="493"/>
    </row>
    <row r="2387" spans="119:133" ht="21" customHeight="1">
      <c r="DO2387" s="494"/>
      <c r="DP2387" s="496" t="s">
        <v>5662</v>
      </c>
      <c r="DQ2387" s="496" t="s">
        <v>15</v>
      </c>
      <c r="DR2387" s="496" t="s">
        <v>689</v>
      </c>
      <c r="DS2387" s="496" t="s">
        <v>1011</v>
      </c>
      <c r="DT2387" s="496" t="s">
        <v>1011</v>
      </c>
      <c r="DU2387" s="496" t="s">
        <v>1085</v>
      </c>
      <c r="DV2387" s="496" t="s">
        <v>5284</v>
      </c>
      <c r="DW2387" s="496" t="s">
        <v>1087</v>
      </c>
      <c r="DX2387" s="497" t="s">
        <v>1088</v>
      </c>
      <c r="DZ2387" s="543">
        <v>1</v>
      </c>
      <c r="EB2387" s="493"/>
      <c r="EC2387" s="493"/>
    </row>
    <row r="2388" spans="119:133" ht="21" customHeight="1">
      <c r="DO2388" s="494"/>
      <c r="DP2388" s="496" t="s">
        <v>5663</v>
      </c>
      <c r="DQ2388" s="496" t="s">
        <v>15</v>
      </c>
      <c r="DR2388" s="496" t="s">
        <v>689</v>
      </c>
      <c r="DS2388" s="496" t="s">
        <v>5664</v>
      </c>
      <c r="DT2388" s="496" t="s">
        <v>5664</v>
      </c>
      <c r="DU2388" s="496" t="s">
        <v>1554</v>
      </c>
      <c r="DV2388" s="496" t="s">
        <v>1555</v>
      </c>
      <c r="DW2388" s="496" t="s">
        <v>1556</v>
      </c>
      <c r="DX2388" s="497" t="s">
        <v>5258</v>
      </c>
      <c r="DZ2388" s="543">
        <v>1</v>
      </c>
      <c r="EB2388" s="493"/>
      <c r="EC2388" s="493"/>
    </row>
    <row r="2389" spans="119:133" ht="21" customHeight="1">
      <c r="DO2389" s="494"/>
      <c r="DP2389" s="496" t="s">
        <v>5665</v>
      </c>
      <c r="DQ2389" s="496" t="s">
        <v>15</v>
      </c>
      <c r="DR2389" s="496" t="s">
        <v>689</v>
      </c>
      <c r="DS2389" s="496" t="s">
        <v>5666</v>
      </c>
      <c r="DT2389" s="496" t="s">
        <v>5666</v>
      </c>
      <c r="DU2389" s="496" t="s">
        <v>1554</v>
      </c>
      <c r="DV2389" s="496" t="s">
        <v>1555</v>
      </c>
      <c r="DW2389" s="496" t="s">
        <v>1556</v>
      </c>
      <c r="DX2389" s="497" t="s">
        <v>5258</v>
      </c>
      <c r="DZ2389" s="543">
        <v>1</v>
      </c>
      <c r="EB2389" s="493"/>
      <c r="EC2389" s="493"/>
    </row>
    <row r="2390" spans="119:133" ht="21" customHeight="1">
      <c r="DO2390" s="494"/>
      <c r="DP2390" s="496" t="s">
        <v>5667</v>
      </c>
      <c r="DQ2390" s="496" t="s">
        <v>15</v>
      </c>
      <c r="DR2390" s="496" t="s">
        <v>689</v>
      </c>
      <c r="DS2390" s="496" t="s">
        <v>5668</v>
      </c>
      <c r="DT2390" s="496" t="s">
        <v>5668</v>
      </c>
      <c r="DU2390" s="496" t="s">
        <v>1554</v>
      </c>
      <c r="DV2390" s="496" t="s">
        <v>1555</v>
      </c>
      <c r="DW2390" s="496" t="s">
        <v>1556</v>
      </c>
      <c r="DX2390" s="497" t="s">
        <v>5258</v>
      </c>
      <c r="DZ2390" s="543">
        <v>1</v>
      </c>
      <c r="EB2390" s="493"/>
      <c r="EC2390" s="493"/>
    </row>
    <row r="2391" spans="119:133" ht="21" customHeight="1">
      <c r="DO2391" s="494"/>
      <c r="DP2391" s="496" t="s">
        <v>5669</v>
      </c>
      <c r="DQ2391" s="496" t="s">
        <v>15</v>
      </c>
      <c r="DR2391" s="496" t="s">
        <v>689</v>
      </c>
      <c r="DS2391" s="496" t="s">
        <v>5670</v>
      </c>
      <c r="DT2391" s="496" t="s">
        <v>5670</v>
      </c>
      <c r="DU2391" s="496" t="s">
        <v>1554</v>
      </c>
      <c r="DV2391" s="496" t="s">
        <v>1555</v>
      </c>
      <c r="DW2391" s="496" t="s">
        <v>1556</v>
      </c>
      <c r="DX2391" s="497" t="s">
        <v>5258</v>
      </c>
      <c r="DZ2391" s="543">
        <v>1</v>
      </c>
      <c r="EB2391" s="493"/>
      <c r="EC2391" s="493"/>
    </row>
    <row r="2392" spans="119:133" ht="21" customHeight="1">
      <c r="DO2392" s="494"/>
      <c r="DP2392" s="496" t="s">
        <v>5671</v>
      </c>
      <c r="DQ2392" s="496" t="s">
        <v>15</v>
      </c>
      <c r="DR2392" s="496" t="s">
        <v>689</v>
      </c>
      <c r="DS2392" s="496" t="s">
        <v>5672</v>
      </c>
      <c r="DT2392" s="496" t="s">
        <v>5672</v>
      </c>
      <c r="DU2392" s="496" t="s">
        <v>1554</v>
      </c>
      <c r="DV2392" s="496" t="s">
        <v>1555</v>
      </c>
      <c r="DW2392" s="496" t="s">
        <v>1556</v>
      </c>
      <c r="DX2392" s="497" t="s">
        <v>5258</v>
      </c>
      <c r="DZ2392" s="543">
        <v>1</v>
      </c>
      <c r="EB2392" s="493"/>
      <c r="EC2392" s="493"/>
    </row>
    <row r="2393" spans="119:133" ht="21" customHeight="1">
      <c r="DO2393" s="494"/>
      <c r="DP2393" s="496" t="s">
        <v>5673</v>
      </c>
      <c r="DQ2393" s="496" t="s">
        <v>15</v>
      </c>
      <c r="DR2393" s="496" t="s">
        <v>689</v>
      </c>
      <c r="DS2393" s="496" t="s">
        <v>5674</v>
      </c>
      <c r="DT2393" s="496" t="s">
        <v>5674</v>
      </c>
      <c r="DU2393" s="496" t="s">
        <v>1554</v>
      </c>
      <c r="DV2393" s="496" t="s">
        <v>1555</v>
      </c>
      <c r="DW2393" s="496" t="s">
        <v>1556</v>
      </c>
      <c r="DX2393" s="497" t="s">
        <v>5258</v>
      </c>
      <c r="DZ2393" s="543">
        <v>1</v>
      </c>
      <c r="EB2393" s="493"/>
      <c r="EC2393" s="493"/>
    </row>
    <row r="2394" spans="119:133" ht="21" customHeight="1">
      <c r="DO2394" s="494"/>
      <c r="DP2394" s="496" t="s">
        <v>5675</v>
      </c>
      <c r="DQ2394" s="496" t="s">
        <v>15</v>
      </c>
      <c r="DR2394" s="496" t="s">
        <v>689</v>
      </c>
      <c r="DS2394" s="496" t="s">
        <v>5676</v>
      </c>
      <c r="DT2394" s="496" t="s">
        <v>5676</v>
      </c>
      <c r="DU2394" s="496" t="s">
        <v>1554</v>
      </c>
      <c r="DV2394" s="496" t="s">
        <v>1555</v>
      </c>
      <c r="DW2394" s="496" t="s">
        <v>1556</v>
      </c>
      <c r="DX2394" s="497" t="s">
        <v>5258</v>
      </c>
      <c r="DZ2394" s="543">
        <v>1</v>
      </c>
      <c r="EB2394" s="493"/>
      <c r="EC2394" s="493"/>
    </row>
    <row r="2395" spans="119:133" ht="21" customHeight="1">
      <c r="DO2395" s="494"/>
      <c r="DP2395" s="496" t="s">
        <v>5677</v>
      </c>
      <c r="DQ2395" s="496" t="s">
        <v>15</v>
      </c>
      <c r="DR2395" s="496" t="s">
        <v>689</v>
      </c>
      <c r="DS2395" s="496" t="s">
        <v>5678</v>
      </c>
      <c r="DT2395" s="496" t="s">
        <v>5678</v>
      </c>
      <c r="DU2395" s="496" t="s">
        <v>1554</v>
      </c>
      <c r="DV2395" s="496" t="s">
        <v>1555</v>
      </c>
      <c r="DW2395" s="496" t="s">
        <v>1556</v>
      </c>
      <c r="DX2395" s="497" t="s">
        <v>5258</v>
      </c>
      <c r="DZ2395" s="543">
        <v>1</v>
      </c>
      <c r="EB2395" s="493"/>
      <c r="EC2395" s="493"/>
    </row>
    <row r="2396" spans="119:133" ht="21" customHeight="1">
      <c r="DO2396" s="494"/>
      <c r="DP2396" s="496" t="s">
        <v>5679</v>
      </c>
      <c r="DQ2396" s="496" t="s">
        <v>15</v>
      </c>
      <c r="DR2396" s="496" t="s">
        <v>689</v>
      </c>
      <c r="DS2396" s="496" t="s">
        <v>5680</v>
      </c>
      <c r="DT2396" s="496" t="s">
        <v>5680</v>
      </c>
      <c r="DU2396" s="496" t="s">
        <v>1554</v>
      </c>
      <c r="DV2396" s="496" t="s">
        <v>1555</v>
      </c>
      <c r="DW2396" s="496" t="s">
        <v>1556</v>
      </c>
      <c r="DX2396" s="497" t="s">
        <v>5258</v>
      </c>
      <c r="DZ2396" s="543">
        <v>1</v>
      </c>
      <c r="EB2396" s="493"/>
      <c r="EC2396" s="493"/>
    </row>
    <row r="2397" spans="119:133" ht="21" customHeight="1">
      <c r="DO2397" s="494"/>
      <c r="DP2397" s="496" t="s">
        <v>5681</v>
      </c>
      <c r="DQ2397" s="496" t="s">
        <v>15</v>
      </c>
      <c r="DR2397" s="496" t="s">
        <v>689</v>
      </c>
      <c r="DS2397" s="496" t="s">
        <v>5682</v>
      </c>
      <c r="DT2397" s="496" t="s">
        <v>5682</v>
      </c>
      <c r="DU2397" s="496" t="s">
        <v>1554</v>
      </c>
      <c r="DV2397" s="496" t="s">
        <v>1555</v>
      </c>
      <c r="DW2397" s="496" t="s">
        <v>1556</v>
      </c>
      <c r="DX2397" s="497" t="s">
        <v>5258</v>
      </c>
      <c r="DZ2397" s="543">
        <v>1</v>
      </c>
      <c r="EB2397" s="493"/>
      <c r="EC2397" s="493"/>
    </row>
    <row r="2398" spans="119:133" ht="21" customHeight="1">
      <c r="DO2398" s="494"/>
      <c r="DP2398" s="496" t="s">
        <v>5683</v>
      </c>
      <c r="DQ2398" s="496" t="s">
        <v>15</v>
      </c>
      <c r="DR2398" s="496" t="s">
        <v>689</v>
      </c>
      <c r="DS2398" s="496" t="s">
        <v>5684</v>
      </c>
      <c r="DT2398" s="496" t="s">
        <v>5684</v>
      </c>
      <c r="DU2398" s="496" t="s">
        <v>1554</v>
      </c>
      <c r="DV2398" s="496" t="s">
        <v>1555</v>
      </c>
      <c r="DW2398" s="496" t="s">
        <v>1556</v>
      </c>
      <c r="DX2398" s="497" t="s">
        <v>5258</v>
      </c>
      <c r="DZ2398" s="543">
        <v>1</v>
      </c>
      <c r="EB2398" s="493"/>
      <c r="EC2398" s="493"/>
    </row>
    <row r="2399" spans="119:133" ht="21" customHeight="1">
      <c r="DO2399" s="494"/>
      <c r="DP2399" s="496" t="s">
        <v>5685</v>
      </c>
      <c r="DQ2399" s="496" t="s">
        <v>15</v>
      </c>
      <c r="DR2399" s="496" t="s">
        <v>689</v>
      </c>
      <c r="DS2399" s="496" t="s">
        <v>5686</v>
      </c>
      <c r="DT2399" s="496" t="s">
        <v>5686</v>
      </c>
      <c r="DU2399" s="496" t="s">
        <v>1554</v>
      </c>
      <c r="DV2399" s="496" t="s">
        <v>1555</v>
      </c>
      <c r="DW2399" s="496" t="s">
        <v>1556</v>
      </c>
      <c r="DX2399" s="497" t="s">
        <v>5258</v>
      </c>
      <c r="DZ2399" s="543">
        <v>1</v>
      </c>
      <c r="EB2399" s="493"/>
      <c r="EC2399" s="493"/>
    </row>
    <row r="2400" spans="119:133" ht="21" customHeight="1">
      <c r="DO2400" s="494"/>
      <c r="DP2400" s="496" t="s">
        <v>5687</v>
      </c>
      <c r="DQ2400" s="496" t="s">
        <v>15</v>
      </c>
      <c r="DR2400" s="496" t="s">
        <v>689</v>
      </c>
      <c r="DS2400" s="496" t="s">
        <v>5688</v>
      </c>
      <c r="DT2400" s="496" t="s">
        <v>5688</v>
      </c>
      <c r="DU2400" s="496" t="s">
        <v>1554</v>
      </c>
      <c r="DV2400" s="496" t="s">
        <v>1555</v>
      </c>
      <c r="DW2400" s="496" t="s">
        <v>1556</v>
      </c>
      <c r="DX2400" s="497" t="s">
        <v>5258</v>
      </c>
      <c r="DZ2400" s="543">
        <v>1</v>
      </c>
      <c r="EB2400" s="493"/>
      <c r="EC2400" s="493"/>
    </row>
    <row r="2401" spans="119:133" ht="21" customHeight="1">
      <c r="DO2401" s="494"/>
      <c r="DP2401" s="496" t="s">
        <v>5689</v>
      </c>
      <c r="DQ2401" s="496" t="s">
        <v>15</v>
      </c>
      <c r="DR2401" s="496" t="s">
        <v>689</v>
      </c>
      <c r="DS2401" s="496" t="s">
        <v>5690</v>
      </c>
      <c r="DT2401" s="496" t="s">
        <v>5690</v>
      </c>
      <c r="DU2401" s="496" t="s">
        <v>1554</v>
      </c>
      <c r="DV2401" s="496" t="s">
        <v>1555</v>
      </c>
      <c r="DW2401" s="496" t="s">
        <v>1556</v>
      </c>
      <c r="DX2401" s="497" t="s">
        <v>5258</v>
      </c>
      <c r="DZ2401" s="543">
        <v>1</v>
      </c>
      <c r="EB2401" s="493"/>
      <c r="EC2401" s="493"/>
    </row>
    <row r="2402" spans="119:133" ht="21" customHeight="1">
      <c r="DO2402" s="494"/>
      <c r="DP2402" s="496" t="s">
        <v>5691</v>
      </c>
      <c r="DQ2402" s="496" t="s">
        <v>15</v>
      </c>
      <c r="DR2402" s="496" t="s">
        <v>689</v>
      </c>
      <c r="DS2402" s="496" t="s">
        <v>5692</v>
      </c>
      <c r="DT2402" s="496" t="s">
        <v>5692</v>
      </c>
      <c r="DU2402" s="496" t="s">
        <v>1151</v>
      </c>
      <c r="DV2402" s="496" t="s">
        <v>1152</v>
      </c>
      <c r="DW2402" s="496" t="s">
        <v>1087</v>
      </c>
      <c r="DX2402" s="497" t="s">
        <v>1153</v>
      </c>
      <c r="DZ2402" s="543">
        <v>1</v>
      </c>
      <c r="EB2402" s="493"/>
      <c r="EC2402" s="493"/>
    </row>
    <row r="2403" spans="119:133" ht="21" customHeight="1">
      <c r="DO2403" s="494"/>
      <c r="DP2403" s="496" t="s">
        <v>5693</v>
      </c>
      <c r="DQ2403" s="496" t="s">
        <v>15</v>
      </c>
      <c r="DR2403" s="496" t="s">
        <v>689</v>
      </c>
      <c r="DS2403" s="496" t="s">
        <v>5694</v>
      </c>
      <c r="DT2403" s="496" t="s">
        <v>5694</v>
      </c>
      <c r="DU2403" s="496" t="s">
        <v>1151</v>
      </c>
      <c r="DV2403" s="496" t="s">
        <v>1152</v>
      </c>
      <c r="DW2403" s="496" t="s">
        <v>1087</v>
      </c>
      <c r="DX2403" s="497" t="s">
        <v>1153</v>
      </c>
      <c r="DZ2403" s="543">
        <v>1</v>
      </c>
      <c r="EB2403" s="493"/>
      <c r="EC2403" s="493"/>
    </row>
    <row r="2404" spans="119:133" ht="21" customHeight="1">
      <c r="DO2404" s="494"/>
      <c r="DP2404" s="496" t="s">
        <v>5695</v>
      </c>
      <c r="DQ2404" s="496" t="s">
        <v>15</v>
      </c>
      <c r="DR2404" s="496" t="s">
        <v>689</v>
      </c>
      <c r="DS2404" s="496" t="s">
        <v>5696</v>
      </c>
      <c r="DT2404" s="496" t="s">
        <v>5696</v>
      </c>
      <c r="DU2404" s="496" t="s">
        <v>1554</v>
      </c>
      <c r="DV2404" s="496" t="s">
        <v>1555</v>
      </c>
      <c r="DW2404" s="496" t="s">
        <v>1556</v>
      </c>
      <c r="DX2404" s="497" t="s">
        <v>5258</v>
      </c>
      <c r="DZ2404" s="543">
        <v>1</v>
      </c>
      <c r="EB2404" s="493"/>
      <c r="EC2404" s="493"/>
    </row>
    <row r="2405" spans="119:133" ht="21" customHeight="1">
      <c r="DO2405" s="494"/>
      <c r="DP2405" s="496" t="s">
        <v>5697</v>
      </c>
      <c r="DQ2405" s="496" t="s">
        <v>15</v>
      </c>
      <c r="DR2405" s="496" t="s">
        <v>690</v>
      </c>
      <c r="DS2405" s="496" t="s">
        <v>5698</v>
      </c>
      <c r="DT2405" s="496" t="s">
        <v>5698</v>
      </c>
      <c r="DU2405" s="496" t="s">
        <v>1085</v>
      </c>
      <c r="DV2405" s="496" t="s">
        <v>5699</v>
      </c>
      <c r="DW2405" s="496" t="s">
        <v>1087</v>
      </c>
      <c r="DX2405" s="497" t="s">
        <v>1088</v>
      </c>
      <c r="DZ2405" s="543">
        <v>1</v>
      </c>
      <c r="EB2405" s="493"/>
      <c r="EC2405" s="493"/>
    </row>
    <row r="2406" spans="119:133" ht="21" customHeight="1">
      <c r="DO2406" s="494"/>
      <c r="DP2406" s="496" t="s">
        <v>5700</v>
      </c>
      <c r="DQ2406" s="496" t="s">
        <v>15</v>
      </c>
      <c r="DR2406" s="496" t="s">
        <v>690</v>
      </c>
      <c r="DS2406" s="496" t="s">
        <v>5701</v>
      </c>
      <c r="DT2406" s="496" t="s">
        <v>5701</v>
      </c>
      <c r="DU2406" s="496" t="s">
        <v>1085</v>
      </c>
      <c r="DV2406" s="496" t="s">
        <v>5699</v>
      </c>
      <c r="DW2406" s="496" t="s">
        <v>1087</v>
      </c>
      <c r="DX2406" s="497" t="s">
        <v>1088</v>
      </c>
      <c r="DZ2406" s="543">
        <v>1</v>
      </c>
      <c r="EB2406" s="493"/>
      <c r="EC2406" s="493"/>
    </row>
    <row r="2407" spans="119:133" ht="21" customHeight="1">
      <c r="DO2407" s="494"/>
      <c r="DP2407" s="496" t="s">
        <v>5702</v>
      </c>
      <c r="DQ2407" s="496" t="s">
        <v>15</v>
      </c>
      <c r="DR2407" s="496" t="s">
        <v>690</v>
      </c>
      <c r="DS2407" s="496" t="s">
        <v>5703</v>
      </c>
      <c r="DT2407" s="496" t="s">
        <v>5703</v>
      </c>
      <c r="DU2407" s="496" t="s">
        <v>1085</v>
      </c>
      <c r="DV2407" s="496" t="s">
        <v>5699</v>
      </c>
      <c r="DW2407" s="496" t="s">
        <v>1087</v>
      </c>
      <c r="DX2407" s="497" t="s">
        <v>1088</v>
      </c>
      <c r="DZ2407" s="543">
        <v>1</v>
      </c>
      <c r="EB2407" s="493"/>
      <c r="EC2407" s="493"/>
    </row>
    <row r="2408" spans="119:133" ht="21" customHeight="1">
      <c r="DO2408" s="494"/>
      <c r="DP2408" s="496" t="s">
        <v>5704</v>
      </c>
      <c r="DQ2408" s="496" t="s">
        <v>15</v>
      </c>
      <c r="DR2408" s="496" t="s">
        <v>690</v>
      </c>
      <c r="DS2408" s="496" t="s">
        <v>5705</v>
      </c>
      <c r="DT2408" s="496" t="s">
        <v>5705</v>
      </c>
      <c r="DU2408" s="496" t="s">
        <v>1085</v>
      </c>
      <c r="DV2408" s="496" t="s">
        <v>5699</v>
      </c>
      <c r="DW2408" s="496" t="s">
        <v>1087</v>
      </c>
      <c r="DX2408" s="497" t="s">
        <v>1088</v>
      </c>
      <c r="DZ2408" s="543">
        <v>1</v>
      </c>
      <c r="EB2408" s="493"/>
      <c r="EC2408" s="493"/>
    </row>
    <row r="2409" spans="119:133" ht="21" customHeight="1">
      <c r="DO2409" s="494"/>
      <c r="DP2409" s="496" t="s">
        <v>5706</v>
      </c>
      <c r="DQ2409" s="496" t="s">
        <v>15</v>
      </c>
      <c r="DR2409" s="496" t="s">
        <v>690</v>
      </c>
      <c r="DS2409" s="496" t="s">
        <v>5707</v>
      </c>
      <c r="DT2409" s="496" t="s">
        <v>5707</v>
      </c>
      <c r="DU2409" s="496" t="s">
        <v>1085</v>
      </c>
      <c r="DV2409" s="496" t="s">
        <v>5699</v>
      </c>
      <c r="DW2409" s="496" t="s">
        <v>1087</v>
      </c>
      <c r="DX2409" s="497" t="s">
        <v>1088</v>
      </c>
      <c r="DZ2409" s="543">
        <v>1</v>
      </c>
      <c r="EB2409" s="493"/>
      <c r="EC2409" s="493"/>
    </row>
    <row r="2410" spans="119:133" ht="21" customHeight="1">
      <c r="DO2410" s="494"/>
      <c r="DP2410" s="496" t="s">
        <v>5708</v>
      </c>
      <c r="DQ2410" s="496" t="s">
        <v>15</v>
      </c>
      <c r="DR2410" s="496" t="s">
        <v>690</v>
      </c>
      <c r="DS2410" s="496" t="s">
        <v>5709</v>
      </c>
      <c r="DT2410" s="496" t="s">
        <v>5709</v>
      </c>
      <c r="DU2410" s="496" t="s">
        <v>1085</v>
      </c>
      <c r="DV2410" s="496" t="s">
        <v>5699</v>
      </c>
      <c r="DW2410" s="496" t="s">
        <v>1087</v>
      </c>
      <c r="DX2410" s="497" t="s">
        <v>1088</v>
      </c>
      <c r="DZ2410" s="543">
        <v>1</v>
      </c>
      <c r="EB2410" s="493"/>
      <c r="EC2410" s="493"/>
    </row>
    <row r="2411" spans="119:133" ht="21" customHeight="1">
      <c r="DO2411" s="494"/>
      <c r="DP2411" s="496" t="s">
        <v>5710</v>
      </c>
      <c r="DQ2411" s="496" t="s">
        <v>15</v>
      </c>
      <c r="DR2411" s="496" t="s">
        <v>690</v>
      </c>
      <c r="DS2411" s="496" t="s">
        <v>1478</v>
      </c>
      <c r="DT2411" s="496" t="s">
        <v>860</v>
      </c>
      <c r="DU2411" s="496" t="s">
        <v>1151</v>
      </c>
      <c r="DV2411" s="496" t="s">
        <v>1446</v>
      </c>
      <c r="DW2411" s="496" t="s">
        <v>1087</v>
      </c>
      <c r="DX2411" s="497" t="s">
        <v>1153</v>
      </c>
      <c r="DZ2411" s="543">
        <v>1</v>
      </c>
      <c r="EB2411" s="493"/>
      <c r="EC2411" s="493"/>
    </row>
    <row r="2412" spans="119:133" ht="21" customHeight="1">
      <c r="DO2412" s="494"/>
      <c r="DP2412" s="496" t="s">
        <v>5711</v>
      </c>
      <c r="DQ2412" s="496" t="s">
        <v>15</v>
      </c>
      <c r="DR2412" s="496" t="s">
        <v>690</v>
      </c>
      <c r="DS2412" s="496" t="s">
        <v>857</v>
      </c>
      <c r="DT2412" s="496" t="s">
        <v>861</v>
      </c>
      <c r="DU2412" s="496" t="s">
        <v>1085</v>
      </c>
      <c r="DV2412" s="496" t="s">
        <v>5699</v>
      </c>
      <c r="DW2412" s="496" t="s">
        <v>1087</v>
      </c>
      <c r="DX2412" s="497" t="s">
        <v>1088</v>
      </c>
      <c r="DZ2412" s="543">
        <v>1</v>
      </c>
      <c r="EB2412" s="493"/>
      <c r="EC2412" s="493"/>
    </row>
    <row r="2413" spans="119:133" ht="21" customHeight="1">
      <c r="DO2413" s="494"/>
      <c r="DP2413" s="496" t="s">
        <v>5712</v>
      </c>
      <c r="DQ2413" s="496" t="s">
        <v>15</v>
      </c>
      <c r="DR2413" s="496" t="s">
        <v>690</v>
      </c>
      <c r="DS2413" s="496" t="s">
        <v>1481</v>
      </c>
      <c r="DT2413" s="496" t="s">
        <v>863</v>
      </c>
      <c r="DU2413" s="496" t="s">
        <v>1085</v>
      </c>
      <c r="DV2413" s="496" t="s">
        <v>5699</v>
      </c>
      <c r="DW2413" s="496" t="s">
        <v>1087</v>
      </c>
      <c r="DX2413" s="497" t="s">
        <v>1088</v>
      </c>
      <c r="DZ2413" s="543">
        <v>1</v>
      </c>
      <c r="EB2413" s="493"/>
      <c r="EC2413" s="493"/>
    </row>
    <row r="2414" spans="119:133" ht="21" customHeight="1">
      <c r="DO2414" s="494"/>
      <c r="DP2414" s="496" t="s">
        <v>5713</v>
      </c>
      <c r="DQ2414" s="496" t="s">
        <v>15</v>
      </c>
      <c r="DR2414" s="496" t="s">
        <v>690</v>
      </c>
      <c r="DS2414" s="496" t="s">
        <v>1483</v>
      </c>
      <c r="DT2414" s="496" t="s">
        <v>1484</v>
      </c>
      <c r="DU2414" s="496" t="s">
        <v>1151</v>
      </c>
      <c r="DV2414" s="496" t="s">
        <v>1446</v>
      </c>
      <c r="DW2414" s="496" t="s">
        <v>1087</v>
      </c>
      <c r="DX2414" s="497" t="s">
        <v>1153</v>
      </c>
      <c r="DZ2414" s="543">
        <v>1</v>
      </c>
      <c r="EB2414" s="493"/>
      <c r="EC2414" s="493"/>
    </row>
    <row r="2415" spans="119:133" ht="21" customHeight="1">
      <c r="DO2415" s="494"/>
      <c r="DP2415" s="496" t="s">
        <v>5714</v>
      </c>
      <c r="DQ2415" s="496" t="s">
        <v>15</v>
      </c>
      <c r="DR2415" s="496" t="s">
        <v>690</v>
      </c>
      <c r="DS2415" s="496" t="s">
        <v>1486</v>
      </c>
      <c r="DT2415" s="496" t="s">
        <v>864</v>
      </c>
      <c r="DU2415" s="496" t="s">
        <v>1151</v>
      </c>
      <c r="DV2415" s="496" t="s">
        <v>1446</v>
      </c>
      <c r="DW2415" s="496" t="s">
        <v>1087</v>
      </c>
      <c r="DX2415" s="497" t="s">
        <v>1153</v>
      </c>
      <c r="DZ2415" s="543">
        <v>1</v>
      </c>
      <c r="EB2415" s="493"/>
      <c r="EC2415" s="493"/>
    </row>
    <row r="2416" spans="119:133" ht="21" customHeight="1">
      <c r="DO2416" s="494"/>
      <c r="DP2416" s="496" t="s">
        <v>5715</v>
      </c>
      <c r="DQ2416" s="496" t="s">
        <v>15</v>
      </c>
      <c r="DR2416" s="496" t="s">
        <v>690</v>
      </c>
      <c r="DS2416" s="496" t="s">
        <v>1488</v>
      </c>
      <c r="DT2416" s="496" t="s">
        <v>867</v>
      </c>
      <c r="DU2416" s="496" t="s">
        <v>1151</v>
      </c>
      <c r="DV2416" s="496" t="s">
        <v>1446</v>
      </c>
      <c r="DW2416" s="496" t="s">
        <v>1087</v>
      </c>
      <c r="DX2416" s="497" t="s">
        <v>1153</v>
      </c>
      <c r="DZ2416" s="543">
        <v>1</v>
      </c>
      <c r="EB2416" s="493"/>
      <c r="EC2416" s="493"/>
    </row>
    <row r="2417" spans="119:133" ht="21" customHeight="1">
      <c r="DO2417" s="494"/>
      <c r="DP2417" s="496" t="s">
        <v>5716</v>
      </c>
      <c r="DQ2417" s="496" t="s">
        <v>15</v>
      </c>
      <c r="DR2417" s="496" t="s">
        <v>690</v>
      </c>
      <c r="DS2417" s="496" t="s">
        <v>1490</v>
      </c>
      <c r="DT2417" s="496" t="s">
        <v>869</v>
      </c>
      <c r="DU2417" s="496" t="s">
        <v>1085</v>
      </c>
      <c r="DV2417" s="496" t="s">
        <v>5699</v>
      </c>
      <c r="DW2417" s="496" t="s">
        <v>1087</v>
      </c>
      <c r="DX2417" s="497" t="s">
        <v>1088</v>
      </c>
      <c r="DZ2417" s="543">
        <v>1</v>
      </c>
      <c r="EB2417" s="493"/>
      <c r="EC2417" s="493"/>
    </row>
    <row r="2418" spans="119:133" ht="21" customHeight="1">
      <c r="DO2418" s="494"/>
      <c r="DP2418" s="496" t="s">
        <v>5717</v>
      </c>
      <c r="DQ2418" s="496" t="s">
        <v>15</v>
      </c>
      <c r="DR2418" s="496" t="s">
        <v>690</v>
      </c>
      <c r="DS2418" s="496" t="s">
        <v>693</v>
      </c>
      <c r="DT2418" s="496" t="s">
        <v>693</v>
      </c>
      <c r="DU2418" s="496" t="s">
        <v>1085</v>
      </c>
      <c r="DV2418" s="496" t="s">
        <v>5699</v>
      </c>
      <c r="DW2418" s="496" t="s">
        <v>1087</v>
      </c>
      <c r="DX2418" s="497" t="s">
        <v>1088</v>
      </c>
      <c r="DZ2418" s="543">
        <v>1</v>
      </c>
      <c r="EB2418" s="493"/>
      <c r="EC2418" s="493"/>
    </row>
    <row r="2419" spans="119:133" ht="21" customHeight="1">
      <c r="DO2419" s="494"/>
      <c r="DP2419" s="496" t="s">
        <v>5718</v>
      </c>
      <c r="DQ2419" s="496" t="s">
        <v>15</v>
      </c>
      <c r="DR2419" s="496" t="s">
        <v>690</v>
      </c>
      <c r="DS2419" s="496" t="s">
        <v>5719</v>
      </c>
      <c r="DT2419" s="496" t="s">
        <v>5720</v>
      </c>
      <c r="DU2419" s="496" t="s">
        <v>1085</v>
      </c>
      <c r="DV2419" s="496" t="s">
        <v>5699</v>
      </c>
      <c r="DW2419" s="496" t="s">
        <v>1087</v>
      </c>
      <c r="DX2419" s="497" t="s">
        <v>1088</v>
      </c>
      <c r="DZ2419" s="543">
        <v>1</v>
      </c>
      <c r="EB2419" s="493"/>
      <c r="EC2419" s="493"/>
    </row>
    <row r="2420" spans="119:133" ht="21" customHeight="1">
      <c r="DO2420" s="494"/>
      <c r="DP2420" s="496" t="s">
        <v>5721</v>
      </c>
      <c r="DQ2420" s="496" t="s">
        <v>15</v>
      </c>
      <c r="DR2420" s="496" t="s">
        <v>690</v>
      </c>
      <c r="DS2420" s="496" t="s">
        <v>694</v>
      </c>
      <c r="DT2420" s="496" t="s">
        <v>694</v>
      </c>
      <c r="DU2420" s="496" t="s">
        <v>1085</v>
      </c>
      <c r="DV2420" s="496" t="s">
        <v>5699</v>
      </c>
      <c r="DW2420" s="496" t="s">
        <v>1087</v>
      </c>
      <c r="DX2420" s="497" t="s">
        <v>1088</v>
      </c>
      <c r="DZ2420" s="543">
        <v>1</v>
      </c>
      <c r="EB2420" s="493"/>
      <c r="EC2420" s="493"/>
    </row>
    <row r="2421" spans="119:133" ht="21" customHeight="1">
      <c r="DO2421" s="494"/>
      <c r="DP2421" s="496" t="s">
        <v>5722</v>
      </c>
      <c r="DQ2421" s="496" t="s">
        <v>15</v>
      </c>
      <c r="DR2421" s="496" t="s">
        <v>1511</v>
      </c>
      <c r="DS2421" s="496" t="s">
        <v>3801</v>
      </c>
      <c r="DT2421" s="496" t="s">
        <v>3801</v>
      </c>
      <c r="DU2421" s="496" t="s">
        <v>1085</v>
      </c>
      <c r="DV2421" s="496" t="s">
        <v>3799</v>
      </c>
      <c r="DW2421" s="496" t="s">
        <v>1087</v>
      </c>
      <c r="DX2421" s="497" t="s">
        <v>1088</v>
      </c>
      <c r="DZ2421" s="543">
        <v>1</v>
      </c>
      <c r="EB2421" s="493"/>
      <c r="EC2421" s="493"/>
    </row>
    <row r="2422" spans="119:133" ht="21" customHeight="1">
      <c r="DO2422" s="494"/>
      <c r="DP2422" s="496" t="s">
        <v>5723</v>
      </c>
      <c r="DQ2422" s="496" t="s">
        <v>15</v>
      </c>
      <c r="DR2422" s="496" t="s">
        <v>1511</v>
      </c>
      <c r="DS2422" s="496" t="s">
        <v>3808</v>
      </c>
      <c r="DT2422" s="496" t="s">
        <v>3808</v>
      </c>
      <c r="DU2422" s="496" t="s">
        <v>1085</v>
      </c>
      <c r="DV2422" s="496" t="s">
        <v>3799</v>
      </c>
      <c r="DW2422" s="496" t="s">
        <v>1087</v>
      </c>
      <c r="DX2422" s="497" t="s">
        <v>1088</v>
      </c>
      <c r="DZ2422" s="543">
        <v>1</v>
      </c>
      <c r="EB2422" s="493"/>
      <c r="EC2422" s="493"/>
    </row>
    <row r="2423" spans="119:133" ht="21" customHeight="1">
      <c r="DO2423" s="494"/>
      <c r="DP2423" s="496" t="s">
        <v>5724</v>
      </c>
      <c r="DQ2423" s="496" t="s">
        <v>15</v>
      </c>
      <c r="DR2423" s="496" t="s">
        <v>1511</v>
      </c>
      <c r="DS2423" s="496" t="s">
        <v>5725</v>
      </c>
      <c r="DT2423" s="496" t="s">
        <v>5726</v>
      </c>
      <c r="DU2423" s="496" t="s">
        <v>1085</v>
      </c>
      <c r="DV2423" s="496" t="s">
        <v>3799</v>
      </c>
      <c r="DW2423" s="496" t="s">
        <v>1087</v>
      </c>
      <c r="DX2423" s="497" t="s">
        <v>1088</v>
      </c>
      <c r="DZ2423" s="543">
        <v>1</v>
      </c>
      <c r="EB2423" s="493"/>
      <c r="EC2423" s="493"/>
    </row>
    <row r="2424" spans="119:133" ht="21" customHeight="1">
      <c r="DO2424" s="494"/>
      <c r="DP2424" s="496" t="s">
        <v>5727</v>
      </c>
      <c r="DQ2424" s="496" t="s">
        <v>15</v>
      </c>
      <c r="DR2424" s="496" t="s">
        <v>1511</v>
      </c>
      <c r="DS2424" s="496" t="s">
        <v>5728</v>
      </c>
      <c r="DT2424" s="496" t="s">
        <v>5729</v>
      </c>
      <c r="DU2424" s="496" t="s">
        <v>1085</v>
      </c>
      <c r="DV2424" s="496" t="s">
        <v>3799</v>
      </c>
      <c r="DW2424" s="496" t="s">
        <v>1087</v>
      </c>
      <c r="DX2424" s="497" t="s">
        <v>1088</v>
      </c>
      <c r="DZ2424" s="543">
        <v>1</v>
      </c>
      <c r="EB2424" s="493"/>
      <c r="EC2424" s="493"/>
    </row>
    <row r="2425" spans="119:133" ht="21" customHeight="1">
      <c r="DO2425" s="494"/>
      <c r="DP2425" s="496" t="s">
        <v>5730</v>
      </c>
      <c r="DQ2425" s="496" t="s">
        <v>15</v>
      </c>
      <c r="DR2425" s="496" t="s">
        <v>1511</v>
      </c>
      <c r="DS2425" s="496" t="s">
        <v>1052</v>
      </c>
      <c r="DT2425" s="496" t="s">
        <v>1052</v>
      </c>
      <c r="DU2425" s="496" t="s">
        <v>1085</v>
      </c>
      <c r="DV2425" s="496" t="s">
        <v>3799</v>
      </c>
      <c r="DW2425" s="496" t="s">
        <v>1087</v>
      </c>
      <c r="DX2425" s="497" t="s">
        <v>1088</v>
      </c>
      <c r="DZ2425" s="543">
        <v>1</v>
      </c>
      <c r="EB2425" s="493"/>
      <c r="EC2425" s="493"/>
    </row>
    <row r="2426" spans="119:133" ht="21" customHeight="1">
      <c r="DP2426" s="496" t="s">
        <v>5747</v>
      </c>
      <c r="DQ2426" s="496" t="s">
        <v>1083</v>
      </c>
      <c r="DR2426" s="496" t="s">
        <v>690</v>
      </c>
      <c r="DS2426" s="496" t="s">
        <v>5738</v>
      </c>
      <c r="DT2426" s="496" t="s">
        <v>5738</v>
      </c>
      <c r="DU2426" s="496" t="s">
        <v>1085</v>
      </c>
      <c r="DV2426" s="496" t="s">
        <v>5748</v>
      </c>
      <c r="DW2426" s="496" t="s">
        <v>1087</v>
      </c>
      <c r="DX2426" s="497" t="s">
        <v>1153</v>
      </c>
      <c r="DZ2426" s="543">
        <v>1</v>
      </c>
      <c r="EB2426" s="493"/>
      <c r="EC2426" s="493"/>
    </row>
    <row r="2427" spans="119:133" ht="21" customHeight="1">
      <c r="DP2427" s="496" t="s">
        <v>5749</v>
      </c>
      <c r="DQ2427" s="496" t="s">
        <v>1083</v>
      </c>
      <c r="DR2427" s="496" t="s">
        <v>689</v>
      </c>
      <c r="DS2427" s="496" t="s">
        <v>887</v>
      </c>
      <c r="DT2427" s="496" t="s">
        <v>887</v>
      </c>
      <c r="DU2427" s="496" t="s">
        <v>5750</v>
      </c>
      <c r="DV2427" s="496" t="s">
        <v>5751</v>
      </c>
      <c r="DW2427" s="496" t="s">
        <v>1087</v>
      </c>
      <c r="DX2427" s="497" t="s">
        <v>1153</v>
      </c>
      <c r="DZ2427" s="543">
        <v>1</v>
      </c>
      <c r="EB2427" s="493"/>
      <c r="EC2427" s="493"/>
    </row>
    <row r="2428" spans="119:133" ht="21" customHeight="1">
      <c r="DP2428" s="496" t="s">
        <v>5752</v>
      </c>
      <c r="DQ2428" s="496" t="s">
        <v>1083</v>
      </c>
      <c r="DR2428" s="496" t="s">
        <v>689</v>
      </c>
      <c r="DS2428" s="496" t="s">
        <v>5753</v>
      </c>
      <c r="DT2428" s="496" t="s">
        <v>5753</v>
      </c>
      <c r="DU2428" s="496" t="s">
        <v>5750</v>
      </c>
      <c r="DV2428" s="496" t="s">
        <v>5754</v>
      </c>
      <c r="DW2428" s="496" t="s">
        <v>1087</v>
      </c>
      <c r="DX2428" s="497" t="s">
        <v>1153</v>
      </c>
      <c r="DZ2428" s="543">
        <v>1</v>
      </c>
      <c r="EB2428" s="493"/>
      <c r="EC2428" s="493"/>
    </row>
    <row r="2429" spans="119:133" ht="21" customHeight="1">
      <c r="DP2429" s="496" t="s">
        <v>5755</v>
      </c>
      <c r="DQ2429" s="496" t="s">
        <v>1083</v>
      </c>
      <c r="DR2429" s="496" t="s">
        <v>689</v>
      </c>
      <c r="DS2429" s="496" t="s">
        <v>5756</v>
      </c>
      <c r="DT2429" s="496" t="s">
        <v>5756</v>
      </c>
      <c r="DU2429" s="496" t="s">
        <v>5750</v>
      </c>
      <c r="DV2429" s="496" t="s">
        <v>5757</v>
      </c>
      <c r="DW2429" s="496" t="s">
        <v>1087</v>
      </c>
      <c r="DX2429" s="497" t="s">
        <v>1153</v>
      </c>
      <c r="DZ2429" s="543">
        <v>1</v>
      </c>
      <c r="EB2429" s="493"/>
      <c r="EC2429" s="493"/>
    </row>
    <row r="2430" spans="119:133" ht="21" customHeight="1">
      <c r="DP2430" s="496" t="s">
        <v>5758</v>
      </c>
      <c r="DQ2430" s="496" t="s">
        <v>8</v>
      </c>
      <c r="DR2430" s="496" t="s">
        <v>689</v>
      </c>
      <c r="DS2430" s="496" t="s">
        <v>45</v>
      </c>
      <c r="DT2430" s="496" t="s">
        <v>45</v>
      </c>
      <c r="DU2430" s="496" t="s">
        <v>5750</v>
      </c>
      <c r="DV2430" s="496" t="s">
        <v>5759</v>
      </c>
      <c r="DW2430" s="496" t="s">
        <v>1087</v>
      </c>
      <c r="DX2430" s="497" t="s">
        <v>1153</v>
      </c>
      <c r="DZ2430" s="543">
        <v>1</v>
      </c>
      <c r="EB2430" s="493"/>
      <c r="EC2430" s="493"/>
    </row>
    <row r="2431" spans="119:133" ht="21" customHeight="1">
      <c r="DP2431" s="496" t="s">
        <v>5760</v>
      </c>
      <c r="DQ2431" s="496" t="s">
        <v>8</v>
      </c>
      <c r="DR2431" s="496" t="s">
        <v>689</v>
      </c>
      <c r="DS2431" s="496" t="s">
        <v>5761</v>
      </c>
      <c r="DT2431" s="496" t="s">
        <v>5761</v>
      </c>
      <c r="DU2431" s="496" t="s">
        <v>5750</v>
      </c>
      <c r="DV2431" s="496" t="s">
        <v>5762</v>
      </c>
      <c r="DW2431" s="496" t="s">
        <v>1087</v>
      </c>
      <c r="DX2431" s="497" t="s">
        <v>1153</v>
      </c>
      <c r="DZ2431" s="543">
        <v>1</v>
      </c>
      <c r="EB2431" s="493"/>
      <c r="EC2431" s="493"/>
    </row>
    <row r="2432" spans="119:133" ht="21" customHeight="1">
      <c r="DP2432" s="496" t="s">
        <v>5763</v>
      </c>
      <c r="DQ2432" s="496" t="s">
        <v>11</v>
      </c>
      <c r="DR2432" s="496" t="s">
        <v>689</v>
      </c>
      <c r="DS2432" s="496" t="s">
        <v>5764</v>
      </c>
      <c r="DT2432" s="496" t="s">
        <v>5764</v>
      </c>
      <c r="DU2432" s="496" t="s">
        <v>5765</v>
      </c>
      <c r="DV2432" s="496" t="s">
        <v>5766</v>
      </c>
      <c r="DW2432" s="496" t="s">
        <v>1087</v>
      </c>
      <c r="DX2432" s="497" t="s">
        <v>1153</v>
      </c>
      <c r="DZ2432" s="543">
        <v>1</v>
      </c>
      <c r="EB2432" s="493"/>
      <c r="EC2432" s="493"/>
    </row>
    <row r="2433" spans="120:133" ht="21" customHeight="1">
      <c r="DP2433" s="496" t="s">
        <v>5767</v>
      </c>
      <c r="DQ2433" s="496" t="s">
        <v>11</v>
      </c>
      <c r="DR2433" s="496" t="s">
        <v>689</v>
      </c>
      <c r="DS2433" s="496" t="s">
        <v>5768</v>
      </c>
      <c r="DT2433" s="496" t="s">
        <v>5768</v>
      </c>
      <c r="DU2433" s="496" t="s">
        <v>5765</v>
      </c>
      <c r="DV2433" s="496" t="s">
        <v>5769</v>
      </c>
      <c r="DW2433" s="496" t="s">
        <v>1087</v>
      </c>
      <c r="DX2433" s="497" t="s">
        <v>1153</v>
      </c>
      <c r="DZ2433" s="543">
        <v>1</v>
      </c>
      <c r="EB2433" s="493"/>
      <c r="EC2433" s="493"/>
    </row>
    <row r="2434" spans="120:133" ht="21" customHeight="1">
      <c r="DP2434" s="496"/>
      <c r="DQ2434" s="496"/>
      <c r="DR2434" s="496"/>
      <c r="DS2434" s="496" t="s">
        <v>5770</v>
      </c>
      <c r="DT2434" s="496" t="s">
        <v>5771</v>
      </c>
      <c r="DU2434" s="496" t="s">
        <v>1085</v>
      </c>
      <c r="DV2434" s="496" t="s">
        <v>5772</v>
      </c>
      <c r="DW2434" s="496" t="s">
        <v>3961</v>
      </c>
      <c r="DX2434" s="497" t="s">
        <v>1153</v>
      </c>
      <c r="DZ2434" s="543">
        <v>1</v>
      </c>
      <c r="EB2434" s="493"/>
      <c r="EC2434" s="493"/>
    </row>
    <row r="2435" spans="120:133" ht="21" customHeight="1">
      <c r="DP2435" s="496"/>
      <c r="DQ2435" s="496"/>
      <c r="DR2435" s="496"/>
      <c r="DS2435" s="496" t="s">
        <v>5773</v>
      </c>
      <c r="DT2435" s="496" t="s">
        <v>17</v>
      </c>
      <c r="DU2435" s="496" t="s">
        <v>1085</v>
      </c>
      <c r="DV2435" s="496" t="s">
        <v>5774</v>
      </c>
      <c r="DW2435" s="496" t="s">
        <v>3961</v>
      </c>
      <c r="DX2435" s="497" t="s">
        <v>1153</v>
      </c>
      <c r="DZ2435" s="543">
        <v>1</v>
      </c>
      <c r="EB2435" s="493"/>
      <c r="EC2435" s="493"/>
    </row>
    <row r="2436" spans="120:133" ht="21" customHeight="1">
      <c r="DP2436" s="496"/>
      <c r="DQ2436" s="496"/>
      <c r="DR2436" s="496"/>
      <c r="DS2436" s="496" t="s">
        <v>5775</v>
      </c>
      <c r="DT2436" s="496" t="s">
        <v>713</v>
      </c>
      <c r="DU2436" s="496" t="s">
        <v>1085</v>
      </c>
      <c r="DV2436" s="496" t="s">
        <v>5776</v>
      </c>
      <c r="DW2436" s="496" t="s">
        <v>3961</v>
      </c>
      <c r="DX2436" s="497" t="s">
        <v>1153</v>
      </c>
      <c r="DZ2436" s="543">
        <v>1</v>
      </c>
      <c r="EB2436" s="493"/>
      <c r="EC2436" s="493"/>
    </row>
    <row r="2437" spans="120:133" ht="21" customHeight="1">
      <c r="DP2437" s="496"/>
      <c r="DQ2437" s="496"/>
      <c r="DR2437" s="496"/>
      <c r="DS2437" s="496" t="s">
        <v>5777</v>
      </c>
      <c r="DT2437" s="496" t="s">
        <v>5778</v>
      </c>
      <c r="DU2437" s="496" t="s">
        <v>1085</v>
      </c>
      <c r="DV2437" s="496" t="s">
        <v>5774</v>
      </c>
      <c r="DW2437" s="496" t="s">
        <v>3961</v>
      </c>
      <c r="DX2437" s="497" t="s">
        <v>1153</v>
      </c>
      <c r="DZ2437" s="543">
        <v>1</v>
      </c>
      <c r="EB2437" s="493"/>
      <c r="EC2437" s="493"/>
    </row>
    <row r="2438" spans="120:133" ht="21" customHeight="1">
      <c r="DP2438" s="496"/>
      <c r="DQ2438" s="496"/>
      <c r="DR2438" s="496"/>
      <c r="DS2438" s="496" t="s">
        <v>5779</v>
      </c>
      <c r="DT2438" s="496" t="s">
        <v>5780</v>
      </c>
      <c r="DU2438" s="496" t="s">
        <v>1085</v>
      </c>
      <c r="DV2438" s="496" t="s">
        <v>5781</v>
      </c>
      <c r="DW2438" s="496" t="s">
        <v>3961</v>
      </c>
      <c r="DX2438" s="497" t="s">
        <v>1153</v>
      </c>
      <c r="DZ2438" s="543">
        <v>1</v>
      </c>
      <c r="EB2438" s="493"/>
      <c r="EC2438" s="493"/>
    </row>
    <row r="2439" spans="120:133" ht="21" customHeight="1">
      <c r="DP2439" s="496"/>
      <c r="DQ2439" s="496"/>
      <c r="DR2439" s="496"/>
      <c r="DS2439" s="496" t="s">
        <v>1285</v>
      </c>
      <c r="DT2439" s="496" t="s">
        <v>1286</v>
      </c>
      <c r="DU2439" s="496" t="s">
        <v>1085</v>
      </c>
      <c r="DV2439" s="496" t="s">
        <v>5772</v>
      </c>
      <c r="DW2439" s="496" t="s">
        <v>3961</v>
      </c>
      <c r="DX2439" s="497" t="s">
        <v>1153</v>
      </c>
      <c r="DZ2439" s="543">
        <v>1</v>
      </c>
      <c r="EB2439" s="493"/>
      <c r="EC2439" s="493"/>
    </row>
    <row r="2440" spans="120:133" ht="21" customHeight="1">
      <c r="DP2440" s="496"/>
      <c r="DQ2440" s="496"/>
      <c r="DR2440" s="496"/>
      <c r="DS2440" s="496" t="s">
        <v>5782</v>
      </c>
      <c r="DT2440" s="496" t="s">
        <v>42</v>
      </c>
      <c r="DU2440" s="496" t="s">
        <v>1085</v>
      </c>
      <c r="DV2440" s="496" t="s">
        <v>5774</v>
      </c>
      <c r="DW2440" s="496" t="s">
        <v>3961</v>
      </c>
      <c r="DX2440" s="497" t="s">
        <v>1153</v>
      </c>
      <c r="DZ2440" s="543">
        <v>1</v>
      </c>
      <c r="EB2440" s="493"/>
      <c r="EC2440" s="493"/>
    </row>
    <row r="2441" spans="120:133" ht="21" customHeight="1">
      <c r="DP2441" s="496"/>
      <c r="DQ2441" s="496"/>
      <c r="DR2441" s="496"/>
      <c r="DS2441" s="496" t="s">
        <v>5783</v>
      </c>
      <c r="DT2441" s="496" t="s">
        <v>5784</v>
      </c>
      <c r="DU2441" s="496" t="s">
        <v>1085</v>
      </c>
      <c r="DV2441" s="496" t="s">
        <v>5776</v>
      </c>
      <c r="DW2441" s="496" t="s">
        <v>3961</v>
      </c>
      <c r="DX2441" s="497" t="s">
        <v>1153</v>
      </c>
      <c r="DZ2441" s="543">
        <v>1</v>
      </c>
      <c r="EB2441" s="493"/>
      <c r="EC2441" s="493"/>
    </row>
    <row r="2442" spans="120:133" ht="21" customHeight="1">
      <c r="DP2442" s="496"/>
      <c r="DQ2442" s="496"/>
      <c r="DR2442" s="496"/>
      <c r="DS2442" s="496" t="s">
        <v>5785</v>
      </c>
      <c r="DT2442" s="496" t="s">
        <v>30</v>
      </c>
      <c r="DU2442" s="496" t="s">
        <v>1085</v>
      </c>
      <c r="DV2442" s="496" t="s">
        <v>5774</v>
      </c>
      <c r="DW2442" s="496" t="s">
        <v>3961</v>
      </c>
      <c r="DX2442" s="497" t="s">
        <v>1153</v>
      </c>
      <c r="DZ2442" s="543">
        <v>1</v>
      </c>
      <c r="EB2442" s="493"/>
      <c r="EC2442" s="493"/>
    </row>
    <row r="2443" spans="120:133" ht="21" customHeight="1">
      <c r="DP2443" s="496"/>
      <c r="DQ2443" s="496"/>
      <c r="DR2443" s="496"/>
      <c r="DS2443" s="496" t="s">
        <v>5786</v>
      </c>
      <c r="DT2443" s="496" t="s">
        <v>5787</v>
      </c>
      <c r="DU2443" s="496" t="s">
        <v>1085</v>
      </c>
      <c r="DV2443" s="496" t="s">
        <v>5772</v>
      </c>
      <c r="DW2443" s="496" t="s">
        <v>3961</v>
      </c>
      <c r="DX2443" s="497" t="s">
        <v>1153</v>
      </c>
      <c r="DZ2443" s="543">
        <v>1</v>
      </c>
      <c r="EB2443" s="493"/>
      <c r="EC2443" s="493"/>
    </row>
    <row r="2444" spans="120:133" ht="21" customHeight="1">
      <c r="DP2444" s="496"/>
      <c r="DQ2444" s="496"/>
      <c r="DR2444" s="496"/>
      <c r="DS2444" s="496" t="s">
        <v>5788</v>
      </c>
      <c r="DT2444" s="496" t="s">
        <v>5789</v>
      </c>
      <c r="DU2444" s="496" t="s">
        <v>1085</v>
      </c>
      <c r="DV2444" s="496" t="s">
        <v>5774</v>
      </c>
      <c r="DW2444" s="496" t="s">
        <v>3961</v>
      </c>
      <c r="DX2444" s="497" t="s">
        <v>1153</v>
      </c>
      <c r="DZ2444" s="543">
        <v>1</v>
      </c>
      <c r="EB2444" s="493"/>
      <c r="EC2444" s="493"/>
    </row>
    <row r="2445" spans="120:133" ht="21" customHeight="1">
      <c r="DP2445" s="496"/>
      <c r="DQ2445" s="496"/>
      <c r="DR2445" s="496"/>
      <c r="DS2445" s="496" t="s">
        <v>5790</v>
      </c>
      <c r="DT2445" s="496" t="s">
        <v>5791</v>
      </c>
      <c r="DU2445" s="496" t="s">
        <v>1085</v>
      </c>
      <c r="DV2445" s="496" t="s">
        <v>5776</v>
      </c>
      <c r="DW2445" s="496" t="s">
        <v>3961</v>
      </c>
      <c r="DX2445" s="497" t="s">
        <v>1153</v>
      </c>
      <c r="DZ2445" s="543">
        <v>1</v>
      </c>
      <c r="EB2445" s="493"/>
      <c r="EC2445" s="493"/>
    </row>
    <row r="2446" spans="120:133" ht="21" customHeight="1">
      <c r="DP2446" s="496"/>
      <c r="DQ2446" s="496"/>
      <c r="DR2446" s="496"/>
      <c r="DS2446" s="496" t="s">
        <v>5792</v>
      </c>
      <c r="DT2446" s="496" t="s">
        <v>5793</v>
      </c>
      <c r="DU2446" s="496" t="s">
        <v>1085</v>
      </c>
      <c r="DV2446" s="496" t="s">
        <v>5774</v>
      </c>
      <c r="DW2446" s="496" t="s">
        <v>3961</v>
      </c>
      <c r="DX2446" s="497" t="s">
        <v>1153</v>
      </c>
      <c r="DZ2446" s="543">
        <v>1</v>
      </c>
      <c r="EB2446" s="493"/>
      <c r="EC2446" s="493"/>
    </row>
    <row r="2447" spans="120:133" ht="21" customHeight="1">
      <c r="DP2447" s="496"/>
      <c r="DQ2447" s="496"/>
      <c r="DR2447" s="496"/>
      <c r="DS2447" s="496" t="s">
        <v>5219</v>
      </c>
      <c r="DT2447" s="496" t="s">
        <v>5219</v>
      </c>
      <c r="DU2447" s="496" t="s">
        <v>1085</v>
      </c>
      <c r="DV2447" s="496" t="s">
        <v>5794</v>
      </c>
      <c r="DW2447" s="496" t="s">
        <v>5795</v>
      </c>
      <c r="DX2447" s="497" t="s">
        <v>1153</v>
      </c>
      <c r="DZ2447" s="543">
        <v>1</v>
      </c>
      <c r="EB2447" s="493"/>
      <c r="EC2447" s="493"/>
    </row>
    <row r="2448" spans="120:133" ht="21" customHeight="1">
      <c r="DP2448" s="496"/>
      <c r="DQ2448" s="496"/>
      <c r="DR2448" s="496"/>
      <c r="DS2448" s="496" t="s">
        <v>5796</v>
      </c>
      <c r="DT2448" s="496" t="s">
        <v>5796</v>
      </c>
      <c r="DU2448" s="496" t="s">
        <v>1085</v>
      </c>
      <c r="DV2448" s="496" t="s">
        <v>5794</v>
      </c>
      <c r="DW2448" s="496" t="s">
        <v>5795</v>
      </c>
      <c r="DX2448" s="497" t="s">
        <v>1153</v>
      </c>
      <c r="DZ2448" s="543">
        <v>1</v>
      </c>
      <c r="EB2448" s="493"/>
      <c r="EC2448" s="493"/>
    </row>
    <row r="2449" spans="120:133" ht="21" customHeight="1">
      <c r="DP2449" s="496"/>
      <c r="DQ2449" s="496"/>
      <c r="DR2449" s="496"/>
      <c r="DS2449" s="496" t="s">
        <v>5208</v>
      </c>
      <c r="DT2449" s="496" t="s">
        <v>5208</v>
      </c>
      <c r="DU2449" s="496" t="s">
        <v>1085</v>
      </c>
      <c r="DV2449" s="496" t="s">
        <v>5797</v>
      </c>
      <c r="DW2449" s="496" t="s">
        <v>5795</v>
      </c>
      <c r="DX2449" s="497" t="s">
        <v>1153</v>
      </c>
      <c r="DZ2449" s="543">
        <v>1</v>
      </c>
      <c r="EB2449" s="493"/>
      <c r="EC2449" s="493"/>
    </row>
    <row r="2450" spans="120:133" ht="21" customHeight="1">
      <c r="DP2450" s="496"/>
      <c r="DQ2450" s="496"/>
      <c r="DR2450" s="496"/>
      <c r="DS2450" s="496" t="s">
        <v>5148</v>
      </c>
      <c r="DT2450" s="496" t="s">
        <v>5148</v>
      </c>
      <c r="DU2450" s="496" t="s">
        <v>1085</v>
      </c>
      <c r="DV2450" s="496" t="s">
        <v>5797</v>
      </c>
      <c r="DW2450" s="496" t="s">
        <v>5795</v>
      </c>
      <c r="DX2450" s="497" t="s">
        <v>1153</v>
      </c>
      <c r="DZ2450" s="543">
        <v>1</v>
      </c>
      <c r="EB2450" s="493"/>
      <c r="EC2450" s="493"/>
    </row>
    <row r="2451" spans="120:133" ht="21" customHeight="1">
      <c r="DP2451" s="496"/>
      <c r="DQ2451" s="496"/>
      <c r="DR2451" s="496"/>
      <c r="DS2451" s="496" t="s">
        <v>5156</v>
      </c>
      <c r="DT2451" s="496" t="s">
        <v>5157</v>
      </c>
      <c r="DU2451" s="496" t="s">
        <v>1085</v>
      </c>
      <c r="DV2451" s="496" t="s">
        <v>5797</v>
      </c>
      <c r="DW2451" s="496" t="s">
        <v>5795</v>
      </c>
      <c r="DX2451" s="497" t="s">
        <v>1153</v>
      </c>
      <c r="DZ2451" s="543">
        <v>1</v>
      </c>
      <c r="EB2451" s="493"/>
      <c r="EC2451" s="493"/>
    </row>
    <row r="2452" spans="120:133" ht="21" customHeight="1">
      <c r="DP2452" s="496"/>
      <c r="DQ2452" s="496"/>
      <c r="DR2452" s="496"/>
      <c r="DS2452" s="496" t="s">
        <v>5144</v>
      </c>
      <c r="DT2452" s="496" t="s">
        <v>5144</v>
      </c>
      <c r="DU2452" s="496" t="s">
        <v>1085</v>
      </c>
      <c r="DV2452" s="496" t="s">
        <v>5797</v>
      </c>
      <c r="DW2452" s="496" t="s">
        <v>5795</v>
      </c>
      <c r="DX2452" s="497" t="s">
        <v>1153</v>
      </c>
      <c r="DZ2452" s="543">
        <v>1</v>
      </c>
      <c r="EB2452" s="493"/>
      <c r="EC2452" s="493"/>
    </row>
    <row r="2453" spans="120:133" ht="21" customHeight="1">
      <c r="DP2453" s="496"/>
      <c r="DQ2453" s="496"/>
      <c r="DR2453" s="496"/>
      <c r="DS2453" s="496" t="s">
        <v>5190</v>
      </c>
      <c r="DT2453" s="496" t="s">
        <v>5190</v>
      </c>
      <c r="DU2453" s="496" t="s">
        <v>1085</v>
      </c>
      <c r="DV2453" s="496" t="s">
        <v>5797</v>
      </c>
      <c r="DW2453" s="496" t="s">
        <v>5795</v>
      </c>
      <c r="DX2453" s="497" t="s">
        <v>1153</v>
      </c>
      <c r="DZ2453" s="543">
        <v>1</v>
      </c>
      <c r="EB2453" s="493"/>
      <c r="EC2453" s="493"/>
    </row>
    <row r="2454" spans="120:133" ht="21" customHeight="1">
      <c r="DP2454" s="496"/>
      <c r="DQ2454" s="496"/>
      <c r="DR2454" s="496"/>
      <c r="DS2454" s="496" t="s">
        <v>5185</v>
      </c>
      <c r="DT2454" s="496" t="s">
        <v>5185</v>
      </c>
      <c r="DU2454" s="496" t="s">
        <v>1085</v>
      </c>
      <c r="DV2454" s="496" t="s">
        <v>5797</v>
      </c>
      <c r="DW2454" s="496" t="s">
        <v>5795</v>
      </c>
      <c r="DX2454" s="497" t="s">
        <v>1153</v>
      </c>
      <c r="DZ2454" s="543">
        <v>1</v>
      </c>
      <c r="EB2454" s="493"/>
      <c r="EC2454" s="493"/>
    </row>
    <row r="2455" spans="120:133" ht="21" customHeight="1">
      <c r="DP2455" s="496"/>
      <c r="DQ2455" s="496"/>
      <c r="DR2455" s="496"/>
      <c r="DS2455" s="496" t="s">
        <v>5200</v>
      </c>
      <c r="DT2455" s="496" t="s">
        <v>5200</v>
      </c>
      <c r="DU2455" s="496" t="s">
        <v>1085</v>
      </c>
      <c r="DV2455" s="496" t="s">
        <v>5797</v>
      </c>
      <c r="DW2455" s="496" t="s">
        <v>5795</v>
      </c>
      <c r="DX2455" s="497" t="s">
        <v>1153</v>
      </c>
      <c r="DZ2455" s="543">
        <v>1</v>
      </c>
      <c r="EB2455" s="493"/>
      <c r="EC2455" s="493"/>
    </row>
    <row r="2456" spans="120:133" ht="21" customHeight="1">
      <c r="DP2456" s="496"/>
      <c r="DQ2456" s="496"/>
      <c r="DR2456" s="496"/>
      <c r="DS2456" s="496" t="s">
        <v>5223</v>
      </c>
      <c r="DT2456" s="496" t="s">
        <v>5224</v>
      </c>
      <c r="DU2456" s="496" t="s">
        <v>1085</v>
      </c>
      <c r="DV2456" s="496" t="s">
        <v>5797</v>
      </c>
      <c r="DW2456" s="496" t="s">
        <v>5795</v>
      </c>
      <c r="DX2456" s="497" t="s">
        <v>1153</v>
      </c>
      <c r="DZ2456" s="543">
        <v>1</v>
      </c>
      <c r="EB2456" s="493"/>
      <c r="EC2456" s="493"/>
    </row>
    <row r="2457" spans="120:133" ht="21" customHeight="1">
      <c r="DP2457" s="496"/>
      <c r="DQ2457" s="496"/>
      <c r="DR2457" s="496"/>
      <c r="DS2457" s="496" t="s">
        <v>5177</v>
      </c>
      <c r="DT2457" s="496" t="s">
        <v>5178</v>
      </c>
      <c r="DU2457" s="496" t="s">
        <v>1085</v>
      </c>
      <c r="DV2457" s="496" t="s">
        <v>5797</v>
      </c>
      <c r="DW2457" s="496" t="s">
        <v>5795</v>
      </c>
      <c r="DX2457" s="497" t="s">
        <v>1153</v>
      </c>
      <c r="DZ2457" s="543">
        <v>1</v>
      </c>
      <c r="EB2457" s="493"/>
      <c r="EC2457" s="493"/>
    </row>
    <row r="2458" spans="120:133" ht="21" customHeight="1">
      <c r="DP2458" s="496"/>
      <c r="DQ2458" s="496"/>
      <c r="DR2458" s="496"/>
      <c r="DS2458" s="496" t="s">
        <v>5206</v>
      </c>
      <c r="DT2458" s="496" t="s">
        <v>5206</v>
      </c>
      <c r="DU2458" s="496" t="s">
        <v>1085</v>
      </c>
      <c r="DV2458" s="496" t="s">
        <v>5797</v>
      </c>
      <c r="DW2458" s="496" t="s">
        <v>5795</v>
      </c>
      <c r="DX2458" s="497" t="s">
        <v>1153</v>
      </c>
      <c r="DZ2458" s="543">
        <v>1</v>
      </c>
      <c r="EB2458" s="493"/>
      <c r="EC2458" s="493"/>
    </row>
    <row r="2459" spans="120:133" ht="21" customHeight="1">
      <c r="DP2459" s="496"/>
      <c r="DQ2459" s="496"/>
      <c r="DR2459" s="496"/>
      <c r="DS2459" s="496" t="s">
        <v>5173</v>
      </c>
      <c r="DT2459" s="496" t="s">
        <v>5173</v>
      </c>
      <c r="DU2459" s="496" t="s">
        <v>1085</v>
      </c>
      <c r="DV2459" s="496" t="s">
        <v>5797</v>
      </c>
      <c r="DW2459" s="496" t="s">
        <v>5795</v>
      </c>
      <c r="DX2459" s="497" t="s">
        <v>1153</v>
      </c>
      <c r="DZ2459" s="543">
        <v>1</v>
      </c>
      <c r="EB2459" s="493"/>
      <c r="EC2459" s="493"/>
    </row>
    <row r="2460" spans="120:133" ht="15">
      <c r="DP2460" s="496"/>
      <c r="DQ2460" s="496"/>
      <c r="DR2460" s="496"/>
      <c r="DS2460" s="496" t="s">
        <v>5198</v>
      </c>
      <c r="DT2460" s="496" t="s">
        <v>5198</v>
      </c>
      <c r="DU2460" s="496" t="s">
        <v>1085</v>
      </c>
      <c r="DV2460" s="496" t="s">
        <v>5797</v>
      </c>
      <c r="DW2460" s="496" t="s">
        <v>5795</v>
      </c>
      <c r="DX2460" s="497" t="s">
        <v>1153</v>
      </c>
      <c r="DZ2460" s="543">
        <v>1</v>
      </c>
      <c r="EB2460" s="493"/>
      <c r="EC2460" s="493"/>
    </row>
    <row r="2461" spans="120:133" ht="15">
      <c r="DP2461" s="496"/>
      <c r="DQ2461" s="496"/>
      <c r="DR2461" s="496"/>
      <c r="DS2461" s="496" t="s">
        <v>5204</v>
      </c>
      <c r="DT2461" s="496" t="s">
        <v>5204</v>
      </c>
      <c r="DU2461" s="496" t="s">
        <v>1085</v>
      </c>
      <c r="DV2461" s="496" t="s">
        <v>5797</v>
      </c>
      <c r="DW2461" s="496" t="s">
        <v>5795</v>
      </c>
      <c r="DX2461" s="497" t="s">
        <v>1153</v>
      </c>
      <c r="DZ2461" s="543">
        <v>1</v>
      </c>
      <c r="EB2461" s="493"/>
      <c r="EC2461" s="493"/>
    </row>
    <row r="2462" spans="120:133" ht="15">
      <c r="DP2462" s="576"/>
      <c r="DQ2462" s="576"/>
      <c r="DR2462" s="576"/>
      <c r="DS2462" s="576" t="s">
        <v>5221</v>
      </c>
      <c r="DT2462" s="576" t="s">
        <v>5221</v>
      </c>
      <c r="DU2462" s="576" t="s">
        <v>1085</v>
      </c>
      <c r="DV2462" s="576" t="s">
        <v>5797</v>
      </c>
      <c r="DW2462" s="576" t="s">
        <v>5795</v>
      </c>
      <c r="DX2462" s="577" t="s">
        <v>1153</v>
      </c>
      <c r="DZ2462" s="543">
        <v>1</v>
      </c>
      <c r="EB2462" s="493"/>
      <c r="EC2462" s="493"/>
    </row>
    <row r="2463" spans="120:133" ht="15">
      <c r="DR2463" s="578" t="s">
        <v>1511</v>
      </c>
      <c r="DS2463" s="578" t="s">
        <v>313</v>
      </c>
      <c r="DT2463" s="578" t="s">
        <v>313</v>
      </c>
      <c r="DU2463" s="578" t="s">
        <v>1085</v>
      </c>
      <c r="DV2463" s="578" t="s">
        <v>5896</v>
      </c>
      <c r="DW2463" s="578" t="s">
        <v>1087</v>
      </c>
      <c r="DX2463" s="578" t="s">
        <v>1088</v>
      </c>
      <c r="DZ2463" s="543">
        <v>1</v>
      </c>
      <c r="EB2463" s="493"/>
      <c r="EC2463" s="493"/>
    </row>
    <row r="2464" spans="120:133" ht="15">
      <c r="DQ2464" s="578"/>
      <c r="DR2464" s="578" t="s">
        <v>1960</v>
      </c>
      <c r="DS2464" s="578" t="s">
        <v>5901</v>
      </c>
      <c r="DT2464" s="578" t="s">
        <v>5901</v>
      </c>
      <c r="DU2464" s="578" t="s">
        <v>1085</v>
      </c>
      <c r="DV2464" s="578" t="s">
        <v>6099</v>
      </c>
      <c r="DW2464" s="578" t="s">
        <v>3961</v>
      </c>
      <c r="DX2464" s="578" t="s">
        <v>6100</v>
      </c>
      <c r="DZ2464" s="543">
        <v>1</v>
      </c>
      <c r="EB2464" s="493"/>
      <c r="EC2464" s="493"/>
    </row>
    <row r="2465" spans="29:133" ht="15">
      <c r="DZ2465" s="543">
        <v>1</v>
      </c>
      <c r="EB2465" s="493"/>
      <c r="EC2465" s="493"/>
    </row>
    <row r="2466" spans="29:133" ht="15">
      <c r="DZ2466" s="543">
        <v>1</v>
      </c>
      <c r="EB2466" s="493"/>
      <c r="EC2466" s="493"/>
    </row>
    <row r="2467" spans="29:133">
      <c r="DZ2467" s="579" t="s">
        <v>380</v>
      </c>
      <c r="EB2467" s="493"/>
      <c r="EC2467" s="493"/>
    </row>
    <row r="2468" spans="29:133" ht="15">
      <c r="AC2468" s="543">
        <v>1</v>
      </c>
      <c r="AD2468" s="543">
        <v>1</v>
      </c>
      <c r="AE2468" s="543">
        <v>1</v>
      </c>
      <c r="AF2468" s="543">
        <v>1</v>
      </c>
      <c r="AG2468" s="543">
        <v>1</v>
      </c>
      <c r="AH2468" s="543">
        <v>1</v>
      </c>
      <c r="AI2468" s="543">
        <v>1</v>
      </c>
      <c r="AJ2468" s="543">
        <v>1</v>
      </c>
      <c r="AK2468" s="543">
        <v>1</v>
      </c>
      <c r="AL2468" s="543">
        <v>1</v>
      </c>
      <c r="AM2468" s="543">
        <v>1</v>
      </c>
      <c r="AN2468" s="543">
        <v>1</v>
      </c>
      <c r="AO2468" s="543">
        <v>1</v>
      </c>
      <c r="AP2468" s="543">
        <v>1</v>
      </c>
      <c r="AQ2468" s="543">
        <v>1</v>
      </c>
      <c r="AR2468" s="543">
        <v>1</v>
      </c>
      <c r="AS2468" s="543">
        <v>1</v>
      </c>
      <c r="AT2468" s="543">
        <v>1</v>
      </c>
      <c r="AU2468" s="543">
        <v>1</v>
      </c>
      <c r="AV2468" s="543">
        <v>1</v>
      </c>
      <c r="AW2468" s="543">
        <v>1</v>
      </c>
      <c r="AX2468" s="543">
        <v>1</v>
      </c>
      <c r="AY2468" s="543">
        <v>1</v>
      </c>
      <c r="AZ2468" s="543">
        <v>1</v>
      </c>
      <c r="BA2468" s="543">
        <v>1</v>
      </c>
      <c r="BB2468" s="543">
        <v>1</v>
      </c>
      <c r="BC2468" s="543">
        <v>1</v>
      </c>
      <c r="BD2468" s="543">
        <v>1</v>
      </c>
      <c r="BE2468" s="543">
        <v>1</v>
      </c>
      <c r="BF2468" s="543">
        <v>1</v>
      </c>
      <c r="BG2468" s="543">
        <v>1</v>
      </c>
      <c r="BH2468" s="543">
        <v>1</v>
      </c>
      <c r="BI2468" s="543">
        <v>1</v>
      </c>
      <c r="BJ2468" s="543">
        <v>1</v>
      </c>
      <c r="BK2468" s="543">
        <v>1</v>
      </c>
      <c r="BL2468" s="543">
        <v>1</v>
      </c>
      <c r="BM2468" s="543">
        <v>1</v>
      </c>
      <c r="BN2468" s="543">
        <v>1</v>
      </c>
      <c r="BO2468" s="543">
        <v>1</v>
      </c>
      <c r="BP2468" s="543">
        <v>1</v>
      </c>
      <c r="BQ2468" s="543">
        <v>1</v>
      </c>
      <c r="BR2468" s="543">
        <v>1</v>
      </c>
      <c r="BS2468" s="543">
        <v>1</v>
      </c>
      <c r="BT2468" s="543">
        <v>1</v>
      </c>
      <c r="BU2468" s="543">
        <v>1</v>
      </c>
      <c r="BV2468" s="543">
        <v>1</v>
      </c>
      <c r="BW2468" s="543">
        <v>1</v>
      </c>
      <c r="BX2468" s="543">
        <v>1</v>
      </c>
      <c r="BY2468" s="543">
        <v>1</v>
      </c>
      <c r="BZ2468" s="543">
        <v>1</v>
      </c>
      <c r="CA2468" s="543">
        <v>1</v>
      </c>
      <c r="CB2468" s="543">
        <v>1</v>
      </c>
      <c r="CC2468" s="543">
        <v>1</v>
      </c>
      <c r="CD2468" s="543">
        <v>1</v>
      </c>
      <c r="CE2468" s="543">
        <v>1</v>
      </c>
      <c r="CF2468" s="543">
        <v>1</v>
      </c>
      <c r="CG2468" s="543">
        <v>1</v>
      </c>
      <c r="CH2468" s="543">
        <v>1</v>
      </c>
      <c r="CI2468" s="543">
        <v>1</v>
      </c>
      <c r="CJ2468" s="543">
        <v>1</v>
      </c>
      <c r="CK2468" s="543">
        <v>1</v>
      </c>
      <c r="CL2468" s="543">
        <v>1</v>
      </c>
      <c r="CM2468" s="543">
        <v>1</v>
      </c>
      <c r="CN2468" s="543">
        <v>1</v>
      </c>
      <c r="CO2468" s="543">
        <v>1</v>
      </c>
      <c r="CP2468" s="543">
        <v>1</v>
      </c>
      <c r="CQ2468" s="543">
        <v>1</v>
      </c>
      <c r="CR2468" s="543">
        <v>1</v>
      </c>
      <c r="CS2468" s="543">
        <v>1</v>
      </c>
      <c r="CT2468" s="543">
        <v>1</v>
      </c>
      <c r="CU2468" s="543">
        <v>1</v>
      </c>
      <c r="CV2468" s="543">
        <v>1</v>
      </c>
      <c r="CW2468" s="543">
        <v>1</v>
      </c>
      <c r="CX2468" s="543">
        <v>1</v>
      </c>
      <c r="CY2468" s="543">
        <v>1</v>
      </c>
      <c r="CZ2468" s="543">
        <v>1</v>
      </c>
      <c r="DA2468" s="543">
        <v>1</v>
      </c>
      <c r="DB2468" s="543">
        <v>1</v>
      </c>
      <c r="DC2468" s="543">
        <v>1</v>
      </c>
      <c r="DD2468" s="543">
        <v>1</v>
      </c>
      <c r="DE2468" s="543">
        <v>1</v>
      </c>
      <c r="DF2468" s="543">
        <v>1</v>
      </c>
      <c r="DG2468" s="543">
        <v>1</v>
      </c>
      <c r="DH2468" s="543">
        <v>1</v>
      </c>
      <c r="DI2468" s="543">
        <v>1</v>
      </c>
      <c r="DJ2468" s="543">
        <v>1</v>
      </c>
      <c r="DK2468" s="543">
        <v>1</v>
      </c>
      <c r="DL2468" s="543">
        <v>1</v>
      </c>
      <c r="DM2468" s="543">
        <v>1</v>
      </c>
      <c r="DN2468" s="543">
        <v>1</v>
      </c>
      <c r="DO2468" s="543">
        <v>1</v>
      </c>
      <c r="DP2468" s="543">
        <v>1</v>
      </c>
      <c r="DQ2468" s="543">
        <v>1</v>
      </c>
      <c r="DR2468" s="543">
        <v>1</v>
      </c>
      <c r="DS2468" s="543">
        <v>1</v>
      </c>
      <c r="DT2468" s="543">
        <v>1</v>
      </c>
      <c r="DU2468" s="543">
        <v>1</v>
      </c>
      <c r="DV2468" s="543">
        <v>1</v>
      </c>
      <c r="DW2468" s="543">
        <v>1</v>
      </c>
      <c r="DX2468" s="543">
        <v>1</v>
      </c>
      <c r="DY2468" s="543">
        <v>1</v>
      </c>
      <c r="DZ2468" s="545" t="str">
        <f>ADDRESS(ROW(),COLUMN(),4)</f>
        <v>DZ2468</v>
      </c>
      <c r="EB2468" s="493"/>
      <c r="EC2468" s="493"/>
    </row>
  </sheetData>
  <mergeCells count="52">
    <mergeCell ref="L11:M11"/>
    <mergeCell ref="B3:B4"/>
    <mergeCell ref="F3:W4"/>
    <mergeCell ref="X3:Y3"/>
    <mergeCell ref="AA3:AA5"/>
    <mergeCell ref="X4:Y4"/>
    <mergeCell ref="M6:V7"/>
    <mergeCell ref="W6:X7"/>
    <mergeCell ref="Y6:Y7"/>
    <mergeCell ref="AC8:AU8"/>
    <mergeCell ref="N9:U10"/>
    <mergeCell ref="AC9:AU9"/>
    <mergeCell ref="AA10:AA11"/>
    <mergeCell ref="AC10:AU10"/>
    <mergeCell ref="L12:N12"/>
    <mergeCell ref="AD12:AF12"/>
    <mergeCell ref="M14:M15"/>
    <mergeCell ref="N14:N15"/>
    <mergeCell ref="O14:O15"/>
    <mergeCell ref="P14:P15"/>
    <mergeCell ref="U14:U15"/>
    <mergeCell ref="V14:V15"/>
    <mergeCell ref="W14:W15"/>
    <mergeCell ref="X14:X15"/>
    <mergeCell ref="B20:B21"/>
    <mergeCell ref="AA24:AA27"/>
    <mergeCell ref="AA28:AA30"/>
    <mergeCell ref="AM14:AM15"/>
    <mergeCell ref="AN14:AN15"/>
    <mergeCell ref="AG14:AG15"/>
    <mergeCell ref="AH14:AH15"/>
    <mergeCell ref="AI14:AI15"/>
    <mergeCell ref="AJ14:AJ15"/>
    <mergeCell ref="AK14:AK15"/>
    <mergeCell ref="AL14:AL15"/>
    <mergeCell ref="Y14:Y15"/>
    <mergeCell ref="AA14:AA15"/>
    <mergeCell ref="AC14:AC15"/>
    <mergeCell ref="AD14:AD15"/>
    <mergeCell ref="AE14:AE15"/>
    <mergeCell ref="AA31:AA33"/>
    <mergeCell ref="AC79:AU79"/>
    <mergeCell ref="AC89:AU89"/>
    <mergeCell ref="AC103:AU103"/>
    <mergeCell ref="AS14:AS15"/>
    <mergeCell ref="AT14:AT15"/>
    <mergeCell ref="AU14:AU15"/>
    <mergeCell ref="AO14:AO15"/>
    <mergeCell ref="AP14:AP15"/>
    <mergeCell ref="AQ14:AQ15"/>
    <mergeCell ref="AR14:AR15"/>
    <mergeCell ref="AF14:AF15"/>
  </mergeCells>
  <conditionalFormatting sqref="O16:O27">
    <cfRule type="cellIs" dxfId="32" priority="3" operator="notEqual">
      <formula>1</formula>
    </cfRule>
  </conditionalFormatting>
  <conditionalFormatting sqref="AG16:AT75">
    <cfRule type="expression" dxfId="31" priority="1">
      <formula>AG16="X"</formula>
    </cfRule>
    <cfRule type="expression" dxfId="30" priority="2">
      <formula>AG16="?"</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7C29A-E016-46B2-9E9C-7B217133C4CE}">
  <dimension ref="A1:H92"/>
  <sheetViews>
    <sheetView showGridLines="0" workbookViewId="0">
      <selection activeCell="J11" sqref="J11"/>
    </sheetView>
  </sheetViews>
  <sheetFormatPr baseColWidth="10" defaultColWidth="10.28515625" defaultRowHeight="15.75"/>
  <cols>
    <col min="1" max="1" width="3.42578125" style="581" customWidth="1"/>
    <col min="2" max="2" width="27.42578125" style="581" customWidth="1"/>
    <col min="3" max="3" width="38.85546875" style="581" customWidth="1"/>
    <col min="4" max="4" width="57.140625" style="581" customWidth="1"/>
    <col min="5" max="5" width="75.42578125" style="581" customWidth="1"/>
    <col min="6" max="6" width="8.85546875" style="581" customWidth="1"/>
    <col min="7" max="7" width="10.28515625" style="580"/>
    <col min="8" max="16384" width="10.28515625" style="581"/>
  </cols>
  <sheetData>
    <row r="1" spans="2:8" ht="33.950000000000003" customHeight="1">
      <c r="B1" s="1228" t="s">
        <v>6101</v>
      </c>
      <c r="C1" s="1229"/>
      <c r="D1" s="1229"/>
      <c r="E1" s="1230"/>
      <c r="G1" s="543">
        <v>1</v>
      </c>
    </row>
    <row r="2" spans="2:8" ht="33.950000000000003" customHeight="1" thickBot="1">
      <c r="B2" s="1231"/>
      <c r="C2" s="1232"/>
      <c r="D2" s="1232"/>
      <c r="E2" s="1233"/>
      <c r="G2" s="543">
        <v>1</v>
      </c>
      <c r="H2" s="473" t="s">
        <v>841</v>
      </c>
    </row>
    <row r="3" spans="2:8" ht="33.950000000000003" customHeight="1">
      <c r="B3" s="1234" t="s">
        <v>6102</v>
      </c>
      <c r="C3" s="1235"/>
      <c r="D3" s="1235"/>
      <c r="E3" s="1236"/>
      <c r="G3" s="543">
        <v>1</v>
      </c>
    </row>
    <row r="4" spans="2:8" ht="33.950000000000003" customHeight="1">
      <c r="B4" s="1237" t="s">
        <v>6103</v>
      </c>
      <c r="C4" s="1238"/>
      <c r="D4" s="1238"/>
      <c r="E4" s="1239"/>
      <c r="G4" s="543">
        <v>1</v>
      </c>
    </row>
    <row r="5" spans="2:8" ht="16.5" thickBot="1">
      <c r="B5" s="499" t="s">
        <v>6104</v>
      </c>
      <c r="C5" s="582"/>
      <c r="D5" s="582"/>
      <c r="E5" s="544" t="s">
        <v>634</v>
      </c>
      <c r="F5" s="545" t="str">
        <f>$G$92</f>
        <v>G92</v>
      </c>
      <c r="G5" s="543">
        <v>1</v>
      </c>
    </row>
    <row r="6" spans="2:8" ht="27.95" customHeight="1" thickBot="1">
      <c r="B6" s="1216" t="s">
        <v>6105</v>
      </c>
      <c r="C6" s="1217"/>
      <c r="D6" s="1217"/>
      <c r="E6" s="1218"/>
      <c r="G6" s="543">
        <v>1</v>
      </c>
    </row>
    <row r="7" spans="2:8" ht="18.75">
      <c r="B7" s="583" t="s">
        <v>6106</v>
      </c>
      <c r="C7" s="583" t="s">
        <v>6107</v>
      </c>
      <c r="D7" s="583" t="s">
        <v>6108</v>
      </c>
      <c r="E7" s="583" t="s">
        <v>6109</v>
      </c>
      <c r="G7" s="543">
        <v>1</v>
      </c>
    </row>
    <row r="8" spans="2:8" ht="57.95" customHeight="1">
      <c r="B8" s="584" t="s">
        <v>6110</v>
      </c>
      <c r="C8" s="585" t="s">
        <v>6111</v>
      </c>
      <c r="D8" s="586" t="s">
        <v>6112</v>
      </c>
      <c r="E8" s="587" t="s">
        <v>6113</v>
      </c>
      <c r="G8" s="543">
        <v>1</v>
      </c>
    </row>
    <row r="9" spans="2:8" ht="57.95" customHeight="1">
      <c r="B9" s="584" t="s">
        <v>6114</v>
      </c>
      <c r="C9" s="585" t="s">
        <v>6115</v>
      </c>
      <c r="D9" s="586" t="s">
        <v>6116</v>
      </c>
      <c r="E9" s="587" t="s">
        <v>6117</v>
      </c>
      <c r="G9" s="543">
        <v>1</v>
      </c>
    </row>
    <row r="10" spans="2:8" ht="57.95" customHeight="1">
      <c r="B10" s="584" t="s">
        <v>6118</v>
      </c>
      <c r="C10" s="585" t="s">
        <v>6119</v>
      </c>
      <c r="D10" s="586" t="s">
        <v>6120</v>
      </c>
      <c r="E10" s="587" t="s">
        <v>6121</v>
      </c>
      <c r="G10" s="543">
        <v>1</v>
      </c>
    </row>
    <row r="11" spans="2:8" ht="57.95" customHeight="1">
      <c r="B11" s="584" t="s">
        <v>6122</v>
      </c>
      <c r="C11" s="585" t="s">
        <v>6123</v>
      </c>
      <c r="D11" s="586" t="s">
        <v>6124</v>
      </c>
      <c r="E11" s="587" t="s">
        <v>6125</v>
      </c>
      <c r="G11" s="543">
        <v>1</v>
      </c>
    </row>
    <row r="12" spans="2:8" thickBot="1">
      <c r="B12" s="582"/>
      <c r="C12" s="582"/>
      <c r="D12" s="582"/>
      <c r="E12" s="582"/>
      <c r="G12" s="543">
        <v>1</v>
      </c>
    </row>
    <row r="13" spans="2:8" ht="27.95" customHeight="1" thickBot="1">
      <c r="B13" s="1216" t="s">
        <v>6126</v>
      </c>
      <c r="C13" s="1217"/>
      <c r="D13" s="1217"/>
      <c r="E13" s="1218"/>
      <c r="G13" s="543">
        <v>1</v>
      </c>
    </row>
    <row r="14" spans="2:8" ht="18.75">
      <c r="B14" s="583" t="s">
        <v>6127</v>
      </c>
      <c r="C14" s="583" t="s">
        <v>6128</v>
      </c>
      <c r="D14" s="583" t="s">
        <v>6129</v>
      </c>
      <c r="E14" s="583" t="s">
        <v>6130</v>
      </c>
      <c r="G14" s="543">
        <v>1</v>
      </c>
    </row>
    <row r="15" spans="2:8" ht="57.95" customHeight="1">
      <c r="B15" s="588" t="s">
        <v>6131</v>
      </c>
      <c r="C15" s="587" t="s">
        <v>6132</v>
      </c>
      <c r="D15" s="587" t="s">
        <v>6133</v>
      </c>
      <c r="E15" s="587" t="s">
        <v>6134</v>
      </c>
      <c r="G15" s="543">
        <v>1</v>
      </c>
    </row>
    <row r="16" spans="2:8" ht="57.95" customHeight="1">
      <c r="B16" s="588" t="s">
        <v>737</v>
      </c>
      <c r="C16" s="587" t="s">
        <v>6135</v>
      </c>
      <c r="D16" s="587" t="s">
        <v>6136</v>
      </c>
      <c r="E16" s="587" t="s">
        <v>6137</v>
      </c>
      <c r="G16" s="543">
        <v>1</v>
      </c>
    </row>
    <row r="17" spans="2:7" ht="57.95" customHeight="1">
      <c r="B17" s="588" t="s">
        <v>6138</v>
      </c>
      <c r="C17" s="587" t="s">
        <v>6139</v>
      </c>
      <c r="D17" s="587" t="s">
        <v>6140</v>
      </c>
      <c r="E17" s="587" t="s">
        <v>6141</v>
      </c>
      <c r="G17" s="543">
        <v>1</v>
      </c>
    </row>
    <row r="18" spans="2:7" ht="57.95" customHeight="1">
      <c r="B18" s="588" t="s">
        <v>6142</v>
      </c>
      <c r="C18" s="587" t="s">
        <v>1291</v>
      </c>
      <c r="D18" s="587" t="s">
        <v>6143</v>
      </c>
      <c r="E18" s="587" t="s">
        <v>6144</v>
      </c>
      <c r="G18" s="543">
        <v>1</v>
      </c>
    </row>
    <row r="19" spans="2:7" ht="57.95" customHeight="1">
      <c r="B19" s="588" t="s">
        <v>6145</v>
      </c>
      <c r="C19" s="587" t="s">
        <v>6146</v>
      </c>
      <c r="D19" s="587" t="s">
        <v>6147</v>
      </c>
      <c r="E19" s="587" t="s">
        <v>6148</v>
      </c>
      <c r="G19" s="543">
        <v>1</v>
      </c>
    </row>
    <row r="20" spans="2:7" ht="33.950000000000003" customHeight="1">
      <c r="B20" s="1234" t="s">
        <v>6149</v>
      </c>
      <c r="C20" s="1235"/>
      <c r="D20" s="1235"/>
      <c r="E20" s="1236"/>
      <c r="G20" s="543">
        <v>1</v>
      </c>
    </row>
    <row r="21" spans="2:7" thickBot="1">
      <c r="B21" s="582"/>
      <c r="C21" s="582"/>
      <c r="D21" s="582"/>
      <c r="E21" s="582"/>
      <c r="G21" s="543">
        <v>1</v>
      </c>
    </row>
    <row r="22" spans="2:7" ht="27.95" customHeight="1" thickBot="1">
      <c r="B22" s="1216" t="s">
        <v>6150</v>
      </c>
      <c r="C22" s="1217"/>
      <c r="D22" s="1217"/>
      <c r="E22" s="1218"/>
      <c r="G22" s="543">
        <v>1</v>
      </c>
    </row>
    <row r="23" spans="2:7" ht="38.1" customHeight="1">
      <c r="B23" s="1240" t="s">
        <v>6151</v>
      </c>
      <c r="C23" s="1241"/>
      <c r="D23" s="1241"/>
      <c r="E23" s="1242"/>
      <c r="G23" s="543">
        <v>1</v>
      </c>
    </row>
    <row r="24" spans="2:7" ht="18.75">
      <c r="B24" s="583" t="s">
        <v>6128</v>
      </c>
      <c r="C24" s="583" t="s">
        <v>6152</v>
      </c>
      <c r="D24" s="583" t="s">
        <v>6153</v>
      </c>
      <c r="E24" s="583" t="s">
        <v>6154</v>
      </c>
      <c r="G24" s="543">
        <v>1</v>
      </c>
    </row>
    <row r="25" spans="2:7" ht="57.95" customHeight="1">
      <c r="B25" s="585" t="s">
        <v>6132</v>
      </c>
      <c r="C25" s="585" t="s">
        <v>6155</v>
      </c>
      <c r="D25" s="589" t="s">
        <v>6156</v>
      </c>
      <c r="E25" s="590"/>
      <c r="G25" s="543">
        <v>1</v>
      </c>
    </row>
    <row r="26" spans="2:7" ht="57.95" customHeight="1">
      <c r="B26" s="585" t="s">
        <v>6135</v>
      </c>
      <c r="C26" s="585" t="s">
        <v>6157</v>
      </c>
      <c r="D26" s="589" t="s">
        <v>6158</v>
      </c>
      <c r="E26" s="590"/>
      <c r="G26" s="543">
        <v>1</v>
      </c>
    </row>
    <row r="27" spans="2:7" ht="57.95" customHeight="1">
      <c r="B27" s="585" t="s">
        <v>6139</v>
      </c>
      <c r="C27" s="585" t="s">
        <v>6159</v>
      </c>
      <c r="D27" s="589" t="s">
        <v>6160</v>
      </c>
      <c r="E27" s="590"/>
      <c r="G27" s="543">
        <v>1</v>
      </c>
    </row>
    <row r="28" spans="2:7" ht="57.95" customHeight="1">
      <c r="B28" s="585" t="s">
        <v>6161</v>
      </c>
      <c r="C28" s="585" t="s">
        <v>6162</v>
      </c>
      <c r="D28" s="589" t="s">
        <v>6163</v>
      </c>
      <c r="E28" s="590"/>
      <c r="G28" s="543">
        <v>1</v>
      </c>
    </row>
    <row r="29" spans="2:7" ht="57.95" customHeight="1">
      <c r="B29" s="585" t="s">
        <v>6164</v>
      </c>
      <c r="C29" s="585" t="s">
        <v>6165</v>
      </c>
      <c r="D29" s="589" t="s">
        <v>6166</v>
      </c>
      <c r="E29" s="590"/>
      <c r="G29" s="543">
        <v>1</v>
      </c>
    </row>
    <row r="30" spans="2:7" ht="57.95" customHeight="1">
      <c r="B30" s="585" t="s">
        <v>6167</v>
      </c>
      <c r="C30" s="585" t="s">
        <v>6168</v>
      </c>
      <c r="D30" s="589" t="s">
        <v>6169</v>
      </c>
      <c r="E30" s="590"/>
      <c r="G30" s="543">
        <v>1</v>
      </c>
    </row>
    <row r="31" spans="2:7" thickBot="1">
      <c r="B31" s="582"/>
      <c r="C31" s="582"/>
      <c r="D31" s="582"/>
      <c r="E31" s="582"/>
      <c r="G31" s="543">
        <v>1</v>
      </c>
    </row>
    <row r="32" spans="2:7" ht="155.1" customHeight="1" thickBot="1">
      <c r="B32" s="591" t="s">
        <v>6170</v>
      </c>
      <c r="C32" s="592" t="s">
        <v>6171</v>
      </c>
      <c r="D32" s="592" t="s">
        <v>6172</v>
      </c>
      <c r="E32" s="593" t="str">
        <f>IF(COUNTA(E25:E30)=0,"Complétez les cellules jaunes E25:E30.","Contexte : "&amp;E25&amp;CHAR(10)&amp;"Action : "&amp;E26&amp;CHAR(10)&amp;"Données : "&amp;E27&amp;CHAR(10)&amp;"Contraintes : "&amp;E28&amp;CHAR(10)&amp;"Résultat attendu : "&amp;E29&amp;CHAR(10)&amp;"Contrôle : "&amp;E30)</f>
        <v>Complétez les cellules jaunes E25:E30.</v>
      </c>
      <c r="G32" s="543">
        <v>1</v>
      </c>
    </row>
    <row r="33" spans="2:7" thickBot="1">
      <c r="B33" s="582"/>
      <c r="C33" s="582"/>
      <c r="D33" s="582"/>
      <c r="E33" s="582"/>
      <c r="G33" s="543">
        <v>1</v>
      </c>
    </row>
    <row r="34" spans="2:7" ht="27.95" customHeight="1" thickBot="1">
      <c r="B34" s="1216" t="s">
        <v>6173</v>
      </c>
      <c r="C34" s="1217"/>
      <c r="D34" s="1217"/>
      <c r="E34" s="1218"/>
      <c r="G34" s="543">
        <v>1</v>
      </c>
    </row>
    <row r="35" spans="2:7" ht="18.75">
      <c r="B35" s="583" t="s">
        <v>1094</v>
      </c>
      <c r="C35" s="583" t="s">
        <v>6174</v>
      </c>
      <c r="D35" s="583" t="s">
        <v>6175</v>
      </c>
      <c r="E35" s="583" t="s">
        <v>6176</v>
      </c>
      <c r="G35" s="543">
        <v>1</v>
      </c>
    </row>
    <row r="36" spans="2:7" ht="45.95" customHeight="1">
      <c r="B36" s="594">
        <v>1</v>
      </c>
      <c r="C36" s="585" t="s">
        <v>5989</v>
      </c>
      <c r="D36" s="587" t="s">
        <v>6177</v>
      </c>
      <c r="E36" s="595"/>
      <c r="G36" s="543">
        <v>1</v>
      </c>
    </row>
    <row r="37" spans="2:7" ht="45.95" customHeight="1">
      <c r="B37" s="594">
        <v>2</v>
      </c>
      <c r="C37" s="585" t="s">
        <v>6178</v>
      </c>
      <c r="D37" s="587" t="s">
        <v>6179</v>
      </c>
      <c r="E37" s="595"/>
      <c r="G37" s="543">
        <v>1</v>
      </c>
    </row>
    <row r="38" spans="2:7" ht="45.95" customHeight="1">
      <c r="B38" s="594">
        <v>3</v>
      </c>
      <c r="C38" s="585" t="s">
        <v>6180</v>
      </c>
      <c r="D38" s="587" t="s">
        <v>6181</v>
      </c>
      <c r="E38" s="595"/>
      <c r="G38" s="543">
        <v>1</v>
      </c>
    </row>
    <row r="39" spans="2:7" ht="45.95" customHeight="1">
      <c r="B39" s="594">
        <v>4</v>
      </c>
      <c r="C39" s="585" t="s">
        <v>6182</v>
      </c>
      <c r="D39" s="587" t="s">
        <v>6183</v>
      </c>
      <c r="E39" s="595"/>
      <c r="G39" s="543">
        <v>1</v>
      </c>
    </row>
    <row r="40" spans="2:7" ht="45.95" customHeight="1">
      <c r="B40" s="594">
        <v>5</v>
      </c>
      <c r="C40" s="585" t="s">
        <v>526</v>
      </c>
      <c r="D40" s="587" t="s">
        <v>6184</v>
      </c>
      <c r="E40" s="595"/>
      <c r="G40" s="543">
        <v>1</v>
      </c>
    </row>
    <row r="41" spans="2:7" ht="45.95" customHeight="1">
      <c r="B41" s="594">
        <v>6</v>
      </c>
      <c r="C41" s="585" t="s">
        <v>852</v>
      </c>
      <c r="D41" s="587" t="s">
        <v>6185</v>
      </c>
      <c r="E41" s="595"/>
      <c r="G41" s="543">
        <v>1</v>
      </c>
    </row>
    <row r="42" spans="2:7" ht="45.95" customHeight="1" thickBot="1">
      <c r="B42" s="594">
        <v>7</v>
      </c>
      <c r="C42" s="585" t="s">
        <v>6186</v>
      </c>
      <c r="D42" s="587" t="s">
        <v>6187</v>
      </c>
      <c r="E42" s="595"/>
      <c r="G42" s="543">
        <v>1</v>
      </c>
    </row>
    <row r="43" spans="2:7" ht="48" customHeight="1" thickBot="1">
      <c r="B43" s="596" t="s">
        <v>6188</v>
      </c>
      <c r="C43" s="596" t="s">
        <v>6189</v>
      </c>
      <c r="D43" s="596" t="s">
        <v>6190</v>
      </c>
      <c r="E43" s="596" t="str">
        <f>COUNTIF(E36:E42,"X")&amp;"/7 — "&amp;IF(COUNTIF(E36:E42,"X")=7,"PRÊT À TESTER",IF(COUNTIF(E36:E42,"X")&gt;=5,"À AMÉLIORER","À REPRENDRE"))</f>
        <v>0/7 — À REPRENDRE</v>
      </c>
      <c r="G43" s="543">
        <v>1</v>
      </c>
    </row>
    <row r="44" spans="2:7" thickBot="1">
      <c r="B44" s="582"/>
      <c r="C44" s="582"/>
      <c r="D44" s="582"/>
      <c r="E44" s="582"/>
      <c r="G44" s="543">
        <v>1</v>
      </c>
    </row>
    <row r="45" spans="2:7" ht="27.95" customHeight="1" thickBot="1">
      <c r="B45" s="1216" t="s">
        <v>6191</v>
      </c>
      <c r="C45" s="1217"/>
      <c r="D45" s="1217"/>
      <c r="E45" s="1218"/>
      <c r="G45" s="543">
        <v>1</v>
      </c>
    </row>
    <row r="46" spans="2:7" ht="18.75">
      <c r="B46" s="583" t="s">
        <v>6192</v>
      </c>
      <c r="C46" s="583" t="s">
        <v>6193</v>
      </c>
      <c r="D46" s="583" t="s">
        <v>6194</v>
      </c>
      <c r="E46" s="583" t="s">
        <v>6195</v>
      </c>
      <c r="G46" s="543">
        <v>1</v>
      </c>
    </row>
    <row r="47" spans="2:7" ht="105" customHeight="1">
      <c r="B47" s="585" t="s">
        <v>6196</v>
      </c>
      <c r="C47" s="597" t="s">
        <v>6197</v>
      </c>
      <c r="D47" s="586" t="s">
        <v>6198</v>
      </c>
      <c r="E47" s="587" t="s">
        <v>6199</v>
      </c>
      <c r="G47" s="543">
        <v>1</v>
      </c>
    </row>
    <row r="48" spans="2:7" ht="105" customHeight="1">
      <c r="B48" s="585" t="s">
        <v>6081</v>
      </c>
      <c r="C48" s="597" t="s">
        <v>6200</v>
      </c>
      <c r="D48" s="586" t="s">
        <v>6201</v>
      </c>
      <c r="E48" s="587" t="s">
        <v>6202</v>
      </c>
      <c r="G48" s="543">
        <v>1</v>
      </c>
    </row>
    <row r="49" spans="2:7" ht="105" customHeight="1">
      <c r="B49" s="585" t="s">
        <v>6203</v>
      </c>
      <c r="C49" s="597" t="s">
        <v>6204</v>
      </c>
      <c r="D49" s="586" t="s">
        <v>6205</v>
      </c>
      <c r="E49" s="587" t="s">
        <v>6206</v>
      </c>
      <c r="G49" s="543">
        <v>1</v>
      </c>
    </row>
    <row r="50" spans="2:7" thickBot="1">
      <c r="B50" s="582"/>
      <c r="C50" s="582"/>
      <c r="D50" s="582"/>
      <c r="E50" s="582"/>
      <c r="G50" s="543">
        <v>1</v>
      </c>
    </row>
    <row r="51" spans="2:7" ht="27.95" customHeight="1" thickBot="1">
      <c r="B51" s="1216" t="s">
        <v>6207</v>
      </c>
      <c r="C51" s="1217"/>
      <c r="D51" s="1217"/>
      <c r="E51" s="1218"/>
      <c r="G51" s="543">
        <v>1</v>
      </c>
    </row>
    <row r="52" spans="2:7" ht="18.75">
      <c r="B52" s="583" t="s">
        <v>6208</v>
      </c>
      <c r="C52" s="583" t="s">
        <v>6129</v>
      </c>
      <c r="D52" s="583" t="s">
        <v>6178</v>
      </c>
      <c r="E52" s="583" t="s">
        <v>6209</v>
      </c>
      <c r="G52" s="543">
        <v>1</v>
      </c>
    </row>
    <row r="53" spans="2:7" ht="60" customHeight="1">
      <c r="B53" s="594">
        <v>1</v>
      </c>
      <c r="C53" s="598" t="s">
        <v>6210</v>
      </c>
      <c r="D53" s="587" t="s">
        <v>6211</v>
      </c>
      <c r="E53" s="587" t="s">
        <v>6212</v>
      </c>
      <c r="G53" s="543">
        <v>1</v>
      </c>
    </row>
    <row r="54" spans="2:7" ht="60" customHeight="1">
      <c r="B54" s="594">
        <v>2</v>
      </c>
      <c r="C54" s="598" t="s">
        <v>6213</v>
      </c>
      <c r="D54" s="587" t="s">
        <v>6214</v>
      </c>
      <c r="E54" s="587" t="s">
        <v>6215</v>
      </c>
      <c r="G54" s="543">
        <v>1</v>
      </c>
    </row>
    <row r="55" spans="2:7" ht="60" customHeight="1">
      <c r="B55" s="594">
        <v>3</v>
      </c>
      <c r="C55" s="598" t="s">
        <v>6216</v>
      </c>
      <c r="D55" s="587" t="s">
        <v>6217</v>
      </c>
      <c r="E55" s="587" t="s">
        <v>6218</v>
      </c>
      <c r="G55" s="543">
        <v>1</v>
      </c>
    </row>
    <row r="56" spans="2:7" ht="60" customHeight="1">
      <c r="B56" s="594">
        <v>4</v>
      </c>
      <c r="C56" s="598" t="s">
        <v>6219</v>
      </c>
      <c r="D56" s="587" t="s">
        <v>6220</v>
      </c>
      <c r="E56" s="587" t="s">
        <v>6221</v>
      </c>
      <c r="G56" s="543">
        <v>1</v>
      </c>
    </row>
    <row r="57" spans="2:7" ht="51.95" customHeight="1">
      <c r="B57" s="1225" t="s">
        <v>6222</v>
      </c>
      <c r="C57" s="1226"/>
      <c r="D57" s="1226"/>
      <c r="E57" s="1227"/>
      <c r="G57" s="543">
        <v>1</v>
      </c>
    </row>
    <row r="58" spans="2:7" thickBot="1">
      <c r="B58" s="582"/>
      <c r="C58" s="582"/>
      <c r="D58" s="582"/>
      <c r="E58" s="582"/>
      <c r="G58" s="543">
        <v>1</v>
      </c>
    </row>
    <row r="59" spans="2:7" ht="27.95" customHeight="1" thickBot="1">
      <c r="B59" s="1216" t="s">
        <v>6223</v>
      </c>
      <c r="C59" s="1217"/>
      <c r="D59" s="1217"/>
      <c r="E59" s="1218"/>
      <c r="G59" s="543">
        <v>1</v>
      </c>
    </row>
    <row r="60" spans="2:7" ht="18.75">
      <c r="B60" s="583" t="s">
        <v>6224</v>
      </c>
      <c r="C60" s="583" t="s">
        <v>6225</v>
      </c>
      <c r="D60" s="583" t="s">
        <v>6226</v>
      </c>
      <c r="E60" s="583" t="s">
        <v>6089</v>
      </c>
      <c r="G60" s="543">
        <v>1</v>
      </c>
    </row>
    <row r="61" spans="2:7" ht="72" customHeight="1">
      <c r="B61" s="599" t="s">
        <v>6227</v>
      </c>
      <c r="C61" s="585" t="s">
        <v>6228</v>
      </c>
      <c r="D61" s="587" t="s">
        <v>6229</v>
      </c>
      <c r="E61" s="600" t="s">
        <v>6230</v>
      </c>
      <c r="G61" s="543">
        <v>1</v>
      </c>
    </row>
    <row r="62" spans="2:7" ht="72" customHeight="1">
      <c r="B62" s="599" t="s">
        <v>6231</v>
      </c>
      <c r="C62" s="585" t="s">
        <v>6232</v>
      </c>
      <c r="D62" s="587" t="s">
        <v>6233</v>
      </c>
      <c r="E62" s="600" t="s">
        <v>6234</v>
      </c>
      <c r="G62" s="543">
        <v>1</v>
      </c>
    </row>
    <row r="63" spans="2:7" ht="72" customHeight="1">
      <c r="B63" s="599" t="s">
        <v>6235</v>
      </c>
      <c r="C63" s="585" t="s">
        <v>6236</v>
      </c>
      <c r="D63" s="587" t="s">
        <v>6237</v>
      </c>
      <c r="E63" s="600" t="s">
        <v>6238</v>
      </c>
      <c r="G63" s="543">
        <v>1</v>
      </c>
    </row>
    <row r="64" spans="2:7" ht="72" customHeight="1">
      <c r="B64" s="599" t="s">
        <v>6239</v>
      </c>
      <c r="C64" s="585" t="s">
        <v>6240</v>
      </c>
      <c r="D64" s="587" t="s">
        <v>6241</v>
      </c>
      <c r="E64" s="600" t="s">
        <v>6242</v>
      </c>
      <c r="G64" s="543">
        <v>1</v>
      </c>
    </row>
    <row r="65" spans="2:7" ht="72" customHeight="1">
      <c r="B65" s="599" t="s">
        <v>6243</v>
      </c>
      <c r="C65" s="585" t="s">
        <v>6244</v>
      </c>
      <c r="D65" s="587" t="s">
        <v>6245</v>
      </c>
      <c r="E65" s="600" t="s">
        <v>6246</v>
      </c>
      <c r="G65" s="543">
        <v>1</v>
      </c>
    </row>
    <row r="66" spans="2:7" ht="72" customHeight="1">
      <c r="B66" s="599" t="s">
        <v>6247</v>
      </c>
      <c r="C66" s="585" t="s">
        <v>6248</v>
      </c>
      <c r="D66" s="587" t="s">
        <v>6249</v>
      </c>
      <c r="E66" s="600" t="s">
        <v>6250</v>
      </c>
      <c r="G66" s="543">
        <v>1</v>
      </c>
    </row>
    <row r="67" spans="2:7" ht="72" customHeight="1">
      <c r="B67" s="599" t="s">
        <v>6251</v>
      </c>
      <c r="C67" s="585" t="s">
        <v>6252</v>
      </c>
      <c r="D67" s="587" t="s">
        <v>6253</v>
      </c>
      <c r="E67" s="600" t="s">
        <v>6254</v>
      </c>
      <c r="G67" s="543">
        <v>1</v>
      </c>
    </row>
    <row r="68" spans="2:7" thickBot="1">
      <c r="B68" s="582"/>
      <c r="C68" s="582"/>
      <c r="D68" s="582"/>
      <c r="E68" s="582"/>
      <c r="G68" s="543">
        <v>1</v>
      </c>
    </row>
    <row r="69" spans="2:7" ht="27.95" customHeight="1" thickBot="1">
      <c r="B69" s="1216" t="s">
        <v>6255</v>
      </c>
      <c r="C69" s="1217"/>
      <c r="D69" s="1217"/>
      <c r="E69" s="1218"/>
      <c r="G69" s="543">
        <v>1</v>
      </c>
    </row>
    <row r="70" spans="2:7" ht="21">
      <c r="B70" s="601" t="s">
        <v>6192</v>
      </c>
      <c r="C70" s="601" t="s">
        <v>6256</v>
      </c>
      <c r="D70" s="601" t="s">
        <v>6257</v>
      </c>
      <c r="E70" s="601" t="s">
        <v>6258</v>
      </c>
      <c r="G70" s="543">
        <v>1</v>
      </c>
    </row>
    <row r="71" spans="2:7" ht="110.1" customHeight="1">
      <c r="B71" s="585" t="s">
        <v>6259</v>
      </c>
      <c r="C71" s="585" t="s">
        <v>6260</v>
      </c>
      <c r="D71" s="587" t="s">
        <v>6261</v>
      </c>
      <c r="E71" s="590"/>
      <c r="G71" s="543">
        <v>1</v>
      </c>
    </row>
    <row r="72" spans="2:7" ht="110.1" customHeight="1">
      <c r="B72" s="585" t="s">
        <v>6262</v>
      </c>
      <c r="C72" s="585" t="s">
        <v>6263</v>
      </c>
      <c r="D72" s="587" t="s">
        <v>6264</v>
      </c>
      <c r="E72" s="590"/>
      <c r="G72" s="543">
        <v>1</v>
      </c>
    </row>
    <row r="73" spans="2:7" ht="110.1" customHeight="1">
      <c r="B73" s="585" t="s">
        <v>6265</v>
      </c>
      <c r="C73" s="585" t="s">
        <v>6266</v>
      </c>
      <c r="D73" s="587" t="s">
        <v>6267</v>
      </c>
      <c r="E73" s="590"/>
      <c r="G73" s="543">
        <v>1</v>
      </c>
    </row>
    <row r="74" spans="2:7" thickBot="1">
      <c r="B74" s="582"/>
      <c r="C74" s="582"/>
      <c r="D74" s="582"/>
      <c r="E74" s="582"/>
      <c r="G74" s="543">
        <v>1</v>
      </c>
    </row>
    <row r="75" spans="2:7" ht="27.95" customHeight="1" thickBot="1">
      <c r="B75" s="1216" t="s">
        <v>6268</v>
      </c>
      <c r="C75" s="1217"/>
      <c r="D75" s="1217"/>
      <c r="E75" s="1218"/>
      <c r="G75" s="543">
        <v>1</v>
      </c>
    </row>
    <row r="76" spans="2:7" ht="150" customHeight="1" thickBot="1">
      <c r="B76" s="1219" t="s">
        <v>6269</v>
      </c>
      <c r="C76" s="1220"/>
      <c r="D76" s="1220"/>
      <c r="E76" s="1221"/>
      <c r="G76" s="543">
        <v>1</v>
      </c>
    </row>
    <row r="77" spans="2:7" ht="57.95" customHeight="1">
      <c r="B77" s="1222" t="s">
        <v>6270</v>
      </c>
      <c r="C77" s="1223"/>
      <c r="D77" s="1223"/>
      <c r="E77" s="1224"/>
      <c r="G77" s="543">
        <v>1</v>
      </c>
    </row>
    <row r="78" spans="2:7" thickBot="1">
      <c r="B78" s="582"/>
      <c r="C78" s="582"/>
      <c r="D78" s="582"/>
      <c r="E78" s="582"/>
      <c r="G78" s="543">
        <v>1</v>
      </c>
    </row>
    <row r="79" spans="2:7" ht="27.95" customHeight="1" thickBot="1">
      <c r="B79" s="1216" t="s">
        <v>6271</v>
      </c>
      <c r="C79" s="1217"/>
      <c r="D79" s="1217"/>
      <c r="E79" s="1218"/>
      <c r="G79" s="543">
        <v>1</v>
      </c>
    </row>
    <row r="80" spans="2:7" ht="51.95" customHeight="1">
      <c r="B80" s="602" t="s">
        <v>6272</v>
      </c>
      <c r="C80" s="594" t="s">
        <v>6273</v>
      </c>
      <c r="D80" s="585" t="s">
        <v>6274</v>
      </c>
      <c r="E80" s="587" t="s">
        <v>6275</v>
      </c>
      <c r="G80" s="543">
        <v>1</v>
      </c>
    </row>
    <row r="81" spans="1:7" ht="51.95" customHeight="1">
      <c r="B81" s="602" t="s">
        <v>6276</v>
      </c>
      <c r="C81" s="594" t="s">
        <v>6277</v>
      </c>
      <c r="D81" s="585" t="s">
        <v>6278</v>
      </c>
      <c r="E81" s="587" t="s">
        <v>6279</v>
      </c>
      <c r="G81" s="543">
        <v>1</v>
      </c>
    </row>
    <row r="82" spans="1:7" ht="51.95" customHeight="1">
      <c r="B82" s="602" t="s">
        <v>6280</v>
      </c>
      <c r="C82" s="594" t="s">
        <v>6281</v>
      </c>
      <c r="D82" s="585" t="s">
        <v>6282</v>
      </c>
      <c r="E82" s="587" t="s">
        <v>6283</v>
      </c>
      <c r="G82" s="543">
        <v>1</v>
      </c>
    </row>
    <row r="83" spans="1:7" ht="51.95" customHeight="1">
      <c r="B83" s="602" t="s">
        <v>6284</v>
      </c>
      <c r="C83" s="594" t="s">
        <v>6285</v>
      </c>
      <c r="D83" s="585" t="s">
        <v>6286</v>
      </c>
      <c r="E83" s="587" t="s">
        <v>6287</v>
      </c>
      <c r="G83" s="543">
        <v>1</v>
      </c>
    </row>
    <row r="84" spans="1:7" ht="51.95" customHeight="1">
      <c r="B84" s="602" t="s">
        <v>6288</v>
      </c>
      <c r="C84" s="594" t="s">
        <v>6289</v>
      </c>
      <c r="D84" s="585" t="s">
        <v>6290</v>
      </c>
      <c r="E84" s="587" t="s">
        <v>6291</v>
      </c>
      <c r="G84" s="543">
        <v>1</v>
      </c>
    </row>
    <row r="85" spans="1:7" ht="51.95" customHeight="1">
      <c r="B85" s="602" t="s">
        <v>6292</v>
      </c>
      <c r="C85" s="594" t="s">
        <v>6293</v>
      </c>
      <c r="D85" s="585" t="s">
        <v>6294</v>
      </c>
      <c r="E85" s="587" t="s">
        <v>6295</v>
      </c>
      <c r="G85" s="543">
        <v>1</v>
      </c>
    </row>
    <row r="86" spans="1:7" ht="51.95" customHeight="1">
      <c r="B86" s="602" t="s">
        <v>6296</v>
      </c>
      <c r="C86" s="594" t="s">
        <v>6297</v>
      </c>
      <c r="D86" s="585" t="s">
        <v>6298</v>
      </c>
      <c r="E86" s="587" t="s">
        <v>6299</v>
      </c>
      <c r="G86" s="543">
        <v>1</v>
      </c>
    </row>
    <row r="87" spans="1:7" ht="51.95" customHeight="1">
      <c r="B87" s="602" t="s">
        <v>6300</v>
      </c>
      <c r="C87" s="594" t="s">
        <v>6301</v>
      </c>
      <c r="D87" s="585" t="s">
        <v>6302</v>
      </c>
      <c r="E87" s="587" t="s">
        <v>6303</v>
      </c>
      <c r="G87" s="543">
        <v>1</v>
      </c>
    </row>
    <row r="88" spans="1:7" thickBot="1">
      <c r="B88" s="582"/>
      <c r="C88" s="582"/>
      <c r="D88" s="582"/>
      <c r="E88" s="582"/>
      <c r="G88" s="543">
        <v>1</v>
      </c>
    </row>
    <row r="89" spans="1:7" ht="42" customHeight="1" thickBot="1">
      <c r="B89" s="1213" t="s">
        <v>6304</v>
      </c>
      <c r="C89" s="1214"/>
      <c r="D89" s="1214"/>
      <c r="E89" s="1215"/>
      <c r="G89" s="543">
        <v>1</v>
      </c>
    </row>
    <row r="90" spans="1:7" ht="15">
      <c r="G90" s="543">
        <v>1</v>
      </c>
    </row>
    <row r="91" spans="1:7">
      <c r="G91" s="579" t="s">
        <v>380</v>
      </c>
    </row>
    <row r="92" spans="1:7" ht="15">
      <c r="A92" s="543">
        <v>1</v>
      </c>
      <c r="B92" s="543">
        <v>1</v>
      </c>
      <c r="C92" s="543">
        <v>1</v>
      </c>
      <c r="D92" s="543">
        <v>1</v>
      </c>
      <c r="E92" s="543">
        <v>1</v>
      </c>
      <c r="F92" s="543">
        <v>1</v>
      </c>
      <c r="G92" s="545" t="str">
        <f>ADDRESS(ROW(),COLUMN(),4)</f>
        <v>G92</v>
      </c>
    </row>
  </sheetData>
  <mergeCells count="19">
    <mergeCell ref="B57:E57"/>
    <mergeCell ref="B1:E2"/>
    <mergeCell ref="B3:E3"/>
    <mergeCell ref="B4:E4"/>
    <mergeCell ref="B6:E6"/>
    <mergeCell ref="B13:E13"/>
    <mergeCell ref="B20:E20"/>
    <mergeCell ref="B22:E22"/>
    <mergeCell ref="B23:E23"/>
    <mergeCell ref="B34:E34"/>
    <mergeCell ref="B45:E45"/>
    <mergeCell ref="B51:E51"/>
    <mergeCell ref="B89:E89"/>
    <mergeCell ref="B59:E59"/>
    <mergeCell ref="B69:E69"/>
    <mergeCell ref="B75:E75"/>
    <mergeCell ref="B76:E76"/>
    <mergeCell ref="B77:E77"/>
    <mergeCell ref="B79:E7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106FF-82F8-4816-8354-D199ABE901E1}">
  <dimension ref="A1:V2429"/>
  <sheetViews>
    <sheetView showGridLines="0" workbookViewId="0">
      <selection activeCell="R23" sqref="R23"/>
    </sheetView>
  </sheetViews>
  <sheetFormatPr baseColWidth="10" defaultRowHeight="15.75"/>
  <cols>
    <col min="1" max="1" width="4.28515625" style="539" customWidth="1"/>
    <col min="2" max="2" width="12" style="539" customWidth="1"/>
    <col min="3" max="3" width="34" style="539" customWidth="1"/>
    <col min="4" max="4" width="15" style="539" customWidth="1"/>
    <col min="5" max="6" width="38" style="539" customWidth="1"/>
    <col min="7" max="7" width="41.85546875" style="539" customWidth="1"/>
    <col min="8" max="8" width="66" style="539" customWidth="1"/>
    <col min="9" max="9" width="82.85546875" style="539" customWidth="1"/>
    <col min="10" max="10" width="12.85546875" style="539" customWidth="1"/>
    <col min="11" max="11" width="3" style="539" customWidth="1"/>
    <col min="12" max="12" width="16" style="539" customWidth="1"/>
    <col min="13" max="13" width="10" style="539" customWidth="1"/>
    <col min="14" max="14" width="50" style="539" customWidth="1"/>
    <col min="15" max="15" width="3" style="539" customWidth="1"/>
    <col min="16" max="21" width="17" style="539" customWidth="1"/>
    <col min="22" max="22" width="11.42578125" style="539"/>
    <col min="23" max="23" width="17.42578125" style="539" customWidth="1"/>
    <col min="24" max="24" width="2.28515625" style="539" customWidth="1"/>
    <col min="25" max="25" width="12" style="539" customWidth="1"/>
    <col min="26" max="16384" width="11.42578125" style="539"/>
  </cols>
  <sheetData>
    <row r="1" spans="1:22">
      <c r="A1" s="603"/>
      <c r="B1" s="603"/>
      <c r="C1" s="603"/>
      <c r="D1" s="603"/>
      <c r="E1" s="603"/>
      <c r="F1" s="603"/>
      <c r="G1" s="603"/>
      <c r="H1" s="603"/>
      <c r="I1" s="603"/>
      <c r="J1" s="603"/>
      <c r="K1" s="603"/>
      <c r="L1" s="603"/>
      <c r="M1" s="603"/>
      <c r="N1" s="603"/>
      <c r="O1" s="603"/>
      <c r="P1" s="603"/>
      <c r="Q1" s="603"/>
      <c r="R1" s="603"/>
      <c r="S1" s="603"/>
      <c r="T1" s="603"/>
      <c r="U1" s="603"/>
    </row>
    <row r="2" spans="1:22" ht="30" customHeight="1">
      <c r="A2" s="603"/>
      <c r="B2" s="1404" t="s">
        <v>6305</v>
      </c>
      <c r="C2" s="1404"/>
      <c r="D2" s="1404"/>
      <c r="E2" s="1404"/>
      <c r="F2" s="1404"/>
      <c r="G2" s="1404"/>
      <c r="H2" s="1404"/>
      <c r="I2" s="1404"/>
      <c r="J2" s="1404"/>
      <c r="K2" s="1404"/>
      <c r="L2" s="1404"/>
      <c r="M2" s="1404"/>
      <c r="N2" s="1404"/>
      <c r="O2" s="1404"/>
      <c r="P2" s="1404"/>
      <c r="Q2" s="1404"/>
      <c r="R2" s="1404"/>
      <c r="S2" s="1404"/>
      <c r="T2" s="1404"/>
      <c r="U2" s="1404"/>
      <c r="V2" s="473" t="s">
        <v>841</v>
      </c>
    </row>
    <row r="3" spans="1:22" ht="24" customHeight="1">
      <c r="A3" s="603"/>
      <c r="B3" s="1405" t="s">
        <v>6306</v>
      </c>
      <c r="C3" s="1405"/>
      <c r="D3" s="1405"/>
      <c r="E3" s="1405"/>
      <c r="F3" s="1405"/>
      <c r="G3" s="1405"/>
      <c r="H3" s="1405"/>
      <c r="I3" s="1405"/>
      <c r="J3" s="1405"/>
      <c r="K3" s="1405"/>
      <c r="L3" s="1405"/>
      <c r="M3" s="1405"/>
      <c r="N3" s="1405"/>
      <c r="O3" s="1405"/>
      <c r="P3" s="1405"/>
      <c r="Q3" s="1405"/>
      <c r="R3" s="1405"/>
      <c r="S3" s="1405"/>
      <c r="T3" s="1405"/>
      <c r="U3" s="1405"/>
    </row>
    <row r="4" spans="1:22" ht="24" customHeight="1">
      <c r="A4" s="603"/>
      <c r="B4" s="1405"/>
      <c r="C4" s="1405"/>
      <c r="D4" s="1405"/>
      <c r="E4" s="1405"/>
      <c r="F4" s="1405"/>
      <c r="G4" s="1405"/>
      <c r="H4" s="1405"/>
      <c r="I4" s="1405"/>
      <c r="J4" s="1405"/>
      <c r="K4" s="1405"/>
      <c r="L4" s="1405"/>
      <c r="M4" s="1405"/>
      <c r="N4" s="1405"/>
      <c r="O4" s="1405"/>
      <c r="P4" s="1405"/>
      <c r="Q4" s="1405"/>
      <c r="R4" s="1405"/>
      <c r="S4" s="1405"/>
      <c r="T4" s="1405"/>
      <c r="U4" s="1405"/>
    </row>
    <row r="5" spans="1:22">
      <c r="A5" s="603"/>
      <c r="B5" s="499" t="s">
        <v>6104</v>
      </c>
    </row>
    <row r="6" spans="1:22" ht="33.950000000000003" customHeight="1">
      <c r="B6" s="604" t="s">
        <v>1073</v>
      </c>
      <c r="C6" s="604" t="s">
        <v>1074</v>
      </c>
      <c r="D6" s="604" t="s">
        <v>1075</v>
      </c>
      <c r="E6" s="604" t="s">
        <v>1076</v>
      </c>
      <c r="F6" s="604" t="s">
        <v>1077</v>
      </c>
      <c r="G6" s="604" t="s">
        <v>1078</v>
      </c>
      <c r="H6" s="604" t="s">
        <v>851</v>
      </c>
      <c r="I6" s="604" t="s">
        <v>1079</v>
      </c>
      <c r="J6" s="604" t="s">
        <v>1080</v>
      </c>
      <c r="L6" s="1406" t="s">
        <v>6307</v>
      </c>
      <c r="M6" s="1406"/>
      <c r="N6" s="1406"/>
      <c r="P6" s="1406" t="s">
        <v>6308</v>
      </c>
      <c r="Q6" s="1406"/>
      <c r="R6" s="1406"/>
      <c r="S6" s="1406"/>
      <c r="T6" s="1406"/>
      <c r="U6" s="1406"/>
    </row>
    <row r="7" spans="1:22" ht="21" customHeight="1">
      <c r="B7" s="605" t="s">
        <v>1082</v>
      </c>
      <c r="C7" s="606" t="s">
        <v>1083</v>
      </c>
      <c r="D7" s="605" t="s">
        <v>689</v>
      </c>
      <c r="E7" s="606" t="s">
        <v>1084</v>
      </c>
      <c r="F7" s="606" t="s">
        <v>1084</v>
      </c>
      <c r="G7" s="606" t="s">
        <v>1085</v>
      </c>
      <c r="H7" s="606" t="s">
        <v>1086</v>
      </c>
      <c r="I7" s="606" t="s">
        <v>1087</v>
      </c>
      <c r="J7" s="606" t="s">
        <v>1088</v>
      </c>
      <c r="L7" s="607" t="s">
        <v>689</v>
      </c>
      <c r="M7" s="608">
        <v>2003</v>
      </c>
      <c r="N7" s="609" t="s">
        <v>6309</v>
      </c>
      <c r="P7" s="1400" t="s">
        <v>6310</v>
      </c>
      <c r="Q7" s="1400"/>
      <c r="R7" s="1407" t="s">
        <v>6311</v>
      </c>
      <c r="S7" s="1407"/>
      <c r="T7" s="1407"/>
      <c r="U7" s="1407"/>
    </row>
    <row r="8" spans="1:22" ht="21" customHeight="1">
      <c r="B8" s="605" t="s">
        <v>1089</v>
      </c>
      <c r="C8" s="606" t="s">
        <v>1083</v>
      </c>
      <c r="D8" s="605" t="s">
        <v>689</v>
      </c>
      <c r="E8" s="606" t="s">
        <v>1090</v>
      </c>
      <c r="F8" s="606" t="s">
        <v>1091</v>
      </c>
      <c r="G8" s="606" t="s">
        <v>1085</v>
      </c>
      <c r="H8" s="606" t="s">
        <v>1086</v>
      </c>
      <c r="I8" s="606" t="s">
        <v>1087</v>
      </c>
      <c r="J8" s="606" t="s">
        <v>1088</v>
      </c>
      <c r="L8" s="610" t="s">
        <v>1511</v>
      </c>
      <c r="M8" s="608">
        <v>264</v>
      </c>
      <c r="N8" s="609" t="s">
        <v>6312</v>
      </c>
      <c r="P8" s="1400" t="s">
        <v>6313</v>
      </c>
      <c r="Q8" s="1400"/>
      <c r="R8" s="1401">
        <v>2423</v>
      </c>
      <c r="S8" s="1401"/>
      <c r="T8" s="1401"/>
      <c r="U8" s="1401"/>
    </row>
    <row r="9" spans="1:22" ht="21" customHeight="1">
      <c r="B9" s="605" t="s">
        <v>1092</v>
      </c>
      <c r="C9" s="606" t="s">
        <v>1083</v>
      </c>
      <c r="D9" s="605" t="s">
        <v>689</v>
      </c>
      <c r="E9" s="606" t="s">
        <v>142</v>
      </c>
      <c r="F9" s="606" t="s">
        <v>142</v>
      </c>
      <c r="G9" s="606" t="s">
        <v>1085</v>
      </c>
      <c r="H9" s="606" t="s">
        <v>1086</v>
      </c>
      <c r="I9" s="606" t="s">
        <v>1087</v>
      </c>
      <c r="J9" s="606" t="s">
        <v>1088</v>
      </c>
      <c r="L9" s="611" t="s">
        <v>690</v>
      </c>
      <c r="M9" s="608">
        <v>138</v>
      </c>
      <c r="N9" s="609" t="s">
        <v>6314</v>
      </c>
      <c r="P9" s="1400" t="s">
        <v>6315</v>
      </c>
      <c r="Q9" s="1400"/>
      <c r="R9" s="1403">
        <v>0</v>
      </c>
      <c r="S9" s="1403"/>
      <c r="T9" s="1403"/>
      <c r="U9" s="1403"/>
    </row>
    <row r="10" spans="1:22" ht="21" customHeight="1">
      <c r="B10" s="605" t="s">
        <v>1093</v>
      </c>
      <c r="C10" s="606" t="s">
        <v>1083</v>
      </c>
      <c r="D10" s="605" t="s">
        <v>689</v>
      </c>
      <c r="E10" s="606" t="s">
        <v>880</v>
      </c>
      <c r="F10" s="606" t="s">
        <v>880</v>
      </c>
      <c r="G10" s="606" t="s">
        <v>1085</v>
      </c>
      <c r="H10" s="606" t="s">
        <v>1086</v>
      </c>
      <c r="I10" s="606" t="s">
        <v>1087</v>
      </c>
      <c r="J10" s="606" t="s">
        <v>1088</v>
      </c>
      <c r="L10" s="612" t="s">
        <v>1960</v>
      </c>
      <c r="M10" s="608">
        <v>18</v>
      </c>
      <c r="N10" s="609" t="s">
        <v>6316</v>
      </c>
      <c r="P10" s="1400" t="s">
        <v>6317</v>
      </c>
      <c r="Q10" s="1400"/>
      <c r="R10" s="1403">
        <v>0</v>
      </c>
      <c r="S10" s="1403"/>
      <c r="T10" s="1403"/>
      <c r="U10" s="1403"/>
    </row>
    <row r="11" spans="1:22" ht="21" customHeight="1">
      <c r="B11" s="605" t="s">
        <v>1150</v>
      </c>
      <c r="C11" s="606" t="s">
        <v>1083</v>
      </c>
      <c r="D11" s="605" t="s">
        <v>689</v>
      </c>
      <c r="E11" s="606" t="s">
        <v>308</v>
      </c>
      <c r="F11" s="606" t="s">
        <v>308</v>
      </c>
      <c r="G11" s="606" t="s">
        <v>1151</v>
      </c>
      <c r="H11" s="606" t="s">
        <v>1152</v>
      </c>
      <c r="I11" s="606" t="s">
        <v>1087</v>
      </c>
      <c r="J11" s="606" t="s">
        <v>1153</v>
      </c>
      <c r="P11" s="1400" t="s">
        <v>6318</v>
      </c>
      <c r="Q11" s="1400"/>
      <c r="R11" s="1401" t="s">
        <v>6319</v>
      </c>
      <c r="S11" s="1401"/>
      <c r="T11" s="1401"/>
      <c r="U11" s="1401"/>
    </row>
    <row r="12" spans="1:22" ht="21" customHeight="1">
      <c r="B12" s="605" t="s">
        <v>1155</v>
      </c>
      <c r="C12" s="606" t="s">
        <v>1083</v>
      </c>
      <c r="D12" s="605" t="s">
        <v>689</v>
      </c>
      <c r="E12" s="606" t="s">
        <v>1156</v>
      </c>
      <c r="F12" s="606" t="s">
        <v>883</v>
      </c>
      <c r="G12" s="606" t="s">
        <v>1085</v>
      </c>
      <c r="H12" s="606" t="s">
        <v>1086</v>
      </c>
      <c r="I12" s="606" t="s">
        <v>1087</v>
      </c>
      <c r="J12" s="606" t="s">
        <v>1088</v>
      </c>
    </row>
    <row r="13" spans="1:22" ht="21" customHeight="1">
      <c r="B13" s="605" t="s">
        <v>1157</v>
      </c>
      <c r="C13" s="606" t="s">
        <v>1083</v>
      </c>
      <c r="D13" s="605" t="s">
        <v>689</v>
      </c>
      <c r="E13" s="606" t="s">
        <v>1158</v>
      </c>
      <c r="F13" s="606" t="s">
        <v>1159</v>
      </c>
      <c r="G13" s="606" t="s">
        <v>1085</v>
      </c>
      <c r="H13" s="606" t="s">
        <v>1086</v>
      </c>
      <c r="I13" s="606" t="s">
        <v>1087</v>
      </c>
      <c r="J13" s="606" t="s">
        <v>1088</v>
      </c>
      <c r="P13" s="1402" t="s">
        <v>6320</v>
      </c>
      <c r="Q13" s="1402"/>
      <c r="R13" s="1402"/>
      <c r="S13" s="1402"/>
      <c r="T13" s="1402"/>
      <c r="U13" s="1402"/>
    </row>
    <row r="14" spans="1:22" ht="21" customHeight="1">
      <c r="B14" s="605" t="s">
        <v>1161</v>
      </c>
      <c r="C14" s="606" t="s">
        <v>1083</v>
      </c>
      <c r="D14" s="605" t="s">
        <v>689</v>
      </c>
      <c r="E14" s="606" t="s">
        <v>1162</v>
      </c>
      <c r="F14" s="606" t="s">
        <v>1163</v>
      </c>
      <c r="G14" s="606" t="s">
        <v>1085</v>
      </c>
      <c r="H14" s="606" t="s">
        <v>1086</v>
      </c>
      <c r="I14" s="606" t="s">
        <v>1087</v>
      </c>
      <c r="J14" s="606" t="s">
        <v>1088</v>
      </c>
      <c r="P14" s="1402"/>
      <c r="Q14" s="1402"/>
      <c r="R14" s="1402"/>
      <c r="S14" s="1402"/>
      <c r="T14" s="1402"/>
      <c r="U14" s="1402"/>
    </row>
    <row r="15" spans="1:22" ht="21" customHeight="1">
      <c r="B15" s="605" t="s">
        <v>1165</v>
      </c>
      <c r="C15" s="606" t="s">
        <v>1083</v>
      </c>
      <c r="D15" s="605" t="s">
        <v>689</v>
      </c>
      <c r="E15" s="606" t="s">
        <v>1166</v>
      </c>
      <c r="F15" s="606" t="s">
        <v>1167</v>
      </c>
      <c r="G15" s="606" t="s">
        <v>1085</v>
      </c>
      <c r="H15" s="606" t="s">
        <v>1086</v>
      </c>
      <c r="I15" s="606" t="s">
        <v>1087</v>
      </c>
      <c r="J15" s="606" t="s">
        <v>1088</v>
      </c>
    </row>
    <row r="16" spans="1:22" ht="21" customHeight="1">
      <c r="B16" s="605" t="s">
        <v>1168</v>
      </c>
      <c r="C16" s="606" t="s">
        <v>1083</v>
      </c>
      <c r="D16" s="605" t="s">
        <v>689</v>
      </c>
      <c r="E16" s="606" t="s">
        <v>702</v>
      </c>
      <c r="F16" s="606" t="s">
        <v>702</v>
      </c>
      <c r="G16" s="606" t="s">
        <v>1085</v>
      </c>
      <c r="H16" s="606" t="s">
        <v>1086</v>
      </c>
      <c r="I16" s="606" t="s">
        <v>1087</v>
      </c>
      <c r="J16" s="606" t="s">
        <v>1088</v>
      </c>
      <c r="L16" s="613" t="s">
        <v>6321</v>
      </c>
    </row>
    <row r="17" spans="2:12" ht="21" customHeight="1">
      <c r="B17" s="605" t="s">
        <v>1169</v>
      </c>
      <c r="C17" s="606" t="s">
        <v>1083</v>
      </c>
      <c r="D17" s="605" t="s">
        <v>689</v>
      </c>
      <c r="E17" s="606" t="s">
        <v>884</v>
      </c>
      <c r="F17" s="606" t="s">
        <v>884</v>
      </c>
      <c r="G17" s="606" t="s">
        <v>1085</v>
      </c>
      <c r="H17" s="606" t="s">
        <v>1086</v>
      </c>
      <c r="I17" s="606" t="s">
        <v>1087</v>
      </c>
      <c r="J17" s="606" t="s">
        <v>1088</v>
      </c>
      <c r="L17" s="614" t="s">
        <v>6322</v>
      </c>
    </row>
    <row r="18" spans="2:12" ht="21" customHeight="1">
      <c r="B18" s="605" t="s">
        <v>1170</v>
      </c>
      <c r="C18" s="606" t="s">
        <v>1083</v>
      </c>
      <c r="D18" s="605" t="s">
        <v>689</v>
      </c>
      <c r="E18" s="606" t="s">
        <v>309</v>
      </c>
      <c r="F18" s="606" t="s">
        <v>309</v>
      </c>
      <c r="G18" s="606" t="s">
        <v>1085</v>
      </c>
      <c r="H18" s="606" t="s">
        <v>1086</v>
      </c>
      <c r="I18" s="606" t="s">
        <v>1087</v>
      </c>
      <c r="J18" s="606" t="s">
        <v>1088</v>
      </c>
      <c r="L18" s="1" t="s">
        <v>6323</v>
      </c>
    </row>
    <row r="19" spans="2:12" ht="21" customHeight="1">
      <c r="B19" s="605" t="s">
        <v>1171</v>
      </c>
      <c r="C19" s="606" t="s">
        <v>1083</v>
      </c>
      <c r="D19" s="605" t="s">
        <v>689</v>
      </c>
      <c r="E19" s="606" t="s">
        <v>703</v>
      </c>
      <c r="F19" s="606" t="s">
        <v>703</v>
      </c>
      <c r="G19" s="606" t="s">
        <v>1085</v>
      </c>
      <c r="H19" s="606" t="s">
        <v>1086</v>
      </c>
      <c r="I19" s="606" t="s">
        <v>1087</v>
      </c>
      <c r="J19" s="606" t="s">
        <v>1088</v>
      </c>
      <c r="L19" s="614" t="s">
        <v>6324</v>
      </c>
    </row>
    <row r="20" spans="2:12" ht="21" customHeight="1">
      <c r="B20" s="605" t="s">
        <v>1172</v>
      </c>
      <c r="C20" s="606" t="s">
        <v>1083</v>
      </c>
      <c r="D20" s="605" t="s">
        <v>689</v>
      </c>
      <c r="E20" s="606" t="s">
        <v>310</v>
      </c>
      <c r="F20" s="606" t="s">
        <v>29</v>
      </c>
      <c r="G20" s="606" t="s">
        <v>1085</v>
      </c>
      <c r="H20" s="606" t="s">
        <v>1086</v>
      </c>
      <c r="I20" s="606" t="s">
        <v>1087</v>
      </c>
      <c r="J20" s="606" t="s">
        <v>1088</v>
      </c>
      <c r="L20" s="539" t="s">
        <v>6325</v>
      </c>
    </row>
    <row r="21" spans="2:12" ht="21" customHeight="1">
      <c r="B21" s="605" t="s">
        <v>1173</v>
      </c>
      <c r="C21" s="606" t="s">
        <v>1083</v>
      </c>
      <c r="D21" s="605" t="s">
        <v>689</v>
      </c>
      <c r="E21" s="606" t="s">
        <v>183</v>
      </c>
      <c r="F21" s="606" t="s">
        <v>183</v>
      </c>
      <c r="G21" s="606" t="s">
        <v>1085</v>
      </c>
      <c r="H21" s="606" t="s">
        <v>1086</v>
      </c>
      <c r="I21" s="606" t="s">
        <v>1087</v>
      </c>
      <c r="J21" s="606" t="s">
        <v>1088</v>
      </c>
      <c r="L21" s="1" t="s">
        <v>6326</v>
      </c>
    </row>
    <row r="22" spans="2:12" ht="21" customHeight="1">
      <c r="B22" s="605" t="s">
        <v>1174</v>
      </c>
      <c r="C22" s="606" t="s">
        <v>1083</v>
      </c>
      <c r="D22" s="605" t="s">
        <v>689</v>
      </c>
      <c r="E22" s="606" t="s">
        <v>1175</v>
      </c>
      <c r="F22" s="606" t="s">
        <v>1175</v>
      </c>
      <c r="G22" s="606" t="s">
        <v>1151</v>
      </c>
      <c r="H22" s="606" t="s">
        <v>1152</v>
      </c>
      <c r="I22" s="606" t="s">
        <v>1087</v>
      </c>
      <c r="J22" s="606" t="s">
        <v>1153</v>
      </c>
      <c r="L22" s="1" t="s">
        <v>6327</v>
      </c>
    </row>
    <row r="23" spans="2:12" ht="21" customHeight="1">
      <c r="B23" s="605" t="s">
        <v>1176</v>
      </c>
      <c r="C23" s="606" t="s">
        <v>1083</v>
      </c>
      <c r="D23" s="605" t="s">
        <v>689</v>
      </c>
      <c r="E23" s="606" t="s">
        <v>1177</v>
      </c>
      <c r="F23" s="606" t="s">
        <v>1177</v>
      </c>
      <c r="G23" s="606" t="s">
        <v>1151</v>
      </c>
      <c r="H23" s="606" t="s">
        <v>1152</v>
      </c>
      <c r="I23" s="606" t="s">
        <v>1087</v>
      </c>
      <c r="J23" s="606" t="s">
        <v>1153</v>
      </c>
      <c r="L23" s="539" t="s">
        <v>6328</v>
      </c>
    </row>
    <row r="24" spans="2:12" ht="21" customHeight="1">
      <c r="B24" s="605" t="s">
        <v>1178</v>
      </c>
      <c r="C24" s="606" t="s">
        <v>1083</v>
      </c>
      <c r="D24" s="605" t="s">
        <v>689</v>
      </c>
      <c r="E24" s="606" t="s">
        <v>1179</v>
      </c>
      <c r="F24" s="606" t="s">
        <v>1179</v>
      </c>
      <c r="G24" s="606" t="s">
        <v>1085</v>
      </c>
      <c r="H24" s="606" t="s">
        <v>1086</v>
      </c>
      <c r="I24" s="606" t="s">
        <v>1087</v>
      </c>
      <c r="J24" s="606" t="s">
        <v>1088</v>
      </c>
      <c r="L24" s="539" t="s">
        <v>6329</v>
      </c>
    </row>
    <row r="25" spans="2:12" ht="21" customHeight="1">
      <c r="B25" s="605" t="s">
        <v>1180</v>
      </c>
      <c r="C25" s="606" t="s">
        <v>1083</v>
      </c>
      <c r="D25" s="605" t="s">
        <v>689</v>
      </c>
      <c r="E25" s="606" t="s">
        <v>1181</v>
      </c>
      <c r="F25" s="606" t="s">
        <v>1181</v>
      </c>
      <c r="G25" s="606" t="s">
        <v>1085</v>
      </c>
      <c r="H25" s="606" t="s">
        <v>1086</v>
      </c>
      <c r="I25" s="606" t="s">
        <v>1087</v>
      </c>
      <c r="J25" s="606" t="s">
        <v>1088</v>
      </c>
    </row>
    <row r="26" spans="2:12" ht="21" customHeight="1">
      <c r="B26" s="605" t="s">
        <v>1182</v>
      </c>
      <c r="C26" s="606" t="s">
        <v>1083</v>
      </c>
      <c r="D26" s="605" t="s">
        <v>689</v>
      </c>
      <c r="E26" s="606" t="s">
        <v>888</v>
      </c>
      <c r="F26" s="606" t="s">
        <v>888</v>
      </c>
      <c r="G26" s="606" t="s">
        <v>1085</v>
      </c>
      <c r="H26" s="606" t="s">
        <v>1086</v>
      </c>
      <c r="I26" s="606" t="s">
        <v>1087</v>
      </c>
      <c r="J26" s="606" t="s">
        <v>1088</v>
      </c>
    </row>
    <row r="27" spans="2:12" ht="21" customHeight="1">
      <c r="B27" s="605" t="s">
        <v>1183</v>
      </c>
      <c r="C27" s="606" t="s">
        <v>1083</v>
      </c>
      <c r="D27" s="605" t="s">
        <v>689</v>
      </c>
      <c r="E27" s="606" t="s">
        <v>889</v>
      </c>
      <c r="F27" s="606" t="s">
        <v>889</v>
      </c>
      <c r="G27" s="606" t="s">
        <v>1085</v>
      </c>
      <c r="H27" s="606" t="s">
        <v>1086</v>
      </c>
      <c r="I27" s="606" t="s">
        <v>1087</v>
      </c>
      <c r="J27" s="606" t="s">
        <v>1088</v>
      </c>
    </row>
    <row r="28" spans="2:12" ht="21" customHeight="1">
      <c r="B28" s="605" t="s">
        <v>1184</v>
      </c>
      <c r="C28" s="606" t="s">
        <v>1083</v>
      </c>
      <c r="D28" s="605" t="s">
        <v>689</v>
      </c>
      <c r="E28" s="606" t="s">
        <v>1185</v>
      </c>
      <c r="F28" s="606" t="s">
        <v>1185</v>
      </c>
      <c r="G28" s="606" t="s">
        <v>1085</v>
      </c>
      <c r="H28" s="606" t="s">
        <v>1086</v>
      </c>
      <c r="I28" s="606" t="s">
        <v>1087</v>
      </c>
      <c r="J28" s="606" t="s">
        <v>1088</v>
      </c>
    </row>
    <row r="29" spans="2:12" ht="21" customHeight="1">
      <c r="B29" s="605" t="s">
        <v>1187</v>
      </c>
      <c r="C29" s="606" t="s">
        <v>1083</v>
      </c>
      <c r="D29" s="605" t="s">
        <v>689</v>
      </c>
      <c r="E29" s="606" t="s">
        <v>890</v>
      </c>
      <c r="F29" s="606" t="s">
        <v>890</v>
      </c>
      <c r="G29" s="606" t="s">
        <v>1085</v>
      </c>
      <c r="H29" s="606" t="s">
        <v>1086</v>
      </c>
      <c r="I29" s="606" t="s">
        <v>1087</v>
      </c>
      <c r="J29" s="606" t="s">
        <v>1088</v>
      </c>
    </row>
    <row r="30" spans="2:12" ht="21" customHeight="1">
      <c r="B30" s="605" t="s">
        <v>1188</v>
      </c>
      <c r="C30" s="606" t="s">
        <v>1083</v>
      </c>
      <c r="D30" s="605" t="s">
        <v>689</v>
      </c>
      <c r="E30" s="606" t="s">
        <v>891</v>
      </c>
      <c r="F30" s="606" t="s">
        <v>891</v>
      </c>
      <c r="G30" s="606" t="s">
        <v>1085</v>
      </c>
      <c r="H30" s="606" t="s">
        <v>1086</v>
      </c>
      <c r="I30" s="606" t="s">
        <v>1087</v>
      </c>
      <c r="J30" s="606" t="s">
        <v>1088</v>
      </c>
    </row>
    <row r="31" spans="2:12" ht="21" customHeight="1">
      <c r="B31" s="605" t="s">
        <v>1189</v>
      </c>
      <c r="C31" s="606" t="s">
        <v>1083</v>
      </c>
      <c r="D31" s="605" t="s">
        <v>689</v>
      </c>
      <c r="E31" s="606" t="s">
        <v>198</v>
      </c>
      <c r="F31" s="606" t="s">
        <v>198</v>
      </c>
      <c r="G31" s="606" t="s">
        <v>1085</v>
      </c>
      <c r="H31" s="606" t="s">
        <v>1086</v>
      </c>
      <c r="I31" s="606" t="s">
        <v>1087</v>
      </c>
      <c r="J31" s="606" t="s">
        <v>1088</v>
      </c>
    </row>
    <row r="32" spans="2:12" ht="21" customHeight="1">
      <c r="B32" s="605" t="s">
        <v>1190</v>
      </c>
      <c r="C32" s="606" t="s">
        <v>1083</v>
      </c>
      <c r="D32" s="605" t="s">
        <v>689</v>
      </c>
      <c r="E32" s="606" t="s">
        <v>1191</v>
      </c>
      <c r="F32" s="606" t="s">
        <v>1192</v>
      </c>
      <c r="G32" s="606" t="s">
        <v>1085</v>
      </c>
      <c r="H32" s="606" t="s">
        <v>1086</v>
      </c>
      <c r="I32" s="606" t="s">
        <v>1087</v>
      </c>
      <c r="J32" s="606" t="s">
        <v>1088</v>
      </c>
    </row>
    <row r="33" spans="2:10" ht="21" customHeight="1">
      <c r="B33" s="605" t="s">
        <v>1193</v>
      </c>
      <c r="C33" s="606" t="s">
        <v>1083</v>
      </c>
      <c r="D33" s="605" t="s">
        <v>689</v>
      </c>
      <c r="E33" s="606" t="s">
        <v>311</v>
      </c>
      <c r="F33" s="606" t="s">
        <v>311</v>
      </c>
      <c r="G33" s="606" t="s">
        <v>1085</v>
      </c>
      <c r="H33" s="606" t="s">
        <v>1086</v>
      </c>
      <c r="I33" s="606" t="s">
        <v>1087</v>
      </c>
      <c r="J33" s="606" t="s">
        <v>1088</v>
      </c>
    </row>
    <row r="34" spans="2:10" ht="21" customHeight="1">
      <c r="B34" s="605" t="s">
        <v>1194</v>
      </c>
      <c r="C34" s="606" t="s">
        <v>1083</v>
      </c>
      <c r="D34" s="605" t="s">
        <v>689</v>
      </c>
      <c r="E34" s="606" t="s">
        <v>893</v>
      </c>
      <c r="F34" s="606" t="s">
        <v>893</v>
      </c>
      <c r="G34" s="606" t="s">
        <v>1085</v>
      </c>
      <c r="H34" s="606" t="s">
        <v>1086</v>
      </c>
      <c r="I34" s="606" t="s">
        <v>1087</v>
      </c>
      <c r="J34" s="606" t="s">
        <v>1088</v>
      </c>
    </row>
    <row r="35" spans="2:10" ht="21" customHeight="1">
      <c r="B35" s="605" t="s">
        <v>1195</v>
      </c>
      <c r="C35" s="606" t="s">
        <v>1083</v>
      </c>
      <c r="D35" s="605" t="s">
        <v>689</v>
      </c>
      <c r="E35" s="606" t="s">
        <v>187</v>
      </c>
      <c r="F35" s="606" t="s">
        <v>187</v>
      </c>
      <c r="G35" s="606" t="s">
        <v>1085</v>
      </c>
      <c r="H35" s="606" t="s">
        <v>1086</v>
      </c>
      <c r="I35" s="606" t="s">
        <v>1087</v>
      </c>
      <c r="J35" s="606" t="s">
        <v>1088</v>
      </c>
    </row>
    <row r="36" spans="2:10" ht="21" customHeight="1">
      <c r="B36" s="605" t="s">
        <v>1196</v>
      </c>
      <c r="C36" s="606" t="s">
        <v>1083</v>
      </c>
      <c r="D36" s="605" t="s">
        <v>689</v>
      </c>
      <c r="E36" s="606" t="s">
        <v>1197</v>
      </c>
      <c r="F36" s="606" t="s">
        <v>1197</v>
      </c>
      <c r="G36" s="606" t="s">
        <v>1085</v>
      </c>
      <c r="H36" s="606" t="s">
        <v>1086</v>
      </c>
      <c r="I36" s="606" t="s">
        <v>1087</v>
      </c>
      <c r="J36" s="606" t="s">
        <v>1088</v>
      </c>
    </row>
    <row r="37" spans="2:10" ht="21" customHeight="1">
      <c r="B37" s="605" t="s">
        <v>1198</v>
      </c>
      <c r="C37" s="606" t="s">
        <v>1083</v>
      </c>
      <c r="D37" s="605" t="s">
        <v>689</v>
      </c>
      <c r="E37" s="606" t="s">
        <v>1199</v>
      </c>
      <c r="F37" s="606" t="s">
        <v>1199</v>
      </c>
      <c r="G37" s="606" t="s">
        <v>1085</v>
      </c>
      <c r="H37" s="606" t="s">
        <v>1086</v>
      </c>
      <c r="I37" s="606" t="s">
        <v>1087</v>
      </c>
      <c r="J37" s="606" t="s">
        <v>1088</v>
      </c>
    </row>
    <row r="38" spans="2:10" ht="21" customHeight="1">
      <c r="B38" s="605" t="s">
        <v>1200</v>
      </c>
      <c r="C38" s="606" t="s">
        <v>1083</v>
      </c>
      <c r="D38" s="605" t="s">
        <v>689</v>
      </c>
      <c r="E38" s="606" t="s">
        <v>1201</v>
      </c>
      <c r="F38" s="606" t="s">
        <v>895</v>
      </c>
      <c r="G38" s="606" t="s">
        <v>1085</v>
      </c>
      <c r="H38" s="606" t="s">
        <v>1086</v>
      </c>
      <c r="I38" s="606" t="s">
        <v>1087</v>
      </c>
      <c r="J38" s="606" t="s">
        <v>1088</v>
      </c>
    </row>
    <row r="39" spans="2:10" ht="21" customHeight="1">
      <c r="B39" s="605" t="s">
        <v>1202</v>
      </c>
      <c r="C39" s="606" t="s">
        <v>1083</v>
      </c>
      <c r="D39" s="605" t="s">
        <v>689</v>
      </c>
      <c r="E39" s="606" t="s">
        <v>1203</v>
      </c>
      <c r="F39" s="606" t="s">
        <v>896</v>
      </c>
      <c r="G39" s="606" t="s">
        <v>1085</v>
      </c>
      <c r="H39" s="606" t="s">
        <v>1086</v>
      </c>
      <c r="I39" s="606" t="s">
        <v>1087</v>
      </c>
      <c r="J39" s="606" t="s">
        <v>1088</v>
      </c>
    </row>
    <row r="40" spans="2:10" ht="21" customHeight="1">
      <c r="B40" s="605" t="s">
        <v>1204</v>
      </c>
      <c r="C40" s="606" t="s">
        <v>1083</v>
      </c>
      <c r="D40" s="605" t="s">
        <v>689</v>
      </c>
      <c r="E40" s="606" t="s">
        <v>897</v>
      </c>
      <c r="F40" s="606" t="s">
        <v>897</v>
      </c>
      <c r="G40" s="606" t="s">
        <v>1085</v>
      </c>
      <c r="H40" s="606" t="s">
        <v>1086</v>
      </c>
      <c r="I40" s="606" t="s">
        <v>1087</v>
      </c>
      <c r="J40" s="606" t="s">
        <v>1088</v>
      </c>
    </row>
    <row r="41" spans="2:10" ht="21" customHeight="1">
      <c r="B41" s="605" t="s">
        <v>1205</v>
      </c>
      <c r="C41" s="606" t="s">
        <v>1083</v>
      </c>
      <c r="D41" s="605" t="s">
        <v>689</v>
      </c>
      <c r="E41" s="606" t="s">
        <v>1206</v>
      </c>
      <c r="F41" s="606" t="s">
        <v>312</v>
      </c>
      <c r="G41" s="606" t="s">
        <v>1085</v>
      </c>
      <c r="H41" s="606" t="s">
        <v>1086</v>
      </c>
      <c r="I41" s="606" t="s">
        <v>1087</v>
      </c>
      <c r="J41" s="606" t="s">
        <v>1088</v>
      </c>
    </row>
    <row r="42" spans="2:10" ht="21" customHeight="1">
      <c r="B42" s="605" t="s">
        <v>1207</v>
      </c>
      <c r="C42" s="606" t="s">
        <v>1083</v>
      </c>
      <c r="D42" s="605" t="s">
        <v>689</v>
      </c>
      <c r="E42" s="606" t="s">
        <v>321</v>
      </c>
      <c r="F42" s="606" t="s">
        <v>320</v>
      </c>
      <c r="G42" s="606" t="s">
        <v>1085</v>
      </c>
      <c r="H42" s="606" t="s">
        <v>1086</v>
      </c>
      <c r="I42" s="606" t="s">
        <v>1087</v>
      </c>
      <c r="J42" s="606" t="s">
        <v>1088</v>
      </c>
    </row>
    <row r="43" spans="2:10" ht="21" customHeight="1">
      <c r="B43" s="605" t="s">
        <v>1208</v>
      </c>
      <c r="C43" s="606" t="s">
        <v>1083</v>
      </c>
      <c r="D43" s="605" t="s">
        <v>689</v>
      </c>
      <c r="E43" s="606" t="s">
        <v>899</v>
      </c>
      <c r="F43" s="606" t="s">
        <v>899</v>
      </c>
      <c r="G43" s="606" t="s">
        <v>1085</v>
      </c>
      <c r="H43" s="606" t="s">
        <v>1086</v>
      </c>
      <c r="I43" s="606" t="s">
        <v>1087</v>
      </c>
      <c r="J43" s="606" t="s">
        <v>1088</v>
      </c>
    </row>
    <row r="44" spans="2:10" ht="21" customHeight="1">
      <c r="B44" s="605" t="s">
        <v>1209</v>
      </c>
      <c r="C44" s="606" t="s">
        <v>1083</v>
      </c>
      <c r="D44" s="605" t="s">
        <v>689</v>
      </c>
      <c r="E44" s="606" t="s">
        <v>1210</v>
      </c>
      <c r="F44" s="606" t="s">
        <v>900</v>
      </c>
      <c r="G44" s="606" t="s">
        <v>1085</v>
      </c>
      <c r="H44" s="606" t="s">
        <v>1086</v>
      </c>
      <c r="I44" s="606" t="s">
        <v>1087</v>
      </c>
      <c r="J44" s="606" t="s">
        <v>1088</v>
      </c>
    </row>
    <row r="45" spans="2:10" ht="21" customHeight="1">
      <c r="B45" s="605" t="s">
        <v>1211</v>
      </c>
      <c r="C45" s="606" t="s">
        <v>1083</v>
      </c>
      <c r="D45" s="605" t="s">
        <v>689</v>
      </c>
      <c r="E45" s="606" t="s">
        <v>1212</v>
      </c>
      <c r="F45" s="606" t="s">
        <v>901</v>
      </c>
      <c r="G45" s="606" t="s">
        <v>1085</v>
      </c>
      <c r="H45" s="606" t="s">
        <v>1086</v>
      </c>
      <c r="I45" s="606" t="s">
        <v>1087</v>
      </c>
      <c r="J45" s="606" t="s">
        <v>1088</v>
      </c>
    </row>
    <row r="46" spans="2:10" ht="21" customHeight="1">
      <c r="B46" s="605" t="s">
        <v>1213</v>
      </c>
      <c r="C46" s="606" t="s">
        <v>1083</v>
      </c>
      <c r="D46" s="605" t="s">
        <v>689</v>
      </c>
      <c r="E46" s="606" t="s">
        <v>1214</v>
      </c>
      <c r="F46" s="606" t="s">
        <v>1214</v>
      </c>
      <c r="G46" s="606" t="s">
        <v>1085</v>
      </c>
      <c r="H46" s="606" t="s">
        <v>1086</v>
      </c>
      <c r="I46" s="606" t="s">
        <v>1087</v>
      </c>
      <c r="J46" s="606" t="s">
        <v>1088</v>
      </c>
    </row>
    <row r="47" spans="2:10" ht="21" customHeight="1">
      <c r="B47" s="605" t="s">
        <v>1215</v>
      </c>
      <c r="C47" s="606" t="s">
        <v>1083</v>
      </c>
      <c r="D47" s="605" t="s">
        <v>689</v>
      </c>
      <c r="E47" s="606" t="s">
        <v>1216</v>
      </c>
      <c r="F47" s="606" t="s">
        <v>66</v>
      </c>
      <c r="G47" s="606" t="s">
        <v>1085</v>
      </c>
      <c r="H47" s="606" t="s">
        <v>1086</v>
      </c>
      <c r="I47" s="606" t="s">
        <v>1087</v>
      </c>
      <c r="J47" s="606" t="s">
        <v>1088</v>
      </c>
    </row>
    <row r="48" spans="2:10" ht="21" customHeight="1">
      <c r="B48" s="605" t="s">
        <v>1217</v>
      </c>
      <c r="C48" s="606" t="s">
        <v>1083</v>
      </c>
      <c r="D48" s="605" t="s">
        <v>689</v>
      </c>
      <c r="E48" s="606" t="s">
        <v>170</v>
      </c>
      <c r="F48" s="606" t="s">
        <v>170</v>
      </c>
      <c r="G48" s="606" t="s">
        <v>1085</v>
      </c>
      <c r="H48" s="606" t="s">
        <v>1086</v>
      </c>
      <c r="I48" s="606" t="s">
        <v>1087</v>
      </c>
      <c r="J48" s="606" t="s">
        <v>1088</v>
      </c>
    </row>
    <row r="49" spans="2:10" ht="21" customHeight="1">
      <c r="B49" s="605" t="s">
        <v>1218</v>
      </c>
      <c r="C49" s="606" t="s">
        <v>1083</v>
      </c>
      <c r="D49" s="605" t="s">
        <v>689</v>
      </c>
      <c r="E49" s="606" t="s">
        <v>5880</v>
      </c>
      <c r="F49" s="606" t="s">
        <v>5881</v>
      </c>
      <c r="G49" s="606" t="s">
        <v>1085</v>
      </c>
      <c r="H49" s="606" t="s">
        <v>5882</v>
      </c>
      <c r="I49" s="606" t="s">
        <v>1087</v>
      </c>
      <c r="J49" s="606" t="s">
        <v>1088</v>
      </c>
    </row>
    <row r="50" spans="2:10" ht="21" customHeight="1">
      <c r="B50" s="605" t="s">
        <v>1219</v>
      </c>
      <c r="C50" s="606" t="s">
        <v>1083</v>
      </c>
      <c r="D50" s="605" t="s">
        <v>689</v>
      </c>
      <c r="E50" s="606" t="s">
        <v>1220</v>
      </c>
      <c r="F50" s="606" t="s">
        <v>1220</v>
      </c>
      <c r="G50" s="606" t="s">
        <v>1085</v>
      </c>
      <c r="H50" s="606" t="s">
        <v>1086</v>
      </c>
      <c r="I50" s="606" t="s">
        <v>1087</v>
      </c>
      <c r="J50" s="606" t="s">
        <v>1088</v>
      </c>
    </row>
    <row r="51" spans="2:10" ht="21" customHeight="1">
      <c r="B51" s="605" t="s">
        <v>1221</v>
      </c>
      <c r="C51" s="606" t="s">
        <v>1083</v>
      </c>
      <c r="D51" s="605" t="s">
        <v>689</v>
      </c>
      <c r="E51" s="606" t="s">
        <v>1222</v>
      </c>
      <c r="F51" s="606" t="s">
        <v>1222</v>
      </c>
      <c r="G51" s="606" t="s">
        <v>1085</v>
      </c>
      <c r="H51" s="606" t="s">
        <v>1086</v>
      </c>
      <c r="I51" s="606" t="s">
        <v>1087</v>
      </c>
      <c r="J51" s="606" t="s">
        <v>1088</v>
      </c>
    </row>
    <row r="52" spans="2:10" ht="21" customHeight="1">
      <c r="B52" s="605" t="s">
        <v>1223</v>
      </c>
      <c r="C52" s="606" t="s">
        <v>1083</v>
      </c>
      <c r="D52" s="605" t="s">
        <v>689</v>
      </c>
      <c r="E52" s="606" t="s">
        <v>1224</v>
      </c>
      <c r="F52" s="606" t="s">
        <v>1225</v>
      </c>
      <c r="G52" s="606" t="s">
        <v>1085</v>
      </c>
      <c r="H52" s="606" t="s">
        <v>1086</v>
      </c>
      <c r="I52" s="606" t="s">
        <v>1087</v>
      </c>
      <c r="J52" s="606" t="s">
        <v>1088</v>
      </c>
    </row>
    <row r="53" spans="2:10" ht="21" customHeight="1">
      <c r="B53" s="605" t="s">
        <v>1226</v>
      </c>
      <c r="C53" s="606" t="s">
        <v>1083</v>
      </c>
      <c r="D53" s="605" t="s">
        <v>689</v>
      </c>
      <c r="E53" s="606" t="s">
        <v>1227</v>
      </c>
      <c r="F53" s="606" t="s">
        <v>1227</v>
      </c>
      <c r="G53" s="606" t="s">
        <v>1085</v>
      </c>
      <c r="H53" s="606" t="s">
        <v>1086</v>
      </c>
      <c r="I53" s="606" t="s">
        <v>1087</v>
      </c>
      <c r="J53" s="606" t="s">
        <v>1088</v>
      </c>
    </row>
    <row r="54" spans="2:10" ht="21" customHeight="1">
      <c r="B54" s="605" t="s">
        <v>1228</v>
      </c>
      <c r="C54" s="606" t="s">
        <v>1083</v>
      </c>
      <c r="D54" s="605" t="s">
        <v>689</v>
      </c>
      <c r="E54" s="606" t="s">
        <v>1229</v>
      </c>
      <c r="F54" s="606" t="s">
        <v>1230</v>
      </c>
      <c r="G54" s="606" t="s">
        <v>1085</v>
      </c>
      <c r="H54" s="606" t="s">
        <v>1086</v>
      </c>
      <c r="I54" s="606" t="s">
        <v>1087</v>
      </c>
      <c r="J54" s="606" t="s">
        <v>1088</v>
      </c>
    </row>
    <row r="55" spans="2:10" ht="21" customHeight="1">
      <c r="B55" s="605" t="s">
        <v>1231</v>
      </c>
      <c r="C55" s="606" t="s">
        <v>1083</v>
      </c>
      <c r="D55" s="605" t="s">
        <v>689</v>
      </c>
      <c r="E55" s="606" t="s">
        <v>1232</v>
      </c>
      <c r="F55" s="606" t="s">
        <v>1232</v>
      </c>
      <c r="G55" s="606" t="s">
        <v>1085</v>
      </c>
      <c r="H55" s="606" t="s">
        <v>1086</v>
      </c>
      <c r="I55" s="606" t="s">
        <v>1087</v>
      </c>
      <c r="J55" s="606" t="s">
        <v>1088</v>
      </c>
    </row>
    <row r="56" spans="2:10" ht="21" customHeight="1">
      <c r="B56" s="605" t="s">
        <v>1233</v>
      </c>
      <c r="C56" s="606" t="s">
        <v>1083</v>
      </c>
      <c r="D56" s="605" t="s">
        <v>689</v>
      </c>
      <c r="E56" s="606" t="s">
        <v>1234</v>
      </c>
      <c r="F56" s="606" t="s">
        <v>41</v>
      </c>
      <c r="G56" s="606" t="s">
        <v>1085</v>
      </c>
      <c r="H56" s="606" t="s">
        <v>1086</v>
      </c>
      <c r="I56" s="606" t="s">
        <v>1087</v>
      </c>
      <c r="J56" s="606" t="s">
        <v>1088</v>
      </c>
    </row>
    <row r="57" spans="2:10" ht="21" customHeight="1">
      <c r="B57" s="605" t="s">
        <v>1235</v>
      </c>
      <c r="C57" s="606" t="s">
        <v>1083</v>
      </c>
      <c r="D57" s="605" t="s">
        <v>689</v>
      </c>
      <c r="E57" s="606" t="s">
        <v>1236</v>
      </c>
      <c r="F57" s="606" t="s">
        <v>1236</v>
      </c>
      <c r="G57" s="606" t="s">
        <v>1085</v>
      </c>
      <c r="H57" s="606" t="s">
        <v>1086</v>
      </c>
      <c r="I57" s="606" t="s">
        <v>1087</v>
      </c>
      <c r="J57" s="606" t="s">
        <v>1088</v>
      </c>
    </row>
    <row r="58" spans="2:10" ht="21" customHeight="1">
      <c r="B58" s="605" t="s">
        <v>1237</v>
      </c>
      <c r="C58" s="606" t="s">
        <v>1083</v>
      </c>
      <c r="D58" s="605" t="s">
        <v>689</v>
      </c>
      <c r="E58" s="606" t="s">
        <v>1238</v>
      </c>
      <c r="F58" s="606" t="s">
        <v>1238</v>
      </c>
      <c r="G58" s="606" t="s">
        <v>1085</v>
      </c>
      <c r="H58" s="606" t="s">
        <v>1086</v>
      </c>
      <c r="I58" s="606" t="s">
        <v>1087</v>
      </c>
      <c r="J58" s="606" t="s">
        <v>1088</v>
      </c>
    </row>
    <row r="59" spans="2:10" ht="21" customHeight="1">
      <c r="B59" s="605" t="s">
        <v>1239</v>
      </c>
      <c r="C59" s="606" t="s">
        <v>1083</v>
      </c>
      <c r="D59" s="605" t="s">
        <v>689</v>
      </c>
      <c r="E59" s="606" t="s">
        <v>1240</v>
      </c>
      <c r="F59" s="606" t="s">
        <v>1240</v>
      </c>
      <c r="G59" s="606" t="s">
        <v>1085</v>
      </c>
      <c r="H59" s="606" t="s">
        <v>1086</v>
      </c>
      <c r="I59" s="606" t="s">
        <v>1087</v>
      </c>
      <c r="J59" s="606" t="s">
        <v>1088</v>
      </c>
    </row>
    <row r="60" spans="2:10" ht="21" customHeight="1">
      <c r="B60" s="605" t="s">
        <v>1241</v>
      </c>
      <c r="C60" s="606" t="s">
        <v>1083</v>
      </c>
      <c r="D60" s="605" t="s">
        <v>689</v>
      </c>
      <c r="E60" s="606" t="s">
        <v>1242</v>
      </c>
      <c r="F60" s="606" t="s">
        <v>1242</v>
      </c>
      <c r="G60" s="606" t="s">
        <v>1085</v>
      </c>
      <c r="H60" s="606" t="s">
        <v>1086</v>
      </c>
      <c r="I60" s="606" t="s">
        <v>1087</v>
      </c>
      <c r="J60" s="606" t="s">
        <v>1088</v>
      </c>
    </row>
    <row r="61" spans="2:10" ht="21" customHeight="1">
      <c r="B61" s="605" t="s">
        <v>1243</v>
      </c>
      <c r="C61" s="606" t="s">
        <v>1083</v>
      </c>
      <c r="D61" s="605" t="s">
        <v>689</v>
      </c>
      <c r="E61" s="606" t="s">
        <v>1244</v>
      </c>
      <c r="F61" s="606" t="s">
        <v>1244</v>
      </c>
      <c r="G61" s="606" t="s">
        <v>1085</v>
      </c>
      <c r="H61" s="606" t="s">
        <v>1086</v>
      </c>
      <c r="I61" s="606" t="s">
        <v>1087</v>
      </c>
      <c r="J61" s="606" t="s">
        <v>1088</v>
      </c>
    </row>
    <row r="62" spans="2:10" ht="21" customHeight="1">
      <c r="B62" s="605" t="s">
        <v>1245</v>
      </c>
      <c r="C62" s="606" t="s">
        <v>1083</v>
      </c>
      <c r="D62" s="605" t="s">
        <v>689</v>
      </c>
      <c r="E62" s="606" t="s">
        <v>1246</v>
      </c>
      <c r="F62" s="606" t="s">
        <v>1247</v>
      </c>
      <c r="G62" s="606" t="s">
        <v>1085</v>
      </c>
      <c r="H62" s="606" t="s">
        <v>1086</v>
      </c>
      <c r="I62" s="606" t="s">
        <v>1087</v>
      </c>
      <c r="J62" s="606" t="s">
        <v>1088</v>
      </c>
    </row>
    <row r="63" spans="2:10" ht="21" customHeight="1">
      <c r="B63" s="605" t="s">
        <v>1248</v>
      </c>
      <c r="C63" s="606" t="s">
        <v>1083</v>
      </c>
      <c r="D63" s="605" t="s">
        <v>689</v>
      </c>
      <c r="E63" s="606" t="s">
        <v>1249</v>
      </c>
      <c r="F63" s="606" t="s">
        <v>1249</v>
      </c>
      <c r="G63" s="606" t="s">
        <v>1085</v>
      </c>
      <c r="H63" s="606" t="s">
        <v>1086</v>
      </c>
      <c r="I63" s="606" t="s">
        <v>1087</v>
      </c>
      <c r="J63" s="606" t="s">
        <v>1088</v>
      </c>
    </row>
    <row r="64" spans="2:10" ht="21" customHeight="1">
      <c r="B64" s="605" t="s">
        <v>1250</v>
      </c>
      <c r="C64" s="606" t="s">
        <v>1083</v>
      </c>
      <c r="D64" s="605" t="s">
        <v>689</v>
      </c>
      <c r="E64" s="606" t="s">
        <v>1251</v>
      </c>
      <c r="F64" s="606" t="s">
        <v>1251</v>
      </c>
      <c r="G64" s="606" t="s">
        <v>1085</v>
      </c>
      <c r="H64" s="606" t="s">
        <v>1086</v>
      </c>
      <c r="I64" s="606" t="s">
        <v>1087</v>
      </c>
      <c r="J64" s="606" t="s">
        <v>1088</v>
      </c>
    </row>
    <row r="65" spans="2:10" ht="21" customHeight="1">
      <c r="B65" s="605" t="s">
        <v>1252</v>
      </c>
      <c r="C65" s="606" t="s">
        <v>1083</v>
      </c>
      <c r="D65" s="605" t="s">
        <v>689</v>
      </c>
      <c r="E65" s="606" t="s">
        <v>876</v>
      </c>
      <c r="F65" s="606" t="s">
        <v>876</v>
      </c>
      <c r="G65" s="606" t="s">
        <v>1085</v>
      </c>
      <c r="H65" s="606" t="s">
        <v>1086</v>
      </c>
      <c r="I65" s="606" t="s">
        <v>1087</v>
      </c>
      <c r="J65" s="606" t="s">
        <v>1088</v>
      </c>
    </row>
    <row r="66" spans="2:10" ht="21" customHeight="1">
      <c r="B66" s="605" t="s">
        <v>1253</v>
      </c>
      <c r="C66" s="606" t="s">
        <v>1083</v>
      </c>
      <c r="D66" s="605" t="s">
        <v>689</v>
      </c>
      <c r="E66" s="606" t="s">
        <v>877</v>
      </c>
      <c r="F66" s="606" t="s">
        <v>877</v>
      </c>
      <c r="G66" s="606" t="s">
        <v>1085</v>
      </c>
      <c r="H66" s="606" t="s">
        <v>1086</v>
      </c>
      <c r="I66" s="606" t="s">
        <v>1087</v>
      </c>
      <c r="J66" s="606" t="s">
        <v>1088</v>
      </c>
    </row>
    <row r="67" spans="2:10" ht="21" customHeight="1">
      <c r="B67" s="605" t="s">
        <v>1254</v>
      </c>
      <c r="C67" s="606" t="s">
        <v>1083</v>
      </c>
      <c r="D67" s="605" t="s">
        <v>689</v>
      </c>
      <c r="E67" s="606" t="s">
        <v>54</v>
      </c>
      <c r="F67" s="606" t="s">
        <v>54</v>
      </c>
      <c r="G67" s="606" t="s">
        <v>1085</v>
      </c>
      <c r="H67" s="606" t="s">
        <v>1086</v>
      </c>
      <c r="I67" s="606" t="s">
        <v>1087</v>
      </c>
      <c r="J67" s="606" t="s">
        <v>1088</v>
      </c>
    </row>
    <row r="68" spans="2:10" ht="21" customHeight="1">
      <c r="B68" s="605" t="s">
        <v>1255</v>
      </c>
      <c r="C68" s="606" t="s">
        <v>1083</v>
      </c>
      <c r="D68" s="605" t="s">
        <v>689</v>
      </c>
      <c r="E68" s="606" t="s">
        <v>904</v>
      </c>
      <c r="F68" s="606" t="s">
        <v>904</v>
      </c>
      <c r="G68" s="606" t="s">
        <v>1085</v>
      </c>
      <c r="H68" s="606" t="s">
        <v>1086</v>
      </c>
      <c r="I68" s="606" t="s">
        <v>1087</v>
      </c>
      <c r="J68" s="606" t="s">
        <v>1088</v>
      </c>
    </row>
    <row r="69" spans="2:10" ht="21" customHeight="1">
      <c r="B69" s="605" t="s">
        <v>1256</v>
      </c>
      <c r="C69" s="606" t="s">
        <v>1083</v>
      </c>
      <c r="D69" s="605" t="s">
        <v>689</v>
      </c>
      <c r="E69" s="606" t="s">
        <v>905</v>
      </c>
      <c r="F69" s="606" t="s">
        <v>905</v>
      </c>
      <c r="G69" s="606" t="s">
        <v>1085</v>
      </c>
      <c r="H69" s="606" t="s">
        <v>1086</v>
      </c>
      <c r="I69" s="606" t="s">
        <v>1087</v>
      </c>
      <c r="J69" s="606" t="s">
        <v>1088</v>
      </c>
    </row>
    <row r="70" spans="2:10" ht="21" customHeight="1">
      <c r="B70" s="605" t="s">
        <v>1257</v>
      </c>
      <c r="C70" s="606" t="s">
        <v>1083</v>
      </c>
      <c r="D70" s="605" t="s">
        <v>689</v>
      </c>
      <c r="E70" s="606" t="s">
        <v>1258</v>
      </c>
      <c r="F70" s="606" t="s">
        <v>906</v>
      </c>
      <c r="G70" s="606" t="s">
        <v>1085</v>
      </c>
      <c r="H70" s="606" t="s">
        <v>1086</v>
      </c>
      <c r="I70" s="606" t="s">
        <v>1087</v>
      </c>
      <c r="J70" s="606" t="s">
        <v>1088</v>
      </c>
    </row>
    <row r="71" spans="2:10" ht="21" customHeight="1">
      <c r="B71" s="605" t="s">
        <v>1259</v>
      </c>
      <c r="C71" s="606" t="s">
        <v>1083</v>
      </c>
      <c r="D71" s="605" t="s">
        <v>689</v>
      </c>
      <c r="E71" s="606" t="s">
        <v>1260</v>
      </c>
      <c r="F71" s="606" t="s">
        <v>192</v>
      </c>
      <c r="G71" s="606" t="s">
        <v>1085</v>
      </c>
      <c r="H71" s="606" t="s">
        <v>1086</v>
      </c>
      <c r="I71" s="606" t="s">
        <v>1087</v>
      </c>
      <c r="J71" s="606" t="s">
        <v>1088</v>
      </c>
    </row>
    <row r="72" spans="2:10" ht="21" customHeight="1">
      <c r="B72" s="605" t="s">
        <v>1261</v>
      </c>
      <c r="C72" s="606" t="s">
        <v>1083</v>
      </c>
      <c r="D72" s="605" t="s">
        <v>689</v>
      </c>
      <c r="E72" s="606" t="s">
        <v>16</v>
      </c>
      <c r="F72" s="606" t="s">
        <v>16</v>
      </c>
      <c r="G72" s="606" t="s">
        <v>1085</v>
      </c>
      <c r="H72" s="606" t="s">
        <v>1086</v>
      </c>
      <c r="I72" s="606" t="s">
        <v>1087</v>
      </c>
      <c r="J72" s="606" t="s">
        <v>1088</v>
      </c>
    </row>
    <row r="73" spans="2:10" ht="21" customHeight="1">
      <c r="B73" s="605" t="s">
        <v>1262</v>
      </c>
      <c r="C73" s="606" t="s">
        <v>1083</v>
      </c>
      <c r="D73" s="605" t="s">
        <v>689</v>
      </c>
      <c r="E73" s="606" t="s">
        <v>1263</v>
      </c>
      <c r="F73" s="606" t="s">
        <v>1264</v>
      </c>
      <c r="G73" s="606" t="s">
        <v>1085</v>
      </c>
      <c r="H73" s="606" t="s">
        <v>1086</v>
      </c>
      <c r="I73" s="606" t="s">
        <v>1087</v>
      </c>
      <c r="J73" s="606" t="s">
        <v>1088</v>
      </c>
    </row>
    <row r="74" spans="2:10" ht="21" customHeight="1">
      <c r="B74" s="605" t="s">
        <v>1265</v>
      </c>
      <c r="C74" s="606" t="s">
        <v>1083</v>
      </c>
      <c r="D74" s="605" t="s">
        <v>689</v>
      </c>
      <c r="E74" s="606" t="s">
        <v>1266</v>
      </c>
      <c r="F74" s="606" t="s">
        <v>1267</v>
      </c>
      <c r="G74" s="606" t="s">
        <v>1085</v>
      </c>
      <c r="H74" s="606" t="s">
        <v>1086</v>
      </c>
      <c r="I74" s="606" t="s">
        <v>1087</v>
      </c>
      <c r="J74" s="606" t="s">
        <v>1088</v>
      </c>
    </row>
    <row r="75" spans="2:10" ht="21" customHeight="1">
      <c r="B75" s="605" t="s">
        <v>1269</v>
      </c>
      <c r="C75" s="606" t="s">
        <v>1083</v>
      </c>
      <c r="D75" s="605" t="s">
        <v>689</v>
      </c>
      <c r="E75" s="606" t="s">
        <v>92</v>
      </c>
      <c r="F75" s="606" t="s">
        <v>92</v>
      </c>
      <c r="G75" s="606" t="s">
        <v>1085</v>
      </c>
      <c r="H75" s="606" t="s">
        <v>1086</v>
      </c>
      <c r="I75" s="606" t="s">
        <v>1087</v>
      </c>
      <c r="J75" s="606" t="s">
        <v>1088</v>
      </c>
    </row>
    <row r="76" spans="2:10" ht="21" customHeight="1">
      <c r="B76" s="605" t="s">
        <v>1270</v>
      </c>
      <c r="C76" s="606" t="s">
        <v>1083</v>
      </c>
      <c r="D76" s="605" t="s">
        <v>689</v>
      </c>
      <c r="E76" s="606" t="s">
        <v>1271</v>
      </c>
      <c r="F76" s="606" t="s">
        <v>1271</v>
      </c>
      <c r="G76" s="606" t="s">
        <v>1085</v>
      </c>
      <c r="H76" s="606" t="s">
        <v>1086</v>
      </c>
      <c r="I76" s="606" t="s">
        <v>1087</v>
      </c>
      <c r="J76" s="606" t="s">
        <v>1088</v>
      </c>
    </row>
    <row r="77" spans="2:10" ht="21" customHeight="1">
      <c r="B77" s="605" t="s">
        <v>1273</v>
      </c>
      <c r="C77" s="606" t="s">
        <v>1083</v>
      </c>
      <c r="D77" s="605" t="s">
        <v>689</v>
      </c>
      <c r="E77" s="606" t="s">
        <v>1274</v>
      </c>
      <c r="F77" s="606" t="s">
        <v>1274</v>
      </c>
      <c r="G77" s="606" t="s">
        <v>1085</v>
      </c>
      <c r="H77" s="606" t="s">
        <v>1086</v>
      </c>
      <c r="I77" s="606" t="s">
        <v>1087</v>
      </c>
      <c r="J77" s="606" t="s">
        <v>1088</v>
      </c>
    </row>
    <row r="78" spans="2:10" ht="21" customHeight="1">
      <c r="B78" s="605" t="s">
        <v>1276</v>
      </c>
      <c r="C78" s="606" t="s">
        <v>1083</v>
      </c>
      <c r="D78" s="605" t="s">
        <v>689</v>
      </c>
      <c r="E78" s="606" t="s">
        <v>907</v>
      </c>
      <c r="F78" s="606" t="s">
        <v>907</v>
      </c>
      <c r="G78" s="606" t="s">
        <v>1085</v>
      </c>
      <c r="H78" s="606" t="s">
        <v>1086</v>
      </c>
      <c r="I78" s="606" t="s">
        <v>1087</v>
      </c>
      <c r="J78" s="606" t="s">
        <v>1088</v>
      </c>
    </row>
    <row r="79" spans="2:10" ht="21" customHeight="1">
      <c r="B79" s="605" t="s">
        <v>1277</v>
      </c>
      <c r="C79" s="606" t="s">
        <v>1083</v>
      </c>
      <c r="D79" s="605" t="s">
        <v>689</v>
      </c>
      <c r="E79" s="606" t="s">
        <v>908</v>
      </c>
      <c r="F79" s="606" t="s">
        <v>908</v>
      </c>
      <c r="G79" s="606" t="s">
        <v>1085</v>
      </c>
      <c r="H79" s="606" t="s">
        <v>1086</v>
      </c>
      <c r="I79" s="606" t="s">
        <v>1087</v>
      </c>
      <c r="J79" s="606" t="s">
        <v>1088</v>
      </c>
    </row>
    <row r="80" spans="2:10" ht="21" customHeight="1">
      <c r="B80" s="605" t="s">
        <v>1279</v>
      </c>
      <c r="C80" s="606" t="s">
        <v>1083</v>
      </c>
      <c r="D80" s="605" t="s">
        <v>689</v>
      </c>
      <c r="E80" s="606" t="s">
        <v>909</v>
      </c>
      <c r="F80" s="606" t="s">
        <v>909</v>
      </c>
      <c r="G80" s="606" t="s">
        <v>1085</v>
      </c>
      <c r="H80" s="606" t="s">
        <v>1086</v>
      </c>
      <c r="I80" s="606" t="s">
        <v>1087</v>
      </c>
      <c r="J80" s="606" t="s">
        <v>1088</v>
      </c>
    </row>
    <row r="81" spans="2:10" ht="21" customHeight="1">
      <c r="B81" s="605" t="s">
        <v>1280</v>
      </c>
      <c r="C81" s="606" t="s">
        <v>1083</v>
      </c>
      <c r="D81" s="605" t="s">
        <v>689</v>
      </c>
      <c r="E81" s="606" t="s">
        <v>1281</v>
      </c>
      <c r="F81" s="606" t="s">
        <v>1281</v>
      </c>
      <c r="G81" s="606" t="s">
        <v>1085</v>
      </c>
      <c r="H81" s="606" t="s">
        <v>1086</v>
      </c>
      <c r="I81" s="606" t="s">
        <v>1087</v>
      </c>
      <c r="J81" s="606" t="s">
        <v>1088</v>
      </c>
    </row>
    <row r="82" spans="2:10" ht="21" customHeight="1">
      <c r="B82" s="605" t="s">
        <v>1282</v>
      </c>
      <c r="C82" s="606" t="s">
        <v>1083</v>
      </c>
      <c r="D82" s="605" t="s">
        <v>689</v>
      </c>
      <c r="E82" s="606" t="s">
        <v>159</v>
      </c>
      <c r="F82" s="606" t="s">
        <v>159</v>
      </c>
      <c r="G82" s="606" t="s">
        <v>1085</v>
      </c>
      <c r="H82" s="606" t="s">
        <v>1086</v>
      </c>
      <c r="I82" s="606" t="s">
        <v>1087</v>
      </c>
      <c r="J82" s="606" t="s">
        <v>1088</v>
      </c>
    </row>
    <row r="83" spans="2:10" ht="21" customHeight="1">
      <c r="B83" s="605" t="s">
        <v>1283</v>
      </c>
      <c r="C83" s="606" t="s">
        <v>1083</v>
      </c>
      <c r="D83" s="605" t="s">
        <v>689</v>
      </c>
      <c r="E83" s="606" t="s">
        <v>164</v>
      </c>
      <c r="F83" s="606" t="s">
        <v>164</v>
      </c>
      <c r="G83" s="606" t="s">
        <v>1085</v>
      </c>
      <c r="H83" s="606" t="s">
        <v>1086</v>
      </c>
      <c r="I83" s="606" t="s">
        <v>1087</v>
      </c>
      <c r="J83" s="606" t="s">
        <v>1088</v>
      </c>
    </row>
    <row r="84" spans="2:10" ht="21" customHeight="1">
      <c r="B84" s="605" t="s">
        <v>1284</v>
      </c>
      <c r="C84" s="606" t="s">
        <v>1083</v>
      </c>
      <c r="D84" s="605" t="s">
        <v>689</v>
      </c>
      <c r="E84" s="606" t="s">
        <v>1285</v>
      </c>
      <c r="F84" s="606" t="s">
        <v>5742</v>
      </c>
      <c r="G84" s="606" t="s">
        <v>1085</v>
      </c>
      <c r="H84" s="606" t="s">
        <v>5743</v>
      </c>
      <c r="I84" s="606" t="s">
        <v>3961</v>
      </c>
      <c r="J84" s="606" t="s">
        <v>1153</v>
      </c>
    </row>
    <row r="85" spans="2:10" ht="21" customHeight="1">
      <c r="B85" s="605" t="s">
        <v>1288</v>
      </c>
      <c r="C85" s="606" t="s">
        <v>1083</v>
      </c>
      <c r="D85" s="605" t="s">
        <v>689</v>
      </c>
      <c r="E85" s="606" t="s">
        <v>910</v>
      </c>
      <c r="F85" s="606" t="s">
        <v>910</v>
      </c>
      <c r="G85" s="606" t="s">
        <v>1085</v>
      </c>
      <c r="H85" s="606" t="s">
        <v>1086</v>
      </c>
      <c r="I85" s="606" t="s">
        <v>1087</v>
      </c>
      <c r="J85" s="606" t="s">
        <v>1088</v>
      </c>
    </row>
    <row r="86" spans="2:10" ht="21" customHeight="1">
      <c r="B86" s="605" t="s">
        <v>1293</v>
      </c>
      <c r="C86" s="606" t="s">
        <v>1083</v>
      </c>
      <c r="D86" s="605" t="s">
        <v>689</v>
      </c>
      <c r="E86" s="606" t="s">
        <v>911</v>
      </c>
      <c r="F86" s="606" t="s">
        <v>911</v>
      </c>
      <c r="G86" s="606" t="s">
        <v>1085</v>
      </c>
      <c r="H86" s="606" t="s">
        <v>1086</v>
      </c>
      <c r="I86" s="606" t="s">
        <v>1087</v>
      </c>
      <c r="J86" s="606" t="s">
        <v>1088</v>
      </c>
    </row>
    <row r="87" spans="2:10" ht="21" customHeight="1">
      <c r="B87" s="605" t="s">
        <v>1297</v>
      </c>
      <c r="C87" s="606" t="s">
        <v>1083</v>
      </c>
      <c r="D87" s="605" t="s">
        <v>689</v>
      </c>
      <c r="E87" s="606" t="s">
        <v>912</v>
      </c>
      <c r="F87" s="606" t="s">
        <v>912</v>
      </c>
      <c r="G87" s="606" t="s">
        <v>1085</v>
      </c>
      <c r="H87" s="606" t="s">
        <v>1086</v>
      </c>
      <c r="I87" s="606" t="s">
        <v>1087</v>
      </c>
      <c r="J87" s="606" t="s">
        <v>1088</v>
      </c>
    </row>
    <row r="88" spans="2:10" ht="21" customHeight="1">
      <c r="B88" s="605" t="s">
        <v>1300</v>
      </c>
      <c r="C88" s="606" t="s">
        <v>1083</v>
      </c>
      <c r="D88" s="605" t="s">
        <v>689</v>
      </c>
      <c r="E88" s="606" t="s">
        <v>314</v>
      </c>
      <c r="F88" s="606" t="s">
        <v>314</v>
      </c>
      <c r="G88" s="606" t="s">
        <v>1085</v>
      </c>
      <c r="H88" s="606" t="s">
        <v>1086</v>
      </c>
      <c r="I88" s="606" t="s">
        <v>1087</v>
      </c>
      <c r="J88" s="606" t="s">
        <v>1088</v>
      </c>
    </row>
    <row r="89" spans="2:10" ht="21" customHeight="1">
      <c r="B89" s="605" t="s">
        <v>1302</v>
      </c>
      <c r="C89" s="606" t="s">
        <v>1083</v>
      </c>
      <c r="D89" s="605" t="s">
        <v>689</v>
      </c>
      <c r="E89" s="606" t="s">
        <v>1303</v>
      </c>
      <c r="F89" s="606" t="s">
        <v>1303</v>
      </c>
      <c r="G89" s="606" t="s">
        <v>1151</v>
      </c>
      <c r="H89" s="606" t="s">
        <v>1152</v>
      </c>
      <c r="I89" s="606" t="s">
        <v>1087</v>
      </c>
      <c r="J89" s="606" t="s">
        <v>1153</v>
      </c>
    </row>
    <row r="90" spans="2:10" ht="21" customHeight="1">
      <c r="B90" s="605" t="s">
        <v>1306</v>
      </c>
      <c r="C90" s="606" t="s">
        <v>1083</v>
      </c>
      <c r="D90" s="605" t="s">
        <v>689</v>
      </c>
      <c r="E90" s="606" t="s">
        <v>315</v>
      </c>
      <c r="F90" s="606" t="s">
        <v>315</v>
      </c>
      <c r="G90" s="606" t="s">
        <v>1151</v>
      </c>
      <c r="H90" s="606" t="s">
        <v>1152</v>
      </c>
      <c r="I90" s="606" t="s">
        <v>1087</v>
      </c>
      <c r="J90" s="606" t="s">
        <v>1153</v>
      </c>
    </row>
    <row r="91" spans="2:10" ht="21" customHeight="1">
      <c r="B91" s="605" t="s">
        <v>1309</v>
      </c>
      <c r="C91" s="606" t="s">
        <v>1083</v>
      </c>
      <c r="D91" s="605" t="s">
        <v>689</v>
      </c>
      <c r="E91" s="606" t="s">
        <v>131</v>
      </c>
      <c r="F91" s="606" t="s">
        <v>131</v>
      </c>
      <c r="G91" s="606" t="s">
        <v>1085</v>
      </c>
      <c r="H91" s="606" t="s">
        <v>1086</v>
      </c>
      <c r="I91" s="606" t="s">
        <v>1087</v>
      </c>
      <c r="J91" s="606" t="s">
        <v>1088</v>
      </c>
    </row>
    <row r="92" spans="2:10" ht="21" customHeight="1">
      <c r="B92" s="605" t="s">
        <v>1313</v>
      </c>
      <c r="C92" s="606" t="s">
        <v>1083</v>
      </c>
      <c r="D92" s="605" t="s">
        <v>689</v>
      </c>
      <c r="E92" s="606" t="s">
        <v>316</v>
      </c>
      <c r="F92" s="606" t="s">
        <v>316</v>
      </c>
      <c r="G92" s="606" t="s">
        <v>1085</v>
      </c>
      <c r="H92" s="606" t="s">
        <v>1086</v>
      </c>
      <c r="I92" s="606" t="s">
        <v>1087</v>
      </c>
      <c r="J92" s="606" t="s">
        <v>1088</v>
      </c>
    </row>
    <row r="93" spans="2:10" ht="21" customHeight="1">
      <c r="B93" s="605" t="s">
        <v>1317</v>
      </c>
      <c r="C93" s="606" t="s">
        <v>1083</v>
      </c>
      <c r="D93" s="605" t="s">
        <v>689</v>
      </c>
      <c r="E93" s="606" t="s">
        <v>1318</v>
      </c>
      <c r="F93" s="606" t="s">
        <v>1319</v>
      </c>
      <c r="G93" s="606" t="s">
        <v>1085</v>
      </c>
      <c r="H93" s="606" t="s">
        <v>1086</v>
      </c>
      <c r="I93" s="606" t="s">
        <v>1087</v>
      </c>
      <c r="J93" s="606" t="s">
        <v>1088</v>
      </c>
    </row>
    <row r="94" spans="2:10" ht="21" customHeight="1">
      <c r="B94" s="605" t="s">
        <v>1323</v>
      </c>
      <c r="C94" s="606" t="s">
        <v>1083</v>
      </c>
      <c r="D94" s="605" t="s">
        <v>689</v>
      </c>
      <c r="E94" s="606" t="s">
        <v>1324</v>
      </c>
      <c r="F94" s="606" t="s">
        <v>1324</v>
      </c>
      <c r="G94" s="606" t="s">
        <v>1085</v>
      </c>
      <c r="H94" s="606" t="s">
        <v>1086</v>
      </c>
      <c r="I94" s="606" t="s">
        <v>1087</v>
      </c>
      <c r="J94" s="606" t="s">
        <v>1088</v>
      </c>
    </row>
    <row r="95" spans="2:10" ht="21" customHeight="1">
      <c r="B95" s="605" t="s">
        <v>1328</v>
      </c>
      <c r="C95" s="606" t="s">
        <v>1083</v>
      </c>
      <c r="D95" s="605" t="s">
        <v>689</v>
      </c>
      <c r="E95" s="606" t="s">
        <v>1329</v>
      </c>
      <c r="F95" s="606" t="s">
        <v>1330</v>
      </c>
      <c r="G95" s="606" t="s">
        <v>1085</v>
      </c>
      <c r="H95" s="606" t="s">
        <v>1086</v>
      </c>
      <c r="I95" s="606" t="s">
        <v>1087</v>
      </c>
      <c r="J95" s="606" t="s">
        <v>1088</v>
      </c>
    </row>
    <row r="96" spans="2:10" ht="21" customHeight="1">
      <c r="B96" s="605" t="s">
        <v>1334</v>
      </c>
      <c r="C96" s="606" t="s">
        <v>1083</v>
      </c>
      <c r="D96" s="605" t="s">
        <v>689</v>
      </c>
      <c r="E96" s="606" t="s">
        <v>1335</v>
      </c>
      <c r="F96" s="606" t="s">
        <v>1335</v>
      </c>
      <c r="G96" s="606" t="s">
        <v>1085</v>
      </c>
      <c r="H96" s="606" t="s">
        <v>1086</v>
      </c>
      <c r="I96" s="606" t="s">
        <v>1087</v>
      </c>
      <c r="J96" s="606" t="s">
        <v>1088</v>
      </c>
    </row>
    <row r="97" spans="2:10" ht="21" customHeight="1">
      <c r="B97" s="605" t="s">
        <v>1336</v>
      </c>
      <c r="C97" s="606" t="s">
        <v>1083</v>
      </c>
      <c r="D97" s="605" t="s">
        <v>689</v>
      </c>
      <c r="E97" s="606" t="s">
        <v>1337</v>
      </c>
      <c r="F97" s="606" t="s">
        <v>1337</v>
      </c>
      <c r="G97" s="606" t="s">
        <v>1085</v>
      </c>
      <c r="H97" s="606" t="s">
        <v>1086</v>
      </c>
      <c r="I97" s="606" t="s">
        <v>1087</v>
      </c>
      <c r="J97" s="606" t="s">
        <v>1088</v>
      </c>
    </row>
    <row r="98" spans="2:10" ht="21" customHeight="1">
      <c r="B98" s="605" t="s">
        <v>1338</v>
      </c>
      <c r="C98" s="606" t="s">
        <v>1083</v>
      </c>
      <c r="D98" s="605" t="s">
        <v>689</v>
      </c>
      <c r="E98" s="606" t="s">
        <v>1339</v>
      </c>
      <c r="F98" s="606" t="s">
        <v>1339</v>
      </c>
      <c r="G98" s="606" t="s">
        <v>1085</v>
      </c>
      <c r="H98" s="606" t="s">
        <v>1086</v>
      </c>
      <c r="I98" s="606" t="s">
        <v>1087</v>
      </c>
      <c r="J98" s="606" t="s">
        <v>1088</v>
      </c>
    </row>
    <row r="99" spans="2:10" ht="21" customHeight="1">
      <c r="B99" s="605" t="s">
        <v>1341</v>
      </c>
      <c r="C99" s="606" t="s">
        <v>1083</v>
      </c>
      <c r="D99" s="605" t="s">
        <v>689</v>
      </c>
      <c r="E99" s="606" t="s">
        <v>1342</v>
      </c>
      <c r="F99" s="606" t="s">
        <v>1343</v>
      </c>
      <c r="G99" s="606" t="s">
        <v>1085</v>
      </c>
      <c r="H99" s="606" t="s">
        <v>1086</v>
      </c>
      <c r="I99" s="606" t="s">
        <v>1087</v>
      </c>
      <c r="J99" s="606" t="s">
        <v>1088</v>
      </c>
    </row>
    <row r="100" spans="2:10" ht="21" customHeight="1">
      <c r="B100" s="605" t="s">
        <v>1344</v>
      </c>
      <c r="C100" s="606" t="s">
        <v>1083</v>
      </c>
      <c r="D100" s="605" t="s">
        <v>689</v>
      </c>
      <c r="E100" s="606" t="s">
        <v>1345</v>
      </c>
      <c r="F100" s="606" t="s">
        <v>1345</v>
      </c>
      <c r="G100" s="606" t="s">
        <v>1085</v>
      </c>
      <c r="H100" s="606" t="s">
        <v>1086</v>
      </c>
      <c r="I100" s="606" t="s">
        <v>1087</v>
      </c>
      <c r="J100" s="606" t="s">
        <v>1088</v>
      </c>
    </row>
    <row r="101" spans="2:10" ht="21" customHeight="1">
      <c r="B101" s="605" t="s">
        <v>1346</v>
      </c>
      <c r="C101" s="606" t="s">
        <v>1083</v>
      </c>
      <c r="D101" s="605" t="s">
        <v>689</v>
      </c>
      <c r="E101" s="606" t="s">
        <v>202</v>
      </c>
      <c r="F101" s="606" t="s">
        <v>202</v>
      </c>
      <c r="G101" s="606" t="s">
        <v>1085</v>
      </c>
      <c r="H101" s="606" t="s">
        <v>1086</v>
      </c>
      <c r="I101" s="606" t="s">
        <v>1087</v>
      </c>
      <c r="J101" s="606" t="s">
        <v>1088</v>
      </c>
    </row>
    <row r="102" spans="2:10" ht="21" customHeight="1">
      <c r="B102" s="605" t="s">
        <v>1347</v>
      </c>
      <c r="C102" s="606" t="s">
        <v>1083</v>
      </c>
      <c r="D102" s="605" t="s">
        <v>689</v>
      </c>
      <c r="E102" s="606" t="s">
        <v>1348</v>
      </c>
      <c r="F102" s="606" t="s">
        <v>1348</v>
      </c>
      <c r="G102" s="606" t="s">
        <v>1151</v>
      </c>
      <c r="H102" s="606" t="s">
        <v>1152</v>
      </c>
      <c r="I102" s="606" t="s">
        <v>1087</v>
      </c>
      <c r="J102" s="606" t="s">
        <v>1153</v>
      </c>
    </row>
    <row r="103" spans="2:10" ht="21" customHeight="1">
      <c r="B103" s="605" t="s">
        <v>1349</v>
      </c>
      <c r="C103" s="606" t="s">
        <v>1083</v>
      </c>
      <c r="D103" s="605" t="s">
        <v>689</v>
      </c>
      <c r="E103" s="606" t="s">
        <v>1350</v>
      </c>
      <c r="F103" s="606" t="s">
        <v>1071</v>
      </c>
      <c r="G103" s="606" t="s">
        <v>1085</v>
      </c>
      <c r="H103" s="606" t="s">
        <v>1086</v>
      </c>
      <c r="I103" s="606" t="s">
        <v>1087</v>
      </c>
      <c r="J103" s="606" t="s">
        <v>1088</v>
      </c>
    </row>
    <row r="104" spans="2:10" ht="21" customHeight="1">
      <c r="B104" s="605" t="s">
        <v>1351</v>
      </c>
      <c r="C104" s="606" t="s">
        <v>1083</v>
      </c>
      <c r="D104" s="605" t="s">
        <v>689</v>
      </c>
      <c r="E104" s="606" t="s">
        <v>1352</v>
      </c>
      <c r="F104" s="606" t="s">
        <v>1353</v>
      </c>
      <c r="G104" s="606" t="s">
        <v>1085</v>
      </c>
      <c r="H104" s="606" t="s">
        <v>1086</v>
      </c>
      <c r="I104" s="606" t="s">
        <v>1087</v>
      </c>
      <c r="J104" s="606" t="s">
        <v>1088</v>
      </c>
    </row>
    <row r="105" spans="2:10" ht="21" customHeight="1">
      <c r="B105" s="605" t="s">
        <v>1354</v>
      </c>
      <c r="C105" s="606" t="s">
        <v>1083</v>
      </c>
      <c r="D105" s="605" t="s">
        <v>689</v>
      </c>
      <c r="E105" s="606" t="s">
        <v>1355</v>
      </c>
      <c r="F105" s="606" t="s">
        <v>1356</v>
      </c>
      <c r="G105" s="606" t="s">
        <v>1085</v>
      </c>
      <c r="H105" s="606" t="s">
        <v>1086</v>
      </c>
      <c r="I105" s="606" t="s">
        <v>1087</v>
      </c>
      <c r="J105" s="606" t="s">
        <v>1088</v>
      </c>
    </row>
    <row r="106" spans="2:10" ht="21" customHeight="1">
      <c r="B106" s="605" t="s">
        <v>1357</v>
      </c>
      <c r="C106" s="606" t="s">
        <v>1083</v>
      </c>
      <c r="D106" s="605" t="s">
        <v>689</v>
      </c>
      <c r="E106" s="606" t="s">
        <v>1358</v>
      </c>
      <c r="F106" s="606" t="s">
        <v>1359</v>
      </c>
      <c r="G106" s="606" t="s">
        <v>1085</v>
      </c>
      <c r="H106" s="606" t="s">
        <v>1086</v>
      </c>
      <c r="I106" s="606" t="s">
        <v>1087</v>
      </c>
      <c r="J106" s="606" t="s">
        <v>1088</v>
      </c>
    </row>
    <row r="107" spans="2:10" ht="21" customHeight="1">
      <c r="B107" s="605" t="s">
        <v>1360</v>
      </c>
      <c r="C107" s="606" t="s">
        <v>1083</v>
      </c>
      <c r="D107" s="605" t="s">
        <v>689</v>
      </c>
      <c r="E107" s="606" t="s">
        <v>1361</v>
      </c>
      <c r="F107" s="606" t="s">
        <v>1362</v>
      </c>
      <c r="G107" s="606" t="s">
        <v>1085</v>
      </c>
      <c r="H107" s="606" t="s">
        <v>1086</v>
      </c>
      <c r="I107" s="606" t="s">
        <v>1087</v>
      </c>
      <c r="J107" s="606" t="s">
        <v>1088</v>
      </c>
    </row>
    <row r="108" spans="2:10" ht="21" customHeight="1">
      <c r="B108" s="605" t="s">
        <v>1363</v>
      </c>
      <c r="C108" s="606" t="s">
        <v>1083</v>
      </c>
      <c r="D108" s="605" t="s">
        <v>689</v>
      </c>
      <c r="E108" s="606" t="s">
        <v>1364</v>
      </c>
      <c r="F108" s="606" t="s">
        <v>1365</v>
      </c>
      <c r="G108" s="606" t="s">
        <v>1085</v>
      </c>
      <c r="H108" s="606" t="s">
        <v>1086</v>
      </c>
      <c r="I108" s="606" t="s">
        <v>1087</v>
      </c>
      <c r="J108" s="606" t="s">
        <v>1088</v>
      </c>
    </row>
    <row r="109" spans="2:10" ht="21" customHeight="1">
      <c r="B109" s="605" t="s">
        <v>1366</v>
      </c>
      <c r="C109" s="606" t="s">
        <v>1083</v>
      </c>
      <c r="D109" s="605" t="s">
        <v>689</v>
      </c>
      <c r="E109" s="606" t="s">
        <v>1367</v>
      </c>
      <c r="F109" s="606" t="s">
        <v>1368</v>
      </c>
      <c r="G109" s="606" t="s">
        <v>1085</v>
      </c>
      <c r="H109" s="606" t="s">
        <v>1086</v>
      </c>
      <c r="I109" s="606" t="s">
        <v>1087</v>
      </c>
      <c r="J109" s="606" t="s">
        <v>1088</v>
      </c>
    </row>
    <row r="110" spans="2:10" ht="21" customHeight="1">
      <c r="B110" s="605" t="s">
        <v>1369</v>
      </c>
      <c r="C110" s="606" t="s">
        <v>1083</v>
      </c>
      <c r="D110" s="605" t="s">
        <v>689</v>
      </c>
      <c r="E110" s="606" t="s">
        <v>1370</v>
      </c>
      <c r="F110" s="606" t="s">
        <v>1371</v>
      </c>
      <c r="G110" s="606" t="s">
        <v>1085</v>
      </c>
      <c r="H110" s="606" t="s">
        <v>1086</v>
      </c>
      <c r="I110" s="606" t="s">
        <v>1087</v>
      </c>
      <c r="J110" s="606" t="s">
        <v>1088</v>
      </c>
    </row>
    <row r="111" spans="2:10" ht="21" customHeight="1">
      <c r="B111" s="605" t="s">
        <v>1372</v>
      </c>
      <c r="C111" s="606" t="s">
        <v>1083</v>
      </c>
      <c r="D111" s="605" t="s">
        <v>689</v>
      </c>
      <c r="E111" s="606" t="s">
        <v>1373</v>
      </c>
      <c r="F111" s="606" t="s">
        <v>1374</v>
      </c>
      <c r="G111" s="606" t="s">
        <v>1085</v>
      </c>
      <c r="H111" s="606" t="s">
        <v>1086</v>
      </c>
      <c r="I111" s="606" t="s">
        <v>1087</v>
      </c>
      <c r="J111" s="606" t="s">
        <v>1088</v>
      </c>
    </row>
    <row r="112" spans="2:10" ht="21" customHeight="1">
      <c r="B112" s="605" t="s">
        <v>1375</v>
      </c>
      <c r="C112" s="606" t="s">
        <v>1083</v>
      </c>
      <c r="D112" s="605" t="s">
        <v>689</v>
      </c>
      <c r="E112" s="606" t="s">
        <v>1376</v>
      </c>
      <c r="F112" s="606" t="s">
        <v>80</v>
      </c>
      <c r="G112" s="606" t="s">
        <v>1085</v>
      </c>
      <c r="H112" s="606" t="s">
        <v>1086</v>
      </c>
      <c r="I112" s="606" t="s">
        <v>1087</v>
      </c>
      <c r="J112" s="606" t="s">
        <v>1088</v>
      </c>
    </row>
    <row r="113" spans="2:10" ht="21" customHeight="1">
      <c r="B113" s="605" t="s">
        <v>1377</v>
      </c>
      <c r="C113" s="606" t="s">
        <v>1083</v>
      </c>
      <c r="D113" s="605" t="s">
        <v>689</v>
      </c>
      <c r="E113" s="606" t="s">
        <v>1378</v>
      </c>
      <c r="F113" s="606" t="s">
        <v>1378</v>
      </c>
      <c r="G113" s="606" t="s">
        <v>1085</v>
      </c>
      <c r="H113" s="606" t="s">
        <v>1086</v>
      </c>
      <c r="I113" s="606" t="s">
        <v>1087</v>
      </c>
      <c r="J113" s="606" t="s">
        <v>1088</v>
      </c>
    </row>
    <row r="114" spans="2:10" ht="21" customHeight="1">
      <c r="B114" s="605" t="s">
        <v>1379</v>
      </c>
      <c r="C114" s="606" t="s">
        <v>1083</v>
      </c>
      <c r="D114" s="605" t="s">
        <v>689</v>
      </c>
      <c r="E114" s="606" t="s">
        <v>915</v>
      </c>
      <c r="F114" s="606" t="s">
        <v>915</v>
      </c>
      <c r="G114" s="606" t="s">
        <v>1085</v>
      </c>
      <c r="H114" s="606" t="s">
        <v>1086</v>
      </c>
      <c r="I114" s="606" t="s">
        <v>1087</v>
      </c>
      <c r="J114" s="606" t="s">
        <v>1088</v>
      </c>
    </row>
    <row r="115" spans="2:10" ht="21" customHeight="1">
      <c r="B115" s="605" t="s">
        <v>1380</v>
      </c>
      <c r="C115" s="606" t="s">
        <v>1083</v>
      </c>
      <c r="D115" s="605" t="s">
        <v>689</v>
      </c>
      <c r="E115" s="606" t="s">
        <v>1381</v>
      </c>
      <c r="F115" s="606" t="s">
        <v>1381</v>
      </c>
      <c r="G115" s="606" t="s">
        <v>1085</v>
      </c>
      <c r="H115" s="606" t="s">
        <v>1086</v>
      </c>
      <c r="I115" s="606" t="s">
        <v>1087</v>
      </c>
      <c r="J115" s="606" t="s">
        <v>1088</v>
      </c>
    </row>
    <row r="116" spans="2:10" ht="21" customHeight="1">
      <c r="B116" s="605" t="s">
        <v>1382</v>
      </c>
      <c r="C116" s="606" t="s">
        <v>1083</v>
      </c>
      <c r="D116" s="605" t="s">
        <v>689</v>
      </c>
      <c r="E116" s="606" t="s">
        <v>1383</v>
      </c>
      <c r="F116" s="606" t="s">
        <v>1383</v>
      </c>
      <c r="G116" s="606" t="s">
        <v>1085</v>
      </c>
      <c r="H116" s="606" t="s">
        <v>1086</v>
      </c>
      <c r="I116" s="606" t="s">
        <v>1087</v>
      </c>
      <c r="J116" s="606" t="s">
        <v>1088</v>
      </c>
    </row>
    <row r="117" spans="2:10" ht="21" customHeight="1">
      <c r="B117" s="605" t="s">
        <v>1449</v>
      </c>
      <c r="C117" s="606" t="s">
        <v>1083</v>
      </c>
      <c r="D117" s="605" t="s">
        <v>690</v>
      </c>
      <c r="E117" s="606" t="s">
        <v>1450</v>
      </c>
      <c r="F117" s="606" t="s">
        <v>1450</v>
      </c>
      <c r="G117" s="606" t="s">
        <v>1151</v>
      </c>
      <c r="H117" s="606" t="s">
        <v>1446</v>
      </c>
      <c r="I117" s="606" t="s">
        <v>1087</v>
      </c>
      <c r="J117" s="606" t="s">
        <v>1153</v>
      </c>
    </row>
    <row r="118" spans="2:10" ht="21" customHeight="1">
      <c r="B118" s="605" t="s">
        <v>1451</v>
      </c>
      <c r="C118" s="606" t="s">
        <v>1083</v>
      </c>
      <c r="D118" s="605" t="s">
        <v>690</v>
      </c>
      <c r="E118" s="606" t="s">
        <v>1452</v>
      </c>
      <c r="F118" s="606" t="s">
        <v>1452</v>
      </c>
      <c r="G118" s="606" t="s">
        <v>1085</v>
      </c>
      <c r="H118" s="606" t="s">
        <v>1441</v>
      </c>
      <c r="I118" s="606" t="s">
        <v>1087</v>
      </c>
      <c r="J118" s="606" t="s">
        <v>1088</v>
      </c>
    </row>
    <row r="119" spans="2:10" ht="21" customHeight="1">
      <c r="B119" s="605" t="s">
        <v>1453</v>
      </c>
      <c r="C119" s="606" t="s">
        <v>1083</v>
      </c>
      <c r="D119" s="605" t="s">
        <v>690</v>
      </c>
      <c r="E119" s="606" t="s">
        <v>706</v>
      </c>
      <c r="F119" s="606" t="s">
        <v>706</v>
      </c>
      <c r="G119" s="606" t="s">
        <v>1085</v>
      </c>
      <c r="H119" s="606" t="s">
        <v>1441</v>
      </c>
      <c r="I119" s="606" t="s">
        <v>1087</v>
      </c>
      <c r="J119" s="606" t="s">
        <v>1088</v>
      </c>
    </row>
    <row r="120" spans="2:10" ht="21" customHeight="1">
      <c r="B120" s="605" t="s">
        <v>1454</v>
      </c>
      <c r="C120" s="606" t="s">
        <v>1083</v>
      </c>
      <c r="D120" s="605" t="s">
        <v>690</v>
      </c>
      <c r="E120" s="606" t="s">
        <v>1455</v>
      </c>
      <c r="F120" s="606" t="s">
        <v>709</v>
      </c>
      <c r="G120" s="606" t="s">
        <v>1085</v>
      </c>
      <c r="H120" s="606" t="s">
        <v>1441</v>
      </c>
      <c r="I120" s="606" t="s">
        <v>1087</v>
      </c>
      <c r="J120" s="606" t="s">
        <v>1088</v>
      </c>
    </row>
    <row r="121" spans="2:10" ht="21" customHeight="1">
      <c r="B121" s="605" t="s">
        <v>1384</v>
      </c>
      <c r="C121" s="606" t="s">
        <v>1083</v>
      </c>
      <c r="D121" s="605" t="s">
        <v>689</v>
      </c>
      <c r="E121" s="606" t="s">
        <v>1385</v>
      </c>
      <c r="F121" s="606" t="s">
        <v>1385</v>
      </c>
      <c r="G121" s="606" t="s">
        <v>1085</v>
      </c>
      <c r="H121" s="606" t="s">
        <v>1086</v>
      </c>
      <c r="I121" s="606" t="s">
        <v>1087</v>
      </c>
      <c r="J121" s="606" t="s">
        <v>1088</v>
      </c>
    </row>
    <row r="122" spans="2:10" ht="21" customHeight="1">
      <c r="B122" s="605" t="s">
        <v>1386</v>
      </c>
      <c r="C122" s="606" t="s">
        <v>1083</v>
      </c>
      <c r="D122" s="605" t="s">
        <v>689</v>
      </c>
      <c r="E122" s="606" t="s">
        <v>916</v>
      </c>
      <c r="F122" s="606" t="s">
        <v>916</v>
      </c>
      <c r="G122" s="606" t="s">
        <v>1085</v>
      </c>
      <c r="H122" s="606" t="s">
        <v>1086</v>
      </c>
      <c r="I122" s="606" t="s">
        <v>1087</v>
      </c>
      <c r="J122" s="606" t="s">
        <v>1088</v>
      </c>
    </row>
    <row r="123" spans="2:10" ht="21" customHeight="1">
      <c r="B123" s="605" t="s">
        <v>1387</v>
      </c>
      <c r="C123" s="606" t="s">
        <v>1083</v>
      </c>
      <c r="D123" s="605" t="s">
        <v>689</v>
      </c>
      <c r="E123" s="606" t="s">
        <v>917</v>
      </c>
      <c r="F123" s="606" t="s">
        <v>917</v>
      </c>
      <c r="G123" s="606" t="s">
        <v>1085</v>
      </c>
      <c r="H123" s="606" t="s">
        <v>1086</v>
      </c>
      <c r="I123" s="606" t="s">
        <v>1087</v>
      </c>
      <c r="J123" s="606" t="s">
        <v>1088</v>
      </c>
    </row>
    <row r="124" spans="2:10" ht="21" customHeight="1">
      <c r="B124" s="605" t="s">
        <v>1388</v>
      </c>
      <c r="C124" s="606" t="s">
        <v>1083</v>
      </c>
      <c r="D124" s="605" t="s">
        <v>689</v>
      </c>
      <c r="E124" s="606" t="s">
        <v>1389</v>
      </c>
      <c r="F124" s="606" t="s">
        <v>1390</v>
      </c>
      <c r="G124" s="606" t="s">
        <v>1085</v>
      </c>
      <c r="H124" s="606" t="s">
        <v>1086</v>
      </c>
      <c r="I124" s="606" t="s">
        <v>1087</v>
      </c>
      <c r="J124" s="606" t="s">
        <v>1088</v>
      </c>
    </row>
    <row r="125" spans="2:10" ht="21" customHeight="1">
      <c r="B125" s="605" t="s">
        <v>1391</v>
      </c>
      <c r="C125" s="606" t="s">
        <v>1083</v>
      </c>
      <c r="D125" s="605" t="s">
        <v>689</v>
      </c>
      <c r="E125" s="606" t="s">
        <v>1392</v>
      </c>
      <c r="F125" s="606" t="s">
        <v>1393</v>
      </c>
      <c r="G125" s="606" t="s">
        <v>1085</v>
      </c>
      <c r="H125" s="606" t="s">
        <v>1086</v>
      </c>
      <c r="I125" s="606" t="s">
        <v>1087</v>
      </c>
      <c r="J125" s="606" t="s">
        <v>1088</v>
      </c>
    </row>
    <row r="126" spans="2:10" ht="21" customHeight="1">
      <c r="B126" s="605" t="s">
        <v>1394</v>
      </c>
      <c r="C126" s="606" t="s">
        <v>1083</v>
      </c>
      <c r="D126" s="605" t="s">
        <v>689</v>
      </c>
      <c r="E126" s="606" t="s">
        <v>918</v>
      </c>
      <c r="F126" s="606" t="s">
        <v>918</v>
      </c>
      <c r="G126" s="606" t="s">
        <v>1085</v>
      </c>
      <c r="H126" s="606" t="s">
        <v>1086</v>
      </c>
      <c r="I126" s="606" t="s">
        <v>1087</v>
      </c>
      <c r="J126" s="606" t="s">
        <v>1088</v>
      </c>
    </row>
    <row r="127" spans="2:10" ht="21" customHeight="1">
      <c r="B127" s="605" t="s">
        <v>1395</v>
      </c>
      <c r="C127" s="606" t="s">
        <v>1083</v>
      </c>
      <c r="D127" s="605" t="s">
        <v>689</v>
      </c>
      <c r="E127" s="606" t="s">
        <v>920</v>
      </c>
      <c r="F127" s="606" t="s">
        <v>920</v>
      </c>
      <c r="G127" s="606" t="s">
        <v>1085</v>
      </c>
      <c r="H127" s="606" t="s">
        <v>1086</v>
      </c>
      <c r="I127" s="606" t="s">
        <v>1087</v>
      </c>
      <c r="J127" s="606" t="s">
        <v>1088</v>
      </c>
    </row>
    <row r="128" spans="2:10" ht="21" customHeight="1">
      <c r="B128" s="605" t="s">
        <v>1396</v>
      </c>
      <c r="C128" s="606" t="s">
        <v>1083</v>
      </c>
      <c r="D128" s="605" t="s">
        <v>689</v>
      </c>
      <c r="E128" s="606" t="s">
        <v>921</v>
      </c>
      <c r="F128" s="606" t="s">
        <v>921</v>
      </c>
      <c r="G128" s="606" t="s">
        <v>1085</v>
      </c>
      <c r="H128" s="606" t="s">
        <v>1086</v>
      </c>
      <c r="I128" s="606" t="s">
        <v>1087</v>
      </c>
      <c r="J128" s="606" t="s">
        <v>1088</v>
      </c>
    </row>
    <row r="129" spans="2:10" ht="21" customHeight="1">
      <c r="B129" s="605" t="s">
        <v>1397</v>
      </c>
      <c r="C129" s="606" t="s">
        <v>1083</v>
      </c>
      <c r="D129" s="605" t="s">
        <v>689</v>
      </c>
      <c r="E129" s="606" t="s">
        <v>922</v>
      </c>
      <c r="F129" s="606" t="s">
        <v>922</v>
      </c>
      <c r="G129" s="606" t="s">
        <v>1085</v>
      </c>
      <c r="H129" s="606" t="s">
        <v>1086</v>
      </c>
      <c r="I129" s="606" t="s">
        <v>1087</v>
      </c>
      <c r="J129" s="606" t="s">
        <v>1088</v>
      </c>
    </row>
    <row r="130" spans="2:10" ht="21" customHeight="1">
      <c r="B130" s="605" t="s">
        <v>1398</v>
      </c>
      <c r="C130" s="606" t="s">
        <v>1083</v>
      </c>
      <c r="D130" s="605" t="s">
        <v>689</v>
      </c>
      <c r="E130" s="606" t="s">
        <v>317</v>
      </c>
      <c r="F130" s="606" t="s">
        <v>317</v>
      </c>
      <c r="G130" s="606" t="s">
        <v>1151</v>
      </c>
      <c r="H130" s="606" t="s">
        <v>1152</v>
      </c>
      <c r="I130" s="606" t="s">
        <v>1087</v>
      </c>
      <c r="J130" s="606" t="s">
        <v>1153</v>
      </c>
    </row>
    <row r="131" spans="2:10" ht="21" customHeight="1">
      <c r="B131" s="605" t="s">
        <v>1399</v>
      </c>
      <c r="C131" s="606" t="s">
        <v>1083</v>
      </c>
      <c r="D131" s="605" t="s">
        <v>689</v>
      </c>
      <c r="E131" s="606" t="s">
        <v>118</v>
      </c>
      <c r="F131" s="606" t="s">
        <v>118</v>
      </c>
      <c r="G131" s="606" t="s">
        <v>1085</v>
      </c>
      <c r="H131" s="606" t="s">
        <v>1086</v>
      </c>
      <c r="I131" s="606" t="s">
        <v>1087</v>
      </c>
      <c r="J131" s="606" t="s">
        <v>1088</v>
      </c>
    </row>
    <row r="132" spans="2:10" ht="21" customHeight="1">
      <c r="B132" s="605" t="s">
        <v>1400</v>
      </c>
      <c r="C132" s="606" t="s">
        <v>1083</v>
      </c>
      <c r="D132" s="605" t="s">
        <v>689</v>
      </c>
      <c r="E132" s="606" t="s">
        <v>194</v>
      </c>
      <c r="F132" s="606" t="s">
        <v>194</v>
      </c>
      <c r="G132" s="606" t="s">
        <v>1085</v>
      </c>
      <c r="H132" s="606" t="s">
        <v>1086</v>
      </c>
      <c r="I132" s="606" t="s">
        <v>1087</v>
      </c>
      <c r="J132" s="606" t="s">
        <v>1088</v>
      </c>
    </row>
    <row r="133" spans="2:10" ht="21" customHeight="1">
      <c r="B133" s="605" t="s">
        <v>1401</v>
      </c>
      <c r="C133" s="606" t="s">
        <v>1083</v>
      </c>
      <c r="D133" s="605" t="s">
        <v>689</v>
      </c>
      <c r="E133" s="606" t="s">
        <v>178</v>
      </c>
      <c r="F133" s="606" t="s">
        <v>178</v>
      </c>
      <c r="G133" s="606" t="s">
        <v>1085</v>
      </c>
      <c r="H133" s="606" t="s">
        <v>1086</v>
      </c>
      <c r="I133" s="606" t="s">
        <v>1087</v>
      </c>
      <c r="J133" s="606" t="s">
        <v>1088</v>
      </c>
    </row>
    <row r="134" spans="2:10" ht="21" customHeight="1">
      <c r="B134" s="605" t="s">
        <v>1402</v>
      </c>
      <c r="C134" s="606" t="s">
        <v>1083</v>
      </c>
      <c r="D134" s="605" t="s">
        <v>689</v>
      </c>
      <c r="E134" s="606" t="s">
        <v>1403</v>
      </c>
      <c r="F134" s="606" t="s">
        <v>704</v>
      </c>
      <c r="G134" s="606" t="s">
        <v>1085</v>
      </c>
      <c r="H134" s="606" t="s">
        <v>1086</v>
      </c>
      <c r="I134" s="606" t="s">
        <v>1087</v>
      </c>
      <c r="J134" s="606" t="s">
        <v>1088</v>
      </c>
    </row>
    <row r="135" spans="2:10" ht="21" customHeight="1">
      <c r="B135" s="605" t="s">
        <v>1404</v>
      </c>
      <c r="C135" s="606" t="s">
        <v>1083</v>
      </c>
      <c r="D135" s="605" t="s">
        <v>689</v>
      </c>
      <c r="E135" s="606" t="s">
        <v>1405</v>
      </c>
      <c r="F135" s="606" t="s">
        <v>1405</v>
      </c>
      <c r="G135" s="606" t="s">
        <v>1085</v>
      </c>
      <c r="H135" s="606" t="s">
        <v>1086</v>
      </c>
      <c r="I135" s="606" t="s">
        <v>1087</v>
      </c>
      <c r="J135" s="606" t="s">
        <v>1088</v>
      </c>
    </row>
    <row r="136" spans="2:10" ht="21" customHeight="1">
      <c r="B136" s="605" t="s">
        <v>1406</v>
      </c>
      <c r="C136" s="606" t="s">
        <v>1083</v>
      </c>
      <c r="D136" s="605" t="s">
        <v>689</v>
      </c>
      <c r="E136" s="606" t="s">
        <v>1407</v>
      </c>
      <c r="F136" s="606" t="s">
        <v>1407</v>
      </c>
      <c r="G136" s="606" t="s">
        <v>1085</v>
      </c>
      <c r="H136" s="606" t="s">
        <v>1086</v>
      </c>
      <c r="I136" s="606" t="s">
        <v>1087</v>
      </c>
      <c r="J136" s="606" t="s">
        <v>1088</v>
      </c>
    </row>
    <row r="137" spans="2:10" ht="21" customHeight="1">
      <c r="B137" s="605" t="s">
        <v>1408</v>
      </c>
      <c r="C137" s="606" t="s">
        <v>1083</v>
      </c>
      <c r="D137" s="605" t="s">
        <v>689</v>
      </c>
      <c r="E137" s="606" t="s">
        <v>1409</v>
      </c>
      <c r="F137" s="606" t="s">
        <v>1409</v>
      </c>
      <c r="G137" s="606" t="s">
        <v>1085</v>
      </c>
      <c r="H137" s="606" t="s">
        <v>1086</v>
      </c>
      <c r="I137" s="606" t="s">
        <v>1087</v>
      </c>
      <c r="J137" s="606" t="s">
        <v>1088</v>
      </c>
    </row>
    <row r="138" spans="2:10" ht="21" customHeight="1">
      <c r="B138" s="605" t="s">
        <v>1410</v>
      </c>
      <c r="C138" s="606" t="s">
        <v>1083</v>
      </c>
      <c r="D138" s="605" t="s">
        <v>689</v>
      </c>
      <c r="E138" s="606" t="s">
        <v>1411</v>
      </c>
      <c r="F138" s="606" t="s">
        <v>189</v>
      </c>
      <c r="G138" s="606" t="s">
        <v>1085</v>
      </c>
      <c r="H138" s="606" t="s">
        <v>1086</v>
      </c>
      <c r="I138" s="606" t="s">
        <v>1087</v>
      </c>
      <c r="J138" s="606" t="s">
        <v>1088</v>
      </c>
    </row>
    <row r="139" spans="2:10" ht="21" customHeight="1">
      <c r="B139" s="605" t="s">
        <v>1412</v>
      </c>
      <c r="C139" s="606" t="s">
        <v>1083</v>
      </c>
      <c r="D139" s="605" t="s">
        <v>689</v>
      </c>
      <c r="E139" s="606" t="s">
        <v>927</v>
      </c>
      <c r="F139" s="606" t="s">
        <v>927</v>
      </c>
      <c r="G139" s="606" t="s">
        <v>1085</v>
      </c>
      <c r="H139" s="606" t="s">
        <v>1086</v>
      </c>
      <c r="I139" s="606" t="s">
        <v>1087</v>
      </c>
      <c r="J139" s="606" t="s">
        <v>1088</v>
      </c>
    </row>
    <row r="140" spans="2:10" ht="21" customHeight="1">
      <c r="B140" s="605" t="s">
        <v>1413</v>
      </c>
      <c r="C140" s="606" t="s">
        <v>1083</v>
      </c>
      <c r="D140" s="605" t="s">
        <v>689</v>
      </c>
      <c r="E140" s="606" t="s">
        <v>318</v>
      </c>
      <c r="F140" s="606" t="s">
        <v>318</v>
      </c>
      <c r="G140" s="606" t="s">
        <v>1151</v>
      </c>
      <c r="H140" s="606" t="s">
        <v>1152</v>
      </c>
      <c r="I140" s="606" t="s">
        <v>1087</v>
      </c>
      <c r="J140" s="606" t="s">
        <v>1153</v>
      </c>
    </row>
    <row r="141" spans="2:10" ht="21" customHeight="1">
      <c r="B141" s="605" t="s">
        <v>1414</v>
      </c>
      <c r="C141" s="606" t="s">
        <v>1083</v>
      </c>
      <c r="D141" s="605" t="s">
        <v>689</v>
      </c>
      <c r="E141" s="606" t="s">
        <v>1415</v>
      </c>
      <c r="F141" s="606" t="s">
        <v>1415</v>
      </c>
      <c r="G141" s="606" t="s">
        <v>1085</v>
      </c>
      <c r="H141" s="606" t="s">
        <v>1086</v>
      </c>
      <c r="I141" s="606" t="s">
        <v>1087</v>
      </c>
      <c r="J141" s="606" t="s">
        <v>1088</v>
      </c>
    </row>
    <row r="142" spans="2:10" ht="21" customHeight="1">
      <c r="B142" s="605" t="s">
        <v>1416</v>
      </c>
      <c r="C142" s="606" t="s">
        <v>1083</v>
      </c>
      <c r="D142" s="605" t="s">
        <v>689</v>
      </c>
      <c r="E142" s="606" t="s">
        <v>1417</v>
      </c>
      <c r="F142" s="606" t="s">
        <v>1417</v>
      </c>
      <c r="G142" s="606" t="s">
        <v>1085</v>
      </c>
      <c r="H142" s="606" t="s">
        <v>1086</v>
      </c>
      <c r="I142" s="606" t="s">
        <v>1087</v>
      </c>
      <c r="J142" s="606" t="s">
        <v>1088</v>
      </c>
    </row>
    <row r="143" spans="2:10" ht="21" customHeight="1">
      <c r="B143" s="605" t="s">
        <v>1418</v>
      </c>
      <c r="C143" s="606" t="s">
        <v>1083</v>
      </c>
      <c r="D143" s="605" t="s">
        <v>689</v>
      </c>
      <c r="E143" s="606" t="s">
        <v>1419</v>
      </c>
      <c r="F143" s="606" t="s">
        <v>928</v>
      </c>
      <c r="G143" s="606" t="s">
        <v>1085</v>
      </c>
      <c r="H143" s="606" t="s">
        <v>1086</v>
      </c>
      <c r="I143" s="606" t="s">
        <v>1087</v>
      </c>
      <c r="J143" s="606" t="s">
        <v>1088</v>
      </c>
    </row>
    <row r="144" spans="2:10" ht="21" customHeight="1">
      <c r="B144" s="605" t="s">
        <v>1420</v>
      </c>
      <c r="C144" s="606" t="s">
        <v>1083</v>
      </c>
      <c r="D144" s="605" t="s">
        <v>689</v>
      </c>
      <c r="E144" s="606" t="s">
        <v>929</v>
      </c>
      <c r="F144" s="606" t="s">
        <v>929</v>
      </c>
      <c r="G144" s="606" t="s">
        <v>1085</v>
      </c>
      <c r="H144" s="606" t="s">
        <v>1086</v>
      </c>
      <c r="I144" s="606" t="s">
        <v>1087</v>
      </c>
      <c r="J144" s="606" t="s">
        <v>1088</v>
      </c>
    </row>
    <row r="145" spans="2:10" ht="21" customHeight="1">
      <c r="B145" s="605" t="s">
        <v>1421</v>
      </c>
      <c r="C145" s="606" t="s">
        <v>1083</v>
      </c>
      <c r="D145" s="605" t="s">
        <v>689</v>
      </c>
      <c r="E145" s="606" t="s">
        <v>930</v>
      </c>
      <c r="F145" s="606" t="s">
        <v>930</v>
      </c>
      <c r="G145" s="606" t="s">
        <v>1085</v>
      </c>
      <c r="H145" s="606" t="s">
        <v>1086</v>
      </c>
      <c r="I145" s="606" t="s">
        <v>1087</v>
      </c>
      <c r="J145" s="606" t="s">
        <v>1088</v>
      </c>
    </row>
    <row r="146" spans="2:10" ht="21" customHeight="1">
      <c r="B146" s="605" t="s">
        <v>1422</v>
      </c>
      <c r="C146" s="606" t="s">
        <v>1083</v>
      </c>
      <c r="D146" s="605" t="s">
        <v>689</v>
      </c>
      <c r="E146" s="606" t="s">
        <v>1423</v>
      </c>
      <c r="F146" s="606" t="s">
        <v>1423</v>
      </c>
      <c r="G146" s="606" t="s">
        <v>1085</v>
      </c>
      <c r="H146" s="606" t="s">
        <v>1086</v>
      </c>
      <c r="I146" s="606" t="s">
        <v>1087</v>
      </c>
      <c r="J146" s="606" t="s">
        <v>1088</v>
      </c>
    </row>
    <row r="147" spans="2:10" ht="21" customHeight="1">
      <c r="B147" s="605" t="s">
        <v>1424</v>
      </c>
      <c r="C147" s="606" t="s">
        <v>1083</v>
      </c>
      <c r="D147" s="605" t="s">
        <v>689</v>
      </c>
      <c r="E147" s="606" t="s">
        <v>932</v>
      </c>
      <c r="F147" s="606" t="s">
        <v>932</v>
      </c>
      <c r="G147" s="606" t="s">
        <v>1085</v>
      </c>
      <c r="H147" s="606" t="s">
        <v>1086</v>
      </c>
      <c r="I147" s="606" t="s">
        <v>1087</v>
      </c>
      <c r="J147" s="606" t="s">
        <v>1088</v>
      </c>
    </row>
    <row r="148" spans="2:10" ht="21" customHeight="1">
      <c r="B148" s="605" t="s">
        <v>1425</v>
      </c>
      <c r="C148" s="606" t="s">
        <v>1083</v>
      </c>
      <c r="D148" s="605" t="s">
        <v>689</v>
      </c>
      <c r="E148" s="606" t="s">
        <v>1426</v>
      </c>
      <c r="F148" s="606" t="s">
        <v>1427</v>
      </c>
      <c r="G148" s="606" t="s">
        <v>1085</v>
      </c>
      <c r="H148" s="606" t="s">
        <v>1086</v>
      </c>
      <c r="I148" s="606" t="s">
        <v>1087</v>
      </c>
      <c r="J148" s="606" t="s">
        <v>1088</v>
      </c>
    </row>
    <row r="149" spans="2:10" ht="21" customHeight="1">
      <c r="B149" s="605" t="s">
        <v>1428</v>
      </c>
      <c r="C149" s="606" t="s">
        <v>1083</v>
      </c>
      <c r="D149" s="605" t="s">
        <v>689</v>
      </c>
      <c r="E149" s="606" t="s">
        <v>933</v>
      </c>
      <c r="F149" s="606" t="s">
        <v>933</v>
      </c>
      <c r="G149" s="606" t="s">
        <v>1085</v>
      </c>
      <c r="H149" s="606" t="s">
        <v>1086</v>
      </c>
      <c r="I149" s="606" t="s">
        <v>1087</v>
      </c>
      <c r="J149" s="606" t="s">
        <v>1088</v>
      </c>
    </row>
    <row r="150" spans="2:10" ht="21" customHeight="1">
      <c r="B150" s="605" t="s">
        <v>1429</v>
      </c>
      <c r="C150" s="606" t="s">
        <v>1083</v>
      </c>
      <c r="D150" s="605" t="s">
        <v>689</v>
      </c>
      <c r="E150" s="606" t="s">
        <v>151</v>
      </c>
      <c r="F150" s="606" t="s">
        <v>151</v>
      </c>
      <c r="G150" s="606" t="s">
        <v>1085</v>
      </c>
      <c r="H150" s="606" t="s">
        <v>1086</v>
      </c>
      <c r="I150" s="606" t="s">
        <v>1087</v>
      </c>
      <c r="J150" s="606" t="s">
        <v>1088</v>
      </c>
    </row>
    <row r="151" spans="2:10" ht="21" customHeight="1">
      <c r="B151" s="605" t="s">
        <v>1430</v>
      </c>
      <c r="C151" s="606" t="s">
        <v>1083</v>
      </c>
      <c r="D151" s="605" t="s">
        <v>689</v>
      </c>
      <c r="E151" s="606" t="s">
        <v>1431</v>
      </c>
      <c r="F151" s="606" t="s">
        <v>1431</v>
      </c>
      <c r="G151" s="606" t="s">
        <v>1085</v>
      </c>
      <c r="H151" s="606" t="s">
        <v>1086</v>
      </c>
      <c r="I151" s="606" t="s">
        <v>1087</v>
      </c>
      <c r="J151" s="606" t="s">
        <v>1088</v>
      </c>
    </row>
    <row r="152" spans="2:10" ht="21" customHeight="1">
      <c r="B152" s="605" t="s">
        <v>1432</v>
      </c>
      <c r="C152" s="606" t="s">
        <v>1083</v>
      </c>
      <c r="D152" s="605" t="s">
        <v>689</v>
      </c>
      <c r="E152" s="606" t="s">
        <v>1433</v>
      </c>
      <c r="F152" s="606" t="s">
        <v>1433</v>
      </c>
      <c r="G152" s="606" t="s">
        <v>1085</v>
      </c>
      <c r="H152" s="606" t="s">
        <v>1086</v>
      </c>
      <c r="I152" s="606" t="s">
        <v>1087</v>
      </c>
      <c r="J152" s="606" t="s">
        <v>1088</v>
      </c>
    </row>
    <row r="153" spans="2:10" ht="21" customHeight="1">
      <c r="B153" s="605" t="s">
        <v>1456</v>
      </c>
      <c r="C153" s="606" t="s">
        <v>1083</v>
      </c>
      <c r="D153" s="605" t="s">
        <v>690</v>
      </c>
      <c r="E153" s="606" t="s">
        <v>707</v>
      </c>
      <c r="F153" s="606" t="s">
        <v>707</v>
      </c>
      <c r="G153" s="606" t="s">
        <v>1085</v>
      </c>
      <c r="H153" s="606" t="s">
        <v>1441</v>
      </c>
      <c r="I153" s="606" t="s">
        <v>1087</v>
      </c>
      <c r="J153" s="606" t="s">
        <v>1088</v>
      </c>
    </row>
    <row r="154" spans="2:10" ht="21" customHeight="1">
      <c r="B154" s="605" t="s">
        <v>1434</v>
      </c>
      <c r="C154" s="606" t="s">
        <v>1083</v>
      </c>
      <c r="D154" s="605" t="s">
        <v>689</v>
      </c>
      <c r="E154" s="606" t="s">
        <v>1435</v>
      </c>
      <c r="F154" s="606" t="s">
        <v>1435</v>
      </c>
      <c r="G154" s="606" t="s">
        <v>1151</v>
      </c>
      <c r="H154" s="606" t="s">
        <v>1152</v>
      </c>
      <c r="I154" s="606" t="s">
        <v>1087</v>
      </c>
      <c r="J154" s="606" t="s">
        <v>1153</v>
      </c>
    </row>
    <row r="155" spans="2:10" ht="21" customHeight="1">
      <c r="B155" s="605" t="s">
        <v>1436</v>
      </c>
      <c r="C155" s="606" t="s">
        <v>1083</v>
      </c>
      <c r="D155" s="605" t="s">
        <v>689</v>
      </c>
      <c r="E155" s="606" t="s">
        <v>319</v>
      </c>
      <c r="F155" s="606" t="s">
        <v>319</v>
      </c>
      <c r="G155" s="606" t="s">
        <v>1085</v>
      </c>
      <c r="H155" s="606" t="s">
        <v>1086</v>
      </c>
      <c r="I155" s="606" t="s">
        <v>1087</v>
      </c>
      <c r="J155" s="606" t="s">
        <v>1088</v>
      </c>
    </row>
    <row r="156" spans="2:10" ht="21" customHeight="1">
      <c r="B156" s="605" t="s">
        <v>1437</v>
      </c>
      <c r="C156" s="606" t="s">
        <v>1083</v>
      </c>
      <c r="D156" s="605" t="s">
        <v>689</v>
      </c>
      <c r="E156" s="606" t="s">
        <v>934</v>
      </c>
      <c r="F156" s="606" t="s">
        <v>934</v>
      </c>
      <c r="G156" s="606" t="s">
        <v>1085</v>
      </c>
      <c r="H156" s="606" t="s">
        <v>1086</v>
      </c>
      <c r="I156" s="606" t="s">
        <v>1087</v>
      </c>
      <c r="J156" s="606" t="s">
        <v>1088</v>
      </c>
    </row>
    <row r="157" spans="2:10" ht="21" customHeight="1">
      <c r="B157" s="605" t="s">
        <v>1438</v>
      </c>
      <c r="C157" s="606" t="s">
        <v>1083</v>
      </c>
      <c r="D157" s="605" t="s">
        <v>690</v>
      </c>
      <c r="E157" s="606" t="s">
        <v>1439</v>
      </c>
      <c r="F157" s="606" t="s">
        <v>1440</v>
      </c>
      <c r="G157" s="606" t="s">
        <v>1085</v>
      </c>
      <c r="H157" s="606" t="s">
        <v>1441</v>
      </c>
      <c r="I157" s="606" t="s">
        <v>1087</v>
      </c>
      <c r="J157" s="606" t="s">
        <v>1088</v>
      </c>
    </row>
    <row r="158" spans="2:10" ht="21" customHeight="1">
      <c r="B158" s="605" t="s">
        <v>1442</v>
      </c>
      <c r="C158" s="606" t="s">
        <v>1083</v>
      </c>
      <c r="D158" s="605" t="s">
        <v>690</v>
      </c>
      <c r="E158" s="606" t="s">
        <v>1443</v>
      </c>
      <c r="F158" s="606" t="s">
        <v>1443</v>
      </c>
      <c r="G158" s="606" t="s">
        <v>1085</v>
      </c>
      <c r="H158" s="606" t="s">
        <v>1441</v>
      </c>
      <c r="I158" s="606" t="s">
        <v>1087</v>
      </c>
      <c r="J158" s="606" t="s">
        <v>1088</v>
      </c>
    </row>
    <row r="159" spans="2:10" ht="21" customHeight="1">
      <c r="B159" s="605" t="s">
        <v>1444</v>
      </c>
      <c r="C159" s="606" t="s">
        <v>1083</v>
      </c>
      <c r="D159" s="605" t="s">
        <v>690</v>
      </c>
      <c r="E159" s="606" t="s">
        <v>1445</v>
      </c>
      <c r="F159" s="606" t="s">
        <v>1445</v>
      </c>
      <c r="G159" s="606" t="s">
        <v>1151</v>
      </c>
      <c r="H159" s="606" t="s">
        <v>1446</v>
      </c>
      <c r="I159" s="606" t="s">
        <v>1087</v>
      </c>
      <c r="J159" s="606" t="s">
        <v>1153</v>
      </c>
    </row>
    <row r="160" spans="2:10" ht="21" customHeight="1">
      <c r="B160" s="605" t="s">
        <v>1447</v>
      </c>
      <c r="C160" s="606" t="s">
        <v>1083</v>
      </c>
      <c r="D160" s="605" t="s">
        <v>690</v>
      </c>
      <c r="E160" s="606" t="s">
        <v>1448</v>
      </c>
      <c r="F160" s="606" t="s">
        <v>1448</v>
      </c>
      <c r="G160" s="606" t="s">
        <v>1151</v>
      </c>
      <c r="H160" s="606" t="s">
        <v>1446</v>
      </c>
      <c r="I160" s="606" t="s">
        <v>1087</v>
      </c>
      <c r="J160" s="606" t="s">
        <v>1153</v>
      </c>
    </row>
    <row r="161" spans="2:10" ht="21" customHeight="1">
      <c r="B161" s="605" t="s">
        <v>1457</v>
      </c>
      <c r="C161" s="606" t="s">
        <v>1083</v>
      </c>
      <c r="D161" s="605" t="s">
        <v>690</v>
      </c>
      <c r="E161" s="606" t="s">
        <v>1458</v>
      </c>
      <c r="F161" s="606" t="s">
        <v>1458</v>
      </c>
      <c r="G161" s="606" t="s">
        <v>1085</v>
      </c>
      <c r="H161" s="606" t="s">
        <v>1441</v>
      </c>
      <c r="I161" s="606" t="s">
        <v>1087</v>
      </c>
      <c r="J161" s="606" t="s">
        <v>1088</v>
      </c>
    </row>
    <row r="162" spans="2:10" ht="21" customHeight="1">
      <c r="B162" s="605" t="s">
        <v>1459</v>
      </c>
      <c r="C162" s="606" t="s">
        <v>1083</v>
      </c>
      <c r="D162" s="605" t="s">
        <v>690</v>
      </c>
      <c r="E162" s="606" t="s">
        <v>38</v>
      </c>
      <c r="F162" s="606" t="s">
        <v>38</v>
      </c>
      <c r="G162" s="606" t="s">
        <v>1085</v>
      </c>
      <c r="H162" s="606" t="s">
        <v>1441</v>
      </c>
      <c r="I162" s="606" t="s">
        <v>1087</v>
      </c>
      <c r="J162" s="606" t="s">
        <v>1088</v>
      </c>
    </row>
    <row r="163" spans="2:10" ht="21" customHeight="1">
      <c r="B163" s="605" t="s">
        <v>1460</v>
      </c>
      <c r="C163" s="606" t="s">
        <v>1083</v>
      </c>
      <c r="D163" s="605" t="s">
        <v>690</v>
      </c>
      <c r="E163" s="606" t="s">
        <v>1461</v>
      </c>
      <c r="F163" s="606" t="s">
        <v>711</v>
      </c>
      <c r="G163" s="606" t="s">
        <v>1085</v>
      </c>
      <c r="H163" s="606" t="s">
        <v>1441</v>
      </c>
      <c r="I163" s="606" t="s">
        <v>1087</v>
      </c>
      <c r="J163" s="606" t="s">
        <v>1088</v>
      </c>
    </row>
    <row r="164" spans="2:10" ht="21" customHeight="1">
      <c r="B164" s="605" t="s">
        <v>1462</v>
      </c>
      <c r="C164" s="606" t="s">
        <v>1083</v>
      </c>
      <c r="D164" s="605" t="s">
        <v>690</v>
      </c>
      <c r="E164" s="606" t="s">
        <v>1463</v>
      </c>
      <c r="F164" s="606" t="s">
        <v>1463</v>
      </c>
      <c r="G164" s="606" t="s">
        <v>1085</v>
      </c>
      <c r="H164" s="606" t="s">
        <v>1441</v>
      </c>
      <c r="I164" s="606" t="s">
        <v>1087</v>
      </c>
      <c r="J164" s="606" t="s">
        <v>1088</v>
      </c>
    </row>
    <row r="165" spans="2:10" ht="21" customHeight="1">
      <c r="B165" s="605" t="s">
        <v>1464</v>
      </c>
      <c r="C165" s="606" t="s">
        <v>1083</v>
      </c>
      <c r="D165" s="605" t="s">
        <v>690</v>
      </c>
      <c r="E165" s="606" t="s">
        <v>708</v>
      </c>
      <c r="F165" s="606" t="s">
        <v>708</v>
      </c>
      <c r="G165" s="606" t="s">
        <v>1085</v>
      </c>
      <c r="H165" s="606" t="s">
        <v>1441</v>
      </c>
      <c r="I165" s="606" t="s">
        <v>1087</v>
      </c>
      <c r="J165" s="606" t="s">
        <v>1088</v>
      </c>
    </row>
    <row r="166" spans="2:10" ht="21" customHeight="1">
      <c r="B166" s="605" t="s">
        <v>1465</v>
      </c>
      <c r="C166" s="606" t="s">
        <v>1083</v>
      </c>
      <c r="D166" s="605" t="s">
        <v>690</v>
      </c>
      <c r="E166" s="606" t="s">
        <v>1466</v>
      </c>
      <c r="F166" s="606" t="s">
        <v>1466</v>
      </c>
      <c r="G166" s="606" t="s">
        <v>1085</v>
      </c>
      <c r="H166" s="606" t="s">
        <v>1441</v>
      </c>
      <c r="I166" s="606" t="s">
        <v>1087</v>
      </c>
      <c r="J166" s="606" t="s">
        <v>1088</v>
      </c>
    </row>
    <row r="167" spans="2:10" ht="21" customHeight="1">
      <c r="B167" s="605" t="s">
        <v>1467</v>
      </c>
      <c r="C167" s="606" t="s">
        <v>1083</v>
      </c>
      <c r="D167" s="605" t="s">
        <v>690</v>
      </c>
      <c r="E167" s="606" t="s">
        <v>712</v>
      </c>
      <c r="F167" s="606" t="s">
        <v>712</v>
      </c>
      <c r="G167" s="606" t="s">
        <v>1085</v>
      </c>
      <c r="H167" s="606" t="s">
        <v>1441</v>
      </c>
      <c r="I167" s="606" t="s">
        <v>1087</v>
      </c>
      <c r="J167" s="606" t="s">
        <v>1088</v>
      </c>
    </row>
    <row r="168" spans="2:10" ht="21" customHeight="1">
      <c r="B168" s="605" t="s">
        <v>1468</v>
      </c>
      <c r="C168" s="606" t="s">
        <v>1083</v>
      </c>
      <c r="D168" s="605" t="s">
        <v>690</v>
      </c>
      <c r="E168" s="606" t="s">
        <v>710</v>
      </c>
      <c r="F168" s="606" t="s">
        <v>710</v>
      </c>
      <c r="G168" s="606" t="s">
        <v>1085</v>
      </c>
      <c r="H168" s="606" t="s">
        <v>1441</v>
      </c>
      <c r="I168" s="606" t="s">
        <v>1087</v>
      </c>
      <c r="J168" s="606" t="s">
        <v>1088</v>
      </c>
    </row>
    <row r="169" spans="2:10" ht="21" customHeight="1">
      <c r="B169" s="605" t="s">
        <v>1469</v>
      </c>
      <c r="C169" s="606" t="s">
        <v>1083</v>
      </c>
      <c r="D169" s="605" t="s">
        <v>690</v>
      </c>
      <c r="E169" s="606" t="s">
        <v>1470</v>
      </c>
      <c r="F169" s="606" t="s">
        <v>1470</v>
      </c>
      <c r="G169" s="606" t="s">
        <v>1085</v>
      </c>
      <c r="H169" s="606" t="s">
        <v>1441</v>
      </c>
      <c r="I169" s="606" t="s">
        <v>1087</v>
      </c>
      <c r="J169" s="606" t="s">
        <v>1088</v>
      </c>
    </row>
    <row r="170" spans="2:10" ht="21" customHeight="1">
      <c r="B170" s="605" t="s">
        <v>1471</v>
      </c>
      <c r="C170" s="606" t="s">
        <v>1083</v>
      </c>
      <c r="D170" s="605" t="s">
        <v>690</v>
      </c>
      <c r="E170" s="606" t="s">
        <v>1472</v>
      </c>
      <c r="F170" s="606" t="s">
        <v>1472</v>
      </c>
      <c r="G170" s="606" t="s">
        <v>1085</v>
      </c>
      <c r="H170" s="606" t="s">
        <v>1441</v>
      </c>
      <c r="I170" s="606" t="s">
        <v>1087</v>
      </c>
      <c r="J170" s="606" t="s">
        <v>1088</v>
      </c>
    </row>
    <row r="171" spans="2:10" ht="21" customHeight="1">
      <c r="B171" s="605" t="s">
        <v>1473</v>
      </c>
      <c r="C171" s="606" t="s">
        <v>1083</v>
      </c>
      <c r="D171" s="605" t="s">
        <v>690</v>
      </c>
      <c r="E171" s="606" t="s">
        <v>1474</v>
      </c>
      <c r="F171" s="606" t="s">
        <v>1474</v>
      </c>
      <c r="G171" s="606" t="s">
        <v>1085</v>
      </c>
      <c r="H171" s="606" t="s">
        <v>1441</v>
      </c>
      <c r="I171" s="606" t="s">
        <v>1087</v>
      </c>
      <c r="J171" s="606" t="s">
        <v>1088</v>
      </c>
    </row>
    <row r="172" spans="2:10" ht="21" customHeight="1">
      <c r="B172" s="605" t="s">
        <v>1475</v>
      </c>
      <c r="C172" s="606" t="s">
        <v>1083</v>
      </c>
      <c r="D172" s="605" t="s">
        <v>690</v>
      </c>
      <c r="E172" s="606" t="s">
        <v>1476</v>
      </c>
      <c r="F172" s="606" t="s">
        <v>1476</v>
      </c>
      <c r="G172" s="606" t="s">
        <v>1151</v>
      </c>
      <c r="H172" s="606" t="s">
        <v>1446</v>
      </c>
      <c r="I172" s="606" t="s">
        <v>1087</v>
      </c>
      <c r="J172" s="606" t="s">
        <v>1153</v>
      </c>
    </row>
    <row r="173" spans="2:10" ht="21" customHeight="1">
      <c r="B173" s="605" t="s">
        <v>1477</v>
      </c>
      <c r="C173" s="606" t="s">
        <v>1083</v>
      </c>
      <c r="D173" s="605" t="s">
        <v>690</v>
      </c>
      <c r="E173" s="606" t="s">
        <v>1478</v>
      </c>
      <c r="F173" s="606" t="s">
        <v>860</v>
      </c>
      <c r="G173" s="606" t="s">
        <v>1151</v>
      </c>
      <c r="H173" s="606" t="s">
        <v>1446</v>
      </c>
      <c r="I173" s="606" t="s">
        <v>1087</v>
      </c>
      <c r="J173" s="606" t="s">
        <v>1153</v>
      </c>
    </row>
    <row r="174" spans="2:10" ht="21" customHeight="1">
      <c r="B174" s="605" t="s">
        <v>1479</v>
      </c>
      <c r="C174" s="606" t="s">
        <v>1083</v>
      </c>
      <c r="D174" s="605" t="s">
        <v>690</v>
      </c>
      <c r="E174" s="606" t="s">
        <v>857</v>
      </c>
      <c r="F174" s="606" t="s">
        <v>861</v>
      </c>
      <c r="G174" s="606" t="s">
        <v>1151</v>
      </c>
      <c r="H174" s="606" t="s">
        <v>1446</v>
      </c>
      <c r="I174" s="606" t="s">
        <v>1087</v>
      </c>
      <c r="J174" s="606" t="s">
        <v>1153</v>
      </c>
    </row>
    <row r="175" spans="2:10" ht="21" customHeight="1">
      <c r="B175" s="605" t="s">
        <v>1480</v>
      </c>
      <c r="C175" s="606" t="s">
        <v>1083</v>
      </c>
      <c r="D175" s="605" t="s">
        <v>690</v>
      </c>
      <c r="E175" s="606" t="s">
        <v>1481</v>
      </c>
      <c r="F175" s="606" t="s">
        <v>863</v>
      </c>
      <c r="G175" s="606" t="s">
        <v>1151</v>
      </c>
      <c r="H175" s="606" t="s">
        <v>1446</v>
      </c>
      <c r="I175" s="606" t="s">
        <v>1087</v>
      </c>
      <c r="J175" s="606" t="s">
        <v>1153</v>
      </c>
    </row>
    <row r="176" spans="2:10" ht="21" customHeight="1">
      <c r="B176" s="605" t="s">
        <v>1482</v>
      </c>
      <c r="C176" s="606" t="s">
        <v>1083</v>
      </c>
      <c r="D176" s="605" t="s">
        <v>690</v>
      </c>
      <c r="E176" s="606" t="s">
        <v>1483</v>
      </c>
      <c r="F176" s="606" t="s">
        <v>1484</v>
      </c>
      <c r="G176" s="606" t="s">
        <v>1151</v>
      </c>
      <c r="H176" s="606" t="s">
        <v>1446</v>
      </c>
      <c r="I176" s="606" t="s">
        <v>1087</v>
      </c>
      <c r="J176" s="606" t="s">
        <v>1153</v>
      </c>
    </row>
    <row r="177" spans="2:10" ht="21" customHeight="1">
      <c r="B177" s="605" t="s">
        <v>1485</v>
      </c>
      <c r="C177" s="606" t="s">
        <v>1083</v>
      </c>
      <c r="D177" s="605" t="s">
        <v>690</v>
      </c>
      <c r="E177" s="606" t="s">
        <v>1486</v>
      </c>
      <c r="F177" s="606" t="s">
        <v>864</v>
      </c>
      <c r="G177" s="606" t="s">
        <v>1151</v>
      </c>
      <c r="H177" s="606" t="s">
        <v>1446</v>
      </c>
      <c r="I177" s="606" t="s">
        <v>1087</v>
      </c>
      <c r="J177" s="606" t="s">
        <v>1153</v>
      </c>
    </row>
    <row r="178" spans="2:10" ht="21" customHeight="1">
      <c r="B178" s="605" t="s">
        <v>1487</v>
      </c>
      <c r="C178" s="606" t="s">
        <v>1083</v>
      </c>
      <c r="D178" s="605" t="s">
        <v>690</v>
      </c>
      <c r="E178" s="606" t="s">
        <v>1488</v>
      </c>
      <c r="F178" s="606" t="s">
        <v>867</v>
      </c>
      <c r="G178" s="606" t="s">
        <v>1151</v>
      </c>
      <c r="H178" s="606" t="s">
        <v>1446</v>
      </c>
      <c r="I178" s="606" t="s">
        <v>1087</v>
      </c>
      <c r="J178" s="606" t="s">
        <v>1153</v>
      </c>
    </row>
    <row r="179" spans="2:10" ht="21" customHeight="1">
      <c r="B179" s="605" t="s">
        <v>1489</v>
      </c>
      <c r="C179" s="606" t="s">
        <v>1083</v>
      </c>
      <c r="D179" s="605" t="s">
        <v>690</v>
      </c>
      <c r="E179" s="606" t="s">
        <v>1490</v>
      </c>
      <c r="F179" s="606" t="s">
        <v>869</v>
      </c>
      <c r="G179" s="606" t="s">
        <v>1151</v>
      </c>
      <c r="H179" s="606" t="s">
        <v>1446</v>
      </c>
      <c r="I179" s="606" t="s">
        <v>1087</v>
      </c>
      <c r="J179" s="606" t="s">
        <v>1153</v>
      </c>
    </row>
    <row r="180" spans="2:10" ht="21" customHeight="1">
      <c r="B180" s="605" t="s">
        <v>1491</v>
      </c>
      <c r="C180" s="606" t="s">
        <v>1083</v>
      </c>
      <c r="D180" s="605" t="s">
        <v>690</v>
      </c>
      <c r="E180" s="606" t="s">
        <v>1492</v>
      </c>
      <c r="F180" s="606" t="s">
        <v>1492</v>
      </c>
      <c r="G180" s="606" t="s">
        <v>1085</v>
      </c>
      <c r="H180" s="606" t="s">
        <v>1441</v>
      </c>
      <c r="I180" s="606" t="s">
        <v>1087</v>
      </c>
      <c r="J180" s="606" t="s">
        <v>1088</v>
      </c>
    </row>
    <row r="181" spans="2:10" ht="21" customHeight="1">
      <c r="B181" s="605" t="s">
        <v>1493</v>
      </c>
      <c r="C181" s="606" t="s">
        <v>1083</v>
      </c>
      <c r="D181" s="605" t="s">
        <v>690</v>
      </c>
      <c r="E181" s="606" t="s">
        <v>1494</v>
      </c>
      <c r="F181" s="606" t="s">
        <v>1494</v>
      </c>
      <c r="G181" s="606" t="s">
        <v>1151</v>
      </c>
      <c r="H181" s="606" t="s">
        <v>1446</v>
      </c>
      <c r="I181" s="606" t="s">
        <v>1087</v>
      </c>
      <c r="J181" s="606" t="s">
        <v>1153</v>
      </c>
    </row>
    <row r="182" spans="2:10" ht="21" customHeight="1">
      <c r="B182" s="605" t="s">
        <v>1495</v>
      </c>
      <c r="C182" s="606" t="s">
        <v>1083</v>
      </c>
      <c r="D182" s="605" t="s">
        <v>690</v>
      </c>
      <c r="E182" s="606" t="s">
        <v>1496</v>
      </c>
      <c r="F182" s="606" t="s">
        <v>1496</v>
      </c>
      <c r="G182" s="606" t="s">
        <v>1151</v>
      </c>
      <c r="H182" s="606" t="s">
        <v>1446</v>
      </c>
      <c r="I182" s="606" t="s">
        <v>1087</v>
      </c>
      <c r="J182" s="606" t="s">
        <v>1153</v>
      </c>
    </row>
    <row r="183" spans="2:10" ht="21" customHeight="1">
      <c r="B183" s="605" t="s">
        <v>1497</v>
      </c>
      <c r="C183" s="606" t="s">
        <v>1083</v>
      </c>
      <c r="D183" s="605" t="s">
        <v>690</v>
      </c>
      <c r="E183" s="606" t="s">
        <v>1498</v>
      </c>
      <c r="F183" s="606" t="s">
        <v>1499</v>
      </c>
      <c r="G183" s="606" t="s">
        <v>1085</v>
      </c>
      <c r="H183" s="606" t="s">
        <v>1441</v>
      </c>
      <c r="I183" s="606" t="s">
        <v>1087</v>
      </c>
      <c r="J183" s="606" t="s">
        <v>1088</v>
      </c>
    </row>
    <row r="184" spans="2:10" ht="21" customHeight="1">
      <c r="B184" s="605" t="s">
        <v>1500</v>
      </c>
      <c r="C184" s="606" t="s">
        <v>1083</v>
      </c>
      <c r="D184" s="605" t="s">
        <v>690</v>
      </c>
      <c r="E184" s="606" t="s">
        <v>1501</v>
      </c>
      <c r="F184" s="606" t="s">
        <v>1501</v>
      </c>
      <c r="G184" s="606" t="s">
        <v>1085</v>
      </c>
      <c r="H184" s="606" t="s">
        <v>1441</v>
      </c>
      <c r="I184" s="606" t="s">
        <v>1087</v>
      </c>
      <c r="J184" s="606" t="s">
        <v>1088</v>
      </c>
    </row>
    <row r="185" spans="2:10" ht="21" customHeight="1">
      <c r="B185" s="605" t="s">
        <v>1502</v>
      </c>
      <c r="C185" s="606" t="s">
        <v>1083</v>
      </c>
      <c r="D185" s="605" t="s">
        <v>690</v>
      </c>
      <c r="E185" s="606" t="s">
        <v>1503</v>
      </c>
      <c r="F185" s="606" t="s">
        <v>1503</v>
      </c>
      <c r="G185" s="606" t="s">
        <v>1085</v>
      </c>
      <c r="H185" s="606" t="s">
        <v>1441</v>
      </c>
      <c r="I185" s="606" t="s">
        <v>1087</v>
      </c>
      <c r="J185" s="606" t="s">
        <v>1088</v>
      </c>
    </row>
    <row r="186" spans="2:10" ht="21" customHeight="1">
      <c r="B186" s="605" t="s">
        <v>1504</v>
      </c>
      <c r="C186" s="606" t="s">
        <v>1083</v>
      </c>
      <c r="D186" s="605" t="s">
        <v>690</v>
      </c>
      <c r="E186" s="606" t="s">
        <v>1505</v>
      </c>
      <c r="F186" s="606" t="s">
        <v>1505</v>
      </c>
      <c r="G186" s="606" t="s">
        <v>1085</v>
      </c>
      <c r="H186" s="606" t="s">
        <v>1441</v>
      </c>
      <c r="I186" s="606" t="s">
        <v>1087</v>
      </c>
      <c r="J186" s="606" t="s">
        <v>1088</v>
      </c>
    </row>
    <row r="187" spans="2:10" ht="21" customHeight="1">
      <c r="B187" s="605" t="s">
        <v>1506</v>
      </c>
      <c r="C187" s="606" t="s">
        <v>1083</v>
      </c>
      <c r="D187" s="605" t="s">
        <v>690</v>
      </c>
      <c r="E187" s="606" t="s">
        <v>1507</v>
      </c>
      <c r="F187" s="606" t="s">
        <v>1507</v>
      </c>
      <c r="G187" s="606" t="s">
        <v>1085</v>
      </c>
      <c r="H187" s="606" t="s">
        <v>1441</v>
      </c>
      <c r="I187" s="606" t="s">
        <v>1087</v>
      </c>
      <c r="J187" s="606" t="s">
        <v>1088</v>
      </c>
    </row>
    <row r="188" spans="2:10" ht="21" customHeight="1">
      <c r="B188" s="605" t="s">
        <v>1508</v>
      </c>
      <c r="C188" s="606" t="s">
        <v>1083</v>
      </c>
      <c r="D188" s="605" t="s">
        <v>690</v>
      </c>
      <c r="E188" s="606" t="s">
        <v>1509</v>
      </c>
      <c r="F188" s="606" t="s">
        <v>1509</v>
      </c>
      <c r="G188" s="606" t="s">
        <v>1085</v>
      </c>
      <c r="H188" s="606" t="s">
        <v>1441</v>
      </c>
      <c r="I188" s="606" t="s">
        <v>1087</v>
      </c>
      <c r="J188" s="606" t="s">
        <v>1088</v>
      </c>
    </row>
    <row r="189" spans="2:10" ht="21" customHeight="1">
      <c r="B189" s="605" t="s">
        <v>1510</v>
      </c>
      <c r="C189" s="606" t="s">
        <v>1083</v>
      </c>
      <c r="D189" s="605" t="s">
        <v>1511</v>
      </c>
      <c r="E189" s="606" t="s">
        <v>1512</v>
      </c>
      <c r="F189" s="606" t="s">
        <v>1512</v>
      </c>
      <c r="G189" s="606" t="s">
        <v>1085</v>
      </c>
      <c r="H189" s="606" t="s">
        <v>1513</v>
      </c>
      <c r="I189" s="606" t="s">
        <v>1087</v>
      </c>
      <c r="J189" s="606" t="s">
        <v>1088</v>
      </c>
    </row>
    <row r="190" spans="2:10" ht="21" customHeight="1">
      <c r="B190" s="605" t="s">
        <v>1514</v>
      </c>
      <c r="C190" s="606" t="s">
        <v>1083</v>
      </c>
      <c r="D190" s="605" t="s">
        <v>1511</v>
      </c>
      <c r="E190" s="606" t="s">
        <v>1515</v>
      </c>
      <c r="F190" s="606" t="s">
        <v>1515</v>
      </c>
      <c r="G190" s="606" t="s">
        <v>1085</v>
      </c>
      <c r="H190" s="606" t="s">
        <v>1513</v>
      </c>
      <c r="I190" s="606" t="s">
        <v>1087</v>
      </c>
      <c r="J190" s="606" t="s">
        <v>1088</v>
      </c>
    </row>
    <row r="191" spans="2:10" ht="21" customHeight="1">
      <c r="B191" s="605" t="s">
        <v>1516</v>
      </c>
      <c r="C191" s="606" t="s">
        <v>1083</v>
      </c>
      <c r="D191" s="605" t="s">
        <v>1511</v>
      </c>
      <c r="E191" s="606" t="s">
        <v>1517</v>
      </c>
      <c r="F191" s="606" t="s">
        <v>1517</v>
      </c>
      <c r="G191" s="606" t="s">
        <v>1151</v>
      </c>
      <c r="H191" s="606" t="s">
        <v>1518</v>
      </c>
      <c r="I191" s="606" t="s">
        <v>1087</v>
      </c>
      <c r="J191" s="606" t="s">
        <v>1153</v>
      </c>
    </row>
    <row r="192" spans="2:10" ht="21" customHeight="1">
      <c r="B192" s="605" t="s">
        <v>1519</v>
      </c>
      <c r="C192" s="606" t="s">
        <v>1083</v>
      </c>
      <c r="D192" s="605" t="s">
        <v>1511</v>
      </c>
      <c r="E192" s="606" t="s">
        <v>1520</v>
      </c>
      <c r="F192" s="606" t="s">
        <v>1520</v>
      </c>
      <c r="G192" s="606" t="s">
        <v>1151</v>
      </c>
      <c r="H192" s="606" t="s">
        <v>1518</v>
      </c>
      <c r="I192" s="606" t="s">
        <v>1087</v>
      </c>
      <c r="J192" s="606" t="s">
        <v>1153</v>
      </c>
    </row>
    <row r="193" spans="2:10" ht="21" customHeight="1">
      <c r="B193" s="605" t="s">
        <v>1521</v>
      </c>
      <c r="C193" s="606" t="s">
        <v>1083</v>
      </c>
      <c r="D193" s="605" t="s">
        <v>1511</v>
      </c>
      <c r="E193" s="606" t="s">
        <v>1522</v>
      </c>
      <c r="F193" s="606" t="s">
        <v>1522</v>
      </c>
      <c r="G193" s="606" t="s">
        <v>1085</v>
      </c>
      <c r="H193" s="606" t="s">
        <v>1513</v>
      </c>
      <c r="I193" s="606" t="s">
        <v>1087</v>
      </c>
      <c r="J193" s="606" t="s">
        <v>1088</v>
      </c>
    </row>
    <row r="194" spans="2:10" ht="21" customHeight="1">
      <c r="B194" s="605" t="s">
        <v>1523</v>
      </c>
      <c r="C194" s="606" t="s">
        <v>1083</v>
      </c>
      <c r="D194" s="605" t="s">
        <v>1511</v>
      </c>
      <c r="E194" s="606" t="s">
        <v>894</v>
      </c>
      <c r="F194" s="606" t="s">
        <v>894</v>
      </c>
      <c r="G194" s="606" t="s">
        <v>1085</v>
      </c>
      <c r="H194" s="606" t="s">
        <v>1513</v>
      </c>
      <c r="I194" s="606" t="s">
        <v>1087</v>
      </c>
      <c r="J194" s="606" t="s">
        <v>1088</v>
      </c>
    </row>
    <row r="195" spans="2:10" ht="21" customHeight="1">
      <c r="B195" s="605" t="s">
        <v>1524</v>
      </c>
      <c r="C195" s="606" t="s">
        <v>1083</v>
      </c>
      <c r="D195" s="605" t="s">
        <v>1511</v>
      </c>
      <c r="E195" s="606" t="s">
        <v>1525</v>
      </c>
      <c r="F195" s="606" t="s">
        <v>1525</v>
      </c>
      <c r="G195" s="606" t="s">
        <v>1085</v>
      </c>
      <c r="H195" s="606" t="s">
        <v>1513</v>
      </c>
      <c r="I195" s="606" t="s">
        <v>1087</v>
      </c>
      <c r="J195" s="606" t="s">
        <v>1088</v>
      </c>
    </row>
    <row r="196" spans="2:10" ht="21" customHeight="1">
      <c r="B196" s="605" t="s">
        <v>1526</v>
      </c>
      <c r="C196" s="606" t="s">
        <v>1083</v>
      </c>
      <c r="D196" s="605" t="s">
        <v>1511</v>
      </c>
      <c r="E196" s="606" t="s">
        <v>1527</v>
      </c>
      <c r="F196" s="606" t="s">
        <v>1527</v>
      </c>
      <c r="G196" s="606" t="s">
        <v>1085</v>
      </c>
      <c r="H196" s="606" t="s">
        <v>1513</v>
      </c>
      <c r="I196" s="606" t="s">
        <v>1087</v>
      </c>
      <c r="J196" s="606" t="s">
        <v>1088</v>
      </c>
    </row>
    <row r="197" spans="2:10" ht="21" customHeight="1">
      <c r="B197" s="605" t="s">
        <v>1528</v>
      </c>
      <c r="C197" s="606" t="s">
        <v>1083</v>
      </c>
      <c r="D197" s="605" t="s">
        <v>1511</v>
      </c>
      <c r="E197" s="606" t="s">
        <v>1529</v>
      </c>
      <c r="F197" s="606" t="s">
        <v>1529</v>
      </c>
      <c r="G197" s="606" t="s">
        <v>1085</v>
      </c>
      <c r="H197" s="606" t="s">
        <v>1513</v>
      </c>
      <c r="I197" s="606" t="s">
        <v>1087</v>
      </c>
      <c r="J197" s="606" t="s">
        <v>1088</v>
      </c>
    </row>
    <row r="198" spans="2:10" ht="21" customHeight="1">
      <c r="B198" s="605" t="s">
        <v>1530</v>
      </c>
      <c r="C198" s="606" t="s">
        <v>1083</v>
      </c>
      <c r="D198" s="605" t="s">
        <v>1511</v>
      </c>
      <c r="E198" s="606" t="s">
        <v>1531</v>
      </c>
      <c r="F198" s="606" t="s">
        <v>1531</v>
      </c>
      <c r="G198" s="606" t="s">
        <v>1085</v>
      </c>
      <c r="H198" s="606" t="s">
        <v>1513</v>
      </c>
      <c r="I198" s="606" t="s">
        <v>1087</v>
      </c>
      <c r="J198" s="606" t="s">
        <v>1088</v>
      </c>
    </row>
    <row r="199" spans="2:10" ht="21" customHeight="1">
      <c r="B199" s="605" t="s">
        <v>1532</v>
      </c>
      <c r="C199" s="606" t="s">
        <v>1083</v>
      </c>
      <c r="D199" s="605" t="s">
        <v>1511</v>
      </c>
      <c r="E199" s="606" t="s">
        <v>919</v>
      </c>
      <c r="F199" s="606" t="s">
        <v>919</v>
      </c>
      <c r="G199" s="606" t="s">
        <v>1085</v>
      </c>
      <c r="H199" s="606" t="s">
        <v>1513</v>
      </c>
      <c r="I199" s="606" t="s">
        <v>1087</v>
      </c>
      <c r="J199" s="606" t="s">
        <v>1088</v>
      </c>
    </row>
    <row r="200" spans="2:10" ht="21" customHeight="1">
      <c r="B200" s="605" t="s">
        <v>1533</v>
      </c>
      <c r="C200" s="606" t="s">
        <v>1083</v>
      </c>
      <c r="D200" s="605" t="s">
        <v>1511</v>
      </c>
      <c r="E200" s="606" t="s">
        <v>1534</v>
      </c>
      <c r="F200" s="606" t="s">
        <v>1535</v>
      </c>
      <c r="G200" s="606" t="s">
        <v>1151</v>
      </c>
      <c r="H200" s="606" t="s">
        <v>1518</v>
      </c>
      <c r="I200" s="606" t="s">
        <v>1087</v>
      </c>
      <c r="J200" s="606" t="s">
        <v>1153</v>
      </c>
    </row>
    <row r="201" spans="2:10" ht="21" customHeight="1">
      <c r="B201" s="605" t="s">
        <v>1536</v>
      </c>
      <c r="C201" s="606" t="s">
        <v>1083</v>
      </c>
      <c r="D201" s="605" t="s">
        <v>1511</v>
      </c>
      <c r="E201" s="606" t="s">
        <v>1537</v>
      </c>
      <c r="F201" s="606" t="s">
        <v>1537</v>
      </c>
      <c r="G201" s="606" t="s">
        <v>1085</v>
      </c>
      <c r="H201" s="606" t="s">
        <v>1513</v>
      </c>
      <c r="I201" s="606" t="s">
        <v>1087</v>
      </c>
      <c r="J201" s="606" t="s">
        <v>1088</v>
      </c>
    </row>
    <row r="202" spans="2:10" ht="21" customHeight="1">
      <c r="B202" s="605" t="s">
        <v>1538</v>
      </c>
      <c r="C202" s="606" t="s">
        <v>1083</v>
      </c>
      <c r="D202" s="605" t="s">
        <v>1511</v>
      </c>
      <c r="E202" s="606" t="s">
        <v>1539</v>
      </c>
      <c r="F202" s="606" t="s">
        <v>1539</v>
      </c>
      <c r="G202" s="606" t="s">
        <v>1085</v>
      </c>
      <c r="H202" s="606" t="s">
        <v>1513</v>
      </c>
      <c r="I202" s="606" t="s">
        <v>1087</v>
      </c>
      <c r="J202" s="606" t="s">
        <v>1088</v>
      </c>
    </row>
    <row r="203" spans="2:10" ht="21" customHeight="1">
      <c r="B203" s="605" t="s">
        <v>1540</v>
      </c>
      <c r="C203" s="606" t="s">
        <v>1083</v>
      </c>
      <c r="D203" s="605" t="s">
        <v>1511</v>
      </c>
      <c r="E203" s="606" t="s">
        <v>211</v>
      </c>
      <c r="F203" s="606" t="s">
        <v>211</v>
      </c>
      <c r="G203" s="606" t="s">
        <v>1085</v>
      </c>
      <c r="H203" s="606" t="s">
        <v>1513</v>
      </c>
      <c r="I203" s="606" t="s">
        <v>1087</v>
      </c>
      <c r="J203" s="606" t="s">
        <v>1088</v>
      </c>
    </row>
    <row r="204" spans="2:10" ht="21" customHeight="1">
      <c r="B204" s="605" t="s">
        <v>1541</v>
      </c>
      <c r="C204" s="606" t="s">
        <v>1083</v>
      </c>
      <c r="D204" s="605" t="s">
        <v>1511</v>
      </c>
      <c r="E204" s="606" t="s">
        <v>1542</v>
      </c>
      <c r="F204" s="606" t="s">
        <v>1542</v>
      </c>
      <c r="G204" s="606" t="s">
        <v>1085</v>
      </c>
      <c r="H204" s="606" t="s">
        <v>1513</v>
      </c>
      <c r="I204" s="606" t="s">
        <v>1087</v>
      </c>
      <c r="J204" s="606" t="s">
        <v>1088</v>
      </c>
    </row>
    <row r="205" spans="2:10" ht="21" customHeight="1">
      <c r="B205" s="605" t="s">
        <v>1543</v>
      </c>
      <c r="C205" s="606" t="s">
        <v>1083</v>
      </c>
      <c r="D205" s="605" t="s">
        <v>1511</v>
      </c>
      <c r="E205" s="606" t="s">
        <v>1544</v>
      </c>
      <c r="F205" s="606" t="s">
        <v>1544</v>
      </c>
      <c r="G205" s="606" t="s">
        <v>1085</v>
      </c>
      <c r="H205" s="606" t="s">
        <v>1513</v>
      </c>
      <c r="I205" s="606" t="s">
        <v>1087</v>
      </c>
      <c r="J205" s="606" t="s">
        <v>1088</v>
      </c>
    </row>
    <row r="206" spans="2:10" ht="21" customHeight="1">
      <c r="B206" s="605" t="s">
        <v>1545</v>
      </c>
      <c r="C206" s="606" t="s">
        <v>1083</v>
      </c>
      <c r="D206" s="605" t="s">
        <v>1511</v>
      </c>
      <c r="E206" s="606" t="s">
        <v>1546</v>
      </c>
      <c r="F206" s="606" t="s">
        <v>1546</v>
      </c>
      <c r="G206" s="606" t="s">
        <v>1085</v>
      </c>
      <c r="H206" s="606" t="s">
        <v>1513</v>
      </c>
      <c r="I206" s="606" t="s">
        <v>1087</v>
      </c>
      <c r="J206" s="606" t="s">
        <v>1088</v>
      </c>
    </row>
    <row r="207" spans="2:10" ht="21" customHeight="1">
      <c r="B207" s="605" t="s">
        <v>1547</v>
      </c>
      <c r="C207" s="606" t="s">
        <v>1083</v>
      </c>
      <c r="D207" s="605" t="s">
        <v>1511</v>
      </c>
      <c r="E207" s="606" t="s">
        <v>364</v>
      </c>
      <c r="F207" s="606" t="s">
        <v>364</v>
      </c>
      <c r="G207" s="606" t="s">
        <v>1085</v>
      </c>
      <c r="H207" s="606" t="s">
        <v>1513</v>
      </c>
      <c r="I207" s="606" t="s">
        <v>1087</v>
      </c>
      <c r="J207" s="606" t="s">
        <v>1088</v>
      </c>
    </row>
    <row r="208" spans="2:10" ht="21" customHeight="1">
      <c r="B208" s="605" t="s">
        <v>1548</v>
      </c>
      <c r="C208" s="606" t="s">
        <v>1083</v>
      </c>
      <c r="D208" s="605" t="s">
        <v>1511</v>
      </c>
      <c r="E208" s="606" t="s">
        <v>1549</v>
      </c>
      <c r="F208" s="606" t="s">
        <v>1549</v>
      </c>
      <c r="G208" s="606" t="s">
        <v>1085</v>
      </c>
      <c r="H208" s="606" t="s">
        <v>1513</v>
      </c>
      <c r="I208" s="606" t="s">
        <v>1087</v>
      </c>
      <c r="J208" s="606" t="s">
        <v>1088</v>
      </c>
    </row>
    <row r="209" spans="2:10" ht="21" customHeight="1">
      <c r="B209" s="605" t="s">
        <v>1550</v>
      </c>
      <c r="C209" s="606" t="s">
        <v>1083</v>
      </c>
      <c r="D209" s="605" t="s">
        <v>1511</v>
      </c>
      <c r="E209" s="606" t="s">
        <v>179</v>
      </c>
      <c r="F209" s="606" t="s">
        <v>179</v>
      </c>
      <c r="G209" s="606" t="s">
        <v>1085</v>
      </c>
      <c r="H209" s="606" t="s">
        <v>1513</v>
      </c>
      <c r="I209" s="606" t="s">
        <v>1087</v>
      </c>
      <c r="J209" s="606" t="s">
        <v>1088</v>
      </c>
    </row>
    <row r="210" spans="2:10" ht="21" customHeight="1">
      <c r="B210" s="605" t="s">
        <v>1551</v>
      </c>
      <c r="C210" s="606" t="s">
        <v>1083</v>
      </c>
      <c r="D210" s="605" t="s">
        <v>1511</v>
      </c>
      <c r="E210" s="606" t="s">
        <v>1552</v>
      </c>
      <c r="F210" s="606" t="s">
        <v>1552</v>
      </c>
      <c r="G210" s="606" t="s">
        <v>1085</v>
      </c>
      <c r="H210" s="606" t="s">
        <v>1513</v>
      </c>
      <c r="I210" s="606" t="s">
        <v>1087</v>
      </c>
      <c r="J210" s="606" t="s">
        <v>1088</v>
      </c>
    </row>
    <row r="211" spans="2:10" ht="21" customHeight="1">
      <c r="B211" s="605" t="s">
        <v>1553</v>
      </c>
      <c r="C211" s="606" t="s">
        <v>239</v>
      </c>
      <c r="D211" s="605" t="s">
        <v>689</v>
      </c>
      <c r="E211" s="606" t="s">
        <v>132</v>
      </c>
      <c r="F211" s="606" t="s">
        <v>132</v>
      </c>
      <c r="G211" s="606" t="s">
        <v>1554</v>
      </c>
      <c r="H211" s="606" t="s">
        <v>1555</v>
      </c>
      <c r="I211" s="606" t="s">
        <v>1556</v>
      </c>
      <c r="J211" s="606" t="s">
        <v>1557</v>
      </c>
    </row>
    <row r="212" spans="2:10" ht="21" customHeight="1">
      <c r="B212" s="605" t="s">
        <v>1558</v>
      </c>
      <c r="C212" s="606" t="s">
        <v>239</v>
      </c>
      <c r="D212" s="605" t="s">
        <v>689</v>
      </c>
      <c r="E212" s="606" t="s">
        <v>1559</v>
      </c>
      <c r="F212" s="606" t="s">
        <v>1560</v>
      </c>
      <c r="G212" s="606" t="s">
        <v>1554</v>
      </c>
      <c r="H212" s="606" t="s">
        <v>1561</v>
      </c>
      <c r="I212" s="606" t="s">
        <v>1087</v>
      </c>
      <c r="J212" s="606" t="s">
        <v>1088</v>
      </c>
    </row>
    <row r="213" spans="2:10" ht="21" customHeight="1">
      <c r="B213" s="605" t="s">
        <v>1562</v>
      </c>
      <c r="C213" s="606" t="s">
        <v>239</v>
      </c>
      <c r="D213" s="605" t="s">
        <v>689</v>
      </c>
      <c r="E213" s="606" t="s">
        <v>1563</v>
      </c>
      <c r="F213" s="606" t="s">
        <v>853</v>
      </c>
      <c r="G213" s="606" t="s">
        <v>1554</v>
      </c>
      <c r="H213" s="606" t="s">
        <v>1561</v>
      </c>
      <c r="I213" s="606" t="s">
        <v>1087</v>
      </c>
      <c r="J213" s="606" t="s">
        <v>1088</v>
      </c>
    </row>
    <row r="214" spans="2:10" ht="21" customHeight="1">
      <c r="B214" s="605" t="s">
        <v>1564</v>
      </c>
      <c r="C214" s="606" t="s">
        <v>239</v>
      </c>
      <c r="D214" s="605" t="s">
        <v>689</v>
      </c>
      <c r="E214" s="606" t="s">
        <v>854</v>
      </c>
      <c r="F214" s="606" t="s">
        <v>854</v>
      </c>
      <c r="G214" s="606" t="s">
        <v>1554</v>
      </c>
      <c r="H214" s="606" t="s">
        <v>1561</v>
      </c>
      <c r="I214" s="606" t="s">
        <v>1087</v>
      </c>
      <c r="J214" s="606" t="s">
        <v>1088</v>
      </c>
    </row>
    <row r="215" spans="2:10" ht="21" customHeight="1">
      <c r="B215" s="605" t="s">
        <v>1565</v>
      </c>
      <c r="C215" s="606" t="s">
        <v>239</v>
      </c>
      <c r="D215" s="605" t="s">
        <v>689</v>
      </c>
      <c r="E215" s="606" t="s">
        <v>1566</v>
      </c>
      <c r="F215" s="606" t="s">
        <v>1566</v>
      </c>
      <c r="G215" s="606" t="s">
        <v>1554</v>
      </c>
      <c r="H215" s="606" t="s">
        <v>1555</v>
      </c>
      <c r="I215" s="606" t="s">
        <v>1556</v>
      </c>
      <c r="J215" s="606" t="s">
        <v>1557</v>
      </c>
    </row>
    <row r="216" spans="2:10" ht="21" customHeight="1">
      <c r="B216" s="605" t="s">
        <v>1567</v>
      </c>
      <c r="C216" s="606" t="s">
        <v>239</v>
      </c>
      <c r="D216" s="605" t="s">
        <v>689</v>
      </c>
      <c r="E216" s="606" t="s">
        <v>1568</v>
      </c>
      <c r="F216" s="606" t="s">
        <v>1568</v>
      </c>
      <c r="G216" s="606" t="s">
        <v>1554</v>
      </c>
      <c r="H216" s="606" t="s">
        <v>1555</v>
      </c>
      <c r="I216" s="606" t="s">
        <v>1556</v>
      </c>
      <c r="J216" s="606" t="s">
        <v>1557</v>
      </c>
    </row>
    <row r="217" spans="2:10" ht="21" customHeight="1">
      <c r="B217" s="605" t="s">
        <v>1569</v>
      </c>
      <c r="C217" s="606" t="s">
        <v>239</v>
      </c>
      <c r="D217" s="605" t="s">
        <v>689</v>
      </c>
      <c r="E217" s="606" t="s">
        <v>1570</v>
      </c>
      <c r="F217" s="606" t="s">
        <v>1570</v>
      </c>
      <c r="G217" s="606" t="s">
        <v>1554</v>
      </c>
      <c r="H217" s="606" t="s">
        <v>1555</v>
      </c>
      <c r="I217" s="606" t="s">
        <v>1556</v>
      </c>
      <c r="J217" s="606" t="s">
        <v>1557</v>
      </c>
    </row>
    <row r="218" spans="2:10" ht="21" customHeight="1">
      <c r="B218" s="605" t="s">
        <v>1571</v>
      </c>
      <c r="C218" s="606" t="s">
        <v>239</v>
      </c>
      <c r="D218" s="605" t="s">
        <v>689</v>
      </c>
      <c r="E218" s="606" t="s">
        <v>1572</v>
      </c>
      <c r="F218" s="606" t="s">
        <v>1572</v>
      </c>
      <c r="G218" s="606" t="s">
        <v>1554</v>
      </c>
      <c r="H218" s="606" t="s">
        <v>1555</v>
      </c>
      <c r="I218" s="606" t="s">
        <v>1556</v>
      </c>
      <c r="J218" s="606" t="s">
        <v>1557</v>
      </c>
    </row>
    <row r="219" spans="2:10" ht="21" customHeight="1">
      <c r="B219" s="605" t="s">
        <v>1573</v>
      </c>
      <c r="C219" s="606" t="s">
        <v>239</v>
      </c>
      <c r="D219" s="605" t="s">
        <v>689</v>
      </c>
      <c r="E219" s="606" t="s">
        <v>1574</v>
      </c>
      <c r="F219" s="606" t="s">
        <v>1574</v>
      </c>
      <c r="G219" s="606" t="s">
        <v>1554</v>
      </c>
      <c r="H219" s="606" t="s">
        <v>1555</v>
      </c>
      <c r="I219" s="606" t="s">
        <v>1556</v>
      </c>
      <c r="J219" s="606" t="s">
        <v>1557</v>
      </c>
    </row>
    <row r="220" spans="2:10" ht="21" customHeight="1">
      <c r="B220" s="605" t="s">
        <v>1575</v>
      </c>
      <c r="C220" s="606" t="s">
        <v>239</v>
      </c>
      <c r="D220" s="605" t="s">
        <v>689</v>
      </c>
      <c r="E220" s="606" t="s">
        <v>856</v>
      </c>
      <c r="F220" s="606" t="s">
        <v>856</v>
      </c>
      <c r="G220" s="606" t="s">
        <v>1554</v>
      </c>
      <c r="H220" s="606" t="s">
        <v>1561</v>
      </c>
      <c r="I220" s="606" t="s">
        <v>1087</v>
      </c>
      <c r="J220" s="606" t="s">
        <v>1088</v>
      </c>
    </row>
    <row r="221" spans="2:10" ht="21" customHeight="1">
      <c r="B221" s="605" t="s">
        <v>1576</v>
      </c>
      <c r="C221" s="606" t="s">
        <v>239</v>
      </c>
      <c r="D221" s="605" t="s">
        <v>689</v>
      </c>
      <c r="E221" s="606" t="s">
        <v>1577</v>
      </c>
      <c r="F221" s="606" t="s">
        <v>1577</v>
      </c>
      <c r="G221" s="606" t="s">
        <v>1554</v>
      </c>
      <c r="H221" s="606" t="s">
        <v>1555</v>
      </c>
      <c r="I221" s="606" t="s">
        <v>1556</v>
      </c>
      <c r="J221" s="606" t="s">
        <v>1557</v>
      </c>
    </row>
    <row r="222" spans="2:10" ht="21" customHeight="1">
      <c r="B222" s="605" t="s">
        <v>1578</v>
      </c>
      <c r="C222" s="606" t="s">
        <v>239</v>
      </c>
      <c r="D222" s="605" t="s">
        <v>689</v>
      </c>
      <c r="E222" s="606" t="s">
        <v>1579</v>
      </c>
      <c r="F222" s="606" t="s">
        <v>1579</v>
      </c>
      <c r="G222" s="606" t="s">
        <v>1554</v>
      </c>
      <c r="H222" s="606" t="s">
        <v>1555</v>
      </c>
      <c r="I222" s="606" t="s">
        <v>1556</v>
      </c>
      <c r="J222" s="606" t="s">
        <v>1557</v>
      </c>
    </row>
    <row r="223" spans="2:10" ht="21" customHeight="1">
      <c r="B223" s="605" t="s">
        <v>1580</v>
      </c>
      <c r="C223" s="606" t="s">
        <v>239</v>
      </c>
      <c r="D223" s="605" t="s">
        <v>689</v>
      </c>
      <c r="E223" s="606" t="s">
        <v>1581</v>
      </c>
      <c r="F223" s="606" t="s">
        <v>1581</v>
      </c>
      <c r="G223" s="606" t="s">
        <v>1554</v>
      </c>
      <c r="H223" s="606" t="s">
        <v>1555</v>
      </c>
      <c r="I223" s="606" t="s">
        <v>1556</v>
      </c>
      <c r="J223" s="606" t="s">
        <v>1557</v>
      </c>
    </row>
    <row r="224" spans="2:10" ht="21" customHeight="1">
      <c r="B224" s="605" t="s">
        <v>1582</v>
      </c>
      <c r="C224" s="606" t="s">
        <v>239</v>
      </c>
      <c r="D224" s="605" t="s">
        <v>689</v>
      </c>
      <c r="E224" s="606" t="s">
        <v>1583</v>
      </c>
      <c r="F224" s="606" t="s">
        <v>1583</v>
      </c>
      <c r="G224" s="606" t="s">
        <v>1554</v>
      </c>
      <c r="H224" s="606" t="s">
        <v>1555</v>
      </c>
      <c r="I224" s="606" t="s">
        <v>1556</v>
      </c>
      <c r="J224" s="606" t="s">
        <v>1557</v>
      </c>
    </row>
    <row r="225" spans="2:10" ht="21" customHeight="1">
      <c r="B225" s="605" t="s">
        <v>1584</v>
      </c>
      <c r="C225" s="606" t="s">
        <v>239</v>
      </c>
      <c r="D225" s="605" t="s">
        <v>689</v>
      </c>
      <c r="E225" s="606" t="s">
        <v>1585</v>
      </c>
      <c r="F225" s="606" t="s">
        <v>1585</v>
      </c>
      <c r="G225" s="606" t="s">
        <v>1554</v>
      </c>
      <c r="H225" s="606" t="s">
        <v>1561</v>
      </c>
      <c r="I225" s="606" t="s">
        <v>1087</v>
      </c>
      <c r="J225" s="606" t="s">
        <v>1088</v>
      </c>
    </row>
    <row r="226" spans="2:10" ht="21" customHeight="1">
      <c r="B226" s="605" t="s">
        <v>1586</v>
      </c>
      <c r="C226" s="606" t="s">
        <v>239</v>
      </c>
      <c r="D226" s="605" t="s">
        <v>689</v>
      </c>
      <c r="E226" s="606" t="s">
        <v>282</v>
      </c>
      <c r="F226" s="606" t="s">
        <v>282</v>
      </c>
      <c r="G226" s="606" t="s">
        <v>1151</v>
      </c>
      <c r="H226" s="606" t="s">
        <v>1152</v>
      </c>
      <c r="I226" s="606" t="s">
        <v>1087</v>
      </c>
      <c r="J226" s="606" t="s">
        <v>1153</v>
      </c>
    </row>
    <row r="227" spans="2:10" ht="21" customHeight="1">
      <c r="B227" s="605" t="s">
        <v>1587</v>
      </c>
      <c r="C227" s="606" t="s">
        <v>239</v>
      </c>
      <c r="D227" s="605" t="s">
        <v>689</v>
      </c>
      <c r="E227" s="606" t="s">
        <v>119</v>
      </c>
      <c r="F227" s="606" t="s">
        <v>119</v>
      </c>
      <c r="G227" s="606" t="s">
        <v>1554</v>
      </c>
      <c r="H227" s="606" t="s">
        <v>1555</v>
      </c>
      <c r="I227" s="606" t="s">
        <v>1556</v>
      </c>
      <c r="J227" s="606" t="s">
        <v>1557</v>
      </c>
    </row>
    <row r="228" spans="2:10" ht="21" customHeight="1">
      <c r="B228" s="605" t="s">
        <v>1588</v>
      </c>
      <c r="C228" s="606" t="s">
        <v>239</v>
      </c>
      <c r="D228" s="605" t="s">
        <v>689</v>
      </c>
      <c r="E228" s="606" t="s">
        <v>1589</v>
      </c>
      <c r="F228" s="606" t="s">
        <v>1589</v>
      </c>
      <c r="G228" s="606" t="s">
        <v>1554</v>
      </c>
      <c r="H228" s="606" t="s">
        <v>1555</v>
      </c>
      <c r="I228" s="606" t="s">
        <v>1556</v>
      </c>
      <c r="J228" s="606" t="s">
        <v>1557</v>
      </c>
    </row>
    <row r="229" spans="2:10" ht="21" customHeight="1">
      <c r="B229" s="605" t="s">
        <v>1590</v>
      </c>
      <c r="C229" s="606" t="s">
        <v>239</v>
      </c>
      <c r="D229" s="605" t="s">
        <v>689</v>
      </c>
      <c r="E229" s="606" t="s">
        <v>1591</v>
      </c>
      <c r="F229" s="606" t="s">
        <v>1591</v>
      </c>
      <c r="G229" s="606" t="s">
        <v>1554</v>
      </c>
      <c r="H229" s="606" t="s">
        <v>1555</v>
      </c>
      <c r="I229" s="606" t="s">
        <v>1556</v>
      </c>
      <c r="J229" s="606" t="s">
        <v>1557</v>
      </c>
    </row>
    <row r="230" spans="2:10" ht="21" customHeight="1">
      <c r="B230" s="605" t="s">
        <v>1592</v>
      </c>
      <c r="C230" s="606" t="s">
        <v>239</v>
      </c>
      <c r="D230" s="605" t="s">
        <v>689</v>
      </c>
      <c r="E230" s="606" t="s">
        <v>1593</v>
      </c>
      <c r="F230" s="606" t="s">
        <v>1593</v>
      </c>
      <c r="G230" s="606" t="s">
        <v>1554</v>
      </c>
      <c r="H230" s="606" t="s">
        <v>1555</v>
      </c>
      <c r="I230" s="606" t="s">
        <v>1556</v>
      </c>
      <c r="J230" s="606" t="s">
        <v>1557</v>
      </c>
    </row>
    <row r="231" spans="2:10" ht="21" customHeight="1">
      <c r="B231" s="605" t="s">
        <v>1594</v>
      </c>
      <c r="C231" s="606" t="s">
        <v>239</v>
      </c>
      <c r="D231" s="605" t="s">
        <v>689</v>
      </c>
      <c r="E231" s="606" t="s">
        <v>1595</v>
      </c>
      <c r="F231" s="606" t="s">
        <v>1595</v>
      </c>
      <c r="G231" s="606" t="s">
        <v>1554</v>
      </c>
      <c r="H231" s="606" t="s">
        <v>1555</v>
      </c>
      <c r="I231" s="606" t="s">
        <v>1556</v>
      </c>
      <c r="J231" s="606" t="s">
        <v>1557</v>
      </c>
    </row>
    <row r="232" spans="2:10" ht="21" customHeight="1">
      <c r="B232" s="605" t="s">
        <v>1596</v>
      </c>
      <c r="C232" s="606" t="s">
        <v>239</v>
      </c>
      <c r="D232" s="605" t="s">
        <v>689</v>
      </c>
      <c r="E232" s="606" t="s">
        <v>1597</v>
      </c>
      <c r="F232" s="606" t="s">
        <v>1597</v>
      </c>
      <c r="G232" s="606" t="s">
        <v>1554</v>
      </c>
      <c r="H232" s="606" t="s">
        <v>1555</v>
      </c>
      <c r="I232" s="606" t="s">
        <v>1556</v>
      </c>
      <c r="J232" s="606" t="s">
        <v>1557</v>
      </c>
    </row>
    <row r="233" spans="2:10" ht="21" customHeight="1">
      <c r="B233" s="605" t="s">
        <v>1598</v>
      </c>
      <c r="C233" s="606" t="s">
        <v>239</v>
      </c>
      <c r="D233" s="605" t="s">
        <v>689</v>
      </c>
      <c r="E233" s="606" t="s">
        <v>1599</v>
      </c>
      <c r="F233" s="606" t="s">
        <v>1599</v>
      </c>
      <c r="G233" s="606" t="s">
        <v>1554</v>
      </c>
      <c r="H233" s="606" t="s">
        <v>1555</v>
      </c>
      <c r="I233" s="606" t="s">
        <v>1556</v>
      </c>
      <c r="J233" s="606" t="s">
        <v>1557</v>
      </c>
    </row>
    <row r="234" spans="2:10" ht="21" customHeight="1">
      <c r="B234" s="605" t="s">
        <v>1600</v>
      </c>
      <c r="C234" s="606" t="s">
        <v>239</v>
      </c>
      <c r="D234" s="605" t="s">
        <v>689</v>
      </c>
      <c r="E234" s="606" t="s">
        <v>1601</v>
      </c>
      <c r="F234" s="606" t="s">
        <v>1601</v>
      </c>
      <c r="G234" s="606" t="s">
        <v>1554</v>
      </c>
      <c r="H234" s="606" t="s">
        <v>1555</v>
      </c>
      <c r="I234" s="606" t="s">
        <v>1556</v>
      </c>
      <c r="J234" s="606" t="s">
        <v>1557</v>
      </c>
    </row>
    <row r="235" spans="2:10" ht="21" customHeight="1">
      <c r="B235" s="605" t="s">
        <v>1602</v>
      </c>
      <c r="C235" s="606" t="s">
        <v>239</v>
      </c>
      <c r="D235" s="605" t="s">
        <v>689</v>
      </c>
      <c r="E235" s="606" t="s">
        <v>858</v>
      </c>
      <c r="F235" s="606" t="s">
        <v>858</v>
      </c>
      <c r="G235" s="606" t="s">
        <v>1554</v>
      </c>
      <c r="H235" s="606" t="s">
        <v>1555</v>
      </c>
      <c r="I235" s="606" t="s">
        <v>1556</v>
      </c>
      <c r="J235" s="606" t="s">
        <v>1557</v>
      </c>
    </row>
    <row r="236" spans="2:10" ht="21" customHeight="1">
      <c r="B236" s="605" t="s">
        <v>1603</v>
      </c>
      <c r="C236" s="606" t="s">
        <v>239</v>
      </c>
      <c r="D236" s="605" t="s">
        <v>689</v>
      </c>
      <c r="E236" s="606" t="s">
        <v>1604</v>
      </c>
      <c r="F236" s="606" t="s">
        <v>1604</v>
      </c>
      <c r="G236" s="606" t="s">
        <v>1554</v>
      </c>
      <c r="H236" s="606" t="s">
        <v>1555</v>
      </c>
      <c r="I236" s="606" t="s">
        <v>1556</v>
      </c>
      <c r="J236" s="606" t="s">
        <v>1557</v>
      </c>
    </row>
    <row r="237" spans="2:10" ht="21" customHeight="1">
      <c r="B237" s="605" t="s">
        <v>1605</v>
      </c>
      <c r="C237" s="606" t="s">
        <v>239</v>
      </c>
      <c r="D237" s="605" t="s">
        <v>689</v>
      </c>
      <c r="E237" s="606" t="s">
        <v>1606</v>
      </c>
      <c r="F237" s="606" t="s">
        <v>1606</v>
      </c>
      <c r="G237" s="606" t="s">
        <v>1554</v>
      </c>
      <c r="H237" s="606" t="s">
        <v>1555</v>
      </c>
      <c r="I237" s="606" t="s">
        <v>1556</v>
      </c>
      <c r="J237" s="606" t="s">
        <v>1557</v>
      </c>
    </row>
    <row r="238" spans="2:10" ht="21" customHeight="1">
      <c r="B238" s="605" t="s">
        <v>1607</v>
      </c>
      <c r="C238" s="606" t="s">
        <v>239</v>
      </c>
      <c r="D238" s="605" t="s">
        <v>689</v>
      </c>
      <c r="E238" s="606" t="s">
        <v>1608</v>
      </c>
      <c r="F238" s="606" t="s">
        <v>1608</v>
      </c>
      <c r="G238" s="606" t="s">
        <v>1554</v>
      </c>
      <c r="H238" s="606" t="s">
        <v>1555</v>
      </c>
      <c r="I238" s="606" t="s">
        <v>1556</v>
      </c>
      <c r="J238" s="606" t="s">
        <v>1557</v>
      </c>
    </row>
    <row r="239" spans="2:10" ht="21" customHeight="1">
      <c r="B239" s="605" t="s">
        <v>1609</v>
      </c>
      <c r="C239" s="606" t="s">
        <v>239</v>
      </c>
      <c r="D239" s="605" t="s">
        <v>689</v>
      </c>
      <c r="E239" s="606" t="s">
        <v>1610</v>
      </c>
      <c r="F239" s="606" t="s">
        <v>1610</v>
      </c>
      <c r="G239" s="606" t="s">
        <v>1554</v>
      </c>
      <c r="H239" s="606" t="s">
        <v>1555</v>
      </c>
      <c r="I239" s="606" t="s">
        <v>1556</v>
      </c>
      <c r="J239" s="606" t="s">
        <v>1557</v>
      </c>
    </row>
    <row r="240" spans="2:10" ht="21" customHeight="1">
      <c r="B240" s="605" t="s">
        <v>1611</v>
      </c>
      <c r="C240" s="606" t="s">
        <v>239</v>
      </c>
      <c r="D240" s="605" t="s">
        <v>689</v>
      </c>
      <c r="E240" s="606" t="s">
        <v>859</v>
      </c>
      <c r="F240" s="606" t="s">
        <v>859</v>
      </c>
      <c r="G240" s="606" t="s">
        <v>1554</v>
      </c>
      <c r="H240" s="606" t="s">
        <v>1561</v>
      </c>
      <c r="I240" s="606" t="s">
        <v>1087</v>
      </c>
      <c r="J240" s="606" t="s">
        <v>1088</v>
      </c>
    </row>
    <row r="241" spans="2:10" ht="21" customHeight="1">
      <c r="B241" s="605" t="s">
        <v>1612</v>
      </c>
      <c r="C241" s="606" t="s">
        <v>239</v>
      </c>
      <c r="D241" s="605" t="s">
        <v>689</v>
      </c>
      <c r="E241" s="606" t="s">
        <v>1613</v>
      </c>
      <c r="F241" s="606" t="s">
        <v>1613</v>
      </c>
      <c r="G241" s="606" t="s">
        <v>1151</v>
      </c>
      <c r="H241" s="606" t="s">
        <v>1152</v>
      </c>
      <c r="I241" s="606" t="s">
        <v>1087</v>
      </c>
      <c r="J241" s="606" t="s">
        <v>1153</v>
      </c>
    </row>
    <row r="242" spans="2:10" ht="21" customHeight="1">
      <c r="B242" s="605" t="s">
        <v>1614</v>
      </c>
      <c r="C242" s="606" t="s">
        <v>239</v>
      </c>
      <c r="D242" s="605" t="s">
        <v>689</v>
      </c>
      <c r="E242" s="606" t="s">
        <v>284</v>
      </c>
      <c r="F242" s="606" t="s">
        <v>284</v>
      </c>
      <c r="G242" s="606" t="s">
        <v>1151</v>
      </c>
      <c r="H242" s="606" t="s">
        <v>1152</v>
      </c>
      <c r="I242" s="606" t="s">
        <v>1087</v>
      </c>
      <c r="J242" s="606" t="s">
        <v>1153</v>
      </c>
    </row>
    <row r="243" spans="2:10" ht="21" customHeight="1">
      <c r="B243" s="605" t="s">
        <v>1615</v>
      </c>
      <c r="C243" s="606" t="s">
        <v>239</v>
      </c>
      <c r="D243" s="605" t="s">
        <v>689</v>
      </c>
      <c r="E243" s="606" t="s">
        <v>43</v>
      </c>
      <c r="F243" s="606" t="s">
        <v>43</v>
      </c>
      <c r="G243" s="606" t="s">
        <v>1554</v>
      </c>
      <c r="H243" s="606" t="s">
        <v>1555</v>
      </c>
      <c r="I243" s="606" t="s">
        <v>1556</v>
      </c>
      <c r="J243" s="606" t="s">
        <v>1557</v>
      </c>
    </row>
    <row r="244" spans="2:10" ht="21" customHeight="1">
      <c r="B244" s="605" t="s">
        <v>1616</v>
      </c>
      <c r="C244" s="606" t="s">
        <v>239</v>
      </c>
      <c r="D244" s="605" t="s">
        <v>689</v>
      </c>
      <c r="E244" s="606" t="s">
        <v>1617</v>
      </c>
      <c r="F244" s="606" t="s">
        <v>1617</v>
      </c>
      <c r="G244" s="606" t="s">
        <v>1554</v>
      </c>
      <c r="H244" s="606" t="s">
        <v>1555</v>
      </c>
      <c r="I244" s="606" t="s">
        <v>1556</v>
      </c>
      <c r="J244" s="606" t="s">
        <v>1557</v>
      </c>
    </row>
    <row r="245" spans="2:10" ht="21" customHeight="1">
      <c r="B245" s="605" t="s">
        <v>1618</v>
      </c>
      <c r="C245" s="606" t="s">
        <v>239</v>
      </c>
      <c r="D245" s="605" t="s">
        <v>689</v>
      </c>
      <c r="E245" s="606" t="s">
        <v>1619</v>
      </c>
      <c r="F245" s="606" t="s">
        <v>1619</v>
      </c>
      <c r="G245" s="606" t="s">
        <v>1554</v>
      </c>
      <c r="H245" s="606" t="s">
        <v>1555</v>
      </c>
      <c r="I245" s="606" t="s">
        <v>1556</v>
      </c>
      <c r="J245" s="606" t="s">
        <v>1557</v>
      </c>
    </row>
    <row r="246" spans="2:10" ht="21" customHeight="1">
      <c r="B246" s="605" t="s">
        <v>1620</v>
      </c>
      <c r="C246" s="606" t="s">
        <v>239</v>
      </c>
      <c r="D246" s="605" t="s">
        <v>689</v>
      </c>
      <c r="E246" s="606" t="s">
        <v>1621</v>
      </c>
      <c r="F246" s="606" t="s">
        <v>1621</v>
      </c>
      <c r="G246" s="606" t="s">
        <v>1554</v>
      </c>
      <c r="H246" s="606" t="s">
        <v>1555</v>
      </c>
      <c r="I246" s="606" t="s">
        <v>1556</v>
      </c>
      <c r="J246" s="606" t="s">
        <v>1557</v>
      </c>
    </row>
    <row r="247" spans="2:10" ht="21" customHeight="1">
      <c r="B247" s="605" t="s">
        <v>1622</v>
      </c>
      <c r="C247" s="606" t="s">
        <v>239</v>
      </c>
      <c r="D247" s="605" t="s">
        <v>689</v>
      </c>
      <c r="E247" s="606" t="s">
        <v>1623</v>
      </c>
      <c r="F247" s="606" t="s">
        <v>1623</v>
      </c>
      <c r="G247" s="606" t="s">
        <v>1554</v>
      </c>
      <c r="H247" s="606" t="s">
        <v>1555</v>
      </c>
      <c r="I247" s="606" t="s">
        <v>1556</v>
      </c>
      <c r="J247" s="606" t="s">
        <v>1557</v>
      </c>
    </row>
    <row r="248" spans="2:10" ht="21" customHeight="1">
      <c r="B248" s="605" t="s">
        <v>1624</v>
      </c>
      <c r="C248" s="606" t="s">
        <v>239</v>
      </c>
      <c r="D248" s="605" t="s">
        <v>689</v>
      </c>
      <c r="E248" s="606" t="s">
        <v>1625</v>
      </c>
      <c r="F248" s="606" t="s">
        <v>1625</v>
      </c>
      <c r="G248" s="606" t="s">
        <v>1554</v>
      </c>
      <c r="H248" s="606" t="s">
        <v>1555</v>
      </c>
      <c r="I248" s="606" t="s">
        <v>1556</v>
      </c>
      <c r="J248" s="606" t="s">
        <v>1557</v>
      </c>
    </row>
    <row r="249" spans="2:10" ht="21" customHeight="1">
      <c r="B249" s="605" t="s">
        <v>1626</v>
      </c>
      <c r="C249" s="606" t="s">
        <v>239</v>
      </c>
      <c r="D249" s="605" t="s">
        <v>689</v>
      </c>
      <c r="E249" s="606" t="s">
        <v>1627</v>
      </c>
      <c r="F249" s="606" t="s">
        <v>1627</v>
      </c>
      <c r="G249" s="606" t="s">
        <v>1554</v>
      </c>
      <c r="H249" s="606" t="s">
        <v>1555</v>
      </c>
      <c r="I249" s="606" t="s">
        <v>1556</v>
      </c>
      <c r="J249" s="606" t="s">
        <v>1557</v>
      </c>
    </row>
    <row r="250" spans="2:10" ht="21" customHeight="1">
      <c r="B250" s="605" t="s">
        <v>1628</v>
      </c>
      <c r="C250" s="606" t="s">
        <v>239</v>
      </c>
      <c r="D250" s="605" t="s">
        <v>689</v>
      </c>
      <c r="E250" s="606" t="s">
        <v>1629</v>
      </c>
      <c r="F250" s="606" t="s">
        <v>1629</v>
      </c>
      <c r="G250" s="606" t="s">
        <v>1554</v>
      </c>
      <c r="H250" s="606" t="s">
        <v>1555</v>
      </c>
      <c r="I250" s="606" t="s">
        <v>1556</v>
      </c>
      <c r="J250" s="606" t="s">
        <v>1557</v>
      </c>
    </row>
    <row r="251" spans="2:10" ht="21" customHeight="1">
      <c r="B251" s="605" t="s">
        <v>1630</v>
      </c>
      <c r="C251" s="606" t="s">
        <v>239</v>
      </c>
      <c r="D251" s="605" t="s">
        <v>689</v>
      </c>
      <c r="E251" s="606" t="s">
        <v>1631</v>
      </c>
      <c r="F251" s="606" t="s">
        <v>1631</v>
      </c>
      <c r="G251" s="606" t="s">
        <v>1554</v>
      </c>
      <c r="H251" s="606" t="s">
        <v>1555</v>
      </c>
      <c r="I251" s="606" t="s">
        <v>1556</v>
      </c>
      <c r="J251" s="606" t="s">
        <v>1557</v>
      </c>
    </row>
    <row r="252" spans="2:10" ht="21" customHeight="1">
      <c r="B252" s="605" t="s">
        <v>1632</v>
      </c>
      <c r="C252" s="606" t="s">
        <v>239</v>
      </c>
      <c r="D252" s="605" t="s">
        <v>689</v>
      </c>
      <c r="E252" s="606" t="s">
        <v>1633</v>
      </c>
      <c r="F252" s="606" t="s">
        <v>1633</v>
      </c>
      <c r="G252" s="606" t="s">
        <v>1554</v>
      </c>
      <c r="H252" s="606" t="s">
        <v>1555</v>
      </c>
      <c r="I252" s="606" t="s">
        <v>1556</v>
      </c>
      <c r="J252" s="606" t="s">
        <v>1557</v>
      </c>
    </row>
    <row r="253" spans="2:10" ht="21" customHeight="1">
      <c r="B253" s="605" t="s">
        <v>1634</v>
      </c>
      <c r="C253" s="606" t="s">
        <v>239</v>
      </c>
      <c r="D253" s="605" t="s">
        <v>689</v>
      </c>
      <c r="E253" s="606" t="s">
        <v>862</v>
      </c>
      <c r="F253" s="606" t="s">
        <v>862</v>
      </c>
      <c r="G253" s="606" t="s">
        <v>1554</v>
      </c>
      <c r="H253" s="606" t="s">
        <v>1555</v>
      </c>
      <c r="I253" s="606" t="s">
        <v>1556</v>
      </c>
      <c r="J253" s="606" t="s">
        <v>1557</v>
      </c>
    </row>
    <row r="254" spans="2:10" ht="21" customHeight="1">
      <c r="B254" s="605" t="s">
        <v>1635</v>
      </c>
      <c r="C254" s="606" t="s">
        <v>239</v>
      </c>
      <c r="D254" s="605" t="s">
        <v>689</v>
      </c>
      <c r="E254" s="606" t="s">
        <v>1636</v>
      </c>
      <c r="F254" s="606" t="s">
        <v>1636</v>
      </c>
      <c r="G254" s="606" t="s">
        <v>1554</v>
      </c>
      <c r="H254" s="606" t="s">
        <v>1555</v>
      </c>
      <c r="I254" s="606" t="s">
        <v>1556</v>
      </c>
      <c r="J254" s="606" t="s">
        <v>1557</v>
      </c>
    </row>
    <row r="255" spans="2:10" ht="21" customHeight="1">
      <c r="B255" s="605" t="s">
        <v>1637</v>
      </c>
      <c r="C255" s="606" t="s">
        <v>239</v>
      </c>
      <c r="D255" s="605" t="s">
        <v>689</v>
      </c>
      <c r="E255" s="606" t="s">
        <v>1638</v>
      </c>
      <c r="F255" s="606" t="s">
        <v>1638</v>
      </c>
      <c r="G255" s="606" t="s">
        <v>1554</v>
      </c>
      <c r="H255" s="606" t="s">
        <v>1555</v>
      </c>
      <c r="I255" s="606" t="s">
        <v>1556</v>
      </c>
      <c r="J255" s="606" t="s">
        <v>1557</v>
      </c>
    </row>
    <row r="256" spans="2:10" ht="21" customHeight="1">
      <c r="B256" s="605" t="s">
        <v>1639</v>
      </c>
      <c r="C256" s="606" t="s">
        <v>239</v>
      </c>
      <c r="D256" s="605" t="s">
        <v>689</v>
      </c>
      <c r="E256" s="606" t="s">
        <v>1640</v>
      </c>
      <c r="F256" s="606" t="s">
        <v>1640</v>
      </c>
      <c r="G256" s="606" t="s">
        <v>1554</v>
      </c>
      <c r="H256" s="606" t="s">
        <v>1555</v>
      </c>
      <c r="I256" s="606" t="s">
        <v>1556</v>
      </c>
      <c r="J256" s="606" t="s">
        <v>1557</v>
      </c>
    </row>
    <row r="257" spans="2:10" ht="21" customHeight="1">
      <c r="B257" s="605" t="s">
        <v>1641</v>
      </c>
      <c r="C257" s="606" t="s">
        <v>239</v>
      </c>
      <c r="D257" s="605" t="s">
        <v>689</v>
      </c>
      <c r="E257" s="606" t="s">
        <v>1642</v>
      </c>
      <c r="F257" s="606" t="s">
        <v>1642</v>
      </c>
      <c r="G257" s="606" t="s">
        <v>1554</v>
      </c>
      <c r="H257" s="606" t="s">
        <v>1555</v>
      </c>
      <c r="I257" s="606" t="s">
        <v>1556</v>
      </c>
      <c r="J257" s="606" t="s">
        <v>1557</v>
      </c>
    </row>
    <row r="258" spans="2:10" ht="21" customHeight="1">
      <c r="B258" s="605" t="s">
        <v>1643</v>
      </c>
      <c r="C258" s="606" t="s">
        <v>239</v>
      </c>
      <c r="D258" s="605" t="s">
        <v>689</v>
      </c>
      <c r="E258" s="606" t="s">
        <v>1644</v>
      </c>
      <c r="F258" s="606" t="s">
        <v>1644</v>
      </c>
      <c r="G258" s="606" t="s">
        <v>1554</v>
      </c>
      <c r="H258" s="606" t="s">
        <v>1555</v>
      </c>
      <c r="I258" s="606" t="s">
        <v>1556</v>
      </c>
      <c r="J258" s="606" t="s">
        <v>1557</v>
      </c>
    </row>
    <row r="259" spans="2:10" ht="21" customHeight="1">
      <c r="B259" s="605" t="s">
        <v>1645</v>
      </c>
      <c r="C259" s="606" t="s">
        <v>239</v>
      </c>
      <c r="D259" s="605" t="s">
        <v>689</v>
      </c>
      <c r="E259" s="606" t="s">
        <v>1646</v>
      </c>
      <c r="F259" s="606" t="s">
        <v>1646</v>
      </c>
      <c r="G259" s="606" t="s">
        <v>1554</v>
      </c>
      <c r="H259" s="606" t="s">
        <v>1555</v>
      </c>
      <c r="I259" s="606" t="s">
        <v>1556</v>
      </c>
      <c r="J259" s="606" t="s">
        <v>1557</v>
      </c>
    </row>
    <row r="260" spans="2:10" ht="21" customHeight="1">
      <c r="B260" s="605" t="s">
        <v>1647</v>
      </c>
      <c r="C260" s="606" t="s">
        <v>239</v>
      </c>
      <c r="D260" s="605" t="s">
        <v>689</v>
      </c>
      <c r="E260" s="606" t="s">
        <v>1648</v>
      </c>
      <c r="F260" s="606" t="s">
        <v>1648</v>
      </c>
      <c r="G260" s="606" t="s">
        <v>1554</v>
      </c>
      <c r="H260" s="606" t="s">
        <v>1555</v>
      </c>
      <c r="I260" s="606" t="s">
        <v>1556</v>
      </c>
      <c r="J260" s="606" t="s">
        <v>1557</v>
      </c>
    </row>
    <row r="261" spans="2:10" ht="21" customHeight="1">
      <c r="B261" s="605" t="s">
        <v>1649</v>
      </c>
      <c r="C261" s="606" t="s">
        <v>239</v>
      </c>
      <c r="D261" s="605" t="s">
        <v>689</v>
      </c>
      <c r="E261" s="606" t="s">
        <v>1650</v>
      </c>
      <c r="F261" s="606" t="s">
        <v>1650</v>
      </c>
      <c r="G261" s="606" t="s">
        <v>1554</v>
      </c>
      <c r="H261" s="606" t="s">
        <v>1555</v>
      </c>
      <c r="I261" s="606" t="s">
        <v>1556</v>
      </c>
      <c r="J261" s="606" t="s">
        <v>1557</v>
      </c>
    </row>
    <row r="262" spans="2:10" ht="21" customHeight="1">
      <c r="B262" s="605" t="s">
        <v>1651</v>
      </c>
      <c r="C262" s="606" t="s">
        <v>239</v>
      </c>
      <c r="D262" s="605" t="s">
        <v>689</v>
      </c>
      <c r="E262" s="606" t="s">
        <v>1652</v>
      </c>
      <c r="F262" s="606" t="s">
        <v>1652</v>
      </c>
      <c r="G262" s="606" t="s">
        <v>1554</v>
      </c>
      <c r="H262" s="606" t="s">
        <v>1555</v>
      </c>
      <c r="I262" s="606" t="s">
        <v>1556</v>
      </c>
      <c r="J262" s="606" t="s">
        <v>1557</v>
      </c>
    </row>
    <row r="263" spans="2:10" ht="21" customHeight="1">
      <c r="B263" s="605" t="s">
        <v>1653</v>
      </c>
      <c r="C263" s="606" t="s">
        <v>239</v>
      </c>
      <c r="D263" s="605" t="s">
        <v>689</v>
      </c>
      <c r="E263" s="606" t="s">
        <v>1654</v>
      </c>
      <c r="F263" s="606" t="s">
        <v>1654</v>
      </c>
      <c r="G263" s="606" t="s">
        <v>1554</v>
      </c>
      <c r="H263" s="606" t="s">
        <v>1555</v>
      </c>
      <c r="I263" s="606" t="s">
        <v>1556</v>
      </c>
      <c r="J263" s="606" t="s">
        <v>1557</v>
      </c>
    </row>
    <row r="264" spans="2:10" ht="21" customHeight="1">
      <c r="B264" s="605" t="s">
        <v>1655</v>
      </c>
      <c r="C264" s="606" t="s">
        <v>239</v>
      </c>
      <c r="D264" s="605" t="s">
        <v>689</v>
      </c>
      <c r="E264" s="606" t="s">
        <v>55</v>
      </c>
      <c r="F264" s="606" t="s">
        <v>55</v>
      </c>
      <c r="G264" s="606" t="s">
        <v>1554</v>
      </c>
      <c r="H264" s="606" t="s">
        <v>1561</v>
      </c>
      <c r="I264" s="606" t="s">
        <v>1087</v>
      </c>
      <c r="J264" s="606" t="s">
        <v>1088</v>
      </c>
    </row>
    <row r="265" spans="2:10" ht="21" customHeight="1">
      <c r="B265" s="605" t="s">
        <v>1656</v>
      </c>
      <c r="C265" s="606" t="s">
        <v>239</v>
      </c>
      <c r="D265" s="605" t="s">
        <v>689</v>
      </c>
      <c r="E265" s="606" t="s">
        <v>143</v>
      </c>
      <c r="F265" s="606" t="s">
        <v>143</v>
      </c>
      <c r="G265" s="606" t="s">
        <v>1554</v>
      </c>
      <c r="H265" s="606" t="s">
        <v>1555</v>
      </c>
      <c r="I265" s="606" t="s">
        <v>1556</v>
      </c>
      <c r="J265" s="606" t="s">
        <v>1557</v>
      </c>
    </row>
    <row r="266" spans="2:10" ht="21" customHeight="1">
      <c r="B266" s="605" t="s">
        <v>1657</v>
      </c>
      <c r="C266" s="606" t="s">
        <v>239</v>
      </c>
      <c r="D266" s="605" t="s">
        <v>689</v>
      </c>
      <c r="E266" s="606" t="s">
        <v>1658</v>
      </c>
      <c r="F266" s="606" t="s">
        <v>1658</v>
      </c>
      <c r="G266" s="606" t="s">
        <v>1554</v>
      </c>
      <c r="H266" s="606" t="s">
        <v>1555</v>
      </c>
      <c r="I266" s="606" t="s">
        <v>1556</v>
      </c>
      <c r="J266" s="606" t="s">
        <v>1557</v>
      </c>
    </row>
    <row r="267" spans="2:10" ht="21" customHeight="1">
      <c r="B267" s="605" t="s">
        <v>1659</v>
      </c>
      <c r="C267" s="606" t="s">
        <v>239</v>
      </c>
      <c r="D267" s="605" t="s">
        <v>689</v>
      </c>
      <c r="E267" s="606" t="s">
        <v>1660</v>
      </c>
      <c r="F267" s="606" t="s">
        <v>1660</v>
      </c>
      <c r="G267" s="606" t="s">
        <v>1554</v>
      </c>
      <c r="H267" s="606" t="s">
        <v>1555</v>
      </c>
      <c r="I267" s="606" t="s">
        <v>1556</v>
      </c>
      <c r="J267" s="606" t="s">
        <v>1557</v>
      </c>
    </row>
    <row r="268" spans="2:10" ht="21" customHeight="1">
      <c r="B268" s="605" t="s">
        <v>1661</v>
      </c>
      <c r="C268" s="606" t="s">
        <v>239</v>
      </c>
      <c r="D268" s="605" t="s">
        <v>689</v>
      </c>
      <c r="E268" s="606" t="s">
        <v>1662</v>
      </c>
      <c r="F268" s="606" t="s">
        <v>1662</v>
      </c>
      <c r="G268" s="606" t="s">
        <v>1554</v>
      </c>
      <c r="H268" s="606" t="s">
        <v>1555</v>
      </c>
      <c r="I268" s="606" t="s">
        <v>1556</v>
      </c>
      <c r="J268" s="606" t="s">
        <v>1557</v>
      </c>
    </row>
    <row r="269" spans="2:10" ht="21" customHeight="1">
      <c r="B269" s="605" t="s">
        <v>1663</v>
      </c>
      <c r="C269" s="606" t="s">
        <v>239</v>
      </c>
      <c r="D269" s="605" t="s">
        <v>689</v>
      </c>
      <c r="E269" s="606" t="s">
        <v>1664</v>
      </c>
      <c r="F269" s="606" t="s">
        <v>1664</v>
      </c>
      <c r="G269" s="606" t="s">
        <v>1554</v>
      </c>
      <c r="H269" s="606" t="s">
        <v>1555</v>
      </c>
      <c r="I269" s="606" t="s">
        <v>1556</v>
      </c>
      <c r="J269" s="606" t="s">
        <v>1557</v>
      </c>
    </row>
    <row r="270" spans="2:10" ht="21" customHeight="1">
      <c r="B270" s="605" t="s">
        <v>1665</v>
      </c>
      <c r="C270" s="606" t="s">
        <v>239</v>
      </c>
      <c r="D270" s="605" t="s">
        <v>689</v>
      </c>
      <c r="E270" s="606" t="s">
        <v>1666</v>
      </c>
      <c r="F270" s="606" t="s">
        <v>1666</v>
      </c>
      <c r="G270" s="606" t="s">
        <v>1554</v>
      </c>
      <c r="H270" s="606" t="s">
        <v>1555</v>
      </c>
      <c r="I270" s="606" t="s">
        <v>1556</v>
      </c>
      <c r="J270" s="606" t="s">
        <v>1557</v>
      </c>
    </row>
    <row r="271" spans="2:10" ht="21" customHeight="1">
      <c r="B271" s="605" t="s">
        <v>1667</v>
      </c>
      <c r="C271" s="606" t="s">
        <v>239</v>
      </c>
      <c r="D271" s="605" t="s">
        <v>689</v>
      </c>
      <c r="E271" s="606" t="s">
        <v>1668</v>
      </c>
      <c r="F271" s="606" t="s">
        <v>1668</v>
      </c>
      <c r="G271" s="606" t="s">
        <v>1554</v>
      </c>
      <c r="H271" s="606" t="s">
        <v>1555</v>
      </c>
      <c r="I271" s="606" t="s">
        <v>1556</v>
      </c>
      <c r="J271" s="606" t="s">
        <v>1557</v>
      </c>
    </row>
    <row r="272" spans="2:10" ht="21" customHeight="1">
      <c r="B272" s="605" t="s">
        <v>1669</v>
      </c>
      <c r="C272" s="606" t="s">
        <v>239</v>
      </c>
      <c r="D272" s="605" t="s">
        <v>689</v>
      </c>
      <c r="E272" s="606" t="s">
        <v>288</v>
      </c>
      <c r="F272" s="606" t="s">
        <v>152</v>
      </c>
      <c r="G272" s="606" t="s">
        <v>1554</v>
      </c>
      <c r="H272" s="606" t="s">
        <v>1561</v>
      </c>
      <c r="I272" s="606" t="s">
        <v>1087</v>
      </c>
      <c r="J272" s="606" t="s">
        <v>1088</v>
      </c>
    </row>
    <row r="273" spans="2:10" ht="21" customHeight="1">
      <c r="B273" s="605" t="s">
        <v>1670</v>
      </c>
      <c r="C273" s="606" t="s">
        <v>239</v>
      </c>
      <c r="D273" s="605" t="s">
        <v>689</v>
      </c>
      <c r="E273" s="606" t="s">
        <v>1671</v>
      </c>
      <c r="F273" s="606" t="s">
        <v>1671</v>
      </c>
      <c r="G273" s="606" t="s">
        <v>1554</v>
      </c>
      <c r="H273" s="606" t="s">
        <v>1555</v>
      </c>
      <c r="I273" s="606" t="s">
        <v>1556</v>
      </c>
      <c r="J273" s="606" t="s">
        <v>1557</v>
      </c>
    </row>
    <row r="274" spans="2:10" ht="21" customHeight="1">
      <c r="B274" s="605" t="s">
        <v>1672</v>
      </c>
      <c r="C274" s="606" t="s">
        <v>239</v>
      </c>
      <c r="D274" s="605" t="s">
        <v>689</v>
      </c>
      <c r="E274" s="606" t="s">
        <v>1673</v>
      </c>
      <c r="F274" s="606" t="s">
        <v>1674</v>
      </c>
      <c r="G274" s="606" t="s">
        <v>1554</v>
      </c>
      <c r="H274" s="606" t="s">
        <v>1561</v>
      </c>
      <c r="I274" s="606" t="s">
        <v>1087</v>
      </c>
      <c r="J274" s="606" t="s">
        <v>1088</v>
      </c>
    </row>
    <row r="275" spans="2:10" ht="21" customHeight="1">
      <c r="B275" s="605" t="s">
        <v>1675</v>
      </c>
      <c r="C275" s="606" t="s">
        <v>239</v>
      </c>
      <c r="D275" s="605" t="s">
        <v>689</v>
      </c>
      <c r="E275" s="606" t="s">
        <v>1676</v>
      </c>
      <c r="F275" s="606" t="s">
        <v>866</v>
      </c>
      <c r="G275" s="606" t="s">
        <v>1554</v>
      </c>
      <c r="H275" s="606" t="s">
        <v>1561</v>
      </c>
      <c r="I275" s="606" t="s">
        <v>1087</v>
      </c>
      <c r="J275" s="606" t="s">
        <v>1088</v>
      </c>
    </row>
    <row r="276" spans="2:10" ht="21" customHeight="1">
      <c r="B276" s="605" t="s">
        <v>1677</v>
      </c>
      <c r="C276" s="606" t="s">
        <v>239</v>
      </c>
      <c r="D276" s="605" t="s">
        <v>689</v>
      </c>
      <c r="E276" s="606" t="s">
        <v>868</v>
      </c>
      <c r="F276" s="606" t="s">
        <v>868</v>
      </c>
      <c r="G276" s="606" t="s">
        <v>1554</v>
      </c>
      <c r="H276" s="606" t="s">
        <v>1555</v>
      </c>
      <c r="I276" s="606" t="s">
        <v>1556</v>
      </c>
      <c r="J276" s="606" t="s">
        <v>1557</v>
      </c>
    </row>
    <row r="277" spans="2:10" ht="21" customHeight="1">
      <c r="B277" s="605" t="s">
        <v>1678</v>
      </c>
      <c r="C277" s="606" t="s">
        <v>239</v>
      </c>
      <c r="D277" s="605" t="s">
        <v>689</v>
      </c>
      <c r="E277" s="606" t="s">
        <v>1679</v>
      </c>
      <c r="F277" s="606" t="s">
        <v>1679</v>
      </c>
      <c r="G277" s="606" t="s">
        <v>1554</v>
      </c>
      <c r="H277" s="606" t="s">
        <v>1555</v>
      </c>
      <c r="I277" s="606" t="s">
        <v>1556</v>
      </c>
      <c r="J277" s="606" t="s">
        <v>1557</v>
      </c>
    </row>
    <row r="278" spans="2:10" ht="21" customHeight="1">
      <c r="B278" s="605" t="s">
        <v>1680</v>
      </c>
      <c r="C278" s="606" t="s">
        <v>239</v>
      </c>
      <c r="D278" s="605" t="s">
        <v>689</v>
      </c>
      <c r="E278" s="606" t="s">
        <v>1681</v>
      </c>
      <c r="F278" s="606" t="s">
        <v>1681</v>
      </c>
      <c r="G278" s="606" t="s">
        <v>1554</v>
      </c>
      <c r="H278" s="606" t="s">
        <v>1555</v>
      </c>
      <c r="I278" s="606" t="s">
        <v>1556</v>
      </c>
      <c r="J278" s="606" t="s">
        <v>1557</v>
      </c>
    </row>
    <row r="279" spans="2:10" ht="21" customHeight="1">
      <c r="B279" s="605" t="s">
        <v>1682</v>
      </c>
      <c r="C279" s="606" t="s">
        <v>239</v>
      </c>
      <c r="D279" s="605" t="s">
        <v>689</v>
      </c>
      <c r="E279" s="606" t="s">
        <v>1683</v>
      </c>
      <c r="F279" s="606" t="s">
        <v>1683</v>
      </c>
      <c r="G279" s="606" t="s">
        <v>1554</v>
      </c>
      <c r="H279" s="606" t="s">
        <v>1555</v>
      </c>
      <c r="I279" s="606" t="s">
        <v>1556</v>
      </c>
      <c r="J279" s="606" t="s">
        <v>1557</v>
      </c>
    </row>
    <row r="280" spans="2:10" ht="21" customHeight="1">
      <c r="B280" s="605" t="s">
        <v>1684</v>
      </c>
      <c r="C280" s="606" t="s">
        <v>239</v>
      </c>
      <c r="D280" s="605" t="s">
        <v>689</v>
      </c>
      <c r="E280" s="606" t="s">
        <v>1685</v>
      </c>
      <c r="F280" s="606" t="s">
        <v>1685</v>
      </c>
      <c r="G280" s="606" t="s">
        <v>1554</v>
      </c>
      <c r="H280" s="606" t="s">
        <v>1561</v>
      </c>
      <c r="I280" s="606" t="s">
        <v>1087</v>
      </c>
      <c r="J280" s="606" t="s">
        <v>1088</v>
      </c>
    </row>
    <row r="281" spans="2:10" ht="21" customHeight="1">
      <c r="B281" s="605" t="s">
        <v>1686</v>
      </c>
      <c r="C281" s="606" t="s">
        <v>239</v>
      </c>
      <c r="D281" s="605" t="s">
        <v>689</v>
      </c>
      <c r="E281" s="606" t="s">
        <v>67</v>
      </c>
      <c r="F281" s="606" t="s">
        <v>67</v>
      </c>
      <c r="G281" s="606" t="s">
        <v>1554</v>
      </c>
      <c r="H281" s="606" t="s">
        <v>1561</v>
      </c>
      <c r="I281" s="606" t="s">
        <v>1087</v>
      </c>
      <c r="J281" s="606" t="s">
        <v>1088</v>
      </c>
    </row>
    <row r="282" spans="2:10" ht="21" customHeight="1">
      <c r="B282" s="605" t="s">
        <v>1687</v>
      </c>
      <c r="C282" s="606" t="s">
        <v>239</v>
      </c>
      <c r="D282" s="605" t="s">
        <v>689</v>
      </c>
      <c r="E282" s="606" t="s">
        <v>1688</v>
      </c>
      <c r="F282" s="606" t="s">
        <v>1688</v>
      </c>
      <c r="G282" s="606" t="s">
        <v>1554</v>
      </c>
      <c r="H282" s="606" t="s">
        <v>1555</v>
      </c>
      <c r="I282" s="606" t="s">
        <v>1556</v>
      </c>
      <c r="J282" s="606" t="s">
        <v>1557</v>
      </c>
    </row>
    <row r="283" spans="2:10" ht="21" customHeight="1">
      <c r="B283" s="605" t="s">
        <v>1689</v>
      </c>
      <c r="C283" s="606" t="s">
        <v>239</v>
      </c>
      <c r="D283" s="605" t="s">
        <v>689</v>
      </c>
      <c r="E283" s="606" t="s">
        <v>81</v>
      </c>
      <c r="F283" s="606" t="s">
        <v>81</v>
      </c>
      <c r="G283" s="606" t="s">
        <v>1554</v>
      </c>
      <c r="H283" s="606" t="s">
        <v>1555</v>
      </c>
      <c r="I283" s="606" t="s">
        <v>1556</v>
      </c>
      <c r="J283" s="606" t="s">
        <v>1557</v>
      </c>
    </row>
    <row r="284" spans="2:10" ht="21" customHeight="1">
      <c r="B284" s="605" t="s">
        <v>1690</v>
      </c>
      <c r="C284" s="606" t="s">
        <v>239</v>
      </c>
      <c r="D284" s="605" t="s">
        <v>689</v>
      </c>
      <c r="E284" s="606" t="s">
        <v>1691</v>
      </c>
      <c r="F284" s="606" t="s">
        <v>1691</v>
      </c>
      <c r="G284" s="606" t="s">
        <v>1554</v>
      </c>
      <c r="H284" s="606" t="s">
        <v>1555</v>
      </c>
      <c r="I284" s="606" t="s">
        <v>1556</v>
      </c>
      <c r="J284" s="606" t="s">
        <v>1557</v>
      </c>
    </row>
    <row r="285" spans="2:10" ht="21" customHeight="1">
      <c r="B285" s="605" t="s">
        <v>1692</v>
      </c>
      <c r="C285" s="606" t="s">
        <v>239</v>
      </c>
      <c r="D285" s="605" t="s">
        <v>689</v>
      </c>
      <c r="E285" s="606" t="s">
        <v>870</v>
      </c>
      <c r="F285" s="606" t="s">
        <v>870</v>
      </c>
      <c r="G285" s="606" t="s">
        <v>1554</v>
      </c>
      <c r="H285" s="606" t="s">
        <v>1555</v>
      </c>
      <c r="I285" s="606" t="s">
        <v>1556</v>
      </c>
      <c r="J285" s="606" t="s">
        <v>1557</v>
      </c>
    </row>
    <row r="286" spans="2:10" ht="21" customHeight="1">
      <c r="B286" s="605" t="s">
        <v>1693</v>
      </c>
      <c r="C286" s="606" t="s">
        <v>239</v>
      </c>
      <c r="D286" s="605" t="s">
        <v>689</v>
      </c>
      <c r="E286" s="606" t="s">
        <v>1694</v>
      </c>
      <c r="F286" s="606" t="s">
        <v>1694</v>
      </c>
      <c r="G286" s="606" t="s">
        <v>1554</v>
      </c>
      <c r="H286" s="606" t="s">
        <v>1555</v>
      </c>
      <c r="I286" s="606" t="s">
        <v>1556</v>
      </c>
      <c r="J286" s="606" t="s">
        <v>1557</v>
      </c>
    </row>
    <row r="287" spans="2:10" ht="21" customHeight="1">
      <c r="B287" s="605" t="s">
        <v>1695</v>
      </c>
      <c r="C287" s="606" t="s">
        <v>239</v>
      </c>
      <c r="D287" s="605" t="s">
        <v>689</v>
      </c>
      <c r="E287" s="606" t="s">
        <v>1696</v>
      </c>
      <c r="F287" s="606" t="s">
        <v>1696</v>
      </c>
      <c r="G287" s="606" t="s">
        <v>1554</v>
      </c>
      <c r="H287" s="606" t="s">
        <v>1561</v>
      </c>
      <c r="I287" s="606" t="s">
        <v>1087</v>
      </c>
      <c r="J287" s="606" t="s">
        <v>1088</v>
      </c>
    </row>
    <row r="288" spans="2:10" ht="21" customHeight="1">
      <c r="B288" s="605" t="s">
        <v>1697</v>
      </c>
      <c r="C288" s="606" t="s">
        <v>239</v>
      </c>
      <c r="D288" s="605" t="s">
        <v>689</v>
      </c>
      <c r="E288" s="606" t="s">
        <v>1698</v>
      </c>
      <c r="F288" s="606" t="s">
        <v>1698</v>
      </c>
      <c r="G288" s="606" t="s">
        <v>1554</v>
      </c>
      <c r="H288" s="606" t="s">
        <v>1555</v>
      </c>
      <c r="I288" s="606" t="s">
        <v>1556</v>
      </c>
      <c r="J288" s="606" t="s">
        <v>1557</v>
      </c>
    </row>
    <row r="289" spans="2:10" ht="21" customHeight="1">
      <c r="B289" s="605" t="s">
        <v>1699</v>
      </c>
      <c r="C289" s="606" t="s">
        <v>239</v>
      </c>
      <c r="D289" s="605" t="s">
        <v>689</v>
      </c>
      <c r="E289" s="606" t="s">
        <v>1700</v>
      </c>
      <c r="F289" s="606" t="s">
        <v>1700</v>
      </c>
      <c r="G289" s="606" t="s">
        <v>1554</v>
      </c>
      <c r="H289" s="606" t="s">
        <v>1555</v>
      </c>
      <c r="I289" s="606" t="s">
        <v>1556</v>
      </c>
      <c r="J289" s="606" t="s">
        <v>1557</v>
      </c>
    </row>
    <row r="290" spans="2:10" ht="21" customHeight="1">
      <c r="B290" s="605" t="s">
        <v>1701</v>
      </c>
      <c r="C290" s="606" t="s">
        <v>239</v>
      </c>
      <c r="D290" s="605" t="s">
        <v>689</v>
      </c>
      <c r="E290" s="606" t="s">
        <v>1702</v>
      </c>
      <c r="F290" s="606" t="s">
        <v>1703</v>
      </c>
      <c r="G290" s="606" t="s">
        <v>1554</v>
      </c>
      <c r="H290" s="606" t="s">
        <v>1561</v>
      </c>
      <c r="I290" s="606" t="s">
        <v>1087</v>
      </c>
      <c r="J290" s="606" t="s">
        <v>1088</v>
      </c>
    </row>
    <row r="291" spans="2:10" ht="21" customHeight="1">
      <c r="B291" s="605" t="s">
        <v>1704</v>
      </c>
      <c r="C291" s="606" t="s">
        <v>239</v>
      </c>
      <c r="D291" s="605" t="s">
        <v>689</v>
      </c>
      <c r="E291" s="606" t="s">
        <v>93</v>
      </c>
      <c r="F291" s="606" t="s">
        <v>93</v>
      </c>
      <c r="G291" s="606" t="s">
        <v>1554</v>
      </c>
      <c r="H291" s="606" t="s">
        <v>1555</v>
      </c>
      <c r="I291" s="606" t="s">
        <v>1556</v>
      </c>
      <c r="J291" s="606" t="s">
        <v>1557</v>
      </c>
    </row>
    <row r="292" spans="2:10" ht="21" customHeight="1">
      <c r="B292" s="605" t="s">
        <v>1705</v>
      </c>
      <c r="C292" s="606" t="s">
        <v>239</v>
      </c>
      <c r="D292" s="605" t="s">
        <v>689</v>
      </c>
      <c r="E292" s="606" t="s">
        <v>1706</v>
      </c>
      <c r="F292" s="606" t="s">
        <v>1706</v>
      </c>
      <c r="G292" s="606" t="s">
        <v>1554</v>
      </c>
      <c r="H292" s="606" t="s">
        <v>1555</v>
      </c>
      <c r="I292" s="606" t="s">
        <v>1556</v>
      </c>
      <c r="J292" s="606" t="s">
        <v>1557</v>
      </c>
    </row>
    <row r="293" spans="2:10" ht="21" customHeight="1">
      <c r="B293" s="605" t="s">
        <v>1707</v>
      </c>
      <c r="C293" s="606" t="s">
        <v>239</v>
      </c>
      <c r="D293" s="605" t="s">
        <v>689</v>
      </c>
      <c r="E293" s="606" t="s">
        <v>1708</v>
      </c>
      <c r="F293" s="606" t="s">
        <v>1708</v>
      </c>
      <c r="G293" s="606" t="s">
        <v>1554</v>
      </c>
      <c r="H293" s="606" t="s">
        <v>1555</v>
      </c>
      <c r="I293" s="606" t="s">
        <v>1556</v>
      </c>
      <c r="J293" s="606" t="s">
        <v>1557</v>
      </c>
    </row>
    <row r="294" spans="2:10" ht="21" customHeight="1">
      <c r="B294" s="605" t="s">
        <v>1709</v>
      </c>
      <c r="C294" s="606" t="s">
        <v>239</v>
      </c>
      <c r="D294" s="605" t="s">
        <v>689</v>
      </c>
      <c r="E294" s="606" t="s">
        <v>1710</v>
      </c>
      <c r="F294" s="606" t="s">
        <v>1710</v>
      </c>
      <c r="G294" s="606" t="s">
        <v>1554</v>
      </c>
      <c r="H294" s="606" t="s">
        <v>1555</v>
      </c>
      <c r="I294" s="606" t="s">
        <v>1556</v>
      </c>
      <c r="J294" s="606" t="s">
        <v>1557</v>
      </c>
    </row>
    <row r="295" spans="2:10" ht="21" customHeight="1">
      <c r="B295" s="605" t="s">
        <v>1711</v>
      </c>
      <c r="C295" s="606" t="s">
        <v>239</v>
      </c>
      <c r="D295" s="605" t="s">
        <v>689</v>
      </c>
      <c r="E295" s="606" t="s">
        <v>1712</v>
      </c>
      <c r="F295" s="606" t="s">
        <v>1712</v>
      </c>
      <c r="G295" s="606" t="s">
        <v>1554</v>
      </c>
      <c r="H295" s="606" t="s">
        <v>1555</v>
      </c>
      <c r="I295" s="606" t="s">
        <v>1556</v>
      </c>
      <c r="J295" s="606" t="s">
        <v>1557</v>
      </c>
    </row>
    <row r="296" spans="2:10" ht="21" customHeight="1">
      <c r="B296" s="605" t="s">
        <v>1713</v>
      </c>
      <c r="C296" s="606" t="s">
        <v>239</v>
      </c>
      <c r="D296" s="605" t="s">
        <v>689</v>
      </c>
      <c r="E296" s="606" t="s">
        <v>1714</v>
      </c>
      <c r="F296" s="606" t="s">
        <v>1714</v>
      </c>
      <c r="G296" s="606" t="s">
        <v>1554</v>
      </c>
      <c r="H296" s="606" t="s">
        <v>1555</v>
      </c>
      <c r="I296" s="606" t="s">
        <v>1556</v>
      </c>
      <c r="J296" s="606" t="s">
        <v>1557</v>
      </c>
    </row>
    <row r="297" spans="2:10" ht="21" customHeight="1">
      <c r="B297" s="605" t="s">
        <v>1715</v>
      </c>
      <c r="C297" s="606" t="s">
        <v>239</v>
      </c>
      <c r="D297" s="605" t="s">
        <v>689</v>
      </c>
      <c r="E297" s="606" t="s">
        <v>1716</v>
      </c>
      <c r="F297" s="606" t="s">
        <v>1716</v>
      </c>
      <c r="G297" s="606" t="s">
        <v>1554</v>
      </c>
      <c r="H297" s="606" t="s">
        <v>1555</v>
      </c>
      <c r="I297" s="606" t="s">
        <v>1556</v>
      </c>
      <c r="J297" s="606" t="s">
        <v>1557</v>
      </c>
    </row>
    <row r="298" spans="2:10" ht="21" customHeight="1">
      <c r="B298" s="605" t="s">
        <v>1717</v>
      </c>
      <c r="C298" s="606" t="s">
        <v>239</v>
      </c>
      <c r="D298" s="605" t="s">
        <v>689</v>
      </c>
      <c r="E298" s="606" t="s">
        <v>1718</v>
      </c>
      <c r="F298" s="606" t="s">
        <v>1718</v>
      </c>
      <c r="G298" s="606" t="s">
        <v>1554</v>
      </c>
      <c r="H298" s="606" t="s">
        <v>1555</v>
      </c>
      <c r="I298" s="606" t="s">
        <v>1556</v>
      </c>
      <c r="J298" s="606" t="s">
        <v>1557</v>
      </c>
    </row>
    <row r="299" spans="2:10" ht="21" customHeight="1">
      <c r="B299" s="605" t="s">
        <v>1719</v>
      </c>
      <c r="C299" s="606" t="s">
        <v>239</v>
      </c>
      <c r="D299" s="605" t="s">
        <v>689</v>
      </c>
      <c r="E299" s="606" t="s">
        <v>1720</v>
      </c>
      <c r="F299" s="606" t="s">
        <v>1720</v>
      </c>
      <c r="G299" s="606" t="s">
        <v>1554</v>
      </c>
      <c r="H299" s="606" t="s">
        <v>1555</v>
      </c>
      <c r="I299" s="606" t="s">
        <v>1556</v>
      </c>
      <c r="J299" s="606" t="s">
        <v>1557</v>
      </c>
    </row>
    <row r="300" spans="2:10" ht="21" customHeight="1">
      <c r="B300" s="605" t="s">
        <v>1721</v>
      </c>
      <c r="C300" s="606" t="s">
        <v>239</v>
      </c>
      <c r="D300" s="605" t="s">
        <v>689</v>
      </c>
      <c r="E300" s="606" t="s">
        <v>1722</v>
      </c>
      <c r="F300" s="606" t="s">
        <v>1722</v>
      </c>
      <c r="G300" s="606" t="s">
        <v>1554</v>
      </c>
      <c r="H300" s="606" t="s">
        <v>1555</v>
      </c>
      <c r="I300" s="606" t="s">
        <v>1556</v>
      </c>
      <c r="J300" s="606" t="s">
        <v>1557</v>
      </c>
    </row>
    <row r="301" spans="2:10" ht="21" customHeight="1">
      <c r="B301" s="605" t="s">
        <v>1723</v>
      </c>
      <c r="C301" s="606" t="s">
        <v>239</v>
      </c>
      <c r="D301" s="605" t="s">
        <v>689</v>
      </c>
      <c r="E301" s="606" t="s">
        <v>1724</v>
      </c>
      <c r="F301" s="606" t="s">
        <v>1724</v>
      </c>
      <c r="G301" s="606" t="s">
        <v>1554</v>
      </c>
      <c r="H301" s="606" t="s">
        <v>1555</v>
      </c>
      <c r="I301" s="606" t="s">
        <v>1556</v>
      </c>
      <c r="J301" s="606" t="s">
        <v>1557</v>
      </c>
    </row>
    <row r="302" spans="2:10" ht="21" customHeight="1">
      <c r="B302" s="605" t="s">
        <v>1725</v>
      </c>
      <c r="C302" s="606" t="s">
        <v>239</v>
      </c>
      <c r="D302" s="605" t="s">
        <v>689</v>
      </c>
      <c r="E302" s="606" t="s">
        <v>1726</v>
      </c>
      <c r="F302" s="606" t="s">
        <v>1726</v>
      </c>
      <c r="G302" s="606" t="s">
        <v>1554</v>
      </c>
      <c r="H302" s="606" t="s">
        <v>1555</v>
      </c>
      <c r="I302" s="606" t="s">
        <v>1556</v>
      </c>
      <c r="J302" s="606" t="s">
        <v>1557</v>
      </c>
    </row>
    <row r="303" spans="2:10" ht="21" customHeight="1">
      <c r="B303" s="605" t="s">
        <v>1727</v>
      </c>
      <c r="C303" s="606" t="s">
        <v>239</v>
      </c>
      <c r="D303" s="605" t="s">
        <v>689</v>
      </c>
      <c r="E303" s="606" t="s">
        <v>1728</v>
      </c>
      <c r="F303" s="606" t="s">
        <v>1728</v>
      </c>
      <c r="G303" s="606" t="s">
        <v>1554</v>
      </c>
      <c r="H303" s="606" t="s">
        <v>1555</v>
      </c>
      <c r="I303" s="606" t="s">
        <v>1556</v>
      </c>
      <c r="J303" s="606" t="s">
        <v>1557</v>
      </c>
    </row>
    <row r="304" spans="2:10" ht="21" customHeight="1">
      <c r="B304" s="605" t="s">
        <v>1729</v>
      </c>
      <c r="C304" s="606" t="s">
        <v>239</v>
      </c>
      <c r="D304" s="605" t="s">
        <v>689</v>
      </c>
      <c r="E304" s="606" t="s">
        <v>1730</v>
      </c>
      <c r="F304" s="606" t="s">
        <v>1730</v>
      </c>
      <c r="G304" s="606" t="s">
        <v>1554</v>
      </c>
      <c r="H304" s="606" t="s">
        <v>1555</v>
      </c>
      <c r="I304" s="606" t="s">
        <v>1556</v>
      </c>
      <c r="J304" s="606" t="s">
        <v>1557</v>
      </c>
    </row>
    <row r="305" spans="2:10" ht="21" customHeight="1">
      <c r="B305" s="605" t="s">
        <v>1731</v>
      </c>
      <c r="C305" s="606" t="s">
        <v>239</v>
      </c>
      <c r="D305" s="605" t="s">
        <v>689</v>
      </c>
      <c r="E305" s="606" t="s">
        <v>1732</v>
      </c>
      <c r="F305" s="606" t="s">
        <v>1732</v>
      </c>
      <c r="G305" s="606" t="s">
        <v>1554</v>
      </c>
      <c r="H305" s="606" t="s">
        <v>1555</v>
      </c>
      <c r="I305" s="606" t="s">
        <v>1556</v>
      </c>
      <c r="J305" s="606" t="s">
        <v>1557</v>
      </c>
    </row>
    <row r="306" spans="2:10" ht="21" customHeight="1">
      <c r="B306" s="605" t="s">
        <v>1733</v>
      </c>
      <c r="C306" s="606" t="s">
        <v>239</v>
      </c>
      <c r="D306" s="605" t="s">
        <v>689</v>
      </c>
      <c r="E306" s="606" t="s">
        <v>1734</v>
      </c>
      <c r="F306" s="606" t="s">
        <v>1734</v>
      </c>
      <c r="G306" s="606" t="s">
        <v>1554</v>
      </c>
      <c r="H306" s="606" t="s">
        <v>1555</v>
      </c>
      <c r="I306" s="606" t="s">
        <v>1556</v>
      </c>
      <c r="J306" s="606" t="s">
        <v>1557</v>
      </c>
    </row>
    <row r="307" spans="2:10" ht="21" customHeight="1">
      <c r="B307" s="605" t="s">
        <v>1735</v>
      </c>
      <c r="C307" s="606" t="s">
        <v>239</v>
      </c>
      <c r="D307" s="605" t="s">
        <v>689</v>
      </c>
      <c r="E307" s="606" t="s">
        <v>1736</v>
      </c>
      <c r="F307" s="606" t="s">
        <v>1736</v>
      </c>
      <c r="G307" s="606" t="s">
        <v>1554</v>
      </c>
      <c r="H307" s="606" t="s">
        <v>1555</v>
      </c>
      <c r="I307" s="606" t="s">
        <v>1556</v>
      </c>
      <c r="J307" s="606" t="s">
        <v>1557</v>
      </c>
    </row>
    <row r="308" spans="2:10" ht="21" customHeight="1">
      <c r="B308" s="605" t="s">
        <v>1737</v>
      </c>
      <c r="C308" s="606" t="s">
        <v>239</v>
      </c>
      <c r="D308" s="605" t="s">
        <v>689</v>
      </c>
      <c r="E308" s="606" t="s">
        <v>1738</v>
      </c>
      <c r="F308" s="606" t="s">
        <v>1738</v>
      </c>
      <c r="G308" s="606" t="s">
        <v>1554</v>
      </c>
      <c r="H308" s="606" t="s">
        <v>1555</v>
      </c>
      <c r="I308" s="606" t="s">
        <v>1556</v>
      </c>
      <c r="J308" s="606" t="s">
        <v>1557</v>
      </c>
    </row>
    <row r="309" spans="2:10" ht="21" customHeight="1">
      <c r="B309" s="605" t="s">
        <v>1739</v>
      </c>
      <c r="C309" s="606" t="s">
        <v>239</v>
      </c>
      <c r="D309" s="605" t="s">
        <v>689</v>
      </c>
      <c r="E309" s="606" t="s">
        <v>1740</v>
      </c>
      <c r="F309" s="606" t="s">
        <v>1740</v>
      </c>
      <c r="G309" s="606" t="s">
        <v>1554</v>
      </c>
      <c r="H309" s="606" t="s">
        <v>1555</v>
      </c>
      <c r="I309" s="606" t="s">
        <v>1556</v>
      </c>
      <c r="J309" s="606" t="s">
        <v>1557</v>
      </c>
    </row>
    <row r="310" spans="2:10" ht="21" customHeight="1">
      <c r="B310" s="605" t="s">
        <v>1741</v>
      </c>
      <c r="C310" s="606" t="s">
        <v>239</v>
      </c>
      <c r="D310" s="605" t="s">
        <v>689</v>
      </c>
      <c r="E310" s="606" t="s">
        <v>1742</v>
      </c>
      <c r="F310" s="606" t="s">
        <v>1742</v>
      </c>
      <c r="G310" s="606" t="s">
        <v>1554</v>
      </c>
      <c r="H310" s="606" t="s">
        <v>1555</v>
      </c>
      <c r="I310" s="606" t="s">
        <v>1556</v>
      </c>
      <c r="J310" s="606" t="s">
        <v>1557</v>
      </c>
    </row>
    <row r="311" spans="2:10" ht="21" customHeight="1">
      <c r="B311" s="605" t="s">
        <v>1743</v>
      </c>
      <c r="C311" s="606" t="s">
        <v>239</v>
      </c>
      <c r="D311" s="605" t="s">
        <v>689</v>
      </c>
      <c r="E311" s="606" t="s">
        <v>1744</v>
      </c>
      <c r="F311" s="606" t="s">
        <v>1744</v>
      </c>
      <c r="G311" s="606" t="s">
        <v>1554</v>
      </c>
      <c r="H311" s="606" t="s">
        <v>1555</v>
      </c>
      <c r="I311" s="606" t="s">
        <v>1556</v>
      </c>
      <c r="J311" s="606" t="s">
        <v>1557</v>
      </c>
    </row>
    <row r="312" spans="2:10" ht="21" customHeight="1">
      <c r="B312" s="605" t="s">
        <v>1745</v>
      </c>
      <c r="C312" s="606" t="s">
        <v>239</v>
      </c>
      <c r="D312" s="605" t="s">
        <v>689</v>
      </c>
      <c r="E312" s="606" t="s">
        <v>1746</v>
      </c>
      <c r="F312" s="606" t="s">
        <v>1746</v>
      </c>
      <c r="G312" s="606" t="s">
        <v>1554</v>
      </c>
      <c r="H312" s="606" t="s">
        <v>1555</v>
      </c>
      <c r="I312" s="606" t="s">
        <v>1556</v>
      </c>
      <c r="J312" s="606" t="s">
        <v>1557</v>
      </c>
    </row>
    <row r="313" spans="2:10" ht="21" customHeight="1">
      <c r="B313" s="605" t="s">
        <v>1747</v>
      </c>
      <c r="C313" s="606" t="s">
        <v>239</v>
      </c>
      <c r="D313" s="605" t="s">
        <v>689</v>
      </c>
      <c r="E313" s="606" t="s">
        <v>1748</v>
      </c>
      <c r="F313" s="606" t="s">
        <v>1748</v>
      </c>
      <c r="G313" s="606" t="s">
        <v>1554</v>
      </c>
      <c r="H313" s="606" t="s">
        <v>1555</v>
      </c>
      <c r="I313" s="606" t="s">
        <v>1556</v>
      </c>
      <c r="J313" s="606" t="s">
        <v>1557</v>
      </c>
    </row>
    <row r="314" spans="2:10" ht="21" customHeight="1">
      <c r="B314" s="605" t="s">
        <v>1749</v>
      </c>
      <c r="C314" s="606" t="s">
        <v>239</v>
      </c>
      <c r="D314" s="605" t="s">
        <v>689</v>
      </c>
      <c r="E314" s="606" t="s">
        <v>1750</v>
      </c>
      <c r="F314" s="606" t="s">
        <v>1750</v>
      </c>
      <c r="G314" s="606" t="s">
        <v>1554</v>
      </c>
      <c r="H314" s="606" t="s">
        <v>1555</v>
      </c>
      <c r="I314" s="606" t="s">
        <v>1556</v>
      </c>
      <c r="J314" s="606" t="s">
        <v>1557</v>
      </c>
    </row>
    <row r="315" spans="2:10" ht="21" customHeight="1">
      <c r="B315" s="605" t="s">
        <v>1751</v>
      </c>
      <c r="C315" s="606" t="s">
        <v>239</v>
      </c>
      <c r="D315" s="605" t="s">
        <v>689</v>
      </c>
      <c r="E315" s="606" t="s">
        <v>1752</v>
      </c>
      <c r="F315" s="606" t="s">
        <v>1752</v>
      </c>
      <c r="G315" s="606" t="s">
        <v>1554</v>
      </c>
      <c r="H315" s="606" t="s">
        <v>1555</v>
      </c>
      <c r="I315" s="606" t="s">
        <v>1556</v>
      </c>
      <c r="J315" s="606" t="s">
        <v>1557</v>
      </c>
    </row>
    <row r="316" spans="2:10" ht="21" customHeight="1">
      <c r="B316" s="605" t="s">
        <v>1753</v>
      </c>
      <c r="C316" s="606" t="s">
        <v>239</v>
      </c>
      <c r="D316" s="605" t="s">
        <v>689</v>
      </c>
      <c r="E316" s="606" t="s">
        <v>1754</v>
      </c>
      <c r="F316" s="606" t="s">
        <v>1754</v>
      </c>
      <c r="G316" s="606" t="s">
        <v>1554</v>
      </c>
      <c r="H316" s="606" t="s">
        <v>1555</v>
      </c>
      <c r="I316" s="606" t="s">
        <v>1556</v>
      </c>
      <c r="J316" s="606" t="s">
        <v>1557</v>
      </c>
    </row>
    <row r="317" spans="2:10" ht="21" customHeight="1">
      <c r="B317" s="605" t="s">
        <v>1755</v>
      </c>
      <c r="C317" s="606" t="s">
        <v>239</v>
      </c>
      <c r="D317" s="605" t="s">
        <v>689</v>
      </c>
      <c r="E317" s="606" t="s">
        <v>1756</v>
      </c>
      <c r="F317" s="606" t="s">
        <v>1756</v>
      </c>
      <c r="G317" s="606" t="s">
        <v>1554</v>
      </c>
      <c r="H317" s="606" t="s">
        <v>1555</v>
      </c>
      <c r="I317" s="606" t="s">
        <v>1556</v>
      </c>
      <c r="J317" s="606" t="s">
        <v>1557</v>
      </c>
    </row>
    <row r="318" spans="2:10" ht="21" customHeight="1">
      <c r="B318" s="605" t="s">
        <v>1757</v>
      </c>
      <c r="C318" s="606" t="s">
        <v>239</v>
      </c>
      <c r="D318" s="605" t="s">
        <v>689</v>
      </c>
      <c r="E318" s="606" t="s">
        <v>1758</v>
      </c>
      <c r="F318" s="606" t="s">
        <v>1758</v>
      </c>
      <c r="G318" s="606" t="s">
        <v>1554</v>
      </c>
      <c r="H318" s="606" t="s">
        <v>1555</v>
      </c>
      <c r="I318" s="606" t="s">
        <v>1556</v>
      </c>
      <c r="J318" s="606" t="s">
        <v>1557</v>
      </c>
    </row>
    <row r="319" spans="2:10" ht="21" customHeight="1">
      <c r="B319" s="605" t="s">
        <v>1759</v>
      </c>
      <c r="C319" s="606" t="s">
        <v>239</v>
      </c>
      <c r="D319" s="605" t="s">
        <v>689</v>
      </c>
      <c r="E319" s="606" t="s">
        <v>1760</v>
      </c>
      <c r="F319" s="606" t="s">
        <v>1760</v>
      </c>
      <c r="G319" s="606" t="s">
        <v>1554</v>
      </c>
      <c r="H319" s="606" t="s">
        <v>1561</v>
      </c>
      <c r="I319" s="606" t="s">
        <v>1087</v>
      </c>
      <c r="J319" s="606" t="s">
        <v>1088</v>
      </c>
    </row>
    <row r="320" spans="2:10" ht="21" customHeight="1">
      <c r="B320" s="605" t="s">
        <v>1761</v>
      </c>
      <c r="C320" s="606" t="s">
        <v>239</v>
      </c>
      <c r="D320" s="605" t="s">
        <v>689</v>
      </c>
      <c r="E320" s="606" t="s">
        <v>105</v>
      </c>
      <c r="F320" s="606" t="s">
        <v>105</v>
      </c>
      <c r="G320" s="606" t="s">
        <v>1554</v>
      </c>
      <c r="H320" s="606" t="s">
        <v>1555</v>
      </c>
      <c r="I320" s="606" t="s">
        <v>1556</v>
      </c>
      <c r="J320" s="606" t="s">
        <v>1557</v>
      </c>
    </row>
    <row r="321" spans="2:10" ht="21" customHeight="1">
      <c r="B321" s="605" t="s">
        <v>1762</v>
      </c>
      <c r="C321" s="606" t="s">
        <v>239</v>
      </c>
      <c r="D321" s="605" t="s">
        <v>689</v>
      </c>
      <c r="E321" s="606" t="s">
        <v>1763</v>
      </c>
      <c r="F321" s="606" t="s">
        <v>1763</v>
      </c>
      <c r="G321" s="606" t="s">
        <v>1554</v>
      </c>
      <c r="H321" s="606" t="s">
        <v>1555</v>
      </c>
      <c r="I321" s="606" t="s">
        <v>1556</v>
      </c>
      <c r="J321" s="606" t="s">
        <v>1557</v>
      </c>
    </row>
    <row r="322" spans="2:10" ht="21" customHeight="1">
      <c r="B322" s="605" t="s">
        <v>1764</v>
      </c>
      <c r="C322" s="606" t="s">
        <v>239</v>
      </c>
      <c r="D322" s="605" t="s">
        <v>689</v>
      </c>
      <c r="E322" s="606" t="s">
        <v>1765</v>
      </c>
      <c r="F322" s="606" t="s">
        <v>1765</v>
      </c>
      <c r="G322" s="606" t="s">
        <v>1554</v>
      </c>
      <c r="H322" s="606" t="s">
        <v>1555</v>
      </c>
      <c r="I322" s="606" t="s">
        <v>1556</v>
      </c>
      <c r="J322" s="606" t="s">
        <v>1557</v>
      </c>
    </row>
    <row r="323" spans="2:10" ht="21" customHeight="1">
      <c r="B323" s="605" t="s">
        <v>1766</v>
      </c>
      <c r="C323" s="606" t="s">
        <v>239</v>
      </c>
      <c r="D323" s="605" t="s">
        <v>689</v>
      </c>
      <c r="E323" s="606" t="s">
        <v>1767</v>
      </c>
      <c r="F323" s="606" t="s">
        <v>1767</v>
      </c>
      <c r="G323" s="606" t="s">
        <v>1554</v>
      </c>
      <c r="H323" s="606" t="s">
        <v>1555</v>
      </c>
      <c r="I323" s="606" t="s">
        <v>1556</v>
      </c>
      <c r="J323" s="606" t="s">
        <v>1557</v>
      </c>
    </row>
    <row r="324" spans="2:10" ht="21" customHeight="1">
      <c r="B324" s="605" t="s">
        <v>1768</v>
      </c>
      <c r="C324" s="606" t="s">
        <v>239</v>
      </c>
      <c r="D324" s="605" t="s">
        <v>689</v>
      </c>
      <c r="E324" s="606" t="s">
        <v>290</v>
      </c>
      <c r="F324" s="606" t="s">
        <v>290</v>
      </c>
      <c r="G324" s="606" t="s">
        <v>1554</v>
      </c>
      <c r="H324" s="606" t="s">
        <v>1561</v>
      </c>
      <c r="I324" s="606" t="s">
        <v>1087</v>
      </c>
      <c r="J324" s="606" t="s">
        <v>1088</v>
      </c>
    </row>
    <row r="325" spans="2:10" ht="21" customHeight="1">
      <c r="B325" s="605" t="s">
        <v>1769</v>
      </c>
      <c r="C325" s="606" t="s">
        <v>239</v>
      </c>
      <c r="D325" s="605" t="s">
        <v>689</v>
      </c>
      <c r="E325" s="606" t="s">
        <v>291</v>
      </c>
      <c r="F325" s="606" t="s">
        <v>291</v>
      </c>
      <c r="G325" s="606" t="s">
        <v>1151</v>
      </c>
      <c r="H325" s="606" t="s">
        <v>1152</v>
      </c>
      <c r="I325" s="606" t="s">
        <v>1087</v>
      </c>
      <c r="J325" s="606" t="s">
        <v>1153</v>
      </c>
    </row>
    <row r="326" spans="2:10" ht="21" customHeight="1">
      <c r="B326" s="605" t="s">
        <v>1770</v>
      </c>
      <c r="C326" s="606" t="s">
        <v>239</v>
      </c>
      <c r="D326" s="605" t="s">
        <v>689</v>
      </c>
      <c r="E326" s="606" t="s">
        <v>1771</v>
      </c>
      <c r="F326" s="606" t="s">
        <v>1771</v>
      </c>
      <c r="G326" s="606" t="s">
        <v>1151</v>
      </c>
      <c r="H326" s="606" t="s">
        <v>1152</v>
      </c>
      <c r="I326" s="606" t="s">
        <v>1087</v>
      </c>
      <c r="J326" s="606" t="s">
        <v>1153</v>
      </c>
    </row>
    <row r="327" spans="2:10" ht="21" customHeight="1">
      <c r="B327" s="605" t="s">
        <v>1772</v>
      </c>
      <c r="C327" s="606" t="s">
        <v>239</v>
      </c>
      <c r="D327" s="605" t="s">
        <v>689</v>
      </c>
      <c r="E327" s="606" t="s">
        <v>1773</v>
      </c>
      <c r="F327" s="606" t="s">
        <v>1773</v>
      </c>
      <c r="G327" s="606" t="s">
        <v>1554</v>
      </c>
      <c r="H327" s="606" t="s">
        <v>1555</v>
      </c>
      <c r="I327" s="606" t="s">
        <v>1556</v>
      </c>
      <c r="J327" s="606" t="s">
        <v>1557</v>
      </c>
    </row>
    <row r="328" spans="2:10" ht="21" customHeight="1">
      <c r="B328" s="605" t="s">
        <v>1774</v>
      </c>
      <c r="C328" s="606" t="s">
        <v>239</v>
      </c>
      <c r="D328" s="605" t="s">
        <v>689</v>
      </c>
      <c r="E328" s="606" t="s">
        <v>1775</v>
      </c>
      <c r="F328" s="606" t="s">
        <v>1775</v>
      </c>
      <c r="G328" s="606" t="s">
        <v>1554</v>
      </c>
      <c r="H328" s="606" t="s">
        <v>1555</v>
      </c>
      <c r="I328" s="606" t="s">
        <v>1556</v>
      </c>
      <c r="J328" s="606" t="s">
        <v>1557</v>
      </c>
    </row>
    <row r="329" spans="2:10" ht="21" customHeight="1">
      <c r="B329" s="605" t="s">
        <v>1776</v>
      </c>
      <c r="C329" s="606" t="s">
        <v>239</v>
      </c>
      <c r="D329" s="605" t="s">
        <v>689</v>
      </c>
      <c r="E329" s="606" t="s">
        <v>1777</v>
      </c>
      <c r="F329" s="606" t="s">
        <v>1777</v>
      </c>
      <c r="G329" s="606" t="s">
        <v>1554</v>
      </c>
      <c r="H329" s="606" t="s">
        <v>1555</v>
      </c>
      <c r="I329" s="606" t="s">
        <v>1556</v>
      </c>
      <c r="J329" s="606" t="s">
        <v>1557</v>
      </c>
    </row>
    <row r="330" spans="2:10" ht="21" customHeight="1">
      <c r="B330" s="605" t="s">
        <v>1778</v>
      </c>
      <c r="C330" s="606" t="s">
        <v>239</v>
      </c>
      <c r="D330" s="605" t="s">
        <v>689</v>
      </c>
      <c r="E330" s="606" t="s">
        <v>1779</v>
      </c>
      <c r="F330" s="606" t="s">
        <v>871</v>
      </c>
      <c r="G330" s="606" t="s">
        <v>1554</v>
      </c>
      <c r="H330" s="606" t="s">
        <v>1561</v>
      </c>
      <c r="I330" s="606" t="s">
        <v>1087</v>
      </c>
      <c r="J330" s="606" t="s">
        <v>1088</v>
      </c>
    </row>
    <row r="331" spans="2:10" ht="21" customHeight="1">
      <c r="B331" s="605" t="s">
        <v>1780</v>
      </c>
      <c r="C331" s="606" t="s">
        <v>239</v>
      </c>
      <c r="D331" s="605" t="s">
        <v>689</v>
      </c>
      <c r="E331" s="606" t="s">
        <v>1781</v>
      </c>
      <c r="F331" s="606" t="s">
        <v>1781</v>
      </c>
      <c r="G331" s="606" t="s">
        <v>1554</v>
      </c>
      <c r="H331" s="606" t="s">
        <v>1555</v>
      </c>
      <c r="I331" s="606" t="s">
        <v>1556</v>
      </c>
      <c r="J331" s="606" t="s">
        <v>1557</v>
      </c>
    </row>
    <row r="332" spans="2:10" ht="21" customHeight="1">
      <c r="B332" s="605" t="s">
        <v>1782</v>
      </c>
      <c r="C332" s="606" t="s">
        <v>239</v>
      </c>
      <c r="D332" s="605" t="s">
        <v>689</v>
      </c>
      <c r="E332" s="606" t="s">
        <v>1783</v>
      </c>
      <c r="F332" s="606" t="s">
        <v>1783</v>
      </c>
      <c r="G332" s="606" t="s">
        <v>1554</v>
      </c>
      <c r="H332" s="606" t="s">
        <v>1555</v>
      </c>
      <c r="I332" s="606" t="s">
        <v>1556</v>
      </c>
      <c r="J332" s="606" t="s">
        <v>1557</v>
      </c>
    </row>
    <row r="333" spans="2:10" ht="21" customHeight="1">
      <c r="B333" s="605" t="s">
        <v>1784</v>
      </c>
      <c r="C333" s="606" t="s">
        <v>239</v>
      </c>
      <c r="D333" s="605" t="s">
        <v>689</v>
      </c>
      <c r="E333" s="606" t="s">
        <v>872</v>
      </c>
      <c r="F333" s="606" t="s">
        <v>872</v>
      </c>
      <c r="G333" s="606" t="s">
        <v>1554</v>
      </c>
      <c r="H333" s="606" t="s">
        <v>1561</v>
      </c>
      <c r="I333" s="606" t="s">
        <v>1087</v>
      </c>
      <c r="J333" s="606" t="s">
        <v>1088</v>
      </c>
    </row>
    <row r="334" spans="2:10" ht="21" customHeight="1">
      <c r="B334" s="605" t="s">
        <v>1785</v>
      </c>
      <c r="C334" s="606" t="s">
        <v>239</v>
      </c>
      <c r="D334" s="605" t="s">
        <v>689</v>
      </c>
      <c r="E334" s="606" t="s">
        <v>292</v>
      </c>
      <c r="F334" s="606" t="s">
        <v>292</v>
      </c>
      <c r="G334" s="606" t="s">
        <v>1151</v>
      </c>
      <c r="H334" s="606" t="s">
        <v>1152</v>
      </c>
      <c r="I334" s="606" t="s">
        <v>1087</v>
      </c>
      <c r="J334" s="606" t="s">
        <v>1153</v>
      </c>
    </row>
    <row r="335" spans="2:10" ht="21" customHeight="1">
      <c r="B335" s="605" t="s">
        <v>1786</v>
      </c>
      <c r="C335" s="606" t="s">
        <v>239</v>
      </c>
      <c r="D335" s="605" t="s">
        <v>689</v>
      </c>
      <c r="E335" s="606" t="s">
        <v>1787</v>
      </c>
      <c r="F335" s="606" t="s">
        <v>1787</v>
      </c>
      <c r="G335" s="606" t="s">
        <v>1151</v>
      </c>
      <c r="H335" s="606" t="s">
        <v>1152</v>
      </c>
      <c r="I335" s="606" t="s">
        <v>1087</v>
      </c>
      <c r="J335" s="606" t="s">
        <v>1153</v>
      </c>
    </row>
    <row r="336" spans="2:10" ht="21" customHeight="1">
      <c r="B336" s="605" t="s">
        <v>1788</v>
      </c>
      <c r="C336" s="606" t="s">
        <v>239</v>
      </c>
      <c r="D336" s="605" t="s">
        <v>689</v>
      </c>
      <c r="E336" s="606" t="s">
        <v>1789</v>
      </c>
      <c r="F336" s="606" t="s">
        <v>1790</v>
      </c>
      <c r="G336" s="606" t="s">
        <v>1554</v>
      </c>
      <c r="H336" s="606" t="s">
        <v>1561</v>
      </c>
      <c r="I336" s="606" t="s">
        <v>1087</v>
      </c>
      <c r="J336" s="606" t="s">
        <v>1088</v>
      </c>
    </row>
    <row r="337" spans="2:10" ht="21" customHeight="1">
      <c r="B337" s="605" t="s">
        <v>1791</v>
      </c>
      <c r="C337" s="606" t="s">
        <v>239</v>
      </c>
      <c r="D337" s="605" t="s">
        <v>689</v>
      </c>
      <c r="E337" s="606" t="s">
        <v>873</v>
      </c>
      <c r="F337" s="606" t="s">
        <v>873</v>
      </c>
      <c r="G337" s="606" t="s">
        <v>1554</v>
      </c>
      <c r="H337" s="606" t="s">
        <v>1561</v>
      </c>
      <c r="I337" s="606" t="s">
        <v>1087</v>
      </c>
      <c r="J337" s="606" t="s">
        <v>1088</v>
      </c>
    </row>
    <row r="338" spans="2:10" ht="21" customHeight="1">
      <c r="B338" s="605" t="s">
        <v>1792</v>
      </c>
      <c r="C338" s="606" t="s">
        <v>239</v>
      </c>
      <c r="D338" s="605" t="s">
        <v>689</v>
      </c>
      <c r="E338" s="606" t="s">
        <v>874</v>
      </c>
      <c r="F338" s="606" t="s">
        <v>874</v>
      </c>
      <c r="G338" s="606" t="s">
        <v>1554</v>
      </c>
      <c r="H338" s="606" t="s">
        <v>1561</v>
      </c>
      <c r="I338" s="606" t="s">
        <v>1087</v>
      </c>
      <c r="J338" s="606" t="s">
        <v>1088</v>
      </c>
    </row>
    <row r="339" spans="2:10" ht="21" customHeight="1">
      <c r="B339" s="605" t="s">
        <v>1793</v>
      </c>
      <c r="C339" s="606" t="s">
        <v>239</v>
      </c>
      <c r="D339" s="605" t="s">
        <v>689</v>
      </c>
      <c r="E339" s="606" t="s">
        <v>293</v>
      </c>
      <c r="F339" s="606" t="s">
        <v>293</v>
      </c>
      <c r="G339" s="606" t="s">
        <v>1151</v>
      </c>
      <c r="H339" s="606" t="s">
        <v>1152</v>
      </c>
      <c r="I339" s="606" t="s">
        <v>1087</v>
      </c>
      <c r="J339" s="606" t="s">
        <v>1153</v>
      </c>
    </row>
    <row r="340" spans="2:10" ht="21" customHeight="1">
      <c r="B340" s="605" t="s">
        <v>1794</v>
      </c>
      <c r="C340" s="606" t="s">
        <v>239</v>
      </c>
      <c r="D340" s="605" t="s">
        <v>689</v>
      </c>
      <c r="E340" s="606" t="s">
        <v>1795</v>
      </c>
      <c r="F340" s="606" t="s">
        <v>1795</v>
      </c>
      <c r="G340" s="606" t="s">
        <v>1554</v>
      </c>
      <c r="H340" s="606" t="s">
        <v>1561</v>
      </c>
      <c r="I340" s="606" t="s">
        <v>1087</v>
      </c>
      <c r="J340" s="606" t="s">
        <v>1088</v>
      </c>
    </row>
    <row r="341" spans="2:10" ht="21" customHeight="1">
      <c r="B341" s="605" t="s">
        <v>1796</v>
      </c>
      <c r="C341" s="606" t="s">
        <v>239</v>
      </c>
      <c r="D341" s="605" t="s">
        <v>689</v>
      </c>
      <c r="E341" s="606" t="s">
        <v>1797</v>
      </c>
      <c r="F341" s="606" t="s">
        <v>1797</v>
      </c>
      <c r="G341" s="606" t="s">
        <v>1151</v>
      </c>
      <c r="H341" s="606" t="s">
        <v>1152</v>
      </c>
      <c r="I341" s="606" t="s">
        <v>1087</v>
      </c>
      <c r="J341" s="606" t="s">
        <v>1153</v>
      </c>
    </row>
    <row r="342" spans="2:10" ht="21" customHeight="1">
      <c r="B342" s="605" t="s">
        <v>1798</v>
      </c>
      <c r="C342" s="606" t="s">
        <v>239</v>
      </c>
      <c r="D342" s="605" t="s">
        <v>689</v>
      </c>
      <c r="E342" s="606" t="s">
        <v>1799</v>
      </c>
      <c r="F342" s="606" t="s">
        <v>1799</v>
      </c>
      <c r="G342" s="606" t="s">
        <v>1554</v>
      </c>
      <c r="H342" s="606" t="s">
        <v>1555</v>
      </c>
      <c r="I342" s="606" t="s">
        <v>1556</v>
      </c>
      <c r="J342" s="606" t="s">
        <v>1557</v>
      </c>
    </row>
    <row r="343" spans="2:10" ht="21" customHeight="1">
      <c r="B343" s="605" t="s">
        <v>1800</v>
      </c>
      <c r="C343" s="606" t="s">
        <v>239</v>
      </c>
      <c r="D343" s="605" t="s">
        <v>689</v>
      </c>
      <c r="E343" s="606" t="s">
        <v>875</v>
      </c>
      <c r="F343" s="606" t="s">
        <v>875</v>
      </c>
      <c r="G343" s="606" t="s">
        <v>1554</v>
      </c>
      <c r="H343" s="606" t="s">
        <v>1561</v>
      </c>
      <c r="I343" s="606" t="s">
        <v>1087</v>
      </c>
      <c r="J343" s="606" t="s">
        <v>1088</v>
      </c>
    </row>
    <row r="344" spans="2:10" ht="21" customHeight="1">
      <c r="B344" s="605" t="s">
        <v>1801</v>
      </c>
      <c r="C344" s="606" t="s">
        <v>239</v>
      </c>
      <c r="D344" s="605" t="s">
        <v>689</v>
      </c>
      <c r="E344" s="606" t="s">
        <v>1802</v>
      </c>
      <c r="F344" s="606" t="s">
        <v>1802</v>
      </c>
      <c r="G344" s="606" t="s">
        <v>1554</v>
      </c>
      <c r="H344" s="606" t="s">
        <v>1555</v>
      </c>
      <c r="I344" s="606" t="s">
        <v>1556</v>
      </c>
      <c r="J344" s="606" t="s">
        <v>1557</v>
      </c>
    </row>
    <row r="345" spans="2:10" ht="21" customHeight="1">
      <c r="B345" s="605" t="s">
        <v>1803</v>
      </c>
      <c r="C345" s="606" t="s">
        <v>239</v>
      </c>
      <c r="D345" s="605" t="s">
        <v>689</v>
      </c>
      <c r="E345" s="606" t="s">
        <v>1804</v>
      </c>
      <c r="F345" s="606" t="s">
        <v>1804</v>
      </c>
      <c r="G345" s="606" t="s">
        <v>1554</v>
      </c>
      <c r="H345" s="606" t="s">
        <v>1561</v>
      </c>
      <c r="I345" s="606" t="s">
        <v>1087</v>
      </c>
      <c r="J345" s="606" t="s">
        <v>1088</v>
      </c>
    </row>
    <row r="346" spans="2:10" ht="21" customHeight="1">
      <c r="B346" s="605" t="s">
        <v>1805</v>
      </c>
      <c r="C346" s="606" t="s">
        <v>345</v>
      </c>
      <c r="D346" s="605" t="s">
        <v>689</v>
      </c>
      <c r="E346" s="606" t="s">
        <v>1806</v>
      </c>
      <c r="F346" s="606" t="s">
        <v>1012</v>
      </c>
      <c r="G346" s="606" t="s">
        <v>1085</v>
      </c>
      <c r="H346" s="606" t="s">
        <v>1807</v>
      </c>
      <c r="I346" s="606" t="s">
        <v>1087</v>
      </c>
      <c r="J346" s="606" t="s">
        <v>1088</v>
      </c>
    </row>
    <row r="347" spans="2:10" ht="21" customHeight="1">
      <c r="B347" s="605" t="s">
        <v>1808</v>
      </c>
      <c r="C347" s="606" t="s">
        <v>345</v>
      </c>
      <c r="D347" s="605" t="s">
        <v>689</v>
      </c>
      <c r="E347" s="606" t="s">
        <v>120</v>
      </c>
      <c r="F347" s="606" t="s">
        <v>120</v>
      </c>
      <c r="G347" s="606" t="s">
        <v>1085</v>
      </c>
      <c r="H347" s="606" t="s">
        <v>1807</v>
      </c>
      <c r="I347" s="606" t="s">
        <v>1087</v>
      </c>
      <c r="J347" s="606" t="s">
        <v>1088</v>
      </c>
    </row>
    <row r="348" spans="2:10" ht="21" customHeight="1">
      <c r="B348" s="605" t="s">
        <v>1809</v>
      </c>
      <c r="C348" s="606" t="s">
        <v>345</v>
      </c>
      <c r="D348" s="605" t="s">
        <v>689</v>
      </c>
      <c r="E348" s="606" t="s">
        <v>1810</v>
      </c>
      <c r="F348" s="606" t="s">
        <v>937</v>
      </c>
      <c r="G348" s="606" t="s">
        <v>1085</v>
      </c>
      <c r="H348" s="606" t="s">
        <v>1807</v>
      </c>
      <c r="I348" s="606" t="s">
        <v>1087</v>
      </c>
      <c r="J348" s="606" t="s">
        <v>1088</v>
      </c>
    </row>
    <row r="349" spans="2:10" ht="21" customHeight="1">
      <c r="B349" s="605" t="s">
        <v>1811</v>
      </c>
      <c r="C349" s="606" t="s">
        <v>345</v>
      </c>
      <c r="D349" s="605" t="s">
        <v>689</v>
      </c>
      <c r="E349" s="606" t="s">
        <v>1812</v>
      </c>
      <c r="F349" s="606" t="s">
        <v>1813</v>
      </c>
      <c r="G349" s="606" t="s">
        <v>1085</v>
      </c>
      <c r="H349" s="606" t="s">
        <v>1807</v>
      </c>
      <c r="I349" s="606" t="s">
        <v>1087</v>
      </c>
      <c r="J349" s="606" t="s">
        <v>1088</v>
      </c>
    </row>
    <row r="350" spans="2:10" ht="21" customHeight="1">
      <c r="B350" s="605" t="s">
        <v>1814</v>
      </c>
      <c r="C350" s="606" t="s">
        <v>345</v>
      </c>
      <c r="D350" s="605" t="s">
        <v>689</v>
      </c>
      <c r="E350" s="606" t="s">
        <v>1815</v>
      </c>
      <c r="F350" s="606" t="s">
        <v>44</v>
      </c>
      <c r="G350" s="606" t="s">
        <v>1085</v>
      </c>
      <c r="H350" s="606" t="s">
        <v>1807</v>
      </c>
      <c r="I350" s="606" t="s">
        <v>1087</v>
      </c>
      <c r="J350" s="606" t="s">
        <v>1088</v>
      </c>
    </row>
    <row r="351" spans="2:10" ht="21" customHeight="1">
      <c r="B351" s="605" t="s">
        <v>1816</v>
      </c>
      <c r="C351" s="606" t="s">
        <v>345</v>
      </c>
      <c r="D351" s="605" t="s">
        <v>689</v>
      </c>
      <c r="E351" s="606" t="s">
        <v>1817</v>
      </c>
      <c r="F351" s="606" t="s">
        <v>56</v>
      </c>
      <c r="G351" s="606" t="s">
        <v>1085</v>
      </c>
      <c r="H351" s="606" t="s">
        <v>1807</v>
      </c>
      <c r="I351" s="606" t="s">
        <v>1087</v>
      </c>
      <c r="J351" s="606" t="s">
        <v>1088</v>
      </c>
    </row>
    <row r="352" spans="2:10" ht="21" customHeight="1">
      <c r="B352" s="605" t="s">
        <v>1818</v>
      </c>
      <c r="C352" s="606" t="s">
        <v>345</v>
      </c>
      <c r="D352" s="605" t="s">
        <v>689</v>
      </c>
      <c r="E352" s="606" t="s">
        <v>885</v>
      </c>
      <c r="F352" s="606" t="s">
        <v>885</v>
      </c>
      <c r="G352" s="606" t="s">
        <v>1085</v>
      </c>
      <c r="H352" s="606" t="s">
        <v>1807</v>
      </c>
      <c r="I352" s="606" t="s">
        <v>1087</v>
      </c>
      <c r="J352" s="606" t="s">
        <v>1088</v>
      </c>
    </row>
    <row r="353" spans="2:10" ht="21" customHeight="1">
      <c r="B353" s="605" t="s">
        <v>1819</v>
      </c>
      <c r="C353" s="606" t="s">
        <v>345</v>
      </c>
      <c r="D353" s="605" t="s">
        <v>689</v>
      </c>
      <c r="E353" s="606" t="s">
        <v>886</v>
      </c>
      <c r="F353" s="606" t="s">
        <v>886</v>
      </c>
      <c r="G353" s="606" t="s">
        <v>1085</v>
      </c>
      <c r="H353" s="606" t="s">
        <v>1807</v>
      </c>
      <c r="I353" s="606" t="s">
        <v>1087</v>
      </c>
      <c r="J353" s="606" t="s">
        <v>1088</v>
      </c>
    </row>
    <row r="354" spans="2:10" ht="21" customHeight="1">
      <c r="B354" s="605" t="s">
        <v>1820</v>
      </c>
      <c r="C354" s="606" t="s">
        <v>345</v>
      </c>
      <c r="D354" s="605" t="s">
        <v>689</v>
      </c>
      <c r="E354" s="606" t="s">
        <v>1821</v>
      </c>
      <c r="F354" s="606" t="s">
        <v>1821</v>
      </c>
      <c r="G354" s="606" t="s">
        <v>1085</v>
      </c>
      <c r="H354" s="606" t="s">
        <v>1807</v>
      </c>
      <c r="I354" s="606" t="s">
        <v>1087</v>
      </c>
      <c r="J354" s="606" t="s">
        <v>1088</v>
      </c>
    </row>
    <row r="355" spans="2:10" ht="21" customHeight="1">
      <c r="B355" s="605" t="s">
        <v>1822</v>
      </c>
      <c r="C355" s="606" t="s">
        <v>345</v>
      </c>
      <c r="D355" s="605" t="s">
        <v>689</v>
      </c>
      <c r="E355" s="606" t="s">
        <v>1823</v>
      </c>
      <c r="F355" s="606" t="s">
        <v>952</v>
      </c>
      <c r="G355" s="606" t="s">
        <v>1085</v>
      </c>
      <c r="H355" s="606" t="s">
        <v>1807</v>
      </c>
      <c r="I355" s="606" t="s">
        <v>1087</v>
      </c>
      <c r="J355" s="606" t="s">
        <v>1088</v>
      </c>
    </row>
    <row r="356" spans="2:10" ht="21" customHeight="1">
      <c r="B356" s="605" t="s">
        <v>1824</v>
      </c>
      <c r="C356" s="606" t="s">
        <v>345</v>
      </c>
      <c r="D356" s="605" t="s">
        <v>689</v>
      </c>
      <c r="E356" s="606" t="s">
        <v>1825</v>
      </c>
      <c r="F356" s="606" t="s">
        <v>953</v>
      </c>
      <c r="G356" s="606" t="s">
        <v>1085</v>
      </c>
      <c r="H356" s="606" t="s">
        <v>1807</v>
      </c>
      <c r="I356" s="606" t="s">
        <v>1087</v>
      </c>
      <c r="J356" s="606" t="s">
        <v>1088</v>
      </c>
    </row>
    <row r="357" spans="2:10" ht="21" customHeight="1">
      <c r="B357" s="605" t="s">
        <v>1826</v>
      </c>
      <c r="C357" s="606" t="s">
        <v>345</v>
      </c>
      <c r="D357" s="605" t="s">
        <v>689</v>
      </c>
      <c r="E357" s="606" t="s">
        <v>1827</v>
      </c>
      <c r="F357" s="606" t="s">
        <v>954</v>
      </c>
      <c r="G357" s="606" t="s">
        <v>1085</v>
      </c>
      <c r="H357" s="606" t="s">
        <v>1807</v>
      </c>
      <c r="I357" s="606" t="s">
        <v>1087</v>
      </c>
      <c r="J357" s="606" t="s">
        <v>1088</v>
      </c>
    </row>
    <row r="358" spans="2:10" ht="21" customHeight="1">
      <c r="B358" s="605" t="s">
        <v>1828</v>
      </c>
      <c r="C358" s="606" t="s">
        <v>345</v>
      </c>
      <c r="D358" s="605" t="s">
        <v>689</v>
      </c>
      <c r="E358" s="606" t="s">
        <v>1829</v>
      </c>
      <c r="F358" s="606" t="s">
        <v>1830</v>
      </c>
      <c r="G358" s="606" t="s">
        <v>1085</v>
      </c>
      <c r="H358" s="606" t="s">
        <v>1807</v>
      </c>
      <c r="I358" s="606" t="s">
        <v>1087</v>
      </c>
      <c r="J358" s="606" t="s">
        <v>1088</v>
      </c>
    </row>
    <row r="359" spans="2:10" ht="21" customHeight="1">
      <c r="B359" s="605" t="s">
        <v>1831</v>
      </c>
      <c r="C359" s="606" t="s">
        <v>345</v>
      </c>
      <c r="D359" s="605" t="s">
        <v>689</v>
      </c>
      <c r="E359" s="606" t="s">
        <v>1832</v>
      </c>
      <c r="F359" s="606" t="s">
        <v>957</v>
      </c>
      <c r="G359" s="606" t="s">
        <v>1085</v>
      </c>
      <c r="H359" s="606" t="s">
        <v>1807</v>
      </c>
      <c r="I359" s="606" t="s">
        <v>1087</v>
      </c>
      <c r="J359" s="606" t="s">
        <v>1088</v>
      </c>
    </row>
    <row r="360" spans="2:10" ht="21" customHeight="1">
      <c r="B360" s="605" t="s">
        <v>1833</v>
      </c>
      <c r="C360" s="606" t="s">
        <v>345</v>
      </c>
      <c r="D360" s="605" t="s">
        <v>689</v>
      </c>
      <c r="E360" s="606" t="s">
        <v>1834</v>
      </c>
      <c r="F360" s="606" t="s">
        <v>1835</v>
      </c>
      <c r="G360" s="606" t="s">
        <v>1085</v>
      </c>
      <c r="H360" s="606" t="s">
        <v>1807</v>
      </c>
      <c r="I360" s="606" t="s">
        <v>1087</v>
      </c>
      <c r="J360" s="606" t="s">
        <v>1088</v>
      </c>
    </row>
    <row r="361" spans="2:10" ht="21" customHeight="1">
      <c r="B361" s="605" t="s">
        <v>1836</v>
      </c>
      <c r="C361" s="606" t="s">
        <v>345</v>
      </c>
      <c r="D361" s="605" t="s">
        <v>689</v>
      </c>
      <c r="E361" s="606" t="s">
        <v>1837</v>
      </c>
      <c r="F361" s="606" t="s">
        <v>1838</v>
      </c>
      <c r="G361" s="606" t="s">
        <v>1085</v>
      </c>
      <c r="H361" s="606" t="s">
        <v>1807</v>
      </c>
      <c r="I361" s="606" t="s">
        <v>1087</v>
      </c>
      <c r="J361" s="606" t="s">
        <v>1088</v>
      </c>
    </row>
    <row r="362" spans="2:10" ht="21" customHeight="1">
      <c r="B362" s="605" t="s">
        <v>1839</v>
      </c>
      <c r="C362" s="606" t="s">
        <v>345</v>
      </c>
      <c r="D362" s="605" t="s">
        <v>689</v>
      </c>
      <c r="E362" s="606" t="s">
        <v>347</v>
      </c>
      <c r="F362" s="606" t="s">
        <v>347</v>
      </c>
      <c r="G362" s="606" t="s">
        <v>1151</v>
      </c>
      <c r="H362" s="606" t="s">
        <v>1152</v>
      </c>
      <c r="I362" s="606" t="s">
        <v>1087</v>
      </c>
      <c r="J362" s="606" t="s">
        <v>1153</v>
      </c>
    </row>
    <row r="363" spans="2:10" ht="21" customHeight="1">
      <c r="B363" s="605" t="s">
        <v>1840</v>
      </c>
      <c r="C363" s="606" t="s">
        <v>345</v>
      </c>
      <c r="D363" s="605" t="s">
        <v>689</v>
      </c>
      <c r="E363" s="606" t="s">
        <v>348</v>
      </c>
      <c r="F363" s="606" t="s">
        <v>348</v>
      </c>
      <c r="G363" s="606" t="s">
        <v>1151</v>
      </c>
      <c r="H363" s="606" t="s">
        <v>1152</v>
      </c>
      <c r="I363" s="606" t="s">
        <v>1087</v>
      </c>
      <c r="J363" s="606" t="s">
        <v>1153</v>
      </c>
    </row>
    <row r="364" spans="2:10" ht="21" customHeight="1">
      <c r="B364" s="605" t="s">
        <v>1841</v>
      </c>
      <c r="C364" s="606" t="s">
        <v>345</v>
      </c>
      <c r="D364" s="605" t="s">
        <v>689</v>
      </c>
      <c r="E364" s="606" t="s">
        <v>1842</v>
      </c>
      <c r="F364" s="606" t="s">
        <v>1842</v>
      </c>
      <c r="G364" s="606" t="s">
        <v>1151</v>
      </c>
      <c r="H364" s="606" t="s">
        <v>1152</v>
      </c>
      <c r="I364" s="606" t="s">
        <v>1087</v>
      </c>
      <c r="J364" s="606" t="s">
        <v>1153</v>
      </c>
    </row>
    <row r="365" spans="2:10" ht="21" customHeight="1">
      <c r="B365" s="605" t="s">
        <v>1843</v>
      </c>
      <c r="C365" s="606" t="s">
        <v>345</v>
      </c>
      <c r="D365" s="605" t="s">
        <v>689</v>
      </c>
      <c r="E365" s="606" t="s">
        <v>349</v>
      </c>
      <c r="F365" s="606" t="s">
        <v>349</v>
      </c>
      <c r="G365" s="606" t="s">
        <v>1151</v>
      </c>
      <c r="H365" s="606" t="s">
        <v>1152</v>
      </c>
      <c r="I365" s="606" t="s">
        <v>1087</v>
      </c>
      <c r="J365" s="606" t="s">
        <v>1153</v>
      </c>
    </row>
    <row r="366" spans="2:10" ht="21" customHeight="1">
      <c r="B366" s="605" t="s">
        <v>1844</v>
      </c>
      <c r="C366" s="606" t="s">
        <v>345</v>
      </c>
      <c r="D366" s="605" t="s">
        <v>689</v>
      </c>
      <c r="E366" s="606" t="s">
        <v>1845</v>
      </c>
      <c r="F366" s="606" t="s">
        <v>1845</v>
      </c>
      <c r="G366" s="606" t="s">
        <v>1151</v>
      </c>
      <c r="H366" s="606" t="s">
        <v>1152</v>
      </c>
      <c r="I366" s="606" t="s">
        <v>1087</v>
      </c>
      <c r="J366" s="606" t="s">
        <v>1153</v>
      </c>
    </row>
    <row r="367" spans="2:10" ht="21" customHeight="1">
      <c r="B367" s="605" t="s">
        <v>1846</v>
      </c>
      <c r="C367" s="606" t="s">
        <v>345</v>
      </c>
      <c r="D367" s="605" t="s">
        <v>689</v>
      </c>
      <c r="E367" s="606" t="s">
        <v>350</v>
      </c>
      <c r="F367" s="606" t="s">
        <v>350</v>
      </c>
      <c r="G367" s="606" t="s">
        <v>1151</v>
      </c>
      <c r="H367" s="606" t="s">
        <v>1152</v>
      </c>
      <c r="I367" s="606" t="s">
        <v>1087</v>
      </c>
      <c r="J367" s="606" t="s">
        <v>1153</v>
      </c>
    </row>
    <row r="368" spans="2:10" ht="21" customHeight="1">
      <c r="B368" s="605" t="s">
        <v>1847</v>
      </c>
      <c r="C368" s="606" t="s">
        <v>345</v>
      </c>
      <c r="D368" s="605" t="s">
        <v>689</v>
      </c>
      <c r="E368" s="606" t="s">
        <v>963</v>
      </c>
      <c r="F368" s="606" t="s">
        <v>963</v>
      </c>
      <c r="G368" s="606" t="s">
        <v>1085</v>
      </c>
      <c r="H368" s="606" t="s">
        <v>1807</v>
      </c>
      <c r="I368" s="606" t="s">
        <v>1087</v>
      </c>
      <c r="J368" s="606" t="s">
        <v>1088</v>
      </c>
    </row>
    <row r="369" spans="2:10" ht="21" customHeight="1">
      <c r="B369" s="605" t="s">
        <v>1848</v>
      </c>
      <c r="C369" s="606" t="s">
        <v>345</v>
      </c>
      <c r="D369" s="605" t="s">
        <v>689</v>
      </c>
      <c r="E369" s="606" t="s">
        <v>1258</v>
      </c>
      <c r="F369" s="606" t="s">
        <v>906</v>
      </c>
      <c r="G369" s="606" t="s">
        <v>1085</v>
      </c>
      <c r="H369" s="606" t="s">
        <v>1807</v>
      </c>
      <c r="I369" s="606" t="s">
        <v>1087</v>
      </c>
      <c r="J369" s="606" t="s">
        <v>1088</v>
      </c>
    </row>
    <row r="370" spans="2:10" ht="21" customHeight="1">
      <c r="B370" s="605" t="s">
        <v>1849</v>
      </c>
      <c r="C370" s="606" t="s">
        <v>345</v>
      </c>
      <c r="D370" s="605" t="s">
        <v>689</v>
      </c>
      <c r="E370" s="606" t="s">
        <v>972</v>
      </c>
      <c r="F370" s="606" t="s">
        <v>972</v>
      </c>
      <c r="G370" s="606" t="s">
        <v>1085</v>
      </c>
      <c r="H370" s="606" t="s">
        <v>1807</v>
      </c>
      <c r="I370" s="606" t="s">
        <v>1087</v>
      </c>
      <c r="J370" s="606" t="s">
        <v>1088</v>
      </c>
    </row>
    <row r="371" spans="2:10" ht="21" customHeight="1">
      <c r="B371" s="605" t="s">
        <v>1850</v>
      </c>
      <c r="C371" s="606" t="s">
        <v>345</v>
      </c>
      <c r="D371" s="605" t="s">
        <v>689</v>
      </c>
      <c r="E371" s="606" t="s">
        <v>1851</v>
      </c>
      <c r="F371" s="606" t="s">
        <v>973</v>
      </c>
      <c r="G371" s="606" t="s">
        <v>1085</v>
      </c>
      <c r="H371" s="606" t="s">
        <v>1807</v>
      </c>
      <c r="I371" s="606" t="s">
        <v>1087</v>
      </c>
      <c r="J371" s="606" t="s">
        <v>1088</v>
      </c>
    </row>
    <row r="372" spans="2:10" ht="21" customHeight="1">
      <c r="B372" s="605" t="s">
        <v>1852</v>
      </c>
      <c r="C372" s="606" t="s">
        <v>345</v>
      </c>
      <c r="D372" s="605" t="s">
        <v>689</v>
      </c>
      <c r="E372" s="606" t="s">
        <v>1853</v>
      </c>
      <c r="F372" s="606" t="s">
        <v>68</v>
      </c>
      <c r="G372" s="606" t="s">
        <v>1085</v>
      </c>
      <c r="H372" s="606" t="s">
        <v>1807</v>
      </c>
      <c r="I372" s="606" t="s">
        <v>1087</v>
      </c>
      <c r="J372" s="606" t="s">
        <v>1088</v>
      </c>
    </row>
    <row r="373" spans="2:10" ht="21" customHeight="1">
      <c r="B373" s="605" t="s">
        <v>1854</v>
      </c>
      <c r="C373" s="606" t="s">
        <v>345</v>
      </c>
      <c r="D373" s="605" t="s">
        <v>689</v>
      </c>
      <c r="E373" s="606" t="s">
        <v>1855</v>
      </c>
      <c r="F373" s="606" t="s">
        <v>82</v>
      </c>
      <c r="G373" s="606" t="s">
        <v>1085</v>
      </c>
      <c r="H373" s="606" t="s">
        <v>1807</v>
      </c>
      <c r="I373" s="606" t="s">
        <v>1087</v>
      </c>
      <c r="J373" s="606" t="s">
        <v>1088</v>
      </c>
    </row>
    <row r="374" spans="2:10" ht="21" customHeight="1">
      <c r="B374" s="605" t="s">
        <v>1856</v>
      </c>
      <c r="C374" s="606" t="s">
        <v>345</v>
      </c>
      <c r="D374" s="605" t="s">
        <v>689</v>
      </c>
      <c r="E374" s="606" t="s">
        <v>1857</v>
      </c>
      <c r="F374" s="606" t="s">
        <v>1858</v>
      </c>
      <c r="G374" s="606" t="s">
        <v>1085</v>
      </c>
      <c r="H374" s="606" t="s">
        <v>1807</v>
      </c>
      <c r="I374" s="606" t="s">
        <v>1087</v>
      </c>
      <c r="J374" s="606" t="s">
        <v>1088</v>
      </c>
    </row>
    <row r="375" spans="2:10" ht="21" customHeight="1">
      <c r="B375" s="605" t="s">
        <v>1859</v>
      </c>
      <c r="C375" s="606" t="s">
        <v>345</v>
      </c>
      <c r="D375" s="605" t="s">
        <v>689</v>
      </c>
      <c r="E375" s="606" t="s">
        <v>1860</v>
      </c>
      <c r="F375" s="606" t="s">
        <v>1860</v>
      </c>
      <c r="G375" s="606" t="s">
        <v>1085</v>
      </c>
      <c r="H375" s="606" t="s">
        <v>1807</v>
      </c>
      <c r="I375" s="606" t="s">
        <v>1087</v>
      </c>
      <c r="J375" s="606" t="s">
        <v>1088</v>
      </c>
    </row>
    <row r="376" spans="2:10" ht="21" customHeight="1">
      <c r="B376" s="605" t="s">
        <v>1861</v>
      </c>
      <c r="C376" s="606" t="s">
        <v>345</v>
      </c>
      <c r="D376" s="605" t="s">
        <v>689</v>
      </c>
      <c r="E376" s="606" t="s">
        <v>1013</v>
      </c>
      <c r="F376" s="606" t="s">
        <v>1013</v>
      </c>
      <c r="G376" s="606" t="s">
        <v>1085</v>
      </c>
      <c r="H376" s="606" t="s">
        <v>1807</v>
      </c>
      <c r="I376" s="606" t="s">
        <v>1087</v>
      </c>
      <c r="J376" s="606" t="s">
        <v>1088</v>
      </c>
    </row>
    <row r="377" spans="2:10" ht="21" customHeight="1">
      <c r="B377" s="605" t="s">
        <v>1862</v>
      </c>
      <c r="C377" s="606" t="s">
        <v>345</v>
      </c>
      <c r="D377" s="605" t="s">
        <v>689</v>
      </c>
      <c r="E377" s="606" t="s">
        <v>351</v>
      </c>
      <c r="F377" s="606" t="s">
        <v>351</v>
      </c>
      <c r="G377" s="606" t="s">
        <v>1085</v>
      </c>
      <c r="H377" s="606" t="s">
        <v>1807</v>
      </c>
      <c r="I377" s="606" t="s">
        <v>1087</v>
      </c>
      <c r="J377" s="606" t="s">
        <v>1088</v>
      </c>
    </row>
    <row r="378" spans="2:10" ht="21" customHeight="1">
      <c r="B378" s="605" t="s">
        <v>1863</v>
      </c>
      <c r="C378" s="606" t="s">
        <v>345</v>
      </c>
      <c r="D378" s="605" t="s">
        <v>689</v>
      </c>
      <c r="E378" s="606" t="s">
        <v>352</v>
      </c>
      <c r="F378" s="606" t="s">
        <v>352</v>
      </c>
      <c r="G378" s="606" t="s">
        <v>1085</v>
      </c>
      <c r="H378" s="606" t="s">
        <v>1807</v>
      </c>
      <c r="I378" s="606" t="s">
        <v>1087</v>
      </c>
      <c r="J378" s="606" t="s">
        <v>1088</v>
      </c>
    </row>
    <row r="379" spans="2:10" ht="21" customHeight="1">
      <c r="B379" s="605" t="s">
        <v>1864</v>
      </c>
      <c r="C379" s="606" t="s">
        <v>345</v>
      </c>
      <c r="D379" s="605" t="s">
        <v>689</v>
      </c>
      <c r="E379" s="606" t="s">
        <v>1865</v>
      </c>
      <c r="F379" s="606" t="s">
        <v>1865</v>
      </c>
      <c r="G379" s="606" t="s">
        <v>1085</v>
      </c>
      <c r="H379" s="606" t="s">
        <v>1807</v>
      </c>
      <c r="I379" s="606" t="s">
        <v>1087</v>
      </c>
      <c r="J379" s="606" t="s">
        <v>1088</v>
      </c>
    </row>
    <row r="380" spans="2:10" ht="21" customHeight="1">
      <c r="B380" s="605" t="s">
        <v>1866</v>
      </c>
      <c r="C380" s="606" t="s">
        <v>345</v>
      </c>
      <c r="D380" s="605" t="s">
        <v>689</v>
      </c>
      <c r="E380" s="606" t="s">
        <v>1867</v>
      </c>
      <c r="F380" s="606" t="s">
        <v>18</v>
      </c>
      <c r="G380" s="606" t="s">
        <v>1085</v>
      </c>
      <c r="H380" s="606" t="s">
        <v>1807</v>
      </c>
      <c r="I380" s="606" t="s">
        <v>1087</v>
      </c>
      <c r="J380" s="606" t="s">
        <v>1088</v>
      </c>
    </row>
    <row r="381" spans="2:10" ht="21" customHeight="1">
      <c r="B381" s="605" t="s">
        <v>1868</v>
      </c>
      <c r="C381" s="606" t="s">
        <v>345</v>
      </c>
      <c r="D381" s="605" t="s">
        <v>689</v>
      </c>
      <c r="E381" s="606" t="s">
        <v>1869</v>
      </c>
      <c r="F381" s="606" t="s">
        <v>1870</v>
      </c>
      <c r="G381" s="606" t="s">
        <v>1085</v>
      </c>
      <c r="H381" s="606" t="s">
        <v>1807</v>
      </c>
      <c r="I381" s="606" t="s">
        <v>1087</v>
      </c>
      <c r="J381" s="606" t="s">
        <v>1088</v>
      </c>
    </row>
    <row r="382" spans="2:10" ht="21" customHeight="1">
      <c r="B382" s="605" t="s">
        <v>1871</v>
      </c>
      <c r="C382" s="606" t="s">
        <v>345</v>
      </c>
      <c r="D382" s="605" t="s">
        <v>689</v>
      </c>
      <c r="E382" s="606" t="s">
        <v>1872</v>
      </c>
      <c r="F382" s="606" t="s">
        <v>1873</v>
      </c>
      <c r="G382" s="606" t="s">
        <v>1085</v>
      </c>
      <c r="H382" s="606" t="s">
        <v>1807</v>
      </c>
      <c r="I382" s="606" t="s">
        <v>1087</v>
      </c>
      <c r="J382" s="606" t="s">
        <v>1088</v>
      </c>
    </row>
    <row r="383" spans="2:10" ht="21" customHeight="1">
      <c r="B383" s="605" t="s">
        <v>1874</v>
      </c>
      <c r="C383" s="606" t="s">
        <v>345</v>
      </c>
      <c r="D383" s="605" t="s">
        <v>689</v>
      </c>
      <c r="E383" s="606" t="s">
        <v>1875</v>
      </c>
      <c r="F383" s="606" t="s">
        <v>1876</v>
      </c>
      <c r="G383" s="606" t="s">
        <v>1085</v>
      </c>
      <c r="H383" s="606" t="s">
        <v>1807</v>
      </c>
      <c r="I383" s="606" t="s">
        <v>1087</v>
      </c>
      <c r="J383" s="606" t="s">
        <v>1088</v>
      </c>
    </row>
    <row r="384" spans="2:10" ht="21" customHeight="1">
      <c r="B384" s="605" t="s">
        <v>1877</v>
      </c>
      <c r="C384" s="606" t="s">
        <v>345</v>
      </c>
      <c r="D384" s="605" t="s">
        <v>689</v>
      </c>
      <c r="E384" s="606" t="s">
        <v>1878</v>
      </c>
      <c r="F384" s="606" t="s">
        <v>1879</v>
      </c>
      <c r="G384" s="606" t="s">
        <v>1085</v>
      </c>
      <c r="H384" s="606" t="s">
        <v>1807</v>
      </c>
      <c r="I384" s="606" t="s">
        <v>1087</v>
      </c>
      <c r="J384" s="606" t="s">
        <v>1088</v>
      </c>
    </row>
    <row r="385" spans="2:10" ht="21" customHeight="1">
      <c r="B385" s="605" t="s">
        <v>1880</v>
      </c>
      <c r="C385" s="606" t="s">
        <v>345</v>
      </c>
      <c r="D385" s="605" t="s">
        <v>689</v>
      </c>
      <c r="E385" s="606" t="s">
        <v>353</v>
      </c>
      <c r="F385" s="606" t="s">
        <v>0</v>
      </c>
      <c r="G385" s="606" t="s">
        <v>1085</v>
      </c>
      <c r="H385" s="606" t="s">
        <v>1807</v>
      </c>
      <c r="I385" s="606" t="s">
        <v>1087</v>
      </c>
      <c r="J385" s="606" t="s">
        <v>1088</v>
      </c>
    </row>
    <row r="386" spans="2:10" ht="21" customHeight="1">
      <c r="B386" s="605" t="s">
        <v>1881</v>
      </c>
      <c r="C386" s="606" t="s">
        <v>345</v>
      </c>
      <c r="D386" s="605" t="s">
        <v>689</v>
      </c>
      <c r="E386" s="606" t="s">
        <v>1882</v>
      </c>
      <c r="F386" s="606" t="s">
        <v>1070</v>
      </c>
      <c r="G386" s="606" t="s">
        <v>1085</v>
      </c>
      <c r="H386" s="606" t="s">
        <v>1807</v>
      </c>
      <c r="I386" s="606" t="s">
        <v>1087</v>
      </c>
      <c r="J386" s="606" t="s">
        <v>1088</v>
      </c>
    </row>
    <row r="387" spans="2:10" ht="21" customHeight="1">
      <c r="B387" s="605" t="s">
        <v>1883</v>
      </c>
      <c r="C387" s="606" t="s">
        <v>345</v>
      </c>
      <c r="D387" s="605" t="s">
        <v>689</v>
      </c>
      <c r="E387" s="606" t="s">
        <v>354</v>
      </c>
      <c r="F387" s="606" t="s">
        <v>354</v>
      </c>
      <c r="G387" s="606" t="s">
        <v>1085</v>
      </c>
      <c r="H387" s="606" t="s">
        <v>1807</v>
      </c>
      <c r="I387" s="606" t="s">
        <v>1087</v>
      </c>
      <c r="J387" s="606" t="s">
        <v>1088</v>
      </c>
    </row>
    <row r="388" spans="2:10" ht="21" customHeight="1">
      <c r="B388" s="605" t="s">
        <v>1884</v>
      </c>
      <c r="C388" s="606" t="s">
        <v>345</v>
      </c>
      <c r="D388" s="605" t="s">
        <v>689</v>
      </c>
      <c r="E388" s="606" t="s">
        <v>133</v>
      </c>
      <c r="F388" s="606" t="s">
        <v>133</v>
      </c>
      <c r="G388" s="606" t="s">
        <v>1085</v>
      </c>
      <c r="H388" s="606" t="s">
        <v>1807</v>
      </c>
      <c r="I388" s="606" t="s">
        <v>1087</v>
      </c>
      <c r="J388" s="606" t="s">
        <v>1088</v>
      </c>
    </row>
    <row r="389" spans="2:10" ht="21" customHeight="1">
      <c r="B389" s="605" t="s">
        <v>1885</v>
      </c>
      <c r="C389" s="606" t="s">
        <v>345</v>
      </c>
      <c r="D389" s="605" t="s">
        <v>689</v>
      </c>
      <c r="E389" s="606" t="s">
        <v>1886</v>
      </c>
      <c r="F389" s="606" t="s">
        <v>1886</v>
      </c>
      <c r="G389" s="606" t="s">
        <v>1085</v>
      </c>
      <c r="H389" s="606" t="s">
        <v>1807</v>
      </c>
      <c r="I389" s="606" t="s">
        <v>1087</v>
      </c>
      <c r="J389" s="606" t="s">
        <v>1088</v>
      </c>
    </row>
    <row r="390" spans="2:10" ht="21" customHeight="1">
      <c r="B390" s="605" t="s">
        <v>1887</v>
      </c>
      <c r="C390" s="606" t="s">
        <v>345</v>
      </c>
      <c r="D390" s="605" t="s">
        <v>689</v>
      </c>
      <c r="E390" s="606" t="s">
        <v>1888</v>
      </c>
      <c r="F390" s="606" t="s">
        <v>1889</v>
      </c>
      <c r="G390" s="606" t="s">
        <v>1085</v>
      </c>
      <c r="H390" s="606" t="s">
        <v>1807</v>
      </c>
      <c r="I390" s="606" t="s">
        <v>1087</v>
      </c>
      <c r="J390" s="606" t="s">
        <v>1088</v>
      </c>
    </row>
    <row r="391" spans="2:10" ht="21" customHeight="1">
      <c r="B391" s="605" t="s">
        <v>1890</v>
      </c>
      <c r="C391" s="606" t="s">
        <v>345</v>
      </c>
      <c r="D391" s="605" t="s">
        <v>689</v>
      </c>
      <c r="E391" s="606" t="s">
        <v>144</v>
      </c>
      <c r="F391" s="606" t="s">
        <v>144</v>
      </c>
      <c r="G391" s="606" t="s">
        <v>1085</v>
      </c>
      <c r="H391" s="606" t="s">
        <v>1807</v>
      </c>
      <c r="I391" s="606" t="s">
        <v>1087</v>
      </c>
      <c r="J391" s="606" t="s">
        <v>1088</v>
      </c>
    </row>
    <row r="392" spans="2:10" ht="21" customHeight="1">
      <c r="B392" s="605" t="s">
        <v>1891</v>
      </c>
      <c r="C392" s="606" t="s">
        <v>345</v>
      </c>
      <c r="D392" s="605" t="s">
        <v>689</v>
      </c>
      <c r="E392" s="606" t="s">
        <v>153</v>
      </c>
      <c r="F392" s="606" t="s">
        <v>153</v>
      </c>
      <c r="G392" s="606" t="s">
        <v>1085</v>
      </c>
      <c r="H392" s="606" t="s">
        <v>1807</v>
      </c>
      <c r="I392" s="606" t="s">
        <v>1087</v>
      </c>
      <c r="J392" s="606" t="s">
        <v>1088</v>
      </c>
    </row>
    <row r="393" spans="2:10" ht="21" customHeight="1">
      <c r="B393" s="605" t="s">
        <v>1892</v>
      </c>
      <c r="C393" s="606" t="s">
        <v>345</v>
      </c>
      <c r="D393" s="605" t="s">
        <v>689</v>
      </c>
      <c r="E393" s="606" t="s">
        <v>1893</v>
      </c>
      <c r="F393" s="606" t="s">
        <v>1894</v>
      </c>
      <c r="G393" s="606" t="s">
        <v>1085</v>
      </c>
      <c r="H393" s="606" t="s">
        <v>1807</v>
      </c>
      <c r="I393" s="606" t="s">
        <v>1087</v>
      </c>
      <c r="J393" s="606" t="s">
        <v>1088</v>
      </c>
    </row>
    <row r="394" spans="2:10" ht="21" customHeight="1">
      <c r="B394" s="605" t="s">
        <v>1895</v>
      </c>
      <c r="C394" s="606" t="s">
        <v>345</v>
      </c>
      <c r="D394" s="605" t="s">
        <v>689</v>
      </c>
      <c r="E394" s="606" t="s">
        <v>1350</v>
      </c>
      <c r="F394" s="606" t="s">
        <v>1071</v>
      </c>
      <c r="G394" s="606" t="s">
        <v>1085</v>
      </c>
      <c r="H394" s="606" t="s">
        <v>1807</v>
      </c>
      <c r="I394" s="606" t="s">
        <v>1087</v>
      </c>
      <c r="J394" s="606" t="s">
        <v>1088</v>
      </c>
    </row>
    <row r="395" spans="2:10" ht="21" customHeight="1">
      <c r="B395" s="605" t="s">
        <v>1896</v>
      </c>
      <c r="C395" s="606" t="s">
        <v>345</v>
      </c>
      <c r="D395" s="605" t="s">
        <v>689</v>
      </c>
      <c r="E395" s="606" t="s">
        <v>1897</v>
      </c>
      <c r="F395" s="606" t="s">
        <v>106</v>
      </c>
      <c r="G395" s="606" t="s">
        <v>1085</v>
      </c>
      <c r="H395" s="606" t="s">
        <v>1807</v>
      </c>
      <c r="I395" s="606" t="s">
        <v>1087</v>
      </c>
      <c r="J395" s="606" t="s">
        <v>1088</v>
      </c>
    </row>
    <row r="396" spans="2:10" ht="21" customHeight="1">
      <c r="B396" s="605" t="s">
        <v>1898</v>
      </c>
      <c r="C396" s="606" t="s">
        <v>345</v>
      </c>
      <c r="D396" s="605" t="s">
        <v>689</v>
      </c>
      <c r="E396" s="606" t="s">
        <v>920</v>
      </c>
      <c r="F396" s="606" t="s">
        <v>920</v>
      </c>
      <c r="G396" s="606" t="s">
        <v>1085</v>
      </c>
      <c r="H396" s="606" t="s">
        <v>1807</v>
      </c>
      <c r="I396" s="606" t="s">
        <v>1087</v>
      </c>
      <c r="J396" s="606" t="s">
        <v>1088</v>
      </c>
    </row>
    <row r="397" spans="2:10" ht="21" customHeight="1">
      <c r="B397" s="605" t="s">
        <v>1899</v>
      </c>
      <c r="C397" s="606" t="s">
        <v>345</v>
      </c>
      <c r="D397" s="605" t="s">
        <v>689</v>
      </c>
      <c r="E397" s="606" t="s">
        <v>1900</v>
      </c>
      <c r="F397" s="606" t="s">
        <v>1900</v>
      </c>
      <c r="G397" s="606" t="s">
        <v>1085</v>
      </c>
      <c r="H397" s="606" t="s">
        <v>1807</v>
      </c>
      <c r="I397" s="606" t="s">
        <v>1087</v>
      </c>
      <c r="J397" s="606" t="s">
        <v>1088</v>
      </c>
    </row>
    <row r="398" spans="2:10" ht="21" customHeight="1">
      <c r="B398" s="605" t="s">
        <v>1901</v>
      </c>
      <c r="C398" s="606" t="s">
        <v>345</v>
      </c>
      <c r="D398" s="605" t="s">
        <v>689</v>
      </c>
      <c r="E398" s="606" t="s">
        <v>1902</v>
      </c>
      <c r="F398" s="606" t="s">
        <v>1902</v>
      </c>
      <c r="G398" s="606" t="s">
        <v>1085</v>
      </c>
      <c r="H398" s="606" t="s">
        <v>1807</v>
      </c>
      <c r="I398" s="606" t="s">
        <v>1087</v>
      </c>
      <c r="J398" s="606" t="s">
        <v>1088</v>
      </c>
    </row>
    <row r="399" spans="2:10" ht="21" customHeight="1">
      <c r="B399" s="605" t="s">
        <v>1903</v>
      </c>
      <c r="C399" s="606" t="s">
        <v>345</v>
      </c>
      <c r="D399" s="605" t="s">
        <v>689</v>
      </c>
      <c r="E399" s="606" t="s">
        <v>1014</v>
      </c>
      <c r="F399" s="606" t="s">
        <v>1014</v>
      </c>
      <c r="G399" s="606" t="s">
        <v>1085</v>
      </c>
      <c r="H399" s="606" t="s">
        <v>1807</v>
      </c>
      <c r="I399" s="606" t="s">
        <v>1087</v>
      </c>
      <c r="J399" s="606" t="s">
        <v>1088</v>
      </c>
    </row>
    <row r="400" spans="2:10" ht="21" customHeight="1">
      <c r="B400" s="605" t="s">
        <v>1904</v>
      </c>
      <c r="C400" s="606" t="s">
        <v>345</v>
      </c>
      <c r="D400" s="605" t="s">
        <v>689</v>
      </c>
      <c r="E400" s="606" t="s">
        <v>1905</v>
      </c>
      <c r="F400" s="606" t="s">
        <v>1906</v>
      </c>
      <c r="G400" s="606" t="s">
        <v>1085</v>
      </c>
      <c r="H400" s="606" t="s">
        <v>1807</v>
      </c>
      <c r="I400" s="606" t="s">
        <v>1087</v>
      </c>
      <c r="J400" s="606" t="s">
        <v>1088</v>
      </c>
    </row>
    <row r="401" spans="2:10" ht="21" customHeight="1">
      <c r="B401" s="605" t="s">
        <v>1907</v>
      </c>
      <c r="C401" s="606" t="s">
        <v>345</v>
      </c>
      <c r="D401" s="605" t="s">
        <v>689</v>
      </c>
      <c r="E401" s="606" t="s">
        <v>1016</v>
      </c>
      <c r="F401" s="606" t="s">
        <v>1016</v>
      </c>
      <c r="G401" s="606" t="s">
        <v>1085</v>
      </c>
      <c r="H401" s="606" t="s">
        <v>1807</v>
      </c>
      <c r="I401" s="606" t="s">
        <v>1087</v>
      </c>
      <c r="J401" s="606" t="s">
        <v>1088</v>
      </c>
    </row>
    <row r="402" spans="2:10" ht="21" customHeight="1">
      <c r="B402" s="605" t="s">
        <v>1908</v>
      </c>
      <c r="C402" s="606" t="s">
        <v>345</v>
      </c>
      <c r="D402" s="605" t="s">
        <v>689</v>
      </c>
      <c r="E402" s="606" t="s">
        <v>1909</v>
      </c>
      <c r="F402" s="606" t="s">
        <v>1910</v>
      </c>
      <c r="G402" s="606" t="s">
        <v>1085</v>
      </c>
      <c r="H402" s="606" t="s">
        <v>1807</v>
      </c>
      <c r="I402" s="606" t="s">
        <v>1087</v>
      </c>
      <c r="J402" s="606" t="s">
        <v>1088</v>
      </c>
    </row>
    <row r="403" spans="2:10" ht="21" customHeight="1">
      <c r="B403" s="605" t="s">
        <v>1911</v>
      </c>
      <c r="C403" s="606" t="s">
        <v>345</v>
      </c>
      <c r="D403" s="605" t="s">
        <v>689</v>
      </c>
      <c r="E403" s="606" t="s">
        <v>931</v>
      </c>
      <c r="F403" s="606" t="s">
        <v>931</v>
      </c>
      <c r="G403" s="606" t="s">
        <v>1085</v>
      </c>
      <c r="H403" s="606" t="s">
        <v>1807</v>
      </c>
      <c r="I403" s="606" t="s">
        <v>1087</v>
      </c>
      <c r="J403" s="606" t="s">
        <v>1088</v>
      </c>
    </row>
    <row r="404" spans="2:10" ht="21" customHeight="1">
      <c r="B404" s="605" t="s">
        <v>1912</v>
      </c>
      <c r="C404" s="606" t="s">
        <v>345</v>
      </c>
      <c r="D404" s="605" t="s">
        <v>1511</v>
      </c>
      <c r="E404" s="606" t="s">
        <v>1913</v>
      </c>
      <c r="F404" s="606" t="s">
        <v>1913</v>
      </c>
      <c r="G404" s="606" t="s">
        <v>1085</v>
      </c>
      <c r="H404" s="606" t="s">
        <v>1914</v>
      </c>
      <c r="I404" s="606" t="s">
        <v>1087</v>
      </c>
      <c r="J404" s="606" t="s">
        <v>1088</v>
      </c>
    </row>
    <row r="405" spans="2:10" ht="21" customHeight="1">
      <c r="B405" s="605" t="s">
        <v>1915</v>
      </c>
      <c r="C405" s="606" t="s">
        <v>345</v>
      </c>
      <c r="D405" s="605" t="s">
        <v>1511</v>
      </c>
      <c r="E405" s="606" t="s">
        <v>882</v>
      </c>
      <c r="F405" s="606" t="s">
        <v>882</v>
      </c>
      <c r="G405" s="606" t="s">
        <v>1085</v>
      </c>
      <c r="H405" s="606" t="s">
        <v>1914</v>
      </c>
      <c r="I405" s="606" t="s">
        <v>1087</v>
      </c>
      <c r="J405" s="606" t="s">
        <v>1088</v>
      </c>
    </row>
    <row r="406" spans="2:10" ht="21" customHeight="1">
      <c r="B406" s="605" t="s">
        <v>1916</v>
      </c>
      <c r="C406" s="606" t="s">
        <v>345</v>
      </c>
      <c r="D406" s="605" t="s">
        <v>1511</v>
      </c>
      <c r="E406" s="606" t="s">
        <v>1512</v>
      </c>
      <c r="F406" s="606" t="s">
        <v>1512</v>
      </c>
      <c r="G406" s="606" t="s">
        <v>1085</v>
      </c>
      <c r="H406" s="606" t="s">
        <v>1914</v>
      </c>
      <c r="I406" s="606" t="s">
        <v>1087</v>
      </c>
      <c r="J406" s="606" t="s">
        <v>1088</v>
      </c>
    </row>
    <row r="407" spans="2:10" ht="21" customHeight="1">
      <c r="B407" s="605" t="s">
        <v>1917</v>
      </c>
      <c r="C407" s="606" t="s">
        <v>345</v>
      </c>
      <c r="D407" s="605" t="s">
        <v>1511</v>
      </c>
      <c r="E407" s="606" t="s">
        <v>889</v>
      </c>
      <c r="F407" s="606" t="s">
        <v>889</v>
      </c>
      <c r="G407" s="606" t="s">
        <v>1085</v>
      </c>
      <c r="H407" s="606" t="s">
        <v>1914</v>
      </c>
      <c r="I407" s="606" t="s">
        <v>1087</v>
      </c>
      <c r="J407" s="606" t="s">
        <v>1088</v>
      </c>
    </row>
    <row r="408" spans="2:10" ht="21" customHeight="1">
      <c r="B408" s="605" t="s">
        <v>1918</v>
      </c>
      <c r="C408" s="606" t="s">
        <v>345</v>
      </c>
      <c r="D408" s="605" t="s">
        <v>1511</v>
      </c>
      <c r="E408" s="606" t="s">
        <v>1919</v>
      </c>
      <c r="F408" s="606" t="s">
        <v>1919</v>
      </c>
      <c r="G408" s="606" t="s">
        <v>1085</v>
      </c>
      <c r="H408" s="606" t="s">
        <v>1914</v>
      </c>
      <c r="I408" s="606" t="s">
        <v>1087</v>
      </c>
      <c r="J408" s="606" t="s">
        <v>1088</v>
      </c>
    </row>
    <row r="409" spans="2:10" ht="21" customHeight="1">
      <c r="B409" s="605" t="s">
        <v>1920</v>
      </c>
      <c r="C409" s="606" t="s">
        <v>345</v>
      </c>
      <c r="D409" s="605" t="s">
        <v>1511</v>
      </c>
      <c r="E409" s="606" t="s">
        <v>1517</v>
      </c>
      <c r="F409" s="606" t="s">
        <v>1517</v>
      </c>
      <c r="G409" s="606" t="s">
        <v>1151</v>
      </c>
      <c r="H409" s="606" t="s">
        <v>1518</v>
      </c>
      <c r="I409" s="606" t="s">
        <v>1087</v>
      </c>
      <c r="J409" s="606" t="s">
        <v>1153</v>
      </c>
    </row>
    <row r="410" spans="2:10" ht="21" customHeight="1">
      <c r="B410" s="605" t="s">
        <v>1921</v>
      </c>
      <c r="C410" s="606" t="s">
        <v>345</v>
      </c>
      <c r="D410" s="605" t="s">
        <v>1511</v>
      </c>
      <c r="E410" s="606" t="s">
        <v>1520</v>
      </c>
      <c r="F410" s="606" t="s">
        <v>1520</v>
      </c>
      <c r="G410" s="606" t="s">
        <v>1151</v>
      </c>
      <c r="H410" s="606" t="s">
        <v>1518</v>
      </c>
      <c r="I410" s="606" t="s">
        <v>1087</v>
      </c>
      <c r="J410" s="606" t="s">
        <v>1153</v>
      </c>
    </row>
    <row r="411" spans="2:10" ht="21" customHeight="1">
      <c r="B411" s="605" t="s">
        <v>1922</v>
      </c>
      <c r="C411" s="606" t="s">
        <v>345</v>
      </c>
      <c r="D411" s="605" t="s">
        <v>1511</v>
      </c>
      <c r="E411" s="606" t="s">
        <v>1923</v>
      </c>
      <c r="F411" s="606" t="s">
        <v>1923</v>
      </c>
      <c r="G411" s="606" t="s">
        <v>1085</v>
      </c>
      <c r="H411" s="606" t="s">
        <v>1914</v>
      </c>
      <c r="I411" s="606" t="s">
        <v>1087</v>
      </c>
      <c r="J411" s="606" t="s">
        <v>1088</v>
      </c>
    </row>
    <row r="412" spans="2:10" ht="21" customHeight="1">
      <c r="B412" s="605" t="s">
        <v>1924</v>
      </c>
      <c r="C412" s="606" t="s">
        <v>345</v>
      </c>
      <c r="D412" s="605" t="s">
        <v>1511</v>
      </c>
      <c r="E412" s="606" t="s">
        <v>894</v>
      </c>
      <c r="F412" s="606" t="s">
        <v>894</v>
      </c>
      <c r="G412" s="606" t="s">
        <v>1085</v>
      </c>
      <c r="H412" s="606" t="s">
        <v>1914</v>
      </c>
      <c r="I412" s="606" t="s">
        <v>1087</v>
      </c>
      <c r="J412" s="606" t="s">
        <v>1088</v>
      </c>
    </row>
    <row r="413" spans="2:10" ht="21" customHeight="1">
      <c r="B413" s="605" t="s">
        <v>1925</v>
      </c>
      <c r="C413" s="606" t="s">
        <v>345</v>
      </c>
      <c r="D413" s="605" t="s">
        <v>1511</v>
      </c>
      <c r="E413" s="606" t="s">
        <v>1926</v>
      </c>
      <c r="F413" s="606" t="s">
        <v>956</v>
      </c>
      <c r="G413" s="606" t="s">
        <v>1085</v>
      </c>
      <c r="H413" s="606" t="s">
        <v>1914</v>
      </c>
      <c r="I413" s="606" t="s">
        <v>1087</v>
      </c>
      <c r="J413" s="606" t="s">
        <v>1088</v>
      </c>
    </row>
    <row r="414" spans="2:10" ht="21" customHeight="1">
      <c r="B414" s="605" t="s">
        <v>1927</v>
      </c>
      <c r="C414" s="606" t="s">
        <v>345</v>
      </c>
      <c r="D414" s="605" t="s">
        <v>1511</v>
      </c>
      <c r="E414" s="606" t="s">
        <v>1928</v>
      </c>
      <c r="F414" s="606" t="s">
        <v>1928</v>
      </c>
      <c r="G414" s="606" t="s">
        <v>1085</v>
      </c>
      <c r="H414" s="606" t="s">
        <v>1914</v>
      </c>
      <c r="I414" s="606" t="s">
        <v>1087</v>
      </c>
      <c r="J414" s="606" t="s">
        <v>1088</v>
      </c>
    </row>
    <row r="415" spans="2:10" ht="21" customHeight="1">
      <c r="B415" s="605" t="s">
        <v>1929</v>
      </c>
      <c r="C415" s="606" t="s">
        <v>345</v>
      </c>
      <c r="D415" s="605" t="s">
        <v>1511</v>
      </c>
      <c r="E415" s="606" t="s">
        <v>969</v>
      </c>
      <c r="F415" s="606" t="s">
        <v>969</v>
      </c>
      <c r="G415" s="606" t="s">
        <v>1085</v>
      </c>
      <c r="H415" s="606" t="s">
        <v>1914</v>
      </c>
      <c r="I415" s="606" t="s">
        <v>1087</v>
      </c>
      <c r="J415" s="606" t="s">
        <v>1088</v>
      </c>
    </row>
    <row r="416" spans="2:10" ht="21" customHeight="1">
      <c r="B416" s="605" t="s">
        <v>1930</v>
      </c>
      <c r="C416" s="606" t="s">
        <v>345</v>
      </c>
      <c r="D416" s="605" t="s">
        <v>1511</v>
      </c>
      <c r="E416" s="606" t="s">
        <v>979</v>
      </c>
      <c r="F416" s="606" t="s">
        <v>979</v>
      </c>
      <c r="G416" s="606" t="s">
        <v>1085</v>
      </c>
      <c r="H416" s="606" t="s">
        <v>1914</v>
      </c>
      <c r="I416" s="606" t="s">
        <v>1087</v>
      </c>
      <c r="J416" s="606" t="s">
        <v>1088</v>
      </c>
    </row>
    <row r="417" spans="2:10" ht="21" customHeight="1">
      <c r="B417" s="605" t="s">
        <v>1931</v>
      </c>
      <c r="C417" s="606" t="s">
        <v>345</v>
      </c>
      <c r="D417" s="605" t="s">
        <v>1511</v>
      </c>
      <c r="E417" s="606" t="s">
        <v>1932</v>
      </c>
      <c r="F417" s="606" t="s">
        <v>1932</v>
      </c>
      <c r="G417" s="606" t="s">
        <v>1085</v>
      </c>
      <c r="H417" s="606" t="s">
        <v>1914</v>
      </c>
      <c r="I417" s="606" t="s">
        <v>1087</v>
      </c>
      <c r="J417" s="606" t="s">
        <v>1088</v>
      </c>
    </row>
    <row r="418" spans="2:10" ht="21" customHeight="1">
      <c r="B418" s="605" t="s">
        <v>1933</v>
      </c>
      <c r="C418" s="606" t="s">
        <v>345</v>
      </c>
      <c r="D418" s="605" t="s">
        <v>1511</v>
      </c>
      <c r="E418" s="606" t="s">
        <v>1934</v>
      </c>
      <c r="F418" s="606" t="s">
        <v>1935</v>
      </c>
      <c r="G418" s="606" t="s">
        <v>1085</v>
      </c>
      <c r="H418" s="606" t="s">
        <v>1914</v>
      </c>
      <c r="I418" s="606" t="s">
        <v>1087</v>
      </c>
      <c r="J418" s="606" t="s">
        <v>1088</v>
      </c>
    </row>
    <row r="419" spans="2:10" ht="21" customHeight="1">
      <c r="B419" s="605" t="s">
        <v>1936</v>
      </c>
      <c r="C419" s="606" t="s">
        <v>345</v>
      </c>
      <c r="D419" s="605" t="s">
        <v>1511</v>
      </c>
      <c r="E419" s="606" t="s">
        <v>1937</v>
      </c>
      <c r="F419" s="606" t="s">
        <v>1938</v>
      </c>
      <c r="G419" s="606" t="s">
        <v>1085</v>
      </c>
      <c r="H419" s="606" t="s">
        <v>1914</v>
      </c>
      <c r="I419" s="606" t="s">
        <v>1087</v>
      </c>
      <c r="J419" s="606" t="s">
        <v>1088</v>
      </c>
    </row>
    <row r="420" spans="2:10" ht="21" customHeight="1">
      <c r="B420" s="605" t="s">
        <v>1939</v>
      </c>
      <c r="C420" s="606" t="s">
        <v>345</v>
      </c>
      <c r="D420" s="605" t="s">
        <v>1511</v>
      </c>
      <c r="E420" s="606" t="s">
        <v>202</v>
      </c>
      <c r="F420" s="606" t="s">
        <v>202</v>
      </c>
      <c r="G420" s="606" t="s">
        <v>1085</v>
      </c>
      <c r="H420" s="606" t="s">
        <v>1914</v>
      </c>
      <c r="I420" s="606" t="s">
        <v>1087</v>
      </c>
      <c r="J420" s="606" t="s">
        <v>1088</v>
      </c>
    </row>
    <row r="421" spans="2:10" ht="21" customHeight="1">
      <c r="B421" s="605" t="s">
        <v>1940</v>
      </c>
      <c r="C421" s="606" t="s">
        <v>345</v>
      </c>
      <c r="D421" s="605" t="s">
        <v>1511</v>
      </c>
      <c r="E421" s="606" t="s">
        <v>1941</v>
      </c>
      <c r="F421" s="606" t="s">
        <v>913</v>
      </c>
      <c r="G421" s="606" t="s">
        <v>1085</v>
      </c>
      <c r="H421" s="606" t="s">
        <v>1914</v>
      </c>
      <c r="I421" s="606" t="s">
        <v>1087</v>
      </c>
      <c r="J421" s="606" t="s">
        <v>1088</v>
      </c>
    </row>
    <row r="422" spans="2:10" ht="21" customHeight="1">
      <c r="B422" s="605" t="s">
        <v>1942</v>
      </c>
      <c r="C422" s="606" t="s">
        <v>345</v>
      </c>
      <c r="D422" s="605" t="s">
        <v>1511</v>
      </c>
      <c r="E422" s="606" t="s">
        <v>1943</v>
      </c>
      <c r="F422" s="606" t="s">
        <v>1944</v>
      </c>
      <c r="G422" s="606" t="s">
        <v>1085</v>
      </c>
      <c r="H422" s="606" t="s">
        <v>1914</v>
      </c>
      <c r="I422" s="606" t="s">
        <v>1087</v>
      </c>
      <c r="J422" s="606" t="s">
        <v>1088</v>
      </c>
    </row>
    <row r="423" spans="2:10" ht="21" customHeight="1">
      <c r="B423" s="605" t="s">
        <v>1945</v>
      </c>
      <c r="C423" s="606" t="s">
        <v>345</v>
      </c>
      <c r="D423" s="605" t="s">
        <v>1511</v>
      </c>
      <c r="E423" s="606" t="s">
        <v>1946</v>
      </c>
      <c r="F423" s="606" t="s">
        <v>1946</v>
      </c>
      <c r="G423" s="606" t="s">
        <v>1085</v>
      </c>
      <c r="H423" s="606" t="s">
        <v>1914</v>
      </c>
      <c r="I423" s="606" t="s">
        <v>1087</v>
      </c>
      <c r="J423" s="606" t="s">
        <v>1088</v>
      </c>
    </row>
    <row r="424" spans="2:10" ht="21" customHeight="1">
      <c r="B424" s="605" t="s">
        <v>1947</v>
      </c>
      <c r="C424" s="606" t="s">
        <v>345</v>
      </c>
      <c r="D424" s="605" t="s">
        <v>1511</v>
      </c>
      <c r="E424" s="606" t="s">
        <v>919</v>
      </c>
      <c r="F424" s="606" t="s">
        <v>919</v>
      </c>
      <c r="G424" s="606" t="s">
        <v>1085</v>
      </c>
      <c r="H424" s="606" t="s">
        <v>1914</v>
      </c>
      <c r="I424" s="606" t="s">
        <v>1087</v>
      </c>
      <c r="J424" s="606" t="s">
        <v>1088</v>
      </c>
    </row>
    <row r="425" spans="2:10" ht="21" customHeight="1">
      <c r="B425" s="605" t="s">
        <v>1948</v>
      </c>
      <c r="C425" s="606" t="s">
        <v>345</v>
      </c>
      <c r="D425" s="605" t="s">
        <v>1511</v>
      </c>
      <c r="E425" s="606" t="s">
        <v>1949</v>
      </c>
      <c r="F425" s="606" t="s">
        <v>1949</v>
      </c>
      <c r="G425" s="606" t="s">
        <v>1085</v>
      </c>
      <c r="H425" s="606" t="s">
        <v>1914</v>
      </c>
      <c r="I425" s="606" t="s">
        <v>1087</v>
      </c>
      <c r="J425" s="606" t="s">
        <v>1088</v>
      </c>
    </row>
    <row r="426" spans="2:10" ht="21" customHeight="1">
      <c r="B426" s="605" t="s">
        <v>1950</v>
      </c>
      <c r="C426" s="606" t="s">
        <v>345</v>
      </c>
      <c r="D426" s="605" t="s">
        <v>1511</v>
      </c>
      <c r="E426" s="606" t="s">
        <v>1534</v>
      </c>
      <c r="F426" s="606" t="s">
        <v>1535</v>
      </c>
      <c r="G426" s="606" t="s">
        <v>1151</v>
      </c>
      <c r="H426" s="606" t="s">
        <v>1518</v>
      </c>
      <c r="I426" s="606" t="s">
        <v>1087</v>
      </c>
      <c r="J426" s="606" t="s">
        <v>1153</v>
      </c>
    </row>
    <row r="427" spans="2:10" ht="21" customHeight="1">
      <c r="B427" s="605" t="s">
        <v>1951</v>
      </c>
      <c r="C427" s="606" t="s">
        <v>345</v>
      </c>
      <c r="D427" s="605" t="s">
        <v>1511</v>
      </c>
      <c r="E427" s="606" t="s">
        <v>1952</v>
      </c>
      <c r="F427" s="606" t="s">
        <v>1952</v>
      </c>
      <c r="G427" s="606" t="s">
        <v>1085</v>
      </c>
      <c r="H427" s="606" t="s">
        <v>1914</v>
      </c>
      <c r="I427" s="606" t="s">
        <v>1087</v>
      </c>
      <c r="J427" s="606" t="s">
        <v>1088</v>
      </c>
    </row>
    <row r="428" spans="2:10" ht="21" customHeight="1">
      <c r="B428" s="605" t="s">
        <v>1953</v>
      </c>
      <c r="C428" s="606" t="s">
        <v>345</v>
      </c>
      <c r="D428" s="605" t="s">
        <v>1511</v>
      </c>
      <c r="E428" s="606" t="s">
        <v>1423</v>
      </c>
      <c r="F428" s="606" t="s">
        <v>1423</v>
      </c>
      <c r="G428" s="606" t="s">
        <v>1085</v>
      </c>
      <c r="H428" s="606" t="s">
        <v>1914</v>
      </c>
      <c r="I428" s="606" t="s">
        <v>1087</v>
      </c>
      <c r="J428" s="606" t="s">
        <v>1088</v>
      </c>
    </row>
    <row r="429" spans="2:10" ht="21" customHeight="1">
      <c r="B429" s="605" t="s">
        <v>1954</v>
      </c>
      <c r="C429" s="606" t="s">
        <v>345</v>
      </c>
      <c r="D429" s="605" t="s">
        <v>1511</v>
      </c>
      <c r="E429" s="606" t="s">
        <v>1955</v>
      </c>
      <c r="F429" s="606" t="s">
        <v>1955</v>
      </c>
      <c r="G429" s="606" t="s">
        <v>1085</v>
      </c>
      <c r="H429" s="606" t="s">
        <v>1914</v>
      </c>
      <c r="I429" s="606" t="s">
        <v>1087</v>
      </c>
      <c r="J429" s="606" t="s">
        <v>1088</v>
      </c>
    </row>
    <row r="430" spans="2:10" ht="21" customHeight="1">
      <c r="B430" s="605" t="s">
        <v>1956</v>
      </c>
      <c r="C430" s="606" t="s">
        <v>345</v>
      </c>
      <c r="D430" s="605" t="s">
        <v>1511</v>
      </c>
      <c r="E430" s="606" t="s">
        <v>1433</v>
      </c>
      <c r="F430" s="606" t="s">
        <v>1433</v>
      </c>
      <c r="G430" s="606" t="s">
        <v>1085</v>
      </c>
      <c r="H430" s="606" t="s">
        <v>1914</v>
      </c>
      <c r="I430" s="606" t="s">
        <v>1087</v>
      </c>
      <c r="J430" s="606" t="s">
        <v>1088</v>
      </c>
    </row>
    <row r="431" spans="2:10" ht="21" customHeight="1">
      <c r="B431" s="605" t="s">
        <v>1957</v>
      </c>
      <c r="C431" s="606" t="s">
        <v>345</v>
      </c>
      <c r="D431" s="605" t="s">
        <v>1511</v>
      </c>
      <c r="E431" s="606" t="s">
        <v>1958</v>
      </c>
      <c r="F431" s="606" t="s">
        <v>1958</v>
      </c>
      <c r="G431" s="606" t="s">
        <v>1085</v>
      </c>
      <c r="H431" s="606" t="s">
        <v>1914</v>
      </c>
      <c r="I431" s="606" t="s">
        <v>1087</v>
      </c>
      <c r="J431" s="606" t="s">
        <v>1088</v>
      </c>
    </row>
    <row r="432" spans="2:10" ht="21" customHeight="1">
      <c r="B432" s="605" t="s">
        <v>1959</v>
      </c>
      <c r="C432" s="606" t="s">
        <v>345</v>
      </c>
      <c r="D432" s="605" t="s">
        <v>1960</v>
      </c>
      <c r="E432" s="606" t="s">
        <v>1961</v>
      </c>
      <c r="F432" s="606" t="s">
        <v>1961</v>
      </c>
      <c r="G432" s="606" t="s">
        <v>1151</v>
      </c>
      <c r="H432" s="606" t="s">
        <v>1962</v>
      </c>
      <c r="I432" s="606" t="s">
        <v>1087</v>
      </c>
      <c r="J432" s="606" t="s">
        <v>1153</v>
      </c>
    </row>
    <row r="433" spans="2:10" ht="21" customHeight="1">
      <c r="B433" s="605" t="s">
        <v>1963</v>
      </c>
      <c r="C433" s="606" t="s">
        <v>345</v>
      </c>
      <c r="D433" s="605" t="s">
        <v>1960</v>
      </c>
      <c r="E433" s="606" t="s">
        <v>1964</v>
      </c>
      <c r="F433" s="606" t="s">
        <v>1965</v>
      </c>
      <c r="G433" s="606" t="s">
        <v>1151</v>
      </c>
      <c r="H433" s="606" t="s">
        <v>1962</v>
      </c>
      <c r="I433" s="606" t="s">
        <v>1087</v>
      </c>
      <c r="J433" s="606" t="s">
        <v>1153</v>
      </c>
    </row>
    <row r="434" spans="2:10" ht="21" customHeight="1">
      <c r="B434" s="605" t="s">
        <v>1966</v>
      </c>
      <c r="C434" s="606" t="s">
        <v>345</v>
      </c>
      <c r="D434" s="605" t="s">
        <v>1960</v>
      </c>
      <c r="E434" s="606" t="s">
        <v>1967</v>
      </c>
      <c r="F434" s="606" t="s">
        <v>1968</v>
      </c>
      <c r="G434" s="606" t="s">
        <v>1151</v>
      </c>
      <c r="H434" s="606" t="s">
        <v>1962</v>
      </c>
      <c r="I434" s="606" t="s">
        <v>1087</v>
      </c>
      <c r="J434" s="606" t="s">
        <v>1153</v>
      </c>
    </row>
    <row r="435" spans="2:10" ht="21" customHeight="1">
      <c r="B435" s="605" t="s">
        <v>1969</v>
      </c>
      <c r="C435" s="606" t="s">
        <v>345</v>
      </c>
      <c r="D435" s="605" t="s">
        <v>1960</v>
      </c>
      <c r="E435" s="606" t="s">
        <v>1970</v>
      </c>
      <c r="F435" s="606" t="s">
        <v>1971</v>
      </c>
      <c r="G435" s="606" t="s">
        <v>1151</v>
      </c>
      <c r="H435" s="606" t="s">
        <v>1962</v>
      </c>
      <c r="I435" s="606" t="s">
        <v>1087</v>
      </c>
      <c r="J435" s="606" t="s">
        <v>1153</v>
      </c>
    </row>
    <row r="436" spans="2:10" ht="21" customHeight="1">
      <c r="B436" s="605" t="s">
        <v>1972</v>
      </c>
      <c r="C436" s="606" t="s">
        <v>345</v>
      </c>
      <c r="D436" s="605" t="s">
        <v>1960</v>
      </c>
      <c r="E436" s="606" t="s">
        <v>1478</v>
      </c>
      <c r="F436" s="606" t="s">
        <v>860</v>
      </c>
      <c r="G436" s="606" t="s">
        <v>1151</v>
      </c>
      <c r="H436" s="606" t="s">
        <v>1962</v>
      </c>
      <c r="I436" s="606" t="s">
        <v>1087</v>
      </c>
      <c r="J436" s="606" t="s">
        <v>1153</v>
      </c>
    </row>
    <row r="437" spans="2:10" ht="21" customHeight="1">
      <c r="B437" s="605" t="s">
        <v>1973</v>
      </c>
      <c r="C437" s="606" t="s">
        <v>345</v>
      </c>
      <c r="D437" s="605" t="s">
        <v>1960</v>
      </c>
      <c r="E437" s="606" t="s">
        <v>857</v>
      </c>
      <c r="F437" s="606" t="s">
        <v>861</v>
      </c>
      <c r="G437" s="606" t="s">
        <v>1151</v>
      </c>
      <c r="H437" s="606" t="s">
        <v>1962</v>
      </c>
      <c r="I437" s="606" t="s">
        <v>1087</v>
      </c>
      <c r="J437" s="606" t="s">
        <v>1153</v>
      </c>
    </row>
    <row r="438" spans="2:10" ht="21" customHeight="1">
      <c r="B438" s="605" t="s">
        <v>1974</v>
      </c>
      <c r="C438" s="606" t="s">
        <v>345</v>
      </c>
      <c r="D438" s="605" t="s">
        <v>1960</v>
      </c>
      <c r="E438" s="606" t="s">
        <v>1486</v>
      </c>
      <c r="F438" s="606" t="s">
        <v>864</v>
      </c>
      <c r="G438" s="606" t="s">
        <v>1151</v>
      </c>
      <c r="H438" s="606" t="s">
        <v>1962</v>
      </c>
      <c r="I438" s="606" t="s">
        <v>1087</v>
      </c>
      <c r="J438" s="606" t="s">
        <v>1153</v>
      </c>
    </row>
    <row r="439" spans="2:10" ht="21" customHeight="1">
      <c r="B439" s="605" t="s">
        <v>1975</v>
      </c>
      <c r="C439" s="606" t="s">
        <v>345</v>
      </c>
      <c r="D439" s="605" t="s">
        <v>1960</v>
      </c>
      <c r="E439" s="606" t="s">
        <v>1976</v>
      </c>
      <c r="F439" s="606" t="s">
        <v>1976</v>
      </c>
      <c r="G439" s="606" t="s">
        <v>1151</v>
      </c>
      <c r="H439" s="606" t="s">
        <v>1962</v>
      </c>
      <c r="I439" s="606" t="s">
        <v>1087</v>
      </c>
      <c r="J439" s="606" t="s">
        <v>1153</v>
      </c>
    </row>
    <row r="440" spans="2:10" ht="21" customHeight="1">
      <c r="B440" s="605" t="s">
        <v>1977</v>
      </c>
      <c r="C440" s="606" t="s">
        <v>345</v>
      </c>
      <c r="D440" s="605" t="s">
        <v>1960</v>
      </c>
      <c r="E440" s="606" t="s">
        <v>1978</v>
      </c>
      <c r="F440" s="606" t="s">
        <v>1978</v>
      </c>
      <c r="G440" s="606" t="s">
        <v>1151</v>
      </c>
      <c r="H440" s="606" t="s">
        <v>1962</v>
      </c>
      <c r="I440" s="606" t="s">
        <v>1087</v>
      </c>
      <c r="J440" s="606" t="s">
        <v>1153</v>
      </c>
    </row>
    <row r="441" spans="2:10" ht="21" customHeight="1">
      <c r="B441" s="605" t="s">
        <v>1979</v>
      </c>
      <c r="C441" s="606" t="s">
        <v>8</v>
      </c>
      <c r="D441" s="605" t="s">
        <v>689</v>
      </c>
      <c r="E441" s="606" t="s">
        <v>1980</v>
      </c>
      <c r="F441" s="606" t="s">
        <v>1980</v>
      </c>
      <c r="G441" s="606" t="s">
        <v>1554</v>
      </c>
      <c r="H441" s="606" t="s">
        <v>1555</v>
      </c>
      <c r="I441" s="606" t="s">
        <v>1981</v>
      </c>
      <c r="J441" s="606" t="s">
        <v>1982</v>
      </c>
    </row>
    <row r="442" spans="2:10" ht="21" customHeight="1">
      <c r="B442" s="605" t="s">
        <v>1983</v>
      </c>
      <c r="C442" s="606" t="s">
        <v>8</v>
      </c>
      <c r="D442" s="605" t="s">
        <v>689</v>
      </c>
      <c r="E442" s="606" t="s">
        <v>1984</v>
      </c>
      <c r="F442" s="606" t="s">
        <v>1984</v>
      </c>
      <c r="G442" s="606" t="s">
        <v>1554</v>
      </c>
      <c r="H442" s="606" t="s">
        <v>1555</v>
      </c>
      <c r="I442" s="606" t="s">
        <v>1981</v>
      </c>
      <c r="J442" s="606" t="s">
        <v>1982</v>
      </c>
    </row>
    <row r="443" spans="2:10" ht="21" customHeight="1">
      <c r="B443" s="605" t="s">
        <v>1985</v>
      </c>
      <c r="C443" s="606" t="s">
        <v>8</v>
      </c>
      <c r="D443" s="605" t="s">
        <v>689</v>
      </c>
      <c r="E443" s="606" t="s">
        <v>1986</v>
      </c>
      <c r="F443" s="606" t="s">
        <v>1986</v>
      </c>
      <c r="G443" s="606" t="s">
        <v>1554</v>
      </c>
      <c r="H443" s="606" t="s">
        <v>1555</v>
      </c>
      <c r="I443" s="606" t="s">
        <v>1981</v>
      </c>
      <c r="J443" s="606" t="s">
        <v>1982</v>
      </c>
    </row>
    <row r="444" spans="2:10" ht="21" customHeight="1">
      <c r="B444" s="605" t="s">
        <v>1987</v>
      </c>
      <c r="C444" s="606" t="s">
        <v>8</v>
      </c>
      <c r="D444" s="605" t="s">
        <v>689</v>
      </c>
      <c r="E444" s="606" t="s">
        <v>1988</v>
      </c>
      <c r="F444" s="606" t="s">
        <v>1988</v>
      </c>
      <c r="G444" s="606" t="s">
        <v>1554</v>
      </c>
      <c r="H444" s="606" t="s">
        <v>1555</v>
      </c>
      <c r="I444" s="606" t="s">
        <v>1981</v>
      </c>
      <c r="J444" s="606" t="s">
        <v>1982</v>
      </c>
    </row>
    <row r="445" spans="2:10" ht="21" customHeight="1">
      <c r="B445" s="605" t="s">
        <v>1989</v>
      </c>
      <c r="C445" s="606" t="s">
        <v>8</v>
      </c>
      <c r="D445" s="605" t="s">
        <v>689</v>
      </c>
      <c r="E445" s="606" t="s">
        <v>1990</v>
      </c>
      <c r="F445" s="606" t="s">
        <v>1990</v>
      </c>
      <c r="G445" s="606" t="s">
        <v>1554</v>
      </c>
      <c r="H445" s="606" t="s">
        <v>1555</v>
      </c>
      <c r="I445" s="606" t="s">
        <v>1981</v>
      </c>
      <c r="J445" s="606" t="s">
        <v>1982</v>
      </c>
    </row>
    <row r="446" spans="2:10" ht="21" customHeight="1">
      <c r="B446" s="605" t="s">
        <v>1991</v>
      </c>
      <c r="C446" s="606" t="s">
        <v>8</v>
      </c>
      <c r="D446" s="605" t="s">
        <v>689</v>
      </c>
      <c r="E446" s="606" t="s">
        <v>1992</v>
      </c>
      <c r="F446" s="606" t="s">
        <v>1992</v>
      </c>
      <c r="G446" s="606" t="s">
        <v>1554</v>
      </c>
      <c r="H446" s="606" t="s">
        <v>1555</v>
      </c>
      <c r="I446" s="606" t="s">
        <v>1981</v>
      </c>
      <c r="J446" s="606" t="s">
        <v>1982</v>
      </c>
    </row>
    <row r="447" spans="2:10" ht="21" customHeight="1">
      <c r="B447" s="605" t="s">
        <v>1993</v>
      </c>
      <c r="C447" s="606" t="s">
        <v>8</v>
      </c>
      <c r="D447" s="605" t="s">
        <v>689</v>
      </c>
      <c r="E447" s="606" t="s">
        <v>1994</v>
      </c>
      <c r="F447" s="606" t="s">
        <v>1994</v>
      </c>
      <c r="G447" s="606" t="s">
        <v>1554</v>
      </c>
      <c r="H447" s="606" t="s">
        <v>1555</v>
      </c>
      <c r="I447" s="606" t="s">
        <v>1981</v>
      </c>
      <c r="J447" s="606" t="s">
        <v>1982</v>
      </c>
    </row>
    <row r="448" spans="2:10" ht="21" customHeight="1">
      <c r="B448" s="605" t="s">
        <v>1995</v>
      </c>
      <c r="C448" s="606" t="s">
        <v>8</v>
      </c>
      <c r="D448" s="605" t="s">
        <v>689</v>
      </c>
      <c r="E448" s="606" t="s">
        <v>1996</v>
      </c>
      <c r="F448" s="606" t="s">
        <v>1996</v>
      </c>
      <c r="G448" s="606" t="s">
        <v>1554</v>
      </c>
      <c r="H448" s="606" t="s">
        <v>1555</v>
      </c>
      <c r="I448" s="606" t="s">
        <v>1981</v>
      </c>
      <c r="J448" s="606" t="s">
        <v>1982</v>
      </c>
    </row>
    <row r="449" spans="2:10" ht="21" customHeight="1">
      <c r="B449" s="605" t="s">
        <v>1997</v>
      </c>
      <c r="C449" s="606" t="s">
        <v>8</v>
      </c>
      <c r="D449" s="605" t="s">
        <v>689</v>
      </c>
      <c r="E449" s="606" t="s">
        <v>1998</v>
      </c>
      <c r="F449" s="606" t="s">
        <v>1998</v>
      </c>
      <c r="G449" s="606" t="s">
        <v>1554</v>
      </c>
      <c r="H449" s="606" t="s">
        <v>1555</v>
      </c>
      <c r="I449" s="606" t="s">
        <v>1981</v>
      </c>
      <c r="J449" s="606" t="s">
        <v>1982</v>
      </c>
    </row>
    <row r="450" spans="2:10" ht="21" customHeight="1">
      <c r="B450" s="605" t="s">
        <v>1999</v>
      </c>
      <c r="C450" s="606" t="s">
        <v>8</v>
      </c>
      <c r="D450" s="605" t="s">
        <v>689</v>
      </c>
      <c r="E450" s="606" t="s">
        <v>2000</v>
      </c>
      <c r="F450" s="606" t="s">
        <v>2000</v>
      </c>
      <c r="G450" s="606" t="s">
        <v>1554</v>
      </c>
      <c r="H450" s="606" t="s">
        <v>1555</v>
      </c>
      <c r="I450" s="606" t="s">
        <v>1981</v>
      </c>
      <c r="J450" s="606" t="s">
        <v>1982</v>
      </c>
    </row>
    <row r="451" spans="2:10" ht="21" customHeight="1">
      <c r="B451" s="605" t="s">
        <v>2001</v>
      </c>
      <c r="C451" s="606" t="s">
        <v>8</v>
      </c>
      <c r="D451" s="605" t="s">
        <v>689</v>
      </c>
      <c r="E451" s="606" t="s">
        <v>2002</v>
      </c>
      <c r="F451" s="606" t="s">
        <v>2002</v>
      </c>
      <c r="G451" s="606" t="s">
        <v>1554</v>
      </c>
      <c r="H451" s="606" t="s">
        <v>1555</v>
      </c>
      <c r="I451" s="606" t="s">
        <v>1981</v>
      </c>
      <c r="J451" s="606" t="s">
        <v>1982</v>
      </c>
    </row>
    <row r="452" spans="2:10" ht="21" customHeight="1">
      <c r="B452" s="605" t="s">
        <v>2003</v>
      </c>
      <c r="C452" s="606" t="s">
        <v>8</v>
      </c>
      <c r="D452" s="605" t="s">
        <v>689</v>
      </c>
      <c r="E452" s="606" t="s">
        <v>2004</v>
      </c>
      <c r="F452" s="606" t="s">
        <v>2004</v>
      </c>
      <c r="G452" s="606" t="s">
        <v>1554</v>
      </c>
      <c r="H452" s="606" t="s">
        <v>1555</v>
      </c>
      <c r="I452" s="606" t="s">
        <v>1981</v>
      </c>
      <c r="J452" s="606" t="s">
        <v>1982</v>
      </c>
    </row>
    <row r="453" spans="2:10" ht="21" customHeight="1">
      <c r="B453" s="605" t="s">
        <v>2005</v>
      </c>
      <c r="C453" s="606" t="s">
        <v>8</v>
      </c>
      <c r="D453" s="605" t="s">
        <v>689</v>
      </c>
      <c r="E453" s="606" t="s">
        <v>2006</v>
      </c>
      <c r="F453" s="606" t="s">
        <v>2006</v>
      </c>
      <c r="G453" s="606" t="s">
        <v>1554</v>
      </c>
      <c r="H453" s="606" t="s">
        <v>1555</v>
      </c>
      <c r="I453" s="606" t="s">
        <v>1981</v>
      </c>
      <c r="J453" s="606" t="s">
        <v>1982</v>
      </c>
    </row>
    <row r="454" spans="2:10" ht="21" customHeight="1">
      <c r="B454" s="605" t="s">
        <v>2007</v>
      </c>
      <c r="C454" s="606" t="s">
        <v>8</v>
      </c>
      <c r="D454" s="605" t="s">
        <v>689</v>
      </c>
      <c r="E454" s="606" t="s">
        <v>2008</v>
      </c>
      <c r="F454" s="606" t="s">
        <v>2008</v>
      </c>
      <c r="G454" s="606" t="s">
        <v>1554</v>
      </c>
      <c r="H454" s="606" t="s">
        <v>1555</v>
      </c>
      <c r="I454" s="606" t="s">
        <v>1981</v>
      </c>
      <c r="J454" s="606" t="s">
        <v>1982</v>
      </c>
    </row>
    <row r="455" spans="2:10" ht="21" customHeight="1">
      <c r="B455" s="605" t="s">
        <v>2009</v>
      </c>
      <c r="C455" s="606" t="s">
        <v>8</v>
      </c>
      <c r="D455" s="605" t="s">
        <v>689</v>
      </c>
      <c r="E455" s="606" t="s">
        <v>2010</v>
      </c>
      <c r="F455" s="606" t="s">
        <v>2010</v>
      </c>
      <c r="G455" s="606" t="s">
        <v>1554</v>
      </c>
      <c r="H455" s="606" t="s">
        <v>1555</v>
      </c>
      <c r="I455" s="606" t="s">
        <v>1981</v>
      </c>
      <c r="J455" s="606" t="s">
        <v>1982</v>
      </c>
    </row>
    <row r="456" spans="2:10" ht="21" customHeight="1">
      <c r="B456" s="605" t="s">
        <v>2011</v>
      </c>
      <c r="C456" s="606" t="s">
        <v>8</v>
      </c>
      <c r="D456" s="605" t="s">
        <v>689</v>
      </c>
      <c r="E456" s="606" t="s">
        <v>2012</v>
      </c>
      <c r="F456" s="606" t="s">
        <v>2012</v>
      </c>
      <c r="G456" s="606" t="s">
        <v>1554</v>
      </c>
      <c r="H456" s="606" t="s">
        <v>1555</v>
      </c>
      <c r="I456" s="606" t="s">
        <v>1981</v>
      </c>
      <c r="J456" s="606" t="s">
        <v>1982</v>
      </c>
    </row>
    <row r="457" spans="2:10" ht="21" customHeight="1">
      <c r="B457" s="605" t="s">
        <v>2013</v>
      </c>
      <c r="C457" s="606" t="s">
        <v>8</v>
      </c>
      <c r="D457" s="605" t="s">
        <v>689</v>
      </c>
      <c r="E457" s="606" t="s">
        <v>2014</v>
      </c>
      <c r="F457" s="606" t="s">
        <v>2014</v>
      </c>
      <c r="G457" s="606" t="s">
        <v>1554</v>
      </c>
      <c r="H457" s="606" t="s">
        <v>1555</v>
      </c>
      <c r="I457" s="606" t="s">
        <v>1981</v>
      </c>
      <c r="J457" s="606" t="s">
        <v>1982</v>
      </c>
    </row>
    <row r="458" spans="2:10" ht="21" customHeight="1">
      <c r="B458" s="605" t="s">
        <v>2015</v>
      </c>
      <c r="C458" s="606" t="s">
        <v>8</v>
      </c>
      <c r="D458" s="605" t="s">
        <v>689</v>
      </c>
      <c r="E458" s="606" t="s">
        <v>2016</v>
      </c>
      <c r="F458" s="606" t="s">
        <v>2016</v>
      </c>
      <c r="G458" s="606" t="s">
        <v>1554</v>
      </c>
      <c r="H458" s="606" t="s">
        <v>1555</v>
      </c>
      <c r="I458" s="606" t="s">
        <v>1981</v>
      </c>
      <c r="J458" s="606" t="s">
        <v>1982</v>
      </c>
    </row>
    <row r="459" spans="2:10" ht="21" customHeight="1">
      <c r="B459" s="605" t="s">
        <v>2017</v>
      </c>
      <c r="C459" s="606" t="s">
        <v>8</v>
      </c>
      <c r="D459" s="605" t="s">
        <v>689</v>
      </c>
      <c r="E459" s="606" t="s">
        <v>2018</v>
      </c>
      <c r="F459" s="606" t="s">
        <v>2018</v>
      </c>
      <c r="G459" s="606" t="s">
        <v>1554</v>
      </c>
      <c r="H459" s="606" t="s">
        <v>1555</v>
      </c>
      <c r="I459" s="606" t="s">
        <v>1981</v>
      </c>
      <c r="J459" s="606" t="s">
        <v>1982</v>
      </c>
    </row>
    <row r="460" spans="2:10" ht="21" customHeight="1">
      <c r="B460" s="605" t="s">
        <v>2019</v>
      </c>
      <c r="C460" s="606" t="s">
        <v>8</v>
      </c>
      <c r="D460" s="605" t="s">
        <v>689</v>
      </c>
      <c r="E460" s="606" t="s">
        <v>2020</v>
      </c>
      <c r="F460" s="606" t="s">
        <v>2020</v>
      </c>
      <c r="G460" s="606" t="s">
        <v>1554</v>
      </c>
      <c r="H460" s="606" t="s">
        <v>1555</v>
      </c>
      <c r="I460" s="606" t="s">
        <v>1981</v>
      </c>
      <c r="J460" s="606" t="s">
        <v>1982</v>
      </c>
    </row>
    <row r="461" spans="2:10" ht="21" customHeight="1">
      <c r="B461" s="605" t="s">
        <v>2021</v>
      </c>
      <c r="C461" s="606" t="s">
        <v>8</v>
      </c>
      <c r="D461" s="605" t="s">
        <v>689</v>
      </c>
      <c r="E461" s="606" t="s">
        <v>2022</v>
      </c>
      <c r="F461" s="606" t="s">
        <v>2022</v>
      </c>
      <c r="G461" s="606" t="s">
        <v>1554</v>
      </c>
      <c r="H461" s="606" t="s">
        <v>1555</v>
      </c>
      <c r="I461" s="606" t="s">
        <v>1981</v>
      </c>
      <c r="J461" s="606" t="s">
        <v>1982</v>
      </c>
    </row>
    <row r="462" spans="2:10" ht="21" customHeight="1">
      <c r="B462" s="605" t="s">
        <v>2023</v>
      </c>
      <c r="C462" s="606" t="s">
        <v>8</v>
      </c>
      <c r="D462" s="605" t="s">
        <v>689</v>
      </c>
      <c r="E462" s="606" t="s">
        <v>2024</v>
      </c>
      <c r="F462" s="606" t="s">
        <v>2024</v>
      </c>
      <c r="G462" s="606" t="s">
        <v>1554</v>
      </c>
      <c r="H462" s="606" t="s">
        <v>1555</v>
      </c>
      <c r="I462" s="606" t="s">
        <v>1981</v>
      </c>
      <c r="J462" s="606" t="s">
        <v>1982</v>
      </c>
    </row>
    <row r="463" spans="2:10" ht="21" customHeight="1">
      <c r="B463" s="605" t="s">
        <v>2025</v>
      </c>
      <c r="C463" s="606" t="s">
        <v>8</v>
      </c>
      <c r="D463" s="605" t="s">
        <v>689</v>
      </c>
      <c r="E463" s="606" t="s">
        <v>2026</v>
      </c>
      <c r="F463" s="606" t="s">
        <v>2026</v>
      </c>
      <c r="G463" s="606" t="s">
        <v>1554</v>
      </c>
      <c r="H463" s="606" t="s">
        <v>1555</v>
      </c>
      <c r="I463" s="606" t="s">
        <v>1981</v>
      </c>
      <c r="J463" s="606" t="s">
        <v>1982</v>
      </c>
    </row>
    <row r="464" spans="2:10" ht="21" customHeight="1">
      <c r="B464" s="605" t="s">
        <v>2027</v>
      </c>
      <c r="C464" s="606" t="s">
        <v>8</v>
      </c>
      <c r="D464" s="605" t="s">
        <v>689</v>
      </c>
      <c r="E464" s="606" t="s">
        <v>2028</v>
      </c>
      <c r="F464" s="606" t="s">
        <v>2028</v>
      </c>
      <c r="G464" s="606" t="s">
        <v>1554</v>
      </c>
      <c r="H464" s="606" t="s">
        <v>1555</v>
      </c>
      <c r="I464" s="606" t="s">
        <v>1981</v>
      </c>
      <c r="J464" s="606" t="s">
        <v>1982</v>
      </c>
    </row>
    <row r="465" spans="2:10" ht="21" customHeight="1">
      <c r="B465" s="605" t="s">
        <v>2029</v>
      </c>
      <c r="C465" s="606" t="s">
        <v>8</v>
      </c>
      <c r="D465" s="605" t="s">
        <v>689</v>
      </c>
      <c r="E465" s="606" t="s">
        <v>2030</v>
      </c>
      <c r="F465" s="606" t="s">
        <v>2030</v>
      </c>
      <c r="G465" s="606" t="s">
        <v>1554</v>
      </c>
      <c r="H465" s="606" t="s">
        <v>1555</v>
      </c>
      <c r="I465" s="606" t="s">
        <v>1981</v>
      </c>
      <c r="J465" s="606" t="s">
        <v>1982</v>
      </c>
    </row>
    <row r="466" spans="2:10" ht="21" customHeight="1">
      <c r="B466" s="605" t="s">
        <v>2031</v>
      </c>
      <c r="C466" s="606" t="s">
        <v>8</v>
      </c>
      <c r="D466" s="605" t="s">
        <v>689</v>
      </c>
      <c r="E466" s="606" t="s">
        <v>2032</v>
      </c>
      <c r="F466" s="606" t="s">
        <v>2032</v>
      </c>
      <c r="G466" s="606" t="s">
        <v>1554</v>
      </c>
      <c r="H466" s="606" t="s">
        <v>1555</v>
      </c>
      <c r="I466" s="606" t="s">
        <v>1981</v>
      </c>
      <c r="J466" s="606" t="s">
        <v>1982</v>
      </c>
    </row>
    <row r="467" spans="2:10" ht="21" customHeight="1">
      <c r="B467" s="605" t="s">
        <v>2033</v>
      </c>
      <c r="C467" s="606" t="s">
        <v>8</v>
      </c>
      <c r="D467" s="605" t="s">
        <v>689</v>
      </c>
      <c r="E467" s="606" t="s">
        <v>2034</v>
      </c>
      <c r="F467" s="606" t="s">
        <v>2034</v>
      </c>
      <c r="G467" s="606" t="s">
        <v>1554</v>
      </c>
      <c r="H467" s="606" t="s">
        <v>1555</v>
      </c>
      <c r="I467" s="606" t="s">
        <v>1981</v>
      </c>
      <c r="J467" s="606" t="s">
        <v>1982</v>
      </c>
    </row>
    <row r="468" spans="2:10" ht="21" customHeight="1">
      <c r="B468" s="605" t="s">
        <v>2035</v>
      </c>
      <c r="C468" s="606" t="s">
        <v>8</v>
      </c>
      <c r="D468" s="605" t="s">
        <v>689</v>
      </c>
      <c r="E468" s="606" t="s">
        <v>2036</v>
      </c>
      <c r="F468" s="606" t="s">
        <v>2036</v>
      </c>
      <c r="G468" s="606" t="s">
        <v>1554</v>
      </c>
      <c r="H468" s="606" t="s">
        <v>1555</v>
      </c>
      <c r="I468" s="606" t="s">
        <v>1981</v>
      </c>
      <c r="J468" s="606" t="s">
        <v>1982</v>
      </c>
    </row>
    <row r="469" spans="2:10" ht="21" customHeight="1">
      <c r="B469" s="605" t="s">
        <v>2037</v>
      </c>
      <c r="C469" s="606" t="s">
        <v>8</v>
      </c>
      <c r="D469" s="605" t="s">
        <v>689</v>
      </c>
      <c r="E469" s="606" t="s">
        <v>2038</v>
      </c>
      <c r="F469" s="606" t="s">
        <v>2038</v>
      </c>
      <c r="G469" s="606" t="s">
        <v>1554</v>
      </c>
      <c r="H469" s="606" t="s">
        <v>1555</v>
      </c>
      <c r="I469" s="606" t="s">
        <v>1981</v>
      </c>
      <c r="J469" s="606" t="s">
        <v>1982</v>
      </c>
    </row>
    <row r="470" spans="2:10" ht="21" customHeight="1">
      <c r="B470" s="605" t="s">
        <v>2039</v>
      </c>
      <c r="C470" s="606" t="s">
        <v>8</v>
      </c>
      <c r="D470" s="605" t="s">
        <v>689</v>
      </c>
      <c r="E470" s="606" t="s">
        <v>2040</v>
      </c>
      <c r="F470" s="606" t="s">
        <v>2040</v>
      </c>
      <c r="G470" s="606" t="s">
        <v>1554</v>
      </c>
      <c r="H470" s="606" t="s">
        <v>1555</v>
      </c>
      <c r="I470" s="606" t="s">
        <v>1981</v>
      </c>
      <c r="J470" s="606" t="s">
        <v>1982</v>
      </c>
    </row>
    <row r="471" spans="2:10" ht="21" customHeight="1">
      <c r="B471" s="605" t="s">
        <v>2041</v>
      </c>
      <c r="C471" s="606" t="s">
        <v>8</v>
      </c>
      <c r="D471" s="605" t="s">
        <v>689</v>
      </c>
      <c r="E471" s="606" t="s">
        <v>2042</v>
      </c>
      <c r="F471" s="606" t="s">
        <v>2042</v>
      </c>
      <c r="G471" s="606" t="s">
        <v>1554</v>
      </c>
      <c r="H471" s="606" t="s">
        <v>1555</v>
      </c>
      <c r="I471" s="606" t="s">
        <v>1981</v>
      </c>
      <c r="J471" s="606" t="s">
        <v>1982</v>
      </c>
    </row>
    <row r="472" spans="2:10" ht="21" customHeight="1">
      <c r="B472" s="605" t="s">
        <v>2043</v>
      </c>
      <c r="C472" s="606" t="s">
        <v>8</v>
      </c>
      <c r="D472" s="605" t="s">
        <v>689</v>
      </c>
      <c r="E472" s="606" t="s">
        <v>2044</v>
      </c>
      <c r="F472" s="606" t="s">
        <v>2044</v>
      </c>
      <c r="G472" s="606" t="s">
        <v>1554</v>
      </c>
      <c r="H472" s="606" t="s">
        <v>1555</v>
      </c>
      <c r="I472" s="606" t="s">
        <v>1981</v>
      </c>
      <c r="J472" s="606" t="s">
        <v>1982</v>
      </c>
    </row>
    <row r="473" spans="2:10" ht="21" customHeight="1">
      <c r="B473" s="605" t="s">
        <v>2045</v>
      </c>
      <c r="C473" s="606" t="s">
        <v>8</v>
      </c>
      <c r="D473" s="605" t="s">
        <v>689</v>
      </c>
      <c r="E473" s="606" t="s">
        <v>2046</v>
      </c>
      <c r="F473" s="606" t="s">
        <v>2046</v>
      </c>
      <c r="G473" s="606" t="s">
        <v>1554</v>
      </c>
      <c r="H473" s="606" t="s">
        <v>1555</v>
      </c>
      <c r="I473" s="606" t="s">
        <v>1981</v>
      </c>
      <c r="J473" s="606" t="s">
        <v>1982</v>
      </c>
    </row>
    <row r="474" spans="2:10" ht="21" customHeight="1">
      <c r="B474" s="605" t="s">
        <v>2047</v>
      </c>
      <c r="C474" s="606" t="s">
        <v>8</v>
      </c>
      <c r="D474" s="605" t="s">
        <v>689</v>
      </c>
      <c r="E474" s="606" t="s">
        <v>2048</v>
      </c>
      <c r="F474" s="606" t="s">
        <v>2048</v>
      </c>
      <c r="G474" s="606" t="s">
        <v>1554</v>
      </c>
      <c r="H474" s="606" t="s">
        <v>1555</v>
      </c>
      <c r="I474" s="606" t="s">
        <v>1981</v>
      </c>
      <c r="J474" s="606" t="s">
        <v>1982</v>
      </c>
    </row>
    <row r="475" spans="2:10" ht="21" customHeight="1">
      <c r="B475" s="605" t="s">
        <v>2049</v>
      </c>
      <c r="C475" s="606" t="s">
        <v>8</v>
      </c>
      <c r="D475" s="605" t="s">
        <v>689</v>
      </c>
      <c r="E475" s="606" t="s">
        <v>2050</v>
      </c>
      <c r="F475" s="606" t="s">
        <v>2050</v>
      </c>
      <c r="G475" s="606" t="s">
        <v>1554</v>
      </c>
      <c r="H475" s="606" t="s">
        <v>1555</v>
      </c>
      <c r="I475" s="606" t="s">
        <v>1981</v>
      </c>
      <c r="J475" s="606" t="s">
        <v>1982</v>
      </c>
    </row>
    <row r="476" spans="2:10" ht="21" customHeight="1">
      <c r="B476" s="605" t="s">
        <v>2051</v>
      </c>
      <c r="C476" s="606" t="s">
        <v>8</v>
      </c>
      <c r="D476" s="605" t="s">
        <v>689</v>
      </c>
      <c r="E476" s="606" t="s">
        <v>2052</v>
      </c>
      <c r="F476" s="606" t="s">
        <v>2052</v>
      </c>
      <c r="G476" s="606" t="s">
        <v>1554</v>
      </c>
      <c r="H476" s="606" t="s">
        <v>1555</v>
      </c>
      <c r="I476" s="606" t="s">
        <v>1981</v>
      </c>
      <c r="J476" s="606" t="s">
        <v>1982</v>
      </c>
    </row>
    <row r="477" spans="2:10" ht="21" customHeight="1">
      <c r="B477" s="605" t="s">
        <v>2053</v>
      </c>
      <c r="C477" s="606" t="s">
        <v>8</v>
      </c>
      <c r="D477" s="605" t="s">
        <v>689</v>
      </c>
      <c r="E477" s="606" t="s">
        <v>2054</v>
      </c>
      <c r="F477" s="606" t="s">
        <v>2054</v>
      </c>
      <c r="G477" s="606" t="s">
        <v>1554</v>
      </c>
      <c r="H477" s="606" t="s">
        <v>1555</v>
      </c>
      <c r="I477" s="606" t="s">
        <v>1981</v>
      </c>
      <c r="J477" s="606" t="s">
        <v>1982</v>
      </c>
    </row>
    <row r="478" spans="2:10" ht="21" customHeight="1">
      <c r="B478" s="605" t="s">
        <v>2055</v>
      </c>
      <c r="C478" s="606" t="s">
        <v>8</v>
      </c>
      <c r="D478" s="605" t="s">
        <v>689</v>
      </c>
      <c r="E478" s="606" t="s">
        <v>2056</v>
      </c>
      <c r="F478" s="606" t="s">
        <v>2056</v>
      </c>
      <c r="G478" s="606" t="s">
        <v>1554</v>
      </c>
      <c r="H478" s="606" t="s">
        <v>1555</v>
      </c>
      <c r="I478" s="606" t="s">
        <v>1981</v>
      </c>
      <c r="J478" s="606" t="s">
        <v>1982</v>
      </c>
    </row>
    <row r="479" spans="2:10" ht="21" customHeight="1">
      <c r="B479" s="605" t="s">
        <v>2057</v>
      </c>
      <c r="C479" s="606" t="s">
        <v>8</v>
      </c>
      <c r="D479" s="605" t="s">
        <v>689</v>
      </c>
      <c r="E479" s="606" t="s">
        <v>2058</v>
      </c>
      <c r="F479" s="606" t="s">
        <v>2058</v>
      </c>
      <c r="G479" s="606" t="s">
        <v>1554</v>
      </c>
      <c r="H479" s="606" t="s">
        <v>1555</v>
      </c>
      <c r="I479" s="606" t="s">
        <v>1981</v>
      </c>
      <c r="J479" s="606" t="s">
        <v>1982</v>
      </c>
    </row>
    <row r="480" spans="2:10" ht="21" customHeight="1">
      <c r="B480" s="605" t="s">
        <v>2059</v>
      </c>
      <c r="C480" s="606" t="s">
        <v>8</v>
      </c>
      <c r="D480" s="605" t="s">
        <v>689</v>
      </c>
      <c r="E480" s="606" t="s">
        <v>2060</v>
      </c>
      <c r="F480" s="606" t="s">
        <v>2060</v>
      </c>
      <c r="G480" s="606" t="s">
        <v>1554</v>
      </c>
      <c r="H480" s="606" t="s">
        <v>1555</v>
      </c>
      <c r="I480" s="606" t="s">
        <v>1981</v>
      </c>
      <c r="J480" s="606" t="s">
        <v>1982</v>
      </c>
    </row>
    <row r="481" spans="2:10" ht="21" customHeight="1">
      <c r="B481" s="605" t="s">
        <v>2061</v>
      </c>
      <c r="C481" s="606" t="s">
        <v>8</v>
      </c>
      <c r="D481" s="605" t="s">
        <v>689</v>
      </c>
      <c r="E481" s="606" t="s">
        <v>2062</v>
      </c>
      <c r="F481" s="606" t="s">
        <v>1018</v>
      </c>
      <c r="G481" s="606" t="s">
        <v>1085</v>
      </c>
      <c r="H481" s="606" t="s">
        <v>2063</v>
      </c>
      <c r="I481" s="606" t="s">
        <v>1087</v>
      </c>
      <c r="J481" s="606" t="s">
        <v>1088</v>
      </c>
    </row>
    <row r="482" spans="2:10" ht="21" customHeight="1">
      <c r="B482" s="605" t="s">
        <v>2064</v>
      </c>
      <c r="C482" s="606" t="s">
        <v>8</v>
      </c>
      <c r="D482" s="605" t="s">
        <v>689</v>
      </c>
      <c r="E482" s="606" t="s">
        <v>134</v>
      </c>
      <c r="F482" s="606" t="s">
        <v>134</v>
      </c>
      <c r="G482" s="606" t="s">
        <v>1554</v>
      </c>
      <c r="H482" s="606" t="s">
        <v>1555</v>
      </c>
      <c r="I482" s="606" t="s">
        <v>1981</v>
      </c>
      <c r="J482" s="606" t="s">
        <v>1982</v>
      </c>
    </row>
    <row r="483" spans="2:10" ht="21" customHeight="1">
      <c r="B483" s="605" t="s">
        <v>2065</v>
      </c>
      <c r="C483" s="606" t="s">
        <v>8</v>
      </c>
      <c r="D483" s="605" t="s">
        <v>689</v>
      </c>
      <c r="E483" s="606" t="s">
        <v>2066</v>
      </c>
      <c r="F483" s="606" t="s">
        <v>2066</v>
      </c>
      <c r="G483" s="606" t="s">
        <v>1554</v>
      </c>
      <c r="H483" s="606" t="s">
        <v>1555</v>
      </c>
      <c r="I483" s="606" t="s">
        <v>1981</v>
      </c>
      <c r="J483" s="606" t="s">
        <v>1982</v>
      </c>
    </row>
    <row r="484" spans="2:10" ht="21" customHeight="1">
      <c r="B484" s="605" t="s">
        <v>2067</v>
      </c>
      <c r="C484" s="606" t="s">
        <v>8</v>
      </c>
      <c r="D484" s="605" t="s">
        <v>689</v>
      </c>
      <c r="E484" s="606" t="s">
        <v>2068</v>
      </c>
      <c r="F484" s="606" t="s">
        <v>2068</v>
      </c>
      <c r="G484" s="606" t="s">
        <v>1554</v>
      </c>
      <c r="H484" s="606" t="s">
        <v>1555</v>
      </c>
      <c r="I484" s="606" t="s">
        <v>1981</v>
      </c>
      <c r="J484" s="606" t="s">
        <v>1982</v>
      </c>
    </row>
    <row r="485" spans="2:10" ht="21" customHeight="1">
      <c r="B485" s="605" t="s">
        <v>2069</v>
      </c>
      <c r="C485" s="606" t="s">
        <v>8</v>
      </c>
      <c r="D485" s="605" t="s">
        <v>689</v>
      </c>
      <c r="E485" s="606" t="s">
        <v>2070</v>
      </c>
      <c r="F485" s="606" t="s">
        <v>2070</v>
      </c>
      <c r="G485" s="606" t="s">
        <v>1554</v>
      </c>
      <c r="H485" s="606" t="s">
        <v>1555</v>
      </c>
      <c r="I485" s="606" t="s">
        <v>1981</v>
      </c>
      <c r="J485" s="606" t="s">
        <v>1982</v>
      </c>
    </row>
    <row r="486" spans="2:10" ht="21" customHeight="1">
      <c r="B486" s="605" t="s">
        <v>2071</v>
      </c>
      <c r="C486" s="606" t="s">
        <v>8</v>
      </c>
      <c r="D486" s="605" t="s">
        <v>689</v>
      </c>
      <c r="E486" s="606" t="s">
        <v>2072</v>
      </c>
      <c r="F486" s="606" t="s">
        <v>2072</v>
      </c>
      <c r="G486" s="606" t="s">
        <v>1554</v>
      </c>
      <c r="H486" s="606" t="s">
        <v>1555</v>
      </c>
      <c r="I486" s="606" t="s">
        <v>1981</v>
      </c>
      <c r="J486" s="606" t="s">
        <v>1982</v>
      </c>
    </row>
    <row r="487" spans="2:10" ht="21" customHeight="1">
      <c r="B487" s="605" t="s">
        <v>2073</v>
      </c>
      <c r="C487" s="606" t="s">
        <v>8</v>
      </c>
      <c r="D487" s="605" t="s">
        <v>689</v>
      </c>
      <c r="E487" s="606" t="s">
        <v>2074</v>
      </c>
      <c r="F487" s="606" t="s">
        <v>2074</v>
      </c>
      <c r="G487" s="606" t="s">
        <v>1554</v>
      </c>
      <c r="H487" s="606" t="s">
        <v>1555</v>
      </c>
      <c r="I487" s="606" t="s">
        <v>1981</v>
      </c>
      <c r="J487" s="606" t="s">
        <v>1982</v>
      </c>
    </row>
    <row r="488" spans="2:10" ht="21" customHeight="1">
      <c r="B488" s="605" t="s">
        <v>2075</v>
      </c>
      <c r="C488" s="606" t="s">
        <v>8</v>
      </c>
      <c r="D488" s="605" t="s">
        <v>689</v>
      </c>
      <c r="E488" s="606" t="s">
        <v>2076</v>
      </c>
      <c r="F488" s="606" t="s">
        <v>2076</v>
      </c>
      <c r="G488" s="606" t="s">
        <v>1554</v>
      </c>
      <c r="H488" s="606" t="s">
        <v>1555</v>
      </c>
      <c r="I488" s="606" t="s">
        <v>1981</v>
      </c>
      <c r="J488" s="606" t="s">
        <v>1982</v>
      </c>
    </row>
    <row r="489" spans="2:10" ht="21" customHeight="1">
      <c r="B489" s="605" t="s">
        <v>2077</v>
      </c>
      <c r="C489" s="606" t="s">
        <v>8</v>
      </c>
      <c r="D489" s="605" t="s">
        <v>689</v>
      </c>
      <c r="E489" s="606" t="s">
        <v>2078</v>
      </c>
      <c r="F489" s="606" t="s">
        <v>2078</v>
      </c>
      <c r="G489" s="606" t="s">
        <v>1151</v>
      </c>
      <c r="H489" s="606" t="s">
        <v>1152</v>
      </c>
      <c r="I489" s="606" t="s">
        <v>1087</v>
      </c>
      <c r="J489" s="606" t="s">
        <v>1153</v>
      </c>
    </row>
    <row r="490" spans="2:10" ht="21" customHeight="1">
      <c r="B490" s="605" t="s">
        <v>2079</v>
      </c>
      <c r="C490" s="606" t="s">
        <v>8</v>
      </c>
      <c r="D490" s="605" t="s">
        <v>689</v>
      </c>
      <c r="E490" s="606" t="s">
        <v>355</v>
      </c>
      <c r="F490" s="606" t="s">
        <v>355</v>
      </c>
      <c r="G490" s="606" t="s">
        <v>1151</v>
      </c>
      <c r="H490" s="606" t="s">
        <v>1152</v>
      </c>
      <c r="I490" s="606" t="s">
        <v>1087</v>
      </c>
      <c r="J490" s="606" t="s">
        <v>1153</v>
      </c>
    </row>
    <row r="491" spans="2:10" ht="21" customHeight="1">
      <c r="B491" s="605" t="s">
        <v>2080</v>
      </c>
      <c r="C491" s="606" t="s">
        <v>8</v>
      </c>
      <c r="D491" s="605" t="s">
        <v>689</v>
      </c>
      <c r="E491" s="606" t="s">
        <v>2081</v>
      </c>
      <c r="F491" s="606" t="s">
        <v>2081</v>
      </c>
      <c r="G491" s="606" t="s">
        <v>1554</v>
      </c>
      <c r="H491" s="606" t="s">
        <v>1555</v>
      </c>
      <c r="I491" s="606" t="s">
        <v>1981</v>
      </c>
      <c r="J491" s="606" t="s">
        <v>1982</v>
      </c>
    </row>
    <row r="492" spans="2:10" ht="21" customHeight="1">
      <c r="B492" s="605" t="s">
        <v>2082</v>
      </c>
      <c r="C492" s="606" t="s">
        <v>8</v>
      </c>
      <c r="D492" s="605" t="s">
        <v>689</v>
      </c>
      <c r="E492" s="606" t="s">
        <v>2083</v>
      </c>
      <c r="F492" s="606" t="s">
        <v>2083</v>
      </c>
      <c r="G492" s="606" t="s">
        <v>1554</v>
      </c>
      <c r="H492" s="606" t="s">
        <v>1555</v>
      </c>
      <c r="I492" s="606" t="s">
        <v>1981</v>
      </c>
      <c r="J492" s="606" t="s">
        <v>1982</v>
      </c>
    </row>
    <row r="493" spans="2:10" ht="21" customHeight="1">
      <c r="B493" s="605" t="s">
        <v>2084</v>
      </c>
      <c r="C493" s="606" t="s">
        <v>8</v>
      </c>
      <c r="D493" s="605" t="s">
        <v>689</v>
      </c>
      <c r="E493" s="606" t="s">
        <v>1019</v>
      </c>
      <c r="F493" s="606" t="s">
        <v>1019</v>
      </c>
      <c r="G493" s="606" t="s">
        <v>1554</v>
      </c>
      <c r="H493" s="606" t="s">
        <v>1555</v>
      </c>
      <c r="I493" s="606" t="s">
        <v>1981</v>
      </c>
      <c r="J493" s="606" t="s">
        <v>1982</v>
      </c>
    </row>
    <row r="494" spans="2:10" ht="21" customHeight="1">
      <c r="B494" s="605" t="s">
        <v>2085</v>
      </c>
      <c r="C494" s="606" t="s">
        <v>8</v>
      </c>
      <c r="D494" s="605" t="s">
        <v>689</v>
      </c>
      <c r="E494" s="606" t="s">
        <v>2086</v>
      </c>
      <c r="F494" s="606" t="s">
        <v>2086</v>
      </c>
      <c r="G494" s="606" t="s">
        <v>1554</v>
      </c>
      <c r="H494" s="606" t="s">
        <v>1555</v>
      </c>
      <c r="I494" s="606" t="s">
        <v>1981</v>
      </c>
      <c r="J494" s="606" t="s">
        <v>1982</v>
      </c>
    </row>
    <row r="495" spans="2:10" ht="21" customHeight="1">
      <c r="B495" s="605" t="s">
        <v>2087</v>
      </c>
      <c r="C495" s="606" t="s">
        <v>8</v>
      </c>
      <c r="D495" s="605" t="s">
        <v>689</v>
      </c>
      <c r="E495" s="606" t="s">
        <v>2088</v>
      </c>
      <c r="F495" s="606" t="s">
        <v>2088</v>
      </c>
      <c r="G495" s="606" t="s">
        <v>1554</v>
      </c>
      <c r="H495" s="606" t="s">
        <v>1555</v>
      </c>
      <c r="I495" s="606" t="s">
        <v>1981</v>
      </c>
      <c r="J495" s="606" t="s">
        <v>1982</v>
      </c>
    </row>
    <row r="496" spans="2:10" ht="21" customHeight="1">
      <c r="B496" s="605" t="s">
        <v>2089</v>
      </c>
      <c r="C496" s="606" t="s">
        <v>8</v>
      </c>
      <c r="D496" s="605" t="s">
        <v>689</v>
      </c>
      <c r="E496" s="606" t="s">
        <v>2090</v>
      </c>
      <c r="F496" s="606" t="s">
        <v>2090</v>
      </c>
      <c r="G496" s="606" t="s">
        <v>1554</v>
      </c>
      <c r="H496" s="606" t="s">
        <v>1555</v>
      </c>
      <c r="I496" s="606" t="s">
        <v>1981</v>
      </c>
      <c r="J496" s="606" t="s">
        <v>1982</v>
      </c>
    </row>
    <row r="497" spans="2:10" ht="21" customHeight="1">
      <c r="B497" s="605" t="s">
        <v>2091</v>
      </c>
      <c r="C497" s="606" t="s">
        <v>8</v>
      </c>
      <c r="D497" s="605" t="s">
        <v>689</v>
      </c>
      <c r="E497" s="606" t="s">
        <v>2092</v>
      </c>
      <c r="F497" s="606" t="s">
        <v>2092</v>
      </c>
      <c r="G497" s="606" t="s">
        <v>1554</v>
      </c>
      <c r="H497" s="606" t="s">
        <v>1555</v>
      </c>
      <c r="I497" s="606" t="s">
        <v>1981</v>
      </c>
      <c r="J497" s="606" t="s">
        <v>1982</v>
      </c>
    </row>
    <row r="498" spans="2:10" ht="21" customHeight="1">
      <c r="B498" s="605" t="s">
        <v>2093</v>
      </c>
      <c r="C498" s="606" t="s">
        <v>8</v>
      </c>
      <c r="D498" s="605" t="s">
        <v>689</v>
      </c>
      <c r="E498" s="606" t="s">
        <v>2094</v>
      </c>
      <c r="F498" s="606" t="s">
        <v>2094</v>
      </c>
      <c r="G498" s="606" t="s">
        <v>1554</v>
      </c>
      <c r="H498" s="606" t="s">
        <v>1555</v>
      </c>
      <c r="I498" s="606" t="s">
        <v>1981</v>
      </c>
      <c r="J498" s="606" t="s">
        <v>1982</v>
      </c>
    </row>
    <row r="499" spans="2:10" ht="21" customHeight="1">
      <c r="B499" s="605" t="s">
        <v>2095</v>
      </c>
      <c r="C499" s="606" t="s">
        <v>8</v>
      </c>
      <c r="D499" s="605" t="s">
        <v>689</v>
      </c>
      <c r="E499" s="606" t="s">
        <v>2096</v>
      </c>
      <c r="F499" s="606" t="s">
        <v>2096</v>
      </c>
      <c r="G499" s="606" t="s">
        <v>1554</v>
      </c>
      <c r="H499" s="606" t="s">
        <v>1555</v>
      </c>
      <c r="I499" s="606" t="s">
        <v>1981</v>
      </c>
      <c r="J499" s="606" t="s">
        <v>1982</v>
      </c>
    </row>
    <row r="500" spans="2:10" ht="21" customHeight="1">
      <c r="B500" s="605" t="s">
        <v>2097</v>
      </c>
      <c r="C500" s="606" t="s">
        <v>8</v>
      </c>
      <c r="D500" s="605" t="s">
        <v>689</v>
      </c>
      <c r="E500" s="606" t="s">
        <v>2098</v>
      </c>
      <c r="F500" s="606" t="s">
        <v>2098</v>
      </c>
      <c r="G500" s="606" t="s">
        <v>1554</v>
      </c>
      <c r="H500" s="606" t="s">
        <v>1555</v>
      </c>
      <c r="I500" s="606" t="s">
        <v>1981</v>
      </c>
      <c r="J500" s="606" t="s">
        <v>1982</v>
      </c>
    </row>
    <row r="501" spans="2:10" ht="21" customHeight="1">
      <c r="B501" s="605" t="s">
        <v>2099</v>
      </c>
      <c r="C501" s="606" t="s">
        <v>8</v>
      </c>
      <c r="D501" s="605" t="s">
        <v>689</v>
      </c>
      <c r="E501" s="606" t="s">
        <v>2100</v>
      </c>
      <c r="F501" s="606" t="s">
        <v>2100</v>
      </c>
      <c r="G501" s="606" t="s">
        <v>1554</v>
      </c>
      <c r="H501" s="606" t="s">
        <v>1555</v>
      </c>
      <c r="I501" s="606" t="s">
        <v>1981</v>
      </c>
      <c r="J501" s="606" t="s">
        <v>1982</v>
      </c>
    </row>
    <row r="502" spans="2:10" ht="21" customHeight="1">
      <c r="B502" s="605" t="s">
        <v>2101</v>
      </c>
      <c r="C502" s="606" t="s">
        <v>8</v>
      </c>
      <c r="D502" s="605" t="s">
        <v>689</v>
      </c>
      <c r="E502" s="606" t="s">
        <v>2102</v>
      </c>
      <c r="F502" s="606" t="s">
        <v>2102</v>
      </c>
      <c r="G502" s="606" t="s">
        <v>1554</v>
      </c>
      <c r="H502" s="606" t="s">
        <v>1555</v>
      </c>
      <c r="I502" s="606" t="s">
        <v>1981</v>
      </c>
      <c r="J502" s="606" t="s">
        <v>1982</v>
      </c>
    </row>
    <row r="503" spans="2:10" ht="21" customHeight="1">
      <c r="B503" s="605" t="s">
        <v>2103</v>
      </c>
      <c r="C503" s="606" t="s">
        <v>8</v>
      </c>
      <c r="D503" s="605" t="s">
        <v>689</v>
      </c>
      <c r="E503" s="606" t="s">
        <v>2104</v>
      </c>
      <c r="F503" s="606" t="s">
        <v>2104</v>
      </c>
      <c r="G503" s="606" t="s">
        <v>1554</v>
      </c>
      <c r="H503" s="606" t="s">
        <v>1555</v>
      </c>
      <c r="I503" s="606" t="s">
        <v>1981</v>
      </c>
      <c r="J503" s="606" t="s">
        <v>1982</v>
      </c>
    </row>
    <row r="504" spans="2:10" ht="21" customHeight="1">
      <c r="B504" s="605" t="s">
        <v>2105</v>
      </c>
      <c r="C504" s="606" t="s">
        <v>8</v>
      </c>
      <c r="D504" s="605" t="s">
        <v>689</v>
      </c>
      <c r="E504" s="606" t="s">
        <v>2106</v>
      </c>
      <c r="F504" s="606" t="s">
        <v>2106</v>
      </c>
      <c r="G504" s="606" t="s">
        <v>1554</v>
      </c>
      <c r="H504" s="606" t="s">
        <v>1555</v>
      </c>
      <c r="I504" s="606" t="s">
        <v>1981</v>
      </c>
      <c r="J504" s="606" t="s">
        <v>1982</v>
      </c>
    </row>
    <row r="505" spans="2:10" ht="21" customHeight="1">
      <c r="B505" s="605" t="s">
        <v>2107</v>
      </c>
      <c r="C505" s="606" t="s">
        <v>8</v>
      </c>
      <c r="D505" s="605" t="s">
        <v>689</v>
      </c>
      <c r="E505" s="606" t="s">
        <v>2108</v>
      </c>
      <c r="F505" s="606" t="s">
        <v>2108</v>
      </c>
      <c r="G505" s="606" t="s">
        <v>1554</v>
      </c>
      <c r="H505" s="606" t="s">
        <v>1555</v>
      </c>
      <c r="I505" s="606" t="s">
        <v>1981</v>
      </c>
      <c r="J505" s="606" t="s">
        <v>1982</v>
      </c>
    </row>
    <row r="506" spans="2:10" ht="21" customHeight="1">
      <c r="B506" s="605" t="s">
        <v>2109</v>
      </c>
      <c r="C506" s="606" t="s">
        <v>8</v>
      </c>
      <c r="D506" s="605" t="s">
        <v>689</v>
      </c>
      <c r="E506" s="606" t="s">
        <v>2110</v>
      </c>
      <c r="F506" s="606" t="s">
        <v>2110</v>
      </c>
      <c r="G506" s="606" t="s">
        <v>1554</v>
      </c>
      <c r="H506" s="606" t="s">
        <v>1555</v>
      </c>
      <c r="I506" s="606" t="s">
        <v>1981</v>
      </c>
      <c r="J506" s="606" t="s">
        <v>1982</v>
      </c>
    </row>
    <row r="507" spans="2:10" ht="21" customHeight="1">
      <c r="B507" s="605" t="s">
        <v>2111</v>
      </c>
      <c r="C507" s="606" t="s">
        <v>8</v>
      </c>
      <c r="D507" s="605" t="s">
        <v>689</v>
      </c>
      <c r="E507" s="606" t="s">
        <v>2112</v>
      </c>
      <c r="F507" s="606" t="s">
        <v>2112</v>
      </c>
      <c r="G507" s="606" t="s">
        <v>1554</v>
      </c>
      <c r="H507" s="606" t="s">
        <v>1555</v>
      </c>
      <c r="I507" s="606" t="s">
        <v>1981</v>
      </c>
      <c r="J507" s="606" t="s">
        <v>1982</v>
      </c>
    </row>
    <row r="508" spans="2:10" ht="21" customHeight="1">
      <c r="B508" s="605" t="s">
        <v>2113</v>
      </c>
      <c r="C508" s="606" t="s">
        <v>8</v>
      </c>
      <c r="D508" s="605" t="s">
        <v>689</v>
      </c>
      <c r="E508" s="606" t="s">
        <v>165</v>
      </c>
      <c r="F508" s="606" t="s">
        <v>165</v>
      </c>
      <c r="G508" s="606" t="s">
        <v>1554</v>
      </c>
      <c r="H508" s="606" t="s">
        <v>1555</v>
      </c>
      <c r="I508" s="606" t="s">
        <v>1981</v>
      </c>
      <c r="J508" s="606" t="s">
        <v>1982</v>
      </c>
    </row>
    <row r="509" spans="2:10" ht="21" customHeight="1">
      <c r="B509" s="605" t="s">
        <v>2114</v>
      </c>
      <c r="C509" s="606" t="s">
        <v>8</v>
      </c>
      <c r="D509" s="605" t="s">
        <v>689</v>
      </c>
      <c r="E509" s="606" t="s">
        <v>2115</v>
      </c>
      <c r="F509" s="606" t="s">
        <v>2115</v>
      </c>
      <c r="G509" s="606" t="s">
        <v>1554</v>
      </c>
      <c r="H509" s="606" t="s">
        <v>1555</v>
      </c>
      <c r="I509" s="606" t="s">
        <v>1981</v>
      </c>
      <c r="J509" s="606" t="s">
        <v>1982</v>
      </c>
    </row>
    <row r="510" spans="2:10" ht="21" customHeight="1">
      <c r="B510" s="605" t="s">
        <v>2116</v>
      </c>
      <c r="C510" s="606" t="s">
        <v>8</v>
      </c>
      <c r="D510" s="605" t="s">
        <v>689</v>
      </c>
      <c r="E510" s="606" t="s">
        <v>2117</v>
      </c>
      <c r="F510" s="606" t="s">
        <v>2117</v>
      </c>
      <c r="G510" s="606" t="s">
        <v>1554</v>
      </c>
      <c r="H510" s="606" t="s">
        <v>1555</v>
      </c>
      <c r="I510" s="606" t="s">
        <v>1981</v>
      </c>
      <c r="J510" s="606" t="s">
        <v>1982</v>
      </c>
    </row>
    <row r="511" spans="2:10" ht="21" customHeight="1">
      <c r="B511" s="605" t="s">
        <v>2118</v>
      </c>
      <c r="C511" s="606" t="s">
        <v>8</v>
      </c>
      <c r="D511" s="605" t="s">
        <v>689</v>
      </c>
      <c r="E511" s="606" t="s">
        <v>2119</v>
      </c>
      <c r="F511" s="606" t="s">
        <v>2119</v>
      </c>
      <c r="G511" s="606" t="s">
        <v>1554</v>
      </c>
      <c r="H511" s="606" t="s">
        <v>1555</v>
      </c>
      <c r="I511" s="606" t="s">
        <v>1981</v>
      </c>
      <c r="J511" s="606" t="s">
        <v>1982</v>
      </c>
    </row>
    <row r="512" spans="2:10" ht="21" customHeight="1">
      <c r="B512" s="605" t="s">
        <v>2120</v>
      </c>
      <c r="C512" s="606" t="s">
        <v>8</v>
      </c>
      <c r="D512" s="605" t="s">
        <v>689</v>
      </c>
      <c r="E512" s="606" t="s">
        <v>2121</v>
      </c>
      <c r="F512" s="606" t="s">
        <v>2121</v>
      </c>
      <c r="G512" s="606" t="s">
        <v>1554</v>
      </c>
      <c r="H512" s="606" t="s">
        <v>1555</v>
      </c>
      <c r="I512" s="606" t="s">
        <v>1981</v>
      </c>
      <c r="J512" s="606" t="s">
        <v>1982</v>
      </c>
    </row>
    <row r="513" spans="2:10" ht="21" customHeight="1">
      <c r="B513" s="605" t="s">
        <v>2122</v>
      </c>
      <c r="C513" s="606" t="s">
        <v>8</v>
      </c>
      <c r="D513" s="605" t="s">
        <v>689</v>
      </c>
      <c r="E513" s="606" t="s">
        <v>2123</v>
      </c>
      <c r="F513" s="606" t="s">
        <v>2123</v>
      </c>
      <c r="G513" s="606" t="s">
        <v>1554</v>
      </c>
      <c r="H513" s="606" t="s">
        <v>1555</v>
      </c>
      <c r="I513" s="606" t="s">
        <v>1981</v>
      </c>
      <c r="J513" s="606" t="s">
        <v>1982</v>
      </c>
    </row>
    <row r="514" spans="2:10" ht="21" customHeight="1">
      <c r="B514" s="605" t="s">
        <v>2124</v>
      </c>
      <c r="C514" s="606" t="s">
        <v>8</v>
      </c>
      <c r="D514" s="605" t="s">
        <v>689</v>
      </c>
      <c r="E514" s="606" t="s">
        <v>2125</v>
      </c>
      <c r="F514" s="606" t="s">
        <v>2125</v>
      </c>
      <c r="G514" s="606" t="s">
        <v>1554</v>
      </c>
      <c r="H514" s="606" t="s">
        <v>1555</v>
      </c>
      <c r="I514" s="606" t="s">
        <v>1981</v>
      </c>
      <c r="J514" s="606" t="s">
        <v>1982</v>
      </c>
    </row>
    <row r="515" spans="2:10" ht="21" customHeight="1">
      <c r="B515" s="605" t="s">
        <v>2126</v>
      </c>
      <c r="C515" s="606" t="s">
        <v>8</v>
      </c>
      <c r="D515" s="605" t="s">
        <v>689</v>
      </c>
      <c r="E515" s="606" t="s">
        <v>2127</v>
      </c>
      <c r="F515" s="606" t="s">
        <v>2127</v>
      </c>
      <c r="G515" s="606" t="s">
        <v>1554</v>
      </c>
      <c r="H515" s="606" t="s">
        <v>1555</v>
      </c>
      <c r="I515" s="606" t="s">
        <v>1981</v>
      </c>
      <c r="J515" s="606" t="s">
        <v>1982</v>
      </c>
    </row>
    <row r="516" spans="2:10" ht="21" customHeight="1">
      <c r="B516" s="605" t="s">
        <v>2128</v>
      </c>
      <c r="C516" s="606" t="s">
        <v>8</v>
      </c>
      <c r="D516" s="605" t="s">
        <v>689</v>
      </c>
      <c r="E516" s="606" t="s">
        <v>2129</v>
      </c>
      <c r="F516" s="606" t="s">
        <v>2129</v>
      </c>
      <c r="G516" s="606" t="s">
        <v>1554</v>
      </c>
      <c r="H516" s="606" t="s">
        <v>1555</v>
      </c>
      <c r="I516" s="606" t="s">
        <v>1981</v>
      </c>
      <c r="J516" s="606" t="s">
        <v>1982</v>
      </c>
    </row>
    <row r="517" spans="2:10" ht="21" customHeight="1">
      <c r="B517" s="605" t="s">
        <v>2130</v>
      </c>
      <c r="C517" s="606" t="s">
        <v>8</v>
      </c>
      <c r="D517" s="605" t="s">
        <v>689</v>
      </c>
      <c r="E517" s="606" t="s">
        <v>2131</v>
      </c>
      <c r="F517" s="606" t="s">
        <v>2131</v>
      </c>
      <c r="G517" s="606" t="s">
        <v>1554</v>
      </c>
      <c r="H517" s="606" t="s">
        <v>1555</v>
      </c>
      <c r="I517" s="606" t="s">
        <v>1981</v>
      </c>
      <c r="J517" s="606" t="s">
        <v>1982</v>
      </c>
    </row>
    <row r="518" spans="2:10" ht="21" customHeight="1">
      <c r="B518" s="605" t="s">
        <v>2132</v>
      </c>
      <c r="C518" s="606" t="s">
        <v>8</v>
      </c>
      <c r="D518" s="605" t="s">
        <v>689</v>
      </c>
      <c r="E518" s="606" t="s">
        <v>2133</v>
      </c>
      <c r="F518" s="606" t="s">
        <v>2133</v>
      </c>
      <c r="G518" s="606" t="s">
        <v>1554</v>
      </c>
      <c r="H518" s="606" t="s">
        <v>1555</v>
      </c>
      <c r="I518" s="606" t="s">
        <v>1981</v>
      </c>
      <c r="J518" s="606" t="s">
        <v>1982</v>
      </c>
    </row>
    <row r="519" spans="2:10" ht="21" customHeight="1">
      <c r="B519" s="605" t="s">
        <v>2134</v>
      </c>
      <c r="C519" s="606" t="s">
        <v>8</v>
      </c>
      <c r="D519" s="605" t="s">
        <v>689</v>
      </c>
      <c r="E519" s="606" t="s">
        <v>2135</v>
      </c>
      <c r="F519" s="606" t="s">
        <v>2135</v>
      </c>
      <c r="G519" s="606" t="s">
        <v>1554</v>
      </c>
      <c r="H519" s="606" t="s">
        <v>1555</v>
      </c>
      <c r="I519" s="606" t="s">
        <v>1981</v>
      </c>
      <c r="J519" s="606" t="s">
        <v>1982</v>
      </c>
    </row>
    <row r="520" spans="2:10" ht="21" customHeight="1">
      <c r="B520" s="605" t="s">
        <v>2136</v>
      </c>
      <c r="C520" s="606" t="s">
        <v>8</v>
      </c>
      <c r="D520" s="605" t="s">
        <v>689</v>
      </c>
      <c r="E520" s="606" t="s">
        <v>2137</v>
      </c>
      <c r="F520" s="606" t="s">
        <v>2137</v>
      </c>
      <c r="G520" s="606" t="s">
        <v>1554</v>
      </c>
      <c r="H520" s="606" t="s">
        <v>1555</v>
      </c>
      <c r="I520" s="606" t="s">
        <v>1981</v>
      </c>
      <c r="J520" s="606" t="s">
        <v>1982</v>
      </c>
    </row>
    <row r="521" spans="2:10" ht="21" customHeight="1">
      <c r="B521" s="605" t="s">
        <v>2138</v>
      </c>
      <c r="C521" s="606" t="s">
        <v>8</v>
      </c>
      <c r="D521" s="605" t="s">
        <v>689</v>
      </c>
      <c r="E521" s="606" t="s">
        <v>2139</v>
      </c>
      <c r="F521" s="606" t="s">
        <v>2139</v>
      </c>
      <c r="G521" s="606" t="s">
        <v>1554</v>
      </c>
      <c r="H521" s="606" t="s">
        <v>1555</v>
      </c>
      <c r="I521" s="606" t="s">
        <v>1981</v>
      </c>
      <c r="J521" s="606" t="s">
        <v>1982</v>
      </c>
    </row>
    <row r="522" spans="2:10" ht="21" customHeight="1">
      <c r="B522" s="605" t="s">
        <v>2140</v>
      </c>
      <c r="C522" s="606" t="s">
        <v>8</v>
      </c>
      <c r="D522" s="605" t="s">
        <v>689</v>
      </c>
      <c r="E522" s="606" t="s">
        <v>2141</v>
      </c>
      <c r="F522" s="606" t="s">
        <v>2141</v>
      </c>
      <c r="G522" s="606" t="s">
        <v>1554</v>
      </c>
      <c r="H522" s="606" t="s">
        <v>1555</v>
      </c>
      <c r="I522" s="606" t="s">
        <v>1981</v>
      </c>
      <c r="J522" s="606" t="s">
        <v>1982</v>
      </c>
    </row>
    <row r="523" spans="2:10" ht="21" customHeight="1">
      <c r="B523" s="605" t="s">
        <v>2142</v>
      </c>
      <c r="C523" s="606" t="s">
        <v>8</v>
      </c>
      <c r="D523" s="605" t="s">
        <v>689</v>
      </c>
      <c r="E523" s="606" t="s">
        <v>2143</v>
      </c>
      <c r="F523" s="606" t="s">
        <v>2143</v>
      </c>
      <c r="G523" s="606" t="s">
        <v>1554</v>
      </c>
      <c r="H523" s="606" t="s">
        <v>1555</v>
      </c>
      <c r="I523" s="606" t="s">
        <v>1981</v>
      </c>
      <c r="J523" s="606" t="s">
        <v>1982</v>
      </c>
    </row>
    <row r="524" spans="2:10" ht="21" customHeight="1">
      <c r="B524" s="605" t="s">
        <v>2144</v>
      </c>
      <c r="C524" s="606" t="s">
        <v>8</v>
      </c>
      <c r="D524" s="605" t="s">
        <v>689</v>
      </c>
      <c r="E524" s="606" t="s">
        <v>2145</v>
      </c>
      <c r="F524" s="606" t="s">
        <v>2145</v>
      </c>
      <c r="G524" s="606" t="s">
        <v>1554</v>
      </c>
      <c r="H524" s="606" t="s">
        <v>1555</v>
      </c>
      <c r="I524" s="606" t="s">
        <v>1981</v>
      </c>
      <c r="J524" s="606" t="s">
        <v>1982</v>
      </c>
    </row>
    <row r="525" spans="2:10" ht="21" customHeight="1">
      <c r="B525" s="605" t="s">
        <v>2146</v>
      </c>
      <c r="C525" s="606" t="s">
        <v>8</v>
      </c>
      <c r="D525" s="605" t="s">
        <v>689</v>
      </c>
      <c r="E525" s="606" t="s">
        <v>2147</v>
      </c>
      <c r="F525" s="606" t="s">
        <v>2147</v>
      </c>
      <c r="G525" s="606" t="s">
        <v>1554</v>
      </c>
      <c r="H525" s="606" t="s">
        <v>1555</v>
      </c>
      <c r="I525" s="606" t="s">
        <v>1981</v>
      </c>
      <c r="J525" s="606" t="s">
        <v>1982</v>
      </c>
    </row>
    <row r="526" spans="2:10" ht="21" customHeight="1">
      <c r="B526" s="605" t="s">
        <v>2148</v>
      </c>
      <c r="C526" s="606" t="s">
        <v>8</v>
      </c>
      <c r="D526" s="605" t="s">
        <v>689</v>
      </c>
      <c r="E526" s="606" t="s">
        <v>2149</v>
      </c>
      <c r="F526" s="606" t="s">
        <v>2149</v>
      </c>
      <c r="G526" s="606" t="s">
        <v>1554</v>
      </c>
      <c r="H526" s="606" t="s">
        <v>1555</v>
      </c>
      <c r="I526" s="606" t="s">
        <v>1981</v>
      </c>
      <c r="J526" s="606" t="s">
        <v>1982</v>
      </c>
    </row>
    <row r="527" spans="2:10" ht="21" customHeight="1">
      <c r="B527" s="605" t="s">
        <v>2150</v>
      </c>
      <c r="C527" s="606" t="s">
        <v>8</v>
      </c>
      <c r="D527" s="605" t="s">
        <v>689</v>
      </c>
      <c r="E527" s="606" t="s">
        <v>2151</v>
      </c>
      <c r="F527" s="606" t="s">
        <v>2151</v>
      </c>
      <c r="G527" s="606" t="s">
        <v>1554</v>
      </c>
      <c r="H527" s="606" t="s">
        <v>1555</v>
      </c>
      <c r="I527" s="606" t="s">
        <v>1981</v>
      </c>
      <c r="J527" s="606" t="s">
        <v>1982</v>
      </c>
    </row>
    <row r="528" spans="2:10" ht="21" customHeight="1">
      <c r="B528" s="605" t="s">
        <v>2152</v>
      </c>
      <c r="C528" s="606" t="s">
        <v>8</v>
      </c>
      <c r="D528" s="605" t="s">
        <v>689</v>
      </c>
      <c r="E528" s="606" t="s">
        <v>2153</v>
      </c>
      <c r="F528" s="606" t="s">
        <v>2153</v>
      </c>
      <c r="G528" s="606" t="s">
        <v>1554</v>
      </c>
      <c r="H528" s="606" t="s">
        <v>1555</v>
      </c>
      <c r="I528" s="606" t="s">
        <v>1981</v>
      </c>
      <c r="J528" s="606" t="s">
        <v>1982</v>
      </c>
    </row>
    <row r="529" spans="2:10" ht="21" customHeight="1">
      <c r="B529" s="605" t="s">
        <v>2154</v>
      </c>
      <c r="C529" s="606" t="s">
        <v>8</v>
      </c>
      <c r="D529" s="605" t="s">
        <v>689</v>
      </c>
      <c r="E529" s="606" t="s">
        <v>2155</v>
      </c>
      <c r="F529" s="606" t="s">
        <v>2155</v>
      </c>
      <c r="G529" s="606" t="s">
        <v>1554</v>
      </c>
      <c r="H529" s="606" t="s">
        <v>1555</v>
      </c>
      <c r="I529" s="606" t="s">
        <v>1981</v>
      </c>
      <c r="J529" s="606" t="s">
        <v>1982</v>
      </c>
    </row>
    <row r="530" spans="2:10" ht="21" customHeight="1">
      <c r="B530" s="605" t="s">
        <v>2156</v>
      </c>
      <c r="C530" s="606" t="s">
        <v>8</v>
      </c>
      <c r="D530" s="605" t="s">
        <v>689</v>
      </c>
      <c r="E530" s="606" t="s">
        <v>2157</v>
      </c>
      <c r="F530" s="606" t="s">
        <v>2157</v>
      </c>
      <c r="G530" s="606" t="s">
        <v>1554</v>
      </c>
      <c r="H530" s="606" t="s">
        <v>1555</v>
      </c>
      <c r="I530" s="606" t="s">
        <v>1981</v>
      </c>
      <c r="J530" s="606" t="s">
        <v>1982</v>
      </c>
    </row>
    <row r="531" spans="2:10" ht="21" customHeight="1">
      <c r="B531" s="605" t="s">
        <v>2158</v>
      </c>
      <c r="C531" s="606" t="s">
        <v>8</v>
      </c>
      <c r="D531" s="605" t="s">
        <v>689</v>
      </c>
      <c r="E531" s="606" t="s">
        <v>2159</v>
      </c>
      <c r="F531" s="606" t="s">
        <v>2159</v>
      </c>
      <c r="G531" s="606" t="s">
        <v>1554</v>
      </c>
      <c r="H531" s="606" t="s">
        <v>1555</v>
      </c>
      <c r="I531" s="606" t="s">
        <v>1981</v>
      </c>
      <c r="J531" s="606" t="s">
        <v>1982</v>
      </c>
    </row>
    <row r="532" spans="2:10" ht="21" customHeight="1">
      <c r="B532" s="605" t="s">
        <v>2160</v>
      </c>
      <c r="C532" s="606" t="s">
        <v>8</v>
      </c>
      <c r="D532" s="605" t="s">
        <v>689</v>
      </c>
      <c r="E532" s="606" t="s">
        <v>2161</v>
      </c>
      <c r="F532" s="606" t="s">
        <v>2161</v>
      </c>
      <c r="G532" s="606" t="s">
        <v>1554</v>
      </c>
      <c r="H532" s="606" t="s">
        <v>1555</v>
      </c>
      <c r="I532" s="606" t="s">
        <v>1981</v>
      </c>
      <c r="J532" s="606" t="s">
        <v>1982</v>
      </c>
    </row>
    <row r="533" spans="2:10" ht="21" customHeight="1">
      <c r="B533" s="605" t="s">
        <v>2162</v>
      </c>
      <c r="C533" s="606" t="s">
        <v>8</v>
      </c>
      <c r="D533" s="605" t="s">
        <v>689</v>
      </c>
      <c r="E533" s="606" t="s">
        <v>2163</v>
      </c>
      <c r="F533" s="606" t="s">
        <v>2163</v>
      </c>
      <c r="G533" s="606" t="s">
        <v>1554</v>
      </c>
      <c r="H533" s="606" t="s">
        <v>1555</v>
      </c>
      <c r="I533" s="606" t="s">
        <v>1981</v>
      </c>
      <c r="J533" s="606" t="s">
        <v>1982</v>
      </c>
    </row>
    <row r="534" spans="2:10" ht="21" customHeight="1">
      <c r="B534" s="605" t="s">
        <v>2164</v>
      </c>
      <c r="C534" s="606" t="s">
        <v>8</v>
      </c>
      <c r="D534" s="605" t="s">
        <v>689</v>
      </c>
      <c r="E534" s="606" t="s">
        <v>2165</v>
      </c>
      <c r="F534" s="606" t="s">
        <v>2165</v>
      </c>
      <c r="G534" s="606" t="s">
        <v>1554</v>
      </c>
      <c r="H534" s="606" t="s">
        <v>1555</v>
      </c>
      <c r="I534" s="606" t="s">
        <v>1981</v>
      </c>
      <c r="J534" s="606" t="s">
        <v>1982</v>
      </c>
    </row>
    <row r="535" spans="2:10" ht="21" customHeight="1">
      <c r="B535" s="605" t="s">
        <v>2166</v>
      </c>
      <c r="C535" s="606" t="s">
        <v>8</v>
      </c>
      <c r="D535" s="605" t="s">
        <v>689</v>
      </c>
      <c r="E535" s="606" t="s">
        <v>2167</v>
      </c>
      <c r="F535" s="606" t="s">
        <v>2167</v>
      </c>
      <c r="G535" s="606" t="s">
        <v>1554</v>
      </c>
      <c r="H535" s="606" t="s">
        <v>1555</v>
      </c>
      <c r="I535" s="606" t="s">
        <v>1981</v>
      </c>
      <c r="J535" s="606" t="s">
        <v>1982</v>
      </c>
    </row>
    <row r="536" spans="2:10" ht="21" customHeight="1">
      <c r="B536" s="605" t="s">
        <v>2168</v>
      </c>
      <c r="C536" s="606" t="s">
        <v>8</v>
      </c>
      <c r="D536" s="605" t="s">
        <v>689</v>
      </c>
      <c r="E536" s="606" t="s">
        <v>2169</v>
      </c>
      <c r="F536" s="606" t="s">
        <v>2169</v>
      </c>
      <c r="G536" s="606" t="s">
        <v>1554</v>
      </c>
      <c r="H536" s="606" t="s">
        <v>1555</v>
      </c>
      <c r="I536" s="606" t="s">
        <v>1981</v>
      </c>
      <c r="J536" s="606" t="s">
        <v>1982</v>
      </c>
    </row>
    <row r="537" spans="2:10" ht="21" customHeight="1">
      <c r="B537" s="605" t="s">
        <v>2170</v>
      </c>
      <c r="C537" s="606" t="s">
        <v>8</v>
      </c>
      <c r="D537" s="605" t="s">
        <v>689</v>
      </c>
      <c r="E537" s="606" t="s">
        <v>2171</v>
      </c>
      <c r="F537" s="606" t="s">
        <v>2171</v>
      </c>
      <c r="G537" s="606" t="s">
        <v>1554</v>
      </c>
      <c r="H537" s="606" t="s">
        <v>1555</v>
      </c>
      <c r="I537" s="606" t="s">
        <v>1981</v>
      </c>
      <c r="J537" s="606" t="s">
        <v>1982</v>
      </c>
    </row>
    <row r="538" spans="2:10" ht="21" customHeight="1">
      <c r="B538" s="605" t="s">
        <v>2172</v>
      </c>
      <c r="C538" s="606" t="s">
        <v>8</v>
      </c>
      <c r="D538" s="605" t="s">
        <v>689</v>
      </c>
      <c r="E538" s="606" t="s">
        <v>2173</v>
      </c>
      <c r="F538" s="606" t="s">
        <v>2173</v>
      </c>
      <c r="G538" s="606" t="s">
        <v>1554</v>
      </c>
      <c r="H538" s="606" t="s">
        <v>1555</v>
      </c>
      <c r="I538" s="606" t="s">
        <v>1981</v>
      </c>
      <c r="J538" s="606" t="s">
        <v>1982</v>
      </c>
    </row>
    <row r="539" spans="2:10" ht="21" customHeight="1">
      <c r="B539" s="605" t="s">
        <v>2174</v>
      </c>
      <c r="C539" s="606" t="s">
        <v>8</v>
      </c>
      <c r="D539" s="605" t="s">
        <v>689</v>
      </c>
      <c r="E539" s="606" t="s">
        <v>2175</v>
      </c>
      <c r="F539" s="606" t="s">
        <v>2175</v>
      </c>
      <c r="G539" s="606" t="s">
        <v>1554</v>
      </c>
      <c r="H539" s="606" t="s">
        <v>1555</v>
      </c>
      <c r="I539" s="606" t="s">
        <v>1981</v>
      </c>
      <c r="J539" s="606" t="s">
        <v>1982</v>
      </c>
    </row>
    <row r="540" spans="2:10" ht="21" customHeight="1">
      <c r="B540" s="605" t="s">
        <v>2176</v>
      </c>
      <c r="C540" s="606" t="s">
        <v>8</v>
      </c>
      <c r="D540" s="605" t="s">
        <v>689</v>
      </c>
      <c r="E540" s="606" t="s">
        <v>2177</v>
      </c>
      <c r="F540" s="606" t="s">
        <v>2177</v>
      </c>
      <c r="G540" s="606" t="s">
        <v>1554</v>
      </c>
      <c r="H540" s="606" t="s">
        <v>1555</v>
      </c>
      <c r="I540" s="606" t="s">
        <v>1981</v>
      </c>
      <c r="J540" s="606" t="s">
        <v>1982</v>
      </c>
    </row>
    <row r="541" spans="2:10" ht="21" customHeight="1">
      <c r="B541" s="605" t="s">
        <v>2178</v>
      </c>
      <c r="C541" s="606" t="s">
        <v>8</v>
      </c>
      <c r="D541" s="605" t="s">
        <v>689</v>
      </c>
      <c r="E541" s="606" t="s">
        <v>2179</v>
      </c>
      <c r="F541" s="606" t="s">
        <v>2179</v>
      </c>
      <c r="G541" s="606" t="s">
        <v>1554</v>
      </c>
      <c r="H541" s="606" t="s">
        <v>1555</v>
      </c>
      <c r="I541" s="606" t="s">
        <v>1981</v>
      </c>
      <c r="J541" s="606" t="s">
        <v>1982</v>
      </c>
    </row>
    <row r="542" spans="2:10" ht="21" customHeight="1">
      <c r="B542" s="605" t="s">
        <v>2180</v>
      </c>
      <c r="C542" s="606" t="s">
        <v>8</v>
      </c>
      <c r="D542" s="605" t="s">
        <v>689</v>
      </c>
      <c r="E542" s="606" t="s">
        <v>2181</v>
      </c>
      <c r="F542" s="606" t="s">
        <v>2181</v>
      </c>
      <c r="G542" s="606" t="s">
        <v>1554</v>
      </c>
      <c r="H542" s="606" t="s">
        <v>1555</v>
      </c>
      <c r="I542" s="606" t="s">
        <v>1981</v>
      </c>
      <c r="J542" s="606" t="s">
        <v>1982</v>
      </c>
    </row>
    <row r="543" spans="2:10" ht="21" customHeight="1">
      <c r="B543" s="605" t="s">
        <v>2182</v>
      </c>
      <c r="C543" s="606" t="s">
        <v>8</v>
      </c>
      <c r="D543" s="605" t="s">
        <v>689</v>
      </c>
      <c r="E543" s="606" t="s">
        <v>2183</v>
      </c>
      <c r="F543" s="606" t="s">
        <v>2183</v>
      </c>
      <c r="G543" s="606" t="s">
        <v>1554</v>
      </c>
      <c r="H543" s="606" t="s">
        <v>1555</v>
      </c>
      <c r="I543" s="606" t="s">
        <v>1981</v>
      </c>
      <c r="J543" s="606" t="s">
        <v>1982</v>
      </c>
    </row>
    <row r="544" spans="2:10" ht="21" customHeight="1">
      <c r="B544" s="605" t="s">
        <v>2184</v>
      </c>
      <c r="C544" s="606" t="s">
        <v>8</v>
      </c>
      <c r="D544" s="605" t="s">
        <v>689</v>
      </c>
      <c r="E544" s="606" t="s">
        <v>2185</v>
      </c>
      <c r="F544" s="606" t="s">
        <v>2185</v>
      </c>
      <c r="G544" s="606" t="s">
        <v>1554</v>
      </c>
      <c r="H544" s="606" t="s">
        <v>1555</v>
      </c>
      <c r="I544" s="606" t="s">
        <v>1981</v>
      </c>
      <c r="J544" s="606" t="s">
        <v>1982</v>
      </c>
    </row>
    <row r="545" spans="2:10" ht="21" customHeight="1">
      <c r="B545" s="605" t="s">
        <v>2186</v>
      </c>
      <c r="C545" s="606" t="s">
        <v>8</v>
      </c>
      <c r="D545" s="605" t="s">
        <v>689</v>
      </c>
      <c r="E545" s="606" t="s">
        <v>2187</v>
      </c>
      <c r="F545" s="606" t="s">
        <v>2187</v>
      </c>
      <c r="G545" s="606" t="s">
        <v>1554</v>
      </c>
      <c r="H545" s="606" t="s">
        <v>1555</v>
      </c>
      <c r="I545" s="606" t="s">
        <v>1981</v>
      </c>
      <c r="J545" s="606" t="s">
        <v>1982</v>
      </c>
    </row>
    <row r="546" spans="2:10" ht="21" customHeight="1">
      <c r="B546" s="605" t="s">
        <v>2188</v>
      </c>
      <c r="C546" s="606" t="s">
        <v>8</v>
      </c>
      <c r="D546" s="605" t="s">
        <v>689</v>
      </c>
      <c r="E546" s="606" t="s">
        <v>2189</v>
      </c>
      <c r="F546" s="606" t="s">
        <v>2189</v>
      </c>
      <c r="G546" s="606" t="s">
        <v>1554</v>
      </c>
      <c r="H546" s="606" t="s">
        <v>1555</v>
      </c>
      <c r="I546" s="606" t="s">
        <v>1981</v>
      </c>
      <c r="J546" s="606" t="s">
        <v>1982</v>
      </c>
    </row>
    <row r="547" spans="2:10" ht="21" customHeight="1">
      <c r="B547" s="605" t="s">
        <v>2190</v>
      </c>
      <c r="C547" s="606" t="s">
        <v>8</v>
      </c>
      <c r="D547" s="605" t="s">
        <v>689</v>
      </c>
      <c r="E547" s="606" t="s">
        <v>2191</v>
      </c>
      <c r="F547" s="606" t="s">
        <v>2191</v>
      </c>
      <c r="G547" s="606" t="s">
        <v>1554</v>
      </c>
      <c r="H547" s="606" t="s">
        <v>1555</v>
      </c>
      <c r="I547" s="606" t="s">
        <v>1981</v>
      </c>
      <c r="J547" s="606" t="s">
        <v>1982</v>
      </c>
    </row>
    <row r="548" spans="2:10" ht="21" customHeight="1">
      <c r="B548" s="605" t="s">
        <v>2192</v>
      </c>
      <c r="C548" s="606" t="s">
        <v>8</v>
      </c>
      <c r="D548" s="605" t="s">
        <v>689</v>
      </c>
      <c r="E548" s="606" t="s">
        <v>2193</v>
      </c>
      <c r="F548" s="606" t="s">
        <v>2193</v>
      </c>
      <c r="G548" s="606" t="s">
        <v>1085</v>
      </c>
      <c r="H548" s="606" t="s">
        <v>2063</v>
      </c>
      <c r="I548" s="606" t="s">
        <v>1087</v>
      </c>
      <c r="J548" s="606" t="s">
        <v>1088</v>
      </c>
    </row>
    <row r="549" spans="2:10" ht="21" customHeight="1">
      <c r="B549" s="605" t="s">
        <v>2194</v>
      </c>
      <c r="C549" s="606" t="s">
        <v>8</v>
      </c>
      <c r="D549" s="605" t="s">
        <v>689</v>
      </c>
      <c r="E549" s="606" t="s">
        <v>855</v>
      </c>
      <c r="F549" s="606" t="s">
        <v>855</v>
      </c>
      <c r="G549" s="606" t="s">
        <v>1085</v>
      </c>
      <c r="H549" s="606" t="s">
        <v>2063</v>
      </c>
      <c r="I549" s="606" t="s">
        <v>1087</v>
      </c>
      <c r="J549" s="606" t="s">
        <v>1088</v>
      </c>
    </row>
    <row r="550" spans="2:10" ht="21" customHeight="1">
      <c r="B550" s="605" t="s">
        <v>2195</v>
      </c>
      <c r="C550" s="606" t="s">
        <v>8</v>
      </c>
      <c r="D550" s="605" t="s">
        <v>689</v>
      </c>
      <c r="E550" s="606" t="s">
        <v>2196</v>
      </c>
      <c r="F550" s="606" t="s">
        <v>2196</v>
      </c>
      <c r="G550" s="606" t="s">
        <v>1085</v>
      </c>
      <c r="H550" s="606" t="s">
        <v>2063</v>
      </c>
      <c r="I550" s="606" t="s">
        <v>1087</v>
      </c>
      <c r="J550" s="606" t="s">
        <v>1088</v>
      </c>
    </row>
    <row r="551" spans="2:10" ht="21" customHeight="1">
      <c r="B551" s="605" t="s">
        <v>2197</v>
      </c>
      <c r="C551" s="606" t="s">
        <v>8</v>
      </c>
      <c r="D551" s="605" t="s">
        <v>689</v>
      </c>
      <c r="E551" s="606" t="s">
        <v>2198</v>
      </c>
      <c r="F551" s="606" t="s">
        <v>2198</v>
      </c>
      <c r="G551" s="606" t="s">
        <v>1554</v>
      </c>
      <c r="H551" s="606" t="s">
        <v>1555</v>
      </c>
      <c r="I551" s="606" t="s">
        <v>1981</v>
      </c>
      <c r="J551" s="606" t="s">
        <v>1982</v>
      </c>
    </row>
    <row r="552" spans="2:10" ht="21" customHeight="1">
      <c r="B552" s="605" t="s">
        <v>2199</v>
      </c>
      <c r="C552" s="606" t="s">
        <v>8</v>
      </c>
      <c r="D552" s="605" t="s">
        <v>689</v>
      </c>
      <c r="E552" s="606" t="s">
        <v>2200</v>
      </c>
      <c r="F552" s="606" t="s">
        <v>2200</v>
      </c>
      <c r="G552" s="606" t="s">
        <v>1554</v>
      </c>
      <c r="H552" s="606" t="s">
        <v>1555</v>
      </c>
      <c r="I552" s="606" t="s">
        <v>1981</v>
      </c>
      <c r="J552" s="606" t="s">
        <v>1982</v>
      </c>
    </row>
    <row r="553" spans="2:10" ht="21" customHeight="1">
      <c r="B553" s="605" t="s">
        <v>2201</v>
      </c>
      <c r="C553" s="606" t="s">
        <v>8</v>
      </c>
      <c r="D553" s="605" t="s">
        <v>689</v>
      </c>
      <c r="E553" s="606" t="s">
        <v>2202</v>
      </c>
      <c r="F553" s="606" t="s">
        <v>2202</v>
      </c>
      <c r="G553" s="606" t="s">
        <v>1554</v>
      </c>
      <c r="H553" s="606" t="s">
        <v>1555</v>
      </c>
      <c r="I553" s="606" t="s">
        <v>1981</v>
      </c>
      <c r="J553" s="606" t="s">
        <v>1982</v>
      </c>
    </row>
    <row r="554" spans="2:10" ht="21" customHeight="1">
      <c r="B554" s="605" t="s">
        <v>2203</v>
      </c>
      <c r="C554" s="606" t="s">
        <v>8</v>
      </c>
      <c r="D554" s="605" t="s">
        <v>689</v>
      </c>
      <c r="E554" s="606" t="s">
        <v>2204</v>
      </c>
      <c r="F554" s="606" t="s">
        <v>2204</v>
      </c>
      <c r="G554" s="606" t="s">
        <v>1554</v>
      </c>
      <c r="H554" s="606" t="s">
        <v>1555</v>
      </c>
      <c r="I554" s="606" t="s">
        <v>1981</v>
      </c>
      <c r="J554" s="606" t="s">
        <v>1982</v>
      </c>
    </row>
    <row r="555" spans="2:10" ht="21" customHeight="1">
      <c r="B555" s="605" t="s">
        <v>2205</v>
      </c>
      <c r="C555" s="606" t="s">
        <v>8</v>
      </c>
      <c r="D555" s="605" t="s">
        <v>689</v>
      </c>
      <c r="E555" s="606" t="s">
        <v>2206</v>
      </c>
      <c r="F555" s="606" t="s">
        <v>2206</v>
      </c>
      <c r="G555" s="606" t="s">
        <v>1554</v>
      </c>
      <c r="H555" s="606" t="s">
        <v>1555</v>
      </c>
      <c r="I555" s="606" t="s">
        <v>1981</v>
      </c>
      <c r="J555" s="606" t="s">
        <v>1982</v>
      </c>
    </row>
    <row r="556" spans="2:10" ht="21" customHeight="1">
      <c r="B556" s="605" t="s">
        <v>2207</v>
      </c>
      <c r="C556" s="606" t="s">
        <v>8</v>
      </c>
      <c r="D556" s="605" t="s">
        <v>689</v>
      </c>
      <c r="E556" s="606" t="s">
        <v>2208</v>
      </c>
      <c r="F556" s="606" t="s">
        <v>2208</v>
      </c>
      <c r="G556" s="606" t="s">
        <v>1085</v>
      </c>
      <c r="H556" s="606" t="s">
        <v>2063</v>
      </c>
      <c r="I556" s="606" t="s">
        <v>1087</v>
      </c>
      <c r="J556" s="606" t="s">
        <v>1088</v>
      </c>
    </row>
    <row r="557" spans="2:10" ht="21" customHeight="1">
      <c r="B557" s="605" t="s">
        <v>2209</v>
      </c>
      <c r="C557" s="606" t="s">
        <v>8</v>
      </c>
      <c r="D557" s="605" t="s">
        <v>689</v>
      </c>
      <c r="E557" s="606" t="s">
        <v>942</v>
      </c>
      <c r="F557" s="606" t="s">
        <v>942</v>
      </c>
      <c r="G557" s="606" t="s">
        <v>1085</v>
      </c>
      <c r="H557" s="606" t="s">
        <v>2063</v>
      </c>
      <c r="I557" s="606" t="s">
        <v>1087</v>
      </c>
      <c r="J557" s="606" t="s">
        <v>1088</v>
      </c>
    </row>
    <row r="558" spans="2:10" ht="21" customHeight="1">
      <c r="B558" s="605" t="s">
        <v>2210</v>
      </c>
      <c r="C558" s="606" t="s">
        <v>8</v>
      </c>
      <c r="D558" s="605" t="s">
        <v>689</v>
      </c>
      <c r="E558" s="606" t="s">
        <v>2211</v>
      </c>
      <c r="F558" s="606" t="s">
        <v>2211</v>
      </c>
      <c r="G558" s="606" t="s">
        <v>1554</v>
      </c>
      <c r="H558" s="606" t="s">
        <v>1555</v>
      </c>
      <c r="I558" s="606" t="s">
        <v>1981</v>
      </c>
      <c r="J558" s="606" t="s">
        <v>1982</v>
      </c>
    </row>
    <row r="559" spans="2:10" ht="21" customHeight="1">
      <c r="B559" s="605" t="s">
        <v>2212</v>
      </c>
      <c r="C559" s="606" t="s">
        <v>8</v>
      </c>
      <c r="D559" s="605" t="s">
        <v>689</v>
      </c>
      <c r="E559" s="606" t="s">
        <v>2213</v>
      </c>
      <c r="F559" s="606" t="s">
        <v>2213</v>
      </c>
      <c r="G559" s="606" t="s">
        <v>1554</v>
      </c>
      <c r="H559" s="606" t="s">
        <v>1555</v>
      </c>
      <c r="I559" s="606" t="s">
        <v>1981</v>
      </c>
      <c r="J559" s="606" t="s">
        <v>1982</v>
      </c>
    </row>
    <row r="560" spans="2:10" ht="21" customHeight="1">
      <c r="B560" s="605" t="s">
        <v>2214</v>
      </c>
      <c r="C560" s="606" t="s">
        <v>8</v>
      </c>
      <c r="D560" s="605" t="s">
        <v>689</v>
      </c>
      <c r="E560" s="606" t="s">
        <v>1020</v>
      </c>
      <c r="F560" s="606" t="s">
        <v>1020</v>
      </c>
      <c r="G560" s="606" t="s">
        <v>1554</v>
      </c>
      <c r="H560" s="606" t="s">
        <v>1555</v>
      </c>
      <c r="I560" s="606" t="s">
        <v>1981</v>
      </c>
      <c r="J560" s="606" t="s">
        <v>1982</v>
      </c>
    </row>
    <row r="561" spans="2:10" ht="21" customHeight="1">
      <c r="B561" s="605" t="s">
        <v>2215</v>
      </c>
      <c r="C561" s="606" t="s">
        <v>8</v>
      </c>
      <c r="D561" s="605" t="s">
        <v>689</v>
      </c>
      <c r="E561" s="606" t="s">
        <v>2216</v>
      </c>
      <c r="F561" s="606" t="s">
        <v>2216</v>
      </c>
      <c r="G561" s="606" t="s">
        <v>1554</v>
      </c>
      <c r="H561" s="606" t="s">
        <v>1555</v>
      </c>
      <c r="I561" s="606" t="s">
        <v>1981</v>
      </c>
      <c r="J561" s="606" t="s">
        <v>1982</v>
      </c>
    </row>
    <row r="562" spans="2:10" ht="21" customHeight="1">
      <c r="B562" s="605" t="s">
        <v>2217</v>
      </c>
      <c r="C562" s="606" t="s">
        <v>8</v>
      </c>
      <c r="D562" s="605" t="s">
        <v>689</v>
      </c>
      <c r="E562" s="606" t="s">
        <v>2218</v>
      </c>
      <c r="F562" s="606" t="s">
        <v>2218</v>
      </c>
      <c r="G562" s="606" t="s">
        <v>1554</v>
      </c>
      <c r="H562" s="606" t="s">
        <v>1555</v>
      </c>
      <c r="I562" s="606" t="s">
        <v>1981</v>
      </c>
      <c r="J562" s="606" t="s">
        <v>1982</v>
      </c>
    </row>
    <row r="563" spans="2:10" ht="21" customHeight="1">
      <c r="B563" s="605" t="s">
        <v>2219</v>
      </c>
      <c r="C563" s="606" t="s">
        <v>8</v>
      </c>
      <c r="D563" s="605" t="s">
        <v>689</v>
      </c>
      <c r="E563" s="606" t="s">
        <v>69</v>
      </c>
      <c r="F563" s="606" t="s">
        <v>69</v>
      </c>
      <c r="G563" s="606" t="s">
        <v>1554</v>
      </c>
      <c r="H563" s="606" t="s">
        <v>1555</v>
      </c>
      <c r="I563" s="606" t="s">
        <v>1981</v>
      </c>
      <c r="J563" s="606" t="s">
        <v>1982</v>
      </c>
    </row>
    <row r="564" spans="2:10" ht="21" customHeight="1">
      <c r="B564" s="605" t="s">
        <v>2220</v>
      </c>
      <c r="C564" s="606" t="s">
        <v>8</v>
      </c>
      <c r="D564" s="605" t="s">
        <v>689</v>
      </c>
      <c r="E564" s="606" t="s">
        <v>2221</v>
      </c>
      <c r="F564" s="606" t="s">
        <v>2221</v>
      </c>
      <c r="G564" s="606" t="s">
        <v>1554</v>
      </c>
      <c r="H564" s="606" t="s">
        <v>1555</v>
      </c>
      <c r="I564" s="606" t="s">
        <v>1981</v>
      </c>
      <c r="J564" s="606" t="s">
        <v>1982</v>
      </c>
    </row>
    <row r="565" spans="2:10" ht="21" customHeight="1">
      <c r="B565" s="605" t="s">
        <v>2222</v>
      </c>
      <c r="C565" s="606" t="s">
        <v>8</v>
      </c>
      <c r="D565" s="605" t="s">
        <v>689</v>
      </c>
      <c r="E565" s="606" t="s">
        <v>2223</v>
      </c>
      <c r="F565" s="606" t="s">
        <v>2223</v>
      </c>
      <c r="G565" s="606" t="s">
        <v>1554</v>
      </c>
      <c r="H565" s="606" t="s">
        <v>1555</v>
      </c>
      <c r="I565" s="606" t="s">
        <v>1981</v>
      </c>
      <c r="J565" s="606" t="s">
        <v>1982</v>
      </c>
    </row>
    <row r="566" spans="2:10" ht="21" customHeight="1">
      <c r="B566" s="605" t="s">
        <v>2224</v>
      </c>
      <c r="C566" s="606" t="s">
        <v>8</v>
      </c>
      <c r="D566" s="605" t="s">
        <v>689</v>
      </c>
      <c r="E566" s="606" t="s">
        <v>2225</v>
      </c>
      <c r="F566" s="606" t="s">
        <v>2225</v>
      </c>
      <c r="G566" s="606" t="s">
        <v>1554</v>
      </c>
      <c r="H566" s="606" t="s">
        <v>1555</v>
      </c>
      <c r="I566" s="606" t="s">
        <v>1981</v>
      </c>
      <c r="J566" s="606" t="s">
        <v>1982</v>
      </c>
    </row>
    <row r="567" spans="2:10" ht="21" customHeight="1">
      <c r="B567" s="605" t="s">
        <v>2226</v>
      </c>
      <c r="C567" s="606" t="s">
        <v>8</v>
      </c>
      <c r="D567" s="605" t="s">
        <v>689</v>
      </c>
      <c r="E567" s="606" t="s">
        <v>2227</v>
      </c>
      <c r="F567" s="606" t="s">
        <v>2227</v>
      </c>
      <c r="G567" s="606" t="s">
        <v>1554</v>
      </c>
      <c r="H567" s="606" t="s">
        <v>1555</v>
      </c>
      <c r="I567" s="606" t="s">
        <v>1981</v>
      </c>
      <c r="J567" s="606" t="s">
        <v>1982</v>
      </c>
    </row>
    <row r="568" spans="2:10" ht="21" customHeight="1">
      <c r="B568" s="605" t="s">
        <v>2228</v>
      </c>
      <c r="C568" s="606" t="s">
        <v>8</v>
      </c>
      <c r="D568" s="605" t="s">
        <v>689</v>
      </c>
      <c r="E568" s="606" t="s">
        <v>2229</v>
      </c>
      <c r="F568" s="606" t="s">
        <v>2229</v>
      </c>
      <c r="G568" s="606" t="s">
        <v>1554</v>
      </c>
      <c r="H568" s="606" t="s">
        <v>1555</v>
      </c>
      <c r="I568" s="606" t="s">
        <v>1981</v>
      </c>
      <c r="J568" s="606" t="s">
        <v>1982</v>
      </c>
    </row>
    <row r="569" spans="2:10" ht="21" customHeight="1">
      <c r="B569" s="605" t="s">
        <v>2230</v>
      </c>
      <c r="C569" s="606" t="s">
        <v>8</v>
      </c>
      <c r="D569" s="605" t="s">
        <v>689</v>
      </c>
      <c r="E569" s="606" t="s">
        <v>2231</v>
      </c>
      <c r="F569" s="606" t="s">
        <v>2231</v>
      </c>
      <c r="G569" s="606" t="s">
        <v>1554</v>
      </c>
      <c r="H569" s="606" t="s">
        <v>1555</v>
      </c>
      <c r="I569" s="606" t="s">
        <v>1981</v>
      </c>
      <c r="J569" s="606" t="s">
        <v>1982</v>
      </c>
    </row>
    <row r="570" spans="2:10" ht="21" customHeight="1">
      <c r="B570" s="605" t="s">
        <v>2232</v>
      </c>
      <c r="C570" s="606" t="s">
        <v>8</v>
      </c>
      <c r="D570" s="605" t="s">
        <v>689</v>
      </c>
      <c r="E570" s="606" t="s">
        <v>2233</v>
      </c>
      <c r="F570" s="606" t="s">
        <v>2233</v>
      </c>
      <c r="G570" s="606" t="s">
        <v>1554</v>
      </c>
      <c r="H570" s="606" t="s">
        <v>1555</v>
      </c>
      <c r="I570" s="606" t="s">
        <v>1981</v>
      </c>
      <c r="J570" s="606" t="s">
        <v>1982</v>
      </c>
    </row>
    <row r="571" spans="2:10" ht="21" customHeight="1">
      <c r="B571" s="605" t="s">
        <v>2234</v>
      </c>
      <c r="C571" s="606" t="s">
        <v>8</v>
      </c>
      <c r="D571" s="605" t="s">
        <v>689</v>
      </c>
      <c r="E571" s="606" t="s">
        <v>2235</v>
      </c>
      <c r="F571" s="606" t="s">
        <v>2235</v>
      </c>
      <c r="G571" s="606" t="s">
        <v>1554</v>
      </c>
      <c r="H571" s="606" t="s">
        <v>1555</v>
      </c>
      <c r="I571" s="606" t="s">
        <v>1981</v>
      </c>
      <c r="J571" s="606" t="s">
        <v>1982</v>
      </c>
    </row>
    <row r="572" spans="2:10" ht="21" customHeight="1">
      <c r="B572" s="605" t="s">
        <v>2236</v>
      </c>
      <c r="C572" s="606" t="s">
        <v>8</v>
      </c>
      <c r="D572" s="605" t="s">
        <v>689</v>
      </c>
      <c r="E572" s="606" t="s">
        <v>2237</v>
      </c>
      <c r="F572" s="606" t="s">
        <v>2237</v>
      </c>
      <c r="G572" s="606" t="s">
        <v>1554</v>
      </c>
      <c r="H572" s="606" t="s">
        <v>1555</v>
      </c>
      <c r="I572" s="606" t="s">
        <v>1981</v>
      </c>
      <c r="J572" s="606" t="s">
        <v>1982</v>
      </c>
    </row>
    <row r="573" spans="2:10" ht="21" customHeight="1">
      <c r="B573" s="605" t="s">
        <v>2238</v>
      </c>
      <c r="C573" s="606" t="s">
        <v>8</v>
      </c>
      <c r="D573" s="605" t="s">
        <v>689</v>
      </c>
      <c r="E573" s="606" t="s">
        <v>2239</v>
      </c>
      <c r="F573" s="606" t="s">
        <v>2239</v>
      </c>
      <c r="G573" s="606" t="s">
        <v>1554</v>
      </c>
      <c r="H573" s="606" t="s">
        <v>1555</v>
      </c>
      <c r="I573" s="606" t="s">
        <v>1981</v>
      </c>
      <c r="J573" s="606" t="s">
        <v>1982</v>
      </c>
    </row>
    <row r="574" spans="2:10" ht="21" customHeight="1">
      <c r="B574" s="605" t="s">
        <v>2240</v>
      </c>
      <c r="C574" s="606" t="s">
        <v>8</v>
      </c>
      <c r="D574" s="605" t="s">
        <v>689</v>
      </c>
      <c r="E574" s="606" t="s">
        <v>2241</v>
      </c>
      <c r="F574" s="606" t="s">
        <v>2241</v>
      </c>
      <c r="G574" s="606" t="s">
        <v>1554</v>
      </c>
      <c r="H574" s="606" t="s">
        <v>1555</v>
      </c>
      <c r="I574" s="606" t="s">
        <v>1981</v>
      </c>
      <c r="J574" s="606" t="s">
        <v>1982</v>
      </c>
    </row>
    <row r="575" spans="2:10" ht="21" customHeight="1">
      <c r="B575" s="605" t="s">
        <v>2242</v>
      </c>
      <c r="C575" s="606" t="s">
        <v>8</v>
      </c>
      <c r="D575" s="605" t="s">
        <v>689</v>
      </c>
      <c r="E575" s="606" t="s">
        <v>2243</v>
      </c>
      <c r="F575" s="606" t="s">
        <v>2243</v>
      </c>
      <c r="G575" s="606" t="s">
        <v>1554</v>
      </c>
      <c r="H575" s="606" t="s">
        <v>1555</v>
      </c>
      <c r="I575" s="606" t="s">
        <v>1981</v>
      </c>
      <c r="J575" s="606" t="s">
        <v>1982</v>
      </c>
    </row>
    <row r="576" spans="2:10" ht="21" customHeight="1">
      <c r="B576" s="605" t="s">
        <v>2244</v>
      </c>
      <c r="C576" s="606" t="s">
        <v>8</v>
      </c>
      <c r="D576" s="605" t="s">
        <v>689</v>
      </c>
      <c r="E576" s="606" t="s">
        <v>2245</v>
      </c>
      <c r="F576" s="606" t="s">
        <v>2245</v>
      </c>
      <c r="G576" s="606" t="s">
        <v>1554</v>
      </c>
      <c r="H576" s="606" t="s">
        <v>1555</v>
      </c>
      <c r="I576" s="606" t="s">
        <v>1981</v>
      </c>
      <c r="J576" s="606" t="s">
        <v>1982</v>
      </c>
    </row>
    <row r="577" spans="2:10" ht="21" customHeight="1">
      <c r="B577" s="605" t="s">
        <v>2246</v>
      </c>
      <c r="C577" s="606" t="s">
        <v>8</v>
      </c>
      <c r="D577" s="605" t="s">
        <v>689</v>
      </c>
      <c r="E577" s="606" t="s">
        <v>2247</v>
      </c>
      <c r="F577" s="606" t="s">
        <v>2247</v>
      </c>
      <c r="G577" s="606" t="s">
        <v>1554</v>
      </c>
      <c r="H577" s="606" t="s">
        <v>1555</v>
      </c>
      <c r="I577" s="606" t="s">
        <v>1981</v>
      </c>
      <c r="J577" s="606" t="s">
        <v>1982</v>
      </c>
    </row>
    <row r="578" spans="2:10" ht="21" customHeight="1">
      <c r="B578" s="605" t="s">
        <v>2248</v>
      </c>
      <c r="C578" s="606" t="s">
        <v>8</v>
      </c>
      <c r="D578" s="605" t="s">
        <v>689</v>
      </c>
      <c r="E578" s="606" t="s">
        <v>2249</v>
      </c>
      <c r="F578" s="606" t="s">
        <v>2249</v>
      </c>
      <c r="G578" s="606" t="s">
        <v>1554</v>
      </c>
      <c r="H578" s="606" t="s">
        <v>1555</v>
      </c>
      <c r="I578" s="606" t="s">
        <v>1981</v>
      </c>
      <c r="J578" s="606" t="s">
        <v>1982</v>
      </c>
    </row>
    <row r="579" spans="2:10" ht="21" customHeight="1">
      <c r="B579" s="605" t="s">
        <v>2250</v>
      </c>
      <c r="C579" s="606" t="s">
        <v>8</v>
      </c>
      <c r="D579" s="605" t="s">
        <v>689</v>
      </c>
      <c r="E579" s="606" t="s">
        <v>2251</v>
      </c>
      <c r="F579" s="606" t="s">
        <v>2251</v>
      </c>
      <c r="G579" s="606" t="s">
        <v>1554</v>
      </c>
      <c r="H579" s="606" t="s">
        <v>1555</v>
      </c>
      <c r="I579" s="606" t="s">
        <v>1981</v>
      </c>
      <c r="J579" s="606" t="s">
        <v>1982</v>
      </c>
    </row>
    <row r="580" spans="2:10" ht="21" customHeight="1">
      <c r="B580" s="605" t="s">
        <v>2252</v>
      </c>
      <c r="C580" s="606" t="s">
        <v>8</v>
      </c>
      <c r="D580" s="605" t="s">
        <v>689</v>
      </c>
      <c r="E580" s="606" t="s">
        <v>2253</v>
      </c>
      <c r="F580" s="606" t="s">
        <v>2253</v>
      </c>
      <c r="G580" s="606" t="s">
        <v>1554</v>
      </c>
      <c r="H580" s="606" t="s">
        <v>1555</v>
      </c>
      <c r="I580" s="606" t="s">
        <v>1981</v>
      </c>
      <c r="J580" s="606" t="s">
        <v>1982</v>
      </c>
    </row>
    <row r="581" spans="2:10" ht="21" customHeight="1">
      <c r="B581" s="605" t="s">
        <v>2254</v>
      </c>
      <c r="C581" s="606" t="s">
        <v>8</v>
      </c>
      <c r="D581" s="605" t="s">
        <v>689</v>
      </c>
      <c r="E581" s="606" t="s">
        <v>2255</v>
      </c>
      <c r="F581" s="606" t="s">
        <v>2255</v>
      </c>
      <c r="G581" s="606" t="s">
        <v>1554</v>
      </c>
      <c r="H581" s="606" t="s">
        <v>1555</v>
      </c>
      <c r="I581" s="606" t="s">
        <v>1981</v>
      </c>
      <c r="J581" s="606" t="s">
        <v>1982</v>
      </c>
    </row>
    <row r="582" spans="2:10" ht="21" customHeight="1">
      <c r="B582" s="605" t="s">
        <v>2256</v>
      </c>
      <c r="C582" s="606" t="s">
        <v>8</v>
      </c>
      <c r="D582" s="605" t="s">
        <v>689</v>
      </c>
      <c r="E582" s="606" t="s">
        <v>2257</v>
      </c>
      <c r="F582" s="606" t="s">
        <v>2257</v>
      </c>
      <c r="G582" s="606" t="s">
        <v>1554</v>
      </c>
      <c r="H582" s="606" t="s">
        <v>1555</v>
      </c>
      <c r="I582" s="606" t="s">
        <v>1981</v>
      </c>
      <c r="J582" s="606" t="s">
        <v>1982</v>
      </c>
    </row>
    <row r="583" spans="2:10" ht="21" customHeight="1">
      <c r="B583" s="605" t="s">
        <v>2258</v>
      </c>
      <c r="C583" s="606" t="s">
        <v>8</v>
      </c>
      <c r="D583" s="605" t="s">
        <v>689</v>
      </c>
      <c r="E583" s="606" t="s">
        <v>2259</v>
      </c>
      <c r="F583" s="606" t="s">
        <v>2259</v>
      </c>
      <c r="G583" s="606" t="s">
        <v>1554</v>
      </c>
      <c r="H583" s="606" t="s">
        <v>1555</v>
      </c>
      <c r="I583" s="606" t="s">
        <v>1981</v>
      </c>
      <c r="J583" s="606" t="s">
        <v>1982</v>
      </c>
    </row>
    <row r="584" spans="2:10" ht="21" customHeight="1">
      <c r="B584" s="605" t="s">
        <v>2260</v>
      </c>
      <c r="C584" s="606" t="s">
        <v>8</v>
      </c>
      <c r="D584" s="605" t="s">
        <v>689</v>
      </c>
      <c r="E584" s="606" t="s">
        <v>2261</v>
      </c>
      <c r="F584" s="606" t="s">
        <v>2261</v>
      </c>
      <c r="G584" s="606" t="s">
        <v>1554</v>
      </c>
      <c r="H584" s="606" t="s">
        <v>1555</v>
      </c>
      <c r="I584" s="606" t="s">
        <v>1981</v>
      </c>
      <c r="J584" s="606" t="s">
        <v>1982</v>
      </c>
    </row>
    <row r="585" spans="2:10" ht="21" customHeight="1">
      <c r="B585" s="605" t="s">
        <v>2262</v>
      </c>
      <c r="C585" s="606" t="s">
        <v>8</v>
      </c>
      <c r="D585" s="605" t="s">
        <v>689</v>
      </c>
      <c r="E585" s="606" t="s">
        <v>2263</v>
      </c>
      <c r="F585" s="606" t="s">
        <v>2263</v>
      </c>
      <c r="G585" s="606" t="s">
        <v>1554</v>
      </c>
      <c r="H585" s="606" t="s">
        <v>1555</v>
      </c>
      <c r="I585" s="606" t="s">
        <v>1981</v>
      </c>
      <c r="J585" s="606" t="s">
        <v>1982</v>
      </c>
    </row>
    <row r="586" spans="2:10" ht="21" customHeight="1">
      <c r="B586" s="605" t="s">
        <v>2264</v>
      </c>
      <c r="C586" s="606" t="s">
        <v>8</v>
      </c>
      <c r="D586" s="605" t="s">
        <v>689</v>
      </c>
      <c r="E586" s="606" t="s">
        <v>2265</v>
      </c>
      <c r="F586" s="606" t="s">
        <v>2265</v>
      </c>
      <c r="G586" s="606" t="s">
        <v>1554</v>
      </c>
      <c r="H586" s="606" t="s">
        <v>1555</v>
      </c>
      <c r="I586" s="606" t="s">
        <v>1981</v>
      </c>
      <c r="J586" s="606" t="s">
        <v>1982</v>
      </c>
    </row>
    <row r="587" spans="2:10" ht="21" customHeight="1">
      <c r="B587" s="605" t="s">
        <v>2266</v>
      </c>
      <c r="C587" s="606" t="s">
        <v>8</v>
      </c>
      <c r="D587" s="605" t="s">
        <v>689</v>
      </c>
      <c r="E587" s="606" t="s">
        <v>2267</v>
      </c>
      <c r="F587" s="606" t="s">
        <v>2267</v>
      </c>
      <c r="G587" s="606" t="s">
        <v>1554</v>
      </c>
      <c r="H587" s="606" t="s">
        <v>1555</v>
      </c>
      <c r="I587" s="606" t="s">
        <v>1981</v>
      </c>
      <c r="J587" s="606" t="s">
        <v>1982</v>
      </c>
    </row>
    <row r="588" spans="2:10" ht="21" customHeight="1">
      <c r="B588" s="605" t="s">
        <v>2268</v>
      </c>
      <c r="C588" s="606" t="s">
        <v>8</v>
      </c>
      <c r="D588" s="605" t="s">
        <v>689</v>
      </c>
      <c r="E588" s="606" t="s">
        <v>2269</v>
      </c>
      <c r="F588" s="606" t="s">
        <v>2269</v>
      </c>
      <c r="G588" s="606" t="s">
        <v>1554</v>
      </c>
      <c r="H588" s="606" t="s">
        <v>1555</v>
      </c>
      <c r="I588" s="606" t="s">
        <v>1981</v>
      </c>
      <c r="J588" s="606" t="s">
        <v>1982</v>
      </c>
    </row>
    <row r="589" spans="2:10" ht="21" customHeight="1">
      <c r="B589" s="605" t="s">
        <v>2270</v>
      </c>
      <c r="C589" s="606" t="s">
        <v>8</v>
      </c>
      <c r="D589" s="605" t="s">
        <v>689</v>
      </c>
      <c r="E589" s="606" t="s">
        <v>2271</v>
      </c>
      <c r="F589" s="606" t="s">
        <v>2271</v>
      </c>
      <c r="G589" s="606" t="s">
        <v>1554</v>
      </c>
      <c r="H589" s="606" t="s">
        <v>1555</v>
      </c>
      <c r="I589" s="606" t="s">
        <v>1981</v>
      </c>
      <c r="J589" s="606" t="s">
        <v>1982</v>
      </c>
    </row>
    <row r="590" spans="2:10" ht="21" customHeight="1">
      <c r="B590" s="605" t="s">
        <v>2272</v>
      </c>
      <c r="C590" s="606" t="s">
        <v>8</v>
      </c>
      <c r="D590" s="605" t="s">
        <v>689</v>
      </c>
      <c r="E590" s="606" t="s">
        <v>2273</v>
      </c>
      <c r="F590" s="606" t="s">
        <v>2273</v>
      </c>
      <c r="G590" s="606" t="s">
        <v>1554</v>
      </c>
      <c r="H590" s="606" t="s">
        <v>1555</v>
      </c>
      <c r="I590" s="606" t="s">
        <v>1981</v>
      </c>
      <c r="J590" s="606" t="s">
        <v>1982</v>
      </c>
    </row>
    <row r="591" spans="2:10" ht="21" customHeight="1">
      <c r="B591" s="605" t="s">
        <v>2274</v>
      </c>
      <c r="C591" s="606" t="s">
        <v>8</v>
      </c>
      <c r="D591" s="605" t="s">
        <v>689</v>
      </c>
      <c r="E591" s="606" t="s">
        <v>2275</v>
      </c>
      <c r="F591" s="606" t="s">
        <v>2275</v>
      </c>
      <c r="G591" s="606" t="s">
        <v>1554</v>
      </c>
      <c r="H591" s="606" t="s">
        <v>1555</v>
      </c>
      <c r="I591" s="606" t="s">
        <v>1981</v>
      </c>
      <c r="J591" s="606" t="s">
        <v>1982</v>
      </c>
    </row>
    <row r="592" spans="2:10" ht="21" customHeight="1">
      <c r="B592" s="605" t="s">
        <v>2276</v>
      </c>
      <c r="C592" s="606" t="s">
        <v>8</v>
      </c>
      <c r="D592" s="605" t="s">
        <v>689</v>
      </c>
      <c r="E592" s="606" t="s">
        <v>2277</v>
      </c>
      <c r="F592" s="606" t="s">
        <v>2277</v>
      </c>
      <c r="G592" s="606" t="s">
        <v>1554</v>
      </c>
      <c r="H592" s="606" t="s">
        <v>1555</v>
      </c>
      <c r="I592" s="606" t="s">
        <v>1981</v>
      </c>
      <c r="J592" s="606" t="s">
        <v>1982</v>
      </c>
    </row>
    <row r="593" spans="2:10" ht="21" customHeight="1">
      <c r="B593" s="605" t="s">
        <v>2278</v>
      </c>
      <c r="C593" s="606" t="s">
        <v>8</v>
      </c>
      <c r="D593" s="605" t="s">
        <v>689</v>
      </c>
      <c r="E593" s="606" t="s">
        <v>1021</v>
      </c>
      <c r="F593" s="606" t="s">
        <v>1021</v>
      </c>
      <c r="G593" s="606" t="s">
        <v>1554</v>
      </c>
      <c r="H593" s="606" t="s">
        <v>1555</v>
      </c>
      <c r="I593" s="606" t="s">
        <v>1981</v>
      </c>
      <c r="J593" s="606" t="s">
        <v>1982</v>
      </c>
    </row>
    <row r="594" spans="2:10" ht="21" customHeight="1">
      <c r="B594" s="605" t="s">
        <v>2279</v>
      </c>
      <c r="C594" s="606" t="s">
        <v>8</v>
      </c>
      <c r="D594" s="605" t="s">
        <v>689</v>
      </c>
      <c r="E594" s="606" t="s">
        <v>2280</v>
      </c>
      <c r="F594" s="606" t="s">
        <v>2280</v>
      </c>
      <c r="G594" s="606" t="s">
        <v>1554</v>
      </c>
      <c r="H594" s="606" t="s">
        <v>1555</v>
      </c>
      <c r="I594" s="606" t="s">
        <v>1981</v>
      </c>
      <c r="J594" s="606" t="s">
        <v>1982</v>
      </c>
    </row>
    <row r="595" spans="2:10" ht="21" customHeight="1">
      <c r="B595" s="605" t="s">
        <v>2281</v>
      </c>
      <c r="C595" s="606" t="s">
        <v>8</v>
      </c>
      <c r="D595" s="605" t="s">
        <v>689</v>
      </c>
      <c r="E595" s="606" t="s">
        <v>2282</v>
      </c>
      <c r="F595" s="606" t="s">
        <v>2282</v>
      </c>
      <c r="G595" s="606" t="s">
        <v>1554</v>
      </c>
      <c r="H595" s="606" t="s">
        <v>1555</v>
      </c>
      <c r="I595" s="606" t="s">
        <v>1981</v>
      </c>
      <c r="J595" s="606" t="s">
        <v>1982</v>
      </c>
    </row>
    <row r="596" spans="2:10" ht="21" customHeight="1">
      <c r="B596" s="605" t="s">
        <v>2283</v>
      </c>
      <c r="C596" s="606" t="s">
        <v>8</v>
      </c>
      <c r="D596" s="605" t="s">
        <v>689</v>
      </c>
      <c r="E596" s="606" t="s">
        <v>2284</v>
      </c>
      <c r="F596" s="606" t="s">
        <v>2284</v>
      </c>
      <c r="G596" s="606" t="s">
        <v>1554</v>
      </c>
      <c r="H596" s="606" t="s">
        <v>1555</v>
      </c>
      <c r="I596" s="606" t="s">
        <v>1981</v>
      </c>
      <c r="J596" s="606" t="s">
        <v>1982</v>
      </c>
    </row>
    <row r="597" spans="2:10" ht="21" customHeight="1">
      <c r="B597" s="605" t="s">
        <v>2285</v>
      </c>
      <c r="C597" s="606" t="s">
        <v>8</v>
      </c>
      <c r="D597" s="605" t="s">
        <v>689</v>
      </c>
      <c r="E597" s="606" t="s">
        <v>2286</v>
      </c>
      <c r="F597" s="606" t="s">
        <v>2286</v>
      </c>
      <c r="G597" s="606" t="s">
        <v>1554</v>
      </c>
      <c r="H597" s="606" t="s">
        <v>1555</v>
      </c>
      <c r="I597" s="606" t="s">
        <v>1981</v>
      </c>
      <c r="J597" s="606" t="s">
        <v>1982</v>
      </c>
    </row>
    <row r="598" spans="2:10" ht="21" customHeight="1">
      <c r="B598" s="605" t="s">
        <v>2287</v>
      </c>
      <c r="C598" s="606" t="s">
        <v>8</v>
      </c>
      <c r="D598" s="605" t="s">
        <v>689</v>
      </c>
      <c r="E598" s="606" t="s">
        <v>1022</v>
      </c>
      <c r="F598" s="606" t="s">
        <v>1022</v>
      </c>
      <c r="G598" s="606" t="s">
        <v>1085</v>
      </c>
      <c r="H598" s="606" t="s">
        <v>2063</v>
      </c>
      <c r="I598" s="606" t="s">
        <v>1087</v>
      </c>
      <c r="J598" s="606" t="s">
        <v>1088</v>
      </c>
    </row>
    <row r="599" spans="2:10" ht="21" customHeight="1">
      <c r="B599" s="605" t="s">
        <v>2288</v>
      </c>
      <c r="C599" s="606" t="s">
        <v>8</v>
      </c>
      <c r="D599" s="605" t="s">
        <v>689</v>
      </c>
      <c r="E599" s="606" t="s">
        <v>2289</v>
      </c>
      <c r="F599" s="606" t="s">
        <v>2289</v>
      </c>
      <c r="G599" s="606" t="s">
        <v>1554</v>
      </c>
      <c r="H599" s="606" t="s">
        <v>1555</v>
      </c>
      <c r="I599" s="606" t="s">
        <v>1981</v>
      </c>
      <c r="J599" s="606" t="s">
        <v>1982</v>
      </c>
    </row>
    <row r="600" spans="2:10" ht="21" customHeight="1">
      <c r="B600" s="605" t="s">
        <v>2290</v>
      </c>
      <c r="C600" s="606" t="s">
        <v>8</v>
      </c>
      <c r="D600" s="605" t="s">
        <v>689</v>
      </c>
      <c r="E600" s="606" t="s">
        <v>2291</v>
      </c>
      <c r="F600" s="606" t="s">
        <v>2291</v>
      </c>
      <c r="G600" s="606" t="s">
        <v>1554</v>
      </c>
      <c r="H600" s="606" t="s">
        <v>1555</v>
      </c>
      <c r="I600" s="606" t="s">
        <v>1981</v>
      </c>
      <c r="J600" s="606" t="s">
        <v>1982</v>
      </c>
    </row>
    <row r="601" spans="2:10" ht="21" customHeight="1">
      <c r="B601" s="605" t="s">
        <v>2292</v>
      </c>
      <c r="C601" s="606" t="s">
        <v>8</v>
      </c>
      <c r="D601" s="605" t="s">
        <v>689</v>
      </c>
      <c r="E601" s="606" t="s">
        <v>2293</v>
      </c>
      <c r="F601" s="606" t="s">
        <v>2293</v>
      </c>
      <c r="G601" s="606" t="s">
        <v>1554</v>
      </c>
      <c r="H601" s="606" t="s">
        <v>1555</v>
      </c>
      <c r="I601" s="606" t="s">
        <v>1981</v>
      </c>
      <c r="J601" s="606" t="s">
        <v>1982</v>
      </c>
    </row>
    <row r="602" spans="2:10" ht="21" customHeight="1">
      <c r="B602" s="605" t="s">
        <v>2294</v>
      </c>
      <c r="C602" s="606" t="s">
        <v>8</v>
      </c>
      <c r="D602" s="605" t="s">
        <v>689</v>
      </c>
      <c r="E602" s="606" t="s">
        <v>2295</v>
      </c>
      <c r="F602" s="606" t="s">
        <v>2295</v>
      </c>
      <c r="G602" s="606" t="s">
        <v>1554</v>
      </c>
      <c r="H602" s="606" t="s">
        <v>1555</v>
      </c>
      <c r="I602" s="606" t="s">
        <v>1981</v>
      </c>
      <c r="J602" s="606" t="s">
        <v>1982</v>
      </c>
    </row>
    <row r="603" spans="2:10" ht="21" customHeight="1">
      <c r="B603" s="605" t="s">
        <v>2296</v>
      </c>
      <c r="C603" s="606" t="s">
        <v>8</v>
      </c>
      <c r="D603" s="605" t="s">
        <v>689</v>
      </c>
      <c r="E603" s="606" t="s">
        <v>2297</v>
      </c>
      <c r="F603" s="606" t="s">
        <v>2297</v>
      </c>
      <c r="G603" s="606" t="s">
        <v>1554</v>
      </c>
      <c r="H603" s="606" t="s">
        <v>1555</v>
      </c>
      <c r="I603" s="606" t="s">
        <v>1981</v>
      </c>
      <c r="J603" s="606" t="s">
        <v>1982</v>
      </c>
    </row>
    <row r="604" spans="2:10" ht="21" customHeight="1">
      <c r="B604" s="605" t="s">
        <v>2298</v>
      </c>
      <c r="C604" s="606" t="s">
        <v>8</v>
      </c>
      <c r="D604" s="605" t="s">
        <v>689</v>
      </c>
      <c r="E604" s="606" t="s">
        <v>2299</v>
      </c>
      <c r="F604" s="606" t="s">
        <v>2299</v>
      </c>
      <c r="G604" s="606" t="s">
        <v>1554</v>
      </c>
      <c r="H604" s="606" t="s">
        <v>1555</v>
      </c>
      <c r="I604" s="606" t="s">
        <v>1981</v>
      </c>
      <c r="J604" s="606" t="s">
        <v>1982</v>
      </c>
    </row>
    <row r="605" spans="2:10" ht="21" customHeight="1">
      <c r="B605" s="605" t="s">
        <v>2300</v>
      </c>
      <c r="C605" s="606" t="s">
        <v>8</v>
      </c>
      <c r="D605" s="605" t="s">
        <v>689</v>
      </c>
      <c r="E605" s="606" t="s">
        <v>2301</v>
      </c>
      <c r="F605" s="606" t="s">
        <v>2301</v>
      </c>
      <c r="G605" s="606" t="s">
        <v>1554</v>
      </c>
      <c r="H605" s="606" t="s">
        <v>1555</v>
      </c>
      <c r="I605" s="606" t="s">
        <v>1981</v>
      </c>
      <c r="J605" s="606" t="s">
        <v>1982</v>
      </c>
    </row>
    <row r="606" spans="2:10" ht="21" customHeight="1">
      <c r="B606" s="605" t="s">
        <v>2302</v>
      </c>
      <c r="C606" s="606" t="s">
        <v>8</v>
      </c>
      <c r="D606" s="605" t="s">
        <v>689</v>
      </c>
      <c r="E606" s="606" t="s">
        <v>2303</v>
      </c>
      <c r="F606" s="606" t="s">
        <v>2303</v>
      </c>
      <c r="G606" s="606" t="s">
        <v>1554</v>
      </c>
      <c r="H606" s="606" t="s">
        <v>1555</v>
      </c>
      <c r="I606" s="606" t="s">
        <v>1981</v>
      </c>
      <c r="J606" s="606" t="s">
        <v>1982</v>
      </c>
    </row>
    <row r="607" spans="2:10" ht="21" customHeight="1">
      <c r="B607" s="605" t="s">
        <v>2304</v>
      </c>
      <c r="C607" s="606" t="s">
        <v>8</v>
      </c>
      <c r="D607" s="605" t="s">
        <v>689</v>
      </c>
      <c r="E607" s="606" t="s">
        <v>2305</v>
      </c>
      <c r="F607" s="606" t="s">
        <v>2305</v>
      </c>
      <c r="G607" s="606" t="s">
        <v>1554</v>
      </c>
      <c r="H607" s="606" t="s">
        <v>1555</v>
      </c>
      <c r="I607" s="606" t="s">
        <v>1981</v>
      </c>
      <c r="J607" s="606" t="s">
        <v>1982</v>
      </c>
    </row>
    <row r="608" spans="2:10" ht="21" customHeight="1">
      <c r="B608" s="605" t="s">
        <v>2306</v>
      </c>
      <c r="C608" s="606" t="s">
        <v>8</v>
      </c>
      <c r="D608" s="605" t="s">
        <v>689</v>
      </c>
      <c r="E608" s="606" t="s">
        <v>2307</v>
      </c>
      <c r="F608" s="606" t="s">
        <v>2307</v>
      </c>
      <c r="G608" s="606" t="s">
        <v>1554</v>
      </c>
      <c r="H608" s="606" t="s">
        <v>1555</v>
      </c>
      <c r="I608" s="606" t="s">
        <v>1981</v>
      </c>
      <c r="J608" s="606" t="s">
        <v>1982</v>
      </c>
    </row>
    <row r="609" spans="2:10" ht="21" customHeight="1">
      <c r="B609" s="605" t="s">
        <v>2308</v>
      </c>
      <c r="C609" s="606" t="s">
        <v>8</v>
      </c>
      <c r="D609" s="605" t="s">
        <v>689</v>
      </c>
      <c r="E609" s="606" t="s">
        <v>2309</v>
      </c>
      <c r="F609" s="606" t="s">
        <v>2309</v>
      </c>
      <c r="G609" s="606" t="s">
        <v>1554</v>
      </c>
      <c r="H609" s="606" t="s">
        <v>1555</v>
      </c>
      <c r="I609" s="606" t="s">
        <v>1981</v>
      </c>
      <c r="J609" s="606" t="s">
        <v>1982</v>
      </c>
    </row>
    <row r="610" spans="2:10" ht="21" customHeight="1">
      <c r="B610" s="605" t="s">
        <v>2310</v>
      </c>
      <c r="C610" s="606" t="s">
        <v>8</v>
      </c>
      <c r="D610" s="605" t="s">
        <v>689</v>
      </c>
      <c r="E610" s="606" t="s">
        <v>2311</v>
      </c>
      <c r="F610" s="606" t="s">
        <v>2311</v>
      </c>
      <c r="G610" s="606" t="s">
        <v>1554</v>
      </c>
      <c r="H610" s="606" t="s">
        <v>1555</v>
      </c>
      <c r="I610" s="606" t="s">
        <v>1981</v>
      </c>
      <c r="J610" s="606" t="s">
        <v>1982</v>
      </c>
    </row>
    <row r="611" spans="2:10" ht="21" customHeight="1">
      <c r="B611" s="605" t="s">
        <v>2312</v>
      </c>
      <c r="C611" s="606" t="s">
        <v>8</v>
      </c>
      <c r="D611" s="605" t="s">
        <v>689</v>
      </c>
      <c r="E611" s="606" t="s">
        <v>2313</v>
      </c>
      <c r="F611" s="606" t="s">
        <v>2313</v>
      </c>
      <c r="G611" s="606" t="s">
        <v>1554</v>
      </c>
      <c r="H611" s="606" t="s">
        <v>1555</v>
      </c>
      <c r="I611" s="606" t="s">
        <v>1981</v>
      </c>
      <c r="J611" s="606" t="s">
        <v>1982</v>
      </c>
    </row>
    <row r="612" spans="2:10" ht="21" customHeight="1">
      <c r="B612" s="605" t="s">
        <v>2314</v>
      </c>
      <c r="C612" s="606" t="s">
        <v>8</v>
      </c>
      <c r="D612" s="605" t="s">
        <v>689</v>
      </c>
      <c r="E612" s="606" t="s">
        <v>2315</v>
      </c>
      <c r="F612" s="606" t="s">
        <v>2315</v>
      </c>
      <c r="G612" s="606" t="s">
        <v>1554</v>
      </c>
      <c r="H612" s="606" t="s">
        <v>1555</v>
      </c>
      <c r="I612" s="606" t="s">
        <v>1981</v>
      </c>
      <c r="J612" s="606" t="s">
        <v>1982</v>
      </c>
    </row>
    <row r="613" spans="2:10" ht="21" customHeight="1">
      <c r="B613" s="605" t="s">
        <v>2316</v>
      </c>
      <c r="C613" s="606" t="s">
        <v>8</v>
      </c>
      <c r="D613" s="605" t="s">
        <v>689</v>
      </c>
      <c r="E613" s="606" t="s">
        <v>2317</v>
      </c>
      <c r="F613" s="606" t="s">
        <v>2317</v>
      </c>
      <c r="G613" s="606" t="s">
        <v>1554</v>
      </c>
      <c r="H613" s="606" t="s">
        <v>1555</v>
      </c>
      <c r="I613" s="606" t="s">
        <v>1981</v>
      </c>
      <c r="J613" s="606" t="s">
        <v>1982</v>
      </c>
    </row>
    <row r="614" spans="2:10" ht="21" customHeight="1">
      <c r="B614" s="605" t="s">
        <v>2318</v>
      </c>
      <c r="C614" s="606" t="s">
        <v>8</v>
      </c>
      <c r="D614" s="605" t="s">
        <v>689</v>
      </c>
      <c r="E614" s="606" t="s">
        <v>2319</v>
      </c>
      <c r="F614" s="606" t="s">
        <v>2319</v>
      </c>
      <c r="G614" s="606" t="s">
        <v>1554</v>
      </c>
      <c r="H614" s="606" t="s">
        <v>1555</v>
      </c>
      <c r="I614" s="606" t="s">
        <v>1981</v>
      </c>
      <c r="J614" s="606" t="s">
        <v>1982</v>
      </c>
    </row>
    <row r="615" spans="2:10" ht="21" customHeight="1">
      <c r="B615" s="605" t="s">
        <v>2320</v>
      </c>
      <c r="C615" s="606" t="s">
        <v>8</v>
      </c>
      <c r="D615" s="605" t="s">
        <v>689</v>
      </c>
      <c r="E615" s="606" t="s">
        <v>356</v>
      </c>
      <c r="F615" s="606" t="s">
        <v>356</v>
      </c>
      <c r="G615" s="606" t="s">
        <v>1151</v>
      </c>
      <c r="H615" s="606" t="s">
        <v>1152</v>
      </c>
      <c r="I615" s="606" t="s">
        <v>1087</v>
      </c>
      <c r="J615" s="606" t="s">
        <v>1153</v>
      </c>
    </row>
    <row r="616" spans="2:10" ht="21" customHeight="1">
      <c r="B616" s="605" t="s">
        <v>2321</v>
      </c>
      <c r="C616" s="606" t="s">
        <v>8</v>
      </c>
      <c r="D616" s="605" t="s">
        <v>689</v>
      </c>
      <c r="E616" s="606" t="s">
        <v>2322</v>
      </c>
      <c r="F616" s="606" t="s">
        <v>2322</v>
      </c>
      <c r="G616" s="606" t="s">
        <v>1554</v>
      </c>
      <c r="H616" s="606" t="s">
        <v>1555</v>
      </c>
      <c r="I616" s="606" t="s">
        <v>1981</v>
      </c>
      <c r="J616" s="606" t="s">
        <v>1982</v>
      </c>
    </row>
    <row r="617" spans="2:10" ht="21" customHeight="1">
      <c r="B617" s="605" t="s">
        <v>2323</v>
      </c>
      <c r="C617" s="606" t="s">
        <v>8</v>
      </c>
      <c r="D617" s="605" t="s">
        <v>689</v>
      </c>
      <c r="E617" s="606" t="s">
        <v>2324</v>
      </c>
      <c r="F617" s="606" t="s">
        <v>2324</v>
      </c>
      <c r="G617" s="606" t="s">
        <v>1554</v>
      </c>
      <c r="H617" s="606" t="s">
        <v>1555</v>
      </c>
      <c r="I617" s="606" t="s">
        <v>1981</v>
      </c>
      <c r="J617" s="606" t="s">
        <v>1982</v>
      </c>
    </row>
    <row r="618" spans="2:10" ht="21" customHeight="1">
      <c r="B618" s="605" t="s">
        <v>2325</v>
      </c>
      <c r="C618" s="606" t="s">
        <v>8</v>
      </c>
      <c r="D618" s="605" t="s">
        <v>689</v>
      </c>
      <c r="E618" s="606" t="s">
        <v>2326</v>
      </c>
      <c r="F618" s="606" t="s">
        <v>2326</v>
      </c>
      <c r="G618" s="606" t="s">
        <v>1554</v>
      </c>
      <c r="H618" s="606" t="s">
        <v>1555</v>
      </c>
      <c r="I618" s="606" t="s">
        <v>1981</v>
      </c>
      <c r="J618" s="606" t="s">
        <v>1982</v>
      </c>
    </row>
    <row r="619" spans="2:10" ht="21" customHeight="1">
      <c r="B619" s="605" t="s">
        <v>2327</v>
      </c>
      <c r="C619" s="606" t="s">
        <v>8</v>
      </c>
      <c r="D619" s="605" t="s">
        <v>689</v>
      </c>
      <c r="E619" s="606" t="s">
        <v>2328</v>
      </c>
      <c r="F619" s="606" t="s">
        <v>2328</v>
      </c>
      <c r="G619" s="606" t="s">
        <v>1554</v>
      </c>
      <c r="H619" s="606" t="s">
        <v>1555</v>
      </c>
      <c r="I619" s="606" t="s">
        <v>1981</v>
      </c>
      <c r="J619" s="606" t="s">
        <v>1982</v>
      </c>
    </row>
    <row r="620" spans="2:10" ht="21" customHeight="1">
      <c r="B620" s="605" t="s">
        <v>2329</v>
      </c>
      <c r="C620" s="606" t="s">
        <v>8</v>
      </c>
      <c r="D620" s="605" t="s">
        <v>689</v>
      </c>
      <c r="E620" s="606" t="s">
        <v>2330</v>
      </c>
      <c r="F620" s="606" t="s">
        <v>2330</v>
      </c>
      <c r="G620" s="606" t="s">
        <v>1554</v>
      </c>
      <c r="H620" s="606" t="s">
        <v>1555</v>
      </c>
      <c r="I620" s="606" t="s">
        <v>1981</v>
      </c>
      <c r="J620" s="606" t="s">
        <v>1982</v>
      </c>
    </row>
    <row r="621" spans="2:10" ht="21" customHeight="1">
      <c r="B621" s="605" t="s">
        <v>2331</v>
      </c>
      <c r="C621" s="606" t="s">
        <v>8</v>
      </c>
      <c r="D621" s="605" t="s">
        <v>689</v>
      </c>
      <c r="E621" s="606" t="s">
        <v>2332</v>
      </c>
      <c r="F621" s="606" t="s">
        <v>2332</v>
      </c>
      <c r="G621" s="606" t="s">
        <v>1554</v>
      </c>
      <c r="H621" s="606" t="s">
        <v>1555</v>
      </c>
      <c r="I621" s="606" t="s">
        <v>1981</v>
      </c>
      <c r="J621" s="606" t="s">
        <v>1982</v>
      </c>
    </row>
    <row r="622" spans="2:10" ht="21" customHeight="1">
      <c r="B622" s="605" t="s">
        <v>2333</v>
      </c>
      <c r="C622" s="606" t="s">
        <v>8</v>
      </c>
      <c r="D622" s="605" t="s">
        <v>689</v>
      </c>
      <c r="E622" s="606" t="s">
        <v>1023</v>
      </c>
      <c r="F622" s="606" t="s">
        <v>1023</v>
      </c>
      <c r="G622" s="606" t="s">
        <v>1554</v>
      </c>
      <c r="H622" s="606" t="s">
        <v>1555</v>
      </c>
      <c r="I622" s="606" t="s">
        <v>1981</v>
      </c>
      <c r="J622" s="606" t="s">
        <v>1982</v>
      </c>
    </row>
    <row r="623" spans="2:10" ht="21" customHeight="1">
      <c r="B623" s="605" t="s">
        <v>2334</v>
      </c>
      <c r="C623" s="606" t="s">
        <v>8</v>
      </c>
      <c r="D623" s="605" t="s">
        <v>689</v>
      </c>
      <c r="E623" s="606" t="s">
        <v>2335</v>
      </c>
      <c r="F623" s="606" t="s">
        <v>2335</v>
      </c>
      <c r="G623" s="606" t="s">
        <v>1554</v>
      </c>
      <c r="H623" s="606" t="s">
        <v>1555</v>
      </c>
      <c r="I623" s="606" t="s">
        <v>1981</v>
      </c>
      <c r="J623" s="606" t="s">
        <v>1982</v>
      </c>
    </row>
    <row r="624" spans="2:10" ht="21" customHeight="1">
      <c r="B624" s="605" t="s">
        <v>2336</v>
      </c>
      <c r="C624" s="606" t="s">
        <v>8</v>
      </c>
      <c r="D624" s="605" t="s">
        <v>689</v>
      </c>
      <c r="E624" s="606" t="s">
        <v>83</v>
      </c>
      <c r="F624" s="606" t="s">
        <v>83</v>
      </c>
      <c r="G624" s="606" t="s">
        <v>1554</v>
      </c>
      <c r="H624" s="606" t="s">
        <v>5895</v>
      </c>
      <c r="I624" s="606" t="s">
        <v>1981</v>
      </c>
      <c r="J624" s="606" t="s">
        <v>1982</v>
      </c>
    </row>
    <row r="625" spans="2:10" ht="21" customHeight="1">
      <c r="B625" s="605" t="s">
        <v>2337</v>
      </c>
      <c r="C625" s="606" t="s">
        <v>8</v>
      </c>
      <c r="D625" s="605" t="s">
        <v>689</v>
      </c>
      <c r="E625" s="606" t="s">
        <v>2338</v>
      </c>
      <c r="F625" s="606" t="s">
        <v>2338</v>
      </c>
      <c r="G625" s="606" t="s">
        <v>1554</v>
      </c>
      <c r="H625" s="606" t="s">
        <v>1555</v>
      </c>
      <c r="I625" s="606" t="s">
        <v>1981</v>
      </c>
      <c r="J625" s="606" t="s">
        <v>1982</v>
      </c>
    </row>
    <row r="626" spans="2:10" ht="21" customHeight="1">
      <c r="B626" s="605" t="s">
        <v>2339</v>
      </c>
      <c r="C626" s="606" t="s">
        <v>8</v>
      </c>
      <c r="D626" s="605" t="s">
        <v>689</v>
      </c>
      <c r="E626" s="606" t="s">
        <v>2340</v>
      </c>
      <c r="F626" s="606" t="s">
        <v>2340</v>
      </c>
      <c r="G626" s="606" t="s">
        <v>1554</v>
      </c>
      <c r="H626" s="606" t="s">
        <v>1555</v>
      </c>
      <c r="I626" s="606" t="s">
        <v>1981</v>
      </c>
      <c r="J626" s="606" t="s">
        <v>1982</v>
      </c>
    </row>
    <row r="627" spans="2:10" ht="21" customHeight="1">
      <c r="B627" s="605" t="s">
        <v>2341</v>
      </c>
      <c r="C627" s="606" t="s">
        <v>8</v>
      </c>
      <c r="D627" s="605" t="s">
        <v>689</v>
      </c>
      <c r="E627" s="606" t="s">
        <v>2342</v>
      </c>
      <c r="F627" s="606" t="s">
        <v>2342</v>
      </c>
      <c r="G627" s="606" t="s">
        <v>1554</v>
      </c>
      <c r="H627" s="606" t="s">
        <v>1555</v>
      </c>
      <c r="I627" s="606" t="s">
        <v>1981</v>
      </c>
      <c r="J627" s="606" t="s">
        <v>1982</v>
      </c>
    </row>
    <row r="628" spans="2:10" ht="21" customHeight="1">
      <c r="B628" s="605" t="s">
        <v>2343</v>
      </c>
      <c r="C628" s="606" t="s">
        <v>8</v>
      </c>
      <c r="D628" s="605" t="s">
        <v>689</v>
      </c>
      <c r="E628" s="606" t="s">
        <v>2344</v>
      </c>
      <c r="F628" s="606" t="s">
        <v>2344</v>
      </c>
      <c r="G628" s="606" t="s">
        <v>1554</v>
      </c>
      <c r="H628" s="606" t="s">
        <v>1555</v>
      </c>
      <c r="I628" s="606" t="s">
        <v>1981</v>
      </c>
      <c r="J628" s="606" t="s">
        <v>1982</v>
      </c>
    </row>
    <row r="629" spans="2:10" ht="21" customHeight="1">
      <c r="B629" s="605" t="s">
        <v>2345</v>
      </c>
      <c r="C629" s="606" t="s">
        <v>8</v>
      </c>
      <c r="D629" s="605" t="s">
        <v>689</v>
      </c>
      <c r="E629" s="606" t="s">
        <v>2346</v>
      </c>
      <c r="F629" s="606" t="s">
        <v>2346</v>
      </c>
      <c r="G629" s="606" t="s">
        <v>1554</v>
      </c>
      <c r="H629" s="606" t="s">
        <v>1555</v>
      </c>
      <c r="I629" s="606" t="s">
        <v>1981</v>
      </c>
      <c r="J629" s="606" t="s">
        <v>1982</v>
      </c>
    </row>
    <row r="630" spans="2:10" ht="21" customHeight="1">
      <c r="B630" s="605" t="s">
        <v>2347</v>
      </c>
      <c r="C630" s="606" t="s">
        <v>8</v>
      </c>
      <c r="D630" s="605" t="s">
        <v>689</v>
      </c>
      <c r="E630" s="606" t="s">
        <v>2348</v>
      </c>
      <c r="F630" s="606" t="s">
        <v>2348</v>
      </c>
      <c r="G630" s="606" t="s">
        <v>1554</v>
      </c>
      <c r="H630" s="606" t="s">
        <v>1555</v>
      </c>
      <c r="I630" s="606" t="s">
        <v>1981</v>
      </c>
      <c r="J630" s="606" t="s">
        <v>1982</v>
      </c>
    </row>
    <row r="631" spans="2:10" ht="21" customHeight="1">
      <c r="B631" s="605" t="s">
        <v>2349</v>
      </c>
      <c r="C631" s="606" t="s">
        <v>8</v>
      </c>
      <c r="D631" s="605" t="s">
        <v>689</v>
      </c>
      <c r="E631" s="606" t="s">
        <v>2350</v>
      </c>
      <c r="F631" s="606" t="s">
        <v>2350</v>
      </c>
      <c r="G631" s="606" t="s">
        <v>1554</v>
      </c>
      <c r="H631" s="606" t="s">
        <v>1555</v>
      </c>
      <c r="I631" s="606" t="s">
        <v>1981</v>
      </c>
      <c r="J631" s="606" t="s">
        <v>1982</v>
      </c>
    </row>
    <row r="632" spans="2:10" ht="21" customHeight="1">
      <c r="B632" s="605" t="s">
        <v>2351</v>
      </c>
      <c r="C632" s="606" t="s">
        <v>8</v>
      </c>
      <c r="D632" s="605" t="s">
        <v>689</v>
      </c>
      <c r="E632" s="606" t="s">
        <v>2352</v>
      </c>
      <c r="F632" s="606" t="s">
        <v>2352</v>
      </c>
      <c r="G632" s="606" t="s">
        <v>1554</v>
      </c>
      <c r="H632" s="606" t="s">
        <v>1555</v>
      </c>
      <c r="I632" s="606" t="s">
        <v>1981</v>
      </c>
      <c r="J632" s="606" t="s">
        <v>1982</v>
      </c>
    </row>
    <row r="633" spans="2:10" ht="21" customHeight="1">
      <c r="B633" s="605" t="s">
        <v>2353</v>
      </c>
      <c r="C633" s="606" t="s">
        <v>8</v>
      </c>
      <c r="D633" s="605" t="s">
        <v>689</v>
      </c>
      <c r="E633" s="606" t="s">
        <v>2354</v>
      </c>
      <c r="F633" s="606" t="s">
        <v>2354</v>
      </c>
      <c r="G633" s="606" t="s">
        <v>1554</v>
      </c>
      <c r="H633" s="606" t="s">
        <v>1555</v>
      </c>
      <c r="I633" s="606" t="s">
        <v>1981</v>
      </c>
      <c r="J633" s="606" t="s">
        <v>1982</v>
      </c>
    </row>
    <row r="634" spans="2:10" ht="21" customHeight="1">
      <c r="B634" s="605" t="s">
        <v>2355</v>
      </c>
      <c r="C634" s="606" t="s">
        <v>8</v>
      </c>
      <c r="D634" s="605" t="s">
        <v>689</v>
      </c>
      <c r="E634" s="606" t="s">
        <v>2356</v>
      </c>
      <c r="F634" s="606" t="s">
        <v>2356</v>
      </c>
      <c r="G634" s="606" t="s">
        <v>1554</v>
      </c>
      <c r="H634" s="606" t="s">
        <v>1555</v>
      </c>
      <c r="I634" s="606" t="s">
        <v>1981</v>
      </c>
      <c r="J634" s="606" t="s">
        <v>1982</v>
      </c>
    </row>
    <row r="635" spans="2:10" ht="21" customHeight="1">
      <c r="B635" s="605" t="s">
        <v>2357</v>
      </c>
      <c r="C635" s="606" t="s">
        <v>8</v>
      </c>
      <c r="D635" s="605" t="s">
        <v>689</v>
      </c>
      <c r="E635" s="606" t="s">
        <v>2358</v>
      </c>
      <c r="F635" s="606" t="s">
        <v>2358</v>
      </c>
      <c r="G635" s="606" t="s">
        <v>1554</v>
      </c>
      <c r="H635" s="606" t="s">
        <v>1555</v>
      </c>
      <c r="I635" s="606" t="s">
        <v>1981</v>
      </c>
      <c r="J635" s="606" t="s">
        <v>1982</v>
      </c>
    </row>
    <row r="636" spans="2:10" ht="21" customHeight="1">
      <c r="B636" s="605" t="s">
        <v>2359</v>
      </c>
      <c r="C636" s="606" t="s">
        <v>8</v>
      </c>
      <c r="D636" s="605" t="s">
        <v>689</v>
      </c>
      <c r="E636" s="606" t="s">
        <v>2360</v>
      </c>
      <c r="F636" s="606" t="s">
        <v>2360</v>
      </c>
      <c r="G636" s="606" t="s">
        <v>1554</v>
      </c>
      <c r="H636" s="606" t="s">
        <v>1555</v>
      </c>
      <c r="I636" s="606" t="s">
        <v>1981</v>
      </c>
      <c r="J636" s="606" t="s">
        <v>1982</v>
      </c>
    </row>
    <row r="637" spans="2:10" ht="21" customHeight="1">
      <c r="B637" s="605" t="s">
        <v>2361</v>
      </c>
      <c r="C637" s="606" t="s">
        <v>8</v>
      </c>
      <c r="D637" s="605" t="s">
        <v>689</v>
      </c>
      <c r="E637" s="606" t="s">
        <v>2362</v>
      </c>
      <c r="F637" s="606" t="s">
        <v>2362</v>
      </c>
      <c r="G637" s="606" t="s">
        <v>1554</v>
      </c>
      <c r="H637" s="606" t="s">
        <v>1555</v>
      </c>
      <c r="I637" s="606" t="s">
        <v>1981</v>
      </c>
      <c r="J637" s="606" t="s">
        <v>1982</v>
      </c>
    </row>
    <row r="638" spans="2:10" ht="21" customHeight="1">
      <c r="B638" s="605" t="s">
        <v>2363</v>
      </c>
      <c r="C638" s="606" t="s">
        <v>8</v>
      </c>
      <c r="D638" s="605" t="s">
        <v>689</v>
      </c>
      <c r="E638" s="606" t="s">
        <v>2364</v>
      </c>
      <c r="F638" s="606" t="s">
        <v>2364</v>
      </c>
      <c r="G638" s="606" t="s">
        <v>1554</v>
      </c>
      <c r="H638" s="606" t="s">
        <v>1555</v>
      </c>
      <c r="I638" s="606" t="s">
        <v>1981</v>
      </c>
      <c r="J638" s="606" t="s">
        <v>1982</v>
      </c>
    </row>
    <row r="639" spans="2:10" ht="21" customHeight="1">
      <c r="B639" s="605" t="s">
        <v>2365</v>
      </c>
      <c r="C639" s="606" t="s">
        <v>8</v>
      </c>
      <c r="D639" s="605" t="s">
        <v>689</v>
      </c>
      <c r="E639" s="606" t="s">
        <v>2366</v>
      </c>
      <c r="F639" s="606" t="s">
        <v>2366</v>
      </c>
      <c r="G639" s="606" t="s">
        <v>1554</v>
      </c>
      <c r="H639" s="606" t="s">
        <v>1555</v>
      </c>
      <c r="I639" s="606" t="s">
        <v>1981</v>
      </c>
      <c r="J639" s="606" t="s">
        <v>1982</v>
      </c>
    </row>
    <row r="640" spans="2:10" ht="21" customHeight="1">
      <c r="B640" s="605" t="s">
        <v>2367</v>
      </c>
      <c r="C640" s="606" t="s">
        <v>8</v>
      </c>
      <c r="D640" s="605" t="s">
        <v>689</v>
      </c>
      <c r="E640" s="606" t="s">
        <v>2368</v>
      </c>
      <c r="F640" s="606" t="s">
        <v>2368</v>
      </c>
      <c r="G640" s="606" t="s">
        <v>1554</v>
      </c>
      <c r="H640" s="606" t="s">
        <v>1555</v>
      </c>
      <c r="I640" s="606" t="s">
        <v>1981</v>
      </c>
      <c r="J640" s="606" t="s">
        <v>1982</v>
      </c>
    </row>
    <row r="641" spans="2:10" ht="21" customHeight="1">
      <c r="B641" s="605" t="s">
        <v>2369</v>
      </c>
      <c r="C641" s="606" t="s">
        <v>8</v>
      </c>
      <c r="D641" s="605" t="s">
        <v>689</v>
      </c>
      <c r="E641" s="606" t="s">
        <v>2370</v>
      </c>
      <c r="F641" s="606" t="s">
        <v>2370</v>
      </c>
      <c r="G641" s="606" t="s">
        <v>1554</v>
      </c>
      <c r="H641" s="606" t="s">
        <v>1555</v>
      </c>
      <c r="I641" s="606" t="s">
        <v>1981</v>
      </c>
      <c r="J641" s="606" t="s">
        <v>1982</v>
      </c>
    </row>
    <row r="642" spans="2:10" ht="21" customHeight="1">
      <c r="B642" s="605" t="s">
        <v>2371</v>
      </c>
      <c r="C642" s="606" t="s">
        <v>8</v>
      </c>
      <c r="D642" s="605" t="s">
        <v>689</v>
      </c>
      <c r="E642" s="606" t="s">
        <v>2372</v>
      </c>
      <c r="F642" s="606" t="s">
        <v>2372</v>
      </c>
      <c r="G642" s="606" t="s">
        <v>1554</v>
      </c>
      <c r="H642" s="606" t="s">
        <v>1555</v>
      </c>
      <c r="I642" s="606" t="s">
        <v>1981</v>
      </c>
      <c r="J642" s="606" t="s">
        <v>1982</v>
      </c>
    </row>
    <row r="643" spans="2:10" ht="21" customHeight="1">
      <c r="B643" s="605" t="s">
        <v>2373</v>
      </c>
      <c r="C643" s="606" t="s">
        <v>8</v>
      </c>
      <c r="D643" s="605" t="s">
        <v>689</v>
      </c>
      <c r="E643" s="606" t="s">
        <v>2374</v>
      </c>
      <c r="F643" s="606" t="s">
        <v>2374</v>
      </c>
      <c r="G643" s="606" t="s">
        <v>1554</v>
      </c>
      <c r="H643" s="606" t="s">
        <v>1555</v>
      </c>
      <c r="I643" s="606" t="s">
        <v>1981</v>
      </c>
      <c r="J643" s="606" t="s">
        <v>1982</v>
      </c>
    </row>
    <row r="644" spans="2:10" ht="21" customHeight="1">
      <c r="B644" s="605" t="s">
        <v>2375</v>
      </c>
      <c r="C644" s="606" t="s">
        <v>8</v>
      </c>
      <c r="D644" s="605" t="s">
        <v>689</v>
      </c>
      <c r="E644" s="606" t="s">
        <v>2376</v>
      </c>
      <c r="F644" s="606" t="s">
        <v>2376</v>
      </c>
      <c r="G644" s="606" t="s">
        <v>1554</v>
      </c>
      <c r="H644" s="606" t="s">
        <v>1555</v>
      </c>
      <c r="I644" s="606" t="s">
        <v>1981</v>
      </c>
      <c r="J644" s="606" t="s">
        <v>1982</v>
      </c>
    </row>
    <row r="645" spans="2:10" ht="21" customHeight="1">
      <c r="B645" s="605" t="s">
        <v>2377</v>
      </c>
      <c r="C645" s="606" t="s">
        <v>8</v>
      </c>
      <c r="D645" s="605" t="s">
        <v>689</v>
      </c>
      <c r="E645" s="606" t="s">
        <v>2378</v>
      </c>
      <c r="F645" s="606" t="s">
        <v>2378</v>
      </c>
      <c r="G645" s="606" t="s">
        <v>1554</v>
      </c>
      <c r="H645" s="606" t="s">
        <v>1555</v>
      </c>
      <c r="I645" s="606" t="s">
        <v>1981</v>
      </c>
      <c r="J645" s="606" t="s">
        <v>1982</v>
      </c>
    </row>
    <row r="646" spans="2:10" ht="21" customHeight="1">
      <c r="B646" s="605" t="s">
        <v>2379</v>
      </c>
      <c r="C646" s="606" t="s">
        <v>8</v>
      </c>
      <c r="D646" s="605" t="s">
        <v>689</v>
      </c>
      <c r="E646" s="606" t="s">
        <v>2380</v>
      </c>
      <c r="F646" s="606" t="s">
        <v>2380</v>
      </c>
      <c r="G646" s="606" t="s">
        <v>1554</v>
      </c>
      <c r="H646" s="606" t="s">
        <v>1555</v>
      </c>
      <c r="I646" s="606" t="s">
        <v>1981</v>
      </c>
      <c r="J646" s="606" t="s">
        <v>1982</v>
      </c>
    </row>
    <row r="647" spans="2:10" ht="21" customHeight="1">
      <c r="B647" s="605" t="s">
        <v>2381</v>
      </c>
      <c r="C647" s="606" t="s">
        <v>8</v>
      </c>
      <c r="D647" s="605" t="s">
        <v>689</v>
      </c>
      <c r="E647" s="606" t="s">
        <v>2382</v>
      </c>
      <c r="F647" s="606" t="s">
        <v>2382</v>
      </c>
      <c r="G647" s="606" t="s">
        <v>1554</v>
      </c>
      <c r="H647" s="606" t="s">
        <v>1555</v>
      </c>
      <c r="I647" s="606" t="s">
        <v>1981</v>
      </c>
      <c r="J647" s="606" t="s">
        <v>1982</v>
      </c>
    </row>
    <row r="648" spans="2:10" ht="21" customHeight="1">
      <c r="B648" s="605" t="s">
        <v>2383</v>
      </c>
      <c r="C648" s="606" t="s">
        <v>8</v>
      </c>
      <c r="D648" s="605" t="s">
        <v>689</v>
      </c>
      <c r="E648" s="606" t="s">
        <v>2384</v>
      </c>
      <c r="F648" s="606" t="s">
        <v>2384</v>
      </c>
      <c r="G648" s="606" t="s">
        <v>1554</v>
      </c>
      <c r="H648" s="606" t="s">
        <v>1555</v>
      </c>
      <c r="I648" s="606" t="s">
        <v>1981</v>
      </c>
      <c r="J648" s="606" t="s">
        <v>1982</v>
      </c>
    </row>
    <row r="649" spans="2:10" ht="21" customHeight="1">
      <c r="B649" s="605" t="s">
        <v>2385</v>
      </c>
      <c r="C649" s="606" t="s">
        <v>8</v>
      </c>
      <c r="D649" s="605" t="s">
        <v>689</v>
      </c>
      <c r="E649" s="606" t="s">
        <v>2386</v>
      </c>
      <c r="F649" s="606" t="s">
        <v>2386</v>
      </c>
      <c r="G649" s="606" t="s">
        <v>1554</v>
      </c>
      <c r="H649" s="606" t="s">
        <v>1555</v>
      </c>
      <c r="I649" s="606" t="s">
        <v>1981</v>
      </c>
      <c r="J649" s="606" t="s">
        <v>1982</v>
      </c>
    </row>
    <row r="650" spans="2:10" ht="21" customHeight="1">
      <c r="B650" s="605" t="s">
        <v>2387</v>
      </c>
      <c r="C650" s="606" t="s">
        <v>8</v>
      </c>
      <c r="D650" s="605" t="s">
        <v>689</v>
      </c>
      <c r="E650" s="606" t="s">
        <v>2388</v>
      </c>
      <c r="F650" s="606" t="s">
        <v>2388</v>
      </c>
      <c r="G650" s="606" t="s">
        <v>1554</v>
      </c>
      <c r="H650" s="606" t="s">
        <v>1555</v>
      </c>
      <c r="I650" s="606" t="s">
        <v>1981</v>
      </c>
      <c r="J650" s="606" t="s">
        <v>1982</v>
      </c>
    </row>
    <row r="651" spans="2:10" ht="21" customHeight="1">
      <c r="B651" s="605" t="s">
        <v>2389</v>
      </c>
      <c r="C651" s="606" t="s">
        <v>8</v>
      </c>
      <c r="D651" s="605" t="s">
        <v>689</v>
      </c>
      <c r="E651" s="606" t="s">
        <v>2390</v>
      </c>
      <c r="F651" s="606" t="s">
        <v>2390</v>
      </c>
      <c r="G651" s="606" t="s">
        <v>1554</v>
      </c>
      <c r="H651" s="606" t="s">
        <v>1555</v>
      </c>
      <c r="I651" s="606" t="s">
        <v>1981</v>
      </c>
      <c r="J651" s="606" t="s">
        <v>1982</v>
      </c>
    </row>
    <row r="652" spans="2:10" ht="21" customHeight="1">
      <c r="B652" s="605" t="s">
        <v>2391</v>
      </c>
      <c r="C652" s="606" t="s">
        <v>8</v>
      </c>
      <c r="D652" s="605" t="s">
        <v>689</v>
      </c>
      <c r="E652" s="606" t="s">
        <v>2392</v>
      </c>
      <c r="F652" s="606" t="s">
        <v>2392</v>
      </c>
      <c r="G652" s="606" t="s">
        <v>1554</v>
      </c>
      <c r="H652" s="606" t="s">
        <v>1555</v>
      </c>
      <c r="I652" s="606" t="s">
        <v>1981</v>
      </c>
      <c r="J652" s="606" t="s">
        <v>1982</v>
      </c>
    </row>
    <row r="653" spans="2:10" ht="21" customHeight="1">
      <c r="B653" s="605" t="s">
        <v>2393</v>
      </c>
      <c r="C653" s="606" t="s">
        <v>8</v>
      </c>
      <c r="D653" s="605" t="s">
        <v>689</v>
      </c>
      <c r="E653" s="606" t="s">
        <v>2394</v>
      </c>
      <c r="F653" s="606" t="s">
        <v>2394</v>
      </c>
      <c r="G653" s="606" t="s">
        <v>1554</v>
      </c>
      <c r="H653" s="606" t="s">
        <v>1555</v>
      </c>
      <c r="I653" s="606" t="s">
        <v>1981</v>
      </c>
      <c r="J653" s="606" t="s">
        <v>1982</v>
      </c>
    </row>
    <row r="654" spans="2:10" ht="21" customHeight="1">
      <c r="B654" s="605" t="s">
        <v>2395</v>
      </c>
      <c r="C654" s="606" t="s">
        <v>8</v>
      </c>
      <c r="D654" s="605" t="s">
        <v>689</v>
      </c>
      <c r="E654" s="606" t="s">
        <v>2396</v>
      </c>
      <c r="F654" s="606" t="s">
        <v>2396</v>
      </c>
      <c r="G654" s="606" t="s">
        <v>1554</v>
      </c>
      <c r="H654" s="606" t="s">
        <v>1555</v>
      </c>
      <c r="I654" s="606" t="s">
        <v>1981</v>
      </c>
      <c r="J654" s="606" t="s">
        <v>1982</v>
      </c>
    </row>
    <row r="655" spans="2:10" ht="21" customHeight="1">
      <c r="B655" s="605" t="s">
        <v>2397</v>
      </c>
      <c r="C655" s="606" t="s">
        <v>8</v>
      </c>
      <c r="D655" s="605" t="s">
        <v>689</v>
      </c>
      <c r="E655" s="606" t="s">
        <v>2398</v>
      </c>
      <c r="F655" s="606" t="s">
        <v>2398</v>
      </c>
      <c r="G655" s="606" t="s">
        <v>1554</v>
      </c>
      <c r="H655" s="606" t="s">
        <v>1555</v>
      </c>
      <c r="I655" s="606" t="s">
        <v>1981</v>
      </c>
      <c r="J655" s="606" t="s">
        <v>1982</v>
      </c>
    </row>
    <row r="656" spans="2:10" ht="21" customHeight="1">
      <c r="B656" s="605" t="s">
        <v>2399</v>
      </c>
      <c r="C656" s="606" t="s">
        <v>8</v>
      </c>
      <c r="D656" s="605" t="s">
        <v>689</v>
      </c>
      <c r="E656" s="606" t="s">
        <v>2400</v>
      </c>
      <c r="F656" s="606" t="s">
        <v>2400</v>
      </c>
      <c r="G656" s="606" t="s">
        <v>1554</v>
      </c>
      <c r="H656" s="606" t="s">
        <v>1555</v>
      </c>
      <c r="I656" s="606" t="s">
        <v>1981</v>
      </c>
      <c r="J656" s="606" t="s">
        <v>1982</v>
      </c>
    </row>
    <row r="657" spans="2:10" ht="21" customHeight="1">
      <c r="B657" s="605" t="s">
        <v>2401</v>
      </c>
      <c r="C657" s="606" t="s">
        <v>8</v>
      </c>
      <c r="D657" s="605" t="s">
        <v>689</v>
      </c>
      <c r="E657" s="606" t="s">
        <v>2402</v>
      </c>
      <c r="F657" s="606" t="s">
        <v>2402</v>
      </c>
      <c r="G657" s="606" t="s">
        <v>1554</v>
      </c>
      <c r="H657" s="606" t="s">
        <v>1555</v>
      </c>
      <c r="I657" s="606" t="s">
        <v>1981</v>
      </c>
      <c r="J657" s="606" t="s">
        <v>1982</v>
      </c>
    </row>
    <row r="658" spans="2:10" ht="21" customHeight="1">
      <c r="B658" s="605" t="s">
        <v>2403</v>
      </c>
      <c r="C658" s="606" t="s">
        <v>8</v>
      </c>
      <c r="D658" s="605" t="s">
        <v>689</v>
      </c>
      <c r="E658" s="606" t="s">
        <v>2404</v>
      </c>
      <c r="F658" s="606" t="s">
        <v>2404</v>
      </c>
      <c r="G658" s="606" t="s">
        <v>1554</v>
      </c>
      <c r="H658" s="606" t="s">
        <v>1555</v>
      </c>
      <c r="I658" s="606" t="s">
        <v>1981</v>
      </c>
      <c r="J658" s="606" t="s">
        <v>1982</v>
      </c>
    </row>
    <row r="659" spans="2:10" ht="21" customHeight="1">
      <c r="B659" s="605" t="s">
        <v>2405</v>
      </c>
      <c r="C659" s="606" t="s">
        <v>8</v>
      </c>
      <c r="D659" s="605" t="s">
        <v>689</v>
      </c>
      <c r="E659" s="606" t="s">
        <v>2406</v>
      </c>
      <c r="F659" s="606" t="s">
        <v>2406</v>
      </c>
      <c r="G659" s="606" t="s">
        <v>1554</v>
      </c>
      <c r="H659" s="606" t="s">
        <v>1555</v>
      </c>
      <c r="I659" s="606" t="s">
        <v>1981</v>
      </c>
      <c r="J659" s="606" t="s">
        <v>1982</v>
      </c>
    </row>
    <row r="660" spans="2:10" ht="21" customHeight="1">
      <c r="B660" s="605" t="s">
        <v>2407</v>
      </c>
      <c r="C660" s="606" t="s">
        <v>8</v>
      </c>
      <c r="D660" s="605" t="s">
        <v>689</v>
      </c>
      <c r="E660" s="606" t="s">
        <v>2408</v>
      </c>
      <c r="F660" s="606" t="s">
        <v>2408</v>
      </c>
      <c r="G660" s="606" t="s">
        <v>1554</v>
      </c>
      <c r="H660" s="606" t="s">
        <v>1555</v>
      </c>
      <c r="I660" s="606" t="s">
        <v>1981</v>
      </c>
      <c r="J660" s="606" t="s">
        <v>1982</v>
      </c>
    </row>
    <row r="661" spans="2:10" ht="21" customHeight="1">
      <c r="B661" s="605" t="s">
        <v>2409</v>
      </c>
      <c r="C661" s="606" t="s">
        <v>8</v>
      </c>
      <c r="D661" s="605" t="s">
        <v>689</v>
      </c>
      <c r="E661" s="606" t="s">
        <v>2410</v>
      </c>
      <c r="F661" s="606" t="s">
        <v>2410</v>
      </c>
      <c r="G661" s="606" t="s">
        <v>1554</v>
      </c>
      <c r="H661" s="606" t="s">
        <v>1555</v>
      </c>
      <c r="I661" s="606" t="s">
        <v>1981</v>
      </c>
      <c r="J661" s="606" t="s">
        <v>1982</v>
      </c>
    </row>
    <row r="662" spans="2:10" ht="21" customHeight="1">
      <c r="B662" s="605" t="s">
        <v>2411</v>
      </c>
      <c r="C662" s="606" t="s">
        <v>8</v>
      </c>
      <c r="D662" s="605" t="s">
        <v>689</v>
      </c>
      <c r="E662" s="606" t="s">
        <v>2412</v>
      </c>
      <c r="F662" s="606" t="s">
        <v>2412</v>
      </c>
      <c r="G662" s="606" t="s">
        <v>1554</v>
      </c>
      <c r="H662" s="606" t="s">
        <v>1555</v>
      </c>
      <c r="I662" s="606" t="s">
        <v>1981</v>
      </c>
      <c r="J662" s="606" t="s">
        <v>1982</v>
      </c>
    </row>
    <row r="663" spans="2:10" ht="21" customHeight="1">
      <c r="B663" s="605" t="s">
        <v>2413</v>
      </c>
      <c r="C663" s="606" t="s">
        <v>8</v>
      </c>
      <c r="D663" s="605" t="s">
        <v>689</v>
      </c>
      <c r="E663" s="606" t="s">
        <v>2414</v>
      </c>
      <c r="F663" s="606" t="s">
        <v>2414</v>
      </c>
      <c r="G663" s="606" t="s">
        <v>1554</v>
      </c>
      <c r="H663" s="606" t="s">
        <v>1555</v>
      </c>
      <c r="I663" s="606" t="s">
        <v>1981</v>
      </c>
      <c r="J663" s="606" t="s">
        <v>1982</v>
      </c>
    </row>
    <row r="664" spans="2:10" ht="21" customHeight="1">
      <c r="B664" s="605" t="s">
        <v>2415</v>
      </c>
      <c r="C664" s="606" t="s">
        <v>8</v>
      </c>
      <c r="D664" s="605" t="s">
        <v>689</v>
      </c>
      <c r="E664" s="606" t="s">
        <v>2416</v>
      </c>
      <c r="F664" s="606" t="s">
        <v>2416</v>
      </c>
      <c r="G664" s="606" t="s">
        <v>1554</v>
      </c>
      <c r="H664" s="606" t="s">
        <v>1555</v>
      </c>
      <c r="I664" s="606" t="s">
        <v>1981</v>
      </c>
      <c r="J664" s="606" t="s">
        <v>1982</v>
      </c>
    </row>
    <row r="665" spans="2:10" ht="21" customHeight="1">
      <c r="B665" s="605" t="s">
        <v>2417</v>
      </c>
      <c r="C665" s="606" t="s">
        <v>8</v>
      </c>
      <c r="D665" s="605" t="s">
        <v>689</v>
      </c>
      <c r="E665" s="606" t="s">
        <v>2418</v>
      </c>
      <c r="F665" s="606" t="s">
        <v>2418</v>
      </c>
      <c r="G665" s="606" t="s">
        <v>1554</v>
      </c>
      <c r="H665" s="606" t="s">
        <v>1555</v>
      </c>
      <c r="I665" s="606" t="s">
        <v>1981</v>
      </c>
      <c r="J665" s="606" t="s">
        <v>1982</v>
      </c>
    </row>
    <row r="666" spans="2:10" ht="21" customHeight="1">
      <c r="B666" s="605" t="s">
        <v>2419</v>
      </c>
      <c r="C666" s="606" t="s">
        <v>8</v>
      </c>
      <c r="D666" s="605" t="s">
        <v>689</v>
      </c>
      <c r="E666" s="606" t="s">
        <v>2420</v>
      </c>
      <c r="F666" s="606" t="s">
        <v>2420</v>
      </c>
      <c r="G666" s="606" t="s">
        <v>1554</v>
      </c>
      <c r="H666" s="606" t="s">
        <v>1555</v>
      </c>
      <c r="I666" s="606" t="s">
        <v>1981</v>
      </c>
      <c r="J666" s="606" t="s">
        <v>1982</v>
      </c>
    </row>
    <row r="667" spans="2:10" ht="21" customHeight="1">
      <c r="B667" s="605" t="s">
        <v>2421</v>
      </c>
      <c r="C667" s="606" t="s">
        <v>8</v>
      </c>
      <c r="D667" s="605" t="s">
        <v>689</v>
      </c>
      <c r="E667" s="606" t="s">
        <v>1024</v>
      </c>
      <c r="F667" s="606" t="s">
        <v>1024</v>
      </c>
      <c r="G667" s="606" t="s">
        <v>1554</v>
      </c>
      <c r="H667" s="606" t="s">
        <v>1555</v>
      </c>
      <c r="I667" s="606" t="s">
        <v>1981</v>
      </c>
      <c r="J667" s="606" t="s">
        <v>1982</v>
      </c>
    </row>
    <row r="668" spans="2:10" ht="21" customHeight="1">
      <c r="B668" s="605" t="s">
        <v>2422</v>
      </c>
      <c r="C668" s="606" t="s">
        <v>8</v>
      </c>
      <c r="D668" s="605" t="s">
        <v>689</v>
      </c>
      <c r="E668" s="606" t="s">
        <v>2423</v>
      </c>
      <c r="F668" s="606" t="s">
        <v>2423</v>
      </c>
      <c r="G668" s="606" t="s">
        <v>1554</v>
      </c>
      <c r="H668" s="606" t="s">
        <v>1555</v>
      </c>
      <c r="I668" s="606" t="s">
        <v>1981</v>
      </c>
      <c r="J668" s="606" t="s">
        <v>1982</v>
      </c>
    </row>
    <row r="669" spans="2:10" ht="21" customHeight="1">
      <c r="B669" s="605" t="s">
        <v>2424</v>
      </c>
      <c r="C669" s="606" t="s">
        <v>8</v>
      </c>
      <c r="D669" s="605" t="s">
        <v>689</v>
      </c>
      <c r="E669" s="606" t="s">
        <v>2425</v>
      </c>
      <c r="F669" s="606" t="s">
        <v>2425</v>
      </c>
      <c r="G669" s="606" t="s">
        <v>1554</v>
      </c>
      <c r="H669" s="606" t="s">
        <v>1555</v>
      </c>
      <c r="I669" s="606" t="s">
        <v>1981</v>
      </c>
      <c r="J669" s="606" t="s">
        <v>1982</v>
      </c>
    </row>
    <row r="670" spans="2:10" ht="21" customHeight="1">
      <c r="B670" s="605" t="s">
        <v>2426</v>
      </c>
      <c r="C670" s="606" t="s">
        <v>8</v>
      </c>
      <c r="D670" s="605" t="s">
        <v>689</v>
      </c>
      <c r="E670" s="606" t="s">
        <v>2427</v>
      </c>
      <c r="F670" s="606" t="s">
        <v>2427</v>
      </c>
      <c r="G670" s="606" t="s">
        <v>1554</v>
      </c>
      <c r="H670" s="606" t="s">
        <v>1555</v>
      </c>
      <c r="I670" s="606" t="s">
        <v>1981</v>
      </c>
      <c r="J670" s="606" t="s">
        <v>1982</v>
      </c>
    </row>
    <row r="671" spans="2:10" ht="21" customHeight="1">
      <c r="B671" s="605" t="s">
        <v>2428</v>
      </c>
      <c r="C671" s="606" t="s">
        <v>8</v>
      </c>
      <c r="D671" s="605" t="s">
        <v>689</v>
      </c>
      <c r="E671" s="606" t="s">
        <v>2429</v>
      </c>
      <c r="F671" s="606" t="s">
        <v>2429</v>
      </c>
      <c r="G671" s="606" t="s">
        <v>1554</v>
      </c>
      <c r="H671" s="606" t="s">
        <v>1555</v>
      </c>
      <c r="I671" s="606" t="s">
        <v>1981</v>
      </c>
      <c r="J671" s="606" t="s">
        <v>1982</v>
      </c>
    </row>
    <row r="672" spans="2:10" ht="21" customHeight="1">
      <c r="B672" s="605" t="s">
        <v>2430</v>
      </c>
      <c r="C672" s="606" t="s">
        <v>8</v>
      </c>
      <c r="D672" s="605" t="s">
        <v>689</v>
      </c>
      <c r="E672" s="606" t="s">
        <v>2431</v>
      </c>
      <c r="F672" s="606" t="s">
        <v>2431</v>
      </c>
      <c r="G672" s="606" t="s">
        <v>1554</v>
      </c>
      <c r="H672" s="606" t="s">
        <v>1555</v>
      </c>
      <c r="I672" s="606" t="s">
        <v>1981</v>
      </c>
      <c r="J672" s="606" t="s">
        <v>1982</v>
      </c>
    </row>
    <row r="673" spans="2:10" ht="21" customHeight="1">
      <c r="B673" s="605" t="s">
        <v>2432</v>
      </c>
      <c r="C673" s="606" t="s">
        <v>8</v>
      </c>
      <c r="D673" s="605" t="s">
        <v>689</v>
      </c>
      <c r="E673" s="606" t="s">
        <v>2433</v>
      </c>
      <c r="F673" s="606" t="s">
        <v>2433</v>
      </c>
      <c r="G673" s="606" t="s">
        <v>1554</v>
      </c>
      <c r="H673" s="606" t="s">
        <v>1555</v>
      </c>
      <c r="I673" s="606" t="s">
        <v>1981</v>
      </c>
      <c r="J673" s="606" t="s">
        <v>1982</v>
      </c>
    </row>
    <row r="674" spans="2:10" ht="21" customHeight="1">
      <c r="B674" s="605" t="s">
        <v>2434</v>
      </c>
      <c r="C674" s="606" t="s">
        <v>8</v>
      </c>
      <c r="D674" s="605" t="s">
        <v>689</v>
      </c>
      <c r="E674" s="606" t="s">
        <v>2435</v>
      </c>
      <c r="F674" s="606" t="s">
        <v>2435</v>
      </c>
      <c r="G674" s="606" t="s">
        <v>1554</v>
      </c>
      <c r="H674" s="606" t="s">
        <v>1555</v>
      </c>
      <c r="I674" s="606" t="s">
        <v>1981</v>
      </c>
      <c r="J674" s="606" t="s">
        <v>1982</v>
      </c>
    </row>
    <row r="675" spans="2:10" ht="21" customHeight="1">
      <c r="B675" s="605" t="s">
        <v>2436</v>
      </c>
      <c r="C675" s="606" t="s">
        <v>8</v>
      </c>
      <c r="D675" s="605" t="s">
        <v>689</v>
      </c>
      <c r="E675" s="606" t="s">
        <v>2437</v>
      </c>
      <c r="F675" s="606" t="s">
        <v>2437</v>
      </c>
      <c r="G675" s="606" t="s">
        <v>1554</v>
      </c>
      <c r="H675" s="606" t="s">
        <v>1555</v>
      </c>
      <c r="I675" s="606" t="s">
        <v>1981</v>
      </c>
      <c r="J675" s="606" t="s">
        <v>1982</v>
      </c>
    </row>
    <row r="676" spans="2:10" ht="21" customHeight="1">
      <c r="B676" s="605" t="s">
        <v>2438</v>
      </c>
      <c r="C676" s="606" t="s">
        <v>8</v>
      </c>
      <c r="D676" s="605" t="s">
        <v>689</v>
      </c>
      <c r="E676" s="606" t="s">
        <v>2439</v>
      </c>
      <c r="F676" s="606" t="s">
        <v>2439</v>
      </c>
      <c r="G676" s="606" t="s">
        <v>1554</v>
      </c>
      <c r="H676" s="606" t="s">
        <v>1555</v>
      </c>
      <c r="I676" s="606" t="s">
        <v>1981</v>
      </c>
      <c r="J676" s="606" t="s">
        <v>1982</v>
      </c>
    </row>
    <row r="677" spans="2:10" ht="21" customHeight="1">
      <c r="B677" s="605" t="s">
        <v>2440</v>
      </c>
      <c r="C677" s="606" t="s">
        <v>8</v>
      </c>
      <c r="D677" s="605" t="s">
        <v>689</v>
      </c>
      <c r="E677" s="606" t="s">
        <v>2441</v>
      </c>
      <c r="F677" s="606" t="s">
        <v>2441</v>
      </c>
      <c r="G677" s="606" t="s">
        <v>1554</v>
      </c>
      <c r="H677" s="606" t="s">
        <v>1555</v>
      </c>
      <c r="I677" s="606" t="s">
        <v>1981</v>
      </c>
      <c r="J677" s="606" t="s">
        <v>1982</v>
      </c>
    </row>
    <row r="678" spans="2:10" ht="21" customHeight="1">
      <c r="B678" s="605" t="s">
        <v>2442</v>
      </c>
      <c r="C678" s="606" t="s">
        <v>8</v>
      </c>
      <c r="D678" s="605" t="s">
        <v>689</v>
      </c>
      <c r="E678" s="606" t="s">
        <v>2443</v>
      </c>
      <c r="F678" s="606" t="s">
        <v>2443</v>
      </c>
      <c r="G678" s="606" t="s">
        <v>1554</v>
      </c>
      <c r="H678" s="606" t="s">
        <v>1555</v>
      </c>
      <c r="I678" s="606" t="s">
        <v>1981</v>
      </c>
      <c r="J678" s="606" t="s">
        <v>1982</v>
      </c>
    </row>
    <row r="679" spans="2:10" ht="21" customHeight="1">
      <c r="B679" s="605" t="s">
        <v>2444</v>
      </c>
      <c r="C679" s="606" t="s">
        <v>8</v>
      </c>
      <c r="D679" s="605" t="s">
        <v>689</v>
      </c>
      <c r="E679" s="606" t="s">
        <v>2445</v>
      </c>
      <c r="F679" s="606" t="s">
        <v>2445</v>
      </c>
      <c r="G679" s="606" t="s">
        <v>1554</v>
      </c>
      <c r="H679" s="606" t="s">
        <v>1555</v>
      </c>
      <c r="I679" s="606" t="s">
        <v>1981</v>
      </c>
      <c r="J679" s="606" t="s">
        <v>1982</v>
      </c>
    </row>
    <row r="680" spans="2:10" ht="21" customHeight="1">
      <c r="B680" s="605" t="s">
        <v>2446</v>
      </c>
      <c r="C680" s="606" t="s">
        <v>8</v>
      </c>
      <c r="D680" s="605" t="s">
        <v>689</v>
      </c>
      <c r="E680" s="606" t="s">
        <v>2447</v>
      </c>
      <c r="F680" s="606" t="s">
        <v>2447</v>
      </c>
      <c r="G680" s="606" t="s">
        <v>1554</v>
      </c>
      <c r="H680" s="606" t="s">
        <v>1555</v>
      </c>
      <c r="I680" s="606" t="s">
        <v>1981</v>
      </c>
      <c r="J680" s="606" t="s">
        <v>1982</v>
      </c>
    </row>
    <row r="681" spans="2:10" ht="21" customHeight="1">
      <c r="B681" s="605" t="s">
        <v>2448</v>
      </c>
      <c r="C681" s="606" t="s">
        <v>8</v>
      </c>
      <c r="D681" s="605" t="s">
        <v>689</v>
      </c>
      <c r="E681" s="606" t="s">
        <v>2449</v>
      </c>
      <c r="F681" s="606" t="s">
        <v>2449</v>
      </c>
      <c r="G681" s="606" t="s">
        <v>1554</v>
      </c>
      <c r="H681" s="606" t="s">
        <v>1555</v>
      </c>
      <c r="I681" s="606" t="s">
        <v>1981</v>
      </c>
      <c r="J681" s="606" t="s">
        <v>1982</v>
      </c>
    </row>
    <row r="682" spans="2:10" ht="21" customHeight="1">
      <c r="B682" s="605" t="s">
        <v>2450</v>
      </c>
      <c r="C682" s="606" t="s">
        <v>8</v>
      </c>
      <c r="D682" s="605" t="s">
        <v>689</v>
      </c>
      <c r="E682" s="606" t="s">
        <v>2451</v>
      </c>
      <c r="F682" s="606" t="s">
        <v>2451</v>
      </c>
      <c r="G682" s="606" t="s">
        <v>1554</v>
      </c>
      <c r="H682" s="606" t="s">
        <v>1555</v>
      </c>
      <c r="I682" s="606" t="s">
        <v>1981</v>
      </c>
      <c r="J682" s="606" t="s">
        <v>1982</v>
      </c>
    </row>
    <row r="683" spans="2:10" ht="21" customHeight="1">
      <c r="B683" s="605" t="s">
        <v>2452</v>
      </c>
      <c r="C683" s="606" t="s">
        <v>8</v>
      </c>
      <c r="D683" s="605" t="s">
        <v>689</v>
      </c>
      <c r="E683" s="606" t="s">
        <v>2453</v>
      </c>
      <c r="F683" s="606" t="s">
        <v>2453</v>
      </c>
      <c r="G683" s="606" t="s">
        <v>1554</v>
      </c>
      <c r="H683" s="606" t="s">
        <v>1555</v>
      </c>
      <c r="I683" s="606" t="s">
        <v>1981</v>
      </c>
      <c r="J683" s="606" t="s">
        <v>1982</v>
      </c>
    </row>
    <row r="684" spans="2:10" ht="21" customHeight="1">
      <c r="B684" s="605" t="s">
        <v>2454</v>
      </c>
      <c r="C684" s="606" t="s">
        <v>8</v>
      </c>
      <c r="D684" s="605" t="s">
        <v>689</v>
      </c>
      <c r="E684" s="606" t="s">
        <v>2455</v>
      </c>
      <c r="F684" s="606" t="s">
        <v>2455</v>
      </c>
      <c r="G684" s="606" t="s">
        <v>1554</v>
      </c>
      <c r="H684" s="606" t="s">
        <v>1555</v>
      </c>
      <c r="I684" s="606" t="s">
        <v>1981</v>
      </c>
      <c r="J684" s="606" t="s">
        <v>1982</v>
      </c>
    </row>
    <row r="685" spans="2:10" ht="21" customHeight="1">
      <c r="B685" s="605" t="s">
        <v>2456</v>
      </c>
      <c r="C685" s="606" t="s">
        <v>8</v>
      </c>
      <c r="D685" s="605" t="s">
        <v>689</v>
      </c>
      <c r="E685" s="606" t="s">
        <v>2457</v>
      </c>
      <c r="F685" s="606" t="s">
        <v>2457</v>
      </c>
      <c r="G685" s="606" t="s">
        <v>1554</v>
      </c>
      <c r="H685" s="606" t="s">
        <v>1555</v>
      </c>
      <c r="I685" s="606" t="s">
        <v>1981</v>
      </c>
      <c r="J685" s="606" t="s">
        <v>1982</v>
      </c>
    </row>
    <row r="686" spans="2:10" ht="21" customHeight="1">
      <c r="B686" s="605" t="s">
        <v>2458</v>
      </c>
      <c r="C686" s="606" t="s">
        <v>8</v>
      </c>
      <c r="D686" s="605" t="s">
        <v>689</v>
      </c>
      <c r="E686" s="606" t="s">
        <v>2459</v>
      </c>
      <c r="F686" s="606" t="s">
        <v>2459</v>
      </c>
      <c r="G686" s="606" t="s">
        <v>1554</v>
      </c>
      <c r="H686" s="606" t="s">
        <v>1555</v>
      </c>
      <c r="I686" s="606" t="s">
        <v>1981</v>
      </c>
      <c r="J686" s="606" t="s">
        <v>1982</v>
      </c>
    </row>
    <row r="687" spans="2:10" ht="21" customHeight="1">
      <c r="B687" s="605" t="s">
        <v>2460</v>
      </c>
      <c r="C687" s="606" t="s">
        <v>8</v>
      </c>
      <c r="D687" s="605" t="s">
        <v>689</v>
      </c>
      <c r="E687" s="606" t="s">
        <v>2461</v>
      </c>
      <c r="F687" s="606" t="s">
        <v>2461</v>
      </c>
      <c r="G687" s="606" t="s">
        <v>1554</v>
      </c>
      <c r="H687" s="606" t="s">
        <v>1555</v>
      </c>
      <c r="I687" s="606" t="s">
        <v>1981</v>
      </c>
      <c r="J687" s="606" t="s">
        <v>1982</v>
      </c>
    </row>
    <row r="688" spans="2:10" ht="21" customHeight="1">
      <c r="B688" s="605" t="s">
        <v>2462</v>
      </c>
      <c r="C688" s="606" t="s">
        <v>8</v>
      </c>
      <c r="D688" s="605" t="s">
        <v>689</v>
      </c>
      <c r="E688" s="606" t="s">
        <v>2463</v>
      </c>
      <c r="F688" s="606" t="s">
        <v>2463</v>
      </c>
      <c r="G688" s="606" t="s">
        <v>1554</v>
      </c>
      <c r="H688" s="606" t="s">
        <v>1555</v>
      </c>
      <c r="I688" s="606" t="s">
        <v>1981</v>
      </c>
      <c r="J688" s="606" t="s">
        <v>1982</v>
      </c>
    </row>
    <row r="689" spans="2:10" ht="21" customHeight="1">
      <c r="B689" s="605" t="s">
        <v>2464</v>
      </c>
      <c r="C689" s="606" t="s">
        <v>8</v>
      </c>
      <c r="D689" s="605" t="s">
        <v>689</v>
      </c>
      <c r="E689" s="606" t="s">
        <v>171</v>
      </c>
      <c r="F689" s="606" t="s">
        <v>171</v>
      </c>
      <c r="G689" s="606" t="s">
        <v>1554</v>
      </c>
      <c r="H689" s="606" t="s">
        <v>1555</v>
      </c>
      <c r="I689" s="606" t="s">
        <v>1981</v>
      </c>
      <c r="J689" s="606" t="s">
        <v>1982</v>
      </c>
    </row>
    <row r="690" spans="2:10" ht="21" customHeight="1">
      <c r="B690" s="605" t="s">
        <v>2465</v>
      </c>
      <c r="C690" s="606" t="s">
        <v>8</v>
      </c>
      <c r="D690" s="605" t="s">
        <v>689</v>
      </c>
      <c r="E690" s="606" t="s">
        <v>2466</v>
      </c>
      <c r="F690" s="606" t="s">
        <v>2466</v>
      </c>
      <c r="G690" s="606" t="s">
        <v>1554</v>
      </c>
      <c r="H690" s="606" t="s">
        <v>1555</v>
      </c>
      <c r="I690" s="606" t="s">
        <v>1981</v>
      </c>
      <c r="J690" s="606" t="s">
        <v>1982</v>
      </c>
    </row>
    <row r="691" spans="2:10" ht="21" customHeight="1">
      <c r="B691" s="605" t="s">
        <v>2467</v>
      </c>
      <c r="C691" s="606" t="s">
        <v>8</v>
      </c>
      <c r="D691" s="605" t="s">
        <v>689</v>
      </c>
      <c r="E691" s="606" t="s">
        <v>2468</v>
      </c>
      <c r="F691" s="606" t="s">
        <v>2468</v>
      </c>
      <c r="G691" s="606" t="s">
        <v>1554</v>
      </c>
      <c r="H691" s="606" t="s">
        <v>1555</v>
      </c>
      <c r="I691" s="606" t="s">
        <v>1981</v>
      </c>
      <c r="J691" s="606" t="s">
        <v>1982</v>
      </c>
    </row>
    <row r="692" spans="2:10" ht="21" customHeight="1">
      <c r="B692" s="605" t="s">
        <v>2469</v>
      </c>
      <c r="C692" s="606" t="s">
        <v>8</v>
      </c>
      <c r="D692" s="605" t="s">
        <v>689</v>
      </c>
      <c r="E692" s="606" t="s">
        <v>2470</v>
      </c>
      <c r="F692" s="606" t="s">
        <v>2470</v>
      </c>
      <c r="G692" s="606" t="s">
        <v>1554</v>
      </c>
      <c r="H692" s="606" t="s">
        <v>1555</v>
      </c>
      <c r="I692" s="606" t="s">
        <v>1981</v>
      </c>
      <c r="J692" s="606" t="s">
        <v>1982</v>
      </c>
    </row>
    <row r="693" spans="2:10" ht="21" customHeight="1">
      <c r="B693" s="605" t="s">
        <v>2471</v>
      </c>
      <c r="C693" s="606" t="s">
        <v>8</v>
      </c>
      <c r="D693" s="605" t="s">
        <v>689</v>
      </c>
      <c r="E693" s="606" t="s">
        <v>2472</v>
      </c>
      <c r="F693" s="606" t="s">
        <v>2472</v>
      </c>
      <c r="G693" s="606" t="s">
        <v>1554</v>
      </c>
      <c r="H693" s="606" t="s">
        <v>1555</v>
      </c>
      <c r="I693" s="606" t="s">
        <v>1981</v>
      </c>
      <c r="J693" s="606" t="s">
        <v>1982</v>
      </c>
    </row>
    <row r="694" spans="2:10" ht="21" customHeight="1">
      <c r="B694" s="605" t="s">
        <v>2473</v>
      </c>
      <c r="C694" s="606" t="s">
        <v>8</v>
      </c>
      <c r="D694" s="605" t="s">
        <v>689</v>
      </c>
      <c r="E694" s="606" t="s">
        <v>2474</v>
      </c>
      <c r="F694" s="606" t="s">
        <v>2474</v>
      </c>
      <c r="G694" s="606" t="s">
        <v>1554</v>
      </c>
      <c r="H694" s="606" t="s">
        <v>1555</v>
      </c>
      <c r="I694" s="606" t="s">
        <v>1981</v>
      </c>
      <c r="J694" s="606" t="s">
        <v>1982</v>
      </c>
    </row>
    <row r="695" spans="2:10" ht="21" customHeight="1">
      <c r="B695" s="605" t="s">
        <v>2475</v>
      </c>
      <c r="C695" s="606" t="s">
        <v>8</v>
      </c>
      <c r="D695" s="605" t="s">
        <v>689</v>
      </c>
      <c r="E695" s="606" t="s">
        <v>2476</v>
      </c>
      <c r="F695" s="606" t="s">
        <v>2476</v>
      </c>
      <c r="G695" s="606" t="s">
        <v>1554</v>
      </c>
      <c r="H695" s="606" t="s">
        <v>1555</v>
      </c>
      <c r="I695" s="606" t="s">
        <v>1981</v>
      </c>
      <c r="J695" s="606" t="s">
        <v>1982</v>
      </c>
    </row>
    <row r="696" spans="2:10" ht="21" customHeight="1">
      <c r="B696" s="605" t="s">
        <v>2477</v>
      </c>
      <c r="C696" s="606" t="s">
        <v>8</v>
      </c>
      <c r="D696" s="605" t="s">
        <v>689</v>
      </c>
      <c r="E696" s="606" t="s">
        <v>2478</v>
      </c>
      <c r="F696" s="606" t="s">
        <v>2478</v>
      </c>
      <c r="G696" s="606" t="s">
        <v>1554</v>
      </c>
      <c r="H696" s="606" t="s">
        <v>1555</v>
      </c>
      <c r="I696" s="606" t="s">
        <v>1981</v>
      </c>
      <c r="J696" s="606" t="s">
        <v>1982</v>
      </c>
    </row>
    <row r="697" spans="2:10" ht="21" customHeight="1">
      <c r="B697" s="605" t="s">
        <v>2479</v>
      </c>
      <c r="C697" s="606" t="s">
        <v>8</v>
      </c>
      <c r="D697" s="605" t="s">
        <v>689</v>
      </c>
      <c r="E697" s="606" t="s">
        <v>1025</v>
      </c>
      <c r="F697" s="606" t="s">
        <v>1025</v>
      </c>
      <c r="G697" s="606" t="s">
        <v>1554</v>
      </c>
      <c r="H697" s="606" t="s">
        <v>1555</v>
      </c>
      <c r="I697" s="606" t="s">
        <v>1981</v>
      </c>
      <c r="J697" s="606" t="s">
        <v>1982</v>
      </c>
    </row>
    <row r="698" spans="2:10" ht="21" customHeight="1">
      <c r="B698" s="605" t="s">
        <v>2480</v>
      </c>
      <c r="C698" s="606" t="s">
        <v>8</v>
      </c>
      <c r="D698" s="605" t="s">
        <v>689</v>
      </c>
      <c r="E698" s="606" t="s">
        <v>2481</v>
      </c>
      <c r="F698" s="606" t="s">
        <v>2481</v>
      </c>
      <c r="G698" s="606" t="s">
        <v>1554</v>
      </c>
      <c r="H698" s="606" t="s">
        <v>1555</v>
      </c>
      <c r="I698" s="606" t="s">
        <v>1981</v>
      </c>
      <c r="J698" s="606" t="s">
        <v>1982</v>
      </c>
    </row>
    <row r="699" spans="2:10" ht="21" customHeight="1">
      <c r="B699" s="605" t="s">
        <v>2482</v>
      </c>
      <c r="C699" s="606" t="s">
        <v>8</v>
      </c>
      <c r="D699" s="605" t="s">
        <v>689</v>
      </c>
      <c r="E699" s="606" t="s">
        <v>2483</v>
      </c>
      <c r="F699" s="606" t="s">
        <v>2483</v>
      </c>
      <c r="G699" s="606" t="s">
        <v>1554</v>
      </c>
      <c r="H699" s="606" t="s">
        <v>1555</v>
      </c>
      <c r="I699" s="606" t="s">
        <v>1981</v>
      </c>
      <c r="J699" s="606" t="s">
        <v>1982</v>
      </c>
    </row>
    <row r="700" spans="2:10" ht="21" customHeight="1">
      <c r="B700" s="605" t="s">
        <v>2484</v>
      </c>
      <c r="C700" s="606" t="s">
        <v>8</v>
      </c>
      <c r="D700" s="605" t="s">
        <v>689</v>
      </c>
      <c r="E700" s="606" t="s">
        <v>2485</v>
      </c>
      <c r="F700" s="606" t="s">
        <v>2485</v>
      </c>
      <c r="G700" s="606" t="s">
        <v>1554</v>
      </c>
      <c r="H700" s="606" t="s">
        <v>1555</v>
      </c>
      <c r="I700" s="606" t="s">
        <v>1981</v>
      </c>
      <c r="J700" s="606" t="s">
        <v>1982</v>
      </c>
    </row>
    <row r="701" spans="2:10" ht="21" customHeight="1">
      <c r="B701" s="605" t="s">
        <v>2486</v>
      </c>
      <c r="C701" s="606" t="s">
        <v>8</v>
      </c>
      <c r="D701" s="605" t="s">
        <v>689</v>
      </c>
      <c r="E701" s="606" t="s">
        <v>2487</v>
      </c>
      <c r="F701" s="606" t="s">
        <v>2487</v>
      </c>
      <c r="G701" s="606" t="s">
        <v>1554</v>
      </c>
      <c r="H701" s="606" t="s">
        <v>1555</v>
      </c>
      <c r="I701" s="606" t="s">
        <v>1981</v>
      </c>
      <c r="J701" s="606" t="s">
        <v>1982</v>
      </c>
    </row>
    <row r="702" spans="2:10" ht="21" customHeight="1">
      <c r="B702" s="605" t="s">
        <v>2488</v>
      </c>
      <c r="C702" s="606" t="s">
        <v>8</v>
      </c>
      <c r="D702" s="605" t="s">
        <v>689</v>
      </c>
      <c r="E702" s="606" t="s">
        <v>2489</v>
      </c>
      <c r="F702" s="606" t="s">
        <v>2489</v>
      </c>
      <c r="G702" s="606" t="s">
        <v>1554</v>
      </c>
      <c r="H702" s="606" t="s">
        <v>1555</v>
      </c>
      <c r="I702" s="606" t="s">
        <v>1981</v>
      </c>
      <c r="J702" s="606" t="s">
        <v>1982</v>
      </c>
    </row>
    <row r="703" spans="2:10" ht="21" customHeight="1">
      <c r="B703" s="605" t="s">
        <v>2490</v>
      </c>
      <c r="C703" s="606" t="s">
        <v>8</v>
      </c>
      <c r="D703" s="605" t="s">
        <v>689</v>
      </c>
      <c r="E703" s="606" t="s">
        <v>2491</v>
      </c>
      <c r="F703" s="606" t="s">
        <v>2491</v>
      </c>
      <c r="G703" s="606" t="s">
        <v>1554</v>
      </c>
      <c r="H703" s="606" t="s">
        <v>1555</v>
      </c>
      <c r="I703" s="606" t="s">
        <v>1981</v>
      </c>
      <c r="J703" s="606" t="s">
        <v>1982</v>
      </c>
    </row>
    <row r="704" spans="2:10" ht="21" customHeight="1">
      <c r="B704" s="605" t="s">
        <v>2492</v>
      </c>
      <c r="C704" s="606" t="s">
        <v>8</v>
      </c>
      <c r="D704" s="605" t="s">
        <v>689</v>
      </c>
      <c r="E704" s="606" t="s">
        <v>2493</v>
      </c>
      <c r="F704" s="606" t="s">
        <v>2493</v>
      </c>
      <c r="G704" s="606" t="s">
        <v>1554</v>
      </c>
      <c r="H704" s="606" t="s">
        <v>1555</v>
      </c>
      <c r="I704" s="606" t="s">
        <v>1981</v>
      </c>
      <c r="J704" s="606" t="s">
        <v>1982</v>
      </c>
    </row>
    <row r="705" spans="2:10" ht="21" customHeight="1">
      <c r="B705" s="605" t="s">
        <v>2494</v>
      </c>
      <c r="C705" s="606" t="s">
        <v>8</v>
      </c>
      <c r="D705" s="605" t="s">
        <v>689</v>
      </c>
      <c r="E705" s="606" t="s">
        <v>2495</v>
      </c>
      <c r="F705" s="606" t="s">
        <v>2495</v>
      </c>
      <c r="G705" s="606" t="s">
        <v>1554</v>
      </c>
      <c r="H705" s="606" t="s">
        <v>1555</v>
      </c>
      <c r="I705" s="606" t="s">
        <v>1981</v>
      </c>
      <c r="J705" s="606" t="s">
        <v>1982</v>
      </c>
    </row>
    <row r="706" spans="2:10" ht="21" customHeight="1">
      <c r="B706" s="605" t="s">
        <v>2496</v>
      </c>
      <c r="C706" s="606" t="s">
        <v>8</v>
      </c>
      <c r="D706" s="605" t="s">
        <v>689</v>
      </c>
      <c r="E706" s="606" t="s">
        <v>1026</v>
      </c>
      <c r="F706" s="606" t="s">
        <v>1026</v>
      </c>
      <c r="G706" s="606" t="s">
        <v>1554</v>
      </c>
      <c r="H706" s="606" t="s">
        <v>1555</v>
      </c>
      <c r="I706" s="606" t="s">
        <v>1981</v>
      </c>
      <c r="J706" s="606" t="s">
        <v>1982</v>
      </c>
    </row>
    <row r="707" spans="2:10" ht="21" customHeight="1">
      <c r="B707" s="605" t="s">
        <v>2497</v>
      </c>
      <c r="C707" s="606" t="s">
        <v>8</v>
      </c>
      <c r="D707" s="605" t="s">
        <v>689</v>
      </c>
      <c r="E707" s="606" t="s">
        <v>2498</v>
      </c>
      <c r="F707" s="606" t="s">
        <v>2498</v>
      </c>
      <c r="G707" s="606" t="s">
        <v>1554</v>
      </c>
      <c r="H707" s="606" t="s">
        <v>1555</v>
      </c>
      <c r="I707" s="606" t="s">
        <v>1981</v>
      </c>
      <c r="J707" s="606" t="s">
        <v>1982</v>
      </c>
    </row>
    <row r="708" spans="2:10" ht="21" customHeight="1">
      <c r="B708" s="605" t="s">
        <v>2499</v>
      </c>
      <c r="C708" s="606" t="s">
        <v>8</v>
      </c>
      <c r="D708" s="605" t="s">
        <v>689</v>
      </c>
      <c r="E708" s="606" t="s">
        <v>2500</v>
      </c>
      <c r="F708" s="606" t="s">
        <v>2500</v>
      </c>
      <c r="G708" s="606" t="s">
        <v>1554</v>
      </c>
      <c r="H708" s="606" t="s">
        <v>1555</v>
      </c>
      <c r="I708" s="606" t="s">
        <v>1981</v>
      </c>
      <c r="J708" s="606" t="s">
        <v>1982</v>
      </c>
    </row>
    <row r="709" spans="2:10" ht="21" customHeight="1">
      <c r="B709" s="605" t="s">
        <v>2501</v>
      </c>
      <c r="C709" s="606" t="s">
        <v>8</v>
      </c>
      <c r="D709" s="605" t="s">
        <v>689</v>
      </c>
      <c r="E709" s="606" t="s">
        <v>2502</v>
      </c>
      <c r="F709" s="606" t="s">
        <v>2502</v>
      </c>
      <c r="G709" s="606" t="s">
        <v>1554</v>
      </c>
      <c r="H709" s="606" t="s">
        <v>1555</v>
      </c>
      <c r="I709" s="606" t="s">
        <v>1981</v>
      </c>
      <c r="J709" s="606" t="s">
        <v>1982</v>
      </c>
    </row>
    <row r="710" spans="2:10" ht="21" customHeight="1">
      <c r="B710" s="605" t="s">
        <v>2503</v>
      </c>
      <c r="C710" s="606" t="s">
        <v>8</v>
      </c>
      <c r="D710" s="605" t="s">
        <v>689</v>
      </c>
      <c r="E710" s="606" t="s">
        <v>2504</v>
      </c>
      <c r="F710" s="606" t="s">
        <v>2504</v>
      </c>
      <c r="G710" s="606" t="s">
        <v>1554</v>
      </c>
      <c r="H710" s="606" t="s">
        <v>1555</v>
      </c>
      <c r="I710" s="606" t="s">
        <v>1981</v>
      </c>
      <c r="J710" s="606" t="s">
        <v>1982</v>
      </c>
    </row>
    <row r="711" spans="2:10" ht="21" customHeight="1">
      <c r="B711" s="605" t="s">
        <v>2505</v>
      </c>
      <c r="C711" s="606" t="s">
        <v>8</v>
      </c>
      <c r="D711" s="605" t="s">
        <v>689</v>
      </c>
      <c r="E711" s="606" t="s">
        <v>2506</v>
      </c>
      <c r="F711" s="606" t="s">
        <v>2506</v>
      </c>
      <c r="G711" s="606" t="s">
        <v>1554</v>
      </c>
      <c r="H711" s="606" t="s">
        <v>1555</v>
      </c>
      <c r="I711" s="606" t="s">
        <v>1981</v>
      </c>
      <c r="J711" s="606" t="s">
        <v>1982</v>
      </c>
    </row>
    <row r="712" spans="2:10" ht="21" customHeight="1">
      <c r="B712" s="605" t="s">
        <v>2507</v>
      </c>
      <c r="C712" s="606" t="s">
        <v>8</v>
      </c>
      <c r="D712" s="605" t="s">
        <v>689</v>
      </c>
      <c r="E712" s="606" t="s">
        <v>2508</v>
      </c>
      <c r="F712" s="606" t="s">
        <v>2508</v>
      </c>
      <c r="G712" s="606" t="s">
        <v>1554</v>
      </c>
      <c r="H712" s="606" t="s">
        <v>1555</v>
      </c>
      <c r="I712" s="606" t="s">
        <v>1981</v>
      </c>
      <c r="J712" s="606" t="s">
        <v>1982</v>
      </c>
    </row>
    <row r="713" spans="2:10" ht="21" customHeight="1">
      <c r="B713" s="605" t="s">
        <v>2509</v>
      </c>
      <c r="C713" s="606" t="s">
        <v>8</v>
      </c>
      <c r="D713" s="605" t="s">
        <v>689</v>
      </c>
      <c r="E713" s="606" t="s">
        <v>2510</v>
      </c>
      <c r="F713" s="606" t="s">
        <v>2510</v>
      </c>
      <c r="G713" s="606" t="s">
        <v>1554</v>
      </c>
      <c r="H713" s="606" t="s">
        <v>1555</v>
      </c>
      <c r="I713" s="606" t="s">
        <v>1981</v>
      </c>
      <c r="J713" s="606" t="s">
        <v>1982</v>
      </c>
    </row>
    <row r="714" spans="2:10" ht="21" customHeight="1">
      <c r="B714" s="605" t="s">
        <v>2511</v>
      </c>
      <c r="C714" s="606" t="s">
        <v>8</v>
      </c>
      <c r="D714" s="605" t="s">
        <v>689</v>
      </c>
      <c r="E714" s="606" t="s">
        <v>2512</v>
      </c>
      <c r="F714" s="606" t="s">
        <v>2512</v>
      </c>
      <c r="G714" s="606" t="s">
        <v>1554</v>
      </c>
      <c r="H714" s="606" t="s">
        <v>1555</v>
      </c>
      <c r="I714" s="606" t="s">
        <v>1981</v>
      </c>
      <c r="J714" s="606" t="s">
        <v>1982</v>
      </c>
    </row>
    <row r="715" spans="2:10" ht="21" customHeight="1">
      <c r="B715" s="605" t="s">
        <v>2513</v>
      </c>
      <c r="C715" s="606" t="s">
        <v>8</v>
      </c>
      <c r="D715" s="605" t="s">
        <v>689</v>
      </c>
      <c r="E715" s="606" t="s">
        <v>2514</v>
      </c>
      <c r="F715" s="606" t="s">
        <v>2514</v>
      </c>
      <c r="G715" s="606" t="s">
        <v>1554</v>
      </c>
      <c r="H715" s="606" t="s">
        <v>1555</v>
      </c>
      <c r="I715" s="606" t="s">
        <v>1981</v>
      </c>
      <c r="J715" s="606" t="s">
        <v>1982</v>
      </c>
    </row>
    <row r="716" spans="2:10" ht="21" customHeight="1">
      <c r="B716" s="605" t="s">
        <v>2515</v>
      </c>
      <c r="C716" s="606" t="s">
        <v>8</v>
      </c>
      <c r="D716" s="605" t="s">
        <v>689</v>
      </c>
      <c r="E716" s="606" t="s">
        <v>2516</v>
      </c>
      <c r="F716" s="606" t="s">
        <v>2516</v>
      </c>
      <c r="G716" s="606" t="s">
        <v>1554</v>
      </c>
      <c r="H716" s="606" t="s">
        <v>1555</v>
      </c>
      <c r="I716" s="606" t="s">
        <v>1981</v>
      </c>
      <c r="J716" s="606" t="s">
        <v>1982</v>
      </c>
    </row>
    <row r="717" spans="2:10" ht="21" customHeight="1">
      <c r="B717" s="605" t="s">
        <v>2517</v>
      </c>
      <c r="C717" s="606" t="s">
        <v>8</v>
      </c>
      <c r="D717" s="605" t="s">
        <v>689</v>
      </c>
      <c r="E717" s="606" t="s">
        <v>2518</v>
      </c>
      <c r="F717" s="606" t="s">
        <v>2518</v>
      </c>
      <c r="G717" s="606" t="s">
        <v>1554</v>
      </c>
      <c r="H717" s="606" t="s">
        <v>1555</v>
      </c>
      <c r="I717" s="606" t="s">
        <v>1981</v>
      </c>
      <c r="J717" s="606" t="s">
        <v>1982</v>
      </c>
    </row>
    <row r="718" spans="2:10" ht="21" customHeight="1">
      <c r="B718" s="605" t="s">
        <v>2519</v>
      </c>
      <c r="C718" s="606" t="s">
        <v>8</v>
      </c>
      <c r="D718" s="605" t="s">
        <v>689</v>
      </c>
      <c r="E718" s="606" t="s">
        <v>2520</v>
      </c>
      <c r="F718" s="606" t="s">
        <v>2520</v>
      </c>
      <c r="G718" s="606" t="s">
        <v>1554</v>
      </c>
      <c r="H718" s="606" t="s">
        <v>1555</v>
      </c>
      <c r="I718" s="606" t="s">
        <v>1981</v>
      </c>
      <c r="J718" s="606" t="s">
        <v>1982</v>
      </c>
    </row>
    <row r="719" spans="2:10" ht="21" customHeight="1">
      <c r="B719" s="605" t="s">
        <v>2521</v>
      </c>
      <c r="C719" s="606" t="s">
        <v>8</v>
      </c>
      <c r="D719" s="605" t="s">
        <v>689</v>
      </c>
      <c r="E719" s="606" t="s">
        <v>2522</v>
      </c>
      <c r="F719" s="606" t="s">
        <v>2522</v>
      </c>
      <c r="G719" s="606" t="s">
        <v>1554</v>
      </c>
      <c r="H719" s="606" t="s">
        <v>1555</v>
      </c>
      <c r="I719" s="606" t="s">
        <v>1981</v>
      </c>
      <c r="J719" s="606" t="s">
        <v>1982</v>
      </c>
    </row>
    <row r="720" spans="2:10" ht="21" customHeight="1">
      <c r="B720" s="605" t="s">
        <v>2523</v>
      </c>
      <c r="C720" s="606" t="s">
        <v>8</v>
      </c>
      <c r="D720" s="605" t="s">
        <v>689</v>
      </c>
      <c r="E720" s="606" t="s">
        <v>1027</v>
      </c>
      <c r="F720" s="606" t="s">
        <v>1027</v>
      </c>
      <c r="G720" s="606" t="s">
        <v>1554</v>
      </c>
      <c r="H720" s="606" t="s">
        <v>1555</v>
      </c>
      <c r="I720" s="606" t="s">
        <v>1981</v>
      </c>
      <c r="J720" s="606" t="s">
        <v>1982</v>
      </c>
    </row>
    <row r="721" spans="2:10" ht="21" customHeight="1">
      <c r="B721" s="605" t="s">
        <v>2524</v>
      </c>
      <c r="C721" s="606" t="s">
        <v>8</v>
      </c>
      <c r="D721" s="605" t="s">
        <v>689</v>
      </c>
      <c r="E721" s="606" t="s">
        <v>2525</v>
      </c>
      <c r="F721" s="606" t="s">
        <v>2525</v>
      </c>
      <c r="G721" s="606" t="s">
        <v>1554</v>
      </c>
      <c r="H721" s="606" t="s">
        <v>1555</v>
      </c>
      <c r="I721" s="606" t="s">
        <v>1981</v>
      </c>
      <c r="J721" s="606" t="s">
        <v>1982</v>
      </c>
    </row>
    <row r="722" spans="2:10" ht="21" customHeight="1">
      <c r="B722" s="605" t="s">
        <v>2526</v>
      </c>
      <c r="C722" s="606" t="s">
        <v>8</v>
      </c>
      <c r="D722" s="605" t="s">
        <v>689</v>
      </c>
      <c r="E722" s="606" t="s">
        <v>2527</v>
      </c>
      <c r="F722" s="606" t="s">
        <v>2527</v>
      </c>
      <c r="G722" s="606" t="s">
        <v>1554</v>
      </c>
      <c r="H722" s="606" t="s">
        <v>1555</v>
      </c>
      <c r="I722" s="606" t="s">
        <v>1981</v>
      </c>
      <c r="J722" s="606" t="s">
        <v>1982</v>
      </c>
    </row>
    <row r="723" spans="2:10" ht="21" customHeight="1">
      <c r="B723" s="605" t="s">
        <v>2528</v>
      </c>
      <c r="C723" s="606" t="s">
        <v>8</v>
      </c>
      <c r="D723" s="605" t="s">
        <v>689</v>
      </c>
      <c r="E723" s="606" t="s">
        <v>2529</v>
      </c>
      <c r="F723" s="606" t="s">
        <v>2529</v>
      </c>
      <c r="G723" s="606" t="s">
        <v>1554</v>
      </c>
      <c r="H723" s="606" t="s">
        <v>1555</v>
      </c>
      <c r="I723" s="606" t="s">
        <v>1981</v>
      </c>
      <c r="J723" s="606" t="s">
        <v>1982</v>
      </c>
    </row>
    <row r="724" spans="2:10" ht="21" customHeight="1">
      <c r="B724" s="605" t="s">
        <v>2530</v>
      </c>
      <c r="C724" s="606" t="s">
        <v>8</v>
      </c>
      <c r="D724" s="605" t="s">
        <v>689</v>
      </c>
      <c r="E724" s="606" t="s">
        <v>2531</v>
      </c>
      <c r="F724" s="606" t="s">
        <v>2531</v>
      </c>
      <c r="G724" s="606" t="s">
        <v>1554</v>
      </c>
      <c r="H724" s="606" t="s">
        <v>1555</v>
      </c>
      <c r="I724" s="606" t="s">
        <v>1981</v>
      </c>
      <c r="J724" s="606" t="s">
        <v>1982</v>
      </c>
    </row>
    <row r="725" spans="2:10" ht="21" customHeight="1">
      <c r="B725" s="605" t="s">
        <v>2532</v>
      </c>
      <c r="C725" s="606" t="s">
        <v>8</v>
      </c>
      <c r="D725" s="605" t="s">
        <v>689</v>
      </c>
      <c r="E725" s="606" t="s">
        <v>2533</v>
      </c>
      <c r="F725" s="606" t="s">
        <v>2533</v>
      </c>
      <c r="G725" s="606" t="s">
        <v>1554</v>
      </c>
      <c r="H725" s="606" t="s">
        <v>1555</v>
      </c>
      <c r="I725" s="606" t="s">
        <v>1981</v>
      </c>
      <c r="J725" s="606" t="s">
        <v>1982</v>
      </c>
    </row>
    <row r="726" spans="2:10" ht="21" customHeight="1">
      <c r="B726" s="605" t="s">
        <v>2534</v>
      </c>
      <c r="C726" s="606" t="s">
        <v>8</v>
      </c>
      <c r="D726" s="605" t="s">
        <v>689</v>
      </c>
      <c r="E726" s="606" t="s">
        <v>2535</v>
      </c>
      <c r="F726" s="606" t="s">
        <v>2535</v>
      </c>
      <c r="G726" s="606" t="s">
        <v>1554</v>
      </c>
      <c r="H726" s="606" t="s">
        <v>1555</v>
      </c>
      <c r="I726" s="606" t="s">
        <v>1981</v>
      </c>
      <c r="J726" s="606" t="s">
        <v>1982</v>
      </c>
    </row>
    <row r="727" spans="2:10" ht="21" customHeight="1">
      <c r="B727" s="605" t="s">
        <v>2536</v>
      </c>
      <c r="C727" s="606" t="s">
        <v>8</v>
      </c>
      <c r="D727" s="605" t="s">
        <v>689</v>
      </c>
      <c r="E727" s="606" t="s">
        <v>2537</v>
      </c>
      <c r="F727" s="606" t="s">
        <v>2537</v>
      </c>
      <c r="G727" s="606" t="s">
        <v>1554</v>
      </c>
      <c r="H727" s="606" t="s">
        <v>1555</v>
      </c>
      <c r="I727" s="606" t="s">
        <v>1981</v>
      </c>
      <c r="J727" s="606" t="s">
        <v>1982</v>
      </c>
    </row>
    <row r="728" spans="2:10" ht="21" customHeight="1">
      <c r="B728" s="605" t="s">
        <v>2538</v>
      </c>
      <c r="C728" s="606" t="s">
        <v>8</v>
      </c>
      <c r="D728" s="605" t="s">
        <v>689</v>
      </c>
      <c r="E728" s="606" t="s">
        <v>2539</v>
      </c>
      <c r="F728" s="606" t="s">
        <v>2539</v>
      </c>
      <c r="G728" s="606" t="s">
        <v>1554</v>
      </c>
      <c r="H728" s="606" t="s">
        <v>1555</v>
      </c>
      <c r="I728" s="606" t="s">
        <v>1981</v>
      </c>
      <c r="J728" s="606" t="s">
        <v>1982</v>
      </c>
    </row>
    <row r="729" spans="2:10" ht="21" customHeight="1">
      <c r="B729" s="605" t="s">
        <v>2540</v>
      </c>
      <c r="C729" s="606" t="s">
        <v>8</v>
      </c>
      <c r="D729" s="605" t="s">
        <v>689</v>
      </c>
      <c r="E729" s="606" t="s">
        <v>2541</v>
      </c>
      <c r="F729" s="606" t="s">
        <v>2541</v>
      </c>
      <c r="G729" s="606" t="s">
        <v>1554</v>
      </c>
      <c r="H729" s="606" t="s">
        <v>1555</v>
      </c>
      <c r="I729" s="606" t="s">
        <v>1981</v>
      </c>
      <c r="J729" s="606" t="s">
        <v>1982</v>
      </c>
    </row>
    <row r="730" spans="2:10" ht="21" customHeight="1">
      <c r="B730" s="605" t="s">
        <v>2542</v>
      </c>
      <c r="C730" s="606" t="s">
        <v>8</v>
      </c>
      <c r="D730" s="605" t="s">
        <v>689</v>
      </c>
      <c r="E730" s="606" t="s">
        <v>2543</v>
      </c>
      <c r="F730" s="606" t="s">
        <v>2543</v>
      </c>
      <c r="G730" s="606" t="s">
        <v>1554</v>
      </c>
      <c r="H730" s="606" t="s">
        <v>1555</v>
      </c>
      <c r="I730" s="606" t="s">
        <v>1981</v>
      </c>
      <c r="J730" s="606" t="s">
        <v>1982</v>
      </c>
    </row>
    <row r="731" spans="2:10" ht="21" customHeight="1">
      <c r="B731" s="605" t="s">
        <v>2544</v>
      </c>
      <c r="C731" s="606" t="s">
        <v>8</v>
      </c>
      <c r="D731" s="605" t="s">
        <v>689</v>
      </c>
      <c r="E731" s="606" t="s">
        <v>2545</v>
      </c>
      <c r="F731" s="606" t="s">
        <v>2545</v>
      </c>
      <c r="G731" s="606" t="s">
        <v>1554</v>
      </c>
      <c r="H731" s="606" t="s">
        <v>1555</v>
      </c>
      <c r="I731" s="606" t="s">
        <v>1981</v>
      </c>
      <c r="J731" s="606" t="s">
        <v>1982</v>
      </c>
    </row>
    <row r="732" spans="2:10" ht="21" customHeight="1">
      <c r="B732" s="605" t="s">
        <v>2546</v>
      </c>
      <c r="C732" s="606" t="s">
        <v>8</v>
      </c>
      <c r="D732" s="605" t="s">
        <v>689</v>
      </c>
      <c r="E732" s="606" t="s">
        <v>2547</v>
      </c>
      <c r="F732" s="606" t="s">
        <v>2547</v>
      </c>
      <c r="G732" s="606" t="s">
        <v>1554</v>
      </c>
      <c r="H732" s="606" t="s">
        <v>1555</v>
      </c>
      <c r="I732" s="606" t="s">
        <v>1981</v>
      </c>
      <c r="J732" s="606" t="s">
        <v>1982</v>
      </c>
    </row>
    <row r="733" spans="2:10" ht="21" customHeight="1">
      <c r="B733" s="605" t="s">
        <v>2548</v>
      </c>
      <c r="C733" s="606" t="s">
        <v>8</v>
      </c>
      <c r="D733" s="605" t="s">
        <v>689</v>
      </c>
      <c r="E733" s="606" t="s">
        <v>2549</v>
      </c>
      <c r="F733" s="606" t="s">
        <v>2549</v>
      </c>
      <c r="G733" s="606" t="s">
        <v>1554</v>
      </c>
      <c r="H733" s="606" t="s">
        <v>1555</v>
      </c>
      <c r="I733" s="606" t="s">
        <v>1981</v>
      </c>
      <c r="J733" s="606" t="s">
        <v>1982</v>
      </c>
    </row>
    <row r="734" spans="2:10" ht="21" customHeight="1">
      <c r="B734" s="605" t="s">
        <v>2550</v>
      </c>
      <c r="C734" s="606" t="s">
        <v>8</v>
      </c>
      <c r="D734" s="605" t="s">
        <v>689</v>
      </c>
      <c r="E734" s="606" t="s">
        <v>2551</v>
      </c>
      <c r="F734" s="606" t="s">
        <v>2551</v>
      </c>
      <c r="G734" s="606" t="s">
        <v>1085</v>
      </c>
      <c r="H734" s="606" t="s">
        <v>2063</v>
      </c>
      <c r="I734" s="606" t="s">
        <v>1087</v>
      </c>
      <c r="J734" s="606" t="s">
        <v>1088</v>
      </c>
    </row>
    <row r="735" spans="2:10" ht="21" customHeight="1">
      <c r="B735" s="605" t="s">
        <v>2552</v>
      </c>
      <c r="C735" s="606" t="s">
        <v>8</v>
      </c>
      <c r="D735" s="605" t="s">
        <v>689</v>
      </c>
      <c r="E735" s="606" t="s">
        <v>2553</v>
      </c>
      <c r="F735" s="606" t="s">
        <v>2553</v>
      </c>
      <c r="G735" s="606" t="s">
        <v>1554</v>
      </c>
      <c r="H735" s="606" t="s">
        <v>1555</v>
      </c>
      <c r="I735" s="606" t="s">
        <v>1981</v>
      </c>
      <c r="J735" s="606" t="s">
        <v>1982</v>
      </c>
    </row>
    <row r="736" spans="2:10" ht="21" customHeight="1">
      <c r="B736" s="605" t="s">
        <v>2554</v>
      </c>
      <c r="C736" s="606" t="s">
        <v>8</v>
      </c>
      <c r="D736" s="605" t="s">
        <v>689</v>
      </c>
      <c r="E736" s="606" t="s">
        <v>2555</v>
      </c>
      <c r="F736" s="606" t="s">
        <v>2555</v>
      </c>
      <c r="G736" s="606" t="s">
        <v>1554</v>
      </c>
      <c r="H736" s="606" t="s">
        <v>1555</v>
      </c>
      <c r="I736" s="606" t="s">
        <v>1981</v>
      </c>
      <c r="J736" s="606" t="s">
        <v>1982</v>
      </c>
    </row>
    <row r="737" spans="2:10" ht="21" customHeight="1">
      <c r="B737" s="605" t="s">
        <v>2556</v>
      </c>
      <c r="C737" s="606" t="s">
        <v>8</v>
      </c>
      <c r="D737" s="605" t="s">
        <v>689</v>
      </c>
      <c r="E737" s="606" t="s">
        <v>2557</v>
      </c>
      <c r="F737" s="606" t="s">
        <v>2557</v>
      </c>
      <c r="G737" s="606" t="s">
        <v>1554</v>
      </c>
      <c r="H737" s="606" t="s">
        <v>1555</v>
      </c>
      <c r="I737" s="606" t="s">
        <v>1981</v>
      </c>
      <c r="J737" s="606" t="s">
        <v>1982</v>
      </c>
    </row>
    <row r="738" spans="2:10" ht="21" customHeight="1">
      <c r="B738" s="605" t="s">
        <v>2558</v>
      </c>
      <c r="C738" s="606" t="s">
        <v>8</v>
      </c>
      <c r="D738" s="605" t="s">
        <v>689</v>
      </c>
      <c r="E738" s="606" t="s">
        <v>2559</v>
      </c>
      <c r="F738" s="606" t="s">
        <v>2559</v>
      </c>
      <c r="G738" s="606" t="s">
        <v>1554</v>
      </c>
      <c r="H738" s="606" t="s">
        <v>1555</v>
      </c>
      <c r="I738" s="606" t="s">
        <v>1981</v>
      </c>
      <c r="J738" s="606" t="s">
        <v>1982</v>
      </c>
    </row>
    <row r="739" spans="2:10" ht="21" customHeight="1">
      <c r="B739" s="605" t="s">
        <v>2560</v>
      </c>
      <c r="C739" s="606" t="s">
        <v>8</v>
      </c>
      <c r="D739" s="605" t="s">
        <v>689</v>
      </c>
      <c r="E739" s="606" t="s">
        <v>2561</v>
      </c>
      <c r="F739" s="606" t="s">
        <v>2561</v>
      </c>
      <c r="G739" s="606" t="s">
        <v>1554</v>
      </c>
      <c r="H739" s="606" t="s">
        <v>1555</v>
      </c>
      <c r="I739" s="606" t="s">
        <v>1981</v>
      </c>
      <c r="J739" s="606" t="s">
        <v>1982</v>
      </c>
    </row>
    <row r="740" spans="2:10" ht="21" customHeight="1">
      <c r="B740" s="605" t="s">
        <v>2562</v>
      </c>
      <c r="C740" s="606" t="s">
        <v>8</v>
      </c>
      <c r="D740" s="605" t="s">
        <v>689</v>
      </c>
      <c r="E740" s="606" t="s">
        <v>2563</v>
      </c>
      <c r="F740" s="606" t="s">
        <v>2563</v>
      </c>
      <c r="G740" s="606" t="s">
        <v>1085</v>
      </c>
      <c r="H740" s="606" t="s">
        <v>2063</v>
      </c>
      <c r="I740" s="606" t="s">
        <v>1087</v>
      </c>
      <c r="J740" s="606" t="s">
        <v>1088</v>
      </c>
    </row>
    <row r="741" spans="2:10" ht="21" customHeight="1">
      <c r="B741" s="605" t="s">
        <v>2564</v>
      </c>
      <c r="C741" s="606" t="s">
        <v>8</v>
      </c>
      <c r="D741" s="605" t="s">
        <v>689</v>
      </c>
      <c r="E741" s="606" t="s">
        <v>357</v>
      </c>
      <c r="F741" s="606" t="s">
        <v>357</v>
      </c>
      <c r="G741" s="606" t="s">
        <v>1151</v>
      </c>
      <c r="H741" s="606" t="s">
        <v>1152</v>
      </c>
      <c r="I741" s="606" t="s">
        <v>1087</v>
      </c>
      <c r="J741" s="606" t="s">
        <v>1153</v>
      </c>
    </row>
    <row r="742" spans="2:10" ht="21" customHeight="1">
      <c r="B742" s="605" t="s">
        <v>2565</v>
      </c>
      <c r="C742" s="606" t="s">
        <v>8</v>
      </c>
      <c r="D742" s="605" t="s">
        <v>689</v>
      </c>
      <c r="E742" s="606" t="s">
        <v>2566</v>
      </c>
      <c r="F742" s="606" t="s">
        <v>2566</v>
      </c>
      <c r="G742" s="606" t="s">
        <v>1085</v>
      </c>
      <c r="H742" s="606" t="s">
        <v>2063</v>
      </c>
      <c r="I742" s="606" t="s">
        <v>1087</v>
      </c>
      <c r="J742" s="606" t="s">
        <v>1088</v>
      </c>
    </row>
    <row r="743" spans="2:10" ht="21" customHeight="1">
      <c r="B743" s="605" t="s">
        <v>2567</v>
      </c>
      <c r="C743" s="606" t="s">
        <v>8</v>
      </c>
      <c r="D743" s="605" t="s">
        <v>689</v>
      </c>
      <c r="E743" s="606" t="s">
        <v>2568</v>
      </c>
      <c r="F743" s="606" t="s">
        <v>2568</v>
      </c>
      <c r="G743" s="606" t="s">
        <v>1554</v>
      </c>
      <c r="H743" s="606" t="s">
        <v>1555</v>
      </c>
      <c r="I743" s="606" t="s">
        <v>1981</v>
      </c>
      <c r="J743" s="606" t="s">
        <v>1982</v>
      </c>
    </row>
    <row r="744" spans="2:10" ht="21" customHeight="1">
      <c r="B744" s="605" t="s">
        <v>2569</v>
      </c>
      <c r="C744" s="606" t="s">
        <v>8</v>
      </c>
      <c r="D744" s="605" t="s">
        <v>689</v>
      </c>
      <c r="E744" s="606" t="s">
        <v>1028</v>
      </c>
      <c r="F744" s="606" t="s">
        <v>1028</v>
      </c>
      <c r="G744" s="606" t="s">
        <v>1554</v>
      </c>
      <c r="H744" s="606" t="s">
        <v>1555</v>
      </c>
      <c r="I744" s="606" t="s">
        <v>1981</v>
      </c>
      <c r="J744" s="606" t="s">
        <v>1982</v>
      </c>
    </row>
    <row r="745" spans="2:10" ht="21" customHeight="1">
      <c r="B745" s="605" t="s">
        <v>2570</v>
      </c>
      <c r="C745" s="606" t="s">
        <v>8</v>
      </c>
      <c r="D745" s="605" t="s">
        <v>689</v>
      </c>
      <c r="E745" s="606" t="s">
        <v>2571</v>
      </c>
      <c r="F745" s="606" t="s">
        <v>2571</v>
      </c>
      <c r="G745" s="606" t="s">
        <v>1554</v>
      </c>
      <c r="H745" s="606" t="s">
        <v>1555</v>
      </c>
      <c r="I745" s="606" t="s">
        <v>1981</v>
      </c>
      <c r="J745" s="606" t="s">
        <v>1982</v>
      </c>
    </row>
    <row r="746" spans="2:10" ht="21" customHeight="1">
      <c r="B746" s="605" t="s">
        <v>2572</v>
      </c>
      <c r="C746" s="606" t="s">
        <v>8</v>
      </c>
      <c r="D746" s="605" t="s">
        <v>689</v>
      </c>
      <c r="E746" s="606" t="s">
        <v>2573</v>
      </c>
      <c r="F746" s="606" t="s">
        <v>2573</v>
      </c>
      <c r="G746" s="606" t="s">
        <v>1554</v>
      </c>
      <c r="H746" s="606" t="s">
        <v>1555</v>
      </c>
      <c r="I746" s="606" t="s">
        <v>1981</v>
      </c>
      <c r="J746" s="606" t="s">
        <v>1982</v>
      </c>
    </row>
    <row r="747" spans="2:10" ht="21" customHeight="1">
      <c r="B747" s="605" t="s">
        <v>2574</v>
      </c>
      <c r="C747" s="606" t="s">
        <v>8</v>
      </c>
      <c r="D747" s="605" t="s">
        <v>689</v>
      </c>
      <c r="E747" s="606" t="s">
        <v>2575</v>
      </c>
      <c r="F747" s="606" t="s">
        <v>2575</v>
      </c>
      <c r="G747" s="606" t="s">
        <v>1554</v>
      </c>
      <c r="H747" s="606" t="s">
        <v>1555</v>
      </c>
      <c r="I747" s="606" t="s">
        <v>1981</v>
      </c>
      <c r="J747" s="606" t="s">
        <v>1982</v>
      </c>
    </row>
    <row r="748" spans="2:10" ht="21" customHeight="1">
      <c r="B748" s="605" t="s">
        <v>2576</v>
      </c>
      <c r="C748" s="606" t="s">
        <v>8</v>
      </c>
      <c r="D748" s="605" t="s">
        <v>689</v>
      </c>
      <c r="E748" s="606" t="s">
        <v>1029</v>
      </c>
      <c r="F748" s="606" t="s">
        <v>1029</v>
      </c>
      <c r="G748" s="606" t="s">
        <v>1554</v>
      </c>
      <c r="H748" s="606" t="s">
        <v>1555</v>
      </c>
      <c r="I748" s="606" t="s">
        <v>1981</v>
      </c>
      <c r="J748" s="606" t="s">
        <v>1982</v>
      </c>
    </row>
    <row r="749" spans="2:10" ht="21" customHeight="1">
      <c r="B749" s="605" t="s">
        <v>2577</v>
      </c>
      <c r="C749" s="606" t="s">
        <v>8</v>
      </c>
      <c r="D749" s="605" t="s">
        <v>689</v>
      </c>
      <c r="E749" s="606" t="s">
        <v>2578</v>
      </c>
      <c r="F749" s="606" t="s">
        <v>2578</v>
      </c>
      <c r="G749" s="606" t="s">
        <v>1554</v>
      </c>
      <c r="H749" s="606" t="s">
        <v>1555</v>
      </c>
      <c r="I749" s="606" t="s">
        <v>1981</v>
      </c>
      <c r="J749" s="606" t="s">
        <v>1982</v>
      </c>
    </row>
    <row r="750" spans="2:10" ht="21" customHeight="1">
      <c r="B750" s="605" t="s">
        <v>2579</v>
      </c>
      <c r="C750" s="606" t="s">
        <v>8</v>
      </c>
      <c r="D750" s="605" t="s">
        <v>689</v>
      </c>
      <c r="E750" s="606" t="s">
        <v>2580</v>
      </c>
      <c r="F750" s="606" t="s">
        <v>2580</v>
      </c>
      <c r="G750" s="606" t="s">
        <v>1085</v>
      </c>
      <c r="H750" s="606" t="s">
        <v>2063</v>
      </c>
      <c r="I750" s="606" t="s">
        <v>1087</v>
      </c>
      <c r="J750" s="606" t="s">
        <v>1088</v>
      </c>
    </row>
    <row r="751" spans="2:10" ht="21" customHeight="1">
      <c r="B751" s="605" t="s">
        <v>2581</v>
      </c>
      <c r="C751" s="606" t="s">
        <v>8</v>
      </c>
      <c r="D751" s="605" t="s">
        <v>689</v>
      </c>
      <c r="E751" s="606" t="s">
        <v>2582</v>
      </c>
      <c r="F751" s="606" t="s">
        <v>2582</v>
      </c>
      <c r="G751" s="606" t="s">
        <v>1554</v>
      </c>
      <c r="H751" s="606" t="s">
        <v>1555</v>
      </c>
      <c r="I751" s="606" t="s">
        <v>1981</v>
      </c>
      <c r="J751" s="606" t="s">
        <v>1982</v>
      </c>
    </row>
    <row r="752" spans="2:10" ht="21" customHeight="1">
      <c r="B752" s="605" t="s">
        <v>2583</v>
      </c>
      <c r="C752" s="606" t="s">
        <v>8</v>
      </c>
      <c r="D752" s="605" t="s">
        <v>689</v>
      </c>
      <c r="E752" s="606" t="s">
        <v>2584</v>
      </c>
      <c r="F752" s="606" t="s">
        <v>2584</v>
      </c>
      <c r="G752" s="606" t="s">
        <v>1554</v>
      </c>
      <c r="H752" s="606" t="s">
        <v>1555</v>
      </c>
      <c r="I752" s="606" t="s">
        <v>1981</v>
      </c>
      <c r="J752" s="606" t="s">
        <v>1982</v>
      </c>
    </row>
    <row r="753" spans="2:10" ht="21" customHeight="1">
      <c r="B753" s="605" t="s">
        <v>2585</v>
      </c>
      <c r="C753" s="606" t="s">
        <v>8</v>
      </c>
      <c r="D753" s="605" t="s">
        <v>689</v>
      </c>
      <c r="E753" s="606" t="s">
        <v>2586</v>
      </c>
      <c r="F753" s="606" t="s">
        <v>2586</v>
      </c>
      <c r="G753" s="606" t="s">
        <v>1554</v>
      </c>
      <c r="H753" s="606" t="s">
        <v>1555</v>
      </c>
      <c r="I753" s="606" t="s">
        <v>1981</v>
      </c>
      <c r="J753" s="606" t="s">
        <v>1982</v>
      </c>
    </row>
    <row r="754" spans="2:10" ht="21" customHeight="1">
      <c r="B754" s="605" t="s">
        <v>2587</v>
      </c>
      <c r="C754" s="606" t="s">
        <v>8</v>
      </c>
      <c r="D754" s="605" t="s">
        <v>689</v>
      </c>
      <c r="E754" s="606" t="s">
        <v>1030</v>
      </c>
      <c r="F754" s="606" t="s">
        <v>1030</v>
      </c>
      <c r="G754" s="606" t="s">
        <v>1085</v>
      </c>
      <c r="H754" s="606" t="s">
        <v>2063</v>
      </c>
      <c r="I754" s="606" t="s">
        <v>1087</v>
      </c>
      <c r="J754" s="606" t="s">
        <v>1088</v>
      </c>
    </row>
    <row r="755" spans="2:10" ht="21" customHeight="1">
      <c r="B755" s="605" t="s">
        <v>2588</v>
      </c>
      <c r="C755" s="606" t="s">
        <v>8</v>
      </c>
      <c r="D755" s="605" t="s">
        <v>689</v>
      </c>
      <c r="E755" s="606" t="s">
        <v>2589</v>
      </c>
      <c r="F755" s="606" t="s">
        <v>2589</v>
      </c>
      <c r="G755" s="606" t="s">
        <v>1554</v>
      </c>
      <c r="H755" s="606" t="s">
        <v>1555</v>
      </c>
      <c r="I755" s="606" t="s">
        <v>1981</v>
      </c>
      <c r="J755" s="606" t="s">
        <v>1982</v>
      </c>
    </row>
    <row r="756" spans="2:10" ht="21" customHeight="1">
      <c r="B756" s="605" t="s">
        <v>2590</v>
      </c>
      <c r="C756" s="606" t="s">
        <v>8</v>
      </c>
      <c r="D756" s="605" t="s">
        <v>689</v>
      </c>
      <c r="E756" s="606" t="s">
        <v>2591</v>
      </c>
      <c r="F756" s="606" t="s">
        <v>2591</v>
      </c>
      <c r="G756" s="606" t="s">
        <v>1554</v>
      </c>
      <c r="H756" s="606" t="s">
        <v>1555</v>
      </c>
      <c r="I756" s="606" t="s">
        <v>1981</v>
      </c>
      <c r="J756" s="606" t="s">
        <v>1982</v>
      </c>
    </row>
    <row r="757" spans="2:10" ht="21" customHeight="1">
      <c r="B757" s="605" t="s">
        <v>2592</v>
      </c>
      <c r="C757" s="606" t="s">
        <v>8</v>
      </c>
      <c r="D757" s="605" t="s">
        <v>689</v>
      </c>
      <c r="E757" s="606" t="s">
        <v>2593</v>
      </c>
      <c r="F757" s="606" t="s">
        <v>2593</v>
      </c>
      <c r="G757" s="606" t="s">
        <v>1554</v>
      </c>
      <c r="H757" s="606" t="s">
        <v>1555</v>
      </c>
      <c r="I757" s="606" t="s">
        <v>1981</v>
      </c>
      <c r="J757" s="606" t="s">
        <v>1982</v>
      </c>
    </row>
    <row r="758" spans="2:10" ht="21" customHeight="1">
      <c r="B758" s="605" t="s">
        <v>2594</v>
      </c>
      <c r="C758" s="606" t="s">
        <v>8</v>
      </c>
      <c r="D758" s="605" t="s">
        <v>689</v>
      </c>
      <c r="E758" s="606" t="s">
        <v>2595</v>
      </c>
      <c r="F758" s="606" t="s">
        <v>2595</v>
      </c>
      <c r="G758" s="606" t="s">
        <v>1554</v>
      </c>
      <c r="H758" s="606" t="s">
        <v>1555</v>
      </c>
      <c r="I758" s="606" t="s">
        <v>1981</v>
      </c>
      <c r="J758" s="606" t="s">
        <v>1982</v>
      </c>
    </row>
    <row r="759" spans="2:10" ht="21" customHeight="1">
      <c r="B759" s="605" t="s">
        <v>2596</v>
      </c>
      <c r="C759" s="606" t="s">
        <v>8</v>
      </c>
      <c r="D759" s="605" t="s">
        <v>689</v>
      </c>
      <c r="E759" s="606" t="s">
        <v>2597</v>
      </c>
      <c r="F759" s="606" t="s">
        <v>2597</v>
      </c>
      <c r="G759" s="606" t="s">
        <v>1554</v>
      </c>
      <c r="H759" s="606" t="s">
        <v>1555</v>
      </c>
      <c r="I759" s="606" t="s">
        <v>1981</v>
      </c>
      <c r="J759" s="606" t="s">
        <v>1982</v>
      </c>
    </row>
    <row r="760" spans="2:10" ht="21" customHeight="1">
      <c r="B760" s="605" t="s">
        <v>2598</v>
      </c>
      <c r="C760" s="606" t="s">
        <v>8</v>
      </c>
      <c r="D760" s="605" t="s">
        <v>689</v>
      </c>
      <c r="E760" s="606" t="s">
        <v>2599</v>
      </c>
      <c r="F760" s="606" t="s">
        <v>2599</v>
      </c>
      <c r="G760" s="606" t="s">
        <v>1554</v>
      </c>
      <c r="H760" s="606" t="s">
        <v>1555</v>
      </c>
      <c r="I760" s="606" t="s">
        <v>1981</v>
      </c>
      <c r="J760" s="606" t="s">
        <v>1982</v>
      </c>
    </row>
    <row r="761" spans="2:10" ht="21" customHeight="1">
      <c r="B761" s="605" t="s">
        <v>2600</v>
      </c>
      <c r="C761" s="606" t="s">
        <v>8</v>
      </c>
      <c r="D761" s="605" t="s">
        <v>689</v>
      </c>
      <c r="E761" s="606" t="s">
        <v>2601</v>
      </c>
      <c r="F761" s="606" t="s">
        <v>2601</v>
      </c>
      <c r="G761" s="606" t="s">
        <v>1554</v>
      </c>
      <c r="H761" s="606" t="s">
        <v>1555</v>
      </c>
      <c r="I761" s="606" t="s">
        <v>1981</v>
      </c>
      <c r="J761" s="606" t="s">
        <v>1982</v>
      </c>
    </row>
    <row r="762" spans="2:10" ht="21" customHeight="1">
      <c r="B762" s="605" t="s">
        <v>2602</v>
      </c>
      <c r="C762" s="606" t="s">
        <v>8</v>
      </c>
      <c r="D762" s="605" t="s">
        <v>689</v>
      </c>
      <c r="E762" s="606" t="s">
        <v>2603</v>
      </c>
      <c r="F762" s="606" t="s">
        <v>2603</v>
      </c>
      <c r="G762" s="606" t="s">
        <v>1554</v>
      </c>
      <c r="H762" s="606" t="s">
        <v>1555</v>
      </c>
      <c r="I762" s="606" t="s">
        <v>1981</v>
      </c>
      <c r="J762" s="606" t="s">
        <v>1982</v>
      </c>
    </row>
    <row r="763" spans="2:10" ht="21" customHeight="1">
      <c r="B763" s="605" t="s">
        <v>2604</v>
      </c>
      <c r="C763" s="606" t="s">
        <v>8</v>
      </c>
      <c r="D763" s="605" t="s">
        <v>689</v>
      </c>
      <c r="E763" s="606" t="s">
        <v>2605</v>
      </c>
      <c r="F763" s="606" t="s">
        <v>2605</v>
      </c>
      <c r="G763" s="606" t="s">
        <v>1554</v>
      </c>
      <c r="H763" s="606" t="s">
        <v>1555</v>
      </c>
      <c r="I763" s="606" t="s">
        <v>1981</v>
      </c>
      <c r="J763" s="606" t="s">
        <v>1982</v>
      </c>
    </row>
    <row r="764" spans="2:10" ht="21" customHeight="1">
      <c r="B764" s="605" t="s">
        <v>2606</v>
      </c>
      <c r="C764" s="606" t="s">
        <v>8</v>
      </c>
      <c r="D764" s="605" t="s">
        <v>689</v>
      </c>
      <c r="E764" s="606" t="s">
        <v>2607</v>
      </c>
      <c r="F764" s="606" t="s">
        <v>2607</v>
      </c>
      <c r="G764" s="606" t="s">
        <v>1554</v>
      </c>
      <c r="H764" s="606" t="s">
        <v>1555</v>
      </c>
      <c r="I764" s="606" t="s">
        <v>1981</v>
      </c>
      <c r="J764" s="606" t="s">
        <v>1982</v>
      </c>
    </row>
    <row r="765" spans="2:10" ht="21" customHeight="1">
      <c r="B765" s="605" t="s">
        <v>2608</v>
      </c>
      <c r="C765" s="606" t="s">
        <v>8</v>
      </c>
      <c r="D765" s="605" t="s">
        <v>689</v>
      </c>
      <c r="E765" s="606" t="s">
        <v>2609</v>
      </c>
      <c r="F765" s="606" t="s">
        <v>2609</v>
      </c>
      <c r="G765" s="606" t="s">
        <v>1554</v>
      </c>
      <c r="H765" s="606" t="s">
        <v>1555</v>
      </c>
      <c r="I765" s="606" t="s">
        <v>1981</v>
      </c>
      <c r="J765" s="606" t="s">
        <v>1982</v>
      </c>
    </row>
    <row r="766" spans="2:10" ht="21" customHeight="1">
      <c r="B766" s="605" t="s">
        <v>2610</v>
      </c>
      <c r="C766" s="606" t="s">
        <v>8</v>
      </c>
      <c r="D766" s="605" t="s">
        <v>689</v>
      </c>
      <c r="E766" s="606" t="s">
        <v>2611</v>
      </c>
      <c r="F766" s="606" t="s">
        <v>2611</v>
      </c>
      <c r="G766" s="606" t="s">
        <v>1554</v>
      </c>
      <c r="H766" s="606" t="s">
        <v>1555</v>
      </c>
      <c r="I766" s="606" t="s">
        <v>1981</v>
      </c>
      <c r="J766" s="606" t="s">
        <v>1982</v>
      </c>
    </row>
    <row r="767" spans="2:10" ht="21" customHeight="1">
      <c r="B767" s="605" t="s">
        <v>2612</v>
      </c>
      <c r="C767" s="606" t="s">
        <v>8</v>
      </c>
      <c r="D767" s="605" t="s">
        <v>689</v>
      </c>
      <c r="E767" s="606" t="s">
        <v>2613</v>
      </c>
      <c r="F767" s="606" t="s">
        <v>2613</v>
      </c>
      <c r="G767" s="606" t="s">
        <v>1554</v>
      </c>
      <c r="H767" s="606" t="s">
        <v>1555</v>
      </c>
      <c r="I767" s="606" t="s">
        <v>1981</v>
      </c>
      <c r="J767" s="606" t="s">
        <v>1982</v>
      </c>
    </row>
    <row r="768" spans="2:10" ht="21" customHeight="1">
      <c r="B768" s="605" t="s">
        <v>2614</v>
      </c>
      <c r="C768" s="606" t="s">
        <v>8</v>
      </c>
      <c r="D768" s="605" t="s">
        <v>689</v>
      </c>
      <c r="E768" s="606" t="s">
        <v>1031</v>
      </c>
      <c r="F768" s="606" t="s">
        <v>1031</v>
      </c>
      <c r="G768" s="606" t="s">
        <v>1085</v>
      </c>
      <c r="H768" s="606" t="s">
        <v>2063</v>
      </c>
      <c r="I768" s="606" t="s">
        <v>1087</v>
      </c>
      <c r="J768" s="606" t="s">
        <v>1088</v>
      </c>
    </row>
    <row r="769" spans="2:10" ht="21" customHeight="1">
      <c r="B769" s="605" t="s">
        <v>2615</v>
      </c>
      <c r="C769" s="606" t="s">
        <v>8</v>
      </c>
      <c r="D769" s="605" t="s">
        <v>689</v>
      </c>
      <c r="E769" s="606" t="s">
        <v>2616</v>
      </c>
      <c r="F769" s="606" t="s">
        <v>700</v>
      </c>
      <c r="G769" s="606" t="s">
        <v>1085</v>
      </c>
      <c r="H769" s="606" t="s">
        <v>2063</v>
      </c>
      <c r="I769" s="606" t="s">
        <v>1087</v>
      </c>
      <c r="J769" s="606" t="s">
        <v>1088</v>
      </c>
    </row>
    <row r="770" spans="2:10" ht="21" customHeight="1">
      <c r="B770" s="605" t="s">
        <v>2617</v>
      </c>
      <c r="C770" s="606" t="s">
        <v>8</v>
      </c>
      <c r="D770" s="605" t="s">
        <v>689</v>
      </c>
      <c r="E770" s="606" t="s">
        <v>2618</v>
      </c>
      <c r="F770" s="606" t="s">
        <v>2619</v>
      </c>
      <c r="G770" s="606" t="s">
        <v>1085</v>
      </c>
      <c r="H770" s="606" t="s">
        <v>2063</v>
      </c>
      <c r="I770" s="606" t="s">
        <v>1087</v>
      </c>
      <c r="J770" s="606" t="s">
        <v>1088</v>
      </c>
    </row>
    <row r="771" spans="2:10" ht="21" customHeight="1">
      <c r="B771" s="605" t="s">
        <v>2620</v>
      </c>
      <c r="C771" s="606" t="s">
        <v>8</v>
      </c>
      <c r="D771" s="605" t="s">
        <v>689</v>
      </c>
      <c r="E771" s="606" t="s">
        <v>2621</v>
      </c>
      <c r="F771" s="606" t="s">
        <v>2621</v>
      </c>
      <c r="G771" s="606" t="s">
        <v>1554</v>
      </c>
      <c r="H771" s="606" t="s">
        <v>1555</v>
      </c>
      <c r="I771" s="606" t="s">
        <v>1981</v>
      </c>
      <c r="J771" s="606" t="s">
        <v>1982</v>
      </c>
    </row>
    <row r="772" spans="2:10" ht="21" customHeight="1">
      <c r="B772" s="605" t="s">
        <v>2622</v>
      </c>
      <c r="C772" s="606" t="s">
        <v>8</v>
      </c>
      <c r="D772" s="605" t="s">
        <v>689</v>
      </c>
      <c r="E772" s="606" t="s">
        <v>2623</v>
      </c>
      <c r="F772" s="606" t="s">
        <v>2623</v>
      </c>
      <c r="G772" s="606" t="s">
        <v>1554</v>
      </c>
      <c r="H772" s="606" t="s">
        <v>1555</v>
      </c>
      <c r="I772" s="606" t="s">
        <v>1981</v>
      </c>
      <c r="J772" s="606" t="s">
        <v>1982</v>
      </c>
    </row>
    <row r="773" spans="2:10" ht="21" customHeight="1">
      <c r="B773" s="605" t="s">
        <v>2624</v>
      </c>
      <c r="C773" s="606" t="s">
        <v>8</v>
      </c>
      <c r="D773" s="605" t="s">
        <v>689</v>
      </c>
      <c r="E773" s="606" t="s">
        <v>2625</v>
      </c>
      <c r="F773" s="606" t="s">
        <v>2625</v>
      </c>
      <c r="G773" s="606" t="s">
        <v>1554</v>
      </c>
      <c r="H773" s="606" t="s">
        <v>1555</v>
      </c>
      <c r="I773" s="606" t="s">
        <v>1981</v>
      </c>
      <c r="J773" s="606" t="s">
        <v>1982</v>
      </c>
    </row>
    <row r="774" spans="2:10" ht="21" customHeight="1">
      <c r="B774" s="605" t="s">
        <v>2626</v>
      </c>
      <c r="C774" s="606" t="s">
        <v>8</v>
      </c>
      <c r="D774" s="605" t="s">
        <v>689</v>
      </c>
      <c r="E774" s="606" t="s">
        <v>2627</v>
      </c>
      <c r="F774" s="606" t="s">
        <v>2627</v>
      </c>
      <c r="G774" s="606" t="s">
        <v>1554</v>
      </c>
      <c r="H774" s="606" t="s">
        <v>1555</v>
      </c>
      <c r="I774" s="606" t="s">
        <v>1981</v>
      </c>
      <c r="J774" s="606" t="s">
        <v>1982</v>
      </c>
    </row>
    <row r="775" spans="2:10" ht="21" customHeight="1">
      <c r="B775" s="605" t="s">
        <v>2628</v>
      </c>
      <c r="C775" s="606" t="s">
        <v>8</v>
      </c>
      <c r="D775" s="605" t="s">
        <v>689</v>
      </c>
      <c r="E775" s="606" t="s">
        <v>2629</v>
      </c>
      <c r="F775" s="606" t="s">
        <v>2629</v>
      </c>
      <c r="G775" s="606" t="s">
        <v>1554</v>
      </c>
      <c r="H775" s="606" t="s">
        <v>1555</v>
      </c>
      <c r="I775" s="606" t="s">
        <v>1981</v>
      </c>
      <c r="J775" s="606" t="s">
        <v>1982</v>
      </c>
    </row>
    <row r="776" spans="2:10" ht="21" customHeight="1">
      <c r="B776" s="605" t="s">
        <v>2630</v>
      </c>
      <c r="C776" s="606" t="s">
        <v>8</v>
      </c>
      <c r="D776" s="605" t="s">
        <v>689</v>
      </c>
      <c r="E776" s="606" t="s">
        <v>2631</v>
      </c>
      <c r="F776" s="606" t="s">
        <v>2631</v>
      </c>
      <c r="G776" s="606" t="s">
        <v>1554</v>
      </c>
      <c r="H776" s="606" t="s">
        <v>1555</v>
      </c>
      <c r="I776" s="606" t="s">
        <v>1981</v>
      </c>
      <c r="J776" s="606" t="s">
        <v>1982</v>
      </c>
    </row>
    <row r="777" spans="2:10" ht="21" customHeight="1">
      <c r="B777" s="605" t="s">
        <v>2632</v>
      </c>
      <c r="C777" s="606" t="s">
        <v>8</v>
      </c>
      <c r="D777" s="605" t="s">
        <v>689</v>
      </c>
      <c r="E777" s="606" t="s">
        <v>2633</v>
      </c>
      <c r="F777" s="606" t="s">
        <v>2633</v>
      </c>
      <c r="G777" s="606" t="s">
        <v>1554</v>
      </c>
      <c r="H777" s="606" t="s">
        <v>1555</v>
      </c>
      <c r="I777" s="606" t="s">
        <v>1981</v>
      </c>
      <c r="J777" s="606" t="s">
        <v>1982</v>
      </c>
    </row>
    <row r="778" spans="2:10" ht="21" customHeight="1">
      <c r="B778" s="605" t="s">
        <v>2634</v>
      </c>
      <c r="C778" s="606" t="s">
        <v>8</v>
      </c>
      <c r="D778" s="605" t="s">
        <v>689</v>
      </c>
      <c r="E778" s="606" t="s">
        <v>2635</v>
      </c>
      <c r="F778" s="606" t="s">
        <v>2635</v>
      </c>
      <c r="G778" s="606" t="s">
        <v>1554</v>
      </c>
      <c r="H778" s="606" t="s">
        <v>1555</v>
      </c>
      <c r="I778" s="606" t="s">
        <v>1981</v>
      </c>
      <c r="J778" s="606" t="s">
        <v>1982</v>
      </c>
    </row>
    <row r="779" spans="2:10" ht="21" customHeight="1">
      <c r="B779" s="605" t="s">
        <v>2636</v>
      </c>
      <c r="C779" s="606" t="s">
        <v>8</v>
      </c>
      <c r="D779" s="605" t="s">
        <v>689</v>
      </c>
      <c r="E779" s="606" t="s">
        <v>2637</v>
      </c>
      <c r="F779" s="606" t="s">
        <v>2637</v>
      </c>
      <c r="G779" s="606" t="s">
        <v>1554</v>
      </c>
      <c r="H779" s="606" t="s">
        <v>1555</v>
      </c>
      <c r="I779" s="606" t="s">
        <v>1981</v>
      </c>
      <c r="J779" s="606" t="s">
        <v>1982</v>
      </c>
    </row>
    <row r="780" spans="2:10" ht="21" customHeight="1">
      <c r="B780" s="605" t="s">
        <v>2638</v>
      </c>
      <c r="C780" s="606" t="s">
        <v>8</v>
      </c>
      <c r="D780" s="605" t="s">
        <v>689</v>
      </c>
      <c r="E780" s="606" t="s">
        <v>2639</v>
      </c>
      <c r="F780" s="606" t="s">
        <v>2639</v>
      </c>
      <c r="G780" s="606" t="s">
        <v>1554</v>
      </c>
      <c r="H780" s="606" t="s">
        <v>1555</v>
      </c>
      <c r="I780" s="606" t="s">
        <v>1981</v>
      </c>
      <c r="J780" s="606" t="s">
        <v>1982</v>
      </c>
    </row>
    <row r="781" spans="2:10" ht="21" customHeight="1">
      <c r="B781" s="605" t="s">
        <v>2640</v>
      </c>
      <c r="C781" s="606" t="s">
        <v>8</v>
      </c>
      <c r="D781" s="605" t="s">
        <v>689</v>
      </c>
      <c r="E781" s="606" t="s">
        <v>2641</v>
      </c>
      <c r="F781" s="606" t="s">
        <v>2641</v>
      </c>
      <c r="G781" s="606" t="s">
        <v>1554</v>
      </c>
      <c r="H781" s="606" t="s">
        <v>1555</v>
      </c>
      <c r="I781" s="606" t="s">
        <v>1981</v>
      </c>
      <c r="J781" s="606" t="s">
        <v>1982</v>
      </c>
    </row>
    <row r="782" spans="2:10" ht="21" customHeight="1">
      <c r="B782" s="605" t="s">
        <v>2642</v>
      </c>
      <c r="C782" s="606" t="s">
        <v>8</v>
      </c>
      <c r="D782" s="605" t="s">
        <v>689</v>
      </c>
      <c r="E782" s="606" t="s">
        <v>2643</v>
      </c>
      <c r="F782" s="606" t="s">
        <v>2643</v>
      </c>
      <c r="G782" s="606" t="s">
        <v>1554</v>
      </c>
      <c r="H782" s="606" t="s">
        <v>1555</v>
      </c>
      <c r="I782" s="606" t="s">
        <v>1981</v>
      </c>
      <c r="J782" s="606" t="s">
        <v>1982</v>
      </c>
    </row>
    <row r="783" spans="2:10" ht="21" customHeight="1">
      <c r="B783" s="605" t="s">
        <v>2644</v>
      </c>
      <c r="C783" s="606" t="s">
        <v>8</v>
      </c>
      <c r="D783" s="605" t="s">
        <v>689</v>
      </c>
      <c r="E783" s="606" t="s">
        <v>2645</v>
      </c>
      <c r="F783" s="606" t="s">
        <v>2645</v>
      </c>
      <c r="G783" s="606" t="s">
        <v>1554</v>
      </c>
      <c r="H783" s="606" t="s">
        <v>1555</v>
      </c>
      <c r="I783" s="606" t="s">
        <v>1981</v>
      </c>
      <c r="J783" s="606" t="s">
        <v>1982</v>
      </c>
    </row>
    <row r="784" spans="2:10" ht="21" customHeight="1">
      <c r="B784" s="605" t="s">
        <v>2646</v>
      </c>
      <c r="C784" s="606" t="s">
        <v>8</v>
      </c>
      <c r="D784" s="605" t="s">
        <v>689</v>
      </c>
      <c r="E784" s="606" t="s">
        <v>2647</v>
      </c>
      <c r="F784" s="606" t="s">
        <v>2647</v>
      </c>
      <c r="G784" s="606" t="s">
        <v>1554</v>
      </c>
      <c r="H784" s="606" t="s">
        <v>1555</v>
      </c>
      <c r="I784" s="606" t="s">
        <v>1981</v>
      </c>
      <c r="J784" s="606" t="s">
        <v>1982</v>
      </c>
    </row>
    <row r="785" spans="2:10" ht="21" customHeight="1">
      <c r="B785" s="605" t="s">
        <v>2648</v>
      </c>
      <c r="C785" s="606" t="s">
        <v>8</v>
      </c>
      <c r="D785" s="605" t="s">
        <v>689</v>
      </c>
      <c r="E785" s="606" t="s">
        <v>2649</v>
      </c>
      <c r="F785" s="606" t="s">
        <v>2649</v>
      </c>
      <c r="G785" s="606" t="s">
        <v>1554</v>
      </c>
      <c r="H785" s="606" t="s">
        <v>1555</v>
      </c>
      <c r="I785" s="606" t="s">
        <v>1981</v>
      </c>
      <c r="J785" s="606" t="s">
        <v>1982</v>
      </c>
    </row>
    <row r="786" spans="2:10" ht="21" customHeight="1">
      <c r="B786" s="605" t="s">
        <v>2650</v>
      </c>
      <c r="C786" s="606" t="s">
        <v>8</v>
      </c>
      <c r="D786" s="605" t="s">
        <v>689</v>
      </c>
      <c r="E786" s="606" t="s">
        <v>2651</v>
      </c>
      <c r="F786" s="606" t="s">
        <v>2651</v>
      </c>
      <c r="G786" s="606" t="s">
        <v>1554</v>
      </c>
      <c r="H786" s="606" t="s">
        <v>1555</v>
      </c>
      <c r="I786" s="606" t="s">
        <v>1981</v>
      </c>
      <c r="J786" s="606" t="s">
        <v>1982</v>
      </c>
    </row>
    <row r="787" spans="2:10" ht="21" customHeight="1">
      <c r="B787" s="605" t="s">
        <v>2652</v>
      </c>
      <c r="C787" s="606" t="s">
        <v>8</v>
      </c>
      <c r="D787" s="605" t="s">
        <v>689</v>
      </c>
      <c r="E787" s="606" t="s">
        <v>2653</v>
      </c>
      <c r="F787" s="606" t="s">
        <v>2653</v>
      </c>
      <c r="G787" s="606" t="s">
        <v>1554</v>
      </c>
      <c r="H787" s="606" t="s">
        <v>1555</v>
      </c>
      <c r="I787" s="606" t="s">
        <v>1981</v>
      </c>
      <c r="J787" s="606" t="s">
        <v>1982</v>
      </c>
    </row>
    <row r="788" spans="2:10" ht="21" customHeight="1">
      <c r="B788" s="605" t="s">
        <v>2654</v>
      </c>
      <c r="C788" s="606" t="s">
        <v>8</v>
      </c>
      <c r="D788" s="605" t="s">
        <v>689</v>
      </c>
      <c r="E788" s="606" t="s">
        <v>2655</v>
      </c>
      <c r="F788" s="606" t="s">
        <v>2655</v>
      </c>
      <c r="G788" s="606" t="s">
        <v>1554</v>
      </c>
      <c r="H788" s="606" t="s">
        <v>1555</v>
      </c>
      <c r="I788" s="606" t="s">
        <v>1981</v>
      </c>
      <c r="J788" s="606" t="s">
        <v>1982</v>
      </c>
    </row>
    <row r="789" spans="2:10" ht="21" customHeight="1">
      <c r="B789" s="605" t="s">
        <v>2656</v>
      </c>
      <c r="C789" s="606" t="s">
        <v>8</v>
      </c>
      <c r="D789" s="605" t="s">
        <v>689</v>
      </c>
      <c r="E789" s="606" t="s">
        <v>2657</v>
      </c>
      <c r="F789" s="606" t="s">
        <v>2657</v>
      </c>
      <c r="G789" s="606" t="s">
        <v>1554</v>
      </c>
      <c r="H789" s="606" t="s">
        <v>1555</v>
      </c>
      <c r="I789" s="606" t="s">
        <v>1981</v>
      </c>
      <c r="J789" s="606" t="s">
        <v>1982</v>
      </c>
    </row>
    <row r="790" spans="2:10" ht="21" customHeight="1">
      <c r="B790" s="605" t="s">
        <v>2658</v>
      </c>
      <c r="C790" s="606" t="s">
        <v>8</v>
      </c>
      <c r="D790" s="605" t="s">
        <v>689</v>
      </c>
      <c r="E790" s="606" t="s">
        <v>2659</v>
      </c>
      <c r="F790" s="606" t="s">
        <v>2659</v>
      </c>
      <c r="G790" s="606" t="s">
        <v>1554</v>
      </c>
      <c r="H790" s="606" t="s">
        <v>1555</v>
      </c>
      <c r="I790" s="606" t="s">
        <v>1981</v>
      </c>
      <c r="J790" s="606" t="s">
        <v>1982</v>
      </c>
    </row>
    <row r="791" spans="2:10" ht="21" customHeight="1">
      <c r="B791" s="605" t="s">
        <v>2660</v>
      </c>
      <c r="C791" s="606" t="s">
        <v>8</v>
      </c>
      <c r="D791" s="605" t="s">
        <v>689</v>
      </c>
      <c r="E791" s="606" t="s">
        <v>2661</v>
      </c>
      <c r="F791" s="606" t="s">
        <v>2661</v>
      </c>
      <c r="G791" s="606" t="s">
        <v>1554</v>
      </c>
      <c r="H791" s="606" t="s">
        <v>1555</v>
      </c>
      <c r="I791" s="606" t="s">
        <v>1981</v>
      </c>
      <c r="J791" s="606" t="s">
        <v>1982</v>
      </c>
    </row>
    <row r="792" spans="2:10" ht="21" customHeight="1">
      <c r="B792" s="605" t="s">
        <v>2662</v>
      </c>
      <c r="C792" s="606" t="s">
        <v>8</v>
      </c>
      <c r="D792" s="605" t="s">
        <v>689</v>
      </c>
      <c r="E792" s="606" t="s">
        <v>2663</v>
      </c>
      <c r="F792" s="606" t="s">
        <v>2663</v>
      </c>
      <c r="G792" s="606" t="s">
        <v>1554</v>
      </c>
      <c r="H792" s="606" t="s">
        <v>1555</v>
      </c>
      <c r="I792" s="606" t="s">
        <v>1981</v>
      </c>
      <c r="J792" s="606" t="s">
        <v>1982</v>
      </c>
    </row>
    <row r="793" spans="2:10" ht="21" customHeight="1">
      <c r="B793" s="605" t="s">
        <v>2664</v>
      </c>
      <c r="C793" s="606" t="s">
        <v>8</v>
      </c>
      <c r="D793" s="605" t="s">
        <v>689</v>
      </c>
      <c r="E793" s="606" t="s">
        <v>2665</v>
      </c>
      <c r="F793" s="606" t="s">
        <v>2665</v>
      </c>
      <c r="G793" s="606" t="s">
        <v>1554</v>
      </c>
      <c r="H793" s="606" t="s">
        <v>1555</v>
      </c>
      <c r="I793" s="606" t="s">
        <v>1981</v>
      </c>
      <c r="J793" s="606" t="s">
        <v>1982</v>
      </c>
    </row>
    <row r="794" spans="2:10" ht="21" customHeight="1">
      <c r="B794" s="605" t="s">
        <v>2666</v>
      </c>
      <c r="C794" s="606" t="s">
        <v>8</v>
      </c>
      <c r="D794" s="605" t="s">
        <v>689</v>
      </c>
      <c r="E794" s="606" t="s">
        <v>2667</v>
      </c>
      <c r="F794" s="606" t="s">
        <v>2667</v>
      </c>
      <c r="G794" s="606" t="s">
        <v>1554</v>
      </c>
      <c r="H794" s="606" t="s">
        <v>1555</v>
      </c>
      <c r="I794" s="606" t="s">
        <v>1981</v>
      </c>
      <c r="J794" s="606" t="s">
        <v>1982</v>
      </c>
    </row>
    <row r="795" spans="2:10" ht="21" customHeight="1">
      <c r="B795" s="605" t="s">
        <v>2668</v>
      </c>
      <c r="C795" s="606" t="s">
        <v>8</v>
      </c>
      <c r="D795" s="605" t="s">
        <v>689</v>
      </c>
      <c r="E795" s="606" t="s">
        <v>2669</v>
      </c>
      <c r="F795" s="606" t="s">
        <v>2669</v>
      </c>
      <c r="G795" s="606" t="s">
        <v>1554</v>
      </c>
      <c r="H795" s="606" t="s">
        <v>1555</v>
      </c>
      <c r="I795" s="606" t="s">
        <v>1981</v>
      </c>
      <c r="J795" s="606" t="s">
        <v>1982</v>
      </c>
    </row>
    <row r="796" spans="2:10" ht="21" customHeight="1">
      <c r="B796" s="605" t="s">
        <v>2670</v>
      </c>
      <c r="C796" s="606" t="s">
        <v>8</v>
      </c>
      <c r="D796" s="605" t="s">
        <v>689</v>
      </c>
      <c r="E796" s="606" t="s">
        <v>2671</v>
      </c>
      <c r="F796" s="606" t="s">
        <v>2671</v>
      </c>
      <c r="G796" s="606" t="s">
        <v>1554</v>
      </c>
      <c r="H796" s="606" t="s">
        <v>1555</v>
      </c>
      <c r="I796" s="606" t="s">
        <v>1981</v>
      </c>
      <c r="J796" s="606" t="s">
        <v>1982</v>
      </c>
    </row>
    <row r="797" spans="2:10" ht="21" customHeight="1">
      <c r="B797" s="605" t="s">
        <v>2672</v>
      </c>
      <c r="C797" s="606" t="s">
        <v>8</v>
      </c>
      <c r="D797" s="605" t="s">
        <v>689</v>
      </c>
      <c r="E797" s="606" t="s">
        <v>2673</v>
      </c>
      <c r="F797" s="606" t="s">
        <v>2673</v>
      </c>
      <c r="G797" s="606" t="s">
        <v>1554</v>
      </c>
      <c r="H797" s="606" t="s">
        <v>1555</v>
      </c>
      <c r="I797" s="606" t="s">
        <v>1981</v>
      </c>
      <c r="J797" s="606" t="s">
        <v>1982</v>
      </c>
    </row>
    <row r="798" spans="2:10" ht="21" customHeight="1">
      <c r="B798" s="605" t="s">
        <v>2674</v>
      </c>
      <c r="C798" s="606" t="s">
        <v>8</v>
      </c>
      <c r="D798" s="605" t="s">
        <v>689</v>
      </c>
      <c r="E798" s="606" t="s">
        <v>2675</v>
      </c>
      <c r="F798" s="606" t="s">
        <v>2675</v>
      </c>
      <c r="G798" s="606" t="s">
        <v>1554</v>
      </c>
      <c r="H798" s="606" t="s">
        <v>1555</v>
      </c>
      <c r="I798" s="606" t="s">
        <v>1981</v>
      </c>
      <c r="J798" s="606" t="s">
        <v>1982</v>
      </c>
    </row>
    <row r="799" spans="2:10" ht="21" customHeight="1">
      <c r="B799" s="605" t="s">
        <v>2676</v>
      </c>
      <c r="C799" s="606" t="s">
        <v>8</v>
      </c>
      <c r="D799" s="605" t="s">
        <v>689</v>
      </c>
      <c r="E799" s="606" t="s">
        <v>2677</v>
      </c>
      <c r="F799" s="606" t="s">
        <v>2677</v>
      </c>
      <c r="G799" s="606" t="s">
        <v>1554</v>
      </c>
      <c r="H799" s="606" t="s">
        <v>1555</v>
      </c>
      <c r="I799" s="606" t="s">
        <v>1981</v>
      </c>
      <c r="J799" s="606" t="s">
        <v>1982</v>
      </c>
    </row>
    <row r="800" spans="2:10" ht="21" customHeight="1">
      <c r="B800" s="605" t="s">
        <v>2678</v>
      </c>
      <c r="C800" s="606" t="s">
        <v>8</v>
      </c>
      <c r="D800" s="605" t="s">
        <v>689</v>
      </c>
      <c r="E800" s="606" t="s">
        <v>2679</v>
      </c>
      <c r="F800" s="606" t="s">
        <v>2679</v>
      </c>
      <c r="G800" s="606" t="s">
        <v>1554</v>
      </c>
      <c r="H800" s="606" t="s">
        <v>1555</v>
      </c>
      <c r="I800" s="606" t="s">
        <v>1981</v>
      </c>
      <c r="J800" s="606" t="s">
        <v>1982</v>
      </c>
    </row>
    <row r="801" spans="2:10" ht="21" customHeight="1">
      <c r="B801" s="605" t="s">
        <v>2680</v>
      </c>
      <c r="C801" s="606" t="s">
        <v>8</v>
      </c>
      <c r="D801" s="605" t="s">
        <v>689</v>
      </c>
      <c r="E801" s="606" t="s">
        <v>2681</v>
      </c>
      <c r="F801" s="606" t="s">
        <v>2681</v>
      </c>
      <c r="G801" s="606" t="s">
        <v>1554</v>
      </c>
      <c r="H801" s="606" t="s">
        <v>1555</v>
      </c>
      <c r="I801" s="606" t="s">
        <v>1981</v>
      </c>
      <c r="J801" s="606" t="s">
        <v>1982</v>
      </c>
    </row>
    <row r="802" spans="2:10" ht="21" customHeight="1">
      <c r="B802" s="605" t="s">
        <v>2682</v>
      </c>
      <c r="C802" s="606" t="s">
        <v>8</v>
      </c>
      <c r="D802" s="605" t="s">
        <v>689</v>
      </c>
      <c r="E802" s="606" t="s">
        <v>2683</v>
      </c>
      <c r="F802" s="606" t="s">
        <v>2683</v>
      </c>
      <c r="G802" s="606" t="s">
        <v>1554</v>
      </c>
      <c r="H802" s="606" t="s">
        <v>1555</v>
      </c>
      <c r="I802" s="606" t="s">
        <v>1981</v>
      </c>
      <c r="J802" s="606" t="s">
        <v>1982</v>
      </c>
    </row>
    <row r="803" spans="2:10" ht="21" customHeight="1">
      <c r="B803" s="605" t="s">
        <v>2684</v>
      </c>
      <c r="C803" s="606" t="s">
        <v>8</v>
      </c>
      <c r="D803" s="605" t="s">
        <v>689</v>
      </c>
      <c r="E803" s="606" t="s">
        <v>2685</v>
      </c>
      <c r="F803" s="606" t="s">
        <v>2685</v>
      </c>
      <c r="G803" s="606" t="s">
        <v>1554</v>
      </c>
      <c r="H803" s="606" t="s">
        <v>1555</v>
      </c>
      <c r="I803" s="606" t="s">
        <v>1981</v>
      </c>
      <c r="J803" s="606" t="s">
        <v>1982</v>
      </c>
    </row>
    <row r="804" spans="2:10" ht="21" customHeight="1">
      <c r="B804" s="605" t="s">
        <v>2686</v>
      </c>
      <c r="C804" s="606" t="s">
        <v>8</v>
      </c>
      <c r="D804" s="605" t="s">
        <v>689</v>
      </c>
      <c r="E804" s="606" t="s">
        <v>2687</v>
      </c>
      <c r="F804" s="606" t="s">
        <v>2687</v>
      </c>
      <c r="G804" s="606" t="s">
        <v>1554</v>
      </c>
      <c r="H804" s="606" t="s">
        <v>1555</v>
      </c>
      <c r="I804" s="606" t="s">
        <v>1981</v>
      </c>
      <c r="J804" s="606" t="s">
        <v>1982</v>
      </c>
    </row>
    <row r="805" spans="2:10" ht="21" customHeight="1">
      <c r="B805" s="605" t="s">
        <v>2688</v>
      </c>
      <c r="C805" s="606" t="s">
        <v>8</v>
      </c>
      <c r="D805" s="605" t="s">
        <v>689</v>
      </c>
      <c r="E805" s="606" t="s">
        <v>2689</v>
      </c>
      <c r="F805" s="606" t="s">
        <v>2689</v>
      </c>
      <c r="G805" s="606" t="s">
        <v>1554</v>
      </c>
      <c r="H805" s="606" t="s">
        <v>1555</v>
      </c>
      <c r="I805" s="606" t="s">
        <v>1981</v>
      </c>
      <c r="J805" s="606" t="s">
        <v>1982</v>
      </c>
    </row>
    <row r="806" spans="2:10" ht="21" customHeight="1">
      <c r="B806" s="605" t="s">
        <v>2690</v>
      </c>
      <c r="C806" s="606" t="s">
        <v>8</v>
      </c>
      <c r="D806" s="605" t="s">
        <v>689</v>
      </c>
      <c r="E806" s="606" t="s">
        <v>2691</v>
      </c>
      <c r="F806" s="606" t="s">
        <v>2691</v>
      </c>
      <c r="G806" s="606" t="s">
        <v>1554</v>
      </c>
      <c r="H806" s="606" t="s">
        <v>1555</v>
      </c>
      <c r="I806" s="606" t="s">
        <v>1981</v>
      </c>
      <c r="J806" s="606" t="s">
        <v>1982</v>
      </c>
    </row>
    <row r="807" spans="2:10" ht="21" customHeight="1">
      <c r="B807" s="605" t="s">
        <v>2692</v>
      </c>
      <c r="C807" s="606" t="s">
        <v>8</v>
      </c>
      <c r="D807" s="605" t="s">
        <v>689</v>
      </c>
      <c r="E807" s="606" t="s">
        <v>2693</v>
      </c>
      <c r="F807" s="606" t="s">
        <v>2693</v>
      </c>
      <c r="G807" s="606" t="s">
        <v>1554</v>
      </c>
      <c r="H807" s="606" t="s">
        <v>1555</v>
      </c>
      <c r="I807" s="606" t="s">
        <v>1981</v>
      </c>
      <c r="J807" s="606" t="s">
        <v>1982</v>
      </c>
    </row>
    <row r="808" spans="2:10" ht="21" customHeight="1">
      <c r="B808" s="605" t="s">
        <v>2694</v>
      </c>
      <c r="C808" s="606" t="s">
        <v>8</v>
      </c>
      <c r="D808" s="605" t="s">
        <v>689</v>
      </c>
      <c r="E808" s="606" t="s">
        <v>2695</v>
      </c>
      <c r="F808" s="606" t="s">
        <v>2695</v>
      </c>
      <c r="G808" s="606" t="s">
        <v>1554</v>
      </c>
      <c r="H808" s="606" t="s">
        <v>1555</v>
      </c>
      <c r="I808" s="606" t="s">
        <v>1981</v>
      </c>
      <c r="J808" s="606" t="s">
        <v>1982</v>
      </c>
    </row>
    <row r="809" spans="2:10" ht="21" customHeight="1">
      <c r="B809" s="605" t="s">
        <v>2696</v>
      </c>
      <c r="C809" s="606" t="s">
        <v>8</v>
      </c>
      <c r="D809" s="605" t="s">
        <v>689</v>
      </c>
      <c r="E809" s="606" t="s">
        <v>2697</v>
      </c>
      <c r="F809" s="606" t="s">
        <v>2697</v>
      </c>
      <c r="G809" s="606" t="s">
        <v>1554</v>
      </c>
      <c r="H809" s="606" t="s">
        <v>1555</v>
      </c>
      <c r="I809" s="606" t="s">
        <v>1981</v>
      </c>
      <c r="J809" s="606" t="s">
        <v>1982</v>
      </c>
    </row>
    <row r="810" spans="2:10" ht="21" customHeight="1">
      <c r="B810" s="605" t="s">
        <v>2698</v>
      </c>
      <c r="C810" s="606" t="s">
        <v>8</v>
      </c>
      <c r="D810" s="605" t="s">
        <v>689</v>
      </c>
      <c r="E810" s="606" t="s">
        <v>358</v>
      </c>
      <c r="F810" s="606" t="s">
        <v>358</v>
      </c>
      <c r="G810" s="606" t="s">
        <v>1554</v>
      </c>
      <c r="H810" s="606" t="s">
        <v>1555</v>
      </c>
      <c r="I810" s="606" t="s">
        <v>1981</v>
      </c>
      <c r="J810" s="606" t="s">
        <v>1982</v>
      </c>
    </row>
    <row r="811" spans="2:10" ht="21" customHeight="1">
      <c r="B811" s="605" t="s">
        <v>2699</v>
      </c>
      <c r="C811" s="606" t="s">
        <v>8</v>
      </c>
      <c r="D811" s="605" t="s">
        <v>689</v>
      </c>
      <c r="E811" s="606" t="s">
        <v>2700</v>
      </c>
      <c r="F811" s="606" t="s">
        <v>2700</v>
      </c>
      <c r="G811" s="606" t="s">
        <v>1151</v>
      </c>
      <c r="H811" s="606" t="s">
        <v>1152</v>
      </c>
      <c r="I811" s="606" t="s">
        <v>1087</v>
      </c>
      <c r="J811" s="606" t="s">
        <v>1153</v>
      </c>
    </row>
    <row r="812" spans="2:10" ht="21" customHeight="1">
      <c r="B812" s="605" t="s">
        <v>2701</v>
      </c>
      <c r="C812" s="606" t="s">
        <v>8</v>
      </c>
      <c r="D812" s="605" t="s">
        <v>689</v>
      </c>
      <c r="E812" s="606" t="s">
        <v>2702</v>
      </c>
      <c r="F812" s="606" t="s">
        <v>2702</v>
      </c>
      <c r="G812" s="606" t="s">
        <v>1151</v>
      </c>
      <c r="H812" s="606" t="s">
        <v>1152</v>
      </c>
      <c r="I812" s="606" t="s">
        <v>1087</v>
      </c>
      <c r="J812" s="606" t="s">
        <v>1153</v>
      </c>
    </row>
    <row r="813" spans="2:10" ht="21" customHeight="1">
      <c r="B813" s="605" t="s">
        <v>2703</v>
      </c>
      <c r="C813" s="606" t="s">
        <v>8</v>
      </c>
      <c r="D813" s="605" t="s">
        <v>689</v>
      </c>
      <c r="E813" s="606" t="s">
        <v>359</v>
      </c>
      <c r="F813" s="606" t="s">
        <v>359</v>
      </c>
      <c r="G813" s="606" t="s">
        <v>1554</v>
      </c>
      <c r="H813" s="606" t="s">
        <v>1555</v>
      </c>
      <c r="I813" s="606" t="s">
        <v>1981</v>
      </c>
      <c r="J813" s="606" t="s">
        <v>1982</v>
      </c>
    </row>
    <row r="814" spans="2:10" ht="21" customHeight="1">
      <c r="B814" s="605" t="s">
        <v>2704</v>
      </c>
      <c r="C814" s="606" t="s">
        <v>8</v>
      </c>
      <c r="D814" s="605" t="s">
        <v>689</v>
      </c>
      <c r="E814" s="606" t="s">
        <v>2705</v>
      </c>
      <c r="F814" s="606" t="s">
        <v>2705</v>
      </c>
      <c r="G814" s="606" t="s">
        <v>1554</v>
      </c>
      <c r="H814" s="606" t="s">
        <v>1555</v>
      </c>
      <c r="I814" s="606" t="s">
        <v>1981</v>
      </c>
      <c r="J814" s="606" t="s">
        <v>1982</v>
      </c>
    </row>
    <row r="815" spans="2:10" ht="21" customHeight="1">
      <c r="B815" s="605" t="s">
        <v>2706</v>
      </c>
      <c r="C815" s="606" t="s">
        <v>8</v>
      </c>
      <c r="D815" s="605" t="s">
        <v>689</v>
      </c>
      <c r="E815" s="606" t="s">
        <v>2707</v>
      </c>
      <c r="F815" s="606" t="s">
        <v>2707</v>
      </c>
      <c r="G815" s="606" t="s">
        <v>1554</v>
      </c>
      <c r="H815" s="606" t="s">
        <v>1555</v>
      </c>
      <c r="I815" s="606" t="s">
        <v>1981</v>
      </c>
      <c r="J815" s="606" t="s">
        <v>1982</v>
      </c>
    </row>
    <row r="816" spans="2:10" ht="21" customHeight="1">
      <c r="B816" s="605" t="s">
        <v>2708</v>
      </c>
      <c r="C816" s="606" t="s">
        <v>8</v>
      </c>
      <c r="D816" s="605" t="s">
        <v>689</v>
      </c>
      <c r="E816" s="606" t="s">
        <v>2709</v>
      </c>
      <c r="F816" s="606" t="s">
        <v>2709</v>
      </c>
      <c r="G816" s="606" t="s">
        <v>1554</v>
      </c>
      <c r="H816" s="606" t="s">
        <v>1555</v>
      </c>
      <c r="I816" s="606" t="s">
        <v>1981</v>
      </c>
      <c r="J816" s="606" t="s">
        <v>1982</v>
      </c>
    </row>
    <row r="817" spans="2:10" ht="21" customHeight="1">
      <c r="B817" s="605" t="s">
        <v>2710</v>
      </c>
      <c r="C817" s="606" t="s">
        <v>8</v>
      </c>
      <c r="D817" s="605" t="s">
        <v>689</v>
      </c>
      <c r="E817" s="606" t="s">
        <v>2711</v>
      </c>
      <c r="F817" s="606" t="s">
        <v>2711</v>
      </c>
      <c r="G817" s="606" t="s">
        <v>1554</v>
      </c>
      <c r="H817" s="606" t="s">
        <v>1555</v>
      </c>
      <c r="I817" s="606" t="s">
        <v>1981</v>
      </c>
      <c r="J817" s="606" t="s">
        <v>1982</v>
      </c>
    </row>
    <row r="818" spans="2:10" ht="21" customHeight="1">
      <c r="B818" s="605" t="s">
        <v>2712</v>
      </c>
      <c r="C818" s="606" t="s">
        <v>8</v>
      </c>
      <c r="D818" s="605" t="s">
        <v>689</v>
      </c>
      <c r="E818" s="606" t="s">
        <v>2713</v>
      </c>
      <c r="F818" s="606" t="s">
        <v>2713</v>
      </c>
      <c r="G818" s="606" t="s">
        <v>1554</v>
      </c>
      <c r="H818" s="606" t="s">
        <v>1555</v>
      </c>
      <c r="I818" s="606" t="s">
        <v>1981</v>
      </c>
      <c r="J818" s="606" t="s">
        <v>1982</v>
      </c>
    </row>
    <row r="819" spans="2:10" ht="21" customHeight="1">
      <c r="B819" s="605" t="s">
        <v>2714</v>
      </c>
      <c r="C819" s="606" t="s">
        <v>8</v>
      </c>
      <c r="D819" s="605" t="s">
        <v>689</v>
      </c>
      <c r="E819" s="606" t="s">
        <v>2715</v>
      </c>
      <c r="F819" s="606" t="s">
        <v>2715</v>
      </c>
      <c r="G819" s="606" t="s">
        <v>1554</v>
      </c>
      <c r="H819" s="606" t="s">
        <v>1555</v>
      </c>
      <c r="I819" s="606" t="s">
        <v>1981</v>
      </c>
      <c r="J819" s="606" t="s">
        <v>1982</v>
      </c>
    </row>
    <row r="820" spans="2:10" ht="21" customHeight="1">
      <c r="B820" s="605" t="s">
        <v>2716</v>
      </c>
      <c r="C820" s="606" t="s">
        <v>8</v>
      </c>
      <c r="D820" s="605" t="s">
        <v>689</v>
      </c>
      <c r="E820" s="606" t="s">
        <v>2717</v>
      </c>
      <c r="F820" s="606" t="s">
        <v>2717</v>
      </c>
      <c r="G820" s="606" t="s">
        <v>1554</v>
      </c>
      <c r="H820" s="606" t="s">
        <v>1555</v>
      </c>
      <c r="I820" s="606" t="s">
        <v>1981</v>
      </c>
      <c r="J820" s="606" t="s">
        <v>1982</v>
      </c>
    </row>
    <row r="821" spans="2:10" ht="21" customHeight="1">
      <c r="B821" s="605" t="s">
        <v>2718</v>
      </c>
      <c r="C821" s="606" t="s">
        <v>8</v>
      </c>
      <c r="D821" s="605" t="s">
        <v>689</v>
      </c>
      <c r="E821" s="606" t="s">
        <v>2719</v>
      </c>
      <c r="F821" s="606" t="s">
        <v>2719</v>
      </c>
      <c r="G821" s="606" t="s">
        <v>1085</v>
      </c>
      <c r="H821" s="606" t="s">
        <v>2063</v>
      </c>
      <c r="I821" s="606" t="s">
        <v>1087</v>
      </c>
      <c r="J821" s="606" t="s">
        <v>1088</v>
      </c>
    </row>
    <row r="822" spans="2:10" ht="21" customHeight="1">
      <c r="B822" s="605" t="s">
        <v>2720</v>
      </c>
      <c r="C822" s="606" t="s">
        <v>8</v>
      </c>
      <c r="D822" s="605" t="s">
        <v>689</v>
      </c>
      <c r="E822" s="606" t="s">
        <v>1032</v>
      </c>
      <c r="F822" s="606" t="s">
        <v>1032</v>
      </c>
      <c r="G822" s="606" t="s">
        <v>1554</v>
      </c>
      <c r="H822" s="606" t="s">
        <v>1555</v>
      </c>
      <c r="I822" s="606" t="s">
        <v>1981</v>
      </c>
      <c r="J822" s="606" t="s">
        <v>1982</v>
      </c>
    </row>
    <row r="823" spans="2:10" ht="21" customHeight="1">
      <c r="B823" s="605" t="s">
        <v>2721</v>
      </c>
      <c r="C823" s="606" t="s">
        <v>8</v>
      </c>
      <c r="D823" s="605" t="s">
        <v>689</v>
      </c>
      <c r="E823" s="606" t="s">
        <v>2722</v>
      </c>
      <c r="F823" s="606" t="s">
        <v>2722</v>
      </c>
      <c r="G823" s="606" t="s">
        <v>1554</v>
      </c>
      <c r="H823" s="606" t="s">
        <v>1555</v>
      </c>
      <c r="I823" s="606" t="s">
        <v>1981</v>
      </c>
      <c r="J823" s="606" t="s">
        <v>1982</v>
      </c>
    </row>
    <row r="824" spans="2:10" ht="21" customHeight="1">
      <c r="B824" s="605" t="s">
        <v>2723</v>
      </c>
      <c r="C824" s="606" t="s">
        <v>8</v>
      </c>
      <c r="D824" s="605" t="s">
        <v>689</v>
      </c>
      <c r="E824" s="606" t="s">
        <v>2724</v>
      </c>
      <c r="F824" s="606" t="s">
        <v>2724</v>
      </c>
      <c r="G824" s="606" t="s">
        <v>1554</v>
      </c>
      <c r="H824" s="606" t="s">
        <v>1555</v>
      </c>
      <c r="I824" s="606" t="s">
        <v>1981</v>
      </c>
      <c r="J824" s="606" t="s">
        <v>1982</v>
      </c>
    </row>
    <row r="825" spans="2:10" ht="21" customHeight="1">
      <c r="B825" s="605" t="s">
        <v>2725</v>
      </c>
      <c r="C825" s="606" t="s">
        <v>8</v>
      </c>
      <c r="D825" s="605" t="s">
        <v>689</v>
      </c>
      <c r="E825" s="606" t="s">
        <v>2726</v>
      </c>
      <c r="F825" s="606" t="s">
        <v>2726</v>
      </c>
      <c r="G825" s="606" t="s">
        <v>1554</v>
      </c>
      <c r="H825" s="606" t="s">
        <v>1555</v>
      </c>
      <c r="I825" s="606" t="s">
        <v>1981</v>
      </c>
      <c r="J825" s="606" t="s">
        <v>1982</v>
      </c>
    </row>
    <row r="826" spans="2:10" ht="21" customHeight="1">
      <c r="B826" s="605" t="s">
        <v>2727</v>
      </c>
      <c r="C826" s="606" t="s">
        <v>8</v>
      </c>
      <c r="D826" s="605" t="s">
        <v>689</v>
      </c>
      <c r="E826" s="606" t="s">
        <v>2728</v>
      </c>
      <c r="F826" s="606" t="s">
        <v>2728</v>
      </c>
      <c r="G826" s="606" t="s">
        <v>1554</v>
      </c>
      <c r="H826" s="606" t="s">
        <v>1555</v>
      </c>
      <c r="I826" s="606" t="s">
        <v>1981</v>
      </c>
      <c r="J826" s="606" t="s">
        <v>1982</v>
      </c>
    </row>
    <row r="827" spans="2:10" ht="21" customHeight="1">
      <c r="B827" s="605" t="s">
        <v>2729</v>
      </c>
      <c r="C827" s="606" t="s">
        <v>8</v>
      </c>
      <c r="D827" s="605" t="s">
        <v>689</v>
      </c>
      <c r="E827" s="606" t="s">
        <v>2730</v>
      </c>
      <c r="F827" s="606" t="s">
        <v>2730</v>
      </c>
      <c r="G827" s="606" t="s">
        <v>1554</v>
      </c>
      <c r="H827" s="606" t="s">
        <v>1555</v>
      </c>
      <c r="I827" s="606" t="s">
        <v>1981</v>
      </c>
      <c r="J827" s="606" t="s">
        <v>1982</v>
      </c>
    </row>
    <row r="828" spans="2:10" ht="21" customHeight="1">
      <c r="B828" s="605" t="s">
        <v>2731</v>
      </c>
      <c r="C828" s="606" t="s">
        <v>8</v>
      </c>
      <c r="D828" s="605" t="s">
        <v>689</v>
      </c>
      <c r="E828" s="606" t="s">
        <v>2732</v>
      </c>
      <c r="F828" s="606" t="s">
        <v>2732</v>
      </c>
      <c r="G828" s="606" t="s">
        <v>1554</v>
      </c>
      <c r="H828" s="606" t="s">
        <v>1555</v>
      </c>
      <c r="I828" s="606" t="s">
        <v>1981</v>
      </c>
      <c r="J828" s="606" t="s">
        <v>1982</v>
      </c>
    </row>
    <row r="829" spans="2:10" ht="21" customHeight="1">
      <c r="B829" s="605" t="s">
        <v>2733</v>
      </c>
      <c r="C829" s="606" t="s">
        <v>8</v>
      </c>
      <c r="D829" s="605" t="s">
        <v>689</v>
      </c>
      <c r="E829" s="606" t="s">
        <v>2734</v>
      </c>
      <c r="F829" s="606" t="s">
        <v>2734</v>
      </c>
      <c r="G829" s="606" t="s">
        <v>1554</v>
      </c>
      <c r="H829" s="606" t="s">
        <v>1555</v>
      </c>
      <c r="I829" s="606" t="s">
        <v>1981</v>
      </c>
      <c r="J829" s="606" t="s">
        <v>1982</v>
      </c>
    </row>
    <row r="830" spans="2:10" ht="21" customHeight="1">
      <c r="B830" s="605" t="s">
        <v>2735</v>
      </c>
      <c r="C830" s="606" t="s">
        <v>8</v>
      </c>
      <c r="D830" s="605" t="s">
        <v>689</v>
      </c>
      <c r="E830" s="606" t="s">
        <v>2736</v>
      </c>
      <c r="F830" s="606" t="s">
        <v>2736</v>
      </c>
      <c r="G830" s="606" t="s">
        <v>1554</v>
      </c>
      <c r="H830" s="606" t="s">
        <v>1555</v>
      </c>
      <c r="I830" s="606" t="s">
        <v>1981</v>
      </c>
      <c r="J830" s="606" t="s">
        <v>1982</v>
      </c>
    </row>
    <row r="831" spans="2:10" ht="21" customHeight="1">
      <c r="B831" s="605" t="s">
        <v>2737</v>
      </c>
      <c r="C831" s="606" t="s">
        <v>8</v>
      </c>
      <c r="D831" s="605" t="s">
        <v>689</v>
      </c>
      <c r="E831" s="606" t="s">
        <v>2738</v>
      </c>
      <c r="F831" s="606" t="s">
        <v>2738</v>
      </c>
      <c r="G831" s="606" t="s">
        <v>1554</v>
      </c>
      <c r="H831" s="606" t="s">
        <v>1555</v>
      </c>
      <c r="I831" s="606" t="s">
        <v>1981</v>
      </c>
      <c r="J831" s="606" t="s">
        <v>1982</v>
      </c>
    </row>
    <row r="832" spans="2:10" ht="21" customHeight="1">
      <c r="B832" s="605" t="s">
        <v>2739</v>
      </c>
      <c r="C832" s="606" t="s">
        <v>8</v>
      </c>
      <c r="D832" s="605" t="s">
        <v>689</v>
      </c>
      <c r="E832" s="606" t="s">
        <v>2740</v>
      </c>
      <c r="F832" s="606" t="s">
        <v>2740</v>
      </c>
      <c r="G832" s="606" t="s">
        <v>1554</v>
      </c>
      <c r="H832" s="606" t="s">
        <v>1555</v>
      </c>
      <c r="I832" s="606" t="s">
        <v>1981</v>
      </c>
      <c r="J832" s="606" t="s">
        <v>1982</v>
      </c>
    </row>
    <row r="833" spans="2:10" ht="21" customHeight="1">
      <c r="B833" s="605" t="s">
        <v>2741</v>
      </c>
      <c r="C833" s="606" t="s">
        <v>8</v>
      </c>
      <c r="D833" s="605" t="s">
        <v>689</v>
      </c>
      <c r="E833" s="606" t="s">
        <v>2742</v>
      </c>
      <c r="F833" s="606" t="s">
        <v>2742</v>
      </c>
      <c r="G833" s="606" t="s">
        <v>1554</v>
      </c>
      <c r="H833" s="606" t="s">
        <v>1555</v>
      </c>
      <c r="I833" s="606" t="s">
        <v>1981</v>
      </c>
      <c r="J833" s="606" t="s">
        <v>1982</v>
      </c>
    </row>
    <row r="834" spans="2:10" ht="21" customHeight="1">
      <c r="B834" s="605" t="s">
        <v>2743</v>
      </c>
      <c r="C834" s="606" t="s">
        <v>8</v>
      </c>
      <c r="D834" s="605" t="s">
        <v>689</v>
      </c>
      <c r="E834" s="606" t="s">
        <v>2744</v>
      </c>
      <c r="F834" s="606" t="s">
        <v>2744</v>
      </c>
      <c r="G834" s="606" t="s">
        <v>1554</v>
      </c>
      <c r="H834" s="606" t="s">
        <v>1555</v>
      </c>
      <c r="I834" s="606" t="s">
        <v>1981</v>
      </c>
      <c r="J834" s="606" t="s">
        <v>1982</v>
      </c>
    </row>
    <row r="835" spans="2:10" ht="21" customHeight="1">
      <c r="B835" s="605" t="s">
        <v>2745</v>
      </c>
      <c r="C835" s="606" t="s">
        <v>8</v>
      </c>
      <c r="D835" s="605" t="s">
        <v>689</v>
      </c>
      <c r="E835" s="606" t="s">
        <v>2746</v>
      </c>
      <c r="F835" s="606" t="s">
        <v>2746</v>
      </c>
      <c r="G835" s="606" t="s">
        <v>1554</v>
      </c>
      <c r="H835" s="606" t="s">
        <v>1555</v>
      </c>
      <c r="I835" s="606" t="s">
        <v>1981</v>
      </c>
      <c r="J835" s="606" t="s">
        <v>1982</v>
      </c>
    </row>
    <row r="836" spans="2:10" ht="21" customHeight="1">
      <c r="B836" s="605" t="s">
        <v>2747</v>
      </c>
      <c r="C836" s="606" t="s">
        <v>8</v>
      </c>
      <c r="D836" s="605" t="s">
        <v>689</v>
      </c>
      <c r="E836" s="606" t="s">
        <v>2748</v>
      </c>
      <c r="F836" s="606" t="s">
        <v>2748</v>
      </c>
      <c r="G836" s="606" t="s">
        <v>1554</v>
      </c>
      <c r="H836" s="606" t="s">
        <v>1555</v>
      </c>
      <c r="I836" s="606" t="s">
        <v>1981</v>
      </c>
      <c r="J836" s="606" t="s">
        <v>1982</v>
      </c>
    </row>
    <row r="837" spans="2:10" ht="21" customHeight="1">
      <c r="B837" s="605" t="s">
        <v>2749</v>
      </c>
      <c r="C837" s="606" t="s">
        <v>8</v>
      </c>
      <c r="D837" s="605" t="s">
        <v>689</v>
      </c>
      <c r="E837" s="606" t="s">
        <v>2750</v>
      </c>
      <c r="F837" s="606" t="s">
        <v>2750</v>
      </c>
      <c r="G837" s="606" t="s">
        <v>1554</v>
      </c>
      <c r="H837" s="606" t="s">
        <v>1555</v>
      </c>
      <c r="I837" s="606" t="s">
        <v>1981</v>
      </c>
      <c r="J837" s="606" t="s">
        <v>1982</v>
      </c>
    </row>
    <row r="838" spans="2:10" ht="21" customHeight="1">
      <c r="B838" s="605" t="s">
        <v>2751</v>
      </c>
      <c r="C838" s="606" t="s">
        <v>8</v>
      </c>
      <c r="D838" s="605" t="s">
        <v>689</v>
      </c>
      <c r="E838" s="606" t="s">
        <v>2752</v>
      </c>
      <c r="F838" s="606" t="s">
        <v>2752</v>
      </c>
      <c r="G838" s="606" t="s">
        <v>1554</v>
      </c>
      <c r="H838" s="606" t="s">
        <v>1555</v>
      </c>
      <c r="I838" s="606" t="s">
        <v>1981</v>
      </c>
      <c r="J838" s="606" t="s">
        <v>1982</v>
      </c>
    </row>
    <row r="839" spans="2:10" ht="21" customHeight="1">
      <c r="B839" s="605" t="s">
        <v>2753</v>
      </c>
      <c r="C839" s="606" t="s">
        <v>8</v>
      </c>
      <c r="D839" s="605" t="s">
        <v>689</v>
      </c>
      <c r="E839" s="606" t="s">
        <v>174</v>
      </c>
      <c r="F839" s="606" t="s">
        <v>174</v>
      </c>
      <c r="G839" s="606" t="s">
        <v>1554</v>
      </c>
      <c r="H839" s="606" t="s">
        <v>1555</v>
      </c>
      <c r="I839" s="606" t="s">
        <v>1981</v>
      </c>
      <c r="J839" s="606" t="s">
        <v>1982</v>
      </c>
    </row>
    <row r="840" spans="2:10" ht="21" customHeight="1">
      <c r="B840" s="605" t="s">
        <v>2754</v>
      </c>
      <c r="C840" s="606" t="s">
        <v>8</v>
      </c>
      <c r="D840" s="605" t="s">
        <v>689</v>
      </c>
      <c r="E840" s="606" t="s">
        <v>2755</v>
      </c>
      <c r="F840" s="606" t="s">
        <v>2755</v>
      </c>
      <c r="G840" s="606" t="s">
        <v>1554</v>
      </c>
      <c r="H840" s="606" t="s">
        <v>1555</v>
      </c>
      <c r="I840" s="606" t="s">
        <v>1981</v>
      </c>
      <c r="J840" s="606" t="s">
        <v>1982</v>
      </c>
    </row>
    <row r="841" spans="2:10" ht="21" customHeight="1">
      <c r="B841" s="605" t="s">
        <v>2756</v>
      </c>
      <c r="C841" s="606" t="s">
        <v>8</v>
      </c>
      <c r="D841" s="605" t="s">
        <v>689</v>
      </c>
      <c r="E841" s="606" t="s">
        <v>1033</v>
      </c>
      <c r="F841" s="606" t="s">
        <v>1033</v>
      </c>
      <c r="G841" s="606" t="s">
        <v>1554</v>
      </c>
      <c r="H841" s="606" t="s">
        <v>1555</v>
      </c>
      <c r="I841" s="606" t="s">
        <v>1981</v>
      </c>
      <c r="J841" s="606" t="s">
        <v>1982</v>
      </c>
    </row>
    <row r="842" spans="2:10" ht="21" customHeight="1">
      <c r="B842" s="605" t="s">
        <v>2757</v>
      </c>
      <c r="C842" s="606" t="s">
        <v>8</v>
      </c>
      <c r="D842" s="605" t="s">
        <v>689</v>
      </c>
      <c r="E842" s="606" t="s">
        <v>701</v>
      </c>
      <c r="F842" s="606" t="s">
        <v>701</v>
      </c>
      <c r="G842" s="606" t="s">
        <v>1554</v>
      </c>
      <c r="H842" s="606" t="s">
        <v>1555</v>
      </c>
      <c r="I842" s="606" t="s">
        <v>1981</v>
      </c>
      <c r="J842" s="606" t="s">
        <v>1982</v>
      </c>
    </row>
    <row r="843" spans="2:10" ht="21" customHeight="1">
      <c r="B843" s="605" t="s">
        <v>2758</v>
      </c>
      <c r="C843" s="606" t="s">
        <v>8</v>
      </c>
      <c r="D843" s="605" t="s">
        <v>689</v>
      </c>
      <c r="E843" s="606" t="s">
        <v>2759</v>
      </c>
      <c r="F843" s="606" t="s">
        <v>2759</v>
      </c>
      <c r="G843" s="606" t="s">
        <v>1554</v>
      </c>
      <c r="H843" s="606" t="s">
        <v>1555</v>
      </c>
      <c r="I843" s="606" t="s">
        <v>1981</v>
      </c>
      <c r="J843" s="606" t="s">
        <v>1982</v>
      </c>
    </row>
    <row r="844" spans="2:10" ht="21" customHeight="1">
      <c r="B844" s="605" t="s">
        <v>2760</v>
      </c>
      <c r="C844" s="606" t="s">
        <v>8</v>
      </c>
      <c r="D844" s="605" t="s">
        <v>689</v>
      </c>
      <c r="E844" s="606" t="s">
        <v>2761</v>
      </c>
      <c r="F844" s="606" t="s">
        <v>2761</v>
      </c>
      <c r="G844" s="606" t="s">
        <v>1554</v>
      </c>
      <c r="H844" s="606" t="s">
        <v>1555</v>
      </c>
      <c r="I844" s="606" t="s">
        <v>1981</v>
      </c>
      <c r="J844" s="606" t="s">
        <v>1982</v>
      </c>
    </row>
    <row r="845" spans="2:10" ht="21" customHeight="1">
      <c r="B845" s="605" t="s">
        <v>2762</v>
      </c>
      <c r="C845" s="606" t="s">
        <v>8</v>
      </c>
      <c r="D845" s="605" t="s">
        <v>689</v>
      </c>
      <c r="E845" s="606" t="s">
        <v>2763</v>
      </c>
      <c r="F845" s="606" t="s">
        <v>2763</v>
      </c>
      <c r="G845" s="606" t="s">
        <v>1554</v>
      </c>
      <c r="H845" s="606" t="s">
        <v>1555</v>
      </c>
      <c r="I845" s="606" t="s">
        <v>1981</v>
      </c>
      <c r="J845" s="606" t="s">
        <v>1982</v>
      </c>
    </row>
    <row r="846" spans="2:10" ht="21" customHeight="1">
      <c r="B846" s="605" t="s">
        <v>2764</v>
      </c>
      <c r="C846" s="606" t="s">
        <v>8</v>
      </c>
      <c r="D846" s="605" t="s">
        <v>689</v>
      </c>
      <c r="E846" s="606" t="s">
        <v>2765</v>
      </c>
      <c r="F846" s="606" t="s">
        <v>2765</v>
      </c>
      <c r="G846" s="606" t="s">
        <v>1554</v>
      </c>
      <c r="H846" s="606" t="s">
        <v>1555</v>
      </c>
      <c r="I846" s="606" t="s">
        <v>1981</v>
      </c>
      <c r="J846" s="606" t="s">
        <v>1982</v>
      </c>
    </row>
    <row r="847" spans="2:10" ht="21" customHeight="1">
      <c r="B847" s="605" t="s">
        <v>2766</v>
      </c>
      <c r="C847" s="606" t="s">
        <v>8</v>
      </c>
      <c r="D847" s="605" t="s">
        <v>689</v>
      </c>
      <c r="E847" s="606" t="s">
        <v>2767</v>
      </c>
      <c r="F847" s="606" t="s">
        <v>2767</v>
      </c>
      <c r="G847" s="606" t="s">
        <v>1554</v>
      </c>
      <c r="H847" s="606" t="s">
        <v>1555</v>
      </c>
      <c r="I847" s="606" t="s">
        <v>1981</v>
      </c>
      <c r="J847" s="606" t="s">
        <v>1982</v>
      </c>
    </row>
    <row r="848" spans="2:10" ht="21" customHeight="1">
      <c r="B848" s="605" t="s">
        <v>2768</v>
      </c>
      <c r="C848" s="606" t="s">
        <v>8</v>
      </c>
      <c r="D848" s="605" t="s">
        <v>689</v>
      </c>
      <c r="E848" s="606" t="s">
        <v>2769</v>
      </c>
      <c r="F848" s="606" t="s">
        <v>2769</v>
      </c>
      <c r="G848" s="606" t="s">
        <v>1554</v>
      </c>
      <c r="H848" s="606" t="s">
        <v>1555</v>
      </c>
      <c r="I848" s="606" t="s">
        <v>1981</v>
      </c>
      <c r="J848" s="606" t="s">
        <v>1982</v>
      </c>
    </row>
    <row r="849" spans="2:10" ht="21" customHeight="1">
      <c r="B849" s="605" t="s">
        <v>2770</v>
      </c>
      <c r="C849" s="606" t="s">
        <v>8</v>
      </c>
      <c r="D849" s="605" t="s">
        <v>689</v>
      </c>
      <c r="E849" s="606" t="s">
        <v>1034</v>
      </c>
      <c r="F849" s="606" t="s">
        <v>1034</v>
      </c>
      <c r="G849" s="606" t="s">
        <v>1554</v>
      </c>
      <c r="H849" s="606" t="s">
        <v>1555</v>
      </c>
      <c r="I849" s="606" t="s">
        <v>1981</v>
      </c>
      <c r="J849" s="606" t="s">
        <v>1982</v>
      </c>
    </row>
    <row r="850" spans="2:10" ht="21" customHeight="1">
      <c r="B850" s="605" t="s">
        <v>2771</v>
      </c>
      <c r="C850" s="606" t="s">
        <v>8</v>
      </c>
      <c r="D850" s="605" t="s">
        <v>689</v>
      </c>
      <c r="E850" s="606" t="s">
        <v>2772</v>
      </c>
      <c r="F850" s="606" t="s">
        <v>2772</v>
      </c>
      <c r="G850" s="606" t="s">
        <v>1554</v>
      </c>
      <c r="H850" s="606" t="s">
        <v>1555</v>
      </c>
      <c r="I850" s="606" t="s">
        <v>1981</v>
      </c>
      <c r="J850" s="606" t="s">
        <v>1982</v>
      </c>
    </row>
    <row r="851" spans="2:10" ht="21" customHeight="1">
      <c r="B851" s="605" t="s">
        <v>2773</v>
      </c>
      <c r="C851" s="606" t="s">
        <v>8</v>
      </c>
      <c r="D851" s="605" t="s">
        <v>689</v>
      </c>
      <c r="E851" s="606" t="s">
        <v>2774</v>
      </c>
      <c r="F851" s="606" t="s">
        <v>2774</v>
      </c>
      <c r="G851" s="606" t="s">
        <v>1554</v>
      </c>
      <c r="H851" s="606" t="s">
        <v>1555</v>
      </c>
      <c r="I851" s="606" t="s">
        <v>1981</v>
      </c>
      <c r="J851" s="606" t="s">
        <v>1982</v>
      </c>
    </row>
    <row r="852" spans="2:10" ht="21" customHeight="1">
      <c r="B852" s="605" t="s">
        <v>2775</v>
      </c>
      <c r="C852" s="606" t="s">
        <v>8</v>
      </c>
      <c r="D852" s="605" t="s">
        <v>689</v>
      </c>
      <c r="E852" s="606" t="s">
        <v>2776</v>
      </c>
      <c r="F852" s="606" t="s">
        <v>2776</v>
      </c>
      <c r="G852" s="606" t="s">
        <v>1554</v>
      </c>
      <c r="H852" s="606" t="s">
        <v>1555</v>
      </c>
      <c r="I852" s="606" t="s">
        <v>1981</v>
      </c>
      <c r="J852" s="606" t="s">
        <v>1982</v>
      </c>
    </row>
    <row r="853" spans="2:10" ht="21" customHeight="1">
      <c r="B853" s="605" t="s">
        <v>2777</v>
      </c>
      <c r="C853" s="606" t="s">
        <v>8</v>
      </c>
      <c r="D853" s="605" t="s">
        <v>689</v>
      </c>
      <c r="E853" s="606" t="s">
        <v>1035</v>
      </c>
      <c r="F853" s="606" t="s">
        <v>1035</v>
      </c>
      <c r="G853" s="606" t="s">
        <v>1554</v>
      </c>
      <c r="H853" s="606" t="s">
        <v>1555</v>
      </c>
      <c r="I853" s="606" t="s">
        <v>1981</v>
      </c>
      <c r="J853" s="606" t="s">
        <v>1982</v>
      </c>
    </row>
    <row r="854" spans="2:10" ht="21" customHeight="1">
      <c r="B854" s="605" t="s">
        <v>2778</v>
      </c>
      <c r="C854" s="606" t="s">
        <v>8</v>
      </c>
      <c r="D854" s="605" t="s">
        <v>689</v>
      </c>
      <c r="E854" s="606" t="s">
        <v>2779</v>
      </c>
      <c r="F854" s="606" t="s">
        <v>2779</v>
      </c>
      <c r="G854" s="606" t="s">
        <v>1554</v>
      </c>
      <c r="H854" s="606" t="s">
        <v>1555</v>
      </c>
      <c r="I854" s="606" t="s">
        <v>1981</v>
      </c>
      <c r="J854" s="606" t="s">
        <v>1982</v>
      </c>
    </row>
    <row r="855" spans="2:10" ht="21" customHeight="1">
      <c r="B855" s="605" t="s">
        <v>2780</v>
      </c>
      <c r="C855" s="606" t="s">
        <v>8</v>
      </c>
      <c r="D855" s="605" t="s">
        <v>689</v>
      </c>
      <c r="E855" s="606" t="s">
        <v>2781</v>
      </c>
      <c r="F855" s="606" t="s">
        <v>2781</v>
      </c>
      <c r="G855" s="606" t="s">
        <v>1554</v>
      </c>
      <c r="H855" s="606" t="s">
        <v>1555</v>
      </c>
      <c r="I855" s="606" t="s">
        <v>1981</v>
      </c>
      <c r="J855" s="606" t="s">
        <v>1982</v>
      </c>
    </row>
    <row r="856" spans="2:10" ht="21" customHeight="1">
      <c r="B856" s="605" t="s">
        <v>2782</v>
      </c>
      <c r="C856" s="606" t="s">
        <v>8</v>
      </c>
      <c r="D856" s="605" t="s">
        <v>689</v>
      </c>
      <c r="E856" s="606" t="s">
        <v>2783</v>
      </c>
      <c r="F856" s="606" t="s">
        <v>2783</v>
      </c>
      <c r="G856" s="606" t="s">
        <v>1554</v>
      </c>
      <c r="H856" s="606" t="s">
        <v>1555</v>
      </c>
      <c r="I856" s="606" t="s">
        <v>1981</v>
      </c>
      <c r="J856" s="606" t="s">
        <v>1982</v>
      </c>
    </row>
    <row r="857" spans="2:10" ht="21" customHeight="1">
      <c r="B857" s="605" t="s">
        <v>2784</v>
      </c>
      <c r="C857" s="606" t="s">
        <v>8</v>
      </c>
      <c r="D857" s="605" t="s">
        <v>689</v>
      </c>
      <c r="E857" s="606" t="s">
        <v>2785</v>
      </c>
      <c r="F857" s="606" t="s">
        <v>2785</v>
      </c>
      <c r="G857" s="606" t="s">
        <v>1554</v>
      </c>
      <c r="H857" s="606" t="s">
        <v>1555</v>
      </c>
      <c r="I857" s="606" t="s">
        <v>1981</v>
      </c>
      <c r="J857" s="606" t="s">
        <v>1982</v>
      </c>
    </row>
    <row r="858" spans="2:10" ht="21" customHeight="1">
      <c r="B858" s="605" t="s">
        <v>2786</v>
      </c>
      <c r="C858" s="606" t="s">
        <v>8</v>
      </c>
      <c r="D858" s="605" t="s">
        <v>689</v>
      </c>
      <c r="E858" s="606" t="s">
        <v>2787</v>
      </c>
      <c r="F858" s="606" t="s">
        <v>2787</v>
      </c>
      <c r="G858" s="606" t="s">
        <v>1554</v>
      </c>
      <c r="H858" s="606" t="s">
        <v>1555</v>
      </c>
      <c r="I858" s="606" t="s">
        <v>1981</v>
      </c>
      <c r="J858" s="606" t="s">
        <v>1982</v>
      </c>
    </row>
    <row r="859" spans="2:10" ht="21" customHeight="1">
      <c r="B859" s="605" t="s">
        <v>2788</v>
      </c>
      <c r="C859" s="606" t="s">
        <v>8</v>
      </c>
      <c r="D859" s="605" t="s">
        <v>689</v>
      </c>
      <c r="E859" s="606" t="s">
        <v>2789</v>
      </c>
      <c r="F859" s="606" t="s">
        <v>2789</v>
      </c>
      <c r="G859" s="606" t="s">
        <v>1554</v>
      </c>
      <c r="H859" s="606" t="s">
        <v>1555</v>
      </c>
      <c r="I859" s="606" t="s">
        <v>1981</v>
      </c>
      <c r="J859" s="606" t="s">
        <v>1982</v>
      </c>
    </row>
    <row r="860" spans="2:10" ht="21" customHeight="1">
      <c r="B860" s="605" t="s">
        <v>2790</v>
      </c>
      <c r="C860" s="606" t="s">
        <v>8</v>
      </c>
      <c r="D860" s="605" t="s">
        <v>689</v>
      </c>
      <c r="E860" s="606" t="s">
        <v>2791</v>
      </c>
      <c r="F860" s="606" t="s">
        <v>2791</v>
      </c>
      <c r="G860" s="606" t="s">
        <v>1554</v>
      </c>
      <c r="H860" s="606" t="s">
        <v>1555</v>
      </c>
      <c r="I860" s="606" t="s">
        <v>1981</v>
      </c>
      <c r="J860" s="606" t="s">
        <v>1982</v>
      </c>
    </row>
    <row r="861" spans="2:10" ht="21" customHeight="1">
      <c r="B861" s="605" t="s">
        <v>2792</v>
      </c>
      <c r="C861" s="606" t="s">
        <v>8</v>
      </c>
      <c r="D861" s="605" t="s">
        <v>689</v>
      </c>
      <c r="E861" s="606" t="s">
        <v>2793</v>
      </c>
      <c r="F861" s="606" t="s">
        <v>2793</v>
      </c>
      <c r="G861" s="606" t="s">
        <v>1554</v>
      </c>
      <c r="H861" s="606" t="s">
        <v>1555</v>
      </c>
      <c r="I861" s="606" t="s">
        <v>1981</v>
      </c>
      <c r="J861" s="606" t="s">
        <v>1982</v>
      </c>
    </row>
    <row r="862" spans="2:10" ht="21" customHeight="1">
      <c r="B862" s="605" t="s">
        <v>2794</v>
      </c>
      <c r="C862" s="606" t="s">
        <v>8</v>
      </c>
      <c r="D862" s="605" t="s">
        <v>689</v>
      </c>
      <c r="E862" s="606" t="s">
        <v>2795</v>
      </c>
      <c r="F862" s="606" t="s">
        <v>2795</v>
      </c>
      <c r="G862" s="606" t="s">
        <v>1554</v>
      </c>
      <c r="H862" s="606" t="s">
        <v>1555</v>
      </c>
      <c r="I862" s="606" t="s">
        <v>1981</v>
      </c>
      <c r="J862" s="606" t="s">
        <v>1982</v>
      </c>
    </row>
    <row r="863" spans="2:10" ht="21" customHeight="1">
      <c r="B863" s="605" t="s">
        <v>2796</v>
      </c>
      <c r="C863" s="606" t="s">
        <v>8</v>
      </c>
      <c r="D863" s="605" t="s">
        <v>689</v>
      </c>
      <c r="E863" s="606" t="s">
        <v>2797</v>
      </c>
      <c r="F863" s="606" t="s">
        <v>2797</v>
      </c>
      <c r="G863" s="606" t="s">
        <v>1554</v>
      </c>
      <c r="H863" s="606" t="s">
        <v>1555</v>
      </c>
      <c r="I863" s="606" t="s">
        <v>1981</v>
      </c>
      <c r="J863" s="606" t="s">
        <v>1982</v>
      </c>
    </row>
    <row r="864" spans="2:10" ht="21" customHeight="1">
      <c r="B864" s="605" t="s">
        <v>2798</v>
      </c>
      <c r="C864" s="606" t="s">
        <v>8</v>
      </c>
      <c r="D864" s="605" t="s">
        <v>689</v>
      </c>
      <c r="E864" s="606" t="s">
        <v>1036</v>
      </c>
      <c r="F864" s="606" t="s">
        <v>1036</v>
      </c>
      <c r="G864" s="606" t="s">
        <v>1554</v>
      </c>
      <c r="H864" s="606" t="s">
        <v>1555</v>
      </c>
      <c r="I864" s="606" t="s">
        <v>1981</v>
      </c>
      <c r="J864" s="606" t="s">
        <v>1982</v>
      </c>
    </row>
    <row r="865" spans="2:10" ht="21" customHeight="1">
      <c r="B865" s="605" t="s">
        <v>2799</v>
      </c>
      <c r="C865" s="606" t="s">
        <v>8</v>
      </c>
      <c r="D865" s="605" t="s">
        <v>689</v>
      </c>
      <c r="E865" s="606" t="s">
        <v>2800</v>
      </c>
      <c r="F865" s="606" t="s">
        <v>2800</v>
      </c>
      <c r="G865" s="606" t="s">
        <v>1554</v>
      </c>
      <c r="H865" s="606" t="s">
        <v>1555</v>
      </c>
      <c r="I865" s="606" t="s">
        <v>1981</v>
      </c>
      <c r="J865" s="606" t="s">
        <v>1982</v>
      </c>
    </row>
    <row r="866" spans="2:10" ht="21" customHeight="1">
      <c r="B866" s="605" t="s">
        <v>2801</v>
      </c>
      <c r="C866" s="606" t="s">
        <v>8</v>
      </c>
      <c r="D866" s="605" t="s">
        <v>689</v>
      </c>
      <c r="E866" s="606" t="s">
        <v>2802</v>
      </c>
      <c r="F866" s="606" t="s">
        <v>2802</v>
      </c>
      <c r="G866" s="606" t="s">
        <v>1554</v>
      </c>
      <c r="H866" s="606" t="s">
        <v>1555</v>
      </c>
      <c r="I866" s="606" t="s">
        <v>1981</v>
      </c>
      <c r="J866" s="606" t="s">
        <v>1982</v>
      </c>
    </row>
    <row r="867" spans="2:10" ht="21" customHeight="1">
      <c r="B867" s="605" t="s">
        <v>2803</v>
      </c>
      <c r="C867" s="606" t="s">
        <v>8</v>
      </c>
      <c r="D867" s="605" t="s">
        <v>689</v>
      </c>
      <c r="E867" s="606" t="s">
        <v>2804</v>
      </c>
      <c r="F867" s="606" t="s">
        <v>2804</v>
      </c>
      <c r="G867" s="606" t="s">
        <v>1554</v>
      </c>
      <c r="H867" s="606" t="s">
        <v>1555</v>
      </c>
      <c r="I867" s="606" t="s">
        <v>1981</v>
      </c>
      <c r="J867" s="606" t="s">
        <v>1982</v>
      </c>
    </row>
    <row r="868" spans="2:10" ht="21" customHeight="1">
      <c r="B868" s="605" t="s">
        <v>2805</v>
      </c>
      <c r="C868" s="606" t="s">
        <v>8</v>
      </c>
      <c r="D868" s="605" t="s">
        <v>689</v>
      </c>
      <c r="E868" s="606" t="s">
        <v>2806</v>
      </c>
      <c r="F868" s="606" t="s">
        <v>2806</v>
      </c>
      <c r="G868" s="606" t="s">
        <v>1554</v>
      </c>
      <c r="H868" s="606" t="s">
        <v>1555</v>
      </c>
      <c r="I868" s="606" t="s">
        <v>1981</v>
      </c>
      <c r="J868" s="606" t="s">
        <v>1982</v>
      </c>
    </row>
    <row r="869" spans="2:10" ht="21" customHeight="1">
      <c r="B869" s="605" t="s">
        <v>2807</v>
      </c>
      <c r="C869" s="606" t="s">
        <v>8</v>
      </c>
      <c r="D869" s="605" t="s">
        <v>689</v>
      </c>
      <c r="E869" s="606" t="s">
        <v>2808</v>
      </c>
      <c r="F869" s="606" t="s">
        <v>2808</v>
      </c>
      <c r="G869" s="606" t="s">
        <v>1554</v>
      </c>
      <c r="H869" s="606" t="s">
        <v>1555</v>
      </c>
      <c r="I869" s="606" t="s">
        <v>1981</v>
      </c>
      <c r="J869" s="606" t="s">
        <v>1982</v>
      </c>
    </row>
    <row r="870" spans="2:10" ht="21" customHeight="1">
      <c r="B870" s="605" t="s">
        <v>2809</v>
      </c>
      <c r="C870" s="606" t="s">
        <v>8</v>
      </c>
      <c r="D870" s="605" t="s">
        <v>689</v>
      </c>
      <c r="E870" s="606" t="s">
        <v>2810</v>
      </c>
      <c r="F870" s="606" t="s">
        <v>2810</v>
      </c>
      <c r="G870" s="606" t="s">
        <v>1554</v>
      </c>
      <c r="H870" s="606" t="s">
        <v>1555</v>
      </c>
      <c r="I870" s="606" t="s">
        <v>1981</v>
      </c>
      <c r="J870" s="606" t="s">
        <v>1982</v>
      </c>
    </row>
    <row r="871" spans="2:10" ht="21" customHeight="1">
      <c r="B871" s="605" t="s">
        <v>2811</v>
      </c>
      <c r="C871" s="606" t="s">
        <v>8</v>
      </c>
      <c r="D871" s="605" t="s">
        <v>689</v>
      </c>
      <c r="E871" s="606" t="s">
        <v>1037</v>
      </c>
      <c r="F871" s="606" t="s">
        <v>1037</v>
      </c>
      <c r="G871" s="606" t="s">
        <v>1554</v>
      </c>
      <c r="H871" s="606" t="s">
        <v>1555</v>
      </c>
      <c r="I871" s="606" t="s">
        <v>1981</v>
      </c>
      <c r="J871" s="606" t="s">
        <v>1982</v>
      </c>
    </row>
    <row r="872" spans="2:10" ht="21" customHeight="1">
      <c r="B872" s="605" t="s">
        <v>2812</v>
      </c>
      <c r="C872" s="606" t="s">
        <v>8</v>
      </c>
      <c r="D872" s="605" t="s">
        <v>689</v>
      </c>
      <c r="E872" s="606" t="s">
        <v>2813</v>
      </c>
      <c r="F872" s="606" t="s">
        <v>2813</v>
      </c>
      <c r="G872" s="606" t="s">
        <v>1554</v>
      </c>
      <c r="H872" s="606" t="s">
        <v>1555</v>
      </c>
      <c r="I872" s="606" t="s">
        <v>1981</v>
      </c>
      <c r="J872" s="606" t="s">
        <v>1982</v>
      </c>
    </row>
    <row r="873" spans="2:10" ht="21" customHeight="1">
      <c r="B873" s="605" t="s">
        <v>2814</v>
      </c>
      <c r="C873" s="606" t="s">
        <v>8</v>
      </c>
      <c r="D873" s="605" t="s">
        <v>689</v>
      </c>
      <c r="E873" s="606" t="s">
        <v>2815</v>
      </c>
      <c r="F873" s="606" t="s">
        <v>2815</v>
      </c>
      <c r="G873" s="606" t="s">
        <v>1554</v>
      </c>
      <c r="H873" s="606" t="s">
        <v>1555</v>
      </c>
      <c r="I873" s="606" t="s">
        <v>1981</v>
      </c>
      <c r="J873" s="606" t="s">
        <v>1982</v>
      </c>
    </row>
    <row r="874" spans="2:10" ht="21" customHeight="1">
      <c r="B874" s="605" t="s">
        <v>2816</v>
      </c>
      <c r="C874" s="606" t="s">
        <v>8</v>
      </c>
      <c r="D874" s="605" t="s">
        <v>689</v>
      </c>
      <c r="E874" s="606" t="s">
        <v>2817</v>
      </c>
      <c r="F874" s="606" t="s">
        <v>2817</v>
      </c>
      <c r="G874" s="606" t="s">
        <v>1554</v>
      </c>
      <c r="H874" s="606" t="s">
        <v>1555</v>
      </c>
      <c r="I874" s="606" t="s">
        <v>1981</v>
      </c>
      <c r="J874" s="606" t="s">
        <v>1982</v>
      </c>
    </row>
    <row r="875" spans="2:10" ht="21" customHeight="1">
      <c r="B875" s="605" t="s">
        <v>2818</v>
      </c>
      <c r="C875" s="606" t="s">
        <v>8</v>
      </c>
      <c r="D875" s="605" t="s">
        <v>689</v>
      </c>
      <c r="E875" s="606" t="s">
        <v>2819</v>
      </c>
      <c r="F875" s="606" t="s">
        <v>2819</v>
      </c>
      <c r="G875" s="606" t="s">
        <v>1554</v>
      </c>
      <c r="H875" s="606" t="s">
        <v>1555</v>
      </c>
      <c r="I875" s="606" t="s">
        <v>1981</v>
      </c>
      <c r="J875" s="606" t="s">
        <v>1982</v>
      </c>
    </row>
    <row r="876" spans="2:10" ht="21" customHeight="1">
      <c r="B876" s="605" t="s">
        <v>2820</v>
      </c>
      <c r="C876" s="606" t="s">
        <v>8</v>
      </c>
      <c r="D876" s="605" t="s">
        <v>689</v>
      </c>
      <c r="E876" s="606" t="s">
        <v>2821</v>
      </c>
      <c r="F876" s="606" t="s">
        <v>2821</v>
      </c>
      <c r="G876" s="606" t="s">
        <v>1554</v>
      </c>
      <c r="H876" s="606" t="s">
        <v>1555</v>
      </c>
      <c r="I876" s="606" t="s">
        <v>1981</v>
      </c>
      <c r="J876" s="606" t="s">
        <v>1982</v>
      </c>
    </row>
    <row r="877" spans="2:10" ht="21" customHeight="1">
      <c r="B877" s="605" t="s">
        <v>2822</v>
      </c>
      <c r="C877" s="606" t="s">
        <v>8</v>
      </c>
      <c r="D877" s="605" t="s">
        <v>689</v>
      </c>
      <c r="E877" s="606" t="s">
        <v>2823</v>
      </c>
      <c r="F877" s="606" t="s">
        <v>2823</v>
      </c>
      <c r="G877" s="606" t="s">
        <v>1554</v>
      </c>
      <c r="H877" s="606" t="s">
        <v>1555</v>
      </c>
      <c r="I877" s="606" t="s">
        <v>1981</v>
      </c>
      <c r="J877" s="606" t="s">
        <v>1982</v>
      </c>
    </row>
    <row r="878" spans="2:10" ht="21" customHeight="1">
      <c r="B878" s="605" t="s">
        <v>2824</v>
      </c>
      <c r="C878" s="606" t="s">
        <v>8</v>
      </c>
      <c r="D878" s="605" t="s">
        <v>689</v>
      </c>
      <c r="E878" s="606" t="s">
        <v>2825</v>
      </c>
      <c r="F878" s="606" t="s">
        <v>2825</v>
      </c>
      <c r="G878" s="606" t="s">
        <v>1554</v>
      </c>
      <c r="H878" s="606" t="s">
        <v>1555</v>
      </c>
      <c r="I878" s="606" t="s">
        <v>1981</v>
      </c>
      <c r="J878" s="606" t="s">
        <v>1982</v>
      </c>
    </row>
    <row r="879" spans="2:10" ht="21" customHeight="1">
      <c r="B879" s="605" t="s">
        <v>2826</v>
      </c>
      <c r="C879" s="606" t="s">
        <v>8</v>
      </c>
      <c r="D879" s="605" t="s">
        <v>689</v>
      </c>
      <c r="E879" s="606" t="s">
        <v>2827</v>
      </c>
      <c r="F879" s="606" t="s">
        <v>2827</v>
      </c>
      <c r="G879" s="606" t="s">
        <v>1554</v>
      </c>
      <c r="H879" s="606" t="s">
        <v>1555</v>
      </c>
      <c r="I879" s="606" t="s">
        <v>1981</v>
      </c>
      <c r="J879" s="606" t="s">
        <v>1982</v>
      </c>
    </row>
    <row r="880" spans="2:10" ht="21" customHeight="1">
      <c r="B880" s="605" t="s">
        <v>2828</v>
      </c>
      <c r="C880" s="606" t="s">
        <v>8</v>
      </c>
      <c r="D880" s="605" t="s">
        <v>689</v>
      </c>
      <c r="E880" s="606" t="s">
        <v>2829</v>
      </c>
      <c r="F880" s="606" t="s">
        <v>2829</v>
      </c>
      <c r="G880" s="606" t="s">
        <v>1554</v>
      </c>
      <c r="H880" s="606" t="s">
        <v>1555</v>
      </c>
      <c r="I880" s="606" t="s">
        <v>1981</v>
      </c>
      <c r="J880" s="606" t="s">
        <v>1982</v>
      </c>
    </row>
    <row r="881" spans="2:10" ht="21" customHeight="1">
      <c r="B881" s="605" t="s">
        <v>2830</v>
      </c>
      <c r="C881" s="606" t="s">
        <v>8</v>
      </c>
      <c r="D881" s="605" t="s">
        <v>689</v>
      </c>
      <c r="E881" s="606" t="s">
        <v>2831</v>
      </c>
      <c r="F881" s="606" t="s">
        <v>2831</v>
      </c>
      <c r="G881" s="606" t="s">
        <v>1554</v>
      </c>
      <c r="H881" s="606" t="s">
        <v>1555</v>
      </c>
      <c r="I881" s="606" t="s">
        <v>1981</v>
      </c>
      <c r="J881" s="606" t="s">
        <v>1982</v>
      </c>
    </row>
    <row r="882" spans="2:10" ht="21" customHeight="1">
      <c r="B882" s="605" t="s">
        <v>2832</v>
      </c>
      <c r="C882" s="606" t="s">
        <v>8</v>
      </c>
      <c r="D882" s="605" t="s">
        <v>689</v>
      </c>
      <c r="E882" s="606" t="s">
        <v>2833</v>
      </c>
      <c r="F882" s="606" t="s">
        <v>2833</v>
      </c>
      <c r="G882" s="606" t="s">
        <v>1554</v>
      </c>
      <c r="H882" s="606" t="s">
        <v>1555</v>
      </c>
      <c r="I882" s="606" t="s">
        <v>1981</v>
      </c>
      <c r="J882" s="606" t="s">
        <v>1982</v>
      </c>
    </row>
    <row r="883" spans="2:10" ht="21" customHeight="1">
      <c r="B883" s="605" t="s">
        <v>2834</v>
      </c>
      <c r="C883" s="606" t="s">
        <v>8</v>
      </c>
      <c r="D883" s="605" t="s">
        <v>689</v>
      </c>
      <c r="E883" s="606" t="s">
        <v>2835</v>
      </c>
      <c r="F883" s="606" t="s">
        <v>2835</v>
      </c>
      <c r="G883" s="606" t="s">
        <v>1554</v>
      </c>
      <c r="H883" s="606" t="s">
        <v>1555</v>
      </c>
      <c r="I883" s="606" t="s">
        <v>1981</v>
      </c>
      <c r="J883" s="606" t="s">
        <v>1982</v>
      </c>
    </row>
    <row r="884" spans="2:10" ht="21" customHeight="1">
      <c r="B884" s="605" t="s">
        <v>2836</v>
      </c>
      <c r="C884" s="606" t="s">
        <v>8</v>
      </c>
      <c r="D884" s="605" t="s">
        <v>689</v>
      </c>
      <c r="E884" s="606" t="s">
        <v>2837</v>
      </c>
      <c r="F884" s="606" t="s">
        <v>2837</v>
      </c>
      <c r="G884" s="606" t="s">
        <v>1554</v>
      </c>
      <c r="H884" s="606" t="s">
        <v>1555</v>
      </c>
      <c r="I884" s="606" t="s">
        <v>1981</v>
      </c>
      <c r="J884" s="606" t="s">
        <v>1982</v>
      </c>
    </row>
    <row r="885" spans="2:10" ht="21" customHeight="1">
      <c r="B885" s="605" t="s">
        <v>2838</v>
      </c>
      <c r="C885" s="606" t="s">
        <v>8</v>
      </c>
      <c r="D885" s="605" t="s">
        <v>689</v>
      </c>
      <c r="E885" s="606" t="s">
        <v>2839</v>
      </c>
      <c r="F885" s="606" t="s">
        <v>2839</v>
      </c>
      <c r="G885" s="606" t="s">
        <v>1554</v>
      </c>
      <c r="H885" s="606" t="s">
        <v>1555</v>
      </c>
      <c r="I885" s="606" t="s">
        <v>1981</v>
      </c>
      <c r="J885" s="606" t="s">
        <v>1982</v>
      </c>
    </row>
    <row r="886" spans="2:10" ht="21" customHeight="1">
      <c r="B886" s="605" t="s">
        <v>2840</v>
      </c>
      <c r="C886" s="606" t="s">
        <v>8</v>
      </c>
      <c r="D886" s="605" t="s">
        <v>689</v>
      </c>
      <c r="E886" s="606" t="s">
        <v>2841</v>
      </c>
      <c r="F886" s="606" t="s">
        <v>2841</v>
      </c>
      <c r="G886" s="606" t="s">
        <v>1554</v>
      </c>
      <c r="H886" s="606" t="s">
        <v>1555</v>
      </c>
      <c r="I886" s="606" t="s">
        <v>1981</v>
      </c>
      <c r="J886" s="606" t="s">
        <v>1982</v>
      </c>
    </row>
    <row r="887" spans="2:10" ht="21" customHeight="1">
      <c r="B887" s="605" t="s">
        <v>2842</v>
      </c>
      <c r="C887" s="606" t="s">
        <v>8</v>
      </c>
      <c r="D887" s="605" t="s">
        <v>689</v>
      </c>
      <c r="E887" s="606" t="s">
        <v>2843</v>
      </c>
      <c r="F887" s="606" t="s">
        <v>2843</v>
      </c>
      <c r="G887" s="606" t="s">
        <v>1554</v>
      </c>
      <c r="H887" s="606" t="s">
        <v>1555</v>
      </c>
      <c r="I887" s="606" t="s">
        <v>1981</v>
      </c>
      <c r="J887" s="606" t="s">
        <v>1982</v>
      </c>
    </row>
    <row r="888" spans="2:10" ht="21" customHeight="1">
      <c r="B888" s="605" t="s">
        <v>2844</v>
      </c>
      <c r="C888" s="606" t="s">
        <v>8</v>
      </c>
      <c r="D888" s="605" t="s">
        <v>689</v>
      </c>
      <c r="E888" s="606" t="s">
        <v>2845</v>
      </c>
      <c r="F888" s="606" t="s">
        <v>2845</v>
      </c>
      <c r="G888" s="606" t="s">
        <v>1554</v>
      </c>
      <c r="H888" s="606" t="s">
        <v>1555</v>
      </c>
      <c r="I888" s="606" t="s">
        <v>1981</v>
      </c>
      <c r="J888" s="606" t="s">
        <v>1982</v>
      </c>
    </row>
    <row r="889" spans="2:10" ht="21" customHeight="1">
      <c r="B889" s="605" t="s">
        <v>2846</v>
      </c>
      <c r="C889" s="606" t="s">
        <v>8</v>
      </c>
      <c r="D889" s="605" t="s">
        <v>689</v>
      </c>
      <c r="E889" s="606" t="s">
        <v>2847</v>
      </c>
      <c r="F889" s="606" t="s">
        <v>2847</v>
      </c>
      <c r="G889" s="606" t="s">
        <v>1554</v>
      </c>
      <c r="H889" s="606" t="s">
        <v>1555</v>
      </c>
      <c r="I889" s="606" t="s">
        <v>1981</v>
      </c>
      <c r="J889" s="606" t="s">
        <v>1982</v>
      </c>
    </row>
    <row r="890" spans="2:10" ht="21" customHeight="1">
      <c r="B890" s="605" t="s">
        <v>2848</v>
      </c>
      <c r="C890" s="606" t="s">
        <v>8</v>
      </c>
      <c r="D890" s="605" t="s">
        <v>689</v>
      </c>
      <c r="E890" s="606" t="s">
        <v>2849</v>
      </c>
      <c r="F890" s="606" t="s">
        <v>2849</v>
      </c>
      <c r="G890" s="606" t="s">
        <v>1554</v>
      </c>
      <c r="H890" s="606" t="s">
        <v>1555</v>
      </c>
      <c r="I890" s="606" t="s">
        <v>1981</v>
      </c>
      <c r="J890" s="606" t="s">
        <v>1982</v>
      </c>
    </row>
    <row r="891" spans="2:10" ht="21" customHeight="1">
      <c r="B891" s="605" t="s">
        <v>2850</v>
      </c>
      <c r="C891" s="606" t="s">
        <v>8</v>
      </c>
      <c r="D891" s="605" t="s">
        <v>689</v>
      </c>
      <c r="E891" s="606" t="s">
        <v>2851</v>
      </c>
      <c r="F891" s="606" t="s">
        <v>2851</v>
      </c>
      <c r="G891" s="606" t="s">
        <v>1554</v>
      </c>
      <c r="H891" s="606" t="s">
        <v>1555</v>
      </c>
      <c r="I891" s="606" t="s">
        <v>1981</v>
      </c>
      <c r="J891" s="606" t="s">
        <v>1982</v>
      </c>
    </row>
    <row r="892" spans="2:10" ht="21" customHeight="1">
      <c r="B892" s="605" t="s">
        <v>2852</v>
      </c>
      <c r="C892" s="606" t="s">
        <v>8</v>
      </c>
      <c r="D892" s="605" t="s">
        <v>689</v>
      </c>
      <c r="E892" s="606" t="s">
        <v>2853</v>
      </c>
      <c r="F892" s="606" t="s">
        <v>2853</v>
      </c>
      <c r="G892" s="606" t="s">
        <v>1151</v>
      </c>
      <c r="H892" s="606" t="s">
        <v>1152</v>
      </c>
      <c r="I892" s="606" t="s">
        <v>1087</v>
      </c>
      <c r="J892" s="606" t="s">
        <v>1153</v>
      </c>
    </row>
    <row r="893" spans="2:10" ht="21" customHeight="1">
      <c r="B893" s="605" t="s">
        <v>2854</v>
      </c>
      <c r="C893" s="606" t="s">
        <v>8</v>
      </c>
      <c r="D893" s="605" t="s">
        <v>689</v>
      </c>
      <c r="E893" s="606" t="s">
        <v>2855</v>
      </c>
      <c r="F893" s="606" t="s">
        <v>2855</v>
      </c>
      <c r="G893" s="606" t="s">
        <v>1554</v>
      </c>
      <c r="H893" s="606" t="s">
        <v>1555</v>
      </c>
      <c r="I893" s="606" t="s">
        <v>1981</v>
      </c>
      <c r="J893" s="606" t="s">
        <v>1982</v>
      </c>
    </row>
    <row r="894" spans="2:10" ht="21" customHeight="1">
      <c r="B894" s="605" t="s">
        <v>2856</v>
      </c>
      <c r="C894" s="606" t="s">
        <v>8</v>
      </c>
      <c r="D894" s="605" t="s">
        <v>689</v>
      </c>
      <c r="E894" s="606" t="s">
        <v>2857</v>
      </c>
      <c r="F894" s="606" t="s">
        <v>2857</v>
      </c>
      <c r="G894" s="606" t="s">
        <v>1554</v>
      </c>
      <c r="H894" s="606" t="s">
        <v>1555</v>
      </c>
      <c r="I894" s="606" t="s">
        <v>1981</v>
      </c>
      <c r="J894" s="606" t="s">
        <v>1982</v>
      </c>
    </row>
    <row r="895" spans="2:10" ht="21" customHeight="1">
      <c r="B895" s="605" t="s">
        <v>2858</v>
      </c>
      <c r="C895" s="606" t="s">
        <v>8</v>
      </c>
      <c r="D895" s="605" t="s">
        <v>689</v>
      </c>
      <c r="E895" s="606" t="s">
        <v>2859</v>
      </c>
      <c r="F895" s="606" t="s">
        <v>2859</v>
      </c>
      <c r="G895" s="606" t="s">
        <v>1554</v>
      </c>
      <c r="H895" s="606" t="s">
        <v>1555</v>
      </c>
      <c r="I895" s="606" t="s">
        <v>1981</v>
      </c>
      <c r="J895" s="606" t="s">
        <v>1982</v>
      </c>
    </row>
    <row r="896" spans="2:10" ht="21" customHeight="1">
      <c r="B896" s="605" t="s">
        <v>2860</v>
      </c>
      <c r="C896" s="606" t="s">
        <v>8</v>
      </c>
      <c r="D896" s="605" t="s">
        <v>689</v>
      </c>
      <c r="E896" s="606" t="s">
        <v>2861</v>
      </c>
      <c r="F896" s="606" t="s">
        <v>2861</v>
      </c>
      <c r="G896" s="606" t="s">
        <v>1554</v>
      </c>
      <c r="H896" s="606" t="s">
        <v>1555</v>
      </c>
      <c r="I896" s="606" t="s">
        <v>1981</v>
      </c>
      <c r="J896" s="606" t="s">
        <v>1982</v>
      </c>
    </row>
    <row r="897" spans="2:10" ht="21" customHeight="1">
      <c r="B897" s="605" t="s">
        <v>2862</v>
      </c>
      <c r="C897" s="606" t="s">
        <v>8</v>
      </c>
      <c r="D897" s="605" t="s">
        <v>689</v>
      </c>
      <c r="E897" s="606" t="s">
        <v>2863</v>
      </c>
      <c r="F897" s="606" t="s">
        <v>2863</v>
      </c>
      <c r="G897" s="606" t="s">
        <v>1554</v>
      </c>
      <c r="H897" s="606" t="s">
        <v>1555</v>
      </c>
      <c r="I897" s="606" t="s">
        <v>1981</v>
      </c>
      <c r="J897" s="606" t="s">
        <v>1982</v>
      </c>
    </row>
    <row r="898" spans="2:10" ht="21" customHeight="1">
      <c r="B898" s="605" t="s">
        <v>2864</v>
      </c>
      <c r="C898" s="606" t="s">
        <v>8</v>
      </c>
      <c r="D898" s="605" t="s">
        <v>689</v>
      </c>
      <c r="E898" s="606" t="s">
        <v>2865</v>
      </c>
      <c r="F898" s="606" t="s">
        <v>2865</v>
      </c>
      <c r="G898" s="606" t="s">
        <v>1554</v>
      </c>
      <c r="H898" s="606" t="s">
        <v>1555</v>
      </c>
      <c r="I898" s="606" t="s">
        <v>1981</v>
      </c>
      <c r="J898" s="606" t="s">
        <v>1982</v>
      </c>
    </row>
    <row r="899" spans="2:10" ht="21" customHeight="1">
      <c r="B899" s="605" t="s">
        <v>2866</v>
      </c>
      <c r="C899" s="606" t="s">
        <v>8</v>
      </c>
      <c r="D899" s="605" t="s">
        <v>689</v>
      </c>
      <c r="E899" s="606" t="s">
        <v>2867</v>
      </c>
      <c r="F899" s="606" t="s">
        <v>2867</v>
      </c>
      <c r="G899" s="606" t="s">
        <v>1554</v>
      </c>
      <c r="H899" s="606" t="s">
        <v>1555</v>
      </c>
      <c r="I899" s="606" t="s">
        <v>1981</v>
      </c>
      <c r="J899" s="606" t="s">
        <v>1982</v>
      </c>
    </row>
    <row r="900" spans="2:10" ht="21" customHeight="1">
      <c r="B900" s="605" t="s">
        <v>2868</v>
      </c>
      <c r="C900" s="606" t="s">
        <v>8</v>
      </c>
      <c r="D900" s="605" t="s">
        <v>689</v>
      </c>
      <c r="E900" s="606" t="s">
        <v>2869</v>
      </c>
      <c r="F900" s="606" t="s">
        <v>2869</v>
      </c>
      <c r="G900" s="606" t="s">
        <v>1554</v>
      </c>
      <c r="H900" s="606" t="s">
        <v>1555</v>
      </c>
      <c r="I900" s="606" t="s">
        <v>1981</v>
      </c>
      <c r="J900" s="606" t="s">
        <v>1982</v>
      </c>
    </row>
    <row r="901" spans="2:10" ht="21" customHeight="1">
      <c r="B901" s="605" t="s">
        <v>2870</v>
      </c>
      <c r="C901" s="606" t="s">
        <v>8</v>
      </c>
      <c r="D901" s="605" t="s">
        <v>689</v>
      </c>
      <c r="E901" s="606" t="s">
        <v>2871</v>
      </c>
      <c r="F901" s="606" t="s">
        <v>2871</v>
      </c>
      <c r="G901" s="606" t="s">
        <v>1554</v>
      </c>
      <c r="H901" s="606" t="s">
        <v>1555</v>
      </c>
      <c r="I901" s="606" t="s">
        <v>1981</v>
      </c>
      <c r="J901" s="606" t="s">
        <v>1982</v>
      </c>
    </row>
    <row r="902" spans="2:10" ht="21" customHeight="1">
      <c r="B902" s="605" t="s">
        <v>2872</v>
      </c>
      <c r="C902" s="606" t="s">
        <v>8</v>
      </c>
      <c r="D902" s="605" t="s">
        <v>689</v>
      </c>
      <c r="E902" s="606" t="s">
        <v>2873</v>
      </c>
      <c r="F902" s="606" t="s">
        <v>2873</v>
      </c>
      <c r="G902" s="606" t="s">
        <v>1554</v>
      </c>
      <c r="H902" s="606" t="s">
        <v>1555</v>
      </c>
      <c r="I902" s="606" t="s">
        <v>1981</v>
      </c>
      <c r="J902" s="606" t="s">
        <v>1982</v>
      </c>
    </row>
    <row r="903" spans="2:10" ht="21" customHeight="1">
      <c r="B903" s="605" t="s">
        <v>2874</v>
      </c>
      <c r="C903" s="606" t="s">
        <v>8</v>
      </c>
      <c r="D903" s="605" t="s">
        <v>689</v>
      </c>
      <c r="E903" s="606" t="s">
        <v>2875</v>
      </c>
      <c r="F903" s="606" t="s">
        <v>2875</v>
      </c>
      <c r="G903" s="606" t="s">
        <v>1554</v>
      </c>
      <c r="H903" s="606" t="s">
        <v>1555</v>
      </c>
      <c r="I903" s="606" t="s">
        <v>1981</v>
      </c>
      <c r="J903" s="606" t="s">
        <v>1982</v>
      </c>
    </row>
    <row r="904" spans="2:10" ht="21" customHeight="1">
      <c r="B904" s="605" t="s">
        <v>2876</v>
      </c>
      <c r="C904" s="606" t="s">
        <v>8</v>
      </c>
      <c r="D904" s="605" t="s">
        <v>689</v>
      </c>
      <c r="E904" s="606" t="s">
        <v>154</v>
      </c>
      <c r="F904" s="606" t="s">
        <v>154</v>
      </c>
      <c r="G904" s="606" t="s">
        <v>1554</v>
      </c>
      <c r="H904" s="606" t="s">
        <v>1555</v>
      </c>
      <c r="I904" s="606" t="s">
        <v>1981</v>
      </c>
      <c r="J904" s="606" t="s">
        <v>1982</v>
      </c>
    </row>
    <row r="905" spans="2:10" ht="21" customHeight="1">
      <c r="B905" s="605" t="s">
        <v>2877</v>
      </c>
      <c r="C905" s="606" t="s">
        <v>8</v>
      </c>
      <c r="D905" s="605" t="s">
        <v>689</v>
      </c>
      <c r="E905" s="606" t="s">
        <v>2878</v>
      </c>
      <c r="F905" s="606" t="s">
        <v>2878</v>
      </c>
      <c r="G905" s="606" t="s">
        <v>1554</v>
      </c>
      <c r="H905" s="606" t="s">
        <v>1555</v>
      </c>
      <c r="I905" s="606" t="s">
        <v>1981</v>
      </c>
      <c r="J905" s="606" t="s">
        <v>1982</v>
      </c>
    </row>
    <row r="906" spans="2:10" ht="21" customHeight="1">
      <c r="B906" s="605" t="s">
        <v>2879</v>
      </c>
      <c r="C906" s="606" t="s">
        <v>8</v>
      </c>
      <c r="D906" s="605" t="s">
        <v>689</v>
      </c>
      <c r="E906" s="606" t="s">
        <v>2880</v>
      </c>
      <c r="F906" s="606" t="s">
        <v>2880</v>
      </c>
      <c r="G906" s="606" t="s">
        <v>1554</v>
      </c>
      <c r="H906" s="606" t="s">
        <v>1555</v>
      </c>
      <c r="I906" s="606" t="s">
        <v>1981</v>
      </c>
      <c r="J906" s="606" t="s">
        <v>1982</v>
      </c>
    </row>
    <row r="907" spans="2:10" ht="21" customHeight="1">
      <c r="B907" s="605" t="s">
        <v>2881</v>
      </c>
      <c r="C907" s="606" t="s">
        <v>8</v>
      </c>
      <c r="D907" s="605" t="s">
        <v>689</v>
      </c>
      <c r="E907" s="606" t="s">
        <v>2882</v>
      </c>
      <c r="F907" s="606" t="s">
        <v>2882</v>
      </c>
      <c r="G907" s="606" t="s">
        <v>1554</v>
      </c>
      <c r="H907" s="606" t="s">
        <v>1555</v>
      </c>
      <c r="I907" s="606" t="s">
        <v>1981</v>
      </c>
      <c r="J907" s="606" t="s">
        <v>1982</v>
      </c>
    </row>
    <row r="908" spans="2:10" ht="21" customHeight="1">
      <c r="B908" s="605" t="s">
        <v>2883</v>
      </c>
      <c r="C908" s="606" t="s">
        <v>8</v>
      </c>
      <c r="D908" s="605" t="s">
        <v>689</v>
      </c>
      <c r="E908" s="606" t="s">
        <v>2884</v>
      </c>
      <c r="F908" s="606" t="s">
        <v>2884</v>
      </c>
      <c r="G908" s="606" t="s">
        <v>1554</v>
      </c>
      <c r="H908" s="606" t="s">
        <v>1555</v>
      </c>
      <c r="I908" s="606" t="s">
        <v>1981</v>
      </c>
      <c r="J908" s="606" t="s">
        <v>1982</v>
      </c>
    </row>
    <row r="909" spans="2:10" ht="21" customHeight="1">
      <c r="B909" s="605" t="s">
        <v>2885</v>
      </c>
      <c r="C909" s="606" t="s">
        <v>8</v>
      </c>
      <c r="D909" s="605" t="s">
        <v>689</v>
      </c>
      <c r="E909" s="606" t="s">
        <v>2886</v>
      </c>
      <c r="F909" s="606" t="s">
        <v>2886</v>
      </c>
      <c r="G909" s="606" t="s">
        <v>1554</v>
      </c>
      <c r="H909" s="606" t="s">
        <v>1555</v>
      </c>
      <c r="I909" s="606" t="s">
        <v>1981</v>
      </c>
      <c r="J909" s="606" t="s">
        <v>1982</v>
      </c>
    </row>
    <row r="910" spans="2:10" ht="21" customHeight="1">
      <c r="B910" s="605" t="s">
        <v>2887</v>
      </c>
      <c r="C910" s="606" t="s">
        <v>8</v>
      </c>
      <c r="D910" s="605" t="s">
        <v>689</v>
      </c>
      <c r="E910" s="606" t="s">
        <v>2888</v>
      </c>
      <c r="F910" s="606" t="s">
        <v>2888</v>
      </c>
      <c r="G910" s="606" t="s">
        <v>1554</v>
      </c>
      <c r="H910" s="606" t="s">
        <v>1555</v>
      </c>
      <c r="I910" s="606" t="s">
        <v>1981</v>
      </c>
      <c r="J910" s="606" t="s">
        <v>1982</v>
      </c>
    </row>
    <row r="911" spans="2:10" ht="21" customHeight="1">
      <c r="B911" s="605" t="s">
        <v>2889</v>
      </c>
      <c r="C911" s="606" t="s">
        <v>8</v>
      </c>
      <c r="D911" s="605" t="s">
        <v>689</v>
      </c>
      <c r="E911" s="606" t="s">
        <v>2890</v>
      </c>
      <c r="F911" s="606" t="s">
        <v>2890</v>
      </c>
      <c r="G911" s="606" t="s">
        <v>1554</v>
      </c>
      <c r="H911" s="606" t="s">
        <v>1555</v>
      </c>
      <c r="I911" s="606" t="s">
        <v>1981</v>
      </c>
      <c r="J911" s="606" t="s">
        <v>1982</v>
      </c>
    </row>
    <row r="912" spans="2:10" ht="21" customHeight="1">
      <c r="B912" s="605" t="s">
        <v>2891</v>
      </c>
      <c r="C912" s="606" t="s">
        <v>8</v>
      </c>
      <c r="D912" s="605" t="s">
        <v>689</v>
      </c>
      <c r="E912" s="606" t="s">
        <v>2892</v>
      </c>
      <c r="F912" s="606" t="s">
        <v>2892</v>
      </c>
      <c r="G912" s="606" t="s">
        <v>1554</v>
      </c>
      <c r="H912" s="606" t="s">
        <v>1555</v>
      </c>
      <c r="I912" s="606" t="s">
        <v>1981</v>
      </c>
      <c r="J912" s="606" t="s">
        <v>1982</v>
      </c>
    </row>
    <row r="913" spans="2:10" ht="21" customHeight="1">
      <c r="B913" s="605" t="s">
        <v>2893</v>
      </c>
      <c r="C913" s="606" t="s">
        <v>8</v>
      </c>
      <c r="D913" s="605" t="s">
        <v>689</v>
      </c>
      <c r="E913" s="606" t="s">
        <v>2894</v>
      </c>
      <c r="F913" s="606" t="s">
        <v>2894</v>
      </c>
      <c r="G913" s="606" t="s">
        <v>1554</v>
      </c>
      <c r="H913" s="606" t="s">
        <v>1555</v>
      </c>
      <c r="I913" s="606" t="s">
        <v>1981</v>
      </c>
      <c r="J913" s="606" t="s">
        <v>1982</v>
      </c>
    </row>
    <row r="914" spans="2:10" ht="21" customHeight="1">
      <c r="B914" s="605" t="s">
        <v>2895</v>
      </c>
      <c r="C914" s="606" t="s">
        <v>8</v>
      </c>
      <c r="D914" s="605" t="s">
        <v>689</v>
      </c>
      <c r="E914" s="606" t="s">
        <v>2896</v>
      </c>
      <c r="F914" s="606" t="s">
        <v>2896</v>
      </c>
      <c r="G914" s="606" t="s">
        <v>1554</v>
      </c>
      <c r="H914" s="606" t="s">
        <v>1555</v>
      </c>
      <c r="I914" s="606" t="s">
        <v>1981</v>
      </c>
      <c r="J914" s="606" t="s">
        <v>1982</v>
      </c>
    </row>
    <row r="915" spans="2:10" ht="21" customHeight="1">
      <c r="B915" s="605" t="s">
        <v>2897</v>
      </c>
      <c r="C915" s="606" t="s">
        <v>8</v>
      </c>
      <c r="D915" s="605" t="s">
        <v>689</v>
      </c>
      <c r="E915" s="606" t="s">
        <v>2898</v>
      </c>
      <c r="F915" s="606" t="s">
        <v>2898</v>
      </c>
      <c r="G915" s="606" t="s">
        <v>1554</v>
      </c>
      <c r="H915" s="606" t="s">
        <v>1555</v>
      </c>
      <c r="I915" s="606" t="s">
        <v>1981</v>
      </c>
      <c r="J915" s="606" t="s">
        <v>1982</v>
      </c>
    </row>
    <row r="916" spans="2:10" ht="21" customHeight="1">
      <c r="B916" s="605" t="s">
        <v>2899</v>
      </c>
      <c r="C916" s="606" t="s">
        <v>8</v>
      </c>
      <c r="D916" s="605" t="s">
        <v>689</v>
      </c>
      <c r="E916" s="606" t="s">
        <v>2900</v>
      </c>
      <c r="F916" s="606" t="s">
        <v>2900</v>
      </c>
      <c r="G916" s="606" t="s">
        <v>1554</v>
      </c>
      <c r="H916" s="606" t="s">
        <v>1555</v>
      </c>
      <c r="I916" s="606" t="s">
        <v>1981</v>
      </c>
      <c r="J916" s="606" t="s">
        <v>1982</v>
      </c>
    </row>
    <row r="917" spans="2:10" ht="21" customHeight="1">
      <c r="B917" s="605" t="s">
        <v>2901</v>
      </c>
      <c r="C917" s="606" t="s">
        <v>8</v>
      </c>
      <c r="D917" s="605" t="s">
        <v>689</v>
      </c>
      <c r="E917" s="606" t="s">
        <v>2902</v>
      </c>
      <c r="F917" s="606" t="s">
        <v>2902</v>
      </c>
      <c r="G917" s="606" t="s">
        <v>1554</v>
      </c>
      <c r="H917" s="606" t="s">
        <v>1555</v>
      </c>
      <c r="I917" s="606" t="s">
        <v>1981</v>
      </c>
      <c r="J917" s="606" t="s">
        <v>1982</v>
      </c>
    </row>
    <row r="918" spans="2:10" ht="21" customHeight="1">
      <c r="B918" s="605" t="s">
        <v>2903</v>
      </c>
      <c r="C918" s="606" t="s">
        <v>8</v>
      </c>
      <c r="D918" s="605" t="s">
        <v>689</v>
      </c>
      <c r="E918" s="606" t="s">
        <v>2904</v>
      </c>
      <c r="F918" s="606" t="s">
        <v>2904</v>
      </c>
      <c r="G918" s="606" t="s">
        <v>1085</v>
      </c>
      <c r="H918" s="606" t="s">
        <v>2063</v>
      </c>
      <c r="I918" s="606" t="s">
        <v>1087</v>
      </c>
      <c r="J918" s="606" t="s">
        <v>1088</v>
      </c>
    </row>
    <row r="919" spans="2:10" ht="21" customHeight="1">
      <c r="B919" s="605" t="s">
        <v>2905</v>
      </c>
      <c r="C919" s="606" t="s">
        <v>8</v>
      </c>
      <c r="D919" s="605" t="s">
        <v>689</v>
      </c>
      <c r="E919" s="606" t="s">
        <v>2906</v>
      </c>
      <c r="F919" s="606" t="s">
        <v>2906</v>
      </c>
      <c r="G919" s="606" t="s">
        <v>1554</v>
      </c>
      <c r="H919" s="606" t="s">
        <v>1555</v>
      </c>
      <c r="I919" s="606" t="s">
        <v>1981</v>
      </c>
      <c r="J919" s="606" t="s">
        <v>1982</v>
      </c>
    </row>
    <row r="920" spans="2:10" ht="21" customHeight="1">
      <c r="B920" s="605" t="s">
        <v>2907</v>
      </c>
      <c r="C920" s="606" t="s">
        <v>8</v>
      </c>
      <c r="D920" s="605" t="s">
        <v>689</v>
      </c>
      <c r="E920" s="606" t="s">
        <v>2908</v>
      </c>
      <c r="F920" s="606" t="s">
        <v>2908</v>
      </c>
      <c r="G920" s="606" t="s">
        <v>1554</v>
      </c>
      <c r="H920" s="606" t="s">
        <v>1555</v>
      </c>
      <c r="I920" s="606" t="s">
        <v>1981</v>
      </c>
      <c r="J920" s="606" t="s">
        <v>1982</v>
      </c>
    </row>
    <row r="921" spans="2:10" ht="21" customHeight="1">
      <c r="B921" s="605" t="s">
        <v>2909</v>
      </c>
      <c r="C921" s="606" t="s">
        <v>8</v>
      </c>
      <c r="D921" s="605" t="s">
        <v>689</v>
      </c>
      <c r="E921" s="606" t="s">
        <v>2910</v>
      </c>
      <c r="F921" s="606" t="s">
        <v>2910</v>
      </c>
      <c r="G921" s="606" t="s">
        <v>1554</v>
      </c>
      <c r="H921" s="606" t="s">
        <v>1555</v>
      </c>
      <c r="I921" s="606" t="s">
        <v>1981</v>
      </c>
      <c r="J921" s="606" t="s">
        <v>1982</v>
      </c>
    </row>
    <row r="922" spans="2:10" ht="21" customHeight="1">
      <c r="B922" s="605" t="s">
        <v>2911</v>
      </c>
      <c r="C922" s="606" t="s">
        <v>8</v>
      </c>
      <c r="D922" s="605" t="s">
        <v>689</v>
      </c>
      <c r="E922" s="606" t="s">
        <v>2912</v>
      </c>
      <c r="F922" s="606" t="s">
        <v>2912</v>
      </c>
      <c r="G922" s="606" t="s">
        <v>1554</v>
      </c>
      <c r="H922" s="606" t="s">
        <v>1555</v>
      </c>
      <c r="I922" s="606" t="s">
        <v>1981</v>
      </c>
      <c r="J922" s="606" t="s">
        <v>1982</v>
      </c>
    </row>
    <row r="923" spans="2:10" ht="21" customHeight="1">
      <c r="B923" s="605" t="s">
        <v>2913</v>
      </c>
      <c r="C923" s="606" t="s">
        <v>8</v>
      </c>
      <c r="D923" s="605" t="s">
        <v>689</v>
      </c>
      <c r="E923" s="606" t="s">
        <v>2914</v>
      </c>
      <c r="F923" s="606" t="s">
        <v>2914</v>
      </c>
      <c r="G923" s="606" t="s">
        <v>1554</v>
      </c>
      <c r="H923" s="606" t="s">
        <v>1555</v>
      </c>
      <c r="I923" s="606" t="s">
        <v>1981</v>
      </c>
      <c r="J923" s="606" t="s">
        <v>1982</v>
      </c>
    </row>
    <row r="924" spans="2:10" ht="21" customHeight="1">
      <c r="B924" s="605" t="s">
        <v>2915</v>
      </c>
      <c r="C924" s="606" t="s">
        <v>8</v>
      </c>
      <c r="D924" s="605" t="s">
        <v>689</v>
      </c>
      <c r="E924" s="606" t="s">
        <v>2916</v>
      </c>
      <c r="F924" s="606" t="s">
        <v>2916</v>
      </c>
      <c r="G924" s="606" t="s">
        <v>1554</v>
      </c>
      <c r="H924" s="606" t="s">
        <v>1555</v>
      </c>
      <c r="I924" s="606" t="s">
        <v>1981</v>
      </c>
      <c r="J924" s="606" t="s">
        <v>1982</v>
      </c>
    </row>
    <row r="925" spans="2:10" ht="21" customHeight="1">
      <c r="B925" s="605" t="s">
        <v>2917</v>
      </c>
      <c r="C925" s="606" t="s">
        <v>8</v>
      </c>
      <c r="D925" s="605" t="s">
        <v>689</v>
      </c>
      <c r="E925" s="606" t="s">
        <v>1038</v>
      </c>
      <c r="F925" s="606" t="s">
        <v>1038</v>
      </c>
      <c r="G925" s="606" t="s">
        <v>1554</v>
      </c>
      <c r="H925" s="606" t="s">
        <v>1555</v>
      </c>
      <c r="I925" s="606" t="s">
        <v>1981</v>
      </c>
      <c r="J925" s="606" t="s">
        <v>1982</v>
      </c>
    </row>
    <row r="926" spans="2:10" ht="21" customHeight="1">
      <c r="B926" s="605" t="s">
        <v>2918</v>
      </c>
      <c r="C926" s="606" t="s">
        <v>8</v>
      </c>
      <c r="D926" s="605" t="s">
        <v>689</v>
      </c>
      <c r="E926" s="606" t="s">
        <v>2919</v>
      </c>
      <c r="F926" s="606" t="s">
        <v>2919</v>
      </c>
      <c r="G926" s="606" t="s">
        <v>1554</v>
      </c>
      <c r="H926" s="606" t="s">
        <v>1555</v>
      </c>
      <c r="I926" s="606" t="s">
        <v>1981</v>
      </c>
      <c r="J926" s="606" t="s">
        <v>1982</v>
      </c>
    </row>
    <row r="927" spans="2:10" ht="21" customHeight="1">
      <c r="B927" s="605" t="s">
        <v>2920</v>
      </c>
      <c r="C927" s="606" t="s">
        <v>8</v>
      </c>
      <c r="D927" s="605" t="s">
        <v>689</v>
      </c>
      <c r="E927" s="606" t="s">
        <v>2921</v>
      </c>
      <c r="F927" s="606" t="s">
        <v>2921</v>
      </c>
      <c r="G927" s="606" t="s">
        <v>1554</v>
      </c>
      <c r="H927" s="606" t="s">
        <v>1555</v>
      </c>
      <c r="I927" s="606" t="s">
        <v>1981</v>
      </c>
      <c r="J927" s="606" t="s">
        <v>1982</v>
      </c>
    </row>
    <row r="928" spans="2:10" ht="21" customHeight="1">
      <c r="B928" s="605" t="s">
        <v>2922</v>
      </c>
      <c r="C928" s="606" t="s">
        <v>8</v>
      </c>
      <c r="D928" s="605" t="s">
        <v>689</v>
      </c>
      <c r="E928" s="606" t="s">
        <v>2923</v>
      </c>
      <c r="F928" s="606" t="s">
        <v>2923</v>
      </c>
      <c r="G928" s="606" t="s">
        <v>1554</v>
      </c>
      <c r="H928" s="606" t="s">
        <v>1555</v>
      </c>
      <c r="I928" s="606" t="s">
        <v>1981</v>
      </c>
      <c r="J928" s="606" t="s">
        <v>1982</v>
      </c>
    </row>
    <row r="929" spans="2:10" ht="21" customHeight="1">
      <c r="B929" s="605" t="s">
        <v>2924</v>
      </c>
      <c r="C929" s="606" t="s">
        <v>8</v>
      </c>
      <c r="D929" s="605" t="s">
        <v>689</v>
      </c>
      <c r="E929" s="606" t="s">
        <v>2925</v>
      </c>
      <c r="F929" s="606" t="s">
        <v>2925</v>
      </c>
      <c r="G929" s="606" t="s">
        <v>1554</v>
      </c>
      <c r="H929" s="606" t="s">
        <v>1555</v>
      </c>
      <c r="I929" s="606" t="s">
        <v>1981</v>
      </c>
      <c r="J929" s="606" t="s">
        <v>1982</v>
      </c>
    </row>
    <row r="930" spans="2:10" ht="21" customHeight="1">
      <c r="B930" s="605" t="s">
        <v>2926</v>
      </c>
      <c r="C930" s="606" t="s">
        <v>8</v>
      </c>
      <c r="D930" s="605" t="s">
        <v>689</v>
      </c>
      <c r="E930" s="606" t="s">
        <v>94</v>
      </c>
      <c r="F930" s="606" t="s">
        <v>94</v>
      </c>
      <c r="G930" s="606" t="s">
        <v>1554</v>
      </c>
      <c r="H930" s="606" t="s">
        <v>1555</v>
      </c>
      <c r="I930" s="606" t="s">
        <v>1981</v>
      </c>
      <c r="J930" s="606" t="s">
        <v>1982</v>
      </c>
    </row>
    <row r="931" spans="2:10" ht="21" customHeight="1">
      <c r="B931" s="605" t="s">
        <v>2927</v>
      </c>
      <c r="C931" s="606" t="s">
        <v>8</v>
      </c>
      <c r="D931" s="605" t="s">
        <v>689</v>
      </c>
      <c r="E931" s="606" t="s">
        <v>2928</v>
      </c>
      <c r="F931" s="606" t="s">
        <v>2928</v>
      </c>
      <c r="G931" s="606" t="s">
        <v>1554</v>
      </c>
      <c r="H931" s="606" t="s">
        <v>1555</v>
      </c>
      <c r="I931" s="606" t="s">
        <v>1981</v>
      </c>
      <c r="J931" s="606" t="s">
        <v>1982</v>
      </c>
    </row>
    <row r="932" spans="2:10" ht="21" customHeight="1">
      <c r="B932" s="605" t="s">
        <v>2929</v>
      </c>
      <c r="C932" s="606" t="s">
        <v>8</v>
      </c>
      <c r="D932" s="605" t="s">
        <v>689</v>
      </c>
      <c r="E932" s="606" t="s">
        <v>2930</v>
      </c>
      <c r="F932" s="606" t="s">
        <v>2930</v>
      </c>
      <c r="G932" s="606" t="s">
        <v>1554</v>
      </c>
      <c r="H932" s="606" t="s">
        <v>1555</v>
      </c>
      <c r="I932" s="606" t="s">
        <v>1981</v>
      </c>
      <c r="J932" s="606" t="s">
        <v>1982</v>
      </c>
    </row>
    <row r="933" spans="2:10" ht="21" customHeight="1">
      <c r="B933" s="605" t="s">
        <v>2931</v>
      </c>
      <c r="C933" s="606" t="s">
        <v>8</v>
      </c>
      <c r="D933" s="605" t="s">
        <v>689</v>
      </c>
      <c r="E933" s="606" t="s">
        <v>2932</v>
      </c>
      <c r="F933" s="606" t="s">
        <v>2932</v>
      </c>
      <c r="G933" s="606" t="s">
        <v>1554</v>
      </c>
      <c r="H933" s="606" t="s">
        <v>1555</v>
      </c>
      <c r="I933" s="606" t="s">
        <v>1981</v>
      </c>
      <c r="J933" s="606" t="s">
        <v>1982</v>
      </c>
    </row>
    <row r="934" spans="2:10" ht="21" customHeight="1">
      <c r="B934" s="605" t="s">
        <v>2933</v>
      </c>
      <c r="C934" s="606" t="s">
        <v>8</v>
      </c>
      <c r="D934" s="605" t="s">
        <v>689</v>
      </c>
      <c r="E934" s="606" t="s">
        <v>1039</v>
      </c>
      <c r="F934" s="606" t="s">
        <v>1039</v>
      </c>
      <c r="G934" s="606" t="s">
        <v>1554</v>
      </c>
      <c r="H934" s="606" t="s">
        <v>1555</v>
      </c>
      <c r="I934" s="606" t="s">
        <v>1981</v>
      </c>
      <c r="J934" s="606" t="s">
        <v>1982</v>
      </c>
    </row>
    <row r="935" spans="2:10" ht="21" customHeight="1">
      <c r="B935" s="605" t="s">
        <v>2934</v>
      </c>
      <c r="C935" s="606" t="s">
        <v>8</v>
      </c>
      <c r="D935" s="605" t="s">
        <v>689</v>
      </c>
      <c r="E935" s="606" t="s">
        <v>2935</v>
      </c>
      <c r="F935" s="606" t="s">
        <v>2935</v>
      </c>
      <c r="G935" s="606" t="s">
        <v>1554</v>
      </c>
      <c r="H935" s="606" t="s">
        <v>1555</v>
      </c>
      <c r="I935" s="606" t="s">
        <v>1981</v>
      </c>
      <c r="J935" s="606" t="s">
        <v>1982</v>
      </c>
    </row>
    <row r="936" spans="2:10" ht="21" customHeight="1">
      <c r="B936" s="605" t="s">
        <v>2936</v>
      </c>
      <c r="C936" s="606" t="s">
        <v>8</v>
      </c>
      <c r="D936" s="605" t="s">
        <v>689</v>
      </c>
      <c r="E936" s="606" t="s">
        <v>2937</v>
      </c>
      <c r="F936" s="606" t="s">
        <v>2937</v>
      </c>
      <c r="G936" s="606" t="s">
        <v>1554</v>
      </c>
      <c r="H936" s="606" t="s">
        <v>1555</v>
      </c>
      <c r="I936" s="606" t="s">
        <v>1981</v>
      </c>
      <c r="J936" s="606" t="s">
        <v>1982</v>
      </c>
    </row>
    <row r="937" spans="2:10" ht="21" customHeight="1">
      <c r="B937" s="605" t="s">
        <v>2938</v>
      </c>
      <c r="C937" s="606" t="s">
        <v>8</v>
      </c>
      <c r="D937" s="605" t="s">
        <v>689</v>
      </c>
      <c r="E937" s="606" t="s">
        <v>2939</v>
      </c>
      <c r="F937" s="606" t="s">
        <v>2939</v>
      </c>
      <c r="G937" s="606" t="s">
        <v>1554</v>
      </c>
      <c r="H937" s="606" t="s">
        <v>1555</v>
      </c>
      <c r="I937" s="606" t="s">
        <v>1981</v>
      </c>
      <c r="J937" s="606" t="s">
        <v>1982</v>
      </c>
    </row>
    <row r="938" spans="2:10" ht="21" customHeight="1">
      <c r="B938" s="605" t="s">
        <v>2940</v>
      </c>
      <c r="C938" s="606" t="s">
        <v>8</v>
      </c>
      <c r="D938" s="605" t="s">
        <v>689</v>
      </c>
      <c r="E938" s="606" t="s">
        <v>2941</v>
      </c>
      <c r="F938" s="606" t="s">
        <v>2941</v>
      </c>
      <c r="G938" s="606" t="s">
        <v>1554</v>
      </c>
      <c r="H938" s="606" t="s">
        <v>1555</v>
      </c>
      <c r="I938" s="606" t="s">
        <v>1981</v>
      </c>
      <c r="J938" s="606" t="s">
        <v>1982</v>
      </c>
    </row>
    <row r="939" spans="2:10" ht="21" customHeight="1">
      <c r="B939" s="605" t="s">
        <v>2942</v>
      </c>
      <c r="C939" s="606" t="s">
        <v>8</v>
      </c>
      <c r="D939" s="605" t="s">
        <v>689</v>
      </c>
      <c r="E939" s="606" t="s">
        <v>2943</v>
      </c>
      <c r="F939" s="606" t="s">
        <v>2943</v>
      </c>
      <c r="G939" s="606" t="s">
        <v>1554</v>
      </c>
      <c r="H939" s="606" t="s">
        <v>1555</v>
      </c>
      <c r="I939" s="606" t="s">
        <v>1981</v>
      </c>
      <c r="J939" s="606" t="s">
        <v>1982</v>
      </c>
    </row>
    <row r="940" spans="2:10" ht="21" customHeight="1">
      <c r="B940" s="605" t="s">
        <v>2944</v>
      </c>
      <c r="C940" s="606" t="s">
        <v>8</v>
      </c>
      <c r="D940" s="605" t="s">
        <v>689</v>
      </c>
      <c r="E940" s="606" t="s">
        <v>2945</v>
      </c>
      <c r="F940" s="606" t="s">
        <v>2945</v>
      </c>
      <c r="G940" s="606" t="s">
        <v>1554</v>
      </c>
      <c r="H940" s="606" t="s">
        <v>1555</v>
      </c>
      <c r="I940" s="606" t="s">
        <v>1981</v>
      </c>
      <c r="J940" s="606" t="s">
        <v>1982</v>
      </c>
    </row>
    <row r="941" spans="2:10" ht="21" customHeight="1">
      <c r="B941" s="605" t="s">
        <v>2946</v>
      </c>
      <c r="C941" s="606" t="s">
        <v>8</v>
      </c>
      <c r="D941" s="605" t="s">
        <v>689</v>
      </c>
      <c r="E941" s="606" t="s">
        <v>2947</v>
      </c>
      <c r="F941" s="606" t="s">
        <v>2947</v>
      </c>
      <c r="G941" s="606" t="s">
        <v>1554</v>
      </c>
      <c r="H941" s="606" t="s">
        <v>1555</v>
      </c>
      <c r="I941" s="606" t="s">
        <v>1981</v>
      </c>
      <c r="J941" s="606" t="s">
        <v>1982</v>
      </c>
    </row>
    <row r="942" spans="2:10" ht="21" customHeight="1">
      <c r="B942" s="605" t="s">
        <v>2948</v>
      </c>
      <c r="C942" s="606" t="s">
        <v>8</v>
      </c>
      <c r="D942" s="605" t="s">
        <v>689</v>
      </c>
      <c r="E942" s="606" t="s">
        <v>2949</v>
      </c>
      <c r="F942" s="606" t="s">
        <v>2949</v>
      </c>
      <c r="G942" s="606" t="s">
        <v>1554</v>
      </c>
      <c r="H942" s="606" t="s">
        <v>1555</v>
      </c>
      <c r="I942" s="606" t="s">
        <v>1981</v>
      </c>
      <c r="J942" s="606" t="s">
        <v>1982</v>
      </c>
    </row>
    <row r="943" spans="2:10" ht="21" customHeight="1">
      <c r="B943" s="605" t="s">
        <v>2950</v>
      </c>
      <c r="C943" s="606" t="s">
        <v>8</v>
      </c>
      <c r="D943" s="605" t="s">
        <v>689</v>
      </c>
      <c r="E943" s="606" t="s">
        <v>2951</v>
      </c>
      <c r="F943" s="606" t="s">
        <v>2951</v>
      </c>
      <c r="G943" s="606" t="s">
        <v>1554</v>
      </c>
      <c r="H943" s="606" t="s">
        <v>1555</v>
      </c>
      <c r="I943" s="606" t="s">
        <v>1981</v>
      </c>
      <c r="J943" s="606" t="s">
        <v>1982</v>
      </c>
    </row>
    <row r="944" spans="2:10" ht="21" customHeight="1">
      <c r="B944" s="605" t="s">
        <v>2952</v>
      </c>
      <c r="C944" s="606" t="s">
        <v>8</v>
      </c>
      <c r="D944" s="605" t="s">
        <v>689</v>
      </c>
      <c r="E944" s="606" t="s">
        <v>2953</v>
      </c>
      <c r="F944" s="606" t="s">
        <v>2953</v>
      </c>
      <c r="G944" s="606" t="s">
        <v>1554</v>
      </c>
      <c r="H944" s="606" t="s">
        <v>1555</v>
      </c>
      <c r="I944" s="606" t="s">
        <v>1981</v>
      </c>
      <c r="J944" s="606" t="s">
        <v>1982</v>
      </c>
    </row>
    <row r="945" spans="2:10" ht="21" customHeight="1">
      <c r="B945" s="605" t="s">
        <v>2954</v>
      </c>
      <c r="C945" s="606" t="s">
        <v>8</v>
      </c>
      <c r="D945" s="605" t="s">
        <v>689</v>
      </c>
      <c r="E945" s="606" t="s">
        <v>2955</v>
      </c>
      <c r="F945" s="606" t="s">
        <v>2955</v>
      </c>
      <c r="G945" s="606" t="s">
        <v>1554</v>
      </c>
      <c r="H945" s="606" t="s">
        <v>1555</v>
      </c>
      <c r="I945" s="606" t="s">
        <v>1981</v>
      </c>
      <c r="J945" s="606" t="s">
        <v>1982</v>
      </c>
    </row>
    <row r="946" spans="2:10" ht="21" customHeight="1">
      <c r="B946" s="605" t="s">
        <v>2956</v>
      </c>
      <c r="C946" s="606" t="s">
        <v>8</v>
      </c>
      <c r="D946" s="605" t="s">
        <v>689</v>
      </c>
      <c r="E946" s="606" t="s">
        <v>2957</v>
      </c>
      <c r="F946" s="606" t="s">
        <v>2957</v>
      </c>
      <c r="G946" s="606" t="s">
        <v>1554</v>
      </c>
      <c r="H946" s="606" t="s">
        <v>1555</v>
      </c>
      <c r="I946" s="606" t="s">
        <v>1981</v>
      </c>
      <c r="J946" s="606" t="s">
        <v>1982</v>
      </c>
    </row>
    <row r="947" spans="2:10" ht="21" customHeight="1">
      <c r="B947" s="605" t="s">
        <v>2958</v>
      </c>
      <c r="C947" s="606" t="s">
        <v>8</v>
      </c>
      <c r="D947" s="605" t="s">
        <v>689</v>
      </c>
      <c r="E947" s="606" t="s">
        <v>2959</v>
      </c>
      <c r="F947" s="606" t="s">
        <v>2959</v>
      </c>
      <c r="G947" s="606" t="s">
        <v>1554</v>
      </c>
      <c r="H947" s="606" t="s">
        <v>1555</v>
      </c>
      <c r="I947" s="606" t="s">
        <v>1981</v>
      </c>
      <c r="J947" s="606" t="s">
        <v>1982</v>
      </c>
    </row>
    <row r="948" spans="2:10" ht="21" customHeight="1">
      <c r="B948" s="605" t="s">
        <v>2960</v>
      </c>
      <c r="C948" s="606" t="s">
        <v>8</v>
      </c>
      <c r="D948" s="605" t="s">
        <v>689</v>
      </c>
      <c r="E948" s="606" t="s">
        <v>2961</v>
      </c>
      <c r="F948" s="606" t="s">
        <v>2961</v>
      </c>
      <c r="G948" s="606" t="s">
        <v>1554</v>
      </c>
      <c r="H948" s="606" t="s">
        <v>1555</v>
      </c>
      <c r="I948" s="606" t="s">
        <v>1981</v>
      </c>
      <c r="J948" s="606" t="s">
        <v>1982</v>
      </c>
    </row>
    <row r="949" spans="2:10" ht="21" customHeight="1">
      <c r="B949" s="605" t="s">
        <v>2962</v>
      </c>
      <c r="C949" s="606" t="s">
        <v>8</v>
      </c>
      <c r="D949" s="605" t="s">
        <v>689</v>
      </c>
      <c r="E949" s="606" t="s">
        <v>2963</v>
      </c>
      <c r="F949" s="606" t="s">
        <v>2963</v>
      </c>
      <c r="G949" s="606" t="s">
        <v>1554</v>
      </c>
      <c r="H949" s="606" t="s">
        <v>1555</v>
      </c>
      <c r="I949" s="606" t="s">
        <v>1981</v>
      </c>
      <c r="J949" s="606" t="s">
        <v>1982</v>
      </c>
    </row>
    <row r="950" spans="2:10" ht="21" customHeight="1">
      <c r="B950" s="605" t="s">
        <v>2964</v>
      </c>
      <c r="C950" s="606" t="s">
        <v>8</v>
      </c>
      <c r="D950" s="605" t="s">
        <v>689</v>
      </c>
      <c r="E950" s="606" t="s">
        <v>2965</v>
      </c>
      <c r="F950" s="606" t="s">
        <v>2965</v>
      </c>
      <c r="G950" s="606" t="s">
        <v>1554</v>
      </c>
      <c r="H950" s="606" t="s">
        <v>1555</v>
      </c>
      <c r="I950" s="606" t="s">
        <v>1981</v>
      </c>
      <c r="J950" s="606" t="s">
        <v>1982</v>
      </c>
    </row>
    <row r="951" spans="2:10" ht="21" customHeight="1">
      <c r="B951" s="605" t="s">
        <v>2966</v>
      </c>
      <c r="C951" s="606" t="s">
        <v>8</v>
      </c>
      <c r="D951" s="605" t="s">
        <v>689</v>
      </c>
      <c r="E951" s="606" t="s">
        <v>2967</v>
      </c>
      <c r="F951" s="606" t="s">
        <v>2967</v>
      </c>
      <c r="G951" s="606" t="s">
        <v>1554</v>
      </c>
      <c r="H951" s="606" t="s">
        <v>1555</v>
      </c>
      <c r="I951" s="606" t="s">
        <v>1981</v>
      </c>
      <c r="J951" s="606" t="s">
        <v>1982</v>
      </c>
    </row>
    <row r="952" spans="2:10" ht="21" customHeight="1">
      <c r="B952" s="605" t="s">
        <v>2968</v>
      </c>
      <c r="C952" s="606" t="s">
        <v>8</v>
      </c>
      <c r="D952" s="605" t="s">
        <v>689</v>
      </c>
      <c r="E952" s="606" t="s">
        <v>2969</v>
      </c>
      <c r="F952" s="606" t="s">
        <v>2969</v>
      </c>
      <c r="G952" s="606" t="s">
        <v>1554</v>
      </c>
      <c r="H952" s="606" t="s">
        <v>1555</v>
      </c>
      <c r="I952" s="606" t="s">
        <v>1981</v>
      </c>
      <c r="J952" s="606" t="s">
        <v>1982</v>
      </c>
    </row>
    <row r="953" spans="2:10" ht="21" customHeight="1">
      <c r="B953" s="605" t="s">
        <v>2970</v>
      </c>
      <c r="C953" s="606" t="s">
        <v>8</v>
      </c>
      <c r="D953" s="605" t="s">
        <v>689</v>
      </c>
      <c r="E953" s="606" t="s">
        <v>2971</v>
      </c>
      <c r="F953" s="606" t="s">
        <v>2971</v>
      </c>
      <c r="G953" s="606" t="s">
        <v>1554</v>
      </c>
      <c r="H953" s="606" t="s">
        <v>1555</v>
      </c>
      <c r="I953" s="606" t="s">
        <v>1981</v>
      </c>
      <c r="J953" s="606" t="s">
        <v>1982</v>
      </c>
    </row>
    <row r="954" spans="2:10" ht="21" customHeight="1">
      <c r="B954" s="605" t="s">
        <v>2972</v>
      </c>
      <c r="C954" s="606" t="s">
        <v>8</v>
      </c>
      <c r="D954" s="605" t="s">
        <v>689</v>
      </c>
      <c r="E954" s="606" t="s">
        <v>2973</v>
      </c>
      <c r="F954" s="606" t="s">
        <v>2973</v>
      </c>
      <c r="G954" s="606" t="s">
        <v>1554</v>
      </c>
      <c r="H954" s="606" t="s">
        <v>1555</v>
      </c>
      <c r="I954" s="606" t="s">
        <v>1981</v>
      </c>
      <c r="J954" s="606" t="s">
        <v>1982</v>
      </c>
    </row>
    <row r="955" spans="2:10" ht="21" customHeight="1">
      <c r="B955" s="605" t="s">
        <v>2974</v>
      </c>
      <c r="C955" s="606" t="s">
        <v>8</v>
      </c>
      <c r="D955" s="605" t="s">
        <v>689</v>
      </c>
      <c r="E955" s="606" t="s">
        <v>2975</v>
      </c>
      <c r="F955" s="606" t="s">
        <v>2975</v>
      </c>
      <c r="G955" s="606" t="s">
        <v>1554</v>
      </c>
      <c r="H955" s="606" t="s">
        <v>1555</v>
      </c>
      <c r="I955" s="606" t="s">
        <v>1981</v>
      </c>
      <c r="J955" s="606" t="s">
        <v>1982</v>
      </c>
    </row>
    <row r="956" spans="2:10" ht="21" customHeight="1">
      <c r="B956" s="605" t="s">
        <v>2976</v>
      </c>
      <c r="C956" s="606" t="s">
        <v>8</v>
      </c>
      <c r="D956" s="605" t="s">
        <v>689</v>
      </c>
      <c r="E956" s="606" t="s">
        <v>2977</v>
      </c>
      <c r="F956" s="606" t="s">
        <v>2977</v>
      </c>
      <c r="G956" s="606" t="s">
        <v>1554</v>
      </c>
      <c r="H956" s="606" t="s">
        <v>1555</v>
      </c>
      <c r="I956" s="606" t="s">
        <v>1981</v>
      </c>
      <c r="J956" s="606" t="s">
        <v>1982</v>
      </c>
    </row>
    <row r="957" spans="2:10" ht="21" customHeight="1">
      <c r="B957" s="605" t="s">
        <v>2978</v>
      </c>
      <c r="C957" s="606" t="s">
        <v>8</v>
      </c>
      <c r="D957" s="605" t="s">
        <v>689</v>
      </c>
      <c r="E957" s="606" t="s">
        <v>2979</v>
      </c>
      <c r="F957" s="606" t="s">
        <v>2979</v>
      </c>
      <c r="G957" s="606" t="s">
        <v>1554</v>
      </c>
      <c r="H957" s="606" t="s">
        <v>1555</v>
      </c>
      <c r="I957" s="606" t="s">
        <v>1981</v>
      </c>
      <c r="J957" s="606" t="s">
        <v>1982</v>
      </c>
    </row>
    <row r="958" spans="2:10" ht="21" customHeight="1">
      <c r="B958" s="605" t="s">
        <v>2980</v>
      </c>
      <c r="C958" s="606" t="s">
        <v>8</v>
      </c>
      <c r="D958" s="605" t="s">
        <v>689</v>
      </c>
      <c r="E958" s="606" t="s">
        <v>2981</v>
      </c>
      <c r="F958" s="606" t="s">
        <v>2981</v>
      </c>
      <c r="G958" s="606" t="s">
        <v>1554</v>
      </c>
      <c r="H958" s="606" t="s">
        <v>1555</v>
      </c>
      <c r="I958" s="606" t="s">
        <v>1981</v>
      </c>
      <c r="J958" s="606" t="s">
        <v>1982</v>
      </c>
    </row>
    <row r="959" spans="2:10" ht="21" customHeight="1">
      <c r="B959" s="605" t="s">
        <v>2982</v>
      </c>
      <c r="C959" s="606" t="s">
        <v>8</v>
      </c>
      <c r="D959" s="605" t="s">
        <v>689</v>
      </c>
      <c r="E959" s="606" t="s">
        <v>2983</v>
      </c>
      <c r="F959" s="606" t="s">
        <v>2983</v>
      </c>
      <c r="G959" s="606" t="s">
        <v>1554</v>
      </c>
      <c r="H959" s="606" t="s">
        <v>1555</v>
      </c>
      <c r="I959" s="606" t="s">
        <v>1981</v>
      </c>
      <c r="J959" s="606" t="s">
        <v>1982</v>
      </c>
    </row>
    <row r="960" spans="2:10" ht="21" customHeight="1">
      <c r="B960" s="605" t="s">
        <v>2984</v>
      </c>
      <c r="C960" s="606" t="s">
        <v>8</v>
      </c>
      <c r="D960" s="605" t="s">
        <v>689</v>
      </c>
      <c r="E960" s="606" t="s">
        <v>2985</v>
      </c>
      <c r="F960" s="606" t="s">
        <v>2985</v>
      </c>
      <c r="G960" s="606" t="s">
        <v>1554</v>
      </c>
      <c r="H960" s="606" t="s">
        <v>1555</v>
      </c>
      <c r="I960" s="606" t="s">
        <v>1981</v>
      </c>
      <c r="J960" s="606" t="s">
        <v>1982</v>
      </c>
    </row>
    <row r="961" spans="2:10" ht="21" customHeight="1">
      <c r="B961" s="605" t="s">
        <v>2986</v>
      </c>
      <c r="C961" s="606" t="s">
        <v>8</v>
      </c>
      <c r="D961" s="605" t="s">
        <v>689</v>
      </c>
      <c r="E961" s="606" t="s">
        <v>2987</v>
      </c>
      <c r="F961" s="606" t="s">
        <v>2987</v>
      </c>
      <c r="G961" s="606" t="s">
        <v>1554</v>
      </c>
      <c r="H961" s="606" t="s">
        <v>1555</v>
      </c>
      <c r="I961" s="606" t="s">
        <v>1981</v>
      </c>
      <c r="J961" s="606" t="s">
        <v>1982</v>
      </c>
    </row>
    <row r="962" spans="2:10" ht="21" customHeight="1">
      <c r="B962" s="605" t="s">
        <v>2988</v>
      </c>
      <c r="C962" s="606" t="s">
        <v>8</v>
      </c>
      <c r="D962" s="605" t="s">
        <v>689</v>
      </c>
      <c r="E962" s="606" t="s">
        <v>2989</v>
      </c>
      <c r="F962" s="606" t="s">
        <v>2989</v>
      </c>
      <c r="G962" s="606" t="s">
        <v>1554</v>
      </c>
      <c r="H962" s="606" t="s">
        <v>1555</v>
      </c>
      <c r="I962" s="606" t="s">
        <v>1981</v>
      </c>
      <c r="J962" s="606" t="s">
        <v>1982</v>
      </c>
    </row>
    <row r="963" spans="2:10" ht="21" customHeight="1">
      <c r="B963" s="605" t="s">
        <v>2990</v>
      </c>
      <c r="C963" s="606" t="s">
        <v>8</v>
      </c>
      <c r="D963" s="605" t="s">
        <v>689</v>
      </c>
      <c r="E963" s="606" t="s">
        <v>2991</v>
      </c>
      <c r="F963" s="606" t="s">
        <v>2991</v>
      </c>
      <c r="G963" s="606" t="s">
        <v>1554</v>
      </c>
      <c r="H963" s="606" t="s">
        <v>1555</v>
      </c>
      <c r="I963" s="606" t="s">
        <v>1981</v>
      </c>
      <c r="J963" s="606" t="s">
        <v>1982</v>
      </c>
    </row>
    <row r="964" spans="2:10" ht="21" customHeight="1">
      <c r="B964" s="605" t="s">
        <v>2992</v>
      </c>
      <c r="C964" s="606" t="s">
        <v>8</v>
      </c>
      <c r="D964" s="605" t="s">
        <v>689</v>
      </c>
      <c r="E964" s="606" t="s">
        <v>2993</v>
      </c>
      <c r="F964" s="606" t="s">
        <v>2993</v>
      </c>
      <c r="G964" s="606" t="s">
        <v>1554</v>
      </c>
      <c r="H964" s="606" t="s">
        <v>1555</v>
      </c>
      <c r="I964" s="606" t="s">
        <v>1981</v>
      </c>
      <c r="J964" s="606" t="s">
        <v>1982</v>
      </c>
    </row>
    <row r="965" spans="2:10" ht="21" customHeight="1">
      <c r="B965" s="605" t="s">
        <v>2994</v>
      </c>
      <c r="C965" s="606" t="s">
        <v>8</v>
      </c>
      <c r="D965" s="605" t="s">
        <v>689</v>
      </c>
      <c r="E965" s="606" t="s">
        <v>2995</v>
      </c>
      <c r="F965" s="606" t="s">
        <v>2995</v>
      </c>
      <c r="G965" s="606" t="s">
        <v>1554</v>
      </c>
      <c r="H965" s="606" t="s">
        <v>1555</v>
      </c>
      <c r="I965" s="606" t="s">
        <v>1981</v>
      </c>
      <c r="J965" s="606" t="s">
        <v>1982</v>
      </c>
    </row>
    <row r="966" spans="2:10" ht="21" customHeight="1">
      <c r="B966" s="605" t="s">
        <v>2996</v>
      </c>
      <c r="C966" s="606" t="s">
        <v>8</v>
      </c>
      <c r="D966" s="605" t="s">
        <v>689</v>
      </c>
      <c r="E966" s="606" t="s">
        <v>2997</v>
      </c>
      <c r="F966" s="606" t="s">
        <v>2997</v>
      </c>
      <c r="G966" s="606" t="s">
        <v>1554</v>
      </c>
      <c r="H966" s="606" t="s">
        <v>1555</v>
      </c>
      <c r="I966" s="606" t="s">
        <v>1981</v>
      </c>
      <c r="J966" s="606" t="s">
        <v>1982</v>
      </c>
    </row>
    <row r="967" spans="2:10" ht="21" customHeight="1">
      <c r="B967" s="605" t="s">
        <v>2998</v>
      </c>
      <c r="C967" s="606" t="s">
        <v>8</v>
      </c>
      <c r="D967" s="605" t="s">
        <v>689</v>
      </c>
      <c r="E967" s="606" t="s">
        <v>2999</v>
      </c>
      <c r="F967" s="606" t="s">
        <v>2999</v>
      </c>
      <c r="G967" s="606" t="s">
        <v>1554</v>
      </c>
      <c r="H967" s="606" t="s">
        <v>1555</v>
      </c>
      <c r="I967" s="606" t="s">
        <v>1981</v>
      </c>
      <c r="J967" s="606" t="s">
        <v>1982</v>
      </c>
    </row>
    <row r="968" spans="2:10" ht="21" customHeight="1">
      <c r="B968" s="605" t="s">
        <v>3000</v>
      </c>
      <c r="C968" s="606" t="s">
        <v>8</v>
      </c>
      <c r="D968" s="605" t="s">
        <v>689</v>
      </c>
      <c r="E968" s="606" t="s">
        <v>3001</v>
      </c>
      <c r="F968" s="606" t="s">
        <v>3001</v>
      </c>
      <c r="G968" s="606" t="s">
        <v>1554</v>
      </c>
      <c r="H968" s="606" t="s">
        <v>1555</v>
      </c>
      <c r="I968" s="606" t="s">
        <v>1981</v>
      </c>
      <c r="J968" s="606" t="s">
        <v>1982</v>
      </c>
    </row>
    <row r="969" spans="2:10" ht="21" customHeight="1">
      <c r="B969" s="605" t="s">
        <v>3002</v>
      </c>
      <c r="C969" s="606" t="s">
        <v>8</v>
      </c>
      <c r="D969" s="605" t="s">
        <v>689</v>
      </c>
      <c r="E969" s="606" t="s">
        <v>3003</v>
      </c>
      <c r="F969" s="606" t="s">
        <v>3003</v>
      </c>
      <c r="G969" s="606" t="s">
        <v>1554</v>
      </c>
      <c r="H969" s="606" t="s">
        <v>1555</v>
      </c>
      <c r="I969" s="606" t="s">
        <v>1981</v>
      </c>
      <c r="J969" s="606" t="s">
        <v>1982</v>
      </c>
    </row>
    <row r="970" spans="2:10" ht="21" customHeight="1">
      <c r="B970" s="605" t="s">
        <v>3004</v>
      </c>
      <c r="C970" s="606" t="s">
        <v>8</v>
      </c>
      <c r="D970" s="605" t="s">
        <v>689</v>
      </c>
      <c r="E970" s="606" t="s">
        <v>3005</v>
      </c>
      <c r="F970" s="606" t="s">
        <v>3005</v>
      </c>
      <c r="G970" s="606" t="s">
        <v>1554</v>
      </c>
      <c r="H970" s="606" t="s">
        <v>1555</v>
      </c>
      <c r="I970" s="606" t="s">
        <v>1981</v>
      </c>
      <c r="J970" s="606" t="s">
        <v>1982</v>
      </c>
    </row>
    <row r="971" spans="2:10" ht="21" customHeight="1">
      <c r="B971" s="605" t="s">
        <v>3006</v>
      </c>
      <c r="C971" s="606" t="s">
        <v>8</v>
      </c>
      <c r="D971" s="605" t="s">
        <v>689</v>
      </c>
      <c r="E971" s="606" t="s">
        <v>3007</v>
      </c>
      <c r="F971" s="606" t="s">
        <v>3007</v>
      </c>
      <c r="G971" s="606" t="s">
        <v>1554</v>
      </c>
      <c r="H971" s="606" t="s">
        <v>1555</v>
      </c>
      <c r="I971" s="606" t="s">
        <v>1981</v>
      </c>
      <c r="J971" s="606" t="s">
        <v>1982</v>
      </c>
    </row>
    <row r="972" spans="2:10" ht="21" customHeight="1">
      <c r="B972" s="605" t="s">
        <v>3008</v>
      </c>
      <c r="C972" s="606" t="s">
        <v>8</v>
      </c>
      <c r="D972" s="605" t="s">
        <v>689</v>
      </c>
      <c r="E972" s="606" t="s">
        <v>3009</v>
      </c>
      <c r="F972" s="606" t="s">
        <v>3009</v>
      </c>
      <c r="G972" s="606" t="s">
        <v>1554</v>
      </c>
      <c r="H972" s="606" t="s">
        <v>1555</v>
      </c>
      <c r="I972" s="606" t="s">
        <v>1981</v>
      </c>
      <c r="J972" s="606" t="s">
        <v>1982</v>
      </c>
    </row>
    <row r="973" spans="2:10" ht="21" customHeight="1">
      <c r="B973" s="605" t="s">
        <v>3010</v>
      </c>
      <c r="C973" s="606" t="s">
        <v>8</v>
      </c>
      <c r="D973" s="605" t="s">
        <v>689</v>
      </c>
      <c r="E973" s="606" t="s">
        <v>3011</v>
      </c>
      <c r="F973" s="606" t="s">
        <v>3011</v>
      </c>
      <c r="G973" s="606" t="s">
        <v>1554</v>
      </c>
      <c r="H973" s="606" t="s">
        <v>1555</v>
      </c>
      <c r="I973" s="606" t="s">
        <v>1981</v>
      </c>
      <c r="J973" s="606" t="s">
        <v>1982</v>
      </c>
    </row>
    <row r="974" spans="2:10" ht="21" customHeight="1">
      <c r="B974" s="605" t="s">
        <v>3012</v>
      </c>
      <c r="C974" s="606" t="s">
        <v>8</v>
      </c>
      <c r="D974" s="605" t="s">
        <v>689</v>
      </c>
      <c r="E974" s="606" t="s">
        <v>3013</v>
      </c>
      <c r="F974" s="606" t="s">
        <v>3013</v>
      </c>
      <c r="G974" s="606" t="s">
        <v>1554</v>
      </c>
      <c r="H974" s="606" t="s">
        <v>1555</v>
      </c>
      <c r="I974" s="606" t="s">
        <v>1981</v>
      </c>
      <c r="J974" s="606" t="s">
        <v>1982</v>
      </c>
    </row>
    <row r="975" spans="2:10" ht="21" customHeight="1">
      <c r="B975" s="605" t="s">
        <v>3014</v>
      </c>
      <c r="C975" s="606" t="s">
        <v>8</v>
      </c>
      <c r="D975" s="605" t="s">
        <v>689</v>
      </c>
      <c r="E975" s="606" t="s">
        <v>3015</v>
      </c>
      <c r="F975" s="606" t="s">
        <v>3015</v>
      </c>
      <c r="G975" s="606" t="s">
        <v>1554</v>
      </c>
      <c r="H975" s="606" t="s">
        <v>1555</v>
      </c>
      <c r="I975" s="606" t="s">
        <v>1981</v>
      </c>
      <c r="J975" s="606" t="s">
        <v>1982</v>
      </c>
    </row>
    <row r="976" spans="2:10" ht="21" customHeight="1">
      <c r="B976" s="605" t="s">
        <v>3016</v>
      </c>
      <c r="C976" s="606" t="s">
        <v>8</v>
      </c>
      <c r="D976" s="605" t="s">
        <v>689</v>
      </c>
      <c r="E976" s="606" t="s">
        <v>3017</v>
      </c>
      <c r="F976" s="606" t="s">
        <v>3017</v>
      </c>
      <c r="G976" s="606" t="s">
        <v>1554</v>
      </c>
      <c r="H976" s="606" t="s">
        <v>1555</v>
      </c>
      <c r="I976" s="606" t="s">
        <v>1981</v>
      </c>
      <c r="J976" s="606" t="s">
        <v>1982</v>
      </c>
    </row>
    <row r="977" spans="2:10" ht="21" customHeight="1">
      <c r="B977" s="605" t="s">
        <v>3018</v>
      </c>
      <c r="C977" s="606" t="s">
        <v>8</v>
      </c>
      <c r="D977" s="605" t="s">
        <v>689</v>
      </c>
      <c r="E977" s="606" t="s">
        <v>3019</v>
      </c>
      <c r="F977" s="606" t="s">
        <v>3019</v>
      </c>
      <c r="G977" s="606" t="s">
        <v>1151</v>
      </c>
      <c r="H977" s="606" t="s">
        <v>1152</v>
      </c>
      <c r="I977" s="606" t="s">
        <v>1087</v>
      </c>
      <c r="J977" s="606" t="s">
        <v>1153</v>
      </c>
    </row>
    <row r="978" spans="2:10" ht="21" customHeight="1">
      <c r="B978" s="605" t="s">
        <v>3020</v>
      </c>
      <c r="C978" s="606" t="s">
        <v>8</v>
      </c>
      <c r="D978" s="605" t="s">
        <v>689</v>
      </c>
      <c r="E978" s="606" t="s">
        <v>3021</v>
      </c>
      <c r="F978" s="606" t="s">
        <v>3021</v>
      </c>
      <c r="G978" s="606" t="s">
        <v>1554</v>
      </c>
      <c r="H978" s="606" t="s">
        <v>1555</v>
      </c>
      <c r="I978" s="606" t="s">
        <v>1981</v>
      </c>
      <c r="J978" s="606" t="s">
        <v>1982</v>
      </c>
    </row>
    <row r="979" spans="2:10" ht="21" customHeight="1">
      <c r="B979" s="605" t="s">
        <v>3022</v>
      </c>
      <c r="C979" s="606" t="s">
        <v>8</v>
      </c>
      <c r="D979" s="605" t="s">
        <v>689</v>
      </c>
      <c r="E979" s="606" t="s">
        <v>3023</v>
      </c>
      <c r="F979" s="606" t="s">
        <v>3023</v>
      </c>
      <c r="G979" s="606" t="s">
        <v>1554</v>
      </c>
      <c r="H979" s="606" t="s">
        <v>1555</v>
      </c>
      <c r="I979" s="606" t="s">
        <v>1981</v>
      </c>
      <c r="J979" s="606" t="s">
        <v>1982</v>
      </c>
    </row>
    <row r="980" spans="2:10" ht="21" customHeight="1">
      <c r="B980" s="605" t="s">
        <v>3024</v>
      </c>
      <c r="C980" s="606" t="s">
        <v>8</v>
      </c>
      <c r="D980" s="605" t="s">
        <v>689</v>
      </c>
      <c r="E980" s="606" t="s">
        <v>360</v>
      </c>
      <c r="F980" s="606" t="s">
        <v>360</v>
      </c>
      <c r="G980" s="606" t="s">
        <v>1554</v>
      </c>
      <c r="H980" s="606" t="s">
        <v>1555</v>
      </c>
      <c r="I980" s="606" t="s">
        <v>1981</v>
      </c>
      <c r="J980" s="606" t="s">
        <v>1982</v>
      </c>
    </row>
    <row r="981" spans="2:10" ht="21" customHeight="1">
      <c r="B981" s="605" t="s">
        <v>3025</v>
      </c>
      <c r="C981" s="606" t="s">
        <v>8</v>
      </c>
      <c r="D981" s="605" t="s">
        <v>689</v>
      </c>
      <c r="E981" s="606" t="s">
        <v>3026</v>
      </c>
      <c r="F981" s="606" t="s">
        <v>3026</v>
      </c>
      <c r="G981" s="606" t="s">
        <v>1554</v>
      </c>
      <c r="H981" s="606" t="s">
        <v>1555</v>
      </c>
      <c r="I981" s="606" t="s">
        <v>1981</v>
      </c>
      <c r="J981" s="606" t="s">
        <v>1982</v>
      </c>
    </row>
    <row r="982" spans="2:10" ht="21" customHeight="1">
      <c r="B982" s="605" t="s">
        <v>3027</v>
      </c>
      <c r="C982" s="606" t="s">
        <v>8</v>
      </c>
      <c r="D982" s="605" t="s">
        <v>689</v>
      </c>
      <c r="E982" s="606" t="s">
        <v>3028</v>
      </c>
      <c r="F982" s="606" t="s">
        <v>3028</v>
      </c>
      <c r="G982" s="606" t="s">
        <v>1554</v>
      </c>
      <c r="H982" s="606" t="s">
        <v>1555</v>
      </c>
      <c r="I982" s="606" t="s">
        <v>1981</v>
      </c>
      <c r="J982" s="606" t="s">
        <v>1982</v>
      </c>
    </row>
    <row r="983" spans="2:10" ht="21" customHeight="1">
      <c r="B983" s="605" t="s">
        <v>3029</v>
      </c>
      <c r="C983" s="606" t="s">
        <v>8</v>
      </c>
      <c r="D983" s="605" t="s">
        <v>689</v>
      </c>
      <c r="E983" s="606" t="s">
        <v>3030</v>
      </c>
      <c r="F983" s="606" t="s">
        <v>3030</v>
      </c>
      <c r="G983" s="606" t="s">
        <v>1554</v>
      </c>
      <c r="H983" s="606" t="s">
        <v>1555</v>
      </c>
      <c r="I983" s="606" t="s">
        <v>1981</v>
      </c>
      <c r="J983" s="606" t="s">
        <v>1982</v>
      </c>
    </row>
    <row r="984" spans="2:10" ht="21" customHeight="1">
      <c r="B984" s="605" t="s">
        <v>3031</v>
      </c>
      <c r="C984" s="606" t="s">
        <v>8</v>
      </c>
      <c r="D984" s="605" t="s">
        <v>689</v>
      </c>
      <c r="E984" s="606" t="s">
        <v>3032</v>
      </c>
      <c r="F984" s="606" t="s">
        <v>3032</v>
      </c>
      <c r="G984" s="606" t="s">
        <v>1554</v>
      </c>
      <c r="H984" s="606" t="s">
        <v>1555</v>
      </c>
      <c r="I984" s="606" t="s">
        <v>1981</v>
      </c>
      <c r="J984" s="606" t="s">
        <v>1982</v>
      </c>
    </row>
    <row r="985" spans="2:10" ht="21" customHeight="1">
      <c r="B985" s="605" t="s">
        <v>3033</v>
      </c>
      <c r="C985" s="606" t="s">
        <v>8</v>
      </c>
      <c r="D985" s="605" t="s">
        <v>689</v>
      </c>
      <c r="E985" s="606" t="s">
        <v>3034</v>
      </c>
      <c r="F985" s="606" t="s">
        <v>3034</v>
      </c>
      <c r="G985" s="606" t="s">
        <v>1554</v>
      </c>
      <c r="H985" s="606" t="s">
        <v>1555</v>
      </c>
      <c r="I985" s="606" t="s">
        <v>1981</v>
      </c>
      <c r="J985" s="606" t="s">
        <v>1982</v>
      </c>
    </row>
    <row r="986" spans="2:10" ht="21" customHeight="1">
      <c r="B986" s="605" t="s">
        <v>3035</v>
      </c>
      <c r="C986" s="606" t="s">
        <v>8</v>
      </c>
      <c r="D986" s="605" t="s">
        <v>689</v>
      </c>
      <c r="E986" s="606" t="s">
        <v>1040</v>
      </c>
      <c r="F986" s="606" t="s">
        <v>1040</v>
      </c>
      <c r="G986" s="606" t="s">
        <v>1554</v>
      </c>
      <c r="H986" s="606" t="s">
        <v>1555</v>
      </c>
      <c r="I986" s="606" t="s">
        <v>1981</v>
      </c>
      <c r="J986" s="606" t="s">
        <v>1982</v>
      </c>
    </row>
    <row r="987" spans="2:10" ht="21" customHeight="1">
      <c r="B987" s="605" t="s">
        <v>3036</v>
      </c>
      <c r="C987" s="606" t="s">
        <v>8</v>
      </c>
      <c r="D987" s="605" t="s">
        <v>689</v>
      </c>
      <c r="E987" s="606" t="s">
        <v>3037</v>
      </c>
      <c r="F987" s="606" t="s">
        <v>3037</v>
      </c>
      <c r="G987" s="606" t="s">
        <v>1554</v>
      </c>
      <c r="H987" s="606" t="s">
        <v>1555</v>
      </c>
      <c r="I987" s="606" t="s">
        <v>1981</v>
      </c>
      <c r="J987" s="606" t="s">
        <v>1982</v>
      </c>
    </row>
    <row r="988" spans="2:10" ht="21" customHeight="1">
      <c r="B988" s="605" t="s">
        <v>3038</v>
      </c>
      <c r="C988" s="606" t="s">
        <v>8</v>
      </c>
      <c r="D988" s="605" t="s">
        <v>689</v>
      </c>
      <c r="E988" s="606" t="s">
        <v>3039</v>
      </c>
      <c r="F988" s="606" t="s">
        <v>3039</v>
      </c>
      <c r="G988" s="606" t="s">
        <v>1554</v>
      </c>
      <c r="H988" s="606" t="s">
        <v>1555</v>
      </c>
      <c r="I988" s="606" t="s">
        <v>1981</v>
      </c>
      <c r="J988" s="606" t="s">
        <v>1982</v>
      </c>
    </row>
    <row r="989" spans="2:10" ht="21" customHeight="1">
      <c r="B989" s="605" t="s">
        <v>3040</v>
      </c>
      <c r="C989" s="606" t="s">
        <v>8</v>
      </c>
      <c r="D989" s="605" t="s">
        <v>689</v>
      </c>
      <c r="E989" s="606" t="s">
        <v>3041</v>
      </c>
      <c r="F989" s="606" t="s">
        <v>3041</v>
      </c>
      <c r="G989" s="606" t="s">
        <v>1554</v>
      </c>
      <c r="H989" s="606" t="s">
        <v>1555</v>
      </c>
      <c r="I989" s="606" t="s">
        <v>1981</v>
      </c>
      <c r="J989" s="606" t="s">
        <v>1982</v>
      </c>
    </row>
    <row r="990" spans="2:10" ht="21" customHeight="1">
      <c r="B990" s="605" t="s">
        <v>3042</v>
      </c>
      <c r="C990" s="606" t="s">
        <v>8</v>
      </c>
      <c r="D990" s="605" t="s">
        <v>689</v>
      </c>
      <c r="E990" s="606" t="s">
        <v>3043</v>
      </c>
      <c r="F990" s="606" t="s">
        <v>3043</v>
      </c>
      <c r="G990" s="606" t="s">
        <v>1554</v>
      </c>
      <c r="H990" s="606" t="s">
        <v>1555</v>
      </c>
      <c r="I990" s="606" t="s">
        <v>1981</v>
      </c>
      <c r="J990" s="606" t="s">
        <v>1982</v>
      </c>
    </row>
    <row r="991" spans="2:10" ht="21" customHeight="1">
      <c r="B991" s="605" t="s">
        <v>3044</v>
      </c>
      <c r="C991" s="606" t="s">
        <v>8</v>
      </c>
      <c r="D991" s="605" t="s">
        <v>689</v>
      </c>
      <c r="E991" s="606" t="s">
        <v>3045</v>
      </c>
      <c r="F991" s="606" t="s">
        <v>3045</v>
      </c>
      <c r="G991" s="606" t="s">
        <v>1554</v>
      </c>
      <c r="H991" s="606" t="s">
        <v>1555</v>
      </c>
      <c r="I991" s="606" t="s">
        <v>1981</v>
      </c>
      <c r="J991" s="606" t="s">
        <v>1982</v>
      </c>
    </row>
    <row r="992" spans="2:10" ht="21" customHeight="1">
      <c r="B992" s="605" t="s">
        <v>3046</v>
      </c>
      <c r="C992" s="606" t="s">
        <v>8</v>
      </c>
      <c r="D992" s="605" t="s">
        <v>689</v>
      </c>
      <c r="E992" s="606" t="s">
        <v>3047</v>
      </c>
      <c r="F992" s="606" t="s">
        <v>3047</v>
      </c>
      <c r="G992" s="606" t="s">
        <v>1554</v>
      </c>
      <c r="H992" s="606" t="s">
        <v>1555</v>
      </c>
      <c r="I992" s="606" t="s">
        <v>1981</v>
      </c>
      <c r="J992" s="606" t="s">
        <v>1982</v>
      </c>
    </row>
    <row r="993" spans="2:10" ht="21" customHeight="1">
      <c r="B993" s="605" t="s">
        <v>3048</v>
      </c>
      <c r="C993" s="606" t="s">
        <v>8</v>
      </c>
      <c r="D993" s="605" t="s">
        <v>689</v>
      </c>
      <c r="E993" s="606" t="s">
        <v>3049</v>
      </c>
      <c r="F993" s="606" t="s">
        <v>3049</v>
      </c>
      <c r="G993" s="606" t="s">
        <v>1554</v>
      </c>
      <c r="H993" s="606" t="s">
        <v>1555</v>
      </c>
      <c r="I993" s="606" t="s">
        <v>1981</v>
      </c>
      <c r="J993" s="606" t="s">
        <v>1982</v>
      </c>
    </row>
    <row r="994" spans="2:10" ht="21" customHeight="1">
      <c r="B994" s="605" t="s">
        <v>3050</v>
      </c>
      <c r="C994" s="606" t="s">
        <v>8</v>
      </c>
      <c r="D994" s="605" t="s">
        <v>689</v>
      </c>
      <c r="E994" s="606" t="s">
        <v>3051</v>
      </c>
      <c r="F994" s="606" t="s">
        <v>3051</v>
      </c>
      <c r="G994" s="606" t="s">
        <v>1554</v>
      </c>
      <c r="H994" s="606" t="s">
        <v>1555</v>
      </c>
      <c r="I994" s="606" t="s">
        <v>1981</v>
      </c>
      <c r="J994" s="606" t="s">
        <v>1982</v>
      </c>
    </row>
    <row r="995" spans="2:10" ht="21" customHeight="1">
      <c r="B995" s="605" t="s">
        <v>3052</v>
      </c>
      <c r="C995" s="606" t="s">
        <v>8</v>
      </c>
      <c r="D995" s="605" t="s">
        <v>689</v>
      </c>
      <c r="E995" s="606" t="s">
        <v>3053</v>
      </c>
      <c r="F995" s="606" t="s">
        <v>3053</v>
      </c>
      <c r="G995" s="606" t="s">
        <v>1554</v>
      </c>
      <c r="H995" s="606" t="s">
        <v>1555</v>
      </c>
      <c r="I995" s="606" t="s">
        <v>1981</v>
      </c>
      <c r="J995" s="606" t="s">
        <v>1982</v>
      </c>
    </row>
    <row r="996" spans="2:10" ht="21" customHeight="1">
      <c r="B996" s="605" t="s">
        <v>3054</v>
      </c>
      <c r="C996" s="606" t="s">
        <v>8</v>
      </c>
      <c r="D996" s="605" t="s">
        <v>689</v>
      </c>
      <c r="E996" s="606" t="s">
        <v>3055</v>
      </c>
      <c r="F996" s="606" t="s">
        <v>3055</v>
      </c>
      <c r="G996" s="606" t="s">
        <v>1554</v>
      </c>
      <c r="H996" s="606" t="s">
        <v>1555</v>
      </c>
      <c r="I996" s="606" t="s">
        <v>1981</v>
      </c>
      <c r="J996" s="606" t="s">
        <v>1982</v>
      </c>
    </row>
    <row r="997" spans="2:10" ht="21" customHeight="1">
      <c r="B997" s="605" t="s">
        <v>3056</v>
      </c>
      <c r="C997" s="606" t="s">
        <v>8</v>
      </c>
      <c r="D997" s="605" t="s">
        <v>689</v>
      </c>
      <c r="E997" s="606" t="s">
        <v>3057</v>
      </c>
      <c r="F997" s="606" t="s">
        <v>3057</v>
      </c>
      <c r="G997" s="606" t="s">
        <v>1554</v>
      </c>
      <c r="H997" s="606" t="s">
        <v>1555</v>
      </c>
      <c r="I997" s="606" t="s">
        <v>1981</v>
      </c>
      <c r="J997" s="606" t="s">
        <v>1982</v>
      </c>
    </row>
    <row r="998" spans="2:10" ht="21" customHeight="1">
      <c r="B998" s="605" t="s">
        <v>3058</v>
      </c>
      <c r="C998" s="606" t="s">
        <v>8</v>
      </c>
      <c r="D998" s="605" t="s">
        <v>689</v>
      </c>
      <c r="E998" s="606" t="s">
        <v>3059</v>
      </c>
      <c r="F998" s="606" t="s">
        <v>3059</v>
      </c>
      <c r="G998" s="606" t="s">
        <v>1554</v>
      </c>
      <c r="H998" s="606" t="s">
        <v>1555</v>
      </c>
      <c r="I998" s="606" t="s">
        <v>1981</v>
      </c>
      <c r="J998" s="606" t="s">
        <v>1982</v>
      </c>
    </row>
    <row r="999" spans="2:10" ht="21" customHeight="1">
      <c r="B999" s="605" t="s">
        <v>3060</v>
      </c>
      <c r="C999" s="606" t="s">
        <v>8</v>
      </c>
      <c r="D999" s="605" t="s">
        <v>689</v>
      </c>
      <c r="E999" s="606" t="s">
        <v>3061</v>
      </c>
      <c r="F999" s="606" t="s">
        <v>3061</v>
      </c>
      <c r="G999" s="606" t="s">
        <v>1554</v>
      </c>
      <c r="H999" s="606" t="s">
        <v>1555</v>
      </c>
      <c r="I999" s="606" t="s">
        <v>1981</v>
      </c>
      <c r="J999" s="606" t="s">
        <v>1982</v>
      </c>
    </row>
    <row r="1000" spans="2:10" ht="21" customHeight="1">
      <c r="B1000" s="605" t="s">
        <v>3062</v>
      </c>
      <c r="C1000" s="606" t="s">
        <v>8</v>
      </c>
      <c r="D1000" s="605" t="s">
        <v>689</v>
      </c>
      <c r="E1000" s="606" t="s">
        <v>3063</v>
      </c>
      <c r="F1000" s="606" t="s">
        <v>3063</v>
      </c>
      <c r="G1000" s="606" t="s">
        <v>1085</v>
      </c>
      <c r="H1000" s="606" t="s">
        <v>2063</v>
      </c>
      <c r="I1000" s="606" t="s">
        <v>1087</v>
      </c>
      <c r="J1000" s="606" t="s">
        <v>1088</v>
      </c>
    </row>
    <row r="1001" spans="2:10" ht="21" customHeight="1">
      <c r="B1001" s="605" t="s">
        <v>3064</v>
      </c>
      <c r="C1001" s="606" t="s">
        <v>8</v>
      </c>
      <c r="D1001" s="605" t="s">
        <v>689</v>
      </c>
      <c r="E1001" s="606" t="s">
        <v>3065</v>
      </c>
      <c r="F1001" s="606" t="s">
        <v>3065</v>
      </c>
      <c r="G1001" s="606" t="s">
        <v>1554</v>
      </c>
      <c r="H1001" s="606" t="s">
        <v>1555</v>
      </c>
      <c r="I1001" s="606" t="s">
        <v>1981</v>
      </c>
      <c r="J1001" s="606" t="s">
        <v>1982</v>
      </c>
    </row>
    <row r="1002" spans="2:10" ht="21" customHeight="1">
      <c r="B1002" s="605" t="s">
        <v>3066</v>
      </c>
      <c r="C1002" s="606" t="s">
        <v>8</v>
      </c>
      <c r="D1002" s="605" t="s">
        <v>689</v>
      </c>
      <c r="E1002" s="606" t="s">
        <v>3067</v>
      </c>
      <c r="F1002" s="606" t="s">
        <v>3067</v>
      </c>
      <c r="G1002" s="606" t="s">
        <v>1554</v>
      </c>
      <c r="H1002" s="606" t="s">
        <v>1555</v>
      </c>
      <c r="I1002" s="606" t="s">
        <v>1981</v>
      </c>
      <c r="J1002" s="606" t="s">
        <v>1982</v>
      </c>
    </row>
    <row r="1003" spans="2:10" ht="21" customHeight="1">
      <c r="B1003" s="605" t="s">
        <v>3068</v>
      </c>
      <c r="C1003" s="606" t="s">
        <v>8</v>
      </c>
      <c r="D1003" s="605" t="s">
        <v>689</v>
      </c>
      <c r="E1003" s="606" t="s">
        <v>3069</v>
      </c>
      <c r="F1003" s="606" t="s">
        <v>3069</v>
      </c>
      <c r="G1003" s="606" t="s">
        <v>1554</v>
      </c>
      <c r="H1003" s="606" t="s">
        <v>1555</v>
      </c>
      <c r="I1003" s="606" t="s">
        <v>1981</v>
      </c>
      <c r="J1003" s="606" t="s">
        <v>1982</v>
      </c>
    </row>
    <row r="1004" spans="2:10" ht="21" customHeight="1">
      <c r="B1004" s="605" t="s">
        <v>3070</v>
      </c>
      <c r="C1004" s="606" t="s">
        <v>8</v>
      </c>
      <c r="D1004" s="605" t="s">
        <v>689</v>
      </c>
      <c r="E1004" s="606" t="s">
        <v>3071</v>
      </c>
      <c r="F1004" s="606" t="s">
        <v>3071</v>
      </c>
      <c r="G1004" s="606" t="s">
        <v>1554</v>
      </c>
      <c r="H1004" s="606" t="s">
        <v>1555</v>
      </c>
      <c r="I1004" s="606" t="s">
        <v>1981</v>
      </c>
      <c r="J1004" s="606" t="s">
        <v>1982</v>
      </c>
    </row>
    <row r="1005" spans="2:10" ht="21" customHeight="1">
      <c r="B1005" s="605" t="s">
        <v>3072</v>
      </c>
      <c r="C1005" s="606" t="s">
        <v>8</v>
      </c>
      <c r="D1005" s="605" t="s">
        <v>689</v>
      </c>
      <c r="E1005" s="606" t="s">
        <v>3073</v>
      </c>
      <c r="F1005" s="606" t="s">
        <v>3073</v>
      </c>
      <c r="G1005" s="606" t="s">
        <v>1554</v>
      </c>
      <c r="H1005" s="606" t="s">
        <v>1555</v>
      </c>
      <c r="I1005" s="606" t="s">
        <v>1981</v>
      </c>
      <c r="J1005" s="606" t="s">
        <v>1982</v>
      </c>
    </row>
    <row r="1006" spans="2:10" ht="21" customHeight="1">
      <c r="B1006" s="605" t="s">
        <v>3074</v>
      </c>
      <c r="C1006" s="606" t="s">
        <v>8</v>
      </c>
      <c r="D1006" s="605" t="s">
        <v>689</v>
      </c>
      <c r="E1006" s="606" t="s">
        <v>1041</v>
      </c>
      <c r="F1006" s="606" t="s">
        <v>1041</v>
      </c>
      <c r="G1006" s="606" t="s">
        <v>1085</v>
      </c>
      <c r="H1006" s="606" t="s">
        <v>2063</v>
      </c>
      <c r="I1006" s="606" t="s">
        <v>1087</v>
      </c>
      <c r="J1006" s="606" t="s">
        <v>1088</v>
      </c>
    </row>
    <row r="1007" spans="2:10" ht="21" customHeight="1">
      <c r="B1007" s="605" t="s">
        <v>3075</v>
      </c>
      <c r="C1007" s="606" t="s">
        <v>8</v>
      </c>
      <c r="D1007" s="605" t="s">
        <v>689</v>
      </c>
      <c r="E1007" s="606" t="s">
        <v>3076</v>
      </c>
      <c r="F1007" s="606" t="s">
        <v>3077</v>
      </c>
      <c r="G1007" s="606" t="s">
        <v>1085</v>
      </c>
      <c r="H1007" s="606" t="s">
        <v>2063</v>
      </c>
      <c r="I1007" s="606" t="s">
        <v>1087</v>
      </c>
      <c r="J1007" s="606" t="s">
        <v>1088</v>
      </c>
    </row>
    <row r="1008" spans="2:10" ht="21" customHeight="1">
      <c r="B1008" s="605" t="s">
        <v>3078</v>
      </c>
      <c r="C1008" s="606" t="s">
        <v>8</v>
      </c>
      <c r="D1008" s="605" t="s">
        <v>689</v>
      </c>
      <c r="E1008" s="606" t="s">
        <v>3079</v>
      </c>
      <c r="F1008" s="606" t="s">
        <v>1042</v>
      </c>
      <c r="G1008" s="606" t="s">
        <v>1085</v>
      </c>
      <c r="H1008" s="606" t="s">
        <v>2063</v>
      </c>
      <c r="I1008" s="606" t="s">
        <v>1087</v>
      </c>
      <c r="J1008" s="606" t="s">
        <v>1088</v>
      </c>
    </row>
    <row r="1009" spans="2:10" ht="21" customHeight="1">
      <c r="B1009" s="605" t="s">
        <v>3080</v>
      </c>
      <c r="C1009" s="606" t="s">
        <v>8</v>
      </c>
      <c r="D1009" s="605" t="s">
        <v>689</v>
      </c>
      <c r="E1009" s="606" t="s">
        <v>3081</v>
      </c>
      <c r="F1009" s="606" t="s">
        <v>3082</v>
      </c>
      <c r="G1009" s="606" t="s">
        <v>1085</v>
      </c>
      <c r="H1009" s="606" t="s">
        <v>2063</v>
      </c>
      <c r="I1009" s="606" t="s">
        <v>1087</v>
      </c>
      <c r="J1009" s="606" t="s">
        <v>1088</v>
      </c>
    </row>
    <row r="1010" spans="2:10" ht="21" customHeight="1">
      <c r="B1010" s="605" t="s">
        <v>3083</v>
      </c>
      <c r="C1010" s="606" t="s">
        <v>8</v>
      </c>
      <c r="D1010" s="605" t="s">
        <v>689</v>
      </c>
      <c r="E1010" s="606" t="s">
        <v>3084</v>
      </c>
      <c r="F1010" s="606" t="s">
        <v>3085</v>
      </c>
      <c r="G1010" s="606" t="s">
        <v>1085</v>
      </c>
      <c r="H1010" s="606" t="s">
        <v>2063</v>
      </c>
      <c r="I1010" s="606" t="s">
        <v>1087</v>
      </c>
      <c r="J1010" s="606" t="s">
        <v>1088</v>
      </c>
    </row>
    <row r="1011" spans="2:10" ht="21" customHeight="1">
      <c r="B1011" s="605" t="s">
        <v>3086</v>
      </c>
      <c r="C1011" s="606" t="s">
        <v>8</v>
      </c>
      <c r="D1011" s="605" t="s">
        <v>689</v>
      </c>
      <c r="E1011" s="606" t="s">
        <v>3087</v>
      </c>
      <c r="F1011" s="606" t="s">
        <v>3087</v>
      </c>
      <c r="G1011" s="606" t="s">
        <v>1554</v>
      </c>
      <c r="H1011" s="606" t="s">
        <v>1555</v>
      </c>
      <c r="I1011" s="606" t="s">
        <v>1981</v>
      </c>
      <c r="J1011" s="606" t="s">
        <v>1982</v>
      </c>
    </row>
    <row r="1012" spans="2:10" ht="21" customHeight="1">
      <c r="B1012" s="605" t="s">
        <v>3088</v>
      </c>
      <c r="C1012" s="606" t="s">
        <v>8</v>
      </c>
      <c r="D1012" s="605" t="s">
        <v>689</v>
      </c>
      <c r="E1012" s="606" t="s">
        <v>3089</v>
      </c>
      <c r="F1012" s="606" t="s">
        <v>3089</v>
      </c>
      <c r="G1012" s="606" t="s">
        <v>1554</v>
      </c>
      <c r="H1012" s="606" t="s">
        <v>1555</v>
      </c>
      <c r="I1012" s="606" t="s">
        <v>1981</v>
      </c>
      <c r="J1012" s="606" t="s">
        <v>1982</v>
      </c>
    </row>
    <row r="1013" spans="2:10" ht="21" customHeight="1">
      <c r="B1013" s="605" t="s">
        <v>3090</v>
      </c>
      <c r="C1013" s="606" t="s">
        <v>8</v>
      </c>
      <c r="D1013" s="605" t="s">
        <v>689</v>
      </c>
      <c r="E1013" s="606" t="s">
        <v>3091</v>
      </c>
      <c r="F1013" s="606" t="s">
        <v>3091</v>
      </c>
      <c r="G1013" s="606" t="s">
        <v>1554</v>
      </c>
      <c r="H1013" s="606" t="s">
        <v>1555</v>
      </c>
      <c r="I1013" s="606" t="s">
        <v>1981</v>
      </c>
      <c r="J1013" s="606" t="s">
        <v>1982</v>
      </c>
    </row>
    <row r="1014" spans="2:10" ht="21" customHeight="1">
      <c r="B1014" s="605" t="s">
        <v>3092</v>
      </c>
      <c r="C1014" s="606" t="s">
        <v>8</v>
      </c>
      <c r="D1014" s="605" t="s">
        <v>689</v>
      </c>
      <c r="E1014" s="606" t="s">
        <v>3093</v>
      </c>
      <c r="F1014" s="606" t="s">
        <v>3093</v>
      </c>
      <c r="G1014" s="606" t="s">
        <v>1554</v>
      </c>
      <c r="H1014" s="606" t="s">
        <v>1555</v>
      </c>
      <c r="I1014" s="606" t="s">
        <v>1981</v>
      </c>
      <c r="J1014" s="606" t="s">
        <v>1982</v>
      </c>
    </row>
    <row r="1015" spans="2:10" ht="21" customHeight="1">
      <c r="B1015" s="605" t="s">
        <v>3094</v>
      </c>
      <c r="C1015" s="606" t="s">
        <v>8</v>
      </c>
      <c r="D1015" s="605" t="s">
        <v>689</v>
      </c>
      <c r="E1015" s="606" t="s">
        <v>3095</v>
      </c>
      <c r="F1015" s="606" t="s">
        <v>3095</v>
      </c>
      <c r="G1015" s="606" t="s">
        <v>1554</v>
      </c>
      <c r="H1015" s="606" t="s">
        <v>1555</v>
      </c>
      <c r="I1015" s="606" t="s">
        <v>1981</v>
      </c>
      <c r="J1015" s="606" t="s">
        <v>1982</v>
      </c>
    </row>
    <row r="1016" spans="2:10" ht="21" customHeight="1">
      <c r="B1016" s="605" t="s">
        <v>3096</v>
      </c>
      <c r="C1016" s="606" t="s">
        <v>8</v>
      </c>
      <c r="D1016" s="605" t="s">
        <v>689</v>
      </c>
      <c r="E1016" s="606" t="s">
        <v>3097</v>
      </c>
      <c r="F1016" s="606" t="s">
        <v>3097</v>
      </c>
      <c r="G1016" s="606" t="s">
        <v>1554</v>
      </c>
      <c r="H1016" s="606" t="s">
        <v>1555</v>
      </c>
      <c r="I1016" s="606" t="s">
        <v>1981</v>
      </c>
      <c r="J1016" s="606" t="s">
        <v>1982</v>
      </c>
    </row>
    <row r="1017" spans="2:10" ht="21" customHeight="1">
      <c r="B1017" s="605" t="s">
        <v>3098</v>
      </c>
      <c r="C1017" s="606" t="s">
        <v>8</v>
      </c>
      <c r="D1017" s="605" t="s">
        <v>689</v>
      </c>
      <c r="E1017" s="606" t="s">
        <v>3099</v>
      </c>
      <c r="F1017" s="606" t="s">
        <v>3099</v>
      </c>
      <c r="G1017" s="606" t="s">
        <v>1554</v>
      </c>
      <c r="H1017" s="606" t="s">
        <v>1555</v>
      </c>
      <c r="I1017" s="606" t="s">
        <v>1981</v>
      </c>
      <c r="J1017" s="606" t="s">
        <v>1982</v>
      </c>
    </row>
    <row r="1018" spans="2:10" ht="21" customHeight="1">
      <c r="B1018" s="605" t="s">
        <v>3100</v>
      </c>
      <c r="C1018" s="606" t="s">
        <v>8</v>
      </c>
      <c r="D1018" s="605" t="s">
        <v>689</v>
      </c>
      <c r="E1018" s="606" t="s">
        <v>3101</v>
      </c>
      <c r="F1018" s="606" t="s">
        <v>3101</v>
      </c>
      <c r="G1018" s="606" t="s">
        <v>1554</v>
      </c>
      <c r="H1018" s="606" t="s">
        <v>1555</v>
      </c>
      <c r="I1018" s="606" t="s">
        <v>1981</v>
      </c>
      <c r="J1018" s="606" t="s">
        <v>1982</v>
      </c>
    </row>
    <row r="1019" spans="2:10" ht="21" customHeight="1">
      <c r="B1019" s="605" t="s">
        <v>3102</v>
      </c>
      <c r="C1019" s="606" t="s">
        <v>8</v>
      </c>
      <c r="D1019" s="605" t="s">
        <v>689</v>
      </c>
      <c r="E1019" s="606" t="s">
        <v>3103</v>
      </c>
      <c r="F1019" s="606" t="s">
        <v>3103</v>
      </c>
      <c r="G1019" s="606" t="s">
        <v>1554</v>
      </c>
      <c r="H1019" s="606" t="s">
        <v>1555</v>
      </c>
      <c r="I1019" s="606" t="s">
        <v>1981</v>
      </c>
      <c r="J1019" s="606" t="s">
        <v>1982</v>
      </c>
    </row>
    <row r="1020" spans="2:10" ht="21" customHeight="1">
      <c r="B1020" s="605" t="s">
        <v>3104</v>
      </c>
      <c r="C1020" s="606" t="s">
        <v>8</v>
      </c>
      <c r="D1020" s="605" t="s">
        <v>689</v>
      </c>
      <c r="E1020" s="606" t="s">
        <v>3105</v>
      </c>
      <c r="F1020" s="606" t="s">
        <v>3105</v>
      </c>
      <c r="G1020" s="606" t="s">
        <v>1554</v>
      </c>
      <c r="H1020" s="606" t="s">
        <v>1555</v>
      </c>
      <c r="I1020" s="606" t="s">
        <v>1981</v>
      </c>
      <c r="J1020" s="606" t="s">
        <v>1982</v>
      </c>
    </row>
    <row r="1021" spans="2:10" ht="21" customHeight="1">
      <c r="B1021" s="605" t="s">
        <v>3106</v>
      </c>
      <c r="C1021" s="606" t="s">
        <v>8</v>
      </c>
      <c r="D1021" s="605" t="s">
        <v>689</v>
      </c>
      <c r="E1021" s="606" t="s">
        <v>3107</v>
      </c>
      <c r="F1021" s="606" t="s">
        <v>3107</v>
      </c>
      <c r="G1021" s="606" t="s">
        <v>1554</v>
      </c>
      <c r="H1021" s="606" t="s">
        <v>1555</v>
      </c>
      <c r="I1021" s="606" t="s">
        <v>1981</v>
      </c>
      <c r="J1021" s="606" t="s">
        <v>1982</v>
      </c>
    </row>
    <row r="1022" spans="2:10" ht="21" customHeight="1">
      <c r="B1022" s="605" t="s">
        <v>3108</v>
      </c>
      <c r="C1022" s="606" t="s">
        <v>8</v>
      </c>
      <c r="D1022" s="605" t="s">
        <v>689</v>
      </c>
      <c r="E1022" s="606" t="s">
        <v>3109</v>
      </c>
      <c r="F1022" s="606" t="s">
        <v>3109</v>
      </c>
      <c r="G1022" s="606" t="s">
        <v>1554</v>
      </c>
      <c r="H1022" s="606" t="s">
        <v>1555</v>
      </c>
      <c r="I1022" s="606" t="s">
        <v>1981</v>
      </c>
      <c r="J1022" s="606" t="s">
        <v>1982</v>
      </c>
    </row>
    <row r="1023" spans="2:10" ht="21" customHeight="1">
      <c r="B1023" s="605" t="s">
        <v>3110</v>
      </c>
      <c r="C1023" s="606" t="s">
        <v>8</v>
      </c>
      <c r="D1023" s="605" t="s">
        <v>689</v>
      </c>
      <c r="E1023" s="606" t="s">
        <v>3111</v>
      </c>
      <c r="F1023" s="606" t="s">
        <v>3111</v>
      </c>
      <c r="G1023" s="606" t="s">
        <v>1554</v>
      </c>
      <c r="H1023" s="606" t="s">
        <v>1555</v>
      </c>
      <c r="I1023" s="606" t="s">
        <v>1981</v>
      </c>
      <c r="J1023" s="606" t="s">
        <v>1982</v>
      </c>
    </row>
    <row r="1024" spans="2:10" ht="21" customHeight="1">
      <c r="B1024" s="605" t="s">
        <v>3112</v>
      </c>
      <c r="C1024" s="606" t="s">
        <v>8</v>
      </c>
      <c r="D1024" s="605" t="s">
        <v>689</v>
      </c>
      <c r="E1024" s="606" t="s">
        <v>3113</v>
      </c>
      <c r="F1024" s="606" t="s">
        <v>3113</v>
      </c>
      <c r="G1024" s="606" t="s">
        <v>1554</v>
      </c>
      <c r="H1024" s="606" t="s">
        <v>1555</v>
      </c>
      <c r="I1024" s="606" t="s">
        <v>1981</v>
      </c>
      <c r="J1024" s="606" t="s">
        <v>1982</v>
      </c>
    </row>
    <row r="1025" spans="2:10" ht="21" customHeight="1">
      <c r="B1025" s="605" t="s">
        <v>3114</v>
      </c>
      <c r="C1025" s="606" t="s">
        <v>8</v>
      </c>
      <c r="D1025" s="605" t="s">
        <v>689</v>
      </c>
      <c r="E1025" s="606" t="s">
        <v>3115</v>
      </c>
      <c r="F1025" s="606" t="s">
        <v>3115</v>
      </c>
      <c r="G1025" s="606" t="s">
        <v>1554</v>
      </c>
      <c r="H1025" s="606" t="s">
        <v>1555</v>
      </c>
      <c r="I1025" s="606" t="s">
        <v>1981</v>
      </c>
      <c r="J1025" s="606" t="s">
        <v>1982</v>
      </c>
    </row>
    <row r="1026" spans="2:10" ht="21" customHeight="1">
      <c r="B1026" s="605" t="s">
        <v>3116</v>
      </c>
      <c r="C1026" s="606" t="s">
        <v>8</v>
      </c>
      <c r="D1026" s="605" t="s">
        <v>689</v>
      </c>
      <c r="E1026" s="606" t="s">
        <v>3117</v>
      </c>
      <c r="F1026" s="606" t="s">
        <v>3117</v>
      </c>
      <c r="G1026" s="606" t="s">
        <v>1554</v>
      </c>
      <c r="H1026" s="606" t="s">
        <v>1555</v>
      </c>
      <c r="I1026" s="606" t="s">
        <v>1981</v>
      </c>
      <c r="J1026" s="606" t="s">
        <v>1982</v>
      </c>
    </row>
    <row r="1027" spans="2:10" ht="21" customHeight="1">
      <c r="B1027" s="605" t="s">
        <v>3118</v>
      </c>
      <c r="C1027" s="606" t="s">
        <v>8</v>
      </c>
      <c r="D1027" s="605" t="s">
        <v>689</v>
      </c>
      <c r="E1027" s="606" t="s">
        <v>3119</v>
      </c>
      <c r="F1027" s="606" t="s">
        <v>3119</v>
      </c>
      <c r="G1027" s="606" t="s">
        <v>1554</v>
      </c>
      <c r="H1027" s="606" t="s">
        <v>1555</v>
      </c>
      <c r="I1027" s="606" t="s">
        <v>1981</v>
      </c>
      <c r="J1027" s="606" t="s">
        <v>1982</v>
      </c>
    </row>
    <row r="1028" spans="2:10" ht="21" customHeight="1">
      <c r="B1028" s="605" t="s">
        <v>3120</v>
      </c>
      <c r="C1028" s="606" t="s">
        <v>8</v>
      </c>
      <c r="D1028" s="605" t="s">
        <v>689</v>
      </c>
      <c r="E1028" s="606" t="s">
        <v>3121</v>
      </c>
      <c r="F1028" s="606" t="s">
        <v>3121</v>
      </c>
      <c r="G1028" s="606" t="s">
        <v>1554</v>
      </c>
      <c r="H1028" s="606" t="s">
        <v>1555</v>
      </c>
      <c r="I1028" s="606" t="s">
        <v>1981</v>
      </c>
      <c r="J1028" s="606" t="s">
        <v>1982</v>
      </c>
    </row>
    <row r="1029" spans="2:10" ht="21" customHeight="1">
      <c r="B1029" s="605" t="s">
        <v>3122</v>
      </c>
      <c r="C1029" s="606" t="s">
        <v>8</v>
      </c>
      <c r="D1029" s="605" t="s">
        <v>689</v>
      </c>
      <c r="E1029" s="606" t="s">
        <v>3123</v>
      </c>
      <c r="F1029" s="606" t="s">
        <v>3123</v>
      </c>
      <c r="G1029" s="606" t="s">
        <v>1554</v>
      </c>
      <c r="H1029" s="606" t="s">
        <v>1555</v>
      </c>
      <c r="I1029" s="606" t="s">
        <v>1981</v>
      </c>
      <c r="J1029" s="606" t="s">
        <v>1982</v>
      </c>
    </row>
    <row r="1030" spans="2:10" ht="21" customHeight="1">
      <c r="B1030" s="605" t="s">
        <v>3124</v>
      </c>
      <c r="C1030" s="606" t="s">
        <v>8</v>
      </c>
      <c r="D1030" s="605" t="s">
        <v>689</v>
      </c>
      <c r="E1030" s="606" t="s">
        <v>3125</v>
      </c>
      <c r="F1030" s="606" t="s">
        <v>3125</v>
      </c>
      <c r="G1030" s="606" t="s">
        <v>1554</v>
      </c>
      <c r="H1030" s="606" t="s">
        <v>1555</v>
      </c>
      <c r="I1030" s="606" t="s">
        <v>1981</v>
      </c>
      <c r="J1030" s="606" t="s">
        <v>1982</v>
      </c>
    </row>
    <row r="1031" spans="2:10" ht="21" customHeight="1">
      <c r="B1031" s="605" t="s">
        <v>3126</v>
      </c>
      <c r="C1031" s="606" t="s">
        <v>8</v>
      </c>
      <c r="D1031" s="605" t="s">
        <v>689</v>
      </c>
      <c r="E1031" s="606" t="s">
        <v>3127</v>
      </c>
      <c r="F1031" s="606" t="s">
        <v>3127</v>
      </c>
      <c r="G1031" s="606" t="s">
        <v>1554</v>
      </c>
      <c r="H1031" s="606" t="s">
        <v>1555</v>
      </c>
      <c r="I1031" s="606" t="s">
        <v>1981</v>
      </c>
      <c r="J1031" s="606" t="s">
        <v>1982</v>
      </c>
    </row>
    <row r="1032" spans="2:10" ht="21" customHeight="1">
      <c r="B1032" s="605" t="s">
        <v>3128</v>
      </c>
      <c r="C1032" s="606" t="s">
        <v>8</v>
      </c>
      <c r="D1032" s="605" t="s">
        <v>689</v>
      </c>
      <c r="E1032" s="606" t="s">
        <v>3129</v>
      </c>
      <c r="F1032" s="606" t="s">
        <v>3129</v>
      </c>
      <c r="G1032" s="606" t="s">
        <v>1554</v>
      </c>
      <c r="H1032" s="606" t="s">
        <v>1555</v>
      </c>
      <c r="I1032" s="606" t="s">
        <v>1981</v>
      </c>
      <c r="J1032" s="606" t="s">
        <v>1982</v>
      </c>
    </row>
    <row r="1033" spans="2:10" ht="21" customHeight="1">
      <c r="B1033" s="605" t="s">
        <v>3130</v>
      </c>
      <c r="C1033" s="606" t="s">
        <v>8</v>
      </c>
      <c r="D1033" s="605" t="s">
        <v>689</v>
      </c>
      <c r="E1033" s="606" t="s">
        <v>3131</v>
      </c>
      <c r="F1033" s="606" t="s">
        <v>3131</v>
      </c>
      <c r="G1033" s="606" t="s">
        <v>1554</v>
      </c>
      <c r="H1033" s="606" t="s">
        <v>1555</v>
      </c>
      <c r="I1033" s="606" t="s">
        <v>1981</v>
      </c>
      <c r="J1033" s="606" t="s">
        <v>1982</v>
      </c>
    </row>
    <row r="1034" spans="2:10" ht="21" customHeight="1">
      <c r="B1034" s="605" t="s">
        <v>3132</v>
      </c>
      <c r="C1034" s="606" t="s">
        <v>8</v>
      </c>
      <c r="D1034" s="605" t="s">
        <v>689</v>
      </c>
      <c r="E1034" s="606" t="s">
        <v>3133</v>
      </c>
      <c r="F1034" s="606" t="s">
        <v>3133</v>
      </c>
      <c r="G1034" s="606" t="s">
        <v>1554</v>
      </c>
      <c r="H1034" s="606" t="s">
        <v>1555</v>
      </c>
      <c r="I1034" s="606" t="s">
        <v>1981</v>
      </c>
      <c r="J1034" s="606" t="s">
        <v>1982</v>
      </c>
    </row>
    <row r="1035" spans="2:10" ht="21" customHeight="1">
      <c r="B1035" s="605" t="s">
        <v>3134</v>
      </c>
      <c r="C1035" s="606" t="s">
        <v>8</v>
      </c>
      <c r="D1035" s="605" t="s">
        <v>689</v>
      </c>
      <c r="E1035" s="606" t="s">
        <v>3135</v>
      </c>
      <c r="F1035" s="606" t="s">
        <v>3135</v>
      </c>
      <c r="G1035" s="606" t="s">
        <v>1554</v>
      </c>
      <c r="H1035" s="606" t="s">
        <v>1555</v>
      </c>
      <c r="I1035" s="606" t="s">
        <v>1981</v>
      </c>
      <c r="J1035" s="606" t="s">
        <v>1982</v>
      </c>
    </row>
    <row r="1036" spans="2:10" ht="21" customHeight="1">
      <c r="B1036" s="605" t="s">
        <v>3136</v>
      </c>
      <c r="C1036" s="606" t="s">
        <v>8</v>
      </c>
      <c r="D1036" s="605" t="s">
        <v>689</v>
      </c>
      <c r="E1036" s="606" t="s">
        <v>3137</v>
      </c>
      <c r="F1036" s="606" t="s">
        <v>3137</v>
      </c>
      <c r="G1036" s="606" t="s">
        <v>1554</v>
      </c>
      <c r="H1036" s="606" t="s">
        <v>1555</v>
      </c>
      <c r="I1036" s="606" t="s">
        <v>1981</v>
      </c>
      <c r="J1036" s="606" t="s">
        <v>1982</v>
      </c>
    </row>
    <row r="1037" spans="2:10" ht="21" customHeight="1">
      <c r="B1037" s="605" t="s">
        <v>3138</v>
      </c>
      <c r="C1037" s="606" t="s">
        <v>8</v>
      </c>
      <c r="D1037" s="605" t="s">
        <v>689</v>
      </c>
      <c r="E1037" s="606" t="s">
        <v>3139</v>
      </c>
      <c r="F1037" s="606" t="s">
        <v>3139</v>
      </c>
      <c r="G1037" s="606" t="s">
        <v>1554</v>
      </c>
      <c r="H1037" s="606" t="s">
        <v>1555</v>
      </c>
      <c r="I1037" s="606" t="s">
        <v>1981</v>
      </c>
      <c r="J1037" s="606" t="s">
        <v>1982</v>
      </c>
    </row>
    <row r="1038" spans="2:10" ht="21" customHeight="1">
      <c r="B1038" s="605" t="s">
        <v>3140</v>
      </c>
      <c r="C1038" s="606" t="s">
        <v>8</v>
      </c>
      <c r="D1038" s="605" t="s">
        <v>689</v>
      </c>
      <c r="E1038" s="606" t="s">
        <v>3141</v>
      </c>
      <c r="F1038" s="606" t="s">
        <v>3141</v>
      </c>
      <c r="G1038" s="606" t="s">
        <v>1554</v>
      </c>
      <c r="H1038" s="606" t="s">
        <v>1555</v>
      </c>
      <c r="I1038" s="606" t="s">
        <v>1981</v>
      </c>
      <c r="J1038" s="606" t="s">
        <v>1982</v>
      </c>
    </row>
    <row r="1039" spans="2:10" ht="21" customHeight="1">
      <c r="B1039" s="605" t="s">
        <v>3142</v>
      </c>
      <c r="C1039" s="606" t="s">
        <v>8</v>
      </c>
      <c r="D1039" s="605" t="s">
        <v>689</v>
      </c>
      <c r="E1039" s="606" t="s">
        <v>3143</v>
      </c>
      <c r="F1039" s="606" t="s">
        <v>3143</v>
      </c>
      <c r="G1039" s="606" t="s">
        <v>1554</v>
      </c>
      <c r="H1039" s="606" t="s">
        <v>1555</v>
      </c>
      <c r="I1039" s="606" t="s">
        <v>1981</v>
      </c>
      <c r="J1039" s="606" t="s">
        <v>1982</v>
      </c>
    </row>
    <row r="1040" spans="2:10" ht="21" customHeight="1">
      <c r="B1040" s="605" t="s">
        <v>3144</v>
      </c>
      <c r="C1040" s="606" t="s">
        <v>8</v>
      </c>
      <c r="D1040" s="605" t="s">
        <v>689</v>
      </c>
      <c r="E1040" s="606" t="s">
        <v>3145</v>
      </c>
      <c r="F1040" s="606" t="s">
        <v>3145</v>
      </c>
      <c r="G1040" s="606" t="s">
        <v>1554</v>
      </c>
      <c r="H1040" s="606" t="s">
        <v>1555</v>
      </c>
      <c r="I1040" s="606" t="s">
        <v>1981</v>
      </c>
      <c r="J1040" s="606" t="s">
        <v>1982</v>
      </c>
    </row>
    <row r="1041" spans="2:10" ht="21" customHeight="1">
      <c r="B1041" s="605" t="s">
        <v>3146</v>
      </c>
      <c r="C1041" s="606" t="s">
        <v>8</v>
      </c>
      <c r="D1041" s="605" t="s">
        <v>689</v>
      </c>
      <c r="E1041" s="606" t="s">
        <v>3147</v>
      </c>
      <c r="F1041" s="606" t="s">
        <v>3147</v>
      </c>
      <c r="G1041" s="606" t="s">
        <v>1554</v>
      </c>
      <c r="H1041" s="606" t="s">
        <v>1555</v>
      </c>
      <c r="I1041" s="606" t="s">
        <v>1981</v>
      </c>
      <c r="J1041" s="606" t="s">
        <v>1982</v>
      </c>
    </row>
    <row r="1042" spans="2:10" ht="21" customHeight="1">
      <c r="B1042" s="605" t="s">
        <v>3148</v>
      </c>
      <c r="C1042" s="606" t="s">
        <v>8</v>
      </c>
      <c r="D1042" s="605" t="s">
        <v>689</v>
      </c>
      <c r="E1042" s="606" t="s">
        <v>3149</v>
      </c>
      <c r="F1042" s="606" t="s">
        <v>3149</v>
      </c>
      <c r="G1042" s="606" t="s">
        <v>1554</v>
      </c>
      <c r="H1042" s="606" t="s">
        <v>1555</v>
      </c>
      <c r="I1042" s="606" t="s">
        <v>1981</v>
      </c>
      <c r="J1042" s="606" t="s">
        <v>1982</v>
      </c>
    </row>
    <row r="1043" spans="2:10" ht="21" customHeight="1">
      <c r="B1043" s="605" t="s">
        <v>3150</v>
      </c>
      <c r="C1043" s="606" t="s">
        <v>8</v>
      </c>
      <c r="D1043" s="605" t="s">
        <v>689</v>
      </c>
      <c r="E1043" s="606" t="s">
        <v>1043</v>
      </c>
      <c r="F1043" s="606" t="s">
        <v>1043</v>
      </c>
      <c r="G1043" s="606" t="s">
        <v>1554</v>
      </c>
      <c r="H1043" s="606" t="s">
        <v>1555</v>
      </c>
      <c r="I1043" s="606" t="s">
        <v>1981</v>
      </c>
      <c r="J1043" s="606" t="s">
        <v>1982</v>
      </c>
    </row>
    <row r="1044" spans="2:10" ht="21" customHeight="1">
      <c r="B1044" s="605" t="s">
        <v>3151</v>
      </c>
      <c r="C1044" s="606" t="s">
        <v>8</v>
      </c>
      <c r="D1044" s="605" t="s">
        <v>689</v>
      </c>
      <c r="E1044" s="606" t="s">
        <v>3152</v>
      </c>
      <c r="F1044" s="606" t="s">
        <v>3152</v>
      </c>
      <c r="G1044" s="606" t="s">
        <v>1554</v>
      </c>
      <c r="H1044" s="606" t="s">
        <v>1555</v>
      </c>
      <c r="I1044" s="606" t="s">
        <v>1981</v>
      </c>
      <c r="J1044" s="606" t="s">
        <v>1982</v>
      </c>
    </row>
    <row r="1045" spans="2:10" ht="21" customHeight="1">
      <c r="B1045" s="605" t="s">
        <v>3153</v>
      </c>
      <c r="C1045" s="606" t="s">
        <v>8</v>
      </c>
      <c r="D1045" s="605" t="s">
        <v>689</v>
      </c>
      <c r="E1045" s="606" t="s">
        <v>3154</v>
      </c>
      <c r="F1045" s="606" t="s">
        <v>3154</v>
      </c>
      <c r="G1045" s="606" t="s">
        <v>1554</v>
      </c>
      <c r="H1045" s="606" t="s">
        <v>1555</v>
      </c>
      <c r="I1045" s="606" t="s">
        <v>1981</v>
      </c>
      <c r="J1045" s="606" t="s">
        <v>1982</v>
      </c>
    </row>
    <row r="1046" spans="2:10" ht="21" customHeight="1">
      <c r="B1046" s="605" t="s">
        <v>3155</v>
      </c>
      <c r="C1046" s="606" t="s">
        <v>8</v>
      </c>
      <c r="D1046" s="605" t="s">
        <v>689</v>
      </c>
      <c r="E1046" s="606" t="s">
        <v>3156</v>
      </c>
      <c r="F1046" s="606" t="s">
        <v>3156</v>
      </c>
      <c r="G1046" s="606" t="s">
        <v>1554</v>
      </c>
      <c r="H1046" s="606" t="s">
        <v>1555</v>
      </c>
      <c r="I1046" s="606" t="s">
        <v>1981</v>
      </c>
      <c r="J1046" s="606" t="s">
        <v>1982</v>
      </c>
    </row>
    <row r="1047" spans="2:10" ht="21" customHeight="1">
      <c r="B1047" s="605" t="s">
        <v>3157</v>
      </c>
      <c r="C1047" s="606" t="s">
        <v>8</v>
      </c>
      <c r="D1047" s="605" t="s">
        <v>689</v>
      </c>
      <c r="E1047" s="606" t="s">
        <v>3158</v>
      </c>
      <c r="F1047" s="606" t="s">
        <v>3158</v>
      </c>
      <c r="G1047" s="606" t="s">
        <v>1554</v>
      </c>
      <c r="H1047" s="606" t="s">
        <v>1555</v>
      </c>
      <c r="I1047" s="606" t="s">
        <v>1981</v>
      </c>
      <c r="J1047" s="606" t="s">
        <v>1982</v>
      </c>
    </row>
    <row r="1048" spans="2:10" ht="21" customHeight="1">
      <c r="B1048" s="605" t="s">
        <v>3159</v>
      </c>
      <c r="C1048" s="606" t="s">
        <v>8</v>
      </c>
      <c r="D1048" s="605" t="s">
        <v>689</v>
      </c>
      <c r="E1048" s="606" t="s">
        <v>3160</v>
      </c>
      <c r="F1048" s="606" t="s">
        <v>3160</v>
      </c>
      <c r="G1048" s="606" t="s">
        <v>1554</v>
      </c>
      <c r="H1048" s="606" t="s">
        <v>1555</v>
      </c>
      <c r="I1048" s="606" t="s">
        <v>1981</v>
      </c>
      <c r="J1048" s="606" t="s">
        <v>1982</v>
      </c>
    </row>
    <row r="1049" spans="2:10" ht="21" customHeight="1">
      <c r="B1049" s="605" t="s">
        <v>3161</v>
      </c>
      <c r="C1049" s="606" t="s">
        <v>8</v>
      </c>
      <c r="D1049" s="605" t="s">
        <v>689</v>
      </c>
      <c r="E1049" s="606" t="s">
        <v>3162</v>
      </c>
      <c r="F1049" s="606" t="s">
        <v>3162</v>
      </c>
      <c r="G1049" s="606" t="s">
        <v>1554</v>
      </c>
      <c r="H1049" s="606" t="s">
        <v>1555</v>
      </c>
      <c r="I1049" s="606" t="s">
        <v>1981</v>
      </c>
      <c r="J1049" s="606" t="s">
        <v>1982</v>
      </c>
    </row>
    <row r="1050" spans="2:10" ht="21" customHeight="1">
      <c r="B1050" s="605" t="s">
        <v>3163</v>
      </c>
      <c r="C1050" s="606" t="s">
        <v>8</v>
      </c>
      <c r="D1050" s="605" t="s">
        <v>689</v>
      </c>
      <c r="E1050" s="606" t="s">
        <v>3164</v>
      </c>
      <c r="F1050" s="606" t="s">
        <v>3164</v>
      </c>
      <c r="G1050" s="606" t="s">
        <v>1554</v>
      </c>
      <c r="H1050" s="606" t="s">
        <v>1555</v>
      </c>
      <c r="I1050" s="606" t="s">
        <v>1981</v>
      </c>
      <c r="J1050" s="606" t="s">
        <v>1982</v>
      </c>
    </row>
    <row r="1051" spans="2:10" ht="21" customHeight="1">
      <c r="B1051" s="605" t="s">
        <v>3165</v>
      </c>
      <c r="C1051" s="606" t="s">
        <v>8</v>
      </c>
      <c r="D1051" s="605" t="s">
        <v>689</v>
      </c>
      <c r="E1051" s="606" t="s">
        <v>3166</v>
      </c>
      <c r="F1051" s="606" t="s">
        <v>3166</v>
      </c>
      <c r="G1051" s="606" t="s">
        <v>1554</v>
      </c>
      <c r="H1051" s="606" t="s">
        <v>1555</v>
      </c>
      <c r="I1051" s="606" t="s">
        <v>1981</v>
      </c>
      <c r="J1051" s="606" t="s">
        <v>1982</v>
      </c>
    </row>
    <row r="1052" spans="2:10" ht="21" customHeight="1">
      <c r="B1052" s="605" t="s">
        <v>3167</v>
      </c>
      <c r="C1052" s="606" t="s">
        <v>8</v>
      </c>
      <c r="D1052" s="605" t="s">
        <v>689</v>
      </c>
      <c r="E1052" s="606" t="s">
        <v>3168</v>
      </c>
      <c r="F1052" s="606" t="s">
        <v>3168</v>
      </c>
      <c r="G1052" s="606" t="s">
        <v>1554</v>
      </c>
      <c r="H1052" s="606" t="s">
        <v>1555</v>
      </c>
      <c r="I1052" s="606" t="s">
        <v>1981</v>
      </c>
      <c r="J1052" s="606" t="s">
        <v>1982</v>
      </c>
    </row>
    <row r="1053" spans="2:10" ht="21" customHeight="1">
      <c r="B1053" s="605" t="s">
        <v>3169</v>
      </c>
      <c r="C1053" s="606" t="s">
        <v>8</v>
      </c>
      <c r="D1053" s="605" t="s">
        <v>689</v>
      </c>
      <c r="E1053" s="606" t="s">
        <v>3170</v>
      </c>
      <c r="F1053" s="606" t="s">
        <v>3170</v>
      </c>
      <c r="G1053" s="606" t="s">
        <v>1554</v>
      </c>
      <c r="H1053" s="606" t="s">
        <v>1555</v>
      </c>
      <c r="I1053" s="606" t="s">
        <v>1981</v>
      </c>
      <c r="J1053" s="606" t="s">
        <v>1982</v>
      </c>
    </row>
    <row r="1054" spans="2:10" ht="21" customHeight="1">
      <c r="B1054" s="605" t="s">
        <v>3171</v>
      </c>
      <c r="C1054" s="606" t="s">
        <v>8</v>
      </c>
      <c r="D1054" s="605" t="s">
        <v>689</v>
      </c>
      <c r="E1054" s="606" t="s">
        <v>3172</v>
      </c>
      <c r="F1054" s="606" t="s">
        <v>3172</v>
      </c>
      <c r="G1054" s="606" t="s">
        <v>1554</v>
      </c>
      <c r="H1054" s="606" t="s">
        <v>1555</v>
      </c>
      <c r="I1054" s="606" t="s">
        <v>1981</v>
      </c>
      <c r="J1054" s="606" t="s">
        <v>1982</v>
      </c>
    </row>
    <row r="1055" spans="2:10" ht="21" customHeight="1">
      <c r="B1055" s="605" t="s">
        <v>3173</v>
      </c>
      <c r="C1055" s="606" t="s">
        <v>8</v>
      </c>
      <c r="D1055" s="605" t="s">
        <v>689</v>
      </c>
      <c r="E1055" s="606" t="s">
        <v>3174</v>
      </c>
      <c r="F1055" s="606" t="s">
        <v>3174</v>
      </c>
      <c r="G1055" s="606" t="s">
        <v>1554</v>
      </c>
      <c r="H1055" s="606" t="s">
        <v>1555</v>
      </c>
      <c r="I1055" s="606" t="s">
        <v>1981</v>
      </c>
      <c r="J1055" s="606" t="s">
        <v>1982</v>
      </c>
    </row>
    <row r="1056" spans="2:10" ht="21" customHeight="1">
      <c r="B1056" s="605" t="s">
        <v>3175</v>
      </c>
      <c r="C1056" s="606" t="s">
        <v>8</v>
      </c>
      <c r="D1056" s="605" t="s">
        <v>689</v>
      </c>
      <c r="E1056" s="606" t="s">
        <v>3176</v>
      </c>
      <c r="F1056" s="606" t="s">
        <v>3176</v>
      </c>
      <c r="G1056" s="606" t="s">
        <v>1554</v>
      </c>
      <c r="H1056" s="606" t="s">
        <v>1555</v>
      </c>
      <c r="I1056" s="606" t="s">
        <v>1981</v>
      </c>
      <c r="J1056" s="606" t="s">
        <v>1982</v>
      </c>
    </row>
    <row r="1057" spans="2:10" ht="21" customHeight="1">
      <c r="B1057" s="605" t="s">
        <v>3177</v>
      </c>
      <c r="C1057" s="606" t="s">
        <v>8</v>
      </c>
      <c r="D1057" s="605" t="s">
        <v>689</v>
      </c>
      <c r="E1057" s="606" t="s">
        <v>3178</v>
      </c>
      <c r="F1057" s="606" t="s">
        <v>3178</v>
      </c>
      <c r="G1057" s="606" t="s">
        <v>1554</v>
      </c>
      <c r="H1057" s="606" t="s">
        <v>1555</v>
      </c>
      <c r="I1057" s="606" t="s">
        <v>1981</v>
      </c>
      <c r="J1057" s="606" t="s">
        <v>1982</v>
      </c>
    </row>
    <row r="1058" spans="2:10" ht="21" customHeight="1">
      <c r="B1058" s="605" t="s">
        <v>3179</v>
      </c>
      <c r="C1058" s="606" t="s">
        <v>8</v>
      </c>
      <c r="D1058" s="605" t="s">
        <v>689</v>
      </c>
      <c r="E1058" s="606" t="s">
        <v>3180</v>
      </c>
      <c r="F1058" s="606" t="s">
        <v>3180</v>
      </c>
      <c r="G1058" s="606" t="s">
        <v>1554</v>
      </c>
      <c r="H1058" s="606" t="s">
        <v>1555</v>
      </c>
      <c r="I1058" s="606" t="s">
        <v>1981</v>
      </c>
      <c r="J1058" s="606" t="s">
        <v>1982</v>
      </c>
    </row>
    <row r="1059" spans="2:10" ht="21" customHeight="1">
      <c r="B1059" s="605" t="s">
        <v>3181</v>
      </c>
      <c r="C1059" s="606" t="s">
        <v>8</v>
      </c>
      <c r="D1059" s="605" t="s">
        <v>689</v>
      </c>
      <c r="E1059" s="606" t="s">
        <v>3182</v>
      </c>
      <c r="F1059" s="606" t="s">
        <v>3182</v>
      </c>
      <c r="G1059" s="606" t="s">
        <v>1554</v>
      </c>
      <c r="H1059" s="606" t="s">
        <v>1555</v>
      </c>
      <c r="I1059" s="606" t="s">
        <v>1981</v>
      </c>
      <c r="J1059" s="606" t="s">
        <v>1982</v>
      </c>
    </row>
    <row r="1060" spans="2:10" ht="21" customHeight="1">
      <c r="B1060" s="605" t="s">
        <v>3183</v>
      </c>
      <c r="C1060" s="606" t="s">
        <v>8</v>
      </c>
      <c r="D1060" s="605" t="s">
        <v>689</v>
      </c>
      <c r="E1060" s="606" t="s">
        <v>3184</v>
      </c>
      <c r="F1060" s="606" t="s">
        <v>3184</v>
      </c>
      <c r="G1060" s="606" t="s">
        <v>1554</v>
      </c>
      <c r="H1060" s="606" t="s">
        <v>1555</v>
      </c>
      <c r="I1060" s="606" t="s">
        <v>1981</v>
      </c>
      <c r="J1060" s="606" t="s">
        <v>1982</v>
      </c>
    </row>
    <row r="1061" spans="2:10" ht="21" customHeight="1">
      <c r="B1061" s="605" t="s">
        <v>3185</v>
      </c>
      <c r="C1061" s="606" t="s">
        <v>8</v>
      </c>
      <c r="D1061" s="605" t="s">
        <v>689</v>
      </c>
      <c r="E1061" s="606" t="s">
        <v>3186</v>
      </c>
      <c r="F1061" s="606" t="s">
        <v>3186</v>
      </c>
      <c r="G1061" s="606" t="s">
        <v>1554</v>
      </c>
      <c r="H1061" s="606" t="s">
        <v>1555</v>
      </c>
      <c r="I1061" s="606" t="s">
        <v>1981</v>
      </c>
      <c r="J1061" s="606" t="s">
        <v>1982</v>
      </c>
    </row>
    <row r="1062" spans="2:10" ht="21" customHeight="1">
      <c r="B1062" s="605" t="s">
        <v>3187</v>
      </c>
      <c r="C1062" s="606" t="s">
        <v>8</v>
      </c>
      <c r="D1062" s="605" t="s">
        <v>689</v>
      </c>
      <c r="E1062" s="606" t="s">
        <v>3188</v>
      </c>
      <c r="F1062" s="606" t="s">
        <v>3188</v>
      </c>
      <c r="G1062" s="606" t="s">
        <v>1554</v>
      </c>
      <c r="H1062" s="606" t="s">
        <v>1555</v>
      </c>
      <c r="I1062" s="606" t="s">
        <v>1981</v>
      </c>
      <c r="J1062" s="606" t="s">
        <v>1982</v>
      </c>
    </row>
    <row r="1063" spans="2:10" ht="21" customHeight="1">
      <c r="B1063" s="605" t="s">
        <v>3189</v>
      </c>
      <c r="C1063" s="606" t="s">
        <v>8</v>
      </c>
      <c r="D1063" s="605" t="s">
        <v>689</v>
      </c>
      <c r="E1063" s="606" t="s">
        <v>3190</v>
      </c>
      <c r="F1063" s="606" t="s">
        <v>3190</v>
      </c>
      <c r="G1063" s="606" t="s">
        <v>1554</v>
      </c>
      <c r="H1063" s="606" t="s">
        <v>1555</v>
      </c>
      <c r="I1063" s="606" t="s">
        <v>1981</v>
      </c>
      <c r="J1063" s="606" t="s">
        <v>1982</v>
      </c>
    </row>
    <row r="1064" spans="2:10" ht="21" customHeight="1">
      <c r="B1064" s="605" t="s">
        <v>3191</v>
      </c>
      <c r="C1064" s="606" t="s">
        <v>8</v>
      </c>
      <c r="D1064" s="605" t="s">
        <v>689</v>
      </c>
      <c r="E1064" s="606" t="s">
        <v>3192</v>
      </c>
      <c r="F1064" s="606" t="s">
        <v>3192</v>
      </c>
      <c r="G1064" s="606" t="s">
        <v>1554</v>
      </c>
      <c r="H1064" s="606" t="s">
        <v>1555</v>
      </c>
      <c r="I1064" s="606" t="s">
        <v>1981</v>
      </c>
      <c r="J1064" s="606" t="s">
        <v>1982</v>
      </c>
    </row>
    <row r="1065" spans="2:10" ht="21" customHeight="1">
      <c r="B1065" s="605" t="s">
        <v>3193</v>
      </c>
      <c r="C1065" s="606" t="s">
        <v>8</v>
      </c>
      <c r="D1065" s="605" t="s">
        <v>689</v>
      </c>
      <c r="E1065" s="606" t="s">
        <v>3194</v>
      </c>
      <c r="F1065" s="606" t="s">
        <v>3194</v>
      </c>
      <c r="G1065" s="606" t="s">
        <v>1554</v>
      </c>
      <c r="H1065" s="606" t="s">
        <v>1555</v>
      </c>
      <c r="I1065" s="606" t="s">
        <v>1981</v>
      </c>
      <c r="J1065" s="606" t="s">
        <v>1982</v>
      </c>
    </row>
    <row r="1066" spans="2:10" ht="21" customHeight="1">
      <c r="B1066" s="605" t="s">
        <v>3195</v>
      </c>
      <c r="C1066" s="606" t="s">
        <v>8</v>
      </c>
      <c r="D1066" s="605" t="s">
        <v>689</v>
      </c>
      <c r="E1066" s="606" t="s">
        <v>3196</v>
      </c>
      <c r="F1066" s="606" t="s">
        <v>3196</v>
      </c>
      <c r="G1066" s="606" t="s">
        <v>1554</v>
      </c>
      <c r="H1066" s="606" t="s">
        <v>1555</v>
      </c>
      <c r="I1066" s="606" t="s">
        <v>1981</v>
      </c>
      <c r="J1066" s="606" t="s">
        <v>1982</v>
      </c>
    </row>
    <row r="1067" spans="2:10" ht="21" customHeight="1">
      <c r="B1067" s="605" t="s">
        <v>3197</v>
      </c>
      <c r="C1067" s="606" t="s">
        <v>8</v>
      </c>
      <c r="D1067" s="605" t="s">
        <v>689</v>
      </c>
      <c r="E1067" s="606" t="s">
        <v>3198</v>
      </c>
      <c r="F1067" s="606" t="s">
        <v>3198</v>
      </c>
      <c r="G1067" s="606" t="s">
        <v>1554</v>
      </c>
      <c r="H1067" s="606" t="s">
        <v>1555</v>
      </c>
      <c r="I1067" s="606" t="s">
        <v>1981</v>
      </c>
      <c r="J1067" s="606" t="s">
        <v>1982</v>
      </c>
    </row>
    <row r="1068" spans="2:10" ht="21" customHeight="1">
      <c r="B1068" s="605" t="s">
        <v>3199</v>
      </c>
      <c r="C1068" s="606" t="s">
        <v>8</v>
      </c>
      <c r="D1068" s="605" t="s">
        <v>689</v>
      </c>
      <c r="E1068" s="606" t="s">
        <v>3200</v>
      </c>
      <c r="F1068" s="606" t="s">
        <v>3200</v>
      </c>
      <c r="G1068" s="606" t="s">
        <v>1554</v>
      </c>
      <c r="H1068" s="606" t="s">
        <v>1555</v>
      </c>
      <c r="I1068" s="606" t="s">
        <v>1981</v>
      </c>
      <c r="J1068" s="606" t="s">
        <v>1982</v>
      </c>
    </row>
    <row r="1069" spans="2:10" ht="21" customHeight="1">
      <c r="B1069" s="605" t="s">
        <v>3201</v>
      </c>
      <c r="C1069" s="606" t="s">
        <v>8</v>
      </c>
      <c r="D1069" s="605" t="s">
        <v>689</v>
      </c>
      <c r="E1069" s="606" t="s">
        <v>3202</v>
      </c>
      <c r="F1069" s="606" t="s">
        <v>3202</v>
      </c>
      <c r="G1069" s="606" t="s">
        <v>1554</v>
      </c>
      <c r="H1069" s="606" t="s">
        <v>1555</v>
      </c>
      <c r="I1069" s="606" t="s">
        <v>1981</v>
      </c>
      <c r="J1069" s="606" t="s">
        <v>1982</v>
      </c>
    </row>
    <row r="1070" spans="2:10" ht="21" customHeight="1">
      <c r="B1070" s="605" t="s">
        <v>3203</v>
      </c>
      <c r="C1070" s="606" t="s">
        <v>8</v>
      </c>
      <c r="D1070" s="605" t="s">
        <v>689</v>
      </c>
      <c r="E1070" s="606" t="s">
        <v>3204</v>
      </c>
      <c r="F1070" s="606" t="s">
        <v>3204</v>
      </c>
      <c r="G1070" s="606" t="s">
        <v>1554</v>
      </c>
      <c r="H1070" s="606" t="s">
        <v>1555</v>
      </c>
      <c r="I1070" s="606" t="s">
        <v>1981</v>
      </c>
      <c r="J1070" s="606" t="s">
        <v>1982</v>
      </c>
    </row>
    <row r="1071" spans="2:10" ht="21" customHeight="1">
      <c r="B1071" s="605" t="s">
        <v>3205</v>
      </c>
      <c r="C1071" s="606" t="s">
        <v>8</v>
      </c>
      <c r="D1071" s="605" t="s">
        <v>689</v>
      </c>
      <c r="E1071" s="606" t="s">
        <v>3206</v>
      </c>
      <c r="F1071" s="606" t="s">
        <v>3206</v>
      </c>
      <c r="G1071" s="606" t="s">
        <v>1554</v>
      </c>
      <c r="H1071" s="606" t="s">
        <v>1555</v>
      </c>
      <c r="I1071" s="606" t="s">
        <v>1981</v>
      </c>
      <c r="J1071" s="606" t="s">
        <v>1982</v>
      </c>
    </row>
    <row r="1072" spans="2:10" ht="21" customHeight="1">
      <c r="B1072" s="605" t="s">
        <v>3207</v>
      </c>
      <c r="C1072" s="606" t="s">
        <v>8</v>
      </c>
      <c r="D1072" s="605" t="s">
        <v>689</v>
      </c>
      <c r="E1072" s="606" t="s">
        <v>3208</v>
      </c>
      <c r="F1072" s="606" t="s">
        <v>3208</v>
      </c>
      <c r="G1072" s="606" t="s">
        <v>1554</v>
      </c>
      <c r="H1072" s="606" t="s">
        <v>1555</v>
      </c>
      <c r="I1072" s="606" t="s">
        <v>1981</v>
      </c>
      <c r="J1072" s="606" t="s">
        <v>1982</v>
      </c>
    </row>
    <row r="1073" spans="2:10" ht="21" customHeight="1">
      <c r="B1073" s="605" t="s">
        <v>3209</v>
      </c>
      <c r="C1073" s="606" t="s">
        <v>8</v>
      </c>
      <c r="D1073" s="605" t="s">
        <v>689</v>
      </c>
      <c r="E1073" s="606" t="s">
        <v>3210</v>
      </c>
      <c r="F1073" s="606" t="s">
        <v>3210</v>
      </c>
      <c r="G1073" s="606" t="s">
        <v>1554</v>
      </c>
      <c r="H1073" s="606" t="s">
        <v>1555</v>
      </c>
      <c r="I1073" s="606" t="s">
        <v>1981</v>
      </c>
      <c r="J1073" s="606" t="s">
        <v>1982</v>
      </c>
    </row>
    <row r="1074" spans="2:10" ht="21" customHeight="1">
      <c r="B1074" s="605" t="s">
        <v>3211</v>
      </c>
      <c r="C1074" s="606" t="s">
        <v>8</v>
      </c>
      <c r="D1074" s="605" t="s">
        <v>689</v>
      </c>
      <c r="E1074" s="606" t="s">
        <v>3212</v>
      </c>
      <c r="F1074" s="606" t="s">
        <v>3212</v>
      </c>
      <c r="G1074" s="606" t="s">
        <v>1554</v>
      </c>
      <c r="H1074" s="606" t="s">
        <v>1555</v>
      </c>
      <c r="I1074" s="606" t="s">
        <v>1981</v>
      </c>
      <c r="J1074" s="606" t="s">
        <v>1982</v>
      </c>
    </row>
    <row r="1075" spans="2:10" ht="21" customHeight="1">
      <c r="B1075" s="605" t="s">
        <v>3213</v>
      </c>
      <c r="C1075" s="606" t="s">
        <v>8</v>
      </c>
      <c r="D1075" s="605" t="s">
        <v>689</v>
      </c>
      <c r="E1075" s="606" t="s">
        <v>3214</v>
      </c>
      <c r="F1075" s="606" t="s">
        <v>3214</v>
      </c>
      <c r="G1075" s="606" t="s">
        <v>1554</v>
      </c>
      <c r="H1075" s="606" t="s">
        <v>1555</v>
      </c>
      <c r="I1075" s="606" t="s">
        <v>1981</v>
      </c>
      <c r="J1075" s="606" t="s">
        <v>1982</v>
      </c>
    </row>
    <row r="1076" spans="2:10" ht="21" customHeight="1">
      <c r="B1076" s="605" t="s">
        <v>3215</v>
      </c>
      <c r="C1076" s="606" t="s">
        <v>8</v>
      </c>
      <c r="D1076" s="605" t="s">
        <v>689</v>
      </c>
      <c r="E1076" s="606" t="s">
        <v>3216</v>
      </c>
      <c r="F1076" s="606" t="s">
        <v>3216</v>
      </c>
      <c r="G1076" s="606" t="s">
        <v>1554</v>
      </c>
      <c r="H1076" s="606" t="s">
        <v>1555</v>
      </c>
      <c r="I1076" s="606" t="s">
        <v>1981</v>
      </c>
      <c r="J1076" s="606" t="s">
        <v>1982</v>
      </c>
    </row>
    <row r="1077" spans="2:10" ht="21" customHeight="1">
      <c r="B1077" s="605" t="s">
        <v>3217</v>
      </c>
      <c r="C1077" s="606" t="s">
        <v>8</v>
      </c>
      <c r="D1077" s="605" t="s">
        <v>689</v>
      </c>
      <c r="E1077" s="606" t="s">
        <v>3218</v>
      </c>
      <c r="F1077" s="606" t="s">
        <v>3218</v>
      </c>
      <c r="G1077" s="606" t="s">
        <v>1554</v>
      </c>
      <c r="H1077" s="606" t="s">
        <v>1555</v>
      </c>
      <c r="I1077" s="606" t="s">
        <v>1981</v>
      </c>
      <c r="J1077" s="606" t="s">
        <v>1982</v>
      </c>
    </row>
    <row r="1078" spans="2:10" ht="21" customHeight="1">
      <c r="B1078" s="605" t="s">
        <v>3219</v>
      </c>
      <c r="C1078" s="606" t="s">
        <v>8</v>
      </c>
      <c r="D1078" s="605" t="s">
        <v>689</v>
      </c>
      <c r="E1078" s="606" t="s">
        <v>3220</v>
      </c>
      <c r="F1078" s="606" t="s">
        <v>3220</v>
      </c>
      <c r="G1078" s="606" t="s">
        <v>1554</v>
      </c>
      <c r="H1078" s="606" t="s">
        <v>1555</v>
      </c>
      <c r="I1078" s="606" t="s">
        <v>1981</v>
      </c>
      <c r="J1078" s="606" t="s">
        <v>1982</v>
      </c>
    </row>
    <row r="1079" spans="2:10" ht="21" customHeight="1">
      <c r="B1079" s="605" t="s">
        <v>3221</v>
      </c>
      <c r="C1079" s="606" t="s">
        <v>8</v>
      </c>
      <c r="D1079" s="605" t="s">
        <v>689</v>
      </c>
      <c r="E1079" s="606" t="s">
        <v>3222</v>
      </c>
      <c r="F1079" s="606" t="s">
        <v>3222</v>
      </c>
      <c r="G1079" s="606" t="s">
        <v>1554</v>
      </c>
      <c r="H1079" s="606" t="s">
        <v>1555</v>
      </c>
      <c r="I1079" s="606" t="s">
        <v>1981</v>
      </c>
      <c r="J1079" s="606" t="s">
        <v>1982</v>
      </c>
    </row>
    <row r="1080" spans="2:10" ht="21" customHeight="1">
      <c r="B1080" s="605" t="s">
        <v>3223</v>
      </c>
      <c r="C1080" s="606" t="s">
        <v>8</v>
      </c>
      <c r="D1080" s="605" t="s">
        <v>689</v>
      </c>
      <c r="E1080" s="606" t="s">
        <v>3224</v>
      </c>
      <c r="F1080" s="606" t="s">
        <v>3224</v>
      </c>
      <c r="G1080" s="606" t="s">
        <v>1554</v>
      </c>
      <c r="H1080" s="606" t="s">
        <v>1555</v>
      </c>
      <c r="I1080" s="606" t="s">
        <v>1981</v>
      </c>
      <c r="J1080" s="606" t="s">
        <v>1982</v>
      </c>
    </row>
    <row r="1081" spans="2:10" ht="21" customHeight="1">
      <c r="B1081" s="605" t="s">
        <v>3225</v>
      </c>
      <c r="C1081" s="606" t="s">
        <v>8</v>
      </c>
      <c r="D1081" s="605" t="s">
        <v>689</v>
      </c>
      <c r="E1081" s="606" t="s">
        <v>19</v>
      </c>
      <c r="F1081" s="606" t="s">
        <v>19</v>
      </c>
      <c r="G1081" s="606" t="s">
        <v>1085</v>
      </c>
      <c r="H1081" s="606" t="s">
        <v>2063</v>
      </c>
      <c r="I1081" s="606" t="s">
        <v>1087</v>
      </c>
      <c r="J1081" s="606" t="s">
        <v>1088</v>
      </c>
    </row>
    <row r="1082" spans="2:10" ht="21" customHeight="1">
      <c r="B1082" s="605" t="s">
        <v>3226</v>
      </c>
      <c r="C1082" s="606" t="s">
        <v>8</v>
      </c>
      <c r="D1082" s="605" t="s">
        <v>689</v>
      </c>
      <c r="E1082" s="606" t="s">
        <v>3227</v>
      </c>
      <c r="F1082" s="606" t="s">
        <v>3227</v>
      </c>
      <c r="G1082" s="606" t="s">
        <v>1554</v>
      </c>
      <c r="H1082" s="606" t="s">
        <v>1555</v>
      </c>
      <c r="I1082" s="606" t="s">
        <v>1981</v>
      </c>
      <c r="J1082" s="606" t="s">
        <v>1982</v>
      </c>
    </row>
    <row r="1083" spans="2:10" ht="21" customHeight="1">
      <c r="B1083" s="605" t="s">
        <v>3228</v>
      </c>
      <c r="C1083" s="606" t="s">
        <v>8</v>
      </c>
      <c r="D1083" s="605" t="s">
        <v>689</v>
      </c>
      <c r="E1083" s="606" t="s">
        <v>3229</v>
      </c>
      <c r="F1083" s="606" t="s">
        <v>3229</v>
      </c>
      <c r="G1083" s="606" t="s">
        <v>1554</v>
      </c>
      <c r="H1083" s="606" t="s">
        <v>1555</v>
      </c>
      <c r="I1083" s="606" t="s">
        <v>1981</v>
      </c>
      <c r="J1083" s="606" t="s">
        <v>1982</v>
      </c>
    </row>
    <row r="1084" spans="2:10" ht="21" customHeight="1">
      <c r="B1084" s="605" t="s">
        <v>3230</v>
      </c>
      <c r="C1084" s="606" t="s">
        <v>8</v>
      </c>
      <c r="D1084" s="605" t="s">
        <v>689</v>
      </c>
      <c r="E1084" s="606" t="s">
        <v>3231</v>
      </c>
      <c r="F1084" s="606" t="s">
        <v>3231</v>
      </c>
      <c r="G1084" s="606" t="s">
        <v>1554</v>
      </c>
      <c r="H1084" s="606" t="s">
        <v>1555</v>
      </c>
      <c r="I1084" s="606" t="s">
        <v>1981</v>
      </c>
      <c r="J1084" s="606" t="s">
        <v>1982</v>
      </c>
    </row>
    <row r="1085" spans="2:10" ht="21" customHeight="1">
      <c r="B1085" s="605" t="s">
        <v>3232</v>
      </c>
      <c r="C1085" s="606" t="s">
        <v>8</v>
      </c>
      <c r="D1085" s="605" t="s">
        <v>689</v>
      </c>
      <c r="E1085" s="606" t="s">
        <v>3233</v>
      </c>
      <c r="F1085" s="606" t="s">
        <v>3233</v>
      </c>
      <c r="G1085" s="606" t="s">
        <v>1554</v>
      </c>
      <c r="H1085" s="606" t="s">
        <v>1555</v>
      </c>
      <c r="I1085" s="606" t="s">
        <v>1981</v>
      </c>
      <c r="J1085" s="606" t="s">
        <v>1982</v>
      </c>
    </row>
    <row r="1086" spans="2:10" ht="21" customHeight="1">
      <c r="B1086" s="605" t="s">
        <v>3234</v>
      </c>
      <c r="C1086" s="606" t="s">
        <v>8</v>
      </c>
      <c r="D1086" s="605" t="s">
        <v>689</v>
      </c>
      <c r="E1086" s="606" t="s">
        <v>3235</v>
      </c>
      <c r="F1086" s="606" t="s">
        <v>3235</v>
      </c>
      <c r="G1086" s="606" t="s">
        <v>1554</v>
      </c>
      <c r="H1086" s="606" t="s">
        <v>1555</v>
      </c>
      <c r="I1086" s="606" t="s">
        <v>1981</v>
      </c>
      <c r="J1086" s="606" t="s">
        <v>1982</v>
      </c>
    </row>
    <row r="1087" spans="2:10" ht="21" customHeight="1">
      <c r="B1087" s="605" t="s">
        <v>3236</v>
      </c>
      <c r="C1087" s="606" t="s">
        <v>8</v>
      </c>
      <c r="D1087" s="605" t="s">
        <v>689</v>
      </c>
      <c r="E1087" s="606" t="s">
        <v>3237</v>
      </c>
      <c r="F1087" s="606" t="s">
        <v>3237</v>
      </c>
      <c r="G1087" s="606" t="s">
        <v>1554</v>
      </c>
      <c r="H1087" s="606" t="s">
        <v>1555</v>
      </c>
      <c r="I1087" s="606" t="s">
        <v>1981</v>
      </c>
      <c r="J1087" s="606" t="s">
        <v>1982</v>
      </c>
    </row>
    <row r="1088" spans="2:10" ht="21" customHeight="1">
      <c r="B1088" s="605" t="s">
        <v>3238</v>
      </c>
      <c r="C1088" s="606" t="s">
        <v>8</v>
      </c>
      <c r="D1088" s="605" t="s">
        <v>689</v>
      </c>
      <c r="E1088" s="606" t="s">
        <v>3239</v>
      </c>
      <c r="F1088" s="606" t="s">
        <v>3239</v>
      </c>
      <c r="G1088" s="606" t="s">
        <v>1554</v>
      </c>
      <c r="H1088" s="606" t="s">
        <v>1555</v>
      </c>
      <c r="I1088" s="606" t="s">
        <v>1981</v>
      </c>
      <c r="J1088" s="606" t="s">
        <v>1982</v>
      </c>
    </row>
    <row r="1089" spans="2:10" ht="21" customHeight="1">
      <c r="B1089" s="605" t="s">
        <v>3240</v>
      </c>
      <c r="C1089" s="606" t="s">
        <v>8</v>
      </c>
      <c r="D1089" s="605" t="s">
        <v>689</v>
      </c>
      <c r="E1089" s="606" t="s">
        <v>3241</v>
      </c>
      <c r="F1089" s="606" t="s">
        <v>3241</v>
      </c>
      <c r="G1089" s="606" t="s">
        <v>1554</v>
      </c>
      <c r="H1089" s="606" t="s">
        <v>1555</v>
      </c>
      <c r="I1089" s="606" t="s">
        <v>1981</v>
      </c>
      <c r="J1089" s="606" t="s">
        <v>1982</v>
      </c>
    </row>
    <row r="1090" spans="2:10" ht="21" customHeight="1">
      <c r="B1090" s="605" t="s">
        <v>3242</v>
      </c>
      <c r="C1090" s="606" t="s">
        <v>8</v>
      </c>
      <c r="D1090" s="605" t="s">
        <v>689</v>
      </c>
      <c r="E1090" s="606" t="s">
        <v>3243</v>
      </c>
      <c r="F1090" s="606" t="s">
        <v>3243</v>
      </c>
      <c r="G1090" s="606" t="s">
        <v>1554</v>
      </c>
      <c r="H1090" s="606" t="s">
        <v>1555</v>
      </c>
      <c r="I1090" s="606" t="s">
        <v>1981</v>
      </c>
      <c r="J1090" s="606" t="s">
        <v>1982</v>
      </c>
    </row>
    <row r="1091" spans="2:10" ht="21" customHeight="1">
      <c r="B1091" s="605" t="s">
        <v>3244</v>
      </c>
      <c r="C1091" s="606" t="s">
        <v>8</v>
      </c>
      <c r="D1091" s="605" t="s">
        <v>689</v>
      </c>
      <c r="E1091" s="606" t="s">
        <v>3245</v>
      </c>
      <c r="F1091" s="606" t="s">
        <v>3245</v>
      </c>
      <c r="G1091" s="606" t="s">
        <v>1554</v>
      </c>
      <c r="H1091" s="606" t="s">
        <v>1555</v>
      </c>
      <c r="I1091" s="606" t="s">
        <v>1981</v>
      </c>
      <c r="J1091" s="606" t="s">
        <v>1982</v>
      </c>
    </row>
    <row r="1092" spans="2:10" ht="21" customHeight="1">
      <c r="B1092" s="605" t="s">
        <v>3246</v>
      </c>
      <c r="C1092" s="606" t="s">
        <v>8</v>
      </c>
      <c r="D1092" s="605" t="s">
        <v>689</v>
      </c>
      <c r="E1092" s="606" t="s">
        <v>31</v>
      </c>
      <c r="F1092" s="606" t="s">
        <v>31</v>
      </c>
      <c r="G1092" s="606" t="s">
        <v>1085</v>
      </c>
      <c r="H1092" s="606" t="s">
        <v>2063</v>
      </c>
      <c r="I1092" s="606" t="s">
        <v>1087</v>
      </c>
      <c r="J1092" s="606" t="s">
        <v>1088</v>
      </c>
    </row>
    <row r="1093" spans="2:10" ht="21" customHeight="1">
      <c r="B1093" s="605" t="s">
        <v>3247</v>
      </c>
      <c r="C1093" s="606" t="s">
        <v>8</v>
      </c>
      <c r="D1093" s="605" t="s">
        <v>689</v>
      </c>
      <c r="E1093" s="606" t="s">
        <v>3248</v>
      </c>
      <c r="F1093" s="606" t="s">
        <v>3248</v>
      </c>
      <c r="G1093" s="606" t="s">
        <v>1554</v>
      </c>
      <c r="H1093" s="606" t="s">
        <v>1555</v>
      </c>
      <c r="I1093" s="606" t="s">
        <v>1981</v>
      </c>
      <c r="J1093" s="606" t="s">
        <v>1982</v>
      </c>
    </row>
    <row r="1094" spans="2:10" ht="21" customHeight="1">
      <c r="B1094" s="605" t="s">
        <v>3249</v>
      </c>
      <c r="C1094" s="606" t="s">
        <v>8</v>
      </c>
      <c r="D1094" s="605" t="s">
        <v>689</v>
      </c>
      <c r="E1094" s="606" t="s">
        <v>3250</v>
      </c>
      <c r="F1094" s="606" t="s">
        <v>3250</v>
      </c>
      <c r="G1094" s="606" t="s">
        <v>1554</v>
      </c>
      <c r="H1094" s="606" t="s">
        <v>1555</v>
      </c>
      <c r="I1094" s="606" t="s">
        <v>1981</v>
      </c>
      <c r="J1094" s="606" t="s">
        <v>1982</v>
      </c>
    </row>
    <row r="1095" spans="2:10" ht="21" customHeight="1">
      <c r="B1095" s="605" t="s">
        <v>3251</v>
      </c>
      <c r="C1095" s="606" t="s">
        <v>8</v>
      </c>
      <c r="D1095" s="605" t="s">
        <v>689</v>
      </c>
      <c r="E1095" s="606" t="s">
        <v>3252</v>
      </c>
      <c r="F1095" s="606" t="s">
        <v>3252</v>
      </c>
      <c r="G1095" s="606" t="s">
        <v>1554</v>
      </c>
      <c r="H1095" s="606" t="s">
        <v>1555</v>
      </c>
      <c r="I1095" s="606" t="s">
        <v>1981</v>
      </c>
      <c r="J1095" s="606" t="s">
        <v>1982</v>
      </c>
    </row>
    <row r="1096" spans="2:10" ht="21" customHeight="1">
      <c r="B1096" s="605" t="s">
        <v>3253</v>
      </c>
      <c r="C1096" s="606" t="s">
        <v>8</v>
      </c>
      <c r="D1096" s="605" t="s">
        <v>689</v>
      </c>
      <c r="E1096" s="606" t="s">
        <v>1044</v>
      </c>
      <c r="F1096" s="606" t="s">
        <v>1044</v>
      </c>
      <c r="G1096" s="606" t="s">
        <v>1085</v>
      </c>
      <c r="H1096" s="606" t="s">
        <v>2063</v>
      </c>
      <c r="I1096" s="606" t="s">
        <v>1087</v>
      </c>
      <c r="J1096" s="606" t="s">
        <v>1088</v>
      </c>
    </row>
    <row r="1097" spans="2:10" ht="21" customHeight="1">
      <c r="B1097" s="605" t="s">
        <v>3254</v>
      </c>
      <c r="C1097" s="606" t="s">
        <v>8</v>
      </c>
      <c r="D1097" s="605" t="s">
        <v>689</v>
      </c>
      <c r="E1097" s="606" t="s">
        <v>3255</v>
      </c>
      <c r="F1097" s="606" t="s">
        <v>3256</v>
      </c>
      <c r="G1097" s="606" t="s">
        <v>1085</v>
      </c>
      <c r="H1097" s="606" t="s">
        <v>2063</v>
      </c>
      <c r="I1097" s="606" t="s">
        <v>1087</v>
      </c>
      <c r="J1097" s="606" t="s">
        <v>1088</v>
      </c>
    </row>
    <row r="1098" spans="2:10" ht="21" customHeight="1">
      <c r="B1098" s="605" t="s">
        <v>3257</v>
      </c>
      <c r="C1098" s="606" t="s">
        <v>8</v>
      </c>
      <c r="D1098" s="605" t="s">
        <v>689</v>
      </c>
      <c r="E1098" s="606" t="s">
        <v>3258</v>
      </c>
      <c r="F1098" s="606" t="s">
        <v>3258</v>
      </c>
      <c r="G1098" s="606" t="s">
        <v>1085</v>
      </c>
      <c r="H1098" s="606" t="s">
        <v>2063</v>
      </c>
      <c r="I1098" s="606" t="s">
        <v>1087</v>
      </c>
      <c r="J1098" s="606" t="s">
        <v>1088</v>
      </c>
    </row>
    <row r="1099" spans="2:10" ht="21" customHeight="1">
      <c r="B1099" s="605" t="s">
        <v>3259</v>
      </c>
      <c r="C1099" s="606" t="s">
        <v>8</v>
      </c>
      <c r="D1099" s="605" t="s">
        <v>689</v>
      </c>
      <c r="E1099" s="606" t="s">
        <v>1045</v>
      </c>
      <c r="F1099" s="606" t="s">
        <v>1045</v>
      </c>
      <c r="G1099" s="606" t="s">
        <v>1554</v>
      </c>
      <c r="H1099" s="606" t="s">
        <v>1555</v>
      </c>
      <c r="I1099" s="606" t="s">
        <v>1981</v>
      </c>
      <c r="J1099" s="606" t="s">
        <v>1982</v>
      </c>
    </row>
    <row r="1100" spans="2:10" ht="21" customHeight="1">
      <c r="B1100" s="605" t="s">
        <v>3260</v>
      </c>
      <c r="C1100" s="606" t="s">
        <v>8</v>
      </c>
      <c r="D1100" s="605" t="s">
        <v>689</v>
      </c>
      <c r="E1100" s="606" t="s">
        <v>3261</v>
      </c>
      <c r="F1100" s="606" t="s">
        <v>3261</v>
      </c>
      <c r="G1100" s="606" t="s">
        <v>1554</v>
      </c>
      <c r="H1100" s="606" t="s">
        <v>1555</v>
      </c>
      <c r="I1100" s="606" t="s">
        <v>1981</v>
      </c>
      <c r="J1100" s="606" t="s">
        <v>1982</v>
      </c>
    </row>
    <row r="1101" spans="2:10" ht="21" customHeight="1">
      <c r="B1101" s="605" t="s">
        <v>3262</v>
      </c>
      <c r="C1101" s="606" t="s">
        <v>8</v>
      </c>
      <c r="D1101" s="605" t="s">
        <v>689</v>
      </c>
      <c r="E1101" s="606" t="s">
        <v>3263</v>
      </c>
      <c r="F1101" s="606" t="s">
        <v>3263</v>
      </c>
      <c r="G1101" s="606" t="s">
        <v>1554</v>
      </c>
      <c r="H1101" s="606" t="s">
        <v>1555</v>
      </c>
      <c r="I1101" s="606" t="s">
        <v>1981</v>
      </c>
      <c r="J1101" s="606" t="s">
        <v>1982</v>
      </c>
    </row>
    <row r="1102" spans="2:10" ht="21" customHeight="1">
      <c r="B1102" s="605" t="s">
        <v>3264</v>
      </c>
      <c r="C1102" s="606" t="s">
        <v>8</v>
      </c>
      <c r="D1102" s="605" t="s">
        <v>689</v>
      </c>
      <c r="E1102" s="606" t="s">
        <v>3265</v>
      </c>
      <c r="F1102" s="606" t="s">
        <v>3265</v>
      </c>
      <c r="G1102" s="606" t="s">
        <v>1554</v>
      </c>
      <c r="H1102" s="606" t="s">
        <v>1555</v>
      </c>
      <c r="I1102" s="606" t="s">
        <v>1981</v>
      </c>
      <c r="J1102" s="606" t="s">
        <v>1982</v>
      </c>
    </row>
    <row r="1103" spans="2:10" ht="21" customHeight="1">
      <c r="B1103" s="605" t="s">
        <v>3266</v>
      </c>
      <c r="C1103" s="606" t="s">
        <v>8</v>
      </c>
      <c r="D1103" s="605" t="s">
        <v>689</v>
      </c>
      <c r="E1103" s="606" t="s">
        <v>3267</v>
      </c>
      <c r="F1103" s="606" t="s">
        <v>3267</v>
      </c>
      <c r="G1103" s="606" t="s">
        <v>1554</v>
      </c>
      <c r="H1103" s="606" t="s">
        <v>1555</v>
      </c>
      <c r="I1103" s="606" t="s">
        <v>1981</v>
      </c>
      <c r="J1103" s="606" t="s">
        <v>1982</v>
      </c>
    </row>
    <row r="1104" spans="2:10" ht="21" customHeight="1">
      <c r="B1104" s="605" t="s">
        <v>3268</v>
      </c>
      <c r="C1104" s="606" t="s">
        <v>8</v>
      </c>
      <c r="D1104" s="605" t="s">
        <v>689</v>
      </c>
      <c r="E1104" s="606" t="s">
        <v>3269</v>
      </c>
      <c r="F1104" s="606" t="s">
        <v>3269</v>
      </c>
      <c r="G1104" s="606" t="s">
        <v>1554</v>
      </c>
      <c r="H1104" s="606" t="s">
        <v>1555</v>
      </c>
      <c r="I1104" s="606" t="s">
        <v>1981</v>
      </c>
      <c r="J1104" s="606" t="s">
        <v>1982</v>
      </c>
    </row>
    <row r="1105" spans="2:10" ht="21" customHeight="1">
      <c r="B1105" s="605" t="s">
        <v>3270</v>
      </c>
      <c r="C1105" s="606" t="s">
        <v>8</v>
      </c>
      <c r="D1105" s="605" t="s">
        <v>689</v>
      </c>
      <c r="E1105" s="606" t="s">
        <v>3271</v>
      </c>
      <c r="F1105" s="606" t="s">
        <v>3271</v>
      </c>
      <c r="G1105" s="606" t="s">
        <v>1554</v>
      </c>
      <c r="H1105" s="606" t="s">
        <v>1555</v>
      </c>
      <c r="I1105" s="606" t="s">
        <v>1981</v>
      </c>
      <c r="J1105" s="606" t="s">
        <v>1982</v>
      </c>
    </row>
    <row r="1106" spans="2:10" ht="21" customHeight="1">
      <c r="B1106" s="605" t="s">
        <v>3272</v>
      </c>
      <c r="C1106" s="606" t="s">
        <v>8</v>
      </c>
      <c r="D1106" s="605" t="s">
        <v>689</v>
      </c>
      <c r="E1106" s="606" t="s">
        <v>3273</v>
      </c>
      <c r="F1106" s="606" t="s">
        <v>3273</v>
      </c>
      <c r="G1106" s="606" t="s">
        <v>1554</v>
      </c>
      <c r="H1106" s="606" t="s">
        <v>1555</v>
      </c>
      <c r="I1106" s="606" t="s">
        <v>1981</v>
      </c>
      <c r="J1106" s="606" t="s">
        <v>1982</v>
      </c>
    </row>
    <row r="1107" spans="2:10" ht="21" customHeight="1">
      <c r="B1107" s="605" t="s">
        <v>3274</v>
      </c>
      <c r="C1107" s="606" t="s">
        <v>8</v>
      </c>
      <c r="D1107" s="605" t="s">
        <v>689</v>
      </c>
      <c r="E1107" s="606" t="s">
        <v>3275</v>
      </c>
      <c r="F1107" s="606" t="s">
        <v>3275</v>
      </c>
      <c r="G1107" s="606" t="s">
        <v>1554</v>
      </c>
      <c r="H1107" s="606" t="s">
        <v>1555</v>
      </c>
      <c r="I1107" s="606" t="s">
        <v>1981</v>
      </c>
      <c r="J1107" s="606" t="s">
        <v>1982</v>
      </c>
    </row>
    <row r="1108" spans="2:10" ht="21" customHeight="1">
      <c r="B1108" s="605" t="s">
        <v>3276</v>
      </c>
      <c r="C1108" s="606" t="s">
        <v>8</v>
      </c>
      <c r="D1108" s="605" t="s">
        <v>689</v>
      </c>
      <c r="E1108" s="606" t="s">
        <v>3277</v>
      </c>
      <c r="F1108" s="606" t="s">
        <v>3277</v>
      </c>
      <c r="G1108" s="606" t="s">
        <v>1554</v>
      </c>
      <c r="H1108" s="606" t="s">
        <v>1555</v>
      </c>
      <c r="I1108" s="606" t="s">
        <v>1981</v>
      </c>
      <c r="J1108" s="606" t="s">
        <v>1982</v>
      </c>
    </row>
    <row r="1109" spans="2:10" ht="21" customHeight="1">
      <c r="B1109" s="605" t="s">
        <v>3278</v>
      </c>
      <c r="C1109" s="606" t="s">
        <v>8</v>
      </c>
      <c r="D1109" s="605" t="s">
        <v>689</v>
      </c>
      <c r="E1109" s="606" t="s">
        <v>3279</v>
      </c>
      <c r="F1109" s="606" t="s">
        <v>3279</v>
      </c>
      <c r="G1109" s="606" t="s">
        <v>1554</v>
      </c>
      <c r="H1109" s="606" t="s">
        <v>1555</v>
      </c>
      <c r="I1109" s="606" t="s">
        <v>1981</v>
      </c>
      <c r="J1109" s="606" t="s">
        <v>1982</v>
      </c>
    </row>
    <row r="1110" spans="2:10" ht="21" customHeight="1">
      <c r="B1110" s="605" t="s">
        <v>3280</v>
      </c>
      <c r="C1110" s="606" t="s">
        <v>8</v>
      </c>
      <c r="D1110" s="605" t="s">
        <v>689</v>
      </c>
      <c r="E1110" s="606" t="s">
        <v>3281</v>
      </c>
      <c r="F1110" s="606" t="s">
        <v>3281</v>
      </c>
      <c r="G1110" s="606" t="s">
        <v>1554</v>
      </c>
      <c r="H1110" s="606" t="s">
        <v>1555</v>
      </c>
      <c r="I1110" s="606" t="s">
        <v>1981</v>
      </c>
      <c r="J1110" s="606" t="s">
        <v>1982</v>
      </c>
    </row>
    <row r="1111" spans="2:10" ht="21" customHeight="1">
      <c r="B1111" s="605" t="s">
        <v>3282</v>
      </c>
      <c r="C1111" s="606" t="s">
        <v>8</v>
      </c>
      <c r="D1111" s="605" t="s">
        <v>689</v>
      </c>
      <c r="E1111" s="606" t="s">
        <v>3283</v>
      </c>
      <c r="F1111" s="606" t="s">
        <v>3283</v>
      </c>
      <c r="G1111" s="606" t="s">
        <v>1554</v>
      </c>
      <c r="H1111" s="606" t="s">
        <v>1555</v>
      </c>
      <c r="I1111" s="606" t="s">
        <v>1981</v>
      </c>
      <c r="J1111" s="606" t="s">
        <v>1982</v>
      </c>
    </row>
    <row r="1112" spans="2:10" ht="21" customHeight="1">
      <c r="B1112" s="605" t="s">
        <v>3284</v>
      </c>
      <c r="C1112" s="606" t="s">
        <v>8</v>
      </c>
      <c r="D1112" s="605" t="s">
        <v>689</v>
      </c>
      <c r="E1112" s="606" t="s">
        <v>3285</v>
      </c>
      <c r="F1112" s="606" t="s">
        <v>3285</v>
      </c>
      <c r="G1112" s="606" t="s">
        <v>1554</v>
      </c>
      <c r="H1112" s="606" t="s">
        <v>1555</v>
      </c>
      <c r="I1112" s="606" t="s">
        <v>1981</v>
      </c>
      <c r="J1112" s="606" t="s">
        <v>1982</v>
      </c>
    </row>
    <row r="1113" spans="2:10" ht="21" customHeight="1">
      <c r="B1113" s="605" t="s">
        <v>3286</v>
      </c>
      <c r="C1113" s="606" t="s">
        <v>8</v>
      </c>
      <c r="D1113" s="605" t="s">
        <v>689</v>
      </c>
      <c r="E1113" s="606" t="s">
        <v>3287</v>
      </c>
      <c r="F1113" s="606" t="s">
        <v>3287</v>
      </c>
      <c r="G1113" s="606" t="s">
        <v>1554</v>
      </c>
      <c r="H1113" s="606" t="s">
        <v>1555</v>
      </c>
      <c r="I1113" s="606" t="s">
        <v>1981</v>
      </c>
      <c r="J1113" s="606" t="s">
        <v>1982</v>
      </c>
    </row>
    <row r="1114" spans="2:10" ht="21" customHeight="1">
      <c r="B1114" s="605" t="s">
        <v>3288</v>
      </c>
      <c r="C1114" s="606" t="s">
        <v>8</v>
      </c>
      <c r="D1114" s="605" t="s">
        <v>689</v>
      </c>
      <c r="E1114" s="606" t="s">
        <v>3289</v>
      </c>
      <c r="F1114" s="606" t="s">
        <v>3289</v>
      </c>
      <c r="G1114" s="606" t="s">
        <v>1554</v>
      </c>
      <c r="H1114" s="606" t="s">
        <v>1555</v>
      </c>
      <c r="I1114" s="606" t="s">
        <v>1981</v>
      </c>
      <c r="J1114" s="606" t="s">
        <v>1982</v>
      </c>
    </row>
    <row r="1115" spans="2:10" ht="21" customHeight="1">
      <c r="B1115" s="605" t="s">
        <v>3290</v>
      </c>
      <c r="C1115" s="606" t="s">
        <v>8</v>
      </c>
      <c r="D1115" s="605" t="s">
        <v>689</v>
      </c>
      <c r="E1115" s="606" t="s">
        <v>3291</v>
      </c>
      <c r="F1115" s="606" t="s">
        <v>3291</v>
      </c>
      <c r="G1115" s="606" t="s">
        <v>1554</v>
      </c>
      <c r="H1115" s="606" t="s">
        <v>1555</v>
      </c>
      <c r="I1115" s="606" t="s">
        <v>1981</v>
      </c>
      <c r="J1115" s="606" t="s">
        <v>1982</v>
      </c>
    </row>
    <row r="1116" spans="2:10" ht="21" customHeight="1">
      <c r="B1116" s="605" t="s">
        <v>3292</v>
      </c>
      <c r="C1116" s="606" t="s">
        <v>8</v>
      </c>
      <c r="D1116" s="605" t="s">
        <v>689</v>
      </c>
      <c r="E1116" s="606" t="s">
        <v>3293</v>
      </c>
      <c r="F1116" s="606" t="s">
        <v>3293</v>
      </c>
      <c r="G1116" s="606" t="s">
        <v>1554</v>
      </c>
      <c r="H1116" s="606" t="s">
        <v>1555</v>
      </c>
      <c r="I1116" s="606" t="s">
        <v>1981</v>
      </c>
      <c r="J1116" s="606" t="s">
        <v>1982</v>
      </c>
    </row>
    <row r="1117" spans="2:10" ht="21" customHeight="1">
      <c r="B1117" s="605" t="s">
        <v>3294</v>
      </c>
      <c r="C1117" s="606" t="s">
        <v>8</v>
      </c>
      <c r="D1117" s="605" t="s">
        <v>689</v>
      </c>
      <c r="E1117" s="606" t="s">
        <v>3295</v>
      </c>
      <c r="F1117" s="606" t="s">
        <v>3295</v>
      </c>
      <c r="G1117" s="606" t="s">
        <v>1554</v>
      </c>
      <c r="H1117" s="606" t="s">
        <v>1555</v>
      </c>
      <c r="I1117" s="606" t="s">
        <v>1981</v>
      </c>
      <c r="J1117" s="606" t="s">
        <v>1982</v>
      </c>
    </row>
    <row r="1118" spans="2:10" ht="21" customHeight="1">
      <c r="B1118" s="605" t="s">
        <v>3296</v>
      </c>
      <c r="C1118" s="606" t="s">
        <v>8</v>
      </c>
      <c r="D1118" s="605" t="s">
        <v>689</v>
      </c>
      <c r="E1118" s="606" t="s">
        <v>3297</v>
      </c>
      <c r="F1118" s="606" t="s">
        <v>3297</v>
      </c>
      <c r="G1118" s="606" t="s">
        <v>1554</v>
      </c>
      <c r="H1118" s="606" t="s">
        <v>1555</v>
      </c>
      <c r="I1118" s="606" t="s">
        <v>1981</v>
      </c>
      <c r="J1118" s="606" t="s">
        <v>1982</v>
      </c>
    </row>
    <row r="1119" spans="2:10" ht="21" customHeight="1">
      <c r="B1119" s="605" t="s">
        <v>3298</v>
      </c>
      <c r="C1119" s="606" t="s">
        <v>8</v>
      </c>
      <c r="D1119" s="605" t="s">
        <v>689</v>
      </c>
      <c r="E1119" s="606" t="s">
        <v>3299</v>
      </c>
      <c r="F1119" s="606" t="s">
        <v>3299</v>
      </c>
      <c r="G1119" s="606" t="s">
        <v>1554</v>
      </c>
      <c r="H1119" s="606" t="s">
        <v>1555</v>
      </c>
      <c r="I1119" s="606" t="s">
        <v>1981</v>
      </c>
      <c r="J1119" s="606" t="s">
        <v>1982</v>
      </c>
    </row>
    <row r="1120" spans="2:10" ht="21" customHeight="1">
      <c r="B1120" s="605" t="s">
        <v>3300</v>
      </c>
      <c r="C1120" s="606" t="s">
        <v>8</v>
      </c>
      <c r="D1120" s="605" t="s">
        <v>689</v>
      </c>
      <c r="E1120" s="606" t="s">
        <v>3301</v>
      </c>
      <c r="F1120" s="606" t="s">
        <v>3301</v>
      </c>
      <c r="G1120" s="606" t="s">
        <v>1554</v>
      </c>
      <c r="H1120" s="606" t="s">
        <v>1555</v>
      </c>
      <c r="I1120" s="606" t="s">
        <v>1981</v>
      </c>
      <c r="J1120" s="606" t="s">
        <v>1982</v>
      </c>
    </row>
    <row r="1121" spans="2:10" ht="21" customHeight="1">
      <c r="B1121" s="605" t="s">
        <v>3302</v>
      </c>
      <c r="C1121" s="606" t="s">
        <v>8</v>
      </c>
      <c r="D1121" s="605" t="s">
        <v>689</v>
      </c>
      <c r="E1121" s="606" t="s">
        <v>3303</v>
      </c>
      <c r="F1121" s="606" t="s">
        <v>3303</v>
      </c>
      <c r="G1121" s="606" t="s">
        <v>1554</v>
      </c>
      <c r="H1121" s="606" t="s">
        <v>1555</v>
      </c>
      <c r="I1121" s="606" t="s">
        <v>1981</v>
      </c>
      <c r="J1121" s="606" t="s">
        <v>1982</v>
      </c>
    </row>
    <row r="1122" spans="2:10" ht="21" customHeight="1">
      <c r="B1122" s="605" t="s">
        <v>3304</v>
      </c>
      <c r="C1122" s="606" t="s">
        <v>8</v>
      </c>
      <c r="D1122" s="605" t="s">
        <v>689</v>
      </c>
      <c r="E1122" s="606" t="s">
        <v>3305</v>
      </c>
      <c r="F1122" s="606" t="s">
        <v>3305</v>
      </c>
      <c r="G1122" s="606" t="s">
        <v>1554</v>
      </c>
      <c r="H1122" s="606" t="s">
        <v>1555</v>
      </c>
      <c r="I1122" s="606" t="s">
        <v>1981</v>
      </c>
      <c r="J1122" s="606" t="s">
        <v>1982</v>
      </c>
    </row>
    <row r="1123" spans="2:10" ht="21" customHeight="1">
      <c r="B1123" s="605" t="s">
        <v>3306</v>
      </c>
      <c r="C1123" s="606" t="s">
        <v>8</v>
      </c>
      <c r="D1123" s="605" t="s">
        <v>689</v>
      </c>
      <c r="E1123" s="606" t="s">
        <v>3307</v>
      </c>
      <c r="F1123" s="606" t="s">
        <v>3307</v>
      </c>
      <c r="G1123" s="606" t="s">
        <v>1554</v>
      </c>
      <c r="H1123" s="606" t="s">
        <v>1555</v>
      </c>
      <c r="I1123" s="606" t="s">
        <v>1981</v>
      </c>
      <c r="J1123" s="606" t="s">
        <v>1982</v>
      </c>
    </row>
    <row r="1124" spans="2:10" ht="21" customHeight="1">
      <c r="B1124" s="605" t="s">
        <v>3308</v>
      </c>
      <c r="C1124" s="606" t="s">
        <v>8</v>
      </c>
      <c r="D1124" s="605" t="s">
        <v>689</v>
      </c>
      <c r="E1124" s="606" t="s">
        <v>3309</v>
      </c>
      <c r="F1124" s="606" t="s">
        <v>3309</v>
      </c>
      <c r="G1124" s="606" t="s">
        <v>1554</v>
      </c>
      <c r="H1124" s="606" t="s">
        <v>1555</v>
      </c>
      <c r="I1124" s="606" t="s">
        <v>1981</v>
      </c>
      <c r="J1124" s="606" t="s">
        <v>1982</v>
      </c>
    </row>
    <row r="1125" spans="2:10" ht="21" customHeight="1">
      <c r="B1125" s="605" t="s">
        <v>3310</v>
      </c>
      <c r="C1125" s="606" t="s">
        <v>8</v>
      </c>
      <c r="D1125" s="605" t="s">
        <v>689</v>
      </c>
      <c r="E1125" s="606" t="s">
        <v>3311</v>
      </c>
      <c r="F1125" s="606" t="s">
        <v>3311</v>
      </c>
      <c r="G1125" s="606" t="s">
        <v>1554</v>
      </c>
      <c r="H1125" s="606" t="s">
        <v>1555</v>
      </c>
      <c r="I1125" s="606" t="s">
        <v>1981</v>
      </c>
      <c r="J1125" s="606" t="s">
        <v>1982</v>
      </c>
    </row>
    <row r="1126" spans="2:10" ht="21" customHeight="1">
      <c r="B1126" s="605" t="s">
        <v>3312</v>
      </c>
      <c r="C1126" s="606" t="s">
        <v>8</v>
      </c>
      <c r="D1126" s="605" t="s">
        <v>689</v>
      </c>
      <c r="E1126" s="606" t="s">
        <v>3313</v>
      </c>
      <c r="F1126" s="606" t="s">
        <v>3313</v>
      </c>
      <c r="G1126" s="606" t="s">
        <v>1554</v>
      </c>
      <c r="H1126" s="606" t="s">
        <v>1555</v>
      </c>
      <c r="I1126" s="606" t="s">
        <v>1981</v>
      </c>
      <c r="J1126" s="606" t="s">
        <v>1982</v>
      </c>
    </row>
    <row r="1127" spans="2:10" ht="21" customHeight="1">
      <c r="B1127" s="605" t="s">
        <v>3314</v>
      </c>
      <c r="C1127" s="606" t="s">
        <v>8</v>
      </c>
      <c r="D1127" s="605" t="s">
        <v>689</v>
      </c>
      <c r="E1127" s="606" t="s">
        <v>3315</v>
      </c>
      <c r="F1127" s="606" t="s">
        <v>3315</v>
      </c>
      <c r="G1127" s="606" t="s">
        <v>1554</v>
      </c>
      <c r="H1127" s="606" t="s">
        <v>1555</v>
      </c>
      <c r="I1127" s="606" t="s">
        <v>1981</v>
      </c>
      <c r="J1127" s="606" t="s">
        <v>1982</v>
      </c>
    </row>
    <row r="1128" spans="2:10" ht="21" customHeight="1">
      <c r="B1128" s="605" t="s">
        <v>3316</v>
      </c>
      <c r="C1128" s="606" t="s">
        <v>8</v>
      </c>
      <c r="D1128" s="605" t="s">
        <v>689</v>
      </c>
      <c r="E1128" s="606" t="s">
        <v>3317</v>
      </c>
      <c r="F1128" s="606" t="s">
        <v>3317</v>
      </c>
      <c r="G1128" s="606" t="s">
        <v>1554</v>
      </c>
      <c r="H1128" s="606" t="s">
        <v>1555</v>
      </c>
      <c r="I1128" s="606" t="s">
        <v>1981</v>
      </c>
      <c r="J1128" s="606" t="s">
        <v>1982</v>
      </c>
    </row>
    <row r="1129" spans="2:10" ht="21" customHeight="1">
      <c r="B1129" s="605" t="s">
        <v>3318</v>
      </c>
      <c r="C1129" s="606" t="s">
        <v>8</v>
      </c>
      <c r="D1129" s="605" t="s">
        <v>689</v>
      </c>
      <c r="E1129" s="606" t="s">
        <v>3319</v>
      </c>
      <c r="F1129" s="606" t="s">
        <v>3319</v>
      </c>
      <c r="G1129" s="606" t="s">
        <v>1554</v>
      </c>
      <c r="H1129" s="606" t="s">
        <v>1555</v>
      </c>
      <c r="I1129" s="606" t="s">
        <v>1981</v>
      </c>
      <c r="J1129" s="606" t="s">
        <v>1982</v>
      </c>
    </row>
    <row r="1130" spans="2:10" ht="21" customHeight="1">
      <c r="B1130" s="605" t="s">
        <v>3320</v>
      </c>
      <c r="C1130" s="606" t="s">
        <v>8</v>
      </c>
      <c r="D1130" s="605" t="s">
        <v>689</v>
      </c>
      <c r="E1130" s="606" t="s">
        <v>3321</v>
      </c>
      <c r="F1130" s="606" t="s">
        <v>3321</v>
      </c>
      <c r="G1130" s="606" t="s">
        <v>1554</v>
      </c>
      <c r="H1130" s="606" t="s">
        <v>1555</v>
      </c>
      <c r="I1130" s="606" t="s">
        <v>1981</v>
      </c>
      <c r="J1130" s="606" t="s">
        <v>1982</v>
      </c>
    </row>
    <row r="1131" spans="2:10" ht="21" customHeight="1">
      <c r="B1131" s="605" t="s">
        <v>3322</v>
      </c>
      <c r="C1131" s="606" t="s">
        <v>8</v>
      </c>
      <c r="D1131" s="605" t="s">
        <v>689</v>
      </c>
      <c r="E1131" s="606" t="s">
        <v>3323</v>
      </c>
      <c r="F1131" s="606" t="s">
        <v>3323</v>
      </c>
      <c r="G1131" s="606" t="s">
        <v>1554</v>
      </c>
      <c r="H1131" s="606" t="s">
        <v>1555</v>
      </c>
      <c r="I1131" s="606" t="s">
        <v>1981</v>
      </c>
      <c r="J1131" s="606" t="s">
        <v>1982</v>
      </c>
    </row>
    <row r="1132" spans="2:10" ht="21" customHeight="1">
      <c r="B1132" s="605" t="s">
        <v>3324</v>
      </c>
      <c r="C1132" s="606" t="s">
        <v>8</v>
      </c>
      <c r="D1132" s="605" t="s">
        <v>689</v>
      </c>
      <c r="E1132" s="606" t="s">
        <v>3325</v>
      </c>
      <c r="F1132" s="606" t="s">
        <v>3325</v>
      </c>
      <c r="G1132" s="606" t="s">
        <v>1554</v>
      </c>
      <c r="H1132" s="606" t="s">
        <v>1555</v>
      </c>
      <c r="I1132" s="606" t="s">
        <v>1981</v>
      </c>
      <c r="J1132" s="606" t="s">
        <v>1982</v>
      </c>
    </row>
    <row r="1133" spans="2:10" ht="21" customHeight="1">
      <c r="B1133" s="605" t="s">
        <v>3326</v>
      </c>
      <c r="C1133" s="606" t="s">
        <v>8</v>
      </c>
      <c r="D1133" s="605" t="s">
        <v>689</v>
      </c>
      <c r="E1133" s="606" t="s">
        <v>3327</v>
      </c>
      <c r="F1133" s="606" t="s">
        <v>3327</v>
      </c>
      <c r="G1133" s="606" t="s">
        <v>1554</v>
      </c>
      <c r="H1133" s="606" t="s">
        <v>1555</v>
      </c>
      <c r="I1133" s="606" t="s">
        <v>1981</v>
      </c>
      <c r="J1133" s="606" t="s">
        <v>1982</v>
      </c>
    </row>
    <row r="1134" spans="2:10" ht="21" customHeight="1">
      <c r="B1134" s="605" t="s">
        <v>3328</v>
      </c>
      <c r="C1134" s="606" t="s">
        <v>8</v>
      </c>
      <c r="D1134" s="605" t="s">
        <v>689</v>
      </c>
      <c r="E1134" s="606" t="s">
        <v>3329</v>
      </c>
      <c r="F1134" s="606" t="s">
        <v>3329</v>
      </c>
      <c r="G1134" s="606" t="s">
        <v>1554</v>
      </c>
      <c r="H1134" s="606" t="s">
        <v>1555</v>
      </c>
      <c r="I1134" s="606" t="s">
        <v>1981</v>
      </c>
      <c r="J1134" s="606" t="s">
        <v>1982</v>
      </c>
    </row>
    <row r="1135" spans="2:10" ht="21" customHeight="1">
      <c r="B1135" s="605" t="s">
        <v>3330</v>
      </c>
      <c r="C1135" s="606" t="s">
        <v>8</v>
      </c>
      <c r="D1135" s="605" t="s">
        <v>689</v>
      </c>
      <c r="E1135" s="606" t="s">
        <v>3331</v>
      </c>
      <c r="F1135" s="606" t="s">
        <v>3331</v>
      </c>
      <c r="G1135" s="606" t="s">
        <v>1554</v>
      </c>
      <c r="H1135" s="606" t="s">
        <v>1555</v>
      </c>
      <c r="I1135" s="606" t="s">
        <v>1981</v>
      </c>
      <c r="J1135" s="606" t="s">
        <v>1982</v>
      </c>
    </row>
    <row r="1136" spans="2:10" ht="21" customHeight="1">
      <c r="B1136" s="605" t="s">
        <v>3332</v>
      </c>
      <c r="C1136" s="606" t="s">
        <v>8</v>
      </c>
      <c r="D1136" s="605" t="s">
        <v>689</v>
      </c>
      <c r="E1136" s="606" t="s">
        <v>3333</v>
      </c>
      <c r="F1136" s="606" t="s">
        <v>3333</v>
      </c>
      <c r="G1136" s="606" t="s">
        <v>1554</v>
      </c>
      <c r="H1136" s="606" t="s">
        <v>1555</v>
      </c>
      <c r="I1136" s="606" t="s">
        <v>1981</v>
      </c>
      <c r="J1136" s="606" t="s">
        <v>1982</v>
      </c>
    </row>
    <row r="1137" spans="2:10" ht="21" customHeight="1">
      <c r="B1137" s="605" t="s">
        <v>3334</v>
      </c>
      <c r="C1137" s="606" t="s">
        <v>8</v>
      </c>
      <c r="D1137" s="605" t="s">
        <v>689</v>
      </c>
      <c r="E1137" s="606" t="s">
        <v>3335</v>
      </c>
      <c r="F1137" s="606" t="s">
        <v>3335</v>
      </c>
      <c r="G1137" s="606" t="s">
        <v>1554</v>
      </c>
      <c r="H1137" s="606" t="s">
        <v>1555</v>
      </c>
      <c r="I1137" s="606" t="s">
        <v>1981</v>
      </c>
      <c r="J1137" s="606" t="s">
        <v>1982</v>
      </c>
    </row>
    <row r="1138" spans="2:10" ht="21" customHeight="1">
      <c r="B1138" s="605" t="s">
        <v>3336</v>
      </c>
      <c r="C1138" s="606" t="s">
        <v>8</v>
      </c>
      <c r="D1138" s="605" t="s">
        <v>689</v>
      </c>
      <c r="E1138" s="606" t="s">
        <v>3337</v>
      </c>
      <c r="F1138" s="606" t="s">
        <v>3337</v>
      </c>
      <c r="G1138" s="606" t="s">
        <v>1554</v>
      </c>
      <c r="H1138" s="606" t="s">
        <v>1555</v>
      </c>
      <c r="I1138" s="606" t="s">
        <v>1981</v>
      </c>
      <c r="J1138" s="606" t="s">
        <v>1982</v>
      </c>
    </row>
    <row r="1139" spans="2:10" ht="21" customHeight="1">
      <c r="B1139" s="605" t="s">
        <v>3338</v>
      </c>
      <c r="C1139" s="606" t="s">
        <v>8</v>
      </c>
      <c r="D1139" s="605" t="s">
        <v>689</v>
      </c>
      <c r="E1139" s="606" t="s">
        <v>3339</v>
      </c>
      <c r="F1139" s="606" t="s">
        <v>3339</v>
      </c>
      <c r="G1139" s="606" t="s">
        <v>1554</v>
      </c>
      <c r="H1139" s="606" t="s">
        <v>1555</v>
      </c>
      <c r="I1139" s="606" t="s">
        <v>1981</v>
      </c>
      <c r="J1139" s="606" t="s">
        <v>1982</v>
      </c>
    </row>
    <row r="1140" spans="2:10" ht="21" customHeight="1">
      <c r="B1140" s="605" t="s">
        <v>3340</v>
      </c>
      <c r="C1140" s="606" t="s">
        <v>8</v>
      </c>
      <c r="D1140" s="605" t="s">
        <v>689</v>
      </c>
      <c r="E1140" s="606" t="s">
        <v>3341</v>
      </c>
      <c r="F1140" s="606" t="s">
        <v>3341</v>
      </c>
      <c r="G1140" s="606" t="s">
        <v>1554</v>
      </c>
      <c r="H1140" s="606" t="s">
        <v>1555</v>
      </c>
      <c r="I1140" s="606" t="s">
        <v>1981</v>
      </c>
      <c r="J1140" s="606" t="s">
        <v>1982</v>
      </c>
    </row>
    <row r="1141" spans="2:10" ht="21" customHeight="1">
      <c r="B1141" s="605" t="s">
        <v>3342</v>
      </c>
      <c r="C1141" s="606" t="s">
        <v>8</v>
      </c>
      <c r="D1141" s="605" t="s">
        <v>689</v>
      </c>
      <c r="E1141" s="606" t="s">
        <v>3343</v>
      </c>
      <c r="F1141" s="606" t="s">
        <v>3343</v>
      </c>
      <c r="G1141" s="606" t="s">
        <v>1554</v>
      </c>
      <c r="H1141" s="606" t="s">
        <v>1555</v>
      </c>
      <c r="I1141" s="606" t="s">
        <v>1981</v>
      </c>
      <c r="J1141" s="606" t="s">
        <v>1982</v>
      </c>
    </row>
    <row r="1142" spans="2:10" ht="21" customHeight="1">
      <c r="B1142" s="605" t="s">
        <v>3344</v>
      </c>
      <c r="C1142" s="606" t="s">
        <v>8</v>
      </c>
      <c r="D1142" s="605" t="s">
        <v>689</v>
      </c>
      <c r="E1142" s="606" t="s">
        <v>3345</v>
      </c>
      <c r="F1142" s="606" t="s">
        <v>3345</v>
      </c>
      <c r="G1142" s="606" t="s">
        <v>1554</v>
      </c>
      <c r="H1142" s="606" t="s">
        <v>1555</v>
      </c>
      <c r="I1142" s="606" t="s">
        <v>1981</v>
      </c>
      <c r="J1142" s="606" t="s">
        <v>1982</v>
      </c>
    </row>
    <row r="1143" spans="2:10" ht="21" customHeight="1">
      <c r="B1143" s="605" t="s">
        <v>3346</v>
      </c>
      <c r="C1143" s="606" t="s">
        <v>8</v>
      </c>
      <c r="D1143" s="605" t="s">
        <v>689</v>
      </c>
      <c r="E1143" s="606" t="s">
        <v>3347</v>
      </c>
      <c r="F1143" s="606" t="s">
        <v>3347</v>
      </c>
      <c r="G1143" s="606" t="s">
        <v>1554</v>
      </c>
      <c r="H1143" s="606" t="s">
        <v>1555</v>
      </c>
      <c r="I1143" s="606" t="s">
        <v>1981</v>
      </c>
      <c r="J1143" s="606" t="s">
        <v>1982</v>
      </c>
    </row>
    <row r="1144" spans="2:10" ht="21" customHeight="1">
      <c r="B1144" s="605" t="s">
        <v>3348</v>
      </c>
      <c r="C1144" s="606" t="s">
        <v>8</v>
      </c>
      <c r="D1144" s="605" t="s">
        <v>689</v>
      </c>
      <c r="E1144" s="606" t="s">
        <v>3349</v>
      </c>
      <c r="F1144" s="606" t="s">
        <v>3349</v>
      </c>
      <c r="G1144" s="606" t="s">
        <v>1554</v>
      </c>
      <c r="H1144" s="606" t="s">
        <v>1555</v>
      </c>
      <c r="I1144" s="606" t="s">
        <v>1981</v>
      </c>
      <c r="J1144" s="606" t="s">
        <v>1982</v>
      </c>
    </row>
    <row r="1145" spans="2:10" ht="21" customHeight="1">
      <c r="B1145" s="605" t="s">
        <v>3350</v>
      </c>
      <c r="C1145" s="606" t="s">
        <v>8</v>
      </c>
      <c r="D1145" s="605" t="s">
        <v>689</v>
      </c>
      <c r="E1145" s="606" t="s">
        <v>3351</v>
      </c>
      <c r="F1145" s="606" t="s">
        <v>3351</v>
      </c>
      <c r="G1145" s="606" t="s">
        <v>1554</v>
      </c>
      <c r="H1145" s="606" t="s">
        <v>1555</v>
      </c>
      <c r="I1145" s="606" t="s">
        <v>1981</v>
      </c>
      <c r="J1145" s="606" t="s">
        <v>1982</v>
      </c>
    </row>
    <row r="1146" spans="2:10" ht="21" customHeight="1">
      <c r="B1146" s="605" t="s">
        <v>3352</v>
      </c>
      <c r="C1146" s="606" t="s">
        <v>8</v>
      </c>
      <c r="D1146" s="605" t="s">
        <v>689</v>
      </c>
      <c r="E1146" s="606" t="s">
        <v>3353</v>
      </c>
      <c r="F1146" s="606" t="s">
        <v>3353</v>
      </c>
      <c r="G1146" s="606" t="s">
        <v>1554</v>
      </c>
      <c r="H1146" s="606" t="s">
        <v>1555</v>
      </c>
      <c r="I1146" s="606" t="s">
        <v>1981</v>
      </c>
      <c r="J1146" s="606" t="s">
        <v>1982</v>
      </c>
    </row>
    <row r="1147" spans="2:10" ht="21" customHeight="1">
      <c r="B1147" s="605" t="s">
        <v>3354</v>
      </c>
      <c r="C1147" s="606" t="s">
        <v>8</v>
      </c>
      <c r="D1147" s="605" t="s">
        <v>689</v>
      </c>
      <c r="E1147" s="606" t="s">
        <v>3355</v>
      </c>
      <c r="F1147" s="606" t="s">
        <v>3355</v>
      </c>
      <c r="G1147" s="606" t="s">
        <v>1554</v>
      </c>
      <c r="H1147" s="606" t="s">
        <v>1555</v>
      </c>
      <c r="I1147" s="606" t="s">
        <v>1981</v>
      </c>
      <c r="J1147" s="606" t="s">
        <v>1982</v>
      </c>
    </row>
    <row r="1148" spans="2:10" ht="21" customHeight="1">
      <c r="B1148" s="605" t="s">
        <v>3356</v>
      </c>
      <c r="C1148" s="606" t="s">
        <v>8</v>
      </c>
      <c r="D1148" s="605" t="s">
        <v>689</v>
      </c>
      <c r="E1148" s="606" t="s">
        <v>3357</v>
      </c>
      <c r="F1148" s="606" t="s">
        <v>3357</v>
      </c>
      <c r="G1148" s="606" t="s">
        <v>1554</v>
      </c>
      <c r="H1148" s="606" t="s">
        <v>1555</v>
      </c>
      <c r="I1148" s="606" t="s">
        <v>1981</v>
      </c>
      <c r="J1148" s="606" t="s">
        <v>1982</v>
      </c>
    </row>
    <row r="1149" spans="2:10" ht="21" customHeight="1">
      <c r="B1149" s="605" t="s">
        <v>3358</v>
      </c>
      <c r="C1149" s="606" t="s">
        <v>8</v>
      </c>
      <c r="D1149" s="605" t="s">
        <v>689</v>
      </c>
      <c r="E1149" s="606" t="s">
        <v>3359</v>
      </c>
      <c r="F1149" s="606" t="s">
        <v>3359</v>
      </c>
      <c r="G1149" s="606" t="s">
        <v>1554</v>
      </c>
      <c r="H1149" s="606" t="s">
        <v>1555</v>
      </c>
      <c r="I1149" s="606" t="s">
        <v>1981</v>
      </c>
      <c r="J1149" s="606" t="s">
        <v>1982</v>
      </c>
    </row>
    <row r="1150" spans="2:10" ht="21" customHeight="1">
      <c r="B1150" s="605" t="s">
        <v>3360</v>
      </c>
      <c r="C1150" s="606" t="s">
        <v>8</v>
      </c>
      <c r="D1150" s="605" t="s">
        <v>689</v>
      </c>
      <c r="E1150" s="606" t="s">
        <v>3361</v>
      </c>
      <c r="F1150" s="606" t="s">
        <v>3361</v>
      </c>
      <c r="G1150" s="606" t="s">
        <v>1554</v>
      </c>
      <c r="H1150" s="606" t="s">
        <v>1555</v>
      </c>
      <c r="I1150" s="606" t="s">
        <v>1981</v>
      </c>
      <c r="J1150" s="606" t="s">
        <v>1982</v>
      </c>
    </row>
    <row r="1151" spans="2:10" ht="21" customHeight="1">
      <c r="B1151" s="605" t="s">
        <v>3362</v>
      </c>
      <c r="C1151" s="606" t="s">
        <v>8</v>
      </c>
      <c r="D1151" s="605" t="s">
        <v>689</v>
      </c>
      <c r="E1151" s="606" t="s">
        <v>3363</v>
      </c>
      <c r="F1151" s="606" t="s">
        <v>3363</v>
      </c>
      <c r="G1151" s="606" t="s">
        <v>1554</v>
      </c>
      <c r="H1151" s="606" t="s">
        <v>1555</v>
      </c>
      <c r="I1151" s="606" t="s">
        <v>1981</v>
      </c>
      <c r="J1151" s="606" t="s">
        <v>1982</v>
      </c>
    </row>
    <row r="1152" spans="2:10" ht="21" customHeight="1">
      <c r="B1152" s="605" t="s">
        <v>3364</v>
      </c>
      <c r="C1152" s="606" t="s">
        <v>8</v>
      </c>
      <c r="D1152" s="605" t="s">
        <v>689</v>
      </c>
      <c r="E1152" s="606" t="s">
        <v>3365</v>
      </c>
      <c r="F1152" s="606" t="s">
        <v>3365</v>
      </c>
      <c r="G1152" s="606" t="s">
        <v>1554</v>
      </c>
      <c r="H1152" s="606" t="s">
        <v>1555</v>
      </c>
      <c r="I1152" s="606" t="s">
        <v>1981</v>
      </c>
      <c r="J1152" s="606" t="s">
        <v>1982</v>
      </c>
    </row>
    <row r="1153" spans="2:10" ht="21" customHeight="1">
      <c r="B1153" s="605" t="s">
        <v>3366</v>
      </c>
      <c r="C1153" s="606" t="s">
        <v>8</v>
      </c>
      <c r="D1153" s="605" t="s">
        <v>689</v>
      </c>
      <c r="E1153" s="606" t="s">
        <v>3367</v>
      </c>
      <c r="F1153" s="606" t="s">
        <v>3367</v>
      </c>
      <c r="G1153" s="606" t="s">
        <v>1554</v>
      </c>
      <c r="H1153" s="606" t="s">
        <v>1555</v>
      </c>
      <c r="I1153" s="606" t="s">
        <v>1981</v>
      </c>
      <c r="J1153" s="606" t="s">
        <v>1982</v>
      </c>
    </row>
    <row r="1154" spans="2:10" ht="21" customHeight="1">
      <c r="B1154" s="605" t="s">
        <v>3368</v>
      </c>
      <c r="C1154" s="606" t="s">
        <v>8</v>
      </c>
      <c r="D1154" s="605" t="s">
        <v>689</v>
      </c>
      <c r="E1154" s="606" t="s">
        <v>3369</v>
      </c>
      <c r="F1154" s="606" t="s">
        <v>3369</v>
      </c>
      <c r="G1154" s="606" t="s">
        <v>1554</v>
      </c>
      <c r="H1154" s="606" t="s">
        <v>1555</v>
      </c>
      <c r="I1154" s="606" t="s">
        <v>1981</v>
      </c>
      <c r="J1154" s="606" t="s">
        <v>1982</v>
      </c>
    </row>
    <row r="1155" spans="2:10" ht="21" customHeight="1">
      <c r="B1155" s="605" t="s">
        <v>3370</v>
      </c>
      <c r="C1155" s="606" t="s">
        <v>8</v>
      </c>
      <c r="D1155" s="605" t="s">
        <v>689</v>
      </c>
      <c r="E1155" s="606" t="s">
        <v>1046</v>
      </c>
      <c r="F1155" s="606" t="s">
        <v>1046</v>
      </c>
      <c r="G1155" s="606" t="s">
        <v>1085</v>
      </c>
      <c r="H1155" s="606" t="s">
        <v>2063</v>
      </c>
      <c r="I1155" s="606" t="s">
        <v>1087</v>
      </c>
      <c r="J1155" s="606" t="s">
        <v>1088</v>
      </c>
    </row>
    <row r="1156" spans="2:10" ht="21" customHeight="1">
      <c r="B1156" s="605" t="s">
        <v>3371</v>
      </c>
      <c r="C1156" s="606" t="s">
        <v>8</v>
      </c>
      <c r="D1156" s="605" t="s">
        <v>689</v>
      </c>
      <c r="E1156" s="606" t="s">
        <v>3372</v>
      </c>
      <c r="F1156" s="606" t="s">
        <v>3372</v>
      </c>
      <c r="G1156" s="606" t="s">
        <v>1554</v>
      </c>
      <c r="H1156" s="606" t="s">
        <v>1555</v>
      </c>
      <c r="I1156" s="606" t="s">
        <v>1981</v>
      </c>
      <c r="J1156" s="606" t="s">
        <v>1982</v>
      </c>
    </row>
    <row r="1157" spans="2:10" ht="21" customHeight="1">
      <c r="B1157" s="605" t="s">
        <v>3373</v>
      </c>
      <c r="C1157" s="606" t="s">
        <v>8</v>
      </c>
      <c r="D1157" s="605" t="s">
        <v>689</v>
      </c>
      <c r="E1157" s="606" t="s">
        <v>3374</v>
      </c>
      <c r="F1157" s="606" t="s">
        <v>3374</v>
      </c>
      <c r="G1157" s="606" t="s">
        <v>1554</v>
      </c>
      <c r="H1157" s="606" t="s">
        <v>1555</v>
      </c>
      <c r="I1157" s="606" t="s">
        <v>1981</v>
      </c>
      <c r="J1157" s="606" t="s">
        <v>1982</v>
      </c>
    </row>
    <row r="1158" spans="2:10" ht="21" customHeight="1">
      <c r="B1158" s="605" t="s">
        <v>3375</v>
      </c>
      <c r="C1158" s="606" t="s">
        <v>8</v>
      </c>
      <c r="D1158" s="605" t="s">
        <v>689</v>
      </c>
      <c r="E1158" s="606" t="s">
        <v>3376</v>
      </c>
      <c r="F1158" s="606" t="s">
        <v>3376</v>
      </c>
      <c r="G1158" s="606" t="s">
        <v>1554</v>
      </c>
      <c r="H1158" s="606" t="s">
        <v>1555</v>
      </c>
      <c r="I1158" s="606" t="s">
        <v>1981</v>
      </c>
      <c r="J1158" s="606" t="s">
        <v>1982</v>
      </c>
    </row>
    <row r="1159" spans="2:10" ht="21" customHeight="1">
      <c r="B1159" s="605" t="s">
        <v>3377</v>
      </c>
      <c r="C1159" s="606" t="s">
        <v>8</v>
      </c>
      <c r="D1159" s="605" t="s">
        <v>689</v>
      </c>
      <c r="E1159" s="606" t="s">
        <v>3378</v>
      </c>
      <c r="F1159" s="606" t="s">
        <v>3378</v>
      </c>
      <c r="G1159" s="606" t="s">
        <v>1554</v>
      </c>
      <c r="H1159" s="606" t="s">
        <v>1555</v>
      </c>
      <c r="I1159" s="606" t="s">
        <v>1981</v>
      </c>
      <c r="J1159" s="606" t="s">
        <v>1982</v>
      </c>
    </row>
    <row r="1160" spans="2:10" ht="21" customHeight="1">
      <c r="B1160" s="605" t="s">
        <v>3379</v>
      </c>
      <c r="C1160" s="606" t="s">
        <v>8</v>
      </c>
      <c r="D1160" s="605" t="s">
        <v>689</v>
      </c>
      <c r="E1160" s="606" t="s">
        <v>1047</v>
      </c>
      <c r="F1160" s="606" t="s">
        <v>1047</v>
      </c>
      <c r="G1160" s="606" t="s">
        <v>1554</v>
      </c>
      <c r="H1160" s="606" t="s">
        <v>1555</v>
      </c>
      <c r="I1160" s="606" t="s">
        <v>1981</v>
      </c>
      <c r="J1160" s="606" t="s">
        <v>1982</v>
      </c>
    </row>
    <row r="1161" spans="2:10" ht="21" customHeight="1">
      <c r="B1161" s="605" t="s">
        <v>3380</v>
      </c>
      <c r="C1161" s="606" t="s">
        <v>8</v>
      </c>
      <c r="D1161" s="605" t="s">
        <v>689</v>
      </c>
      <c r="E1161" s="606" t="s">
        <v>1048</v>
      </c>
      <c r="F1161" s="606" t="s">
        <v>1048</v>
      </c>
      <c r="G1161" s="606" t="s">
        <v>1554</v>
      </c>
      <c r="H1161" s="606" t="s">
        <v>1555</v>
      </c>
      <c r="I1161" s="606" t="s">
        <v>1981</v>
      </c>
      <c r="J1161" s="606" t="s">
        <v>1982</v>
      </c>
    </row>
    <row r="1162" spans="2:10" ht="21" customHeight="1">
      <c r="B1162" s="605" t="s">
        <v>3381</v>
      </c>
      <c r="C1162" s="606" t="s">
        <v>8</v>
      </c>
      <c r="D1162" s="605" t="s">
        <v>689</v>
      </c>
      <c r="E1162" s="606" t="s">
        <v>3382</v>
      </c>
      <c r="F1162" s="606" t="s">
        <v>3382</v>
      </c>
      <c r="G1162" s="606" t="s">
        <v>1554</v>
      </c>
      <c r="H1162" s="606" t="s">
        <v>1555</v>
      </c>
      <c r="I1162" s="606" t="s">
        <v>1981</v>
      </c>
      <c r="J1162" s="606" t="s">
        <v>1982</v>
      </c>
    </row>
    <row r="1163" spans="2:10" ht="21" customHeight="1">
      <c r="B1163" s="605" t="s">
        <v>3383</v>
      </c>
      <c r="C1163" s="606" t="s">
        <v>8</v>
      </c>
      <c r="D1163" s="605" t="s">
        <v>689</v>
      </c>
      <c r="E1163" s="606" t="s">
        <v>3384</v>
      </c>
      <c r="F1163" s="606" t="s">
        <v>3384</v>
      </c>
      <c r="G1163" s="606" t="s">
        <v>1554</v>
      </c>
      <c r="H1163" s="606" t="s">
        <v>1555</v>
      </c>
      <c r="I1163" s="606" t="s">
        <v>1981</v>
      </c>
      <c r="J1163" s="606" t="s">
        <v>1982</v>
      </c>
    </row>
    <row r="1164" spans="2:10" ht="21" customHeight="1">
      <c r="B1164" s="605" t="s">
        <v>3385</v>
      </c>
      <c r="C1164" s="606" t="s">
        <v>8</v>
      </c>
      <c r="D1164" s="605" t="s">
        <v>689</v>
      </c>
      <c r="E1164" s="606" t="s">
        <v>3386</v>
      </c>
      <c r="F1164" s="606" t="s">
        <v>3386</v>
      </c>
      <c r="G1164" s="606" t="s">
        <v>1554</v>
      </c>
      <c r="H1164" s="606" t="s">
        <v>1555</v>
      </c>
      <c r="I1164" s="606" t="s">
        <v>1981</v>
      </c>
      <c r="J1164" s="606" t="s">
        <v>1982</v>
      </c>
    </row>
    <row r="1165" spans="2:10" ht="21" customHeight="1">
      <c r="B1165" s="605" t="s">
        <v>3387</v>
      </c>
      <c r="C1165" s="606" t="s">
        <v>8</v>
      </c>
      <c r="D1165" s="605" t="s">
        <v>689</v>
      </c>
      <c r="E1165" s="606" t="s">
        <v>3388</v>
      </c>
      <c r="F1165" s="606" t="s">
        <v>3388</v>
      </c>
      <c r="G1165" s="606" t="s">
        <v>1554</v>
      </c>
      <c r="H1165" s="606" t="s">
        <v>1555</v>
      </c>
      <c r="I1165" s="606" t="s">
        <v>1981</v>
      </c>
      <c r="J1165" s="606" t="s">
        <v>1982</v>
      </c>
    </row>
    <row r="1166" spans="2:10" ht="21" customHeight="1">
      <c r="B1166" s="605" t="s">
        <v>3389</v>
      </c>
      <c r="C1166" s="606" t="s">
        <v>8</v>
      </c>
      <c r="D1166" s="605" t="s">
        <v>689</v>
      </c>
      <c r="E1166" s="606" t="s">
        <v>3390</v>
      </c>
      <c r="F1166" s="606" t="s">
        <v>3390</v>
      </c>
      <c r="G1166" s="606" t="s">
        <v>1554</v>
      </c>
      <c r="H1166" s="606" t="s">
        <v>1555</v>
      </c>
      <c r="I1166" s="606" t="s">
        <v>1981</v>
      </c>
      <c r="J1166" s="606" t="s">
        <v>1982</v>
      </c>
    </row>
    <row r="1167" spans="2:10" ht="21" customHeight="1">
      <c r="B1167" s="605" t="s">
        <v>3391</v>
      </c>
      <c r="C1167" s="606" t="s">
        <v>8</v>
      </c>
      <c r="D1167" s="605" t="s">
        <v>689</v>
      </c>
      <c r="E1167" s="606" t="s">
        <v>3392</v>
      </c>
      <c r="F1167" s="606" t="s">
        <v>3392</v>
      </c>
      <c r="G1167" s="606" t="s">
        <v>1554</v>
      </c>
      <c r="H1167" s="606" t="s">
        <v>1555</v>
      </c>
      <c r="I1167" s="606" t="s">
        <v>1981</v>
      </c>
      <c r="J1167" s="606" t="s">
        <v>1982</v>
      </c>
    </row>
    <row r="1168" spans="2:10" ht="21" customHeight="1">
      <c r="B1168" s="605" t="s">
        <v>3393</v>
      </c>
      <c r="C1168" s="606" t="s">
        <v>8</v>
      </c>
      <c r="D1168" s="605" t="s">
        <v>689</v>
      </c>
      <c r="E1168" s="606" t="s">
        <v>3394</v>
      </c>
      <c r="F1168" s="606" t="s">
        <v>3394</v>
      </c>
      <c r="G1168" s="606" t="s">
        <v>1554</v>
      </c>
      <c r="H1168" s="606" t="s">
        <v>1555</v>
      </c>
      <c r="I1168" s="606" t="s">
        <v>1981</v>
      </c>
      <c r="J1168" s="606" t="s">
        <v>1982</v>
      </c>
    </row>
    <row r="1169" spans="2:10" ht="21" customHeight="1">
      <c r="B1169" s="605" t="s">
        <v>3395</v>
      </c>
      <c r="C1169" s="606" t="s">
        <v>8</v>
      </c>
      <c r="D1169" s="605" t="s">
        <v>689</v>
      </c>
      <c r="E1169" s="606" t="s">
        <v>3396</v>
      </c>
      <c r="F1169" s="606" t="s">
        <v>3396</v>
      </c>
      <c r="G1169" s="606" t="s">
        <v>1554</v>
      </c>
      <c r="H1169" s="606" t="s">
        <v>1555</v>
      </c>
      <c r="I1169" s="606" t="s">
        <v>1981</v>
      </c>
      <c r="J1169" s="606" t="s">
        <v>1982</v>
      </c>
    </row>
    <row r="1170" spans="2:10" ht="21" customHeight="1">
      <c r="B1170" s="605" t="s">
        <v>3397</v>
      </c>
      <c r="C1170" s="606" t="s">
        <v>8</v>
      </c>
      <c r="D1170" s="605" t="s">
        <v>689</v>
      </c>
      <c r="E1170" s="606" t="s">
        <v>3398</v>
      </c>
      <c r="F1170" s="606" t="s">
        <v>3398</v>
      </c>
      <c r="G1170" s="606" t="s">
        <v>1554</v>
      </c>
      <c r="H1170" s="606" t="s">
        <v>1555</v>
      </c>
      <c r="I1170" s="606" t="s">
        <v>1981</v>
      </c>
      <c r="J1170" s="606" t="s">
        <v>1982</v>
      </c>
    </row>
    <row r="1171" spans="2:10" ht="21" customHeight="1">
      <c r="B1171" s="605" t="s">
        <v>3399</v>
      </c>
      <c r="C1171" s="606" t="s">
        <v>8</v>
      </c>
      <c r="D1171" s="605" t="s">
        <v>689</v>
      </c>
      <c r="E1171" s="606" t="s">
        <v>3400</v>
      </c>
      <c r="F1171" s="606" t="s">
        <v>3400</v>
      </c>
      <c r="G1171" s="606" t="s">
        <v>1554</v>
      </c>
      <c r="H1171" s="606" t="s">
        <v>1555</v>
      </c>
      <c r="I1171" s="606" t="s">
        <v>1981</v>
      </c>
      <c r="J1171" s="606" t="s">
        <v>1982</v>
      </c>
    </row>
    <row r="1172" spans="2:10" ht="21" customHeight="1">
      <c r="B1172" s="605" t="s">
        <v>3401</v>
      </c>
      <c r="C1172" s="606" t="s">
        <v>8</v>
      </c>
      <c r="D1172" s="605" t="s">
        <v>689</v>
      </c>
      <c r="E1172" s="606" t="s">
        <v>3402</v>
      </c>
      <c r="F1172" s="606" t="s">
        <v>3402</v>
      </c>
      <c r="G1172" s="606" t="s">
        <v>1554</v>
      </c>
      <c r="H1172" s="606" t="s">
        <v>1555</v>
      </c>
      <c r="I1172" s="606" t="s">
        <v>1981</v>
      </c>
      <c r="J1172" s="606" t="s">
        <v>1982</v>
      </c>
    </row>
    <row r="1173" spans="2:10" ht="21" customHeight="1">
      <c r="B1173" s="605" t="s">
        <v>3403</v>
      </c>
      <c r="C1173" s="606" t="s">
        <v>8</v>
      </c>
      <c r="D1173" s="605" t="s">
        <v>689</v>
      </c>
      <c r="E1173" s="606" t="s">
        <v>3404</v>
      </c>
      <c r="F1173" s="606" t="s">
        <v>3404</v>
      </c>
      <c r="G1173" s="606" t="s">
        <v>1554</v>
      </c>
      <c r="H1173" s="606" t="s">
        <v>1555</v>
      </c>
      <c r="I1173" s="606" t="s">
        <v>1981</v>
      </c>
      <c r="J1173" s="606" t="s">
        <v>1982</v>
      </c>
    </row>
    <row r="1174" spans="2:10" ht="21" customHeight="1">
      <c r="B1174" s="605" t="s">
        <v>3405</v>
      </c>
      <c r="C1174" s="606" t="s">
        <v>8</v>
      </c>
      <c r="D1174" s="605" t="s">
        <v>689</v>
      </c>
      <c r="E1174" s="606" t="s">
        <v>3406</v>
      </c>
      <c r="F1174" s="606" t="s">
        <v>3406</v>
      </c>
      <c r="G1174" s="606" t="s">
        <v>1554</v>
      </c>
      <c r="H1174" s="606" t="s">
        <v>1555</v>
      </c>
      <c r="I1174" s="606" t="s">
        <v>1981</v>
      </c>
      <c r="J1174" s="606" t="s">
        <v>1982</v>
      </c>
    </row>
    <row r="1175" spans="2:10" ht="21" customHeight="1">
      <c r="B1175" s="605" t="s">
        <v>3407</v>
      </c>
      <c r="C1175" s="606" t="s">
        <v>8</v>
      </c>
      <c r="D1175" s="605" t="s">
        <v>689</v>
      </c>
      <c r="E1175" s="606" t="s">
        <v>3408</v>
      </c>
      <c r="F1175" s="606" t="s">
        <v>3408</v>
      </c>
      <c r="G1175" s="606" t="s">
        <v>1554</v>
      </c>
      <c r="H1175" s="606" t="s">
        <v>1555</v>
      </c>
      <c r="I1175" s="606" t="s">
        <v>1981</v>
      </c>
      <c r="J1175" s="606" t="s">
        <v>1982</v>
      </c>
    </row>
    <row r="1176" spans="2:10" ht="21" customHeight="1">
      <c r="B1176" s="605" t="s">
        <v>3409</v>
      </c>
      <c r="C1176" s="606" t="s">
        <v>8</v>
      </c>
      <c r="D1176" s="605" t="s">
        <v>689</v>
      </c>
      <c r="E1176" s="606" t="s">
        <v>3410</v>
      </c>
      <c r="F1176" s="606" t="s">
        <v>3410</v>
      </c>
      <c r="G1176" s="606" t="s">
        <v>1554</v>
      </c>
      <c r="H1176" s="606" t="s">
        <v>1555</v>
      </c>
      <c r="I1176" s="606" t="s">
        <v>1981</v>
      </c>
      <c r="J1176" s="606" t="s">
        <v>1982</v>
      </c>
    </row>
    <row r="1177" spans="2:10" ht="21" customHeight="1">
      <c r="B1177" s="605" t="s">
        <v>3411</v>
      </c>
      <c r="C1177" s="606" t="s">
        <v>8</v>
      </c>
      <c r="D1177" s="605" t="s">
        <v>689</v>
      </c>
      <c r="E1177" s="606" t="s">
        <v>1049</v>
      </c>
      <c r="F1177" s="606" t="s">
        <v>1049</v>
      </c>
      <c r="G1177" s="606" t="s">
        <v>1554</v>
      </c>
      <c r="H1177" s="606" t="s">
        <v>1555</v>
      </c>
      <c r="I1177" s="606" t="s">
        <v>1981</v>
      </c>
      <c r="J1177" s="606" t="s">
        <v>1982</v>
      </c>
    </row>
    <row r="1178" spans="2:10" ht="21" customHeight="1">
      <c r="B1178" s="605" t="s">
        <v>3412</v>
      </c>
      <c r="C1178" s="606" t="s">
        <v>8</v>
      </c>
      <c r="D1178" s="605" t="s">
        <v>689</v>
      </c>
      <c r="E1178" s="606" t="s">
        <v>3413</v>
      </c>
      <c r="F1178" s="606" t="s">
        <v>3413</v>
      </c>
      <c r="G1178" s="606" t="s">
        <v>1554</v>
      </c>
      <c r="H1178" s="606" t="s">
        <v>1555</v>
      </c>
      <c r="I1178" s="606" t="s">
        <v>1981</v>
      </c>
      <c r="J1178" s="606" t="s">
        <v>1982</v>
      </c>
    </row>
    <row r="1179" spans="2:10" ht="21" customHeight="1">
      <c r="B1179" s="605" t="s">
        <v>3414</v>
      </c>
      <c r="C1179" s="606" t="s">
        <v>8</v>
      </c>
      <c r="D1179" s="605" t="s">
        <v>689</v>
      </c>
      <c r="E1179" s="606" t="s">
        <v>362</v>
      </c>
      <c r="F1179" s="606" t="s">
        <v>362</v>
      </c>
      <c r="G1179" s="606" t="s">
        <v>1151</v>
      </c>
      <c r="H1179" s="606" t="s">
        <v>1152</v>
      </c>
      <c r="I1179" s="606" t="s">
        <v>1087</v>
      </c>
      <c r="J1179" s="606" t="s">
        <v>1153</v>
      </c>
    </row>
    <row r="1180" spans="2:10" ht="21" customHeight="1">
      <c r="B1180" s="605" t="s">
        <v>3415</v>
      </c>
      <c r="C1180" s="606" t="s">
        <v>8</v>
      </c>
      <c r="D1180" s="605" t="s">
        <v>689</v>
      </c>
      <c r="E1180" s="606" t="s">
        <v>1050</v>
      </c>
      <c r="F1180" s="606" t="s">
        <v>1050</v>
      </c>
      <c r="G1180" s="606" t="s">
        <v>1554</v>
      </c>
      <c r="H1180" s="606" t="s">
        <v>1555</v>
      </c>
      <c r="I1180" s="606" t="s">
        <v>1981</v>
      </c>
      <c r="J1180" s="606" t="s">
        <v>1982</v>
      </c>
    </row>
    <row r="1181" spans="2:10" ht="21" customHeight="1">
      <c r="B1181" s="605" t="s">
        <v>3416</v>
      </c>
      <c r="C1181" s="606" t="s">
        <v>8</v>
      </c>
      <c r="D1181" s="605" t="s">
        <v>689</v>
      </c>
      <c r="E1181" s="606" t="s">
        <v>3417</v>
      </c>
      <c r="F1181" s="606" t="s">
        <v>3417</v>
      </c>
      <c r="G1181" s="606" t="s">
        <v>1554</v>
      </c>
      <c r="H1181" s="606" t="s">
        <v>1555</v>
      </c>
      <c r="I1181" s="606" t="s">
        <v>1981</v>
      </c>
      <c r="J1181" s="606" t="s">
        <v>1982</v>
      </c>
    </row>
    <row r="1182" spans="2:10" ht="21" customHeight="1">
      <c r="B1182" s="605" t="s">
        <v>3418</v>
      </c>
      <c r="C1182" s="606" t="s">
        <v>8</v>
      </c>
      <c r="D1182" s="605" t="s">
        <v>689</v>
      </c>
      <c r="E1182" s="606" t="s">
        <v>3419</v>
      </c>
      <c r="F1182" s="606" t="s">
        <v>3419</v>
      </c>
      <c r="G1182" s="606" t="s">
        <v>1554</v>
      </c>
      <c r="H1182" s="606" t="s">
        <v>1555</v>
      </c>
      <c r="I1182" s="606" t="s">
        <v>1981</v>
      </c>
      <c r="J1182" s="606" t="s">
        <v>1982</v>
      </c>
    </row>
    <row r="1183" spans="2:10" ht="21" customHeight="1">
      <c r="B1183" s="605" t="s">
        <v>3420</v>
      </c>
      <c r="C1183" s="606" t="s">
        <v>8</v>
      </c>
      <c r="D1183" s="605" t="s">
        <v>689</v>
      </c>
      <c r="E1183" s="606" t="s">
        <v>3421</v>
      </c>
      <c r="F1183" s="606" t="s">
        <v>3421</v>
      </c>
      <c r="G1183" s="606" t="s">
        <v>1554</v>
      </c>
      <c r="H1183" s="606" t="s">
        <v>1555</v>
      </c>
      <c r="I1183" s="606" t="s">
        <v>1981</v>
      </c>
      <c r="J1183" s="606" t="s">
        <v>1982</v>
      </c>
    </row>
    <row r="1184" spans="2:10" ht="21" customHeight="1">
      <c r="B1184" s="605" t="s">
        <v>3422</v>
      </c>
      <c r="C1184" s="606" t="s">
        <v>8</v>
      </c>
      <c r="D1184" s="605" t="s">
        <v>689</v>
      </c>
      <c r="E1184" s="606" t="s">
        <v>3423</v>
      </c>
      <c r="F1184" s="606" t="s">
        <v>3423</v>
      </c>
      <c r="G1184" s="606" t="s">
        <v>1554</v>
      </c>
      <c r="H1184" s="606" t="s">
        <v>1555</v>
      </c>
      <c r="I1184" s="606" t="s">
        <v>1981</v>
      </c>
      <c r="J1184" s="606" t="s">
        <v>1982</v>
      </c>
    </row>
    <row r="1185" spans="2:10" ht="21" customHeight="1">
      <c r="B1185" s="605" t="s">
        <v>3424</v>
      </c>
      <c r="C1185" s="606" t="s">
        <v>8</v>
      </c>
      <c r="D1185" s="605" t="s">
        <v>689</v>
      </c>
      <c r="E1185" s="606" t="s">
        <v>3425</v>
      </c>
      <c r="F1185" s="606" t="s">
        <v>3425</v>
      </c>
      <c r="G1185" s="606" t="s">
        <v>1554</v>
      </c>
      <c r="H1185" s="606" t="s">
        <v>1555</v>
      </c>
      <c r="I1185" s="606" t="s">
        <v>1981</v>
      </c>
      <c r="J1185" s="606" t="s">
        <v>1982</v>
      </c>
    </row>
    <row r="1186" spans="2:10" ht="21" customHeight="1">
      <c r="B1186" s="605" t="s">
        <v>3426</v>
      </c>
      <c r="C1186" s="606" t="s">
        <v>8</v>
      </c>
      <c r="D1186" s="605" t="s">
        <v>689</v>
      </c>
      <c r="E1186" s="606" t="s">
        <v>3427</v>
      </c>
      <c r="F1186" s="606" t="s">
        <v>3427</v>
      </c>
      <c r="G1186" s="606" t="s">
        <v>1554</v>
      </c>
      <c r="H1186" s="606" t="s">
        <v>1555</v>
      </c>
      <c r="I1186" s="606" t="s">
        <v>1981</v>
      </c>
      <c r="J1186" s="606" t="s">
        <v>1982</v>
      </c>
    </row>
    <row r="1187" spans="2:10" ht="21" customHeight="1">
      <c r="B1187" s="605" t="s">
        <v>3428</v>
      </c>
      <c r="C1187" s="606" t="s">
        <v>8</v>
      </c>
      <c r="D1187" s="605" t="s">
        <v>689</v>
      </c>
      <c r="E1187" s="606" t="s">
        <v>107</v>
      </c>
      <c r="F1187" s="606" t="s">
        <v>107</v>
      </c>
      <c r="G1187" s="606" t="s">
        <v>1554</v>
      </c>
      <c r="H1187" s="606" t="s">
        <v>1555</v>
      </c>
      <c r="I1187" s="606" t="s">
        <v>1981</v>
      </c>
      <c r="J1187" s="606" t="s">
        <v>1982</v>
      </c>
    </row>
    <row r="1188" spans="2:10" ht="21" customHeight="1">
      <c r="B1188" s="605" t="s">
        <v>3429</v>
      </c>
      <c r="C1188" s="606" t="s">
        <v>8</v>
      </c>
      <c r="D1188" s="605" t="s">
        <v>689</v>
      </c>
      <c r="E1188" s="606" t="s">
        <v>3430</v>
      </c>
      <c r="F1188" s="606" t="s">
        <v>3430</v>
      </c>
      <c r="G1188" s="606" t="s">
        <v>1554</v>
      </c>
      <c r="H1188" s="606" t="s">
        <v>1555</v>
      </c>
      <c r="I1188" s="606" t="s">
        <v>1981</v>
      </c>
      <c r="J1188" s="606" t="s">
        <v>1982</v>
      </c>
    </row>
    <row r="1189" spans="2:10" ht="21" customHeight="1">
      <c r="B1189" s="605" t="s">
        <v>3431</v>
      </c>
      <c r="C1189" s="606" t="s">
        <v>8</v>
      </c>
      <c r="D1189" s="605" t="s">
        <v>689</v>
      </c>
      <c r="E1189" s="606" t="s">
        <v>3432</v>
      </c>
      <c r="F1189" s="606" t="s">
        <v>3432</v>
      </c>
      <c r="G1189" s="606" t="s">
        <v>1554</v>
      </c>
      <c r="H1189" s="606" t="s">
        <v>1555</v>
      </c>
      <c r="I1189" s="606" t="s">
        <v>1981</v>
      </c>
      <c r="J1189" s="606" t="s">
        <v>1982</v>
      </c>
    </row>
    <row r="1190" spans="2:10" ht="21" customHeight="1">
      <c r="B1190" s="605" t="s">
        <v>3433</v>
      </c>
      <c r="C1190" s="606" t="s">
        <v>8</v>
      </c>
      <c r="D1190" s="605" t="s">
        <v>689</v>
      </c>
      <c r="E1190" s="606" t="s">
        <v>121</v>
      </c>
      <c r="F1190" s="606" t="s">
        <v>121</v>
      </c>
      <c r="G1190" s="606" t="s">
        <v>1151</v>
      </c>
      <c r="H1190" s="606" t="s">
        <v>1152</v>
      </c>
      <c r="I1190" s="606" t="s">
        <v>1087</v>
      </c>
      <c r="J1190" s="606" t="s">
        <v>1153</v>
      </c>
    </row>
    <row r="1191" spans="2:10" ht="21" customHeight="1">
      <c r="B1191" s="605" t="s">
        <v>3434</v>
      </c>
      <c r="C1191" s="606" t="s">
        <v>8</v>
      </c>
      <c r="D1191" s="605" t="s">
        <v>689</v>
      </c>
      <c r="E1191" s="606" t="s">
        <v>3435</v>
      </c>
      <c r="F1191" s="606" t="s">
        <v>3435</v>
      </c>
      <c r="G1191" s="606" t="s">
        <v>1554</v>
      </c>
      <c r="H1191" s="606" t="s">
        <v>1555</v>
      </c>
      <c r="I1191" s="606" t="s">
        <v>1981</v>
      </c>
      <c r="J1191" s="606" t="s">
        <v>1982</v>
      </c>
    </row>
    <row r="1192" spans="2:10" ht="21" customHeight="1">
      <c r="B1192" s="605" t="s">
        <v>3436</v>
      </c>
      <c r="C1192" s="606" t="s">
        <v>8</v>
      </c>
      <c r="D1192" s="605" t="s">
        <v>689</v>
      </c>
      <c r="E1192" s="606" t="s">
        <v>3437</v>
      </c>
      <c r="F1192" s="606" t="s">
        <v>3437</v>
      </c>
      <c r="G1192" s="606" t="s">
        <v>1554</v>
      </c>
      <c r="H1192" s="606" t="s">
        <v>1555</v>
      </c>
      <c r="I1192" s="606" t="s">
        <v>1981</v>
      </c>
      <c r="J1192" s="606" t="s">
        <v>1982</v>
      </c>
    </row>
    <row r="1193" spans="2:10" ht="21" customHeight="1">
      <c r="B1193" s="605" t="s">
        <v>3438</v>
      </c>
      <c r="C1193" s="606" t="s">
        <v>8</v>
      </c>
      <c r="D1193" s="605" t="s">
        <v>689</v>
      </c>
      <c r="E1193" s="606" t="s">
        <v>3439</v>
      </c>
      <c r="F1193" s="606" t="s">
        <v>3439</v>
      </c>
      <c r="G1193" s="606" t="s">
        <v>1554</v>
      </c>
      <c r="H1193" s="606" t="s">
        <v>1555</v>
      </c>
      <c r="I1193" s="606" t="s">
        <v>1981</v>
      </c>
      <c r="J1193" s="606" t="s">
        <v>1982</v>
      </c>
    </row>
    <row r="1194" spans="2:10" ht="21" customHeight="1">
      <c r="B1194" s="605" t="s">
        <v>3440</v>
      </c>
      <c r="C1194" s="606" t="s">
        <v>8</v>
      </c>
      <c r="D1194" s="605" t="s">
        <v>689</v>
      </c>
      <c r="E1194" s="606" t="s">
        <v>3441</v>
      </c>
      <c r="F1194" s="606" t="s">
        <v>3441</v>
      </c>
      <c r="G1194" s="606" t="s">
        <v>1554</v>
      </c>
      <c r="H1194" s="606" t="s">
        <v>1555</v>
      </c>
      <c r="I1194" s="606" t="s">
        <v>1981</v>
      </c>
      <c r="J1194" s="606" t="s">
        <v>1982</v>
      </c>
    </row>
    <row r="1195" spans="2:10" ht="21" customHeight="1">
      <c r="B1195" s="605" t="s">
        <v>3442</v>
      </c>
      <c r="C1195" s="606" t="s">
        <v>8</v>
      </c>
      <c r="D1195" s="605" t="s">
        <v>689</v>
      </c>
      <c r="E1195" s="606" t="s">
        <v>3443</v>
      </c>
      <c r="F1195" s="606" t="s">
        <v>3443</v>
      </c>
      <c r="G1195" s="606" t="s">
        <v>1554</v>
      </c>
      <c r="H1195" s="606" t="s">
        <v>1555</v>
      </c>
      <c r="I1195" s="606" t="s">
        <v>1981</v>
      </c>
      <c r="J1195" s="606" t="s">
        <v>1982</v>
      </c>
    </row>
    <row r="1196" spans="2:10" ht="21" customHeight="1">
      <c r="B1196" s="605" t="s">
        <v>3444</v>
      </c>
      <c r="C1196" s="606" t="s">
        <v>8</v>
      </c>
      <c r="D1196" s="605" t="s">
        <v>689</v>
      </c>
      <c r="E1196" s="606" t="s">
        <v>3445</v>
      </c>
      <c r="F1196" s="606" t="s">
        <v>3445</v>
      </c>
      <c r="G1196" s="606" t="s">
        <v>1554</v>
      </c>
      <c r="H1196" s="606" t="s">
        <v>1555</v>
      </c>
      <c r="I1196" s="606" t="s">
        <v>1981</v>
      </c>
      <c r="J1196" s="606" t="s">
        <v>1982</v>
      </c>
    </row>
    <row r="1197" spans="2:10" ht="21" customHeight="1">
      <c r="B1197" s="605" t="s">
        <v>3446</v>
      </c>
      <c r="C1197" s="606" t="s">
        <v>8</v>
      </c>
      <c r="D1197" s="605" t="s">
        <v>689</v>
      </c>
      <c r="E1197" s="606" t="s">
        <v>1051</v>
      </c>
      <c r="F1197" s="606" t="s">
        <v>1051</v>
      </c>
      <c r="G1197" s="606" t="s">
        <v>1085</v>
      </c>
      <c r="H1197" s="606" t="s">
        <v>2063</v>
      </c>
      <c r="I1197" s="606" t="s">
        <v>1087</v>
      </c>
      <c r="J1197" s="606" t="s">
        <v>1088</v>
      </c>
    </row>
    <row r="1198" spans="2:10" ht="21" customHeight="1">
      <c r="B1198" s="605" t="s">
        <v>3447</v>
      </c>
      <c r="C1198" s="606" t="s">
        <v>8</v>
      </c>
      <c r="D1198" s="605" t="s">
        <v>689</v>
      </c>
      <c r="E1198" s="606" t="s">
        <v>1052</v>
      </c>
      <c r="F1198" s="606" t="s">
        <v>1052</v>
      </c>
      <c r="G1198" s="606" t="s">
        <v>1085</v>
      </c>
      <c r="H1198" s="606" t="s">
        <v>2063</v>
      </c>
      <c r="I1198" s="606" t="s">
        <v>1087</v>
      </c>
      <c r="J1198" s="606" t="s">
        <v>1088</v>
      </c>
    </row>
    <row r="1199" spans="2:10" ht="21" customHeight="1">
      <c r="B1199" s="605" t="s">
        <v>3448</v>
      </c>
      <c r="C1199" s="606" t="s">
        <v>8</v>
      </c>
      <c r="D1199" s="605" t="s">
        <v>689</v>
      </c>
      <c r="E1199" s="606" t="s">
        <v>57</v>
      </c>
      <c r="F1199" s="606" t="s">
        <v>57</v>
      </c>
      <c r="G1199" s="606" t="s">
        <v>1554</v>
      </c>
      <c r="H1199" s="606" t="s">
        <v>1555</v>
      </c>
      <c r="I1199" s="606" t="s">
        <v>1981</v>
      </c>
      <c r="J1199" s="606" t="s">
        <v>1982</v>
      </c>
    </row>
    <row r="1200" spans="2:10" ht="21" customHeight="1">
      <c r="B1200" s="605" t="s">
        <v>3449</v>
      </c>
      <c r="C1200" s="606" t="s">
        <v>8</v>
      </c>
      <c r="D1200" s="605" t="s">
        <v>689</v>
      </c>
      <c r="E1200" s="606" t="s">
        <v>3450</v>
      </c>
      <c r="F1200" s="606" t="s">
        <v>3450</v>
      </c>
      <c r="G1200" s="606" t="s">
        <v>1554</v>
      </c>
      <c r="H1200" s="606" t="s">
        <v>1555</v>
      </c>
      <c r="I1200" s="606" t="s">
        <v>1981</v>
      </c>
      <c r="J1200" s="606" t="s">
        <v>1982</v>
      </c>
    </row>
    <row r="1201" spans="2:10" ht="21" customHeight="1">
      <c r="B1201" s="605" t="s">
        <v>3451</v>
      </c>
      <c r="C1201" s="606" t="s">
        <v>8</v>
      </c>
      <c r="D1201" s="605" t="s">
        <v>689</v>
      </c>
      <c r="E1201" s="606" t="s">
        <v>3452</v>
      </c>
      <c r="F1201" s="606" t="s">
        <v>3452</v>
      </c>
      <c r="G1201" s="606" t="s">
        <v>1554</v>
      </c>
      <c r="H1201" s="606" t="s">
        <v>1555</v>
      </c>
      <c r="I1201" s="606" t="s">
        <v>1981</v>
      </c>
      <c r="J1201" s="606" t="s">
        <v>1982</v>
      </c>
    </row>
    <row r="1202" spans="2:10" ht="21" customHeight="1">
      <c r="B1202" s="605" t="s">
        <v>3453</v>
      </c>
      <c r="C1202" s="606" t="s">
        <v>8</v>
      </c>
      <c r="D1202" s="605" t="s">
        <v>689</v>
      </c>
      <c r="E1202" s="606" t="s">
        <v>3454</v>
      </c>
      <c r="F1202" s="606" t="s">
        <v>3454</v>
      </c>
      <c r="G1202" s="606" t="s">
        <v>1554</v>
      </c>
      <c r="H1202" s="606" t="s">
        <v>1555</v>
      </c>
      <c r="I1202" s="606" t="s">
        <v>1981</v>
      </c>
      <c r="J1202" s="606" t="s">
        <v>1982</v>
      </c>
    </row>
    <row r="1203" spans="2:10" ht="21" customHeight="1">
      <c r="B1203" s="605" t="s">
        <v>3455</v>
      </c>
      <c r="C1203" s="606" t="s">
        <v>8</v>
      </c>
      <c r="D1203" s="605" t="s">
        <v>689</v>
      </c>
      <c r="E1203" s="606" t="s">
        <v>3456</v>
      </c>
      <c r="F1203" s="606" t="s">
        <v>3456</v>
      </c>
      <c r="G1203" s="606" t="s">
        <v>1554</v>
      </c>
      <c r="H1203" s="606" t="s">
        <v>1555</v>
      </c>
      <c r="I1203" s="606" t="s">
        <v>1981</v>
      </c>
      <c r="J1203" s="606" t="s">
        <v>1982</v>
      </c>
    </row>
    <row r="1204" spans="2:10" ht="21" customHeight="1">
      <c r="B1204" s="605" t="s">
        <v>3457</v>
      </c>
      <c r="C1204" s="606" t="s">
        <v>8</v>
      </c>
      <c r="D1204" s="605" t="s">
        <v>689</v>
      </c>
      <c r="E1204" s="606" t="s">
        <v>3458</v>
      </c>
      <c r="F1204" s="606" t="s">
        <v>3458</v>
      </c>
      <c r="G1204" s="606" t="s">
        <v>1554</v>
      </c>
      <c r="H1204" s="606" t="s">
        <v>1555</v>
      </c>
      <c r="I1204" s="606" t="s">
        <v>1981</v>
      </c>
      <c r="J1204" s="606" t="s">
        <v>1982</v>
      </c>
    </row>
    <row r="1205" spans="2:10" ht="21" customHeight="1">
      <c r="B1205" s="605" t="s">
        <v>3459</v>
      </c>
      <c r="C1205" s="606" t="s">
        <v>8</v>
      </c>
      <c r="D1205" s="605" t="s">
        <v>689</v>
      </c>
      <c r="E1205" s="606" t="s">
        <v>3460</v>
      </c>
      <c r="F1205" s="606" t="s">
        <v>3460</v>
      </c>
      <c r="G1205" s="606" t="s">
        <v>1554</v>
      </c>
      <c r="H1205" s="606" t="s">
        <v>1555</v>
      </c>
      <c r="I1205" s="606" t="s">
        <v>1981</v>
      </c>
      <c r="J1205" s="606" t="s">
        <v>1982</v>
      </c>
    </row>
    <row r="1206" spans="2:10" ht="21" customHeight="1">
      <c r="B1206" s="605" t="s">
        <v>3461</v>
      </c>
      <c r="C1206" s="606" t="s">
        <v>8</v>
      </c>
      <c r="D1206" s="605" t="s">
        <v>689</v>
      </c>
      <c r="E1206" s="606" t="s">
        <v>3462</v>
      </c>
      <c r="F1206" s="606" t="s">
        <v>3462</v>
      </c>
      <c r="G1206" s="606" t="s">
        <v>1554</v>
      </c>
      <c r="H1206" s="606" t="s">
        <v>1555</v>
      </c>
      <c r="I1206" s="606" t="s">
        <v>1981</v>
      </c>
      <c r="J1206" s="606" t="s">
        <v>1982</v>
      </c>
    </row>
    <row r="1207" spans="2:10" ht="21" customHeight="1">
      <c r="B1207" s="605" t="s">
        <v>3463</v>
      </c>
      <c r="C1207" s="606" t="s">
        <v>8</v>
      </c>
      <c r="D1207" s="605" t="s">
        <v>689</v>
      </c>
      <c r="E1207" s="606" t="s">
        <v>3464</v>
      </c>
      <c r="F1207" s="606" t="s">
        <v>3464</v>
      </c>
      <c r="G1207" s="606" t="s">
        <v>1554</v>
      </c>
      <c r="H1207" s="606" t="s">
        <v>1555</v>
      </c>
      <c r="I1207" s="606" t="s">
        <v>1981</v>
      </c>
      <c r="J1207" s="606" t="s">
        <v>1982</v>
      </c>
    </row>
    <row r="1208" spans="2:10" ht="21" customHeight="1">
      <c r="B1208" s="605" t="s">
        <v>3465</v>
      </c>
      <c r="C1208" s="606" t="s">
        <v>8</v>
      </c>
      <c r="D1208" s="605" t="s">
        <v>689</v>
      </c>
      <c r="E1208" s="606" t="s">
        <v>3466</v>
      </c>
      <c r="F1208" s="606" t="s">
        <v>3466</v>
      </c>
      <c r="G1208" s="606" t="s">
        <v>1554</v>
      </c>
      <c r="H1208" s="606" t="s">
        <v>1555</v>
      </c>
      <c r="I1208" s="606" t="s">
        <v>1981</v>
      </c>
      <c r="J1208" s="606" t="s">
        <v>1982</v>
      </c>
    </row>
    <row r="1209" spans="2:10" ht="21" customHeight="1">
      <c r="B1209" s="605" t="s">
        <v>3467</v>
      </c>
      <c r="C1209" s="606" t="s">
        <v>8</v>
      </c>
      <c r="D1209" s="605" t="s">
        <v>689</v>
      </c>
      <c r="E1209" s="606" t="s">
        <v>3468</v>
      </c>
      <c r="F1209" s="606" t="s">
        <v>3468</v>
      </c>
      <c r="G1209" s="606" t="s">
        <v>1554</v>
      </c>
      <c r="H1209" s="606" t="s">
        <v>1555</v>
      </c>
      <c r="I1209" s="606" t="s">
        <v>1981</v>
      </c>
      <c r="J1209" s="606" t="s">
        <v>1982</v>
      </c>
    </row>
    <row r="1210" spans="2:10" ht="21" customHeight="1">
      <c r="B1210" s="605" t="s">
        <v>3469</v>
      </c>
      <c r="C1210" s="606" t="s">
        <v>8</v>
      </c>
      <c r="D1210" s="605" t="s">
        <v>689</v>
      </c>
      <c r="E1210" s="606" t="s">
        <v>3470</v>
      </c>
      <c r="F1210" s="606" t="s">
        <v>3470</v>
      </c>
      <c r="G1210" s="606" t="s">
        <v>1151</v>
      </c>
      <c r="H1210" s="606" t="s">
        <v>1152</v>
      </c>
      <c r="I1210" s="606" t="s">
        <v>1087</v>
      </c>
      <c r="J1210" s="606" t="s">
        <v>1153</v>
      </c>
    </row>
    <row r="1211" spans="2:10" ht="21" customHeight="1">
      <c r="B1211" s="605" t="s">
        <v>3471</v>
      </c>
      <c r="C1211" s="606" t="s">
        <v>8</v>
      </c>
      <c r="D1211" s="605" t="s">
        <v>689</v>
      </c>
      <c r="E1211" s="606" t="s">
        <v>3472</v>
      </c>
      <c r="F1211" s="606" t="s">
        <v>3472</v>
      </c>
      <c r="G1211" s="606" t="s">
        <v>1151</v>
      </c>
      <c r="H1211" s="606" t="s">
        <v>1152</v>
      </c>
      <c r="I1211" s="606" t="s">
        <v>1087</v>
      </c>
      <c r="J1211" s="606" t="s">
        <v>1153</v>
      </c>
    </row>
    <row r="1212" spans="2:10" ht="21" customHeight="1">
      <c r="B1212" s="605" t="s">
        <v>3473</v>
      </c>
      <c r="C1212" s="606" t="s">
        <v>8</v>
      </c>
      <c r="D1212" s="605" t="s">
        <v>689</v>
      </c>
      <c r="E1212" s="606" t="s">
        <v>3474</v>
      </c>
      <c r="F1212" s="606" t="s">
        <v>3474</v>
      </c>
      <c r="G1212" s="606" t="s">
        <v>1151</v>
      </c>
      <c r="H1212" s="606" t="s">
        <v>1152</v>
      </c>
      <c r="I1212" s="606" t="s">
        <v>1087</v>
      </c>
      <c r="J1212" s="606" t="s">
        <v>1153</v>
      </c>
    </row>
    <row r="1213" spans="2:10" ht="21" customHeight="1">
      <c r="B1213" s="605" t="s">
        <v>3475</v>
      </c>
      <c r="C1213" s="606" t="s">
        <v>8</v>
      </c>
      <c r="D1213" s="605" t="s">
        <v>689</v>
      </c>
      <c r="E1213" s="606" t="s">
        <v>3476</v>
      </c>
      <c r="F1213" s="606" t="s">
        <v>3476</v>
      </c>
      <c r="G1213" s="606" t="s">
        <v>1151</v>
      </c>
      <c r="H1213" s="606" t="s">
        <v>1152</v>
      </c>
      <c r="I1213" s="606" t="s">
        <v>1087</v>
      </c>
      <c r="J1213" s="606" t="s">
        <v>1153</v>
      </c>
    </row>
    <row r="1214" spans="2:10" ht="21" customHeight="1">
      <c r="B1214" s="605" t="s">
        <v>3477</v>
      </c>
      <c r="C1214" s="606" t="s">
        <v>8</v>
      </c>
      <c r="D1214" s="605" t="s">
        <v>689</v>
      </c>
      <c r="E1214" s="606" t="s">
        <v>3478</v>
      </c>
      <c r="F1214" s="606" t="s">
        <v>3478</v>
      </c>
      <c r="G1214" s="606" t="s">
        <v>1554</v>
      </c>
      <c r="H1214" s="606" t="s">
        <v>1555</v>
      </c>
      <c r="I1214" s="606" t="s">
        <v>1981</v>
      </c>
      <c r="J1214" s="606" t="s">
        <v>1982</v>
      </c>
    </row>
    <row r="1215" spans="2:10" ht="21" customHeight="1">
      <c r="B1215" s="605" t="s">
        <v>3479</v>
      </c>
      <c r="C1215" s="606" t="s">
        <v>8</v>
      </c>
      <c r="D1215" s="605" t="s">
        <v>689</v>
      </c>
      <c r="E1215" s="606" t="s">
        <v>3480</v>
      </c>
      <c r="F1215" s="606" t="s">
        <v>3480</v>
      </c>
      <c r="G1215" s="606" t="s">
        <v>1554</v>
      </c>
      <c r="H1215" s="606" t="s">
        <v>1555</v>
      </c>
      <c r="I1215" s="606" t="s">
        <v>1981</v>
      </c>
      <c r="J1215" s="606" t="s">
        <v>1982</v>
      </c>
    </row>
    <row r="1216" spans="2:10" ht="21" customHeight="1">
      <c r="B1216" s="605" t="s">
        <v>3481</v>
      </c>
      <c r="C1216" s="606" t="s">
        <v>8</v>
      </c>
      <c r="D1216" s="605" t="s">
        <v>689</v>
      </c>
      <c r="E1216" s="606" t="s">
        <v>3482</v>
      </c>
      <c r="F1216" s="606" t="s">
        <v>3482</v>
      </c>
      <c r="G1216" s="606" t="s">
        <v>1554</v>
      </c>
      <c r="H1216" s="606" t="s">
        <v>1555</v>
      </c>
      <c r="I1216" s="606" t="s">
        <v>1981</v>
      </c>
      <c r="J1216" s="606" t="s">
        <v>1982</v>
      </c>
    </row>
    <row r="1217" spans="2:10" ht="21" customHeight="1">
      <c r="B1217" s="605" t="s">
        <v>3483</v>
      </c>
      <c r="C1217" s="606" t="s">
        <v>8</v>
      </c>
      <c r="D1217" s="605" t="s">
        <v>689</v>
      </c>
      <c r="E1217" s="606" t="s">
        <v>3484</v>
      </c>
      <c r="F1217" s="606" t="s">
        <v>3484</v>
      </c>
      <c r="G1217" s="606" t="s">
        <v>1554</v>
      </c>
      <c r="H1217" s="606" t="s">
        <v>1555</v>
      </c>
      <c r="I1217" s="606" t="s">
        <v>1981</v>
      </c>
      <c r="J1217" s="606" t="s">
        <v>1982</v>
      </c>
    </row>
    <row r="1218" spans="2:10" ht="21" customHeight="1">
      <c r="B1218" s="605" t="s">
        <v>3485</v>
      </c>
      <c r="C1218" s="606" t="s">
        <v>8</v>
      </c>
      <c r="D1218" s="605" t="s">
        <v>689</v>
      </c>
      <c r="E1218" s="606" t="s">
        <v>3486</v>
      </c>
      <c r="F1218" s="606" t="s">
        <v>3486</v>
      </c>
      <c r="G1218" s="606" t="s">
        <v>1554</v>
      </c>
      <c r="H1218" s="606" t="s">
        <v>1555</v>
      </c>
      <c r="I1218" s="606" t="s">
        <v>1981</v>
      </c>
      <c r="J1218" s="606" t="s">
        <v>1982</v>
      </c>
    </row>
    <row r="1219" spans="2:10" ht="21" customHeight="1">
      <c r="B1219" s="605" t="s">
        <v>3487</v>
      </c>
      <c r="C1219" s="606" t="s">
        <v>8</v>
      </c>
      <c r="D1219" s="605" t="s">
        <v>689</v>
      </c>
      <c r="E1219" s="606" t="s">
        <v>3488</v>
      </c>
      <c r="F1219" s="606" t="s">
        <v>3488</v>
      </c>
      <c r="G1219" s="606" t="s">
        <v>1554</v>
      </c>
      <c r="H1219" s="606" t="s">
        <v>1555</v>
      </c>
      <c r="I1219" s="606" t="s">
        <v>1981</v>
      </c>
      <c r="J1219" s="606" t="s">
        <v>1982</v>
      </c>
    </row>
    <row r="1220" spans="2:10" ht="21" customHeight="1">
      <c r="B1220" s="605" t="s">
        <v>3489</v>
      </c>
      <c r="C1220" s="606" t="s">
        <v>8</v>
      </c>
      <c r="D1220" s="605" t="s">
        <v>689</v>
      </c>
      <c r="E1220" s="606" t="s">
        <v>3490</v>
      </c>
      <c r="F1220" s="606" t="s">
        <v>3490</v>
      </c>
      <c r="G1220" s="606" t="s">
        <v>1554</v>
      </c>
      <c r="H1220" s="606" t="s">
        <v>1555</v>
      </c>
      <c r="I1220" s="606" t="s">
        <v>1981</v>
      </c>
      <c r="J1220" s="606" t="s">
        <v>1982</v>
      </c>
    </row>
    <row r="1221" spans="2:10" ht="21" customHeight="1">
      <c r="B1221" s="605" t="s">
        <v>3491</v>
      </c>
      <c r="C1221" s="606" t="s">
        <v>8</v>
      </c>
      <c r="D1221" s="605" t="s">
        <v>689</v>
      </c>
      <c r="E1221" s="606" t="s">
        <v>3492</v>
      </c>
      <c r="F1221" s="606" t="s">
        <v>3492</v>
      </c>
      <c r="G1221" s="606" t="s">
        <v>1554</v>
      </c>
      <c r="H1221" s="606" t="s">
        <v>1555</v>
      </c>
      <c r="I1221" s="606" t="s">
        <v>1981</v>
      </c>
      <c r="J1221" s="606" t="s">
        <v>1982</v>
      </c>
    </row>
    <row r="1222" spans="2:10" ht="21" customHeight="1">
      <c r="B1222" s="605" t="s">
        <v>3493</v>
      </c>
      <c r="C1222" s="606" t="s">
        <v>8</v>
      </c>
      <c r="D1222" s="605" t="s">
        <v>689</v>
      </c>
      <c r="E1222" s="606" t="s">
        <v>3494</v>
      </c>
      <c r="F1222" s="606" t="s">
        <v>3494</v>
      </c>
      <c r="G1222" s="606" t="s">
        <v>1554</v>
      </c>
      <c r="H1222" s="606" t="s">
        <v>1555</v>
      </c>
      <c r="I1222" s="606" t="s">
        <v>1981</v>
      </c>
      <c r="J1222" s="606" t="s">
        <v>1982</v>
      </c>
    </row>
    <row r="1223" spans="2:10" ht="21" customHeight="1">
      <c r="B1223" s="605" t="s">
        <v>3495</v>
      </c>
      <c r="C1223" s="606" t="s">
        <v>8</v>
      </c>
      <c r="D1223" s="605" t="s">
        <v>689</v>
      </c>
      <c r="E1223" s="606" t="s">
        <v>3496</v>
      </c>
      <c r="F1223" s="606" t="s">
        <v>3496</v>
      </c>
      <c r="G1223" s="606" t="s">
        <v>1554</v>
      </c>
      <c r="H1223" s="606" t="s">
        <v>1555</v>
      </c>
      <c r="I1223" s="606" t="s">
        <v>1981</v>
      </c>
      <c r="J1223" s="606" t="s">
        <v>1982</v>
      </c>
    </row>
    <row r="1224" spans="2:10" ht="21" customHeight="1">
      <c r="B1224" s="605" t="s">
        <v>3497</v>
      </c>
      <c r="C1224" s="606" t="s">
        <v>8</v>
      </c>
      <c r="D1224" s="605" t="s">
        <v>689</v>
      </c>
      <c r="E1224" s="606" t="s">
        <v>3498</v>
      </c>
      <c r="F1224" s="606" t="s">
        <v>3498</v>
      </c>
      <c r="G1224" s="606" t="s">
        <v>1554</v>
      </c>
      <c r="H1224" s="606" t="s">
        <v>1555</v>
      </c>
      <c r="I1224" s="606" t="s">
        <v>1981</v>
      </c>
      <c r="J1224" s="606" t="s">
        <v>1982</v>
      </c>
    </row>
    <row r="1225" spans="2:10" ht="21" customHeight="1">
      <c r="B1225" s="605" t="s">
        <v>3499</v>
      </c>
      <c r="C1225" s="606" t="s">
        <v>8</v>
      </c>
      <c r="D1225" s="605" t="s">
        <v>689</v>
      </c>
      <c r="E1225" s="606" t="s">
        <v>3500</v>
      </c>
      <c r="F1225" s="606" t="s">
        <v>3500</v>
      </c>
      <c r="G1225" s="606" t="s">
        <v>1554</v>
      </c>
      <c r="H1225" s="606" t="s">
        <v>1555</v>
      </c>
      <c r="I1225" s="606" t="s">
        <v>1981</v>
      </c>
      <c r="J1225" s="606" t="s">
        <v>1982</v>
      </c>
    </row>
    <row r="1226" spans="2:10" ht="21" customHeight="1">
      <c r="B1226" s="605" t="s">
        <v>3501</v>
      </c>
      <c r="C1226" s="606" t="s">
        <v>8</v>
      </c>
      <c r="D1226" s="605" t="s">
        <v>689</v>
      </c>
      <c r="E1226" s="606" t="s">
        <v>3502</v>
      </c>
      <c r="F1226" s="606" t="s">
        <v>3502</v>
      </c>
      <c r="G1226" s="606" t="s">
        <v>1554</v>
      </c>
      <c r="H1226" s="606" t="s">
        <v>1555</v>
      </c>
      <c r="I1226" s="606" t="s">
        <v>1981</v>
      </c>
      <c r="J1226" s="606" t="s">
        <v>1982</v>
      </c>
    </row>
    <row r="1227" spans="2:10" ht="21" customHeight="1">
      <c r="B1227" s="605" t="s">
        <v>3503</v>
      </c>
      <c r="C1227" s="606" t="s">
        <v>8</v>
      </c>
      <c r="D1227" s="605" t="s">
        <v>689</v>
      </c>
      <c r="E1227" s="606" t="s">
        <v>3504</v>
      </c>
      <c r="F1227" s="606" t="s">
        <v>3504</v>
      </c>
      <c r="G1227" s="606" t="s">
        <v>1554</v>
      </c>
      <c r="H1227" s="606" t="s">
        <v>1555</v>
      </c>
      <c r="I1227" s="606" t="s">
        <v>1981</v>
      </c>
      <c r="J1227" s="606" t="s">
        <v>1982</v>
      </c>
    </row>
    <row r="1228" spans="2:10" ht="21" customHeight="1">
      <c r="B1228" s="605" t="s">
        <v>3505</v>
      </c>
      <c r="C1228" s="606" t="s">
        <v>8</v>
      </c>
      <c r="D1228" s="605" t="s">
        <v>689</v>
      </c>
      <c r="E1228" s="606" t="s">
        <v>3506</v>
      </c>
      <c r="F1228" s="606" t="s">
        <v>3506</v>
      </c>
      <c r="G1228" s="606" t="s">
        <v>1554</v>
      </c>
      <c r="H1228" s="606" t="s">
        <v>1555</v>
      </c>
      <c r="I1228" s="606" t="s">
        <v>1981</v>
      </c>
      <c r="J1228" s="606" t="s">
        <v>1982</v>
      </c>
    </row>
    <row r="1229" spans="2:10" ht="21" customHeight="1">
      <c r="B1229" s="605" t="s">
        <v>3507</v>
      </c>
      <c r="C1229" s="606" t="s">
        <v>8</v>
      </c>
      <c r="D1229" s="605" t="s">
        <v>689</v>
      </c>
      <c r="E1229" s="606" t="s">
        <v>3508</v>
      </c>
      <c r="F1229" s="606" t="s">
        <v>3508</v>
      </c>
      <c r="G1229" s="606" t="s">
        <v>1554</v>
      </c>
      <c r="H1229" s="606" t="s">
        <v>1555</v>
      </c>
      <c r="I1229" s="606" t="s">
        <v>1981</v>
      </c>
      <c r="J1229" s="606" t="s">
        <v>1982</v>
      </c>
    </row>
    <row r="1230" spans="2:10" ht="21" customHeight="1">
      <c r="B1230" s="605" t="s">
        <v>3509</v>
      </c>
      <c r="C1230" s="606" t="s">
        <v>8</v>
      </c>
      <c r="D1230" s="605" t="s">
        <v>689</v>
      </c>
      <c r="E1230" s="606" t="s">
        <v>3510</v>
      </c>
      <c r="F1230" s="606" t="s">
        <v>3510</v>
      </c>
      <c r="G1230" s="606" t="s">
        <v>1554</v>
      </c>
      <c r="H1230" s="606" t="s">
        <v>1555</v>
      </c>
      <c r="I1230" s="606" t="s">
        <v>1981</v>
      </c>
      <c r="J1230" s="606" t="s">
        <v>1982</v>
      </c>
    </row>
    <row r="1231" spans="2:10" ht="21" customHeight="1">
      <c r="B1231" s="605" t="s">
        <v>3511</v>
      </c>
      <c r="C1231" s="606" t="s">
        <v>8</v>
      </c>
      <c r="D1231" s="605" t="s">
        <v>689</v>
      </c>
      <c r="E1231" s="606" t="s">
        <v>3512</v>
      </c>
      <c r="F1231" s="606" t="s">
        <v>3512</v>
      </c>
      <c r="G1231" s="606" t="s">
        <v>1554</v>
      </c>
      <c r="H1231" s="606" t="s">
        <v>1555</v>
      </c>
      <c r="I1231" s="606" t="s">
        <v>1981</v>
      </c>
      <c r="J1231" s="606" t="s">
        <v>1982</v>
      </c>
    </row>
    <row r="1232" spans="2:10" ht="21" customHeight="1">
      <c r="B1232" s="605" t="s">
        <v>3513</v>
      </c>
      <c r="C1232" s="606" t="s">
        <v>8</v>
      </c>
      <c r="D1232" s="605" t="s">
        <v>689</v>
      </c>
      <c r="E1232" s="606" t="s">
        <v>3514</v>
      </c>
      <c r="F1232" s="606" t="s">
        <v>3514</v>
      </c>
      <c r="G1232" s="606" t="s">
        <v>1554</v>
      </c>
      <c r="H1232" s="606" t="s">
        <v>1555</v>
      </c>
      <c r="I1232" s="606" t="s">
        <v>1981</v>
      </c>
      <c r="J1232" s="606" t="s">
        <v>1982</v>
      </c>
    </row>
    <row r="1233" spans="2:10" ht="21" customHeight="1">
      <c r="B1233" s="605" t="s">
        <v>3515</v>
      </c>
      <c r="C1233" s="606" t="s">
        <v>8</v>
      </c>
      <c r="D1233" s="605" t="s">
        <v>689</v>
      </c>
      <c r="E1233" s="606" t="s">
        <v>3516</v>
      </c>
      <c r="F1233" s="606" t="s">
        <v>3516</v>
      </c>
      <c r="G1233" s="606" t="s">
        <v>1554</v>
      </c>
      <c r="H1233" s="606" t="s">
        <v>1555</v>
      </c>
      <c r="I1233" s="606" t="s">
        <v>1981</v>
      </c>
      <c r="J1233" s="606" t="s">
        <v>1982</v>
      </c>
    </row>
    <row r="1234" spans="2:10" ht="21" customHeight="1">
      <c r="B1234" s="605" t="s">
        <v>3517</v>
      </c>
      <c r="C1234" s="606" t="s">
        <v>8</v>
      </c>
      <c r="D1234" s="605" t="s">
        <v>689</v>
      </c>
      <c r="E1234" s="606" t="s">
        <v>3518</v>
      </c>
      <c r="F1234" s="606" t="s">
        <v>3518</v>
      </c>
      <c r="G1234" s="606" t="s">
        <v>1554</v>
      </c>
      <c r="H1234" s="606" t="s">
        <v>1555</v>
      </c>
      <c r="I1234" s="606" t="s">
        <v>1981</v>
      </c>
      <c r="J1234" s="606" t="s">
        <v>1982</v>
      </c>
    </row>
    <row r="1235" spans="2:10" ht="21" customHeight="1">
      <c r="B1235" s="605" t="s">
        <v>3519</v>
      </c>
      <c r="C1235" s="606" t="s">
        <v>8</v>
      </c>
      <c r="D1235" s="605" t="s">
        <v>689</v>
      </c>
      <c r="E1235" s="606" t="s">
        <v>3520</v>
      </c>
      <c r="F1235" s="606" t="s">
        <v>3520</v>
      </c>
      <c r="G1235" s="606" t="s">
        <v>1554</v>
      </c>
      <c r="H1235" s="606" t="s">
        <v>1555</v>
      </c>
      <c r="I1235" s="606" t="s">
        <v>1981</v>
      </c>
      <c r="J1235" s="606" t="s">
        <v>1982</v>
      </c>
    </row>
    <row r="1236" spans="2:10" ht="21" customHeight="1">
      <c r="B1236" s="605" t="s">
        <v>3521</v>
      </c>
      <c r="C1236" s="606" t="s">
        <v>8</v>
      </c>
      <c r="D1236" s="605" t="s">
        <v>689</v>
      </c>
      <c r="E1236" s="606" t="s">
        <v>3522</v>
      </c>
      <c r="F1236" s="606" t="s">
        <v>3522</v>
      </c>
      <c r="G1236" s="606" t="s">
        <v>1554</v>
      </c>
      <c r="H1236" s="606" t="s">
        <v>1555</v>
      </c>
      <c r="I1236" s="606" t="s">
        <v>1981</v>
      </c>
      <c r="J1236" s="606" t="s">
        <v>1982</v>
      </c>
    </row>
    <row r="1237" spans="2:10" ht="21" customHeight="1">
      <c r="B1237" s="605" t="s">
        <v>3523</v>
      </c>
      <c r="C1237" s="606" t="s">
        <v>8</v>
      </c>
      <c r="D1237" s="605" t="s">
        <v>689</v>
      </c>
      <c r="E1237" s="606" t="s">
        <v>3524</v>
      </c>
      <c r="F1237" s="606" t="s">
        <v>3524</v>
      </c>
      <c r="G1237" s="606" t="s">
        <v>1554</v>
      </c>
      <c r="H1237" s="606" t="s">
        <v>1555</v>
      </c>
      <c r="I1237" s="606" t="s">
        <v>1981</v>
      </c>
      <c r="J1237" s="606" t="s">
        <v>1982</v>
      </c>
    </row>
    <row r="1238" spans="2:10" ht="21" customHeight="1">
      <c r="B1238" s="605" t="s">
        <v>3525</v>
      </c>
      <c r="C1238" s="606" t="s">
        <v>8</v>
      </c>
      <c r="D1238" s="605" t="s">
        <v>689</v>
      </c>
      <c r="E1238" s="606" t="s">
        <v>3526</v>
      </c>
      <c r="F1238" s="606" t="s">
        <v>3526</v>
      </c>
      <c r="G1238" s="606" t="s">
        <v>1554</v>
      </c>
      <c r="H1238" s="606" t="s">
        <v>1555</v>
      </c>
      <c r="I1238" s="606" t="s">
        <v>1981</v>
      </c>
      <c r="J1238" s="606" t="s">
        <v>1982</v>
      </c>
    </row>
    <row r="1239" spans="2:10" ht="21" customHeight="1">
      <c r="B1239" s="605" t="s">
        <v>3527</v>
      </c>
      <c r="C1239" s="606" t="s">
        <v>8</v>
      </c>
      <c r="D1239" s="605" t="s">
        <v>689</v>
      </c>
      <c r="E1239" s="606" t="s">
        <v>3528</v>
      </c>
      <c r="F1239" s="606" t="s">
        <v>3528</v>
      </c>
      <c r="G1239" s="606" t="s">
        <v>1554</v>
      </c>
      <c r="H1239" s="606" t="s">
        <v>1555</v>
      </c>
      <c r="I1239" s="606" t="s">
        <v>1981</v>
      </c>
      <c r="J1239" s="606" t="s">
        <v>1982</v>
      </c>
    </row>
    <row r="1240" spans="2:10" ht="21" customHeight="1">
      <c r="B1240" s="605" t="s">
        <v>3529</v>
      </c>
      <c r="C1240" s="606" t="s">
        <v>8</v>
      </c>
      <c r="D1240" s="605" t="s">
        <v>689</v>
      </c>
      <c r="E1240" s="606" t="s">
        <v>3530</v>
      </c>
      <c r="F1240" s="606" t="s">
        <v>3530</v>
      </c>
      <c r="G1240" s="606" t="s">
        <v>1554</v>
      </c>
      <c r="H1240" s="606" t="s">
        <v>1555</v>
      </c>
      <c r="I1240" s="606" t="s">
        <v>1981</v>
      </c>
      <c r="J1240" s="606" t="s">
        <v>1982</v>
      </c>
    </row>
    <row r="1241" spans="2:10" ht="21" customHeight="1">
      <c r="B1241" s="605" t="s">
        <v>3531</v>
      </c>
      <c r="C1241" s="606" t="s">
        <v>8</v>
      </c>
      <c r="D1241" s="605" t="s">
        <v>689</v>
      </c>
      <c r="E1241" s="606" t="s">
        <v>3532</v>
      </c>
      <c r="F1241" s="606" t="s">
        <v>3532</v>
      </c>
      <c r="G1241" s="606" t="s">
        <v>1554</v>
      </c>
      <c r="H1241" s="606" t="s">
        <v>1555</v>
      </c>
      <c r="I1241" s="606" t="s">
        <v>1981</v>
      </c>
      <c r="J1241" s="606" t="s">
        <v>1982</v>
      </c>
    </row>
    <row r="1242" spans="2:10" ht="21" customHeight="1">
      <c r="B1242" s="605" t="s">
        <v>3533</v>
      </c>
      <c r="C1242" s="606" t="s">
        <v>8</v>
      </c>
      <c r="D1242" s="605" t="s">
        <v>689</v>
      </c>
      <c r="E1242" s="606" t="s">
        <v>160</v>
      </c>
      <c r="F1242" s="606" t="s">
        <v>160</v>
      </c>
      <c r="G1242" s="606" t="s">
        <v>1554</v>
      </c>
      <c r="H1242" s="606" t="s">
        <v>1555</v>
      </c>
      <c r="I1242" s="606" t="s">
        <v>1981</v>
      </c>
      <c r="J1242" s="606" t="s">
        <v>1982</v>
      </c>
    </row>
    <row r="1243" spans="2:10" ht="21" customHeight="1">
      <c r="B1243" s="605" t="s">
        <v>3534</v>
      </c>
      <c r="C1243" s="606" t="s">
        <v>8</v>
      </c>
      <c r="D1243" s="605" t="s">
        <v>689</v>
      </c>
      <c r="E1243" s="606" t="s">
        <v>3535</v>
      </c>
      <c r="F1243" s="606" t="s">
        <v>3535</v>
      </c>
      <c r="G1243" s="606" t="s">
        <v>1554</v>
      </c>
      <c r="H1243" s="606" t="s">
        <v>1555</v>
      </c>
      <c r="I1243" s="606" t="s">
        <v>1981</v>
      </c>
      <c r="J1243" s="606" t="s">
        <v>1982</v>
      </c>
    </row>
    <row r="1244" spans="2:10" ht="21" customHeight="1">
      <c r="B1244" s="605" t="s">
        <v>3536</v>
      </c>
      <c r="C1244" s="606" t="s">
        <v>8</v>
      </c>
      <c r="D1244" s="605" t="s">
        <v>689</v>
      </c>
      <c r="E1244" s="606" t="s">
        <v>3537</v>
      </c>
      <c r="F1244" s="606" t="s">
        <v>3537</v>
      </c>
      <c r="G1244" s="606" t="s">
        <v>1554</v>
      </c>
      <c r="H1244" s="606" t="s">
        <v>1555</v>
      </c>
      <c r="I1244" s="606" t="s">
        <v>1981</v>
      </c>
      <c r="J1244" s="606" t="s">
        <v>1982</v>
      </c>
    </row>
    <row r="1245" spans="2:10" ht="21" customHeight="1">
      <c r="B1245" s="605" t="s">
        <v>3538</v>
      </c>
      <c r="C1245" s="606" t="s">
        <v>8</v>
      </c>
      <c r="D1245" s="605" t="s">
        <v>689</v>
      </c>
      <c r="E1245" s="606" t="s">
        <v>3539</v>
      </c>
      <c r="F1245" s="606" t="s">
        <v>3539</v>
      </c>
      <c r="G1245" s="606" t="s">
        <v>1554</v>
      </c>
      <c r="H1245" s="606" t="s">
        <v>1555</v>
      </c>
      <c r="I1245" s="606" t="s">
        <v>1981</v>
      </c>
      <c r="J1245" s="606" t="s">
        <v>1982</v>
      </c>
    </row>
    <row r="1246" spans="2:10" ht="21" customHeight="1">
      <c r="B1246" s="605" t="s">
        <v>3540</v>
      </c>
      <c r="C1246" s="606" t="s">
        <v>8</v>
      </c>
      <c r="D1246" s="605" t="s">
        <v>689</v>
      </c>
      <c r="E1246" s="606" t="s">
        <v>3541</v>
      </c>
      <c r="F1246" s="606" t="s">
        <v>3541</v>
      </c>
      <c r="G1246" s="606" t="s">
        <v>1554</v>
      </c>
      <c r="H1246" s="606" t="s">
        <v>1555</v>
      </c>
      <c r="I1246" s="606" t="s">
        <v>1981</v>
      </c>
      <c r="J1246" s="606" t="s">
        <v>1982</v>
      </c>
    </row>
    <row r="1247" spans="2:10" ht="21" customHeight="1">
      <c r="B1247" s="605" t="s">
        <v>3542</v>
      </c>
      <c r="C1247" s="606" t="s">
        <v>8</v>
      </c>
      <c r="D1247" s="605" t="s">
        <v>689</v>
      </c>
      <c r="E1247" s="606" t="s">
        <v>3543</v>
      </c>
      <c r="F1247" s="606" t="s">
        <v>3543</v>
      </c>
      <c r="G1247" s="606" t="s">
        <v>1554</v>
      </c>
      <c r="H1247" s="606" t="s">
        <v>1555</v>
      </c>
      <c r="I1247" s="606" t="s">
        <v>1981</v>
      </c>
      <c r="J1247" s="606" t="s">
        <v>1982</v>
      </c>
    </row>
    <row r="1248" spans="2:10" ht="21" customHeight="1">
      <c r="B1248" s="605" t="s">
        <v>3544</v>
      </c>
      <c r="C1248" s="606" t="s">
        <v>8</v>
      </c>
      <c r="D1248" s="605" t="s">
        <v>689</v>
      </c>
      <c r="E1248" s="606" t="s">
        <v>3545</v>
      </c>
      <c r="F1248" s="606" t="s">
        <v>3545</v>
      </c>
      <c r="G1248" s="606" t="s">
        <v>1554</v>
      </c>
      <c r="H1248" s="606" t="s">
        <v>1555</v>
      </c>
      <c r="I1248" s="606" t="s">
        <v>1981</v>
      </c>
      <c r="J1248" s="606" t="s">
        <v>1982</v>
      </c>
    </row>
    <row r="1249" spans="2:10" ht="21" customHeight="1">
      <c r="B1249" s="605" t="s">
        <v>3546</v>
      </c>
      <c r="C1249" s="606" t="s">
        <v>8</v>
      </c>
      <c r="D1249" s="605" t="s">
        <v>689</v>
      </c>
      <c r="E1249" s="606" t="s">
        <v>3547</v>
      </c>
      <c r="F1249" s="606" t="s">
        <v>3547</v>
      </c>
      <c r="G1249" s="606" t="s">
        <v>1554</v>
      </c>
      <c r="H1249" s="606" t="s">
        <v>1555</v>
      </c>
      <c r="I1249" s="606" t="s">
        <v>1981</v>
      </c>
      <c r="J1249" s="606" t="s">
        <v>1982</v>
      </c>
    </row>
    <row r="1250" spans="2:10" ht="21" customHeight="1">
      <c r="B1250" s="605" t="s">
        <v>3548</v>
      </c>
      <c r="C1250" s="606" t="s">
        <v>8</v>
      </c>
      <c r="D1250" s="605" t="s">
        <v>689</v>
      </c>
      <c r="E1250" s="606" t="s">
        <v>3549</v>
      </c>
      <c r="F1250" s="606" t="s">
        <v>3549</v>
      </c>
      <c r="G1250" s="606" t="s">
        <v>1554</v>
      </c>
      <c r="H1250" s="606" t="s">
        <v>1555</v>
      </c>
      <c r="I1250" s="606" t="s">
        <v>1981</v>
      </c>
      <c r="J1250" s="606" t="s">
        <v>1982</v>
      </c>
    </row>
    <row r="1251" spans="2:10" ht="21" customHeight="1">
      <c r="B1251" s="605" t="s">
        <v>3550</v>
      </c>
      <c r="C1251" s="606" t="s">
        <v>8</v>
      </c>
      <c r="D1251" s="605" t="s">
        <v>689</v>
      </c>
      <c r="E1251" s="606" t="s">
        <v>3551</v>
      </c>
      <c r="F1251" s="606" t="s">
        <v>3551</v>
      </c>
      <c r="G1251" s="606" t="s">
        <v>1554</v>
      </c>
      <c r="H1251" s="606" t="s">
        <v>1555</v>
      </c>
      <c r="I1251" s="606" t="s">
        <v>1981</v>
      </c>
      <c r="J1251" s="606" t="s">
        <v>1982</v>
      </c>
    </row>
    <row r="1252" spans="2:10" ht="21" customHeight="1">
      <c r="B1252" s="605" t="s">
        <v>3552</v>
      </c>
      <c r="C1252" s="606" t="s">
        <v>8</v>
      </c>
      <c r="D1252" s="605" t="s">
        <v>689</v>
      </c>
      <c r="E1252" s="606" t="s">
        <v>3553</v>
      </c>
      <c r="F1252" s="606" t="s">
        <v>3553</v>
      </c>
      <c r="G1252" s="606" t="s">
        <v>1554</v>
      </c>
      <c r="H1252" s="606" t="s">
        <v>1555</v>
      </c>
      <c r="I1252" s="606" t="s">
        <v>1981</v>
      </c>
      <c r="J1252" s="606" t="s">
        <v>1982</v>
      </c>
    </row>
    <row r="1253" spans="2:10" ht="21" customHeight="1">
      <c r="B1253" s="605" t="s">
        <v>3554</v>
      </c>
      <c r="C1253" s="606" t="s">
        <v>8</v>
      </c>
      <c r="D1253" s="605" t="s">
        <v>689</v>
      </c>
      <c r="E1253" s="606" t="s">
        <v>3555</v>
      </c>
      <c r="F1253" s="606" t="s">
        <v>3555</v>
      </c>
      <c r="G1253" s="606" t="s">
        <v>1554</v>
      </c>
      <c r="H1253" s="606" t="s">
        <v>1555</v>
      </c>
      <c r="I1253" s="606" t="s">
        <v>1981</v>
      </c>
      <c r="J1253" s="606" t="s">
        <v>1982</v>
      </c>
    </row>
    <row r="1254" spans="2:10" ht="21" customHeight="1">
      <c r="B1254" s="605" t="s">
        <v>3556</v>
      </c>
      <c r="C1254" s="606" t="s">
        <v>8</v>
      </c>
      <c r="D1254" s="605" t="s">
        <v>689</v>
      </c>
      <c r="E1254" s="606" t="s">
        <v>3557</v>
      </c>
      <c r="F1254" s="606" t="s">
        <v>3557</v>
      </c>
      <c r="G1254" s="606" t="s">
        <v>1554</v>
      </c>
      <c r="H1254" s="606" t="s">
        <v>1555</v>
      </c>
      <c r="I1254" s="606" t="s">
        <v>1981</v>
      </c>
      <c r="J1254" s="606" t="s">
        <v>1982</v>
      </c>
    </row>
    <row r="1255" spans="2:10" ht="21" customHeight="1">
      <c r="B1255" s="605" t="s">
        <v>3558</v>
      </c>
      <c r="C1255" s="606" t="s">
        <v>8</v>
      </c>
      <c r="D1255" s="605" t="s">
        <v>689</v>
      </c>
      <c r="E1255" s="606" t="s">
        <v>3559</v>
      </c>
      <c r="F1255" s="606" t="s">
        <v>3559</v>
      </c>
      <c r="G1255" s="606" t="s">
        <v>1554</v>
      </c>
      <c r="H1255" s="606" t="s">
        <v>1555</v>
      </c>
      <c r="I1255" s="606" t="s">
        <v>1981</v>
      </c>
      <c r="J1255" s="606" t="s">
        <v>1982</v>
      </c>
    </row>
    <row r="1256" spans="2:10" ht="21" customHeight="1">
      <c r="B1256" s="605" t="s">
        <v>3560</v>
      </c>
      <c r="C1256" s="606" t="s">
        <v>8</v>
      </c>
      <c r="D1256" s="605" t="s">
        <v>689</v>
      </c>
      <c r="E1256" s="606" t="s">
        <v>3561</v>
      </c>
      <c r="F1256" s="606" t="s">
        <v>3561</v>
      </c>
      <c r="G1256" s="606" t="s">
        <v>1554</v>
      </c>
      <c r="H1256" s="606" t="s">
        <v>1555</v>
      </c>
      <c r="I1256" s="606" t="s">
        <v>1981</v>
      </c>
      <c r="J1256" s="606" t="s">
        <v>1982</v>
      </c>
    </row>
    <row r="1257" spans="2:10" ht="21" customHeight="1">
      <c r="B1257" s="605" t="s">
        <v>3562</v>
      </c>
      <c r="C1257" s="606" t="s">
        <v>8</v>
      </c>
      <c r="D1257" s="605" t="s">
        <v>689</v>
      </c>
      <c r="E1257" s="606" t="s">
        <v>3563</v>
      </c>
      <c r="F1257" s="606" t="s">
        <v>3563</v>
      </c>
      <c r="G1257" s="606" t="s">
        <v>1554</v>
      </c>
      <c r="H1257" s="606" t="s">
        <v>1555</v>
      </c>
      <c r="I1257" s="606" t="s">
        <v>1981</v>
      </c>
      <c r="J1257" s="606" t="s">
        <v>1982</v>
      </c>
    </row>
    <row r="1258" spans="2:10" ht="21" customHeight="1">
      <c r="B1258" s="605" t="s">
        <v>3564</v>
      </c>
      <c r="C1258" s="606" t="s">
        <v>8</v>
      </c>
      <c r="D1258" s="605" t="s">
        <v>689</v>
      </c>
      <c r="E1258" s="606" t="s">
        <v>3565</v>
      </c>
      <c r="F1258" s="606" t="s">
        <v>3565</v>
      </c>
      <c r="G1258" s="606" t="s">
        <v>1554</v>
      </c>
      <c r="H1258" s="606" t="s">
        <v>1555</v>
      </c>
      <c r="I1258" s="606" t="s">
        <v>1981</v>
      </c>
      <c r="J1258" s="606" t="s">
        <v>1982</v>
      </c>
    </row>
    <row r="1259" spans="2:10" ht="21" customHeight="1">
      <c r="B1259" s="605" t="s">
        <v>3566</v>
      </c>
      <c r="C1259" s="606" t="s">
        <v>8</v>
      </c>
      <c r="D1259" s="605" t="s">
        <v>689</v>
      </c>
      <c r="E1259" s="606" t="s">
        <v>3567</v>
      </c>
      <c r="F1259" s="606" t="s">
        <v>3567</v>
      </c>
      <c r="G1259" s="606" t="s">
        <v>1554</v>
      </c>
      <c r="H1259" s="606" t="s">
        <v>1555</v>
      </c>
      <c r="I1259" s="606" t="s">
        <v>1981</v>
      </c>
      <c r="J1259" s="606" t="s">
        <v>1982</v>
      </c>
    </row>
    <row r="1260" spans="2:10" ht="21" customHeight="1">
      <c r="B1260" s="605" t="s">
        <v>3568</v>
      </c>
      <c r="C1260" s="606" t="s">
        <v>8</v>
      </c>
      <c r="D1260" s="605" t="s">
        <v>689</v>
      </c>
      <c r="E1260" s="606" t="s">
        <v>3569</v>
      </c>
      <c r="F1260" s="606" t="s">
        <v>3569</v>
      </c>
      <c r="G1260" s="606" t="s">
        <v>1554</v>
      </c>
      <c r="H1260" s="606" t="s">
        <v>1555</v>
      </c>
      <c r="I1260" s="606" t="s">
        <v>1981</v>
      </c>
      <c r="J1260" s="606" t="s">
        <v>1982</v>
      </c>
    </row>
    <row r="1261" spans="2:10" ht="21" customHeight="1">
      <c r="B1261" s="605" t="s">
        <v>3570</v>
      </c>
      <c r="C1261" s="606" t="s">
        <v>8</v>
      </c>
      <c r="D1261" s="605" t="s">
        <v>689</v>
      </c>
      <c r="E1261" s="606" t="s">
        <v>3571</v>
      </c>
      <c r="F1261" s="606" t="s">
        <v>3571</v>
      </c>
      <c r="G1261" s="606" t="s">
        <v>1554</v>
      </c>
      <c r="H1261" s="606" t="s">
        <v>1555</v>
      </c>
      <c r="I1261" s="606" t="s">
        <v>1981</v>
      </c>
      <c r="J1261" s="606" t="s">
        <v>1982</v>
      </c>
    </row>
    <row r="1262" spans="2:10" ht="21" customHeight="1">
      <c r="B1262" s="605" t="s">
        <v>3572</v>
      </c>
      <c r="C1262" s="606" t="s">
        <v>8</v>
      </c>
      <c r="D1262" s="605" t="s">
        <v>689</v>
      </c>
      <c r="E1262" s="606" t="s">
        <v>3573</v>
      </c>
      <c r="F1262" s="606" t="s">
        <v>3573</v>
      </c>
      <c r="G1262" s="606" t="s">
        <v>1554</v>
      </c>
      <c r="H1262" s="606" t="s">
        <v>1555</v>
      </c>
      <c r="I1262" s="606" t="s">
        <v>1981</v>
      </c>
      <c r="J1262" s="606" t="s">
        <v>1982</v>
      </c>
    </row>
    <row r="1263" spans="2:10" ht="21" customHeight="1">
      <c r="B1263" s="605" t="s">
        <v>3574</v>
      </c>
      <c r="C1263" s="606" t="s">
        <v>8</v>
      </c>
      <c r="D1263" s="605" t="s">
        <v>689</v>
      </c>
      <c r="E1263" s="606" t="s">
        <v>1053</v>
      </c>
      <c r="F1263" s="606" t="s">
        <v>1053</v>
      </c>
      <c r="G1263" s="606" t="s">
        <v>1085</v>
      </c>
      <c r="H1263" s="606" t="s">
        <v>2063</v>
      </c>
      <c r="I1263" s="606" t="s">
        <v>1087</v>
      </c>
      <c r="J1263" s="606" t="s">
        <v>1088</v>
      </c>
    </row>
    <row r="1264" spans="2:10" ht="21" customHeight="1">
      <c r="B1264" s="605" t="s">
        <v>3575</v>
      </c>
      <c r="C1264" s="606" t="s">
        <v>8</v>
      </c>
      <c r="D1264" s="605" t="s">
        <v>689</v>
      </c>
      <c r="E1264" s="606" t="s">
        <v>3576</v>
      </c>
      <c r="F1264" s="606" t="s">
        <v>3576</v>
      </c>
      <c r="G1264" s="606" t="s">
        <v>1554</v>
      </c>
      <c r="H1264" s="606" t="s">
        <v>1555</v>
      </c>
      <c r="I1264" s="606" t="s">
        <v>1981</v>
      </c>
      <c r="J1264" s="606" t="s">
        <v>1982</v>
      </c>
    </row>
    <row r="1265" spans="2:10" ht="21" customHeight="1">
      <c r="B1265" s="605" t="s">
        <v>3577</v>
      </c>
      <c r="C1265" s="606" t="s">
        <v>8</v>
      </c>
      <c r="D1265" s="605" t="s">
        <v>689</v>
      </c>
      <c r="E1265" s="606" t="s">
        <v>3578</v>
      </c>
      <c r="F1265" s="606" t="s">
        <v>3578</v>
      </c>
      <c r="G1265" s="606" t="s">
        <v>1554</v>
      </c>
      <c r="H1265" s="606" t="s">
        <v>1555</v>
      </c>
      <c r="I1265" s="606" t="s">
        <v>1981</v>
      </c>
      <c r="J1265" s="606" t="s">
        <v>1982</v>
      </c>
    </row>
    <row r="1266" spans="2:10" ht="21" customHeight="1">
      <c r="B1266" s="605" t="s">
        <v>3579</v>
      </c>
      <c r="C1266" s="606" t="s">
        <v>8</v>
      </c>
      <c r="D1266" s="605" t="s">
        <v>689</v>
      </c>
      <c r="E1266" s="606" t="s">
        <v>3580</v>
      </c>
      <c r="F1266" s="606" t="s">
        <v>3580</v>
      </c>
      <c r="G1266" s="606" t="s">
        <v>1554</v>
      </c>
      <c r="H1266" s="606" t="s">
        <v>1555</v>
      </c>
      <c r="I1266" s="606" t="s">
        <v>1981</v>
      </c>
      <c r="J1266" s="606" t="s">
        <v>1982</v>
      </c>
    </row>
    <row r="1267" spans="2:10" ht="21" customHeight="1">
      <c r="B1267" s="605" t="s">
        <v>3581</v>
      </c>
      <c r="C1267" s="606" t="s">
        <v>8</v>
      </c>
      <c r="D1267" s="605" t="s">
        <v>689</v>
      </c>
      <c r="E1267" s="606" t="s">
        <v>3582</v>
      </c>
      <c r="F1267" s="606" t="s">
        <v>3582</v>
      </c>
      <c r="G1267" s="606" t="s">
        <v>1554</v>
      </c>
      <c r="H1267" s="606" t="s">
        <v>1555</v>
      </c>
      <c r="I1267" s="606" t="s">
        <v>1981</v>
      </c>
      <c r="J1267" s="606" t="s">
        <v>1982</v>
      </c>
    </row>
    <row r="1268" spans="2:10" ht="21" customHeight="1">
      <c r="B1268" s="605" t="s">
        <v>3583</v>
      </c>
      <c r="C1268" s="606" t="s">
        <v>8</v>
      </c>
      <c r="D1268" s="605" t="s">
        <v>689</v>
      </c>
      <c r="E1268" s="606" t="s">
        <v>3584</v>
      </c>
      <c r="F1268" s="606" t="s">
        <v>3584</v>
      </c>
      <c r="G1268" s="606" t="s">
        <v>1554</v>
      </c>
      <c r="H1268" s="606" t="s">
        <v>1555</v>
      </c>
      <c r="I1268" s="606" t="s">
        <v>1981</v>
      </c>
      <c r="J1268" s="606" t="s">
        <v>1982</v>
      </c>
    </row>
    <row r="1269" spans="2:10" ht="21" customHeight="1">
      <c r="B1269" s="605" t="s">
        <v>3585</v>
      </c>
      <c r="C1269" s="606" t="s">
        <v>8</v>
      </c>
      <c r="D1269" s="605" t="s">
        <v>689</v>
      </c>
      <c r="E1269" s="606" t="s">
        <v>3586</v>
      </c>
      <c r="F1269" s="606" t="s">
        <v>3586</v>
      </c>
      <c r="G1269" s="606" t="s">
        <v>1554</v>
      </c>
      <c r="H1269" s="606" t="s">
        <v>1555</v>
      </c>
      <c r="I1269" s="606" t="s">
        <v>1981</v>
      </c>
      <c r="J1269" s="606" t="s">
        <v>1982</v>
      </c>
    </row>
    <row r="1270" spans="2:10" ht="21" customHeight="1">
      <c r="B1270" s="605" t="s">
        <v>3587</v>
      </c>
      <c r="C1270" s="606" t="s">
        <v>8</v>
      </c>
      <c r="D1270" s="605" t="s">
        <v>689</v>
      </c>
      <c r="E1270" s="606" t="s">
        <v>3588</v>
      </c>
      <c r="F1270" s="606" t="s">
        <v>3588</v>
      </c>
      <c r="G1270" s="606" t="s">
        <v>1554</v>
      </c>
      <c r="H1270" s="606" t="s">
        <v>1555</v>
      </c>
      <c r="I1270" s="606" t="s">
        <v>1981</v>
      </c>
      <c r="J1270" s="606" t="s">
        <v>1982</v>
      </c>
    </row>
    <row r="1271" spans="2:10" ht="21" customHeight="1">
      <c r="B1271" s="605" t="s">
        <v>3589</v>
      </c>
      <c r="C1271" s="606" t="s">
        <v>8</v>
      </c>
      <c r="D1271" s="605" t="s">
        <v>689</v>
      </c>
      <c r="E1271" s="606" t="s">
        <v>3590</v>
      </c>
      <c r="F1271" s="606" t="s">
        <v>3590</v>
      </c>
      <c r="G1271" s="606" t="s">
        <v>1554</v>
      </c>
      <c r="H1271" s="606" t="s">
        <v>1555</v>
      </c>
      <c r="I1271" s="606" t="s">
        <v>1981</v>
      </c>
      <c r="J1271" s="606" t="s">
        <v>1982</v>
      </c>
    </row>
    <row r="1272" spans="2:10" ht="21" customHeight="1">
      <c r="B1272" s="605" t="s">
        <v>3591</v>
      </c>
      <c r="C1272" s="606" t="s">
        <v>8</v>
      </c>
      <c r="D1272" s="605" t="s">
        <v>689</v>
      </c>
      <c r="E1272" s="606" t="s">
        <v>3592</v>
      </c>
      <c r="F1272" s="606" t="s">
        <v>3592</v>
      </c>
      <c r="G1272" s="606" t="s">
        <v>1554</v>
      </c>
      <c r="H1272" s="606" t="s">
        <v>1555</v>
      </c>
      <c r="I1272" s="606" t="s">
        <v>1981</v>
      </c>
      <c r="J1272" s="606" t="s">
        <v>1982</v>
      </c>
    </row>
    <row r="1273" spans="2:10" ht="21" customHeight="1">
      <c r="B1273" s="605" t="s">
        <v>3593</v>
      </c>
      <c r="C1273" s="606" t="s">
        <v>8</v>
      </c>
      <c r="D1273" s="605" t="s">
        <v>689</v>
      </c>
      <c r="E1273" s="606" t="s">
        <v>3594</v>
      </c>
      <c r="F1273" s="606" t="s">
        <v>3594</v>
      </c>
      <c r="G1273" s="606" t="s">
        <v>1554</v>
      </c>
      <c r="H1273" s="606" t="s">
        <v>1555</v>
      </c>
      <c r="I1273" s="606" t="s">
        <v>1981</v>
      </c>
      <c r="J1273" s="606" t="s">
        <v>1982</v>
      </c>
    </row>
    <row r="1274" spans="2:10" ht="21" customHeight="1">
      <c r="B1274" s="605" t="s">
        <v>3595</v>
      </c>
      <c r="C1274" s="606" t="s">
        <v>8</v>
      </c>
      <c r="D1274" s="605" t="s">
        <v>689</v>
      </c>
      <c r="E1274" s="606" t="s">
        <v>3596</v>
      </c>
      <c r="F1274" s="606" t="s">
        <v>3596</v>
      </c>
      <c r="G1274" s="606" t="s">
        <v>1554</v>
      </c>
      <c r="H1274" s="606" t="s">
        <v>1555</v>
      </c>
      <c r="I1274" s="606" t="s">
        <v>1981</v>
      </c>
      <c r="J1274" s="606" t="s">
        <v>1982</v>
      </c>
    </row>
    <row r="1275" spans="2:10" ht="21" customHeight="1">
      <c r="B1275" s="605" t="s">
        <v>3597</v>
      </c>
      <c r="C1275" s="606" t="s">
        <v>8</v>
      </c>
      <c r="D1275" s="605" t="s">
        <v>689</v>
      </c>
      <c r="E1275" s="606" t="s">
        <v>179</v>
      </c>
      <c r="F1275" s="606" t="s">
        <v>179</v>
      </c>
      <c r="G1275" s="606" t="s">
        <v>1085</v>
      </c>
      <c r="H1275" s="606" t="s">
        <v>2063</v>
      </c>
      <c r="I1275" s="606" t="s">
        <v>1087</v>
      </c>
      <c r="J1275" s="606" t="s">
        <v>1088</v>
      </c>
    </row>
    <row r="1276" spans="2:10" ht="21" customHeight="1">
      <c r="B1276" s="605" t="s">
        <v>3598</v>
      </c>
      <c r="C1276" s="606" t="s">
        <v>8</v>
      </c>
      <c r="D1276" s="605" t="s">
        <v>689</v>
      </c>
      <c r="E1276" s="606" t="s">
        <v>3599</v>
      </c>
      <c r="F1276" s="606" t="s">
        <v>3599</v>
      </c>
      <c r="G1276" s="606" t="s">
        <v>1151</v>
      </c>
      <c r="H1276" s="606" t="s">
        <v>1152</v>
      </c>
      <c r="I1276" s="606" t="s">
        <v>1087</v>
      </c>
      <c r="J1276" s="606" t="s">
        <v>1153</v>
      </c>
    </row>
    <row r="1277" spans="2:10" ht="21" customHeight="1">
      <c r="B1277" s="605" t="s">
        <v>3600</v>
      </c>
      <c r="C1277" s="606" t="s">
        <v>8</v>
      </c>
      <c r="D1277" s="605" t="s">
        <v>689</v>
      </c>
      <c r="E1277" s="606" t="s">
        <v>3601</v>
      </c>
      <c r="F1277" s="606" t="s">
        <v>3601</v>
      </c>
      <c r="G1277" s="606" t="s">
        <v>1554</v>
      </c>
      <c r="H1277" s="606" t="s">
        <v>1555</v>
      </c>
      <c r="I1277" s="606" t="s">
        <v>1981</v>
      </c>
      <c r="J1277" s="606" t="s">
        <v>1982</v>
      </c>
    </row>
    <row r="1278" spans="2:10" ht="21" customHeight="1">
      <c r="B1278" s="605" t="s">
        <v>3602</v>
      </c>
      <c r="C1278" s="606" t="s">
        <v>8</v>
      </c>
      <c r="D1278" s="605" t="s">
        <v>689</v>
      </c>
      <c r="E1278" s="606" t="s">
        <v>3603</v>
      </c>
      <c r="F1278" s="606" t="s">
        <v>3603</v>
      </c>
      <c r="G1278" s="606" t="s">
        <v>1554</v>
      </c>
      <c r="H1278" s="606" t="s">
        <v>1555</v>
      </c>
      <c r="I1278" s="606" t="s">
        <v>1981</v>
      </c>
      <c r="J1278" s="606" t="s">
        <v>1982</v>
      </c>
    </row>
    <row r="1279" spans="2:10" ht="21" customHeight="1">
      <c r="B1279" s="605" t="s">
        <v>3604</v>
      </c>
      <c r="C1279" s="606" t="s">
        <v>8</v>
      </c>
      <c r="D1279" s="605" t="s">
        <v>689</v>
      </c>
      <c r="E1279" s="606" t="s">
        <v>3605</v>
      </c>
      <c r="F1279" s="606" t="s">
        <v>3605</v>
      </c>
      <c r="G1279" s="606" t="s">
        <v>1554</v>
      </c>
      <c r="H1279" s="606" t="s">
        <v>1555</v>
      </c>
      <c r="I1279" s="606" t="s">
        <v>1981</v>
      </c>
      <c r="J1279" s="606" t="s">
        <v>1982</v>
      </c>
    </row>
    <row r="1280" spans="2:10" ht="21" customHeight="1">
      <c r="B1280" s="605" t="s">
        <v>3606</v>
      </c>
      <c r="C1280" s="606" t="s">
        <v>8</v>
      </c>
      <c r="D1280" s="605" t="s">
        <v>689</v>
      </c>
      <c r="E1280" s="606" t="s">
        <v>3607</v>
      </c>
      <c r="F1280" s="606" t="s">
        <v>3607</v>
      </c>
      <c r="G1280" s="606" t="s">
        <v>1554</v>
      </c>
      <c r="H1280" s="606" t="s">
        <v>1555</v>
      </c>
      <c r="I1280" s="606" t="s">
        <v>1981</v>
      </c>
      <c r="J1280" s="606" t="s">
        <v>1982</v>
      </c>
    </row>
    <row r="1281" spans="2:10" ht="21" customHeight="1">
      <c r="B1281" s="605" t="s">
        <v>3608</v>
      </c>
      <c r="C1281" s="606" t="s">
        <v>8</v>
      </c>
      <c r="D1281" s="605" t="s">
        <v>689</v>
      </c>
      <c r="E1281" s="606" t="s">
        <v>3609</v>
      </c>
      <c r="F1281" s="606" t="s">
        <v>3609</v>
      </c>
      <c r="G1281" s="606" t="s">
        <v>1554</v>
      </c>
      <c r="H1281" s="606" t="s">
        <v>1555</v>
      </c>
      <c r="I1281" s="606" t="s">
        <v>1981</v>
      </c>
      <c r="J1281" s="606" t="s">
        <v>1982</v>
      </c>
    </row>
    <row r="1282" spans="2:10" ht="21" customHeight="1">
      <c r="B1282" s="605" t="s">
        <v>3610</v>
      </c>
      <c r="C1282" s="606" t="s">
        <v>8</v>
      </c>
      <c r="D1282" s="605" t="s">
        <v>689</v>
      </c>
      <c r="E1282" s="606" t="s">
        <v>3611</v>
      </c>
      <c r="F1282" s="606" t="s">
        <v>3611</v>
      </c>
      <c r="G1282" s="606" t="s">
        <v>1554</v>
      </c>
      <c r="H1282" s="606" t="s">
        <v>1555</v>
      </c>
      <c r="I1282" s="606" t="s">
        <v>1981</v>
      </c>
      <c r="J1282" s="606" t="s">
        <v>1982</v>
      </c>
    </row>
    <row r="1283" spans="2:10" ht="21" customHeight="1">
      <c r="B1283" s="605" t="s">
        <v>3612</v>
      </c>
      <c r="C1283" s="606" t="s">
        <v>8</v>
      </c>
      <c r="D1283" s="605" t="s">
        <v>689</v>
      </c>
      <c r="E1283" s="606" t="s">
        <v>3613</v>
      </c>
      <c r="F1283" s="606" t="s">
        <v>3613</v>
      </c>
      <c r="G1283" s="606" t="s">
        <v>1554</v>
      </c>
      <c r="H1283" s="606" t="s">
        <v>1555</v>
      </c>
      <c r="I1283" s="606" t="s">
        <v>1981</v>
      </c>
      <c r="J1283" s="606" t="s">
        <v>1982</v>
      </c>
    </row>
    <row r="1284" spans="2:10" ht="21" customHeight="1">
      <c r="B1284" s="605" t="s">
        <v>3614</v>
      </c>
      <c r="C1284" s="606" t="s">
        <v>8</v>
      </c>
      <c r="D1284" s="605" t="s">
        <v>689</v>
      </c>
      <c r="E1284" s="606" t="s">
        <v>3615</v>
      </c>
      <c r="F1284" s="606" t="s">
        <v>3615</v>
      </c>
      <c r="G1284" s="606" t="s">
        <v>1554</v>
      </c>
      <c r="H1284" s="606" t="s">
        <v>1555</v>
      </c>
      <c r="I1284" s="606" t="s">
        <v>1981</v>
      </c>
      <c r="J1284" s="606" t="s">
        <v>1982</v>
      </c>
    </row>
    <row r="1285" spans="2:10" ht="21" customHeight="1">
      <c r="B1285" s="605" t="s">
        <v>3616</v>
      </c>
      <c r="C1285" s="606" t="s">
        <v>8</v>
      </c>
      <c r="D1285" s="605" t="s">
        <v>689</v>
      </c>
      <c r="E1285" s="606" t="s">
        <v>1054</v>
      </c>
      <c r="F1285" s="606" t="s">
        <v>1054</v>
      </c>
      <c r="G1285" s="606" t="s">
        <v>1085</v>
      </c>
      <c r="H1285" s="606" t="s">
        <v>2063</v>
      </c>
      <c r="I1285" s="606" t="s">
        <v>1087</v>
      </c>
      <c r="J1285" s="606" t="s">
        <v>1088</v>
      </c>
    </row>
    <row r="1286" spans="2:10" ht="21" customHeight="1">
      <c r="B1286" s="605" t="s">
        <v>3617</v>
      </c>
      <c r="C1286" s="606" t="s">
        <v>8</v>
      </c>
      <c r="D1286" s="605" t="s">
        <v>689</v>
      </c>
      <c r="E1286" s="606" t="s">
        <v>3618</v>
      </c>
      <c r="F1286" s="606" t="s">
        <v>3618</v>
      </c>
      <c r="G1286" s="606" t="s">
        <v>1085</v>
      </c>
      <c r="H1286" s="606" t="s">
        <v>2063</v>
      </c>
      <c r="I1286" s="606" t="s">
        <v>1087</v>
      </c>
      <c r="J1286" s="606" t="s">
        <v>1088</v>
      </c>
    </row>
    <row r="1287" spans="2:10" ht="21" customHeight="1">
      <c r="B1287" s="605" t="s">
        <v>3619</v>
      </c>
      <c r="C1287" s="606" t="s">
        <v>8</v>
      </c>
      <c r="D1287" s="605" t="s">
        <v>689</v>
      </c>
      <c r="E1287" s="606" t="s">
        <v>3620</v>
      </c>
      <c r="F1287" s="606" t="s">
        <v>3620</v>
      </c>
      <c r="G1287" s="606" t="s">
        <v>1554</v>
      </c>
      <c r="H1287" s="606" t="s">
        <v>1555</v>
      </c>
      <c r="I1287" s="606" t="s">
        <v>1981</v>
      </c>
      <c r="J1287" s="606" t="s">
        <v>1982</v>
      </c>
    </row>
    <row r="1288" spans="2:10" ht="21" customHeight="1">
      <c r="B1288" s="605" t="s">
        <v>3621</v>
      </c>
      <c r="C1288" s="606" t="s">
        <v>8</v>
      </c>
      <c r="D1288" s="605" t="s">
        <v>689</v>
      </c>
      <c r="E1288" s="606" t="s">
        <v>1055</v>
      </c>
      <c r="F1288" s="606" t="s">
        <v>1055</v>
      </c>
      <c r="G1288" s="606" t="s">
        <v>1085</v>
      </c>
      <c r="H1288" s="606" t="s">
        <v>2063</v>
      </c>
      <c r="I1288" s="606" t="s">
        <v>1087</v>
      </c>
      <c r="J1288" s="606" t="s">
        <v>1088</v>
      </c>
    </row>
    <row r="1289" spans="2:10" ht="21" customHeight="1">
      <c r="B1289" s="605" t="s">
        <v>3622</v>
      </c>
      <c r="C1289" s="606" t="s">
        <v>8</v>
      </c>
      <c r="D1289" s="605" t="s">
        <v>689</v>
      </c>
      <c r="E1289" s="606" t="s">
        <v>3623</v>
      </c>
      <c r="F1289" s="606" t="s">
        <v>3623</v>
      </c>
      <c r="G1289" s="606" t="s">
        <v>1554</v>
      </c>
      <c r="H1289" s="606" t="s">
        <v>1555</v>
      </c>
      <c r="I1289" s="606" t="s">
        <v>1981</v>
      </c>
      <c r="J1289" s="606" t="s">
        <v>1982</v>
      </c>
    </row>
    <row r="1290" spans="2:10" ht="21" customHeight="1">
      <c r="B1290" s="605" t="s">
        <v>3624</v>
      </c>
      <c r="C1290" s="606" t="s">
        <v>8</v>
      </c>
      <c r="D1290" s="605" t="s">
        <v>689</v>
      </c>
      <c r="E1290" s="606" t="s">
        <v>3625</v>
      </c>
      <c r="F1290" s="606" t="s">
        <v>3625</v>
      </c>
      <c r="G1290" s="606" t="s">
        <v>1554</v>
      </c>
      <c r="H1290" s="606" t="s">
        <v>1555</v>
      </c>
      <c r="I1290" s="606" t="s">
        <v>1981</v>
      </c>
      <c r="J1290" s="606" t="s">
        <v>1982</v>
      </c>
    </row>
    <row r="1291" spans="2:10" ht="21" customHeight="1">
      <c r="B1291" s="605" t="s">
        <v>3626</v>
      </c>
      <c r="C1291" s="606" t="s">
        <v>8</v>
      </c>
      <c r="D1291" s="605" t="s">
        <v>689</v>
      </c>
      <c r="E1291" s="606" t="s">
        <v>3627</v>
      </c>
      <c r="F1291" s="606" t="s">
        <v>3627</v>
      </c>
      <c r="G1291" s="606" t="s">
        <v>1554</v>
      </c>
      <c r="H1291" s="606" t="s">
        <v>1555</v>
      </c>
      <c r="I1291" s="606" t="s">
        <v>1981</v>
      </c>
      <c r="J1291" s="606" t="s">
        <v>1982</v>
      </c>
    </row>
    <row r="1292" spans="2:10" ht="21" customHeight="1">
      <c r="B1292" s="605" t="s">
        <v>3628</v>
      </c>
      <c r="C1292" s="606" t="s">
        <v>8</v>
      </c>
      <c r="D1292" s="605" t="s">
        <v>689</v>
      </c>
      <c r="E1292" s="606" t="s">
        <v>3629</v>
      </c>
      <c r="F1292" s="606" t="s">
        <v>3629</v>
      </c>
      <c r="G1292" s="606" t="s">
        <v>1554</v>
      </c>
      <c r="H1292" s="606" t="s">
        <v>1555</v>
      </c>
      <c r="I1292" s="606" t="s">
        <v>1981</v>
      </c>
      <c r="J1292" s="606" t="s">
        <v>1982</v>
      </c>
    </row>
    <row r="1293" spans="2:10" ht="21" customHeight="1">
      <c r="B1293" s="605" t="s">
        <v>3630</v>
      </c>
      <c r="C1293" s="606" t="s">
        <v>8</v>
      </c>
      <c r="D1293" s="605" t="s">
        <v>689</v>
      </c>
      <c r="E1293" s="606" t="s">
        <v>3631</v>
      </c>
      <c r="F1293" s="606" t="s">
        <v>3631</v>
      </c>
      <c r="G1293" s="606" t="s">
        <v>1554</v>
      </c>
      <c r="H1293" s="606" t="s">
        <v>1555</v>
      </c>
      <c r="I1293" s="606" t="s">
        <v>1981</v>
      </c>
      <c r="J1293" s="606" t="s">
        <v>1982</v>
      </c>
    </row>
    <row r="1294" spans="2:10" ht="21" customHeight="1">
      <c r="B1294" s="605" t="s">
        <v>3632</v>
      </c>
      <c r="C1294" s="606" t="s">
        <v>8</v>
      </c>
      <c r="D1294" s="605" t="s">
        <v>689</v>
      </c>
      <c r="E1294" s="606" t="s">
        <v>3633</v>
      </c>
      <c r="F1294" s="606" t="s">
        <v>3633</v>
      </c>
      <c r="G1294" s="606" t="s">
        <v>1554</v>
      </c>
      <c r="H1294" s="606" t="s">
        <v>1555</v>
      </c>
      <c r="I1294" s="606" t="s">
        <v>1981</v>
      </c>
      <c r="J1294" s="606" t="s">
        <v>1982</v>
      </c>
    </row>
    <row r="1295" spans="2:10" ht="21" customHeight="1">
      <c r="B1295" s="605" t="s">
        <v>3634</v>
      </c>
      <c r="C1295" s="606" t="s">
        <v>8</v>
      </c>
      <c r="D1295" s="605" t="s">
        <v>689</v>
      </c>
      <c r="E1295" s="606" t="s">
        <v>3635</v>
      </c>
      <c r="F1295" s="606" t="s">
        <v>3635</v>
      </c>
      <c r="G1295" s="606" t="s">
        <v>1554</v>
      </c>
      <c r="H1295" s="606" t="s">
        <v>1555</v>
      </c>
      <c r="I1295" s="606" t="s">
        <v>1981</v>
      </c>
      <c r="J1295" s="606" t="s">
        <v>1982</v>
      </c>
    </row>
    <row r="1296" spans="2:10" ht="21" customHeight="1">
      <c r="B1296" s="605" t="s">
        <v>3636</v>
      </c>
      <c r="C1296" s="606" t="s">
        <v>8</v>
      </c>
      <c r="D1296" s="605" t="s">
        <v>689</v>
      </c>
      <c r="E1296" s="606" t="s">
        <v>3637</v>
      </c>
      <c r="F1296" s="606" t="s">
        <v>3637</v>
      </c>
      <c r="G1296" s="606" t="s">
        <v>1554</v>
      </c>
      <c r="H1296" s="606" t="s">
        <v>1555</v>
      </c>
      <c r="I1296" s="606" t="s">
        <v>1981</v>
      </c>
      <c r="J1296" s="606" t="s">
        <v>1982</v>
      </c>
    </row>
    <row r="1297" spans="2:10" ht="21" customHeight="1">
      <c r="B1297" s="605" t="s">
        <v>3638</v>
      </c>
      <c r="C1297" s="606" t="s">
        <v>8</v>
      </c>
      <c r="D1297" s="605" t="s">
        <v>689</v>
      </c>
      <c r="E1297" s="606" t="s">
        <v>3639</v>
      </c>
      <c r="F1297" s="606" t="s">
        <v>3639</v>
      </c>
      <c r="G1297" s="606" t="s">
        <v>1554</v>
      </c>
      <c r="H1297" s="606" t="s">
        <v>1555</v>
      </c>
      <c r="I1297" s="606" t="s">
        <v>1981</v>
      </c>
      <c r="J1297" s="606" t="s">
        <v>1982</v>
      </c>
    </row>
    <row r="1298" spans="2:10" ht="21" customHeight="1">
      <c r="B1298" s="605" t="s">
        <v>3640</v>
      </c>
      <c r="C1298" s="606" t="s">
        <v>8</v>
      </c>
      <c r="D1298" s="605" t="s">
        <v>689</v>
      </c>
      <c r="E1298" s="606" t="s">
        <v>1056</v>
      </c>
      <c r="F1298" s="606" t="s">
        <v>1056</v>
      </c>
      <c r="G1298" s="606" t="s">
        <v>1554</v>
      </c>
      <c r="H1298" s="606" t="s">
        <v>1555</v>
      </c>
      <c r="I1298" s="606" t="s">
        <v>1981</v>
      </c>
      <c r="J1298" s="606" t="s">
        <v>1982</v>
      </c>
    </row>
    <row r="1299" spans="2:10" ht="21" customHeight="1">
      <c r="B1299" s="605" t="s">
        <v>3641</v>
      </c>
      <c r="C1299" s="606" t="s">
        <v>8</v>
      </c>
      <c r="D1299" s="605" t="s">
        <v>689</v>
      </c>
      <c r="E1299" s="606" t="s">
        <v>1057</v>
      </c>
      <c r="F1299" s="606" t="s">
        <v>1057</v>
      </c>
      <c r="G1299" s="606" t="s">
        <v>1554</v>
      </c>
      <c r="H1299" s="606" t="s">
        <v>1555</v>
      </c>
      <c r="I1299" s="606" t="s">
        <v>1981</v>
      </c>
      <c r="J1299" s="606" t="s">
        <v>1982</v>
      </c>
    </row>
    <row r="1300" spans="2:10" ht="21" customHeight="1">
      <c r="B1300" s="605" t="s">
        <v>3642</v>
      </c>
      <c r="C1300" s="606" t="s">
        <v>8</v>
      </c>
      <c r="D1300" s="605" t="s">
        <v>689</v>
      </c>
      <c r="E1300" s="606" t="s">
        <v>3643</v>
      </c>
      <c r="F1300" s="606" t="s">
        <v>3643</v>
      </c>
      <c r="G1300" s="606" t="s">
        <v>1554</v>
      </c>
      <c r="H1300" s="606" t="s">
        <v>1555</v>
      </c>
      <c r="I1300" s="606" t="s">
        <v>1981</v>
      </c>
      <c r="J1300" s="606" t="s">
        <v>1982</v>
      </c>
    </row>
    <row r="1301" spans="2:10" ht="21" customHeight="1">
      <c r="B1301" s="605" t="s">
        <v>3644</v>
      </c>
      <c r="C1301" s="606" t="s">
        <v>8</v>
      </c>
      <c r="D1301" s="605" t="s">
        <v>689</v>
      </c>
      <c r="E1301" s="606" t="s">
        <v>1058</v>
      </c>
      <c r="F1301" s="606" t="s">
        <v>1058</v>
      </c>
      <c r="G1301" s="606" t="s">
        <v>1554</v>
      </c>
      <c r="H1301" s="606" t="s">
        <v>1555</v>
      </c>
      <c r="I1301" s="606" t="s">
        <v>1981</v>
      </c>
      <c r="J1301" s="606" t="s">
        <v>1982</v>
      </c>
    </row>
    <row r="1302" spans="2:10" ht="21" customHeight="1">
      <c r="B1302" s="605" t="s">
        <v>3645</v>
      </c>
      <c r="C1302" s="606" t="s">
        <v>8</v>
      </c>
      <c r="D1302" s="605" t="s">
        <v>689</v>
      </c>
      <c r="E1302" s="606" t="s">
        <v>3646</v>
      </c>
      <c r="F1302" s="606" t="s">
        <v>3646</v>
      </c>
      <c r="G1302" s="606" t="s">
        <v>1554</v>
      </c>
      <c r="H1302" s="606" t="s">
        <v>1555</v>
      </c>
      <c r="I1302" s="606" t="s">
        <v>1981</v>
      </c>
      <c r="J1302" s="606" t="s">
        <v>1982</v>
      </c>
    </row>
    <row r="1303" spans="2:10" ht="21" customHeight="1">
      <c r="B1303" s="605" t="s">
        <v>3647</v>
      </c>
      <c r="C1303" s="606" t="s">
        <v>8</v>
      </c>
      <c r="D1303" s="605" t="s">
        <v>689</v>
      </c>
      <c r="E1303" s="606" t="s">
        <v>3648</v>
      </c>
      <c r="F1303" s="606" t="s">
        <v>3648</v>
      </c>
      <c r="G1303" s="606" t="s">
        <v>1554</v>
      </c>
      <c r="H1303" s="606" t="s">
        <v>1555</v>
      </c>
      <c r="I1303" s="606" t="s">
        <v>1981</v>
      </c>
      <c r="J1303" s="606" t="s">
        <v>1982</v>
      </c>
    </row>
    <row r="1304" spans="2:10" ht="21" customHeight="1">
      <c r="B1304" s="605" t="s">
        <v>3649</v>
      </c>
      <c r="C1304" s="606" t="s">
        <v>8</v>
      </c>
      <c r="D1304" s="605" t="s">
        <v>689</v>
      </c>
      <c r="E1304" s="606" t="s">
        <v>3650</v>
      </c>
      <c r="F1304" s="606" t="s">
        <v>3650</v>
      </c>
      <c r="G1304" s="606" t="s">
        <v>1554</v>
      </c>
      <c r="H1304" s="606" t="s">
        <v>1555</v>
      </c>
      <c r="I1304" s="606" t="s">
        <v>1981</v>
      </c>
      <c r="J1304" s="606" t="s">
        <v>1982</v>
      </c>
    </row>
    <row r="1305" spans="2:10" ht="21" customHeight="1">
      <c r="B1305" s="605" t="s">
        <v>3651</v>
      </c>
      <c r="C1305" s="606" t="s">
        <v>8</v>
      </c>
      <c r="D1305" s="605" t="s">
        <v>689</v>
      </c>
      <c r="E1305" s="606" t="s">
        <v>1059</v>
      </c>
      <c r="F1305" s="606" t="s">
        <v>1059</v>
      </c>
      <c r="G1305" s="606" t="s">
        <v>1554</v>
      </c>
      <c r="H1305" s="606" t="s">
        <v>1555</v>
      </c>
      <c r="I1305" s="606" t="s">
        <v>1981</v>
      </c>
      <c r="J1305" s="606" t="s">
        <v>1982</v>
      </c>
    </row>
    <row r="1306" spans="2:10" ht="21" customHeight="1">
      <c r="B1306" s="605" t="s">
        <v>3652</v>
      </c>
      <c r="C1306" s="606" t="s">
        <v>8</v>
      </c>
      <c r="D1306" s="605" t="s">
        <v>689</v>
      </c>
      <c r="E1306" s="606" t="s">
        <v>3653</v>
      </c>
      <c r="F1306" s="606" t="s">
        <v>3653</v>
      </c>
      <c r="G1306" s="606" t="s">
        <v>1554</v>
      </c>
      <c r="H1306" s="606" t="s">
        <v>1555</v>
      </c>
      <c r="I1306" s="606" t="s">
        <v>1981</v>
      </c>
      <c r="J1306" s="606" t="s">
        <v>1982</v>
      </c>
    </row>
    <row r="1307" spans="2:10" ht="21" customHeight="1">
      <c r="B1307" s="605" t="s">
        <v>3654</v>
      </c>
      <c r="C1307" s="606" t="s">
        <v>8</v>
      </c>
      <c r="D1307" s="605" t="s">
        <v>689</v>
      </c>
      <c r="E1307" s="606" t="s">
        <v>3655</v>
      </c>
      <c r="F1307" s="606" t="s">
        <v>3655</v>
      </c>
      <c r="G1307" s="606" t="s">
        <v>1554</v>
      </c>
      <c r="H1307" s="606" t="s">
        <v>1555</v>
      </c>
      <c r="I1307" s="606" t="s">
        <v>1981</v>
      </c>
      <c r="J1307" s="606" t="s">
        <v>1982</v>
      </c>
    </row>
    <row r="1308" spans="2:10" ht="21" customHeight="1">
      <c r="B1308" s="605" t="s">
        <v>3656</v>
      </c>
      <c r="C1308" s="606" t="s">
        <v>8</v>
      </c>
      <c r="D1308" s="605" t="s">
        <v>689</v>
      </c>
      <c r="E1308" s="606" t="s">
        <v>3657</v>
      </c>
      <c r="F1308" s="606" t="s">
        <v>3657</v>
      </c>
      <c r="G1308" s="606" t="s">
        <v>1554</v>
      </c>
      <c r="H1308" s="606" t="s">
        <v>1555</v>
      </c>
      <c r="I1308" s="606" t="s">
        <v>1981</v>
      </c>
      <c r="J1308" s="606" t="s">
        <v>1982</v>
      </c>
    </row>
    <row r="1309" spans="2:10" ht="21" customHeight="1">
      <c r="B1309" s="605" t="s">
        <v>3658</v>
      </c>
      <c r="C1309" s="606" t="s">
        <v>8</v>
      </c>
      <c r="D1309" s="605" t="s">
        <v>689</v>
      </c>
      <c r="E1309" s="606" t="s">
        <v>1060</v>
      </c>
      <c r="F1309" s="606" t="s">
        <v>1060</v>
      </c>
      <c r="G1309" s="606" t="s">
        <v>1554</v>
      </c>
      <c r="H1309" s="606" t="s">
        <v>1555</v>
      </c>
      <c r="I1309" s="606" t="s">
        <v>1981</v>
      </c>
      <c r="J1309" s="606" t="s">
        <v>1982</v>
      </c>
    </row>
    <row r="1310" spans="2:10" ht="21" customHeight="1">
      <c r="B1310" s="605" t="s">
        <v>3659</v>
      </c>
      <c r="C1310" s="606" t="s">
        <v>8</v>
      </c>
      <c r="D1310" s="605" t="s">
        <v>689</v>
      </c>
      <c r="E1310" s="606" t="s">
        <v>3660</v>
      </c>
      <c r="F1310" s="606" t="s">
        <v>3660</v>
      </c>
      <c r="G1310" s="606" t="s">
        <v>1554</v>
      </c>
      <c r="H1310" s="606" t="s">
        <v>1555</v>
      </c>
      <c r="I1310" s="606" t="s">
        <v>1981</v>
      </c>
      <c r="J1310" s="606" t="s">
        <v>1982</v>
      </c>
    </row>
    <row r="1311" spans="2:10" ht="21" customHeight="1">
      <c r="B1311" s="605" t="s">
        <v>3661</v>
      </c>
      <c r="C1311" s="606" t="s">
        <v>8</v>
      </c>
      <c r="D1311" s="605" t="s">
        <v>689</v>
      </c>
      <c r="E1311" s="606" t="s">
        <v>3662</v>
      </c>
      <c r="F1311" s="606" t="s">
        <v>3662</v>
      </c>
      <c r="G1311" s="606" t="s">
        <v>1554</v>
      </c>
      <c r="H1311" s="606" t="s">
        <v>1555</v>
      </c>
      <c r="I1311" s="606" t="s">
        <v>1981</v>
      </c>
      <c r="J1311" s="606" t="s">
        <v>1982</v>
      </c>
    </row>
    <row r="1312" spans="2:10" ht="21" customHeight="1">
      <c r="B1312" s="605" t="s">
        <v>3663</v>
      </c>
      <c r="C1312" s="606" t="s">
        <v>8</v>
      </c>
      <c r="D1312" s="605" t="s">
        <v>689</v>
      </c>
      <c r="E1312" s="606" t="s">
        <v>3664</v>
      </c>
      <c r="F1312" s="606" t="s">
        <v>3664</v>
      </c>
      <c r="G1312" s="606" t="s">
        <v>1554</v>
      </c>
      <c r="H1312" s="606" t="s">
        <v>1555</v>
      </c>
      <c r="I1312" s="606" t="s">
        <v>1981</v>
      </c>
      <c r="J1312" s="606" t="s">
        <v>1982</v>
      </c>
    </row>
    <row r="1313" spans="2:10" ht="21" customHeight="1">
      <c r="B1313" s="605" t="s">
        <v>3665</v>
      </c>
      <c r="C1313" s="606" t="s">
        <v>8</v>
      </c>
      <c r="D1313" s="605" t="s">
        <v>689</v>
      </c>
      <c r="E1313" s="606" t="s">
        <v>3666</v>
      </c>
      <c r="F1313" s="606" t="s">
        <v>3666</v>
      </c>
      <c r="G1313" s="606" t="s">
        <v>1554</v>
      </c>
      <c r="H1313" s="606" t="s">
        <v>1555</v>
      </c>
      <c r="I1313" s="606" t="s">
        <v>1981</v>
      </c>
      <c r="J1313" s="606" t="s">
        <v>1982</v>
      </c>
    </row>
    <row r="1314" spans="2:10" ht="21" customHeight="1">
      <c r="B1314" s="605" t="s">
        <v>3667</v>
      </c>
      <c r="C1314" s="606" t="s">
        <v>8</v>
      </c>
      <c r="D1314" s="605" t="s">
        <v>689</v>
      </c>
      <c r="E1314" s="606" t="s">
        <v>3668</v>
      </c>
      <c r="F1314" s="606" t="s">
        <v>3668</v>
      </c>
      <c r="G1314" s="606" t="s">
        <v>1554</v>
      </c>
      <c r="H1314" s="606" t="s">
        <v>1555</v>
      </c>
      <c r="I1314" s="606" t="s">
        <v>1981</v>
      </c>
      <c r="J1314" s="606" t="s">
        <v>1982</v>
      </c>
    </row>
    <row r="1315" spans="2:10" ht="21" customHeight="1">
      <c r="B1315" s="605" t="s">
        <v>3669</v>
      </c>
      <c r="C1315" s="606" t="s">
        <v>8</v>
      </c>
      <c r="D1315" s="605" t="s">
        <v>689</v>
      </c>
      <c r="E1315" s="606" t="s">
        <v>3670</v>
      </c>
      <c r="F1315" s="606" t="s">
        <v>3670</v>
      </c>
      <c r="G1315" s="606" t="s">
        <v>1554</v>
      </c>
      <c r="H1315" s="606" t="s">
        <v>1555</v>
      </c>
      <c r="I1315" s="606" t="s">
        <v>1981</v>
      </c>
      <c r="J1315" s="606" t="s">
        <v>1982</v>
      </c>
    </row>
    <row r="1316" spans="2:10" ht="21" customHeight="1">
      <c r="B1316" s="605" t="s">
        <v>3671</v>
      </c>
      <c r="C1316" s="606" t="s">
        <v>8</v>
      </c>
      <c r="D1316" s="605" t="s">
        <v>689</v>
      </c>
      <c r="E1316" s="606" t="s">
        <v>3672</v>
      </c>
      <c r="F1316" s="606" t="s">
        <v>3672</v>
      </c>
      <c r="G1316" s="606" t="s">
        <v>1554</v>
      </c>
      <c r="H1316" s="606" t="s">
        <v>1555</v>
      </c>
      <c r="I1316" s="606" t="s">
        <v>1981</v>
      </c>
      <c r="J1316" s="606" t="s">
        <v>1982</v>
      </c>
    </row>
    <row r="1317" spans="2:10" ht="21" customHeight="1">
      <c r="B1317" s="605" t="s">
        <v>3673</v>
      </c>
      <c r="C1317" s="606" t="s">
        <v>8</v>
      </c>
      <c r="D1317" s="605" t="s">
        <v>689</v>
      </c>
      <c r="E1317" s="606" t="s">
        <v>3674</v>
      </c>
      <c r="F1317" s="606" t="s">
        <v>3674</v>
      </c>
      <c r="G1317" s="606" t="s">
        <v>1151</v>
      </c>
      <c r="H1317" s="606" t="s">
        <v>1152</v>
      </c>
      <c r="I1317" s="606" t="s">
        <v>1087</v>
      </c>
      <c r="J1317" s="606" t="s">
        <v>1153</v>
      </c>
    </row>
    <row r="1318" spans="2:10" ht="21" customHeight="1">
      <c r="B1318" s="605" t="s">
        <v>3675</v>
      </c>
      <c r="C1318" s="606" t="s">
        <v>8</v>
      </c>
      <c r="D1318" s="605" t="s">
        <v>689</v>
      </c>
      <c r="E1318" s="606" t="s">
        <v>145</v>
      </c>
      <c r="F1318" s="606" t="s">
        <v>145</v>
      </c>
      <c r="G1318" s="606" t="s">
        <v>1554</v>
      </c>
      <c r="H1318" s="606" t="s">
        <v>1555</v>
      </c>
      <c r="I1318" s="606" t="s">
        <v>1981</v>
      </c>
      <c r="J1318" s="606" t="s">
        <v>1982</v>
      </c>
    </row>
    <row r="1319" spans="2:10" ht="21" customHeight="1">
      <c r="B1319" s="605" t="s">
        <v>3676</v>
      </c>
      <c r="C1319" s="606" t="s">
        <v>8</v>
      </c>
      <c r="D1319" s="605" t="s">
        <v>689</v>
      </c>
      <c r="E1319" s="606" t="s">
        <v>3677</v>
      </c>
      <c r="F1319" s="606" t="s">
        <v>3677</v>
      </c>
      <c r="G1319" s="606" t="s">
        <v>1554</v>
      </c>
      <c r="H1319" s="606" t="s">
        <v>1555</v>
      </c>
      <c r="I1319" s="606" t="s">
        <v>1981</v>
      </c>
      <c r="J1319" s="606" t="s">
        <v>1982</v>
      </c>
    </row>
    <row r="1320" spans="2:10" ht="21" customHeight="1">
      <c r="B1320" s="605" t="s">
        <v>3678</v>
      </c>
      <c r="C1320" s="606" t="s">
        <v>8</v>
      </c>
      <c r="D1320" s="605" t="s">
        <v>689</v>
      </c>
      <c r="E1320" s="606" t="s">
        <v>363</v>
      </c>
      <c r="F1320" s="606" t="s">
        <v>363</v>
      </c>
      <c r="G1320" s="606" t="s">
        <v>1151</v>
      </c>
      <c r="H1320" s="606" t="s">
        <v>1152</v>
      </c>
      <c r="I1320" s="606" t="s">
        <v>1087</v>
      </c>
      <c r="J1320" s="606" t="s">
        <v>1153</v>
      </c>
    </row>
    <row r="1321" spans="2:10" ht="21" customHeight="1">
      <c r="B1321" s="605" t="s">
        <v>3679</v>
      </c>
      <c r="C1321" s="606" t="s">
        <v>8</v>
      </c>
      <c r="D1321" s="605" t="s">
        <v>689</v>
      </c>
      <c r="E1321" s="606" t="s">
        <v>1061</v>
      </c>
      <c r="F1321" s="606" t="s">
        <v>1061</v>
      </c>
      <c r="G1321" s="606" t="s">
        <v>1554</v>
      </c>
      <c r="H1321" s="606" t="s">
        <v>1555</v>
      </c>
      <c r="I1321" s="606" t="s">
        <v>1981</v>
      </c>
      <c r="J1321" s="606" t="s">
        <v>1982</v>
      </c>
    </row>
    <row r="1322" spans="2:10" ht="21" customHeight="1">
      <c r="B1322" s="605" t="s">
        <v>3680</v>
      </c>
      <c r="C1322" s="606" t="s">
        <v>8</v>
      </c>
      <c r="D1322" s="605" t="s">
        <v>689</v>
      </c>
      <c r="E1322" s="606" t="s">
        <v>3681</v>
      </c>
      <c r="F1322" s="606" t="s">
        <v>3681</v>
      </c>
      <c r="G1322" s="606" t="s">
        <v>1554</v>
      </c>
      <c r="H1322" s="606" t="s">
        <v>1555</v>
      </c>
      <c r="I1322" s="606" t="s">
        <v>1981</v>
      </c>
      <c r="J1322" s="606" t="s">
        <v>1982</v>
      </c>
    </row>
    <row r="1323" spans="2:10" ht="21" customHeight="1">
      <c r="B1323" s="605" t="s">
        <v>3682</v>
      </c>
      <c r="C1323" s="606" t="s">
        <v>8</v>
      </c>
      <c r="D1323" s="605" t="s">
        <v>689</v>
      </c>
      <c r="E1323" s="606" t="s">
        <v>3683</v>
      </c>
      <c r="F1323" s="606" t="s">
        <v>3683</v>
      </c>
      <c r="G1323" s="606" t="s">
        <v>1554</v>
      </c>
      <c r="H1323" s="606" t="s">
        <v>1555</v>
      </c>
      <c r="I1323" s="606" t="s">
        <v>1981</v>
      </c>
      <c r="J1323" s="606" t="s">
        <v>1982</v>
      </c>
    </row>
    <row r="1324" spans="2:10" ht="21" customHeight="1">
      <c r="B1324" s="605" t="s">
        <v>3684</v>
      </c>
      <c r="C1324" s="606" t="s">
        <v>8</v>
      </c>
      <c r="D1324" s="605" t="s">
        <v>689</v>
      </c>
      <c r="E1324" s="606" t="s">
        <v>3685</v>
      </c>
      <c r="F1324" s="606" t="s">
        <v>3685</v>
      </c>
      <c r="G1324" s="606" t="s">
        <v>1554</v>
      </c>
      <c r="H1324" s="606" t="s">
        <v>1555</v>
      </c>
      <c r="I1324" s="606" t="s">
        <v>1981</v>
      </c>
      <c r="J1324" s="606" t="s">
        <v>1982</v>
      </c>
    </row>
    <row r="1325" spans="2:10" ht="21" customHeight="1">
      <c r="B1325" s="605" t="s">
        <v>3686</v>
      </c>
      <c r="C1325" s="606" t="s">
        <v>8</v>
      </c>
      <c r="D1325" s="605" t="s">
        <v>689</v>
      </c>
      <c r="E1325" s="606" t="s">
        <v>3687</v>
      </c>
      <c r="F1325" s="606" t="s">
        <v>3687</v>
      </c>
      <c r="G1325" s="606" t="s">
        <v>1554</v>
      </c>
      <c r="H1325" s="606" t="s">
        <v>1555</v>
      </c>
      <c r="I1325" s="606" t="s">
        <v>1981</v>
      </c>
      <c r="J1325" s="606" t="s">
        <v>1982</v>
      </c>
    </row>
    <row r="1326" spans="2:10" ht="21" customHeight="1">
      <c r="B1326" s="605" t="s">
        <v>3688</v>
      </c>
      <c r="C1326" s="606" t="s">
        <v>8</v>
      </c>
      <c r="D1326" s="605" t="s">
        <v>689</v>
      </c>
      <c r="E1326" s="606" t="s">
        <v>3689</v>
      </c>
      <c r="F1326" s="606" t="s">
        <v>3689</v>
      </c>
      <c r="G1326" s="606" t="s">
        <v>1554</v>
      </c>
      <c r="H1326" s="606" t="s">
        <v>1555</v>
      </c>
      <c r="I1326" s="606" t="s">
        <v>1981</v>
      </c>
      <c r="J1326" s="606" t="s">
        <v>1982</v>
      </c>
    </row>
    <row r="1327" spans="2:10" ht="21" customHeight="1">
      <c r="B1327" s="605" t="s">
        <v>3690</v>
      </c>
      <c r="C1327" s="606" t="s">
        <v>8</v>
      </c>
      <c r="D1327" s="605" t="s">
        <v>689</v>
      </c>
      <c r="E1327" s="606" t="s">
        <v>3691</v>
      </c>
      <c r="F1327" s="606" t="s">
        <v>3691</v>
      </c>
      <c r="G1327" s="606" t="s">
        <v>1554</v>
      </c>
      <c r="H1327" s="606" t="s">
        <v>1555</v>
      </c>
      <c r="I1327" s="606" t="s">
        <v>1981</v>
      </c>
      <c r="J1327" s="606" t="s">
        <v>1982</v>
      </c>
    </row>
    <row r="1328" spans="2:10" ht="21" customHeight="1">
      <c r="B1328" s="605" t="s">
        <v>3692</v>
      </c>
      <c r="C1328" s="606" t="s">
        <v>8</v>
      </c>
      <c r="D1328" s="605" t="s">
        <v>689</v>
      </c>
      <c r="E1328" s="606" t="s">
        <v>3693</v>
      </c>
      <c r="F1328" s="606" t="s">
        <v>3693</v>
      </c>
      <c r="G1328" s="606" t="s">
        <v>1554</v>
      </c>
      <c r="H1328" s="606" t="s">
        <v>1555</v>
      </c>
      <c r="I1328" s="606" t="s">
        <v>1981</v>
      </c>
      <c r="J1328" s="606" t="s">
        <v>1982</v>
      </c>
    </row>
    <row r="1329" spans="2:10" ht="21" customHeight="1">
      <c r="B1329" s="605" t="s">
        <v>3694</v>
      </c>
      <c r="C1329" s="606" t="s">
        <v>8</v>
      </c>
      <c r="D1329" s="605" t="s">
        <v>689</v>
      </c>
      <c r="E1329" s="606" t="s">
        <v>3695</v>
      </c>
      <c r="F1329" s="606" t="s">
        <v>3695</v>
      </c>
      <c r="G1329" s="606" t="s">
        <v>1554</v>
      </c>
      <c r="H1329" s="606" t="s">
        <v>1555</v>
      </c>
      <c r="I1329" s="606" t="s">
        <v>1981</v>
      </c>
      <c r="J1329" s="606" t="s">
        <v>1982</v>
      </c>
    </row>
    <row r="1330" spans="2:10" ht="21" customHeight="1">
      <c r="B1330" s="605" t="s">
        <v>3696</v>
      </c>
      <c r="C1330" s="606" t="s">
        <v>8</v>
      </c>
      <c r="D1330" s="605" t="s">
        <v>689</v>
      </c>
      <c r="E1330" s="606" t="s">
        <v>3697</v>
      </c>
      <c r="F1330" s="606" t="s">
        <v>3697</v>
      </c>
      <c r="G1330" s="606" t="s">
        <v>1554</v>
      </c>
      <c r="H1330" s="606" t="s">
        <v>1555</v>
      </c>
      <c r="I1330" s="606" t="s">
        <v>1981</v>
      </c>
      <c r="J1330" s="606" t="s">
        <v>1982</v>
      </c>
    </row>
    <row r="1331" spans="2:10" ht="21" customHeight="1">
      <c r="B1331" s="605" t="s">
        <v>3698</v>
      </c>
      <c r="C1331" s="606" t="s">
        <v>8</v>
      </c>
      <c r="D1331" s="605" t="s">
        <v>689</v>
      </c>
      <c r="E1331" s="606" t="s">
        <v>3699</v>
      </c>
      <c r="F1331" s="606" t="s">
        <v>3699</v>
      </c>
      <c r="G1331" s="606" t="s">
        <v>1554</v>
      </c>
      <c r="H1331" s="606" t="s">
        <v>1555</v>
      </c>
      <c r="I1331" s="606" t="s">
        <v>1981</v>
      </c>
      <c r="J1331" s="606" t="s">
        <v>1982</v>
      </c>
    </row>
    <row r="1332" spans="2:10" ht="21" customHeight="1">
      <c r="B1332" s="605" t="s">
        <v>3700</v>
      </c>
      <c r="C1332" s="606" t="s">
        <v>8</v>
      </c>
      <c r="D1332" s="605" t="s">
        <v>689</v>
      </c>
      <c r="E1332" s="606" t="s">
        <v>3701</v>
      </c>
      <c r="F1332" s="606" t="s">
        <v>3701</v>
      </c>
      <c r="G1332" s="606" t="s">
        <v>1554</v>
      </c>
      <c r="H1332" s="606" t="s">
        <v>1555</v>
      </c>
      <c r="I1332" s="606" t="s">
        <v>1981</v>
      </c>
      <c r="J1332" s="606" t="s">
        <v>1982</v>
      </c>
    </row>
    <row r="1333" spans="2:10" ht="21" customHeight="1">
      <c r="B1333" s="605" t="s">
        <v>3702</v>
      </c>
      <c r="C1333" s="606" t="s">
        <v>8</v>
      </c>
      <c r="D1333" s="605" t="s">
        <v>689</v>
      </c>
      <c r="E1333" s="606" t="s">
        <v>3703</v>
      </c>
      <c r="F1333" s="606" t="s">
        <v>3703</v>
      </c>
      <c r="G1333" s="606" t="s">
        <v>1554</v>
      </c>
      <c r="H1333" s="606" t="s">
        <v>1555</v>
      </c>
      <c r="I1333" s="606" t="s">
        <v>1981</v>
      </c>
      <c r="J1333" s="606" t="s">
        <v>1982</v>
      </c>
    </row>
    <row r="1334" spans="2:10" ht="21" customHeight="1">
      <c r="B1334" s="605" t="s">
        <v>3704</v>
      </c>
      <c r="C1334" s="606" t="s">
        <v>8</v>
      </c>
      <c r="D1334" s="605" t="s">
        <v>689</v>
      </c>
      <c r="E1334" s="606" t="s">
        <v>3705</v>
      </c>
      <c r="F1334" s="606" t="s">
        <v>3705</v>
      </c>
      <c r="G1334" s="606" t="s">
        <v>1554</v>
      </c>
      <c r="H1334" s="606" t="s">
        <v>1555</v>
      </c>
      <c r="I1334" s="606" t="s">
        <v>1981</v>
      </c>
      <c r="J1334" s="606" t="s">
        <v>1982</v>
      </c>
    </row>
    <row r="1335" spans="2:10" ht="21" customHeight="1">
      <c r="B1335" s="605" t="s">
        <v>3706</v>
      </c>
      <c r="C1335" s="606" t="s">
        <v>8</v>
      </c>
      <c r="D1335" s="605" t="s">
        <v>689</v>
      </c>
      <c r="E1335" s="606" t="s">
        <v>3707</v>
      </c>
      <c r="F1335" s="606" t="s">
        <v>3707</v>
      </c>
      <c r="G1335" s="606" t="s">
        <v>1554</v>
      </c>
      <c r="H1335" s="606" t="s">
        <v>1555</v>
      </c>
      <c r="I1335" s="606" t="s">
        <v>1981</v>
      </c>
      <c r="J1335" s="606" t="s">
        <v>1982</v>
      </c>
    </row>
    <row r="1336" spans="2:10" ht="21" customHeight="1">
      <c r="B1336" s="605" t="s">
        <v>3708</v>
      </c>
      <c r="C1336" s="606" t="s">
        <v>8</v>
      </c>
      <c r="D1336" s="605" t="s">
        <v>689</v>
      </c>
      <c r="E1336" s="606" t="s">
        <v>3709</v>
      </c>
      <c r="F1336" s="606" t="s">
        <v>3709</v>
      </c>
      <c r="G1336" s="606" t="s">
        <v>1554</v>
      </c>
      <c r="H1336" s="606" t="s">
        <v>1555</v>
      </c>
      <c r="I1336" s="606" t="s">
        <v>1981</v>
      </c>
      <c r="J1336" s="606" t="s">
        <v>1982</v>
      </c>
    </row>
    <row r="1337" spans="2:10" ht="21" customHeight="1">
      <c r="B1337" s="605" t="s">
        <v>3710</v>
      </c>
      <c r="C1337" s="606" t="s">
        <v>8</v>
      </c>
      <c r="D1337" s="605" t="s">
        <v>689</v>
      </c>
      <c r="E1337" s="606" t="s">
        <v>3711</v>
      </c>
      <c r="F1337" s="606" t="s">
        <v>3711</v>
      </c>
      <c r="G1337" s="606" t="s">
        <v>1554</v>
      </c>
      <c r="H1337" s="606" t="s">
        <v>1555</v>
      </c>
      <c r="I1337" s="606" t="s">
        <v>1981</v>
      </c>
      <c r="J1337" s="606" t="s">
        <v>1982</v>
      </c>
    </row>
    <row r="1338" spans="2:10" ht="21" customHeight="1">
      <c r="B1338" s="605" t="s">
        <v>3712</v>
      </c>
      <c r="C1338" s="606" t="s">
        <v>8</v>
      </c>
      <c r="D1338" s="605" t="s">
        <v>689</v>
      </c>
      <c r="E1338" s="606" t="s">
        <v>3713</v>
      </c>
      <c r="F1338" s="606" t="s">
        <v>3713</v>
      </c>
      <c r="G1338" s="606" t="s">
        <v>1554</v>
      </c>
      <c r="H1338" s="606" t="s">
        <v>1555</v>
      </c>
      <c r="I1338" s="606" t="s">
        <v>1981</v>
      </c>
      <c r="J1338" s="606" t="s">
        <v>1982</v>
      </c>
    </row>
    <row r="1339" spans="2:10" ht="21" customHeight="1">
      <c r="B1339" s="605" t="s">
        <v>3714</v>
      </c>
      <c r="C1339" s="606" t="s">
        <v>8</v>
      </c>
      <c r="D1339" s="605" t="s">
        <v>689</v>
      </c>
      <c r="E1339" s="606" t="s">
        <v>3715</v>
      </c>
      <c r="F1339" s="606" t="s">
        <v>3715</v>
      </c>
      <c r="G1339" s="606" t="s">
        <v>1554</v>
      </c>
      <c r="H1339" s="606" t="s">
        <v>1555</v>
      </c>
      <c r="I1339" s="606" t="s">
        <v>1981</v>
      </c>
      <c r="J1339" s="606" t="s">
        <v>1982</v>
      </c>
    </row>
    <row r="1340" spans="2:10" ht="21" customHeight="1">
      <c r="B1340" s="605" t="s">
        <v>3716</v>
      </c>
      <c r="C1340" s="606" t="s">
        <v>8</v>
      </c>
      <c r="D1340" s="605" t="s">
        <v>689</v>
      </c>
      <c r="E1340" s="606" t="s">
        <v>3717</v>
      </c>
      <c r="F1340" s="606" t="s">
        <v>3717</v>
      </c>
      <c r="G1340" s="606" t="s">
        <v>1554</v>
      </c>
      <c r="H1340" s="606" t="s">
        <v>1555</v>
      </c>
      <c r="I1340" s="606" t="s">
        <v>1981</v>
      </c>
      <c r="J1340" s="606" t="s">
        <v>1982</v>
      </c>
    </row>
    <row r="1341" spans="2:10" ht="21" customHeight="1">
      <c r="B1341" s="605" t="s">
        <v>3718</v>
      </c>
      <c r="C1341" s="606" t="s">
        <v>8</v>
      </c>
      <c r="D1341" s="605" t="s">
        <v>689</v>
      </c>
      <c r="E1341" s="606" t="s">
        <v>3719</v>
      </c>
      <c r="F1341" s="606" t="s">
        <v>3719</v>
      </c>
      <c r="G1341" s="606" t="s">
        <v>1554</v>
      </c>
      <c r="H1341" s="606" t="s">
        <v>1555</v>
      </c>
      <c r="I1341" s="606" t="s">
        <v>1981</v>
      </c>
      <c r="J1341" s="606" t="s">
        <v>1982</v>
      </c>
    </row>
    <row r="1342" spans="2:10" ht="21" customHeight="1">
      <c r="B1342" s="605" t="s">
        <v>3720</v>
      </c>
      <c r="C1342" s="606" t="s">
        <v>8</v>
      </c>
      <c r="D1342" s="605" t="s">
        <v>689</v>
      </c>
      <c r="E1342" s="606" t="s">
        <v>3721</v>
      </c>
      <c r="F1342" s="606" t="s">
        <v>3721</v>
      </c>
      <c r="G1342" s="606" t="s">
        <v>1554</v>
      </c>
      <c r="H1342" s="606" t="s">
        <v>1555</v>
      </c>
      <c r="I1342" s="606" t="s">
        <v>1981</v>
      </c>
      <c r="J1342" s="606" t="s">
        <v>1982</v>
      </c>
    </row>
    <row r="1343" spans="2:10" ht="21" customHeight="1">
      <c r="B1343" s="605" t="s">
        <v>3722</v>
      </c>
      <c r="C1343" s="606" t="s">
        <v>8</v>
      </c>
      <c r="D1343" s="605" t="s">
        <v>689</v>
      </c>
      <c r="E1343" s="606" t="s">
        <v>3723</v>
      </c>
      <c r="F1343" s="606" t="s">
        <v>3723</v>
      </c>
      <c r="G1343" s="606" t="s">
        <v>1554</v>
      </c>
      <c r="H1343" s="606" t="s">
        <v>1555</v>
      </c>
      <c r="I1343" s="606" t="s">
        <v>1981</v>
      </c>
      <c r="J1343" s="606" t="s">
        <v>1982</v>
      </c>
    </row>
    <row r="1344" spans="2:10" ht="21" customHeight="1">
      <c r="B1344" s="605" t="s">
        <v>3724</v>
      </c>
      <c r="C1344" s="606" t="s">
        <v>8</v>
      </c>
      <c r="D1344" s="605" t="s">
        <v>689</v>
      </c>
      <c r="E1344" s="606" t="s">
        <v>3725</v>
      </c>
      <c r="F1344" s="606" t="s">
        <v>3725</v>
      </c>
      <c r="G1344" s="606" t="s">
        <v>1554</v>
      </c>
      <c r="H1344" s="606" t="s">
        <v>1555</v>
      </c>
      <c r="I1344" s="606" t="s">
        <v>1981</v>
      </c>
      <c r="J1344" s="606" t="s">
        <v>1982</v>
      </c>
    </row>
    <row r="1345" spans="2:10" ht="21" customHeight="1">
      <c r="B1345" s="605" t="s">
        <v>3726</v>
      </c>
      <c r="C1345" s="606" t="s">
        <v>8</v>
      </c>
      <c r="D1345" s="605" t="s">
        <v>689</v>
      </c>
      <c r="E1345" s="606" t="s">
        <v>3727</v>
      </c>
      <c r="F1345" s="606" t="s">
        <v>3727</v>
      </c>
      <c r="G1345" s="606" t="s">
        <v>1554</v>
      </c>
      <c r="H1345" s="606" t="s">
        <v>1555</v>
      </c>
      <c r="I1345" s="606" t="s">
        <v>1981</v>
      </c>
      <c r="J1345" s="606" t="s">
        <v>1982</v>
      </c>
    </row>
    <row r="1346" spans="2:10" ht="21" customHeight="1">
      <c r="B1346" s="605" t="s">
        <v>3728</v>
      </c>
      <c r="C1346" s="606" t="s">
        <v>8</v>
      </c>
      <c r="D1346" s="605" t="s">
        <v>689</v>
      </c>
      <c r="E1346" s="606" t="s">
        <v>3729</v>
      </c>
      <c r="F1346" s="606" t="s">
        <v>3729</v>
      </c>
      <c r="G1346" s="606" t="s">
        <v>1554</v>
      </c>
      <c r="H1346" s="606" t="s">
        <v>1555</v>
      </c>
      <c r="I1346" s="606" t="s">
        <v>1981</v>
      </c>
      <c r="J1346" s="606" t="s">
        <v>1982</v>
      </c>
    </row>
    <row r="1347" spans="2:10" ht="21" customHeight="1">
      <c r="B1347" s="605" t="s">
        <v>3730</v>
      </c>
      <c r="C1347" s="606" t="s">
        <v>8</v>
      </c>
      <c r="D1347" s="605" t="s">
        <v>689</v>
      </c>
      <c r="E1347" s="606" t="s">
        <v>3731</v>
      </c>
      <c r="F1347" s="606" t="s">
        <v>3731</v>
      </c>
      <c r="G1347" s="606" t="s">
        <v>1554</v>
      </c>
      <c r="H1347" s="606" t="s">
        <v>1555</v>
      </c>
      <c r="I1347" s="606" t="s">
        <v>1981</v>
      </c>
      <c r="J1347" s="606" t="s">
        <v>1982</v>
      </c>
    </row>
    <row r="1348" spans="2:10" ht="21" customHeight="1">
      <c r="B1348" s="605" t="s">
        <v>3732</v>
      </c>
      <c r="C1348" s="606" t="s">
        <v>8</v>
      </c>
      <c r="D1348" s="605" t="s">
        <v>689</v>
      </c>
      <c r="E1348" s="606" t="s">
        <v>3733</v>
      </c>
      <c r="F1348" s="606" t="s">
        <v>3733</v>
      </c>
      <c r="G1348" s="606" t="s">
        <v>1554</v>
      </c>
      <c r="H1348" s="606" t="s">
        <v>1555</v>
      </c>
      <c r="I1348" s="606" t="s">
        <v>1981</v>
      </c>
      <c r="J1348" s="606" t="s">
        <v>1982</v>
      </c>
    </row>
    <row r="1349" spans="2:10" ht="21" customHeight="1">
      <c r="B1349" s="605" t="s">
        <v>3734</v>
      </c>
      <c r="C1349" s="606" t="s">
        <v>8</v>
      </c>
      <c r="D1349" s="605" t="s">
        <v>689</v>
      </c>
      <c r="E1349" s="606" t="s">
        <v>3735</v>
      </c>
      <c r="F1349" s="606" t="s">
        <v>3735</v>
      </c>
      <c r="G1349" s="606" t="s">
        <v>1554</v>
      </c>
      <c r="H1349" s="606" t="s">
        <v>1555</v>
      </c>
      <c r="I1349" s="606" t="s">
        <v>1981</v>
      </c>
      <c r="J1349" s="606" t="s">
        <v>1982</v>
      </c>
    </row>
    <row r="1350" spans="2:10" ht="21" customHeight="1">
      <c r="B1350" s="605" t="s">
        <v>3736</v>
      </c>
      <c r="C1350" s="606" t="s">
        <v>8</v>
      </c>
      <c r="D1350" s="605" t="s">
        <v>689</v>
      </c>
      <c r="E1350" s="606" t="s">
        <v>3737</v>
      </c>
      <c r="F1350" s="606" t="s">
        <v>3737</v>
      </c>
      <c r="G1350" s="606" t="s">
        <v>1554</v>
      </c>
      <c r="H1350" s="606" t="s">
        <v>1555</v>
      </c>
      <c r="I1350" s="606" t="s">
        <v>1981</v>
      </c>
      <c r="J1350" s="606" t="s">
        <v>1982</v>
      </c>
    </row>
    <row r="1351" spans="2:10" ht="21" customHeight="1">
      <c r="B1351" s="605" t="s">
        <v>3738</v>
      </c>
      <c r="C1351" s="606" t="s">
        <v>8</v>
      </c>
      <c r="D1351" s="605" t="s">
        <v>689</v>
      </c>
      <c r="E1351" s="606" t="s">
        <v>3739</v>
      </c>
      <c r="F1351" s="606" t="s">
        <v>3739</v>
      </c>
      <c r="G1351" s="606" t="s">
        <v>1554</v>
      </c>
      <c r="H1351" s="606" t="s">
        <v>1555</v>
      </c>
      <c r="I1351" s="606" t="s">
        <v>1981</v>
      </c>
      <c r="J1351" s="606" t="s">
        <v>1982</v>
      </c>
    </row>
    <row r="1352" spans="2:10" ht="21" customHeight="1">
      <c r="B1352" s="605" t="s">
        <v>3740</v>
      </c>
      <c r="C1352" s="606" t="s">
        <v>8</v>
      </c>
      <c r="D1352" s="605" t="s">
        <v>689</v>
      </c>
      <c r="E1352" s="606" t="s">
        <v>3741</v>
      </c>
      <c r="F1352" s="606" t="s">
        <v>3741</v>
      </c>
      <c r="G1352" s="606" t="s">
        <v>1554</v>
      </c>
      <c r="H1352" s="606" t="s">
        <v>1555</v>
      </c>
      <c r="I1352" s="606" t="s">
        <v>1981</v>
      </c>
      <c r="J1352" s="606" t="s">
        <v>1982</v>
      </c>
    </row>
    <row r="1353" spans="2:10" ht="21" customHeight="1">
      <c r="B1353" s="605" t="s">
        <v>3742</v>
      </c>
      <c r="C1353" s="606" t="s">
        <v>8</v>
      </c>
      <c r="D1353" s="605" t="s">
        <v>689</v>
      </c>
      <c r="E1353" s="606" t="s">
        <v>3743</v>
      </c>
      <c r="F1353" s="606" t="s">
        <v>3743</v>
      </c>
      <c r="G1353" s="606" t="s">
        <v>1554</v>
      </c>
      <c r="H1353" s="606" t="s">
        <v>1555</v>
      </c>
      <c r="I1353" s="606" t="s">
        <v>1981</v>
      </c>
      <c r="J1353" s="606" t="s">
        <v>1982</v>
      </c>
    </row>
    <row r="1354" spans="2:10" ht="21" customHeight="1">
      <c r="B1354" s="605" t="s">
        <v>3744</v>
      </c>
      <c r="C1354" s="606" t="s">
        <v>8</v>
      </c>
      <c r="D1354" s="605" t="s">
        <v>689</v>
      </c>
      <c r="E1354" s="606" t="s">
        <v>3745</v>
      </c>
      <c r="F1354" s="606" t="s">
        <v>3745</v>
      </c>
      <c r="G1354" s="606" t="s">
        <v>1554</v>
      </c>
      <c r="H1354" s="606" t="s">
        <v>1555</v>
      </c>
      <c r="I1354" s="606" t="s">
        <v>1981</v>
      </c>
      <c r="J1354" s="606" t="s">
        <v>1982</v>
      </c>
    </row>
    <row r="1355" spans="2:10" ht="21" customHeight="1">
      <c r="B1355" s="605" t="s">
        <v>3746</v>
      </c>
      <c r="C1355" s="606" t="s">
        <v>8</v>
      </c>
      <c r="D1355" s="605" t="s">
        <v>689</v>
      </c>
      <c r="E1355" s="606" t="s">
        <v>3747</v>
      </c>
      <c r="F1355" s="606" t="s">
        <v>3747</v>
      </c>
      <c r="G1355" s="606" t="s">
        <v>1554</v>
      </c>
      <c r="H1355" s="606" t="s">
        <v>1555</v>
      </c>
      <c r="I1355" s="606" t="s">
        <v>1981</v>
      </c>
      <c r="J1355" s="606" t="s">
        <v>1982</v>
      </c>
    </row>
    <row r="1356" spans="2:10" ht="21" customHeight="1">
      <c r="B1356" s="605" t="s">
        <v>3748</v>
      </c>
      <c r="C1356" s="606" t="s">
        <v>8</v>
      </c>
      <c r="D1356" s="605" t="s">
        <v>689</v>
      </c>
      <c r="E1356" s="606" t="s">
        <v>3749</v>
      </c>
      <c r="F1356" s="606" t="s">
        <v>3749</v>
      </c>
      <c r="G1356" s="606" t="s">
        <v>1554</v>
      </c>
      <c r="H1356" s="606" t="s">
        <v>1555</v>
      </c>
      <c r="I1356" s="606" t="s">
        <v>1981</v>
      </c>
      <c r="J1356" s="606" t="s">
        <v>1982</v>
      </c>
    </row>
    <row r="1357" spans="2:10" ht="21" customHeight="1">
      <c r="B1357" s="605" t="s">
        <v>3750</v>
      </c>
      <c r="C1357" s="606" t="s">
        <v>8</v>
      </c>
      <c r="D1357" s="605" t="s">
        <v>689</v>
      </c>
      <c r="E1357" s="606" t="s">
        <v>3751</v>
      </c>
      <c r="F1357" s="606" t="s">
        <v>3751</v>
      </c>
      <c r="G1357" s="606" t="s">
        <v>1554</v>
      </c>
      <c r="H1357" s="606" t="s">
        <v>1555</v>
      </c>
      <c r="I1357" s="606" t="s">
        <v>1981</v>
      </c>
      <c r="J1357" s="606" t="s">
        <v>1982</v>
      </c>
    </row>
    <row r="1358" spans="2:10" ht="21" customHeight="1">
      <c r="B1358" s="605" t="s">
        <v>3752</v>
      </c>
      <c r="C1358" s="606" t="s">
        <v>8</v>
      </c>
      <c r="D1358" s="605" t="s">
        <v>689</v>
      </c>
      <c r="E1358" s="606" t="s">
        <v>3753</v>
      </c>
      <c r="F1358" s="606" t="s">
        <v>3753</v>
      </c>
      <c r="G1358" s="606" t="s">
        <v>1554</v>
      </c>
      <c r="H1358" s="606" t="s">
        <v>1555</v>
      </c>
      <c r="I1358" s="606" t="s">
        <v>1981</v>
      </c>
      <c r="J1358" s="606" t="s">
        <v>1982</v>
      </c>
    </row>
    <row r="1359" spans="2:10" ht="21" customHeight="1">
      <c r="B1359" s="605" t="s">
        <v>3754</v>
      </c>
      <c r="C1359" s="606" t="s">
        <v>8</v>
      </c>
      <c r="D1359" s="605" t="s">
        <v>689</v>
      </c>
      <c r="E1359" s="606" t="s">
        <v>3755</v>
      </c>
      <c r="F1359" s="606" t="s">
        <v>3755</v>
      </c>
      <c r="G1359" s="606" t="s">
        <v>1554</v>
      </c>
      <c r="H1359" s="606" t="s">
        <v>1555</v>
      </c>
      <c r="I1359" s="606" t="s">
        <v>1981</v>
      </c>
      <c r="J1359" s="606" t="s">
        <v>1982</v>
      </c>
    </row>
    <row r="1360" spans="2:10" ht="21" customHeight="1">
      <c r="B1360" s="605" t="s">
        <v>3756</v>
      </c>
      <c r="C1360" s="606" t="s">
        <v>8</v>
      </c>
      <c r="D1360" s="605" t="s">
        <v>689</v>
      </c>
      <c r="E1360" s="606" t="s">
        <v>3757</v>
      </c>
      <c r="F1360" s="606" t="s">
        <v>3757</v>
      </c>
      <c r="G1360" s="606" t="s">
        <v>1554</v>
      </c>
      <c r="H1360" s="606" t="s">
        <v>1555</v>
      </c>
      <c r="I1360" s="606" t="s">
        <v>1981</v>
      </c>
      <c r="J1360" s="606" t="s">
        <v>1982</v>
      </c>
    </row>
    <row r="1361" spans="2:10" ht="21" customHeight="1">
      <c r="B1361" s="605" t="s">
        <v>3758</v>
      </c>
      <c r="C1361" s="606" t="s">
        <v>8</v>
      </c>
      <c r="D1361" s="605" t="s">
        <v>689</v>
      </c>
      <c r="E1361" s="606" t="s">
        <v>3759</v>
      </c>
      <c r="F1361" s="606" t="s">
        <v>3759</v>
      </c>
      <c r="G1361" s="606" t="s">
        <v>1554</v>
      </c>
      <c r="H1361" s="606" t="s">
        <v>1555</v>
      </c>
      <c r="I1361" s="606" t="s">
        <v>1981</v>
      </c>
      <c r="J1361" s="606" t="s">
        <v>1982</v>
      </c>
    </row>
    <row r="1362" spans="2:10" ht="21" customHeight="1">
      <c r="B1362" s="605" t="s">
        <v>3760</v>
      </c>
      <c r="C1362" s="606" t="s">
        <v>8</v>
      </c>
      <c r="D1362" s="605" t="s">
        <v>689</v>
      </c>
      <c r="E1362" s="606" t="s">
        <v>3761</v>
      </c>
      <c r="F1362" s="606" t="s">
        <v>3761</v>
      </c>
      <c r="G1362" s="606" t="s">
        <v>1554</v>
      </c>
      <c r="H1362" s="606" t="s">
        <v>1555</v>
      </c>
      <c r="I1362" s="606" t="s">
        <v>1981</v>
      </c>
      <c r="J1362" s="606" t="s">
        <v>1982</v>
      </c>
    </row>
    <row r="1363" spans="2:10" ht="21" customHeight="1">
      <c r="B1363" s="605" t="s">
        <v>3762</v>
      </c>
      <c r="C1363" s="606" t="s">
        <v>8</v>
      </c>
      <c r="D1363" s="605" t="s">
        <v>689</v>
      </c>
      <c r="E1363" s="606" t="s">
        <v>3763</v>
      </c>
      <c r="F1363" s="606" t="s">
        <v>3763</v>
      </c>
      <c r="G1363" s="606" t="s">
        <v>1554</v>
      </c>
      <c r="H1363" s="606" t="s">
        <v>1555</v>
      </c>
      <c r="I1363" s="606" t="s">
        <v>1981</v>
      </c>
      <c r="J1363" s="606" t="s">
        <v>1982</v>
      </c>
    </row>
    <row r="1364" spans="2:10" ht="21" customHeight="1">
      <c r="B1364" s="605" t="s">
        <v>3764</v>
      </c>
      <c r="C1364" s="606" t="s">
        <v>8</v>
      </c>
      <c r="D1364" s="605" t="s">
        <v>689</v>
      </c>
      <c r="E1364" s="606" t="s">
        <v>3765</v>
      </c>
      <c r="F1364" s="606" t="s">
        <v>3765</v>
      </c>
      <c r="G1364" s="606" t="s">
        <v>1554</v>
      </c>
      <c r="H1364" s="606" t="s">
        <v>1555</v>
      </c>
      <c r="I1364" s="606" t="s">
        <v>1981</v>
      </c>
      <c r="J1364" s="606" t="s">
        <v>1982</v>
      </c>
    </row>
    <row r="1365" spans="2:10" ht="21" customHeight="1">
      <c r="B1365" s="605" t="s">
        <v>3766</v>
      </c>
      <c r="C1365" s="606" t="s">
        <v>8</v>
      </c>
      <c r="D1365" s="605" t="s">
        <v>689</v>
      </c>
      <c r="E1365" s="606" t="s">
        <v>3767</v>
      </c>
      <c r="F1365" s="606" t="s">
        <v>3767</v>
      </c>
      <c r="G1365" s="606" t="s">
        <v>1554</v>
      </c>
      <c r="H1365" s="606" t="s">
        <v>1555</v>
      </c>
      <c r="I1365" s="606" t="s">
        <v>1981</v>
      </c>
      <c r="J1365" s="606" t="s">
        <v>1982</v>
      </c>
    </row>
    <row r="1366" spans="2:10" ht="21" customHeight="1">
      <c r="B1366" s="605" t="s">
        <v>3768</v>
      </c>
      <c r="C1366" s="606" t="s">
        <v>8</v>
      </c>
      <c r="D1366" s="605" t="s">
        <v>689</v>
      </c>
      <c r="E1366" s="606" t="s">
        <v>1062</v>
      </c>
      <c r="F1366" s="606" t="s">
        <v>1062</v>
      </c>
      <c r="G1366" s="606" t="s">
        <v>1554</v>
      </c>
      <c r="H1366" s="606" t="s">
        <v>1555</v>
      </c>
      <c r="I1366" s="606" t="s">
        <v>1981</v>
      </c>
      <c r="J1366" s="606" t="s">
        <v>1982</v>
      </c>
    </row>
    <row r="1367" spans="2:10" ht="21" customHeight="1">
      <c r="B1367" s="605" t="s">
        <v>3769</v>
      </c>
      <c r="C1367" s="606" t="s">
        <v>8</v>
      </c>
      <c r="D1367" s="605" t="s">
        <v>689</v>
      </c>
      <c r="E1367" s="606" t="s">
        <v>3770</v>
      </c>
      <c r="F1367" s="606" t="s">
        <v>3770</v>
      </c>
      <c r="G1367" s="606" t="s">
        <v>1554</v>
      </c>
      <c r="H1367" s="606" t="s">
        <v>1555</v>
      </c>
      <c r="I1367" s="606" t="s">
        <v>1981</v>
      </c>
      <c r="J1367" s="606" t="s">
        <v>1982</v>
      </c>
    </row>
    <row r="1368" spans="2:10" ht="21" customHeight="1">
      <c r="B1368" s="605" t="s">
        <v>3771</v>
      </c>
      <c r="C1368" s="606" t="s">
        <v>8</v>
      </c>
      <c r="D1368" s="605" t="s">
        <v>689</v>
      </c>
      <c r="E1368" s="606" t="s">
        <v>3772</v>
      </c>
      <c r="F1368" s="606" t="s">
        <v>3772</v>
      </c>
      <c r="G1368" s="606" t="s">
        <v>1554</v>
      </c>
      <c r="H1368" s="606" t="s">
        <v>1555</v>
      </c>
      <c r="I1368" s="606" t="s">
        <v>1981</v>
      </c>
      <c r="J1368" s="606" t="s">
        <v>1982</v>
      </c>
    </row>
    <row r="1369" spans="2:10" ht="21" customHeight="1">
      <c r="B1369" s="605" t="s">
        <v>3773</v>
      </c>
      <c r="C1369" s="606" t="s">
        <v>8</v>
      </c>
      <c r="D1369" s="605" t="s">
        <v>690</v>
      </c>
      <c r="E1369" s="606" t="s">
        <v>3774</v>
      </c>
      <c r="F1369" s="606" t="s">
        <v>3775</v>
      </c>
      <c r="G1369" s="606" t="s">
        <v>1151</v>
      </c>
      <c r="H1369" s="606" t="s">
        <v>1446</v>
      </c>
      <c r="I1369" s="606" t="s">
        <v>1087</v>
      </c>
      <c r="J1369" s="606" t="s">
        <v>1153</v>
      </c>
    </row>
    <row r="1370" spans="2:10" ht="21" customHeight="1">
      <c r="B1370" s="605" t="s">
        <v>3776</v>
      </c>
      <c r="C1370" s="606" t="s">
        <v>8</v>
      </c>
      <c r="D1370" s="605" t="s">
        <v>690</v>
      </c>
      <c r="E1370" s="606" t="s">
        <v>3777</v>
      </c>
      <c r="F1370" s="606" t="s">
        <v>3778</v>
      </c>
      <c r="G1370" s="606" t="s">
        <v>1151</v>
      </c>
      <c r="H1370" s="606" t="s">
        <v>1446</v>
      </c>
      <c r="I1370" s="606" t="s">
        <v>1087</v>
      </c>
      <c r="J1370" s="606" t="s">
        <v>1153</v>
      </c>
    </row>
    <row r="1371" spans="2:10" ht="21" customHeight="1">
      <c r="B1371" s="605" t="s">
        <v>3779</v>
      </c>
      <c r="C1371" s="606" t="s">
        <v>8</v>
      </c>
      <c r="D1371" s="605" t="s">
        <v>690</v>
      </c>
      <c r="E1371" s="606" t="s">
        <v>3780</v>
      </c>
      <c r="F1371" s="606" t="s">
        <v>3781</v>
      </c>
      <c r="G1371" s="606" t="s">
        <v>1151</v>
      </c>
      <c r="H1371" s="606" t="s">
        <v>1446</v>
      </c>
      <c r="I1371" s="606" t="s">
        <v>1087</v>
      </c>
      <c r="J1371" s="606" t="s">
        <v>1153</v>
      </c>
    </row>
    <row r="1372" spans="2:10" ht="21" customHeight="1">
      <c r="B1372" s="605" t="s">
        <v>3782</v>
      </c>
      <c r="C1372" s="606" t="s">
        <v>8</v>
      </c>
      <c r="D1372" s="605" t="s">
        <v>690</v>
      </c>
      <c r="E1372" s="606" t="s">
        <v>3783</v>
      </c>
      <c r="F1372" s="606" t="s">
        <v>3784</v>
      </c>
      <c r="G1372" s="606" t="s">
        <v>1151</v>
      </c>
      <c r="H1372" s="606" t="s">
        <v>1446</v>
      </c>
      <c r="I1372" s="606" t="s">
        <v>1087</v>
      </c>
      <c r="J1372" s="606" t="s">
        <v>1153</v>
      </c>
    </row>
    <row r="1373" spans="2:10" ht="21" customHeight="1">
      <c r="B1373" s="605" t="s">
        <v>3785</v>
      </c>
      <c r="C1373" s="606" t="s">
        <v>8</v>
      </c>
      <c r="D1373" s="605" t="s">
        <v>690</v>
      </c>
      <c r="E1373" s="606" t="s">
        <v>3786</v>
      </c>
      <c r="F1373" s="606" t="s">
        <v>3787</v>
      </c>
      <c r="G1373" s="606" t="s">
        <v>1151</v>
      </c>
      <c r="H1373" s="606" t="s">
        <v>1446</v>
      </c>
      <c r="I1373" s="606" t="s">
        <v>1087</v>
      </c>
      <c r="J1373" s="606" t="s">
        <v>1153</v>
      </c>
    </row>
    <row r="1374" spans="2:10" ht="21" customHeight="1">
      <c r="B1374" s="605" t="s">
        <v>3788</v>
      </c>
      <c r="C1374" s="606" t="s">
        <v>8</v>
      </c>
      <c r="D1374" s="605" t="s">
        <v>690</v>
      </c>
      <c r="E1374" s="606" t="s">
        <v>3789</v>
      </c>
      <c r="F1374" s="606" t="s">
        <v>3789</v>
      </c>
      <c r="G1374" s="606" t="s">
        <v>1151</v>
      </c>
      <c r="H1374" s="606" t="s">
        <v>1446</v>
      </c>
      <c r="I1374" s="606" t="s">
        <v>1087</v>
      </c>
      <c r="J1374" s="606" t="s">
        <v>1153</v>
      </c>
    </row>
    <row r="1375" spans="2:10" ht="21" customHeight="1">
      <c r="B1375" s="605" t="s">
        <v>3790</v>
      </c>
      <c r="C1375" s="606" t="s">
        <v>8</v>
      </c>
      <c r="D1375" s="605" t="s">
        <v>690</v>
      </c>
      <c r="E1375" s="606" t="s">
        <v>3791</v>
      </c>
      <c r="F1375" s="606" t="s">
        <v>3791</v>
      </c>
      <c r="G1375" s="606" t="s">
        <v>1151</v>
      </c>
      <c r="H1375" s="606" t="s">
        <v>1446</v>
      </c>
      <c r="I1375" s="606" t="s">
        <v>1087</v>
      </c>
      <c r="J1375" s="606" t="s">
        <v>1153</v>
      </c>
    </row>
    <row r="1376" spans="2:10" ht="21" customHeight="1">
      <c r="B1376" s="605" t="s">
        <v>3792</v>
      </c>
      <c r="C1376" s="606" t="s">
        <v>8</v>
      </c>
      <c r="D1376" s="605" t="s">
        <v>690</v>
      </c>
      <c r="E1376" s="606" t="s">
        <v>3793</v>
      </c>
      <c r="F1376" s="606" t="s">
        <v>3793</v>
      </c>
      <c r="G1376" s="606" t="s">
        <v>1151</v>
      </c>
      <c r="H1376" s="606" t="s">
        <v>1446</v>
      </c>
      <c r="I1376" s="606" t="s">
        <v>1087</v>
      </c>
      <c r="J1376" s="606" t="s">
        <v>1153</v>
      </c>
    </row>
    <row r="1377" spans="2:10" ht="21" customHeight="1">
      <c r="B1377" s="605" t="s">
        <v>3794</v>
      </c>
      <c r="C1377" s="606" t="s">
        <v>8</v>
      </c>
      <c r="D1377" s="605" t="s">
        <v>690</v>
      </c>
      <c r="E1377" s="606" t="s">
        <v>3795</v>
      </c>
      <c r="F1377" s="606" t="s">
        <v>3795</v>
      </c>
      <c r="G1377" s="606" t="s">
        <v>1151</v>
      </c>
      <c r="H1377" s="606" t="s">
        <v>1446</v>
      </c>
      <c r="I1377" s="606" t="s">
        <v>1087</v>
      </c>
      <c r="J1377" s="606" t="s">
        <v>1153</v>
      </c>
    </row>
    <row r="1378" spans="2:10" ht="21" customHeight="1">
      <c r="B1378" s="605" t="s">
        <v>3796</v>
      </c>
      <c r="C1378" s="606" t="s">
        <v>8</v>
      </c>
      <c r="D1378" s="605" t="s">
        <v>1511</v>
      </c>
      <c r="E1378" s="606" t="s">
        <v>3797</v>
      </c>
      <c r="F1378" s="606" t="s">
        <v>3798</v>
      </c>
      <c r="G1378" s="606" t="s">
        <v>1085</v>
      </c>
      <c r="H1378" s="606" t="s">
        <v>3799</v>
      </c>
      <c r="I1378" s="606" t="s">
        <v>1087</v>
      </c>
      <c r="J1378" s="606" t="s">
        <v>1088</v>
      </c>
    </row>
    <row r="1379" spans="2:10" ht="21" customHeight="1">
      <c r="B1379" s="605" t="s">
        <v>3800</v>
      </c>
      <c r="C1379" s="606" t="s">
        <v>8</v>
      </c>
      <c r="D1379" s="605" t="s">
        <v>1511</v>
      </c>
      <c r="E1379" s="606" t="s">
        <v>3801</v>
      </c>
      <c r="F1379" s="606" t="s">
        <v>3801</v>
      </c>
      <c r="G1379" s="606" t="s">
        <v>1085</v>
      </c>
      <c r="H1379" s="606" t="s">
        <v>3799</v>
      </c>
      <c r="I1379" s="606" t="s">
        <v>1087</v>
      </c>
      <c r="J1379" s="606" t="s">
        <v>1088</v>
      </c>
    </row>
    <row r="1380" spans="2:10" ht="21" customHeight="1">
      <c r="B1380" s="605" t="s">
        <v>3802</v>
      </c>
      <c r="C1380" s="606" t="s">
        <v>8</v>
      </c>
      <c r="D1380" s="605" t="s">
        <v>1511</v>
      </c>
      <c r="E1380" s="606" t="s">
        <v>3803</v>
      </c>
      <c r="F1380" s="606" t="s">
        <v>3803</v>
      </c>
      <c r="G1380" s="606" t="s">
        <v>1085</v>
      </c>
      <c r="H1380" s="606" t="s">
        <v>3799</v>
      </c>
      <c r="I1380" s="606" t="s">
        <v>1087</v>
      </c>
      <c r="J1380" s="606" t="s">
        <v>1088</v>
      </c>
    </row>
    <row r="1381" spans="2:10" ht="21" customHeight="1">
      <c r="B1381" s="605" t="s">
        <v>3804</v>
      </c>
      <c r="C1381" s="606" t="s">
        <v>8</v>
      </c>
      <c r="D1381" s="605" t="s">
        <v>1511</v>
      </c>
      <c r="E1381" s="606" t="s">
        <v>3805</v>
      </c>
      <c r="F1381" s="606" t="s">
        <v>3806</v>
      </c>
      <c r="G1381" s="606" t="s">
        <v>1085</v>
      </c>
      <c r="H1381" s="606" t="s">
        <v>3799</v>
      </c>
      <c r="I1381" s="606" t="s">
        <v>1087</v>
      </c>
      <c r="J1381" s="606" t="s">
        <v>1088</v>
      </c>
    </row>
    <row r="1382" spans="2:10" ht="21" customHeight="1">
      <c r="B1382" s="605" t="s">
        <v>3807</v>
      </c>
      <c r="C1382" s="606" t="s">
        <v>8</v>
      </c>
      <c r="D1382" s="605" t="s">
        <v>1511</v>
      </c>
      <c r="E1382" s="606" t="s">
        <v>3808</v>
      </c>
      <c r="F1382" s="606" t="s">
        <v>3808</v>
      </c>
      <c r="G1382" s="606" t="s">
        <v>1085</v>
      </c>
      <c r="H1382" s="606" t="s">
        <v>3799</v>
      </c>
      <c r="I1382" s="606" t="s">
        <v>1087</v>
      </c>
      <c r="J1382" s="606" t="s">
        <v>1088</v>
      </c>
    </row>
    <row r="1383" spans="2:10" ht="21" customHeight="1">
      <c r="B1383" s="605" t="s">
        <v>3809</v>
      </c>
      <c r="C1383" s="606" t="s">
        <v>8</v>
      </c>
      <c r="D1383" s="605" t="s">
        <v>1511</v>
      </c>
      <c r="E1383" s="606" t="s">
        <v>3810</v>
      </c>
      <c r="F1383" s="606" t="s">
        <v>3810</v>
      </c>
      <c r="G1383" s="606" t="s">
        <v>1085</v>
      </c>
      <c r="H1383" s="606" t="s">
        <v>3799</v>
      </c>
      <c r="I1383" s="606" t="s">
        <v>1087</v>
      </c>
      <c r="J1383" s="606" t="s">
        <v>1088</v>
      </c>
    </row>
    <row r="1384" spans="2:10" ht="21" customHeight="1">
      <c r="B1384" s="605" t="s">
        <v>3811</v>
      </c>
      <c r="C1384" s="606" t="s">
        <v>8</v>
      </c>
      <c r="D1384" s="605" t="s">
        <v>1511</v>
      </c>
      <c r="E1384" s="606" t="s">
        <v>3812</v>
      </c>
      <c r="F1384" s="606" t="s">
        <v>3812</v>
      </c>
      <c r="G1384" s="606" t="s">
        <v>1085</v>
      </c>
      <c r="H1384" s="606" t="s">
        <v>3799</v>
      </c>
      <c r="I1384" s="606" t="s">
        <v>1087</v>
      </c>
      <c r="J1384" s="606" t="s">
        <v>1088</v>
      </c>
    </row>
    <row r="1385" spans="2:10" ht="21" customHeight="1">
      <c r="B1385" s="605" t="s">
        <v>3813</v>
      </c>
      <c r="C1385" s="606" t="s">
        <v>8</v>
      </c>
      <c r="D1385" s="605" t="s">
        <v>1511</v>
      </c>
      <c r="E1385" s="606" t="s">
        <v>1537</v>
      </c>
      <c r="F1385" s="606" t="s">
        <v>1537</v>
      </c>
      <c r="G1385" s="606" t="s">
        <v>1085</v>
      </c>
      <c r="H1385" s="606" t="s">
        <v>3799</v>
      </c>
      <c r="I1385" s="606" t="s">
        <v>1087</v>
      </c>
      <c r="J1385" s="606" t="s">
        <v>1088</v>
      </c>
    </row>
    <row r="1386" spans="2:10" ht="21" customHeight="1">
      <c r="B1386" s="605" t="s">
        <v>3814</v>
      </c>
      <c r="C1386" s="606" t="s">
        <v>8</v>
      </c>
      <c r="D1386" s="605" t="s">
        <v>1511</v>
      </c>
      <c r="E1386" s="606" t="s">
        <v>3815</v>
      </c>
      <c r="F1386" s="606" t="s">
        <v>3816</v>
      </c>
      <c r="G1386" s="606" t="s">
        <v>1085</v>
      </c>
      <c r="H1386" s="606" t="s">
        <v>3799</v>
      </c>
      <c r="I1386" s="606" t="s">
        <v>1087</v>
      </c>
      <c r="J1386" s="606" t="s">
        <v>1088</v>
      </c>
    </row>
    <row r="1387" spans="2:10" ht="21" customHeight="1">
      <c r="B1387" s="605" t="s">
        <v>3817</v>
      </c>
      <c r="C1387" s="606" t="s">
        <v>8</v>
      </c>
      <c r="D1387" s="605" t="s">
        <v>1511</v>
      </c>
      <c r="E1387" s="606" t="s">
        <v>1542</v>
      </c>
      <c r="F1387" s="606" t="s">
        <v>1542</v>
      </c>
      <c r="G1387" s="606" t="s">
        <v>1085</v>
      </c>
      <c r="H1387" s="606" t="s">
        <v>3799</v>
      </c>
      <c r="I1387" s="606" t="s">
        <v>1087</v>
      </c>
      <c r="J1387" s="606" t="s">
        <v>1088</v>
      </c>
    </row>
    <row r="1388" spans="2:10" ht="21" customHeight="1">
      <c r="B1388" s="605" t="s">
        <v>3818</v>
      </c>
      <c r="C1388" s="606" t="s">
        <v>8</v>
      </c>
      <c r="D1388" s="605" t="s">
        <v>1511</v>
      </c>
      <c r="E1388" s="606" t="s">
        <v>3819</v>
      </c>
      <c r="F1388" s="606" t="s">
        <v>3819</v>
      </c>
      <c r="G1388" s="606" t="s">
        <v>1085</v>
      </c>
      <c r="H1388" s="606" t="s">
        <v>3799</v>
      </c>
      <c r="I1388" s="606" t="s">
        <v>1087</v>
      </c>
      <c r="J1388" s="606" t="s">
        <v>1088</v>
      </c>
    </row>
    <row r="1389" spans="2:10" ht="21" customHeight="1">
      <c r="B1389" s="605" t="s">
        <v>3820</v>
      </c>
      <c r="C1389" s="606" t="s">
        <v>9</v>
      </c>
      <c r="D1389" s="605" t="s">
        <v>689</v>
      </c>
      <c r="E1389" s="606" t="s">
        <v>20</v>
      </c>
      <c r="F1389" s="606" t="s">
        <v>20</v>
      </c>
      <c r="G1389" s="606" t="s">
        <v>1085</v>
      </c>
      <c r="H1389" s="606" t="s">
        <v>3821</v>
      </c>
      <c r="I1389" s="606" t="s">
        <v>1087</v>
      </c>
      <c r="J1389" s="606" t="s">
        <v>1088</v>
      </c>
    </row>
    <row r="1390" spans="2:10" ht="21" customHeight="1">
      <c r="B1390" s="605" t="s">
        <v>3822</v>
      </c>
      <c r="C1390" s="606" t="s">
        <v>9</v>
      </c>
      <c r="D1390" s="605" t="s">
        <v>689</v>
      </c>
      <c r="E1390" s="606" t="s">
        <v>1</v>
      </c>
      <c r="F1390" s="606" t="s">
        <v>1</v>
      </c>
      <c r="G1390" s="606" t="s">
        <v>1085</v>
      </c>
      <c r="H1390" s="606" t="s">
        <v>3821</v>
      </c>
      <c r="I1390" s="606" t="s">
        <v>1087</v>
      </c>
      <c r="J1390" s="606" t="s">
        <v>1088</v>
      </c>
    </row>
    <row r="1391" spans="2:10" ht="21" customHeight="1">
      <c r="B1391" s="605" t="s">
        <v>3823</v>
      </c>
      <c r="C1391" s="606" t="s">
        <v>9</v>
      </c>
      <c r="D1391" s="605" t="s">
        <v>689</v>
      </c>
      <c r="E1391" s="606" t="s">
        <v>46</v>
      </c>
      <c r="F1391" s="606" t="s">
        <v>46</v>
      </c>
      <c r="G1391" s="606" t="s">
        <v>1085</v>
      </c>
      <c r="H1391" s="606" t="s">
        <v>3821</v>
      </c>
      <c r="I1391" s="606" t="s">
        <v>1087</v>
      </c>
      <c r="J1391" s="606" t="s">
        <v>1088</v>
      </c>
    </row>
    <row r="1392" spans="2:10" ht="21" customHeight="1">
      <c r="B1392" s="605" t="s">
        <v>3824</v>
      </c>
      <c r="C1392" s="606" t="s">
        <v>9</v>
      </c>
      <c r="D1392" s="605" t="s">
        <v>689</v>
      </c>
      <c r="E1392" s="606" t="s">
        <v>3825</v>
      </c>
      <c r="F1392" s="606" t="s">
        <v>40</v>
      </c>
      <c r="G1392" s="606" t="s">
        <v>1085</v>
      </c>
      <c r="H1392" s="606" t="s">
        <v>3821</v>
      </c>
      <c r="I1392" s="606" t="s">
        <v>1087</v>
      </c>
      <c r="J1392" s="606" t="s">
        <v>1088</v>
      </c>
    </row>
    <row r="1393" spans="2:10" ht="21" customHeight="1">
      <c r="B1393" s="605" t="s">
        <v>3826</v>
      </c>
      <c r="C1393" s="606" t="s">
        <v>9</v>
      </c>
      <c r="D1393" s="605" t="s">
        <v>689</v>
      </c>
      <c r="E1393" s="606" t="s">
        <v>3827</v>
      </c>
      <c r="F1393" s="606" t="s">
        <v>108</v>
      </c>
      <c r="G1393" s="606" t="s">
        <v>1085</v>
      </c>
      <c r="H1393" s="606" t="s">
        <v>3821</v>
      </c>
      <c r="I1393" s="606" t="s">
        <v>1087</v>
      </c>
      <c r="J1393" s="606" t="s">
        <v>1088</v>
      </c>
    </row>
    <row r="1394" spans="2:10" ht="21" customHeight="1">
      <c r="B1394" s="605" t="s">
        <v>3828</v>
      </c>
      <c r="C1394" s="606" t="s">
        <v>9</v>
      </c>
      <c r="D1394" s="605" t="s">
        <v>689</v>
      </c>
      <c r="E1394" s="606" t="s">
        <v>3829</v>
      </c>
      <c r="F1394" s="606" t="s">
        <v>122</v>
      </c>
      <c r="G1394" s="606" t="s">
        <v>1085</v>
      </c>
      <c r="H1394" s="606" t="s">
        <v>3821</v>
      </c>
      <c r="I1394" s="606" t="s">
        <v>1087</v>
      </c>
      <c r="J1394" s="606" t="s">
        <v>1088</v>
      </c>
    </row>
    <row r="1395" spans="2:10" ht="21" customHeight="1">
      <c r="B1395" s="605" t="s">
        <v>3830</v>
      </c>
      <c r="C1395" s="606" t="s">
        <v>9</v>
      </c>
      <c r="D1395" s="605" t="s">
        <v>689</v>
      </c>
      <c r="E1395" s="606" t="s">
        <v>3831</v>
      </c>
      <c r="F1395" s="606" t="s">
        <v>3831</v>
      </c>
      <c r="G1395" s="606" t="s">
        <v>1085</v>
      </c>
      <c r="H1395" s="606" t="s">
        <v>3821</v>
      </c>
      <c r="I1395" s="606" t="s">
        <v>1087</v>
      </c>
      <c r="J1395" s="606" t="s">
        <v>1088</v>
      </c>
    </row>
    <row r="1396" spans="2:10" ht="21" customHeight="1">
      <c r="B1396" s="605" t="s">
        <v>3832</v>
      </c>
      <c r="C1396" s="606" t="s">
        <v>9</v>
      </c>
      <c r="D1396" s="605" t="s">
        <v>689</v>
      </c>
      <c r="E1396" s="606" t="s">
        <v>270</v>
      </c>
      <c r="F1396" s="606" t="s">
        <v>270</v>
      </c>
      <c r="G1396" s="606" t="s">
        <v>1151</v>
      </c>
      <c r="H1396" s="606" t="s">
        <v>1152</v>
      </c>
      <c r="I1396" s="606" t="s">
        <v>1087</v>
      </c>
      <c r="J1396" s="606" t="s">
        <v>1153</v>
      </c>
    </row>
    <row r="1397" spans="2:10" ht="21" customHeight="1">
      <c r="B1397" s="605" t="s">
        <v>3833</v>
      </c>
      <c r="C1397" s="606" t="s">
        <v>9</v>
      </c>
      <c r="D1397" s="605" t="s">
        <v>689</v>
      </c>
      <c r="E1397" s="606" t="s">
        <v>3834</v>
      </c>
      <c r="F1397" s="606" t="s">
        <v>3834</v>
      </c>
      <c r="G1397" s="606" t="s">
        <v>1151</v>
      </c>
      <c r="H1397" s="606" t="s">
        <v>1152</v>
      </c>
      <c r="I1397" s="606" t="s">
        <v>1087</v>
      </c>
      <c r="J1397" s="606" t="s">
        <v>1153</v>
      </c>
    </row>
    <row r="1398" spans="2:10" ht="21" customHeight="1">
      <c r="B1398" s="605" t="s">
        <v>3835</v>
      </c>
      <c r="C1398" s="606" t="s">
        <v>9</v>
      </c>
      <c r="D1398" s="605" t="s">
        <v>689</v>
      </c>
      <c r="E1398" s="606" t="s">
        <v>3836</v>
      </c>
      <c r="F1398" s="606" t="s">
        <v>3836</v>
      </c>
      <c r="G1398" s="606" t="s">
        <v>1151</v>
      </c>
      <c r="H1398" s="606" t="s">
        <v>1152</v>
      </c>
      <c r="I1398" s="606" t="s">
        <v>1087</v>
      </c>
      <c r="J1398" s="606" t="s">
        <v>1153</v>
      </c>
    </row>
    <row r="1399" spans="2:10" ht="21" customHeight="1">
      <c r="B1399" s="605" t="s">
        <v>3837</v>
      </c>
      <c r="C1399" s="606" t="s">
        <v>9</v>
      </c>
      <c r="D1399" s="605" t="s">
        <v>689</v>
      </c>
      <c r="E1399" s="606" t="s">
        <v>135</v>
      </c>
      <c r="F1399" s="606" t="s">
        <v>135</v>
      </c>
      <c r="G1399" s="606" t="s">
        <v>1085</v>
      </c>
      <c r="H1399" s="606" t="s">
        <v>3821</v>
      </c>
      <c r="I1399" s="606" t="s">
        <v>1087</v>
      </c>
      <c r="J1399" s="606" t="s">
        <v>1088</v>
      </c>
    </row>
    <row r="1400" spans="2:10" ht="21" customHeight="1">
      <c r="B1400" s="605" t="s">
        <v>3838</v>
      </c>
      <c r="C1400" s="606" t="s">
        <v>9</v>
      </c>
      <c r="D1400" s="605" t="s">
        <v>689</v>
      </c>
      <c r="E1400" s="606" t="s">
        <v>3839</v>
      </c>
      <c r="F1400" s="606" t="s">
        <v>166</v>
      </c>
      <c r="G1400" s="606" t="s">
        <v>1085</v>
      </c>
      <c r="H1400" s="606" t="s">
        <v>3821</v>
      </c>
      <c r="I1400" s="606" t="s">
        <v>1087</v>
      </c>
      <c r="J1400" s="606" t="s">
        <v>1088</v>
      </c>
    </row>
    <row r="1401" spans="2:10" ht="21" customHeight="1">
      <c r="B1401" s="605" t="s">
        <v>3840</v>
      </c>
      <c r="C1401" s="606" t="s">
        <v>9</v>
      </c>
      <c r="D1401" s="605" t="s">
        <v>689</v>
      </c>
      <c r="E1401" s="606" t="s">
        <v>272</v>
      </c>
      <c r="F1401" s="606" t="s">
        <v>272</v>
      </c>
      <c r="G1401" s="606" t="s">
        <v>1085</v>
      </c>
      <c r="H1401" s="606" t="s">
        <v>3821</v>
      </c>
      <c r="I1401" s="606" t="s">
        <v>1087</v>
      </c>
      <c r="J1401" s="606" t="s">
        <v>1088</v>
      </c>
    </row>
    <row r="1402" spans="2:10" ht="21" customHeight="1">
      <c r="B1402" s="605" t="s">
        <v>3841</v>
      </c>
      <c r="C1402" s="606" t="s">
        <v>9</v>
      </c>
      <c r="D1402" s="605" t="s">
        <v>689</v>
      </c>
      <c r="E1402" s="606" t="s">
        <v>3842</v>
      </c>
      <c r="F1402" s="606" t="s">
        <v>3842</v>
      </c>
      <c r="G1402" s="606" t="s">
        <v>1151</v>
      </c>
      <c r="H1402" s="606" t="s">
        <v>1152</v>
      </c>
      <c r="I1402" s="606" t="s">
        <v>1087</v>
      </c>
      <c r="J1402" s="606" t="s">
        <v>1153</v>
      </c>
    </row>
    <row r="1403" spans="2:10" ht="21" customHeight="1">
      <c r="B1403" s="605" t="s">
        <v>3843</v>
      </c>
      <c r="C1403" s="606" t="s">
        <v>9</v>
      </c>
      <c r="D1403" s="605" t="s">
        <v>689</v>
      </c>
      <c r="E1403" s="606" t="s">
        <v>273</v>
      </c>
      <c r="F1403" s="606" t="s">
        <v>273</v>
      </c>
      <c r="G1403" s="606" t="s">
        <v>1085</v>
      </c>
      <c r="H1403" s="606" t="s">
        <v>3821</v>
      </c>
      <c r="I1403" s="606" t="s">
        <v>1087</v>
      </c>
      <c r="J1403" s="606" t="s">
        <v>1088</v>
      </c>
    </row>
    <row r="1404" spans="2:10" ht="21" customHeight="1">
      <c r="B1404" s="605" t="s">
        <v>3844</v>
      </c>
      <c r="C1404" s="606" t="s">
        <v>9</v>
      </c>
      <c r="D1404" s="605" t="s">
        <v>689</v>
      </c>
      <c r="E1404" s="606" t="s">
        <v>3845</v>
      </c>
      <c r="F1404" s="606" t="s">
        <v>3846</v>
      </c>
      <c r="G1404" s="606" t="s">
        <v>1085</v>
      </c>
      <c r="H1404" s="606" t="s">
        <v>3821</v>
      </c>
      <c r="I1404" s="606" t="s">
        <v>1087</v>
      </c>
      <c r="J1404" s="606" t="s">
        <v>1088</v>
      </c>
    </row>
    <row r="1405" spans="2:10" ht="21" customHeight="1">
      <c r="B1405" s="605" t="s">
        <v>3847</v>
      </c>
      <c r="C1405" s="606" t="s">
        <v>9</v>
      </c>
      <c r="D1405" s="605" t="s">
        <v>689</v>
      </c>
      <c r="E1405" s="606" t="s">
        <v>3848</v>
      </c>
      <c r="F1405" s="606" t="s">
        <v>3849</v>
      </c>
      <c r="G1405" s="606" t="s">
        <v>1085</v>
      </c>
      <c r="H1405" s="606" t="s">
        <v>3821</v>
      </c>
      <c r="I1405" s="606" t="s">
        <v>1087</v>
      </c>
      <c r="J1405" s="606" t="s">
        <v>1088</v>
      </c>
    </row>
    <row r="1406" spans="2:10" ht="21" customHeight="1">
      <c r="B1406" s="605" t="s">
        <v>3850</v>
      </c>
      <c r="C1406" s="606" t="s">
        <v>9</v>
      </c>
      <c r="D1406" s="605" t="s">
        <v>689</v>
      </c>
      <c r="E1406" s="606" t="s">
        <v>3851</v>
      </c>
      <c r="F1406" s="606" t="s">
        <v>3851</v>
      </c>
      <c r="G1406" s="606" t="s">
        <v>1085</v>
      </c>
      <c r="H1406" s="606" t="s">
        <v>3821</v>
      </c>
      <c r="I1406" s="606" t="s">
        <v>1087</v>
      </c>
      <c r="J1406" s="606" t="s">
        <v>1088</v>
      </c>
    </row>
    <row r="1407" spans="2:10" ht="21" customHeight="1">
      <c r="B1407" s="605" t="s">
        <v>3852</v>
      </c>
      <c r="C1407" s="606" t="s">
        <v>9</v>
      </c>
      <c r="D1407" s="605" t="s">
        <v>689</v>
      </c>
      <c r="E1407" s="606" t="s">
        <v>3853</v>
      </c>
      <c r="F1407" s="606" t="s">
        <v>3854</v>
      </c>
      <c r="G1407" s="606" t="s">
        <v>1085</v>
      </c>
      <c r="H1407" s="606" t="s">
        <v>3821</v>
      </c>
      <c r="I1407" s="606" t="s">
        <v>1087</v>
      </c>
      <c r="J1407" s="606" t="s">
        <v>1088</v>
      </c>
    </row>
    <row r="1408" spans="2:10" ht="21" customHeight="1">
      <c r="B1408" s="605" t="s">
        <v>3855</v>
      </c>
      <c r="C1408" s="606" t="s">
        <v>9</v>
      </c>
      <c r="D1408" s="605" t="s">
        <v>689</v>
      </c>
      <c r="E1408" s="606" t="s">
        <v>3856</v>
      </c>
      <c r="F1408" s="606" t="s">
        <v>3857</v>
      </c>
      <c r="G1408" s="606" t="s">
        <v>1085</v>
      </c>
      <c r="H1408" s="606" t="s">
        <v>3821</v>
      </c>
      <c r="I1408" s="606" t="s">
        <v>1087</v>
      </c>
      <c r="J1408" s="606" t="s">
        <v>1088</v>
      </c>
    </row>
    <row r="1409" spans="2:10" ht="21" customHeight="1">
      <c r="B1409" s="605" t="s">
        <v>3858</v>
      </c>
      <c r="C1409" s="606" t="s">
        <v>9</v>
      </c>
      <c r="D1409" s="605" t="s">
        <v>689</v>
      </c>
      <c r="E1409" s="606" t="s">
        <v>3859</v>
      </c>
      <c r="F1409" s="606" t="s">
        <v>3859</v>
      </c>
      <c r="G1409" s="606" t="s">
        <v>1085</v>
      </c>
      <c r="H1409" s="606" t="s">
        <v>3821</v>
      </c>
      <c r="I1409" s="606" t="s">
        <v>1087</v>
      </c>
      <c r="J1409" s="606" t="s">
        <v>1088</v>
      </c>
    </row>
    <row r="1410" spans="2:10" ht="21" customHeight="1">
      <c r="B1410" s="605" t="s">
        <v>3860</v>
      </c>
      <c r="C1410" s="606" t="s">
        <v>10</v>
      </c>
      <c r="D1410" s="605" t="s">
        <v>689</v>
      </c>
      <c r="E1410" s="606" t="s">
        <v>21</v>
      </c>
      <c r="F1410" s="606" t="s">
        <v>21</v>
      </c>
      <c r="G1410" s="606" t="s">
        <v>1085</v>
      </c>
      <c r="H1410" s="606" t="s">
        <v>3861</v>
      </c>
      <c r="I1410" s="606" t="s">
        <v>1087</v>
      </c>
      <c r="J1410" s="606" t="s">
        <v>1088</v>
      </c>
    </row>
    <row r="1411" spans="2:10" ht="21" customHeight="1">
      <c r="B1411" s="605" t="s">
        <v>3862</v>
      </c>
      <c r="C1411" s="606" t="s">
        <v>10</v>
      </c>
      <c r="D1411" s="605" t="s">
        <v>689</v>
      </c>
      <c r="E1411" s="606" t="s">
        <v>3863</v>
      </c>
      <c r="F1411" s="606" t="s">
        <v>3864</v>
      </c>
      <c r="G1411" s="606" t="s">
        <v>1085</v>
      </c>
      <c r="H1411" s="606" t="s">
        <v>3861</v>
      </c>
      <c r="I1411" s="606" t="s">
        <v>1087</v>
      </c>
      <c r="J1411" s="606" t="s">
        <v>1088</v>
      </c>
    </row>
    <row r="1412" spans="2:10" ht="21" customHeight="1">
      <c r="B1412" s="605" t="s">
        <v>3865</v>
      </c>
      <c r="C1412" s="606" t="s">
        <v>10</v>
      </c>
      <c r="D1412" s="605" t="s">
        <v>689</v>
      </c>
      <c r="E1412" s="606" t="s">
        <v>3866</v>
      </c>
      <c r="F1412" s="606" t="s">
        <v>59</v>
      </c>
      <c r="G1412" s="606" t="s">
        <v>1085</v>
      </c>
      <c r="H1412" s="606" t="s">
        <v>3861</v>
      </c>
      <c r="I1412" s="606" t="s">
        <v>1087</v>
      </c>
      <c r="J1412" s="606" t="s">
        <v>1088</v>
      </c>
    </row>
    <row r="1413" spans="2:10" ht="21" customHeight="1">
      <c r="B1413" s="605" t="s">
        <v>3867</v>
      </c>
      <c r="C1413" s="606" t="s">
        <v>10</v>
      </c>
      <c r="D1413" s="605" t="s">
        <v>689</v>
      </c>
      <c r="E1413" s="606" t="s">
        <v>3868</v>
      </c>
      <c r="F1413" s="606" t="s">
        <v>3868</v>
      </c>
      <c r="G1413" s="606" t="s">
        <v>1085</v>
      </c>
      <c r="H1413" s="606" t="s">
        <v>3861</v>
      </c>
      <c r="I1413" s="606" t="s">
        <v>1087</v>
      </c>
      <c r="J1413" s="606" t="s">
        <v>1088</v>
      </c>
    </row>
    <row r="1414" spans="2:10" ht="21" customHeight="1">
      <c r="B1414" s="605" t="s">
        <v>3869</v>
      </c>
      <c r="C1414" s="606" t="s">
        <v>10</v>
      </c>
      <c r="D1414" s="605" t="s">
        <v>689</v>
      </c>
      <c r="E1414" s="606" t="s">
        <v>3870</v>
      </c>
      <c r="F1414" s="606" t="s">
        <v>3871</v>
      </c>
      <c r="G1414" s="606" t="s">
        <v>1085</v>
      </c>
      <c r="H1414" s="606" t="s">
        <v>3861</v>
      </c>
      <c r="I1414" s="606" t="s">
        <v>1087</v>
      </c>
      <c r="J1414" s="606" t="s">
        <v>1088</v>
      </c>
    </row>
    <row r="1415" spans="2:10" ht="21" customHeight="1">
      <c r="B1415" s="605" t="s">
        <v>3872</v>
      </c>
      <c r="C1415" s="606" t="s">
        <v>10</v>
      </c>
      <c r="D1415" s="605" t="s">
        <v>689</v>
      </c>
      <c r="E1415" s="606" t="s">
        <v>95</v>
      </c>
      <c r="F1415" s="606" t="s">
        <v>95</v>
      </c>
      <c r="G1415" s="606" t="s">
        <v>1085</v>
      </c>
      <c r="H1415" s="606" t="s">
        <v>3861</v>
      </c>
      <c r="I1415" s="606" t="s">
        <v>1087</v>
      </c>
      <c r="J1415" s="606" t="s">
        <v>1088</v>
      </c>
    </row>
    <row r="1416" spans="2:10" ht="21" customHeight="1">
      <c r="B1416" s="605" t="s">
        <v>3873</v>
      </c>
      <c r="C1416" s="606" t="s">
        <v>10</v>
      </c>
      <c r="D1416" s="605" t="s">
        <v>689</v>
      </c>
      <c r="E1416" s="606" t="s">
        <v>109</v>
      </c>
      <c r="F1416" s="606" t="s">
        <v>109</v>
      </c>
      <c r="G1416" s="606" t="s">
        <v>1085</v>
      </c>
      <c r="H1416" s="606" t="s">
        <v>3861</v>
      </c>
      <c r="I1416" s="606" t="s">
        <v>1087</v>
      </c>
      <c r="J1416" s="606" t="s">
        <v>1088</v>
      </c>
    </row>
    <row r="1417" spans="2:10" ht="21" customHeight="1">
      <c r="B1417" s="605" t="s">
        <v>3874</v>
      </c>
      <c r="C1417" s="606" t="s">
        <v>10</v>
      </c>
      <c r="D1417" s="605" t="s">
        <v>689</v>
      </c>
      <c r="E1417" s="606" t="s">
        <v>3875</v>
      </c>
      <c r="F1417" s="606" t="s">
        <v>3876</v>
      </c>
      <c r="G1417" s="606" t="s">
        <v>1085</v>
      </c>
      <c r="H1417" s="606" t="s">
        <v>3861</v>
      </c>
      <c r="I1417" s="606" t="s">
        <v>1087</v>
      </c>
      <c r="J1417" s="606" t="s">
        <v>1088</v>
      </c>
    </row>
    <row r="1418" spans="2:10" ht="21" customHeight="1">
      <c r="B1418" s="605" t="s">
        <v>3877</v>
      </c>
      <c r="C1418" s="606" t="s">
        <v>10</v>
      </c>
      <c r="D1418" s="605" t="s">
        <v>689</v>
      </c>
      <c r="E1418" s="606" t="s">
        <v>3878</v>
      </c>
      <c r="F1418" s="606" t="s">
        <v>3879</v>
      </c>
      <c r="G1418" s="606" t="s">
        <v>1085</v>
      </c>
      <c r="H1418" s="606" t="s">
        <v>3861</v>
      </c>
      <c r="I1418" s="606" t="s">
        <v>1087</v>
      </c>
      <c r="J1418" s="606" t="s">
        <v>1088</v>
      </c>
    </row>
    <row r="1419" spans="2:10" ht="21" customHeight="1">
      <c r="B1419" s="605" t="s">
        <v>3880</v>
      </c>
      <c r="C1419" s="606" t="s">
        <v>10</v>
      </c>
      <c r="D1419" s="605" t="s">
        <v>689</v>
      </c>
      <c r="E1419" s="606" t="s">
        <v>3881</v>
      </c>
      <c r="F1419" s="606" t="s">
        <v>3881</v>
      </c>
      <c r="G1419" s="606" t="s">
        <v>1085</v>
      </c>
      <c r="H1419" s="606" t="s">
        <v>3861</v>
      </c>
      <c r="I1419" s="606" t="s">
        <v>1087</v>
      </c>
      <c r="J1419" s="606" t="s">
        <v>1088</v>
      </c>
    </row>
    <row r="1420" spans="2:10" ht="21" customHeight="1">
      <c r="B1420" s="605" t="s">
        <v>3882</v>
      </c>
      <c r="C1420" s="606" t="s">
        <v>10</v>
      </c>
      <c r="D1420" s="605" t="s">
        <v>689</v>
      </c>
      <c r="E1420" s="606" t="s">
        <v>155</v>
      </c>
      <c r="F1420" s="606" t="s">
        <v>155</v>
      </c>
      <c r="G1420" s="606" t="s">
        <v>1085</v>
      </c>
      <c r="H1420" s="606" t="s">
        <v>3861</v>
      </c>
      <c r="I1420" s="606" t="s">
        <v>1087</v>
      </c>
      <c r="J1420" s="606" t="s">
        <v>1088</v>
      </c>
    </row>
    <row r="1421" spans="2:10" ht="21" customHeight="1">
      <c r="B1421" s="605" t="s">
        <v>3883</v>
      </c>
      <c r="C1421" s="606" t="s">
        <v>10</v>
      </c>
      <c r="D1421" s="605" t="s">
        <v>689</v>
      </c>
      <c r="E1421" s="606" t="s">
        <v>3884</v>
      </c>
      <c r="F1421" s="606" t="s">
        <v>3884</v>
      </c>
      <c r="G1421" s="606" t="s">
        <v>1085</v>
      </c>
      <c r="H1421" s="606" t="s">
        <v>3861</v>
      </c>
      <c r="I1421" s="606" t="s">
        <v>1087</v>
      </c>
      <c r="J1421" s="606" t="s">
        <v>1088</v>
      </c>
    </row>
    <row r="1422" spans="2:10" ht="21" customHeight="1">
      <c r="B1422" s="605" t="s">
        <v>3885</v>
      </c>
      <c r="C1422" s="606" t="s">
        <v>10</v>
      </c>
      <c r="D1422" s="605" t="s">
        <v>689</v>
      </c>
      <c r="E1422" s="606" t="s">
        <v>175</v>
      </c>
      <c r="F1422" s="606" t="s">
        <v>175</v>
      </c>
      <c r="G1422" s="606" t="s">
        <v>1085</v>
      </c>
      <c r="H1422" s="606" t="s">
        <v>3861</v>
      </c>
      <c r="I1422" s="606" t="s">
        <v>1087</v>
      </c>
      <c r="J1422" s="606" t="s">
        <v>1088</v>
      </c>
    </row>
    <row r="1423" spans="2:10" ht="21" customHeight="1">
      <c r="B1423" s="605" t="s">
        <v>3886</v>
      </c>
      <c r="C1423" s="606" t="s">
        <v>10</v>
      </c>
      <c r="D1423" s="605" t="s">
        <v>689</v>
      </c>
      <c r="E1423" s="606" t="s">
        <v>3887</v>
      </c>
      <c r="F1423" s="606" t="s">
        <v>184</v>
      </c>
      <c r="G1423" s="606" t="s">
        <v>1085</v>
      </c>
      <c r="H1423" s="606" t="s">
        <v>3861</v>
      </c>
      <c r="I1423" s="606" t="s">
        <v>1087</v>
      </c>
      <c r="J1423" s="606" t="s">
        <v>1088</v>
      </c>
    </row>
    <row r="1424" spans="2:10" ht="21" customHeight="1">
      <c r="B1424" s="605" t="s">
        <v>3888</v>
      </c>
      <c r="C1424" s="606" t="s">
        <v>10</v>
      </c>
      <c r="D1424" s="605" t="s">
        <v>689</v>
      </c>
      <c r="E1424" s="606" t="s">
        <v>195</v>
      </c>
      <c r="F1424" s="606" t="s">
        <v>195</v>
      </c>
      <c r="G1424" s="606" t="s">
        <v>1085</v>
      </c>
      <c r="H1424" s="606" t="s">
        <v>3861</v>
      </c>
      <c r="I1424" s="606" t="s">
        <v>1087</v>
      </c>
      <c r="J1424" s="606" t="s">
        <v>1088</v>
      </c>
    </row>
    <row r="1425" spans="2:10" ht="21" customHeight="1">
      <c r="B1425" s="605" t="s">
        <v>3889</v>
      </c>
      <c r="C1425" s="606" t="s">
        <v>10</v>
      </c>
      <c r="D1425" s="605" t="s">
        <v>689</v>
      </c>
      <c r="E1425" s="606" t="s">
        <v>3890</v>
      </c>
      <c r="F1425" s="606" t="s">
        <v>3890</v>
      </c>
      <c r="G1425" s="606" t="s">
        <v>1085</v>
      </c>
      <c r="H1425" s="606" t="s">
        <v>3861</v>
      </c>
      <c r="I1425" s="606" t="s">
        <v>1087</v>
      </c>
      <c r="J1425" s="606" t="s">
        <v>1088</v>
      </c>
    </row>
    <row r="1426" spans="2:10" ht="21" customHeight="1">
      <c r="B1426" s="605" t="s">
        <v>3891</v>
      </c>
      <c r="C1426" s="606" t="s">
        <v>10</v>
      </c>
      <c r="D1426" s="605" t="s">
        <v>689</v>
      </c>
      <c r="E1426" s="606" t="s">
        <v>3892</v>
      </c>
      <c r="F1426" s="606" t="s">
        <v>3892</v>
      </c>
      <c r="G1426" s="606" t="s">
        <v>1085</v>
      </c>
      <c r="H1426" s="606" t="s">
        <v>3861</v>
      </c>
      <c r="I1426" s="606" t="s">
        <v>1087</v>
      </c>
      <c r="J1426" s="606" t="s">
        <v>1088</v>
      </c>
    </row>
    <row r="1427" spans="2:10" ht="21" customHeight="1">
      <c r="B1427" s="605" t="s">
        <v>3893</v>
      </c>
      <c r="C1427" s="606" t="s">
        <v>10</v>
      </c>
      <c r="D1427" s="605" t="s">
        <v>689</v>
      </c>
      <c r="E1427" s="606" t="s">
        <v>3894</v>
      </c>
      <c r="F1427" s="606" t="s">
        <v>199</v>
      </c>
      <c r="G1427" s="606" t="s">
        <v>1085</v>
      </c>
      <c r="H1427" s="606" t="s">
        <v>3861</v>
      </c>
      <c r="I1427" s="606" t="s">
        <v>1087</v>
      </c>
      <c r="J1427" s="606" t="s">
        <v>1088</v>
      </c>
    </row>
    <row r="1428" spans="2:10" ht="21" customHeight="1">
      <c r="B1428" s="605" t="s">
        <v>3895</v>
      </c>
      <c r="C1428" s="606" t="s">
        <v>10</v>
      </c>
      <c r="D1428" s="605" t="s">
        <v>689</v>
      </c>
      <c r="E1428" s="606" t="s">
        <v>3896</v>
      </c>
      <c r="F1428" s="606" t="s">
        <v>3897</v>
      </c>
      <c r="G1428" s="606" t="s">
        <v>1085</v>
      </c>
      <c r="H1428" s="606" t="s">
        <v>3861</v>
      </c>
      <c r="I1428" s="606" t="s">
        <v>1087</v>
      </c>
      <c r="J1428" s="606" t="s">
        <v>1088</v>
      </c>
    </row>
    <row r="1429" spans="2:10" ht="21" customHeight="1">
      <c r="B1429" s="605" t="s">
        <v>3898</v>
      </c>
      <c r="C1429" s="606" t="s">
        <v>10</v>
      </c>
      <c r="D1429" s="605" t="s">
        <v>689</v>
      </c>
      <c r="E1429" s="606" t="s">
        <v>3899</v>
      </c>
      <c r="F1429" s="606" t="s">
        <v>205</v>
      </c>
      <c r="G1429" s="606" t="s">
        <v>1085</v>
      </c>
      <c r="H1429" s="606" t="s">
        <v>3861</v>
      </c>
      <c r="I1429" s="606" t="s">
        <v>1087</v>
      </c>
      <c r="J1429" s="606" t="s">
        <v>1088</v>
      </c>
    </row>
    <row r="1430" spans="2:10" ht="21" customHeight="1">
      <c r="B1430" s="605" t="s">
        <v>3900</v>
      </c>
      <c r="C1430" s="606" t="s">
        <v>10</v>
      </c>
      <c r="D1430" s="605" t="s">
        <v>689</v>
      </c>
      <c r="E1430" s="606" t="s">
        <v>3901</v>
      </c>
      <c r="F1430" s="606" t="s">
        <v>3902</v>
      </c>
      <c r="G1430" s="606" t="s">
        <v>1085</v>
      </c>
      <c r="H1430" s="606" t="s">
        <v>3861</v>
      </c>
      <c r="I1430" s="606" t="s">
        <v>1087</v>
      </c>
      <c r="J1430" s="606" t="s">
        <v>1088</v>
      </c>
    </row>
    <row r="1431" spans="2:10" ht="21" customHeight="1">
      <c r="B1431" s="605" t="s">
        <v>3903</v>
      </c>
      <c r="C1431" s="606" t="s">
        <v>10</v>
      </c>
      <c r="D1431" s="605" t="s">
        <v>689</v>
      </c>
      <c r="E1431" s="606" t="s">
        <v>211</v>
      </c>
      <c r="F1431" s="606" t="s">
        <v>211</v>
      </c>
      <c r="G1431" s="606" t="s">
        <v>1085</v>
      </c>
      <c r="H1431" s="606" t="s">
        <v>3861</v>
      </c>
      <c r="I1431" s="606" t="s">
        <v>1087</v>
      </c>
      <c r="J1431" s="606" t="s">
        <v>1088</v>
      </c>
    </row>
    <row r="1432" spans="2:10" ht="21" customHeight="1">
      <c r="B1432" s="605" t="s">
        <v>3904</v>
      </c>
      <c r="C1432" s="606" t="s">
        <v>10</v>
      </c>
      <c r="D1432" s="605" t="s">
        <v>689</v>
      </c>
      <c r="E1432" s="606" t="s">
        <v>364</v>
      </c>
      <c r="F1432" s="606" t="s">
        <v>364</v>
      </c>
      <c r="G1432" s="606" t="s">
        <v>1085</v>
      </c>
      <c r="H1432" s="606" t="s">
        <v>3861</v>
      </c>
      <c r="I1432" s="606" t="s">
        <v>1087</v>
      </c>
      <c r="J1432" s="606" t="s">
        <v>1088</v>
      </c>
    </row>
    <row r="1433" spans="2:10" ht="21" customHeight="1">
      <c r="B1433" s="605" t="s">
        <v>3905</v>
      </c>
      <c r="C1433" s="606" t="s">
        <v>10</v>
      </c>
      <c r="D1433" s="605" t="s">
        <v>689</v>
      </c>
      <c r="E1433" s="606" t="s">
        <v>214</v>
      </c>
      <c r="F1433" s="606" t="s">
        <v>214</v>
      </c>
      <c r="G1433" s="606" t="s">
        <v>1085</v>
      </c>
      <c r="H1433" s="606" t="s">
        <v>3861</v>
      </c>
      <c r="I1433" s="606" t="s">
        <v>1087</v>
      </c>
      <c r="J1433" s="606" t="s">
        <v>1088</v>
      </c>
    </row>
    <row r="1434" spans="2:10" ht="21" customHeight="1">
      <c r="B1434" s="605" t="s">
        <v>3906</v>
      </c>
      <c r="C1434" s="606" t="s">
        <v>10</v>
      </c>
      <c r="D1434" s="605" t="s">
        <v>689</v>
      </c>
      <c r="E1434" s="606" t="s">
        <v>365</v>
      </c>
      <c r="F1434" s="606" t="s">
        <v>365</v>
      </c>
      <c r="G1434" s="606" t="s">
        <v>1151</v>
      </c>
      <c r="H1434" s="606" t="s">
        <v>1152</v>
      </c>
      <c r="I1434" s="606" t="s">
        <v>1087</v>
      </c>
      <c r="J1434" s="606" t="s">
        <v>1153</v>
      </c>
    </row>
    <row r="1435" spans="2:10" ht="21" customHeight="1">
      <c r="B1435" s="605" t="s">
        <v>3907</v>
      </c>
      <c r="C1435" s="606" t="s">
        <v>10</v>
      </c>
      <c r="D1435" s="605" t="s">
        <v>689</v>
      </c>
      <c r="E1435" s="606" t="s">
        <v>3908</v>
      </c>
      <c r="F1435" s="606" t="s">
        <v>3908</v>
      </c>
      <c r="G1435" s="606" t="s">
        <v>1151</v>
      </c>
      <c r="H1435" s="606" t="s">
        <v>1152</v>
      </c>
      <c r="I1435" s="606" t="s">
        <v>1087</v>
      </c>
      <c r="J1435" s="606" t="s">
        <v>1153</v>
      </c>
    </row>
    <row r="1436" spans="2:10" ht="21" customHeight="1">
      <c r="B1436" s="605" t="s">
        <v>3909</v>
      </c>
      <c r="C1436" s="606" t="s">
        <v>10</v>
      </c>
      <c r="D1436" s="605" t="s">
        <v>689</v>
      </c>
      <c r="E1436" s="606" t="s">
        <v>3910</v>
      </c>
      <c r="F1436" s="606" t="s">
        <v>3910</v>
      </c>
      <c r="G1436" s="606" t="s">
        <v>1151</v>
      </c>
      <c r="H1436" s="606" t="s">
        <v>1152</v>
      </c>
      <c r="I1436" s="606" t="s">
        <v>1087</v>
      </c>
      <c r="J1436" s="606" t="s">
        <v>1153</v>
      </c>
    </row>
    <row r="1437" spans="2:10" ht="21" customHeight="1">
      <c r="B1437" s="605" t="s">
        <v>3911</v>
      </c>
      <c r="C1437" s="606" t="s">
        <v>10</v>
      </c>
      <c r="D1437" s="605" t="s">
        <v>689</v>
      </c>
      <c r="E1437" s="606" t="s">
        <v>216</v>
      </c>
      <c r="F1437" s="606" t="s">
        <v>216</v>
      </c>
      <c r="G1437" s="606" t="s">
        <v>1085</v>
      </c>
      <c r="H1437" s="606" t="s">
        <v>3861</v>
      </c>
      <c r="I1437" s="606" t="s">
        <v>1087</v>
      </c>
      <c r="J1437" s="606" t="s">
        <v>1088</v>
      </c>
    </row>
    <row r="1438" spans="2:10" ht="21" customHeight="1">
      <c r="B1438" s="605" t="s">
        <v>3912</v>
      </c>
      <c r="C1438" s="606" t="s">
        <v>10</v>
      </c>
      <c r="D1438" s="605" t="s">
        <v>689</v>
      </c>
      <c r="E1438" s="606" t="s">
        <v>3913</v>
      </c>
      <c r="F1438" s="606" t="s">
        <v>3913</v>
      </c>
      <c r="G1438" s="606" t="s">
        <v>1151</v>
      </c>
      <c r="H1438" s="606" t="s">
        <v>1152</v>
      </c>
      <c r="I1438" s="606" t="s">
        <v>1087</v>
      </c>
      <c r="J1438" s="606" t="s">
        <v>1153</v>
      </c>
    </row>
    <row r="1439" spans="2:10" ht="21" customHeight="1">
      <c r="B1439" s="605" t="s">
        <v>3914</v>
      </c>
      <c r="C1439" s="606" t="s">
        <v>10</v>
      </c>
      <c r="D1439" s="605" t="s">
        <v>689</v>
      </c>
      <c r="E1439" s="606" t="s">
        <v>366</v>
      </c>
      <c r="F1439" s="606" t="s">
        <v>366</v>
      </c>
      <c r="G1439" s="606" t="s">
        <v>1151</v>
      </c>
      <c r="H1439" s="606" t="s">
        <v>1152</v>
      </c>
      <c r="I1439" s="606" t="s">
        <v>1087</v>
      </c>
      <c r="J1439" s="606" t="s">
        <v>1153</v>
      </c>
    </row>
    <row r="1440" spans="2:10" ht="21" customHeight="1">
      <c r="B1440" s="605" t="s">
        <v>3915</v>
      </c>
      <c r="C1440" s="606" t="s">
        <v>10</v>
      </c>
      <c r="D1440" s="605" t="s">
        <v>689</v>
      </c>
      <c r="E1440" s="606" t="s">
        <v>3916</v>
      </c>
      <c r="F1440" s="606" t="s">
        <v>3916</v>
      </c>
      <c r="G1440" s="606" t="s">
        <v>1151</v>
      </c>
      <c r="H1440" s="606" t="s">
        <v>1152</v>
      </c>
      <c r="I1440" s="606" t="s">
        <v>1087</v>
      </c>
      <c r="J1440" s="606" t="s">
        <v>1153</v>
      </c>
    </row>
    <row r="1441" spans="2:10" ht="21" customHeight="1">
      <c r="B1441" s="605" t="s">
        <v>3917</v>
      </c>
      <c r="C1441" s="606" t="s">
        <v>10</v>
      </c>
      <c r="D1441" s="605" t="s">
        <v>689</v>
      </c>
      <c r="E1441" s="606" t="s">
        <v>367</v>
      </c>
      <c r="F1441" s="606" t="s">
        <v>367</v>
      </c>
      <c r="G1441" s="606" t="s">
        <v>1085</v>
      </c>
      <c r="H1441" s="606" t="s">
        <v>3861</v>
      </c>
      <c r="I1441" s="606" t="s">
        <v>1087</v>
      </c>
      <c r="J1441" s="606" t="s">
        <v>1088</v>
      </c>
    </row>
    <row r="1442" spans="2:10" ht="21" customHeight="1">
      <c r="B1442" s="605" t="s">
        <v>3918</v>
      </c>
      <c r="C1442" s="606" t="s">
        <v>10</v>
      </c>
      <c r="D1442" s="605" t="s">
        <v>689</v>
      </c>
      <c r="E1442" s="606" t="s">
        <v>218</v>
      </c>
      <c r="F1442" s="606" t="s">
        <v>218</v>
      </c>
      <c r="G1442" s="606" t="s">
        <v>1085</v>
      </c>
      <c r="H1442" s="606" t="s">
        <v>3861</v>
      </c>
      <c r="I1442" s="606" t="s">
        <v>1087</v>
      </c>
      <c r="J1442" s="606" t="s">
        <v>1088</v>
      </c>
    </row>
    <row r="1443" spans="2:10" ht="21" customHeight="1">
      <c r="B1443" s="605" t="s">
        <v>3919</v>
      </c>
      <c r="C1443" s="606" t="s">
        <v>10</v>
      </c>
      <c r="D1443" s="605" t="s">
        <v>689</v>
      </c>
      <c r="E1443" s="606" t="s">
        <v>3920</v>
      </c>
      <c r="F1443" s="606" t="s">
        <v>3920</v>
      </c>
      <c r="G1443" s="606" t="s">
        <v>1085</v>
      </c>
      <c r="H1443" s="606" t="s">
        <v>3861</v>
      </c>
      <c r="I1443" s="606" t="s">
        <v>1087</v>
      </c>
      <c r="J1443" s="606" t="s">
        <v>1088</v>
      </c>
    </row>
    <row r="1444" spans="2:10" ht="21" customHeight="1">
      <c r="B1444" s="605" t="s">
        <v>3921</v>
      </c>
      <c r="C1444" s="606" t="s">
        <v>10</v>
      </c>
      <c r="D1444" s="605" t="s">
        <v>689</v>
      </c>
      <c r="E1444" s="606" t="s">
        <v>220</v>
      </c>
      <c r="F1444" s="606" t="s">
        <v>220</v>
      </c>
      <c r="G1444" s="606" t="s">
        <v>1085</v>
      </c>
      <c r="H1444" s="606" t="s">
        <v>3861</v>
      </c>
      <c r="I1444" s="606" t="s">
        <v>1087</v>
      </c>
      <c r="J1444" s="606" t="s">
        <v>1088</v>
      </c>
    </row>
    <row r="1445" spans="2:10" ht="21" customHeight="1">
      <c r="B1445" s="605" t="s">
        <v>3922</v>
      </c>
      <c r="C1445" s="606" t="s">
        <v>10</v>
      </c>
      <c r="D1445" s="605" t="s">
        <v>689</v>
      </c>
      <c r="E1445" s="606" t="s">
        <v>3923</v>
      </c>
      <c r="F1445" s="606" t="s">
        <v>3924</v>
      </c>
      <c r="G1445" s="606" t="s">
        <v>1085</v>
      </c>
      <c r="H1445" s="606" t="s">
        <v>3861</v>
      </c>
      <c r="I1445" s="606" t="s">
        <v>1087</v>
      </c>
      <c r="J1445" s="606" t="s">
        <v>1088</v>
      </c>
    </row>
    <row r="1446" spans="2:10" ht="21" customHeight="1">
      <c r="B1446" s="605" t="s">
        <v>3925</v>
      </c>
      <c r="C1446" s="606" t="s">
        <v>10</v>
      </c>
      <c r="D1446" s="605" t="s">
        <v>689</v>
      </c>
      <c r="E1446" s="606" t="s">
        <v>3926</v>
      </c>
      <c r="F1446" s="606" t="s">
        <v>3926</v>
      </c>
      <c r="G1446" s="606" t="s">
        <v>1085</v>
      </c>
      <c r="H1446" s="606" t="s">
        <v>3861</v>
      </c>
      <c r="I1446" s="606" t="s">
        <v>1087</v>
      </c>
      <c r="J1446" s="606" t="s">
        <v>1088</v>
      </c>
    </row>
    <row r="1447" spans="2:10" ht="21" customHeight="1">
      <c r="B1447" s="605" t="s">
        <v>3927</v>
      </c>
      <c r="C1447" s="606" t="s">
        <v>10</v>
      </c>
      <c r="D1447" s="605" t="s">
        <v>689</v>
      </c>
      <c r="E1447" s="606" t="s">
        <v>3928</v>
      </c>
      <c r="F1447" s="606" t="s">
        <v>3928</v>
      </c>
      <c r="G1447" s="606" t="s">
        <v>1085</v>
      </c>
      <c r="H1447" s="606" t="s">
        <v>3861</v>
      </c>
      <c r="I1447" s="606" t="s">
        <v>1087</v>
      </c>
      <c r="J1447" s="606" t="s">
        <v>1088</v>
      </c>
    </row>
    <row r="1448" spans="2:10" ht="21" customHeight="1">
      <c r="B1448" s="605" t="s">
        <v>3929</v>
      </c>
      <c r="C1448" s="606" t="s">
        <v>10</v>
      </c>
      <c r="D1448" s="605" t="s">
        <v>690</v>
      </c>
      <c r="E1448" s="606" t="s">
        <v>3930</v>
      </c>
      <c r="F1448" s="606" t="s">
        <v>32</v>
      </c>
      <c r="G1448" s="606" t="s">
        <v>1085</v>
      </c>
      <c r="H1448" s="606" t="s">
        <v>3931</v>
      </c>
      <c r="I1448" s="606" t="s">
        <v>1087</v>
      </c>
      <c r="J1448" s="606" t="s">
        <v>1088</v>
      </c>
    </row>
    <row r="1449" spans="2:10" ht="21" customHeight="1">
      <c r="B1449" s="605" t="s">
        <v>3932</v>
      </c>
      <c r="C1449" s="606" t="s">
        <v>10</v>
      </c>
      <c r="D1449" s="605" t="s">
        <v>690</v>
      </c>
      <c r="E1449" s="606" t="s">
        <v>3933</v>
      </c>
      <c r="F1449" s="606" t="s">
        <v>22</v>
      </c>
      <c r="G1449" s="606" t="s">
        <v>1085</v>
      </c>
      <c r="H1449" s="606" t="s">
        <v>3931</v>
      </c>
      <c r="I1449" s="606" t="s">
        <v>1087</v>
      </c>
      <c r="J1449" s="606" t="s">
        <v>1088</v>
      </c>
    </row>
    <row r="1450" spans="2:10" ht="21" customHeight="1">
      <c r="B1450" s="605" t="s">
        <v>3934</v>
      </c>
      <c r="C1450" s="606" t="s">
        <v>10</v>
      </c>
      <c r="D1450" s="605" t="s">
        <v>1511</v>
      </c>
      <c r="E1450" s="606" t="s">
        <v>3935</v>
      </c>
      <c r="F1450" s="606" t="s">
        <v>3935</v>
      </c>
      <c r="G1450" s="606" t="s">
        <v>1085</v>
      </c>
      <c r="H1450" s="606" t="s">
        <v>3799</v>
      </c>
      <c r="I1450" s="606" t="s">
        <v>1087</v>
      </c>
      <c r="J1450" s="606" t="s">
        <v>1088</v>
      </c>
    </row>
    <row r="1451" spans="2:10" ht="21" customHeight="1">
      <c r="B1451" s="605" t="s">
        <v>3936</v>
      </c>
      <c r="C1451" s="606" t="s">
        <v>10</v>
      </c>
      <c r="D1451" s="605" t="s">
        <v>1511</v>
      </c>
      <c r="E1451" s="606" t="s">
        <v>3937</v>
      </c>
      <c r="F1451" s="606" t="s">
        <v>3937</v>
      </c>
      <c r="G1451" s="606" t="s">
        <v>1085</v>
      </c>
      <c r="H1451" s="606" t="s">
        <v>3799</v>
      </c>
      <c r="I1451" s="606" t="s">
        <v>1087</v>
      </c>
      <c r="J1451" s="606" t="s">
        <v>1088</v>
      </c>
    </row>
    <row r="1452" spans="2:10" ht="21" customHeight="1">
      <c r="B1452" s="605" t="s">
        <v>3938</v>
      </c>
      <c r="C1452" s="606" t="s">
        <v>10</v>
      </c>
      <c r="D1452" s="605" t="s">
        <v>1511</v>
      </c>
      <c r="E1452" s="606" t="s">
        <v>3939</v>
      </c>
      <c r="F1452" s="606" t="s">
        <v>3939</v>
      </c>
      <c r="G1452" s="606" t="s">
        <v>1085</v>
      </c>
      <c r="H1452" s="606" t="s">
        <v>3799</v>
      </c>
      <c r="I1452" s="606" t="s">
        <v>1087</v>
      </c>
      <c r="J1452" s="606" t="s">
        <v>1088</v>
      </c>
    </row>
    <row r="1453" spans="2:10" ht="21" customHeight="1">
      <c r="B1453" s="605" t="s">
        <v>3940</v>
      </c>
      <c r="C1453" s="606" t="s">
        <v>10</v>
      </c>
      <c r="D1453" s="605" t="s">
        <v>1511</v>
      </c>
      <c r="E1453" s="606" t="s">
        <v>1529</v>
      </c>
      <c r="F1453" s="606" t="s">
        <v>1529</v>
      </c>
      <c r="G1453" s="606" t="s">
        <v>1085</v>
      </c>
      <c r="H1453" s="606" t="s">
        <v>3799</v>
      </c>
      <c r="I1453" s="606" t="s">
        <v>1087</v>
      </c>
      <c r="J1453" s="606" t="s">
        <v>1088</v>
      </c>
    </row>
    <row r="1454" spans="2:10" ht="21" customHeight="1">
      <c r="B1454" s="605" t="s">
        <v>3941</v>
      </c>
      <c r="C1454" s="606" t="s">
        <v>10</v>
      </c>
      <c r="D1454" s="605" t="s">
        <v>1511</v>
      </c>
      <c r="E1454" s="606" t="s">
        <v>3942</v>
      </c>
      <c r="F1454" s="606" t="s">
        <v>3943</v>
      </c>
      <c r="G1454" s="606" t="s">
        <v>1085</v>
      </c>
      <c r="H1454" s="606" t="s">
        <v>3799</v>
      </c>
      <c r="I1454" s="606" t="s">
        <v>1087</v>
      </c>
      <c r="J1454" s="606" t="s">
        <v>1088</v>
      </c>
    </row>
    <row r="1455" spans="2:10" ht="21" customHeight="1">
      <c r="B1455" s="605" t="s">
        <v>3944</v>
      </c>
      <c r="C1455" s="606" t="s">
        <v>10</v>
      </c>
      <c r="D1455" s="605" t="s">
        <v>1511</v>
      </c>
      <c r="E1455" s="606" t="s">
        <v>3945</v>
      </c>
      <c r="F1455" s="606" t="s">
        <v>3945</v>
      </c>
      <c r="G1455" s="606" t="s">
        <v>1085</v>
      </c>
      <c r="H1455" s="606" t="s">
        <v>3799</v>
      </c>
      <c r="I1455" s="606" t="s">
        <v>1087</v>
      </c>
      <c r="J1455" s="606" t="s">
        <v>1088</v>
      </c>
    </row>
    <row r="1456" spans="2:10" ht="21" customHeight="1">
      <c r="B1456" s="605" t="s">
        <v>3946</v>
      </c>
      <c r="C1456" s="606" t="s">
        <v>10</v>
      </c>
      <c r="D1456" s="605" t="s">
        <v>1511</v>
      </c>
      <c r="E1456" s="606" t="s">
        <v>3947</v>
      </c>
      <c r="F1456" s="606" t="s">
        <v>3948</v>
      </c>
      <c r="G1456" s="606" t="s">
        <v>1085</v>
      </c>
      <c r="H1456" s="606" t="s">
        <v>3799</v>
      </c>
      <c r="I1456" s="606" t="s">
        <v>1087</v>
      </c>
      <c r="J1456" s="606" t="s">
        <v>1088</v>
      </c>
    </row>
    <row r="1457" spans="2:10" ht="21" customHeight="1">
      <c r="B1457" s="605" t="s">
        <v>3949</v>
      </c>
      <c r="C1457" s="606" t="s">
        <v>10</v>
      </c>
      <c r="D1457" s="605" t="s">
        <v>1511</v>
      </c>
      <c r="E1457" s="606" t="s">
        <v>3950</v>
      </c>
      <c r="F1457" s="606" t="s">
        <v>3950</v>
      </c>
      <c r="G1457" s="606" t="s">
        <v>1085</v>
      </c>
      <c r="H1457" s="606" t="s">
        <v>3799</v>
      </c>
      <c r="I1457" s="606" t="s">
        <v>1087</v>
      </c>
      <c r="J1457" s="606" t="s">
        <v>1088</v>
      </c>
    </row>
    <row r="1458" spans="2:10" ht="21" customHeight="1">
      <c r="B1458" s="605" t="s">
        <v>3951</v>
      </c>
      <c r="C1458" s="606" t="s">
        <v>10</v>
      </c>
      <c r="D1458" s="605" t="s">
        <v>1511</v>
      </c>
      <c r="E1458" s="606" t="s">
        <v>3952</v>
      </c>
      <c r="F1458" s="606" t="s">
        <v>3952</v>
      </c>
      <c r="G1458" s="606" t="s">
        <v>1085</v>
      </c>
      <c r="H1458" s="606" t="s">
        <v>3799</v>
      </c>
      <c r="I1458" s="606" t="s">
        <v>1087</v>
      </c>
      <c r="J1458" s="606" t="s">
        <v>1088</v>
      </c>
    </row>
    <row r="1459" spans="2:10" ht="21" customHeight="1">
      <c r="B1459" s="605" t="s">
        <v>3953</v>
      </c>
      <c r="C1459" s="606" t="s">
        <v>10</v>
      </c>
      <c r="D1459" s="605" t="s">
        <v>1511</v>
      </c>
      <c r="E1459" s="606" t="s">
        <v>3954</v>
      </c>
      <c r="F1459" s="606" t="s">
        <v>3954</v>
      </c>
      <c r="G1459" s="606" t="s">
        <v>1085</v>
      </c>
      <c r="H1459" s="606" t="s">
        <v>3799</v>
      </c>
      <c r="I1459" s="606" t="s">
        <v>1087</v>
      </c>
      <c r="J1459" s="606" t="s">
        <v>1088</v>
      </c>
    </row>
    <row r="1460" spans="2:10" ht="21" customHeight="1">
      <c r="B1460" s="605" t="s">
        <v>3955</v>
      </c>
      <c r="C1460" s="606" t="s">
        <v>10</v>
      </c>
      <c r="D1460" s="605" t="s">
        <v>1511</v>
      </c>
      <c r="E1460" s="606" t="s">
        <v>3956</v>
      </c>
      <c r="F1460" s="606" t="s">
        <v>3956</v>
      </c>
      <c r="G1460" s="606" t="s">
        <v>1085</v>
      </c>
      <c r="H1460" s="606" t="s">
        <v>3799</v>
      </c>
      <c r="I1460" s="606" t="s">
        <v>1087</v>
      </c>
      <c r="J1460" s="606" t="s">
        <v>1088</v>
      </c>
    </row>
    <row r="1461" spans="2:10" ht="21" customHeight="1">
      <c r="B1461" s="605" t="s">
        <v>3957</v>
      </c>
      <c r="C1461" s="606" t="s">
        <v>11</v>
      </c>
      <c r="D1461" s="605" t="s">
        <v>689</v>
      </c>
      <c r="E1461" s="606" t="s">
        <v>3958</v>
      </c>
      <c r="F1461" s="606" t="s">
        <v>3958</v>
      </c>
      <c r="G1461" s="606" t="s">
        <v>3959</v>
      </c>
      <c r="H1461" s="606" t="s">
        <v>3960</v>
      </c>
      <c r="I1461" s="606" t="s">
        <v>3961</v>
      </c>
      <c r="J1461" s="606" t="s">
        <v>3962</v>
      </c>
    </row>
    <row r="1462" spans="2:10" ht="21" customHeight="1">
      <c r="B1462" s="605" t="s">
        <v>3963</v>
      </c>
      <c r="C1462" s="606" t="s">
        <v>11</v>
      </c>
      <c r="D1462" s="605" t="s">
        <v>689</v>
      </c>
      <c r="E1462" s="606" t="s">
        <v>3964</v>
      </c>
      <c r="F1462" s="606" t="s">
        <v>3964</v>
      </c>
      <c r="G1462" s="606" t="s">
        <v>3959</v>
      </c>
      <c r="H1462" s="606" t="s">
        <v>3960</v>
      </c>
      <c r="I1462" s="606" t="s">
        <v>3961</v>
      </c>
      <c r="J1462" s="606" t="s">
        <v>3962</v>
      </c>
    </row>
    <row r="1463" spans="2:10" ht="21" customHeight="1">
      <c r="B1463" s="605" t="s">
        <v>3965</v>
      </c>
      <c r="C1463" s="606" t="s">
        <v>11</v>
      </c>
      <c r="D1463" s="605" t="s">
        <v>689</v>
      </c>
      <c r="E1463" s="606" t="s">
        <v>3966</v>
      </c>
      <c r="F1463" s="606" t="s">
        <v>3966</v>
      </c>
      <c r="G1463" s="606" t="s">
        <v>3959</v>
      </c>
      <c r="H1463" s="606" t="s">
        <v>3960</v>
      </c>
      <c r="I1463" s="606" t="s">
        <v>3961</v>
      </c>
      <c r="J1463" s="606" t="s">
        <v>3962</v>
      </c>
    </row>
    <row r="1464" spans="2:10" ht="21" customHeight="1">
      <c r="B1464" s="605" t="s">
        <v>3967</v>
      </c>
      <c r="C1464" s="606" t="s">
        <v>11</v>
      </c>
      <c r="D1464" s="605" t="s">
        <v>689</v>
      </c>
      <c r="E1464" s="606" t="s">
        <v>3968</v>
      </c>
      <c r="F1464" s="606" t="s">
        <v>3968</v>
      </c>
      <c r="G1464" s="606" t="s">
        <v>3959</v>
      </c>
      <c r="H1464" s="606" t="s">
        <v>3960</v>
      </c>
      <c r="I1464" s="606" t="s">
        <v>3961</v>
      </c>
      <c r="J1464" s="606" t="s">
        <v>3962</v>
      </c>
    </row>
    <row r="1465" spans="2:10" ht="21" customHeight="1">
      <c r="B1465" s="605" t="s">
        <v>3969</v>
      </c>
      <c r="C1465" s="606" t="s">
        <v>11</v>
      </c>
      <c r="D1465" s="605" t="s">
        <v>689</v>
      </c>
      <c r="E1465" s="606" t="s">
        <v>3970</v>
      </c>
      <c r="F1465" s="606" t="s">
        <v>3970</v>
      </c>
      <c r="G1465" s="606" t="s">
        <v>3959</v>
      </c>
      <c r="H1465" s="606" t="s">
        <v>3960</v>
      </c>
      <c r="I1465" s="606" t="s">
        <v>3961</v>
      </c>
      <c r="J1465" s="606" t="s">
        <v>3962</v>
      </c>
    </row>
    <row r="1466" spans="2:10" ht="21" customHeight="1">
      <c r="B1466" s="605" t="s">
        <v>3971</v>
      </c>
      <c r="C1466" s="606" t="s">
        <v>11</v>
      </c>
      <c r="D1466" s="605" t="s">
        <v>689</v>
      </c>
      <c r="E1466" s="606" t="s">
        <v>3972</v>
      </c>
      <c r="F1466" s="606" t="s">
        <v>3972</v>
      </c>
      <c r="G1466" s="606" t="s">
        <v>3959</v>
      </c>
      <c r="H1466" s="606" t="s">
        <v>3960</v>
      </c>
      <c r="I1466" s="606" t="s">
        <v>3961</v>
      </c>
      <c r="J1466" s="606" t="s">
        <v>3962</v>
      </c>
    </row>
    <row r="1467" spans="2:10" ht="21" customHeight="1">
      <c r="B1467" s="605" t="s">
        <v>3973</v>
      </c>
      <c r="C1467" s="606" t="s">
        <v>11</v>
      </c>
      <c r="D1467" s="605" t="s">
        <v>689</v>
      </c>
      <c r="E1467" s="606" t="s">
        <v>322</v>
      </c>
      <c r="F1467" s="606" t="s">
        <v>322</v>
      </c>
      <c r="G1467" s="606" t="s">
        <v>1085</v>
      </c>
      <c r="H1467" s="606" t="s">
        <v>3974</v>
      </c>
      <c r="I1467" s="606" t="s">
        <v>1087</v>
      </c>
      <c r="J1467" s="606" t="s">
        <v>1088</v>
      </c>
    </row>
    <row r="1468" spans="2:10" ht="21" customHeight="1">
      <c r="B1468" s="605" t="s">
        <v>3975</v>
      </c>
      <c r="C1468" s="606" t="s">
        <v>11</v>
      </c>
      <c r="D1468" s="605" t="s">
        <v>689</v>
      </c>
      <c r="E1468" s="606" t="s">
        <v>935</v>
      </c>
      <c r="F1468" s="606" t="s">
        <v>935</v>
      </c>
      <c r="G1468" s="606" t="s">
        <v>3959</v>
      </c>
      <c r="H1468" s="606" t="s">
        <v>3960</v>
      </c>
      <c r="I1468" s="606" t="s">
        <v>3961</v>
      </c>
      <c r="J1468" s="606" t="s">
        <v>3962</v>
      </c>
    </row>
    <row r="1469" spans="2:10" ht="21" customHeight="1">
      <c r="B1469" s="605" t="s">
        <v>3976</v>
      </c>
      <c r="C1469" s="606" t="s">
        <v>11</v>
      </c>
      <c r="D1469" s="605" t="s">
        <v>689</v>
      </c>
      <c r="E1469" s="606" t="s">
        <v>3977</v>
      </c>
      <c r="F1469" s="606" t="s">
        <v>3977</v>
      </c>
      <c r="G1469" s="606" t="s">
        <v>1151</v>
      </c>
      <c r="H1469" s="606" t="s">
        <v>1152</v>
      </c>
      <c r="I1469" s="606" t="s">
        <v>1087</v>
      </c>
      <c r="J1469" s="606" t="s">
        <v>1153</v>
      </c>
    </row>
    <row r="1470" spans="2:10" ht="21" customHeight="1">
      <c r="B1470" s="605" t="s">
        <v>3978</v>
      </c>
      <c r="C1470" s="606" t="s">
        <v>11</v>
      </c>
      <c r="D1470" s="605" t="s">
        <v>689</v>
      </c>
      <c r="E1470" s="606" t="s">
        <v>3979</v>
      </c>
      <c r="F1470" s="606" t="s">
        <v>3979</v>
      </c>
      <c r="G1470" s="606" t="s">
        <v>3959</v>
      </c>
      <c r="H1470" s="606" t="s">
        <v>3960</v>
      </c>
      <c r="I1470" s="606" t="s">
        <v>3961</v>
      </c>
      <c r="J1470" s="606" t="s">
        <v>3962</v>
      </c>
    </row>
    <row r="1471" spans="2:10" ht="21" customHeight="1">
      <c r="B1471" s="605" t="s">
        <v>3980</v>
      </c>
      <c r="C1471" s="606" t="s">
        <v>11</v>
      </c>
      <c r="D1471" s="605" t="s">
        <v>689</v>
      </c>
      <c r="E1471" s="606" t="s">
        <v>938</v>
      </c>
      <c r="F1471" s="606" t="s">
        <v>938</v>
      </c>
      <c r="G1471" s="606" t="s">
        <v>1085</v>
      </c>
      <c r="H1471" s="606" t="s">
        <v>3974</v>
      </c>
      <c r="I1471" s="606" t="s">
        <v>1087</v>
      </c>
      <c r="J1471" s="606" t="s">
        <v>1088</v>
      </c>
    </row>
    <row r="1472" spans="2:10" ht="21" customHeight="1">
      <c r="B1472" s="605" t="s">
        <v>3981</v>
      </c>
      <c r="C1472" s="606" t="s">
        <v>11</v>
      </c>
      <c r="D1472" s="605" t="s">
        <v>689</v>
      </c>
      <c r="E1472" s="606" t="s">
        <v>3982</v>
      </c>
      <c r="F1472" s="606" t="s">
        <v>3982</v>
      </c>
      <c r="G1472" s="606" t="s">
        <v>3959</v>
      </c>
      <c r="H1472" s="606" t="s">
        <v>3960</v>
      </c>
      <c r="I1472" s="606" t="s">
        <v>3961</v>
      </c>
      <c r="J1472" s="606" t="s">
        <v>3962</v>
      </c>
    </row>
    <row r="1473" spans="2:10" ht="21" customHeight="1">
      <c r="B1473" s="605" t="s">
        <v>3983</v>
      </c>
      <c r="C1473" s="606" t="s">
        <v>11</v>
      </c>
      <c r="D1473" s="605" t="s">
        <v>689</v>
      </c>
      <c r="E1473" s="606" t="s">
        <v>167</v>
      </c>
      <c r="F1473" s="606" t="s">
        <v>167</v>
      </c>
      <c r="G1473" s="606" t="s">
        <v>1085</v>
      </c>
      <c r="H1473" s="606" t="s">
        <v>3974</v>
      </c>
      <c r="I1473" s="606" t="s">
        <v>1087</v>
      </c>
      <c r="J1473" s="606" t="s">
        <v>1088</v>
      </c>
    </row>
    <row r="1474" spans="2:10" ht="21" customHeight="1">
      <c r="B1474" s="605" t="s">
        <v>3984</v>
      </c>
      <c r="C1474" s="606" t="s">
        <v>11</v>
      </c>
      <c r="D1474" s="605" t="s">
        <v>689</v>
      </c>
      <c r="E1474" s="606" t="s">
        <v>939</v>
      </c>
      <c r="F1474" s="606" t="s">
        <v>939</v>
      </c>
      <c r="G1474" s="606" t="s">
        <v>3959</v>
      </c>
      <c r="H1474" s="606" t="s">
        <v>3960</v>
      </c>
      <c r="I1474" s="606" t="s">
        <v>3961</v>
      </c>
      <c r="J1474" s="606" t="s">
        <v>3962</v>
      </c>
    </row>
    <row r="1475" spans="2:10" ht="21" customHeight="1">
      <c r="B1475" s="605" t="s">
        <v>3985</v>
      </c>
      <c r="C1475" s="606" t="s">
        <v>11</v>
      </c>
      <c r="D1475" s="605" t="s">
        <v>689</v>
      </c>
      <c r="E1475" s="606" t="s">
        <v>3986</v>
      </c>
      <c r="F1475" s="606" t="s">
        <v>3987</v>
      </c>
      <c r="G1475" s="606" t="s">
        <v>3959</v>
      </c>
      <c r="H1475" s="606" t="s">
        <v>3960</v>
      </c>
      <c r="I1475" s="606" t="s">
        <v>3961</v>
      </c>
      <c r="J1475" s="606" t="s">
        <v>3962</v>
      </c>
    </row>
    <row r="1476" spans="2:10" ht="21" customHeight="1">
      <c r="B1476" s="605" t="s">
        <v>3988</v>
      </c>
      <c r="C1476" s="606" t="s">
        <v>11</v>
      </c>
      <c r="D1476" s="605" t="s">
        <v>689</v>
      </c>
      <c r="E1476" s="606" t="s">
        <v>696</v>
      </c>
      <c r="F1476" s="606" t="s">
        <v>696</v>
      </c>
      <c r="G1476" s="606" t="s">
        <v>1085</v>
      </c>
      <c r="H1476" s="606" t="s">
        <v>3974</v>
      </c>
      <c r="I1476" s="606" t="s">
        <v>1087</v>
      </c>
      <c r="J1476" s="606" t="s">
        <v>1088</v>
      </c>
    </row>
    <row r="1477" spans="2:10" ht="21" customHeight="1">
      <c r="B1477" s="605" t="s">
        <v>3989</v>
      </c>
      <c r="C1477" s="606" t="s">
        <v>11</v>
      </c>
      <c r="D1477" s="605" t="s">
        <v>689</v>
      </c>
      <c r="E1477" s="606" t="s">
        <v>697</v>
      </c>
      <c r="F1477" s="606" t="s">
        <v>697</v>
      </c>
      <c r="G1477" s="606" t="s">
        <v>1085</v>
      </c>
      <c r="H1477" s="606" t="s">
        <v>3974</v>
      </c>
      <c r="I1477" s="606" t="s">
        <v>1087</v>
      </c>
      <c r="J1477" s="606" t="s">
        <v>1088</v>
      </c>
    </row>
    <row r="1478" spans="2:10" ht="21" customHeight="1">
      <c r="B1478" s="605" t="s">
        <v>3990</v>
      </c>
      <c r="C1478" s="606" t="s">
        <v>11</v>
      </c>
      <c r="D1478" s="605" t="s">
        <v>689</v>
      </c>
      <c r="E1478" s="606" t="s">
        <v>695</v>
      </c>
      <c r="F1478" s="606" t="s">
        <v>695</v>
      </c>
      <c r="G1478" s="606" t="s">
        <v>1085</v>
      </c>
      <c r="H1478" s="606" t="s">
        <v>3974</v>
      </c>
      <c r="I1478" s="606" t="s">
        <v>1087</v>
      </c>
      <c r="J1478" s="606" t="s">
        <v>1088</v>
      </c>
    </row>
    <row r="1479" spans="2:10" ht="21" customHeight="1">
      <c r="B1479" s="605" t="s">
        <v>3991</v>
      </c>
      <c r="C1479" s="606" t="s">
        <v>11</v>
      </c>
      <c r="D1479" s="605" t="s">
        <v>689</v>
      </c>
      <c r="E1479" s="606" t="s">
        <v>3992</v>
      </c>
      <c r="F1479" s="606" t="s">
        <v>3993</v>
      </c>
      <c r="G1479" s="606" t="s">
        <v>3959</v>
      </c>
      <c r="H1479" s="606" t="s">
        <v>3960</v>
      </c>
      <c r="I1479" s="606" t="s">
        <v>3961</v>
      </c>
      <c r="J1479" s="606" t="s">
        <v>3962</v>
      </c>
    </row>
    <row r="1480" spans="2:10" ht="21" customHeight="1">
      <c r="B1480" s="605" t="s">
        <v>3994</v>
      </c>
      <c r="C1480" s="606" t="s">
        <v>11</v>
      </c>
      <c r="D1480" s="605" t="s">
        <v>689</v>
      </c>
      <c r="E1480" s="606" t="s">
        <v>3995</v>
      </c>
      <c r="F1480" s="606" t="s">
        <v>3995</v>
      </c>
      <c r="G1480" s="606" t="s">
        <v>3959</v>
      </c>
      <c r="H1480" s="606" t="s">
        <v>3960</v>
      </c>
      <c r="I1480" s="606" t="s">
        <v>3961</v>
      </c>
      <c r="J1480" s="606" t="s">
        <v>3962</v>
      </c>
    </row>
    <row r="1481" spans="2:10" ht="21" customHeight="1">
      <c r="B1481" s="605" t="s">
        <v>3996</v>
      </c>
      <c r="C1481" s="606" t="s">
        <v>11</v>
      </c>
      <c r="D1481" s="605" t="s">
        <v>689</v>
      </c>
      <c r="E1481" s="606" t="s">
        <v>3997</v>
      </c>
      <c r="F1481" s="606" t="s">
        <v>3998</v>
      </c>
      <c r="G1481" s="606" t="s">
        <v>1085</v>
      </c>
      <c r="H1481" s="606" t="s">
        <v>3974</v>
      </c>
      <c r="I1481" s="606" t="s">
        <v>1087</v>
      </c>
      <c r="J1481" s="606" t="s">
        <v>1088</v>
      </c>
    </row>
    <row r="1482" spans="2:10" ht="21" customHeight="1">
      <c r="B1482" s="605" t="s">
        <v>3999</v>
      </c>
      <c r="C1482" s="606" t="s">
        <v>11</v>
      </c>
      <c r="D1482" s="605" t="s">
        <v>689</v>
      </c>
      <c r="E1482" s="606" t="s">
        <v>940</v>
      </c>
      <c r="F1482" s="606" t="s">
        <v>940</v>
      </c>
      <c r="G1482" s="606" t="s">
        <v>3959</v>
      </c>
      <c r="H1482" s="606" t="s">
        <v>3960</v>
      </c>
      <c r="I1482" s="606" t="s">
        <v>3961</v>
      </c>
      <c r="J1482" s="606" t="s">
        <v>3962</v>
      </c>
    </row>
    <row r="1483" spans="2:10" ht="21" customHeight="1">
      <c r="B1483" s="605" t="s">
        <v>4000</v>
      </c>
      <c r="C1483" s="606" t="s">
        <v>11</v>
      </c>
      <c r="D1483" s="605" t="s">
        <v>689</v>
      </c>
      <c r="E1483" s="606" t="s">
        <v>4001</v>
      </c>
      <c r="F1483" s="606" t="s">
        <v>4001</v>
      </c>
      <c r="G1483" s="606" t="s">
        <v>1085</v>
      </c>
      <c r="H1483" s="606" t="s">
        <v>3974</v>
      </c>
      <c r="I1483" s="606" t="s">
        <v>1087</v>
      </c>
      <c r="J1483" s="606" t="s">
        <v>1088</v>
      </c>
    </row>
    <row r="1484" spans="2:10" ht="21" customHeight="1">
      <c r="B1484" s="605" t="s">
        <v>4002</v>
      </c>
      <c r="C1484" s="606" t="s">
        <v>11</v>
      </c>
      <c r="D1484" s="605" t="s">
        <v>689</v>
      </c>
      <c r="E1484" s="606" t="s">
        <v>4003</v>
      </c>
      <c r="F1484" s="606" t="s">
        <v>4003</v>
      </c>
      <c r="G1484" s="606" t="s">
        <v>3959</v>
      </c>
      <c r="H1484" s="606" t="s">
        <v>3960</v>
      </c>
      <c r="I1484" s="606" t="s">
        <v>3961</v>
      </c>
      <c r="J1484" s="606" t="s">
        <v>3962</v>
      </c>
    </row>
    <row r="1485" spans="2:10" ht="21" customHeight="1">
      <c r="B1485" s="605" t="s">
        <v>4004</v>
      </c>
      <c r="C1485" s="606" t="s">
        <v>11</v>
      </c>
      <c r="D1485" s="605" t="s">
        <v>689</v>
      </c>
      <c r="E1485" s="606" t="s">
        <v>4005</v>
      </c>
      <c r="F1485" s="606" t="s">
        <v>4005</v>
      </c>
      <c r="G1485" s="606" t="s">
        <v>3959</v>
      </c>
      <c r="H1485" s="606" t="s">
        <v>3960</v>
      </c>
      <c r="I1485" s="606" t="s">
        <v>3961</v>
      </c>
      <c r="J1485" s="606" t="s">
        <v>3962</v>
      </c>
    </row>
    <row r="1486" spans="2:10" ht="21" customHeight="1">
      <c r="B1486" s="605" t="s">
        <v>4006</v>
      </c>
      <c r="C1486" s="606" t="s">
        <v>11</v>
      </c>
      <c r="D1486" s="605" t="s">
        <v>689</v>
      </c>
      <c r="E1486" s="606" t="s">
        <v>4007</v>
      </c>
      <c r="F1486" s="606" t="s">
        <v>4007</v>
      </c>
      <c r="G1486" s="606" t="s">
        <v>3959</v>
      </c>
      <c r="H1486" s="606" t="s">
        <v>3960</v>
      </c>
      <c r="I1486" s="606" t="s">
        <v>3961</v>
      </c>
      <c r="J1486" s="606" t="s">
        <v>3962</v>
      </c>
    </row>
    <row r="1487" spans="2:10" ht="21" customHeight="1">
      <c r="B1487" s="605" t="s">
        <v>4008</v>
      </c>
      <c r="C1487" s="606" t="s">
        <v>11</v>
      </c>
      <c r="D1487" s="605" t="s">
        <v>689</v>
      </c>
      <c r="E1487" s="606" t="s">
        <v>941</v>
      </c>
      <c r="F1487" s="606" t="s">
        <v>941</v>
      </c>
      <c r="G1487" s="606" t="s">
        <v>3959</v>
      </c>
      <c r="H1487" s="606" t="s">
        <v>3960</v>
      </c>
      <c r="I1487" s="606" t="s">
        <v>3961</v>
      </c>
      <c r="J1487" s="606" t="s">
        <v>3962</v>
      </c>
    </row>
    <row r="1488" spans="2:10" ht="21" customHeight="1">
      <c r="B1488" s="605" t="s">
        <v>4009</v>
      </c>
      <c r="C1488" s="606" t="s">
        <v>11</v>
      </c>
      <c r="D1488" s="605" t="s">
        <v>689</v>
      </c>
      <c r="E1488" s="606" t="s">
        <v>943</v>
      </c>
      <c r="F1488" s="606" t="s">
        <v>943</v>
      </c>
      <c r="G1488" s="606" t="s">
        <v>1085</v>
      </c>
      <c r="H1488" s="606" t="s">
        <v>3974</v>
      </c>
      <c r="I1488" s="606" t="s">
        <v>1087</v>
      </c>
      <c r="J1488" s="606" t="s">
        <v>1088</v>
      </c>
    </row>
    <row r="1489" spans="2:10" ht="21" customHeight="1">
      <c r="B1489" s="605" t="s">
        <v>4010</v>
      </c>
      <c r="C1489" s="606" t="s">
        <v>11</v>
      </c>
      <c r="D1489" s="605" t="s">
        <v>689</v>
      </c>
      <c r="E1489" s="606" t="s">
        <v>4011</v>
      </c>
      <c r="F1489" s="606" t="s">
        <v>4011</v>
      </c>
      <c r="G1489" s="606" t="s">
        <v>3959</v>
      </c>
      <c r="H1489" s="606" t="s">
        <v>3960</v>
      </c>
      <c r="I1489" s="606" t="s">
        <v>3961</v>
      </c>
      <c r="J1489" s="606" t="s">
        <v>3962</v>
      </c>
    </row>
    <row r="1490" spans="2:10" ht="21" customHeight="1">
      <c r="B1490" s="605" t="s">
        <v>4012</v>
      </c>
      <c r="C1490" s="606" t="s">
        <v>11</v>
      </c>
      <c r="D1490" s="605" t="s">
        <v>689</v>
      </c>
      <c r="E1490" s="606" t="s">
        <v>4013</v>
      </c>
      <c r="F1490" s="606" t="s">
        <v>4013</v>
      </c>
      <c r="G1490" s="606" t="s">
        <v>3959</v>
      </c>
      <c r="H1490" s="606" t="s">
        <v>3960</v>
      </c>
      <c r="I1490" s="606" t="s">
        <v>3961</v>
      </c>
      <c r="J1490" s="606" t="s">
        <v>3962</v>
      </c>
    </row>
    <row r="1491" spans="2:10" ht="21" customHeight="1">
      <c r="B1491" s="605" t="s">
        <v>4014</v>
      </c>
      <c r="C1491" s="606" t="s">
        <v>11</v>
      </c>
      <c r="D1491" s="605" t="s">
        <v>689</v>
      </c>
      <c r="E1491" s="606" t="s">
        <v>4015</v>
      </c>
      <c r="F1491" s="606" t="s">
        <v>4016</v>
      </c>
      <c r="G1491" s="606" t="s">
        <v>3959</v>
      </c>
      <c r="H1491" s="606" t="s">
        <v>3960</v>
      </c>
      <c r="I1491" s="606" t="s">
        <v>3961</v>
      </c>
      <c r="J1491" s="606" t="s">
        <v>3962</v>
      </c>
    </row>
    <row r="1492" spans="2:10" ht="21" customHeight="1">
      <c r="B1492" s="605" t="s">
        <v>4017</v>
      </c>
      <c r="C1492" s="606" t="s">
        <v>11</v>
      </c>
      <c r="D1492" s="605" t="s">
        <v>689</v>
      </c>
      <c r="E1492" s="606" t="s">
        <v>4018</v>
      </c>
      <c r="F1492" s="606" t="s">
        <v>4018</v>
      </c>
      <c r="G1492" s="606" t="s">
        <v>1085</v>
      </c>
      <c r="H1492" s="606" t="s">
        <v>3974</v>
      </c>
      <c r="I1492" s="606" t="s">
        <v>1087</v>
      </c>
      <c r="J1492" s="606" t="s">
        <v>1088</v>
      </c>
    </row>
    <row r="1493" spans="2:10" ht="21" customHeight="1">
      <c r="B1493" s="605" t="s">
        <v>4019</v>
      </c>
      <c r="C1493" s="606" t="s">
        <v>11</v>
      </c>
      <c r="D1493" s="605" t="s">
        <v>689</v>
      </c>
      <c r="E1493" s="606" t="s">
        <v>4020</v>
      </c>
      <c r="F1493" s="606" t="s">
        <v>4020</v>
      </c>
      <c r="G1493" s="606" t="s">
        <v>1085</v>
      </c>
      <c r="H1493" s="606" t="s">
        <v>3974</v>
      </c>
      <c r="I1493" s="606" t="s">
        <v>1087</v>
      </c>
      <c r="J1493" s="606" t="s">
        <v>1088</v>
      </c>
    </row>
    <row r="1494" spans="2:10" ht="21" customHeight="1">
      <c r="B1494" s="605" t="s">
        <v>4021</v>
      </c>
      <c r="C1494" s="606" t="s">
        <v>11</v>
      </c>
      <c r="D1494" s="605" t="s">
        <v>689</v>
      </c>
      <c r="E1494" s="606" t="s">
        <v>4022</v>
      </c>
      <c r="F1494" s="606" t="s">
        <v>4022</v>
      </c>
      <c r="G1494" s="606" t="s">
        <v>3959</v>
      </c>
      <c r="H1494" s="606" t="s">
        <v>3960</v>
      </c>
      <c r="I1494" s="606" t="s">
        <v>3961</v>
      </c>
      <c r="J1494" s="606" t="s">
        <v>3962</v>
      </c>
    </row>
    <row r="1495" spans="2:10" ht="21" customHeight="1">
      <c r="B1495" s="605" t="s">
        <v>4023</v>
      </c>
      <c r="C1495" s="606" t="s">
        <v>11</v>
      </c>
      <c r="D1495" s="605" t="s">
        <v>689</v>
      </c>
      <c r="E1495" s="606" t="s">
        <v>4024</v>
      </c>
      <c r="F1495" s="606" t="s">
        <v>4024</v>
      </c>
      <c r="G1495" s="606" t="s">
        <v>3959</v>
      </c>
      <c r="H1495" s="606" t="s">
        <v>3960</v>
      </c>
      <c r="I1495" s="606" t="s">
        <v>3961</v>
      </c>
      <c r="J1495" s="606" t="s">
        <v>3962</v>
      </c>
    </row>
    <row r="1496" spans="2:10" ht="21" customHeight="1">
      <c r="B1496" s="605" t="s">
        <v>4025</v>
      </c>
      <c r="C1496" s="606" t="s">
        <v>11</v>
      </c>
      <c r="D1496" s="605" t="s">
        <v>689</v>
      </c>
      <c r="E1496" s="606" t="s">
        <v>4026</v>
      </c>
      <c r="F1496" s="606" t="s">
        <v>4027</v>
      </c>
      <c r="G1496" s="606" t="s">
        <v>3959</v>
      </c>
      <c r="H1496" s="606" t="s">
        <v>3960</v>
      </c>
      <c r="I1496" s="606" t="s">
        <v>3961</v>
      </c>
      <c r="J1496" s="606" t="s">
        <v>3962</v>
      </c>
    </row>
    <row r="1497" spans="2:10" ht="21" customHeight="1">
      <c r="B1497" s="605" t="s">
        <v>4028</v>
      </c>
      <c r="C1497" s="606" t="s">
        <v>11</v>
      </c>
      <c r="D1497" s="605" t="s">
        <v>689</v>
      </c>
      <c r="E1497" s="606" t="s">
        <v>4029</v>
      </c>
      <c r="F1497" s="606" t="s">
        <v>4029</v>
      </c>
      <c r="G1497" s="606" t="s">
        <v>1085</v>
      </c>
      <c r="H1497" s="606" t="s">
        <v>3974</v>
      </c>
      <c r="I1497" s="606" t="s">
        <v>1087</v>
      </c>
      <c r="J1497" s="606" t="s">
        <v>1088</v>
      </c>
    </row>
    <row r="1498" spans="2:10" ht="21" customHeight="1">
      <c r="B1498" s="605" t="s">
        <v>4030</v>
      </c>
      <c r="C1498" s="606" t="s">
        <v>11</v>
      </c>
      <c r="D1498" s="605" t="s">
        <v>689</v>
      </c>
      <c r="E1498" s="606" t="s">
        <v>323</v>
      </c>
      <c r="F1498" s="606" t="s">
        <v>323</v>
      </c>
      <c r="G1498" s="606" t="s">
        <v>1151</v>
      </c>
      <c r="H1498" s="606" t="s">
        <v>1152</v>
      </c>
      <c r="I1498" s="606" t="s">
        <v>1087</v>
      </c>
      <c r="J1498" s="606" t="s">
        <v>1153</v>
      </c>
    </row>
    <row r="1499" spans="2:10" ht="21" customHeight="1">
      <c r="B1499" s="605" t="s">
        <v>4031</v>
      </c>
      <c r="C1499" s="606" t="s">
        <v>11</v>
      </c>
      <c r="D1499" s="605" t="s">
        <v>689</v>
      </c>
      <c r="E1499" s="606" t="s">
        <v>4032</v>
      </c>
      <c r="F1499" s="606" t="s">
        <v>4032</v>
      </c>
      <c r="G1499" s="606" t="s">
        <v>3959</v>
      </c>
      <c r="H1499" s="606" t="s">
        <v>3960</v>
      </c>
      <c r="I1499" s="606" t="s">
        <v>3961</v>
      </c>
      <c r="J1499" s="606" t="s">
        <v>3962</v>
      </c>
    </row>
    <row r="1500" spans="2:10" ht="21" customHeight="1">
      <c r="B1500" s="605" t="s">
        <v>4033</v>
      </c>
      <c r="C1500" s="606" t="s">
        <v>11</v>
      </c>
      <c r="D1500" s="605" t="s">
        <v>689</v>
      </c>
      <c r="E1500" s="606" t="s">
        <v>4034</v>
      </c>
      <c r="F1500" s="606" t="s">
        <v>4035</v>
      </c>
      <c r="G1500" s="606" t="s">
        <v>3959</v>
      </c>
      <c r="H1500" s="606" t="s">
        <v>3960</v>
      </c>
      <c r="I1500" s="606" t="s">
        <v>3961</v>
      </c>
      <c r="J1500" s="606" t="s">
        <v>3962</v>
      </c>
    </row>
    <row r="1501" spans="2:10" ht="21" customHeight="1">
      <c r="B1501" s="605" t="s">
        <v>4036</v>
      </c>
      <c r="C1501" s="606" t="s">
        <v>11</v>
      </c>
      <c r="D1501" s="605" t="s">
        <v>689</v>
      </c>
      <c r="E1501" s="606" t="s">
        <v>4037</v>
      </c>
      <c r="F1501" s="606" t="s">
        <v>4037</v>
      </c>
      <c r="G1501" s="606" t="s">
        <v>3959</v>
      </c>
      <c r="H1501" s="606" t="s">
        <v>3960</v>
      </c>
      <c r="I1501" s="606" t="s">
        <v>3961</v>
      </c>
      <c r="J1501" s="606" t="s">
        <v>3962</v>
      </c>
    </row>
    <row r="1502" spans="2:10" ht="21" customHeight="1">
      <c r="B1502" s="605" t="s">
        <v>4038</v>
      </c>
      <c r="C1502" s="606" t="s">
        <v>11</v>
      </c>
      <c r="D1502" s="605" t="s">
        <v>689</v>
      </c>
      <c r="E1502" s="606" t="s">
        <v>4039</v>
      </c>
      <c r="F1502" s="606" t="s">
        <v>4039</v>
      </c>
      <c r="G1502" s="606" t="s">
        <v>3959</v>
      </c>
      <c r="H1502" s="606" t="s">
        <v>3960</v>
      </c>
      <c r="I1502" s="606" t="s">
        <v>3961</v>
      </c>
      <c r="J1502" s="606" t="s">
        <v>3962</v>
      </c>
    </row>
    <row r="1503" spans="2:10" ht="21" customHeight="1">
      <c r="B1503" s="605" t="s">
        <v>4040</v>
      </c>
      <c r="C1503" s="606" t="s">
        <v>11</v>
      </c>
      <c r="D1503" s="605" t="s">
        <v>689</v>
      </c>
      <c r="E1503" s="606" t="s">
        <v>4041</v>
      </c>
      <c r="F1503" s="606" t="s">
        <v>4041</v>
      </c>
      <c r="G1503" s="606" t="s">
        <v>3959</v>
      </c>
      <c r="H1503" s="606" t="s">
        <v>3960</v>
      </c>
      <c r="I1503" s="606" t="s">
        <v>3961</v>
      </c>
      <c r="J1503" s="606" t="s">
        <v>3962</v>
      </c>
    </row>
    <row r="1504" spans="2:10" ht="21" customHeight="1">
      <c r="B1504" s="605" t="s">
        <v>4042</v>
      </c>
      <c r="C1504" s="606" t="s">
        <v>11</v>
      </c>
      <c r="D1504" s="605" t="s">
        <v>689</v>
      </c>
      <c r="E1504" s="606" t="s">
        <v>4043</v>
      </c>
      <c r="F1504" s="606" t="s">
        <v>4044</v>
      </c>
      <c r="G1504" s="606" t="s">
        <v>3959</v>
      </c>
      <c r="H1504" s="606" t="s">
        <v>3960</v>
      </c>
      <c r="I1504" s="606" t="s">
        <v>3961</v>
      </c>
      <c r="J1504" s="606" t="s">
        <v>3962</v>
      </c>
    </row>
    <row r="1505" spans="2:10" ht="21" customHeight="1">
      <c r="B1505" s="605" t="s">
        <v>4045</v>
      </c>
      <c r="C1505" s="606" t="s">
        <v>11</v>
      </c>
      <c r="D1505" s="605" t="s">
        <v>689</v>
      </c>
      <c r="E1505" s="606" t="s">
        <v>4046</v>
      </c>
      <c r="F1505" s="606" t="s">
        <v>4047</v>
      </c>
      <c r="G1505" s="606" t="s">
        <v>3959</v>
      </c>
      <c r="H1505" s="606" t="s">
        <v>3960</v>
      </c>
      <c r="I1505" s="606" t="s">
        <v>3961</v>
      </c>
      <c r="J1505" s="606" t="s">
        <v>3962</v>
      </c>
    </row>
    <row r="1506" spans="2:10" ht="21" customHeight="1">
      <c r="B1506" s="605" t="s">
        <v>4048</v>
      </c>
      <c r="C1506" s="606" t="s">
        <v>11</v>
      </c>
      <c r="D1506" s="605" t="s">
        <v>689</v>
      </c>
      <c r="E1506" s="606" t="s">
        <v>944</v>
      </c>
      <c r="F1506" s="606" t="s">
        <v>944</v>
      </c>
      <c r="G1506" s="606" t="s">
        <v>1085</v>
      </c>
      <c r="H1506" s="606" t="s">
        <v>3974</v>
      </c>
      <c r="I1506" s="606" t="s">
        <v>1087</v>
      </c>
      <c r="J1506" s="606" t="s">
        <v>1088</v>
      </c>
    </row>
    <row r="1507" spans="2:10" ht="21" customHeight="1">
      <c r="B1507" s="605" t="s">
        <v>4049</v>
      </c>
      <c r="C1507" s="606" t="s">
        <v>11</v>
      </c>
      <c r="D1507" s="605" t="s">
        <v>689</v>
      </c>
      <c r="E1507" s="606" t="s">
        <v>4050</v>
      </c>
      <c r="F1507" s="606" t="s">
        <v>4050</v>
      </c>
      <c r="G1507" s="606" t="s">
        <v>3959</v>
      </c>
      <c r="H1507" s="606" t="s">
        <v>3960</v>
      </c>
      <c r="I1507" s="606" t="s">
        <v>3961</v>
      </c>
      <c r="J1507" s="606" t="s">
        <v>3962</v>
      </c>
    </row>
    <row r="1508" spans="2:10" ht="21" customHeight="1">
      <c r="B1508" s="605" t="s">
        <v>4051</v>
      </c>
      <c r="C1508" s="606" t="s">
        <v>11</v>
      </c>
      <c r="D1508" s="605" t="s">
        <v>689</v>
      </c>
      <c r="E1508" s="606" t="s">
        <v>4052</v>
      </c>
      <c r="F1508" s="606" t="s">
        <v>4052</v>
      </c>
      <c r="G1508" s="606" t="s">
        <v>1085</v>
      </c>
      <c r="H1508" s="606" t="s">
        <v>3974</v>
      </c>
      <c r="I1508" s="606" t="s">
        <v>1087</v>
      </c>
      <c r="J1508" s="606" t="s">
        <v>1088</v>
      </c>
    </row>
    <row r="1509" spans="2:10" ht="21" customHeight="1">
      <c r="B1509" s="605" t="s">
        <v>4053</v>
      </c>
      <c r="C1509" s="606" t="s">
        <v>11</v>
      </c>
      <c r="D1509" s="605" t="s">
        <v>689</v>
      </c>
      <c r="E1509" s="606" t="s">
        <v>945</v>
      </c>
      <c r="F1509" s="606" t="s">
        <v>945</v>
      </c>
      <c r="G1509" s="606" t="s">
        <v>1085</v>
      </c>
      <c r="H1509" s="606" t="s">
        <v>3974</v>
      </c>
      <c r="I1509" s="606" t="s">
        <v>1087</v>
      </c>
      <c r="J1509" s="606" t="s">
        <v>1088</v>
      </c>
    </row>
    <row r="1510" spans="2:10" ht="21" customHeight="1">
      <c r="B1510" s="605" t="s">
        <v>4054</v>
      </c>
      <c r="C1510" s="606" t="s">
        <v>11</v>
      </c>
      <c r="D1510" s="605" t="s">
        <v>689</v>
      </c>
      <c r="E1510" s="606" t="s">
        <v>4055</v>
      </c>
      <c r="F1510" s="606" t="s">
        <v>4055</v>
      </c>
      <c r="G1510" s="606" t="s">
        <v>3959</v>
      </c>
      <c r="H1510" s="606" t="s">
        <v>3960</v>
      </c>
      <c r="I1510" s="606" t="s">
        <v>3961</v>
      </c>
      <c r="J1510" s="606" t="s">
        <v>3962</v>
      </c>
    </row>
    <row r="1511" spans="2:10" ht="21" customHeight="1">
      <c r="B1511" s="605" t="s">
        <v>4056</v>
      </c>
      <c r="C1511" s="606" t="s">
        <v>11</v>
      </c>
      <c r="D1511" s="605" t="s">
        <v>689</v>
      </c>
      <c r="E1511" s="606" t="s">
        <v>4057</v>
      </c>
      <c r="F1511" s="606" t="s">
        <v>4057</v>
      </c>
      <c r="G1511" s="606" t="s">
        <v>3959</v>
      </c>
      <c r="H1511" s="606" t="s">
        <v>3960</v>
      </c>
      <c r="I1511" s="606" t="s">
        <v>3961</v>
      </c>
      <c r="J1511" s="606" t="s">
        <v>3962</v>
      </c>
    </row>
    <row r="1512" spans="2:10" ht="21" customHeight="1">
      <c r="B1512" s="605" t="s">
        <v>4058</v>
      </c>
      <c r="C1512" s="606" t="s">
        <v>11</v>
      </c>
      <c r="D1512" s="605" t="s">
        <v>689</v>
      </c>
      <c r="E1512" s="606" t="s">
        <v>4059</v>
      </c>
      <c r="F1512" s="606" t="s">
        <v>4059</v>
      </c>
      <c r="G1512" s="606" t="s">
        <v>1085</v>
      </c>
      <c r="H1512" s="606" t="s">
        <v>3974</v>
      </c>
      <c r="I1512" s="606" t="s">
        <v>1087</v>
      </c>
      <c r="J1512" s="606" t="s">
        <v>1088</v>
      </c>
    </row>
    <row r="1513" spans="2:10" ht="21" customHeight="1">
      <c r="B1513" s="605" t="s">
        <v>4060</v>
      </c>
      <c r="C1513" s="606" t="s">
        <v>11</v>
      </c>
      <c r="D1513" s="605" t="s">
        <v>689</v>
      </c>
      <c r="E1513" s="606" t="s">
        <v>4061</v>
      </c>
      <c r="F1513" s="606" t="s">
        <v>4062</v>
      </c>
      <c r="G1513" s="606" t="s">
        <v>3959</v>
      </c>
      <c r="H1513" s="606" t="s">
        <v>3960</v>
      </c>
      <c r="I1513" s="606" t="s">
        <v>3961</v>
      </c>
      <c r="J1513" s="606" t="s">
        <v>3962</v>
      </c>
    </row>
    <row r="1514" spans="2:10" ht="21" customHeight="1">
      <c r="B1514" s="605" t="s">
        <v>4063</v>
      </c>
      <c r="C1514" s="606" t="s">
        <v>11</v>
      </c>
      <c r="D1514" s="605" t="s">
        <v>689</v>
      </c>
      <c r="E1514" s="606" t="s">
        <v>4064</v>
      </c>
      <c r="F1514" s="606" t="s">
        <v>4065</v>
      </c>
      <c r="G1514" s="606" t="s">
        <v>1085</v>
      </c>
      <c r="H1514" s="606" t="s">
        <v>3974</v>
      </c>
      <c r="I1514" s="606" t="s">
        <v>1087</v>
      </c>
      <c r="J1514" s="606" t="s">
        <v>1088</v>
      </c>
    </row>
    <row r="1515" spans="2:10" ht="21" customHeight="1">
      <c r="B1515" s="605" t="s">
        <v>4066</v>
      </c>
      <c r="C1515" s="606" t="s">
        <v>11</v>
      </c>
      <c r="D1515" s="605" t="s">
        <v>689</v>
      </c>
      <c r="E1515" s="606" t="s">
        <v>4067</v>
      </c>
      <c r="F1515" s="606" t="s">
        <v>946</v>
      </c>
      <c r="G1515" s="606" t="s">
        <v>3959</v>
      </c>
      <c r="H1515" s="606" t="s">
        <v>3960</v>
      </c>
      <c r="I1515" s="606" t="s">
        <v>3961</v>
      </c>
      <c r="J1515" s="606" t="s">
        <v>3962</v>
      </c>
    </row>
    <row r="1516" spans="2:10" ht="21" customHeight="1">
      <c r="B1516" s="605" t="s">
        <v>4068</v>
      </c>
      <c r="C1516" s="606" t="s">
        <v>11</v>
      </c>
      <c r="D1516" s="605" t="s">
        <v>689</v>
      </c>
      <c r="E1516" s="606" t="s">
        <v>324</v>
      </c>
      <c r="F1516" s="606" t="s">
        <v>324</v>
      </c>
      <c r="G1516" s="606" t="s">
        <v>1151</v>
      </c>
      <c r="H1516" s="606" t="s">
        <v>1152</v>
      </c>
      <c r="I1516" s="606" t="s">
        <v>1087</v>
      </c>
      <c r="J1516" s="606" t="s">
        <v>1153</v>
      </c>
    </row>
    <row r="1517" spans="2:10" ht="21" customHeight="1">
      <c r="B1517" s="605" t="s">
        <v>4069</v>
      </c>
      <c r="C1517" s="606" t="s">
        <v>11</v>
      </c>
      <c r="D1517" s="605" t="s">
        <v>689</v>
      </c>
      <c r="E1517" s="606" t="s">
        <v>4070</v>
      </c>
      <c r="F1517" s="606" t="s">
        <v>325</v>
      </c>
      <c r="G1517" s="606" t="s">
        <v>1085</v>
      </c>
      <c r="H1517" s="606" t="s">
        <v>3974</v>
      </c>
      <c r="I1517" s="606" t="s">
        <v>1087</v>
      </c>
      <c r="J1517" s="606" t="s">
        <v>1088</v>
      </c>
    </row>
    <row r="1518" spans="2:10" ht="21" customHeight="1">
      <c r="B1518" s="605" t="s">
        <v>4071</v>
      </c>
      <c r="C1518" s="606" t="s">
        <v>11</v>
      </c>
      <c r="D1518" s="605" t="s">
        <v>689</v>
      </c>
      <c r="E1518" s="606" t="s">
        <v>4072</v>
      </c>
      <c r="F1518" s="606" t="s">
        <v>4073</v>
      </c>
      <c r="G1518" s="606" t="s">
        <v>3959</v>
      </c>
      <c r="H1518" s="606" t="s">
        <v>3960</v>
      </c>
      <c r="I1518" s="606" t="s">
        <v>3961</v>
      </c>
      <c r="J1518" s="606" t="s">
        <v>3962</v>
      </c>
    </row>
    <row r="1519" spans="2:10" ht="21" customHeight="1">
      <c r="B1519" s="605" t="s">
        <v>4074</v>
      </c>
      <c r="C1519" s="606" t="s">
        <v>11</v>
      </c>
      <c r="D1519" s="605" t="s">
        <v>689</v>
      </c>
      <c r="E1519" s="606" t="s">
        <v>4075</v>
      </c>
      <c r="F1519" s="606" t="s">
        <v>4076</v>
      </c>
      <c r="G1519" s="606" t="s">
        <v>3959</v>
      </c>
      <c r="H1519" s="606" t="s">
        <v>3960</v>
      </c>
      <c r="I1519" s="606" t="s">
        <v>3961</v>
      </c>
      <c r="J1519" s="606" t="s">
        <v>3962</v>
      </c>
    </row>
    <row r="1520" spans="2:10" ht="21" customHeight="1">
      <c r="B1520" s="605" t="s">
        <v>4077</v>
      </c>
      <c r="C1520" s="606" t="s">
        <v>11</v>
      </c>
      <c r="D1520" s="605" t="s">
        <v>689</v>
      </c>
      <c r="E1520" s="606" t="s">
        <v>4078</v>
      </c>
      <c r="F1520" s="606" t="s">
        <v>110</v>
      </c>
      <c r="G1520" s="606" t="s">
        <v>1085</v>
      </c>
      <c r="H1520" s="606" t="s">
        <v>3974</v>
      </c>
      <c r="I1520" s="606" t="s">
        <v>1087</v>
      </c>
      <c r="J1520" s="606" t="s">
        <v>1088</v>
      </c>
    </row>
    <row r="1521" spans="2:10" ht="21" customHeight="1">
      <c r="B1521" s="605" t="s">
        <v>4079</v>
      </c>
      <c r="C1521" s="606" t="s">
        <v>11</v>
      </c>
      <c r="D1521" s="605" t="s">
        <v>689</v>
      </c>
      <c r="E1521" s="606" t="s">
        <v>4080</v>
      </c>
      <c r="F1521" s="606" t="s">
        <v>96</v>
      </c>
      <c r="G1521" s="606" t="s">
        <v>1085</v>
      </c>
      <c r="H1521" s="606" t="s">
        <v>3974</v>
      </c>
      <c r="I1521" s="606" t="s">
        <v>1087</v>
      </c>
      <c r="J1521" s="606" t="s">
        <v>1088</v>
      </c>
    </row>
    <row r="1522" spans="2:10" ht="21" customHeight="1">
      <c r="B1522" s="605" t="s">
        <v>4081</v>
      </c>
      <c r="C1522" s="606" t="s">
        <v>11</v>
      </c>
      <c r="D1522" s="605" t="s">
        <v>689</v>
      </c>
      <c r="E1522" s="606" t="s">
        <v>4082</v>
      </c>
      <c r="F1522" s="606" t="s">
        <v>4082</v>
      </c>
      <c r="G1522" s="606" t="s">
        <v>3959</v>
      </c>
      <c r="H1522" s="606" t="s">
        <v>3960</v>
      </c>
      <c r="I1522" s="606" t="s">
        <v>3961</v>
      </c>
      <c r="J1522" s="606" t="s">
        <v>3962</v>
      </c>
    </row>
    <row r="1523" spans="2:10" ht="21" customHeight="1">
      <c r="B1523" s="605" t="s">
        <v>4083</v>
      </c>
      <c r="C1523" s="606" t="s">
        <v>11</v>
      </c>
      <c r="D1523" s="605" t="s">
        <v>689</v>
      </c>
      <c r="E1523" s="606" t="s">
        <v>4084</v>
      </c>
      <c r="F1523" s="606" t="s">
        <v>4084</v>
      </c>
      <c r="G1523" s="606" t="s">
        <v>1085</v>
      </c>
      <c r="H1523" s="606" t="s">
        <v>3974</v>
      </c>
      <c r="I1523" s="606" t="s">
        <v>1087</v>
      </c>
      <c r="J1523" s="606" t="s">
        <v>1088</v>
      </c>
    </row>
    <row r="1524" spans="2:10" ht="21" customHeight="1">
      <c r="B1524" s="605" t="s">
        <v>4085</v>
      </c>
      <c r="C1524" s="606" t="s">
        <v>11</v>
      </c>
      <c r="D1524" s="605" t="s">
        <v>689</v>
      </c>
      <c r="E1524" s="606" t="s">
        <v>947</v>
      </c>
      <c r="F1524" s="606" t="s">
        <v>947</v>
      </c>
      <c r="G1524" s="606" t="s">
        <v>3959</v>
      </c>
      <c r="H1524" s="606" t="s">
        <v>3960</v>
      </c>
      <c r="I1524" s="606" t="s">
        <v>3961</v>
      </c>
      <c r="J1524" s="606" t="s">
        <v>3962</v>
      </c>
    </row>
    <row r="1525" spans="2:10" ht="21" customHeight="1">
      <c r="B1525" s="605" t="s">
        <v>4086</v>
      </c>
      <c r="C1525" s="606" t="s">
        <v>11</v>
      </c>
      <c r="D1525" s="605" t="s">
        <v>689</v>
      </c>
      <c r="E1525" s="606" t="s">
        <v>4087</v>
      </c>
      <c r="F1525" s="606" t="s">
        <v>4087</v>
      </c>
      <c r="G1525" s="606" t="s">
        <v>3959</v>
      </c>
      <c r="H1525" s="606" t="s">
        <v>3960</v>
      </c>
      <c r="I1525" s="606" t="s">
        <v>3961</v>
      </c>
      <c r="J1525" s="606" t="s">
        <v>3962</v>
      </c>
    </row>
    <row r="1526" spans="2:10" ht="21" customHeight="1">
      <c r="B1526" s="605" t="s">
        <v>4088</v>
      </c>
      <c r="C1526" s="606" t="s">
        <v>11</v>
      </c>
      <c r="D1526" s="605" t="s">
        <v>689</v>
      </c>
      <c r="E1526" s="606" t="s">
        <v>948</v>
      </c>
      <c r="F1526" s="606" t="s">
        <v>948</v>
      </c>
      <c r="G1526" s="606" t="s">
        <v>1085</v>
      </c>
      <c r="H1526" s="606" t="s">
        <v>3974</v>
      </c>
      <c r="I1526" s="606" t="s">
        <v>1087</v>
      </c>
      <c r="J1526" s="606" t="s">
        <v>1088</v>
      </c>
    </row>
    <row r="1527" spans="2:10" ht="21" customHeight="1">
      <c r="B1527" s="605" t="s">
        <v>4089</v>
      </c>
      <c r="C1527" s="606" t="s">
        <v>11</v>
      </c>
      <c r="D1527" s="605" t="s">
        <v>689</v>
      </c>
      <c r="E1527" s="606" t="s">
        <v>326</v>
      </c>
      <c r="F1527" s="606" t="s">
        <v>326</v>
      </c>
      <c r="G1527" s="606" t="s">
        <v>1151</v>
      </c>
      <c r="H1527" s="606" t="s">
        <v>1152</v>
      </c>
      <c r="I1527" s="606" t="s">
        <v>1087</v>
      </c>
      <c r="J1527" s="606" t="s">
        <v>1153</v>
      </c>
    </row>
    <row r="1528" spans="2:10" ht="21" customHeight="1">
      <c r="B1528" s="605" t="s">
        <v>4090</v>
      </c>
      <c r="C1528" s="606" t="s">
        <v>11</v>
      </c>
      <c r="D1528" s="605" t="s">
        <v>689</v>
      </c>
      <c r="E1528" s="606" t="s">
        <v>4091</v>
      </c>
      <c r="F1528" s="606" t="s">
        <v>4091</v>
      </c>
      <c r="G1528" s="606" t="s">
        <v>3959</v>
      </c>
      <c r="H1528" s="606" t="s">
        <v>3960</v>
      </c>
      <c r="I1528" s="606" t="s">
        <v>3961</v>
      </c>
      <c r="J1528" s="606" t="s">
        <v>3962</v>
      </c>
    </row>
    <row r="1529" spans="2:10" ht="21" customHeight="1">
      <c r="B1529" s="605" t="s">
        <v>4092</v>
      </c>
      <c r="C1529" s="606" t="s">
        <v>11</v>
      </c>
      <c r="D1529" s="605" t="s">
        <v>689</v>
      </c>
      <c r="E1529" s="606" t="s">
        <v>4093</v>
      </c>
      <c r="F1529" s="606" t="s">
        <v>949</v>
      </c>
      <c r="G1529" s="606" t="s">
        <v>1085</v>
      </c>
      <c r="H1529" s="606" t="s">
        <v>3974</v>
      </c>
      <c r="I1529" s="606" t="s">
        <v>1087</v>
      </c>
      <c r="J1529" s="606" t="s">
        <v>1088</v>
      </c>
    </row>
    <row r="1530" spans="2:10" ht="21" customHeight="1">
      <c r="B1530" s="605" t="s">
        <v>4094</v>
      </c>
      <c r="C1530" s="606" t="s">
        <v>11</v>
      </c>
      <c r="D1530" s="605" t="s">
        <v>689</v>
      </c>
      <c r="E1530" s="606" t="s">
        <v>4095</v>
      </c>
      <c r="F1530" s="606" t="s">
        <v>4096</v>
      </c>
      <c r="G1530" s="606" t="s">
        <v>3959</v>
      </c>
      <c r="H1530" s="606" t="s">
        <v>3960</v>
      </c>
      <c r="I1530" s="606" t="s">
        <v>3961</v>
      </c>
      <c r="J1530" s="606" t="s">
        <v>3962</v>
      </c>
    </row>
    <row r="1531" spans="2:10" ht="21" customHeight="1">
      <c r="B1531" s="605" t="s">
        <v>4097</v>
      </c>
      <c r="C1531" s="606" t="s">
        <v>11</v>
      </c>
      <c r="D1531" s="605" t="s">
        <v>689</v>
      </c>
      <c r="E1531" s="606" t="s">
        <v>4098</v>
      </c>
      <c r="F1531" s="606" t="s">
        <v>4098</v>
      </c>
      <c r="G1531" s="606" t="s">
        <v>3959</v>
      </c>
      <c r="H1531" s="606" t="s">
        <v>3960</v>
      </c>
      <c r="I1531" s="606" t="s">
        <v>3961</v>
      </c>
      <c r="J1531" s="606" t="s">
        <v>3962</v>
      </c>
    </row>
    <row r="1532" spans="2:10" ht="21" customHeight="1">
      <c r="B1532" s="605" t="s">
        <v>4099</v>
      </c>
      <c r="C1532" s="606" t="s">
        <v>11</v>
      </c>
      <c r="D1532" s="605" t="s">
        <v>689</v>
      </c>
      <c r="E1532" s="606" t="s">
        <v>4100</v>
      </c>
      <c r="F1532" s="606" t="s">
        <v>4100</v>
      </c>
      <c r="G1532" s="606" t="s">
        <v>1085</v>
      </c>
      <c r="H1532" s="606" t="s">
        <v>3974</v>
      </c>
      <c r="I1532" s="606" t="s">
        <v>1087</v>
      </c>
      <c r="J1532" s="606" t="s">
        <v>1088</v>
      </c>
    </row>
    <row r="1533" spans="2:10" ht="21" customHeight="1">
      <c r="B1533" s="605" t="s">
        <v>4101</v>
      </c>
      <c r="C1533" s="606" t="s">
        <v>11</v>
      </c>
      <c r="D1533" s="605" t="s">
        <v>689</v>
      </c>
      <c r="E1533" s="606" t="s">
        <v>4102</v>
      </c>
      <c r="F1533" s="606" t="s">
        <v>4102</v>
      </c>
      <c r="G1533" s="606" t="s">
        <v>1085</v>
      </c>
      <c r="H1533" s="606" t="s">
        <v>3974</v>
      </c>
      <c r="I1533" s="606" t="s">
        <v>1087</v>
      </c>
      <c r="J1533" s="606" t="s">
        <v>1088</v>
      </c>
    </row>
    <row r="1534" spans="2:10" ht="21" customHeight="1">
      <c r="B1534" s="605" t="s">
        <v>4103</v>
      </c>
      <c r="C1534" s="606" t="s">
        <v>11</v>
      </c>
      <c r="D1534" s="605" t="s">
        <v>689</v>
      </c>
      <c r="E1534" s="606" t="s">
        <v>4104</v>
      </c>
      <c r="F1534" s="606" t="s">
        <v>4104</v>
      </c>
      <c r="G1534" s="606" t="s">
        <v>3959</v>
      </c>
      <c r="H1534" s="606" t="s">
        <v>3960</v>
      </c>
      <c r="I1534" s="606" t="s">
        <v>3961</v>
      </c>
      <c r="J1534" s="606" t="s">
        <v>3962</v>
      </c>
    </row>
    <row r="1535" spans="2:10" ht="21" customHeight="1">
      <c r="B1535" s="605" t="s">
        <v>4105</v>
      </c>
      <c r="C1535" s="606" t="s">
        <v>11</v>
      </c>
      <c r="D1535" s="605" t="s">
        <v>689</v>
      </c>
      <c r="E1535" s="606" t="s">
        <v>4106</v>
      </c>
      <c r="F1535" s="606" t="s">
        <v>4106</v>
      </c>
      <c r="G1535" s="606" t="s">
        <v>3959</v>
      </c>
      <c r="H1535" s="606" t="s">
        <v>3960</v>
      </c>
      <c r="I1535" s="606" t="s">
        <v>3961</v>
      </c>
      <c r="J1535" s="606" t="s">
        <v>3962</v>
      </c>
    </row>
    <row r="1536" spans="2:10" ht="21" customHeight="1">
      <c r="B1536" s="605" t="s">
        <v>4107</v>
      </c>
      <c r="C1536" s="606" t="s">
        <v>11</v>
      </c>
      <c r="D1536" s="605" t="s">
        <v>689</v>
      </c>
      <c r="E1536" s="606" t="s">
        <v>4108</v>
      </c>
      <c r="F1536" s="606" t="s">
        <v>950</v>
      </c>
      <c r="G1536" s="606" t="s">
        <v>1085</v>
      </c>
      <c r="H1536" s="606" t="s">
        <v>3974</v>
      </c>
      <c r="I1536" s="606" t="s">
        <v>1087</v>
      </c>
      <c r="J1536" s="606" t="s">
        <v>1088</v>
      </c>
    </row>
    <row r="1537" spans="2:10" ht="21" customHeight="1">
      <c r="B1537" s="605" t="s">
        <v>4109</v>
      </c>
      <c r="C1537" s="606" t="s">
        <v>11</v>
      </c>
      <c r="D1537" s="605" t="s">
        <v>689</v>
      </c>
      <c r="E1537" s="606" t="s">
        <v>4110</v>
      </c>
      <c r="F1537" s="606" t="s">
        <v>4110</v>
      </c>
      <c r="G1537" s="606" t="s">
        <v>1085</v>
      </c>
      <c r="H1537" s="606" t="s">
        <v>3974</v>
      </c>
      <c r="I1537" s="606" t="s">
        <v>1087</v>
      </c>
      <c r="J1537" s="606" t="s">
        <v>1088</v>
      </c>
    </row>
    <row r="1538" spans="2:10" ht="21" customHeight="1">
      <c r="B1538" s="605" t="s">
        <v>4111</v>
      </c>
      <c r="C1538" s="606" t="s">
        <v>11</v>
      </c>
      <c r="D1538" s="605" t="s">
        <v>689</v>
      </c>
      <c r="E1538" s="606" t="s">
        <v>4112</v>
      </c>
      <c r="F1538" s="606" t="s">
        <v>4112</v>
      </c>
      <c r="G1538" s="606" t="s">
        <v>3959</v>
      </c>
      <c r="H1538" s="606" t="s">
        <v>3960</v>
      </c>
      <c r="I1538" s="606" t="s">
        <v>3961</v>
      </c>
      <c r="J1538" s="606" t="s">
        <v>3962</v>
      </c>
    </row>
    <row r="1539" spans="2:10" ht="21" customHeight="1">
      <c r="B1539" s="605" t="s">
        <v>4113</v>
      </c>
      <c r="C1539" s="606" t="s">
        <v>11</v>
      </c>
      <c r="D1539" s="605" t="s">
        <v>689</v>
      </c>
      <c r="E1539" s="606" t="s">
        <v>951</v>
      </c>
      <c r="F1539" s="606" t="s">
        <v>951</v>
      </c>
      <c r="G1539" s="606" t="s">
        <v>1085</v>
      </c>
      <c r="H1539" s="606" t="s">
        <v>3974</v>
      </c>
      <c r="I1539" s="606" t="s">
        <v>1087</v>
      </c>
      <c r="J1539" s="606" t="s">
        <v>1088</v>
      </c>
    </row>
    <row r="1540" spans="2:10" ht="21" customHeight="1">
      <c r="B1540" s="605" t="s">
        <v>4114</v>
      </c>
      <c r="C1540" s="606" t="s">
        <v>11</v>
      </c>
      <c r="D1540" s="605" t="s">
        <v>689</v>
      </c>
      <c r="E1540" s="606" t="s">
        <v>327</v>
      </c>
      <c r="F1540" s="606" t="s">
        <v>327</v>
      </c>
      <c r="G1540" s="606" t="s">
        <v>1151</v>
      </c>
      <c r="H1540" s="606" t="s">
        <v>1152</v>
      </c>
      <c r="I1540" s="606" t="s">
        <v>1087</v>
      </c>
      <c r="J1540" s="606" t="s">
        <v>1153</v>
      </c>
    </row>
    <row r="1541" spans="2:10" ht="21" customHeight="1">
      <c r="B1541" s="605" t="s">
        <v>4115</v>
      </c>
      <c r="C1541" s="606" t="s">
        <v>11</v>
      </c>
      <c r="D1541" s="605" t="s">
        <v>689</v>
      </c>
      <c r="E1541" s="606" t="s">
        <v>4116</v>
      </c>
      <c r="F1541" s="606" t="s">
        <v>4116</v>
      </c>
      <c r="G1541" s="606" t="s">
        <v>1085</v>
      </c>
      <c r="H1541" s="606" t="s">
        <v>3974</v>
      </c>
      <c r="I1541" s="606" t="s">
        <v>1087</v>
      </c>
      <c r="J1541" s="606" t="s">
        <v>1088</v>
      </c>
    </row>
    <row r="1542" spans="2:10" ht="21" customHeight="1">
      <c r="B1542" s="605" t="s">
        <v>4117</v>
      </c>
      <c r="C1542" s="606" t="s">
        <v>11</v>
      </c>
      <c r="D1542" s="605" t="s">
        <v>689</v>
      </c>
      <c r="E1542" s="606" t="s">
        <v>4118</v>
      </c>
      <c r="F1542" s="606" t="s">
        <v>4118</v>
      </c>
      <c r="G1542" s="606" t="s">
        <v>1151</v>
      </c>
      <c r="H1542" s="606" t="s">
        <v>1152</v>
      </c>
      <c r="I1542" s="606" t="s">
        <v>1087</v>
      </c>
      <c r="J1542" s="606" t="s">
        <v>1153</v>
      </c>
    </row>
    <row r="1543" spans="2:10" ht="21" customHeight="1">
      <c r="B1543" s="605" t="s">
        <v>4119</v>
      </c>
      <c r="C1543" s="606" t="s">
        <v>11</v>
      </c>
      <c r="D1543" s="605" t="s">
        <v>689</v>
      </c>
      <c r="E1543" s="606" t="s">
        <v>227</v>
      </c>
      <c r="F1543" s="606" t="s">
        <v>161</v>
      </c>
      <c r="G1543" s="606" t="s">
        <v>1085</v>
      </c>
      <c r="H1543" s="606" t="s">
        <v>3974</v>
      </c>
      <c r="I1543" s="606" t="s">
        <v>1087</v>
      </c>
      <c r="J1543" s="606" t="s">
        <v>1088</v>
      </c>
    </row>
    <row r="1544" spans="2:10" ht="21" customHeight="1">
      <c r="B1544" s="605" t="s">
        <v>4120</v>
      </c>
      <c r="C1544" s="606" t="s">
        <v>11</v>
      </c>
      <c r="D1544" s="605" t="s">
        <v>689</v>
      </c>
      <c r="E1544" s="606" t="s">
        <v>4121</v>
      </c>
      <c r="F1544" s="606" t="s">
        <v>4122</v>
      </c>
      <c r="G1544" s="606" t="s">
        <v>3959</v>
      </c>
      <c r="H1544" s="606" t="s">
        <v>3960</v>
      </c>
      <c r="I1544" s="606" t="s">
        <v>3961</v>
      </c>
      <c r="J1544" s="606" t="s">
        <v>3962</v>
      </c>
    </row>
    <row r="1545" spans="2:10" ht="21" customHeight="1">
      <c r="B1545" s="605" t="s">
        <v>4123</v>
      </c>
      <c r="C1545" s="606" t="s">
        <v>11</v>
      </c>
      <c r="D1545" s="605" t="s">
        <v>689</v>
      </c>
      <c r="E1545" s="606" t="s">
        <v>4124</v>
      </c>
      <c r="F1545" s="606" t="s">
        <v>4125</v>
      </c>
      <c r="G1545" s="606" t="s">
        <v>3959</v>
      </c>
      <c r="H1545" s="606" t="s">
        <v>3960</v>
      </c>
      <c r="I1545" s="606" t="s">
        <v>3961</v>
      </c>
      <c r="J1545" s="606" t="s">
        <v>3962</v>
      </c>
    </row>
    <row r="1546" spans="2:10" ht="21" customHeight="1">
      <c r="B1546" s="605" t="s">
        <v>4126</v>
      </c>
      <c r="C1546" s="606" t="s">
        <v>11</v>
      </c>
      <c r="D1546" s="605" t="s">
        <v>689</v>
      </c>
      <c r="E1546" s="606" t="s">
        <v>4127</v>
      </c>
      <c r="F1546" s="606" t="s">
        <v>4128</v>
      </c>
      <c r="G1546" s="606" t="s">
        <v>1151</v>
      </c>
      <c r="H1546" s="606" t="s">
        <v>1152</v>
      </c>
      <c r="I1546" s="606" t="s">
        <v>1087</v>
      </c>
      <c r="J1546" s="606" t="s">
        <v>1153</v>
      </c>
    </row>
    <row r="1547" spans="2:10" ht="21" customHeight="1">
      <c r="B1547" s="605" t="s">
        <v>4129</v>
      </c>
      <c r="C1547" s="606" t="s">
        <v>11</v>
      </c>
      <c r="D1547" s="605" t="s">
        <v>689</v>
      </c>
      <c r="E1547" s="606" t="s">
        <v>4130</v>
      </c>
      <c r="F1547" s="606" t="s">
        <v>4131</v>
      </c>
      <c r="G1547" s="606" t="s">
        <v>3959</v>
      </c>
      <c r="H1547" s="606" t="s">
        <v>3960</v>
      </c>
      <c r="I1547" s="606" t="s">
        <v>3961</v>
      </c>
      <c r="J1547" s="606" t="s">
        <v>3962</v>
      </c>
    </row>
    <row r="1548" spans="2:10" ht="21" customHeight="1">
      <c r="B1548" s="605" t="s">
        <v>4132</v>
      </c>
      <c r="C1548" s="606" t="s">
        <v>11</v>
      </c>
      <c r="D1548" s="605" t="s">
        <v>689</v>
      </c>
      <c r="E1548" s="606" t="s">
        <v>4133</v>
      </c>
      <c r="F1548" s="606" t="s">
        <v>698</v>
      </c>
      <c r="G1548" s="606" t="s">
        <v>1085</v>
      </c>
      <c r="H1548" s="606" t="s">
        <v>3974</v>
      </c>
      <c r="I1548" s="606" t="s">
        <v>1087</v>
      </c>
      <c r="J1548" s="606" t="s">
        <v>1088</v>
      </c>
    </row>
    <row r="1549" spans="2:10" ht="21" customHeight="1">
      <c r="B1549" s="605" t="s">
        <v>4134</v>
      </c>
      <c r="C1549" s="606" t="s">
        <v>11</v>
      </c>
      <c r="D1549" s="605" t="s">
        <v>689</v>
      </c>
      <c r="E1549" s="606" t="s">
        <v>4135</v>
      </c>
      <c r="F1549" s="606" t="s">
        <v>4136</v>
      </c>
      <c r="G1549" s="606" t="s">
        <v>3959</v>
      </c>
      <c r="H1549" s="606" t="s">
        <v>3960</v>
      </c>
      <c r="I1549" s="606" t="s">
        <v>3961</v>
      </c>
      <c r="J1549" s="606" t="s">
        <v>3962</v>
      </c>
    </row>
    <row r="1550" spans="2:10" ht="21" customHeight="1">
      <c r="B1550" s="605" t="s">
        <v>4137</v>
      </c>
      <c r="C1550" s="606" t="s">
        <v>11</v>
      </c>
      <c r="D1550" s="605" t="s">
        <v>689</v>
      </c>
      <c r="E1550" s="606" t="s">
        <v>4138</v>
      </c>
      <c r="F1550" s="606" t="s">
        <v>4139</v>
      </c>
      <c r="G1550" s="606" t="s">
        <v>3959</v>
      </c>
      <c r="H1550" s="606" t="s">
        <v>3960</v>
      </c>
      <c r="I1550" s="606" t="s">
        <v>3961</v>
      </c>
      <c r="J1550" s="606" t="s">
        <v>3962</v>
      </c>
    </row>
    <row r="1551" spans="2:10" ht="21" customHeight="1">
      <c r="B1551" s="605" t="s">
        <v>4140</v>
      </c>
      <c r="C1551" s="606" t="s">
        <v>11</v>
      </c>
      <c r="D1551" s="605" t="s">
        <v>689</v>
      </c>
      <c r="E1551" s="606" t="s">
        <v>4141</v>
      </c>
      <c r="F1551" s="606" t="s">
        <v>180</v>
      </c>
      <c r="G1551" s="606" t="s">
        <v>1085</v>
      </c>
      <c r="H1551" s="606" t="s">
        <v>3974</v>
      </c>
      <c r="I1551" s="606" t="s">
        <v>1087</v>
      </c>
      <c r="J1551" s="606" t="s">
        <v>1088</v>
      </c>
    </row>
    <row r="1552" spans="2:10" ht="21" customHeight="1">
      <c r="B1552" s="605" t="s">
        <v>4142</v>
      </c>
      <c r="C1552" s="606" t="s">
        <v>11</v>
      </c>
      <c r="D1552" s="605" t="s">
        <v>689</v>
      </c>
      <c r="E1552" s="606" t="s">
        <v>1926</v>
      </c>
      <c r="F1552" s="606" t="s">
        <v>956</v>
      </c>
      <c r="G1552" s="606" t="s">
        <v>1085</v>
      </c>
      <c r="H1552" s="606" t="s">
        <v>3974</v>
      </c>
      <c r="I1552" s="606" t="s">
        <v>1087</v>
      </c>
      <c r="J1552" s="606" t="s">
        <v>1088</v>
      </c>
    </row>
    <row r="1553" spans="2:10" ht="21" customHeight="1">
      <c r="B1553" s="605" t="s">
        <v>4143</v>
      </c>
      <c r="C1553" s="606" t="s">
        <v>11</v>
      </c>
      <c r="D1553" s="605" t="s">
        <v>689</v>
      </c>
      <c r="E1553" s="606" t="s">
        <v>329</v>
      </c>
      <c r="F1553" s="606" t="s">
        <v>328</v>
      </c>
      <c r="G1553" s="606" t="s">
        <v>1085</v>
      </c>
      <c r="H1553" s="606" t="s">
        <v>3974</v>
      </c>
      <c r="I1553" s="606" t="s">
        <v>1087</v>
      </c>
      <c r="J1553" s="606" t="s">
        <v>1088</v>
      </c>
    </row>
    <row r="1554" spans="2:10" ht="21" customHeight="1">
      <c r="B1554" s="605" t="s">
        <v>4144</v>
      </c>
      <c r="C1554" s="606" t="s">
        <v>11</v>
      </c>
      <c r="D1554" s="605" t="s">
        <v>689</v>
      </c>
      <c r="E1554" s="606" t="s">
        <v>4145</v>
      </c>
      <c r="F1554" s="606" t="s">
        <v>4145</v>
      </c>
      <c r="G1554" s="606" t="s">
        <v>3959</v>
      </c>
      <c r="H1554" s="606" t="s">
        <v>3960</v>
      </c>
      <c r="I1554" s="606" t="s">
        <v>3961</v>
      </c>
      <c r="J1554" s="606" t="s">
        <v>3962</v>
      </c>
    </row>
    <row r="1555" spans="2:10" ht="21" customHeight="1">
      <c r="B1555" s="605" t="s">
        <v>4146</v>
      </c>
      <c r="C1555" s="606" t="s">
        <v>11</v>
      </c>
      <c r="D1555" s="605" t="s">
        <v>689</v>
      </c>
      <c r="E1555" s="606" t="s">
        <v>4147</v>
      </c>
      <c r="F1555" s="606" t="s">
        <v>4147</v>
      </c>
      <c r="G1555" s="606" t="s">
        <v>3959</v>
      </c>
      <c r="H1555" s="606" t="s">
        <v>3960</v>
      </c>
      <c r="I1555" s="606" t="s">
        <v>3961</v>
      </c>
      <c r="J1555" s="606" t="s">
        <v>3962</v>
      </c>
    </row>
    <row r="1556" spans="2:10" ht="21" customHeight="1">
      <c r="B1556" s="605" t="s">
        <v>4148</v>
      </c>
      <c r="C1556" s="606" t="s">
        <v>11</v>
      </c>
      <c r="D1556" s="605" t="s">
        <v>689</v>
      </c>
      <c r="E1556" s="606" t="s">
        <v>4149</v>
      </c>
      <c r="F1556" s="606" t="s">
        <v>4149</v>
      </c>
      <c r="G1556" s="606" t="s">
        <v>3959</v>
      </c>
      <c r="H1556" s="606" t="s">
        <v>3960</v>
      </c>
      <c r="I1556" s="606" t="s">
        <v>3961</v>
      </c>
      <c r="J1556" s="606" t="s">
        <v>3962</v>
      </c>
    </row>
    <row r="1557" spans="2:10" ht="21" customHeight="1">
      <c r="B1557" s="605" t="s">
        <v>4150</v>
      </c>
      <c r="C1557" s="606" t="s">
        <v>11</v>
      </c>
      <c r="D1557" s="605" t="s">
        <v>689</v>
      </c>
      <c r="E1557" s="606" t="s">
        <v>4151</v>
      </c>
      <c r="F1557" s="606" t="s">
        <v>4151</v>
      </c>
      <c r="G1557" s="606" t="s">
        <v>3959</v>
      </c>
      <c r="H1557" s="606" t="s">
        <v>3960</v>
      </c>
      <c r="I1557" s="606" t="s">
        <v>3961</v>
      </c>
      <c r="J1557" s="606" t="s">
        <v>3962</v>
      </c>
    </row>
    <row r="1558" spans="2:10" ht="21" customHeight="1">
      <c r="B1558" s="605" t="s">
        <v>4152</v>
      </c>
      <c r="C1558" s="606" t="s">
        <v>11</v>
      </c>
      <c r="D1558" s="605" t="s">
        <v>689</v>
      </c>
      <c r="E1558" s="606" t="s">
        <v>4153</v>
      </c>
      <c r="F1558" s="606" t="s">
        <v>4153</v>
      </c>
      <c r="G1558" s="606" t="s">
        <v>3959</v>
      </c>
      <c r="H1558" s="606" t="s">
        <v>3960</v>
      </c>
      <c r="I1558" s="606" t="s">
        <v>3961</v>
      </c>
      <c r="J1558" s="606" t="s">
        <v>3962</v>
      </c>
    </row>
    <row r="1559" spans="2:10" ht="21" customHeight="1">
      <c r="B1559" s="605" t="s">
        <v>4154</v>
      </c>
      <c r="C1559" s="606" t="s">
        <v>11</v>
      </c>
      <c r="D1559" s="605" t="s">
        <v>689</v>
      </c>
      <c r="E1559" s="606" t="s">
        <v>4155</v>
      </c>
      <c r="F1559" s="606" t="s">
        <v>4155</v>
      </c>
      <c r="G1559" s="606" t="s">
        <v>1085</v>
      </c>
      <c r="H1559" s="606" t="s">
        <v>3974</v>
      </c>
      <c r="I1559" s="606" t="s">
        <v>1087</v>
      </c>
      <c r="J1559" s="606" t="s">
        <v>1088</v>
      </c>
    </row>
    <row r="1560" spans="2:10" ht="21" customHeight="1">
      <c r="B1560" s="605" t="s">
        <v>4156</v>
      </c>
      <c r="C1560" s="606" t="s">
        <v>11</v>
      </c>
      <c r="D1560" s="605" t="s">
        <v>689</v>
      </c>
      <c r="E1560" s="606" t="s">
        <v>958</v>
      </c>
      <c r="F1560" s="606" t="s">
        <v>958</v>
      </c>
      <c r="G1560" s="606" t="s">
        <v>1085</v>
      </c>
      <c r="H1560" s="606" t="s">
        <v>3974</v>
      </c>
      <c r="I1560" s="606" t="s">
        <v>1087</v>
      </c>
      <c r="J1560" s="606" t="s">
        <v>1088</v>
      </c>
    </row>
    <row r="1561" spans="2:10" ht="21" customHeight="1">
      <c r="B1561" s="605" t="s">
        <v>4157</v>
      </c>
      <c r="C1561" s="606" t="s">
        <v>11</v>
      </c>
      <c r="D1561" s="605" t="s">
        <v>689</v>
      </c>
      <c r="E1561" s="606" t="s">
        <v>959</v>
      </c>
      <c r="F1561" s="606" t="s">
        <v>959</v>
      </c>
      <c r="G1561" s="606" t="s">
        <v>1085</v>
      </c>
      <c r="H1561" s="606" t="s">
        <v>3974</v>
      </c>
      <c r="I1561" s="606" t="s">
        <v>1087</v>
      </c>
      <c r="J1561" s="606" t="s">
        <v>1088</v>
      </c>
    </row>
    <row r="1562" spans="2:10" ht="21" customHeight="1">
      <c r="B1562" s="605" t="s">
        <v>4158</v>
      </c>
      <c r="C1562" s="606" t="s">
        <v>11</v>
      </c>
      <c r="D1562" s="605" t="s">
        <v>689</v>
      </c>
      <c r="E1562" s="606" t="s">
        <v>4159</v>
      </c>
      <c r="F1562" s="606" t="s">
        <v>4160</v>
      </c>
      <c r="G1562" s="606" t="s">
        <v>3959</v>
      </c>
      <c r="H1562" s="606" t="s">
        <v>3960</v>
      </c>
      <c r="I1562" s="606" t="s">
        <v>3961</v>
      </c>
      <c r="J1562" s="606" t="s">
        <v>3962</v>
      </c>
    </row>
    <row r="1563" spans="2:10" ht="21" customHeight="1">
      <c r="B1563" s="605" t="s">
        <v>4161</v>
      </c>
      <c r="C1563" s="606" t="s">
        <v>11</v>
      </c>
      <c r="D1563" s="605" t="s">
        <v>689</v>
      </c>
      <c r="E1563" s="606" t="s">
        <v>4162</v>
      </c>
      <c r="F1563" s="606" t="s">
        <v>4162</v>
      </c>
      <c r="G1563" s="606" t="s">
        <v>3959</v>
      </c>
      <c r="H1563" s="606" t="s">
        <v>3960</v>
      </c>
      <c r="I1563" s="606" t="s">
        <v>3961</v>
      </c>
      <c r="J1563" s="606" t="s">
        <v>3962</v>
      </c>
    </row>
    <row r="1564" spans="2:10" ht="21" customHeight="1">
      <c r="B1564" s="605" t="s">
        <v>4163</v>
      </c>
      <c r="C1564" s="606" t="s">
        <v>11</v>
      </c>
      <c r="D1564" s="605" t="s">
        <v>689</v>
      </c>
      <c r="E1564" s="606" t="s">
        <v>4164</v>
      </c>
      <c r="F1564" s="606" t="s">
        <v>4165</v>
      </c>
      <c r="G1564" s="606" t="s">
        <v>3959</v>
      </c>
      <c r="H1564" s="606" t="s">
        <v>3960</v>
      </c>
      <c r="I1564" s="606" t="s">
        <v>3961</v>
      </c>
      <c r="J1564" s="606" t="s">
        <v>3962</v>
      </c>
    </row>
    <row r="1565" spans="2:10" ht="21" customHeight="1">
      <c r="B1565" s="605" t="s">
        <v>4166</v>
      </c>
      <c r="C1565" s="606" t="s">
        <v>11</v>
      </c>
      <c r="D1565" s="605" t="s">
        <v>689</v>
      </c>
      <c r="E1565" s="606" t="s">
        <v>4167</v>
      </c>
      <c r="F1565" s="606" t="s">
        <v>4168</v>
      </c>
      <c r="G1565" s="606" t="s">
        <v>3959</v>
      </c>
      <c r="H1565" s="606" t="s">
        <v>3960</v>
      </c>
      <c r="I1565" s="606" t="s">
        <v>3961</v>
      </c>
      <c r="J1565" s="606" t="s">
        <v>3962</v>
      </c>
    </row>
    <row r="1566" spans="2:10" ht="21" customHeight="1">
      <c r="B1566" s="605" t="s">
        <v>4169</v>
      </c>
      <c r="C1566" s="606" t="s">
        <v>11</v>
      </c>
      <c r="D1566" s="605" t="s">
        <v>689</v>
      </c>
      <c r="E1566" s="606" t="s">
        <v>4170</v>
      </c>
      <c r="F1566" s="606" t="s">
        <v>4170</v>
      </c>
      <c r="G1566" s="606" t="s">
        <v>3959</v>
      </c>
      <c r="H1566" s="606" t="s">
        <v>3960</v>
      </c>
      <c r="I1566" s="606" t="s">
        <v>3961</v>
      </c>
      <c r="J1566" s="606" t="s">
        <v>3962</v>
      </c>
    </row>
    <row r="1567" spans="2:10" ht="21" customHeight="1">
      <c r="B1567" s="605" t="s">
        <v>4171</v>
      </c>
      <c r="C1567" s="606" t="s">
        <v>11</v>
      </c>
      <c r="D1567" s="605" t="s">
        <v>689</v>
      </c>
      <c r="E1567" s="606" t="s">
        <v>961</v>
      </c>
      <c r="F1567" s="606" t="s">
        <v>961</v>
      </c>
      <c r="G1567" s="606" t="s">
        <v>1085</v>
      </c>
      <c r="H1567" s="606" t="s">
        <v>3974</v>
      </c>
      <c r="I1567" s="606" t="s">
        <v>1087</v>
      </c>
      <c r="J1567" s="606" t="s">
        <v>1088</v>
      </c>
    </row>
    <row r="1568" spans="2:10" ht="21" customHeight="1">
      <c r="B1568" s="605" t="s">
        <v>4172</v>
      </c>
      <c r="C1568" s="606" t="s">
        <v>11</v>
      </c>
      <c r="D1568" s="605" t="s">
        <v>689</v>
      </c>
      <c r="E1568" s="606" t="s">
        <v>962</v>
      </c>
      <c r="F1568" s="606" t="s">
        <v>962</v>
      </c>
      <c r="G1568" s="606" t="s">
        <v>1085</v>
      </c>
      <c r="H1568" s="606" t="s">
        <v>3974</v>
      </c>
      <c r="I1568" s="606" t="s">
        <v>1087</v>
      </c>
      <c r="J1568" s="606" t="s">
        <v>1088</v>
      </c>
    </row>
    <row r="1569" spans="2:10" ht="21" customHeight="1">
      <c r="B1569" s="605" t="s">
        <v>4173</v>
      </c>
      <c r="C1569" s="606" t="s">
        <v>11</v>
      </c>
      <c r="D1569" s="605" t="s">
        <v>689</v>
      </c>
      <c r="E1569" s="606" t="s">
        <v>4174</v>
      </c>
      <c r="F1569" s="606" t="s">
        <v>4174</v>
      </c>
      <c r="G1569" s="606" t="s">
        <v>3959</v>
      </c>
      <c r="H1569" s="606" t="s">
        <v>3960</v>
      </c>
      <c r="I1569" s="606" t="s">
        <v>3961</v>
      </c>
      <c r="J1569" s="606" t="s">
        <v>3962</v>
      </c>
    </row>
    <row r="1570" spans="2:10" ht="21" customHeight="1">
      <c r="B1570" s="605" t="s">
        <v>4175</v>
      </c>
      <c r="C1570" s="606" t="s">
        <v>11</v>
      </c>
      <c r="D1570" s="605" t="s">
        <v>689</v>
      </c>
      <c r="E1570" s="606" t="s">
        <v>4176</v>
      </c>
      <c r="F1570" s="606" t="s">
        <v>4176</v>
      </c>
      <c r="G1570" s="606" t="s">
        <v>1085</v>
      </c>
      <c r="H1570" s="606" t="s">
        <v>3974</v>
      </c>
      <c r="I1570" s="606" t="s">
        <v>1087</v>
      </c>
      <c r="J1570" s="606" t="s">
        <v>1088</v>
      </c>
    </row>
    <row r="1571" spans="2:10" ht="21" customHeight="1">
      <c r="B1571" s="605" t="s">
        <v>4177</v>
      </c>
      <c r="C1571" s="606" t="s">
        <v>11</v>
      </c>
      <c r="D1571" s="605" t="s">
        <v>689</v>
      </c>
      <c r="E1571" s="606" t="s">
        <v>4178</v>
      </c>
      <c r="F1571" s="606" t="s">
        <v>4178</v>
      </c>
      <c r="G1571" s="606" t="s">
        <v>1085</v>
      </c>
      <c r="H1571" s="606" t="s">
        <v>3974</v>
      </c>
      <c r="I1571" s="606" t="s">
        <v>1087</v>
      </c>
      <c r="J1571" s="606" t="s">
        <v>1088</v>
      </c>
    </row>
    <row r="1572" spans="2:10" ht="21" customHeight="1">
      <c r="B1572" s="605" t="s">
        <v>4179</v>
      </c>
      <c r="C1572" s="606" t="s">
        <v>11</v>
      </c>
      <c r="D1572" s="605" t="s">
        <v>689</v>
      </c>
      <c r="E1572" s="606" t="s">
        <v>4180</v>
      </c>
      <c r="F1572" s="606" t="s">
        <v>964</v>
      </c>
      <c r="G1572" s="606" t="s">
        <v>3959</v>
      </c>
      <c r="H1572" s="606" t="s">
        <v>3960</v>
      </c>
      <c r="I1572" s="606" t="s">
        <v>3961</v>
      </c>
      <c r="J1572" s="606" t="s">
        <v>3962</v>
      </c>
    </row>
    <row r="1573" spans="2:10" ht="21" customHeight="1">
      <c r="B1573" s="605" t="s">
        <v>4181</v>
      </c>
      <c r="C1573" s="606" t="s">
        <v>11</v>
      </c>
      <c r="D1573" s="605" t="s">
        <v>689</v>
      </c>
      <c r="E1573" s="606" t="s">
        <v>4182</v>
      </c>
      <c r="F1573" s="606" t="s">
        <v>4182</v>
      </c>
      <c r="G1573" s="606" t="s">
        <v>3959</v>
      </c>
      <c r="H1573" s="606" t="s">
        <v>3960</v>
      </c>
      <c r="I1573" s="606" t="s">
        <v>3961</v>
      </c>
      <c r="J1573" s="606" t="s">
        <v>3962</v>
      </c>
    </row>
    <row r="1574" spans="2:10" ht="21" customHeight="1">
      <c r="B1574" s="605" t="s">
        <v>4183</v>
      </c>
      <c r="C1574" s="606" t="s">
        <v>11</v>
      </c>
      <c r="D1574" s="605" t="s">
        <v>689</v>
      </c>
      <c r="E1574" s="606" t="s">
        <v>176</v>
      </c>
      <c r="F1574" s="606" t="s">
        <v>176</v>
      </c>
      <c r="G1574" s="606" t="s">
        <v>1085</v>
      </c>
      <c r="H1574" s="606" t="s">
        <v>3974</v>
      </c>
      <c r="I1574" s="606" t="s">
        <v>1087</v>
      </c>
      <c r="J1574" s="606" t="s">
        <v>1088</v>
      </c>
    </row>
    <row r="1575" spans="2:10" ht="21" customHeight="1">
      <c r="B1575" s="605" t="s">
        <v>4184</v>
      </c>
      <c r="C1575" s="606" t="s">
        <v>11</v>
      </c>
      <c r="D1575" s="605" t="s">
        <v>689</v>
      </c>
      <c r="E1575" s="606" t="s">
        <v>4185</v>
      </c>
      <c r="F1575" s="606" t="s">
        <v>4186</v>
      </c>
      <c r="G1575" s="606" t="s">
        <v>3959</v>
      </c>
      <c r="H1575" s="606" t="s">
        <v>3960</v>
      </c>
      <c r="I1575" s="606" t="s">
        <v>3961</v>
      </c>
      <c r="J1575" s="606" t="s">
        <v>3962</v>
      </c>
    </row>
    <row r="1576" spans="2:10" ht="21" customHeight="1">
      <c r="B1576" s="605" t="s">
        <v>4187</v>
      </c>
      <c r="C1576" s="606" t="s">
        <v>11</v>
      </c>
      <c r="D1576" s="605" t="s">
        <v>689</v>
      </c>
      <c r="E1576" s="606" t="s">
        <v>4188</v>
      </c>
      <c r="F1576" s="606" t="s">
        <v>4188</v>
      </c>
      <c r="G1576" s="606" t="s">
        <v>3959</v>
      </c>
      <c r="H1576" s="606" t="s">
        <v>3960</v>
      </c>
      <c r="I1576" s="606" t="s">
        <v>3961</v>
      </c>
      <c r="J1576" s="606" t="s">
        <v>3962</v>
      </c>
    </row>
    <row r="1577" spans="2:10" ht="21" customHeight="1">
      <c r="B1577" s="605" t="s">
        <v>4189</v>
      </c>
      <c r="C1577" s="606" t="s">
        <v>11</v>
      </c>
      <c r="D1577" s="605" t="s">
        <v>689</v>
      </c>
      <c r="E1577" s="606" t="s">
        <v>965</v>
      </c>
      <c r="F1577" s="606" t="s">
        <v>965</v>
      </c>
      <c r="G1577" s="606" t="s">
        <v>1085</v>
      </c>
      <c r="H1577" s="606" t="s">
        <v>3974</v>
      </c>
      <c r="I1577" s="606" t="s">
        <v>1087</v>
      </c>
      <c r="J1577" s="606" t="s">
        <v>1088</v>
      </c>
    </row>
    <row r="1578" spans="2:10" ht="21" customHeight="1">
      <c r="B1578" s="605" t="s">
        <v>4190</v>
      </c>
      <c r="C1578" s="606" t="s">
        <v>11</v>
      </c>
      <c r="D1578" s="605" t="s">
        <v>689</v>
      </c>
      <c r="E1578" s="606" t="s">
        <v>4191</v>
      </c>
      <c r="F1578" s="606" t="s">
        <v>4191</v>
      </c>
      <c r="G1578" s="606" t="s">
        <v>3959</v>
      </c>
      <c r="H1578" s="606" t="s">
        <v>3960</v>
      </c>
      <c r="I1578" s="606" t="s">
        <v>3961</v>
      </c>
      <c r="J1578" s="606" t="s">
        <v>3962</v>
      </c>
    </row>
    <row r="1579" spans="2:10" ht="21" customHeight="1">
      <c r="B1579" s="605" t="s">
        <v>4192</v>
      </c>
      <c r="C1579" s="606" t="s">
        <v>11</v>
      </c>
      <c r="D1579" s="605" t="s">
        <v>689</v>
      </c>
      <c r="E1579" s="606" t="s">
        <v>4193</v>
      </c>
      <c r="F1579" s="606" t="s">
        <v>966</v>
      </c>
      <c r="G1579" s="606" t="s">
        <v>3959</v>
      </c>
      <c r="H1579" s="606" t="s">
        <v>3960</v>
      </c>
      <c r="I1579" s="606" t="s">
        <v>3961</v>
      </c>
      <c r="J1579" s="606" t="s">
        <v>3962</v>
      </c>
    </row>
    <row r="1580" spans="2:10" ht="21" customHeight="1">
      <c r="B1580" s="605" t="s">
        <v>4194</v>
      </c>
      <c r="C1580" s="606" t="s">
        <v>11</v>
      </c>
      <c r="D1580" s="605" t="s">
        <v>689</v>
      </c>
      <c r="E1580" s="606" t="s">
        <v>4195</v>
      </c>
      <c r="F1580" s="606" t="s">
        <v>4195</v>
      </c>
      <c r="G1580" s="606" t="s">
        <v>3959</v>
      </c>
      <c r="H1580" s="606" t="s">
        <v>3960</v>
      </c>
      <c r="I1580" s="606" t="s">
        <v>3961</v>
      </c>
      <c r="J1580" s="606" t="s">
        <v>3962</v>
      </c>
    </row>
    <row r="1581" spans="2:10" ht="21" customHeight="1">
      <c r="B1581" s="605" t="s">
        <v>4196</v>
      </c>
      <c r="C1581" s="606" t="s">
        <v>11</v>
      </c>
      <c r="D1581" s="605" t="s">
        <v>689</v>
      </c>
      <c r="E1581" s="606" t="s">
        <v>4197</v>
      </c>
      <c r="F1581" s="606" t="s">
        <v>4197</v>
      </c>
      <c r="G1581" s="606" t="s">
        <v>3959</v>
      </c>
      <c r="H1581" s="606" t="s">
        <v>3960</v>
      </c>
      <c r="I1581" s="606" t="s">
        <v>3961</v>
      </c>
      <c r="J1581" s="606" t="s">
        <v>3962</v>
      </c>
    </row>
    <row r="1582" spans="2:10" ht="21" customHeight="1">
      <c r="B1582" s="605" t="s">
        <v>4198</v>
      </c>
      <c r="C1582" s="606" t="s">
        <v>11</v>
      </c>
      <c r="D1582" s="605" t="s">
        <v>689</v>
      </c>
      <c r="E1582" s="606" t="s">
        <v>967</v>
      </c>
      <c r="F1582" s="606" t="s">
        <v>967</v>
      </c>
      <c r="G1582" s="606" t="s">
        <v>3959</v>
      </c>
      <c r="H1582" s="606" t="s">
        <v>3960</v>
      </c>
      <c r="I1582" s="606" t="s">
        <v>3961</v>
      </c>
      <c r="J1582" s="606" t="s">
        <v>3962</v>
      </c>
    </row>
    <row r="1583" spans="2:10" ht="21" customHeight="1">
      <c r="B1583" s="605" t="s">
        <v>4199</v>
      </c>
      <c r="C1583" s="606" t="s">
        <v>11</v>
      </c>
      <c r="D1583" s="605" t="s">
        <v>689</v>
      </c>
      <c r="E1583" s="606" t="s">
        <v>4200</v>
      </c>
      <c r="F1583" s="606" t="s">
        <v>4201</v>
      </c>
      <c r="G1583" s="606" t="s">
        <v>3959</v>
      </c>
      <c r="H1583" s="606" t="s">
        <v>3960</v>
      </c>
      <c r="I1583" s="606" t="s">
        <v>3961</v>
      </c>
      <c r="J1583" s="606" t="s">
        <v>3962</v>
      </c>
    </row>
    <row r="1584" spans="2:10" ht="21" customHeight="1">
      <c r="B1584" s="605" t="s">
        <v>4202</v>
      </c>
      <c r="C1584" s="606" t="s">
        <v>11</v>
      </c>
      <c r="D1584" s="605" t="s">
        <v>689</v>
      </c>
      <c r="E1584" s="606" t="s">
        <v>968</v>
      </c>
      <c r="F1584" s="606" t="s">
        <v>968</v>
      </c>
      <c r="G1584" s="606" t="s">
        <v>1085</v>
      </c>
      <c r="H1584" s="606" t="s">
        <v>3974</v>
      </c>
      <c r="I1584" s="606" t="s">
        <v>1087</v>
      </c>
      <c r="J1584" s="606" t="s">
        <v>1088</v>
      </c>
    </row>
    <row r="1585" spans="2:10" ht="21" customHeight="1">
      <c r="B1585" s="605" t="s">
        <v>4203</v>
      </c>
      <c r="C1585" s="606" t="s">
        <v>11</v>
      </c>
      <c r="D1585" s="605" t="s">
        <v>689</v>
      </c>
      <c r="E1585" s="606" t="s">
        <v>4204</v>
      </c>
      <c r="F1585" s="606" t="s">
        <v>4204</v>
      </c>
      <c r="G1585" s="606" t="s">
        <v>3959</v>
      </c>
      <c r="H1585" s="606" t="s">
        <v>3960</v>
      </c>
      <c r="I1585" s="606" t="s">
        <v>3961</v>
      </c>
      <c r="J1585" s="606" t="s">
        <v>3962</v>
      </c>
    </row>
    <row r="1586" spans="2:10" ht="21" customHeight="1">
      <c r="B1586" s="605" t="s">
        <v>4205</v>
      </c>
      <c r="C1586" s="606" t="s">
        <v>11</v>
      </c>
      <c r="D1586" s="605" t="s">
        <v>689</v>
      </c>
      <c r="E1586" s="606" t="s">
        <v>4206</v>
      </c>
      <c r="F1586" s="606" t="s">
        <v>4206</v>
      </c>
      <c r="G1586" s="606" t="s">
        <v>1085</v>
      </c>
      <c r="H1586" s="606" t="s">
        <v>3974</v>
      </c>
      <c r="I1586" s="606" t="s">
        <v>1087</v>
      </c>
      <c r="J1586" s="606" t="s">
        <v>1088</v>
      </c>
    </row>
    <row r="1587" spans="2:10" ht="21" customHeight="1">
      <c r="B1587" s="605" t="s">
        <v>4207</v>
      </c>
      <c r="C1587" s="606" t="s">
        <v>11</v>
      </c>
      <c r="D1587" s="605" t="s">
        <v>689</v>
      </c>
      <c r="E1587" s="606" t="s">
        <v>4208</v>
      </c>
      <c r="F1587" s="606" t="s">
        <v>4208</v>
      </c>
      <c r="G1587" s="606" t="s">
        <v>3959</v>
      </c>
      <c r="H1587" s="606" t="s">
        <v>3960</v>
      </c>
      <c r="I1587" s="606" t="s">
        <v>3961</v>
      </c>
      <c r="J1587" s="606" t="s">
        <v>3962</v>
      </c>
    </row>
    <row r="1588" spans="2:10" ht="21" customHeight="1">
      <c r="B1588" s="605" t="s">
        <v>4209</v>
      </c>
      <c r="C1588" s="606" t="s">
        <v>11</v>
      </c>
      <c r="D1588" s="605" t="s">
        <v>689</v>
      </c>
      <c r="E1588" s="606" t="s">
        <v>4210</v>
      </c>
      <c r="F1588" s="606" t="s">
        <v>4210</v>
      </c>
      <c r="G1588" s="606" t="s">
        <v>3959</v>
      </c>
      <c r="H1588" s="606" t="s">
        <v>3960</v>
      </c>
      <c r="I1588" s="606" t="s">
        <v>3961</v>
      </c>
      <c r="J1588" s="606" t="s">
        <v>3962</v>
      </c>
    </row>
    <row r="1589" spans="2:10" ht="21" customHeight="1">
      <c r="B1589" s="605" t="s">
        <v>4211</v>
      </c>
      <c r="C1589" s="606" t="s">
        <v>11</v>
      </c>
      <c r="D1589" s="605" t="s">
        <v>689</v>
      </c>
      <c r="E1589" s="606" t="s">
        <v>4212</v>
      </c>
      <c r="F1589" s="606" t="s">
        <v>4212</v>
      </c>
      <c r="G1589" s="606" t="s">
        <v>3959</v>
      </c>
      <c r="H1589" s="606" t="s">
        <v>3960</v>
      </c>
      <c r="I1589" s="606" t="s">
        <v>3961</v>
      </c>
      <c r="J1589" s="606" t="s">
        <v>3962</v>
      </c>
    </row>
    <row r="1590" spans="2:10" ht="21" customHeight="1">
      <c r="B1590" s="605" t="s">
        <v>4213</v>
      </c>
      <c r="C1590" s="606" t="s">
        <v>11</v>
      </c>
      <c r="D1590" s="605" t="s">
        <v>689</v>
      </c>
      <c r="E1590" s="606" t="s">
        <v>4214</v>
      </c>
      <c r="F1590" s="606" t="s">
        <v>4214</v>
      </c>
      <c r="G1590" s="606" t="s">
        <v>1085</v>
      </c>
      <c r="H1590" s="606" t="s">
        <v>3974</v>
      </c>
      <c r="I1590" s="606" t="s">
        <v>1087</v>
      </c>
      <c r="J1590" s="606" t="s">
        <v>1088</v>
      </c>
    </row>
    <row r="1591" spans="2:10" ht="21" customHeight="1">
      <c r="B1591" s="605" t="s">
        <v>4215</v>
      </c>
      <c r="C1591" s="606" t="s">
        <v>11</v>
      </c>
      <c r="D1591" s="605" t="s">
        <v>689</v>
      </c>
      <c r="E1591" s="606" t="s">
        <v>4216</v>
      </c>
      <c r="F1591" s="606" t="s">
        <v>4216</v>
      </c>
      <c r="G1591" s="606" t="s">
        <v>1085</v>
      </c>
      <c r="H1591" s="606" t="s">
        <v>3974</v>
      </c>
      <c r="I1591" s="606" t="s">
        <v>1087</v>
      </c>
      <c r="J1591" s="606" t="s">
        <v>1088</v>
      </c>
    </row>
    <row r="1592" spans="2:10" ht="21" customHeight="1">
      <c r="B1592" s="605" t="s">
        <v>4217</v>
      </c>
      <c r="C1592" s="606" t="s">
        <v>11</v>
      </c>
      <c r="D1592" s="605" t="s">
        <v>689</v>
      </c>
      <c r="E1592" s="606" t="s">
        <v>970</v>
      </c>
      <c r="F1592" s="606" t="s">
        <v>970</v>
      </c>
      <c r="G1592" s="606" t="s">
        <v>1085</v>
      </c>
      <c r="H1592" s="606" t="s">
        <v>3974</v>
      </c>
      <c r="I1592" s="606" t="s">
        <v>1087</v>
      </c>
      <c r="J1592" s="606" t="s">
        <v>1088</v>
      </c>
    </row>
    <row r="1593" spans="2:10" ht="21" customHeight="1">
      <c r="B1593" s="605" t="s">
        <v>4218</v>
      </c>
      <c r="C1593" s="606" t="s">
        <v>11</v>
      </c>
      <c r="D1593" s="605" t="s">
        <v>689</v>
      </c>
      <c r="E1593" s="606" t="s">
        <v>4219</v>
      </c>
      <c r="F1593" s="606" t="s">
        <v>4219</v>
      </c>
      <c r="G1593" s="606" t="s">
        <v>1085</v>
      </c>
      <c r="H1593" s="606" t="s">
        <v>3974</v>
      </c>
      <c r="I1593" s="606" t="s">
        <v>1087</v>
      </c>
      <c r="J1593" s="606" t="s">
        <v>1088</v>
      </c>
    </row>
    <row r="1594" spans="2:10" ht="21" customHeight="1">
      <c r="B1594" s="605" t="s">
        <v>4220</v>
      </c>
      <c r="C1594" s="606" t="s">
        <v>11</v>
      </c>
      <c r="D1594" s="605" t="s">
        <v>689</v>
      </c>
      <c r="E1594" s="606" t="s">
        <v>4221</v>
      </c>
      <c r="F1594" s="606" t="s">
        <v>4221</v>
      </c>
      <c r="G1594" s="606" t="s">
        <v>3959</v>
      </c>
      <c r="H1594" s="606" t="s">
        <v>3960</v>
      </c>
      <c r="I1594" s="606" t="s">
        <v>3961</v>
      </c>
      <c r="J1594" s="606" t="s">
        <v>3962</v>
      </c>
    </row>
    <row r="1595" spans="2:10" ht="21" customHeight="1">
      <c r="B1595" s="605" t="s">
        <v>4222</v>
      </c>
      <c r="C1595" s="606" t="s">
        <v>11</v>
      </c>
      <c r="D1595" s="605" t="s">
        <v>689</v>
      </c>
      <c r="E1595" s="606" t="s">
        <v>4223</v>
      </c>
      <c r="F1595" s="606" t="s">
        <v>971</v>
      </c>
      <c r="G1595" s="606" t="s">
        <v>1085</v>
      </c>
      <c r="H1595" s="606" t="s">
        <v>3974</v>
      </c>
      <c r="I1595" s="606" t="s">
        <v>1087</v>
      </c>
      <c r="J1595" s="606" t="s">
        <v>1088</v>
      </c>
    </row>
    <row r="1596" spans="2:10" ht="21" customHeight="1">
      <c r="B1596" s="605" t="s">
        <v>4224</v>
      </c>
      <c r="C1596" s="606" t="s">
        <v>11</v>
      </c>
      <c r="D1596" s="605" t="s">
        <v>689</v>
      </c>
      <c r="E1596" s="606" t="s">
        <v>4225</v>
      </c>
      <c r="F1596" s="606" t="s">
        <v>4226</v>
      </c>
      <c r="G1596" s="606" t="s">
        <v>3959</v>
      </c>
      <c r="H1596" s="606" t="s">
        <v>3960</v>
      </c>
      <c r="I1596" s="606" t="s">
        <v>3961</v>
      </c>
      <c r="J1596" s="606" t="s">
        <v>3962</v>
      </c>
    </row>
    <row r="1597" spans="2:10" ht="21" customHeight="1">
      <c r="B1597" s="605" t="s">
        <v>4227</v>
      </c>
      <c r="C1597" s="606" t="s">
        <v>11</v>
      </c>
      <c r="D1597" s="605" t="s">
        <v>689</v>
      </c>
      <c r="E1597" s="606" t="s">
        <v>4228</v>
      </c>
      <c r="F1597" s="606" t="s">
        <v>4228</v>
      </c>
      <c r="G1597" s="606" t="s">
        <v>1085</v>
      </c>
      <c r="H1597" s="606" t="s">
        <v>3974</v>
      </c>
      <c r="I1597" s="606" t="s">
        <v>1087</v>
      </c>
      <c r="J1597" s="606" t="s">
        <v>1088</v>
      </c>
    </row>
    <row r="1598" spans="2:10" ht="21" customHeight="1">
      <c r="B1598" s="605" t="s">
        <v>4229</v>
      </c>
      <c r="C1598" s="606" t="s">
        <v>11</v>
      </c>
      <c r="D1598" s="605" t="s">
        <v>689</v>
      </c>
      <c r="E1598" s="606" t="s">
        <v>4230</v>
      </c>
      <c r="F1598" s="606" t="s">
        <v>4230</v>
      </c>
      <c r="G1598" s="606" t="s">
        <v>3959</v>
      </c>
      <c r="H1598" s="606" t="s">
        <v>3960</v>
      </c>
      <c r="I1598" s="606" t="s">
        <v>3961</v>
      </c>
      <c r="J1598" s="606" t="s">
        <v>3962</v>
      </c>
    </row>
    <row r="1599" spans="2:10" ht="21" customHeight="1">
      <c r="B1599" s="605" t="s">
        <v>4231</v>
      </c>
      <c r="C1599" s="606" t="s">
        <v>11</v>
      </c>
      <c r="D1599" s="605" t="s">
        <v>689</v>
      </c>
      <c r="E1599" s="606" t="s">
        <v>4232</v>
      </c>
      <c r="F1599" s="606" t="s">
        <v>4232</v>
      </c>
      <c r="G1599" s="606" t="s">
        <v>3959</v>
      </c>
      <c r="H1599" s="606" t="s">
        <v>3960</v>
      </c>
      <c r="I1599" s="606" t="s">
        <v>3961</v>
      </c>
      <c r="J1599" s="606" t="s">
        <v>3962</v>
      </c>
    </row>
    <row r="1600" spans="2:10" ht="21" customHeight="1">
      <c r="B1600" s="605" t="s">
        <v>4233</v>
      </c>
      <c r="C1600" s="606" t="s">
        <v>11</v>
      </c>
      <c r="D1600" s="605" t="s">
        <v>689</v>
      </c>
      <c r="E1600" s="606" t="s">
        <v>4234</v>
      </c>
      <c r="F1600" s="606" t="s">
        <v>4234</v>
      </c>
      <c r="G1600" s="606" t="s">
        <v>3959</v>
      </c>
      <c r="H1600" s="606" t="s">
        <v>3960</v>
      </c>
      <c r="I1600" s="606" t="s">
        <v>3961</v>
      </c>
      <c r="J1600" s="606" t="s">
        <v>3962</v>
      </c>
    </row>
    <row r="1601" spans="2:10" ht="21" customHeight="1">
      <c r="B1601" s="605" t="s">
        <v>4235</v>
      </c>
      <c r="C1601" s="606" t="s">
        <v>11</v>
      </c>
      <c r="D1601" s="605" t="s">
        <v>689</v>
      </c>
      <c r="E1601" s="606" t="s">
        <v>4236</v>
      </c>
      <c r="F1601" s="606" t="s">
        <v>4236</v>
      </c>
      <c r="G1601" s="606" t="s">
        <v>1151</v>
      </c>
      <c r="H1601" s="606" t="s">
        <v>1152</v>
      </c>
      <c r="I1601" s="606" t="s">
        <v>1087</v>
      </c>
      <c r="J1601" s="606" t="s">
        <v>1153</v>
      </c>
    </row>
    <row r="1602" spans="2:10" ht="21" customHeight="1">
      <c r="B1602" s="605" t="s">
        <v>4237</v>
      </c>
      <c r="C1602" s="606" t="s">
        <v>11</v>
      </c>
      <c r="D1602" s="605" t="s">
        <v>689</v>
      </c>
      <c r="E1602" s="606" t="s">
        <v>4238</v>
      </c>
      <c r="F1602" s="606" t="s">
        <v>4238</v>
      </c>
      <c r="G1602" s="606" t="s">
        <v>3959</v>
      </c>
      <c r="H1602" s="606" t="s">
        <v>3960</v>
      </c>
      <c r="I1602" s="606" t="s">
        <v>3961</v>
      </c>
      <c r="J1602" s="606" t="s">
        <v>3962</v>
      </c>
    </row>
    <row r="1603" spans="2:10" ht="21" customHeight="1">
      <c r="B1603" s="605" t="s">
        <v>4239</v>
      </c>
      <c r="C1603" s="606" t="s">
        <v>11</v>
      </c>
      <c r="D1603" s="605" t="s">
        <v>689</v>
      </c>
      <c r="E1603" s="606" t="s">
        <v>4240</v>
      </c>
      <c r="F1603" s="606" t="s">
        <v>4240</v>
      </c>
      <c r="G1603" s="606" t="s">
        <v>3959</v>
      </c>
      <c r="H1603" s="606" t="s">
        <v>3960</v>
      </c>
      <c r="I1603" s="606" t="s">
        <v>3961</v>
      </c>
      <c r="J1603" s="606" t="s">
        <v>3962</v>
      </c>
    </row>
    <row r="1604" spans="2:10" ht="21" customHeight="1">
      <c r="B1604" s="605" t="s">
        <v>4241</v>
      </c>
      <c r="C1604" s="606" t="s">
        <v>11</v>
      </c>
      <c r="D1604" s="605" t="s">
        <v>689</v>
      </c>
      <c r="E1604" s="606" t="s">
        <v>4242</v>
      </c>
      <c r="F1604" s="606" t="s">
        <v>4242</v>
      </c>
      <c r="G1604" s="606" t="s">
        <v>3959</v>
      </c>
      <c r="H1604" s="606" t="s">
        <v>3960</v>
      </c>
      <c r="I1604" s="606" t="s">
        <v>3961</v>
      </c>
      <c r="J1604" s="606" t="s">
        <v>3962</v>
      </c>
    </row>
    <row r="1605" spans="2:10" ht="21" customHeight="1">
      <c r="B1605" s="605" t="s">
        <v>4243</v>
      </c>
      <c r="C1605" s="606" t="s">
        <v>11</v>
      </c>
      <c r="D1605" s="605" t="s">
        <v>689</v>
      </c>
      <c r="E1605" s="606" t="s">
        <v>4244</v>
      </c>
      <c r="F1605" s="606" t="s">
        <v>4245</v>
      </c>
      <c r="G1605" s="606" t="s">
        <v>1085</v>
      </c>
      <c r="H1605" s="606" t="s">
        <v>3974</v>
      </c>
      <c r="I1605" s="606" t="s">
        <v>1087</v>
      </c>
      <c r="J1605" s="606" t="s">
        <v>1088</v>
      </c>
    </row>
    <row r="1606" spans="2:10" ht="21" customHeight="1">
      <c r="B1606" s="605" t="s">
        <v>4246</v>
      </c>
      <c r="C1606" s="606" t="s">
        <v>11</v>
      </c>
      <c r="D1606" s="605" t="s">
        <v>689</v>
      </c>
      <c r="E1606" s="606" t="s">
        <v>974</v>
      </c>
      <c r="F1606" s="606" t="s">
        <v>974</v>
      </c>
      <c r="G1606" s="606" t="s">
        <v>1085</v>
      </c>
      <c r="H1606" s="606" t="s">
        <v>3974</v>
      </c>
      <c r="I1606" s="606" t="s">
        <v>1087</v>
      </c>
      <c r="J1606" s="606" t="s">
        <v>1088</v>
      </c>
    </row>
    <row r="1607" spans="2:10" ht="21" customHeight="1">
      <c r="B1607" s="605" t="s">
        <v>4247</v>
      </c>
      <c r="C1607" s="606" t="s">
        <v>11</v>
      </c>
      <c r="D1607" s="605" t="s">
        <v>689</v>
      </c>
      <c r="E1607" s="606" t="s">
        <v>975</v>
      </c>
      <c r="F1607" s="606" t="s">
        <v>975</v>
      </c>
      <c r="G1607" s="606" t="s">
        <v>3959</v>
      </c>
      <c r="H1607" s="606" t="s">
        <v>3960</v>
      </c>
      <c r="I1607" s="606" t="s">
        <v>3961</v>
      </c>
      <c r="J1607" s="606" t="s">
        <v>3962</v>
      </c>
    </row>
    <row r="1608" spans="2:10" ht="21" customHeight="1">
      <c r="B1608" s="605" t="s">
        <v>4248</v>
      </c>
      <c r="C1608" s="606" t="s">
        <v>11</v>
      </c>
      <c r="D1608" s="605" t="s">
        <v>689</v>
      </c>
      <c r="E1608" s="606" t="s">
        <v>4249</v>
      </c>
      <c r="F1608" s="606" t="s">
        <v>4249</v>
      </c>
      <c r="G1608" s="606" t="s">
        <v>3959</v>
      </c>
      <c r="H1608" s="606" t="s">
        <v>3960</v>
      </c>
      <c r="I1608" s="606" t="s">
        <v>3961</v>
      </c>
      <c r="J1608" s="606" t="s">
        <v>3962</v>
      </c>
    </row>
    <row r="1609" spans="2:10" ht="21" customHeight="1">
      <c r="B1609" s="605" t="s">
        <v>4250</v>
      </c>
      <c r="C1609" s="606" t="s">
        <v>11</v>
      </c>
      <c r="D1609" s="605" t="s">
        <v>689</v>
      </c>
      <c r="E1609" s="606" t="s">
        <v>699</v>
      </c>
      <c r="F1609" s="606" t="s">
        <v>699</v>
      </c>
      <c r="G1609" s="606" t="s">
        <v>1085</v>
      </c>
      <c r="H1609" s="606" t="s">
        <v>3974</v>
      </c>
      <c r="I1609" s="606" t="s">
        <v>1087</v>
      </c>
      <c r="J1609" s="606" t="s">
        <v>1088</v>
      </c>
    </row>
    <row r="1610" spans="2:10" ht="21" customHeight="1">
      <c r="B1610" s="605" t="s">
        <v>4251</v>
      </c>
      <c r="C1610" s="606" t="s">
        <v>11</v>
      </c>
      <c r="D1610" s="605" t="s">
        <v>689</v>
      </c>
      <c r="E1610" s="606" t="s">
        <v>4252</v>
      </c>
      <c r="F1610" s="606" t="s">
        <v>4252</v>
      </c>
      <c r="G1610" s="606" t="s">
        <v>1085</v>
      </c>
      <c r="H1610" s="606" t="s">
        <v>3974</v>
      </c>
      <c r="I1610" s="606" t="s">
        <v>1087</v>
      </c>
      <c r="J1610" s="606" t="s">
        <v>1088</v>
      </c>
    </row>
    <row r="1611" spans="2:10" ht="21" customHeight="1">
      <c r="B1611" s="605" t="s">
        <v>4253</v>
      </c>
      <c r="C1611" s="606" t="s">
        <v>11</v>
      </c>
      <c r="D1611" s="605" t="s">
        <v>689</v>
      </c>
      <c r="E1611" s="606" t="s">
        <v>84</v>
      </c>
      <c r="F1611" s="606" t="s">
        <v>84</v>
      </c>
      <c r="G1611" s="606" t="s">
        <v>1085</v>
      </c>
      <c r="H1611" s="606" t="s">
        <v>3974</v>
      </c>
      <c r="I1611" s="606" t="s">
        <v>1087</v>
      </c>
      <c r="J1611" s="606" t="s">
        <v>1088</v>
      </c>
    </row>
    <row r="1612" spans="2:10" ht="21" customHeight="1">
      <c r="B1612" s="605" t="s">
        <v>4254</v>
      </c>
      <c r="C1612" s="606" t="s">
        <v>11</v>
      </c>
      <c r="D1612" s="605" t="s">
        <v>689</v>
      </c>
      <c r="E1612" s="606" t="s">
        <v>4255</v>
      </c>
      <c r="F1612" s="606" t="s">
        <v>4256</v>
      </c>
      <c r="G1612" s="606" t="s">
        <v>3959</v>
      </c>
      <c r="H1612" s="606" t="s">
        <v>3960</v>
      </c>
      <c r="I1612" s="606" t="s">
        <v>3961</v>
      </c>
      <c r="J1612" s="606" t="s">
        <v>3962</v>
      </c>
    </row>
    <row r="1613" spans="2:10" ht="21" customHeight="1">
      <c r="B1613" s="605" t="s">
        <v>4257</v>
      </c>
      <c r="C1613" s="606" t="s">
        <v>11</v>
      </c>
      <c r="D1613" s="605" t="s">
        <v>689</v>
      </c>
      <c r="E1613" s="606" t="s">
        <v>4258</v>
      </c>
      <c r="F1613" s="606" t="s">
        <v>70</v>
      </c>
      <c r="G1613" s="606" t="s">
        <v>1085</v>
      </c>
      <c r="H1613" s="606" t="s">
        <v>3974</v>
      </c>
      <c r="I1613" s="606" t="s">
        <v>1087</v>
      </c>
      <c r="J1613" s="606" t="s">
        <v>1088</v>
      </c>
    </row>
    <row r="1614" spans="2:10" ht="21" customHeight="1">
      <c r="B1614" s="605" t="s">
        <v>4259</v>
      </c>
      <c r="C1614" s="606" t="s">
        <v>11</v>
      </c>
      <c r="D1614" s="605" t="s">
        <v>689</v>
      </c>
      <c r="E1614" s="606" t="s">
        <v>4260</v>
      </c>
      <c r="F1614" s="606" t="s">
        <v>4260</v>
      </c>
      <c r="G1614" s="606" t="s">
        <v>3959</v>
      </c>
      <c r="H1614" s="606" t="s">
        <v>3960</v>
      </c>
      <c r="I1614" s="606" t="s">
        <v>3961</v>
      </c>
      <c r="J1614" s="606" t="s">
        <v>3962</v>
      </c>
    </row>
    <row r="1615" spans="2:10" ht="21" customHeight="1">
      <c r="B1615" s="605" t="s">
        <v>4261</v>
      </c>
      <c r="C1615" s="606" t="s">
        <v>11</v>
      </c>
      <c r="D1615" s="605" t="s">
        <v>689</v>
      </c>
      <c r="E1615" s="606" t="s">
        <v>23</v>
      </c>
      <c r="F1615" s="606" t="s">
        <v>23</v>
      </c>
      <c r="G1615" s="606" t="s">
        <v>1085</v>
      </c>
      <c r="H1615" s="606" t="s">
        <v>3974</v>
      </c>
      <c r="I1615" s="606" t="s">
        <v>1087</v>
      </c>
      <c r="J1615" s="606" t="s">
        <v>1088</v>
      </c>
    </row>
    <row r="1616" spans="2:10" ht="21" customHeight="1">
      <c r="B1616" s="605" t="s">
        <v>4262</v>
      </c>
      <c r="C1616" s="606" t="s">
        <v>11</v>
      </c>
      <c r="D1616" s="605" t="s">
        <v>689</v>
      </c>
      <c r="E1616" s="606" t="s">
        <v>4263</v>
      </c>
      <c r="F1616" s="606" t="s">
        <v>4264</v>
      </c>
      <c r="G1616" s="606" t="s">
        <v>1085</v>
      </c>
      <c r="H1616" s="606" t="s">
        <v>3974</v>
      </c>
      <c r="I1616" s="606" t="s">
        <v>1087</v>
      </c>
      <c r="J1616" s="606" t="s">
        <v>1088</v>
      </c>
    </row>
    <row r="1617" spans="2:10" ht="21" customHeight="1">
      <c r="B1617" s="605" t="s">
        <v>4265</v>
      </c>
      <c r="C1617" s="606" t="s">
        <v>11</v>
      </c>
      <c r="D1617" s="605" t="s">
        <v>689</v>
      </c>
      <c r="E1617" s="606" t="s">
        <v>4266</v>
      </c>
      <c r="F1617" s="606" t="s">
        <v>4267</v>
      </c>
      <c r="G1617" s="606" t="s">
        <v>3959</v>
      </c>
      <c r="H1617" s="606" t="s">
        <v>3960</v>
      </c>
      <c r="I1617" s="606" t="s">
        <v>3961</v>
      </c>
      <c r="J1617" s="606" t="s">
        <v>3962</v>
      </c>
    </row>
    <row r="1618" spans="2:10" ht="21" customHeight="1">
      <c r="B1618" s="605" t="s">
        <v>4268</v>
      </c>
      <c r="C1618" s="606" t="s">
        <v>11</v>
      </c>
      <c r="D1618" s="605" t="s">
        <v>689</v>
      </c>
      <c r="E1618" s="606" t="s">
        <v>4269</v>
      </c>
      <c r="F1618" s="606" t="s">
        <v>4269</v>
      </c>
      <c r="G1618" s="606" t="s">
        <v>3959</v>
      </c>
      <c r="H1618" s="606" t="s">
        <v>3960</v>
      </c>
      <c r="I1618" s="606" t="s">
        <v>3961</v>
      </c>
      <c r="J1618" s="606" t="s">
        <v>3962</v>
      </c>
    </row>
    <row r="1619" spans="2:10" ht="21" customHeight="1">
      <c r="B1619" s="605" t="s">
        <v>4270</v>
      </c>
      <c r="C1619" s="606" t="s">
        <v>11</v>
      </c>
      <c r="D1619" s="605" t="s">
        <v>689</v>
      </c>
      <c r="E1619" s="606" t="s">
        <v>4271</v>
      </c>
      <c r="F1619" s="606" t="s">
        <v>4271</v>
      </c>
      <c r="G1619" s="606" t="s">
        <v>1085</v>
      </c>
      <c r="H1619" s="606" t="s">
        <v>3974</v>
      </c>
      <c r="I1619" s="606" t="s">
        <v>1087</v>
      </c>
      <c r="J1619" s="606" t="s">
        <v>1088</v>
      </c>
    </row>
    <row r="1620" spans="2:10" ht="21" customHeight="1">
      <c r="B1620" s="605" t="s">
        <v>4272</v>
      </c>
      <c r="C1620" s="606" t="s">
        <v>11</v>
      </c>
      <c r="D1620" s="605" t="s">
        <v>689</v>
      </c>
      <c r="E1620" s="606" t="s">
        <v>4273</v>
      </c>
      <c r="F1620" s="606" t="s">
        <v>4273</v>
      </c>
      <c r="G1620" s="606" t="s">
        <v>3959</v>
      </c>
      <c r="H1620" s="606" t="s">
        <v>3960</v>
      </c>
      <c r="I1620" s="606" t="s">
        <v>3961</v>
      </c>
      <c r="J1620" s="606" t="s">
        <v>3962</v>
      </c>
    </row>
    <row r="1621" spans="2:10" ht="21" customHeight="1">
      <c r="B1621" s="605" t="s">
        <v>4274</v>
      </c>
      <c r="C1621" s="606" t="s">
        <v>11</v>
      </c>
      <c r="D1621" s="605" t="s">
        <v>689</v>
      </c>
      <c r="E1621" s="606" t="s">
        <v>4275</v>
      </c>
      <c r="F1621" s="606" t="s">
        <v>4276</v>
      </c>
      <c r="G1621" s="606" t="s">
        <v>1085</v>
      </c>
      <c r="H1621" s="606" t="s">
        <v>3974</v>
      </c>
      <c r="I1621" s="606" t="s">
        <v>1087</v>
      </c>
      <c r="J1621" s="606" t="s">
        <v>1088</v>
      </c>
    </row>
    <row r="1622" spans="2:10" ht="21" customHeight="1">
      <c r="B1622" s="605" t="s">
        <v>4277</v>
      </c>
      <c r="C1622" s="606" t="s">
        <v>11</v>
      </c>
      <c r="D1622" s="605" t="s">
        <v>689</v>
      </c>
      <c r="E1622" s="606" t="s">
        <v>4278</v>
      </c>
      <c r="F1622" s="606" t="s">
        <v>4278</v>
      </c>
      <c r="G1622" s="606" t="s">
        <v>1085</v>
      </c>
      <c r="H1622" s="606" t="s">
        <v>3974</v>
      </c>
      <c r="I1622" s="606" t="s">
        <v>1087</v>
      </c>
      <c r="J1622" s="606" t="s">
        <v>1088</v>
      </c>
    </row>
    <row r="1623" spans="2:10" ht="21" customHeight="1">
      <c r="B1623" s="605" t="s">
        <v>4279</v>
      </c>
      <c r="C1623" s="606" t="s">
        <v>11</v>
      </c>
      <c r="D1623" s="605" t="s">
        <v>689</v>
      </c>
      <c r="E1623" s="606" t="s">
        <v>4280</v>
      </c>
      <c r="F1623" s="606" t="s">
        <v>58</v>
      </c>
      <c r="G1623" s="606" t="s">
        <v>1085</v>
      </c>
      <c r="H1623" s="606" t="s">
        <v>3974</v>
      </c>
      <c r="I1623" s="606" t="s">
        <v>1087</v>
      </c>
      <c r="J1623" s="606" t="s">
        <v>1088</v>
      </c>
    </row>
    <row r="1624" spans="2:10" ht="21" customHeight="1">
      <c r="B1624" s="605" t="s">
        <v>4281</v>
      </c>
      <c r="C1624" s="606" t="s">
        <v>11</v>
      </c>
      <c r="D1624" s="605" t="s">
        <v>689</v>
      </c>
      <c r="E1624" s="606" t="s">
        <v>4282</v>
      </c>
      <c r="F1624" s="606" t="s">
        <v>47</v>
      </c>
      <c r="G1624" s="606" t="s">
        <v>1085</v>
      </c>
      <c r="H1624" s="606" t="s">
        <v>3974</v>
      </c>
      <c r="I1624" s="606" t="s">
        <v>1087</v>
      </c>
      <c r="J1624" s="606" t="s">
        <v>1088</v>
      </c>
    </row>
    <row r="1625" spans="2:10" ht="21" customHeight="1">
      <c r="B1625" s="605" t="s">
        <v>4283</v>
      </c>
      <c r="C1625" s="606" t="s">
        <v>11</v>
      </c>
      <c r="D1625" s="605" t="s">
        <v>689</v>
      </c>
      <c r="E1625" s="606" t="s">
        <v>156</v>
      </c>
      <c r="F1625" s="606" t="s">
        <v>156</v>
      </c>
      <c r="G1625" s="606" t="s">
        <v>1085</v>
      </c>
      <c r="H1625" s="606" t="s">
        <v>3974</v>
      </c>
      <c r="I1625" s="606" t="s">
        <v>1087</v>
      </c>
      <c r="J1625" s="606" t="s">
        <v>1088</v>
      </c>
    </row>
    <row r="1626" spans="2:10" ht="21" customHeight="1">
      <c r="B1626" s="605" t="s">
        <v>4284</v>
      </c>
      <c r="C1626" s="606" t="s">
        <v>11</v>
      </c>
      <c r="D1626" s="605" t="s">
        <v>689</v>
      </c>
      <c r="E1626" s="606" t="s">
        <v>33</v>
      </c>
      <c r="F1626" s="606" t="s">
        <v>33</v>
      </c>
      <c r="G1626" s="606" t="s">
        <v>1085</v>
      </c>
      <c r="H1626" s="606" t="s">
        <v>3974</v>
      </c>
      <c r="I1626" s="606" t="s">
        <v>1087</v>
      </c>
      <c r="J1626" s="606" t="s">
        <v>1088</v>
      </c>
    </row>
    <row r="1627" spans="2:10" ht="21" customHeight="1">
      <c r="B1627" s="605" t="s">
        <v>4285</v>
      </c>
      <c r="C1627" s="606" t="s">
        <v>11</v>
      </c>
      <c r="D1627" s="605" t="s">
        <v>689</v>
      </c>
      <c r="E1627" s="606" t="s">
        <v>4286</v>
      </c>
      <c r="F1627" s="606" t="s">
        <v>4287</v>
      </c>
      <c r="G1627" s="606" t="s">
        <v>1085</v>
      </c>
      <c r="H1627" s="606" t="s">
        <v>3974</v>
      </c>
      <c r="I1627" s="606" t="s">
        <v>1087</v>
      </c>
      <c r="J1627" s="606" t="s">
        <v>1088</v>
      </c>
    </row>
    <row r="1628" spans="2:10" ht="21" customHeight="1">
      <c r="B1628" s="605" t="s">
        <v>4288</v>
      </c>
      <c r="C1628" s="606" t="s">
        <v>11</v>
      </c>
      <c r="D1628" s="605" t="s">
        <v>689</v>
      </c>
      <c r="E1628" s="606" t="s">
        <v>4289</v>
      </c>
      <c r="F1628" s="606" t="s">
        <v>185</v>
      </c>
      <c r="G1628" s="606" t="s">
        <v>3959</v>
      </c>
      <c r="H1628" s="606" t="s">
        <v>3960</v>
      </c>
      <c r="I1628" s="606" t="s">
        <v>3961</v>
      </c>
      <c r="J1628" s="606" t="s">
        <v>3962</v>
      </c>
    </row>
    <row r="1629" spans="2:10" ht="21" customHeight="1">
      <c r="B1629" s="605" t="s">
        <v>4290</v>
      </c>
      <c r="C1629" s="606" t="s">
        <v>11</v>
      </c>
      <c r="D1629" s="605" t="s">
        <v>689</v>
      </c>
      <c r="E1629" s="606" t="s">
        <v>4291</v>
      </c>
      <c r="F1629" s="606" t="s">
        <v>4292</v>
      </c>
      <c r="G1629" s="606" t="s">
        <v>3959</v>
      </c>
      <c r="H1629" s="606" t="s">
        <v>3960</v>
      </c>
      <c r="I1629" s="606" t="s">
        <v>3961</v>
      </c>
      <c r="J1629" s="606" t="s">
        <v>3962</v>
      </c>
    </row>
    <row r="1630" spans="2:10" ht="21" customHeight="1">
      <c r="B1630" s="605" t="s">
        <v>4293</v>
      </c>
      <c r="C1630" s="606" t="s">
        <v>11</v>
      </c>
      <c r="D1630" s="605" t="s">
        <v>689</v>
      </c>
      <c r="E1630" s="606" t="s">
        <v>4294</v>
      </c>
      <c r="F1630" s="606" t="s">
        <v>4295</v>
      </c>
      <c r="G1630" s="606" t="s">
        <v>3959</v>
      </c>
      <c r="H1630" s="606" t="s">
        <v>3960</v>
      </c>
      <c r="I1630" s="606" t="s">
        <v>3961</v>
      </c>
      <c r="J1630" s="606" t="s">
        <v>3962</v>
      </c>
    </row>
    <row r="1631" spans="2:10" ht="21" customHeight="1">
      <c r="B1631" s="605" t="s">
        <v>4296</v>
      </c>
      <c r="C1631" s="606" t="s">
        <v>11</v>
      </c>
      <c r="D1631" s="605" t="s">
        <v>689</v>
      </c>
      <c r="E1631" s="606" t="s">
        <v>4297</v>
      </c>
      <c r="F1631" s="606" t="s">
        <v>4298</v>
      </c>
      <c r="G1631" s="606" t="s">
        <v>3959</v>
      </c>
      <c r="H1631" s="606" t="s">
        <v>3960</v>
      </c>
      <c r="I1631" s="606" t="s">
        <v>3961</v>
      </c>
      <c r="J1631" s="606" t="s">
        <v>3962</v>
      </c>
    </row>
    <row r="1632" spans="2:10" ht="21" customHeight="1">
      <c r="B1632" s="605" t="s">
        <v>4299</v>
      </c>
      <c r="C1632" s="606" t="s">
        <v>11</v>
      </c>
      <c r="D1632" s="605" t="s">
        <v>689</v>
      </c>
      <c r="E1632" s="606" t="s">
        <v>4300</v>
      </c>
      <c r="F1632" s="606" t="s">
        <v>4300</v>
      </c>
      <c r="G1632" s="606" t="s">
        <v>3959</v>
      </c>
      <c r="H1632" s="606" t="s">
        <v>3960</v>
      </c>
      <c r="I1632" s="606" t="s">
        <v>3961</v>
      </c>
      <c r="J1632" s="606" t="s">
        <v>3962</v>
      </c>
    </row>
    <row r="1633" spans="2:10" ht="21" customHeight="1">
      <c r="B1633" s="605" t="s">
        <v>4301</v>
      </c>
      <c r="C1633" s="606" t="s">
        <v>11</v>
      </c>
      <c r="D1633" s="605" t="s">
        <v>689</v>
      </c>
      <c r="E1633" s="606" t="s">
        <v>4302</v>
      </c>
      <c r="F1633" s="606" t="s">
        <v>4303</v>
      </c>
      <c r="G1633" s="606" t="s">
        <v>3959</v>
      </c>
      <c r="H1633" s="606" t="s">
        <v>3960</v>
      </c>
      <c r="I1633" s="606" t="s">
        <v>3961</v>
      </c>
      <c r="J1633" s="606" t="s">
        <v>3962</v>
      </c>
    </row>
    <row r="1634" spans="2:10" ht="21" customHeight="1">
      <c r="B1634" s="605" t="s">
        <v>4304</v>
      </c>
      <c r="C1634" s="606" t="s">
        <v>11</v>
      </c>
      <c r="D1634" s="605" t="s">
        <v>689</v>
      </c>
      <c r="E1634" s="606" t="s">
        <v>4305</v>
      </c>
      <c r="F1634" s="606" t="s">
        <v>4305</v>
      </c>
      <c r="G1634" s="606" t="s">
        <v>3959</v>
      </c>
      <c r="H1634" s="606" t="s">
        <v>3960</v>
      </c>
      <c r="I1634" s="606" t="s">
        <v>3961</v>
      </c>
      <c r="J1634" s="606" t="s">
        <v>3962</v>
      </c>
    </row>
    <row r="1635" spans="2:10" ht="21" customHeight="1">
      <c r="B1635" s="605" t="s">
        <v>4306</v>
      </c>
      <c r="C1635" s="606" t="s">
        <v>11</v>
      </c>
      <c r="D1635" s="605" t="s">
        <v>689</v>
      </c>
      <c r="E1635" s="606" t="s">
        <v>4307</v>
      </c>
      <c r="F1635" s="606" t="s">
        <v>4307</v>
      </c>
      <c r="G1635" s="606" t="s">
        <v>3959</v>
      </c>
      <c r="H1635" s="606" t="s">
        <v>3960</v>
      </c>
      <c r="I1635" s="606" t="s">
        <v>3961</v>
      </c>
      <c r="J1635" s="606" t="s">
        <v>3962</v>
      </c>
    </row>
    <row r="1636" spans="2:10" ht="21" customHeight="1">
      <c r="B1636" s="605" t="s">
        <v>4308</v>
      </c>
      <c r="C1636" s="606" t="s">
        <v>11</v>
      </c>
      <c r="D1636" s="605" t="s">
        <v>689</v>
      </c>
      <c r="E1636" s="606" t="s">
        <v>4309</v>
      </c>
      <c r="F1636" s="606" t="s">
        <v>4309</v>
      </c>
      <c r="G1636" s="606" t="s">
        <v>3959</v>
      </c>
      <c r="H1636" s="606" t="s">
        <v>3960</v>
      </c>
      <c r="I1636" s="606" t="s">
        <v>3961</v>
      </c>
      <c r="J1636" s="606" t="s">
        <v>3962</v>
      </c>
    </row>
    <row r="1637" spans="2:10" ht="21" customHeight="1">
      <c r="B1637" s="605" t="s">
        <v>4310</v>
      </c>
      <c r="C1637" s="606" t="s">
        <v>11</v>
      </c>
      <c r="D1637" s="605" t="s">
        <v>689</v>
      </c>
      <c r="E1637" s="606" t="s">
        <v>4311</v>
      </c>
      <c r="F1637" s="606" t="s">
        <v>4311</v>
      </c>
      <c r="G1637" s="606" t="s">
        <v>3959</v>
      </c>
      <c r="H1637" s="606" t="s">
        <v>3960</v>
      </c>
      <c r="I1637" s="606" t="s">
        <v>3961</v>
      </c>
      <c r="J1637" s="606" t="s">
        <v>3962</v>
      </c>
    </row>
    <row r="1638" spans="2:10" ht="21" customHeight="1">
      <c r="B1638" s="605" t="s">
        <v>4312</v>
      </c>
      <c r="C1638" s="606" t="s">
        <v>11</v>
      </c>
      <c r="D1638" s="605" t="s">
        <v>689</v>
      </c>
      <c r="E1638" s="606" t="s">
        <v>4313</v>
      </c>
      <c r="F1638" s="606" t="s">
        <v>4313</v>
      </c>
      <c r="G1638" s="606" t="s">
        <v>1085</v>
      </c>
      <c r="H1638" s="606" t="s">
        <v>3974</v>
      </c>
      <c r="I1638" s="606" t="s">
        <v>1087</v>
      </c>
      <c r="J1638" s="606" t="s">
        <v>1088</v>
      </c>
    </row>
    <row r="1639" spans="2:10" ht="21" customHeight="1">
      <c r="B1639" s="605" t="s">
        <v>4314</v>
      </c>
      <c r="C1639" s="606" t="s">
        <v>11</v>
      </c>
      <c r="D1639" s="605" t="s">
        <v>689</v>
      </c>
      <c r="E1639" s="606" t="s">
        <v>976</v>
      </c>
      <c r="F1639" s="606" t="s">
        <v>976</v>
      </c>
      <c r="G1639" s="606" t="s">
        <v>3959</v>
      </c>
      <c r="H1639" s="606" t="s">
        <v>3960</v>
      </c>
      <c r="I1639" s="606" t="s">
        <v>3961</v>
      </c>
      <c r="J1639" s="606" t="s">
        <v>3962</v>
      </c>
    </row>
    <row r="1640" spans="2:10" ht="21" customHeight="1">
      <c r="B1640" s="605" t="s">
        <v>4315</v>
      </c>
      <c r="C1640" s="606" t="s">
        <v>11</v>
      </c>
      <c r="D1640" s="605" t="s">
        <v>689</v>
      </c>
      <c r="E1640" s="606" t="s">
        <v>4316</v>
      </c>
      <c r="F1640" s="606" t="s">
        <v>4317</v>
      </c>
      <c r="G1640" s="606" t="s">
        <v>3959</v>
      </c>
      <c r="H1640" s="606" t="s">
        <v>3960</v>
      </c>
      <c r="I1640" s="606" t="s">
        <v>3961</v>
      </c>
      <c r="J1640" s="606" t="s">
        <v>3962</v>
      </c>
    </row>
    <row r="1641" spans="2:10" ht="21" customHeight="1">
      <c r="B1641" s="605" t="s">
        <v>4318</v>
      </c>
      <c r="C1641" s="606" t="s">
        <v>11</v>
      </c>
      <c r="D1641" s="605" t="s">
        <v>689</v>
      </c>
      <c r="E1641" s="606" t="s">
        <v>4319</v>
      </c>
      <c r="F1641" s="606" t="s">
        <v>4319</v>
      </c>
      <c r="G1641" s="606" t="s">
        <v>3959</v>
      </c>
      <c r="H1641" s="606" t="s">
        <v>3960</v>
      </c>
      <c r="I1641" s="606" t="s">
        <v>3961</v>
      </c>
      <c r="J1641" s="606" t="s">
        <v>3962</v>
      </c>
    </row>
    <row r="1642" spans="2:10" ht="21" customHeight="1">
      <c r="B1642" s="605" t="s">
        <v>4320</v>
      </c>
      <c r="C1642" s="606" t="s">
        <v>11</v>
      </c>
      <c r="D1642" s="605" t="s">
        <v>689</v>
      </c>
      <c r="E1642" s="606" t="s">
        <v>4321</v>
      </c>
      <c r="F1642" s="606" t="s">
        <v>4321</v>
      </c>
      <c r="G1642" s="606" t="s">
        <v>3959</v>
      </c>
      <c r="H1642" s="606" t="s">
        <v>3960</v>
      </c>
      <c r="I1642" s="606" t="s">
        <v>3961</v>
      </c>
      <c r="J1642" s="606" t="s">
        <v>3962</v>
      </c>
    </row>
    <row r="1643" spans="2:10" ht="21" customHeight="1">
      <c r="B1643" s="605" t="s">
        <v>4322</v>
      </c>
      <c r="C1643" s="606" t="s">
        <v>11</v>
      </c>
      <c r="D1643" s="605" t="s">
        <v>689</v>
      </c>
      <c r="E1643" s="606" t="s">
        <v>4323</v>
      </c>
      <c r="F1643" s="606" t="s">
        <v>4323</v>
      </c>
      <c r="G1643" s="606" t="s">
        <v>1085</v>
      </c>
      <c r="H1643" s="606" t="s">
        <v>3974</v>
      </c>
      <c r="I1643" s="606" t="s">
        <v>1087</v>
      </c>
      <c r="J1643" s="606" t="s">
        <v>1088</v>
      </c>
    </row>
    <row r="1644" spans="2:10" ht="21" customHeight="1">
      <c r="B1644" s="605" t="s">
        <v>4324</v>
      </c>
      <c r="C1644" s="606" t="s">
        <v>11</v>
      </c>
      <c r="D1644" s="605" t="s">
        <v>689</v>
      </c>
      <c r="E1644" s="606" t="s">
        <v>4325</v>
      </c>
      <c r="F1644" s="606" t="s">
        <v>4325</v>
      </c>
      <c r="G1644" s="606" t="s">
        <v>1085</v>
      </c>
      <c r="H1644" s="606" t="s">
        <v>3974</v>
      </c>
      <c r="I1644" s="606" t="s">
        <v>1087</v>
      </c>
      <c r="J1644" s="606" t="s">
        <v>1088</v>
      </c>
    </row>
    <row r="1645" spans="2:10" ht="21" customHeight="1">
      <c r="B1645" s="605" t="s">
        <v>4326</v>
      </c>
      <c r="C1645" s="606" t="s">
        <v>11</v>
      </c>
      <c r="D1645" s="605" t="s">
        <v>689</v>
      </c>
      <c r="E1645" s="606" t="s">
        <v>4327</v>
      </c>
      <c r="F1645" s="606" t="s">
        <v>4328</v>
      </c>
      <c r="G1645" s="606" t="s">
        <v>3959</v>
      </c>
      <c r="H1645" s="606" t="s">
        <v>3960</v>
      </c>
      <c r="I1645" s="606" t="s">
        <v>3961</v>
      </c>
      <c r="J1645" s="606" t="s">
        <v>3962</v>
      </c>
    </row>
    <row r="1646" spans="2:10" ht="21" customHeight="1">
      <c r="B1646" s="605" t="s">
        <v>4329</v>
      </c>
      <c r="C1646" s="606" t="s">
        <v>11</v>
      </c>
      <c r="D1646" s="605" t="s">
        <v>689</v>
      </c>
      <c r="E1646" s="606" t="s">
        <v>330</v>
      </c>
      <c r="F1646" s="606" t="s">
        <v>330</v>
      </c>
      <c r="G1646" s="606" t="s">
        <v>1151</v>
      </c>
      <c r="H1646" s="606" t="s">
        <v>1152</v>
      </c>
      <c r="I1646" s="606" t="s">
        <v>1087</v>
      </c>
      <c r="J1646" s="606" t="s">
        <v>1153</v>
      </c>
    </row>
    <row r="1647" spans="2:10" ht="21" customHeight="1">
      <c r="B1647" s="605" t="s">
        <v>4330</v>
      </c>
      <c r="C1647" s="606" t="s">
        <v>11</v>
      </c>
      <c r="D1647" s="605" t="s">
        <v>689</v>
      </c>
      <c r="E1647" s="606" t="s">
        <v>4331</v>
      </c>
      <c r="F1647" s="606" t="s">
        <v>4331</v>
      </c>
      <c r="G1647" s="606" t="s">
        <v>1085</v>
      </c>
      <c r="H1647" s="606" t="s">
        <v>3974</v>
      </c>
      <c r="I1647" s="606" t="s">
        <v>1087</v>
      </c>
      <c r="J1647" s="606" t="s">
        <v>1088</v>
      </c>
    </row>
    <row r="1648" spans="2:10" ht="21" customHeight="1">
      <c r="B1648" s="605" t="s">
        <v>4332</v>
      </c>
      <c r="C1648" s="606" t="s">
        <v>11</v>
      </c>
      <c r="D1648" s="605" t="s">
        <v>689</v>
      </c>
      <c r="E1648" s="606" t="s">
        <v>977</v>
      </c>
      <c r="F1648" s="606" t="s">
        <v>977</v>
      </c>
      <c r="G1648" s="606" t="s">
        <v>1085</v>
      </c>
      <c r="H1648" s="606" t="s">
        <v>3974</v>
      </c>
      <c r="I1648" s="606" t="s">
        <v>1087</v>
      </c>
      <c r="J1648" s="606" t="s">
        <v>1088</v>
      </c>
    </row>
    <row r="1649" spans="2:10" ht="21" customHeight="1">
      <c r="B1649" s="605" t="s">
        <v>4333</v>
      </c>
      <c r="C1649" s="606" t="s">
        <v>11</v>
      </c>
      <c r="D1649" s="605" t="s">
        <v>689</v>
      </c>
      <c r="E1649" s="606" t="s">
        <v>4334</v>
      </c>
      <c r="F1649" s="606" t="s">
        <v>4335</v>
      </c>
      <c r="G1649" s="606" t="s">
        <v>3959</v>
      </c>
      <c r="H1649" s="606" t="s">
        <v>3960</v>
      </c>
      <c r="I1649" s="606" t="s">
        <v>3961</v>
      </c>
      <c r="J1649" s="606" t="s">
        <v>3962</v>
      </c>
    </row>
    <row r="1650" spans="2:10" ht="21" customHeight="1">
      <c r="B1650" s="605" t="s">
        <v>4336</v>
      </c>
      <c r="C1650" s="606" t="s">
        <v>11</v>
      </c>
      <c r="D1650" s="605" t="s">
        <v>689</v>
      </c>
      <c r="E1650" s="606" t="s">
        <v>4337</v>
      </c>
      <c r="F1650" s="606" t="s">
        <v>4337</v>
      </c>
      <c r="G1650" s="606" t="s">
        <v>3959</v>
      </c>
      <c r="H1650" s="606" t="s">
        <v>3960</v>
      </c>
      <c r="I1650" s="606" t="s">
        <v>3961</v>
      </c>
      <c r="J1650" s="606" t="s">
        <v>3962</v>
      </c>
    </row>
    <row r="1651" spans="2:10" ht="21" customHeight="1">
      <c r="B1651" s="605" t="s">
        <v>4338</v>
      </c>
      <c r="C1651" s="606" t="s">
        <v>11</v>
      </c>
      <c r="D1651" s="605" t="s">
        <v>689</v>
      </c>
      <c r="E1651" s="606" t="s">
        <v>978</v>
      </c>
      <c r="F1651" s="606" t="s">
        <v>978</v>
      </c>
      <c r="G1651" s="606" t="s">
        <v>3959</v>
      </c>
      <c r="H1651" s="606" t="s">
        <v>3960</v>
      </c>
      <c r="I1651" s="606" t="s">
        <v>3961</v>
      </c>
      <c r="J1651" s="606" t="s">
        <v>3962</v>
      </c>
    </row>
    <row r="1652" spans="2:10" ht="21" customHeight="1">
      <c r="B1652" s="605" t="s">
        <v>4339</v>
      </c>
      <c r="C1652" s="606" t="s">
        <v>11</v>
      </c>
      <c r="D1652" s="605" t="s">
        <v>689</v>
      </c>
      <c r="E1652" s="606" t="s">
        <v>981</v>
      </c>
      <c r="F1652" s="606" t="s">
        <v>981</v>
      </c>
      <c r="G1652" s="606" t="s">
        <v>1085</v>
      </c>
      <c r="H1652" s="606" t="s">
        <v>3974</v>
      </c>
      <c r="I1652" s="606" t="s">
        <v>1087</v>
      </c>
      <c r="J1652" s="606" t="s">
        <v>1088</v>
      </c>
    </row>
    <row r="1653" spans="2:10" ht="21" customHeight="1">
      <c r="B1653" s="605" t="s">
        <v>4340</v>
      </c>
      <c r="C1653" s="606" t="s">
        <v>11</v>
      </c>
      <c r="D1653" s="605" t="s">
        <v>689</v>
      </c>
      <c r="E1653" s="606" t="s">
        <v>4341</v>
      </c>
      <c r="F1653" s="606" t="s">
        <v>4341</v>
      </c>
      <c r="G1653" s="606" t="s">
        <v>3959</v>
      </c>
      <c r="H1653" s="606" t="s">
        <v>3960</v>
      </c>
      <c r="I1653" s="606" t="s">
        <v>3961</v>
      </c>
      <c r="J1653" s="606" t="s">
        <v>3962</v>
      </c>
    </row>
    <row r="1654" spans="2:10" ht="21" customHeight="1">
      <c r="B1654" s="605" t="s">
        <v>4342</v>
      </c>
      <c r="C1654" s="606" t="s">
        <v>11</v>
      </c>
      <c r="D1654" s="605" t="s">
        <v>689</v>
      </c>
      <c r="E1654" s="606" t="s">
        <v>982</v>
      </c>
      <c r="F1654" s="606" t="s">
        <v>982</v>
      </c>
      <c r="G1654" s="606" t="s">
        <v>1085</v>
      </c>
      <c r="H1654" s="606" t="s">
        <v>3974</v>
      </c>
      <c r="I1654" s="606" t="s">
        <v>1087</v>
      </c>
      <c r="J1654" s="606" t="s">
        <v>1088</v>
      </c>
    </row>
    <row r="1655" spans="2:10" ht="21" customHeight="1">
      <c r="B1655" s="605" t="s">
        <v>4343</v>
      </c>
      <c r="C1655" s="606" t="s">
        <v>11</v>
      </c>
      <c r="D1655" s="605" t="s">
        <v>689</v>
      </c>
      <c r="E1655" s="606" t="s">
        <v>4344</v>
      </c>
      <c r="F1655" s="606" t="s">
        <v>4344</v>
      </c>
      <c r="G1655" s="606" t="s">
        <v>3959</v>
      </c>
      <c r="H1655" s="606" t="s">
        <v>3960</v>
      </c>
      <c r="I1655" s="606" t="s">
        <v>3961</v>
      </c>
      <c r="J1655" s="606" t="s">
        <v>3962</v>
      </c>
    </row>
    <row r="1656" spans="2:10" ht="21" customHeight="1">
      <c r="B1656" s="605" t="s">
        <v>4345</v>
      </c>
      <c r="C1656" s="606" t="s">
        <v>11</v>
      </c>
      <c r="D1656" s="605" t="s">
        <v>689</v>
      </c>
      <c r="E1656" s="606" t="s">
        <v>4346</v>
      </c>
      <c r="F1656" s="606" t="s">
        <v>4347</v>
      </c>
      <c r="G1656" s="606" t="s">
        <v>3959</v>
      </c>
      <c r="H1656" s="606" t="s">
        <v>3960</v>
      </c>
      <c r="I1656" s="606" t="s">
        <v>3961</v>
      </c>
      <c r="J1656" s="606" t="s">
        <v>3962</v>
      </c>
    </row>
    <row r="1657" spans="2:10" ht="21" customHeight="1">
      <c r="B1657" s="605" t="s">
        <v>4348</v>
      </c>
      <c r="C1657" s="606" t="s">
        <v>11</v>
      </c>
      <c r="D1657" s="605" t="s">
        <v>689</v>
      </c>
      <c r="E1657" s="606" t="s">
        <v>4349</v>
      </c>
      <c r="F1657" s="606" t="s">
        <v>983</v>
      </c>
      <c r="G1657" s="606" t="s">
        <v>3959</v>
      </c>
      <c r="H1657" s="606" t="s">
        <v>3960</v>
      </c>
      <c r="I1657" s="606" t="s">
        <v>3961</v>
      </c>
      <c r="J1657" s="606" t="s">
        <v>3962</v>
      </c>
    </row>
    <row r="1658" spans="2:10" ht="21" customHeight="1">
      <c r="B1658" s="605" t="s">
        <v>4350</v>
      </c>
      <c r="C1658" s="606" t="s">
        <v>11</v>
      </c>
      <c r="D1658" s="605" t="s">
        <v>689</v>
      </c>
      <c r="E1658" s="606" t="s">
        <v>4351</v>
      </c>
      <c r="F1658" s="606" t="s">
        <v>4351</v>
      </c>
      <c r="G1658" s="606" t="s">
        <v>3959</v>
      </c>
      <c r="H1658" s="606" t="s">
        <v>3960</v>
      </c>
      <c r="I1658" s="606" t="s">
        <v>3961</v>
      </c>
      <c r="J1658" s="606" t="s">
        <v>3962</v>
      </c>
    </row>
    <row r="1659" spans="2:10" ht="21" customHeight="1">
      <c r="B1659" s="605" t="s">
        <v>4352</v>
      </c>
      <c r="C1659" s="606" t="s">
        <v>11</v>
      </c>
      <c r="D1659" s="605" t="s">
        <v>689</v>
      </c>
      <c r="E1659" s="606" t="s">
        <v>985</v>
      </c>
      <c r="F1659" s="606" t="s">
        <v>985</v>
      </c>
      <c r="G1659" s="606" t="s">
        <v>1085</v>
      </c>
      <c r="H1659" s="606" t="s">
        <v>3974</v>
      </c>
      <c r="I1659" s="606" t="s">
        <v>1087</v>
      </c>
      <c r="J1659" s="606" t="s">
        <v>1088</v>
      </c>
    </row>
    <row r="1660" spans="2:10" ht="21" customHeight="1">
      <c r="B1660" s="605" t="s">
        <v>4353</v>
      </c>
      <c r="C1660" s="606" t="s">
        <v>11</v>
      </c>
      <c r="D1660" s="605" t="s">
        <v>689</v>
      </c>
      <c r="E1660" s="606" t="s">
        <v>4354</v>
      </c>
      <c r="F1660" s="606" t="s">
        <v>4355</v>
      </c>
      <c r="G1660" s="606" t="s">
        <v>3959</v>
      </c>
      <c r="H1660" s="606" t="s">
        <v>3960</v>
      </c>
      <c r="I1660" s="606" t="s">
        <v>3961</v>
      </c>
      <c r="J1660" s="606" t="s">
        <v>3962</v>
      </c>
    </row>
    <row r="1661" spans="2:10" ht="21" customHeight="1">
      <c r="B1661" s="605" t="s">
        <v>4356</v>
      </c>
      <c r="C1661" s="606" t="s">
        <v>11</v>
      </c>
      <c r="D1661" s="605" t="s">
        <v>689</v>
      </c>
      <c r="E1661" s="606" t="s">
        <v>4357</v>
      </c>
      <c r="F1661" s="606" t="s">
        <v>4357</v>
      </c>
      <c r="G1661" s="606" t="s">
        <v>1085</v>
      </c>
      <c r="H1661" s="606" t="s">
        <v>3974</v>
      </c>
      <c r="I1661" s="606" t="s">
        <v>1087</v>
      </c>
      <c r="J1661" s="606" t="s">
        <v>1088</v>
      </c>
    </row>
    <row r="1662" spans="2:10" ht="21" customHeight="1">
      <c r="B1662" s="605" t="s">
        <v>4358</v>
      </c>
      <c r="C1662" s="606" t="s">
        <v>11</v>
      </c>
      <c r="D1662" s="605" t="s">
        <v>689</v>
      </c>
      <c r="E1662" s="606" t="s">
        <v>4359</v>
      </c>
      <c r="F1662" s="606" t="s">
        <v>4359</v>
      </c>
      <c r="G1662" s="606" t="s">
        <v>3959</v>
      </c>
      <c r="H1662" s="606" t="s">
        <v>3960</v>
      </c>
      <c r="I1662" s="606" t="s">
        <v>3961</v>
      </c>
      <c r="J1662" s="606" t="s">
        <v>3962</v>
      </c>
    </row>
    <row r="1663" spans="2:10" ht="21" customHeight="1">
      <c r="B1663" s="605" t="s">
        <v>4360</v>
      </c>
      <c r="C1663" s="606" t="s">
        <v>11</v>
      </c>
      <c r="D1663" s="605" t="s">
        <v>689</v>
      </c>
      <c r="E1663" s="606" t="s">
        <v>4361</v>
      </c>
      <c r="F1663" s="606" t="s">
        <v>4362</v>
      </c>
      <c r="G1663" s="606" t="s">
        <v>3959</v>
      </c>
      <c r="H1663" s="606" t="s">
        <v>3960</v>
      </c>
      <c r="I1663" s="606" t="s">
        <v>3961</v>
      </c>
      <c r="J1663" s="606" t="s">
        <v>3962</v>
      </c>
    </row>
    <row r="1664" spans="2:10" ht="21" customHeight="1">
      <c r="B1664" s="605" t="s">
        <v>4363</v>
      </c>
      <c r="C1664" s="606" t="s">
        <v>11</v>
      </c>
      <c r="D1664" s="605" t="s">
        <v>689</v>
      </c>
      <c r="E1664" s="606" t="s">
        <v>4364</v>
      </c>
      <c r="F1664" s="606" t="s">
        <v>4365</v>
      </c>
      <c r="G1664" s="606" t="s">
        <v>3959</v>
      </c>
      <c r="H1664" s="606" t="s">
        <v>3960</v>
      </c>
      <c r="I1664" s="606" t="s">
        <v>3961</v>
      </c>
      <c r="J1664" s="606" t="s">
        <v>3962</v>
      </c>
    </row>
    <row r="1665" spans="2:10" ht="21" customHeight="1">
      <c r="B1665" s="605" t="s">
        <v>4366</v>
      </c>
      <c r="C1665" s="606" t="s">
        <v>11</v>
      </c>
      <c r="D1665" s="605" t="s">
        <v>689</v>
      </c>
      <c r="E1665" s="606" t="s">
        <v>4367</v>
      </c>
      <c r="F1665" s="606" t="s">
        <v>4368</v>
      </c>
      <c r="G1665" s="606" t="s">
        <v>3959</v>
      </c>
      <c r="H1665" s="606" t="s">
        <v>3960</v>
      </c>
      <c r="I1665" s="606" t="s">
        <v>3961</v>
      </c>
      <c r="J1665" s="606" t="s">
        <v>3962</v>
      </c>
    </row>
    <row r="1666" spans="2:10" ht="21" customHeight="1">
      <c r="B1666" s="605" t="s">
        <v>4369</v>
      </c>
      <c r="C1666" s="606" t="s">
        <v>11</v>
      </c>
      <c r="D1666" s="605" t="s">
        <v>689</v>
      </c>
      <c r="E1666" s="606" t="s">
        <v>4370</v>
      </c>
      <c r="F1666" s="606" t="s">
        <v>4370</v>
      </c>
      <c r="G1666" s="606" t="s">
        <v>1085</v>
      </c>
      <c r="H1666" s="606" t="s">
        <v>3974</v>
      </c>
      <c r="I1666" s="606" t="s">
        <v>1087</v>
      </c>
      <c r="J1666" s="606" t="s">
        <v>1088</v>
      </c>
    </row>
    <row r="1667" spans="2:10" ht="21" customHeight="1">
      <c r="B1667" s="605" t="s">
        <v>4371</v>
      </c>
      <c r="C1667" s="606" t="s">
        <v>11</v>
      </c>
      <c r="D1667" s="605" t="s">
        <v>689</v>
      </c>
      <c r="E1667" s="606" t="s">
        <v>4372</v>
      </c>
      <c r="F1667" s="606" t="s">
        <v>4372</v>
      </c>
      <c r="G1667" s="606" t="s">
        <v>3959</v>
      </c>
      <c r="H1667" s="606" t="s">
        <v>3960</v>
      </c>
      <c r="I1667" s="606" t="s">
        <v>3961</v>
      </c>
      <c r="J1667" s="606" t="s">
        <v>3962</v>
      </c>
    </row>
    <row r="1668" spans="2:10" ht="21" customHeight="1">
      <c r="B1668" s="605" t="s">
        <v>4373</v>
      </c>
      <c r="C1668" s="606" t="s">
        <v>11</v>
      </c>
      <c r="D1668" s="605" t="s">
        <v>689</v>
      </c>
      <c r="E1668" s="606" t="s">
        <v>4374</v>
      </c>
      <c r="F1668" s="606" t="s">
        <v>4375</v>
      </c>
      <c r="G1668" s="606" t="s">
        <v>3959</v>
      </c>
      <c r="H1668" s="606" t="s">
        <v>3960</v>
      </c>
      <c r="I1668" s="606" t="s">
        <v>3961</v>
      </c>
      <c r="J1668" s="606" t="s">
        <v>3962</v>
      </c>
    </row>
    <row r="1669" spans="2:10" ht="21" customHeight="1">
      <c r="B1669" s="605" t="s">
        <v>4376</v>
      </c>
      <c r="C1669" s="606" t="s">
        <v>11</v>
      </c>
      <c r="D1669" s="605" t="s">
        <v>689</v>
      </c>
      <c r="E1669" s="606" t="s">
        <v>4377</v>
      </c>
      <c r="F1669" s="606" t="s">
        <v>4377</v>
      </c>
      <c r="G1669" s="606" t="s">
        <v>3959</v>
      </c>
      <c r="H1669" s="606" t="s">
        <v>3960</v>
      </c>
      <c r="I1669" s="606" t="s">
        <v>3961</v>
      </c>
      <c r="J1669" s="606" t="s">
        <v>3962</v>
      </c>
    </row>
    <row r="1670" spans="2:10" ht="21" customHeight="1">
      <c r="B1670" s="605" t="s">
        <v>4378</v>
      </c>
      <c r="C1670" s="606" t="s">
        <v>11</v>
      </c>
      <c r="D1670" s="605" t="s">
        <v>689</v>
      </c>
      <c r="E1670" s="606" t="s">
        <v>4379</v>
      </c>
      <c r="F1670" s="606" t="s">
        <v>4380</v>
      </c>
      <c r="G1670" s="606" t="s">
        <v>3959</v>
      </c>
      <c r="H1670" s="606" t="s">
        <v>3960</v>
      </c>
      <c r="I1670" s="606" t="s">
        <v>3961</v>
      </c>
      <c r="J1670" s="606" t="s">
        <v>3962</v>
      </c>
    </row>
    <row r="1671" spans="2:10" ht="21" customHeight="1">
      <c r="B1671" s="605" t="s">
        <v>4381</v>
      </c>
      <c r="C1671" s="606" t="s">
        <v>11</v>
      </c>
      <c r="D1671" s="605" t="s">
        <v>689</v>
      </c>
      <c r="E1671" s="606" t="s">
        <v>331</v>
      </c>
      <c r="F1671" s="606" t="s">
        <v>331</v>
      </c>
      <c r="G1671" s="606" t="s">
        <v>1085</v>
      </c>
      <c r="H1671" s="606" t="s">
        <v>3974</v>
      </c>
      <c r="I1671" s="606" t="s">
        <v>1087</v>
      </c>
      <c r="J1671" s="606" t="s">
        <v>1088</v>
      </c>
    </row>
    <row r="1672" spans="2:10" ht="21" customHeight="1">
      <c r="B1672" s="605" t="s">
        <v>4382</v>
      </c>
      <c r="C1672" s="606" t="s">
        <v>11</v>
      </c>
      <c r="D1672" s="605" t="s">
        <v>689</v>
      </c>
      <c r="E1672" s="606" t="s">
        <v>986</v>
      </c>
      <c r="F1672" s="606" t="s">
        <v>986</v>
      </c>
      <c r="G1672" s="606" t="s">
        <v>1085</v>
      </c>
      <c r="H1672" s="606" t="s">
        <v>3974</v>
      </c>
      <c r="I1672" s="606" t="s">
        <v>1087</v>
      </c>
      <c r="J1672" s="606" t="s">
        <v>1088</v>
      </c>
    </row>
    <row r="1673" spans="2:10" ht="21" customHeight="1">
      <c r="B1673" s="605" t="s">
        <v>4383</v>
      </c>
      <c r="C1673" s="606" t="s">
        <v>11</v>
      </c>
      <c r="D1673" s="605" t="s">
        <v>689</v>
      </c>
      <c r="E1673" s="606" t="s">
        <v>4384</v>
      </c>
      <c r="F1673" s="606" t="s">
        <v>4384</v>
      </c>
      <c r="G1673" s="606" t="s">
        <v>1085</v>
      </c>
      <c r="H1673" s="606" t="s">
        <v>3974</v>
      </c>
      <c r="I1673" s="606" t="s">
        <v>1087</v>
      </c>
      <c r="J1673" s="606" t="s">
        <v>1088</v>
      </c>
    </row>
    <row r="1674" spans="2:10" ht="21" customHeight="1">
      <c r="B1674" s="605" t="s">
        <v>4385</v>
      </c>
      <c r="C1674" s="606" t="s">
        <v>11</v>
      </c>
      <c r="D1674" s="605" t="s">
        <v>689</v>
      </c>
      <c r="E1674" s="606" t="s">
        <v>4386</v>
      </c>
      <c r="F1674" s="606" t="s">
        <v>4386</v>
      </c>
      <c r="G1674" s="606" t="s">
        <v>3959</v>
      </c>
      <c r="H1674" s="606" t="s">
        <v>3960</v>
      </c>
      <c r="I1674" s="606" t="s">
        <v>3961</v>
      </c>
      <c r="J1674" s="606" t="s">
        <v>3962</v>
      </c>
    </row>
    <row r="1675" spans="2:10" ht="21" customHeight="1">
      <c r="B1675" s="605" t="s">
        <v>4387</v>
      </c>
      <c r="C1675" s="606" t="s">
        <v>11</v>
      </c>
      <c r="D1675" s="605" t="s">
        <v>689</v>
      </c>
      <c r="E1675" s="606" t="s">
        <v>4388</v>
      </c>
      <c r="F1675" s="606" t="s">
        <v>4388</v>
      </c>
      <c r="G1675" s="606" t="s">
        <v>3959</v>
      </c>
      <c r="H1675" s="606" t="s">
        <v>3960</v>
      </c>
      <c r="I1675" s="606" t="s">
        <v>3961</v>
      </c>
      <c r="J1675" s="606" t="s">
        <v>3962</v>
      </c>
    </row>
    <row r="1676" spans="2:10" ht="21" customHeight="1">
      <c r="B1676" s="605" t="s">
        <v>4389</v>
      </c>
      <c r="C1676" s="606" t="s">
        <v>11</v>
      </c>
      <c r="D1676" s="605" t="s">
        <v>689</v>
      </c>
      <c r="E1676" s="606" t="s">
        <v>4390</v>
      </c>
      <c r="F1676" s="606" t="s">
        <v>987</v>
      </c>
      <c r="G1676" s="606" t="s">
        <v>1085</v>
      </c>
      <c r="H1676" s="606" t="s">
        <v>3974</v>
      </c>
      <c r="I1676" s="606" t="s">
        <v>1087</v>
      </c>
      <c r="J1676" s="606" t="s">
        <v>1088</v>
      </c>
    </row>
    <row r="1677" spans="2:10" ht="21" customHeight="1">
      <c r="B1677" s="605" t="s">
        <v>4391</v>
      </c>
      <c r="C1677" s="606" t="s">
        <v>11</v>
      </c>
      <c r="D1677" s="605" t="s">
        <v>689</v>
      </c>
      <c r="E1677" s="606" t="s">
        <v>4392</v>
      </c>
      <c r="F1677" s="606" t="s">
        <v>988</v>
      </c>
      <c r="G1677" s="606" t="s">
        <v>3959</v>
      </c>
      <c r="H1677" s="606" t="s">
        <v>3960</v>
      </c>
      <c r="I1677" s="606" t="s">
        <v>3961</v>
      </c>
      <c r="J1677" s="606" t="s">
        <v>3962</v>
      </c>
    </row>
    <row r="1678" spans="2:10" ht="21" customHeight="1">
      <c r="B1678" s="605" t="s">
        <v>4393</v>
      </c>
      <c r="C1678" s="606" t="s">
        <v>11</v>
      </c>
      <c r="D1678" s="605" t="s">
        <v>689</v>
      </c>
      <c r="E1678" s="606" t="s">
        <v>4394</v>
      </c>
      <c r="F1678" s="606" t="s">
        <v>4395</v>
      </c>
      <c r="G1678" s="606" t="s">
        <v>3959</v>
      </c>
      <c r="H1678" s="606" t="s">
        <v>3960</v>
      </c>
      <c r="I1678" s="606" t="s">
        <v>3961</v>
      </c>
      <c r="J1678" s="606" t="s">
        <v>3962</v>
      </c>
    </row>
    <row r="1679" spans="2:10" ht="21" customHeight="1">
      <c r="B1679" s="605" t="s">
        <v>4396</v>
      </c>
      <c r="C1679" s="606" t="s">
        <v>11</v>
      </c>
      <c r="D1679" s="605" t="s">
        <v>689</v>
      </c>
      <c r="E1679" s="606" t="s">
        <v>146</v>
      </c>
      <c r="F1679" s="606" t="s">
        <v>146</v>
      </c>
      <c r="G1679" s="606" t="s">
        <v>1085</v>
      </c>
      <c r="H1679" s="606" t="s">
        <v>3974</v>
      </c>
      <c r="I1679" s="606" t="s">
        <v>1087</v>
      </c>
      <c r="J1679" s="606" t="s">
        <v>1088</v>
      </c>
    </row>
    <row r="1680" spans="2:10" ht="21" customHeight="1">
      <c r="B1680" s="605" t="s">
        <v>4397</v>
      </c>
      <c r="C1680" s="606" t="s">
        <v>11</v>
      </c>
      <c r="D1680" s="605" t="s">
        <v>689</v>
      </c>
      <c r="E1680" s="606" t="s">
        <v>4398</v>
      </c>
      <c r="F1680" s="606" t="s">
        <v>4399</v>
      </c>
      <c r="G1680" s="606" t="s">
        <v>3959</v>
      </c>
      <c r="H1680" s="606" t="s">
        <v>3960</v>
      </c>
      <c r="I1680" s="606" t="s">
        <v>3961</v>
      </c>
      <c r="J1680" s="606" t="s">
        <v>3962</v>
      </c>
    </row>
    <row r="1681" spans="2:10" ht="21" customHeight="1">
      <c r="B1681" s="605" t="s">
        <v>4400</v>
      </c>
      <c r="C1681" s="606" t="s">
        <v>11</v>
      </c>
      <c r="D1681" s="605" t="s">
        <v>689</v>
      </c>
      <c r="E1681" s="606" t="s">
        <v>4401</v>
      </c>
      <c r="F1681" s="606" t="s">
        <v>123</v>
      </c>
      <c r="G1681" s="606" t="s">
        <v>1085</v>
      </c>
      <c r="H1681" s="606" t="s">
        <v>3974</v>
      </c>
      <c r="I1681" s="606" t="s">
        <v>1087</v>
      </c>
      <c r="J1681" s="606" t="s">
        <v>1088</v>
      </c>
    </row>
    <row r="1682" spans="2:10" ht="21" customHeight="1">
      <c r="B1682" s="605" t="s">
        <v>4402</v>
      </c>
      <c r="C1682" s="606" t="s">
        <v>11</v>
      </c>
      <c r="D1682" s="605" t="s">
        <v>689</v>
      </c>
      <c r="E1682" s="606" t="s">
        <v>4403</v>
      </c>
      <c r="F1682" s="606" t="s">
        <v>4404</v>
      </c>
      <c r="G1682" s="606" t="s">
        <v>3959</v>
      </c>
      <c r="H1682" s="606" t="s">
        <v>3960</v>
      </c>
      <c r="I1682" s="606" t="s">
        <v>3961</v>
      </c>
      <c r="J1682" s="606" t="s">
        <v>3962</v>
      </c>
    </row>
    <row r="1683" spans="2:10" ht="21" customHeight="1">
      <c r="B1683" s="605" t="s">
        <v>4405</v>
      </c>
      <c r="C1683" s="606" t="s">
        <v>11</v>
      </c>
      <c r="D1683" s="605" t="s">
        <v>689</v>
      </c>
      <c r="E1683" s="606" t="s">
        <v>4406</v>
      </c>
      <c r="F1683" s="606" t="s">
        <v>4407</v>
      </c>
      <c r="G1683" s="606" t="s">
        <v>3959</v>
      </c>
      <c r="H1683" s="606" t="s">
        <v>3960</v>
      </c>
      <c r="I1683" s="606" t="s">
        <v>3961</v>
      </c>
      <c r="J1683" s="606" t="s">
        <v>3962</v>
      </c>
    </row>
    <row r="1684" spans="2:10" ht="21" customHeight="1">
      <c r="B1684" s="605" t="s">
        <v>4408</v>
      </c>
      <c r="C1684" s="606" t="s">
        <v>11</v>
      </c>
      <c r="D1684" s="605" t="s">
        <v>689</v>
      </c>
      <c r="E1684" s="606" t="s">
        <v>4409</v>
      </c>
      <c r="F1684" s="606" t="s">
        <v>136</v>
      </c>
      <c r="G1684" s="606" t="s">
        <v>1085</v>
      </c>
      <c r="H1684" s="606" t="s">
        <v>3974</v>
      </c>
      <c r="I1684" s="606" t="s">
        <v>1087</v>
      </c>
      <c r="J1684" s="606" t="s">
        <v>1088</v>
      </c>
    </row>
    <row r="1685" spans="2:10" ht="21" customHeight="1">
      <c r="B1685" s="605" t="s">
        <v>4410</v>
      </c>
      <c r="C1685" s="606" t="s">
        <v>11</v>
      </c>
      <c r="D1685" s="605" t="s">
        <v>689</v>
      </c>
      <c r="E1685" s="606" t="s">
        <v>4411</v>
      </c>
      <c r="F1685" s="606" t="s">
        <v>4411</v>
      </c>
      <c r="G1685" s="606" t="s">
        <v>1085</v>
      </c>
      <c r="H1685" s="606" t="s">
        <v>3974</v>
      </c>
      <c r="I1685" s="606" t="s">
        <v>1087</v>
      </c>
      <c r="J1685" s="606" t="s">
        <v>1088</v>
      </c>
    </row>
    <row r="1686" spans="2:10" ht="21" customHeight="1">
      <c r="B1686" s="605" t="s">
        <v>4412</v>
      </c>
      <c r="C1686" s="606" t="s">
        <v>11</v>
      </c>
      <c r="D1686" s="605" t="s">
        <v>689</v>
      </c>
      <c r="E1686" s="606" t="s">
        <v>4413</v>
      </c>
      <c r="F1686" s="606" t="s">
        <v>4413</v>
      </c>
      <c r="G1686" s="606" t="s">
        <v>3959</v>
      </c>
      <c r="H1686" s="606" t="s">
        <v>3960</v>
      </c>
      <c r="I1686" s="606" t="s">
        <v>3961</v>
      </c>
      <c r="J1686" s="606" t="s">
        <v>3962</v>
      </c>
    </row>
    <row r="1687" spans="2:10" ht="21" customHeight="1">
      <c r="B1687" s="605" t="s">
        <v>4414</v>
      </c>
      <c r="C1687" s="606" t="s">
        <v>11</v>
      </c>
      <c r="D1687" s="605" t="s">
        <v>689</v>
      </c>
      <c r="E1687" s="606" t="s">
        <v>4415</v>
      </c>
      <c r="F1687" s="606" t="s">
        <v>4415</v>
      </c>
      <c r="G1687" s="606" t="s">
        <v>3959</v>
      </c>
      <c r="H1687" s="606" t="s">
        <v>3960</v>
      </c>
      <c r="I1687" s="606" t="s">
        <v>3961</v>
      </c>
      <c r="J1687" s="606" t="s">
        <v>3962</v>
      </c>
    </row>
    <row r="1688" spans="2:10" ht="21" customHeight="1">
      <c r="B1688" s="605" t="s">
        <v>4416</v>
      </c>
      <c r="C1688" s="606" t="s">
        <v>11</v>
      </c>
      <c r="D1688" s="605" t="s">
        <v>689</v>
      </c>
      <c r="E1688" s="606" t="s">
        <v>4417</v>
      </c>
      <c r="F1688" s="606" t="s">
        <v>4417</v>
      </c>
      <c r="G1688" s="606" t="s">
        <v>3959</v>
      </c>
      <c r="H1688" s="606" t="s">
        <v>3960</v>
      </c>
      <c r="I1688" s="606" t="s">
        <v>3961</v>
      </c>
      <c r="J1688" s="606" t="s">
        <v>3962</v>
      </c>
    </row>
    <row r="1689" spans="2:10" ht="21" customHeight="1">
      <c r="B1689" s="605" t="s">
        <v>4418</v>
      </c>
      <c r="C1689" s="606" t="s">
        <v>11</v>
      </c>
      <c r="D1689" s="605" t="s">
        <v>689</v>
      </c>
      <c r="E1689" s="606" t="s">
        <v>989</v>
      </c>
      <c r="F1689" s="606" t="s">
        <v>989</v>
      </c>
      <c r="G1689" s="606" t="s">
        <v>1085</v>
      </c>
      <c r="H1689" s="606" t="s">
        <v>3974</v>
      </c>
      <c r="I1689" s="606" t="s">
        <v>1087</v>
      </c>
      <c r="J1689" s="606" t="s">
        <v>1088</v>
      </c>
    </row>
    <row r="1690" spans="2:10" ht="21" customHeight="1">
      <c r="B1690" s="605" t="s">
        <v>4419</v>
      </c>
      <c r="C1690" s="606" t="s">
        <v>11</v>
      </c>
      <c r="D1690" s="605" t="s">
        <v>689</v>
      </c>
      <c r="E1690" s="606" t="s">
        <v>990</v>
      </c>
      <c r="F1690" s="606" t="s">
        <v>990</v>
      </c>
      <c r="G1690" s="606" t="s">
        <v>1085</v>
      </c>
      <c r="H1690" s="606" t="s">
        <v>3974</v>
      </c>
      <c r="I1690" s="606" t="s">
        <v>1087</v>
      </c>
      <c r="J1690" s="606" t="s">
        <v>1088</v>
      </c>
    </row>
    <row r="1691" spans="2:10" ht="21" customHeight="1">
      <c r="B1691" s="605" t="s">
        <v>4420</v>
      </c>
      <c r="C1691" s="606" t="s">
        <v>11</v>
      </c>
      <c r="D1691" s="605" t="s">
        <v>689</v>
      </c>
      <c r="E1691" s="606" t="s">
        <v>4421</v>
      </c>
      <c r="F1691" s="606" t="s">
        <v>4421</v>
      </c>
      <c r="G1691" s="606" t="s">
        <v>3959</v>
      </c>
      <c r="H1691" s="606" t="s">
        <v>3960</v>
      </c>
      <c r="I1691" s="606" t="s">
        <v>3961</v>
      </c>
      <c r="J1691" s="606" t="s">
        <v>3962</v>
      </c>
    </row>
    <row r="1692" spans="2:10" ht="21" customHeight="1">
      <c r="B1692" s="605" t="s">
        <v>4422</v>
      </c>
      <c r="C1692" s="606" t="s">
        <v>11</v>
      </c>
      <c r="D1692" s="605" t="s">
        <v>689</v>
      </c>
      <c r="E1692" s="606" t="s">
        <v>4423</v>
      </c>
      <c r="F1692" s="606" t="s">
        <v>4423</v>
      </c>
      <c r="G1692" s="606" t="s">
        <v>1085</v>
      </c>
      <c r="H1692" s="606" t="s">
        <v>3974</v>
      </c>
      <c r="I1692" s="606" t="s">
        <v>1087</v>
      </c>
      <c r="J1692" s="606" t="s">
        <v>1088</v>
      </c>
    </row>
    <row r="1693" spans="2:10" ht="21" customHeight="1">
      <c r="B1693" s="605" t="s">
        <v>4424</v>
      </c>
      <c r="C1693" s="606" t="s">
        <v>11</v>
      </c>
      <c r="D1693" s="605" t="s">
        <v>689</v>
      </c>
      <c r="E1693" s="606" t="s">
        <v>4425</v>
      </c>
      <c r="F1693" s="606" t="s">
        <v>4425</v>
      </c>
      <c r="G1693" s="606" t="s">
        <v>3959</v>
      </c>
      <c r="H1693" s="606" t="s">
        <v>3960</v>
      </c>
      <c r="I1693" s="606" t="s">
        <v>3961</v>
      </c>
      <c r="J1693" s="606" t="s">
        <v>3962</v>
      </c>
    </row>
    <row r="1694" spans="2:10" ht="21" customHeight="1">
      <c r="B1694" s="605" t="s">
        <v>4426</v>
      </c>
      <c r="C1694" s="606" t="s">
        <v>11</v>
      </c>
      <c r="D1694" s="605" t="s">
        <v>689</v>
      </c>
      <c r="E1694" s="606" t="s">
        <v>4427</v>
      </c>
      <c r="F1694" s="606" t="s">
        <v>4427</v>
      </c>
      <c r="G1694" s="606" t="s">
        <v>3959</v>
      </c>
      <c r="H1694" s="606" t="s">
        <v>3960</v>
      </c>
      <c r="I1694" s="606" t="s">
        <v>3961</v>
      </c>
      <c r="J1694" s="606" t="s">
        <v>3962</v>
      </c>
    </row>
    <row r="1695" spans="2:10" ht="21" customHeight="1">
      <c r="B1695" s="605" t="s">
        <v>4428</v>
      </c>
      <c r="C1695" s="606" t="s">
        <v>11</v>
      </c>
      <c r="D1695" s="605" t="s">
        <v>689</v>
      </c>
      <c r="E1695" s="606" t="s">
        <v>991</v>
      </c>
      <c r="F1695" s="606" t="s">
        <v>991</v>
      </c>
      <c r="G1695" s="606" t="s">
        <v>1085</v>
      </c>
      <c r="H1695" s="606" t="s">
        <v>3974</v>
      </c>
      <c r="I1695" s="606" t="s">
        <v>1087</v>
      </c>
      <c r="J1695" s="606" t="s">
        <v>1088</v>
      </c>
    </row>
    <row r="1696" spans="2:10" ht="21" customHeight="1">
      <c r="B1696" s="605" t="s">
        <v>4429</v>
      </c>
      <c r="C1696" s="606" t="s">
        <v>11</v>
      </c>
      <c r="D1696" s="605" t="s">
        <v>689</v>
      </c>
      <c r="E1696" s="606" t="s">
        <v>4430</v>
      </c>
      <c r="F1696" s="606" t="s">
        <v>4431</v>
      </c>
      <c r="G1696" s="606" t="s">
        <v>3959</v>
      </c>
      <c r="H1696" s="606" t="s">
        <v>3960</v>
      </c>
      <c r="I1696" s="606" t="s">
        <v>3961</v>
      </c>
      <c r="J1696" s="606" t="s">
        <v>3962</v>
      </c>
    </row>
    <row r="1697" spans="2:10" ht="21" customHeight="1">
      <c r="B1697" s="605" t="s">
        <v>4432</v>
      </c>
      <c r="C1697" s="606" t="s">
        <v>11</v>
      </c>
      <c r="D1697" s="605" t="s">
        <v>689</v>
      </c>
      <c r="E1697" s="606" t="s">
        <v>4433</v>
      </c>
      <c r="F1697" s="606" t="s">
        <v>992</v>
      </c>
      <c r="G1697" s="606" t="s">
        <v>3959</v>
      </c>
      <c r="H1697" s="606" t="s">
        <v>3960</v>
      </c>
      <c r="I1697" s="606" t="s">
        <v>3961</v>
      </c>
      <c r="J1697" s="606" t="s">
        <v>3962</v>
      </c>
    </row>
    <row r="1698" spans="2:10" ht="21" customHeight="1">
      <c r="B1698" s="605" t="s">
        <v>4434</v>
      </c>
      <c r="C1698" s="606" t="s">
        <v>11</v>
      </c>
      <c r="D1698" s="605" t="s">
        <v>689</v>
      </c>
      <c r="E1698" s="606" t="s">
        <v>4435</v>
      </c>
      <c r="F1698" s="606" t="s">
        <v>993</v>
      </c>
      <c r="G1698" s="606" t="s">
        <v>3959</v>
      </c>
      <c r="H1698" s="606" t="s">
        <v>3960</v>
      </c>
      <c r="I1698" s="606" t="s">
        <v>3961</v>
      </c>
      <c r="J1698" s="606" t="s">
        <v>3962</v>
      </c>
    </row>
    <row r="1699" spans="2:10" ht="21" customHeight="1">
      <c r="B1699" s="605" t="s">
        <v>4436</v>
      </c>
      <c r="C1699" s="606" t="s">
        <v>11</v>
      </c>
      <c r="D1699" s="605" t="s">
        <v>689</v>
      </c>
      <c r="E1699" s="606" t="s">
        <v>994</v>
      </c>
      <c r="F1699" s="606" t="s">
        <v>994</v>
      </c>
      <c r="G1699" s="606" t="s">
        <v>1085</v>
      </c>
      <c r="H1699" s="606" t="s">
        <v>3974</v>
      </c>
      <c r="I1699" s="606" t="s">
        <v>1087</v>
      </c>
      <c r="J1699" s="606" t="s">
        <v>1088</v>
      </c>
    </row>
    <row r="1700" spans="2:10" ht="21" customHeight="1">
      <c r="B1700" s="605" t="s">
        <v>4437</v>
      </c>
      <c r="C1700" s="606" t="s">
        <v>11</v>
      </c>
      <c r="D1700" s="605" t="s">
        <v>689</v>
      </c>
      <c r="E1700" s="606" t="s">
        <v>4438</v>
      </c>
      <c r="F1700" s="606" t="s">
        <v>4439</v>
      </c>
      <c r="G1700" s="606" t="s">
        <v>3959</v>
      </c>
      <c r="H1700" s="606" t="s">
        <v>3960</v>
      </c>
      <c r="I1700" s="606" t="s">
        <v>3961</v>
      </c>
      <c r="J1700" s="606" t="s">
        <v>3962</v>
      </c>
    </row>
    <row r="1701" spans="2:10" ht="21" customHeight="1">
      <c r="B1701" s="605" t="s">
        <v>4440</v>
      </c>
      <c r="C1701" s="606" t="s">
        <v>11</v>
      </c>
      <c r="D1701" s="605" t="s">
        <v>689</v>
      </c>
      <c r="E1701" s="606" t="s">
        <v>4441</v>
      </c>
      <c r="F1701" s="606" t="s">
        <v>4441</v>
      </c>
      <c r="G1701" s="606" t="s">
        <v>1085</v>
      </c>
      <c r="H1701" s="606" t="s">
        <v>3974</v>
      </c>
      <c r="I1701" s="606" t="s">
        <v>1087</v>
      </c>
      <c r="J1701" s="606" t="s">
        <v>1088</v>
      </c>
    </row>
    <row r="1702" spans="2:10" ht="21" customHeight="1">
      <c r="B1702" s="605" t="s">
        <v>4442</v>
      </c>
      <c r="C1702" s="606" t="s">
        <v>11</v>
      </c>
      <c r="D1702" s="605" t="s">
        <v>689</v>
      </c>
      <c r="E1702" s="606" t="s">
        <v>4443</v>
      </c>
      <c r="F1702" s="606" t="s">
        <v>4444</v>
      </c>
      <c r="G1702" s="606" t="s">
        <v>3959</v>
      </c>
      <c r="H1702" s="606" t="s">
        <v>3960</v>
      </c>
      <c r="I1702" s="606" t="s">
        <v>3961</v>
      </c>
      <c r="J1702" s="606" t="s">
        <v>3962</v>
      </c>
    </row>
    <row r="1703" spans="2:10" ht="21" customHeight="1">
      <c r="B1703" s="605" t="s">
        <v>4445</v>
      </c>
      <c r="C1703" s="606" t="s">
        <v>11</v>
      </c>
      <c r="D1703" s="605" t="s">
        <v>689</v>
      </c>
      <c r="E1703" s="606" t="s">
        <v>4446</v>
      </c>
      <c r="F1703" s="606" t="s">
        <v>4446</v>
      </c>
      <c r="G1703" s="606" t="s">
        <v>3959</v>
      </c>
      <c r="H1703" s="606" t="s">
        <v>3960</v>
      </c>
      <c r="I1703" s="606" t="s">
        <v>3961</v>
      </c>
      <c r="J1703" s="606" t="s">
        <v>3962</v>
      </c>
    </row>
    <row r="1704" spans="2:10" ht="21" customHeight="1">
      <c r="B1704" s="605" t="s">
        <v>4447</v>
      </c>
      <c r="C1704" s="606" t="s">
        <v>11</v>
      </c>
      <c r="D1704" s="605" t="s">
        <v>689</v>
      </c>
      <c r="E1704" s="606" t="s">
        <v>4448</v>
      </c>
      <c r="F1704" s="606" t="s">
        <v>4448</v>
      </c>
      <c r="G1704" s="606" t="s">
        <v>3959</v>
      </c>
      <c r="H1704" s="606" t="s">
        <v>3960</v>
      </c>
      <c r="I1704" s="606" t="s">
        <v>3961</v>
      </c>
      <c r="J1704" s="606" t="s">
        <v>3962</v>
      </c>
    </row>
    <row r="1705" spans="2:10" ht="21" customHeight="1">
      <c r="B1705" s="605" t="s">
        <v>4449</v>
      </c>
      <c r="C1705" s="606" t="s">
        <v>11</v>
      </c>
      <c r="D1705" s="605" t="s">
        <v>689</v>
      </c>
      <c r="E1705" s="606" t="s">
        <v>4450</v>
      </c>
      <c r="F1705" s="606" t="s">
        <v>4451</v>
      </c>
      <c r="G1705" s="606" t="s">
        <v>3959</v>
      </c>
      <c r="H1705" s="606" t="s">
        <v>3960</v>
      </c>
      <c r="I1705" s="606" t="s">
        <v>3961</v>
      </c>
      <c r="J1705" s="606" t="s">
        <v>3962</v>
      </c>
    </row>
    <row r="1706" spans="2:10" ht="21" customHeight="1">
      <c r="B1706" s="605" t="s">
        <v>4452</v>
      </c>
      <c r="C1706" s="606" t="s">
        <v>11</v>
      </c>
      <c r="D1706" s="605" t="s">
        <v>689</v>
      </c>
      <c r="E1706" s="606" t="s">
        <v>4453</v>
      </c>
      <c r="F1706" s="606" t="s">
        <v>4453</v>
      </c>
      <c r="G1706" s="606" t="s">
        <v>3959</v>
      </c>
      <c r="H1706" s="606" t="s">
        <v>3960</v>
      </c>
      <c r="I1706" s="606" t="s">
        <v>3961</v>
      </c>
      <c r="J1706" s="606" t="s">
        <v>3962</v>
      </c>
    </row>
    <row r="1707" spans="2:10" ht="21" customHeight="1">
      <c r="B1707" s="605" t="s">
        <v>4454</v>
      </c>
      <c r="C1707" s="606" t="s">
        <v>11</v>
      </c>
      <c r="D1707" s="605" t="s">
        <v>689</v>
      </c>
      <c r="E1707" s="606" t="s">
        <v>4455</v>
      </c>
      <c r="F1707" s="606" t="s">
        <v>4455</v>
      </c>
      <c r="G1707" s="606" t="s">
        <v>1085</v>
      </c>
      <c r="H1707" s="606" t="s">
        <v>3974</v>
      </c>
      <c r="I1707" s="606" t="s">
        <v>1087</v>
      </c>
      <c r="J1707" s="606" t="s">
        <v>1088</v>
      </c>
    </row>
    <row r="1708" spans="2:10" ht="21" customHeight="1">
      <c r="B1708" s="605" t="s">
        <v>4456</v>
      </c>
      <c r="C1708" s="606" t="s">
        <v>11</v>
      </c>
      <c r="D1708" s="605" t="s">
        <v>689</v>
      </c>
      <c r="E1708" s="606" t="s">
        <v>4457</v>
      </c>
      <c r="F1708" s="606" t="s">
        <v>4458</v>
      </c>
      <c r="G1708" s="606" t="s">
        <v>3959</v>
      </c>
      <c r="H1708" s="606" t="s">
        <v>3960</v>
      </c>
      <c r="I1708" s="606" t="s">
        <v>3961</v>
      </c>
      <c r="J1708" s="606" t="s">
        <v>3962</v>
      </c>
    </row>
    <row r="1709" spans="2:10" ht="21" customHeight="1">
      <c r="B1709" s="605" t="s">
        <v>4459</v>
      </c>
      <c r="C1709" s="606" t="s">
        <v>11</v>
      </c>
      <c r="D1709" s="605" t="s">
        <v>689</v>
      </c>
      <c r="E1709" s="606" t="s">
        <v>4460</v>
      </c>
      <c r="F1709" s="606" t="s">
        <v>4461</v>
      </c>
      <c r="G1709" s="606" t="s">
        <v>3959</v>
      </c>
      <c r="H1709" s="606" t="s">
        <v>3960</v>
      </c>
      <c r="I1709" s="606" t="s">
        <v>3961</v>
      </c>
      <c r="J1709" s="606" t="s">
        <v>3962</v>
      </c>
    </row>
    <row r="1710" spans="2:10" ht="21" customHeight="1">
      <c r="B1710" s="605" t="s">
        <v>4462</v>
      </c>
      <c r="C1710" s="606" t="s">
        <v>11</v>
      </c>
      <c r="D1710" s="605" t="s">
        <v>689</v>
      </c>
      <c r="E1710" s="606" t="s">
        <v>4463</v>
      </c>
      <c r="F1710" s="606" t="s">
        <v>4463</v>
      </c>
      <c r="G1710" s="606" t="s">
        <v>3959</v>
      </c>
      <c r="H1710" s="606" t="s">
        <v>3960</v>
      </c>
      <c r="I1710" s="606" t="s">
        <v>3961</v>
      </c>
      <c r="J1710" s="606" t="s">
        <v>3962</v>
      </c>
    </row>
    <row r="1711" spans="2:10" ht="21" customHeight="1">
      <c r="B1711" s="605" t="s">
        <v>4464</v>
      </c>
      <c r="C1711" s="606" t="s">
        <v>11</v>
      </c>
      <c r="D1711" s="605" t="s">
        <v>689</v>
      </c>
      <c r="E1711" s="606" t="s">
        <v>4465</v>
      </c>
      <c r="F1711" s="606" t="s">
        <v>4465</v>
      </c>
      <c r="G1711" s="606" t="s">
        <v>1085</v>
      </c>
      <c r="H1711" s="606" t="s">
        <v>3974</v>
      </c>
      <c r="I1711" s="606" t="s">
        <v>1087</v>
      </c>
      <c r="J1711" s="606" t="s">
        <v>1088</v>
      </c>
    </row>
    <row r="1712" spans="2:10" ht="21" customHeight="1">
      <c r="B1712" s="605" t="s">
        <v>4466</v>
      </c>
      <c r="C1712" s="606" t="s">
        <v>11</v>
      </c>
      <c r="D1712" s="605" t="s">
        <v>689</v>
      </c>
      <c r="E1712" s="606" t="s">
        <v>4467</v>
      </c>
      <c r="F1712" s="606" t="s">
        <v>4468</v>
      </c>
      <c r="G1712" s="606" t="s">
        <v>1085</v>
      </c>
      <c r="H1712" s="606" t="s">
        <v>3974</v>
      </c>
      <c r="I1712" s="606" t="s">
        <v>1087</v>
      </c>
      <c r="J1712" s="606" t="s">
        <v>1088</v>
      </c>
    </row>
    <row r="1713" spans="2:10" ht="21" customHeight="1">
      <c r="B1713" s="605" t="s">
        <v>4469</v>
      </c>
      <c r="C1713" s="606" t="s">
        <v>11</v>
      </c>
      <c r="D1713" s="605" t="s">
        <v>689</v>
      </c>
      <c r="E1713" s="606" t="s">
        <v>4470</v>
      </c>
      <c r="F1713" s="606" t="s">
        <v>4470</v>
      </c>
      <c r="G1713" s="606" t="s">
        <v>3959</v>
      </c>
      <c r="H1713" s="606" t="s">
        <v>3960</v>
      </c>
      <c r="I1713" s="606" t="s">
        <v>3961</v>
      </c>
      <c r="J1713" s="606" t="s">
        <v>3962</v>
      </c>
    </row>
    <row r="1714" spans="2:10" ht="21" customHeight="1">
      <c r="B1714" s="605" t="s">
        <v>4471</v>
      </c>
      <c r="C1714" s="606" t="s">
        <v>11</v>
      </c>
      <c r="D1714" s="605" t="s">
        <v>689</v>
      </c>
      <c r="E1714" s="606" t="s">
        <v>4472</v>
      </c>
      <c r="F1714" s="606" t="s">
        <v>4472</v>
      </c>
      <c r="G1714" s="606" t="s">
        <v>3959</v>
      </c>
      <c r="H1714" s="606" t="s">
        <v>3960</v>
      </c>
      <c r="I1714" s="606" t="s">
        <v>3961</v>
      </c>
      <c r="J1714" s="606" t="s">
        <v>3962</v>
      </c>
    </row>
    <row r="1715" spans="2:10" ht="21" customHeight="1">
      <c r="B1715" s="605" t="s">
        <v>4473</v>
      </c>
      <c r="C1715" s="606" t="s">
        <v>11</v>
      </c>
      <c r="D1715" s="605" t="s">
        <v>689</v>
      </c>
      <c r="E1715" s="606" t="s">
        <v>4474</v>
      </c>
      <c r="F1715" s="606" t="s">
        <v>4474</v>
      </c>
      <c r="G1715" s="606" t="s">
        <v>3959</v>
      </c>
      <c r="H1715" s="606" t="s">
        <v>3960</v>
      </c>
      <c r="I1715" s="606" t="s">
        <v>3961</v>
      </c>
      <c r="J1715" s="606" t="s">
        <v>3962</v>
      </c>
    </row>
    <row r="1716" spans="2:10" ht="21" customHeight="1">
      <c r="B1716" s="605" t="s">
        <v>4475</v>
      </c>
      <c r="C1716" s="606" t="s">
        <v>11</v>
      </c>
      <c r="D1716" s="605" t="s">
        <v>689</v>
      </c>
      <c r="E1716" s="606" t="s">
        <v>4476</v>
      </c>
      <c r="F1716" s="606" t="s">
        <v>4476</v>
      </c>
      <c r="G1716" s="606" t="s">
        <v>1085</v>
      </c>
      <c r="H1716" s="606" t="s">
        <v>3974</v>
      </c>
      <c r="I1716" s="606" t="s">
        <v>1087</v>
      </c>
      <c r="J1716" s="606" t="s">
        <v>1088</v>
      </c>
    </row>
    <row r="1717" spans="2:10" ht="21" customHeight="1">
      <c r="B1717" s="605" t="s">
        <v>4477</v>
      </c>
      <c r="C1717" s="606" t="s">
        <v>11</v>
      </c>
      <c r="D1717" s="605" t="s">
        <v>689</v>
      </c>
      <c r="E1717" s="606" t="s">
        <v>4478</v>
      </c>
      <c r="F1717" s="606" t="s">
        <v>4478</v>
      </c>
      <c r="G1717" s="606" t="s">
        <v>3959</v>
      </c>
      <c r="H1717" s="606" t="s">
        <v>3960</v>
      </c>
      <c r="I1717" s="606" t="s">
        <v>3961</v>
      </c>
      <c r="J1717" s="606" t="s">
        <v>3962</v>
      </c>
    </row>
    <row r="1718" spans="2:10" ht="21" customHeight="1">
      <c r="B1718" s="605" t="s">
        <v>4479</v>
      </c>
      <c r="C1718" s="606" t="s">
        <v>11</v>
      </c>
      <c r="D1718" s="605" t="s">
        <v>689</v>
      </c>
      <c r="E1718" s="606" t="s">
        <v>4480</v>
      </c>
      <c r="F1718" s="606" t="s">
        <v>4480</v>
      </c>
      <c r="G1718" s="606" t="s">
        <v>3959</v>
      </c>
      <c r="H1718" s="606" t="s">
        <v>3960</v>
      </c>
      <c r="I1718" s="606" t="s">
        <v>3961</v>
      </c>
      <c r="J1718" s="606" t="s">
        <v>3962</v>
      </c>
    </row>
    <row r="1719" spans="2:10" ht="21" customHeight="1">
      <c r="B1719" s="605" t="s">
        <v>4481</v>
      </c>
      <c r="C1719" s="606" t="s">
        <v>11</v>
      </c>
      <c r="D1719" s="605" t="s">
        <v>689</v>
      </c>
      <c r="E1719" s="606" t="s">
        <v>4482</v>
      </c>
      <c r="F1719" s="606" t="s">
        <v>4482</v>
      </c>
      <c r="G1719" s="606" t="s">
        <v>3959</v>
      </c>
      <c r="H1719" s="606" t="s">
        <v>3960</v>
      </c>
      <c r="I1719" s="606" t="s">
        <v>3961</v>
      </c>
      <c r="J1719" s="606" t="s">
        <v>3962</v>
      </c>
    </row>
    <row r="1720" spans="2:10" ht="21" customHeight="1">
      <c r="B1720" s="605" t="s">
        <v>4483</v>
      </c>
      <c r="C1720" s="606" t="s">
        <v>11</v>
      </c>
      <c r="D1720" s="605" t="s">
        <v>689</v>
      </c>
      <c r="E1720" s="606" t="s">
        <v>4484</v>
      </c>
      <c r="F1720" s="606" t="s">
        <v>4484</v>
      </c>
      <c r="G1720" s="606" t="s">
        <v>3959</v>
      </c>
      <c r="H1720" s="606" t="s">
        <v>3960</v>
      </c>
      <c r="I1720" s="606" t="s">
        <v>3961</v>
      </c>
      <c r="J1720" s="606" t="s">
        <v>3962</v>
      </c>
    </row>
    <row r="1721" spans="2:10" ht="21" customHeight="1">
      <c r="B1721" s="605" t="s">
        <v>4485</v>
      </c>
      <c r="C1721" s="606" t="s">
        <v>11</v>
      </c>
      <c r="D1721" s="605" t="s">
        <v>689</v>
      </c>
      <c r="E1721" s="606" t="s">
        <v>4486</v>
      </c>
      <c r="F1721" s="606" t="s">
        <v>4486</v>
      </c>
      <c r="G1721" s="606" t="s">
        <v>3959</v>
      </c>
      <c r="H1721" s="606" t="s">
        <v>3960</v>
      </c>
      <c r="I1721" s="606" t="s">
        <v>3961</v>
      </c>
      <c r="J1721" s="606" t="s">
        <v>3962</v>
      </c>
    </row>
    <row r="1722" spans="2:10" ht="21" customHeight="1">
      <c r="B1722" s="605" t="s">
        <v>4487</v>
      </c>
      <c r="C1722" s="606" t="s">
        <v>11</v>
      </c>
      <c r="D1722" s="605" t="s">
        <v>689</v>
      </c>
      <c r="E1722" s="606" t="s">
        <v>4488</v>
      </c>
      <c r="F1722" s="606" t="s">
        <v>4489</v>
      </c>
      <c r="G1722" s="606" t="s">
        <v>3959</v>
      </c>
      <c r="H1722" s="606" t="s">
        <v>3960</v>
      </c>
      <c r="I1722" s="606" t="s">
        <v>3961</v>
      </c>
      <c r="J1722" s="606" t="s">
        <v>3962</v>
      </c>
    </row>
    <row r="1723" spans="2:10" ht="21" customHeight="1">
      <c r="B1723" s="605" t="s">
        <v>4490</v>
      </c>
      <c r="C1723" s="606" t="s">
        <v>11</v>
      </c>
      <c r="D1723" s="605" t="s">
        <v>689</v>
      </c>
      <c r="E1723" s="606" t="s">
        <v>4491</v>
      </c>
      <c r="F1723" s="606" t="s">
        <v>4491</v>
      </c>
      <c r="G1723" s="606" t="s">
        <v>3959</v>
      </c>
      <c r="H1723" s="606" t="s">
        <v>3960</v>
      </c>
      <c r="I1723" s="606" t="s">
        <v>3961</v>
      </c>
      <c r="J1723" s="606" t="s">
        <v>3962</v>
      </c>
    </row>
    <row r="1724" spans="2:10" ht="21" customHeight="1">
      <c r="B1724" s="605" t="s">
        <v>4492</v>
      </c>
      <c r="C1724" s="606" t="s">
        <v>11</v>
      </c>
      <c r="D1724" s="605" t="s">
        <v>689</v>
      </c>
      <c r="E1724" s="606" t="s">
        <v>4493</v>
      </c>
      <c r="F1724" s="606" t="s">
        <v>4493</v>
      </c>
      <c r="G1724" s="606" t="s">
        <v>3959</v>
      </c>
      <c r="H1724" s="606" t="s">
        <v>3960</v>
      </c>
      <c r="I1724" s="606" t="s">
        <v>3961</v>
      </c>
      <c r="J1724" s="606" t="s">
        <v>3962</v>
      </c>
    </row>
    <row r="1725" spans="2:10" ht="21" customHeight="1">
      <c r="B1725" s="605" t="s">
        <v>4494</v>
      </c>
      <c r="C1725" s="606" t="s">
        <v>11</v>
      </c>
      <c r="D1725" s="605" t="s">
        <v>689</v>
      </c>
      <c r="E1725" s="606" t="s">
        <v>4495</v>
      </c>
      <c r="F1725" s="606" t="s">
        <v>4495</v>
      </c>
      <c r="G1725" s="606" t="s">
        <v>3959</v>
      </c>
      <c r="H1725" s="606" t="s">
        <v>3960</v>
      </c>
      <c r="I1725" s="606" t="s">
        <v>3961</v>
      </c>
      <c r="J1725" s="606" t="s">
        <v>3962</v>
      </c>
    </row>
    <row r="1726" spans="2:10" ht="21" customHeight="1">
      <c r="B1726" s="605" t="s">
        <v>4496</v>
      </c>
      <c r="C1726" s="606" t="s">
        <v>11</v>
      </c>
      <c r="D1726" s="605" t="s">
        <v>689</v>
      </c>
      <c r="E1726" s="606" t="s">
        <v>996</v>
      </c>
      <c r="F1726" s="606" t="s">
        <v>996</v>
      </c>
      <c r="G1726" s="606" t="s">
        <v>1085</v>
      </c>
      <c r="H1726" s="606" t="s">
        <v>3974</v>
      </c>
      <c r="I1726" s="606" t="s">
        <v>1087</v>
      </c>
      <c r="J1726" s="606" t="s">
        <v>1088</v>
      </c>
    </row>
    <row r="1727" spans="2:10" ht="21" customHeight="1">
      <c r="B1727" s="605" t="s">
        <v>4497</v>
      </c>
      <c r="C1727" s="606" t="s">
        <v>11</v>
      </c>
      <c r="D1727" s="605" t="s">
        <v>689</v>
      </c>
      <c r="E1727" s="606" t="s">
        <v>4498</v>
      </c>
      <c r="F1727" s="606" t="s">
        <v>4498</v>
      </c>
      <c r="G1727" s="606" t="s">
        <v>1085</v>
      </c>
      <c r="H1727" s="606" t="s">
        <v>3974</v>
      </c>
      <c r="I1727" s="606" t="s">
        <v>1087</v>
      </c>
      <c r="J1727" s="606" t="s">
        <v>1088</v>
      </c>
    </row>
    <row r="1728" spans="2:10" ht="21" customHeight="1">
      <c r="B1728" s="605" t="s">
        <v>4499</v>
      </c>
      <c r="C1728" s="606" t="s">
        <v>11</v>
      </c>
      <c r="D1728" s="605" t="s">
        <v>689</v>
      </c>
      <c r="E1728" s="606" t="s">
        <v>997</v>
      </c>
      <c r="F1728" s="606" t="s">
        <v>997</v>
      </c>
      <c r="G1728" s="606" t="s">
        <v>1085</v>
      </c>
      <c r="H1728" s="606" t="s">
        <v>3974</v>
      </c>
      <c r="I1728" s="606" t="s">
        <v>1087</v>
      </c>
      <c r="J1728" s="606" t="s">
        <v>1088</v>
      </c>
    </row>
    <row r="1729" spans="2:10" ht="21" customHeight="1">
      <c r="B1729" s="605" t="s">
        <v>4500</v>
      </c>
      <c r="C1729" s="606" t="s">
        <v>11</v>
      </c>
      <c r="D1729" s="605" t="s">
        <v>689</v>
      </c>
      <c r="E1729" s="606" t="s">
        <v>4501</v>
      </c>
      <c r="F1729" s="606" t="s">
        <v>4501</v>
      </c>
      <c r="G1729" s="606" t="s">
        <v>3959</v>
      </c>
      <c r="H1729" s="606" t="s">
        <v>3960</v>
      </c>
      <c r="I1729" s="606" t="s">
        <v>3961</v>
      </c>
      <c r="J1729" s="606" t="s">
        <v>3962</v>
      </c>
    </row>
    <row r="1730" spans="2:10" ht="21" customHeight="1">
      <c r="B1730" s="605" t="s">
        <v>4502</v>
      </c>
      <c r="C1730" s="606" t="s">
        <v>11</v>
      </c>
      <c r="D1730" s="605" t="s">
        <v>689</v>
      </c>
      <c r="E1730" s="606" t="s">
        <v>4503</v>
      </c>
      <c r="F1730" s="606" t="s">
        <v>4504</v>
      </c>
      <c r="G1730" s="606" t="s">
        <v>3959</v>
      </c>
      <c r="H1730" s="606" t="s">
        <v>3960</v>
      </c>
      <c r="I1730" s="606" t="s">
        <v>3961</v>
      </c>
      <c r="J1730" s="606" t="s">
        <v>3962</v>
      </c>
    </row>
    <row r="1731" spans="2:10" ht="21" customHeight="1">
      <c r="B1731" s="605" t="s">
        <v>4505</v>
      </c>
      <c r="C1731" s="606" t="s">
        <v>11</v>
      </c>
      <c r="D1731" s="605" t="s">
        <v>689</v>
      </c>
      <c r="E1731" s="606" t="s">
        <v>4506</v>
      </c>
      <c r="F1731" s="606" t="s">
        <v>4507</v>
      </c>
      <c r="G1731" s="606" t="s">
        <v>3959</v>
      </c>
      <c r="H1731" s="606" t="s">
        <v>3960</v>
      </c>
      <c r="I1731" s="606" t="s">
        <v>3961</v>
      </c>
      <c r="J1731" s="606" t="s">
        <v>3962</v>
      </c>
    </row>
    <row r="1732" spans="2:10" ht="21" customHeight="1">
      <c r="B1732" s="605" t="s">
        <v>4508</v>
      </c>
      <c r="C1732" s="606" t="s">
        <v>11</v>
      </c>
      <c r="D1732" s="605" t="s">
        <v>689</v>
      </c>
      <c r="E1732" s="606" t="s">
        <v>4509</v>
      </c>
      <c r="F1732" s="606" t="s">
        <v>4510</v>
      </c>
      <c r="G1732" s="606" t="s">
        <v>3959</v>
      </c>
      <c r="H1732" s="606" t="s">
        <v>3960</v>
      </c>
      <c r="I1732" s="606" t="s">
        <v>3961</v>
      </c>
      <c r="J1732" s="606" t="s">
        <v>3962</v>
      </c>
    </row>
    <row r="1733" spans="2:10" ht="21" customHeight="1">
      <c r="B1733" s="605" t="s">
        <v>4511</v>
      </c>
      <c r="C1733" s="606" t="s">
        <v>11</v>
      </c>
      <c r="D1733" s="605" t="s">
        <v>689</v>
      </c>
      <c r="E1733" s="606" t="s">
        <v>4512</v>
      </c>
      <c r="F1733" s="606" t="s">
        <v>4512</v>
      </c>
      <c r="G1733" s="606" t="s">
        <v>3959</v>
      </c>
      <c r="H1733" s="606" t="s">
        <v>3960</v>
      </c>
      <c r="I1733" s="606" t="s">
        <v>3961</v>
      </c>
      <c r="J1733" s="606" t="s">
        <v>3962</v>
      </c>
    </row>
    <row r="1734" spans="2:10" ht="21" customHeight="1">
      <c r="B1734" s="605" t="s">
        <v>4513</v>
      </c>
      <c r="C1734" s="606" t="s">
        <v>11</v>
      </c>
      <c r="D1734" s="605" t="s">
        <v>689</v>
      </c>
      <c r="E1734" s="606" t="s">
        <v>332</v>
      </c>
      <c r="F1734" s="606" t="s">
        <v>332</v>
      </c>
      <c r="G1734" s="606" t="s">
        <v>1151</v>
      </c>
      <c r="H1734" s="606" t="s">
        <v>1152</v>
      </c>
      <c r="I1734" s="606" t="s">
        <v>1087</v>
      </c>
      <c r="J1734" s="606" t="s">
        <v>1153</v>
      </c>
    </row>
    <row r="1735" spans="2:10" ht="21" customHeight="1">
      <c r="B1735" s="605" t="s">
        <v>4514</v>
      </c>
      <c r="C1735" s="606" t="s">
        <v>11</v>
      </c>
      <c r="D1735" s="605" t="s">
        <v>689</v>
      </c>
      <c r="E1735" s="606" t="s">
        <v>4515</v>
      </c>
      <c r="F1735" s="606" t="s">
        <v>4515</v>
      </c>
      <c r="G1735" s="606" t="s">
        <v>3959</v>
      </c>
      <c r="H1735" s="606" t="s">
        <v>3960</v>
      </c>
      <c r="I1735" s="606" t="s">
        <v>3961</v>
      </c>
      <c r="J1735" s="606" t="s">
        <v>3962</v>
      </c>
    </row>
    <row r="1736" spans="2:10" ht="21" customHeight="1">
      <c r="B1736" s="605" t="s">
        <v>4516</v>
      </c>
      <c r="C1736" s="606" t="s">
        <v>11</v>
      </c>
      <c r="D1736" s="605" t="s">
        <v>689</v>
      </c>
      <c r="E1736" s="606" t="s">
        <v>4517</v>
      </c>
      <c r="F1736" s="606" t="s">
        <v>4517</v>
      </c>
      <c r="G1736" s="606" t="s">
        <v>3959</v>
      </c>
      <c r="H1736" s="606" t="s">
        <v>3960</v>
      </c>
      <c r="I1736" s="606" t="s">
        <v>3961</v>
      </c>
      <c r="J1736" s="606" t="s">
        <v>3962</v>
      </c>
    </row>
    <row r="1737" spans="2:10" ht="21" customHeight="1">
      <c r="B1737" s="605" t="s">
        <v>4518</v>
      </c>
      <c r="C1737" s="606" t="s">
        <v>11</v>
      </c>
      <c r="D1737" s="605" t="s">
        <v>689</v>
      </c>
      <c r="E1737" s="606" t="s">
        <v>172</v>
      </c>
      <c r="F1737" s="606" t="s">
        <v>172</v>
      </c>
      <c r="G1737" s="606" t="s">
        <v>1085</v>
      </c>
      <c r="H1737" s="606" t="s">
        <v>3974</v>
      </c>
      <c r="I1737" s="606" t="s">
        <v>1087</v>
      </c>
      <c r="J1737" s="606" t="s">
        <v>1088</v>
      </c>
    </row>
    <row r="1738" spans="2:10" ht="21" customHeight="1">
      <c r="B1738" s="605" t="s">
        <v>4519</v>
      </c>
      <c r="C1738" s="606" t="s">
        <v>11</v>
      </c>
      <c r="D1738" s="605" t="s">
        <v>689</v>
      </c>
      <c r="E1738" s="606" t="s">
        <v>4520</v>
      </c>
      <c r="F1738" s="606" t="s">
        <v>4521</v>
      </c>
      <c r="G1738" s="606" t="s">
        <v>3959</v>
      </c>
      <c r="H1738" s="606" t="s">
        <v>3960</v>
      </c>
      <c r="I1738" s="606" t="s">
        <v>3961</v>
      </c>
      <c r="J1738" s="606" t="s">
        <v>3962</v>
      </c>
    </row>
    <row r="1739" spans="2:10" ht="21" customHeight="1">
      <c r="B1739" s="605" t="s">
        <v>4522</v>
      </c>
      <c r="C1739" s="606" t="s">
        <v>11</v>
      </c>
      <c r="D1739" s="605" t="s">
        <v>689</v>
      </c>
      <c r="E1739" s="606" t="s">
        <v>4523</v>
      </c>
      <c r="F1739" s="606" t="s">
        <v>4523</v>
      </c>
      <c r="G1739" s="606" t="s">
        <v>3959</v>
      </c>
      <c r="H1739" s="606" t="s">
        <v>3960</v>
      </c>
      <c r="I1739" s="606" t="s">
        <v>3961</v>
      </c>
      <c r="J1739" s="606" t="s">
        <v>3962</v>
      </c>
    </row>
    <row r="1740" spans="2:10" ht="21" customHeight="1">
      <c r="B1740" s="605" t="s">
        <v>4524</v>
      </c>
      <c r="C1740" s="606" t="s">
        <v>11</v>
      </c>
      <c r="D1740" s="605" t="s">
        <v>689</v>
      </c>
      <c r="E1740" s="606" t="s">
        <v>4525</v>
      </c>
      <c r="F1740" s="606" t="s">
        <v>4525</v>
      </c>
      <c r="G1740" s="606" t="s">
        <v>1085</v>
      </c>
      <c r="H1740" s="606" t="s">
        <v>3974</v>
      </c>
      <c r="I1740" s="606" t="s">
        <v>1087</v>
      </c>
      <c r="J1740" s="606" t="s">
        <v>1088</v>
      </c>
    </row>
    <row r="1741" spans="2:10" ht="21" customHeight="1">
      <c r="B1741" s="605" t="s">
        <v>4526</v>
      </c>
      <c r="C1741" s="606" t="s">
        <v>11</v>
      </c>
      <c r="D1741" s="605" t="s">
        <v>689</v>
      </c>
      <c r="E1741" s="606" t="s">
        <v>4527</v>
      </c>
      <c r="F1741" s="606" t="s">
        <v>4527</v>
      </c>
      <c r="G1741" s="606" t="s">
        <v>1151</v>
      </c>
      <c r="H1741" s="606" t="s">
        <v>1152</v>
      </c>
      <c r="I1741" s="606" t="s">
        <v>1087</v>
      </c>
      <c r="J1741" s="606" t="s">
        <v>1153</v>
      </c>
    </row>
    <row r="1742" spans="2:10" ht="21" customHeight="1">
      <c r="B1742" s="605" t="s">
        <v>4528</v>
      </c>
      <c r="C1742" s="606" t="s">
        <v>11</v>
      </c>
      <c r="D1742" s="605" t="s">
        <v>689</v>
      </c>
      <c r="E1742" s="606" t="s">
        <v>333</v>
      </c>
      <c r="F1742" s="606" t="s">
        <v>333</v>
      </c>
      <c r="G1742" s="606" t="s">
        <v>1085</v>
      </c>
      <c r="H1742" s="606" t="s">
        <v>3974</v>
      </c>
      <c r="I1742" s="606" t="s">
        <v>1087</v>
      </c>
      <c r="J1742" s="606" t="s">
        <v>1088</v>
      </c>
    </row>
    <row r="1743" spans="2:10" ht="21" customHeight="1">
      <c r="B1743" s="605" t="s">
        <v>4529</v>
      </c>
      <c r="C1743" s="606" t="s">
        <v>11</v>
      </c>
      <c r="D1743" s="605" t="s">
        <v>689</v>
      </c>
      <c r="E1743" s="606" t="s">
        <v>4530</v>
      </c>
      <c r="F1743" s="606" t="s">
        <v>4530</v>
      </c>
      <c r="G1743" s="606" t="s">
        <v>3959</v>
      </c>
      <c r="H1743" s="606" t="s">
        <v>3960</v>
      </c>
      <c r="I1743" s="606" t="s">
        <v>3961</v>
      </c>
      <c r="J1743" s="606" t="s">
        <v>3962</v>
      </c>
    </row>
    <row r="1744" spans="2:10" ht="21" customHeight="1">
      <c r="B1744" s="605" t="s">
        <v>4531</v>
      </c>
      <c r="C1744" s="606" t="s">
        <v>11</v>
      </c>
      <c r="D1744" s="605" t="s">
        <v>689</v>
      </c>
      <c r="E1744" s="606" t="s">
        <v>4532</v>
      </c>
      <c r="F1744" s="606" t="s">
        <v>4532</v>
      </c>
      <c r="G1744" s="606" t="s">
        <v>1151</v>
      </c>
      <c r="H1744" s="606" t="s">
        <v>1152</v>
      </c>
      <c r="I1744" s="606" t="s">
        <v>1087</v>
      </c>
      <c r="J1744" s="606" t="s">
        <v>1153</v>
      </c>
    </row>
    <row r="1745" spans="2:10" ht="21" customHeight="1">
      <c r="B1745" s="605" t="s">
        <v>4533</v>
      </c>
      <c r="C1745" s="606" t="s">
        <v>11</v>
      </c>
      <c r="D1745" s="605" t="s">
        <v>690</v>
      </c>
      <c r="E1745" s="606" t="s">
        <v>4534</v>
      </c>
      <c r="F1745" s="606" t="s">
        <v>4534</v>
      </c>
      <c r="G1745" s="606" t="s">
        <v>1151</v>
      </c>
      <c r="H1745" s="606" t="s">
        <v>1446</v>
      </c>
      <c r="I1745" s="606" t="s">
        <v>1087</v>
      </c>
      <c r="J1745" s="606" t="s">
        <v>1153</v>
      </c>
    </row>
    <row r="1746" spans="2:10" ht="21" customHeight="1">
      <c r="B1746" s="605" t="s">
        <v>4535</v>
      </c>
      <c r="C1746" s="606" t="s">
        <v>11</v>
      </c>
      <c r="D1746" s="605" t="s">
        <v>690</v>
      </c>
      <c r="E1746" s="606" t="s">
        <v>4536</v>
      </c>
      <c r="F1746" s="606" t="s">
        <v>4536</v>
      </c>
      <c r="G1746" s="606" t="s">
        <v>1151</v>
      </c>
      <c r="H1746" s="606" t="s">
        <v>1446</v>
      </c>
      <c r="I1746" s="606" t="s">
        <v>1087</v>
      </c>
      <c r="J1746" s="606" t="s">
        <v>1153</v>
      </c>
    </row>
    <row r="1747" spans="2:10" ht="21" customHeight="1">
      <c r="B1747" s="605" t="s">
        <v>4537</v>
      </c>
      <c r="C1747" s="606" t="s">
        <v>11</v>
      </c>
      <c r="D1747" s="605" t="s">
        <v>690</v>
      </c>
      <c r="E1747" s="606" t="s">
        <v>4538</v>
      </c>
      <c r="F1747" s="606" t="s">
        <v>4539</v>
      </c>
      <c r="G1747" s="606" t="s">
        <v>3959</v>
      </c>
      <c r="H1747" s="606" t="s">
        <v>4540</v>
      </c>
      <c r="I1747" s="606" t="s">
        <v>3961</v>
      </c>
      <c r="J1747" s="606" t="s">
        <v>3962</v>
      </c>
    </row>
    <row r="1748" spans="2:10" ht="21" customHeight="1">
      <c r="B1748" s="605" t="s">
        <v>4541</v>
      </c>
      <c r="C1748" s="606" t="s">
        <v>11</v>
      </c>
      <c r="D1748" s="605" t="s">
        <v>690</v>
      </c>
      <c r="E1748" s="606" t="s">
        <v>141</v>
      </c>
      <c r="F1748" s="606" t="s">
        <v>141</v>
      </c>
      <c r="G1748" s="606" t="s">
        <v>1085</v>
      </c>
      <c r="H1748" s="606" t="s">
        <v>4542</v>
      </c>
      <c r="I1748" s="606" t="s">
        <v>1087</v>
      </c>
      <c r="J1748" s="606" t="s">
        <v>1088</v>
      </c>
    </row>
    <row r="1749" spans="2:10" ht="21" customHeight="1">
      <c r="B1749" s="605" t="s">
        <v>4543</v>
      </c>
      <c r="C1749" s="606" t="s">
        <v>11</v>
      </c>
      <c r="D1749" s="605" t="s">
        <v>690</v>
      </c>
      <c r="E1749" s="606" t="s">
        <v>46</v>
      </c>
      <c r="F1749" s="606" t="s">
        <v>46</v>
      </c>
      <c r="G1749" s="606" t="s">
        <v>1085</v>
      </c>
      <c r="H1749" s="606" t="s">
        <v>4542</v>
      </c>
      <c r="I1749" s="606" t="s">
        <v>1087</v>
      </c>
      <c r="J1749" s="606" t="s">
        <v>1088</v>
      </c>
    </row>
    <row r="1750" spans="2:10" ht="21" customHeight="1">
      <c r="B1750" s="605" t="s">
        <v>4544</v>
      </c>
      <c r="C1750" s="606" t="s">
        <v>11</v>
      </c>
      <c r="D1750" s="605" t="s">
        <v>690</v>
      </c>
      <c r="E1750" s="606" t="s">
        <v>3825</v>
      </c>
      <c r="F1750" s="606" t="s">
        <v>40</v>
      </c>
      <c r="G1750" s="606" t="s">
        <v>1085</v>
      </c>
      <c r="H1750" s="606" t="s">
        <v>4542</v>
      </c>
      <c r="I1750" s="606" t="s">
        <v>1087</v>
      </c>
      <c r="J1750" s="606" t="s">
        <v>1088</v>
      </c>
    </row>
    <row r="1751" spans="2:10" ht="21" customHeight="1">
      <c r="B1751" s="605" t="s">
        <v>4545</v>
      </c>
      <c r="C1751" s="606" t="s">
        <v>11</v>
      </c>
      <c r="D1751" s="605" t="s">
        <v>690</v>
      </c>
      <c r="E1751" s="606" t="s">
        <v>150</v>
      </c>
      <c r="F1751" s="606" t="s">
        <v>150</v>
      </c>
      <c r="G1751" s="606" t="s">
        <v>1085</v>
      </c>
      <c r="H1751" s="606" t="s">
        <v>4542</v>
      </c>
      <c r="I1751" s="606" t="s">
        <v>1087</v>
      </c>
      <c r="J1751" s="606" t="s">
        <v>1088</v>
      </c>
    </row>
    <row r="1752" spans="2:10" ht="21" customHeight="1">
      <c r="B1752" s="605" t="s">
        <v>4546</v>
      </c>
      <c r="C1752" s="606" t="s">
        <v>11</v>
      </c>
      <c r="D1752" s="605" t="s">
        <v>690</v>
      </c>
      <c r="E1752" s="606" t="s">
        <v>158</v>
      </c>
      <c r="F1752" s="606" t="s">
        <v>158</v>
      </c>
      <c r="G1752" s="606" t="s">
        <v>1085</v>
      </c>
      <c r="H1752" s="606" t="s">
        <v>4542</v>
      </c>
      <c r="I1752" s="606" t="s">
        <v>1087</v>
      </c>
      <c r="J1752" s="606" t="s">
        <v>1088</v>
      </c>
    </row>
    <row r="1753" spans="2:10" ht="21" customHeight="1">
      <c r="B1753" s="605" t="s">
        <v>4547</v>
      </c>
      <c r="C1753" s="606" t="s">
        <v>11</v>
      </c>
      <c r="D1753" s="605" t="s">
        <v>690</v>
      </c>
      <c r="E1753" s="606" t="s">
        <v>169</v>
      </c>
      <c r="F1753" s="606" t="s">
        <v>169</v>
      </c>
      <c r="G1753" s="606" t="s">
        <v>3959</v>
      </c>
      <c r="H1753" s="606" t="s">
        <v>4540</v>
      </c>
      <c r="I1753" s="606" t="s">
        <v>3961</v>
      </c>
      <c r="J1753" s="606" t="s">
        <v>3962</v>
      </c>
    </row>
    <row r="1754" spans="2:10" ht="21" customHeight="1">
      <c r="B1754" s="605" t="s">
        <v>4548</v>
      </c>
      <c r="C1754" s="606" t="s">
        <v>11</v>
      </c>
      <c r="D1754" s="605" t="s">
        <v>690</v>
      </c>
      <c r="E1754" s="606" t="s">
        <v>4549</v>
      </c>
      <c r="F1754" s="606" t="s">
        <v>4550</v>
      </c>
      <c r="G1754" s="606" t="s">
        <v>1085</v>
      </c>
      <c r="H1754" s="606" t="s">
        <v>4542</v>
      </c>
      <c r="I1754" s="606" t="s">
        <v>1087</v>
      </c>
      <c r="J1754" s="606" t="s">
        <v>1088</v>
      </c>
    </row>
    <row r="1755" spans="2:10" ht="21" customHeight="1">
      <c r="B1755" s="605" t="s">
        <v>4551</v>
      </c>
      <c r="C1755" s="606" t="s">
        <v>11</v>
      </c>
      <c r="D1755" s="605" t="s">
        <v>690</v>
      </c>
      <c r="E1755" s="606" t="s">
        <v>91</v>
      </c>
      <c r="F1755" s="606" t="s">
        <v>91</v>
      </c>
      <c r="G1755" s="606" t="s">
        <v>1085</v>
      </c>
      <c r="H1755" s="606" t="s">
        <v>4542</v>
      </c>
      <c r="I1755" s="606" t="s">
        <v>1087</v>
      </c>
      <c r="J1755" s="606" t="s">
        <v>1088</v>
      </c>
    </row>
    <row r="1756" spans="2:10" ht="21" customHeight="1">
      <c r="B1756" s="605" t="s">
        <v>4552</v>
      </c>
      <c r="C1756" s="606" t="s">
        <v>11</v>
      </c>
      <c r="D1756" s="605" t="s">
        <v>690</v>
      </c>
      <c r="E1756" s="606" t="s">
        <v>4553</v>
      </c>
      <c r="F1756" s="606" t="s">
        <v>130</v>
      </c>
      <c r="G1756" s="606" t="s">
        <v>1085</v>
      </c>
      <c r="H1756" s="606" t="s">
        <v>4542</v>
      </c>
      <c r="I1756" s="606" t="s">
        <v>1087</v>
      </c>
      <c r="J1756" s="606" t="s">
        <v>1088</v>
      </c>
    </row>
    <row r="1757" spans="2:10" ht="21" customHeight="1">
      <c r="B1757" s="605" t="s">
        <v>4554</v>
      </c>
      <c r="C1757" s="606" t="s">
        <v>11</v>
      </c>
      <c r="D1757" s="605" t="s">
        <v>690</v>
      </c>
      <c r="E1757" s="606" t="s">
        <v>4555</v>
      </c>
      <c r="F1757" s="606" t="s">
        <v>4555</v>
      </c>
      <c r="G1757" s="606" t="s">
        <v>1151</v>
      </c>
      <c r="H1757" s="606" t="s">
        <v>1446</v>
      </c>
      <c r="I1757" s="606" t="s">
        <v>1087</v>
      </c>
      <c r="J1757" s="606" t="s">
        <v>1153</v>
      </c>
    </row>
    <row r="1758" spans="2:10" ht="21" customHeight="1">
      <c r="B1758" s="605" t="s">
        <v>4556</v>
      </c>
      <c r="C1758" s="606" t="s">
        <v>11</v>
      </c>
      <c r="D1758" s="605" t="s">
        <v>690</v>
      </c>
      <c r="E1758" s="606" t="s">
        <v>4557</v>
      </c>
      <c r="F1758" s="606" t="s">
        <v>4557</v>
      </c>
      <c r="G1758" s="606" t="s">
        <v>1151</v>
      </c>
      <c r="H1758" s="606" t="s">
        <v>1446</v>
      </c>
      <c r="I1758" s="606" t="s">
        <v>1087</v>
      </c>
      <c r="J1758" s="606" t="s">
        <v>1153</v>
      </c>
    </row>
    <row r="1759" spans="2:10" ht="21" customHeight="1">
      <c r="B1759" s="605" t="s">
        <v>4558</v>
      </c>
      <c r="C1759" s="606" t="s">
        <v>11</v>
      </c>
      <c r="D1759" s="605" t="s">
        <v>690</v>
      </c>
      <c r="E1759" s="606" t="s">
        <v>4559</v>
      </c>
      <c r="F1759" s="606" t="s">
        <v>4559</v>
      </c>
      <c r="G1759" s="606" t="s">
        <v>3959</v>
      </c>
      <c r="H1759" s="606" t="s">
        <v>4540</v>
      </c>
      <c r="I1759" s="606" t="s">
        <v>3961</v>
      </c>
      <c r="J1759" s="606" t="s">
        <v>3962</v>
      </c>
    </row>
    <row r="1760" spans="2:10" ht="21" customHeight="1">
      <c r="B1760" s="605" t="s">
        <v>4560</v>
      </c>
      <c r="C1760" s="606" t="s">
        <v>11</v>
      </c>
      <c r="D1760" s="605" t="s">
        <v>690</v>
      </c>
      <c r="E1760" s="606" t="s">
        <v>4561</v>
      </c>
      <c r="F1760" s="606" t="s">
        <v>4561</v>
      </c>
      <c r="G1760" s="606" t="s">
        <v>1151</v>
      </c>
      <c r="H1760" s="606" t="s">
        <v>1446</v>
      </c>
      <c r="I1760" s="606" t="s">
        <v>1087</v>
      </c>
      <c r="J1760" s="606" t="s">
        <v>1153</v>
      </c>
    </row>
    <row r="1761" spans="2:10" ht="21" customHeight="1">
      <c r="B1761" s="605" t="s">
        <v>4562</v>
      </c>
      <c r="C1761" s="606" t="s">
        <v>11</v>
      </c>
      <c r="D1761" s="605" t="s">
        <v>690</v>
      </c>
      <c r="E1761" s="606" t="s">
        <v>4563</v>
      </c>
      <c r="F1761" s="606" t="s">
        <v>4563</v>
      </c>
      <c r="G1761" s="606" t="s">
        <v>1151</v>
      </c>
      <c r="H1761" s="606" t="s">
        <v>1446</v>
      </c>
      <c r="I1761" s="606" t="s">
        <v>1087</v>
      </c>
      <c r="J1761" s="606" t="s">
        <v>1153</v>
      </c>
    </row>
    <row r="1762" spans="2:10" ht="21" customHeight="1">
      <c r="B1762" s="605" t="s">
        <v>4564</v>
      </c>
      <c r="C1762" s="606" t="s">
        <v>11</v>
      </c>
      <c r="D1762" s="605" t="s">
        <v>690</v>
      </c>
      <c r="E1762" s="606" t="s">
        <v>4565</v>
      </c>
      <c r="F1762" s="606" t="s">
        <v>4565</v>
      </c>
      <c r="G1762" s="606" t="s">
        <v>1151</v>
      </c>
      <c r="H1762" s="606" t="s">
        <v>1446</v>
      </c>
      <c r="I1762" s="606" t="s">
        <v>1087</v>
      </c>
      <c r="J1762" s="606" t="s">
        <v>1153</v>
      </c>
    </row>
    <row r="1763" spans="2:10" ht="21" customHeight="1">
      <c r="B1763" s="605" t="s">
        <v>4566</v>
      </c>
      <c r="C1763" s="606" t="s">
        <v>11</v>
      </c>
      <c r="D1763" s="605" t="s">
        <v>690</v>
      </c>
      <c r="E1763" s="606" t="s">
        <v>4567</v>
      </c>
      <c r="F1763" s="606" t="s">
        <v>125</v>
      </c>
      <c r="G1763" s="606" t="s">
        <v>3959</v>
      </c>
      <c r="H1763" s="606" t="s">
        <v>4540</v>
      </c>
      <c r="I1763" s="606" t="s">
        <v>3961</v>
      </c>
      <c r="J1763" s="606" t="s">
        <v>3962</v>
      </c>
    </row>
    <row r="1764" spans="2:10" ht="21" customHeight="1">
      <c r="B1764" s="605" t="s">
        <v>4568</v>
      </c>
      <c r="C1764" s="606" t="s">
        <v>11</v>
      </c>
      <c r="D1764" s="605" t="s">
        <v>690</v>
      </c>
      <c r="E1764" s="606" t="s">
        <v>4569</v>
      </c>
      <c r="F1764" s="606" t="s">
        <v>71</v>
      </c>
      <c r="G1764" s="606" t="s">
        <v>3959</v>
      </c>
      <c r="H1764" s="606" t="s">
        <v>4540</v>
      </c>
      <c r="I1764" s="606" t="s">
        <v>3961</v>
      </c>
      <c r="J1764" s="606" t="s">
        <v>3962</v>
      </c>
    </row>
    <row r="1765" spans="2:10" ht="21" customHeight="1">
      <c r="B1765" s="605" t="s">
        <v>4570</v>
      </c>
      <c r="C1765" s="606" t="s">
        <v>11</v>
      </c>
      <c r="D1765" s="605" t="s">
        <v>690</v>
      </c>
      <c r="E1765" s="606" t="s">
        <v>4571</v>
      </c>
      <c r="F1765" s="606" t="s">
        <v>4572</v>
      </c>
      <c r="G1765" s="606" t="s">
        <v>1085</v>
      </c>
      <c r="H1765" s="606" t="s">
        <v>4542</v>
      </c>
      <c r="I1765" s="606" t="s">
        <v>1087</v>
      </c>
      <c r="J1765" s="606" t="s">
        <v>1088</v>
      </c>
    </row>
    <row r="1766" spans="2:10" ht="21" customHeight="1">
      <c r="B1766" s="605" t="s">
        <v>4573</v>
      </c>
      <c r="C1766" s="606" t="s">
        <v>11</v>
      </c>
      <c r="D1766" s="605" t="s">
        <v>690</v>
      </c>
      <c r="E1766" s="606" t="s">
        <v>4574</v>
      </c>
      <c r="F1766" s="606" t="s">
        <v>148</v>
      </c>
      <c r="G1766" s="606" t="s">
        <v>3959</v>
      </c>
      <c r="H1766" s="606" t="s">
        <v>4540</v>
      </c>
      <c r="I1766" s="606" t="s">
        <v>3961</v>
      </c>
      <c r="J1766" s="606" t="s">
        <v>3962</v>
      </c>
    </row>
    <row r="1767" spans="2:10" ht="21" customHeight="1">
      <c r="B1767" s="605" t="s">
        <v>4575</v>
      </c>
      <c r="C1767" s="606" t="s">
        <v>11</v>
      </c>
      <c r="D1767" s="605" t="s">
        <v>690</v>
      </c>
      <c r="E1767" s="606" t="s">
        <v>4576</v>
      </c>
      <c r="F1767" s="606" t="s">
        <v>4577</v>
      </c>
      <c r="G1767" s="606" t="s">
        <v>1085</v>
      </c>
      <c r="H1767" s="606" t="s">
        <v>4542</v>
      </c>
      <c r="I1767" s="606" t="s">
        <v>1087</v>
      </c>
      <c r="J1767" s="606" t="s">
        <v>1088</v>
      </c>
    </row>
    <row r="1768" spans="2:10" ht="21" customHeight="1">
      <c r="B1768" s="605" t="s">
        <v>4578</v>
      </c>
      <c r="C1768" s="606" t="s">
        <v>11</v>
      </c>
      <c r="D1768" s="605" t="s">
        <v>690</v>
      </c>
      <c r="E1768" s="606" t="s">
        <v>4579</v>
      </c>
      <c r="F1768" s="606" t="s">
        <v>79</v>
      </c>
      <c r="G1768" s="606" t="s">
        <v>1085</v>
      </c>
      <c r="H1768" s="606" t="s">
        <v>4542</v>
      </c>
      <c r="I1768" s="606" t="s">
        <v>1087</v>
      </c>
      <c r="J1768" s="606" t="s">
        <v>1088</v>
      </c>
    </row>
    <row r="1769" spans="2:10" ht="21" customHeight="1">
      <c r="B1769" s="605" t="s">
        <v>4580</v>
      </c>
      <c r="C1769" s="606" t="s">
        <v>11</v>
      </c>
      <c r="D1769" s="605" t="s">
        <v>690</v>
      </c>
      <c r="E1769" s="606" t="s">
        <v>4581</v>
      </c>
      <c r="F1769" s="606" t="s">
        <v>4582</v>
      </c>
      <c r="G1769" s="606" t="s">
        <v>1085</v>
      </c>
      <c r="H1769" s="606" t="s">
        <v>4542</v>
      </c>
      <c r="I1769" s="606" t="s">
        <v>1087</v>
      </c>
      <c r="J1769" s="606" t="s">
        <v>1088</v>
      </c>
    </row>
    <row r="1770" spans="2:10" ht="21" customHeight="1">
      <c r="B1770" s="605" t="s">
        <v>4583</v>
      </c>
      <c r="C1770" s="606" t="s">
        <v>11</v>
      </c>
      <c r="D1770" s="605" t="s">
        <v>690</v>
      </c>
      <c r="E1770" s="606" t="s">
        <v>4584</v>
      </c>
      <c r="F1770" s="606" t="s">
        <v>4585</v>
      </c>
      <c r="G1770" s="606" t="s">
        <v>1085</v>
      </c>
      <c r="H1770" s="606" t="s">
        <v>4542</v>
      </c>
      <c r="I1770" s="606" t="s">
        <v>1087</v>
      </c>
      <c r="J1770" s="606" t="s">
        <v>1088</v>
      </c>
    </row>
    <row r="1771" spans="2:10" ht="21" customHeight="1">
      <c r="B1771" s="605" t="s">
        <v>4586</v>
      </c>
      <c r="C1771" s="606" t="s">
        <v>11</v>
      </c>
      <c r="D1771" s="605" t="s">
        <v>690</v>
      </c>
      <c r="E1771" s="606" t="s">
        <v>4587</v>
      </c>
      <c r="F1771" s="606" t="s">
        <v>85</v>
      </c>
      <c r="G1771" s="606" t="s">
        <v>3959</v>
      </c>
      <c r="H1771" s="606" t="s">
        <v>4540</v>
      </c>
      <c r="I1771" s="606" t="s">
        <v>3961</v>
      </c>
      <c r="J1771" s="606" t="s">
        <v>3962</v>
      </c>
    </row>
    <row r="1772" spans="2:10" ht="21" customHeight="1">
      <c r="B1772" s="605" t="s">
        <v>4588</v>
      </c>
      <c r="C1772" s="606" t="s">
        <v>11</v>
      </c>
      <c r="D1772" s="605" t="s">
        <v>690</v>
      </c>
      <c r="E1772" s="606" t="s">
        <v>3866</v>
      </c>
      <c r="F1772" s="606" t="s">
        <v>59</v>
      </c>
      <c r="G1772" s="606" t="s">
        <v>4589</v>
      </c>
      <c r="H1772" s="606" t="s">
        <v>4590</v>
      </c>
      <c r="I1772" s="606" t="s">
        <v>1087</v>
      </c>
      <c r="J1772" s="606" t="s">
        <v>1088</v>
      </c>
    </row>
    <row r="1773" spans="2:10" ht="21" customHeight="1">
      <c r="B1773" s="605" t="s">
        <v>4591</v>
      </c>
      <c r="C1773" s="606" t="s">
        <v>11</v>
      </c>
      <c r="D1773" s="605" t="s">
        <v>690</v>
      </c>
      <c r="E1773" s="606" t="s">
        <v>4592</v>
      </c>
      <c r="F1773" s="606" t="s">
        <v>111</v>
      </c>
      <c r="G1773" s="606" t="s">
        <v>3959</v>
      </c>
      <c r="H1773" s="606" t="s">
        <v>4540</v>
      </c>
      <c r="I1773" s="606" t="s">
        <v>3961</v>
      </c>
      <c r="J1773" s="606" t="s">
        <v>3962</v>
      </c>
    </row>
    <row r="1774" spans="2:10" ht="21" customHeight="1">
      <c r="B1774" s="605" t="s">
        <v>4593</v>
      </c>
      <c r="C1774" s="606" t="s">
        <v>11</v>
      </c>
      <c r="D1774" s="605" t="s">
        <v>690</v>
      </c>
      <c r="E1774" s="606" t="s">
        <v>4594</v>
      </c>
      <c r="F1774" s="606" t="s">
        <v>4594</v>
      </c>
      <c r="G1774" s="606" t="s">
        <v>3959</v>
      </c>
      <c r="H1774" s="606" t="s">
        <v>4540</v>
      </c>
      <c r="I1774" s="606" t="s">
        <v>3961</v>
      </c>
      <c r="J1774" s="606" t="s">
        <v>3962</v>
      </c>
    </row>
    <row r="1775" spans="2:10" ht="21" customHeight="1">
      <c r="B1775" s="605" t="s">
        <v>4595</v>
      </c>
      <c r="C1775" s="606" t="s">
        <v>11</v>
      </c>
      <c r="D1775" s="605" t="s">
        <v>690</v>
      </c>
      <c r="E1775" s="606" t="s">
        <v>4596</v>
      </c>
      <c r="F1775" s="606" t="s">
        <v>4597</v>
      </c>
      <c r="G1775" s="606" t="s">
        <v>1085</v>
      </c>
      <c r="H1775" s="606" t="s">
        <v>4542</v>
      </c>
      <c r="I1775" s="606" t="s">
        <v>1087</v>
      </c>
      <c r="J1775" s="606" t="s">
        <v>1088</v>
      </c>
    </row>
    <row r="1776" spans="2:10" ht="21" customHeight="1">
      <c r="B1776" s="605" t="s">
        <v>4598</v>
      </c>
      <c r="C1776" s="606" t="s">
        <v>11</v>
      </c>
      <c r="D1776" s="605" t="s">
        <v>690</v>
      </c>
      <c r="E1776" s="606" t="s">
        <v>4599</v>
      </c>
      <c r="F1776" s="606" t="s">
        <v>4599</v>
      </c>
      <c r="G1776" s="606" t="s">
        <v>3959</v>
      </c>
      <c r="H1776" s="606" t="s">
        <v>4540</v>
      </c>
      <c r="I1776" s="606" t="s">
        <v>3961</v>
      </c>
      <c r="J1776" s="606" t="s">
        <v>3962</v>
      </c>
    </row>
    <row r="1777" spans="2:10" ht="21" customHeight="1">
      <c r="B1777" s="605" t="s">
        <v>4600</v>
      </c>
      <c r="C1777" s="606" t="s">
        <v>11</v>
      </c>
      <c r="D1777" s="605" t="s">
        <v>690</v>
      </c>
      <c r="E1777" s="606" t="s">
        <v>4601</v>
      </c>
      <c r="F1777" s="606" t="s">
        <v>4602</v>
      </c>
      <c r="G1777" s="606" t="s">
        <v>3959</v>
      </c>
      <c r="H1777" s="606" t="s">
        <v>4540</v>
      </c>
      <c r="I1777" s="606" t="s">
        <v>3961</v>
      </c>
      <c r="J1777" s="606" t="s">
        <v>3962</v>
      </c>
    </row>
    <row r="1778" spans="2:10" ht="21" customHeight="1">
      <c r="B1778" s="605" t="s">
        <v>4603</v>
      </c>
      <c r="C1778" s="606" t="s">
        <v>11</v>
      </c>
      <c r="D1778" s="605" t="s">
        <v>690</v>
      </c>
      <c r="E1778" s="606" t="s">
        <v>147</v>
      </c>
      <c r="F1778" s="606" t="s">
        <v>147</v>
      </c>
      <c r="G1778" s="606" t="s">
        <v>1085</v>
      </c>
      <c r="H1778" s="606" t="s">
        <v>4542</v>
      </c>
      <c r="I1778" s="606" t="s">
        <v>1087</v>
      </c>
      <c r="J1778" s="606" t="s">
        <v>1088</v>
      </c>
    </row>
    <row r="1779" spans="2:10" ht="21" customHeight="1">
      <c r="B1779" s="605" t="s">
        <v>4604</v>
      </c>
      <c r="C1779" s="606" t="s">
        <v>11</v>
      </c>
      <c r="D1779" s="605" t="s">
        <v>690</v>
      </c>
      <c r="E1779" s="606" t="s">
        <v>208</v>
      </c>
      <c r="F1779" s="606" t="s">
        <v>208</v>
      </c>
      <c r="G1779" s="606" t="s">
        <v>1085</v>
      </c>
      <c r="H1779" s="606" t="s">
        <v>4542</v>
      </c>
      <c r="I1779" s="606" t="s">
        <v>1087</v>
      </c>
      <c r="J1779" s="606" t="s">
        <v>1088</v>
      </c>
    </row>
    <row r="1780" spans="2:10" ht="21" customHeight="1">
      <c r="B1780" s="605" t="s">
        <v>4605</v>
      </c>
      <c r="C1780" s="606" t="s">
        <v>11</v>
      </c>
      <c r="D1780" s="605" t="s">
        <v>690</v>
      </c>
      <c r="E1780" s="606" t="s">
        <v>181</v>
      </c>
      <c r="F1780" s="606" t="s">
        <v>181</v>
      </c>
      <c r="G1780" s="606" t="s">
        <v>1085</v>
      </c>
      <c r="H1780" s="606" t="s">
        <v>4542</v>
      </c>
      <c r="I1780" s="606" t="s">
        <v>1087</v>
      </c>
      <c r="J1780" s="606" t="s">
        <v>1088</v>
      </c>
    </row>
    <row r="1781" spans="2:10" ht="21" customHeight="1">
      <c r="B1781" s="605" t="s">
        <v>4606</v>
      </c>
      <c r="C1781" s="606" t="s">
        <v>11</v>
      </c>
      <c r="D1781" s="605" t="s">
        <v>690</v>
      </c>
      <c r="E1781" s="606" t="s">
        <v>4607</v>
      </c>
      <c r="F1781" s="606" t="s">
        <v>4607</v>
      </c>
      <c r="G1781" s="606" t="s">
        <v>1085</v>
      </c>
      <c r="H1781" s="606" t="s">
        <v>4542</v>
      </c>
      <c r="I1781" s="606" t="s">
        <v>1087</v>
      </c>
      <c r="J1781" s="606" t="s">
        <v>1088</v>
      </c>
    </row>
    <row r="1782" spans="2:10" ht="21" customHeight="1">
      <c r="B1782" s="605" t="s">
        <v>4608</v>
      </c>
      <c r="C1782" s="606" t="s">
        <v>11</v>
      </c>
      <c r="D1782" s="605" t="s">
        <v>690</v>
      </c>
      <c r="E1782" s="606" t="s">
        <v>124</v>
      </c>
      <c r="F1782" s="606" t="s">
        <v>124</v>
      </c>
      <c r="G1782" s="606" t="s">
        <v>1085</v>
      </c>
      <c r="H1782" s="606" t="s">
        <v>4542</v>
      </c>
      <c r="I1782" s="606" t="s">
        <v>1087</v>
      </c>
      <c r="J1782" s="606" t="s">
        <v>1088</v>
      </c>
    </row>
    <row r="1783" spans="2:10" ht="21" customHeight="1">
      <c r="B1783" s="605" t="s">
        <v>4609</v>
      </c>
      <c r="C1783" s="606" t="s">
        <v>11</v>
      </c>
      <c r="D1783" s="605" t="s">
        <v>690</v>
      </c>
      <c r="E1783" s="606" t="s">
        <v>140</v>
      </c>
      <c r="F1783" s="606" t="s">
        <v>140</v>
      </c>
      <c r="G1783" s="606" t="s">
        <v>1085</v>
      </c>
      <c r="H1783" s="606" t="s">
        <v>4542</v>
      </c>
      <c r="I1783" s="606" t="s">
        <v>1087</v>
      </c>
      <c r="J1783" s="606" t="s">
        <v>1088</v>
      </c>
    </row>
    <row r="1784" spans="2:10" ht="21" customHeight="1">
      <c r="B1784" s="605" t="s">
        <v>4610</v>
      </c>
      <c r="C1784" s="606" t="s">
        <v>11</v>
      </c>
      <c r="D1784" s="605" t="s">
        <v>690</v>
      </c>
      <c r="E1784" s="606" t="s">
        <v>4611</v>
      </c>
      <c r="F1784" s="606" t="s">
        <v>4611</v>
      </c>
      <c r="G1784" s="606" t="s">
        <v>1085</v>
      </c>
      <c r="H1784" s="606" t="s">
        <v>4542</v>
      </c>
      <c r="I1784" s="606" t="s">
        <v>1087</v>
      </c>
      <c r="J1784" s="606" t="s">
        <v>1088</v>
      </c>
    </row>
    <row r="1785" spans="2:10" ht="21" customHeight="1">
      <c r="B1785" s="605" t="s">
        <v>4612</v>
      </c>
      <c r="C1785" s="606" t="s">
        <v>11</v>
      </c>
      <c r="D1785" s="605" t="s">
        <v>690</v>
      </c>
      <c r="E1785" s="606" t="s">
        <v>137</v>
      </c>
      <c r="F1785" s="606" t="s">
        <v>137</v>
      </c>
      <c r="G1785" s="606" t="s">
        <v>1085</v>
      </c>
      <c r="H1785" s="606" t="s">
        <v>4542</v>
      </c>
      <c r="I1785" s="606" t="s">
        <v>1087</v>
      </c>
      <c r="J1785" s="606" t="s">
        <v>1088</v>
      </c>
    </row>
    <row r="1786" spans="2:10" ht="21" customHeight="1">
      <c r="B1786" s="605" t="s">
        <v>4613</v>
      </c>
      <c r="C1786" s="606" t="s">
        <v>11</v>
      </c>
      <c r="D1786" s="605" t="s">
        <v>690</v>
      </c>
      <c r="E1786" s="606" t="s">
        <v>175</v>
      </c>
      <c r="F1786" s="606" t="s">
        <v>175</v>
      </c>
      <c r="G1786" s="606" t="s">
        <v>1085</v>
      </c>
      <c r="H1786" s="606" t="s">
        <v>4542</v>
      </c>
      <c r="I1786" s="606" t="s">
        <v>1087</v>
      </c>
      <c r="J1786" s="606" t="s">
        <v>1088</v>
      </c>
    </row>
    <row r="1787" spans="2:10" ht="21" customHeight="1">
      <c r="B1787" s="605" t="s">
        <v>4614</v>
      </c>
      <c r="C1787" s="606" t="s">
        <v>11</v>
      </c>
      <c r="D1787" s="605" t="s">
        <v>690</v>
      </c>
      <c r="E1787" s="606" t="s">
        <v>4615</v>
      </c>
      <c r="F1787" s="606" t="s">
        <v>4616</v>
      </c>
      <c r="G1787" s="606" t="s">
        <v>1085</v>
      </c>
      <c r="H1787" s="606" t="s">
        <v>4542</v>
      </c>
      <c r="I1787" s="606" t="s">
        <v>1087</v>
      </c>
      <c r="J1787" s="606" t="s">
        <v>1088</v>
      </c>
    </row>
    <row r="1788" spans="2:10" ht="21" customHeight="1">
      <c r="B1788" s="605" t="s">
        <v>4617</v>
      </c>
      <c r="C1788" s="606" t="s">
        <v>11</v>
      </c>
      <c r="D1788" s="605" t="s">
        <v>690</v>
      </c>
      <c r="E1788" s="606" t="s">
        <v>4618</v>
      </c>
      <c r="F1788" s="606" t="s">
        <v>4619</v>
      </c>
      <c r="G1788" s="606" t="s">
        <v>3959</v>
      </c>
      <c r="H1788" s="606" t="s">
        <v>4540</v>
      </c>
      <c r="I1788" s="606" t="s">
        <v>3961</v>
      </c>
      <c r="J1788" s="606" t="s">
        <v>3962</v>
      </c>
    </row>
    <row r="1789" spans="2:10" ht="21" customHeight="1">
      <c r="B1789" s="605" t="s">
        <v>4620</v>
      </c>
      <c r="C1789" s="606" t="s">
        <v>11</v>
      </c>
      <c r="D1789" s="605" t="s">
        <v>690</v>
      </c>
      <c r="E1789" s="606" t="s">
        <v>4621</v>
      </c>
      <c r="F1789" s="606" t="s">
        <v>4621</v>
      </c>
      <c r="G1789" s="606" t="s">
        <v>1151</v>
      </c>
      <c r="H1789" s="606" t="s">
        <v>1446</v>
      </c>
      <c r="I1789" s="606" t="s">
        <v>1087</v>
      </c>
      <c r="J1789" s="606" t="s">
        <v>1153</v>
      </c>
    </row>
    <row r="1790" spans="2:10" ht="21" customHeight="1">
      <c r="B1790" s="605" t="s">
        <v>4622</v>
      </c>
      <c r="C1790" s="606" t="s">
        <v>11</v>
      </c>
      <c r="D1790" s="605" t="s">
        <v>690</v>
      </c>
      <c r="E1790" s="606" t="s">
        <v>4623</v>
      </c>
      <c r="F1790" s="606" t="s">
        <v>4623</v>
      </c>
      <c r="G1790" s="606" t="s">
        <v>3959</v>
      </c>
      <c r="H1790" s="606" t="s">
        <v>4540</v>
      </c>
      <c r="I1790" s="606" t="s">
        <v>3961</v>
      </c>
      <c r="J1790" s="606" t="s">
        <v>3962</v>
      </c>
    </row>
    <row r="1791" spans="2:10" ht="21" customHeight="1">
      <c r="B1791" s="605" t="s">
        <v>4624</v>
      </c>
      <c r="C1791" s="606" t="s">
        <v>11</v>
      </c>
      <c r="D1791" s="605" t="s">
        <v>690</v>
      </c>
      <c r="E1791" s="606" t="s">
        <v>4625</v>
      </c>
      <c r="F1791" s="606" t="s">
        <v>4626</v>
      </c>
      <c r="G1791" s="606" t="s">
        <v>3959</v>
      </c>
      <c r="H1791" s="606" t="s">
        <v>4540</v>
      </c>
      <c r="I1791" s="606" t="s">
        <v>3961</v>
      </c>
      <c r="J1791" s="606" t="s">
        <v>3962</v>
      </c>
    </row>
    <row r="1792" spans="2:10" ht="21" customHeight="1">
      <c r="B1792" s="605" t="s">
        <v>4627</v>
      </c>
      <c r="C1792" s="606" t="s">
        <v>11</v>
      </c>
      <c r="D1792" s="605" t="s">
        <v>690</v>
      </c>
      <c r="E1792" s="606" t="s">
        <v>3842</v>
      </c>
      <c r="F1792" s="606" t="s">
        <v>3842</v>
      </c>
      <c r="G1792" s="606" t="s">
        <v>1151</v>
      </c>
      <c r="H1792" s="606" t="s">
        <v>1446</v>
      </c>
      <c r="I1792" s="606" t="s">
        <v>1087</v>
      </c>
      <c r="J1792" s="606" t="s">
        <v>1153</v>
      </c>
    </row>
    <row r="1793" spans="2:10" ht="21" customHeight="1">
      <c r="B1793" s="605" t="s">
        <v>4628</v>
      </c>
      <c r="C1793" s="606" t="s">
        <v>11</v>
      </c>
      <c r="D1793" s="605" t="s">
        <v>690</v>
      </c>
      <c r="E1793" s="606" t="s">
        <v>4629</v>
      </c>
      <c r="F1793" s="606" t="s">
        <v>4629</v>
      </c>
      <c r="G1793" s="606" t="s">
        <v>1151</v>
      </c>
      <c r="H1793" s="606" t="s">
        <v>1446</v>
      </c>
      <c r="I1793" s="606" t="s">
        <v>1087</v>
      </c>
      <c r="J1793" s="606" t="s">
        <v>1153</v>
      </c>
    </row>
    <row r="1794" spans="2:10" ht="21" customHeight="1">
      <c r="B1794" s="605" t="s">
        <v>4630</v>
      </c>
      <c r="C1794" s="606" t="s">
        <v>11</v>
      </c>
      <c r="D1794" s="605" t="s">
        <v>690</v>
      </c>
      <c r="E1794" s="606" t="s">
        <v>3908</v>
      </c>
      <c r="F1794" s="606" t="s">
        <v>3908</v>
      </c>
      <c r="G1794" s="606" t="s">
        <v>1151</v>
      </c>
      <c r="H1794" s="606" t="s">
        <v>1446</v>
      </c>
      <c r="I1794" s="606" t="s">
        <v>1087</v>
      </c>
      <c r="J1794" s="606" t="s">
        <v>1153</v>
      </c>
    </row>
    <row r="1795" spans="2:10" ht="21" customHeight="1">
      <c r="B1795" s="605" t="s">
        <v>4631</v>
      </c>
      <c r="C1795" s="606" t="s">
        <v>11</v>
      </c>
      <c r="D1795" s="605" t="s">
        <v>1511</v>
      </c>
      <c r="E1795" s="606" t="s">
        <v>4632</v>
      </c>
      <c r="F1795" s="606" t="s">
        <v>4632</v>
      </c>
      <c r="G1795" s="606" t="s">
        <v>3959</v>
      </c>
      <c r="H1795" s="606" t="s">
        <v>4633</v>
      </c>
      <c r="I1795" s="606" t="s">
        <v>3961</v>
      </c>
      <c r="J1795" s="606" t="s">
        <v>3962</v>
      </c>
    </row>
    <row r="1796" spans="2:10" ht="21" customHeight="1">
      <c r="B1796" s="605" t="s">
        <v>4634</v>
      </c>
      <c r="C1796" s="606" t="s">
        <v>11</v>
      </c>
      <c r="D1796" s="605" t="s">
        <v>1511</v>
      </c>
      <c r="E1796" s="606" t="s">
        <v>4635</v>
      </c>
      <c r="F1796" s="606" t="s">
        <v>4635</v>
      </c>
      <c r="G1796" s="606" t="s">
        <v>3959</v>
      </c>
      <c r="H1796" s="606" t="s">
        <v>4633</v>
      </c>
      <c r="I1796" s="606" t="s">
        <v>3961</v>
      </c>
      <c r="J1796" s="606" t="s">
        <v>3962</v>
      </c>
    </row>
    <row r="1797" spans="2:10" ht="21" customHeight="1">
      <c r="B1797" s="605" t="s">
        <v>4636</v>
      </c>
      <c r="C1797" s="606" t="s">
        <v>11</v>
      </c>
      <c r="D1797" s="605" t="s">
        <v>1511</v>
      </c>
      <c r="E1797" s="606" t="s">
        <v>3977</v>
      </c>
      <c r="F1797" s="606" t="s">
        <v>3977</v>
      </c>
      <c r="G1797" s="606" t="s">
        <v>3959</v>
      </c>
      <c r="H1797" s="606" t="s">
        <v>4633</v>
      </c>
      <c r="I1797" s="606" t="s">
        <v>3961</v>
      </c>
      <c r="J1797" s="606" t="s">
        <v>3962</v>
      </c>
    </row>
    <row r="1798" spans="2:10" ht="21" customHeight="1">
      <c r="B1798" s="605" t="s">
        <v>4637</v>
      </c>
      <c r="C1798" s="606" t="s">
        <v>11</v>
      </c>
      <c r="D1798" s="605" t="s">
        <v>1511</v>
      </c>
      <c r="E1798" s="606" t="s">
        <v>936</v>
      </c>
      <c r="F1798" s="606" t="s">
        <v>936</v>
      </c>
      <c r="G1798" s="606" t="s">
        <v>1085</v>
      </c>
      <c r="H1798" s="606" t="s">
        <v>1914</v>
      </c>
      <c r="I1798" s="606" t="s">
        <v>1087</v>
      </c>
      <c r="J1798" s="606" t="s">
        <v>1088</v>
      </c>
    </row>
    <row r="1799" spans="2:10" ht="21" customHeight="1">
      <c r="B1799" s="605" t="s">
        <v>4638</v>
      </c>
      <c r="C1799" s="606" t="s">
        <v>11</v>
      </c>
      <c r="D1799" s="605" t="s">
        <v>1511</v>
      </c>
      <c r="E1799" s="606" t="s">
        <v>4639</v>
      </c>
      <c r="F1799" s="606" t="s">
        <v>881</v>
      </c>
      <c r="G1799" s="606" t="s">
        <v>1085</v>
      </c>
      <c r="H1799" s="606" t="s">
        <v>1914</v>
      </c>
      <c r="I1799" s="606" t="s">
        <v>1087</v>
      </c>
      <c r="J1799" s="606" t="s">
        <v>1088</v>
      </c>
    </row>
    <row r="1800" spans="2:10" ht="21" customHeight="1">
      <c r="B1800" s="605" t="s">
        <v>4640</v>
      </c>
      <c r="C1800" s="606" t="s">
        <v>11</v>
      </c>
      <c r="D1800" s="605" t="s">
        <v>1511</v>
      </c>
      <c r="E1800" s="606" t="s">
        <v>1512</v>
      </c>
      <c r="F1800" s="606" t="s">
        <v>1512</v>
      </c>
      <c r="G1800" s="606" t="s">
        <v>1085</v>
      </c>
      <c r="H1800" s="606" t="s">
        <v>1914</v>
      </c>
      <c r="I1800" s="606" t="s">
        <v>1087</v>
      </c>
      <c r="J1800" s="606" t="s">
        <v>1088</v>
      </c>
    </row>
    <row r="1801" spans="2:10" ht="21" customHeight="1">
      <c r="B1801" s="605" t="s">
        <v>4641</v>
      </c>
      <c r="C1801" s="606" t="s">
        <v>11</v>
      </c>
      <c r="D1801" s="605" t="s">
        <v>1511</v>
      </c>
      <c r="E1801" s="606" t="s">
        <v>889</v>
      </c>
      <c r="F1801" s="606" t="s">
        <v>889</v>
      </c>
      <c r="G1801" s="606" t="s">
        <v>1085</v>
      </c>
      <c r="H1801" s="606" t="s">
        <v>1914</v>
      </c>
      <c r="I1801" s="606" t="s">
        <v>1087</v>
      </c>
      <c r="J1801" s="606" t="s">
        <v>1088</v>
      </c>
    </row>
    <row r="1802" spans="2:10" ht="21" customHeight="1">
      <c r="B1802" s="605" t="s">
        <v>4642</v>
      </c>
      <c r="C1802" s="606" t="s">
        <v>11</v>
      </c>
      <c r="D1802" s="605" t="s">
        <v>1511</v>
      </c>
      <c r="E1802" s="606" t="s">
        <v>1517</v>
      </c>
      <c r="F1802" s="606" t="s">
        <v>1517</v>
      </c>
      <c r="G1802" s="606" t="s">
        <v>1151</v>
      </c>
      <c r="H1802" s="606" t="s">
        <v>1518</v>
      </c>
      <c r="I1802" s="606" t="s">
        <v>1087</v>
      </c>
      <c r="J1802" s="606" t="s">
        <v>1153</v>
      </c>
    </row>
    <row r="1803" spans="2:10" ht="21" customHeight="1">
      <c r="B1803" s="605" t="s">
        <v>4643</v>
      </c>
      <c r="C1803" s="606" t="s">
        <v>11</v>
      </c>
      <c r="D1803" s="605" t="s">
        <v>1511</v>
      </c>
      <c r="E1803" s="606" t="s">
        <v>1520</v>
      </c>
      <c r="F1803" s="606" t="s">
        <v>1520</v>
      </c>
      <c r="G1803" s="606" t="s">
        <v>1151</v>
      </c>
      <c r="H1803" s="606" t="s">
        <v>1518</v>
      </c>
      <c r="I1803" s="606" t="s">
        <v>1087</v>
      </c>
      <c r="J1803" s="606" t="s">
        <v>1153</v>
      </c>
    </row>
    <row r="1804" spans="2:10" ht="21" customHeight="1">
      <c r="B1804" s="605" t="s">
        <v>4644</v>
      </c>
      <c r="C1804" s="606" t="s">
        <v>11</v>
      </c>
      <c r="D1804" s="605" t="s">
        <v>1511</v>
      </c>
      <c r="E1804" s="606" t="s">
        <v>1821</v>
      </c>
      <c r="F1804" s="606" t="s">
        <v>1821</v>
      </c>
      <c r="G1804" s="606" t="s">
        <v>3959</v>
      </c>
      <c r="H1804" s="606" t="s">
        <v>4633</v>
      </c>
      <c r="I1804" s="606" t="s">
        <v>3961</v>
      </c>
      <c r="J1804" s="606" t="s">
        <v>3962</v>
      </c>
    </row>
    <row r="1805" spans="2:10" ht="21" customHeight="1">
      <c r="B1805" s="605" t="s">
        <v>4645</v>
      </c>
      <c r="C1805" s="606" t="s">
        <v>11</v>
      </c>
      <c r="D1805" s="605" t="s">
        <v>1511</v>
      </c>
      <c r="E1805" s="606" t="s">
        <v>1522</v>
      </c>
      <c r="F1805" s="606" t="s">
        <v>1522</v>
      </c>
      <c r="G1805" s="606" t="s">
        <v>1085</v>
      </c>
      <c r="H1805" s="606" t="s">
        <v>1914</v>
      </c>
      <c r="I1805" s="606" t="s">
        <v>1087</v>
      </c>
      <c r="J1805" s="606" t="s">
        <v>1088</v>
      </c>
    </row>
    <row r="1806" spans="2:10" ht="21" customHeight="1">
      <c r="B1806" s="605" t="s">
        <v>4646</v>
      </c>
      <c r="C1806" s="606" t="s">
        <v>11</v>
      </c>
      <c r="D1806" s="605" t="s">
        <v>1511</v>
      </c>
      <c r="E1806" s="606" t="s">
        <v>4647</v>
      </c>
      <c r="F1806" s="606" t="s">
        <v>4647</v>
      </c>
      <c r="G1806" s="606" t="s">
        <v>3959</v>
      </c>
      <c r="H1806" s="606" t="s">
        <v>4633</v>
      </c>
      <c r="I1806" s="606" t="s">
        <v>3961</v>
      </c>
      <c r="J1806" s="606" t="s">
        <v>3962</v>
      </c>
    </row>
    <row r="1807" spans="2:10" ht="21" customHeight="1">
      <c r="B1807" s="605" t="s">
        <v>4648</v>
      </c>
      <c r="C1807" s="606" t="s">
        <v>11</v>
      </c>
      <c r="D1807" s="605" t="s">
        <v>1511</v>
      </c>
      <c r="E1807" s="606" t="s">
        <v>4649</v>
      </c>
      <c r="F1807" s="606" t="s">
        <v>4649</v>
      </c>
      <c r="G1807" s="606" t="s">
        <v>3959</v>
      </c>
      <c r="H1807" s="606" t="s">
        <v>4633</v>
      </c>
      <c r="I1807" s="606" t="s">
        <v>3961</v>
      </c>
      <c r="J1807" s="606" t="s">
        <v>3962</v>
      </c>
    </row>
    <row r="1808" spans="2:10" ht="21" customHeight="1">
      <c r="B1808" s="605" t="s">
        <v>4650</v>
      </c>
      <c r="C1808" s="606" t="s">
        <v>11</v>
      </c>
      <c r="D1808" s="605" t="s">
        <v>1511</v>
      </c>
      <c r="E1808" s="606" t="s">
        <v>892</v>
      </c>
      <c r="F1808" s="606" t="s">
        <v>892</v>
      </c>
      <c r="G1808" s="606" t="s">
        <v>3959</v>
      </c>
      <c r="H1808" s="606" t="s">
        <v>4633</v>
      </c>
      <c r="I1808" s="606" t="s">
        <v>3961</v>
      </c>
      <c r="J1808" s="606" t="s">
        <v>3962</v>
      </c>
    </row>
    <row r="1809" spans="2:10" ht="21" customHeight="1">
      <c r="B1809" s="605" t="s">
        <v>4651</v>
      </c>
      <c r="C1809" s="606" t="s">
        <v>11</v>
      </c>
      <c r="D1809" s="605" t="s">
        <v>1511</v>
      </c>
      <c r="E1809" s="606" t="s">
        <v>4652</v>
      </c>
      <c r="F1809" s="606" t="s">
        <v>4653</v>
      </c>
      <c r="G1809" s="606" t="s">
        <v>1085</v>
      </c>
      <c r="H1809" s="606" t="s">
        <v>1914</v>
      </c>
      <c r="I1809" s="606" t="s">
        <v>1087</v>
      </c>
      <c r="J1809" s="606" t="s">
        <v>1088</v>
      </c>
    </row>
    <row r="1810" spans="2:10" ht="21" customHeight="1">
      <c r="B1810" s="605" t="s">
        <v>4654</v>
      </c>
      <c r="C1810" s="606" t="s">
        <v>11</v>
      </c>
      <c r="D1810" s="605" t="s">
        <v>1511</v>
      </c>
      <c r="E1810" s="606" t="s">
        <v>894</v>
      </c>
      <c r="F1810" s="606" t="s">
        <v>894</v>
      </c>
      <c r="G1810" s="606" t="s">
        <v>1085</v>
      </c>
      <c r="H1810" s="606" t="s">
        <v>1914</v>
      </c>
      <c r="I1810" s="606" t="s">
        <v>1087</v>
      </c>
      <c r="J1810" s="606" t="s">
        <v>1088</v>
      </c>
    </row>
    <row r="1811" spans="2:10" ht="21" customHeight="1">
      <c r="B1811" s="605" t="s">
        <v>4655</v>
      </c>
      <c r="C1811" s="606" t="s">
        <v>11</v>
      </c>
      <c r="D1811" s="605" t="s">
        <v>1511</v>
      </c>
      <c r="E1811" s="606" t="s">
        <v>1823</v>
      </c>
      <c r="F1811" s="606" t="s">
        <v>952</v>
      </c>
      <c r="G1811" s="606" t="s">
        <v>3959</v>
      </c>
      <c r="H1811" s="606" t="s">
        <v>4633</v>
      </c>
      <c r="I1811" s="606" t="s">
        <v>3961</v>
      </c>
      <c r="J1811" s="606" t="s">
        <v>3962</v>
      </c>
    </row>
    <row r="1812" spans="2:10" ht="21" customHeight="1">
      <c r="B1812" s="605" t="s">
        <v>4656</v>
      </c>
      <c r="C1812" s="606" t="s">
        <v>11</v>
      </c>
      <c r="D1812" s="605" t="s">
        <v>1511</v>
      </c>
      <c r="E1812" s="606" t="s">
        <v>1825</v>
      </c>
      <c r="F1812" s="606" t="s">
        <v>953</v>
      </c>
      <c r="G1812" s="606" t="s">
        <v>3959</v>
      </c>
      <c r="H1812" s="606" t="s">
        <v>4633</v>
      </c>
      <c r="I1812" s="606" t="s">
        <v>3961</v>
      </c>
      <c r="J1812" s="606" t="s">
        <v>3962</v>
      </c>
    </row>
    <row r="1813" spans="2:10" ht="21" customHeight="1">
      <c r="B1813" s="605" t="s">
        <v>4657</v>
      </c>
      <c r="C1813" s="606" t="s">
        <v>11</v>
      </c>
      <c r="D1813" s="605" t="s">
        <v>1511</v>
      </c>
      <c r="E1813" s="606" t="s">
        <v>1827</v>
      </c>
      <c r="F1813" s="606" t="s">
        <v>954</v>
      </c>
      <c r="G1813" s="606" t="s">
        <v>3959</v>
      </c>
      <c r="H1813" s="606" t="s">
        <v>4633</v>
      </c>
      <c r="I1813" s="606" t="s">
        <v>3961</v>
      </c>
      <c r="J1813" s="606" t="s">
        <v>3962</v>
      </c>
    </row>
    <row r="1814" spans="2:10" ht="21" customHeight="1">
      <c r="B1814" s="605" t="s">
        <v>4658</v>
      </c>
      <c r="C1814" s="606" t="s">
        <v>11</v>
      </c>
      <c r="D1814" s="605" t="s">
        <v>1511</v>
      </c>
      <c r="E1814" s="606" t="s">
        <v>4127</v>
      </c>
      <c r="F1814" s="606" t="s">
        <v>4128</v>
      </c>
      <c r="G1814" s="606" t="s">
        <v>3959</v>
      </c>
      <c r="H1814" s="606" t="s">
        <v>4633</v>
      </c>
      <c r="I1814" s="606" t="s">
        <v>3961</v>
      </c>
      <c r="J1814" s="606" t="s">
        <v>3962</v>
      </c>
    </row>
    <row r="1815" spans="2:10" ht="21" customHeight="1">
      <c r="B1815" s="605" t="s">
        <v>4659</v>
      </c>
      <c r="C1815" s="606" t="s">
        <v>11</v>
      </c>
      <c r="D1815" s="605" t="s">
        <v>1511</v>
      </c>
      <c r="E1815" s="606" t="s">
        <v>4660</v>
      </c>
      <c r="F1815" s="606" t="s">
        <v>955</v>
      </c>
      <c r="G1815" s="606" t="s">
        <v>1085</v>
      </c>
      <c r="H1815" s="606" t="s">
        <v>1914</v>
      </c>
      <c r="I1815" s="606" t="s">
        <v>1087</v>
      </c>
      <c r="J1815" s="606" t="s">
        <v>1088</v>
      </c>
    </row>
    <row r="1816" spans="2:10" ht="21" customHeight="1">
      <c r="B1816" s="605" t="s">
        <v>4661</v>
      </c>
      <c r="C1816" s="606" t="s">
        <v>11</v>
      </c>
      <c r="D1816" s="605" t="s">
        <v>1511</v>
      </c>
      <c r="E1816" s="606" t="s">
        <v>4662</v>
      </c>
      <c r="F1816" s="606" t="s">
        <v>4663</v>
      </c>
      <c r="G1816" s="606" t="s">
        <v>3959</v>
      </c>
      <c r="H1816" s="606" t="s">
        <v>4633</v>
      </c>
      <c r="I1816" s="606" t="s">
        <v>3961</v>
      </c>
      <c r="J1816" s="606" t="s">
        <v>3962</v>
      </c>
    </row>
    <row r="1817" spans="2:10" ht="21" customHeight="1">
      <c r="B1817" s="605" t="s">
        <v>4664</v>
      </c>
      <c r="C1817" s="606" t="s">
        <v>11</v>
      </c>
      <c r="D1817" s="605" t="s">
        <v>1511</v>
      </c>
      <c r="E1817" s="606" t="s">
        <v>4665</v>
      </c>
      <c r="F1817" s="606" t="s">
        <v>4666</v>
      </c>
      <c r="G1817" s="606" t="s">
        <v>3959</v>
      </c>
      <c r="H1817" s="606" t="s">
        <v>4633</v>
      </c>
      <c r="I1817" s="606" t="s">
        <v>3961</v>
      </c>
      <c r="J1817" s="606" t="s">
        <v>3962</v>
      </c>
    </row>
    <row r="1818" spans="2:10" ht="21" customHeight="1">
      <c r="B1818" s="605" t="s">
        <v>4667</v>
      </c>
      <c r="C1818" s="606" t="s">
        <v>11</v>
      </c>
      <c r="D1818" s="605" t="s">
        <v>1511</v>
      </c>
      <c r="E1818" s="606" t="s">
        <v>1832</v>
      </c>
      <c r="F1818" s="606" t="s">
        <v>957</v>
      </c>
      <c r="G1818" s="606" t="s">
        <v>3959</v>
      </c>
      <c r="H1818" s="606" t="s">
        <v>4633</v>
      </c>
      <c r="I1818" s="606" t="s">
        <v>3961</v>
      </c>
      <c r="J1818" s="606" t="s">
        <v>3962</v>
      </c>
    </row>
    <row r="1819" spans="2:10" ht="21" customHeight="1">
      <c r="B1819" s="605" t="s">
        <v>4668</v>
      </c>
      <c r="C1819" s="606" t="s">
        <v>11</v>
      </c>
      <c r="D1819" s="605" t="s">
        <v>1511</v>
      </c>
      <c r="E1819" s="606" t="s">
        <v>897</v>
      </c>
      <c r="F1819" s="606" t="s">
        <v>897</v>
      </c>
      <c r="G1819" s="606" t="s">
        <v>3959</v>
      </c>
      <c r="H1819" s="606" t="s">
        <v>4633</v>
      </c>
      <c r="I1819" s="606" t="s">
        <v>3961</v>
      </c>
      <c r="J1819" s="606" t="s">
        <v>3962</v>
      </c>
    </row>
    <row r="1820" spans="2:10" ht="21" customHeight="1">
      <c r="B1820" s="605" t="s">
        <v>4669</v>
      </c>
      <c r="C1820" s="606" t="s">
        <v>11</v>
      </c>
      <c r="D1820" s="605" t="s">
        <v>1511</v>
      </c>
      <c r="E1820" s="606" t="s">
        <v>4670</v>
      </c>
      <c r="F1820" s="606" t="s">
        <v>898</v>
      </c>
      <c r="G1820" s="606" t="s">
        <v>3959</v>
      </c>
      <c r="H1820" s="606" t="s">
        <v>4633</v>
      </c>
      <c r="I1820" s="606" t="s">
        <v>3961</v>
      </c>
      <c r="J1820" s="606" t="s">
        <v>3962</v>
      </c>
    </row>
    <row r="1821" spans="2:10" ht="21" customHeight="1">
      <c r="B1821" s="605" t="s">
        <v>4671</v>
      </c>
      <c r="C1821" s="606" t="s">
        <v>11</v>
      </c>
      <c r="D1821" s="605" t="s">
        <v>1511</v>
      </c>
      <c r="E1821" s="606" t="s">
        <v>4672</v>
      </c>
      <c r="F1821" s="606" t="s">
        <v>4672</v>
      </c>
      <c r="G1821" s="606" t="s">
        <v>3959</v>
      </c>
      <c r="H1821" s="606" t="s">
        <v>4633</v>
      </c>
      <c r="I1821" s="606" t="s">
        <v>3961</v>
      </c>
      <c r="J1821" s="606" t="s">
        <v>3962</v>
      </c>
    </row>
    <row r="1822" spans="2:10" ht="21" customHeight="1">
      <c r="B1822" s="605" t="s">
        <v>4673</v>
      </c>
      <c r="C1822" s="606" t="s">
        <v>11</v>
      </c>
      <c r="D1822" s="605" t="s">
        <v>1511</v>
      </c>
      <c r="E1822" s="606" t="s">
        <v>960</v>
      </c>
      <c r="F1822" s="606" t="s">
        <v>960</v>
      </c>
      <c r="G1822" s="606" t="s">
        <v>1085</v>
      </c>
      <c r="H1822" s="606" t="s">
        <v>1914</v>
      </c>
      <c r="I1822" s="606" t="s">
        <v>1087</v>
      </c>
      <c r="J1822" s="606" t="s">
        <v>1088</v>
      </c>
    </row>
    <row r="1823" spans="2:10" ht="21" customHeight="1">
      <c r="B1823" s="605" t="s">
        <v>4674</v>
      </c>
      <c r="C1823" s="606" t="s">
        <v>11</v>
      </c>
      <c r="D1823" s="605" t="s">
        <v>1511</v>
      </c>
      <c r="E1823" s="606" t="s">
        <v>4675</v>
      </c>
      <c r="F1823" s="606" t="s">
        <v>4676</v>
      </c>
      <c r="G1823" s="606" t="s">
        <v>3959</v>
      </c>
      <c r="H1823" s="606" t="s">
        <v>4633</v>
      </c>
      <c r="I1823" s="606" t="s">
        <v>3961</v>
      </c>
      <c r="J1823" s="606" t="s">
        <v>3962</v>
      </c>
    </row>
    <row r="1824" spans="2:10" ht="21" customHeight="1">
      <c r="B1824" s="605" t="s">
        <v>4677</v>
      </c>
      <c r="C1824" s="606" t="s">
        <v>11</v>
      </c>
      <c r="D1824" s="605" t="s">
        <v>1511</v>
      </c>
      <c r="E1824" s="606" t="s">
        <v>902</v>
      </c>
      <c r="F1824" s="606" t="s">
        <v>902</v>
      </c>
      <c r="G1824" s="606" t="s">
        <v>3959</v>
      </c>
      <c r="H1824" s="606" t="s">
        <v>4633</v>
      </c>
      <c r="I1824" s="606" t="s">
        <v>3961</v>
      </c>
      <c r="J1824" s="606" t="s">
        <v>3962</v>
      </c>
    </row>
    <row r="1825" spans="2:10" ht="21" customHeight="1">
      <c r="B1825" s="605" t="s">
        <v>4678</v>
      </c>
      <c r="C1825" s="606" t="s">
        <v>11</v>
      </c>
      <c r="D1825" s="605" t="s">
        <v>1511</v>
      </c>
      <c r="E1825" s="606" t="s">
        <v>963</v>
      </c>
      <c r="F1825" s="606" t="s">
        <v>963</v>
      </c>
      <c r="G1825" s="606" t="s">
        <v>3959</v>
      </c>
      <c r="H1825" s="606" t="s">
        <v>4633</v>
      </c>
      <c r="I1825" s="606" t="s">
        <v>3961</v>
      </c>
      <c r="J1825" s="606" t="s">
        <v>3962</v>
      </c>
    </row>
    <row r="1826" spans="2:10" ht="21" customHeight="1">
      <c r="B1826" s="605" t="s">
        <v>4679</v>
      </c>
      <c r="C1826" s="606" t="s">
        <v>11</v>
      </c>
      <c r="D1826" s="605" t="s">
        <v>1511</v>
      </c>
      <c r="E1826" s="606" t="s">
        <v>4680</v>
      </c>
      <c r="F1826" s="606" t="s">
        <v>903</v>
      </c>
      <c r="G1826" s="606" t="s">
        <v>3959</v>
      </c>
      <c r="H1826" s="606" t="s">
        <v>4633</v>
      </c>
      <c r="I1826" s="606" t="s">
        <v>3961</v>
      </c>
      <c r="J1826" s="606" t="s">
        <v>3962</v>
      </c>
    </row>
    <row r="1827" spans="2:10" ht="21" customHeight="1">
      <c r="B1827" s="605" t="s">
        <v>4681</v>
      </c>
      <c r="C1827" s="606" t="s">
        <v>11</v>
      </c>
      <c r="D1827" s="605" t="s">
        <v>1511</v>
      </c>
      <c r="E1827" s="606" t="s">
        <v>4682</v>
      </c>
      <c r="F1827" s="606" t="s">
        <v>4682</v>
      </c>
      <c r="G1827" s="606" t="s">
        <v>3959</v>
      </c>
      <c r="H1827" s="606" t="s">
        <v>4633</v>
      </c>
      <c r="I1827" s="606" t="s">
        <v>3961</v>
      </c>
      <c r="J1827" s="606" t="s">
        <v>3962</v>
      </c>
    </row>
    <row r="1828" spans="2:10" ht="21" customHeight="1">
      <c r="B1828" s="605" t="s">
        <v>4683</v>
      </c>
      <c r="C1828" s="606" t="s">
        <v>11</v>
      </c>
      <c r="D1828" s="605" t="s">
        <v>1511</v>
      </c>
      <c r="E1828" s="606" t="s">
        <v>4684</v>
      </c>
      <c r="F1828" s="606" t="s">
        <v>4684</v>
      </c>
      <c r="G1828" s="606" t="s">
        <v>3959</v>
      </c>
      <c r="H1828" s="606" t="s">
        <v>4633</v>
      </c>
      <c r="I1828" s="606" t="s">
        <v>3961</v>
      </c>
      <c r="J1828" s="606" t="s">
        <v>3962</v>
      </c>
    </row>
    <row r="1829" spans="2:10" ht="21" customHeight="1">
      <c r="B1829" s="605" t="s">
        <v>4685</v>
      </c>
      <c r="C1829" s="606" t="s">
        <v>11</v>
      </c>
      <c r="D1829" s="605" t="s">
        <v>1511</v>
      </c>
      <c r="E1829" s="606" t="s">
        <v>4206</v>
      </c>
      <c r="F1829" s="606" t="s">
        <v>4206</v>
      </c>
      <c r="G1829" s="606" t="s">
        <v>3959</v>
      </c>
      <c r="H1829" s="606" t="s">
        <v>4633</v>
      </c>
      <c r="I1829" s="606" t="s">
        <v>3961</v>
      </c>
      <c r="J1829" s="606" t="s">
        <v>3962</v>
      </c>
    </row>
    <row r="1830" spans="2:10" ht="21" customHeight="1">
      <c r="B1830" s="605" t="s">
        <v>4686</v>
      </c>
      <c r="C1830" s="606" t="s">
        <v>11</v>
      </c>
      <c r="D1830" s="605" t="s">
        <v>1511</v>
      </c>
      <c r="E1830" s="606" t="s">
        <v>969</v>
      </c>
      <c r="F1830" s="606" t="s">
        <v>969</v>
      </c>
      <c r="G1830" s="606" t="s">
        <v>1085</v>
      </c>
      <c r="H1830" s="606" t="s">
        <v>1914</v>
      </c>
      <c r="I1830" s="606" t="s">
        <v>1087</v>
      </c>
      <c r="J1830" s="606" t="s">
        <v>1088</v>
      </c>
    </row>
    <row r="1831" spans="2:10" ht="21" customHeight="1">
      <c r="B1831" s="605" t="s">
        <v>4687</v>
      </c>
      <c r="C1831" s="606" t="s">
        <v>11</v>
      </c>
      <c r="D1831" s="605" t="s">
        <v>1511</v>
      </c>
      <c r="E1831" s="606" t="s">
        <v>4688</v>
      </c>
      <c r="F1831" s="606" t="s">
        <v>4688</v>
      </c>
      <c r="G1831" s="606" t="s">
        <v>3959</v>
      </c>
      <c r="H1831" s="606" t="s">
        <v>4633</v>
      </c>
      <c r="I1831" s="606" t="s">
        <v>3961</v>
      </c>
      <c r="J1831" s="606" t="s">
        <v>3962</v>
      </c>
    </row>
    <row r="1832" spans="2:10" ht="21" customHeight="1">
      <c r="B1832" s="605" t="s">
        <v>4689</v>
      </c>
      <c r="C1832" s="606" t="s">
        <v>11</v>
      </c>
      <c r="D1832" s="605" t="s">
        <v>1511</v>
      </c>
      <c r="E1832" s="606" t="s">
        <v>4690</v>
      </c>
      <c r="F1832" s="606" t="s">
        <v>4690</v>
      </c>
      <c r="G1832" s="606" t="s">
        <v>3959</v>
      </c>
      <c r="H1832" s="606" t="s">
        <v>4633</v>
      </c>
      <c r="I1832" s="606" t="s">
        <v>3961</v>
      </c>
      <c r="J1832" s="606" t="s">
        <v>3962</v>
      </c>
    </row>
    <row r="1833" spans="2:10" ht="21" customHeight="1">
      <c r="B1833" s="605" t="s">
        <v>4691</v>
      </c>
      <c r="C1833" s="606" t="s">
        <v>11</v>
      </c>
      <c r="D1833" s="605" t="s">
        <v>1511</v>
      </c>
      <c r="E1833" s="606" t="s">
        <v>4692</v>
      </c>
      <c r="F1833" s="606" t="s">
        <v>4692</v>
      </c>
      <c r="G1833" s="606" t="s">
        <v>1085</v>
      </c>
      <c r="H1833" s="606" t="s">
        <v>1914</v>
      </c>
      <c r="I1833" s="606" t="s">
        <v>1087</v>
      </c>
      <c r="J1833" s="606" t="s">
        <v>1088</v>
      </c>
    </row>
    <row r="1834" spans="2:10" ht="21" customHeight="1">
      <c r="B1834" s="605" t="s">
        <v>4693</v>
      </c>
      <c r="C1834" s="606" t="s">
        <v>11</v>
      </c>
      <c r="D1834" s="605" t="s">
        <v>1511</v>
      </c>
      <c r="E1834" s="606" t="s">
        <v>4694</v>
      </c>
      <c r="F1834" s="606" t="s">
        <v>4694</v>
      </c>
      <c r="G1834" s="606" t="s">
        <v>3959</v>
      </c>
      <c r="H1834" s="606" t="s">
        <v>4633</v>
      </c>
      <c r="I1834" s="606" t="s">
        <v>3961</v>
      </c>
      <c r="J1834" s="606" t="s">
        <v>3962</v>
      </c>
    </row>
    <row r="1835" spans="2:10" ht="21" customHeight="1">
      <c r="B1835" s="605" t="s">
        <v>4695</v>
      </c>
      <c r="C1835" s="606" t="s">
        <v>11</v>
      </c>
      <c r="D1835" s="605" t="s">
        <v>1511</v>
      </c>
      <c r="E1835" s="606" t="s">
        <v>4696</v>
      </c>
      <c r="F1835" s="606" t="s">
        <v>4696</v>
      </c>
      <c r="G1835" s="606" t="s">
        <v>3959</v>
      </c>
      <c r="H1835" s="606" t="s">
        <v>4633</v>
      </c>
      <c r="I1835" s="606" t="s">
        <v>3961</v>
      </c>
      <c r="J1835" s="606" t="s">
        <v>3962</v>
      </c>
    </row>
    <row r="1836" spans="2:10" ht="21" customHeight="1">
      <c r="B1836" s="605" t="s">
        <v>4697</v>
      </c>
      <c r="C1836" s="606" t="s">
        <v>11</v>
      </c>
      <c r="D1836" s="605" t="s">
        <v>1511</v>
      </c>
      <c r="E1836" s="606" t="s">
        <v>4698</v>
      </c>
      <c r="F1836" s="606" t="s">
        <v>4698</v>
      </c>
      <c r="G1836" s="606" t="s">
        <v>1085</v>
      </c>
      <c r="H1836" s="606" t="s">
        <v>1914</v>
      </c>
      <c r="I1836" s="606" t="s">
        <v>1087</v>
      </c>
      <c r="J1836" s="606" t="s">
        <v>1088</v>
      </c>
    </row>
    <row r="1837" spans="2:10" ht="21" customHeight="1">
      <c r="B1837" s="605" t="s">
        <v>4699</v>
      </c>
      <c r="C1837" s="606" t="s">
        <v>11</v>
      </c>
      <c r="D1837" s="605" t="s">
        <v>1511</v>
      </c>
      <c r="E1837" s="606" t="s">
        <v>4700</v>
      </c>
      <c r="F1837" s="606" t="s">
        <v>4701</v>
      </c>
      <c r="G1837" s="606" t="s">
        <v>3959</v>
      </c>
      <c r="H1837" s="606" t="s">
        <v>4633</v>
      </c>
      <c r="I1837" s="606" t="s">
        <v>3961</v>
      </c>
      <c r="J1837" s="606" t="s">
        <v>3962</v>
      </c>
    </row>
    <row r="1838" spans="2:10" ht="21" customHeight="1">
      <c r="B1838" s="605" t="s">
        <v>4702</v>
      </c>
      <c r="C1838" s="606" t="s">
        <v>11</v>
      </c>
      <c r="D1838" s="605" t="s">
        <v>1511</v>
      </c>
      <c r="E1838" s="606" t="s">
        <v>3945</v>
      </c>
      <c r="F1838" s="606" t="s">
        <v>3945</v>
      </c>
      <c r="G1838" s="606" t="s">
        <v>1085</v>
      </c>
      <c r="H1838" s="606" t="s">
        <v>1914</v>
      </c>
      <c r="I1838" s="606" t="s">
        <v>1087</v>
      </c>
      <c r="J1838" s="606" t="s">
        <v>1088</v>
      </c>
    </row>
    <row r="1839" spans="2:10" ht="21" customHeight="1">
      <c r="B1839" s="605" t="s">
        <v>4703</v>
      </c>
      <c r="C1839" s="606" t="s">
        <v>11</v>
      </c>
      <c r="D1839" s="605" t="s">
        <v>1511</v>
      </c>
      <c r="E1839" s="606" t="s">
        <v>979</v>
      </c>
      <c r="F1839" s="606" t="s">
        <v>979</v>
      </c>
      <c r="G1839" s="606" t="s">
        <v>1085</v>
      </c>
      <c r="H1839" s="606" t="s">
        <v>1914</v>
      </c>
      <c r="I1839" s="606" t="s">
        <v>1087</v>
      </c>
      <c r="J1839" s="606" t="s">
        <v>1088</v>
      </c>
    </row>
    <row r="1840" spans="2:10" ht="21" customHeight="1">
      <c r="B1840" s="605" t="s">
        <v>4704</v>
      </c>
      <c r="C1840" s="606" t="s">
        <v>11</v>
      </c>
      <c r="D1840" s="605" t="s">
        <v>1511</v>
      </c>
      <c r="E1840" s="606" t="s">
        <v>980</v>
      </c>
      <c r="F1840" s="606" t="s">
        <v>980</v>
      </c>
      <c r="G1840" s="606" t="s">
        <v>3959</v>
      </c>
      <c r="H1840" s="606" t="s">
        <v>4633</v>
      </c>
      <c r="I1840" s="606" t="s">
        <v>3961</v>
      </c>
      <c r="J1840" s="606" t="s">
        <v>3962</v>
      </c>
    </row>
    <row r="1841" spans="2:10" ht="21" customHeight="1">
      <c r="B1841" s="605" t="s">
        <v>4705</v>
      </c>
      <c r="C1841" s="606" t="s">
        <v>11</v>
      </c>
      <c r="D1841" s="605" t="s">
        <v>1511</v>
      </c>
      <c r="E1841" s="606" t="s">
        <v>4706</v>
      </c>
      <c r="F1841" s="606" t="s">
        <v>4706</v>
      </c>
      <c r="G1841" s="606" t="s">
        <v>3959</v>
      </c>
      <c r="H1841" s="606" t="s">
        <v>4633</v>
      </c>
      <c r="I1841" s="606" t="s">
        <v>3961</v>
      </c>
      <c r="J1841" s="606" t="s">
        <v>3962</v>
      </c>
    </row>
    <row r="1842" spans="2:10" ht="21" customHeight="1">
      <c r="B1842" s="605" t="s">
        <v>4707</v>
      </c>
      <c r="C1842" s="606" t="s">
        <v>11</v>
      </c>
      <c r="D1842" s="605" t="s">
        <v>1511</v>
      </c>
      <c r="E1842" s="606" t="s">
        <v>4708</v>
      </c>
      <c r="F1842" s="606" t="s">
        <v>4708</v>
      </c>
      <c r="G1842" s="606" t="s">
        <v>1085</v>
      </c>
      <c r="H1842" s="606" t="s">
        <v>1914</v>
      </c>
      <c r="I1842" s="606" t="s">
        <v>1087</v>
      </c>
      <c r="J1842" s="606" t="s">
        <v>1088</v>
      </c>
    </row>
    <row r="1843" spans="2:10" ht="21" customHeight="1">
      <c r="B1843" s="605" t="s">
        <v>4709</v>
      </c>
      <c r="C1843" s="606" t="s">
        <v>11</v>
      </c>
      <c r="D1843" s="605" t="s">
        <v>1511</v>
      </c>
      <c r="E1843" s="606" t="s">
        <v>984</v>
      </c>
      <c r="F1843" s="606" t="s">
        <v>984</v>
      </c>
      <c r="G1843" s="606" t="s">
        <v>1085</v>
      </c>
      <c r="H1843" s="606" t="s">
        <v>1914</v>
      </c>
      <c r="I1843" s="606" t="s">
        <v>1087</v>
      </c>
      <c r="J1843" s="606" t="s">
        <v>1088</v>
      </c>
    </row>
    <row r="1844" spans="2:10" ht="21" customHeight="1">
      <c r="B1844" s="605" t="s">
        <v>4710</v>
      </c>
      <c r="C1844" s="606" t="s">
        <v>11</v>
      </c>
      <c r="D1844" s="605" t="s">
        <v>1511</v>
      </c>
      <c r="E1844" s="606" t="s">
        <v>4711</v>
      </c>
      <c r="F1844" s="606" t="s">
        <v>914</v>
      </c>
      <c r="G1844" s="606" t="s">
        <v>3959</v>
      </c>
      <c r="H1844" s="606" t="s">
        <v>4633</v>
      </c>
      <c r="I1844" s="606" t="s">
        <v>3961</v>
      </c>
      <c r="J1844" s="606" t="s">
        <v>3962</v>
      </c>
    </row>
    <row r="1845" spans="2:10" ht="21" customHeight="1">
      <c r="B1845" s="605" t="s">
        <v>4712</v>
      </c>
      <c r="C1845" s="606" t="s">
        <v>11</v>
      </c>
      <c r="D1845" s="605" t="s">
        <v>1511</v>
      </c>
      <c r="E1845" s="606" t="s">
        <v>4713</v>
      </c>
      <c r="F1845" s="606" t="s">
        <v>4713</v>
      </c>
      <c r="G1845" s="606" t="s">
        <v>1151</v>
      </c>
      <c r="H1845" s="606" t="s">
        <v>1518</v>
      </c>
      <c r="I1845" s="606" t="s">
        <v>1087</v>
      </c>
      <c r="J1845" s="606" t="s">
        <v>1153</v>
      </c>
    </row>
    <row r="1846" spans="2:10" ht="21" customHeight="1">
      <c r="B1846" s="605" t="s">
        <v>4714</v>
      </c>
      <c r="C1846" s="606" t="s">
        <v>11</v>
      </c>
      <c r="D1846" s="605" t="s">
        <v>1511</v>
      </c>
      <c r="E1846" s="606" t="s">
        <v>4715</v>
      </c>
      <c r="F1846" s="606" t="s">
        <v>4716</v>
      </c>
      <c r="G1846" s="606" t="s">
        <v>1085</v>
      </c>
      <c r="H1846" s="606" t="s">
        <v>1914</v>
      </c>
      <c r="I1846" s="606" t="s">
        <v>1087</v>
      </c>
      <c r="J1846" s="606" t="s">
        <v>1088</v>
      </c>
    </row>
    <row r="1847" spans="2:10" ht="21" customHeight="1">
      <c r="B1847" s="605" t="s">
        <v>4717</v>
      </c>
      <c r="C1847" s="606" t="s">
        <v>11</v>
      </c>
      <c r="D1847" s="605" t="s">
        <v>1511</v>
      </c>
      <c r="E1847" s="606" t="s">
        <v>4718</v>
      </c>
      <c r="F1847" s="606" t="s">
        <v>4718</v>
      </c>
      <c r="G1847" s="606" t="s">
        <v>3959</v>
      </c>
      <c r="H1847" s="606" t="s">
        <v>4633</v>
      </c>
      <c r="I1847" s="606" t="s">
        <v>3961</v>
      </c>
      <c r="J1847" s="606" t="s">
        <v>3962</v>
      </c>
    </row>
    <row r="1848" spans="2:10" ht="21" customHeight="1">
      <c r="B1848" s="605" t="s">
        <v>4719</v>
      </c>
      <c r="C1848" s="606" t="s">
        <v>11</v>
      </c>
      <c r="D1848" s="605" t="s">
        <v>1511</v>
      </c>
      <c r="E1848" s="606" t="s">
        <v>4720</v>
      </c>
      <c r="F1848" s="606" t="s">
        <v>4720</v>
      </c>
      <c r="G1848" s="606" t="s">
        <v>3959</v>
      </c>
      <c r="H1848" s="606" t="s">
        <v>4633</v>
      </c>
      <c r="I1848" s="606" t="s">
        <v>3961</v>
      </c>
      <c r="J1848" s="606" t="s">
        <v>3962</v>
      </c>
    </row>
    <row r="1849" spans="2:10" ht="21" customHeight="1">
      <c r="B1849" s="605" t="s">
        <v>4721</v>
      </c>
      <c r="C1849" s="606" t="s">
        <v>11</v>
      </c>
      <c r="D1849" s="605" t="s">
        <v>1511</v>
      </c>
      <c r="E1849" s="606" t="s">
        <v>4722</v>
      </c>
      <c r="F1849" s="606" t="s">
        <v>4723</v>
      </c>
      <c r="G1849" s="606" t="s">
        <v>1085</v>
      </c>
      <c r="H1849" s="606" t="s">
        <v>1914</v>
      </c>
      <c r="I1849" s="606" t="s">
        <v>1087</v>
      </c>
      <c r="J1849" s="606" t="s">
        <v>1088</v>
      </c>
    </row>
    <row r="1850" spans="2:10" ht="21" customHeight="1">
      <c r="B1850" s="605" t="s">
        <v>4724</v>
      </c>
      <c r="C1850" s="606" t="s">
        <v>11</v>
      </c>
      <c r="D1850" s="605" t="s">
        <v>1511</v>
      </c>
      <c r="E1850" s="606" t="s">
        <v>4725</v>
      </c>
      <c r="F1850" s="606" t="s">
        <v>4726</v>
      </c>
      <c r="G1850" s="606" t="s">
        <v>1085</v>
      </c>
      <c r="H1850" s="606" t="s">
        <v>1914</v>
      </c>
      <c r="I1850" s="606" t="s">
        <v>1087</v>
      </c>
      <c r="J1850" s="606" t="s">
        <v>1088</v>
      </c>
    </row>
    <row r="1851" spans="2:10" ht="21" customHeight="1">
      <c r="B1851" s="605" t="s">
        <v>4727</v>
      </c>
      <c r="C1851" s="606" t="s">
        <v>11</v>
      </c>
      <c r="D1851" s="605" t="s">
        <v>1511</v>
      </c>
      <c r="E1851" s="606" t="s">
        <v>4728</v>
      </c>
      <c r="F1851" s="606" t="s">
        <v>4729</v>
      </c>
      <c r="G1851" s="606" t="s">
        <v>3959</v>
      </c>
      <c r="H1851" s="606" t="s">
        <v>4633</v>
      </c>
      <c r="I1851" s="606" t="s">
        <v>3961</v>
      </c>
      <c r="J1851" s="606" t="s">
        <v>3962</v>
      </c>
    </row>
    <row r="1852" spans="2:10" ht="21" customHeight="1">
      <c r="B1852" s="605" t="s">
        <v>4730</v>
      </c>
      <c r="C1852" s="606" t="s">
        <v>11</v>
      </c>
      <c r="D1852" s="605" t="s">
        <v>1511</v>
      </c>
      <c r="E1852" s="606" t="s">
        <v>919</v>
      </c>
      <c r="F1852" s="606" t="s">
        <v>919</v>
      </c>
      <c r="G1852" s="606" t="s">
        <v>1085</v>
      </c>
      <c r="H1852" s="606" t="s">
        <v>1914</v>
      </c>
      <c r="I1852" s="606" t="s">
        <v>1087</v>
      </c>
      <c r="J1852" s="606" t="s">
        <v>1088</v>
      </c>
    </row>
    <row r="1853" spans="2:10" ht="21" customHeight="1">
      <c r="B1853" s="605" t="s">
        <v>4731</v>
      </c>
      <c r="C1853" s="606" t="s">
        <v>11</v>
      </c>
      <c r="D1853" s="605" t="s">
        <v>1511</v>
      </c>
      <c r="E1853" s="606" t="s">
        <v>920</v>
      </c>
      <c r="F1853" s="606" t="s">
        <v>920</v>
      </c>
      <c r="G1853" s="606" t="s">
        <v>3959</v>
      </c>
      <c r="H1853" s="606" t="s">
        <v>4633</v>
      </c>
      <c r="I1853" s="606" t="s">
        <v>3961</v>
      </c>
      <c r="J1853" s="606" t="s">
        <v>3962</v>
      </c>
    </row>
    <row r="1854" spans="2:10" ht="21" customHeight="1">
      <c r="B1854" s="605" t="s">
        <v>4732</v>
      </c>
      <c r="C1854" s="606" t="s">
        <v>11</v>
      </c>
      <c r="D1854" s="605" t="s">
        <v>1511</v>
      </c>
      <c r="E1854" s="606" t="s">
        <v>4733</v>
      </c>
      <c r="F1854" s="606" t="s">
        <v>4733</v>
      </c>
      <c r="G1854" s="606" t="s">
        <v>3959</v>
      </c>
      <c r="H1854" s="606" t="s">
        <v>4633</v>
      </c>
      <c r="I1854" s="606" t="s">
        <v>3961</v>
      </c>
      <c r="J1854" s="606" t="s">
        <v>3962</v>
      </c>
    </row>
    <row r="1855" spans="2:10" ht="21" customHeight="1">
      <c r="B1855" s="605" t="s">
        <v>4734</v>
      </c>
      <c r="C1855" s="606" t="s">
        <v>11</v>
      </c>
      <c r="D1855" s="605" t="s">
        <v>1511</v>
      </c>
      <c r="E1855" s="606" t="s">
        <v>4735</v>
      </c>
      <c r="F1855" s="606" t="s">
        <v>4736</v>
      </c>
      <c r="G1855" s="606" t="s">
        <v>3959</v>
      </c>
      <c r="H1855" s="606" t="s">
        <v>4633</v>
      </c>
      <c r="I1855" s="606" t="s">
        <v>3961</v>
      </c>
      <c r="J1855" s="606" t="s">
        <v>3962</v>
      </c>
    </row>
    <row r="1856" spans="2:10" ht="21" customHeight="1">
      <c r="B1856" s="605" t="s">
        <v>4737</v>
      </c>
      <c r="C1856" s="606" t="s">
        <v>11</v>
      </c>
      <c r="D1856" s="605" t="s">
        <v>1511</v>
      </c>
      <c r="E1856" s="606" t="s">
        <v>923</v>
      </c>
      <c r="F1856" s="606" t="s">
        <v>923</v>
      </c>
      <c r="G1856" s="606" t="s">
        <v>3959</v>
      </c>
      <c r="H1856" s="606" t="s">
        <v>4633</v>
      </c>
      <c r="I1856" s="606" t="s">
        <v>3961</v>
      </c>
      <c r="J1856" s="606" t="s">
        <v>3962</v>
      </c>
    </row>
    <row r="1857" spans="2:10" ht="21" customHeight="1">
      <c r="B1857" s="605" t="s">
        <v>4738</v>
      </c>
      <c r="C1857" s="606" t="s">
        <v>11</v>
      </c>
      <c r="D1857" s="605" t="s">
        <v>1511</v>
      </c>
      <c r="E1857" s="606" t="s">
        <v>1534</v>
      </c>
      <c r="F1857" s="606" t="s">
        <v>1535</v>
      </c>
      <c r="G1857" s="606" t="s">
        <v>1151</v>
      </c>
      <c r="H1857" s="606" t="s">
        <v>1518</v>
      </c>
      <c r="I1857" s="606" t="s">
        <v>1087</v>
      </c>
      <c r="J1857" s="606" t="s">
        <v>1153</v>
      </c>
    </row>
    <row r="1858" spans="2:10" ht="21" customHeight="1">
      <c r="B1858" s="605" t="s">
        <v>4739</v>
      </c>
      <c r="C1858" s="606" t="s">
        <v>11</v>
      </c>
      <c r="D1858" s="605" t="s">
        <v>1511</v>
      </c>
      <c r="E1858" s="606" t="s">
        <v>4740</v>
      </c>
      <c r="F1858" s="606" t="s">
        <v>4740</v>
      </c>
      <c r="G1858" s="606" t="s">
        <v>1085</v>
      </c>
      <c r="H1858" s="606" t="s">
        <v>1914</v>
      </c>
      <c r="I1858" s="606" t="s">
        <v>1087</v>
      </c>
      <c r="J1858" s="606" t="s">
        <v>1088</v>
      </c>
    </row>
    <row r="1859" spans="2:10" ht="21" customHeight="1">
      <c r="B1859" s="605" t="s">
        <v>4741</v>
      </c>
      <c r="C1859" s="606" t="s">
        <v>11</v>
      </c>
      <c r="D1859" s="605" t="s">
        <v>1511</v>
      </c>
      <c r="E1859" s="606" t="s">
        <v>924</v>
      </c>
      <c r="F1859" s="606" t="s">
        <v>924</v>
      </c>
      <c r="G1859" s="606" t="s">
        <v>3959</v>
      </c>
      <c r="H1859" s="606" t="s">
        <v>4633</v>
      </c>
      <c r="I1859" s="606" t="s">
        <v>3961</v>
      </c>
      <c r="J1859" s="606" t="s">
        <v>3962</v>
      </c>
    </row>
    <row r="1860" spans="2:10" ht="21" customHeight="1">
      <c r="B1860" s="605" t="s">
        <v>4742</v>
      </c>
      <c r="C1860" s="606" t="s">
        <v>11</v>
      </c>
      <c r="D1860" s="605" t="s">
        <v>1511</v>
      </c>
      <c r="E1860" s="606" t="s">
        <v>4743</v>
      </c>
      <c r="F1860" s="606" t="s">
        <v>4743</v>
      </c>
      <c r="G1860" s="606" t="s">
        <v>1151</v>
      </c>
      <c r="H1860" s="606" t="s">
        <v>1518</v>
      </c>
      <c r="I1860" s="606" t="s">
        <v>1087</v>
      </c>
      <c r="J1860" s="606" t="s">
        <v>1153</v>
      </c>
    </row>
    <row r="1861" spans="2:10" ht="21" customHeight="1">
      <c r="B1861" s="605" t="s">
        <v>4744</v>
      </c>
      <c r="C1861" s="606" t="s">
        <v>11</v>
      </c>
      <c r="D1861" s="605" t="s">
        <v>1511</v>
      </c>
      <c r="E1861" s="606" t="s">
        <v>4745</v>
      </c>
      <c r="F1861" s="606" t="s">
        <v>925</v>
      </c>
      <c r="G1861" s="606" t="s">
        <v>3959</v>
      </c>
      <c r="H1861" s="606" t="s">
        <v>4633</v>
      </c>
      <c r="I1861" s="606" t="s">
        <v>3961</v>
      </c>
      <c r="J1861" s="606" t="s">
        <v>3962</v>
      </c>
    </row>
    <row r="1862" spans="2:10" ht="21" customHeight="1">
      <c r="B1862" s="605" t="s">
        <v>4746</v>
      </c>
      <c r="C1862" s="606" t="s">
        <v>11</v>
      </c>
      <c r="D1862" s="605" t="s">
        <v>1511</v>
      </c>
      <c r="E1862" s="606" t="s">
        <v>1544</v>
      </c>
      <c r="F1862" s="606" t="s">
        <v>1544</v>
      </c>
      <c r="G1862" s="606" t="s">
        <v>1085</v>
      </c>
      <c r="H1862" s="606" t="s">
        <v>1914</v>
      </c>
      <c r="I1862" s="606" t="s">
        <v>1087</v>
      </c>
      <c r="J1862" s="606" t="s">
        <v>1088</v>
      </c>
    </row>
    <row r="1863" spans="2:10" ht="21" customHeight="1">
      <c r="B1863" s="605" t="s">
        <v>4747</v>
      </c>
      <c r="C1863" s="606" t="s">
        <v>11</v>
      </c>
      <c r="D1863" s="605" t="s">
        <v>1511</v>
      </c>
      <c r="E1863" s="606" t="s">
        <v>926</v>
      </c>
      <c r="F1863" s="606" t="s">
        <v>926</v>
      </c>
      <c r="G1863" s="606" t="s">
        <v>3959</v>
      </c>
      <c r="H1863" s="606" t="s">
        <v>4633</v>
      </c>
      <c r="I1863" s="606" t="s">
        <v>3961</v>
      </c>
      <c r="J1863" s="606" t="s">
        <v>3962</v>
      </c>
    </row>
    <row r="1864" spans="2:10" ht="21" customHeight="1">
      <c r="B1864" s="605" t="s">
        <v>4748</v>
      </c>
      <c r="C1864" s="606" t="s">
        <v>11</v>
      </c>
      <c r="D1864" s="605" t="s">
        <v>1511</v>
      </c>
      <c r="E1864" s="606" t="s">
        <v>4749</v>
      </c>
      <c r="F1864" s="606" t="s">
        <v>4749</v>
      </c>
      <c r="G1864" s="606" t="s">
        <v>3959</v>
      </c>
      <c r="H1864" s="606" t="s">
        <v>4633</v>
      </c>
      <c r="I1864" s="606" t="s">
        <v>3961</v>
      </c>
      <c r="J1864" s="606" t="s">
        <v>3962</v>
      </c>
    </row>
    <row r="1865" spans="2:10" ht="21" customHeight="1">
      <c r="B1865" s="605" t="s">
        <v>4750</v>
      </c>
      <c r="C1865" s="606" t="s">
        <v>11</v>
      </c>
      <c r="D1865" s="605" t="s">
        <v>1511</v>
      </c>
      <c r="E1865" s="606" t="s">
        <v>4751</v>
      </c>
      <c r="F1865" s="606" t="s">
        <v>4751</v>
      </c>
      <c r="G1865" s="606" t="s">
        <v>3959</v>
      </c>
      <c r="H1865" s="606" t="s">
        <v>4633</v>
      </c>
      <c r="I1865" s="606" t="s">
        <v>3961</v>
      </c>
      <c r="J1865" s="606" t="s">
        <v>3962</v>
      </c>
    </row>
    <row r="1866" spans="2:10" ht="21" customHeight="1">
      <c r="B1866" s="605" t="s">
        <v>4752</v>
      </c>
      <c r="C1866" s="606" t="s">
        <v>11</v>
      </c>
      <c r="D1866" s="605" t="s">
        <v>1511</v>
      </c>
      <c r="E1866" s="606" t="s">
        <v>1952</v>
      </c>
      <c r="F1866" s="606" t="s">
        <v>1952</v>
      </c>
      <c r="G1866" s="606" t="s">
        <v>1085</v>
      </c>
      <c r="H1866" s="606" t="s">
        <v>1914</v>
      </c>
      <c r="I1866" s="606" t="s">
        <v>1087</v>
      </c>
      <c r="J1866" s="606" t="s">
        <v>1088</v>
      </c>
    </row>
    <row r="1867" spans="2:10" ht="21" customHeight="1">
      <c r="B1867" s="605" t="s">
        <v>4753</v>
      </c>
      <c r="C1867" s="606" t="s">
        <v>11</v>
      </c>
      <c r="D1867" s="605" t="s">
        <v>1511</v>
      </c>
      <c r="E1867" s="606" t="s">
        <v>4754</v>
      </c>
      <c r="F1867" s="606" t="s">
        <v>4754</v>
      </c>
      <c r="G1867" s="606" t="s">
        <v>3959</v>
      </c>
      <c r="H1867" s="606" t="s">
        <v>4633</v>
      </c>
      <c r="I1867" s="606" t="s">
        <v>3961</v>
      </c>
      <c r="J1867" s="606" t="s">
        <v>3962</v>
      </c>
    </row>
    <row r="1868" spans="2:10" ht="21" customHeight="1">
      <c r="B1868" s="605" t="s">
        <v>4755</v>
      </c>
      <c r="C1868" s="606" t="s">
        <v>11</v>
      </c>
      <c r="D1868" s="605" t="s">
        <v>1511</v>
      </c>
      <c r="E1868" s="606" t="s">
        <v>995</v>
      </c>
      <c r="F1868" s="606" t="s">
        <v>995</v>
      </c>
      <c r="G1868" s="606" t="s">
        <v>3959</v>
      </c>
      <c r="H1868" s="606" t="s">
        <v>4633</v>
      </c>
      <c r="I1868" s="606" t="s">
        <v>3961</v>
      </c>
      <c r="J1868" s="606" t="s">
        <v>3962</v>
      </c>
    </row>
    <row r="1869" spans="2:10" ht="21" customHeight="1">
      <c r="B1869" s="605" t="s">
        <v>4756</v>
      </c>
      <c r="C1869" s="606" t="s">
        <v>11</v>
      </c>
      <c r="D1869" s="605" t="s">
        <v>1511</v>
      </c>
      <c r="E1869" s="606" t="s">
        <v>1055</v>
      </c>
      <c r="F1869" s="606" t="s">
        <v>1055</v>
      </c>
      <c r="G1869" s="606" t="s">
        <v>3959</v>
      </c>
      <c r="H1869" s="606" t="s">
        <v>4633</v>
      </c>
      <c r="I1869" s="606" t="s">
        <v>3961</v>
      </c>
      <c r="J1869" s="606" t="s">
        <v>3962</v>
      </c>
    </row>
    <row r="1870" spans="2:10" ht="21" customHeight="1">
      <c r="B1870" s="605" t="s">
        <v>4757</v>
      </c>
      <c r="C1870" s="606" t="s">
        <v>11</v>
      </c>
      <c r="D1870" s="605" t="s">
        <v>1511</v>
      </c>
      <c r="E1870" s="606" t="s">
        <v>931</v>
      </c>
      <c r="F1870" s="606" t="s">
        <v>931</v>
      </c>
      <c r="G1870" s="606" t="s">
        <v>3959</v>
      </c>
      <c r="H1870" s="606" t="s">
        <v>4633</v>
      </c>
      <c r="I1870" s="606" t="s">
        <v>3961</v>
      </c>
      <c r="J1870" s="606" t="s">
        <v>3962</v>
      </c>
    </row>
    <row r="1871" spans="2:10" ht="21" customHeight="1">
      <c r="B1871" s="605" t="s">
        <v>4758</v>
      </c>
      <c r="C1871" s="606" t="s">
        <v>11</v>
      </c>
      <c r="D1871" s="605" t="s">
        <v>1511</v>
      </c>
      <c r="E1871" s="606" t="s">
        <v>4759</v>
      </c>
      <c r="F1871" s="606" t="s">
        <v>4759</v>
      </c>
      <c r="G1871" s="606" t="s">
        <v>3959</v>
      </c>
      <c r="H1871" s="606" t="s">
        <v>4633</v>
      </c>
      <c r="I1871" s="606" t="s">
        <v>3961</v>
      </c>
      <c r="J1871" s="606" t="s">
        <v>3962</v>
      </c>
    </row>
    <row r="1872" spans="2:10" ht="21" customHeight="1">
      <c r="B1872" s="605" t="s">
        <v>4760</v>
      </c>
      <c r="C1872" s="606" t="s">
        <v>11</v>
      </c>
      <c r="D1872" s="605" t="s">
        <v>1511</v>
      </c>
      <c r="E1872" s="606" t="s">
        <v>4761</v>
      </c>
      <c r="F1872" s="606" t="s">
        <v>4762</v>
      </c>
      <c r="G1872" s="606" t="s">
        <v>1085</v>
      </c>
      <c r="H1872" s="606" t="s">
        <v>1914</v>
      </c>
      <c r="I1872" s="606" t="s">
        <v>1087</v>
      </c>
      <c r="J1872" s="606" t="s">
        <v>1088</v>
      </c>
    </row>
    <row r="1873" spans="2:10" ht="21" customHeight="1">
      <c r="B1873" s="605" t="s">
        <v>4763</v>
      </c>
      <c r="C1873" s="606" t="s">
        <v>11</v>
      </c>
      <c r="D1873" s="605" t="s">
        <v>1511</v>
      </c>
      <c r="E1873" s="606" t="s">
        <v>1433</v>
      </c>
      <c r="F1873" s="606" t="s">
        <v>1433</v>
      </c>
      <c r="G1873" s="606" t="s">
        <v>1085</v>
      </c>
      <c r="H1873" s="606" t="s">
        <v>1914</v>
      </c>
      <c r="I1873" s="606" t="s">
        <v>1087</v>
      </c>
      <c r="J1873" s="606" t="s">
        <v>1088</v>
      </c>
    </row>
    <row r="1874" spans="2:10" ht="21" customHeight="1">
      <c r="B1874" s="605" t="s">
        <v>4764</v>
      </c>
      <c r="C1874" s="606" t="s">
        <v>11</v>
      </c>
      <c r="D1874" s="605" t="s">
        <v>1511</v>
      </c>
      <c r="E1874" s="606" t="s">
        <v>4765</v>
      </c>
      <c r="F1874" s="606" t="s">
        <v>4765</v>
      </c>
      <c r="G1874" s="606" t="s">
        <v>1085</v>
      </c>
      <c r="H1874" s="606" t="s">
        <v>1914</v>
      </c>
      <c r="I1874" s="606" t="s">
        <v>1087</v>
      </c>
      <c r="J1874" s="606" t="s">
        <v>1088</v>
      </c>
    </row>
    <row r="1875" spans="2:10" ht="21" customHeight="1">
      <c r="B1875" s="605" t="s">
        <v>4766</v>
      </c>
      <c r="C1875" s="606" t="s">
        <v>11</v>
      </c>
      <c r="D1875" s="605" t="s">
        <v>1960</v>
      </c>
      <c r="E1875" s="606" t="s">
        <v>1961</v>
      </c>
      <c r="F1875" s="606" t="s">
        <v>1961</v>
      </c>
      <c r="G1875" s="606" t="s">
        <v>1151</v>
      </c>
      <c r="H1875" s="606" t="s">
        <v>1962</v>
      </c>
      <c r="I1875" s="606" t="s">
        <v>1087</v>
      </c>
      <c r="J1875" s="606" t="s">
        <v>1153</v>
      </c>
    </row>
    <row r="1876" spans="2:10" ht="21" customHeight="1">
      <c r="B1876" s="605" t="s">
        <v>4767</v>
      </c>
      <c r="C1876" s="606" t="s">
        <v>11</v>
      </c>
      <c r="D1876" s="605" t="s">
        <v>1960</v>
      </c>
      <c r="E1876" s="606" t="s">
        <v>1964</v>
      </c>
      <c r="F1876" s="606" t="s">
        <v>1965</v>
      </c>
      <c r="G1876" s="606" t="s">
        <v>1151</v>
      </c>
      <c r="H1876" s="606" t="s">
        <v>1962</v>
      </c>
      <c r="I1876" s="606" t="s">
        <v>1087</v>
      </c>
      <c r="J1876" s="606" t="s">
        <v>1153</v>
      </c>
    </row>
    <row r="1877" spans="2:10" ht="21" customHeight="1">
      <c r="B1877" s="605" t="s">
        <v>4768</v>
      </c>
      <c r="C1877" s="606" t="s">
        <v>11</v>
      </c>
      <c r="D1877" s="605" t="s">
        <v>1960</v>
      </c>
      <c r="E1877" s="606" t="s">
        <v>1967</v>
      </c>
      <c r="F1877" s="606" t="s">
        <v>1968</v>
      </c>
      <c r="G1877" s="606" t="s">
        <v>1151</v>
      </c>
      <c r="H1877" s="606" t="s">
        <v>1962</v>
      </c>
      <c r="I1877" s="606" t="s">
        <v>1087</v>
      </c>
      <c r="J1877" s="606" t="s">
        <v>1153</v>
      </c>
    </row>
    <row r="1878" spans="2:10" ht="21" customHeight="1">
      <c r="B1878" s="605" t="s">
        <v>4769</v>
      </c>
      <c r="C1878" s="606" t="s">
        <v>11</v>
      </c>
      <c r="D1878" s="605" t="s">
        <v>1960</v>
      </c>
      <c r="E1878" s="606" t="s">
        <v>1970</v>
      </c>
      <c r="F1878" s="606" t="s">
        <v>1971</v>
      </c>
      <c r="G1878" s="606" t="s">
        <v>1151</v>
      </c>
      <c r="H1878" s="606" t="s">
        <v>1962</v>
      </c>
      <c r="I1878" s="606" t="s">
        <v>1087</v>
      </c>
      <c r="J1878" s="606" t="s">
        <v>1153</v>
      </c>
    </row>
    <row r="1879" spans="2:10" ht="21" customHeight="1">
      <c r="B1879" s="605" t="s">
        <v>4770</v>
      </c>
      <c r="C1879" s="606" t="s">
        <v>11</v>
      </c>
      <c r="D1879" s="605" t="s">
        <v>1960</v>
      </c>
      <c r="E1879" s="606" t="s">
        <v>1478</v>
      </c>
      <c r="F1879" s="606" t="s">
        <v>860</v>
      </c>
      <c r="G1879" s="606" t="s">
        <v>1151</v>
      </c>
      <c r="H1879" s="606" t="s">
        <v>1962</v>
      </c>
      <c r="I1879" s="606" t="s">
        <v>1087</v>
      </c>
      <c r="J1879" s="606" t="s">
        <v>1153</v>
      </c>
    </row>
    <row r="1880" spans="2:10" ht="21" customHeight="1">
      <c r="B1880" s="605" t="s">
        <v>4771</v>
      </c>
      <c r="C1880" s="606" t="s">
        <v>11</v>
      </c>
      <c r="D1880" s="605" t="s">
        <v>1960</v>
      </c>
      <c r="E1880" s="606" t="s">
        <v>857</v>
      </c>
      <c r="F1880" s="606" t="s">
        <v>861</v>
      </c>
      <c r="G1880" s="606" t="s">
        <v>1151</v>
      </c>
      <c r="H1880" s="606" t="s">
        <v>1962</v>
      </c>
      <c r="I1880" s="606" t="s">
        <v>1087</v>
      </c>
      <c r="J1880" s="606" t="s">
        <v>1153</v>
      </c>
    </row>
    <row r="1881" spans="2:10" ht="21" customHeight="1">
      <c r="B1881" s="605" t="s">
        <v>4772</v>
      </c>
      <c r="C1881" s="606" t="s">
        <v>11</v>
      </c>
      <c r="D1881" s="605" t="s">
        <v>1960</v>
      </c>
      <c r="E1881" s="606" t="s">
        <v>1486</v>
      </c>
      <c r="F1881" s="606" t="s">
        <v>864</v>
      </c>
      <c r="G1881" s="606" t="s">
        <v>1151</v>
      </c>
      <c r="H1881" s="606" t="s">
        <v>1962</v>
      </c>
      <c r="I1881" s="606" t="s">
        <v>1087</v>
      </c>
      <c r="J1881" s="606" t="s">
        <v>1153</v>
      </c>
    </row>
    <row r="1882" spans="2:10" ht="21" customHeight="1">
      <c r="B1882" s="605" t="s">
        <v>4773</v>
      </c>
      <c r="C1882" s="606" t="s">
        <v>11</v>
      </c>
      <c r="D1882" s="605" t="s">
        <v>1960</v>
      </c>
      <c r="E1882" s="606" t="s">
        <v>1976</v>
      </c>
      <c r="F1882" s="606" t="s">
        <v>1976</v>
      </c>
      <c r="G1882" s="606" t="s">
        <v>1151</v>
      </c>
      <c r="H1882" s="606" t="s">
        <v>1962</v>
      </c>
      <c r="I1882" s="606" t="s">
        <v>1087</v>
      </c>
      <c r="J1882" s="606" t="s">
        <v>1153</v>
      </c>
    </row>
    <row r="1883" spans="2:10" ht="21" customHeight="1">
      <c r="B1883" s="605" t="s">
        <v>4774</v>
      </c>
      <c r="C1883" s="606" t="s">
        <v>11</v>
      </c>
      <c r="D1883" s="605" t="s">
        <v>1960</v>
      </c>
      <c r="E1883" s="606" t="s">
        <v>1978</v>
      </c>
      <c r="F1883" s="606" t="s">
        <v>1978</v>
      </c>
      <c r="G1883" s="606" t="s">
        <v>1151</v>
      </c>
      <c r="H1883" s="606" t="s">
        <v>1962</v>
      </c>
      <c r="I1883" s="606" t="s">
        <v>1087</v>
      </c>
      <c r="J1883" s="606" t="s">
        <v>1153</v>
      </c>
    </row>
    <row r="1884" spans="2:10" ht="21" customHeight="1">
      <c r="B1884" s="605" t="s">
        <v>4775</v>
      </c>
      <c r="C1884" s="606" t="s">
        <v>241</v>
      </c>
      <c r="D1884" s="605" t="s">
        <v>689</v>
      </c>
      <c r="E1884" s="606" t="s">
        <v>294</v>
      </c>
      <c r="F1884" s="606" t="s">
        <v>294</v>
      </c>
      <c r="G1884" s="606" t="s">
        <v>1151</v>
      </c>
      <c r="H1884" s="606" t="s">
        <v>1152</v>
      </c>
      <c r="I1884" s="606" t="s">
        <v>1087</v>
      </c>
      <c r="J1884" s="606" t="s">
        <v>1153</v>
      </c>
    </row>
    <row r="1885" spans="2:10" ht="21" customHeight="1">
      <c r="B1885" s="605" t="s">
        <v>4776</v>
      </c>
      <c r="C1885" s="606" t="s">
        <v>241</v>
      </c>
      <c r="D1885" s="605" t="s">
        <v>689</v>
      </c>
      <c r="E1885" s="606" t="s">
        <v>4777</v>
      </c>
      <c r="F1885" s="606" t="s">
        <v>4777</v>
      </c>
      <c r="G1885" s="606" t="s">
        <v>1151</v>
      </c>
      <c r="H1885" s="606" t="s">
        <v>1152</v>
      </c>
      <c r="I1885" s="606" t="s">
        <v>1087</v>
      </c>
      <c r="J1885" s="606" t="s">
        <v>1153</v>
      </c>
    </row>
    <row r="1886" spans="2:10" ht="21" customHeight="1">
      <c r="B1886" s="605" t="s">
        <v>4778</v>
      </c>
      <c r="C1886" s="606" t="s">
        <v>241</v>
      </c>
      <c r="D1886" s="605" t="s">
        <v>689</v>
      </c>
      <c r="E1886" s="606" t="s">
        <v>24</v>
      </c>
      <c r="F1886" s="606" t="s">
        <v>24</v>
      </c>
      <c r="G1886" s="606" t="s">
        <v>1085</v>
      </c>
      <c r="H1886" s="606" t="s">
        <v>4779</v>
      </c>
      <c r="I1886" s="606" t="s">
        <v>1087</v>
      </c>
      <c r="J1886" s="606" t="s">
        <v>1088</v>
      </c>
    </row>
    <row r="1887" spans="2:10" ht="21" customHeight="1">
      <c r="B1887" s="605" t="s">
        <v>4780</v>
      </c>
      <c r="C1887" s="606" t="s">
        <v>241</v>
      </c>
      <c r="D1887" s="605" t="s">
        <v>689</v>
      </c>
      <c r="E1887" s="606" t="s">
        <v>34</v>
      </c>
      <c r="F1887" s="606" t="s">
        <v>34</v>
      </c>
      <c r="G1887" s="606" t="s">
        <v>1085</v>
      </c>
      <c r="H1887" s="606" t="s">
        <v>4779</v>
      </c>
      <c r="I1887" s="606" t="s">
        <v>1087</v>
      </c>
      <c r="J1887" s="606" t="s">
        <v>1088</v>
      </c>
    </row>
    <row r="1888" spans="2:10" ht="21" customHeight="1">
      <c r="B1888" s="605" t="s">
        <v>4781</v>
      </c>
      <c r="C1888" s="606" t="s">
        <v>241</v>
      </c>
      <c r="D1888" s="605" t="s">
        <v>689</v>
      </c>
      <c r="E1888" s="606" t="s">
        <v>4782</v>
      </c>
      <c r="F1888" s="606" t="s">
        <v>4782</v>
      </c>
      <c r="G1888" s="606" t="s">
        <v>1085</v>
      </c>
      <c r="H1888" s="606" t="s">
        <v>4779</v>
      </c>
      <c r="I1888" s="606" t="s">
        <v>1087</v>
      </c>
      <c r="J1888" s="606" t="s">
        <v>1088</v>
      </c>
    </row>
    <row r="1889" spans="2:10" ht="21" customHeight="1">
      <c r="B1889" s="605" t="s">
        <v>4783</v>
      </c>
      <c r="C1889" s="606" t="s">
        <v>241</v>
      </c>
      <c r="D1889" s="605" t="s">
        <v>689</v>
      </c>
      <c r="E1889" s="606" t="s">
        <v>4784</v>
      </c>
      <c r="F1889" s="606" t="s">
        <v>4784</v>
      </c>
      <c r="G1889" s="606" t="s">
        <v>1085</v>
      </c>
      <c r="H1889" s="606" t="s">
        <v>4779</v>
      </c>
      <c r="I1889" s="606" t="s">
        <v>1087</v>
      </c>
      <c r="J1889" s="606" t="s">
        <v>1088</v>
      </c>
    </row>
    <row r="1890" spans="2:10" ht="21" customHeight="1">
      <c r="B1890" s="605" t="s">
        <v>4785</v>
      </c>
      <c r="C1890" s="606" t="s">
        <v>241</v>
      </c>
      <c r="D1890" s="605" t="s">
        <v>689</v>
      </c>
      <c r="E1890" s="606" t="s">
        <v>295</v>
      </c>
      <c r="F1890" s="606" t="s">
        <v>295</v>
      </c>
      <c r="G1890" s="606" t="s">
        <v>1151</v>
      </c>
      <c r="H1890" s="606" t="s">
        <v>1152</v>
      </c>
      <c r="I1890" s="606" t="s">
        <v>1087</v>
      </c>
      <c r="J1890" s="606" t="s">
        <v>1153</v>
      </c>
    </row>
    <row r="1891" spans="2:10" ht="21" customHeight="1">
      <c r="B1891" s="605" t="s">
        <v>4786</v>
      </c>
      <c r="C1891" s="606" t="s">
        <v>241</v>
      </c>
      <c r="D1891" s="605" t="s">
        <v>689</v>
      </c>
      <c r="E1891" s="606" t="s">
        <v>4787</v>
      </c>
      <c r="F1891" s="606" t="s">
        <v>4787</v>
      </c>
      <c r="G1891" s="606" t="s">
        <v>1151</v>
      </c>
      <c r="H1891" s="606" t="s">
        <v>1152</v>
      </c>
      <c r="I1891" s="606" t="s">
        <v>1087</v>
      </c>
      <c r="J1891" s="606" t="s">
        <v>1153</v>
      </c>
    </row>
    <row r="1892" spans="2:10" ht="21" customHeight="1">
      <c r="B1892" s="605" t="s">
        <v>4788</v>
      </c>
      <c r="C1892" s="606" t="s">
        <v>241</v>
      </c>
      <c r="D1892" s="605" t="s">
        <v>689</v>
      </c>
      <c r="E1892" s="606" t="s">
        <v>97</v>
      </c>
      <c r="F1892" s="606" t="s">
        <v>97</v>
      </c>
      <c r="G1892" s="606" t="s">
        <v>1085</v>
      </c>
      <c r="H1892" s="606" t="s">
        <v>4779</v>
      </c>
      <c r="I1892" s="606" t="s">
        <v>1087</v>
      </c>
      <c r="J1892" s="606" t="s">
        <v>1088</v>
      </c>
    </row>
    <row r="1893" spans="2:10" ht="21" customHeight="1">
      <c r="B1893" s="605" t="s">
        <v>4789</v>
      </c>
      <c r="C1893" s="606" t="s">
        <v>241</v>
      </c>
      <c r="D1893" s="605" t="s">
        <v>689</v>
      </c>
      <c r="E1893" s="606" t="s">
        <v>112</v>
      </c>
      <c r="F1893" s="606" t="s">
        <v>112</v>
      </c>
      <c r="G1893" s="606" t="s">
        <v>1085</v>
      </c>
      <c r="H1893" s="606" t="s">
        <v>4779</v>
      </c>
      <c r="I1893" s="606" t="s">
        <v>1087</v>
      </c>
      <c r="J1893" s="606" t="s">
        <v>1088</v>
      </c>
    </row>
    <row r="1894" spans="2:10" ht="21" customHeight="1">
      <c r="B1894" s="605" t="s">
        <v>4790</v>
      </c>
      <c r="C1894" s="606" t="s">
        <v>241</v>
      </c>
      <c r="D1894" s="605" t="s">
        <v>689</v>
      </c>
      <c r="E1894" s="606" t="s">
        <v>296</v>
      </c>
      <c r="F1894" s="606" t="s">
        <v>296</v>
      </c>
      <c r="G1894" s="606" t="s">
        <v>1151</v>
      </c>
      <c r="H1894" s="606" t="s">
        <v>1152</v>
      </c>
      <c r="I1894" s="606" t="s">
        <v>1087</v>
      </c>
      <c r="J1894" s="606" t="s">
        <v>1153</v>
      </c>
    </row>
    <row r="1895" spans="2:10" ht="21" customHeight="1">
      <c r="B1895" s="605" t="s">
        <v>4791</v>
      </c>
      <c r="C1895" s="606" t="s">
        <v>241</v>
      </c>
      <c r="D1895" s="605" t="s">
        <v>689</v>
      </c>
      <c r="E1895" s="606" t="s">
        <v>4792</v>
      </c>
      <c r="F1895" s="606" t="s">
        <v>4792</v>
      </c>
      <c r="G1895" s="606" t="s">
        <v>1151</v>
      </c>
      <c r="H1895" s="606" t="s">
        <v>1152</v>
      </c>
      <c r="I1895" s="606" t="s">
        <v>1087</v>
      </c>
      <c r="J1895" s="606" t="s">
        <v>1153</v>
      </c>
    </row>
    <row r="1896" spans="2:10" ht="21" customHeight="1">
      <c r="B1896" s="605" t="s">
        <v>4793</v>
      </c>
      <c r="C1896" s="606" t="s">
        <v>241</v>
      </c>
      <c r="D1896" s="605" t="s">
        <v>689</v>
      </c>
      <c r="E1896" s="606" t="s">
        <v>4794</v>
      </c>
      <c r="F1896" s="606" t="s">
        <v>4794</v>
      </c>
      <c r="G1896" s="606" t="s">
        <v>1085</v>
      </c>
      <c r="H1896" s="606" t="s">
        <v>4779</v>
      </c>
      <c r="I1896" s="606" t="s">
        <v>1087</v>
      </c>
      <c r="J1896" s="606" t="s">
        <v>1088</v>
      </c>
    </row>
    <row r="1897" spans="2:10" ht="21" customHeight="1">
      <c r="B1897" s="605" t="s">
        <v>4795</v>
      </c>
      <c r="C1897" s="606" t="s">
        <v>241</v>
      </c>
      <c r="D1897" s="605" t="s">
        <v>689</v>
      </c>
      <c r="E1897" s="606" t="s">
        <v>4796</v>
      </c>
      <c r="F1897" s="606" t="s">
        <v>4796</v>
      </c>
      <c r="G1897" s="606" t="s">
        <v>1085</v>
      </c>
      <c r="H1897" s="606" t="s">
        <v>4779</v>
      </c>
      <c r="I1897" s="606" t="s">
        <v>1087</v>
      </c>
      <c r="J1897" s="606" t="s">
        <v>1088</v>
      </c>
    </row>
    <row r="1898" spans="2:10" ht="21" customHeight="1">
      <c r="B1898" s="605" t="s">
        <v>4797</v>
      </c>
      <c r="C1898" s="606" t="s">
        <v>241</v>
      </c>
      <c r="D1898" s="605" t="s">
        <v>689</v>
      </c>
      <c r="E1898" s="606" t="s">
        <v>706</v>
      </c>
      <c r="F1898" s="606" t="s">
        <v>706</v>
      </c>
      <c r="G1898" s="606" t="s">
        <v>1085</v>
      </c>
      <c r="H1898" s="606" t="s">
        <v>4779</v>
      </c>
      <c r="I1898" s="606" t="s">
        <v>1087</v>
      </c>
      <c r="J1898" s="606" t="s">
        <v>1088</v>
      </c>
    </row>
    <row r="1899" spans="2:10" ht="21" customHeight="1">
      <c r="B1899" s="605" t="s">
        <v>4798</v>
      </c>
      <c r="C1899" s="606" t="s">
        <v>241</v>
      </c>
      <c r="D1899" s="605" t="s">
        <v>689</v>
      </c>
      <c r="E1899" s="606" t="s">
        <v>705</v>
      </c>
      <c r="F1899" s="606" t="s">
        <v>705</v>
      </c>
      <c r="G1899" s="606" t="s">
        <v>1085</v>
      </c>
      <c r="H1899" s="606" t="s">
        <v>4779</v>
      </c>
      <c r="I1899" s="606" t="s">
        <v>1087</v>
      </c>
      <c r="J1899" s="606" t="s">
        <v>1088</v>
      </c>
    </row>
    <row r="1900" spans="2:10" ht="21" customHeight="1">
      <c r="B1900" s="605" t="s">
        <v>4799</v>
      </c>
      <c r="C1900" s="606" t="s">
        <v>241</v>
      </c>
      <c r="D1900" s="605" t="s">
        <v>689</v>
      </c>
      <c r="E1900" s="606" t="s">
        <v>878</v>
      </c>
      <c r="F1900" s="606" t="s">
        <v>878</v>
      </c>
      <c r="G1900" s="606" t="s">
        <v>1085</v>
      </c>
      <c r="H1900" s="606" t="s">
        <v>4779</v>
      </c>
      <c r="I1900" s="606" t="s">
        <v>1087</v>
      </c>
      <c r="J1900" s="606" t="s">
        <v>1088</v>
      </c>
    </row>
    <row r="1901" spans="2:10" ht="21" customHeight="1">
      <c r="B1901" s="605" t="s">
        <v>4800</v>
      </c>
      <c r="C1901" s="606" t="s">
        <v>241</v>
      </c>
      <c r="D1901" s="605" t="s">
        <v>689</v>
      </c>
      <c r="E1901" s="606" t="s">
        <v>297</v>
      </c>
      <c r="F1901" s="606" t="s">
        <v>297</v>
      </c>
      <c r="G1901" s="606" t="s">
        <v>1085</v>
      </c>
      <c r="H1901" s="606" t="s">
        <v>4779</v>
      </c>
      <c r="I1901" s="606" t="s">
        <v>1087</v>
      </c>
      <c r="J1901" s="606" t="s">
        <v>1088</v>
      </c>
    </row>
    <row r="1902" spans="2:10" ht="21" customHeight="1">
      <c r="B1902" s="605" t="s">
        <v>4801</v>
      </c>
      <c r="C1902" s="606" t="s">
        <v>241</v>
      </c>
      <c r="D1902" s="605" t="s">
        <v>689</v>
      </c>
      <c r="E1902" s="606" t="s">
        <v>298</v>
      </c>
      <c r="F1902" s="606" t="s">
        <v>298</v>
      </c>
      <c r="G1902" s="606" t="s">
        <v>1151</v>
      </c>
      <c r="H1902" s="606" t="s">
        <v>1152</v>
      </c>
      <c r="I1902" s="606" t="s">
        <v>1087</v>
      </c>
      <c r="J1902" s="606" t="s">
        <v>1153</v>
      </c>
    </row>
    <row r="1903" spans="2:10" ht="21" customHeight="1">
      <c r="B1903" s="605" t="s">
        <v>4802</v>
      </c>
      <c r="C1903" s="606" t="s">
        <v>241</v>
      </c>
      <c r="D1903" s="605" t="s">
        <v>689</v>
      </c>
      <c r="E1903" s="606" t="s">
        <v>4803</v>
      </c>
      <c r="F1903" s="606" t="s">
        <v>4803</v>
      </c>
      <c r="G1903" s="606" t="s">
        <v>1151</v>
      </c>
      <c r="H1903" s="606" t="s">
        <v>1152</v>
      </c>
      <c r="I1903" s="606" t="s">
        <v>1087</v>
      </c>
      <c r="J1903" s="606" t="s">
        <v>1153</v>
      </c>
    </row>
    <row r="1904" spans="2:10" ht="21" customHeight="1">
      <c r="B1904" s="605" t="s">
        <v>4804</v>
      </c>
      <c r="C1904" s="606" t="s">
        <v>241</v>
      </c>
      <c r="D1904" s="605" t="s">
        <v>689</v>
      </c>
      <c r="E1904" s="606" t="s">
        <v>4805</v>
      </c>
      <c r="F1904" s="606" t="s">
        <v>4805</v>
      </c>
      <c r="G1904" s="606" t="s">
        <v>1085</v>
      </c>
      <c r="H1904" s="606" t="s">
        <v>4779</v>
      </c>
      <c r="I1904" s="606" t="s">
        <v>1087</v>
      </c>
      <c r="J1904" s="606" t="s">
        <v>1088</v>
      </c>
    </row>
    <row r="1905" spans="2:10" ht="21" customHeight="1">
      <c r="B1905" s="605" t="s">
        <v>4806</v>
      </c>
      <c r="C1905" s="606" t="s">
        <v>241</v>
      </c>
      <c r="D1905" s="605" t="s">
        <v>689</v>
      </c>
      <c r="E1905" s="606" t="s">
        <v>4807</v>
      </c>
      <c r="F1905" s="606" t="s">
        <v>4807</v>
      </c>
      <c r="G1905" s="606" t="s">
        <v>1085</v>
      </c>
      <c r="H1905" s="606" t="s">
        <v>4779</v>
      </c>
      <c r="I1905" s="606" t="s">
        <v>1087</v>
      </c>
      <c r="J1905" s="606" t="s">
        <v>1088</v>
      </c>
    </row>
    <row r="1906" spans="2:10" ht="21" customHeight="1">
      <c r="B1906" s="605" t="s">
        <v>4808</v>
      </c>
      <c r="C1906" s="606" t="s">
        <v>241</v>
      </c>
      <c r="D1906" s="605" t="s">
        <v>689</v>
      </c>
      <c r="E1906" s="606" t="s">
        <v>147</v>
      </c>
      <c r="F1906" s="606" t="s">
        <v>147</v>
      </c>
      <c r="G1906" s="606" t="s">
        <v>1085</v>
      </c>
      <c r="H1906" s="606" t="s">
        <v>4779</v>
      </c>
      <c r="I1906" s="606" t="s">
        <v>1087</v>
      </c>
      <c r="J1906" s="606" t="s">
        <v>1088</v>
      </c>
    </row>
    <row r="1907" spans="2:10" ht="21" customHeight="1">
      <c r="B1907" s="605" t="s">
        <v>4809</v>
      </c>
      <c r="C1907" s="606" t="s">
        <v>241</v>
      </c>
      <c r="D1907" s="605" t="s">
        <v>689</v>
      </c>
      <c r="E1907" s="606" t="s">
        <v>181</v>
      </c>
      <c r="F1907" s="606" t="s">
        <v>181</v>
      </c>
      <c r="G1907" s="606" t="s">
        <v>1085</v>
      </c>
      <c r="H1907" s="606" t="s">
        <v>4779</v>
      </c>
      <c r="I1907" s="606" t="s">
        <v>1087</v>
      </c>
      <c r="J1907" s="606" t="s">
        <v>1088</v>
      </c>
    </row>
    <row r="1908" spans="2:10" ht="21" customHeight="1">
      <c r="B1908" s="605" t="s">
        <v>4810</v>
      </c>
      <c r="C1908" s="606" t="s">
        <v>241</v>
      </c>
      <c r="D1908" s="605" t="s">
        <v>689</v>
      </c>
      <c r="E1908" s="606" t="s">
        <v>190</v>
      </c>
      <c r="F1908" s="606" t="s">
        <v>190</v>
      </c>
      <c r="G1908" s="606" t="s">
        <v>1085</v>
      </c>
      <c r="H1908" s="606" t="s">
        <v>4779</v>
      </c>
      <c r="I1908" s="606" t="s">
        <v>1087</v>
      </c>
      <c r="J1908" s="606" t="s">
        <v>1088</v>
      </c>
    </row>
    <row r="1909" spans="2:10" ht="21" customHeight="1">
      <c r="B1909" s="605" t="s">
        <v>4811</v>
      </c>
      <c r="C1909" s="606" t="s">
        <v>241</v>
      </c>
      <c r="D1909" s="605" t="s">
        <v>689</v>
      </c>
      <c r="E1909" s="606" t="s">
        <v>4812</v>
      </c>
      <c r="F1909" s="606" t="s">
        <v>4812</v>
      </c>
      <c r="G1909" s="606" t="s">
        <v>1151</v>
      </c>
      <c r="H1909" s="606" t="s">
        <v>1152</v>
      </c>
      <c r="I1909" s="606" t="s">
        <v>1087</v>
      </c>
      <c r="J1909" s="606" t="s">
        <v>1153</v>
      </c>
    </row>
    <row r="1910" spans="2:10" ht="21" customHeight="1">
      <c r="B1910" s="605" t="s">
        <v>4813</v>
      </c>
      <c r="C1910" s="606" t="s">
        <v>241</v>
      </c>
      <c r="D1910" s="605" t="s">
        <v>689</v>
      </c>
      <c r="E1910" s="606" t="s">
        <v>4814</v>
      </c>
      <c r="F1910" s="606" t="s">
        <v>4814</v>
      </c>
      <c r="G1910" s="606" t="s">
        <v>1151</v>
      </c>
      <c r="H1910" s="606" t="s">
        <v>1152</v>
      </c>
      <c r="I1910" s="606" t="s">
        <v>1087</v>
      </c>
      <c r="J1910" s="606" t="s">
        <v>1153</v>
      </c>
    </row>
    <row r="1911" spans="2:10" ht="21" customHeight="1">
      <c r="B1911" s="605" t="s">
        <v>4815</v>
      </c>
      <c r="C1911" s="606" t="s">
        <v>241</v>
      </c>
      <c r="D1911" s="605" t="s">
        <v>689</v>
      </c>
      <c r="E1911" s="606" t="s">
        <v>300</v>
      </c>
      <c r="F1911" s="606" t="s">
        <v>300</v>
      </c>
      <c r="G1911" s="606" t="s">
        <v>1085</v>
      </c>
      <c r="H1911" s="606" t="s">
        <v>4779</v>
      </c>
      <c r="I1911" s="606" t="s">
        <v>1087</v>
      </c>
      <c r="J1911" s="606" t="s">
        <v>1088</v>
      </c>
    </row>
    <row r="1912" spans="2:10" ht="21" customHeight="1">
      <c r="B1912" s="605" t="s">
        <v>4816</v>
      </c>
      <c r="C1912" s="606" t="s">
        <v>241</v>
      </c>
      <c r="D1912" s="605" t="s">
        <v>689</v>
      </c>
      <c r="E1912" s="606" t="s">
        <v>4817</v>
      </c>
      <c r="F1912" s="606" t="s">
        <v>4817</v>
      </c>
      <c r="G1912" s="606" t="s">
        <v>1085</v>
      </c>
      <c r="H1912" s="606" t="s">
        <v>4779</v>
      </c>
      <c r="I1912" s="606" t="s">
        <v>1087</v>
      </c>
      <c r="J1912" s="606" t="s">
        <v>1088</v>
      </c>
    </row>
    <row r="1913" spans="2:10" ht="21" customHeight="1">
      <c r="B1913" s="605" t="s">
        <v>4818</v>
      </c>
      <c r="C1913" s="606" t="s">
        <v>241</v>
      </c>
      <c r="D1913" s="605" t="s">
        <v>689</v>
      </c>
      <c r="E1913" s="606" t="s">
        <v>196</v>
      </c>
      <c r="F1913" s="606" t="s">
        <v>196</v>
      </c>
      <c r="G1913" s="606" t="s">
        <v>1085</v>
      </c>
      <c r="H1913" s="606" t="s">
        <v>4779</v>
      </c>
      <c r="I1913" s="606" t="s">
        <v>1087</v>
      </c>
      <c r="J1913" s="606" t="s">
        <v>1088</v>
      </c>
    </row>
    <row r="1914" spans="2:10" ht="21" customHeight="1">
      <c r="B1914" s="605" t="s">
        <v>4819</v>
      </c>
      <c r="C1914" s="606" t="s">
        <v>241</v>
      </c>
      <c r="D1914" s="605" t="s">
        <v>689</v>
      </c>
      <c r="E1914" s="606" t="s">
        <v>200</v>
      </c>
      <c r="F1914" s="606" t="s">
        <v>200</v>
      </c>
      <c r="G1914" s="606" t="s">
        <v>1085</v>
      </c>
      <c r="H1914" s="606" t="s">
        <v>4779</v>
      </c>
      <c r="I1914" s="606" t="s">
        <v>1087</v>
      </c>
      <c r="J1914" s="606" t="s">
        <v>1088</v>
      </c>
    </row>
    <row r="1915" spans="2:10" ht="21" customHeight="1">
      <c r="B1915" s="605" t="s">
        <v>4820</v>
      </c>
      <c r="C1915" s="606" t="s">
        <v>241</v>
      </c>
      <c r="D1915" s="605" t="s">
        <v>689</v>
      </c>
      <c r="E1915" s="606" t="s">
        <v>203</v>
      </c>
      <c r="F1915" s="606" t="s">
        <v>203</v>
      </c>
      <c r="G1915" s="606" t="s">
        <v>1085</v>
      </c>
      <c r="H1915" s="606" t="s">
        <v>4779</v>
      </c>
      <c r="I1915" s="606" t="s">
        <v>1087</v>
      </c>
      <c r="J1915" s="606" t="s">
        <v>1088</v>
      </c>
    </row>
    <row r="1916" spans="2:10" ht="21" customHeight="1">
      <c r="B1916" s="605" t="s">
        <v>4821</v>
      </c>
      <c r="C1916" s="606" t="s">
        <v>241</v>
      </c>
      <c r="D1916" s="605" t="s">
        <v>689</v>
      </c>
      <c r="E1916" s="606" t="s">
        <v>206</v>
      </c>
      <c r="F1916" s="606" t="s">
        <v>206</v>
      </c>
      <c r="G1916" s="606" t="s">
        <v>1085</v>
      </c>
      <c r="H1916" s="606" t="s">
        <v>4779</v>
      </c>
      <c r="I1916" s="606" t="s">
        <v>1087</v>
      </c>
      <c r="J1916" s="606" t="s">
        <v>1088</v>
      </c>
    </row>
    <row r="1917" spans="2:10" ht="21" customHeight="1">
      <c r="B1917" s="605" t="s">
        <v>4822</v>
      </c>
      <c r="C1917" s="606" t="s">
        <v>241</v>
      </c>
      <c r="D1917" s="605" t="s">
        <v>689</v>
      </c>
      <c r="E1917" s="606" t="s">
        <v>209</v>
      </c>
      <c r="F1917" s="606" t="s">
        <v>209</v>
      </c>
      <c r="G1917" s="606" t="s">
        <v>1085</v>
      </c>
      <c r="H1917" s="606" t="s">
        <v>4779</v>
      </c>
      <c r="I1917" s="606" t="s">
        <v>1087</v>
      </c>
      <c r="J1917" s="606" t="s">
        <v>1088</v>
      </c>
    </row>
    <row r="1918" spans="2:10" ht="21" customHeight="1">
      <c r="B1918" s="605" t="s">
        <v>4823</v>
      </c>
      <c r="C1918" s="606" t="s">
        <v>241</v>
      </c>
      <c r="D1918" s="605" t="s">
        <v>689</v>
      </c>
      <c r="E1918" s="606" t="s">
        <v>301</v>
      </c>
      <c r="F1918" s="606" t="s">
        <v>212</v>
      </c>
      <c r="G1918" s="606" t="s">
        <v>1085</v>
      </c>
      <c r="H1918" s="606" t="s">
        <v>4779</v>
      </c>
      <c r="I1918" s="606" t="s">
        <v>1087</v>
      </c>
      <c r="J1918" s="606" t="s">
        <v>1088</v>
      </c>
    </row>
    <row r="1919" spans="2:10" ht="21" customHeight="1">
      <c r="B1919" s="605" t="s">
        <v>4824</v>
      </c>
      <c r="C1919" s="606" t="s">
        <v>241</v>
      </c>
      <c r="D1919" s="605" t="s">
        <v>689</v>
      </c>
      <c r="E1919" s="606" t="s">
        <v>4825</v>
      </c>
      <c r="F1919" s="606" t="s">
        <v>213</v>
      </c>
      <c r="G1919" s="606" t="s">
        <v>1085</v>
      </c>
      <c r="H1919" s="606" t="s">
        <v>4779</v>
      </c>
      <c r="I1919" s="606" t="s">
        <v>1087</v>
      </c>
      <c r="J1919" s="606" t="s">
        <v>1088</v>
      </c>
    </row>
    <row r="1920" spans="2:10" ht="21" customHeight="1">
      <c r="B1920" s="605" t="s">
        <v>4826</v>
      </c>
      <c r="C1920" s="606" t="s">
        <v>241</v>
      </c>
      <c r="D1920" s="605" t="s">
        <v>689</v>
      </c>
      <c r="E1920" s="606" t="s">
        <v>215</v>
      </c>
      <c r="F1920" s="606" t="s">
        <v>215</v>
      </c>
      <c r="G1920" s="606" t="s">
        <v>1085</v>
      </c>
      <c r="H1920" s="606" t="s">
        <v>4779</v>
      </c>
      <c r="I1920" s="606" t="s">
        <v>1087</v>
      </c>
      <c r="J1920" s="606" t="s">
        <v>1088</v>
      </c>
    </row>
    <row r="1921" spans="2:10" ht="21" customHeight="1">
      <c r="B1921" s="605" t="s">
        <v>4827</v>
      </c>
      <c r="C1921" s="606" t="s">
        <v>241</v>
      </c>
      <c r="D1921" s="605" t="s">
        <v>689</v>
      </c>
      <c r="E1921" s="606" t="s">
        <v>302</v>
      </c>
      <c r="F1921" s="606" t="s">
        <v>302</v>
      </c>
      <c r="G1921" s="606" t="s">
        <v>1085</v>
      </c>
      <c r="H1921" s="606" t="s">
        <v>4779</v>
      </c>
      <c r="I1921" s="606" t="s">
        <v>1087</v>
      </c>
      <c r="J1921" s="606" t="s">
        <v>1088</v>
      </c>
    </row>
    <row r="1922" spans="2:10" ht="21" customHeight="1">
      <c r="B1922" s="605" t="s">
        <v>4828</v>
      </c>
      <c r="C1922" s="606" t="s">
        <v>241</v>
      </c>
      <c r="D1922" s="605" t="s">
        <v>689</v>
      </c>
      <c r="E1922" s="606" t="s">
        <v>4829</v>
      </c>
      <c r="F1922" s="606" t="s">
        <v>4829</v>
      </c>
      <c r="G1922" s="606" t="s">
        <v>1085</v>
      </c>
      <c r="H1922" s="606" t="s">
        <v>4779</v>
      </c>
      <c r="I1922" s="606" t="s">
        <v>1087</v>
      </c>
      <c r="J1922" s="606" t="s">
        <v>1088</v>
      </c>
    </row>
    <row r="1923" spans="2:10" ht="21" customHeight="1">
      <c r="B1923" s="605" t="s">
        <v>4830</v>
      </c>
      <c r="C1923" s="606" t="s">
        <v>241</v>
      </c>
      <c r="D1923" s="605" t="s">
        <v>689</v>
      </c>
      <c r="E1923" s="606" t="s">
        <v>4831</v>
      </c>
      <c r="F1923" s="606" t="s">
        <v>4831</v>
      </c>
      <c r="G1923" s="606" t="s">
        <v>1085</v>
      </c>
      <c r="H1923" s="606" t="s">
        <v>4779</v>
      </c>
      <c r="I1923" s="606" t="s">
        <v>1087</v>
      </c>
      <c r="J1923" s="606" t="s">
        <v>1088</v>
      </c>
    </row>
    <row r="1924" spans="2:10" ht="21" customHeight="1">
      <c r="B1924" s="605" t="s">
        <v>4832</v>
      </c>
      <c r="C1924" s="606" t="s">
        <v>241</v>
      </c>
      <c r="D1924" s="605" t="s">
        <v>689</v>
      </c>
      <c r="E1924" s="606" t="s">
        <v>4833</v>
      </c>
      <c r="F1924" s="606" t="s">
        <v>303</v>
      </c>
      <c r="G1924" s="606" t="s">
        <v>1085</v>
      </c>
      <c r="H1924" s="606" t="s">
        <v>4779</v>
      </c>
      <c r="I1924" s="606" t="s">
        <v>1087</v>
      </c>
      <c r="J1924" s="606" t="s">
        <v>1088</v>
      </c>
    </row>
    <row r="1925" spans="2:10" ht="21" customHeight="1">
      <c r="B1925" s="605" t="s">
        <v>4834</v>
      </c>
      <c r="C1925" s="606" t="s">
        <v>241</v>
      </c>
      <c r="D1925" s="605" t="s">
        <v>689</v>
      </c>
      <c r="E1925" s="606" t="s">
        <v>4835</v>
      </c>
      <c r="F1925" s="606" t="s">
        <v>217</v>
      </c>
      <c r="G1925" s="606" t="s">
        <v>1085</v>
      </c>
      <c r="H1925" s="606" t="s">
        <v>4779</v>
      </c>
      <c r="I1925" s="606" t="s">
        <v>1087</v>
      </c>
      <c r="J1925" s="606" t="s">
        <v>1088</v>
      </c>
    </row>
    <row r="1926" spans="2:10" ht="21" customHeight="1">
      <c r="B1926" s="605" t="s">
        <v>4836</v>
      </c>
      <c r="C1926" s="606" t="s">
        <v>241</v>
      </c>
      <c r="D1926" s="605" t="s">
        <v>689</v>
      </c>
      <c r="E1926" s="606" t="s">
        <v>4837</v>
      </c>
      <c r="F1926" s="606" t="s">
        <v>219</v>
      </c>
      <c r="G1926" s="606" t="s">
        <v>1085</v>
      </c>
      <c r="H1926" s="606" t="s">
        <v>4779</v>
      </c>
      <c r="I1926" s="606" t="s">
        <v>1087</v>
      </c>
      <c r="J1926" s="606" t="s">
        <v>1088</v>
      </c>
    </row>
    <row r="1927" spans="2:10" ht="21" customHeight="1">
      <c r="B1927" s="605" t="s">
        <v>4838</v>
      </c>
      <c r="C1927" s="606" t="s">
        <v>241</v>
      </c>
      <c r="D1927" s="605" t="s">
        <v>689</v>
      </c>
      <c r="E1927" s="606" t="s">
        <v>221</v>
      </c>
      <c r="F1927" s="606" t="s">
        <v>221</v>
      </c>
      <c r="G1927" s="606" t="s">
        <v>1151</v>
      </c>
      <c r="H1927" s="606" t="s">
        <v>1152</v>
      </c>
      <c r="I1927" s="606" t="s">
        <v>1087</v>
      </c>
      <c r="J1927" s="606" t="s">
        <v>1153</v>
      </c>
    </row>
    <row r="1928" spans="2:10" ht="21" customHeight="1">
      <c r="B1928" s="605" t="s">
        <v>4839</v>
      </c>
      <c r="C1928" s="606" t="s">
        <v>241</v>
      </c>
      <c r="D1928" s="605" t="s">
        <v>689</v>
      </c>
      <c r="E1928" s="606" t="s">
        <v>222</v>
      </c>
      <c r="F1928" s="606" t="s">
        <v>222</v>
      </c>
      <c r="G1928" s="606" t="s">
        <v>1085</v>
      </c>
      <c r="H1928" s="606" t="s">
        <v>4779</v>
      </c>
      <c r="I1928" s="606" t="s">
        <v>1087</v>
      </c>
      <c r="J1928" s="606" t="s">
        <v>1088</v>
      </c>
    </row>
    <row r="1929" spans="2:10" ht="21" customHeight="1">
      <c r="B1929" s="605" t="s">
        <v>4840</v>
      </c>
      <c r="C1929" s="606" t="s">
        <v>241</v>
      </c>
      <c r="D1929" s="605" t="s">
        <v>689</v>
      </c>
      <c r="E1929" s="606" t="s">
        <v>223</v>
      </c>
      <c r="F1929" s="606" t="s">
        <v>223</v>
      </c>
      <c r="G1929" s="606" t="s">
        <v>1085</v>
      </c>
      <c r="H1929" s="606" t="s">
        <v>4779</v>
      </c>
      <c r="I1929" s="606" t="s">
        <v>1087</v>
      </c>
      <c r="J1929" s="606" t="s">
        <v>1088</v>
      </c>
    </row>
    <row r="1930" spans="2:10" ht="21" customHeight="1">
      <c r="B1930" s="605" t="s">
        <v>4841</v>
      </c>
      <c r="C1930" s="606" t="s">
        <v>241</v>
      </c>
      <c r="D1930" s="605" t="s">
        <v>689</v>
      </c>
      <c r="E1930" s="606" t="s">
        <v>304</v>
      </c>
      <c r="F1930" s="606" t="s">
        <v>304</v>
      </c>
      <c r="G1930" s="606" t="s">
        <v>1151</v>
      </c>
      <c r="H1930" s="606" t="s">
        <v>1152</v>
      </c>
      <c r="I1930" s="606" t="s">
        <v>1087</v>
      </c>
      <c r="J1930" s="606" t="s">
        <v>1153</v>
      </c>
    </row>
    <row r="1931" spans="2:10" ht="21" customHeight="1">
      <c r="B1931" s="605" t="s">
        <v>4842</v>
      </c>
      <c r="C1931" s="606" t="s">
        <v>241</v>
      </c>
      <c r="D1931" s="605" t="s">
        <v>689</v>
      </c>
      <c r="E1931" s="606" t="s">
        <v>4843</v>
      </c>
      <c r="F1931" s="606" t="s">
        <v>4843</v>
      </c>
      <c r="G1931" s="606" t="s">
        <v>1151</v>
      </c>
      <c r="H1931" s="606" t="s">
        <v>1152</v>
      </c>
      <c r="I1931" s="606" t="s">
        <v>1087</v>
      </c>
      <c r="J1931" s="606" t="s">
        <v>1153</v>
      </c>
    </row>
    <row r="1932" spans="2:10" ht="21" customHeight="1">
      <c r="B1932" s="605" t="s">
        <v>4844</v>
      </c>
      <c r="C1932" s="606" t="s">
        <v>241</v>
      </c>
      <c r="D1932" s="605" t="s">
        <v>689</v>
      </c>
      <c r="E1932" s="606" t="s">
        <v>224</v>
      </c>
      <c r="F1932" s="606" t="s">
        <v>224</v>
      </c>
      <c r="G1932" s="606" t="s">
        <v>1085</v>
      </c>
      <c r="H1932" s="606" t="s">
        <v>4779</v>
      </c>
      <c r="I1932" s="606" t="s">
        <v>1087</v>
      </c>
      <c r="J1932" s="606" t="s">
        <v>1088</v>
      </c>
    </row>
    <row r="1933" spans="2:10" ht="21" customHeight="1">
      <c r="B1933" s="605" t="s">
        <v>4845</v>
      </c>
      <c r="C1933" s="606" t="s">
        <v>241</v>
      </c>
      <c r="D1933" s="605" t="s">
        <v>689</v>
      </c>
      <c r="E1933" s="606" t="s">
        <v>225</v>
      </c>
      <c r="F1933" s="606" t="s">
        <v>225</v>
      </c>
      <c r="G1933" s="606" t="s">
        <v>1085</v>
      </c>
      <c r="H1933" s="606" t="s">
        <v>4779</v>
      </c>
      <c r="I1933" s="606" t="s">
        <v>1087</v>
      </c>
      <c r="J1933" s="606" t="s">
        <v>1088</v>
      </c>
    </row>
    <row r="1934" spans="2:10" ht="21" customHeight="1">
      <c r="B1934" s="605" t="s">
        <v>4846</v>
      </c>
      <c r="C1934" s="606" t="s">
        <v>241</v>
      </c>
      <c r="D1934" s="605" t="s">
        <v>689</v>
      </c>
      <c r="E1934" s="606" t="s">
        <v>4847</v>
      </c>
      <c r="F1934" s="606" t="s">
        <v>4847</v>
      </c>
      <c r="G1934" s="606" t="s">
        <v>1085</v>
      </c>
      <c r="H1934" s="606" t="s">
        <v>4779</v>
      </c>
      <c r="I1934" s="606" t="s">
        <v>1087</v>
      </c>
      <c r="J1934" s="606" t="s">
        <v>1088</v>
      </c>
    </row>
    <row r="1935" spans="2:10" ht="21" customHeight="1">
      <c r="B1935" s="605" t="s">
        <v>4848</v>
      </c>
      <c r="C1935" s="606" t="s">
        <v>241</v>
      </c>
      <c r="D1935" s="605" t="s">
        <v>689</v>
      </c>
      <c r="E1935" s="606" t="s">
        <v>4849</v>
      </c>
      <c r="F1935" s="606" t="s">
        <v>4849</v>
      </c>
      <c r="G1935" s="606" t="s">
        <v>1085</v>
      </c>
      <c r="H1935" s="606" t="s">
        <v>4779</v>
      </c>
      <c r="I1935" s="606" t="s">
        <v>1087</v>
      </c>
      <c r="J1935" s="606" t="s">
        <v>1088</v>
      </c>
    </row>
    <row r="1936" spans="2:10" ht="21" customHeight="1">
      <c r="B1936" s="605" t="s">
        <v>4850</v>
      </c>
      <c r="C1936" s="606" t="s">
        <v>241</v>
      </c>
      <c r="D1936" s="605" t="s">
        <v>689</v>
      </c>
      <c r="E1936" s="606" t="s">
        <v>4851</v>
      </c>
      <c r="F1936" s="606" t="s">
        <v>305</v>
      </c>
      <c r="G1936" s="606" t="s">
        <v>1085</v>
      </c>
      <c r="H1936" s="606" t="s">
        <v>4779</v>
      </c>
      <c r="I1936" s="606" t="s">
        <v>1087</v>
      </c>
      <c r="J1936" s="606" t="s">
        <v>1088</v>
      </c>
    </row>
    <row r="1937" spans="2:10" ht="21" customHeight="1">
      <c r="B1937" s="605" t="s">
        <v>4852</v>
      </c>
      <c r="C1937" s="606" t="s">
        <v>241</v>
      </c>
      <c r="D1937" s="605" t="s">
        <v>689</v>
      </c>
      <c r="E1937" s="606" t="s">
        <v>4853</v>
      </c>
      <c r="F1937" s="606" t="s">
        <v>4854</v>
      </c>
      <c r="G1937" s="606" t="s">
        <v>1085</v>
      </c>
      <c r="H1937" s="606" t="s">
        <v>4779</v>
      </c>
      <c r="I1937" s="606" t="s">
        <v>1087</v>
      </c>
      <c r="J1937" s="606" t="s">
        <v>1088</v>
      </c>
    </row>
    <row r="1938" spans="2:10" ht="21" customHeight="1">
      <c r="B1938" s="605" t="s">
        <v>4855</v>
      </c>
      <c r="C1938" s="606" t="s">
        <v>241</v>
      </c>
      <c r="D1938" s="605" t="s">
        <v>689</v>
      </c>
      <c r="E1938" s="606" t="s">
        <v>4856</v>
      </c>
      <c r="F1938" s="606" t="s">
        <v>4857</v>
      </c>
      <c r="G1938" s="606" t="s">
        <v>1085</v>
      </c>
      <c r="H1938" s="606" t="s">
        <v>4779</v>
      </c>
      <c r="I1938" s="606" t="s">
        <v>1087</v>
      </c>
      <c r="J1938" s="606" t="s">
        <v>1088</v>
      </c>
    </row>
    <row r="1939" spans="2:10" ht="21" customHeight="1">
      <c r="B1939" s="605" t="s">
        <v>4858</v>
      </c>
      <c r="C1939" s="606" t="s">
        <v>241</v>
      </c>
      <c r="D1939" s="605" t="s">
        <v>689</v>
      </c>
      <c r="E1939" s="606" t="s">
        <v>4859</v>
      </c>
      <c r="F1939" s="606" t="s">
        <v>4860</v>
      </c>
      <c r="G1939" s="606" t="s">
        <v>1085</v>
      </c>
      <c r="H1939" s="606" t="s">
        <v>4779</v>
      </c>
      <c r="I1939" s="606" t="s">
        <v>1087</v>
      </c>
      <c r="J1939" s="606" t="s">
        <v>1088</v>
      </c>
    </row>
    <row r="1940" spans="2:10" ht="21" customHeight="1">
      <c r="B1940" s="605" t="s">
        <v>4861</v>
      </c>
      <c r="C1940" s="606" t="s">
        <v>241</v>
      </c>
      <c r="D1940" s="605" t="s">
        <v>689</v>
      </c>
      <c r="E1940" s="606" t="s">
        <v>306</v>
      </c>
      <c r="F1940" s="606" t="s">
        <v>306</v>
      </c>
      <c r="G1940" s="606" t="s">
        <v>1151</v>
      </c>
      <c r="H1940" s="606" t="s">
        <v>1152</v>
      </c>
      <c r="I1940" s="606" t="s">
        <v>1087</v>
      </c>
      <c r="J1940" s="606" t="s">
        <v>1153</v>
      </c>
    </row>
    <row r="1941" spans="2:10" ht="21" customHeight="1">
      <c r="B1941" s="605" t="s">
        <v>4862</v>
      </c>
      <c r="C1941" s="606" t="s">
        <v>241</v>
      </c>
      <c r="D1941" s="605" t="s">
        <v>689</v>
      </c>
      <c r="E1941" s="606" t="s">
        <v>4863</v>
      </c>
      <c r="F1941" s="606" t="s">
        <v>4863</v>
      </c>
      <c r="G1941" s="606" t="s">
        <v>1151</v>
      </c>
      <c r="H1941" s="606" t="s">
        <v>1152</v>
      </c>
      <c r="I1941" s="606" t="s">
        <v>1087</v>
      </c>
      <c r="J1941" s="606" t="s">
        <v>1153</v>
      </c>
    </row>
    <row r="1942" spans="2:10" ht="21" customHeight="1">
      <c r="B1942" s="605" t="s">
        <v>4864</v>
      </c>
      <c r="C1942" s="606" t="s">
        <v>241</v>
      </c>
      <c r="D1942" s="605" t="s">
        <v>690</v>
      </c>
      <c r="E1942" s="606" t="s">
        <v>998</v>
      </c>
      <c r="F1942" s="606" t="s">
        <v>998</v>
      </c>
      <c r="G1942" s="606" t="s">
        <v>1085</v>
      </c>
      <c r="H1942" s="606" t="s">
        <v>4542</v>
      </c>
      <c r="I1942" s="606" t="s">
        <v>1087</v>
      </c>
      <c r="J1942" s="606" t="s">
        <v>1088</v>
      </c>
    </row>
    <row r="1943" spans="2:10" ht="21" customHeight="1">
      <c r="B1943" s="605" t="s">
        <v>4865</v>
      </c>
      <c r="C1943" s="606" t="s">
        <v>241</v>
      </c>
      <c r="D1943" s="605" t="s">
        <v>690</v>
      </c>
      <c r="E1943" s="606" t="s">
        <v>999</v>
      </c>
      <c r="F1943" s="606" t="s">
        <v>999</v>
      </c>
      <c r="G1943" s="606" t="s">
        <v>1085</v>
      </c>
      <c r="H1943" s="606" t="s">
        <v>4542</v>
      </c>
      <c r="I1943" s="606" t="s">
        <v>1087</v>
      </c>
      <c r="J1943" s="606" t="s">
        <v>1088</v>
      </c>
    </row>
    <row r="1944" spans="2:10" ht="21" customHeight="1">
      <c r="B1944" s="605" t="s">
        <v>4866</v>
      </c>
      <c r="C1944" s="606" t="s">
        <v>241</v>
      </c>
      <c r="D1944" s="605" t="s">
        <v>690</v>
      </c>
      <c r="E1944" s="606" t="s">
        <v>4867</v>
      </c>
      <c r="F1944" s="606" t="s">
        <v>98</v>
      </c>
      <c r="G1944" s="606" t="s">
        <v>1085</v>
      </c>
      <c r="H1944" s="606" t="s">
        <v>4542</v>
      </c>
      <c r="I1944" s="606" t="s">
        <v>1087</v>
      </c>
      <c r="J1944" s="606" t="s">
        <v>1088</v>
      </c>
    </row>
    <row r="1945" spans="2:10" ht="21" customHeight="1">
      <c r="B1945" s="605" t="s">
        <v>4868</v>
      </c>
      <c r="C1945" s="606" t="s">
        <v>241</v>
      </c>
      <c r="D1945" s="605" t="s">
        <v>690</v>
      </c>
      <c r="E1945" s="606" t="s">
        <v>4869</v>
      </c>
      <c r="F1945" s="606" t="s">
        <v>139</v>
      </c>
      <c r="G1945" s="606" t="s">
        <v>1085</v>
      </c>
      <c r="H1945" s="606" t="s">
        <v>4542</v>
      </c>
      <c r="I1945" s="606" t="s">
        <v>1087</v>
      </c>
      <c r="J1945" s="606" t="s">
        <v>1088</v>
      </c>
    </row>
    <row r="1946" spans="2:10" ht="21" customHeight="1">
      <c r="B1946" s="605" t="s">
        <v>4870</v>
      </c>
      <c r="C1946" s="606" t="s">
        <v>241</v>
      </c>
      <c r="D1946" s="605" t="s">
        <v>690</v>
      </c>
      <c r="E1946" s="606" t="s">
        <v>4579</v>
      </c>
      <c r="F1946" s="606" t="s">
        <v>79</v>
      </c>
      <c r="G1946" s="606" t="s">
        <v>1085</v>
      </c>
      <c r="H1946" s="606" t="s">
        <v>4542</v>
      </c>
      <c r="I1946" s="606" t="s">
        <v>1087</v>
      </c>
      <c r="J1946" s="606" t="s">
        <v>1088</v>
      </c>
    </row>
    <row r="1947" spans="2:10" ht="21" customHeight="1">
      <c r="B1947" s="605" t="s">
        <v>4871</v>
      </c>
      <c r="C1947" s="606" t="s">
        <v>241</v>
      </c>
      <c r="D1947" s="605" t="s">
        <v>690</v>
      </c>
      <c r="E1947" s="606" t="s">
        <v>4872</v>
      </c>
      <c r="F1947" s="606" t="s">
        <v>4872</v>
      </c>
      <c r="G1947" s="606" t="s">
        <v>1085</v>
      </c>
      <c r="H1947" s="606" t="s">
        <v>4542</v>
      </c>
      <c r="I1947" s="606" t="s">
        <v>1087</v>
      </c>
      <c r="J1947" s="606" t="s">
        <v>1088</v>
      </c>
    </row>
    <row r="1948" spans="2:10" ht="21" customHeight="1">
      <c r="B1948" s="605" t="s">
        <v>4873</v>
      </c>
      <c r="C1948" s="606" t="s">
        <v>241</v>
      </c>
      <c r="D1948" s="605" t="s">
        <v>690</v>
      </c>
      <c r="E1948" s="606" t="s">
        <v>4874</v>
      </c>
      <c r="F1948" s="606" t="s">
        <v>4874</v>
      </c>
      <c r="G1948" s="606" t="s">
        <v>1085</v>
      </c>
      <c r="H1948" s="606" t="s">
        <v>4542</v>
      </c>
      <c r="I1948" s="606" t="s">
        <v>1087</v>
      </c>
      <c r="J1948" s="606" t="s">
        <v>1088</v>
      </c>
    </row>
    <row r="1949" spans="2:10" ht="21" customHeight="1">
      <c r="B1949" s="605" t="s">
        <v>4875</v>
      </c>
      <c r="C1949" s="606" t="s">
        <v>241</v>
      </c>
      <c r="D1949" s="605" t="s">
        <v>690</v>
      </c>
      <c r="E1949" s="606" t="s">
        <v>72</v>
      </c>
      <c r="F1949" s="606" t="s">
        <v>72</v>
      </c>
      <c r="G1949" s="606" t="s">
        <v>1085</v>
      </c>
      <c r="H1949" s="606" t="s">
        <v>4542</v>
      </c>
      <c r="I1949" s="606" t="s">
        <v>1087</v>
      </c>
      <c r="J1949" s="606" t="s">
        <v>1088</v>
      </c>
    </row>
    <row r="1950" spans="2:10" ht="21" customHeight="1">
      <c r="B1950" s="605" t="s">
        <v>4876</v>
      </c>
      <c r="C1950" s="606" t="s">
        <v>241</v>
      </c>
      <c r="D1950" s="605" t="s">
        <v>690</v>
      </c>
      <c r="E1950" s="606" t="s">
        <v>124</v>
      </c>
      <c r="F1950" s="606" t="s">
        <v>124</v>
      </c>
      <c r="G1950" s="606" t="s">
        <v>1085</v>
      </c>
      <c r="H1950" s="606" t="s">
        <v>4542</v>
      </c>
      <c r="I1950" s="606" t="s">
        <v>1087</v>
      </c>
      <c r="J1950" s="606" t="s">
        <v>1088</v>
      </c>
    </row>
    <row r="1951" spans="2:10" ht="21" customHeight="1">
      <c r="B1951" s="605" t="s">
        <v>4877</v>
      </c>
      <c r="C1951" s="606" t="s">
        <v>241</v>
      </c>
      <c r="D1951" s="605" t="s">
        <v>690</v>
      </c>
      <c r="E1951" s="606" t="s">
        <v>113</v>
      </c>
      <c r="F1951" s="606" t="s">
        <v>113</v>
      </c>
      <c r="G1951" s="606" t="s">
        <v>1085</v>
      </c>
      <c r="H1951" s="606" t="s">
        <v>4542</v>
      </c>
      <c r="I1951" s="606" t="s">
        <v>1087</v>
      </c>
      <c r="J1951" s="606" t="s">
        <v>1088</v>
      </c>
    </row>
    <row r="1952" spans="2:10" ht="21" customHeight="1">
      <c r="B1952" s="605" t="s">
        <v>4878</v>
      </c>
      <c r="C1952" s="606" t="s">
        <v>241</v>
      </c>
      <c r="D1952" s="605" t="s">
        <v>690</v>
      </c>
      <c r="E1952" s="606" t="s">
        <v>126</v>
      </c>
      <c r="F1952" s="606" t="s">
        <v>126</v>
      </c>
      <c r="G1952" s="606" t="s">
        <v>1085</v>
      </c>
      <c r="H1952" s="606" t="s">
        <v>4542</v>
      </c>
      <c r="I1952" s="606" t="s">
        <v>1087</v>
      </c>
      <c r="J1952" s="606" t="s">
        <v>1088</v>
      </c>
    </row>
    <row r="1953" spans="2:10" ht="21" customHeight="1">
      <c r="B1953" s="605" t="s">
        <v>4879</v>
      </c>
      <c r="C1953" s="606" t="s">
        <v>241</v>
      </c>
      <c r="D1953" s="605" t="s">
        <v>690</v>
      </c>
      <c r="E1953" s="606" t="s">
        <v>163</v>
      </c>
      <c r="F1953" s="606" t="s">
        <v>163</v>
      </c>
      <c r="G1953" s="606" t="s">
        <v>1085</v>
      </c>
      <c r="H1953" s="606" t="s">
        <v>4542</v>
      </c>
      <c r="I1953" s="606" t="s">
        <v>1087</v>
      </c>
      <c r="J1953" s="606" t="s">
        <v>1088</v>
      </c>
    </row>
    <row r="1954" spans="2:10" ht="21" customHeight="1">
      <c r="B1954" s="605" t="s">
        <v>4880</v>
      </c>
      <c r="C1954" s="606" t="s">
        <v>241</v>
      </c>
      <c r="D1954" s="605" t="s">
        <v>690</v>
      </c>
      <c r="E1954" s="606" t="s">
        <v>4881</v>
      </c>
      <c r="F1954" s="606" t="s">
        <v>4882</v>
      </c>
      <c r="G1954" s="606" t="s">
        <v>1085</v>
      </c>
      <c r="H1954" s="606" t="s">
        <v>4542</v>
      </c>
      <c r="I1954" s="606" t="s">
        <v>1087</v>
      </c>
      <c r="J1954" s="606" t="s">
        <v>1088</v>
      </c>
    </row>
    <row r="1955" spans="2:10" ht="21" customHeight="1">
      <c r="B1955" s="605" t="s">
        <v>4883</v>
      </c>
      <c r="C1955" s="606" t="s">
        <v>241</v>
      </c>
      <c r="D1955" s="605" t="s">
        <v>690</v>
      </c>
      <c r="E1955" s="606" t="s">
        <v>60</v>
      </c>
      <c r="F1955" s="606" t="s">
        <v>60</v>
      </c>
      <c r="G1955" s="606" t="s">
        <v>1085</v>
      </c>
      <c r="H1955" s="606" t="s">
        <v>4542</v>
      </c>
      <c r="I1955" s="606" t="s">
        <v>1087</v>
      </c>
      <c r="J1955" s="606" t="s">
        <v>1088</v>
      </c>
    </row>
    <row r="1956" spans="2:10" ht="21" customHeight="1">
      <c r="B1956" s="605" t="s">
        <v>4884</v>
      </c>
      <c r="C1956" s="606" t="s">
        <v>241</v>
      </c>
      <c r="D1956" s="605" t="s">
        <v>690</v>
      </c>
      <c r="E1956" s="606" t="s">
        <v>4885</v>
      </c>
      <c r="F1956" s="606" t="s">
        <v>4885</v>
      </c>
      <c r="G1956" s="606" t="s">
        <v>1085</v>
      </c>
      <c r="H1956" s="606" t="s">
        <v>4542</v>
      </c>
      <c r="I1956" s="606" t="s">
        <v>1087</v>
      </c>
      <c r="J1956" s="606" t="s">
        <v>1088</v>
      </c>
    </row>
    <row r="1957" spans="2:10" ht="21" customHeight="1">
      <c r="B1957" s="605" t="s">
        <v>4886</v>
      </c>
      <c r="C1957" s="606" t="s">
        <v>241</v>
      </c>
      <c r="D1957" s="605" t="s">
        <v>690</v>
      </c>
      <c r="E1957" s="606" t="s">
        <v>4887</v>
      </c>
      <c r="F1957" s="606" t="s">
        <v>4887</v>
      </c>
      <c r="G1957" s="606" t="s">
        <v>1085</v>
      </c>
      <c r="H1957" s="606" t="s">
        <v>4542</v>
      </c>
      <c r="I1957" s="606" t="s">
        <v>1087</v>
      </c>
      <c r="J1957" s="606" t="s">
        <v>1088</v>
      </c>
    </row>
    <row r="1958" spans="2:10" ht="21" customHeight="1">
      <c r="B1958" s="605" t="s">
        <v>4888</v>
      </c>
      <c r="C1958" s="606" t="s">
        <v>241</v>
      </c>
      <c r="D1958" s="605" t="s">
        <v>690</v>
      </c>
      <c r="E1958" s="606" t="s">
        <v>53</v>
      </c>
      <c r="F1958" s="606" t="s">
        <v>53</v>
      </c>
      <c r="G1958" s="606" t="s">
        <v>1085</v>
      </c>
      <c r="H1958" s="606" t="s">
        <v>4542</v>
      </c>
      <c r="I1958" s="606" t="s">
        <v>1087</v>
      </c>
      <c r="J1958" s="606" t="s">
        <v>1088</v>
      </c>
    </row>
    <row r="1959" spans="2:10" ht="21" customHeight="1">
      <c r="B1959" s="605" t="s">
        <v>4889</v>
      </c>
      <c r="C1959" s="606" t="s">
        <v>241</v>
      </c>
      <c r="D1959" s="605" t="s">
        <v>690</v>
      </c>
      <c r="E1959" s="606" t="s">
        <v>28</v>
      </c>
      <c r="F1959" s="606" t="s">
        <v>28</v>
      </c>
      <c r="G1959" s="606" t="s">
        <v>1085</v>
      </c>
      <c r="H1959" s="606" t="s">
        <v>4542</v>
      </c>
      <c r="I1959" s="606" t="s">
        <v>1087</v>
      </c>
      <c r="J1959" s="606" t="s">
        <v>1088</v>
      </c>
    </row>
    <row r="1960" spans="2:10" ht="21" customHeight="1">
      <c r="B1960" s="605" t="s">
        <v>4890</v>
      </c>
      <c r="C1960" s="606" t="s">
        <v>241</v>
      </c>
      <c r="D1960" s="605" t="s">
        <v>690</v>
      </c>
      <c r="E1960" s="606" t="s">
        <v>39</v>
      </c>
      <c r="F1960" s="606" t="s">
        <v>39</v>
      </c>
      <c r="G1960" s="606" t="s">
        <v>1085</v>
      </c>
      <c r="H1960" s="606" t="s">
        <v>4542</v>
      </c>
      <c r="I1960" s="606" t="s">
        <v>1087</v>
      </c>
      <c r="J1960" s="606" t="s">
        <v>1088</v>
      </c>
    </row>
    <row r="1961" spans="2:10" ht="21" customHeight="1">
      <c r="B1961" s="605" t="s">
        <v>4891</v>
      </c>
      <c r="C1961" s="606" t="s">
        <v>241</v>
      </c>
      <c r="D1961" s="605" t="s">
        <v>690</v>
      </c>
      <c r="E1961" s="606" t="s">
        <v>4892</v>
      </c>
      <c r="F1961" s="606" t="s">
        <v>4892</v>
      </c>
      <c r="G1961" s="606" t="s">
        <v>1085</v>
      </c>
      <c r="H1961" s="606" t="s">
        <v>4542</v>
      </c>
      <c r="I1961" s="606" t="s">
        <v>1087</v>
      </c>
      <c r="J1961" s="606" t="s">
        <v>1088</v>
      </c>
    </row>
    <row r="1962" spans="2:10" ht="21" customHeight="1">
      <c r="B1962" s="605" t="s">
        <v>4893</v>
      </c>
      <c r="C1962" s="606" t="s">
        <v>241</v>
      </c>
      <c r="D1962" s="605" t="s">
        <v>690</v>
      </c>
      <c r="E1962" s="606" t="s">
        <v>4894</v>
      </c>
      <c r="F1962" s="606" t="s">
        <v>4894</v>
      </c>
      <c r="G1962" s="606" t="s">
        <v>1085</v>
      </c>
      <c r="H1962" s="606" t="s">
        <v>4542</v>
      </c>
      <c r="I1962" s="606" t="s">
        <v>1087</v>
      </c>
      <c r="J1962" s="606" t="s">
        <v>1088</v>
      </c>
    </row>
    <row r="1963" spans="2:10" ht="21" customHeight="1">
      <c r="B1963" s="605" t="s">
        <v>4895</v>
      </c>
      <c r="C1963" s="606" t="s">
        <v>241</v>
      </c>
      <c r="D1963" s="605" t="s">
        <v>690</v>
      </c>
      <c r="E1963" s="606" t="s">
        <v>104</v>
      </c>
      <c r="F1963" s="606" t="s">
        <v>104</v>
      </c>
      <c r="G1963" s="606" t="s">
        <v>1085</v>
      </c>
      <c r="H1963" s="606" t="s">
        <v>4542</v>
      </c>
      <c r="I1963" s="606" t="s">
        <v>1087</v>
      </c>
      <c r="J1963" s="606" t="s">
        <v>1088</v>
      </c>
    </row>
    <row r="1964" spans="2:10" ht="21" customHeight="1">
      <c r="B1964" s="605" t="s">
        <v>4896</v>
      </c>
      <c r="C1964" s="606" t="s">
        <v>241</v>
      </c>
      <c r="D1964" s="605" t="s">
        <v>690</v>
      </c>
      <c r="E1964" s="606" t="s">
        <v>4897</v>
      </c>
      <c r="F1964" s="606" t="s">
        <v>4897</v>
      </c>
      <c r="G1964" s="606" t="s">
        <v>1085</v>
      </c>
      <c r="H1964" s="606" t="s">
        <v>4542</v>
      </c>
      <c r="I1964" s="606" t="s">
        <v>1087</v>
      </c>
      <c r="J1964" s="606" t="s">
        <v>1088</v>
      </c>
    </row>
    <row r="1965" spans="2:10" ht="21" customHeight="1">
      <c r="B1965" s="605" t="s">
        <v>4898</v>
      </c>
      <c r="C1965" s="606" t="s">
        <v>241</v>
      </c>
      <c r="D1965" s="605" t="s">
        <v>1511</v>
      </c>
      <c r="E1965" s="606" t="s">
        <v>4899</v>
      </c>
      <c r="F1965" s="606" t="s">
        <v>4899</v>
      </c>
      <c r="G1965" s="606" t="s">
        <v>1085</v>
      </c>
      <c r="H1965" s="606" t="s">
        <v>3799</v>
      </c>
      <c r="I1965" s="606" t="s">
        <v>1087</v>
      </c>
      <c r="J1965" s="606" t="s">
        <v>1088</v>
      </c>
    </row>
    <row r="1966" spans="2:10" ht="21" customHeight="1">
      <c r="B1966" s="605" t="s">
        <v>4900</v>
      </c>
      <c r="C1966" s="606" t="s">
        <v>241</v>
      </c>
      <c r="D1966" s="605" t="s">
        <v>1511</v>
      </c>
      <c r="E1966" s="606" t="s">
        <v>4901</v>
      </c>
      <c r="F1966" s="606" t="s">
        <v>4902</v>
      </c>
      <c r="G1966" s="606" t="s">
        <v>1085</v>
      </c>
      <c r="H1966" s="606" t="s">
        <v>3799</v>
      </c>
      <c r="I1966" s="606" t="s">
        <v>1087</v>
      </c>
      <c r="J1966" s="606" t="s">
        <v>1088</v>
      </c>
    </row>
    <row r="1967" spans="2:10" ht="21" customHeight="1">
      <c r="B1967" s="605" t="s">
        <v>4903</v>
      </c>
      <c r="C1967" s="606" t="s">
        <v>241</v>
      </c>
      <c r="D1967" s="605" t="s">
        <v>1511</v>
      </c>
      <c r="E1967" s="606" t="s">
        <v>4904</v>
      </c>
      <c r="F1967" s="606" t="s">
        <v>4904</v>
      </c>
      <c r="G1967" s="606" t="s">
        <v>1085</v>
      </c>
      <c r="H1967" s="606" t="s">
        <v>3799</v>
      </c>
      <c r="I1967" s="606" t="s">
        <v>1087</v>
      </c>
      <c r="J1967" s="606" t="s">
        <v>1088</v>
      </c>
    </row>
    <row r="1968" spans="2:10" ht="21" customHeight="1">
      <c r="B1968" s="605" t="s">
        <v>4905</v>
      </c>
      <c r="C1968" s="606" t="s">
        <v>241</v>
      </c>
      <c r="D1968" s="605" t="s">
        <v>1511</v>
      </c>
      <c r="E1968" s="606" t="s">
        <v>876</v>
      </c>
      <c r="F1968" s="606" t="s">
        <v>876</v>
      </c>
      <c r="G1968" s="606" t="s">
        <v>1085</v>
      </c>
      <c r="H1968" s="606" t="s">
        <v>3799</v>
      </c>
      <c r="I1968" s="606" t="s">
        <v>1087</v>
      </c>
      <c r="J1968" s="606" t="s">
        <v>1088</v>
      </c>
    </row>
    <row r="1969" spans="2:10" ht="21" customHeight="1">
      <c r="B1969" s="605" t="s">
        <v>4906</v>
      </c>
      <c r="C1969" s="606" t="s">
        <v>241</v>
      </c>
      <c r="D1969" s="605" t="s">
        <v>1511</v>
      </c>
      <c r="E1969" s="606" t="s">
        <v>877</v>
      </c>
      <c r="F1969" s="606" t="s">
        <v>877</v>
      </c>
      <c r="G1969" s="606" t="s">
        <v>1085</v>
      </c>
      <c r="H1969" s="606" t="s">
        <v>3799</v>
      </c>
      <c r="I1969" s="606" t="s">
        <v>1087</v>
      </c>
      <c r="J1969" s="606" t="s">
        <v>1088</v>
      </c>
    </row>
    <row r="1970" spans="2:10" ht="21" customHeight="1">
      <c r="B1970" s="605" t="s">
        <v>4907</v>
      </c>
      <c r="C1970" s="606" t="s">
        <v>241</v>
      </c>
      <c r="D1970" s="605" t="s">
        <v>1511</v>
      </c>
      <c r="E1970" s="606" t="s">
        <v>4908</v>
      </c>
      <c r="F1970" s="606" t="s">
        <v>4908</v>
      </c>
      <c r="G1970" s="606" t="s">
        <v>1151</v>
      </c>
      <c r="H1970" s="606" t="s">
        <v>1518</v>
      </c>
      <c r="I1970" s="606" t="s">
        <v>1087</v>
      </c>
      <c r="J1970" s="606" t="s">
        <v>1153</v>
      </c>
    </row>
    <row r="1971" spans="2:10" ht="21" customHeight="1">
      <c r="B1971" s="605" t="s">
        <v>4909</v>
      </c>
      <c r="C1971" s="606" t="s">
        <v>241</v>
      </c>
      <c r="D1971" s="605" t="s">
        <v>1511</v>
      </c>
      <c r="E1971" s="606" t="s">
        <v>4910</v>
      </c>
      <c r="F1971" s="606" t="s">
        <v>4911</v>
      </c>
      <c r="G1971" s="606" t="s">
        <v>1085</v>
      </c>
      <c r="H1971" s="606" t="s">
        <v>3799</v>
      </c>
      <c r="I1971" s="606" t="s">
        <v>1087</v>
      </c>
      <c r="J1971" s="606" t="s">
        <v>1088</v>
      </c>
    </row>
    <row r="1972" spans="2:10" ht="21" customHeight="1">
      <c r="B1972" s="605" t="s">
        <v>4912</v>
      </c>
      <c r="C1972" s="606" t="s">
        <v>241</v>
      </c>
      <c r="D1972" s="605" t="s">
        <v>1511</v>
      </c>
      <c r="E1972" s="606" t="s">
        <v>4913</v>
      </c>
      <c r="F1972" s="606" t="s">
        <v>4913</v>
      </c>
      <c r="G1972" s="606" t="s">
        <v>1085</v>
      </c>
      <c r="H1972" s="606" t="s">
        <v>3799</v>
      </c>
      <c r="I1972" s="606" t="s">
        <v>1087</v>
      </c>
      <c r="J1972" s="606" t="s">
        <v>1088</v>
      </c>
    </row>
    <row r="1973" spans="2:10" ht="21" customHeight="1">
      <c r="B1973" s="605" t="s">
        <v>4914</v>
      </c>
      <c r="C1973" s="606" t="s">
        <v>241</v>
      </c>
      <c r="D1973" s="605" t="s">
        <v>1511</v>
      </c>
      <c r="E1973" s="606" t="s">
        <v>879</v>
      </c>
      <c r="F1973" s="606" t="s">
        <v>879</v>
      </c>
      <c r="G1973" s="606" t="s">
        <v>1085</v>
      </c>
      <c r="H1973" s="606" t="s">
        <v>3799</v>
      </c>
      <c r="I1973" s="606" t="s">
        <v>1087</v>
      </c>
      <c r="J1973" s="606" t="s">
        <v>1088</v>
      </c>
    </row>
    <row r="1974" spans="2:10" ht="21" customHeight="1">
      <c r="B1974" s="605" t="s">
        <v>4915</v>
      </c>
      <c r="C1974" s="606" t="s">
        <v>241</v>
      </c>
      <c r="D1974" s="605" t="s">
        <v>1511</v>
      </c>
      <c r="E1974" s="606" t="s">
        <v>4916</v>
      </c>
      <c r="F1974" s="606" t="s">
        <v>4916</v>
      </c>
      <c r="G1974" s="606" t="s">
        <v>1085</v>
      </c>
      <c r="H1974" s="606" t="s">
        <v>3799</v>
      </c>
      <c r="I1974" s="606" t="s">
        <v>1087</v>
      </c>
      <c r="J1974" s="606" t="s">
        <v>1088</v>
      </c>
    </row>
    <row r="1975" spans="2:10" ht="21" customHeight="1">
      <c r="B1975" s="605" t="s">
        <v>4917</v>
      </c>
      <c r="C1975" s="606" t="s">
        <v>241</v>
      </c>
      <c r="D1975" s="605" t="s">
        <v>1511</v>
      </c>
      <c r="E1975" s="606" t="s">
        <v>4918</v>
      </c>
      <c r="F1975" s="606" t="s">
        <v>4918</v>
      </c>
      <c r="G1975" s="606" t="s">
        <v>1085</v>
      </c>
      <c r="H1975" s="606" t="s">
        <v>3799</v>
      </c>
      <c r="I1975" s="606" t="s">
        <v>1087</v>
      </c>
      <c r="J1975" s="606" t="s">
        <v>1088</v>
      </c>
    </row>
    <row r="1976" spans="2:10" ht="21" customHeight="1">
      <c r="B1976" s="605" t="s">
        <v>4919</v>
      </c>
      <c r="C1976" s="606" t="s">
        <v>241</v>
      </c>
      <c r="D1976" s="605" t="s">
        <v>1511</v>
      </c>
      <c r="E1976" s="606" t="s">
        <v>4920</v>
      </c>
      <c r="F1976" s="606" t="s">
        <v>4920</v>
      </c>
      <c r="G1976" s="606" t="s">
        <v>1151</v>
      </c>
      <c r="H1976" s="606" t="s">
        <v>1518</v>
      </c>
      <c r="I1976" s="606" t="s">
        <v>1087</v>
      </c>
      <c r="J1976" s="606" t="s">
        <v>1153</v>
      </c>
    </row>
    <row r="1977" spans="2:10" ht="21" customHeight="1">
      <c r="B1977" s="605" t="s">
        <v>4921</v>
      </c>
      <c r="C1977" s="606" t="s">
        <v>241</v>
      </c>
      <c r="D1977" s="605" t="s">
        <v>1511</v>
      </c>
      <c r="E1977" s="606" t="s">
        <v>4922</v>
      </c>
      <c r="F1977" s="606" t="s">
        <v>4923</v>
      </c>
      <c r="G1977" s="606" t="s">
        <v>1085</v>
      </c>
      <c r="H1977" s="606" t="s">
        <v>3799</v>
      </c>
      <c r="I1977" s="606" t="s">
        <v>1087</v>
      </c>
      <c r="J1977" s="606" t="s">
        <v>1088</v>
      </c>
    </row>
    <row r="1978" spans="2:10" ht="21" customHeight="1">
      <c r="B1978" s="605" t="s">
        <v>4924</v>
      </c>
      <c r="C1978" s="606" t="s">
        <v>241</v>
      </c>
      <c r="D1978" s="605" t="s">
        <v>1511</v>
      </c>
      <c r="E1978" s="606" t="s">
        <v>4925</v>
      </c>
      <c r="F1978" s="606" t="s">
        <v>4925</v>
      </c>
      <c r="G1978" s="606" t="s">
        <v>1085</v>
      </c>
      <c r="H1978" s="606" t="s">
        <v>3799</v>
      </c>
      <c r="I1978" s="606" t="s">
        <v>1087</v>
      </c>
      <c r="J1978" s="606" t="s">
        <v>1088</v>
      </c>
    </row>
    <row r="1979" spans="2:10" ht="21" customHeight="1">
      <c r="B1979" s="605" t="s">
        <v>4926</v>
      </c>
      <c r="C1979" s="606" t="s">
        <v>241</v>
      </c>
      <c r="D1979" s="605" t="s">
        <v>1511</v>
      </c>
      <c r="E1979" s="606" t="s">
        <v>4713</v>
      </c>
      <c r="F1979" s="606" t="s">
        <v>4713</v>
      </c>
      <c r="G1979" s="606" t="s">
        <v>1085</v>
      </c>
      <c r="H1979" s="606" t="s">
        <v>3799</v>
      </c>
      <c r="I1979" s="606" t="s">
        <v>1087</v>
      </c>
      <c r="J1979" s="606" t="s">
        <v>1088</v>
      </c>
    </row>
    <row r="1980" spans="2:10" ht="21" customHeight="1">
      <c r="B1980" s="605" t="s">
        <v>4927</v>
      </c>
      <c r="C1980" s="606" t="s">
        <v>241</v>
      </c>
      <c r="D1980" s="605" t="s">
        <v>1511</v>
      </c>
      <c r="E1980" s="606" t="s">
        <v>4928</v>
      </c>
      <c r="F1980" s="606" t="s">
        <v>4928</v>
      </c>
      <c r="G1980" s="606" t="s">
        <v>1085</v>
      </c>
      <c r="H1980" s="606" t="s">
        <v>3799</v>
      </c>
      <c r="I1980" s="606" t="s">
        <v>1087</v>
      </c>
      <c r="J1980" s="606" t="s">
        <v>1088</v>
      </c>
    </row>
    <row r="1981" spans="2:10" ht="21" customHeight="1">
      <c r="B1981" s="605" t="s">
        <v>4929</v>
      </c>
      <c r="C1981" s="606" t="s">
        <v>241</v>
      </c>
      <c r="D1981" s="605" t="s">
        <v>1511</v>
      </c>
      <c r="E1981" s="606" t="s">
        <v>4930</v>
      </c>
      <c r="F1981" s="606" t="s">
        <v>4931</v>
      </c>
      <c r="G1981" s="606" t="s">
        <v>1085</v>
      </c>
      <c r="H1981" s="606" t="s">
        <v>3799</v>
      </c>
      <c r="I1981" s="606" t="s">
        <v>1087</v>
      </c>
      <c r="J1981" s="606" t="s">
        <v>1088</v>
      </c>
    </row>
    <row r="1982" spans="2:10" ht="21" customHeight="1">
      <c r="B1982" s="605" t="s">
        <v>4932</v>
      </c>
      <c r="C1982" s="606" t="s">
        <v>236</v>
      </c>
      <c r="D1982" s="605" t="s">
        <v>689</v>
      </c>
      <c r="E1982" s="606" t="s">
        <v>275</v>
      </c>
      <c r="F1982" s="606" t="s">
        <v>2</v>
      </c>
      <c r="G1982" s="606" t="s">
        <v>1085</v>
      </c>
      <c r="H1982" s="606" t="s">
        <v>4933</v>
      </c>
      <c r="I1982" s="606" t="s">
        <v>1087</v>
      </c>
      <c r="J1982" s="606" t="s">
        <v>1088</v>
      </c>
    </row>
    <row r="1983" spans="2:10" ht="21" customHeight="1">
      <c r="B1983" s="605" t="s">
        <v>4934</v>
      </c>
      <c r="C1983" s="606" t="s">
        <v>236</v>
      </c>
      <c r="D1983" s="605" t="s">
        <v>689</v>
      </c>
      <c r="E1983" s="606" t="s">
        <v>4935</v>
      </c>
      <c r="F1983" s="606" t="s">
        <v>277</v>
      </c>
      <c r="G1983" s="606" t="s">
        <v>1085</v>
      </c>
      <c r="H1983" s="606" t="s">
        <v>4933</v>
      </c>
      <c r="I1983" s="606" t="s">
        <v>1087</v>
      </c>
      <c r="J1983" s="606" t="s">
        <v>1088</v>
      </c>
    </row>
    <row r="1984" spans="2:10" ht="21" customHeight="1">
      <c r="B1984" s="605" t="s">
        <v>4936</v>
      </c>
      <c r="C1984" s="606" t="s">
        <v>236</v>
      </c>
      <c r="D1984" s="605" t="s">
        <v>689</v>
      </c>
      <c r="E1984" s="606" t="s">
        <v>4937</v>
      </c>
      <c r="F1984" s="606" t="s">
        <v>35</v>
      </c>
      <c r="G1984" s="606" t="s">
        <v>1085</v>
      </c>
      <c r="H1984" s="606" t="s">
        <v>4933</v>
      </c>
      <c r="I1984" s="606" t="s">
        <v>1087</v>
      </c>
      <c r="J1984" s="606" t="s">
        <v>1088</v>
      </c>
    </row>
    <row r="1985" spans="2:10" ht="21" customHeight="1">
      <c r="B1985" s="605" t="s">
        <v>4938</v>
      </c>
      <c r="C1985" s="606" t="s">
        <v>236</v>
      </c>
      <c r="D1985" s="605" t="s">
        <v>689</v>
      </c>
      <c r="E1985" s="606" t="s">
        <v>4939</v>
      </c>
      <c r="F1985" s="606" t="s">
        <v>4939</v>
      </c>
      <c r="G1985" s="606" t="s">
        <v>1151</v>
      </c>
      <c r="H1985" s="606" t="s">
        <v>1152</v>
      </c>
      <c r="I1985" s="606" t="s">
        <v>1087</v>
      </c>
      <c r="J1985" s="606" t="s">
        <v>1153</v>
      </c>
    </row>
    <row r="1986" spans="2:10" ht="21" customHeight="1">
      <c r="B1986" s="605" t="s">
        <v>4940</v>
      </c>
      <c r="C1986" s="606" t="s">
        <v>236</v>
      </c>
      <c r="D1986" s="605" t="s">
        <v>689</v>
      </c>
      <c r="E1986" s="606" t="s">
        <v>280</v>
      </c>
      <c r="F1986" s="606" t="s">
        <v>280</v>
      </c>
      <c r="G1986" s="606" t="s">
        <v>1151</v>
      </c>
      <c r="H1986" s="606" t="s">
        <v>1152</v>
      </c>
      <c r="I1986" s="606" t="s">
        <v>1087</v>
      </c>
      <c r="J1986" s="606" t="s">
        <v>1153</v>
      </c>
    </row>
    <row r="1987" spans="2:10" ht="21" customHeight="1">
      <c r="B1987" s="605" t="s">
        <v>4941</v>
      </c>
      <c r="C1987" s="606" t="s">
        <v>236</v>
      </c>
      <c r="D1987" s="605" t="s">
        <v>689</v>
      </c>
      <c r="E1987" s="606" t="s">
        <v>4942</v>
      </c>
      <c r="F1987" s="606" t="s">
        <v>4943</v>
      </c>
      <c r="G1987" s="606" t="s">
        <v>1085</v>
      </c>
      <c r="H1987" s="606" t="s">
        <v>4933</v>
      </c>
      <c r="I1987" s="606" t="s">
        <v>1087</v>
      </c>
      <c r="J1987" s="606" t="s">
        <v>1088</v>
      </c>
    </row>
    <row r="1988" spans="2:10" ht="21" customHeight="1">
      <c r="B1988" s="605" t="s">
        <v>4944</v>
      </c>
      <c r="C1988" s="606" t="s">
        <v>236</v>
      </c>
      <c r="D1988" s="605" t="s">
        <v>689</v>
      </c>
      <c r="E1988" s="606" t="s">
        <v>4945</v>
      </c>
      <c r="F1988" s="606" t="s">
        <v>73</v>
      </c>
      <c r="G1988" s="606" t="s">
        <v>1085</v>
      </c>
      <c r="H1988" s="606" t="s">
        <v>4933</v>
      </c>
      <c r="I1988" s="606" t="s">
        <v>1087</v>
      </c>
      <c r="J1988" s="606" t="s">
        <v>1088</v>
      </c>
    </row>
    <row r="1989" spans="2:10" ht="21" customHeight="1">
      <c r="B1989" s="605" t="s">
        <v>4946</v>
      </c>
      <c r="C1989" s="606" t="s">
        <v>236</v>
      </c>
      <c r="D1989" s="605" t="s">
        <v>689</v>
      </c>
      <c r="E1989" s="606" t="s">
        <v>4947</v>
      </c>
      <c r="F1989" s="606" t="s">
        <v>86</v>
      </c>
      <c r="G1989" s="606" t="s">
        <v>1085</v>
      </c>
      <c r="H1989" s="606" t="s">
        <v>4933</v>
      </c>
      <c r="I1989" s="606" t="s">
        <v>1087</v>
      </c>
      <c r="J1989" s="606" t="s">
        <v>1088</v>
      </c>
    </row>
    <row r="1990" spans="2:10" ht="21" customHeight="1">
      <c r="B1990" s="605" t="s">
        <v>4948</v>
      </c>
      <c r="C1990" s="606" t="s">
        <v>236</v>
      </c>
      <c r="D1990" s="605" t="s">
        <v>689</v>
      </c>
      <c r="E1990" s="606" t="s">
        <v>4949</v>
      </c>
      <c r="F1990" s="606" t="s">
        <v>99</v>
      </c>
      <c r="G1990" s="606" t="s">
        <v>1085</v>
      </c>
      <c r="H1990" s="606" t="s">
        <v>4933</v>
      </c>
      <c r="I1990" s="606" t="s">
        <v>1087</v>
      </c>
      <c r="J1990" s="606" t="s">
        <v>1088</v>
      </c>
    </row>
    <row r="1991" spans="2:10" ht="21" customHeight="1">
      <c r="B1991" s="605" t="s">
        <v>4950</v>
      </c>
      <c r="C1991" s="606" t="s">
        <v>236</v>
      </c>
      <c r="D1991" s="605" t="s">
        <v>689</v>
      </c>
      <c r="E1991" s="606" t="s">
        <v>4951</v>
      </c>
      <c r="F1991" s="606" t="s">
        <v>114</v>
      </c>
      <c r="G1991" s="606" t="s">
        <v>1085</v>
      </c>
      <c r="H1991" s="606" t="s">
        <v>4933</v>
      </c>
      <c r="I1991" s="606" t="s">
        <v>1087</v>
      </c>
      <c r="J1991" s="606" t="s">
        <v>1088</v>
      </c>
    </row>
    <row r="1992" spans="2:10" ht="21" customHeight="1">
      <c r="B1992" s="605" t="s">
        <v>4952</v>
      </c>
      <c r="C1992" s="606" t="s">
        <v>236</v>
      </c>
      <c r="D1992" s="605" t="s">
        <v>689</v>
      </c>
      <c r="E1992" s="606" t="s">
        <v>4953</v>
      </c>
      <c r="F1992" s="606" t="s">
        <v>4954</v>
      </c>
      <c r="G1992" s="606" t="s">
        <v>1085</v>
      </c>
      <c r="H1992" s="606" t="s">
        <v>4933</v>
      </c>
      <c r="I1992" s="606" t="s">
        <v>1087</v>
      </c>
      <c r="J1992" s="606" t="s">
        <v>1088</v>
      </c>
    </row>
    <row r="1993" spans="2:10" ht="21" customHeight="1">
      <c r="B1993" s="605" t="s">
        <v>4955</v>
      </c>
      <c r="C1993" s="606" t="s">
        <v>236</v>
      </c>
      <c r="D1993" s="605" t="s">
        <v>689</v>
      </c>
      <c r="E1993" s="606" t="s">
        <v>4956</v>
      </c>
      <c r="F1993" s="606" t="s">
        <v>4957</v>
      </c>
      <c r="G1993" s="606" t="s">
        <v>1085</v>
      </c>
      <c r="H1993" s="606" t="s">
        <v>4933</v>
      </c>
      <c r="I1993" s="606" t="s">
        <v>1087</v>
      </c>
      <c r="J1993" s="606" t="s">
        <v>1088</v>
      </c>
    </row>
    <row r="1994" spans="2:10" ht="21" customHeight="1">
      <c r="B1994" s="605" t="s">
        <v>4958</v>
      </c>
      <c r="C1994" s="606" t="s">
        <v>236</v>
      </c>
      <c r="D1994" s="605" t="s">
        <v>689</v>
      </c>
      <c r="E1994" s="606" t="s">
        <v>4959</v>
      </c>
      <c r="F1994" s="606" t="s">
        <v>4960</v>
      </c>
      <c r="G1994" s="606" t="s">
        <v>1085</v>
      </c>
      <c r="H1994" s="606" t="s">
        <v>4933</v>
      </c>
      <c r="I1994" s="606" t="s">
        <v>1087</v>
      </c>
      <c r="J1994" s="606" t="s">
        <v>1088</v>
      </c>
    </row>
    <row r="1995" spans="2:10" ht="21" customHeight="1">
      <c r="B1995" s="605" t="s">
        <v>4961</v>
      </c>
      <c r="C1995" s="606" t="s">
        <v>236</v>
      </c>
      <c r="D1995" s="605" t="s">
        <v>689</v>
      </c>
      <c r="E1995" s="606" t="s">
        <v>4962</v>
      </c>
      <c r="F1995" s="606" t="s">
        <v>127</v>
      </c>
      <c r="G1995" s="606" t="s">
        <v>1085</v>
      </c>
      <c r="H1995" s="606" t="s">
        <v>4933</v>
      </c>
      <c r="I1995" s="606" t="s">
        <v>1087</v>
      </c>
      <c r="J1995" s="606" t="s">
        <v>1088</v>
      </c>
    </row>
    <row r="1996" spans="2:10" ht="21" customHeight="1">
      <c r="B1996" s="605" t="s">
        <v>4963</v>
      </c>
      <c r="C1996" s="606" t="s">
        <v>236</v>
      </c>
      <c r="D1996" s="605" t="s">
        <v>1511</v>
      </c>
      <c r="E1996" s="606" t="s">
        <v>1515</v>
      </c>
      <c r="F1996" s="606" t="s">
        <v>1515</v>
      </c>
      <c r="G1996" s="606" t="s">
        <v>1085</v>
      </c>
      <c r="H1996" s="606" t="s">
        <v>3799</v>
      </c>
      <c r="I1996" s="606" t="s">
        <v>1087</v>
      </c>
      <c r="J1996" s="606" t="s">
        <v>1088</v>
      </c>
    </row>
    <row r="1997" spans="2:10" ht="21" customHeight="1">
      <c r="B1997" s="605" t="s">
        <v>4964</v>
      </c>
      <c r="C1997" s="606" t="s">
        <v>236</v>
      </c>
      <c r="D1997" s="605" t="s">
        <v>1511</v>
      </c>
      <c r="E1997" s="606" t="s">
        <v>4965</v>
      </c>
      <c r="F1997" s="606" t="s">
        <v>4966</v>
      </c>
      <c r="G1997" s="606" t="s">
        <v>1085</v>
      </c>
      <c r="H1997" s="606" t="s">
        <v>3799</v>
      </c>
      <c r="I1997" s="606" t="s">
        <v>1087</v>
      </c>
      <c r="J1997" s="606" t="s">
        <v>1088</v>
      </c>
    </row>
    <row r="1998" spans="2:10" ht="21" customHeight="1">
      <c r="B1998" s="605" t="s">
        <v>4967</v>
      </c>
      <c r="C1998" s="606" t="s">
        <v>236</v>
      </c>
      <c r="D1998" s="605" t="s">
        <v>1511</v>
      </c>
      <c r="E1998" s="606" t="s">
        <v>1522</v>
      </c>
      <c r="F1998" s="606" t="s">
        <v>1522</v>
      </c>
      <c r="G1998" s="606" t="s">
        <v>1085</v>
      </c>
      <c r="H1998" s="606" t="s">
        <v>3799</v>
      </c>
      <c r="I1998" s="606" t="s">
        <v>1087</v>
      </c>
      <c r="J1998" s="606" t="s">
        <v>1088</v>
      </c>
    </row>
    <row r="1999" spans="2:10" ht="21" customHeight="1">
      <c r="B1999" s="605" t="s">
        <v>4968</v>
      </c>
      <c r="C1999" s="606" t="s">
        <v>236</v>
      </c>
      <c r="D1999" s="605" t="s">
        <v>1511</v>
      </c>
      <c r="E1999" s="606" t="s">
        <v>4969</v>
      </c>
      <c r="F1999" s="606" t="s">
        <v>4969</v>
      </c>
      <c r="G1999" s="606" t="s">
        <v>1085</v>
      </c>
      <c r="H1999" s="606" t="s">
        <v>3799</v>
      </c>
      <c r="I1999" s="606" t="s">
        <v>1087</v>
      </c>
      <c r="J1999" s="606" t="s">
        <v>1088</v>
      </c>
    </row>
    <row r="2000" spans="2:10" ht="21" customHeight="1">
      <c r="B2000" s="605" t="s">
        <v>4970</v>
      </c>
      <c r="C2000" s="606" t="s">
        <v>236</v>
      </c>
      <c r="D2000" s="605" t="s">
        <v>1511</v>
      </c>
      <c r="E2000" s="606" t="s">
        <v>1525</v>
      </c>
      <c r="F2000" s="606" t="s">
        <v>1525</v>
      </c>
      <c r="G2000" s="606" t="s">
        <v>1085</v>
      </c>
      <c r="H2000" s="606" t="s">
        <v>3799</v>
      </c>
      <c r="I2000" s="606" t="s">
        <v>1087</v>
      </c>
      <c r="J2000" s="606" t="s">
        <v>1088</v>
      </c>
    </row>
    <row r="2001" spans="2:10" ht="21" customHeight="1">
      <c r="B2001" s="605" t="s">
        <v>4971</v>
      </c>
      <c r="C2001" s="606" t="s">
        <v>236</v>
      </c>
      <c r="D2001" s="605" t="s">
        <v>1511</v>
      </c>
      <c r="E2001" s="606" t="s">
        <v>1527</v>
      </c>
      <c r="F2001" s="606" t="s">
        <v>1527</v>
      </c>
      <c r="G2001" s="606" t="s">
        <v>1085</v>
      </c>
      <c r="H2001" s="606" t="s">
        <v>3799</v>
      </c>
      <c r="I2001" s="606" t="s">
        <v>1087</v>
      </c>
      <c r="J2001" s="606" t="s">
        <v>1088</v>
      </c>
    </row>
    <row r="2002" spans="2:10" ht="21" customHeight="1">
      <c r="B2002" s="605" t="s">
        <v>4972</v>
      </c>
      <c r="C2002" s="606" t="s">
        <v>236</v>
      </c>
      <c r="D2002" s="605" t="s">
        <v>1511</v>
      </c>
      <c r="E2002" s="606" t="s">
        <v>4973</v>
      </c>
      <c r="F2002" s="606" t="s">
        <v>4973</v>
      </c>
      <c r="G2002" s="606" t="s">
        <v>1085</v>
      </c>
      <c r="H2002" s="606" t="s">
        <v>3799</v>
      </c>
      <c r="I2002" s="606" t="s">
        <v>1087</v>
      </c>
      <c r="J2002" s="606" t="s">
        <v>1088</v>
      </c>
    </row>
    <row r="2003" spans="2:10" ht="21" customHeight="1">
      <c r="B2003" s="605" t="s">
        <v>4974</v>
      </c>
      <c r="C2003" s="606" t="s">
        <v>236</v>
      </c>
      <c r="D2003" s="605" t="s">
        <v>1511</v>
      </c>
      <c r="E2003" s="606" t="s">
        <v>4975</v>
      </c>
      <c r="F2003" s="606" t="s">
        <v>4976</v>
      </c>
      <c r="G2003" s="606" t="s">
        <v>1085</v>
      </c>
      <c r="H2003" s="606" t="s">
        <v>3799</v>
      </c>
      <c r="I2003" s="606" t="s">
        <v>1087</v>
      </c>
      <c r="J2003" s="606" t="s">
        <v>1088</v>
      </c>
    </row>
    <row r="2004" spans="2:10" ht="21" customHeight="1">
      <c r="B2004" s="605" t="s">
        <v>4977</v>
      </c>
      <c r="C2004" s="606" t="s">
        <v>236</v>
      </c>
      <c r="D2004" s="605" t="s">
        <v>1511</v>
      </c>
      <c r="E2004" s="606" t="s">
        <v>4978</v>
      </c>
      <c r="F2004" s="606" t="s">
        <v>4978</v>
      </c>
      <c r="G2004" s="606" t="s">
        <v>1085</v>
      </c>
      <c r="H2004" s="606" t="s">
        <v>3799</v>
      </c>
      <c r="I2004" s="606" t="s">
        <v>1087</v>
      </c>
      <c r="J2004" s="606" t="s">
        <v>1088</v>
      </c>
    </row>
    <row r="2005" spans="2:10" ht="21" customHeight="1">
      <c r="B2005" s="605" t="s">
        <v>4979</v>
      </c>
      <c r="C2005" s="606" t="s">
        <v>236</v>
      </c>
      <c r="D2005" s="605" t="s">
        <v>1511</v>
      </c>
      <c r="E2005" s="606" t="s">
        <v>1941</v>
      </c>
      <c r="F2005" s="606" t="s">
        <v>913</v>
      </c>
      <c r="G2005" s="606" t="s">
        <v>1085</v>
      </c>
      <c r="H2005" s="606" t="s">
        <v>3799</v>
      </c>
      <c r="I2005" s="606" t="s">
        <v>1087</v>
      </c>
      <c r="J2005" s="606" t="s">
        <v>1088</v>
      </c>
    </row>
    <row r="2006" spans="2:10" ht="21" customHeight="1">
      <c r="B2006" s="605" t="s">
        <v>4980</v>
      </c>
      <c r="C2006" s="606" t="s">
        <v>236</v>
      </c>
      <c r="D2006" s="605" t="s">
        <v>1511</v>
      </c>
      <c r="E2006" s="606" t="s">
        <v>4981</v>
      </c>
      <c r="F2006" s="606" t="s">
        <v>4981</v>
      </c>
      <c r="G2006" s="606" t="s">
        <v>1085</v>
      </c>
      <c r="H2006" s="606" t="s">
        <v>3799</v>
      </c>
      <c r="I2006" s="606" t="s">
        <v>1087</v>
      </c>
      <c r="J2006" s="606" t="s">
        <v>1088</v>
      </c>
    </row>
    <row r="2007" spans="2:10" ht="21" customHeight="1">
      <c r="B2007" s="605" t="s">
        <v>4982</v>
      </c>
      <c r="C2007" s="606" t="s">
        <v>236</v>
      </c>
      <c r="D2007" s="605" t="s">
        <v>1511</v>
      </c>
      <c r="E2007" s="606" t="s">
        <v>1544</v>
      </c>
      <c r="F2007" s="606" t="s">
        <v>1544</v>
      </c>
      <c r="G2007" s="606" t="s">
        <v>1085</v>
      </c>
      <c r="H2007" s="606" t="s">
        <v>3799</v>
      </c>
      <c r="I2007" s="606" t="s">
        <v>1087</v>
      </c>
      <c r="J2007" s="606" t="s">
        <v>1088</v>
      </c>
    </row>
    <row r="2008" spans="2:10" ht="21" customHeight="1">
      <c r="B2008" s="605" t="s">
        <v>4983</v>
      </c>
      <c r="C2008" s="606" t="s">
        <v>236</v>
      </c>
      <c r="D2008" s="605" t="s">
        <v>1511</v>
      </c>
      <c r="E2008" s="606" t="s">
        <v>4984</v>
      </c>
      <c r="F2008" s="606" t="s">
        <v>4985</v>
      </c>
      <c r="G2008" s="606" t="s">
        <v>1085</v>
      </c>
      <c r="H2008" s="606" t="s">
        <v>3799</v>
      </c>
      <c r="I2008" s="606" t="s">
        <v>1087</v>
      </c>
      <c r="J2008" s="606" t="s">
        <v>1088</v>
      </c>
    </row>
    <row r="2009" spans="2:10" ht="21" customHeight="1">
      <c r="B2009" s="605" t="s">
        <v>4986</v>
      </c>
      <c r="C2009" s="606" t="s">
        <v>236</v>
      </c>
      <c r="D2009" s="605" t="s">
        <v>1511</v>
      </c>
      <c r="E2009" s="606" t="s">
        <v>4987</v>
      </c>
      <c r="F2009" s="606" t="s">
        <v>4987</v>
      </c>
      <c r="G2009" s="606" t="s">
        <v>1085</v>
      </c>
      <c r="H2009" s="606" t="s">
        <v>3799</v>
      </c>
      <c r="I2009" s="606" t="s">
        <v>1087</v>
      </c>
      <c r="J2009" s="606" t="s">
        <v>1088</v>
      </c>
    </row>
    <row r="2010" spans="2:10" ht="21" customHeight="1">
      <c r="B2010" s="605" t="s">
        <v>4988</v>
      </c>
      <c r="C2010" s="606" t="s">
        <v>236</v>
      </c>
      <c r="D2010" s="605" t="s">
        <v>1511</v>
      </c>
      <c r="E2010" s="606" t="s">
        <v>1955</v>
      </c>
      <c r="F2010" s="606" t="s">
        <v>1955</v>
      </c>
      <c r="G2010" s="606" t="s">
        <v>1085</v>
      </c>
      <c r="H2010" s="606" t="s">
        <v>3799</v>
      </c>
      <c r="I2010" s="606" t="s">
        <v>1087</v>
      </c>
      <c r="J2010" s="606" t="s">
        <v>1088</v>
      </c>
    </row>
    <row r="2011" spans="2:10" ht="21" customHeight="1">
      <c r="B2011" s="605" t="s">
        <v>4989</v>
      </c>
      <c r="C2011" s="606" t="s">
        <v>12</v>
      </c>
      <c r="D2011" s="605" t="s">
        <v>689</v>
      </c>
      <c r="E2011" s="606" t="s">
        <v>4990</v>
      </c>
      <c r="F2011" s="606" t="s">
        <v>4990</v>
      </c>
      <c r="G2011" s="606" t="s">
        <v>1085</v>
      </c>
      <c r="H2011" s="606" t="s">
        <v>4991</v>
      </c>
      <c r="I2011" s="606" t="s">
        <v>1087</v>
      </c>
      <c r="J2011" s="606" t="s">
        <v>1088</v>
      </c>
    </row>
    <row r="2012" spans="2:10" ht="21" customHeight="1">
      <c r="B2012" s="605" t="s">
        <v>4992</v>
      </c>
      <c r="C2012" s="606" t="s">
        <v>12</v>
      </c>
      <c r="D2012" s="605" t="s">
        <v>689</v>
      </c>
      <c r="E2012" s="606" t="s">
        <v>61</v>
      </c>
      <c r="F2012" s="606" t="s">
        <v>61</v>
      </c>
      <c r="G2012" s="606" t="s">
        <v>1085</v>
      </c>
      <c r="H2012" s="606" t="s">
        <v>4991</v>
      </c>
      <c r="I2012" s="606" t="s">
        <v>1087</v>
      </c>
      <c r="J2012" s="606" t="s">
        <v>1088</v>
      </c>
    </row>
    <row r="2013" spans="2:10" ht="21" customHeight="1">
      <c r="B2013" s="605" t="s">
        <v>4993</v>
      </c>
      <c r="C2013" s="606" t="s">
        <v>12</v>
      </c>
      <c r="D2013" s="605" t="s">
        <v>689</v>
      </c>
      <c r="E2013" s="606" t="s">
        <v>36</v>
      </c>
      <c r="F2013" s="606" t="s">
        <v>36</v>
      </c>
      <c r="G2013" s="606" t="s">
        <v>1085</v>
      </c>
      <c r="H2013" s="606" t="s">
        <v>4991</v>
      </c>
      <c r="I2013" s="606" t="s">
        <v>1087</v>
      </c>
      <c r="J2013" s="606" t="s">
        <v>1088</v>
      </c>
    </row>
    <row r="2014" spans="2:10" ht="21" customHeight="1">
      <c r="B2014" s="605" t="s">
        <v>4994</v>
      </c>
      <c r="C2014" s="606" t="s">
        <v>12</v>
      </c>
      <c r="D2014" s="605" t="s">
        <v>689</v>
      </c>
      <c r="E2014" s="606" t="s">
        <v>48</v>
      </c>
      <c r="F2014" s="606" t="s">
        <v>48</v>
      </c>
      <c r="G2014" s="606" t="s">
        <v>1085</v>
      </c>
      <c r="H2014" s="606" t="s">
        <v>4991</v>
      </c>
      <c r="I2014" s="606" t="s">
        <v>1087</v>
      </c>
      <c r="J2014" s="606" t="s">
        <v>1088</v>
      </c>
    </row>
    <row r="2015" spans="2:10" ht="21" customHeight="1">
      <c r="B2015" s="605" t="s">
        <v>4995</v>
      </c>
      <c r="C2015" s="606" t="s">
        <v>12</v>
      </c>
      <c r="D2015" s="605" t="s">
        <v>689</v>
      </c>
      <c r="E2015" s="606" t="s">
        <v>87</v>
      </c>
      <c r="F2015" s="606" t="s">
        <v>87</v>
      </c>
      <c r="G2015" s="606" t="s">
        <v>1085</v>
      </c>
      <c r="H2015" s="606" t="s">
        <v>4991</v>
      </c>
      <c r="I2015" s="606" t="s">
        <v>1087</v>
      </c>
      <c r="J2015" s="606" t="s">
        <v>1088</v>
      </c>
    </row>
    <row r="2016" spans="2:10" ht="21" customHeight="1">
      <c r="B2016" s="605" t="s">
        <v>4996</v>
      </c>
      <c r="C2016" s="606" t="s">
        <v>12</v>
      </c>
      <c r="D2016" s="605" t="s">
        <v>689</v>
      </c>
      <c r="E2016" s="606" t="s">
        <v>4997</v>
      </c>
      <c r="F2016" s="606" t="s">
        <v>4998</v>
      </c>
      <c r="G2016" s="606" t="s">
        <v>1085</v>
      </c>
      <c r="H2016" s="606" t="s">
        <v>4991</v>
      </c>
      <c r="I2016" s="606" t="s">
        <v>1087</v>
      </c>
      <c r="J2016" s="606" t="s">
        <v>1088</v>
      </c>
    </row>
    <row r="2017" spans="2:10" ht="21" customHeight="1">
      <c r="B2017" s="605" t="s">
        <v>4999</v>
      </c>
      <c r="C2017" s="606" t="s">
        <v>12</v>
      </c>
      <c r="D2017" s="605" t="s">
        <v>689</v>
      </c>
      <c r="E2017" s="606" t="s">
        <v>25</v>
      </c>
      <c r="F2017" s="606" t="s">
        <v>25</v>
      </c>
      <c r="G2017" s="606" t="s">
        <v>1085</v>
      </c>
      <c r="H2017" s="606" t="s">
        <v>4991</v>
      </c>
      <c r="I2017" s="606" t="s">
        <v>1087</v>
      </c>
      <c r="J2017" s="606" t="s">
        <v>1088</v>
      </c>
    </row>
    <row r="2018" spans="2:10" ht="21" customHeight="1">
      <c r="B2018" s="605" t="s">
        <v>5000</v>
      </c>
      <c r="C2018" s="606" t="s">
        <v>12</v>
      </c>
      <c r="D2018" s="605" t="s">
        <v>689</v>
      </c>
      <c r="E2018" s="606" t="s">
        <v>5001</v>
      </c>
      <c r="F2018" s="606" t="s">
        <v>5002</v>
      </c>
      <c r="G2018" s="606" t="s">
        <v>1085</v>
      </c>
      <c r="H2018" s="606" t="s">
        <v>4991</v>
      </c>
      <c r="I2018" s="606" t="s">
        <v>1087</v>
      </c>
      <c r="J2018" s="606" t="s">
        <v>1088</v>
      </c>
    </row>
    <row r="2019" spans="2:10" ht="21" customHeight="1">
      <c r="B2019" s="605" t="s">
        <v>5003</v>
      </c>
      <c r="C2019" s="606" t="s">
        <v>12</v>
      </c>
      <c r="D2019" s="605" t="s">
        <v>689</v>
      </c>
      <c r="E2019" s="606" t="s">
        <v>5004</v>
      </c>
      <c r="F2019" s="606" t="s">
        <v>5004</v>
      </c>
      <c r="G2019" s="606" t="s">
        <v>1085</v>
      </c>
      <c r="H2019" s="606" t="s">
        <v>4991</v>
      </c>
      <c r="I2019" s="606" t="s">
        <v>1087</v>
      </c>
      <c r="J2019" s="606" t="s">
        <v>1088</v>
      </c>
    </row>
    <row r="2020" spans="2:10" ht="21" customHeight="1">
      <c r="B2020" s="605" t="s">
        <v>5005</v>
      </c>
      <c r="C2020" s="606" t="s">
        <v>12</v>
      </c>
      <c r="D2020" s="605" t="s">
        <v>689</v>
      </c>
      <c r="E2020" s="606" t="s">
        <v>5006</v>
      </c>
      <c r="F2020" s="606" t="s">
        <v>5006</v>
      </c>
      <c r="G2020" s="606" t="s">
        <v>1085</v>
      </c>
      <c r="H2020" s="606" t="s">
        <v>4991</v>
      </c>
      <c r="I2020" s="606" t="s">
        <v>1087</v>
      </c>
      <c r="J2020" s="606" t="s">
        <v>1088</v>
      </c>
    </row>
    <row r="2021" spans="2:10" ht="21" customHeight="1">
      <c r="B2021" s="605" t="s">
        <v>5007</v>
      </c>
      <c r="C2021" s="606" t="s">
        <v>12</v>
      </c>
      <c r="D2021" s="605" t="s">
        <v>689</v>
      </c>
      <c r="E2021" s="606" t="s">
        <v>74</v>
      </c>
      <c r="F2021" s="606" t="s">
        <v>74</v>
      </c>
      <c r="G2021" s="606" t="s">
        <v>1085</v>
      </c>
      <c r="H2021" s="606" t="s">
        <v>4991</v>
      </c>
      <c r="I2021" s="606" t="s">
        <v>1087</v>
      </c>
      <c r="J2021" s="606" t="s">
        <v>1088</v>
      </c>
    </row>
    <row r="2022" spans="2:10" ht="21" customHeight="1">
      <c r="B2022" s="605" t="s">
        <v>5008</v>
      </c>
      <c r="C2022" s="606" t="s">
        <v>12</v>
      </c>
      <c r="D2022" s="605" t="s">
        <v>689</v>
      </c>
      <c r="E2022" s="606" t="s">
        <v>5009</v>
      </c>
      <c r="F2022" s="606" t="s">
        <v>5009</v>
      </c>
      <c r="G2022" s="606" t="s">
        <v>1085</v>
      </c>
      <c r="H2022" s="606" t="s">
        <v>4991</v>
      </c>
      <c r="I2022" s="606" t="s">
        <v>1087</v>
      </c>
      <c r="J2022" s="606" t="s">
        <v>1088</v>
      </c>
    </row>
    <row r="2023" spans="2:10" ht="21" customHeight="1">
      <c r="B2023" s="605" t="s">
        <v>5010</v>
      </c>
      <c r="C2023" s="606" t="s">
        <v>12</v>
      </c>
      <c r="D2023" s="605" t="s">
        <v>689</v>
      </c>
      <c r="E2023" s="606" t="s">
        <v>344</v>
      </c>
      <c r="F2023" s="606" t="s">
        <v>344</v>
      </c>
      <c r="G2023" s="606" t="s">
        <v>1151</v>
      </c>
      <c r="H2023" s="606" t="s">
        <v>1152</v>
      </c>
      <c r="I2023" s="606" t="s">
        <v>1087</v>
      </c>
      <c r="J2023" s="606" t="s">
        <v>1153</v>
      </c>
    </row>
    <row r="2024" spans="2:10" ht="21" customHeight="1">
      <c r="B2024" s="605" t="s">
        <v>5011</v>
      </c>
      <c r="C2024" s="606" t="s">
        <v>12</v>
      </c>
      <c r="D2024" s="605" t="s">
        <v>689</v>
      </c>
      <c r="E2024" s="606" t="s">
        <v>5012</v>
      </c>
      <c r="F2024" s="606" t="s">
        <v>5012</v>
      </c>
      <c r="G2024" s="606" t="s">
        <v>1151</v>
      </c>
      <c r="H2024" s="606" t="s">
        <v>1152</v>
      </c>
      <c r="I2024" s="606" t="s">
        <v>1087</v>
      </c>
      <c r="J2024" s="606" t="s">
        <v>1153</v>
      </c>
    </row>
    <row r="2025" spans="2:10" ht="21" customHeight="1">
      <c r="B2025" s="605" t="s">
        <v>5013</v>
      </c>
      <c r="C2025" s="606" t="s">
        <v>12</v>
      </c>
      <c r="D2025" s="605" t="s">
        <v>689</v>
      </c>
      <c r="E2025" s="606" t="s">
        <v>5014</v>
      </c>
      <c r="F2025" s="606" t="s">
        <v>5014</v>
      </c>
      <c r="G2025" s="606" t="s">
        <v>1151</v>
      </c>
      <c r="H2025" s="606" t="s">
        <v>1152</v>
      </c>
      <c r="I2025" s="606" t="s">
        <v>1087</v>
      </c>
      <c r="J2025" s="606" t="s">
        <v>1153</v>
      </c>
    </row>
    <row r="2026" spans="2:10" ht="21" customHeight="1">
      <c r="B2026" s="605" t="s">
        <v>5015</v>
      </c>
      <c r="C2026" s="606" t="s">
        <v>12</v>
      </c>
      <c r="D2026" s="605" t="s">
        <v>689</v>
      </c>
      <c r="E2026" s="606" t="s">
        <v>1015</v>
      </c>
      <c r="F2026" s="606" t="s">
        <v>1015</v>
      </c>
      <c r="G2026" s="606" t="s">
        <v>1085</v>
      </c>
      <c r="H2026" s="606" t="s">
        <v>4991</v>
      </c>
      <c r="I2026" s="606" t="s">
        <v>1087</v>
      </c>
      <c r="J2026" s="606" t="s">
        <v>1088</v>
      </c>
    </row>
    <row r="2027" spans="2:10" ht="21" customHeight="1">
      <c r="B2027" s="605" t="s">
        <v>5016</v>
      </c>
      <c r="C2027" s="606" t="s">
        <v>12</v>
      </c>
      <c r="D2027" s="605" t="s">
        <v>689</v>
      </c>
      <c r="E2027" s="606" t="s">
        <v>5017</v>
      </c>
      <c r="F2027" s="606" t="s">
        <v>5017</v>
      </c>
      <c r="G2027" s="606" t="s">
        <v>1085</v>
      </c>
      <c r="H2027" s="606" t="s">
        <v>4991</v>
      </c>
      <c r="I2027" s="606" t="s">
        <v>1087</v>
      </c>
      <c r="J2027" s="606" t="s">
        <v>1088</v>
      </c>
    </row>
    <row r="2028" spans="2:10" ht="21" customHeight="1">
      <c r="B2028" s="605" t="s">
        <v>5018</v>
      </c>
      <c r="C2028" s="606" t="s">
        <v>12</v>
      </c>
      <c r="D2028" s="605" t="s">
        <v>689</v>
      </c>
      <c r="E2028" s="606" t="s">
        <v>5019</v>
      </c>
      <c r="F2028" s="606" t="s">
        <v>5020</v>
      </c>
      <c r="G2028" s="606" t="s">
        <v>1085</v>
      </c>
      <c r="H2028" s="606" t="s">
        <v>4991</v>
      </c>
      <c r="I2028" s="606" t="s">
        <v>1087</v>
      </c>
      <c r="J2028" s="606" t="s">
        <v>1088</v>
      </c>
    </row>
    <row r="2029" spans="2:10" ht="21" customHeight="1">
      <c r="B2029" s="605" t="s">
        <v>5021</v>
      </c>
      <c r="C2029" s="606" t="s">
        <v>12</v>
      </c>
      <c r="D2029" s="605" t="s">
        <v>1511</v>
      </c>
      <c r="E2029" s="606" t="s">
        <v>1522</v>
      </c>
      <c r="F2029" s="606" t="s">
        <v>1522</v>
      </c>
      <c r="G2029" s="606" t="s">
        <v>1085</v>
      </c>
      <c r="H2029" s="606" t="s">
        <v>3799</v>
      </c>
      <c r="I2029" s="606" t="s">
        <v>1087</v>
      </c>
      <c r="J2029" s="606" t="s">
        <v>1088</v>
      </c>
    </row>
    <row r="2030" spans="2:10" ht="21" customHeight="1">
      <c r="B2030" s="605" t="s">
        <v>5022</v>
      </c>
      <c r="C2030" s="606" t="s">
        <v>12</v>
      </c>
      <c r="D2030" s="605" t="s">
        <v>1511</v>
      </c>
      <c r="E2030" s="606" t="s">
        <v>5023</v>
      </c>
      <c r="F2030" s="606" t="s">
        <v>5023</v>
      </c>
      <c r="G2030" s="606" t="s">
        <v>1085</v>
      </c>
      <c r="H2030" s="606" t="s">
        <v>3799</v>
      </c>
      <c r="I2030" s="606" t="s">
        <v>1087</v>
      </c>
      <c r="J2030" s="606" t="s">
        <v>1088</v>
      </c>
    </row>
    <row r="2031" spans="2:10" ht="21" customHeight="1">
      <c r="B2031" s="605" t="s">
        <v>5024</v>
      </c>
      <c r="C2031" s="606" t="s">
        <v>12</v>
      </c>
      <c r="D2031" s="605" t="s">
        <v>1511</v>
      </c>
      <c r="E2031" s="606" t="s">
        <v>5025</v>
      </c>
      <c r="F2031" s="606" t="s">
        <v>5025</v>
      </c>
      <c r="G2031" s="606" t="s">
        <v>1085</v>
      </c>
      <c r="H2031" s="606" t="s">
        <v>3799</v>
      </c>
      <c r="I2031" s="606" t="s">
        <v>1087</v>
      </c>
      <c r="J2031" s="606" t="s">
        <v>1088</v>
      </c>
    </row>
    <row r="2032" spans="2:10" ht="21" customHeight="1">
      <c r="B2032" s="605" t="s">
        <v>5026</v>
      </c>
      <c r="C2032" s="606" t="s">
        <v>12</v>
      </c>
      <c r="D2032" s="605" t="s">
        <v>1511</v>
      </c>
      <c r="E2032" s="606" t="s">
        <v>351</v>
      </c>
      <c r="F2032" s="606" t="s">
        <v>351</v>
      </c>
      <c r="G2032" s="606" t="s">
        <v>1085</v>
      </c>
      <c r="H2032" s="606" t="s">
        <v>3799</v>
      </c>
      <c r="I2032" s="606" t="s">
        <v>1087</v>
      </c>
      <c r="J2032" s="606" t="s">
        <v>1088</v>
      </c>
    </row>
    <row r="2033" spans="2:10" ht="21" customHeight="1">
      <c r="B2033" s="605" t="s">
        <v>5027</v>
      </c>
      <c r="C2033" s="606" t="s">
        <v>12</v>
      </c>
      <c r="D2033" s="605" t="s">
        <v>1511</v>
      </c>
      <c r="E2033" s="606" t="s">
        <v>1941</v>
      </c>
      <c r="F2033" s="606" t="s">
        <v>913</v>
      </c>
      <c r="G2033" s="606" t="s">
        <v>1085</v>
      </c>
      <c r="H2033" s="606" t="s">
        <v>3799</v>
      </c>
      <c r="I2033" s="606" t="s">
        <v>1087</v>
      </c>
      <c r="J2033" s="606" t="s">
        <v>1088</v>
      </c>
    </row>
    <row r="2034" spans="2:10" ht="21" customHeight="1">
      <c r="B2034" s="605" t="s">
        <v>5028</v>
      </c>
      <c r="C2034" s="606" t="s">
        <v>12</v>
      </c>
      <c r="D2034" s="605" t="s">
        <v>1511</v>
      </c>
      <c r="E2034" s="606" t="s">
        <v>5029</v>
      </c>
      <c r="F2034" s="606" t="s">
        <v>5029</v>
      </c>
      <c r="G2034" s="606" t="s">
        <v>1085</v>
      </c>
      <c r="H2034" s="606" t="s">
        <v>3799</v>
      </c>
      <c r="I2034" s="606" t="s">
        <v>1087</v>
      </c>
      <c r="J2034" s="606" t="s">
        <v>1088</v>
      </c>
    </row>
    <row r="2035" spans="2:10" ht="21" customHeight="1">
      <c r="B2035" s="605" t="s">
        <v>5030</v>
      </c>
      <c r="C2035" s="606" t="s">
        <v>12</v>
      </c>
      <c r="D2035" s="605" t="s">
        <v>1511</v>
      </c>
      <c r="E2035" s="606" t="s">
        <v>5031</v>
      </c>
      <c r="F2035" s="606" t="s">
        <v>5031</v>
      </c>
      <c r="G2035" s="606" t="s">
        <v>1085</v>
      </c>
      <c r="H2035" s="606" t="s">
        <v>3799</v>
      </c>
      <c r="I2035" s="606" t="s">
        <v>1087</v>
      </c>
      <c r="J2035" s="606" t="s">
        <v>1088</v>
      </c>
    </row>
    <row r="2036" spans="2:10" ht="21" customHeight="1">
      <c r="B2036" s="605" t="s">
        <v>5032</v>
      </c>
      <c r="C2036" s="606" t="s">
        <v>12</v>
      </c>
      <c r="D2036" s="605" t="s">
        <v>1511</v>
      </c>
      <c r="E2036" s="606" t="s">
        <v>5033</v>
      </c>
      <c r="F2036" s="606" t="s">
        <v>5033</v>
      </c>
      <c r="G2036" s="606" t="s">
        <v>1085</v>
      </c>
      <c r="H2036" s="606" t="s">
        <v>3799</v>
      </c>
      <c r="I2036" s="606" t="s">
        <v>1087</v>
      </c>
      <c r="J2036" s="606" t="s">
        <v>1088</v>
      </c>
    </row>
    <row r="2037" spans="2:10" ht="21" customHeight="1">
      <c r="B2037" s="605" t="s">
        <v>5034</v>
      </c>
      <c r="C2037" s="606" t="s">
        <v>12</v>
      </c>
      <c r="D2037" s="605" t="s">
        <v>1511</v>
      </c>
      <c r="E2037" s="606" t="s">
        <v>1902</v>
      </c>
      <c r="F2037" s="606" t="s">
        <v>1902</v>
      </c>
      <c r="G2037" s="606" t="s">
        <v>1085</v>
      </c>
      <c r="H2037" s="606" t="s">
        <v>3799</v>
      </c>
      <c r="I2037" s="606" t="s">
        <v>1087</v>
      </c>
      <c r="J2037" s="606" t="s">
        <v>1088</v>
      </c>
    </row>
    <row r="2038" spans="2:10" ht="21" customHeight="1">
      <c r="B2038" s="605" t="s">
        <v>5035</v>
      </c>
      <c r="C2038" s="606" t="s">
        <v>12</v>
      </c>
      <c r="D2038" s="605" t="s">
        <v>1511</v>
      </c>
      <c r="E2038" s="606" t="s">
        <v>1905</v>
      </c>
      <c r="F2038" s="606" t="s">
        <v>1906</v>
      </c>
      <c r="G2038" s="606" t="s">
        <v>1085</v>
      </c>
      <c r="H2038" s="606" t="s">
        <v>3799</v>
      </c>
      <c r="I2038" s="606" t="s">
        <v>1087</v>
      </c>
      <c r="J2038" s="606" t="s">
        <v>1088</v>
      </c>
    </row>
    <row r="2039" spans="2:10" ht="21" customHeight="1">
      <c r="B2039" s="605" t="s">
        <v>5036</v>
      </c>
      <c r="C2039" s="606" t="s">
        <v>12</v>
      </c>
      <c r="D2039" s="605" t="s">
        <v>1511</v>
      </c>
      <c r="E2039" s="606" t="s">
        <v>1016</v>
      </c>
      <c r="F2039" s="606" t="s">
        <v>1016</v>
      </c>
      <c r="G2039" s="606" t="s">
        <v>1085</v>
      </c>
      <c r="H2039" s="606" t="s">
        <v>3799</v>
      </c>
      <c r="I2039" s="606" t="s">
        <v>1087</v>
      </c>
      <c r="J2039" s="606" t="s">
        <v>1088</v>
      </c>
    </row>
    <row r="2040" spans="2:10" ht="21" customHeight="1">
      <c r="B2040" s="605" t="s">
        <v>5037</v>
      </c>
      <c r="C2040" s="606" t="s">
        <v>12</v>
      </c>
      <c r="D2040" s="605" t="s">
        <v>1511</v>
      </c>
      <c r="E2040" s="606" t="s">
        <v>1544</v>
      </c>
      <c r="F2040" s="606" t="s">
        <v>1544</v>
      </c>
      <c r="G2040" s="606" t="s">
        <v>1085</v>
      </c>
      <c r="H2040" s="606" t="s">
        <v>3799</v>
      </c>
      <c r="I2040" s="606" t="s">
        <v>1087</v>
      </c>
      <c r="J2040" s="606" t="s">
        <v>1088</v>
      </c>
    </row>
    <row r="2041" spans="2:10" ht="21" customHeight="1">
      <c r="B2041" s="605" t="s">
        <v>5038</v>
      </c>
      <c r="C2041" s="606" t="s">
        <v>12</v>
      </c>
      <c r="D2041" s="605" t="s">
        <v>1511</v>
      </c>
      <c r="E2041" s="606" t="s">
        <v>1546</v>
      </c>
      <c r="F2041" s="606" t="s">
        <v>1546</v>
      </c>
      <c r="G2041" s="606" t="s">
        <v>1085</v>
      </c>
      <c r="H2041" s="606" t="s">
        <v>3799</v>
      </c>
      <c r="I2041" s="606" t="s">
        <v>1087</v>
      </c>
      <c r="J2041" s="606" t="s">
        <v>1088</v>
      </c>
    </row>
    <row r="2042" spans="2:10" ht="21" customHeight="1">
      <c r="B2042" s="605" t="s">
        <v>5039</v>
      </c>
      <c r="C2042" s="606" t="s">
        <v>12</v>
      </c>
      <c r="D2042" s="605" t="s">
        <v>1511</v>
      </c>
      <c r="E2042" s="606" t="s">
        <v>1955</v>
      </c>
      <c r="F2042" s="606" t="s">
        <v>1955</v>
      </c>
      <c r="G2042" s="606" t="s">
        <v>1085</v>
      </c>
      <c r="H2042" s="606" t="s">
        <v>3799</v>
      </c>
      <c r="I2042" s="606" t="s">
        <v>1087</v>
      </c>
      <c r="J2042" s="606" t="s">
        <v>1088</v>
      </c>
    </row>
    <row r="2043" spans="2:10" ht="21" customHeight="1">
      <c r="B2043" s="605" t="s">
        <v>5040</v>
      </c>
      <c r="C2043" s="606" t="s">
        <v>12</v>
      </c>
      <c r="D2043" s="605" t="s">
        <v>1511</v>
      </c>
      <c r="E2043" s="606" t="s">
        <v>1017</v>
      </c>
      <c r="F2043" s="606" t="s">
        <v>1017</v>
      </c>
      <c r="G2043" s="606" t="s">
        <v>1085</v>
      </c>
      <c r="H2043" s="606" t="s">
        <v>3799</v>
      </c>
      <c r="I2043" s="606" t="s">
        <v>1087</v>
      </c>
      <c r="J2043" s="606" t="s">
        <v>1088</v>
      </c>
    </row>
    <row r="2044" spans="2:10" ht="21" customHeight="1">
      <c r="B2044" s="605" t="s">
        <v>5041</v>
      </c>
      <c r="C2044" s="606" t="s">
        <v>243</v>
      </c>
      <c r="D2044" s="605" t="s">
        <v>689</v>
      </c>
      <c r="E2044" s="606" t="s">
        <v>5042</v>
      </c>
      <c r="F2044" s="606" t="s">
        <v>5042</v>
      </c>
      <c r="G2044" s="606" t="s">
        <v>1085</v>
      </c>
      <c r="H2044" s="606" t="s">
        <v>5043</v>
      </c>
      <c r="I2044" s="606" t="s">
        <v>1087</v>
      </c>
      <c r="J2044" s="606" t="s">
        <v>1088</v>
      </c>
    </row>
    <row r="2045" spans="2:10" ht="21" customHeight="1">
      <c r="B2045" s="605" t="s">
        <v>5044</v>
      </c>
      <c r="C2045" s="606" t="s">
        <v>243</v>
      </c>
      <c r="D2045" s="605" t="s">
        <v>689</v>
      </c>
      <c r="E2045" s="606" t="s">
        <v>128</v>
      </c>
      <c r="F2045" s="606" t="s">
        <v>128</v>
      </c>
      <c r="G2045" s="606" t="s">
        <v>1085</v>
      </c>
      <c r="H2045" s="606" t="s">
        <v>5043</v>
      </c>
      <c r="I2045" s="606" t="s">
        <v>1087</v>
      </c>
      <c r="J2045" s="606" t="s">
        <v>1088</v>
      </c>
    </row>
    <row r="2046" spans="2:10" ht="21" customHeight="1">
      <c r="B2046" s="605" t="s">
        <v>5045</v>
      </c>
      <c r="C2046" s="606" t="s">
        <v>243</v>
      </c>
      <c r="D2046" s="605" t="s">
        <v>689</v>
      </c>
      <c r="E2046" s="606" t="s">
        <v>5046</v>
      </c>
      <c r="F2046" s="606" t="s">
        <v>49</v>
      </c>
      <c r="G2046" s="606" t="s">
        <v>1085</v>
      </c>
      <c r="H2046" s="606" t="s">
        <v>5043</v>
      </c>
      <c r="I2046" s="606" t="s">
        <v>1087</v>
      </c>
      <c r="J2046" s="606" t="s">
        <v>1088</v>
      </c>
    </row>
    <row r="2047" spans="2:10" ht="21" customHeight="1">
      <c r="B2047" s="605" t="s">
        <v>5047</v>
      </c>
      <c r="C2047" s="606" t="s">
        <v>243</v>
      </c>
      <c r="D2047" s="605" t="s">
        <v>689</v>
      </c>
      <c r="E2047" s="606" t="s">
        <v>5048</v>
      </c>
      <c r="F2047" s="606" t="s">
        <v>37</v>
      </c>
      <c r="G2047" s="606" t="s">
        <v>1085</v>
      </c>
      <c r="H2047" s="606" t="s">
        <v>5043</v>
      </c>
      <c r="I2047" s="606" t="s">
        <v>1087</v>
      </c>
      <c r="J2047" s="606" t="s">
        <v>1088</v>
      </c>
    </row>
    <row r="2048" spans="2:10" ht="21" customHeight="1">
      <c r="B2048" s="605" t="s">
        <v>5049</v>
      </c>
      <c r="C2048" s="606" t="s">
        <v>243</v>
      </c>
      <c r="D2048" s="605" t="s">
        <v>689</v>
      </c>
      <c r="E2048" s="606" t="s">
        <v>5050</v>
      </c>
      <c r="F2048" s="606" t="s">
        <v>5050</v>
      </c>
      <c r="G2048" s="606" t="s">
        <v>1085</v>
      </c>
      <c r="H2048" s="606" t="s">
        <v>5043</v>
      </c>
      <c r="I2048" s="606" t="s">
        <v>1087</v>
      </c>
      <c r="J2048" s="606" t="s">
        <v>1088</v>
      </c>
    </row>
    <row r="2049" spans="2:10" ht="21" customHeight="1">
      <c r="B2049" s="605" t="s">
        <v>5051</v>
      </c>
      <c r="C2049" s="606" t="s">
        <v>243</v>
      </c>
      <c r="D2049" s="605" t="s">
        <v>689</v>
      </c>
      <c r="E2049" s="606" t="s">
        <v>5052</v>
      </c>
      <c r="F2049" s="606" t="s">
        <v>5052</v>
      </c>
      <c r="G2049" s="606" t="s">
        <v>1085</v>
      </c>
      <c r="H2049" s="606" t="s">
        <v>5043</v>
      </c>
      <c r="I2049" s="606" t="s">
        <v>1087</v>
      </c>
      <c r="J2049" s="606" t="s">
        <v>1088</v>
      </c>
    </row>
    <row r="2050" spans="2:10" ht="21" customHeight="1">
      <c r="B2050" s="605" t="s">
        <v>5053</v>
      </c>
      <c r="C2050" s="606" t="s">
        <v>243</v>
      </c>
      <c r="D2050" s="605" t="s">
        <v>689</v>
      </c>
      <c r="E2050" s="606" t="s">
        <v>5054</v>
      </c>
      <c r="F2050" s="606" t="s">
        <v>62</v>
      </c>
      <c r="G2050" s="606" t="s">
        <v>1085</v>
      </c>
      <c r="H2050" s="606" t="s">
        <v>5043</v>
      </c>
      <c r="I2050" s="606" t="s">
        <v>1087</v>
      </c>
      <c r="J2050" s="606" t="s">
        <v>1088</v>
      </c>
    </row>
    <row r="2051" spans="2:10" ht="21" customHeight="1">
      <c r="B2051" s="605" t="s">
        <v>5055</v>
      </c>
      <c r="C2051" s="606" t="s">
        <v>243</v>
      </c>
      <c r="D2051" s="605" t="s">
        <v>689</v>
      </c>
      <c r="E2051" s="606" t="s">
        <v>5056</v>
      </c>
      <c r="F2051" s="606" t="s">
        <v>5057</v>
      </c>
      <c r="G2051" s="606" t="s">
        <v>1085</v>
      </c>
      <c r="H2051" s="606" t="s">
        <v>5043</v>
      </c>
      <c r="I2051" s="606" t="s">
        <v>1087</v>
      </c>
      <c r="J2051" s="606" t="s">
        <v>1088</v>
      </c>
    </row>
    <row r="2052" spans="2:10" ht="21" customHeight="1">
      <c r="B2052" s="605" t="s">
        <v>5058</v>
      </c>
      <c r="C2052" s="606" t="s">
        <v>243</v>
      </c>
      <c r="D2052" s="605" t="s">
        <v>689</v>
      </c>
      <c r="E2052" s="606" t="s">
        <v>5059</v>
      </c>
      <c r="F2052" s="606" t="s">
        <v>115</v>
      </c>
      <c r="G2052" s="606" t="s">
        <v>1085</v>
      </c>
      <c r="H2052" s="606" t="s">
        <v>5043</v>
      </c>
      <c r="I2052" s="606" t="s">
        <v>1087</v>
      </c>
      <c r="J2052" s="606" t="s">
        <v>1088</v>
      </c>
    </row>
    <row r="2053" spans="2:10" ht="21" customHeight="1">
      <c r="B2053" s="605" t="s">
        <v>5060</v>
      </c>
      <c r="C2053" s="606" t="s">
        <v>243</v>
      </c>
      <c r="D2053" s="605" t="s">
        <v>689</v>
      </c>
      <c r="E2053" s="606" t="s">
        <v>5061</v>
      </c>
      <c r="F2053" s="606" t="s">
        <v>100</v>
      </c>
      <c r="G2053" s="606" t="s">
        <v>1085</v>
      </c>
      <c r="H2053" s="606" t="s">
        <v>5043</v>
      </c>
      <c r="I2053" s="606" t="s">
        <v>1087</v>
      </c>
      <c r="J2053" s="606" t="s">
        <v>1088</v>
      </c>
    </row>
    <row r="2054" spans="2:10" ht="21" customHeight="1">
      <c r="B2054" s="605" t="s">
        <v>5062</v>
      </c>
      <c r="C2054" s="606" t="s">
        <v>243</v>
      </c>
      <c r="D2054" s="605" t="s">
        <v>689</v>
      </c>
      <c r="E2054" s="606" t="s">
        <v>5063</v>
      </c>
      <c r="F2054" s="606" t="s">
        <v>3</v>
      </c>
      <c r="G2054" s="606" t="s">
        <v>1085</v>
      </c>
      <c r="H2054" s="606" t="s">
        <v>5043</v>
      </c>
      <c r="I2054" s="606" t="s">
        <v>1087</v>
      </c>
      <c r="J2054" s="606" t="s">
        <v>1088</v>
      </c>
    </row>
    <row r="2055" spans="2:10" ht="21" customHeight="1">
      <c r="B2055" s="605" t="s">
        <v>5064</v>
      </c>
      <c r="C2055" s="606" t="s">
        <v>243</v>
      </c>
      <c r="D2055" s="605" t="s">
        <v>689</v>
      </c>
      <c r="E2055" s="606" t="s">
        <v>5065</v>
      </c>
      <c r="F2055" s="606" t="s">
        <v>5066</v>
      </c>
      <c r="G2055" s="606" t="s">
        <v>1085</v>
      </c>
      <c r="H2055" s="606" t="s">
        <v>5043</v>
      </c>
      <c r="I2055" s="606" t="s">
        <v>1087</v>
      </c>
      <c r="J2055" s="606" t="s">
        <v>1088</v>
      </c>
    </row>
    <row r="2056" spans="2:10" ht="21" customHeight="1">
      <c r="B2056" s="605" t="s">
        <v>5067</v>
      </c>
      <c r="C2056" s="606" t="s">
        <v>243</v>
      </c>
      <c r="D2056" s="605" t="s">
        <v>689</v>
      </c>
      <c r="E2056" s="606" t="s">
        <v>5068</v>
      </c>
      <c r="F2056" s="606" t="s">
        <v>5069</v>
      </c>
      <c r="G2056" s="606" t="s">
        <v>1085</v>
      </c>
      <c r="H2056" s="606" t="s">
        <v>5043</v>
      </c>
      <c r="I2056" s="606" t="s">
        <v>1087</v>
      </c>
      <c r="J2056" s="606" t="s">
        <v>1088</v>
      </c>
    </row>
    <row r="2057" spans="2:10" ht="21" customHeight="1">
      <c r="B2057" s="605" t="s">
        <v>5070</v>
      </c>
      <c r="C2057" s="606" t="s">
        <v>243</v>
      </c>
      <c r="D2057" s="605" t="s">
        <v>689</v>
      </c>
      <c r="E2057" s="606" t="s">
        <v>5071</v>
      </c>
      <c r="F2057" s="606" t="s">
        <v>5071</v>
      </c>
      <c r="G2057" s="606" t="s">
        <v>1151</v>
      </c>
      <c r="H2057" s="606" t="s">
        <v>1152</v>
      </c>
      <c r="I2057" s="606" t="s">
        <v>1087</v>
      </c>
      <c r="J2057" s="606" t="s">
        <v>1153</v>
      </c>
    </row>
    <row r="2058" spans="2:10" ht="21" customHeight="1">
      <c r="B2058" s="605" t="s">
        <v>5072</v>
      </c>
      <c r="C2058" s="606" t="s">
        <v>243</v>
      </c>
      <c r="D2058" s="605" t="s">
        <v>689</v>
      </c>
      <c r="E2058" s="606" t="s">
        <v>5073</v>
      </c>
      <c r="F2058" s="606" t="s">
        <v>5073</v>
      </c>
      <c r="G2058" s="606" t="s">
        <v>1151</v>
      </c>
      <c r="H2058" s="606" t="s">
        <v>1152</v>
      </c>
      <c r="I2058" s="606" t="s">
        <v>1087</v>
      </c>
      <c r="J2058" s="606" t="s">
        <v>1153</v>
      </c>
    </row>
    <row r="2059" spans="2:10" ht="21" customHeight="1">
      <c r="B2059" s="605" t="s">
        <v>5074</v>
      </c>
      <c r="C2059" s="606" t="s">
        <v>243</v>
      </c>
      <c r="D2059" s="605" t="s">
        <v>689</v>
      </c>
      <c r="E2059" s="606" t="s">
        <v>5075</v>
      </c>
      <c r="F2059" s="606" t="s">
        <v>5075</v>
      </c>
      <c r="G2059" s="606" t="s">
        <v>1151</v>
      </c>
      <c r="H2059" s="606" t="s">
        <v>1152</v>
      </c>
      <c r="I2059" s="606" t="s">
        <v>1087</v>
      </c>
      <c r="J2059" s="606" t="s">
        <v>1153</v>
      </c>
    </row>
    <row r="2060" spans="2:10" ht="21" customHeight="1">
      <c r="B2060" s="605" t="s">
        <v>5076</v>
      </c>
      <c r="C2060" s="606" t="s">
        <v>243</v>
      </c>
      <c r="D2060" s="605" t="s">
        <v>689</v>
      </c>
      <c r="E2060" s="606" t="s">
        <v>88</v>
      </c>
      <c r="F2060" s="606" t="s">
        <v>88</v>
      </c>
      <c r="G2060" s="606" t="s">
        <v>1085</v>
      </c>
      <c r="H2060" s="606" t="s">
        <v>5043</v>
      </c>
      <c r="I2060" s="606" t="s">
        <v>1087</v>
      </c>
      <c r="J2060" s="606" t="s">
        <v>1088</v>
      </c>
    </row>
    <row r="2061" spans="2:10" ht="21" customHeight="1">
      <c r="B2061" s="605" t="s">
        <v>5077</v>
      </c>
      <c r="C2061" s="606" t="s">
        <v>243</v>
      </c>
      <c r="D2061" s="605" t="s">
        <v>689</v>
      </c>
      <c r="E2061" s="606" t="s">
        <v>5078</v>
      </c>
      <c r="F2061" s="606" t="s">
        <v>5078</v>
      </c>
      <c r="G2061" s="606" t="s">
        <v>1085</v>
      </c>
      <c r="H2061" s="606" t="s">
        <v>5043</v>
      </c>
      <c r="I2061" s="606" t="s">
        <v>1087</v>
      </c>
      <c r="J2061" s="606" t="s">
        <v>1088</v>
      </c>
    </row>
    <row r="2062" spans="2:10" ht="21" customHeight="1">
      <c r="B2062" s="605" t="s">
        <v>5079</v>
      </c>
      <c r="C2062" s="606" t="s">
        <v>243</v>
      </c>
      <c r="D2062" s="605" t="s">
        <v>689</v>
      </c>
      <c r="E2062" s="606" t="s">
        <v>75</v>
      </c>
      <c r="F2062" s="606" t="s">
        <v>75</v>
      </c>
      <c r="G2062" s="606" t="s">
        <v>1085</v>
      </c>
      <c r="H2062" s="606" t="s">
        <v>5043</v>
      </c>
      <c r="I2062" s="606" t="s">
        <v>1087</v>
      </c>
      <c r="J2062" s="606" t="s">
        <v>1088</v>
      </c>
    </row>
    <row r="2063" spans="2:10" ht="21" customHeight="1">
      <c r="B2063" s="605" t="s">
        <v>5080</v>
      </c>
      <c r="C2063" s="606" t="s">
        <v>243</v>
      </c>
      <c r="D2063" s="605" t="s">
        <v>1511</v>
      </c>
      <c r="E2063" s="606" t="s">
        <v>5081</v>
      </c>
      <c r="F2063" s="606" t="s">
        <v>5082</v>
      </c>
      <c r="G2063" s="606" t="s">
        <v>1085</v>
      </c>
      <c r="H2063" s="606" t="s">
        <v>3799</v>
      </c>
      <c r="I2063" s="606" t="s">
        <v>1087</v>
      </c>
      <c r="J2063" s="606" t="s">
        <v>1088</v>
      </c>
    </row>
    <row r="2064" spans="2:10" ht="21" customHeight="1">
      <c r="B2064" s="605" t="s">
        <v>5083</v>
      </c>
      <c r="C2064" s="606" t="s">
        <v>243</v>
      </c>
      <c r="D2064" s="605" t="s">
        <v>1511</v>
      </c>
      <c r="E2064" s="606" t="s">
        <v>5084</v>
      </c>
      <c r="F2064" s="606" t="s">
        <v>5084</v>
      </c>
      <c r="G2064" s="606" t="s">
        <v>1085</v>
      </c>
      <c r="H2064" s="606" t="s">
        <v>3799</v>
      </c>
      <c r="I2064" s="606" t="s">
        <v>1087</v>
      </c>
      <c r="J2064" s="606" t="s">
        <v>1088</v>
      </c>
    </row>
    <row r="2065" spans="2:10" ht="21" customHeight="1">
      <c r="B2065" s="605" t="s">
        <v>5085</v>
      </c>
      <c r="C2065" s="606" t="s">
        <v>243</v>
      </c>
      <c r="D2065" s="605" t="s">
        <v>1511</v>
      </c>
      <c r="E2065" s="606" t="s">
        <v>5086</v>
      </c>
      <c r="F2065" s="606" t="s">
        <v>5086</v>
      </c>
      <c r="G2065" s="606" t="s">
        <v>1085</v>
      </c>
      <c r="H2065" s="606" t="s">
        <v>3799</v>
      </c>
      <c r="I2065" s="606" t="s">
        <v>1087</v>
      </c>
      <c r="J2065" s="606" t="s">
        <v>1088</v>
      </c>
    </row>
    <row r="2066" spans="2:10" ht="21" customHeight="1">
      <c r="B2066" s="605" t="s">
        <v>5087</v>
      </c>
      <c r="C2066" s="606" t="s">
        <v>243</v>
      </c>
      <c r="D2066" s="605" t="s">
        <v>1511</v>
      </c>
      <c r="E2066" s="606" t="s">
        <v>1199</v>
      </c>
      <c r="F2066" s="606" t="s">
        <v>1199</v>
      </c>
      <c r="G2066" s="606" t="s">
        <v>1085</v>
      </c>
      <c r="H2066" s="606" t="s">
        <v>3799</v>
      </c>
      <c r="I2066" s="606" t="s">
        <v>1087</v>
      </c>
      <c r="J2066" s="606" t="s">
        <v>1088</v>
      </c>
    </row>
    <row r="2067" spans="2:10" ht="21" customHeight="1">
      <c r="B2067" s="605" t="s">
        <v>5088</v>
      </c>
      <c r="C2067" s="606" t="s">
        <v>243</v>
      </c>
      <c r="D2067" s="605" t="s">
        <v>1511</v>
      </c>
      <c r="E2067" s="606" t="s">
        <v>1067</v>
      </c>
      <c r="F2067" s="606" t="s">
        <v>1067</v>
      </c>
      <c r="G2067" s="606" t="s">
        <v>1085</v>
      </c>
      <c r="H2067" s="606" t="s">
        <v>3799</v>
      </c>
      <c r="I2067" s="606" t="s">
        <v>1087</v>
      </c>
      <c r="J2067" s="606" t="s">
        <v>1088</v>
      </c>
    </row>
    <row r="2068" spans="2:10" ht="21" customHeight="1">
      <c r="B2068" s="605" t="s">
        <v>5089</v>
      </c>
      <c r="C2068" s="606" t="s">
        <v>243</v>
      </c>
      <c r="D2068" s="605" t="s">
        <v>1511</v>
      </c>
      <c r="E2068" s="606" t="s">
        <v>4913</v>
      </c>
      <c r="F2068" s="606" t="s">
        <v>4913</v>
      </c>
      <c r="G2068" s="606" t="s">
        <v>1085</v>
      </c>
      <c r="H2068" s="606" t="s">
        <v>3799</v>
      </c>
      <c r="I2068" s="606" t="s">
        <v>1087</v>
      </c>
      <c r="J2068" s="606" t="s">
        <v>1088</v>
      </c>
    </row>
    <row r="2069" spans="2:10" ht="21" customHeight="1">
      <c r="B2069" s="605" t="s">
        <v>5090</v>
      </c>
      <c r="C2069" s="606" t="s">
        <v>243</v>
      </c>
      <c r="D2069" s="605" t="s">
        <v>1511</v>
      </c>
      <c r="E2069" s="606" t="s">
        <v>1068</v>
      </c>
      <c r="F2069" s="606" t="s">
        <v>1068</v>
      </c>
      <c r="G2069" s="606" t="s">
        <v>1085</v>
      </c>
      <c r="H2069" s="606" t="s">
        <v>3799</v>
      </c>
      <c r="I2069" s="606" t="s">
        <v>1087</v>
      </c>
      <c r="J2069" s="606" t="s">
        <v>1088</v>
      </c>
    </row>
    <row r="2070" spans="2:10" ht="21" customHeight="1">
      <c r="B2070" s="605" t="s">
        <v>5091</v>
      </c>
      <c r="C2070" s="606" t="s">
        <v>243</v>
      </c>
      <c r="D2070" s="605" t="s">
        <v>1511</v>
      </c>
      <c r="E2070" s="606" t="s">
        <v>1069</v>
      </c>
      <c r="F2070" s="606" t="s">
        <v>1069</v>
      </c>
      <c r="G2070" s="606" t="s">
        <v>1085</v>
      </c>
      <c r="H2070" s="606" t="s">
        <v>3799</v>
      </c>
      <c r="I2070" s="606" t="s">
        <v>1087</v>
      </c>
      <c r="J2070" s="606" t="s">
        <v>1088</v>
      </c>
    </row>
    <row r="2071" spans="2:10" ht="21" customHeight="1">
      <c r="B2071" s="605" t="s">
        <v>5092</v>
      </c>
      <c r="C2071" s="606" t="s">
        <v>243</v>
      </c>
      <c r="D2071" s="605" t="s">
        <v>1511</v>
      </c>
      <c r="E2071" s="606" t="s">
        <v>4918</v>
      </c>
      <c r="F2071" s="606" t="s">
        <v>4918</v>
      </c>
      <c r="G2071" s="606" t="s">
        <v>1085</v>
      </c>
      <c r="H2071" s="606" t="s">
        <v>3799</v>
      </c>
      <c r="I2071" s="606" t="s">
        <v>1087</v>
      </c>
      <c r="J2071" s="606" t="s">
        <v>1088</v>
      </c>
    </row>
    <row r="2072" spans="2:10" ht="21" customHeight="1">
      <c r="B2072" s="605" t="s">
        <v>5093</v>
      </c>
      <c r="C2072" s="606" t="s">
        <v>243</v>
      </c>
      <c r="D2072" s="605" t="s">
        <v>1511</v>
      </c>
      <c r="E2072" s="606" t="s">
        <v>5094</v>
      </c>
      <c r="F2072" s="606" t="s">
        <v>5094</v>
      </c>
      <c r="G2072" s="606" t="s">
        <v>1085</v>
      </c>
      <c r="H2072" s="606" t="s">
        <v>3799</v>
      </c>
      <c r="I2072" s="606" t="s">
        <v>1087</v>
      </c>
      <c r="J2072" s="606" t="s">
        <v>1088</v>
      </c>
    </row>
    <row r="2073" spans="2:10" ht="21" customHeight="1">
      <c r="B2073" s="605" t="s">
        <v>5095</v>
      </c>
      <c r="C2073" s="606" t="s">
        <v>243</v>
      </c>
      <c r="D2073" s="605" t="s">
        <v>1511</v>
      </c>
      <c r="E2073" s="606" t="s">
        <v>5096</v>
      </c>
      <c r="F2073" s="606" t="s">
        <v>5096</v>
      </c>
      <c r="G2073" s="606" t="s">
        <v>1085</v>
      </c>
      <c r="H2073" s="606" t="s">
        <v>3799</v>
      </c>
      <c r="I2073" s="606" t="s">
        <v>1087</v>
      </c>
      <c r="J2073" s="606" t="s">
        <v>1088</v>
      </c>
    </row>
    <row r="2074" spans="2:10" ht="21" customHeight="1">
      <c r="B2074" s="605" t="s">
        <v>5097</v>
      </c>
      <c r="C2074" s="606" t="s">
        <v>243</v>
      </c>
      <c r="D2074" s="605" t="s">
        <v>1511</v>
      </c>
      <c r="E2074" s="606" t="s">
        <v>5098</v>
      </c>
      <c r="F2074" s="606" t="s">
        <v>5098</v>
      </c>
      <c r="G2074" s="606" t="s">
        <v>1085</v>
      </c>
      <c r="H2074" s="606" t="s">
        <v>3799</v>
      </c>
      <c r="I2074" s="606" t="s">
        <v>1087</v>
      </c>
      <c r="J2074" s="606" t="s">
        <v>1088</v>
      </c>
    </row>
    <row r="2075" spans="2:10" ht="21" customHeight="1">
      <c r="B2075" s="605" t="s">
        <v>5099</v>
      </c>
      <c r="C2075" s="606" t="s">
        <v>243</v>
      </c>
      <c r="D2075" s="605" t="s">
        <v>1511</v>
      </c>
      <c r="E2075" s="606" t="s">
        <v>1339</v>
      </c>
      <c r="F2075" s="606" t="s">
        <v>1339</v>
      </c>
      <c r="G2075" s="606" t="s">
        <v>1085</v>
      </c>
      <c r="H2075" s="606" t="s">
        <v>3799</v>
      </c>
      <c r="I2075" s="606" t="s">
        <v>1087</v>
      </c>
      <c r="J2075" s="606" t="s">
        <v>1088</v>
      </c>
    </row>
    <row r="2076" spans="2:10" ht="21" customHeight="1">
      <c r="B2076" s="605" t="s">
        <v>5100</v>
      </c>
      <c r="C2076" s="606" t="s">
        <v>243</v>
      </c>
      <c r="D2076" s="605" t="s">
        <v>1511</v>
      </c>
      <c r="E2076" s="606" t="s">
        <v>5101</v>
      </c>
      <c r="F2076" s="606" t="s">
        <v>5101</v>
      </c>
      <c r="G2076" s="606" t="s">
        <v>1085</v>
      </c>
      <c r="H2076" s="606" t="s">
        <v>3799</v>
      </c>
      <c r="I2076" s="606" t="s">
        <v>1087</v>
      </c>
      <c r="J2076" s="606" t="s">
        <v>1088</v>
      </c>
    </row>
    <row r="2077" spans="2:10" ht="21" customHeight="1">
      <c r="B2077" s="605" t="s">
        <v>5102</v>
      </c>
      <c r="C2077" s="606" t="s">
        <v>243</v>
      </c>
      <c r="D2077" s="605" t="s">
        <v>1511</v>
      </c>
      <c r="E2077" s="606" t="s">
        <v>5103</v>
      </c>
      <c r="F2077" s="606" t="s">
        <v>5103</v>
      </c>
      <c r="G2077" s="606" t="s">
        <v>1085</v>
      </c>
      <c r="H2077" s="606" t="s">
        <v>3799</v>
      </c>
      <c r="I2077" s="606" t="s">
        <v>1087</v>
      </c>
      <c r="J2077" s="606" t="s">
        <v>1088</v>
      </c>
    </row>
    <row r="2078" spans="2:10" ht="21" customHeight="1">
      <c r="B2078" s="605" t="s">
        <v>5104</v>
      </c>
      <c r="C2078" s="606" t="s">
        <v>13</v>
      </c>
      <c r="D2078" s="605" t="s">
        <v>689</v>
      </c>
      <c r="E2078" s="606" t="s">
        <v>5105</v>
      </c>
      <c r="F2078" s="606" t="s">
        <v>5105</v>
      </c>
      <c r="G2078" s="606" t="s">
        <v>1085</v>
      </c>
      <c r="H2078" s="606" t="s">
        <v>5106</v>
      </c>
      <c r="I2078" s="606" t="s">
        <v>1087</v>
      </c>
      <c r="J2078" s="606" t="s">
        <v>1088</v>
      </c>
    </row>
    <row r="2079" spans="2:10" ht="21" customHeight="1">
      <c r="B2079" s="605" t="s">
        <v>5107</v>
      </c>
      <c r="C2079" s="606" t="s">
        <v>13</v>
      </c>
      <c r="D2079" s="605" t="s">
        <v>689</v>
      </c>
      <c r="E2079" s="606" t="s">
        <v>50</v>
      </c>
      <c r="F2079" s="606" t="s">
        <v>50</v>
      </c>
      <c r="G2079" s="606" t="s">
        <v>1085</v>
      </c>
      <c r="H2079" s="606" t="s">
        <v>5106</v>
      </c>
      <c r="I2079" s="606" t="s">
        <v>1087</v>
      </c>
      <c r="J2079" s="606" t="s">
        <v>1088</v>
      </c>
    </row>
    <row r="2080" spans="2:10" ht="21" customHeight="1">
      <c r="B2080" s="605" t="s">
        <v>5108</v>
      </c>
      <c r="C2080" s="606" t="s">
        <v>13</v>
      </c>
      <c r="D2080" s="605" t="s">
        <v>689</v>
      </c>
      <c r="E2080" s="606" t="s">
        <v>76</v>
      </c>
      <c r="F2080" s="606" t="s">
        <v>76</v>
      </c>
      <c r="G2080" s="606" t="s">
        <v>1085</v>
      </c>
      <c r="H2080" s="606" t="s">
        <v>5106</v>
      </c>
      <c r="I2080" s="606" t="s">
        <v>1087</v>
      </c>
      <c r="J2080" s="606" t="s">
        <v>1088</v>
      </c>
    </row>
    <row r="2081" spans="2:10" ht="21" customHeight="1">
      <c r="B2081" s="605" t="s">
        <v>5109</v>
      </c>
      <c r="C2081" s="606" t="s">
        <v>13</v>
      </c>
      <c r="D2081" s="605" t="s">
        <v>689</v>
      </c>
      <c r="E2081" s="606" t="s">
        <v>63</v>
      </c>
      <c r="F2081" s="606" t="s">
        <v>63</v>
      </c>
      <c r="G2081" s="606" t="s">
        <v>1085</v>
      </c>
      <c r="H2081" s="606" t="s">
        <v>5106</v>
      </c>
      <c r="I2081" s="606" t="s">
        <v>1087</v>
      </c>
      <c r="J2081" s="606" t="s">
        <v>1088</v>
      </c>
    </row>
    <row r="2082" spans="2:10" ht="21" customHeight="1">
      <c r="B2082" s="605" t="s">
        <v>5110</v>
      </c>
      <c r="C2082" s="606" t="s">
        <v>13</v>
      </c>
      <c r="D2082" s="605" t="s">
        <v>689</v>
      </c>
      <c r="E2082" s="606" t="s">
        <v>5111</v>
      </c>
      <c r="F2082" s="606" t="s">
        <v>368</v>
      </c>
      <c r="G2082" s="606" t="s">
        <v>1085</v>
      </c>
      <c r="H2082" s="606" t="s">
        <v>5106</v>
      </c>
      <c r="I2082" s="606" t="s">
        <v>1087</v>
      </c>
      <c r="J2082" s="606" t="s">
        <v>1088</v>
      </c>
    </row>
    <row r="2083" spans="2:10" ht="21" customHeight="1">
      <c r="B2083" s="605" t="s">
        <v>5112</v>
      </c>
      <c r="C2083" s="606" t="s">
        <v>13</v>
      </c>
      <c r="D2083" s="605" t="s">
        <v>689</v>
      </c>
      <c r="E2083" s="606" t="s">
        <v>5113</v>
      </c>
      <c r="F2083" s="606" t="s">
        <v>369</v>
      </c>
      <c r="G2083" s="606" t="s">
        <v>1085</v>
      </c>
      <c r="H2083" s="606" t="s">
        <v>5106</v>
      </c>
      <c r="I2083" s="606" t="s">
        <v>1087</v>
      </c>
      <c r="J2083" s="606" t="s">
        <v>1088</v>
      </c>
    </row>
    <row r="2084" spans="2:10" ht="21" customHeight="1">
      <c r="B2084" s="605" t="s">
        <v>5114</v>
      </c>
      <c r="C2084" s="606" t="s">
        <v>13</v>
      </c>
      <c r="D2084" s="605" t="s">
        <v>689</v>
      </c>
      <c r="E2084" s="606" t="s">
        <v>5115</v>
      </c>
      <c r="F2084" s="606" t="s">
        <v>370</v>
      </c>
      <c r="G2084" s="606" t="s">
        <v>1085</v>
      </c>
      <c r="H2084" s="606" t="s">
        <v>5106</v>
      </c>
      <c r="I2084" s="606" t="s">
        <v>1087</v>
      </c>
      <c r="J2084" s="606" t="s">
        <v>1088</v>
      </c>
    </row>
    <row r="2085" spans="2:10" ht="21" customHeight="1">
      <c r="B2085" s="605" t="s">
        <v>5116</v>
      </c>
      <c r="C2085" s="606" t="s">
        <v>13</v>
      </c>
      <c r="D2085" s="605" t="s">
        <v>689</v>
      </c>
      <c r="E2085" s="606" t="s">
        <v>5117</v>
      </c>
      <c r="F2085" s="606" t="s">
        <v>371</v>
      </c>
      <c r="G2085" s="606" t="s">
        <v>1085</v>
      </c>
      <c r="H2085" s="606" t="s">
        <v>5106</v>
      </c>
      <c r="I2085" s="606" t="s">
        <v>1087</v>
      </c>
      <c r="J2085" s="606" t="s">
        <v>1088</v>
      </c>
    </row>
    <row r="2086" spans="2:10" ht="21" customHeight="1">
      <c r="B2086" s="605" t="s">
        <v>5118</v>
      </c>
      <c r="C2086" s="606" t="s">
        <v>13</v>
      </c>
      <c r="D2086" s="605" t="s">
        <v>689</v>
      </c>
      <c r="E2086" s="606" t="s">
        <v>5119</v>
      </c>
      <c r="F2086" s="606" t="s">
        <v>372</v>
      </c>
      <c r="G2086" s="606" t="s">
        <v>1085</v>
      </c>
      <c r="H2086" s="606" t="s">
        <v>5106</v>
      </c>
      <c r="I2086" s="606" t="s">
        <v>1087</v>
      </c>
      <c r="J2086" s="606" t="s">
        <v>1088</v>
      </c>
    </row>
    <row r="2087" spans="2:10" ht="21" customHeight="1">
      <c r="B2087" s="605" t="s">
        <v>5120</v>
      </c>
      <c r="C2087" s="606" t="s">
        <v>13</v>
      </c>
      <c r="D2087" s="605" t="s">
        <v>689</v>
      </c>
      <c r="E2087" s="606" t="s">
        <v>5121</v>
      </c>
      <c r="F2087" s="606" t="s">
        <v>373</v>
      </c>
      <c r="G2087" s="606" t="s">
        <v>1085</v>
      </c>
      <c r="H2087" s="606" t="s">
        <v>5106</v>
      </c>
      <c r="I2087" s="606" t="s">
        <v>1087</v>
      </c>
      <c r="J2087" s="606" t="s">
        <v>1088</v>
      </c>
    </row>
    <row r="2088" spans="2:10" ht="21" customHeight="1">
      <c r="B2088" s="605" t="s">
        <v>5122</v>
      </c>
      <c r="C2088" s="606" t="s">
        <v>13</v>
      </c>
      <c r="D2088" s="605" t="s">
        <v>689</v>
      </c>
      <c r="E2088" s="606" t="s">
        <v>5123</v>
      </c>
      <c r="F2088" s="606" t="s">
        <v>374</v>
      </c>
      <c r="G2088" s="606" t="s">
        <v>1085</v>
      </c>
      <c r="H2088" s="606" t="s">
        <v>5106</v>
      </c>
      <c r="I2088" s="606" t="s">
        <v>1087</v>
      </c>
      <c r="J2088" s="606" t="s">
        <v>1088</v>
      </c>
    </row>
    <row r="2089" spans="2:10" ht="21" customHeight="1">
      <c r="B2089" s="605" t="s">
        <v>5124</v>
      </c>
      <c r="C2089" s="606" t="s">
        <v>13</v>
      </c>
      <c r="D2089" s="605" t="s">
        <v>689</v>
      </c>
      <c r="E2089" s="606" t="s">
        <v>5125</v>
      </c>
      <c r="F2089" s="606" t="s">
        <v>375</v>
      </c>
      <c r="G2089" s="606" t="s">
        <v>1085</v>
      </c>
      <c r="H2089" s="606" t="s">
        <v>5106</v>
      </c>
      <c r="I2089" s="606" t="s">
        <v>1087</v>
      </c>
      <c r="J2089" s="606" t="s">
        <v>1088</v>
      </c>
    </row>
    <row r="2090" spans="2:10" ht="21" customHeight="1">
      <c r="B2090" s="605" t="s">
        <v>5126</v>
      </c>
      <c r="C2090" s="606" t="s">
        <v>13</v>
      </c>
      <c r="D2090" s="605" t="s">
        <v>689</v>
      </c>
      <c r="E2090" s="606" t="s">
        <v>5127</v>
      </c>
      <c r="F2090" s="606" t="s">
        <v>376</v>
      </c>
      <c r="G2090" s="606" t="s">
        <v>1085</v>
      </c>
      <c r="H2090" s="606" t="s">
        <v>5106</v>
      </c>
      <c r="I2090" s="606" t="s">
        <v>1087</v>
      </c>
      <c r="J2090" s="606" t="s">
        <v>1088</v>
      </c>
    </row>
    <row r="2091" spans="2:10" ht="21" customHeight="1">
      <c r="B2091" s="605" t="s">
        <v>5128</v>
      </c>
      <c r="C2091" s="606" t="s">
        <v>13</v>
      </c>
      <c r="D2091" s="605" t="s">
        <v>689</v>
      </c>
      <c r="E2091" s="606" t="s">
        <v>5129</v>
      </c>
      <c r="F2091" s="606" t="s">
        <v>5130</v>
      </c>
      <c r="G2091" s="606" t="s">
        <v>1085</v>
      </c>
      <c r="H2091" s="606" t="s">
        <v>5106</v>
      </c>
      <c r="I2091" s="606" t="s">
        <v>1087</v>
      </c>
      <c r="J2091" s="606" t="s">
        <v>1088</v>
      </c>
    </row>
    <row r="2092" spans="2:10" ht="21" customHeight="1">
      <c r="B2092" s="605" t="s">
        <v>5131</v>
      </c>
      <c r="C2092" s="606" t="s">
        <v>13</v>
      </c>
      <c r="D2092" s="605" t="s">
        <v>689</v>
      </c>
      <c r="E2092" s="606" t="s">
        <v>5132</v>
      </c>
      <c r="F2092" s="606" t="s">
        <v>101</v>
      </c>
      <c r="G2092" s="606" t="s">
        <v>1085</v>
      </c>
      <c r="H2092" s="606" t="s">
        <v>5106</v>
      </c>
      <c r="I2092" s="606" t="s">
        <v>1087</v>
      </c>
      <c r="J2092" s="606" t="s">
        <v>1088</v>
      </c>
    </row>
    <row r="2093" spans="2:10" ht="21" customHeight="1">
      <c r="B2093" s="605" t="s">
        <v>5133</v>
      </c>
      <c r="C2093" s="606" t="s">
        <v>13</v>
      </c>
      <c r="D2093" s="605" t="s">
        <v>689</v>
      </c>
      <c r="E2093" s="606" t="s">
        <v>26</v>
      </c>
      <c r="F2093" s="606" t="s">
        <v>26</v>
      </c>
      <c r="G2093" s="606" t="s">
        <v>1085</v>
      </c>
      <c r="H2093" s="606" t="s">
        <v>5106</v>
      </c>
      <c r="I2093" s="606" t="s">
        <v>1087</v>
      </c>
      <c r="J2093" s="606" t="s">
        <v>1088</v>
      </c>
    </row>
    <row r="2094" spans="2:10" ht="21" customHeight="1">
      <c r="B2094" s="605" t="s">
        <v>5134</v>
      </c>
      <c r="C2094" s="606" t="s">
        <v>13</v>
      </c>
      <c r="D2094" s="605" t="s">
        <v>689</v>
      </c>
      <c r="E2094" s="606" t="s">
        <v>4</v>
      </c>
      <c r="F2094" s="606" t="s">
        <v>4</v>
      </c>
      <c r="G2094" s="606" t="s">
        <v>1085</v>
      </c>
      <c r="H2094" s="606" t="s">
        <v>5106</v>
      </c>
      <c r="I2094" s="606" t="s">
        <v>1087</v>
      </c>
      <c r="J2094" s="606" t="s">
        <v>1088</v>
      </c>
    </row>
    <row r="2095" spans="2:10" ht="21" customHeight="1">
      <c r="B2095" s="605" t="s">
        <v>5135</v>
      </c>
      <c r="C2095" s="606" t="s">
        <v>13</v>
      </c>
      <c r="D2095" s="605" t="s">
        <v>689</v>
      </c>
      <c r="E2095" s="606" t="s">
        <v>377</v>
      </c>
      <c r="F2095" s="606" t="s">
        <v>377</v>
      </c>
      <c r="G2095" s="606" t="s">
        <v>1151</v>
      </c>
      <c r="H2095" s="606" t="s">
        <v>1152</v>
      </c>
      <c r="I2095" s="606" t="s">
        <v>1087</v>
      </c>
      <c r="J2095" s="606" t="s">
        <v>1153</v>
      </c>
    </row>
    <row r="2096" spans="2:10" ht="21" customHeight="1">
      <c r="B2096" s="605" t="s">
        <v>5136</v>
      </c>
      <c r="C2096" s="606" t="s">
        <v>13</v>
      </c>
      <c r="D2096" s="605" t="s">
        <v>689</v>
      </c>
      <c r="E2096" s="606" t="s">
        <v>378</v>
      </c>
      <c r="F2096" s="606" t="s">
        <v>378</v>
      </c>
      <c r="G2096" s="606" t="s">
        <v>1085</v>
      </c>
      <c r="H2096" s="606" t="s">
        <v>5106</v>
      </c>
      <c r="I2096" s="606" t="s">
        <v>1087</v>
      </c>
      <c r="J2096" s="606" t="s">
        <v>1088</v>
      </c>
    </row>
    <row r="2097" spans="2:10" ht="21" customHeight="1">
      <c r="B2097" s="605" t="s">
        <v>5137</v>
      </c>
      <c r="C2097" s="606" t="s">
        <v>13</v>
      </c>
      <c r="D2097" s="605" t="s">
        <v>689</v>
      </c>
      <c r="E2097" s="606" t="s">
        <v>379</v>
      </c>
      <c r="F2097" s="606" t="s">
        <v>379</v>
      </c>
      <c r="G2097" s="606" t="s">
        <v>1085</v>
      </c>
      <c r="H2097" s="606" t="s">
        <v>5106</v>
      </c>
      <c r="I2097" s="606" t="s">
        <v>1087</v>
      </c>
      <c r="J2097" s="606" t="s">
        <v>1088</v>
      </c>
    </row>
    <row r="2098" spans="2:10" ht="21" customHeight="1">
      <c r="B2098" s="605" t="s">
        <v>5138</v>
      </c>
      <c r="C2098" s="606" t="s">
        <v>13</v>
      </c>
      <c r="D2098" s="605" t="s">
        <v>689</v>
      </c>
      <c r="E2098" s="606" t="s">
        <v>5139</v>
      </c>
      <c r="F2098" s="606" t="s">
        <v>5139</v>
      </c>
      <c r="G2098" s="606" t="s">
        <v>1151</v>
      </c>
      <c r="H2098" s="606" t="s">
        <v>1152</v>
      </c>
      <c r="I2098" s="606" t="s">
        <v>1087</v>
      </c>
      <c r="J2098" s="606" t="s">
        <v>1153</v>
      </c>
    </row>
    <row r="2099" spans="2:10" ht="21" customHeight="1">
      <c r="B2099" s="605" t="s">
        <v>5140</v>
      </c>
      <c r="C2099" s="606" t="s">
        <v>13</v>
      </c>
      <c r="D2099" s="605" t="s">
        <v>1511</v>
      </c>
      <c r="E2099" s="606" t="s">
        <v>1063</v>
      </c>
      <c r="F2099" s="606" t="s">
        <v>1063</v>
      </c>
      <c r="G2099" s="606" t="s">
        <v>1085</v>
      </c>
      <c r="H2099" s="606" t="s">
        <v>5141</v>
      </c>
      <c r="I2099" s="606" t="s">
        <v>1087</v>
      </c>
      <c r="J2099" s="606" t="s">
        <v>1088</v>
      </c>
    </row>
    <row r="2100" spans="2:10" ht="21" customHeight="1">
      <c r="B2100" s="605" t="s">
        <v>5142</v>
      </c>
      <c r="C2100" s="606" t="s">
        <v>13</v>
      </c>
      <c r="D2100" s="605" t="s">
        <v>1511</v>
      </c>
      <c r="E2100" s="606" t="s">
        <v>1156</v>
      </c>
      <c r="F2100" s="606" t="s">
        <v>883</v>
      </c>
      <c r="G2100" s="606" t="s">
        <v>1085</v>
      </c>
      <c r="H2100" s="606" t="s">
        <v>5141</v>
      </c>
      <c r="I2100" s="606" t="s">
        <v>1087</v>
      </c>
      <c r="J2100" s="606" t="s">
        <v>1088</v>
      </c>
    </row>
    <row r="2101" spans="2:10" ht="21" customHeight="1">
      <c r="B2101" s="605" t="s">
        <v>5143</v>
      </c>
      <c r="C2101" s="606" t="s">
        <v>13</v>
      </c>
      <c r="D2101" s="605" t="s">
        <v>1511</v>
      </c>
      <c r="E2101" s="606" t="s">
        <v>5144</v>
      </c>
      <c r="F2101" s="606" t="s">
        <v>5144</v>
      </c>
      <c r="G2101" s="606" t="s">
        <v>1085</v>
      </c>
      <c r="H2101" s="606" t="s">
        <v>5141</v>
      </c>
      <c r="I2101" s="606" t="s">
        <v>1087</v>
      </c>
      <c r="J2101" s="606" t="s">
        <v>1088</v>
      </c>
    </row>
    <row r="2102" spans="2:10" ht="21" customHeight="1">
      <c r="B2102" s="605" t="s">
        <v>5145</v>
      </c>
      <c r="C2102" s="606" t="s">
        <v>13</v>
      </c>
      <c r="D2102" s="605" t="s">
        <v>1511</v>
      </c>
      <c r="E2102" s="606" t="s">
        <v>5146</v>
      </c>
      <c r="F2102" s="606" t="s">
        <v>5146</v>
      </c>
      <c r="G2102" s="606" t="s">
        <v>1085</v>
      </c>
      <c r="H2102" s="606" t="s">
        <v>5141</v>
      </c>
      <c r="I2102" s="606" t="s">
        <v>1087</v>
      </c>
      <c r="J2102" s="606" t="s">
        <v>1088</v>
      </c>
    </row>
    <row r="2103" spans="2:10" ht="21" customHeight="1">
      <c r="B2103" s="605" t="s">
        <v>5147</v>
      </c>
      <c r="C2103" s="606" t="s">
        <v>13</v>
      </c>
      <c r="D2103" s="605" t="s">
        <v>1511</v>
      </c>
      <c r="E2103" s="606" t="s">
        <v>5148</v>
      </c>
      <c r="F2103" s="606" t="s">
        <v>5148</v>
      </c>
      <c r="G2103" s="606" t="s">
        <v>1085</v>
      </c>
      <c r="H2103" s="606" t="s">
        <v>5141</v>
      </c>
      <c r="I2103" s="606" t="s">
        <v>1087</v>
      </c>
      <c r="J2103" s="606" t="s">
        <v>1088</v>
      </c>
    </row>
    <row r="2104" spans="2:10" ht="21" customHeight="1">
      <c r="B2104" s="605" t="s">
        <v>5149</v>
      </c>
      <c r="C2104" s="606" t="s">
        <v>13</v>
      </c>
      <c r="D2104" s="605" t="s">
        <v>1511</v>
      </c>
      <c r="E2104" s="606" t="s">
        <v>5150</v>
      </c>
      <c r="F2104" s="606" t="s">
        <v>5150</v>
      </c>
      <c r="G2104" s="606" t="s">
        <v>1085</v>
      </c>
      <c r="H2104" s="606" t="s">
        <v>5141</v>
      </c>
      <c r="I2104" s="606" t="s">
        <v>1087</v>
      </c>
      <c r="J2104" s="606" t="s">
        <v>1088</v>
      </c>
    </row>
    <row r="2105" spans="2:10" ht="21" customHeight="1">
      <c r="B2105" s="605" t="s">
        <v>5151</v>
      </c>
      <c r="C2105" s="606" t="s">
        <v>13</v>
      </c>
      <c r="D2105" s="605" t="s">
        <v>1511</v>
      </c>
      <c r="E2105" s="606" t="s">
        <v>5152</v>
      </c>
      <c r="F2105" s="606" t="s">
        <v>5152</v>
      </c>
      <c r="G2105" s="606" t="s">
        <v>1151</v>
      </c>
      <c r="H2105" s="606" t="s">
        <v>1518</v>
      </c>
      <c r="I2105" s="606" t="s">
        <v>1087</v>
      </c>
      <c r="J2105" s="606" t="s">
        <v>1153</v>
      </c>
    </row>
    <row r="2106" spans="2:10" ht="21" customHeight="1">
      <c r="B2106" s="605" t="s">
        <v>5153</v>
      </c>
      <c r="C2106" s="606" t="s">
        <v>13</v>
      </c>
      <c r="D2106" s="605" t="s">
        <v>1511</v>
      </c>
      <c r="E2106" s="606" t="s">
        <v>5154</v>
      </c>
      <c r="F2106" s="606" t="s">
        <v>5154</v>
      </c>
      <c r="G2106" s="606" t="s">
        <v>1085</v>
      </c>
      <c r="H2106" s="606" t="s">
        <v>5141</v>
      </c>
      <c r="I2106" s="606" t="s">
        <v>1087</v>
      </c>
      <c r="J2106" s="606" t="s">
        <v>1088</v>
      </c>
    </row>
    <row r="2107" spans="2:10" ht="21" customHeight="1">
      <c r="B2107" s="605" t="s">
        <v>5155</v>
      </c>
      <c r="C2107" s="606" t="s">
        <v>13</v>
      </c>
      <c r="D2107" s="605" t="s">
        <v>1511</v>
      </c>
      <c r="E2107" s="606" t="s">
        <v>5156</v>
      </c>
      <c r="F2107" s="606" t="s">
        <v>5157</v>
      </c>
      <c r="G2107" s="606" t="s">
        <v>1085</v>
      </c>
      <c r="H2107" s="606" t="s">
        <v>5141</v>
      </c>
      <c r="I2107" s="606" t="s">
        <v>1087</v>
      </c>
      <c r="J2107" s="606" t="s">
        <v>1088</v>
      </c>
    </row>
    <row r="2108" spans="2:10" ht="21" customHeight="1">
      <c r="B2108" s="605" t="s">
        <v>5158</v>
      </c>
      <c r="C2108" s="606" t="s">
        <v>13</v>
      </c>
      <c r="D2108" s="605" t="s">
        <v>1511</v>
      </c>
      <c r="E2108" s="606" t="s">
        <v>5159</v>
      </c>
      <c r="F2108" s="606" t="s">
        <v>5160</v>
      </c>
      <c r="G2108" s="606" t="s">
        <v>1085</v>
      </c>
      <c r="H2108" s="606" t="s">
        <v>5141</v>
      </c>
      <c r="I2108" s="606" t="s">
        <v>1087</v>
      </c>
      <c r="J2108" s="606" t="s">
        <v>1088</v>
      </c>
    </row>
    <row r="2109" spans="2:10" ht="21" customHeight="1">
      <c r="B2109" s="605" t="s">
        <v>5161</v>
      </c>
      <c r="C2109" s="606" t="s">
        <v>13</v>
      </c>
      <c r="D2109" s="605" t="s">
        <v>1511</v>
      </c>
      <c r="E2109" s="606" t="s">
        <v>5162</v>
      </c>
      <c r="F2109" s="606" t="s">
        <v>5163</v>
      </c>
      <c r="G2109" s="606" t="s">
        <v>1085</v>
      </c>
      <c r="H2109" s="606" t="s">
        <v>5141</v>
      </c>
      <c r="I2109" s="606" t="s">
        <v>1087</v>
      </c>
      <c r="J2109" s="606" t="s">
        <v>1088</v>
      </c>
    </row>
    <row r="2110" spans="2:10" ht="21" customHeight="1">
      <c r="B2110" s="605" t="s">
        <v>5164</v>
      </c>
      <c r="C2110" s="606" t="s">
        <v>13</v>
      </c>
      <c r="D2110" s="605" t="s">
        <v>1511</v>
      </c>
      <c r="E2110" s="606" t="s">
        <v>5165</v>
      </c>
      <c r="F2110" s="606" t="s">
        <v>5165</v>
      </c>
      <c r="G2110" s="606" t="s">
        <v>1085</v>
      </c>
      <c r="H2110" s="606" t="s">
        <v>5141</v>
      </c>
      <c r="I2110" s="606" t="s">
        <v>1087</v>
      </c>
      <c r="J2110" s="606" t="s">
        <v>1088</v>
      </c>
    </row>
    <row r="2111" spans="2:10" ht="21" customHeight="1">
      <c r="B2111" s="605" t="s">
        <v>5166</v>
      </c>
      <c r="C2111" s="606" t="s">
        <v>13</v>
      </c>
      <c r="D2111" s="605" t="s">
        <v>1511</v>
      </c>
      <c r="E2111" s="606" t="s">
        <v>5167</v>
      </c>
      <c r="F2111" s="606" t="s">
        <v>5167</v>
      </c>
      <c r="G2111" s="606" t="s">
        <v>1085</v>
      </c>
      <c r="H2111" s="606" t="s">
        <v>5141</v>
      </c>
      <c r="I2111" s="606" t="s">
        <v>1087</v>
      </c>
      <c r="J2111" s="606" t="s">
        <v>1088</v>
      </c>
    </row>
    <row r="2112" spans="2:10" ht="21" customHeight="1">
      <c r="B2112" s="605" t="s">
        <v>5168</v>
      </c>
      <c r="C2112" s="606" t="s">
        <v>13</v>
      </c>
      <c r="D2112" s="605" t="s">
        <v>1511</v>
      </c>
      <c r="E2112" s="606" t="s">
        <v>5169</v>
      </c>
      <c r="F2112" s="606" t="s">
        <v>5169</v>
      </c>
      <c r="G2112" s="606" t="s">
        <v>1085</v>
      </c>
      <c r="H2112" s="606" t="s">
        <v>5141</v>
      </c>
      <c r="I2112" s="606" t="s">
        <v>1087</v>
      </c>
      <c r="J2112" s="606" t="s">
        <v>1088</v>
      </c>
    </row>
    <row r="2113" spans="2:10" ht="21" customHeight="1">
      <c r="B2113" s="605" t="s">
        <v>5170</v>
      </c>
      <c r="C2113" s="606" t="s">
        <v>13</v>
      </c>
      <c r="D2113" s="605" t="s">
        <v>1511</v>
      </c>
      <c r="E2113" s="606" t="s">
        <v>5171</v>
      </c>
      <c r="F2113" s="606" t="s">
        <v>5171</v>
      </c>
      <c r="G2113" s="606" t="s">
        <v>1085</v>
      </c>
      <c r="H2113" s="606" t="s">
        <v>5141</v>
      </c>
      <c r="I2113" s="606" t="s">
        <v>1087</v>
      </c>
      <c r="J2113" s="606" t="s">
        <v>1088</v>
      </c>
    </row>
    <row r="2114" spans="2:10" ht="21" customHeight="1">
      <c r="B2114" s="605" t="s">
        <v>5172</v>
      </c>
      <c r="C2114" s="606" t="s">
        <v>13</v>
      </c>
      <c r="D2114" s="605" t="s">
        <v>1511</v>
      </c>
      <c r="E2114" s="606" t="s">
        <v>5173</v>
      </c>
      <c r="F2114" s="606" t="s">
        <v>5173</v>
      </c>
      <c r="G2114" s="606" t="s">
        <v>1151</v>
      </c>
      <c r="H2114" s="606" t="s">
        <v>1518</v>
      </c>
      <c r="I2114" s="606" t="s">
        <v>1087</v>
      </c>
      <c r="J2114" s="606" t="s">
        <v>1153</v>
      </c>
    </row>
    <row r="2115" spans="2:10" ht="21" customHeight="1">
      <c r="B2115" s="605" t="s">
        <v>5174</v>
      </c>
      <c r="C2115" s="606" t="s">
        <v>13</v>
      </c>
      <c r="D2115" s="605" t="s">
        <v>1511</v>
      </c>
      <c r="E2115" s="606" t="s">
        <v>5175</v>
      </c>
      <c r="F2115" s="606" t="s">
        <v>5175</v>
      </c>
      <c r="G2115" s="606" t="s">
        <v>1151</v>
      </c>
      <c r="H2115" s="606" t="s">
        <v>1518</v>
      </c>
      <c r="I2115" s="606" t="s">
        <v>1087</v>
      </c>
      <c r="J2115" s="606" t="s">
        <v>1153</v>
      </c>
    </row>
    <row r="2116" spans="2:10" ht="21" customHeight="1">
      <c r="B2116" s="605" t="s">
        <v>5176</v>
      </c>
      <c r="C2116" s="606" t="s">
        <v>13</v>
      </c>
      <c r="D2116" s="605" t="s">
        <v>1511</v>
      </c>
      <c r="E2116" s="606" t="s">
        <v>5177</v>
      </c>
      <c r="F2116" s="606" t="s">
        <v>5178</v>
      </c>
      <c r="G2116" s="606" t="s">
        <v>1085</v>
      </c>
      <c r="H2116" s="606" t="s">
        <v>5141</v>
      </c>
      <c r="I2116" s="606" t="s">
        <v>1087</v>
      </c>
      <c r="J2116" s="606" t="s">
        <v>1088</v>
      </c>
    </row>
    <row r="2117" spans="2:10" ht="21" customHeight="1">
      <c r="B2117" s="605" t="s">
        <v>5179</v>
      </c>
      <c r="C2117" s="606" t="s">
        <v>13</v>
      </c>
      <c r="D2117" s="605" t="s">
        <v>1511</v>
      </c>
      <c r="E2117" s="606" t="s">
        <v>5180</v>
      </c>
      <c r="F2117" s="606" t="s">
        <v>5744</v>
      </c>
      <c r="G2117" s="606" t="s">
        <v>1085</v>
      </c>
      <c r="H2117" s="606" t="s">
        <v>5745</v>
      </c>
      <c r="I2117" s="606" t="s">
        <v>3961</v>
      </c>
      <c r="J2117" s="606" t="s">
        <v>1153</v>
      </c>
    </row>
    <row r="2118" spans="2:10" ht="21" customHeight="1">
      <c r="B2118" s="605" t="s">
        <v>5181</v>
      </c>
      <c r="C2118" s="606" t="s">
        <v>13</v>
      </c>
      <c r="D2118" s="605" t="s">
        <v>1511</v>
      </c>
      <c r="E2118" s="606" t="s">
        <v>5182</v>
      </c>
      <c r="F2118" s="606" t="s">
        <v>5183</v>
      </c>
      <c r="G2118" s="606" t="s">
        <v>1085</v>
      </c>
      <c r="H2118" s="606" t="s">
        <v>5141</v>
      </c>
      <c r="I2118" s="606" t="s">
        <v>1087</v>
      </c>
      <c r="J2118" s="606" t="s">
        <v>1088</v>
      </c>
    </row>
    <row r="2119" spans="2:10" ht="21" customHeight="1">
      <c r="B2119" s="605" t="s">
        <v>5184</v>
      </c>
      <c r="C2119" s="606" t="s">
        <v>13</v>
      </c>
      <c r="D2119" s="605" t="s">
        <v>1511</v>
      </c>
      <c r="E2119" s="606" t="s">
        <v>5185</v>
      </c>
      <c r="F2119" s="606" t="s">
        <v>5185</v>
      </c>
      <c r="G2119" s="606" t="s">
        <v>1085</v>
      </c>
      <c r="H2119" s="606" t="s">
        <v>5141</v>
      </c>
      <c r="I2119" s="606" t="s">
        <v>1087</v>
      </c>
      <c r="J2119" s="606" t="s">
        <v>1088</v>
      </c>
    </row>
    <row r="2120" spans="2:10" ht="21" customHeight="1">
      <c r="B2120" s="605" t="s">
        <v>5186</v>
      </c>
      <c r="C2120" s="606" t="s">
        <v>13</v>
      </c>
      <c r="D2120" s="605" t="s">
        <v>1511</v>
      </c>
      <c r="E2120" s="606" t="s">
        <v>5187</v>
      </c>
      <c r="F2120" s="606" t="s">
        <v>5188</v>
      </c>
      <c r="G2120" s="606" t="s">
        <v>1085</v>
      </c>
      <c r="H2120" s="606" t="s">
        <v>5141</v>
      </c>
      <c r="I2120" s="606" t="s">
        <v>1087</v>
      </c>
      <c r="J2120" s="606" t="s">
        <v>1088</v>
      </c>
    </row>
    <row r="2121" spans="2:10" ht="21" customHeight="1">
      <c r="B2121" s="605" t="s">
        <v>5189</v>
      </c>
      <c r="C2121" s="606" t="s">
        <v>13</v>
      </c>
      <c r="D2121" s="605" t="s">
        <v>1511</v>
      </c>
      <c r="E2121" s="606" t="s">
        <v>5190</v>
      </c>
      <c r="F2121" s="606" t="s">
        <v>5190</v>
      </c>
      <c r="G2121" s="606" t="s">
        <v>1085</v>
      </c>
      <c r="H2121" s="606" t="s">
        <v>5141</v>
      </c>
      <c r="I2121" s="606" t="s">
        <v>1087</v>
      </c>
      <c r="J2121" s="606" t="s">
        <v>1088</v>
      </c>
    </row>
    <row r="2122" spans="2:10" ht="21" customHeight="1">
      <c r="B2122" s="605" t="s">
        <v>5191</v>
      </c>
      <c r="C2122" s="606" t="s">
        <v>13</v>
      </c>
      <c r="D2122" s="605" t="s">
        <v>1511</v>
      </c>
      <c r="E2122" s="606" t="s">
        <v>5192</v>
      </c>
      <c r="F2122" s="606" t="s">
        <v>5192</v>
      </c>
      <c r="G2122" s="606" t="s">
        <v>1085</v>
      </c>
      <c r="H2122" s="606" t="s">
        <v>5141</v>
      </c>
      <c r="I2122" s="606" t="s">
        <v>1087</v>
      </c>
      <c r="J2122" s="606" t="s">
        <v>1088</v>
      </c>
    </row>
    <row r="2123" spans="2:10" ht="21" customHeight="1">
      <c r="B2123" s="605" t="s">
        <v>5193</v>
      </c>
      <c r="C2123" s="606" t="s">
        <v>13</v>
      </c>
      <c r="D2123" s="605" t="s">
        <v>1511</v>
      </c>
      <c r="E2123" s="606" t="s">
        <v>5194</v>
      </c>
      <c r="F2123" s="606" t="s">
        <v>5195</v>
      </c>
      <c r="G2123" s="606" t="s">
        <v>1085</v>
      </c>
      <c r="H2123" s="606" t="s">
        <v>5141</v>
      </c>
      <c r="I2123" s="606" t="s">
        <v>1087</v>
      </c>
      <c r="J2123" s="606" t="s">
        <v>1088</v>
      </c>
    </row>
    <row r="2124" spans="2:10" ht="21" customHeight="1">
      <c r="B2124" s="605" t="s">
        <v>5196</v>
      </c>
      <c r="C2124" s="606" t="s">
        <v>13</v>
      </c>
      <c r="D2124" s="605" t="s">
        <v>1511</v>
      </c>
      <c r="E2124" s="606" t="s">
        <v>1064</v>
      </c>
      <c r="F2124" s="606" t="s">
        <v>1064</v>
      </c>
      <c r="G2124" s="606" t="s">
        <v>1085</v>
      </c>
      <c r="H2124" s="606" t="s">
        <v>5141</v>
      </c>
      <c r="I2124" s="606" t="s">
        <v>1087</v>
      </c>
      <c r="J2124" s="606" t="s">
        <v>1088</v>
      </c>
    </row>
    <row r="2125" spans="2:10" ht="21" customHeight="1">
      <c r="B2125" s="605" t="s">
        <v>5197</v>
      </c>
      <c r="C2125" s="606" t="s">
        <v>13</v>
      </c>
      <c r="D2125" s="605" t="s">
        <v>1511</v>
      </c>
      <c r="E2125" s="606" t="s">
        <v>5198</v>
      </c>
      <c r="F2125" s="606" t="s">
        <v>5198</v>
      </c>
      <c r="G2125" s="606" t="s">
        <v>1151</v>
      </c>
      <c r="H2125" s="606" t="s">
        <v>1518</v>
      </c>
      <c r="I2125" s="606" t="s">
        <v>1087</v>
      </c>
      <c r="J2125" s="606" t="s">
        <v>1153</v>
      </c>
    </row>
    <row r="2126" spans="2:10" ht="21" customHeight="1">
      <c r="B2126" s="605" t="s">
        <v>5199</v>
      </c>
      <c r="C2126" s="606" t="s">
        <v>13</v>
      </c>
      <c r="D2126" s="605" t="s">
        <v>1511</v>
      </c>
      <c r="E2126" s="606" t="s">
        <v>5200</v>
      </c>
      <c r="F2126" s="606" t="s">
        <v>5200</v>
      </c>
      <c r="G2126" s="606" t="s">
        <v>1085</v>
      </c>
      <c r="H2126" s="606" t="s">
        <v>5141</v>
      </c>
      <c r="I2126" s="606" t="s">
        <v>1087</v>
      </c>
      <c r="J2126" s="606" t="s">
        <v>1088</v>
      </c>
    </row>
    <row r="2127" spans="2:10" ht="21" customHeight="1">
      <c r="B2127" s="605" t="s">
        <v>5201</v>
      </c>
      <c r="C2127" s="606" t="s">
        <v>13</v>
      </c>
      <c r="D2127" s="605" t="s">
        <v>1511</v>
      </c>
      <c r="E2127" s="606" t="s">
        <v>5202</v>
      </c>
      <c r="F2127" s="606" t="s">
        <v>5202</v>
      </c>
      <c r="G2127" s="606" t="s">
        <v>1085</v>
      </c>
      <c r="H2127" s="606" t="s">
        <v>5141</v>
      </c>
      <c r="I2127" s="606" t="s">
        <v>1087</v>
      </c>
      <c r="J2127" s="606" t="s">
        <v>1088</v>
      </c>
    </row>
    <row r="2128" spans="2:10" ht="21" customHeight="1">
      <c r="B2128" s="605" t="s">
        <v>5203</v>
      </c>
      <c r="C2128" s="606" t="s">
        <v>13</v>
      </c>
      <c r="D2128" s="605" t="s">
        <v>1511</v>
      </c>
      <c r="E2128" s="606" t="s">
        <v>5204</v>
      </c>
      <c r="F2128" s="606" t="s">
        <v>5204</v>
      </c>
      <c r="G2128" s="606" t="s">
        <v>1151</v>
      </c>
      <c r="H2128" s="606" t="s">
        <v>1518</v>
      </c>
      <c r="I2128" s="606" t="s">
        <v>1087</v>
      </c>
      <c r="J2128" s="606" t="s">
        <v>1153</v>
      </c>
    </row>
    <row r="2129" spans="2:10" ht="21" customHeight="1">
      <c r="B2129" s="605" t="s">
        <v>5205</v>
      </c>
      <c r="C2129" s="606" t="s">
        <v>13</v>
      </c>
      <c r="D2129" s="605" t="s">
        <v>1511</v>
      </c>
      <c r="E2129" s="606" t="s">
        <v>5206</v>
      </c>
      <c r="F2129" s="606" t="s">
        <v>5206</v>
      </c>
      <c r="G2129" s="606" t="s">
        <v>1085</v>
      </c>
      <c r="H2129" s="606" t="s">
        <v>5141</v>
      </c>
      <c r="I2129" s="606" t="s">
        <v>1087</v>
      </c>
      <c r="J2129" s="606" t="s">
        <v>1088</v>
      </c>
    </row>
    <row r="2130" spans="2:10" ht="21" customHeight="1">
      <c r="B2130" s="605" t="s">
        <v>5207</v>
      </c>
      <c r="C2130" s="606" t="s">
        <v>13</v>
      </c>
      <c r="D2130" s="605" t="s">
        <v>1511</v>
      </c>
      <c r="E2130" s="606" t="s">
        <v>5208</v>
      </c>
      <c r="F2130" s="606" t="s">
        <v>5208</v>
      </c>
      <c r="G2130" s="606" t="s">
        <v>1085</v>
      </c>
      <c r="H2130" s="606" t="s">
        <v>5141</v>
      </c>
      <c r="I2130" s="606" t="s">
        <v>1087</v>
      </c>
      <c r="J2130" s="606" t="s">
        <v>1088</v>
      </c>
    </row>
    <row r="2131" spans="2:10" ht="21" customHeight="1">
      <c r="B2131" s="605" t="s">
        <v>5209</v>
      </c>
      <c r="C2131" s="606" t="s">
        <v>13</v>
      </c>
      <c r="D2131" s="605" t="s">
        <v>1511</v>
      </c>
      <c r="E2131" s="606" t="s">
        <v>1065</v>
      </c>
      <c r="F2131" s="606" t="s">
        <v>1065</v>
      </c>
      <c r="G2131" s="606" t="s">
        <v>1085</v>
      </c>
      <c r="H2131" s="606" t="s">
        <v>5141</v>
      </c>
      <c r="I2131" s="606" t="s">
        <v>1087</v>
      </c>
      <c r="J2131" s="606" t="s">
        <v>1088</v>
      </c>
    </row>
    <row r="2132" spans="2:10" ht="21" customHeight="1">
      <c r="B2132" s="605" t="s">
        <v>5210</v>
      </c>
      <c r="C2132" s="606" t="s">
        <v>13</v>
      </c>
      <c r="D2132" s="605" t="s">
        <v>1511</v>
      </c>
      <c r="E2132" s="606" t="s">
        <v>5211</v>
      </c>
      <c r="F2132" s="606" t="s">
        <v>5212</v>
      </c>
      <c r="G2132" s="606" t="s">
        <v>1085</v>
      </c>
      <c r="H2132" s="606" t="s">
        <v>5141</v>
      </c>
      <c r="I2132" s="606" t="s">
        <v>1087</v>
      </c>
      <c r="J2132" s="606" t="s">
        <v>1088</v>
      </c>
    </row>
    <row r="2133" spans="2:10" ht="21" customHeight="1">
      <c r="B2133" s="605" t="s">
        <v>5213</v>
      </c>
      <c r="C2133" s="606" t="s">
        <v>13</v>
      </c>
      <c r="D2133" s="605" t="s">
        <v>1511</v>
      </c>
      <c r="E2133" s="606" t="s">
        <v>1066</v>
      </c>
      <c r="F2133" s="606" t="s">
        <v>1066</v>
      </c>
      <c r="G2133" s="606" t="s">
        <v>1085</v>
      </c>
      <c r="H2133" s="606" t="s">
        <v>5141</v>
      </c>
      <c r="I2133" s="606" t="s">
        <v>1087</v>
      </c>
      <c r="J2133" s="606" t="s">
        <v>1088</v>
      </c>
    </row>
    <row r="2134" spans="2:10" ht="21" customHeight="1">
      <c r="B2134" s="605" t="s">
        <v>5214</v>
      </c>
      <c r="C2134" s="606" t="s">
        <v>13</v>
      </c>
      <c r="D2134" s="605" t="s">
        <v>1511</v>
      </c>
      <c r="E2134" s="606" t="s">
        <v>5215</v>
      </c>
      <c r="F2134" s="606" t="s">
        <v>5215</v>
      </c>
      <c r="G2134" s="606" t="s">
        <v>1085</v>
      </c>
      <c r="H2134" s="606" t="s">
        <v>5141</v>
      </c>
      <c r="I2134" s="606" t="s">
        <v>1087</v>
      </c>
      <c r="J2134" s="606" t="s">
        <v>1088</v>
      </c>
    </row>
    <row r="2135" spans="2:10" ht="21" customHeight="1">
      <c r="B2135" s="605" t="s">
        <v>5216</v>
      </c>
      <c r="C2135" s="606" t="s">
        <v>13</v>
      </c>
      <c r="D2135" s="605" t="s">
        <v>1511</v>
      </c>
      <c r="E2135" s="606" t="s">
        <v>5217</v>
      </c>
      <c r="F2135" s="606" t="s">
        <v>5217</v>
      </c>
      <c r="G2135" s="606" t="s">
        <v>1085</v>
      </c>
      <c r="H2135" s="606" t="s">
        <v>5141</v>
      </c>
      <c r="I2135" s="606" t="s">
        <v>1087</v>
      </c>
      <c r="J2135" s="606" t="s">
        <v>1088</v>
      </c>
    </row>
    <row r="2136" spans="2:10" ht="21" customHeight="1">
      <c r="B2136" s="605" t="s">
        <v>5218</v>
      </c>
      <c r="C2136" s="606" t="s">
        <v>13</v>
      </c>
      <c r="D2136" s="605" t="s">
        <v>689</v>
      </c>
      <c r="E2136" s="606" t="s">
        <v>5219</v>
      </c>
      <c r="F2136" s="606" t="s">
        <v>5219</v>
      </c>
      <c r="G2136" s="606" t="s">
        <v>1085</v>
      </c>
      <c r="H2136" s="606" t="s">
        <v>5746</v>
      </c>
      <c r="I2136" s="606" t="s">
        <v>1087</v>
      </c>
      <c r="J2136" s="606" t="s">
        <v>1088</v>
      </c>
    </row>
    <row r="2137" spans="2:10" ht="21" customHeight="1">
      <c r="B2137" s="605" t="s">
        <v>5220</v>
      </c>
      <c r="C2137" s="606" t="s">
        <v>13</v>
      </c>
      <c r="D2137" s="605" t="s">
        <v>1511</v>
      </c>
      <c r="E2137" s="606" t="s">
        <v>5221</v>
      </c>
      <c r="F2137" s="606" t="s">
        <v>5221</v>
      </c>
      <c r="G2137" s="606" t="s">
        <v>1151</v>
      </c>
      <c r="H2137" s="606" t="s">
        <v>1518</v>
      </c>
      <c r="I2137" s="606" t="s">
        <v>1087</v>
      </c>
      <c r="J2137" s="606" t="s">
        <v>1153</v>
      </c>
    </row>
    <row r="2138" spans="2:10" ht="21" customHeight="1">
      <c r="B2138" s="605" t="s">
        <v>5222</v>
      </c>
      <c r="C2138" s="606" t="s">
        <v>13</v>
      </c>
      <c r="D2138" s="605" t="s">
        <v>1511</v>
      </c>
      <c r="E2138" s="606" t="s">
        <v>5223</v>
      </c>
      <c r="F2138" s="606" t="s">
        <v>5224</v>
      </c>
      <c r="G2138" s="606" t="s">
        <v>1085</v>
      </c>
      <c r="H2138" s="606" t="s">
        <v>5141</v>
      </c>
      <c r="I2138" s="606" t="s">
        <v>1087</v>
      </c>
      <c r="J2138" s="606" t="s">
        <v>1088</v>
      </c>
    </row>
    <row r="2139" spans="2:10" ht="21" customHeight="1">
      <c r="B2139" s="605" t="s">
        <v>5225</v>
      </c>
      <c r="C2139" s="606" t="s">
        <v>14</v>
      </c>
      <c r="D2139" s="605" t="s">
        <v>689</v>
      </c>
      <c r="E2139" s="606" t="s">
        <v>38</v>
      </c>
      <c r="F2139" s="606" t="s">
        <v>38</v>
      </c>
      <c r="G2139" s="606" t="s">
        <v>1085</v>
      </c>
      <c r="H2139" s="606" t="s">
        <v>5226</v>
      </c>
      <c r="I2139" s="606" t="s">
        <v>1087</v>
      </c>
      <c r="J2139" s="606" t="s">
        <v>1088</v>
      </c>
    </row>
    <row r="2140" spans="2:10" ht="21" customHeight="1">
      <c r="B2140" s="605" t="s">
        <v>5227</v>
      </c>
      <c r="C2140" s="606" t="s">
        <v>14</v>
      </c>
      <c r="D2140" s="605" t="s">
        <v>689</v>
      </c>
      <c r="E2140" s="606" t="s">
        <v>64</v>
      </c>
      <c r="F2140" s="606" t="s">
        <v>64</v>
      </c>
      <c r="G2140" s="606" t="s">
        <v>1085</v>
      </c>
      <c r="H2140" s="606" t="s">
        <v>5226</v>
      </c>
      <c r="I2140" s="606" t="s">
        <v>1087</v>
      </c>
      <c r="J2140" s="606" t="s">
        <v>1088</v>
      </c>
    </row>
    <row r="2141" spans="2:10" ht="21" customHeight="1">
      <c r="B2141" s="605" t="s">
        <v>5228</v>
      </c>
      <c r="C2141" s="606" t="s">
        <v>14</v>
      </c>
      <c r="D2141" s="605" t="s">
        <v>689</v>
      </c>
      <c r="E2141" s="606" t="s">
        <v>51</v>
      </c>
      <c r="F2141" s="606" t="s">
        <v>51</v>
      </c>
      <c r="G2141" s="606" t="s">
        <v>1085</v>
      </c>
      <c r="H2141" s="606" t="s">
        <v>5226</v>
      </c>
      <c r="I2141" s="606" t="s">
        <v>1087</v>
      </c>
      <c r="J2141" s="606" t="s">
        <v>1088</v>
      </c>
    </row>
    <row r="2142" spans="2:10" ht="21" customHeight="1">
      <c r="B2142" s="605" t="s">
        <v>5229</v>
      </c>
      <c r="C2142" s="606" t="s">
        <v>14</v>
      </c>
      <c r="D2142" s="605" t="s">
        <v>689</v>
      </c>
      <c r="E2142" s="606" t="s">
        <v>5230</v>
      </c>
      <c r="F2142" s="606" t="s">
        <v>5230</v>
      </c>
      <c r="G2142" s="606" t="s">
        <v>1085</v>
      </c>
      <c r="H2142" s="606" t="s">
        <v>5226</v>
      </c>
      <c r="I2142" s="606" t="s">
        <v>1087</v>
      </c>
      <c r="J2142" s="606" t="s">
        <v>1088</v>
      </c>
    </row>
    <row r="2143" spans="2:10" ht="21" customHeight="1">
      <c r="B2143" s="605" t="s">
        <v>5231</v>
      </c>
      <c r="C2143" s="606" t="s">
        <v>14</v>
      </c>
      <c r="D2143" s="605" t="s">
        <v>689</v>
      </c>
      <c r="E2143" s="606" t="s">
        <v>5</v>
      </c>
      <c r="F2143" s="606" t="s">
        <v>5</v>
      </c>
      <c r="G2143" s="606" t="s">
        <v>1085</v>
      </c>
      <c r="H2143" s="606" t="s">
        <v>5226</v>
      </c>
      <c r="I2143" s="606" t="s">
        <v>1087</v>
      </c>
      <c r="J2143" s="606" t="s">
        <v>1088</v>
      </c>
    </row>
    <row r="2144" spans="2:10" ht="21" customHeight="1">
      <c r="B2144" s="605" t="s">
        <v>5232</v>
      </c>
      <c r="C2144" s="606" t="s">
        <v>14</v>
      </c>
      <c r="D2144" s="605" t="s">
        <v>689</v>
      </c>
      <c r="E2144" s="606" t="s">
        <v>5233</v>
      </c>
      <c r="F2144" s="606" t="s">
        <v>5233</v>
      </c>
      <c r="G2144" s="606" t="s">
        <v>1085</v>
      </c>
      <c r="H2144" s="606" t="s">
        <v>5226</v>
      </c>
      <c r="I2144" s="606" t="s">
        <v>1087</v>
      </c>
      <c r="J2144" s="606" t="s">
        <v>1088</v>
      </c>
    </row>
    <row r="2145" spans="2:10" ht="21" customHeight="1">
      <c r="B2145" s="605" t="s">
        <v>5234</v>
      </c>
      <c r="C2145" s="606" t="s">
        <v>14</v>
      </c>
      <c r="D2145" s="605" t="s">
        <v>689</v>
      </c>
      <c r="E2145" s="606" t="s">
        <v>334</v>
      </c>
      <c r="F2145" s="606" t="s">
        <v>334</v>
      </c>
      <c r="G2145" s="606" t="s">
        <v>1151</v>
      </c>
      <c r="H2145" s="606" t="s">
        <v>1152</v>
      </c>
      <c r="I2145" s="606" t="s">
        <v>1087</v>
      </c>
      <c r="J2145" s="606" t="s">
        <v>1153</v>
      </c>
    </row>
    <row r="2146" spans="2:10" ht="21" customHeight="1">
      <c r="B2146" s="605" t="s">
        <v>5235</v>
      </c>
      <c r="C2146" s="606" t="s">
        <v>14</v>
      </c>
      <c r="D2146" s="605" t="s">
        <v>689</v>
      </c>
      <c r="E2146" s="606" t="s">
        <v>5236</v>
      </c>
      <c r="F2146" s="606" t="s">
        <v>5236</v>
      </c>
      <c r="G2146" s="606" t="s">
        <v>1151</v>
      </c>
      <c r="H2146" s="606" t="s">
        <v>1152</v>
      </c>
      <c r="I2146" s="606" t="s">
        <v>1087</v>
      </c>
      <c r="J2146" s="606" t="s">
        <v>1153</v>
      </c>
    </row>
    <row r="2147" spans="2:10" ht="21" customHeight="1">
      <c r="B2147" s="605" t="s">
        <v>5237</v>
      </c>
      <c r="C2147" s="606" t="s">
        <v>14</v>
      </c>
      <c r="D2147" s="605" t="s">
        <v>689</v>
      </c>
      <c r="E2147" s="606" t="s">
        <v>5238</v>
      </c>
      <c r="F2147" s="606" t="s">
        <v>5238</v>
      </c>
      <c r="G2147" s="606" t="s">
        <v>1085</v>
      </c>
      <c r="H2147" s="606" t="s">
        <v>5226</v>
      </c>
      <c r="I2147" s="606" t="s">
        <v>1087</v>
      </c>
      <c r="J2147" s="606" t="s">
        <v>1088</v>
      </c>
    </row>
    <row r="2148" spans="2:10" ht="21" customHeight="1">
      <c r="B2148" s="605" t="s">
        <v>5239</v>
      </c>
      <c r="C2148" s="606" t="s">
        <v>14</v>
      </c>
      <c r="D2148" s="605" t="s">
        <v>689</v>
      </c>
      <c r="E2148" s="606" t="s">
        <v>5240</v>
      </c>
      <c r="F2148" s="606" t="s">
        <v>77</v>
      </c>
      <c r="G2148" s="606" t="s">
        <v>1085</v>
      </c>
      <c r="H2148" s="606" t="s">
        <v>5226</v>
      </c>
      <c r="I2148" s="606" t="s">
        <v>1087</v>
      </c>
      <c r="J2148" s="606" t="s">
        <v>1088</v>
      </c>
    </row>
    <row r="2149" spans="2:10" ht="21" customHeight="1">
      <c r="B2149" s="605" t="s">
        <v>5241</v>
      </c>
      <c r="C2149" s="606" t="s">
        <v>14</v>
      </c>
      <c r="D2149" s="605" t="s">
        <v>689</v>
      </c>
      <c r="E2149" s="606" t="s">
        <v>5242</v>
      </c>
      <c r="F2149" s="606" t="s">
        <v>89</v>
      </c>
      <c r="G2149" s="606" t="s">
        <v>1085</v>
      </c>
      <c r="H2149" s="606" t="s">
        <v>5226</v>
      </c>
      <c r="I2149" s="606" t="s">
        <v>1087</v>
      </c>
      <c r="J2149" s="606" t="s">
        <v>1088</v>
      </c>
    </row>
    <row r="2150" spans="2:10" ht="21" customHeight="1">
      <c r="B2150" s="605" t="s">
        <v>5243</v>
      </c>
      <c r="C2150" s="606" t="s">
        <v>14</v>
      </c>
      <c r="D2150" s="605" t="s">
        <v>689</v>
      </c>
      <c r="E2150" s="606" t="s">
        <v>116</v>
      </c>
      <c r="F2150" s="606" t="s">
        <v>116</v>
      </c>
      <c r="G2150" s="606" t="s">
        <v>1085</v>
      </c>
      <c r="H2150" s="606" t="s">
        <v>5226</v>
      </c>
      <c r="I2150" s="606" t="s">
        <v>1087</v>
      </c>
      <c r="J2150" s="606" t="s">
        <v>1088</v>
      </c>
    </row>
    <row r="2151" spans="2:10" ht="21" customHeight="1">
      <c r="B2151" s="605" t="s">
        <v>5244</v>
      </c>
      <c r="C2151" s="606" t="s">
        <v>14</v>
      </c>
      <c r="D2151" s="605" t="s">
        <v>689</v>
      </c>
      <c r="E2151" s="606" t="s">
        <v>102</v>
      </c>
      <c r="F2151" s="606" t="s">
        <v>102</v>
      </c>
      <c r="G2151" s="606" t="s">
        <v>1085</v>
      </c>
      <c r="H2151" s="606" t="s">
        <v>5226</v>
      </c>
      <c r="I2151" s="606" t="s">
        <v>1087</v>
      </c>
      <c r="J2151" s="606" t="s">
        <v>1088</v>
      </c>
    </row>
    <row r="2152" spans="2:10" ht="21" customHeight="1">
      <c r="B2152" s="605" t="s">
        <v>5245</v>
      </c>
      <c r="C2152" s="606" t="s">
        <v>14</v>
      </c>
      <c r="D2152" s="605" t="s">
        <v>1511</v>
      </c>
      <c r="E2152" s="606" t="s">
        <v>1443</v>
      </c>
      <c r="F2152" s="606" t="s">
        <v>1443</v>
      </c>
      <c r="G2152" s="606" t="s">
        <v>1085</v>
      </c>
      <c r="H2152" s="606" t="s">
        <v>5246</v>
      </c>
      <c r="I2152" s="606" t="s">
        <v>1087</v>
      </c>
      <c r="J2152" s="606" t="s">
        <v>1088</v>
      </c>
    </row>
    <row r="2153" spans="2:10" ht="21" customHeight="1">
      <c r="B2153" s="605" t="s">
        <v>5247</v>
      </c>
      <c r="C2153" s="606" t="s">
        <v>14</v>
      </c>
      <c r="D2153" s="605" t="s">
        <v>1511</v>
      </c>
      <c r="E2153" s="606" t="s">
        <v>1492</v>
      </c>
      <c r="F2153" s="606" t="s">
        <v>1492</v>
      </c>
      <c r="G2153" s="606" t="s">
        <v>1085</v>
      </c>
      <c r="H2153" s="606" t="s">
        <v>5246</v>
      </c>
      <c r="I2153" s="606" t="s">
        <v>1087</v>
      </c>
      <c r="J2153" s="606" t="s">
        <v>1088</v>
      </c>
    </row>
    <row r="2154" spans="2:10" ht="21" customHeight="1">
      <c r="B2154" s="605" t="s">
        <v>5248</v>
      </c>
      <c r="C2154" s="606" t="s">
        <v>14</v>
      </c>
      <c r="D2154" s="605" t="s">
        <v>1511</v>
      </c>
      <c r="E2154" s="606" t="s">
        <v>1498</v>
      </c>
      <c r="F2154" s="606" t="s">
        <v>1499</v>
      </c>
      <c r="G2154" s="606" t="s">
        <v>1085</v>
      </c>
      <c r="H2154" s="606" t="s">
        <v>5246</v>
      </c>
      <c r="I2154" s="606" t="s">
        <v>1087</v>
      </c>
      <c r="J2154" s="606" t="s">
        <v>1088</v>
      </c>
    </row>
    <row r="2155" spans="2:10" ht="21" customHeight="1">
      <c r="B2155" s="605" t="s">
        <v>5249</v>
      </c>
      <c r="C2155" s="606" t="s">
        <v>14</v>
      </c>
      <c r="D2155" s="605" t="s">
        <v>1511</v>
      </c>
      <c r="E2155" s="606" t="s">
        <v>5250</v>
      </c>
      <c r="F2155" s="606" t="s">
        <v>5251</v>
      </c>
      <c r="G2155" s="606" t="s">
        <v>1085</v>
      </c>
      <c r="H2155" s="606" t="s">
        <v>5246</v>
      </c>
      <c r="I2155" s="606" t="s">
        <v>1087</v>
      </c>
      <c r="J2155" s="606" t="s">
        <v>1088</v>
      </c>
    </row>
    <row r="2156" spans="2:10" ht="21" customHeight="1">
      <c r="B2156" s="605" t="s">
        <v>5252</v>
      </c>
      <c r="C2156" s="606" t="s">
        <v>14</v>
      </c>
      <c r="D2156" s="605" t="s">
        <v>1511</v>
      </c>
      <c r="E2156" s="606" t="s">
        <v>3947</v>
      </c>
      <c r="F2156" s="606" t="s">
        <v>3948</v>
      </c>
      <c r="G2156" s="606" t="s">
        <v>1085</v>
      </c>
      <c r="H2156" s="606" t="s">
        <v>5246</v>
      </c>
      <c r="I2156" s="606" t="s">
        <v>1087</v>
      </c>
      <c r="J2156" s="606" t="s">
        <v>1088</v>
      </c>
    </row>
    <row r="2157" spans="2:10" ht="21" customHeight="1">
      <c r="B2157" s="605" t="s">
        <v>5253</v>
      </c>
      <c r="C2157" s="606" t="s">
        <v>14</v>
      </c>
      <c r="D2157" s="605" t="s">
        <v>1511</v>
      </c>
      <c r="E2157" s="606" t="s">
        <v>5254</v>
      </c>
      <c r="F2157" s="606" t="s">
        <v>5255</v>
      </c>
      <c r="G2157" s="606" t="s">
        <v>1085</v>
      </c>
      <c r="H2157" s="606" t="s">
        <v>5246</v>
      </c>
      <c r="I2157" s="606" t="s">
        <v>1087</v>
      </c>
      <c r="J2157" s="606" t="s">
        <v>1088</v>
      </c>
    </row>
    <row r="2158" spans="2:10" ht="21" customHeight="1">
      <c r="B2158" s="605" t="s">
        <v>5256</v>
      </c>
      <c r="C2158" s="606" t="s">
        <v>15</v>
      </c>
      <c r="D2158" s="605" t="s">
        <v>689</v>
      </c>
      <c r="E2158" s="606" t="s">
        <v>5257</v>
      </c>
      <c r="F2158" s="606" t="s">
        <v>5257</v>
      </c>
      <c r="G2158" s="606" t="s">
        <v>1554</v>
      </c>
      <c r="H2158" s="606" t="s">
        <v>1555</v>
      </c>
      <c r="I2158" s="606" t="s">
        <v>1556</v>
      </c>
      <c r="J2158" s="606" t="s">
        <v>5258</v>
      </c>
    </row>
    <row r="2159" spans="2:10" ht="21" customHeight="1">
      <c r="B2159" s="605" t="s">
        <v>5259</v>
      </c>
      <c r="C2159" s="606" t="s">
        <v>15</v>
      </c>
      <c r="D2159" s="605" t="s">
        <v>689</v>
      </c>
      <c r="E2159" s="606" t="s">
        <v>5260</v>
      </c>
      <c r="F2159" s="606" t="s">
        <v>5260</v>
      </c>
      <c r="G2159" s="606" t="s">
        <v>1554</v>
      </c>
      <c r="H2159" s="606" t="s">
        <v>1555</v>
      </c>
      <c r="I2159" s="606" t="s">
        <v>1556</v>
      </c>
      <c r="J2159" s="606" t="s">
        <v>5258</v>
      </c>
    </row>
    <row r="2160" spans="2:10" ht="21" customHeight="1">
      <c r="B2160" s="605" t="s">
        <v>5261</v>
      </c>
      <c r="C2160" s="606" t="s">
        <v>15</v>
      </c>
      <c r="D2160" s="605" t="s">
        <v>689</v>
      </c>
      <c r="E2160" s="606" t="s">
        <v>5262</v>
      </c>
      <c r="F2160" s="606" t="s">
        <v>5262</v>
      </c>
      <c r="G2160" s="606" t="s">
        <v>1554</v>
      </c>
      <c r="H2160" s="606" t="s">
        <v>1555</v>
      </c>
      <c r="I2160" s="606" t="s">
        <v>1556</v>
      </c>
      <c r="J2160" s="606" t="s">
        <v>5258</v>
      </c>
    </row>
    <row r="2161" spans="2:10" ht="21" customHeight="1">
      <c r="B2161" s="605" t="s">
        <v>5263</v>
      </c>
      <c r="C2161" s="606" t="s">
        <v>15</v>
      </c>
      <c r="D2161" s="605" t="s">
        <v>689</v>
      </c>
      <c r="E2161" s="606" t="s">
        <v>998</v>
      </c>
      <c r="F2161" s="606" t="s">
        <v>998</v>
      </c>
      <c r="G2161" s="606" t="s">
        <v>1554</v>
      </c>
      <c r="H2161" s="606" t="s">
        <v>1555</v>
      </c>
      <c r="I2161" s="606" t="s">
        <v>1556</v>
      </c>
      <c r="J2161" s="606" t="s">
        <v>5258</v>
      </c>
    </row>
    <row r="2162" spans="2:10" ht="21" customHeight="1">
      <c r="B2162" s="605" t="s">
        <v>5264</v>
      </c>
      <c r="C2162" s="606" t="s">
        <v>15</v>
      </c>
      <c r="D2162" s="605" t="s">
        <v>689</v>
      </c>
      <c r="E2162" s="606" t="s">
        <v>5265</v>
      </c>
      <c r="F2162" s="606" t="s">
        <v>5265</v>
      </c>
      <c r="G2162" s="606" t="s">
        <v>1554</v>
      </c>
      <c r="H2162" s="606" t="s">
        <v>1555</v>
      </c>
      <c r="I2162" s="606" t="s">
        <v>1556</v>
      </c>
      <c r="J2162" s="606" t="s">
        <v>5258</v>
      </c>
    </row>
    <row r="2163" spans="2:10" ht="21" customHeight="1">
      <c r="B2163" s="605" t="s">
        <v>5266</v>
      </c>
      <c r="C2163" s="606" t="s">
        <v>15</v>
      </c>
      <c r="D2163" s="605" t="s">
        <v>689</v>
      </c>
      <c r="E2163" s="606" t="s">
        <v>999</v>
      </c>
      <c r="F2163" s="606" t="s">
        <v>999</v>
      </c>
      <c r="G2163" s="606" t="s">
        <v>1151</v>
      </c>
      <c r="H2163" s="606" t="s">
        <v>5267</v>
      </c>
      <c r="I2163" s="606" t="s">
        <v>1087</v>
      </c>
      <c r="J2163" s="606" t="s">
        <v>1153</v>
      </c>
    </row>
    <row r="2164" spans="2:10" ht="21" customHeight="1">
      <c r="B2164" s="605" t="s">
        <v>5268</v>
      </c>
      <c r="C2164" s="606" t="s">
        <v>15</v>
      </c>
      <c r="D2164" s="605" t="s">
        <v>689</v>
      </c>
      <c r="E2164" s="606" t="s">
        <v>5269</v>
      </c>
      <c r="F2164" s="606" t="s">
        <v>5269</v>
      </c>
      <c r="G2164" s="606" t="s">
        <v>1554</v>
      </c>
      <c r="H2164" s="606" t="s">
        <v>1555</v>
      </c>
      <c r="I2164" s="606" t="s">
        <v>1556</v>
      </c>
      <c r="J2164" s="606" t="s">
        <v>5258</v>
      </c>
    </row>
    <row r="2165" spans="2:10" ht="21" customHeight="1">
      <c r="B2165" s="605" t="s">
        <v>5270</v>
      </c>
      <c r="C2165" s="606" t="s">
        <v>15</v>
      </c>
      <c r="D2165" s="605" t="s">
        <v>689</v>
      </c>
      <c r="E2165" s="606" t="s">
        <v>5271</v>
      </c>
      <c r="F2165" s="606" t="s">
        <v>5271</v>
      </c>
      <c r="G2165" s="606" t="s">
        <v>1554</v>
      </c>
      <c r="H2165" s="606" t="s">
        <v>1555</v>
      </c>
      <c r="I2165" s="606" t="s">
        <v>1556</v>
      </c>
      <c r="J2165" s="606" t="s">
        <v>5258</v>
      </c>
    </row>
    <row r="2166" spans="2:10" ht="21" customHeight="1">
      <c r="B2166" s="605" t="s">
        <v>5272</v>
      </c>
      <c r="C2166" s="606" t="s">
        <v>15</v>
      </c>
      <c r="D2166" s="605" t="s">
        <v>689</v>
      </c>
      <c r="E2166" s="606" t="s">
        <v>5273</v>
      </c>
      <c r="F2166" s="606" t="s">
        <v>5273</v>
      </c>
      <c r="G2166" s="606" t="s">
        <v>1554</v>
      </c>
      <c r="H2166" s="606" t="s">
        <v>1555</v>
      </c>
      <c r="I2166" s="606" t="s">
        <v>1556</v>
      </c>
      <c r="J2166" s="606" t="s">
        <v>5258</v>
      </c>
    </row>
    <row r="2167" spans="2:10" ht="21" customHeight="1">
      <c r="B2167" s="605" t="s">
        <v>5274</v>
      </c>
      <c r="C2167" s="606" t="s">
        <v>15</v>
      </c>
      <c r="D2167" s="605" t="s">
        <v>689</v>
      </c>
      <c r="E2167" s="606" t="s">
        <v>5275</v>
      </c>
      <c r="F2167" s="606" t="s">
        <v>5275</v>
      </c>
      <c r="G2167" s="606" t="s">
        <v>1554</v>
      </c>
      <c r="H2167" s="606" t="s">
        <v>1555</v>
      </c>
      <c r="I2167" s="606" t="s">
        <v>1556</v>
      </c>
      <c r="J2167" s="606" t="s">
        <v>5258</v>
      </c>
    </row>
    <row r="2168" spans="2:10" ht="21" customHeight="1">
      <c r="B2168" s="605" t="s">
        <v>5276</v>
      </c>
      <c r="C2168" s="606" t="s">
        <v>15</v>
      </c>
      <c r="D2168" s="605" t="s">
        <v>689</v>
      </c>
      <c r="E2168" s="606" t="s">
        <v>5277</v>
      </c>
      <c r="F2168" s="606" t="s">
        <v>5277</v>
      </c>
      <c r="G2168" s="606" t="s">
        <v>1554</v>
      </c>
      <c r="H2168" s="606" t="s">
        <v>1555</v>
      </c>
      <c r="I2168" s="606" t="s">
        <v>1556</v>
      </c>
      <c r="J2168" s="606" t="s">
        <v>5258</v>
      </c>
    </row>
    <row r="2169" spans="2:10" ht="21" customHeight="1">
      <c r="B2169" s="605" t="s">
        <v>5278</v>
      </c>
      <c r="C2169" s="606" t="s">
        <v>15</v>
      </c>
      <c r="D2169" s="605" t="s">
        <v>689</v>
      </c>
      <c r="E2169" s="606" t="s">
        <v>5279</v>
      </c>
      <c r="F2169" s="606" t="s">
        <v>5279</v>
      </c>
      <c r="G2169" s="606" t="s">
        <v>1554</v>
      </c>
      <c r="H2169" s="606" t="s">
        <v>1555</v>
      </c>
      <c r="I2169" s="606" t="s">
        <v>1556</v>
      </c>
      <c r="J2169" s="606" t="s">
        <v>5258</v>
      </c>
    </row>
    <row r="2170" spans="2:10" ht="21" customHeight="1">
      <c r="B2170" s="605" t="s">
        <v>5280</v>
      </c>
      <c r="C2170" s="606" t="s">
        <v>15</v>
      </c>
      <c r="D2170" s="605" t="s">
        <v>689</v>
      </c>
      <c r="E2170" s="606" t="s">
        <v>5281</v>
      </c>
      <c r="F2170" s="606" t="s">
        <v>5281</v>
      </c>
      <c r="G2170" s="606" t="s">
        <v>1554</v>
      </c>
      <c r="H2170" s="606" t="s">
        <v>1555</v>
      </c>
      <c r="I2170" s="606" t="s">
        <v>1556</v>
      </c>
      <c r="J2170" s="606" t="s">
        <v>5258</v>
      </c>
    </row>
    <row r="2171" spans="2:10" ht="21" customHeight="1">
      <c r="B2171" s="605" t="s">
        <v>5282</v>
      </c>
      <c r="C2171" s="606" t="s">
        <v>15</v>
      </c>
      <c r="D2171" s="605" t="s">
        <v>689</v>
      </c>
      <c r="E2171" s="606" t="s">
        <v>691</v>
      </c>
      <c r="F2171" s="606" t="s">
        <v>691</v>
      </c>
      <c r="G2171" s="606" t="s">
        <v>1554</v>
      </c>
      <c r="H2171" s="606" t="s">
        <v>1555</v>
      </c>
      <c r="I2171" s="606" t="s">
        <v>1556</v>
      </c>
      <c r="J2171" s="606" t="s">
        <v>5258</v>
      </c>
    </row>
    <row r="2172" spans="2:10" ht="21" customHeight="1">
      <c r="B2172" s="605" t="s">
        <v>5283</v>
      </c>
      <c r="C2172" s="606" t="s">
        <v>15</v>
      </c>
      <c r="D2172" s="605" t="s">
        <v>689</v>
      </c>
      <c r="E2172" s="606" t="s">
        <v>1000</v>
      </c>
      <c r="F2172" s="606" t="s">
        <v>1000</v>
      </c>
      <c r="G2172" s="606" t="s">
        <v>1085</v>
      </c>
      <c r="H2172" s="606" t="s">
        <v>5284</v>
      </c>
      <c r="I2172" s="606" t="s">
        <v>1087</v>
      </c>
      <c r="J2172" s="606" t="s">
        <v>1088</v>
      </c>
    </row>
    <row r="2173" spans="2:10" ht="21" customHeight="1">
      <c r="B2173" s="605" t="s">
        <v>5285</v>
      </c>
      <c r="C2173" s="606" t="s">
        <v>15</v>
      </c>
      <c r="D2173" s="605" t="s">
        <v>689</v>
      </c>
      <c r="E2173" s="606" t="s">
        <v>5286</v>
      </c>
      <c r="F2173" s="606" t="s">
        <v>5286</v>
      </c>
      <c r="G2173" s="606" t="s">
        <v>1554</v>
      </c>
      <c r="H2173" s="606" t="s">
        <v>1555</v>
      </c>
      <c r="I2173" s="606" t="s">
        <v>1556</v>
      </c>
      <c r="J2173" s="606" t="s">
        <v>5258</v>
      </c>
    </row>
    <row r="2174" spans="2:10" ht="21" customHeight="1">
      <c r="B2174" s="605" t="s">
        <v>5287</v>
      </c>
      <c r="C2174" s="606" t="s">
        <v>15</v>
      </c>
      <c r="D2174" s="605" t="s">
        <v>689</v>
      </c>
      <c r="E2174" s="606" t="s">
        <v>5288</v>
      </c>
      <c r="F2174" s="606" t="s">
        <v>5288</v>
      </c>
      <c r="G2174" s="606" t="s">
        <v>1554</v>
      </c>
      <c r="H2174" s="606" t="s">
        <v>1555</v>
      </c>
      <c r="I2174" s="606" t="s">
        <v>1556</v>
      </c>
      <c r="J2174" s="606" t="s">
        <v>5258</v>
      </c>
    </row>
    <row r="2175" spans="2:10" ht="21" customHeight="1">
      <c r="B2175" s="605" t="s">
        <v>5289</v>
      </c>
      <c r="C2175" s="606" t="s">
        <v>15</v>
      </c>
      <c r="D2175" s="605" t="s">
        <v>689</v>
      </c>
      <c r="E2175" s="606" t="s">
        <v>5290</v>
      </c>
      <c r="F2175" s="606" t="s">
        <v>5290</v>
      </c>
      <c r="G2175" s="606" t="s">
        <v>1085</v>
      </c>
      <c r="H2175" s="606" t="s">
        <v>5284</v>
      </c>
      <c r="I2175" s="606" t="s">
        <v>1087</v>
      </c>
      <c r="J2175" s="606" t="s">
        <v>1088</v>
      </c>
    </row>
    <row r="2176" spans="2:10" ht="21" customHeight="1">
      <c r="B2176" s="605" t="s">
        <v>5291</v>
      </c>
      <c r="C2176" s="606" t="s">
        <v>15</v>
      </c>
      <c r="D2176" s="605" t="s">
        <v>689</v>
      </c>
      <c r="E2176" s="606" t="s">
        <v>5292</v>
      </c>
      <c r="F2176" s="606" t="s">
        <v>5292</v>
      </c>
      <c r="G2176" s="606" t="s">
        <v>1554</v>
      </c>
      <c r="H2176" s="606" t="s">
        <v>1555</v>
      </c>
      <c r="I2176" s="606" t="s">
        <v>1556</v>
      </c>
      <c r="J2176" s="606" t="s">
        <v>5258</v>
      </c>
    </row>
    <row r="2177" spans="2:10" ht="21" customHeight="1">
      <c r="B2177" s="605" t="s">
        <v>5293</v>
      </c>
      <c r="C2177" s="606" t="s">
        <v>15</v>
      </c>
      <c r="D2177" s="605" t="s">
        <v>689</v>
      </c>
      <c r="E2177" s="606" t="s">
        <v>1001</v>
      </c>
      <c r="F2177" s="606" t="s">
        <v>1001</v>
      </c>
      <c r="G2177" s="606" t="s">
        <v>1554</v>
      </c>
      <c r="H2177" s="606" t="s">
        <v>1555</v>
      </c>
      <c r="I2177" s="606" t="s">
        <v>1556</v>
      </c>
      <c r="J2177" s="606" t="s">
        <v>5258</v>
      </c>
    </row>
    <row r="2178" spans="2:10" ht="21" customHeight="1">
      <c r="B2178" s="605" t="s">
        <v>5294</v>
      </c>
      <c r="C2178" s="606" t="s">
        <v>15</v>
      </c>
      <c r="D2178" s="605" t="s">
        <v>689</v>
      </c>
      <c r="E2178" s="606" t="s">
        <v>343</v>
      </c>
      <c r="F2178" s="606" t="s">
        <v>343</v>
      </c>
      <c r="G2178" s="606" t="s">
        <v>1085</v>
      </c>
      <c r="H2178" s="606" t="s">
        <v>5284</v>
      </c>
      <c r="I2178" s="606" t="s">
        <v>1087</v>
      </c>
      <c r="J2178" s="606" t="s">
        <v>1088</v>
      </c>
    </row>
    <row r="2179" spans="2:10" ht="21" customHeight="1">
      <c r="B2179" s="605" t="s">
        <v>5295</v>
      </c>
      <c r="C2179" s="606" t="s">
        <v>15</v>
      </c>
      <c r="D2179" s="605" t="s">
        <v>689</v>
      </c>
      <c r="E2179" s="606" t="s">
        <v>5296</v>
      </c>
      <c r="F2179" s="606" t="s">
        <v>5296</v>
      </c>
      <c r="G2179" s="606" t="s">
        <v>1554</v>
      </c>
      <c r="H2179" s="606" t="s">
        <v>1555</v>
      </c>
      <c r="I2179" s="606" t="s">
        <v>1556</v>
      </c>
      <c r="J2179" s="606" t="s">
        <v>5258</v>
      </c>
    </row>
    <row r="2180" spans="2:10" ht="21" customHeight="1">
      <c r="B2180" s="605" t="s">
        <v>5297</v>
      </c>
      <c r="C2180" s="606" t="s">
        <v>15</v>
      </c>
      <c r="D2180" s="605" t="s">
        <v>689</v>
      </c>
      <c r="E2180" s="606" t="s">
        <v>173</v>
      </c>
      <c r="F2180" s="606" t="s">
        <v>173</v>
      </c>
      <c r="G2180" s="606" t="s">
        <v>1554</v>
      </c>
      <c r="H2180" s="606" t="s">
        <v>1555</v>
      </c>
      <c r="I2180" s="606" t="s">
        <v>1556</v>
      </c>
      <c r="J2180" s="606" t="s">
        <v>5258</v>
      </c>
    </row>
    <row r="2181" spans="2:10" ht="21" customHeight="1">
      <c r="B2181" s="605" t="s">
        <v>5298</v>
      </c>
      <c r="C2181" s="606" t="s">
        <v>15</v>
      </c>
      <c r="D2181" s="605" t="s">
        <v>689</v>
      </c>
      <c r="E2181" s="606" t="s">
        <v>177</v>
      </c>
      <c r="F2181" s="606" t="s">
        <v>177</v>
      </c>
      <c r="G2181" s="606" t="s">
        <v>1085</v>
      </c>
      <c r="H2181" s="606" t="s">
        <v>5284</v>
      </c>
      <c r="I2181" s="606" t="s">
        <v>1087</v>
      </c>
      <c r="J2181" s="606" t="s">
        <v>1088</v>
      </c>
    </row>
    <row r="2182" spans="2:10" ht="21" customHeight="1">
      <c r="B2182" s="605" t="s">
        <v>5299</v>
      </c>
      <c r="C2182" s="606" t="s">
        <v>15</v>
      </c>
      <c r="D2182" s="605" t="s">
        <v>689</v>
      </c>
      <c r="E2182" s="606" t="s">
        <v>692</v>
      </c>
      <c r="F2182" s="606" t="s">
        <v>692</v>
      </c>
      <c r="G2182" s="606" t="s">
        <v>1554</v>
      </c>
      <c r="H2182" s="606" t="s">
        <v>1555</v>
      </c>
      <c r="I2182" s="606" t="s">
        <v>1556</v>
      </c>
      <c r="J2182" s="606" t="s">
        <v>5258</v>
      </c>
    </row>
    <row r="2183" spans="2:10" ht="21" customHeight="1">
      <c r="B2183" s="605" t="s">
        <v>5300</v>
      </c>
      <c r="C2183" s="606" t="s">
        <v>15</v>
      </c>
      <c r="D2183" s="605" t="s">
        <v>689</v>
      </c>
      <c r="E2183" s="606" t="s">
        <v>5301</v>
      </c>
      <c r="F2183" s="606" t="s">
        <v>5301</v>
      </c>
      <c r="G2183" s="606" t="s">
        <v>1554</v>
      </c>
      <c r="H2183" s="606" t="s">
        <v>1555</v>
      </c>
      <c r="I2183" s="606" t="s">
        <v>1556</v>
      </c>
      <c r="J2183" s="606" t="s">
        <v>5258</v>
      </c>
    </row>
    <row r="2184" spans="2:10" ht="21" customHeight="1">
      <c r="B2184" s="605" t="s">
        <v>5302</v>
      </c>
      <c r="C2184" s="606" t="s">
        <v>15</v>
      </c>
      <c r="D2184" s="605" t="s">
        <v>689</v>
      </c>
      <c r="E2184" s="606" t="s">
        <v>5303</v>
      </c>
      <c r="F2184" s="606" t="s">
        <v>5303</v>
      </c>
      <c r="G2184" s="606" t="s">
        <v>1554</v>
      </c>
      <c r="H2184" s="606" t="s">
        <v>1555</v>
      </c>
      <c r="I2184" s="606" t="s">
        <v>1556</v>
      </c>
      <c r="J2184" s="606" t="s">
        <v>5258</v>
      </c>
    </row>
    <row r="2185" spans="2:10" ht="21" customHeight="1">
      <c r="B2185" s="605" t="s">
        <v>5304</v>
      </c>
      <c r="C2185" s="606" t="s">
        <v>15</v>
      </c>
      <c r="D2185" s="605" t="s">
        <v>689</v>
      </c>
      <c r="E2185" s="606" t="s">
        <v>5305</v>
      </c>
      <c r="F2185" s="606" t="s">
        <v>5305</v>
      </c>
      <c r="G2185" s="606" t="s">
        <v>1554</v>
      </c>
      <c r="H2185" s="606" t="s">
        <v>1555</v>
      </c>
      <c r="I2185" s="606" t="s">
        <v>1556</v>
      </c>
      <c r="J2185" s="606" t="s">
        <v>5258</v>
      </c>
    </row>
    <row r="2186" spans="2:10" ht="21" customHeight="1">
      <c r="B2186" s="605" t="s">
        <v>5306</v>
      </c>
      <c r="C2186" s="606" t="s">
        <v>15</v>
      </c>
      <c r="D2186" s="605" t="s">
        <v>689</v>
      </c>
      <c r="E2186" s="606" t="s">
        <v>5307</v>
      </c>
      <c r="F2186" s="606" t="s">
        <v>5307</v>
      </c>
      <c r="G2186" s="606" t="s">
        <v>1554</v>
      </c>
      <c r="H2186" s="606" t="s">
        <v>1555</v>
      </c>
      <c r="I2186" s="606" t="s">
        <v>1556</v>
      </c>
      <c r="J2186" s="606" t="s">
        <v>5258</v>
      </c>
    </row>
    <row r="2187" spans="2:10" ht="21" customHeight="1">
      <c r="B2187" s="605" t="s">
        <v>5308</v>
      </c>
      <c r="C2187" s="606" t="s">
        <v>15</v>
      </c>
      <c r="D2187" s="605" t="s">
        <v>689</v>
      </c>
      <c r="E2187" s="606" t="s">
        <v>5309</v>
      </c>
      <c r="F2187" s="606" t="s">
        <v>5309</v>
      </c>
      <c r="G2187" s="606" t="s">
        <v>1554</v>
      </c>
      <c r="H2187" s="606" t="s">
        <v>1555</v>
      </c>
      <c r="I2187" s="606" t="s">
        <v>1556</v>
      </c>
      <c r="J2187" s="606" t="s">
        <v>5258</v>
      </c>
    </row>
    <row r="2188" spans="2:10" ht="21" customHeight="1">
      <c r="B2188" s="605" t="s">
        <v>5310</v>
      </c>
      <c r="C2188" s="606" t="s">
        <v>15</v>
      </c>
      <c r="D2188" s="605" t="s">
        <v>689</v>
      </c>
      <c r="E2188" s="606" t="s">
        <v>5311</v>
      </c>
      <c r="F2188" s="606" t="s">
        <v>5311</v>
      </c>
      <c r="G2188" s="606" t="s">
        <v>1554</v>
      </c>
      <c r="H2188" s="606" t="s">
        <v>1555</v>
      </c>
      <c r="I2188" s="606" t="s">
        <v>1556</v>
      </c>
      <c r="J2188" s="606" t="s">
        <v>5258</v>
      </c>
    </row>
    <row r="2189" spans="2:10" ht="21" customHeight="1">
      <c r="B2189" s="605" t="s">
        <v>5312</v>
      </c>
      <c r="C2189" s="606" t="s">
        <v>15</v>
      </c>
      <c r="D2189" s="605" t="s">
        <v>689</v>
      </c>
      <c r="E2189" s="606" t="s">
        <v>5313</v>
      </c>
      <c r="F2189" s="606" t="s">
        <v>5313</v>
      </c>
      <c r="G2189" s="606" t="s">
        <v>1554</v>
      </c>
      <c r="H2189" s="606" t="s">
        <v>1555</v>
      </c>
      <c r="I2189" s="606" t="s">
        <v>1556</v>
      </c>
      <c r="J2189" s="606" t="s">
        <v>5258</v>
      </c>
    </row>
    <row r="2190" spans="2:10" ht="21" customHeight="1">
      <c r="B2190" s="605" t="s">
        <v>5314</v>
      </c>
      <c r="C2190" s="606" t="s">
        <v>15</v>
      </c>
      <c r="D2190" s="605" t="s">
        <v>689</v>
      </c>
      <c r="E2190" s="606" t="s">
        <v>5315</v>
      </c>
      <c r="F2190" s="606" t="s">
        <v>5315</v>
      </c>
      <c r="G2190" s="606" t="s">
        <v>1554</v>
      </c>
      <c r="H2190" s="606" t="s">
        <v>1555</v>
      </c>
      <c r="I2190" s="606" t="s">
        <v>1556</v>
      </c>
      <c r="J2190" s="606" t="s">
        <v>5258</v>
      </c>
    </row>
    <row r="2191" spans="2:10" ht="21" customHeight="1">
      <c r="B2191" s="605" t="s">
        <v>5316</v>
      </c>
      <c r="C2191" s="606" t="s">
        <v>15</v>
      </c>
      <c r="D2191" s="605" t="s">
        <v>689</v>
      </c>
      <c r="E2191" s="606" t="s">
        <v>5317</v>
      </c>
      <c r="F2191" s="606" t="s">
        <v>5317</v>
      </c>
      <c r="G2191" s="606" t="s">
        <v>1554</v>
      </c>
      <c r="H2191" s="606" t="s">
        <v>1555</v>
      </c>
      <c r="I2191" s="606" t="s">
        <v>1556</v>
      </c>
      <c r="J2191" s="606" t="s">
        <v>5258</v>
      </c>
    </row>
    <row r="2192" spans="2:10" ht="21" customHeight="1">
      <c r="B2192" s="605" t="s">
        <v>5318</v>
      </c>
      <c r="C2192" s="606" t="s">
        <v>15</v>
      </c>
      <c r="D2192" s="605" t="s">
        <v>689</v>
      </c>
      <c r="E2192" s="606" t="s">
        <v>5319</v>
      </c>
      <c r="F2192" s="606" t="s">
        <v>5319</v>
      </c>
      <c r="G2192" s="606" t="s">
        <v>1554</v>
      </c>
      <c r="H2192" s="606" t="s">
        <v>1555</v>
      </c>
      <c r="I2192" s="606" t="s">
        <v>1556</v>
      </c>
      <c r="J2192" s="606" t="s">
        <v>5258</v>
      </c>
    </row>
    <row r="2193" spans="2:10" ht="21" customHeight="1">
      <c r="B2193" s="605" t="s">
        <v>5320</v>
      </c>
      <c r="C2193" s="606" t="s">
        <v>15</v>
      </c>
      <c r="D2193" s="605" t="s">
        <v>689</v>
      </c>
      <c r="E2193" s="606" t="s">
        <v>5321</v>
      </c>
      <c r="F2193" s="606" t="s">
        <v>5321</v>
      </c>
      <c r="G2193" s="606" t="s">
        <v>1554</v>
      </c>
      <c r="H2193" s="606" t="s">
        <v>1555</v>
      </c>
      <c r="I2193" s="606" t="s">
        <v>1556</v>
      </c>
      <c r="J2193" s="606" t="s">
        <v>5258</v>
      </c>
    </row>
    <row r="2194" spans="2:10" ht="21" customHeight="1">
      <c r="B2194" s="605" t="s">
        <v>5322</v>
      </c>
      <c r="C2194" s="606" t="s">
        <v>15</v>
      </c>
      <c r="D2194" s="605" t="s">
        <v>689</v>
      </c>
      <c r="E2194" s="606" t="s">
        <v>5323</v>
      </c>
      <c r="F2194" s="606" t="s">
        <v>5323</v>
      </c>
      <c r="G2194" s="606" t="s">
        <v>1085</v>
      </c>
      <c r="H2194" s="606" t="s">
        <v>5284</v>
      </c>
      <c r="I2194" s="606" t="s">
        <v>1087</v>
      </c>
      <c r="J2194" s="606" t="s">
        <v>1088</v>
      </c>
    </row>
    <row r="2195" spans="2:10" ht="21" customHeight="1">
      <c r="B2195" s="605" t="s">
        <v>5324</v>
      </c>
      <c r="C2195" s="606" t="s">
        <v>15</v>
      </c>
      <c r="D2195" s="605" t="s">
        <v>689</v>
      </c>
      <c r="E2195" s="606" t="s">
        <v>5325</v>
      </c>
      <c r="F2195" s="606" t="s">
        <v>5325</v>
      </c>
      <c r="G2195" s="606" t="s">
        <v>1554</v>
      </c>
      <c r="H2195" s="606" t="s">
        <v>1555</v>
      </c>
      <c r="I2195" s="606" t="s">
        <v>1556</v>
      </c>
      <c r="J2195" s="606" t="s">
        <v>5258</v>
      </c>
    </row>
    <row r="2196" spans="2:10" ht="21" customHeight="1">
      <c r="B2196" s="605" t="s">
        <v>5326</v>
      </c>
      <c r="C2196" s="606" t="s">
        <v>15</v>
      </c>
      <c r="D2196" s="605" t="s">
        <v>689</v>
      </c>
      <c r="E2196" s="606" t="s">
        <v>5327</v>
      </c>
      <c r="F2196" s="606" t="s">
        <v>5327</v>
      </c>
      <c r="G2196" s="606" t="s">
        <v>1554</v>
      </c>
      <c r="H2196" s="606" t="s">
        <v>1555</v>
      </c>
      <c r="I2196" s="606" t="s">
        <v>1556</v>
      </c>
      <c r="J2196" s="606" t="s">
        <v>5258</v>
      </c>
    </row>
    <row r="2197" spans="2:10" ht="21" customHeight="1">
      <c r="B2197" s="605" t="s">
        <v>5328</v>
      </c>
      <c r="C2197" s="606" t="s">
        <v>15</v>
      </c>
      <c r="D2197" s="605" t="s">
        <v>689</v>
      </c>
      <c r="E2197" s="606" t="s">
        <v>5329</v>
      </c>
      <c r="F2197" s="606" t="s">
        <v>5329</v>
      </c>
      <c r="G2197" s="606" t="s">
        <v>1554</v>
      </c>
      <c r="H2197" s="606" t="s">
        <v>1555</v>
      </c>
      <c r="I2197" s="606" t="s">
        <v>1556</v>
      </c>
      <c r="J2197" s="606" t="s">
        <v>5258</v>
      </c>
    </row>
    <row r="2198" spans="2:10" ht="21" customHeight="1">
      <c r="B2198" s="605" t="s">
        <v>5330</v>
      </c>
      <c r="C2198" s="606" t="s">
        <v>15</v>
      </c>
      <c r="D2198" s="605" t="s">
        <v>689</v>
      </c>
      <c r="E2198" s="606" t="s">
        <v>5331</v>
      </c>
      <c r="F2198" s="606" t="s">
        <v>5331</v>
      </c>
      <c r="G2198" s="606" t="s">
        <v>1554</v>
      </c>
      <c r="H2198" s="606" t="s">
        <v>1555</v>
      </c>
      <c r="I2198" s="606" t="s">
        <v>1556</v>
      </c>
      <c r="J2198" s="606" t="s">
        <v>5258</v>
      </c>
    </row>
    <row r="2199" spans="2:10" ht="21" customHeight="1">
      <c r="B2199" s="605" t="s">
        <v>5332</v>
      </c>
      <c r="C2199" s="606" t="s">
        <v>15</v>
      </c>
      <c r="D2199" s="605" t="s">
        <v>689</v>
      </c>
      <c r="E2199" s="606" t="s">
        <v>5333</v>
      </c>
      <c r="F2199" s="606" t="s">
        <v>5333</v>
      </c>
      <c r="G2199" s="606" t="s">
        <v>1554</v>
      </c>
      <c r="H2199" s="606" t="s">
        <v>1555</v>
      </c>
      <c r="I2199" s="606" t="s">
        <v>1556</v>
      </c>
      <c r="J2199" s="606" t="s">
        <v>5258</v>
      </c>
    </row>
    <row r="2200" spans="2:10" ht="21" customHeight="1">
      <c r="B2200" s="605" t="s">
        <v>5334</v>
      </c>
      <c r="C2200" s="606" t="s">
        <v>15</v>
      </c>
      <c r="D2200" s="605" t="s">
        <v>689</v>
      </c>
      <c r="E2200" s="606" t="s">
        <v>1002</v>
      </c>
      <c r="F2200" s="606" t="s">
        <v>1002</v>
      </c>
      <c r="G2200" s="606" t="s">
        <v>1554</v>
      </c>
      <c r="H2200" s="606" t="s">
        <v>1555</v>
      </c>
      <c r="I2200" s="606" t="s">
        <v>1556</v>
      </c>
      <c r="J2200" s="606" t="s">
        <v>5258</v>
      </c>
    </row>
    <row r="2201" spans="2:10" ht="21" customHeight="1">
      <c r="B2201" s="605" t="s">
        <v>5335</v>
      </c>
      <c r="C2201" s="606" t="s">
        <v>15</v>
      </c>
      <c r="D2201" s="605" t="s">
        <v>689</v>
      </c>
      <c r="E2201" s="606" t="s">
        <v>5336</v>
      </c>
      <c r="F2201" s="606" t="s">
        <v>5336</v>
      </c>
      <c r="G2201" s="606" t="s">
        <v>1554</v>
      </c>
      <c r="H2201" s="606" t="s">
        <v>1555</v>
      </c>
      <c r="I2201" s="606" t="s">
        <v>1556</v>
      </c>
      <c r="J2201" s="606" t="s">
        <v>5258</v>
      </c>
    </row>
    <row r="2202" spans="2:10" ht="21" customHeight="1">
      <c r="B2202" s="605" t="s">
        <v>5337</v>
      </c>
      <c r="C2202" s="606" t="s">
        <v>15</v>
      </c>
      <c r="D2202" s="605" t="s">
        <v>689</v>
      </c>
      <c r="E2202" s="606" t="s">
        <v>5338</v>
      </c>
      <c r="F2202" s="606" t="s">
        <v>5338</v>
      </c>
      <c r="G2202" s="606" t="s">
        <v>1151</v>
      </c>
      <c r="H2202" s="606" t="s">
        <v>1152</v>
      </c>
      <c r="I2202" s="606" t="s">
        <v>1087</v>
      </c>
      <c r="J2202" s="606" t="s">
        <v>1153</v>
      </c>
    </row>
    <row r="2203" spans="2:10" ht="21" customHeight="1">
      <c r="B2203" s="605" t="s">
        <v>5339</v>
      </c>
      <c r="C2203" s="606" t="s">
        <v>15</v>
      </c>
      <c r="D2203" s="605" t="s">
        <v>689</v>
      </c>
      <c r="E2203" s="606" t="s">
        <v>5340</v>
      </c>
      <c r="F2203" s="606" t="s">
        <v>5340</v>
      </c>
      <c r="G2203" s="606" t="s">
        <v>1554</v>
      </c>
      <c r="H2203" s="606" t="s">
        <v>1555</v>
      </c>
      <c r="I2203" s="606" t="s">
        <v>1556</v>
      </c>
      <c r="J2203" s="606" t="s">
        <v>5258</v>
      </c>
    </row>
    <row r="2204" spans="2:10" ht="21" customHeight="1">
      <c r="B2204" s="605" t="s">
        <v>5341</v>
      </c>
      <c r="C2204" s="606" t="s">
        <v>15</v>
      </c>
      <c r="D2204" s="605" t="s">
        <v>689</v>
      </c>
      <c r="E2204" s="606" t="s">
        <v>5342</v>
      </c>
      <c r="F2204" s="606" t="s">
        <v>5342</v>
      </c>
      <c r="G2204" s="606" t="s">
        <v>1554</v>
      </c>
      <c r="H2204" s="606" t="s">
        <v>1555</v>
      </c>
      <c r="I2204" s="606" t="s">
        <v>1556</v>
      </c>
      <c r="J2204" s="606" t="s">
        <v>5258</v>
      </c>
    </row>
    <row r="2205" spans="2:10" ht="21" customHeight="1">
      <c r="B2205" s="605" t="s">
        <v>5343</v>
      </c>
      <c r="C2205" s="606" t="s">
        <v>15</v>
      </c>
      <c r="D2205" s="605" t="s">
        <v>689</v>
      </c>
      <c r="E2205" s="606" t="s">
        <v>5344</v>
      </c>
      <c r="F2205" s="606" t="s">
        <v>5344</v>
      </c>
      <c r="G2205" s="606" t="s">
        <v>1554</v>
      </c>
      <c r="H2205" s="606" t="s">
        <v>1555</v>
      </c>
      <c r="I2205" s="606" t="s">
        <v>1556</v>
      </c>
      <c r="J2205" s="606" t="s">
        <v>5258</v>
      </c>
    </row>
    <row r="2206" spans="2:10" ht="21" customHeight="1">
      <c r="B2206" s="605" t="s">
        <v>5345</v>
      </c>
      <c r="C2206" s="606" t="s">
        <v>15</v>
      </c>
      <c r="D2206" s="605" t="s">
        <v>689</v>
      </c>
      <c r="E2206" s="606" t="s">
        <v>129</v>
      </c>
      <c r="F2206" s="606" t="s">
        <v>129</v>
      </c>
      <c r="G2206" s="606" t="s">
        <v>1554</v>
      </c>
      <c r="H2206" s="606" t="s">
        <v>1555</v>
      </c>
      <c r="I2206" s="606" t="s">
        <v>1556</v>
      </c>
      <c r="J2206" s="606" t="s">
        <v>5258</v>
      </c>
    </row>
    <row r="2207" spans="2:10" ht="21" customHeight="1">
      <c r="B2207" s="605" t="s">
        <v>5346</v>
      </c>
      <c r="C2207" s="606" t="s">
        <v>15</v>
      </c>
      <c r="D2207" s="605" t="s">
        <v>689</v>
      </c>
      <c r="E2207" s="606" t="s">
        <v>5347</v>
      </c>
      <c r="F2207" s="606" t="s">
        <v>5347</v>
      </c>
      <c r="G2207" s="606" t="s">
        <v>1554</v>
      </c>
      <c r="H2207" s="606" t="s">
        <v>1555</v>
      </c>
      <c r="I2207" s="606" t="s">
        <v>1556</v>
      </c>
      <c r="J2207" s="606" t="s">
        <v>5258</v>
      </c>
    </row>
    <row r="2208" spans="2:10" ht="21" customHeight="1">
      <c r="B2208" s="605" t="s">
        <v>5348</v>
      </c>
      <c r="C2208" s="606" t="s">
        <v>15</v>
      </c>
      <c r="D2208" s="605" t="s">
        <v>689</v>
      </c>
      <c r="E2208" s="606" t="s">
        <v>5349</v>
      </c>
      <c r="F2208" s="606" t="s">
        <v>5349</v>
      </c>
      <c r="G2208" s="606" t="s">
        <v>1554</v>
      </c>
      <c r="H2208" s="606" t="s">
        <v>1555</v>
      </c>
      <c r="I2208" s="606" t="s">
        <v>1556</v>
      </c>
      <c r="J2208" s="606" t="s">
        <v>5258</v>
      </c>
    </row>
    <row r="2209" spans="2:10" ht="21" customHeight="1">
      <c r="B2209" s="605" t="s">
        <v>5350</v>
      </c>
      <c r="C2209" s="606" t="s">
        <v>15</v>
      </c>
      <c r="D2209" s="605" t="s">
        <v>689</v>
      </c>
      <c r="E2209" s="606" t="s">
        <v>138</v>
      </c>
      <c r="F2209" s="606" t="s">
        <v>138</v>
      </c>
      <c r="G2209" s="606" t="s">
        <v>1085</v>
      </c>
      <c r="H2209" s="606" t="s">
        <v>5284</v>
      </c>
      <c r="I2209" s="606" t="s">
        <v>1087</v>
      </c>
      <c r="J2209" s="606" t="s">
        <v>1088</v>
      </c>
    </row>
    <row r="2210" spans="2:10" ht="21" customHeight="1">
      <c r="B2210" s="605" t="s">
        <v>5351</v>
      </c>
      <c r="C2210" s="606" t="s">
        <v>15</v>
      </c>
      <c r="D2210" s="605" t="s">
        <v>689</v>
      </c>
      <c r="E2210" s="606" t="s">
        <v>335</v>
      </c>
      <c r="F2210" s="606" t="s">
        <v>335</v>
      </c>
      <c r="G2210" s="606" t="s">
        <v>1085</v>
      </c>
      <c r="H2210" s="606" t="s">
        <v>5284</v>
      </c>
      <c r="I2210" s="606" t="s">
        <v>1087</v>
      </c>
      <c r="J2210" s="606" t="s">
        <v>1088</v>
      </c>
    </row>
    <row r="2211" spans="2:10" ht="21" customHeight="1">
      <c r="B2211" s="605" t="s">
        <v>5352</v>
      </c>
      <c r="C2211" s="606" t="s">
        <v>15</v>
      </c>
      <c r="D2211" s="605" t="s">
        <v>689</v>
      </c>
      <c r="E2211" s="606" t="s">
        <v>1003</v>
      </c>
      <c r="F2211" s="606" t="s">
        <v>1003</v>
      </c>
      <c r="G2211" s="606" t="s">
        <v>1085</v>
      </c>
      <c r="H2211" s="606" t="s">
        <v>5284</v>
      </c>
      <c r="I2211" s="606" t="s">
        <v>1087</v>
      </c>
      <c r="J2211" s="606" t="s">
        <v>1088</v>
      </c>
    </row>
    <row r="2212" spans="2:10" ht="21" customHeight="1">
      <c r="B2212" s="605" t="s">
        <v>5353</v>
      </c>
      <c r="C2212" s="606" t="s">
        <v>15</v>
      </c>
      <c r="D2212" s="605" t="s">
        <v>689</v>
      </c>
      <c r="E2212" s="606" t="s">
        <v>204</v>
      </c>
      <c r="F2212" s="606" t="s">
        <v>204</v>
      </c>
      <c r="G2212" s="606" t="s">
        <v>1085</v>
      </c>
      <c r="H2212" s="606" t="s">
        <v>5284</v>
      </c>
      <c r="I2212" s="606" t="s">
        <v>1087</v>
      </c>
      <c r="J2212" s="606" t="s">
        <v>1088</v>
      </c>
    </row>
    <row r="2213" spans="2:10" ht="21" customHeight="1">
      <c r="B2213" s="605" t="s">
        <v>5354</v>
      </c>
      <c r="C2213" s="606" t="s">
        <v>15</v>
      </c>
      <c r="D2213" s="605" t="s">
        <v>689</v>
      </c>
      <c r="E2213" s="606" t="s">
        <v>207</v>
      </c>
      <c r="F2213" s="606" t="s">
        <v>207</v>
      </c>
      <c r="G2213" s="606" t="s">
        <v>1085</v>
      </c>
      <c r="H2213" s="606" t="s">
        <v>5284</v>
      </c>
      <c r="I2213" s="606" t="s">
        <v>1087</v>
      </c>
      <c r="J2213" s="606" t="s">
        <v>1088</v>
      </c>
    </row>
    <row r="2214" spans="2:10" ht="21" customHeight="1">
      <c r="B2214" s="605" t="s">
        <v>5355</v>
      </c>
      <c r="C2214" s="606" t="s">
        <v>15</v>
      </c>
      <c r="D2214" s="605" t="s">
        <v>689</v>
      </c>
      <c r="E2214" s="606" t="s">
        <v>5356</v>
      </c>
      <c r="F2214" s="606" t="s">
        <v>5356</v>
      </c>
      <c r="G2214" s="606" t="s">
        <v>1554</v>
      </c>
      <c r="H2214" s="606" t="s">
        <v>1555</v>
      </c>
      <c r="I2214" s="606" t="s">
        <v>1556</v>
      </c>
      <c r="J2214" s="606" t="s">
        <v>5258</v>
      </c>
    </row>
    <row r="2215" spans="2:10" ht="21" customHeight="1">
      <c r="B2215" s="605" t="s">
        <v>5357</v>
      </c>
      <c r="C2215" s="606" t="s">
        <v>15</v>
      </c>
      <c r="D2215" s="605" t="s">
        <v>689</v>
      </c>
      <c r="E2215" s="606" t="s">
        <v>1004</v>
      </c>
      <c r="F2215" s="606" t="s">
        <v>1004</v>
      </c>
      <c r="G2215" s="606" t="s">
        <v>1554</v>
      </c>
      <c r="H2215" s="606" t="s">
        <v>1555</v>
      </c>
      <c r="I2215" s="606" t="s">
        <v>1556</v>
      </c>
      <c r="J2215" s="606" t="s">
        <v>5258</v>
      </c>
    </row>
    <row r="2216" spans="2:10" ht="21" customHeight="1">
      <c r="B2216" s="605" t="s">
        <v>5358</v>
      </c>
      <c r="C2216" s="606" t="s">
        <v>15</v>
      </c>
      <c r="D2216" s="605" t="s">
        <v>689</v>
      </c>
      <c r="E2216" s="606" t="s">
        <v>5359</v>
      </c>
      <c r="F2216" s="606" t="s">
        <v>5359</v>
      </c>
      <c r="G2216" s="606" t="s">
        <v>1085</v>
      </c>
      <c r="H2216" s="606" t="s">
        <v>5284</v>
      </c>
      <c r="I2216" s="606" t="s">
        <v>1087</v>
      </c>
      <c r="J2216" s="606" t="s">
        <v>1088</v>
      </c>
    </row>
    <row r="2217" spans="2:10" ht="21" customHeight="1">
      <c r="B2217" s="605" t="s">
        <v>5360</v>
      </c>
      <c r="C2217" s="606" t="s">
        <v>15</v>
      </c>
      <c r="D2217" s="605" t="s">
        <v>689</v>
      </c>
      <c r="E2217" s="606" t="s">
        <v>5361</v>
      </c>
      <c r="F2217" s="606" t="s">
        <v>5361</v>
      </c>
      <c r="G2217" s="606" t="s">
        <v>1554</v>
      </c>
      <c r="H2217" s="606" t="s">
        <v>1555</v>
      </c>
      <c r="I2217" s="606" t="s">
        <v>1556</v>
      </c>
      <c r="J2217" s="606" t="s">
        <v>5258</v>
      </c>
    </row>
    <row r="2218" spans="2:10" ht="21" customHeight="1">
      <c r="B2218" s="605" t="s">
        <v>5362</v>
      </c>
      <c r="C2218" s="606" t="s">
        <v>15</v>
      </c>
      <c r="D2218" s="605" t="s">
        <v>689</v>
      </c>
      <c r="E2218" s="606" t="s">
        <v>5363</v>
      </c>
      <c r="F2218" s="606" t="s">
        <v>5363</v>
      </c>
      <c r="G2218" s="606" t="s">
        <v>1151</v>
      </c>
      <c r="H2218" s="606" t="s">
        <v>1152</v>
      </c>
      <c r="I2218" s="606" t="s">
        <v>1087</v>
      </c>
      <c r="J2218" s="606" t="s">
        <v>1153</v>
      </c>
    </row>
    <row r="2219" spans="2:10" ht="21" customHeight="1">
      <c r="B2219" s="605" t="s">
        <v>5364</v>
      </c>
      <c r="C2219" s="606" t="s">
        <v>15</v>
      </c>
      <c r="D2219" s="605" t="s">
        <v>689</v>
      </c>
      <c r="E2219" s="606" t="s">
        <v>5365</v>
      </c>
      <c r="F2219" s="606" t="s">
        <v>5365</v>
      </c>
      <c r="G2219" s="606" t="s">
        <v>1554</v>
      </c>
      <c r="H2219" s="606" t="s">
        <v>1555</v>
      </c>
      <c r="I2219" s="606" t="s">
        <v>1556</v>
      </c>
      <c r="J2219" s="606" t="s">
        <v>5258</v>
      </c>
    </row>
    <row r="2220" spans="2:10" ht="21" customHeight="1">
      <c r="B2220" s="605" t="s">
        <v>5366</v>
      </c>
      <c r="C2220" s="606" t="s">
        <v>15</v>
      </c>
      <c r="D2220" s="605" t="s">
        <v>689</v>
      </c>
      <c r="E2220" s="606" t="s">
        <v>5367</v>
      </c>
      <c r="F2220" s="606" t="s">
        <v>5367</v>
      </c>
      <c r="G2220" s="606" t="s">
        <v>1554</v>
      </c>
      <c r="H2220" s="606" t="s">
        <v>1555</v>
      </c>
      <c r="I2220" s="606" t="s">
        <v>1556</v>
      </c>
      <c r="J2220" s="606" t="s">
        <v>5258</v>
      </c>
    </row>
    <row r="2221" spans="2:10" ht="21" customHeight="1">
      <c r="B2221" s="605" t="s">
        <v>5368</v>
      </c>
      <c r="C2221" s="606" t="s">
        <v>15</v>
      </c>
      <c r="D2221" s="605" t="s">
        <v>689</v>
      </c>
      <c r="E2221" s="606" t="s">
        <v>5369</v>
      </c>
      <c r="F2221" s="606" t="s">
        <v>5369</v>
      </c>
      <c r="G2221" s="606" t="s">
        <v>1554</v>
      </c>
      <c r="H2221" s="606" t="s">
        <v>1555</v>
      </c>
      <c r="I2221" s="606" t="s">
        <v>1556</v>
      </c>
      <c r="J2221" s="606" t="s">
        <v>5258</v>
      </c>
    </row>
    <row r="2222" spans="2:10" ht="21" customHeight="1">
      <c r="B2222" s="605" t="s">
        <v>5370</v>
      </c>
      <c r="C2222" s="606" t="s">
        <v>15</v>
      </c>
      <c r="D2222" s="605" t="s">
        <v>689</v>
      </c>
      <c r="E2222" s="606" t="s">
        <v>5371</v>
      </c>
      <c r="F2222" s="606" t="s">
        <v>5371</v>
      </c>
      <c r="G2222" s="606" t="s">
        <v>1554</v>
      </c>
      <c r="H2222" s="606" t="s">
        <v>1555</v>
      </c>
      <c r="I2222" s="606" t="s">
        <v>1556</v>
      </c>
      <c r="J2222" s="606" t="s">
        <v>5258</v>
      </c>
    </row>
    <row r="2223" spans="2:10" ht="21" customHeight="1">
      <c r="B2223" s="605" t="s">
        <v>5372</v>
      </c>
      <c r="C2223" s="606" t="s">
        <v>15</v>
      </c>
      <c r="D2223" s="605" t="s">
        <v>689</v>
      </c>
      <c r="E2223" s="606" t="s">
        <v>5373</v>
      </c>
      <c r="F2223" s="606" t="s">
        <v>5373</v>
      </c>
      <c r="G2223" s="606" t="s">
        <v>1554</v>
      </c>
      <c r="H2223" s="606" t="s">
        <v>1555</v>
      </c>
      <c r="I2223" s="606" t="s">
        <v>1556</v>
      </c>
      <c r="J2223" s="606" t="s">
        <v>5258</v>
      </c>
    </row>
    <row r="2224" spans="2:10" ht="21" customHeight="1">
      <c r="B2224" s="605" t="s">
        <v>5374</v>
      </c>
      <c r="C2224" s="606" t="s">
        <v>15</v>
      </c>
      <c r="D2224" s="605" t="s">
        <v>689</v>
      </c>
      <c r="E2224" s="606" t="s">
        <v>5375</v>
      </c>
      <c r="F2224" s="606" t="s">
        <v>5375</v>
      </c>
      <c r="G2224" s="606" t="s">
        <v>1554</v>
      </c>
      <c r="H2224" s="606" t="s">
        <v>1555</v>
      </c>
      <c r="I2224" s="606" t="s">
        <v>1556</v>
      </c>
      <c r="J2224" s="606" t="s">
        <v>5258</v>
      </c>
    </row>
    <row r="2225" spans="2:10" ht="21" customHeight="1">
      <c r="B2225" s="605" t="s">
        <v>5376</v>
      </c>
      <c r="C2225" s="606" t="s">
        <v>15</v>
      </c>
      <c r="D2225" s="605" t="s">
        <v>689</v>
      </c>
      <c r="E2225" s="606" t="s">
        <v>5377</v>
      </c>
      <c r="F2225" s="606" t="s">
        <v>5377</v>
      </c>
      <c r="G2225" s="606" t="s">
        <v>1554</v>
      </c>
      <c r="H2225" s="606" t="s">
        <v>1555</v>
      </c>
      <c r="I2225" s="606" t="s">
        <v>1556</v>
      </c>
      <c r="J2225" s="606" t="s">
        <v>5258</v>
      </c>
    </row>
    <row r="2226" spans="2:10" ht="21" customHeight="1">
      <c r="B2226" s="605" t="s">
        <v>5378</v>
      </c>
      <c r="C2226" s="606" t="s">
        <v>15</v>
      </c>
      <c r="D2226" s="605" t="s">
        <v>689</v>
      </c>
      <c r="E2226" s="606" t="s">
        <v>5379</v>
      </c>
      <c r="F2226" s="606" t="s">
        <v>5379</v>
      </c>
      <c r="G2226" s="606" t="s">
        <v>1554</v>
      </c>
      <c r="H2226" s="606" t="s">
        <v>1555</v>
      </c>
      <c r="I2226" s="606" t="s">
        <v>1556</v>
      </c>
      <c r="J2226" s="606" t="s">
        <v>5258</v>
      </c>
    </row>
    <row r="2227" spans="2:10" ht="21" customHeight="1">
      <c r="B2227" s="605" t="s">
        <v>5380</v>
      </c>
      <c r="C2227" s="606" t="s">
        <v>15</v>
      </c>
      <c r="D2227" s="605" t="s">
        <v>689</v>
      </c>
      <c r="E2227" s="606" t="s">
        <v>182</v>
      </c>
      <c r="F2227" s="606" t="s">
        <v>182</v>
      </c>
      <c r="G2227" s="606" t="s">
        <v>1554</v>
      </c>
      <c r="H2227" s="606" t="s">
        <v>1555</v>
      </c>
      <c r="I2227" s="606" t="s">
        <v>1556</v>
      </c>
      <c r="J2227" s="606" t="s">
        <v>5258</v>
      </c>
    </row>
    <row r="2228" spans="2:10" ht="21" customHeight="1">
      <c r="B2228" s="605" t="s">
        <v>5381</v>
      </c>
      <c r="C2228" s="606" t="s">
        <v>15</v>
      </c>
      <c r="D2228" s="605" t="s">
        <v>689</v>
      </c>
      <c r="E2228" s="606" t="s">
        <v>5382</v>
      </c>
      <c r="F2228" s="606" t="s">
        <v>5382</v>
      </c>
      <c r="G2228" s="606" t="s">
        <v>1554</v>
      </c>
      <c r="H2228" s="606" t="s">
        <v>1555</v>
      </c>
      <c r="I2228" s="606" t="s">
        <v>1556</v>
      </c>
      <c r="J2228" s="606" t="s">
        <v>5258</v>
      </c>
    </row>
    <row r="2229" spans="2:10" ht="21" customHeight="1">
      <c r="B2229" s="605" t="s">
        <v>5383</v>
      </c>
      <c r="C2229" s="606" t="s">
        <v>15</v>
      </c>
      <c r="D2229" s="605" t="s">
        <v>689</v>
      </c>
      <c r="E2229" s="606" t="s">
        <v>5384</v>
      </c>
      <c r="F2229" s="606" t="s">
        <v>5384</v>
      </c>
      <c r="G2229" s="606" t="s">
        <v>1554</v>
      </c>
      <c r="H2229" s="606" t="s">
        <v>1555</v>
      </c>
      <c r="I2229" s="606" t="s">
        <v>1556</v>
      </c>
      <c r="J2229" s="606" t="s">
        <v>5258</v>
      </c>
    </row>
    <row r="2230" spans="2:10" ht="21" customHeight="1">
      <c r="B2230" s="605" t="s">
        <v>5385</v>
      </c>
      <c r="C2230" s="606" t="s">
        <v>15</v>
      </c>
      <c r="D2230" s="605" t="s">
        <v>689</v>
      </c>
      <c r="E2230" s="606" t="s">
        <v>5386</v>
      </c>
      <c r="F2230" s="606" t="s">
        <v>5386</v>
      </c>
      <c r="G2230" s="606" t="s">
        <v>1554</v>
      </c>
      <c r="H2230" s="606" t="s">
        <v>1555</v>
      </c>
      <c r="I2230" s="606" t="s">
        <v>1556</v>
      </c>
      <c r="J2230" s="606" t="s">
        <v>5258</v>
      </c>
    </row>
    <row r="2231" spans="2:10" ht="21" customHeight="1">
      <c r="B2231" s="605" t="s">
        <v>5387</v>
      </c>
      <c r="C2231" s="606" t="s">
        <v>15</v>
      </c>
      <c r="D2231" s="605" t="s">
        <v>689</v>
      </c>
      <c r="E2231" s="606" t="s">
        <v>5388</v>
      </c>
      <c r="F2231" s="606" t="s">
        <v>5388</v>
      </c>
      <c r="G2231" s="606" t="s">
        <v>1554</v>
      </c>
      <c r="H2231" s="606" t="s">
        <v>1555</v>
      </c>
      <c r="I2231" s="606" t="s">
        <v>1556</v>
      </c>
      <c r="J2231" s="606" t="s">
        <v>5258</v>
      </c>
    </row>
    <row r="2232" spans="2:10" ht="21" customHeight="1">
      <c r="B2232" s="605" t="s">
        <v>5389</v>
      </c>
      <c r="C2232" s="606" t="s">
        <v>15</v>
      </c>
      <c r="D2232" s="605" t="s">
        <v>689</v>
      </c>
      <c r="E2232" s="606" t="s">
        <v>5390</v>
      </c>
      <c r="F2232" s="606" t="s">
        <v>5390</v>
      </c>
      <c r="G2232" s="606" t="s">
        <v>1554</v>
      </c>
      <c r="H2232" s="606" t="s">
        <v>1555</v>
      </c>
      <c r="I2232" s="606" t="s">
        <v>1556</v>
      </c>
      <c r="J2232" s="606" t="s">
        <v>5258</v>
      </c>
    </row>
    <row r="2233" spans="2:10" ht="21" customHeight="1">
      <c r="B2233" s="605" t="s">
        <v>5391</v>
      </c>
      <c r="C2233" s="606" t="s">
        <v>15</v>
      </c>
      <c r="D2233" s="605" t="s">
        <v>689</v>
      </c>
      <c r="E2233" s="606" t="s">
        <v>5392</v>
      </c>
      <c r="F2233" s="606" t="s">
        <v>5392</v>
      </c>
      <c r="G2233" s="606" t="s">
        <v>1554</v>
      </c>
      <c r="H2233" s="606" t="s">
        <v>1555</v>
      </c>
      <c r="I2233" s="606" t="s">
        <v>1556</v>
      </c>
      <c r="J2233" s="606" t="s">
        <v>5258</v>
      </c>
    </row>
    <row r="2234" spans="2:10" ht="21" customHeight="1">
      <c r="B2234" s="605" t="s">
        <v>5393</v>
      </c>
      <c r="C2234" s="606" t="s">
        <v>15</v>
      </c>
      <c r="D2234" s="605" t="s">
        <v>689</v>
      </c>
      <c r="E2234" s="606" t="s">
        <v>5394</v>
      </c>
      <c r="F2234" s="606" t="s">
        <v>5394</v>
      </c>
      <c r="G2234" s="606" t="s">
        <v>1554</v>
      </c>
      <c r="H2234" s="606" t="s">
        <v>1555</v>
      </c>
      <c r="I2234" s="606" t="s">
        <v>1556</v>
      </c>
      <c r="J2234" s="606" t="s">
        <v>5258</v>
      </c>
    </row>
    <row r="2235" spans="2:10" ht="21" customHeight="1">
      <c r="B2235" s="605" t="s">
        <v>5395</v>
      </c>
      <c r="C2235" s="606" t="s">
        <v>15</v>
      </c>
      <c r="D2235" s="605" t="s">
        <v>689</v>
      </c>
      <c r="E2235" s="606" t="s">
        <v>5396</v>
      </c>
      <c r="F2235" s="606" t="s">
        <v>5396</v>
      </c>
      <c r="G2235" s="606" t="s">
        <v>1554</v>
      </c>
      <c r="H2235" s="606" t="s">
        <v>1555</v>
      </c>
      <c r="I2235" s="606" t="s">
        <v>1556</v>
      </c>
      <c r="J2235" s="606" t="s">
        <v>5258</v>
      </c>
    </row>
    <row r="2236" spans="2:10" ht="21" customHeight="1">
      <c r="B2236" s="605" t="s">
        <v>5397</v>
      </c>
      <c r="C2236" s="606" t="s">
        <v>15</v>
      </c>
      <c r="D2236" s="605" t="s">
        <v>689</v>
      </c>
      <c r="E2236" s="606" t="s">
        <v>5398</v>
      </c>
      <c r="F2236" s="606" t="s">
        <v>5398</v>
      </c>
      <c r="G2236" s="606" t="s">
        <v>1554</v>
      </c>
      <c r="H2236" s="606" t="s">
        <v>1555</v>
      </c>
      <c r="I2236" s="606" t="s">
        <v>1556</v>
      </c>
      <c r="J2236" s="606" t="s">
        <v>5258</v>
      </c>
    </row>
    <row r="2237" spans="2:10" ht="21" customHeight="1">
      <c r="B2237" s="605" t="s">
        <v>5399</v>
      </c>
      <c r="C2237" s="606" t="s">
        <v>15</v>
      </c>
      <c r="D2237" s="605" t="s">
        <v>689</v>
      </c>
      <c r="E2237" s="606" t="s">
        <v>5400</v>
      </c>
      <c r="F2237" s="606" t="s">
        <v>5400</v>
      </c>
      <c r="G2237" s="606" t="s">
        <v>1554</v>
      </c>
      <c r="H2237" s="606" t="s">
        <v>1555</v>
      </c>
      <c r="I2237" s="606" t="s">
        <v>1556</v>
      </c>
      <c r="J2237" s="606" t="s">
        <v>5258</v>
      </c>
    </row>
    <row r="2238" spans="2:10" ht="21" customHeight="1">
      <c r="B2238" s="605" t="s">
        <v>5401</v>
      </c>
      <c r="C2238" s="606" t="s">
        <v>15</v>
      </c>
      <c r="D2238" s="605" t="s">
        <v>689</v>
      </c>
      <c r="E2238" s="606" t="s">
        <v>5402</v>
      </c>
      <c r="F2238" s="606" t="s">
        <v>5402</v>
      </c>
      <c r="G2238" s="606" t="s">
        <v>1554</v>
      </c>
      <c r="H2238" s="606" t="s">
        <v>1555</v>
      </c>
      <c r="I2238" s="606" t="s">
        <v>1556</v>
      </c>
      <c r="J2238" s="606" t="s">
        <v>5258</v>
      </c>
    </row>
    <row r="2239" spans="2:10" ht="21" customHeight="1">
      <c r="B2239" s="605" t="s">
        <v>5403</v>
      </c>
      <c r="C2239" s="606" t="s">
        <v>15</v>
      </c>
      <c r="D2239" s="605" t="s">
        <v>689</v>
      </c>
      <c r="E2239" s="606" t="s">
        <v>186</v>
      </c>
      <c r="F2239" s="606" t="s">
        <v>186</v>
      </c>
      <c r="G2239" s="606" t="s">
        <v>1085</v>
      </c>
      <c r="H2239" s="606" t="s">
        <v>5284</v>
      </c>
      <c r="I2239" s="606" t="s">
        <v>1087</v>
      </c>
      <c r="J2239" s="606" t="s">
        <v>1088</v>
      </c>
    </row>
    <row r="2240" spans="2:10" ht="21" customHeight="1">
      <c r="B2240" s="605" t="s">
        <v>5404</v>
      </c>
      <c r="C2240" s="606" t="s">
        <v>15</v>
      </c>
      <c r="D2240" s="605" t="s">
        <v>689</v>
      </c>
      <c r="E2240" s="606" t="s">
        <v>5405</v>
      </c>
      <c r="F2240" s="606" t="s">
        <v>5405</v>
      </c>
      <c r="G2240" s="606" t="s">
        <v>1085</v>
      </c>
      <c r="H2240" s="606" t="s">
        <v>5284</v>
      </c>
      <c r="I2240" s="606" t="s">
        <v>1087</v>
      </c>
      <c r="J2240" s="606" t="s">
        <v>1088</v>
      </c>
    </row>
    <row r="2241" spans="2:10" ht="21" customHeight="1">
      <c r="B2241" s="605" t="s">
        <v>5406</v>
      </c>
      <c r="C2241" s="606" t="s">
        <v>15</v>
      </c>
      <c r="D2241" s="605" t="s">
        <v>689</v>
      </c>
      <c r="E2241" s="606" t="s">
        <v>162</v>
      </c>
      <c r="F2241" s="606" t="s">
        <v>162</v>
      </c>
      <c r="G2241" s="606" t="s">
        <v>1085</v>
      </c>
      <c r="H2241" s="606" t="s">
        <v>5284</v>
      </c>
      <c r="I2241" s="606" t="s">
        <v>1087</v>
      </c>
      <c r="J2241" s="606" t="s">
        <v>1088</v>
      </c>
    </row>
    <row r="2242" spans="2:10" ht="21" customHeight="1">
      <c r="B2242" s="605" t="s">
        <v>5407</v>
      </c>
      <c r="C2242" s="606" t="s">
        <v>15</v>
      </c>
      <c r="D2242" s="605" t="s">
        <v>689</v>
      </c>
      <c r="E2242" s="606" t="s">
        <v>168</v>
      </c>
      <c r="F2242" s="606" t="s">
        <v>168</v>
      </c>
      <c r="G2242" s="606" t="s">
        <v>1085</v>
      </c>
      <c r="H2242" s="606" t="s">
        <v>5284</v>
      </c>
      <c r="I2242" s="606" t="s">
        <v>1087</v>
      </c>
      <c r="J2242" s="606" t="s">
        <v>1088</v>
      </c>
    </row>
    <row r="2243" spans="2:10" ht="21" customHeight="1">
      <c r="B2243" s="605" t="s">
        <v>5408</v>
      </c>
      <c r="C2243" s="606" t="s">
        <v>15</v>
      </c>
      <c r="D2243" s="605" t="s">
        <v>689</v>
      </c>
      <c r="E2243" s="606" t="s">
        <v>5409</v>
      </c>
      <c r="F2243" s="606" t="s">
        <v>5410</v>
      </c>
      <c r="G2243" s="606" t="s">
        <v>1085</v>
      </c>
      <c r="H2243" s="606" t="s">
        <v>5284</v>
      </c>
      <c r="I2243" s="606" t="s">
        <v>1087</v>
      </c>
      <c r="J2243" s="606" t="s">
        <v>1088</v>
      </c>
    </row>
    <row r="2244" spans="2:10" ht="21" customHeight="1">
      <c r="B2244" s="605" t="s">
        <v>5411</v>
      </c>
      <c r="C2244" s="606" t="s">
        <v>15</v>
      </c>
      <c r="D2244" s="605" t="s">
        <v>689</v>
      </c>
      <c r="E2244" s="606" t="s">
        <v>5412</v>
      </c>
      <c r="F2244" s="606" t="s">
        <v>5412</v>
      </c>
      <c r="G2244" s="606" t="s">
        <v>1554</v>
      </c>
      <c r="H2244" s="606" t="s">
        <v>1555</v>
      </c>
      <c r="I2244" s="606" t="s">
        <v>1556</v>
      </c>
      <c r="J2244" s="606" t="s">
        <v>5258</v>
      </c>
    </row>
    <row r="2245" spans="2:10" ht="21" customHeight="1">
      <c r="B2245" s="605" t="s">
        <v>5413</v>
      </c>
      <c r="C2245" s="606" t="s">
        <v>15</v>
      </c>
      <c r="D2245" s="605" t="s">
        <v>689</v>
      </c>
      <c r="E2245" s="606" t="s">
        <v>5414</v>
      </c>
      <c r="F2245" s="606" t="s">
        <v>5414</v>
      </c>
      <c r="G2245" s="606" t="s">
        <v>1554</v>
      </c>
      <c r="H2245" s="606" t="s">
        <v>1555</v>
      </c>
      <c r="I2245" s="606" t="s">
        <v>1556</v>
      </c>
      <c r="J2245" s="606" t="s">
        <v>5258</v>
      </c>
    </row>
    <row r="2246" spans="2:10" ht="21" customHeight="1">
      <c r="B2246" s="605" t="s">
        <v>5415</v>
      </c>
      <c r="C2246" s="606" t="s">
        <v>15</v>
      </c>
      <c r="D2246" s="605" t="s">
        <v>689</v>
      </c>
      <c r="E2246" s="606" t="s">
        <v>5416</v>
      </c>
      <c r="F2246" s="606" t="s">
        <v>5416</v>
      </c>
      <c r="G2246" s="606" t="s">
        <v>1554</v>
      </c>
      <c r="H2246" s="606" t="s">
        <v>1555</v>
      </c>
      <c r="I2246" s="606" t="s">
        <v>1556</v>
      </c>
      <c r="J2246" s="606" t="s">
        <v>5258</v>
      </c>
    </row>
    <row r="2247" spans="2:10" ht="21" customHeight="1">
      <c r="B2247" s="605" t="s">
        <v>5417</v>
      </c>
      <c r="C2247" s="606" t="s">
        <v>15</v>
      </c>
      <c r="D2247" s="605" t="s">
        <v>689</v>
      </c>
      <c r="E2247" s="606" t="s">
        <v>865</v>
      </c>
      <c r="F2247" s="606" t="s">
        <v>865</v>
      </c>
      <c r="G2247" s="606" t="s">
        <v>1085</v>
      </c>
      <c r="H2247" s="606" t="s">
        <v>5284</v>
      </c>
      <c r="I2247" s="606" t="s">
        <v>1087</v>
      </c>
      <c r="J2247" s="606" t="s">
        <v>1088</v>
      </c>
    </row>
    <row r="2248" spans="2:10" ht="21" customHeight="1">
      <c r="B2248" s="605" t="s">
        <v>5418</v>
      </c>
      <c r="C2248" s="606" t="s">
        <v>15</v>
      </c>
      <c r="D2248" s="605" t="s">
        <v>689</v>
      </c>
      <c r="E2248" s="606" t="s">
        <v>5419</v>
      </c>
      <c r="F2248" s="606" t="s">
        <v>5419</v>
      </c>
      <c r="G2248" s="606" t="s">
        <v>1085</v>
      </c>
      <c r="H2248" s="606" t="s">
        <v>5284</v>
      </c>
      <c r="I2248" s="606" t="s">
        <v>1087</v>
      </c>
      <c r="J2248" s="606" t="s">
        <v>1088</v>
      </c>
    </row>
    <row r="2249" spans="2:10" ht="21" customHeight="1">
      <c r="B2249" s="605" t="s">
        <v>5420</v>
      </c>
      <c r="C2249" s="606" t="s">
        <v>15</v>
      </c>
      <c r="D2249" s="605" t="s">
        <v>689</v>
      </c>
      <c r="E2249" s="606" t="s">
        <v>5421</v>
      </c>
      <c r="F2249" s="606" t="s">
        <v>5421</v>
      </c>
      <c r="G2249" s="606" t="s">
        <v>1554</v>
      </c>
      <c r="H2249" s="606" t="s">
        <v>1555</v>
      </c>
      <c r="I2249" s="606" t="s">
        <v>1556</v>
      </c>
      <c r="J2249" s="606" t="s">
        <v>5258</v>
      </c>
    </row>
    <row r="2250" spans="2:10" ht="21" customHeight="1">
      <c r="B2250" s="605" t="s">
        <v>5422</v>
      </c>
      <c r="C2250" s="606" t="s">
        <v>15</v>
      </c>
      <c r="D2250" s="605" t="s">
        <v>689</v>
      </c>
      <c r="E2250" s="606" t="s">
        <v>5423</v>
      </c>
      <c r="F2250" s="606" t="s">
        <v>5423</v>
      </c>
      <c r="G2250" s="606" t="s">
        <v>1554</v>
      </c>
      <c r="H2250" s="606" t="s">
        <v>1555</v>
      </c>
      <c r="I2250" s="606" t="s">
        <v>1556</v>
      </c>
      <c r="J2250" s="606" t="s">
        <v>5258</v>
      </c>
    </row>
    <row r="2251" spans="2:10" ht="21" customHeight="1">
      <c r="B2251" s="605" t="s">
        <v>5424</v>
      </c>
      <c r="C2251" s="606" t="s">
        <v>15</v>
      </c>
      <c r="D2251" s="605" t="s">
        <v>689</v>
      </c>
      <c r="E2251" s="606" t="s">
        <v>5425</v>
      </c>
      <c r="F2251" s="606" t="s">
        <v>5425</v>
      </c>
      <c r="G2251" s="606" t="s">
        <v>1554</v>
      </c>
      <c r="H2251" s="606" t="s">
        <v>1555</v>
      </c>
      <c r="I2251" s="606" t="s">
        <v>1556</v>
      </c>
      <c r="J2251" s="606" t="s">
        <v>5258</v>
      </c>
    </row>
    <row r="2252" spans="2:10" ht="21" customHeight="1">
      <c r="B2252" s="605" t="s">
        <v>5426</v>
      </c>
      <c r="C2252" s="606" t="s">
        <v>15</v>
      </c>
      <c r="D2252" s="605" t="s">
        <v>689</v>
      </c>
      <c r="E2252" s="606" t="s">
        <v>5427</v>
      </c>
      <c r="F2252" s="606" t="s">
        <v>5427</v>
      </c>
      <c r="G2252" s="606" t="s">
        <v>1554</v>
      </c>
      <c r="H2252" s="606" t="s">
        <v>1555</v>
      </c>
      <c r="I2252" s="606" t="s">
        <v>1556</v>
      </c>
      <c r="J2252" s="606" t="s">
        <v>5258</v>
      </c>
    </row>
    <row r="2253" spans="2:10" ht="21" customHeight="1">
      <c r="B2253" s="605" t="s">
        <v>5428</v>
      </c>
      <c r="C2253" s="606" t="s">
        <v>15</v>
      </c>
      <c r="D2253" s="605" t="s">
        <v>689</v>
      </c>
      <c r="E2253" s="606" t="s">
        <v>5429</v>
      </c>
      <c r="F2253" s="606" t="s">
        <v>5429</v>
      </c>
      <c r="G2253" s="606" t="s">
        <v>1554</v>
      </c>
      <c r="H2253" s="606" t="s">
        <v>1555</v>
      </c>
      <c r="I2253" s="606" t="s">
        <v>1556</v>
      </c>
      <c r="J2253" s="606" t="s">
        <v>5258</v>
      </c>
    </row>
    <row r="2254" spans="2:10" ht="21" customHeight="1">
      <c r="B2254" s="605" t="s">
        <v>5430</v>
      </c>
      <c r="C2254" s="606" t="s">
        <v>15</v>
      </c>
      <c r="D2254" s="605" t="s">
        <v>689</v>
      </c>
      <c r="E2254" s="606" t="s">
        <v>5431</v>
      </c>
      <c r="F2254" s="606" t="s">
        <v>78</v>
      </c>
      <c r="G2254" s="606" t="s">
        <v>1085</v>
      </c>
      <c r="H2254" s="606" t="s">
        <v>5284</v>
      </c>
      <c r="I2254" s="606" t="s">
        <v>1087</v>
      </c>
      <c r="J2254" s="606" t="s">
        <v>1088</v>
      </c>
    </row>
    <row r="2255" spans="2:10" ht="21" customHeight="1">
      <c r="B2255" s="605" t="s">
        <v>5432</v>
      </c>
      <c r="C2255" s="606" t="s">
        <v>15</v>
      </c>
      <c r="D2255" s="605" t="s">
        <v>689</v>
      </c>
      <c r="E2255" s="606" t="s">
        <v>5433</v>
      </c>
      <c r="F2255" s="606" t="s">
        <v>5433</v>
      </c>
      <c r="G2255" s="606" t="s">
        <v>1554</v>
      </c>
      <c r="H2255" s="606" t="s">
        <v>1555</v>
      </c>
      <c r="I2255" s="606" t="s">
        <v>1556</v>
      </c>
      <c r="J2255" s="606" t="s">
        <v>5258</v>
      </c>
    </row>
    <row r="2256" spans="2:10" ht="21" customHeight="1">
      <c r="B2256" s="605" t="s">
        <v>5434</v>
      </c>
      <c r="C2256" s="606" t="s">
        <v>15</v>
      </c>
      <c r="D2256" s="605" t="s">
        <v>689</v>
      </c>
      <c r="E2256" s="606" t="s">
        <v>1005</v>
      </c>
      <c r="F2256" s="606" t="s">
        <v>1005</v>
      </c>
      <c r="G2256" s="606" t="s">
        <v>1554</v>
      </c>
      <c r="H2256" s="606" t="s">
        <v>1555</v>
      </c>
      <c r="I2256" s="606" t="s">
        <v>1556</v>
      </c>
      <c r="J2256" s="606" t="s">
        <v>5258</v>
      </c>
    </row>
    <row r="2257" spans="2:10" ht="21" customHeight="1">
      <c r="B2257" s="605" t="s">
        <v>5435</v>
      </c>
      <c r="C2257" s="606" t="s">
        <v>15</v>
      </c>
      <c r="D2257" s="605" t="s">
        <v>689</v>
      </c>
      <c r="E2257" s="606" t="s">
        <v>5436</v>
      </c>
      <c r="F2257" s="606" t="s">
        <v>5436</v>
      </c>
      <c r="G2257" s="606" t="s">
        <v>1554</v>
      </c>
      <c r="H2257" s="606" t="s">
        <v>1555</v>
      </c>
      <c r="I2257" s="606" t="s">
        <v>1556</v>
      </c>
      <c r="J2257" s="606" t="s">
        <v>5258</v>
      </c>
    </row>
    <row r="2258" spans="2:10" ht="21" customHeight="1">
      <c r="B2258" s="605" t="s">
        <v>5437</v>
      </c>
      <c r="C2258" s="606" t="s">
        <v>15</v>
      </c>
      <c r="D2258" s="605" t="s">
        <v>689</v>
      </c>
      <c r="E2258" s="606" t="s">
        <v>5438</v>
      </c>
      <c r="F2258" s="606" t="s">
        <v>5438</v>
      </c>
      <c r="G2258" s="606" t="s">
        <v>1554</v>
      </c>
      <c r="H2258" s="606" t="s">
        <v>1555</v>
      </c>
      <c r="I2258" s="606" t="s">
        <v>1556</v>
      </c>
      <c r="J2258" s="606" t="s">
        <v>5258</v>
      </c>
    </row>
    <row r="2259" spans="2:10" ht="21" customHeight="1">
      <c r="B2259" s="605" t="s">
        <v>5439</v>
      </c>
      <c r="C2259" s="606" t="s">
        <v>15</v>
      </c>
      <c r="D2259" s="605" t="s">
        <v>689</v>
      </c>
      <c r="E2259" s="606" t="s">
        <v>5440</v>
      </c>
      <c r="F2259" s="606" t="s">
        <v>5440</v>
      </c>
      <c r="G2259" s="606" t="s">
        <v>1554</v>
      </c>
      <c r="H2259" s="606" t="s">
        <v>1555</v>
      </c>
      <c r="I2259" s="606" t="s">
        <v>1556</v>
      </c>
      <c r="J2259" s="606" t="s">
        <v>5258</v>
      </c>
    </row>
    <row r="2260" spans="2:10" ht="21" customHeight="1">
      <c r="B2260" s="605" t="s">
        <v>5441</v>
      </c>
      <c r="C2260" s="606" t="s">
        <v>15</v>
      </c>
      <c r="D2260" s="605" t="s">
        <v>689</v>
      </c>
      <c r="E2260" s="606" t="s">
        <v>5442</v>
      </c>
      <c r="F2260" s="606" t="s">
        <v>5442</v>
      </c>
      <c r="G2260" s="606" t="s">
        <v>1554</v>
      </c>
      <c r="H2260" s="606" t="s">
        <v>1555</v>
      </c>
      <c r="I2260" s="606" t="s">
        <v>1556</v>
      </c>
      <c r="J2260" s="606" t="s">
        <v>5258</v>
      </c>
    </row>
    <row r="2261" spans="2:10" ht="21" customHeight="1">
      <c r="B2261" s="605" t="s">
        <v>5443</v>
      </c>
      <c r="C2261" s="606" t="s">
        <v>15</v>
      </c>
      <c r="D2261" s="605" t="s">
        <v>689</v>
      </c>
      <c r="E2261" s="606" t="s">
        <v>1006</v>
      </c>
      <c r="F2261" s="606" t="s">
        <v>1006</v>
      </c>
      <c r="G2261" s="606" t="s">
        <v>1554</v>
      </c>
      <c r="H2261" s="606" t="s">
        <v>1555</v>
      </c>
      <c r="I2261" s="606" t="s">
        <v>1556</v>
      </c>
      <c r="J2261" s="606" t="s">
        <v>5258</v>
      </c>
    </row>
    <row r="2262" spans="2:10" ht="21" customHeight="1">
      <c r="B2262" s="605" t="s">
        <v>5444</v>
      </c>
      <c r="C2262" s="606" t="s">
        <v>15</v>
      </c>
      <c r="D2262" s="605" t="s">
        <v>689</v>
      </c>
      <c r="E2262" s="606" t="s">
        <v>5445</v>
      </c>
      <c r="F2262" s="606" t="s">
        <v>5445</v>
      </c>
      <c r="G2262" s="606" t="s">
        <v>1554</v>
      </c>
      <c r="H2262" s="606" t="s">
        <v>1555</v>
      </c>
      <c r="I2262" s="606" t="s">
        <v>1556</v>
      </c>
      <c r="J2262" s="606" t="s">
        <v>5258</v>
      </c>
    </row>
    <row r="2263" spans="2:10" ht="21" customHeight="1">
      <c r="B2263" s="605" t="s">
        <v>5446</v>
      </c>
      <c r="C2263" s="606" t="s">
        <v>15</v>
      </c>
      <c r="D2263" s="605" t="s">
        <v>689</v>
      </c>
      <c r="E2263" s="606" t="s">
        <v>5447</v>
      </c>
      <c r="F2263" s="606" t="s">
        <v>5447</v>
      </c>
      <c r="G2263" s="606" t="s">
        <v>1554</v>
      </c>
      <c r="H2263" s="606" t="s">
        <v>1555</v>
      </c>
      <c r="I2263" s="606" t="s">
        <v>1556</v>
      </c>
      <c r="J2263" s="606" t="s">
        <v>5258</v>
      </c>
    </row>
    <row r="2264" spans="2:10" ht="21" customHeight="1">
      <c r="B2264" s="605" t="s">
        <v>5448</v>
      </c>
      <c r="C2264" s="606" t="s">
        <v>15</v>
      </c>
      <c r="D2264" s="605" t="s">
        <v>689</v>
      </c>
      <c r="E2264" s="606" t="s">
        <v>5449</v>
      </c>
      <c r="F2264" s="606" t="s">
        <v>5449</v>
      </c>
      <c r="G2264" s="606" t="s">
        <v>1554</v>
      </c>
      <c r="H2264" s="606" t="s">
        <v>1555</v>
      </c>
      <c r="I2264" s="606" t="s">
        <v>1556</v>
      </c>
      <c r="J2264" s="606" t="s">
        <v>5258</v>
      </c>
    </row>
    <row r="2265" spans="2:10" ht="21" customHeight="1">
      <c r="B2265" s="605" t="s">
        <v>5450</v>
      </c>
      <c r="C2265" s="606" t="s">
        <v>15</v>
      </c>
      <c r="D2265" s="605" t="s">
        <v>689</v>
      </c>
      <c r="E2265" s="606" t="s">
        <v>5451</v>
      </c>
      <c r="F2265" s="606" t="s">
        <v>5451</v>
      </c>
      <c r="G2265" s="606" t="s">
        <v>1554</v>
      </c>
      <c r="H2265" s="606" t="s">
        <v>1555</v>
      </c>
      <c r="I2265" s="606" t="s">
        <v>1556</v>
      </c>
      <c r="J2265" s="606" t="s">
        <v>5258</v>
      </c>
    </row>
    <row r="2266" spans="2:10" ht="21" customHeight="1">
      <c r="B2266" s="605" t="s">
        <v>5452</v>
      </c>
      <c r="C2266" s="606" t="s">
        <v>15</v>
      </c>
      <c r="D2266" s="605" t="s">
        <v>689</v>
      </c>
      <c r="E2266" s="606" t="s">
        <v>5453</v>
      </c>
      <c r="F2266" s="606" t="s">
        <v>90</v>
      </c>
      <c r="G2266" s="606" t="s">
        <v>1085</v>
      </c>
      <c r="H2266" s="606" t="s">
        <v>5284</v>
      </c>
      <c r="I2266" s="606" t="s">
        <v>1087</v>
      </c>
      <c r="J2266" s="606" t="s">
        <v>1088</v>
      </c>
    </row>
    <row r="2267" spans="2:10" ht="21" customHeight="1">
      <c r="B2267" s="605" t="s">
        <v>5454</v>
      </c>
      <c r="C2267" s="606" t="s">
        <v>15</v>
      </c>
      <c r="D2267" s="605" t="s">
        <v>689</v>
      </c>
      <c r="E2267" s="606" t="s">
        <v>5455</v>
      </c>
      <c r="F2267" s="606" t="s">
        <v>5455</v>
      </c>
      <c r="G2267" s="606" t="s">
        <v>1554</v>
      </c>
      <c r="H2267" s="606" t="s">
        <v>1555</v>
      </c>
      <c r="I2267" s="606" t="s">
        <v>1556</v>
      </c>
      <c r="J2267" s="606" t="s">
        <v>5258</v>
      </c>
    </row>
    <row r="2268" spans="2:10" ht="21" customHeight="1">
      <c r="B2268" s="605" t="s">
        <v>5456</v>
      </c>
      <c r="C2268" s="606" t="s">
        <v>15</v>
      </c>
      <c r="D2268" s="605" t="s">
        <v>689</v>
      </c>
      <c r="E2268" s="606" t="s">
        <v>5457</v>
      </c>
      <c r="F2268" s="606" t="s">
        <v>5457</v>
      </c>
      <c r="G2268" s="606" t="s">
        <v>1554</v>
      </c>
      <c r="H2268" s="606" t="s">
        <v>1555</v>
      </c>
      <c r="I2268" s="606" t="s">
        <v>1556</v>
      </c>
      <c r="J2268" s="606" t="s">
        <v>5258</v>
      </c>
    </row>
    <row r="2269" spans="2:10" ht="21" customHeight="1">
      <c r="B2269" s="605" t="s">
        <v>5458</v>
      </c>
      <c r="C2269" s="606" t="s">
        <v>15</v>
      </c>
      <c r="D2269" s="605" t="s">
        <v>689</v>
      </c>
      <c r="E2269" s="606" t="s">
        <v>5459</v>
      </c>
      <c r="F2269" s="606" t="s">
        <v>5459</v>
      </c>
      <c r="G2269" s="606" t="s">
        <v>1085</v>
      </c>
      <c r="H2269" s="606" t="s">
        <v>5284</v>
      </c>
      <c r="I2269" s="606" t="s">
        <v>1087</v>
      </c>
      <c r="J2269" s="606" t="s">
        <v>1088</v>
      </c>
    </row>
    <row r="2270" spans="2:10" ht="21" customHeight="1">
      <c r="B2270" s="605" t="s">
        <v>5460</v>
      </c>
      <c r="C2270" s="606" t="s">
        <v>15</v>
      </c>
      <c r="D2270" s="605" t="s">
        <v>689</v>
      </c>
      <c r="E2270" s="606" t="s">
        <v>5461</v>
      </c>
      <c r="F2270" s="606" t="s">
        <v>5461</v>
      </c>
      <c r="G2270" s="606" t="s">
        <v>1554</v>
      </c>
      <c r="H2270" s="606" t="s">
        <v>1555</v>
      </c>
      <c r="I2270" s="606" t="s">
        <v>1556</v>
      </c>
      <c r="J2270" s="606" t="s">
        <v>5258</v>
      </c>
    </row>
    <row r="2271" spans="2:10" ht="21" customHeight="1">
      <c r="B2271" s="605" t="s">
        <v>5462</v>
      </c>
      <c r="C2271" s="606" t="s">
        <v>15</v>
      </c>
      <c r="D2271" s="605" t="s">
        <v>689</v>
      </c>
      <c r="E2271" s="606" t="s">
        <v>5463</v>
      </c>
      <c r="F2271" s="606" t="s">
        <v>5463</v>
      </c>
      <c r="G2271" s="606" t="s">
        <v>1554</v>
      </c>
      <c r="H2271" s="606" t="s">
        <v>1555</v>
      </c>
      <c r="I2271" s="606" t="s">
        <v>1556</v>
      </c>
      <c r="J2271" s="606" t="s">
        <v>5258</v>
      </c>
    </row>
    <row r="2272" spans="2:10" ht="21" customHeight="1">
      <c r="B2272" s="605" t="s">
        <v>5464</v>
      </c>
      <c r="C2272" s="606" t="s">
        <v>15</v>
      </c>
      <c r="D2272" s="605" t="s">
        <v>689</v>
      </c>
      <c r="E2272" s="606" t="s">
        <v>5465</v>
      </c>
      <c r="F2272" s="606" t="s">
        <v>5465</v>
      </c>
      <c r="G2272" s="606" t="s">
        <v>1554</v>
      </c>
      <c r="H2272" s="606" t="s">
        <v>1555</v>
      </c>
      <c r="I2272" s="606" t="s">
        <v>1556</v>
      </c>
      <c r="J2272" s="606" t="s">
        <v>5258</v>
      </c>
    </row>
    <row r="2273" spans="2:10" ht="21" customHeight="1">
      <c r="B2273" s="605" t="s">
        <v>5466</v>
      </c>
      <c r="C2273" s="606" t="s">
        <v>15</v>
      </c>
      <c r="D2273" s="605" t="s">
        <v>689</v>
      </c>
      <c r="E2273" s="606" t="s">
        <v>5467</v>
      </c>
      <c r="F2273" s="606" t="s">
        <v>5467</v>
      </c>
      <c r="G2273" s="606" t="s">
        <v>1554</v>
      </c>
      <c r="H2273" s="606" t="s">
        <v>1555</v>
      </c>
      <c r="I2273" s="606" t="s">
        <v>1556</v>
      </c>
      <c r="J2273" s="606" t="s">
        <v>5258</v>
      </c>
    </row>
    <row r="2274" spans="2:10" ht="21" customHeight="1">
      <c r="B2274" s="605" t="s">
        <v>5468</v>
      </c>
      <c r="C2274" s="606" t="s">
        <v>15</v>
      </c>
      <c r="D2274" s="605" t="s">
        <v>689</v>
      </c>
      <c r="E2274" s="606" t="s">
        <v>5469</v>
      </c>
      <c r="F2274" s="606" t="s">
        <v>5469</v>
      </c>
      <c r="G2274" s="606" t="s">
        <v>1554</v>
      </c>
      <c r="H2274" s="606" t="s">
        <v>1555</v>
      </c>
      <c r="I2274" s="606" t="s">
        <v>1556</v>
      </c>
      <c r="J2274" s="606" t="s">
        <v>5258</v>
      </c>
    </row>
    <row r="2275" spans="2:10" ht="21" customHeight="1">
      <c r="B2275" s="605" t="s">
        <v>5470</v>
      </c>
      <c r="C2275" s="606" t="s">
        <v>15</v>
      </c>
      <c r="D2275" s="605" t="s">
        <v>689</v>
      </c>
      <c r="E2275" s="606" t="s">
        <v>5471</v>
      </c>
      <c r="F2275" s="606" t="s">
        <v>5471</v>
      </c>
      <c r="G2275" s="606" t="s">
        <v>1554</v>
      </c>
      <c r="H2275" s="606" t="s">
        <v>1555</v>
      </c>
      <c r="I2275" s="606" t="s">
        <v>1556</v>
      </c>
      <c r="J2275" s="606" t="s">
        <v>5258</v>
      </c>
    </row>
    <row r="2276" spans="2:10" ht="21" customHeight="1">
      <c r="B2276" s="605" t="s">
        <v>5472</v>
      </c>
      <c r="C2276" s="606" t="s">
        <v>15</v>
      </c>
      <c r="D2276" s="605" t="s">
        <v>689</v>
      </c>
      <c r="E2276" s="606" t="s">
        <v>5473</v>
      </c>
      <c r="F2276" s="606" t="s">
        <v>5473</v>
      </c>
      <c r="G2276" s="606" t="s">
        <v>1554</v>
      </c>
      <c r="H2276" s="606" t="s">
        <v>1555</v>
      </c>
      <c r="I2276" s="606" t="s">
        <v>1556</v>
      </c>
      <c r="J2276" s="606" t="s">
        <v>5258</v>
      </c>
    </row>
    <row r="2277" spans="2:10" ht="21" customHeight="1">
      <c r="B2277" s="605" t="s">
        <v>5474</v>
      </c>
      <c r="C2277" s="606" t="s">
        <v>15</v>
      </c>
      <c r="D2277" s="605" t="s">
        <v>689</v>
      </c>
      <c r="E2277" s="606" t="s">
        <v>5475</v>
      </c>
      <c r="F2277" s="606" t="s">
        <v>5475</v>
      </c>
      <c r="G2277" s="606" t="s">
        <v>1554</v>
      </c>
      <c r="H2277" s="606" t="s">
        <v>1555</v>
      </c>
      <c r="I2277" s="606" t="s">
        <v>1556</v>
      </c>
      <c r="J2277" s="606" t="s">
        <v>5258</v>
      </c>
    </row>
    <row r="2278" spans="2:10" ht="21" customHeight="1">
      <c r="B2278" s="605" t="s">
        <v>5476</v>
      </c>
      <c r="C2278" s="606" t="s">
        <v>15</v>
      </c>
      <c r="D2278" s="605" t="s">
        <v>689</v>
      </c>
      <c r="E2278" s="606" t="s">
        <v>5477</v>
      </c>
      <c r="F2278" s="606" t="s">
        <v>5477</v>
      </c>
      <c r="G2278" s="606" t="s">
        <v>1554</v>
      </c>
      <c r="H2278" s="606" t="s">
        <v>1555</v>
      </c>
      <c r="I2278" s="606" t="s">
        <v>1556</v>
      </c>
      <c r="J2278" s="606" t="s">
        <v>5258</v>
      </c>
    </row>
    <row r="2279" spans="2:10" ht="21" customHeight="1">
      <c r="B2279" s="605" t="s">
        <v>5478</v>
      </c>
      <c r="C2279" s="606" t="s">
        <v>15</v>
      </c>
      <c r="D2279" s="605" t="s">
        <v>689</v>
      </c>
      <c r="E2279" s="606" t="s">
        <v>5479</v>
      </c>
      <c r="F2279" s="606" t="s">
        <v>5479</v>
      </c>
      <c r="G2279" s="606" t="s">
        <v>1554</v>
      </c>
      <c r="H2279" s="606" t="s">
        <v>1555</v>
      </c>
      <c r="I2279" s="606" t="s">
        <v>1556</v>
      </c>
      <c r="J2279" s="606" t="s">
        <v>5258</v>
      </c>
    </row>
    <row r="2280" spans="2:10" ht="21" customHeight="1">
      <c r="B2280" s="605" t="s">
        <v>5480</v>
      </c>
      <c r="C2280" s="606" t="s">
        <v>15</v>
      </c>
      <c r="D2280" s="605" t="s">
        <v>689</v>
      </c>
      <c r="E2280" s="606" t="s">
        <v>5481</v>
      </c>
      <c r="F2280" s="606" t="s">
        <v>5481</v>
      </c>
      <c r="G2280" s="606" t="s">
        <v>1554</v>
      </c>
      <c r="H2280" s="606" t="s">
        <v>1555</v>
      </c>
      <c r="I2280" s="606" t="s">
        <v>1556</v>
      </c>
      <c r="J2280" s="606" t="s">
        <v>5258</v>
      </c>
    </row>
    <row r="2281" spans="2:10" ht="21" customHeight="1">
      <c r="B2281" s="605" t="s">
        <v>5482</v>
      </c>
      <c r="C2281" s="606" t="s">
        <v>15</v>
      </c>
      <c r="D2281" s="605" t="s">
        <v>689</v>
      </c>
      <c r="E2281" s="606" t="s">
        <v>5483</v>
      </c>
      <c r="F2281" s="606" t="s">
        <v>5483</v>
      </c>
      <c r="G2281" s="606" t="s">
        <v>1554</v>
      </c>
      <c r="H2281" s="606" t="s">
        <v>1555</v>
      </c>
      <c r="I2281" s="606" t="s">
        <v>1556</v>
      </c>
      <c r="J2281" s="606" t="s">
        <v>5258</v>
      </c>
    </row>
    <row r="2282" spans="2:10" ht="21" customHeight="1">
      <c r="B2282" s="605" t="s">
        <v>5484</v>
      </c>
      <c r="C2282" s="606" t="s">
        <v>15</v>
      </c>
      <c r="D2282" s="605" t="s">
        <v>689</v>
      </c>
      <c r="E2282" s="606" t="s">
        <v>5485</v>
      </c>
      <c r="F2282" s="606" t="s">
        <v>5485</v>
      </c>
      <c r="G2282" s="606" t="s">
        <v>1554</v>
      </c>
      <c r="H2282" s="606" t="s">
        <v>1555</v>
      </c>
      <c r="I2282" s="606" t="s">
        <v>1556</v>
      </c>
      <c r="J2282" s="606" t="s">
        <v>5258</v>
      </c>
    </row>
    <row r="2283" spans="2:10" ht="21" customHeight="1">
      <c r="B2283" s="605" t="s">
        <v>5486</v>
      </c>
      <c r="C2283" s="606" t="s">
        <v>15</v>
      </c>
      <c r="D2283" s="605" t="s">
        <v>689</v>
      </c>
      <c r="E2283" s="606" t="s">
        <v>5487</v>
      </c>
      <c r="F2283" s="606" t="s">
        <v>5487</v>
      </c>
      <c r="G2283" s="606" t="s">
        <v>1151</v>
      </c>
      <c r="H2283" s="606" t="s">
        <v>1152</v>
      </c>
      <c r="I2283" s="606" t="s">
        <v>1087</v>
      </c>
      <c r="J2283" s="606" t="s">
        <v>1153</v>
      </c>
    </row>
    <row r="2284" spans="2:10" ht="21" customHeight="1">
      <c r="B2284" s="605" t="s">
        <v>5488</v>
      </c>
      <c r="C2284" s="606" t="s">
        <v>15</v>
      </c>
      <c r="D2284" s="605" t="s">
        <v>689</v>
      </c>
      <c r="E2284" s="606" t="s">
        <v>5489</v>
      </c>
      <c r="F2284" s="606" t="s">
        <v>5489</v>
      </c>
      <c r="G2284" s="606" t="s">
        <v>1151</v>
      </c>
      <c r="H2284" s="606" t="s">
        <v>1152</v>
      </c>
      <c r="I2284" s="606" t="s">
        <v>1087</v>
      </c>
      <c r="J2284" s="606" t="s">
        <v>1153</v>
      </c>
    </row>
    <row r="2285" spans="2:10" ht="21" customHeight="1">
      <c r="B2285" s="605" t="s">
        <v>5490</v>
      </c>
      <c r="C2285" s="606" t="s">
        <v>15</v>
      </c>
      <c r="D2285" s="605" t="s">
        <v>689</v>
      </c>
      <c r="E2285" s="606" t="s">
        <v>27</v>
      </c>
      <c r="F2285" s="606" t="s">
        <v>27</v>
      </c>
      <c r="G2285" s="606" t="s">
        <v>1085</v>
      </c>
      <c r="H2285" s="606" t="s">
        <v>5284</v>
      </c>
      <c r="I2285" s="606" t="s">
        <v>1087</v>
      </c>
      <c r="J2285" s="606" t="s">
        <v>1088</v>
      </c>
    </row>
    <row r="2286" spans="2:10" ht="21" customHeight="1">
      <c r="B2286" s="605" t="s">
        <v>5491</v>
      </c>
      <c r="C2286" s="606" t="s">
        <v>15</v>
      </c>
      <c r="D2286" s="605" t="s">
        <v>689</v>
      </c>
      <c r="E2286" s="606" t="s">
        <v>6</v>
      </c>
      <c r="F2286" s="606" t="s">
        <v>6</v>
      </c>
      <c r="G2286" s="606" t="s">
        <v>1085</v>
      </c>
      <c r="H2286" s="606" t="s">
        <v>5284</v>
      </c>
      <c r="I2286" s="606" t="s">
        <v>1087</v>
      </c>
      <c r="J2286" s="606" t="s">
        <v>1088</v>
      </c>
    </row>
    <row r="2287" spans="2:10" ht="21" customHeight="1">
      <c r="B2287" s="605" t="s">
        <v>5492</v>
      </c>
      <c r="C2287" s="606" t="s">
        <v>15</v>
      </c>
      <c r="D2287" s="605" t="s">
        <v>689</v>
      </c>
      <c r="E2287" s="606" t="s">
        <v>5493</v>
      </c>
      <c r="F2287" s="606" t="s">
        <v>5493</v>
      </c>
      <c r="G2287" s="606" t="s">
        <v>1554</v>
      </c>
      <c r="H2287" s="606" t="s">
        <v>1555</v>
      </c>
      <c r="I2287" s="606" t="s">
        <v>1556</v>
      </c>
      <c r="J2287" s="606" t="s">
        <v>5258</v>
      </c>
    </row>
    <row r="2288" spans="2:10" ht="21" customHeight="1">
      <c r="B2288" s="605" t="s">
        <v>5494</v>
      </c>
      <c r="C2288" s="606" t="s">
        <v>15</v>
      </c>
      <c r="D2288" s="605" t="s">
        <v>689</v>
      </c>
      <c r="E2288" s="606" t="s">
        <v>52</v>
      </c>
      <c r="F2288" s="606" t="s">
        <v>52</v>
      </c>
      <c r="G2288" s="606" t="s">
        <v>1554</v>
      </c>
      <c r="H2288" s="606" t="s">
        <v>1555</v>
      </c>
      <c r="I2288" s="606" t="s">
        <v>1556</v>
      </c>
      <c r="J2288" s="606" t="s">
        <v>5258</v>
      </c>
    </row>
    <row r="2289" spans="2:10" ht="21" customHeight="1">
      <c r="B2289" s="605" t="s">
        <v>5495</v>
      </c>
      <c r="C2289" s="606" t="s">
        <v>15</v>
      </c>
      <c r="D2289" s="605" t="s">
        <v>689</v>
      </c>
      <c r="E2289" s="606" t="s">
        <v>5496</v>
      </c>
      <c r="F2289" s="606" t="s">
        <v>5496</v>
      </c>
      <c r="G2289" s="606" t="s">
        <v>1554</v>
      </c>
      <c r="H2289" s="606" t="s">
        <v>1555</v>
      </c>
      <c r="I2289" s="606" t="s">
        <v>1556</v>
      </c>
      <c r="J2289" s="606" t="s">
        <v>5258</v>
      </c>
    </row>
    <row r="2290" spans="2:10" ht="21" customHeight="1">
      <c r="B2290" s="605" t="s">
        <v>5497</v>
      </c>
      <c r="C2290" s="606" t="s">
        <v>15</v>
      </c>
      <c r="D2290" s="605" t="s">
        <v>689</v>
      </c>
      <c r="E2290" s="606" t="s">
        <v>5498</v>
      </c>
      <c r="F2290" s="606" t="s">
        <v>5498</v>
      </c>
      <c r="G2290" s="606" t="s">
        <v>1554</v>
      </c>
      <c r="H2290" s="606" t="s">
        <v>1555</v>
      </c>
      <c r="I2290" s="606" t="s">
        <v>1556</v>
      </c>
      <c r="J2290" s="606" t="s">
        <v>5258</v>
      </c>
    </row>
    <row r="2291" spans="2:10" ht="21" customHeight="1">
      <c r="B2291" s="605" t="s">
        <v>5499</v>
      </c>
      <c r="C2291" s="606" t="s">
        <v>15</v>
      </c>
      <c r="D2291" s="605" t="s">
        <v>689</v>
      </c>
      <c r="E2291" s="606" t="s">
        <v>5500</v>
      </c>
      <c r="F2291" s="606" t="s">
        <v>5500</v>
      </c>
      <c r="G2291" s="606" t="s">
        <v>1554</v>
      </c>
      <c r="H2291" s="606" t="s">
        <v>1555</v>
      </c>
      <c r="I2291" s="606" t="s">
        <v>1556</v>
      </c>
      <c r="J2291" s="606" t="s">
        <v>5258</v>
      </c>
    </row>
    <row r="2292" spans="2:10" ht="21" customHeight="1">
      <c r="B2292" s="605" t="s">
        <v>5501</v>
      </c>
      <c r="C2292" s="606" t="s">
        <v>15</v>
      </c>
      <c r="D2292" s="605" t="s">
        <v>689</v>
      </c>
      <c r="E2292" s="606" t="s">
        <v>5502</v>
      </c>
      <c r="F2292" s="606" t="s">
        <v>5502</v>
      </c>
      <c r="G2292" s="606" t="s">
        <v>1554</v>
      </c>
      <c r="H2292" s="606" t="s">
        <v>1555</v>
      </c>
      <c r="I2292" s="606" t="s">
        <v>1556</v>
      </c>
      <c r="J2292" s="606" t="s">
        <v>5258</v>
      </c>
    </row>
    <row r="2293" spans="2:10" ht="21" customHeight="1">
      <c r="B2293" s="605" t="s">
        <v>5503</v>
      </c>
      <c r="C2293" s="606" t="s">
        <v>15</v>
      </c>
      <c r="D2293" s="605" t="s">
        <v>689</v>
      </c>
      <c r="E2293" s="606" t="s">
        <v>5504</v>
      </c>
      <c r="F2293" s="606" t="s">
        <v>5504</v>
      </c>
      <c r="G2293" s="606" t="s">
        <v>1554</v>
      </c>
      <c r="H2293" s="606" t="s">
        <v>1555</v>
      </c>
      <c r="I2293" s="606" t="s">
        <v>1556</v>
      </c>
      <c r="J2293" s="606" t="s">
        <v>5258</v>
      </c>
    </row>
    <row r="2294" spans="2:10" ht="21" customHeight="1">
      <c r="B2294" s="605" t="s">
        <v>5505</v>
      </c>
      <c r="C2294" s="606" t="s">
        <v>15</v>
      </c>
      <c r="D2294" s="605" t="s">
        <v>689</v>
      </c>
      <c r="E2294" s="606" t="s">
        <v>5506</v>
      </c>
      <c r="F2294" s="606" t="s">
        <v>5506</v>
      </c>
      <c r="G2294" s="606" t="s">
        <v>1554</v>
      </c>
      <c r="H2294" s="606" t="s">
        <v>1555</v>
      </c>
      <c r="I2294" s="606" t="s">
        <v>1556</v>
      </c>
      <c r="J2294" s="606" t="s">
        <v>5258</v>
      </c>
    </row>
    <row r="2295" spans="2:10" ht="21" customHeight="1">
      <c r="B2295" s="605" t="s">
        <v>5507</v>
      </c>
      <c r="C2295" s="606" t="s">
        <v>15</v>
      </c>
      <c r="D2295" s="605" t="s">
        <v>689</v>
      </c>
      <c r="E2295" s="606" t="s">
        <v>5508</v>
      </c>
      <c r="F2295" s="606" t="s">
        <v>5508</v>
      </c>
      <c r="G2295" s="606" t="s">
        <v>1554</v>
      </c>
      <c r="H2295" s="606" t="s">
        <v>1555</v>
      </c>
      <c r="I2295" s="606" t="s">
        <v>1556</v>
      </c>
      <c r="J2295" s="606" t="s">
        <v>5258</v>
      </c>
    </row>
    <row r="2296" spans="2:10" ht="21" customHeight="1">
      <c r="B2296" s="605" t="s">
        <v>5509</v>
      </c>
      <c r="C2296" s="606" t="s">
        <v>15</v>
      </c>
      <c r="D2296" s="605" t="s">
        <v>689</v>
      </c>
      <c r="E2296" s="606" t="s">
        <v>5510</v>
      </c>
      <c r="F2296" s="606" t="s">
        <v>5510</v>
      </c>
      <c r="G2296" s="606" t="s">
        <v>1554</v>
      </c>
      <c r="H2296" s="606" t="s">
        <v>1555</v>
      </c>
      <c r="I2296" s="606" t="s">
        <v>1556</v>
      </c>
      <c r="J2296" s="606" t="s">
        <v>5258</v>
      </c>
    </row>
    <row r="2297" spans="2:10" ht="21" customHeight="1">
      <c r="B2297" s="605" t="s">
        <v>5511</v>
      </c>
      <c r="C2297" s="606" t="s">
        <v>15</v>
      </c>
      <c r="D2297" s="605" t="s">
        <v>689</v>
      </c>
      <c r="E2297" s="606" t="s">
        <v>5512</v>
      </c>
      <c r="F2297" s="606" t="s">
        <v>5512</v>
      </c>
      <c r="G2297" s="606" t="s">
        <v>1554</v>
      </c>
      <c r="H2297" s="606" t="s">
        <v>1555</v>
      </c>
      <c r="I2297" s="606" t="s">
        <v>1556</v>
      </c>
      <c r="J2297" s="606" t="s">
        <v>5258</v>
      </c>
    </row>
    <row r="2298" spans="2:10" ht="21" customHeight="1">
      <c r="B2298" s="605" t="s">
        <v>5513</v>
      </c>
      <c r="C2298" s="606" t="s">
        <v>15</v>
      </c>
      <c r="D2298" s="605" t="s">
        <v>689</v>
      </c>
      <c r="E2298" s="606" t="s">
        <v>65</v>
      </c>
      <c r="F2298" s="606" t="s">
        <v>65</v>
      </c>
      <c r="G2298" s="606" t="s">
        <v>1085</v>
      </c>
      <c r="H2298" s="606" t="s">
        <v>5284</v>
      </c>
      <c r="I2298" s="606" t="s">
        <v>1087</v>
      </c>
      <c r="J2298" s="606" t="s">
        <v>1088</v>
      </c>
    </row>
    <row r="2299" spans="2:10" ht="21" customHeight="1">
      <c r="B2299" s="605" t="s">
        <v>5514</v>
      </c>
      <c r="C2299" s="606" t="s">
        <v>15</v>
      </c>
      <c r="D2299" s="605" t="s">
        <v>689</v>
      </c>
      <c r="E2299" s="606" t="s">
        <v>5515</v>
      </c>
      <c r="F2299" s="606" t="s">
        <v>5515</v>
      </c>
      <c r="G2299" s="606" t="s">
        <v>1554</v>
      </c>
      <c r="H2299" s="606" t="s">
        <v>1555</v>
      </c>
      <c r="I2299" s="606" t="s">
        <v>1556</v>
      </c>
      <c r="J2299" s="606" t="s">
        <v>5258</v>
      </c>
    </row>
    <row r="2300" spans="2:10" ht="21" customHeight="1">
      <c r="B2300" s="605" t="s">
        <v>5516</v>
      </c>
      <c r="C2300" s="606" t="s">
        <v>15</v>
      </c>
      <c r="D2300" s="605" t="s">
        <v>689</v>
      </c>
      <c r="E2300" s="606" t="s">
        <v>5517</v>
      </c>
      <c r="F2300" s="606" t="s">
        <v>5517</v>
      </c>
      <c r="G2300" s="606" t="s">
        <v>1151</v>
      </c>
      <c r="H2300" s="606" t="s">
        <v>1152</v>
      </c>
      <c r="I2300" s="606" t="s">
        <v>1087</v>
      </c>
      <c r="J2300" s="606" t="s">
        <v>1153</v>
      </c>
    </row>
    <row r="2301" spans="2:10" ht="21" customHeight="1">
      <c r="B2301" s="605" t="s">
        <v>5518</v>
      </c>
      <c r="C2301" s="606" t="s">
        <v>15</v>
      </c>
      <c r="D2301" s="605" t="s">
        <v>689</v>
      </c>
      <c r="E2301" s="606" t="s">
        <v>336</v>
      </c>
      <c r="F2301" s="606" t="s">
        <v>336</v>
      </c>
      <c r="G2301" s="606" t="s">
        <v>1151</v>
      </c>
      <c r="H2301" s="606" t="s">
        <v>1152</v>
      </c>
      <c r="I2301" s="606" t="s">
        <v>1087</v>
      </c>
      <c r="J2301" s="606" t="s">
        <v>1153</v>
      </c>
    </row>
    <row r="2302" spans="2:10" ht="21" customHeight="1">
      <c r="B2302" s="605" t="s">
        <v>5519</v>
      </c>
      <c r="C2302" s="606" t="s">
        <v>15</v>
      </c>
      <c r="D2302" s="605" t="s">
        <v>689</v>
      </c>
      <c r="E2302" s="606" t="s">
        <v>5520</v>
      </c>
      <c r="F2302" s="606" t="s">
        <v>5520</v>
      </c>
      <c r="G2302" s="606" t="s">
        <v>1554</v>
      </c>
      <c r="H2302" s="606" t="s">
        <v>1555</v>
      </c>
      <c r="I2302" s="606" t="s">
        <v>1556</v>
      </c>
      <c r="J2302" s="606" t="s">
        <v>5258</v>
      </c>
    </row>
    <row r="2303" spans="2:10" ht="21" customHeight="1">
      <c r="B2303" s="605" t="s">
        <v>5521</v>
      </c>
      <c r="C2303" s="606" t="s">
        <v>15</v>
      </c>
      <c r="D2303" s="605" t="s">
        <v>689</v>
      </c>
      <c r="E2303" s="606" t="s">
        <v>5522</v>
      </c>
      <c r="F2303" s="606" t="s">
        <v>5522</v>
      </c>
      <c r="G2303" s="606" t="s">
        <v>1554</v>
      </c>
      <c r="H2303" s="606" t="s">
        <v>1555</v>
      </c>
      <c r="I2303" s="606" t="s">
        <v>1556</v>
      </c>
      <c r="J2303" s="606" t="s">
        <v>5258</v>
      </c>
    </row>
    <row r="2304" spans="2:10" ht="21" customHeight="1">
      <c r="B2304" s="605" t="s">
        <v>5523</v>
      </c>
      <c r="C2304" s="606" t="s">
        <v>15</v>
      </c>
      <c r="D2304" s="605" t="s">
        <v>689</v>
      </c>
      <c r="E2304" s="606" t="s">
        <v>5524</v>
      </c>
      <c r="F2304" s="606" t="s">
        <v>5524</v>
      </c>
      <c r="G2304" s="606" t="s">
        <v>1554</v>
      </c>
      <c r="H2304" s="606" t="s">
        <v>1555</v>
      </c>
      <c r="I2304" s="606" t="s">
        <v>1556</v>
      </c>
      <c r="J2304" s="606" t="s">
        <v>5258</v>
      </c>
    </row>
    <row r="2305" spans="2:10" ht="21" customHeight="1">
      <c r="B2305" s="605" t="s">
        <v>5525</v>
      </c>
      <c r="C2305" s="606" t="s">
        <v>15</v>
      </c>
      <c r="D2305" s="605" t="s">
        <v>689</v>
      </c>
      <c r="E2305" s="606" t="s">
        <v>5526</v>
      </c>
      <c r="F2305" s="606" t="s">
        <v>5526</v>
      </c>
      <c r="G2305" s="606" t="s">
        <v>1554</v>
      </c>
      <c r="H2305" s="606" t="s">
        <v>1555</v>
      </c>
      <c r="I2305" s="606" t="s">
        <v>1556</v>
      </c>
      <c r="J2305" s="606" t="s">
        <v>5258</v>
      </c>
    </row>
    <row r="2306" spans="2:10" ht="21" customHeight="1">
      <c r="B2306" s="605" t="s">
        <v>5527</v>
      </c>
      <c r="C2306" s="606" t="s">
        <v>15</v>
      </c>
      <c r="D2306" s="605" t="s">
        <v>689</v>
      </c>
      <c r="E2306" s="606" t="s">
        <v>5528</v>
      </c>
      <c r="F2306" s="606" t="s">
        <v>5528</v>
      </c>
      <c r="G2306" s="606" t="s">
        <v>1554</v>
      </c>
      <c r="H2306" s="606" t="s">
        <v>1555</v>
      </c>
      <c r="I2306" s="606" t="s">
        <v>1556</v>
      </c>
      <c r="J2306" s="606" t="s">
        <v>5258</v>
      </c>
    </row>
    <row r="2307" spans="2:10" ht="21" customHeight="1">
      <c r="B2307" s="605" t="s">
        <v>5529</v>
      </c>
      <c r="C2307" s="606" t="s">
        <v>15</v>
      </c>
      <c r="D2307" s="605" t="s">
        <v>689</v>
      </c>
      <c r="E2307" s="606" t="s">
        <v>28</v>
      </c>
      <c r="F2307" s="606" t="s">
        <v>28</v>
      </c>
      <c r="G2307" s="606" t="s">
        <v>1085</v>
      </c>
      <c r="H2307" s="606" t="s">
        <v>5284</v>
      </c>
      <c r="I2307" s="606" t="s">
        <v>1087</v>
      </c>
      <c r="J2307" s="606" t="s">
        <v>1088</v>
      </c>
    </row>
    <row r="2308" spans="2:10" ht="21" customHeight="1">
      <c r="B2308" s="605" t="s">
        <v>5530</v>
      </c>
      <c r="C2308" s="606" t="s">
        <v>15</v>
      </c>
      <c r="D2308" s="605" t="s">
        <v>689</v>
      </c>
      <c r="E2308" s="606" t="s">
        <v>39</v>
      </c>
      <c r="F2308" s="606" t="s">
        <v>39</v>
      </c>
      <c r="G2308" s="606" t="s">
        <v>1085</v>
      </c>
      <c r="H2308" s="606" t="s">
        <v>5284</v>
      </c>
      <c r="I2308" s="606" t="s">
        <v>1087</v>
      </c>
      <c r="J2308" s="606" t="s">
        <v>1088</v>
      </c>
    </row>
    <row r="2309" spans="2:10" ht="21" customHeight="1">
      <c r="B2309" s="605" t="s">
        <v>5531</v>
      </c>
      <c r="C2309" s="606" t="s">
        <v>15</v>
      </c>
      <c r="D2309" s="605" t="s">
        <v>689</v>
      </c>
      <c r="E2309" s="606" t="s">
        <v>201</v>
      </c>
      <c r="F2309" s="606" t="s">
        <v>201</v>
      </c>
      <c r="G2309" s="606" t="s">
        <v>1085</v>
      </c>
      <c r="H2309" s="606" t="s">
        <v>5284</v>
      </c>
      <c r="I2309" s="606" t="s">
        <v>1087</v>
      </c>
      <c r="J2309" s="606" t="s">
        <v>1088</v>
      </c>
    </row>
    <row r="2310" spans="2:10" ht="21" customHeight="1">
      <c r="B2310" s="605" t="s">
        <v>5532</v>
      </c>
      <c r="C2310" s="606" t="s">
        <v>15</v>
      </c>
      <c r="D2310" s="605" t="s">
        <v>689</v>
      </c>
      <c r="E2310" s="606" t="s">
        <v>5533</v>
      </c>
      <c r="F2310" s="606" t="s">
        <v>5533</v>
      </c>
      <c r="G2310" s="606" t="s">
        <v>1554</v>
      </c>
      <c r="H2310" s="606" t="s">
        <v>1555</v>
      </c>
      <c r="I2310" s="606" t="s">
        <v>1556</v>
      </c>
      <c r="J2310" s="606" t="s">
        <v>5258</v>
      </c>
    </row>
    <row r="2311" spans="2:10" ht="21" customHeight="1">
      <c r="B2311" s="605" t="s">
        <v>5534</v>
      </c>
      <c r="C2311" s="606" t="s">
        <v>15</v>
      </c>
      <c r="D2311" s="605" t="s">
        <v>689</v>
      </c>
      <c r="E2311" s="606" t="s">
        <v>1007</v>
      </c>
      <c r="F2311" s="606" t="s">
        <v>1007</v>
      </c>
      <c r="G2311" s="606" t="s">
        <v>1554</v>
      </c>
      <c r="H2311" s="606" t="s">
        <v>1555</v>
      </c>
      <c r="I2311" s="606" t="s">
        <v>1556</v>
      </c>
      <c r="J2311" s="606" t="s">
        <v>5258</v>
      </c>
    </row>
    <row r="2312" spans="2:10" ht="21" customHeight="1">
      <c r="B2312" s="605" t="s">
        <v>5535</v>
      </c>
      <c r="C2312" s="606" t="s">
        <v>15</v>
      </c>
      <c r="D2312" s="605" t="s">
        <v>689</v>
      </c>
      <c r="E2312" s="606" t="s">
        <v>5536</v>
      </c>
      <c r="F2312" s="606" t="s">
        <v>5536</v>
      </c>
      <c r="G2312" s="606" t="s">
        <v>1554</v>
      </c>
      <c r="H2312" s="606" t="s">
        <v>1555</v>
      </c>
      <c r="I2312" s="606" t="s">
        <v>1556</v>
      </c>
      <c r="J2312" s="606" t="s">
        <v>5258</v>
      </c>
    </row>
    <row r="2313" spans="2:10" ht="21" customHeight="1">
      <c r="B2313" s="605" t="s">
        <v>5537</v>
      </c>
      <c r="C2313" s="606" t="s">
        <v>15</v>
      </c>
      <c r="D2313" s="605" t="s">
        <v>689</v>
      </c>
      <c r="E2313" s="606" t="s">
        <v>5538</v>
      </c>
      <c r="F2313" s="606" t="s">
        <v>5538</v>
      </c>
      <c r="G2313" s="606" t="s">
        <v>1554</v>
      </c>
      <c r="H2313" s="606" t="s">
        <v>1555</v>
      </c>
      <c r="I2313" s="606" t="s">
        <v>1556</v>
      </c>
      <c r="J2313" s="606" t="s">
        <v>5258</v>
      </c>
    </row>
    <row r="2314" spans="2:10" ht="21" customHeight="1">
      <c r="B2314" s="605" t="s">
        <v>5539</v>
      </c>
      <c r="C2314" s="606" t="s">
        <v>15</v>
      </c>
      <c r="D2314" s="605" t="s">
        <v>689</v>
      </c>
      <c r="E2314" s="606" t="s">
        <v>5540</v>
      </c>
      <c r="F2314" s="606" t="s">
        <v>5540</v>
      </c>
      <c r="G2314" s="606" t="s">
        <v>1554</v>
      </c>
      <c r="H2314" s="606" t="s">
        <v>1555</v>
      </c>
      <c r="I2314" s="606" t="s">
        <v>1556</v>
      </c>
      <c r="J2314" s="606" t="s">
        <v>5258</v>
      </c>
    </row>
    <row r="2315" spans="2:10" ht="21" customHeight="1">
      <c r="B2315" s="605" t="s">
        <v>5541</v>
      </c>
      <c r="C2315" s="606" t="s">
        <v>15</v>
      </c>
      <c r="D2315" s="605" t="s">
        <v>689</v>
      </c>
      <c r="E2315" s="606" t="s">
        <v>5542</v>
      </c>
      <c r="F2315" s="606" t="s">
        <v>5542</v>
      </c>
      <c r="G2315" s="606" t="s">
        <v>1085</v>
      </c>
      <c r="H2315" s="606" t="s">
        <v>5284</v>
      </c>
      <c r="I2315" s="606" t="s">
        <v>1087</v>
      </c>
      <c r="J2315" s="606" t="s">
        <v>1088</v>
      </c>
    </row>
    <row r="2316" spans="2:10" ht="21" customHeight="1">
      <c r="B2316" s="605" t="s">
        <v>5543</v>
      </c>
      <c r="C2316" s="606" t="s">
        <v>15</v>
      </c>
      <c r="D2316" s="605" t="s">
        <v>689</v>
      </c>
      <c r="E2316" s="606" t="s">
        <v>5544</v>
      </c>
      <c r="F2316" s="606" t="s">
        <v>5544</v>
      </c>
      <c r="G2316" s="606" t="s">
        <v>1554</v>
      </c>
      <c r="H2316" s="606" t="s">
        <v>1555</v>
      </c>
      <c r="I2316" s="606" t="s">
        <v>1556</v>
      </c>
      <c r="J2316" s="606" t="s">
        <v>5258</v>
      </c>
    </row>
    <row r="2317" spans="2:10" ht="21" customHeight="1">
      <c r="B2317" s="605" t="s">
        <v>5545</v>
      </c>
      <c r="C2317" s="606" t="s">
        <v>15</v>
      </c>
      <c r="D2317" s="605" t="s">
        <v>689</v>
      </c>
      <c r="E2317" s="606" t="s">
        <v>5546</v>
      </c>
      <c r="F2317" s="606" t="s">
        <v>5546</v>
      </c>
      <c r="G2317" s="606" t="s">
        <v>1554</v>
      </c>
      <c r="H2317" s="606" t="s">
        <v>1555</v>
      </c>
      <c r="I2317" s="606" t="s">
        <v>1556</v>
      </c>
      <c r="J2317" s="606" t="s">
        <v>5258</v>
      </c>
    </row>
    <row r="2318" spans="2:10" ht="21" customHeight="1">
      <c r="B2318" s="605" t="s">
        <v>5547</v>
      </c>
      <c r="C2318" s="606" t="s">
        <v>15</v>
      </c>
      <c r="D2318" s="605" t="s">
        <v>689</v>
      </c>
      <c r="E2318" s="606" t="s">
        <v>337</v>
      </c>
      <c r="F2318" s="606" t="s">
        <v>337</v>
      </c>
      <c r="G2318" s="606" t="s">
        <v>1151</v>
      </c>
      <c r="H2318" s="606" t="s">
        <v>1152</v>
      </c>
      <c r="I2318" s="606" t="s">
        <v>1087</v>
      </c>
      <c r="J2318" s="606" t="s">
        <v>1153</v>
      </c>
    </row>
    <row r="2319" spans="2:10" ht="21" customHeight="1">
      <c r="B2319" s="605" t="s">
        <v>5548</v>
      </c>
      <c r="C2319" s="606" t="s">
        <v>15</v>
      </c>
      <c r="D2319" s="605" t="s">
        <v>689</v>
      </c>
      <c r="E2319" s="606" t="s">
        <v>338</v>
      </c>
      <c r="F2319" s="606" t="s">
        <v>338</v>
      </c>
      <c r="G2319" s="606" t="s">
        <v>1151</v>
      </c>
      <c r="H2319" s="606" t="s">
        <v>1152</v>
      </c>
      <c r="I2319" s="606" t="s">
        <v>1087</v>
      </c>
      <c r="J2319" s="606" t="s">
        <v>1153</v>
      </c>
    </row>
    <row r="2320" spans="2:10" ht="21" customHeight="1">
      <c r="B2320" s="605" t="s">
        <v>5549</v>
      </c>
      <c r="C2320" s="606" t="s">
        <v>15</v>
      </c>
      <c r="D2320" s="605" t="s">
        <v>689</v>
      </c>
      <c r="E2320" s="606" t="s">
        <v>103</v>
      </c>
      <c r="F2320" s="606" t="s">
        <v>103</v>
      </c>
      <c r="G2320" s="606" t="s">
        <v>1554</v>
      </c>
      <c r="H2320" s="606" t="s">
        <v>1555</v>
      </c>
      <c r="I2320" s="606" t="s">
        <v>1556</v>
      </c>
      <c r="J2320" s="606" t="s">
        <v>5258</v>
      </c>
    </row>
    <row r="2321" spans="2:10" ht="21" customHeight="1">
      <c r="B2321" s="605" t="s">
        <v>5550</v>
      </c>
      <c r="C2321" s="606" t="s">
        <v>15</v>
      </c>
      <c r="D2321" s="605" t="s">
        <v>689</v>
      </c>
      <c r="E2321" s="606" t="s">
        <v>5551</v>
      </c>
      <c r="F2321" s="606" t="s">
        <v>5551</v>
      </c>
      <c r="G2321" s="606" t="s">
        <v>1554</v>
      </c>
      <c r="H2321" s="606" t="s">
        <v>1555</v>
      </c>
      <c r="I2321" s="606" t="s">
        <v>1556</v>
      </c>
      <c r="J2321" s="606" t="s">
        <v>5258</v>
      </c>
    </row>
    <row r="2322" spans="2:10" ht="21" customHeight="1">
      <c r="B2322" s="605" t="s">
        <v>5552</v>
      </c>
      <c r="C2322" s="606" t="s">
        <v>15</v>
      </c>
      <c r="D2322" s="605" t="s">
        <v>689</v>
      </c>
      <c r="E2322" s="606" t="s">
        <v>5553</v>
      </c>
      <c r="F2322" s="606" t="s">
        <v>5553</v>
      </c>
      <c r="G2322" s="606" t="s">
        <v>1554</v>
      </c>
      <c r="H2322" s="606" t="s">
        <v>1555</v>
      </c>
      <c r="I2322" s="606" t="s">
        <v>1556</v>
      </c>
      <c r="J2322" s="606" t="s">
        <v>5258</v>
      </c>
    </row>
    <row r="2323" spans="2:10" ht="21" customHeight="1">
      <c r="B2323" s="605" t="s">
        <v>5554</v>
      </c>
      <c r="C2323" s="606" t="s">
        <v>15</v>
      </c>
      <c r="D2323" s="605" t="s">
        <v>689</v>
      </c>
      <c r="E2323" s="606" t="s">
        <v>5555</v>
      </c>
      <c r="F2323" s="606" t="s">
        <v>5555</v>
      </c>
      <c r="G2323" s="606" t="s">
        <v>1554</v>
      </c>
      <c r="H2323" s="606" t="s">
        <v>1555</v>
      </c>
      <c r="I2323" s="606" t="s">
        <v>1556</v>
      </c>
      <c r="J2323" s="606" t="s">
        <v>5258</v>
      </c>
    </row>
    <row r="2324" spans="2:10" ht="21" customHeight="1">
      <c r="B2324" s="605" t="s">
        <v>5556</v>
      </c>
      <c r="C2324" s="606" t="s">
        <v>15</v>
      </c>
      <c r="D2324" s="605" t="s">
        <v>689</v>
      </c>
      <c r="E2324" s="606" t="s">
        <v>5557</v>
      </c>
      <c r="F2324" s="606" t="s">
        <v>5557</v>
      </c>
      <c r="G2324" s="606" t="s">
        <v>1554</v>
      </c>
      <c r="H2324" s="606" t="s">
        <v>1555</v>
      </c>
      <c r="I2324" s="606" t="s">
        <v>1556</v>
      </c>
      <c r="J2324" s="606" t="s">
        <v>5258</v>
      </c>
    </row>
    <row r="2325" spans="2:10" ht="21" customHeight="1">
      <c r="B2325" s="605" t="s">
        <v>5558</v>
      </c>
      <c r="C2325" s="606" t="s">
        <v>15</v>
      </c>
      <c r="D2325" s="605" t="s">
        <v>689</v>
      </c>
      <c r="E2325" s="606" t="s">
        <v>5559</v>
      </c>
      <c r="F2325" s="606" t="s">
        <v>5559</v>
      </c>
      <c r="G2325" s="606" t="s">
        <v>1554</v>
      </c>
      <c r="H2325" s="606" t="s">
        <v>1555</v>
      </c>
      <c r="I2325" s="606" t="s">
        <v>1556</v>
      </c>
      <c r="J2325" s="606" t="s">
        <v>5258</v>
      </c>
    </row>
    <row r="2326" spans="2:10" ht="21" customHeight="1">
      <c r="B2326" s="605" t="s">
        <v>5560</v>
      </c>
      <c r="C2326" s="606" t="s">
        <v>15</v>
      </c>
      <c r="D2326" s="605" t="s">
        <v>689</v>
      </c>
      <c r="E2326" s="606" t="s">
        <v>5561</v>
      </c>
      <c r="F2326" s="606" t="s">
        <v>5561</v>
      </c>
      <c r="G2326" s="606" t="s">
        <v>1554</v>
      </c>
      <c r="H2326" s="606" t="s">
        <v>1555</v>
      </c>
      <c r="I2326" s="606" t="s">
        <v>1556</v>
      </c>
      <c r="J2326" s="606" t="s">
        <v>5258</v>
      </c>
    </row>
    <row r="2327" spans="2:10" ht="21" customHeight="1">
      <c r="B2327" s="605" t="s">
        <v>5562</v>
      </c>
      <c r="C2327" s="606" t="s">
        <v>15</v>
      </c>
      <c r="D2327" s="605" t="s">
        <v>689</v>
      </c>
      <c r="E2327" s="606" t="s">
        <v>5563</v>
      </c>
      <c r="F2327" s="606" t="s">
        <v>5563</v>
      </c>
      <c r="G2327" s="606" t="s">
        <v>1554</v>
      </c>
      <c r="H2327" s="606" t="s">
        <v>1555</v>
      </c>
      <c r="I2327" s="606" t="s">
        <v>1556</v>
      </c>
      <c r="J2327" s="606" t="s">
        <v>5258</v>
      </c>
    </row>
    <row r="2328" spans="2:10" ht="21" customHeight="1">
      <c r="B2328" s="605" t="s">
        <v>5564</v>
      </c>
      <c r="C2328" s="606" t="s">
        <v>15</v>
      </c>
      <c r="D2328" s="605" t="s">
        <v>689</v>
      </c>
      <c r="E2328" s="606" t="s">
        <v>5565</v>
      </c>
      <c r="F2328" s="606" t="s">
        <v>5565</v>
      </c>
      <c r="G2328" s="606" t="s">
        <v>1554</v>
      </c>
      <c r="H2328" s="606" t="s">
        <v>1555</v>
      </c>
      <c r="I2328" s="606" t="s">
        <v>1556</v>
      </c>
      <c r="J2328" s="606" t="s">
        <v>5258</v>
      </c>
    </row>
    <row r="2329" spans="2:10" ht="21" customHeight="1">
      <c r="B2329" s="605" t="s">
        <v>5566</v>
      </c>
      <c r="C2329" s="606" t="s">
        <v>15</v>
      </c>
      <c r="D2329" s="605" t="s">
        <v>689</v>
      </c>
      <c r="E2329" s="606" t="s">
        <v>117</v>
      </c>
      <c r="F2329" s="606" t="s">
        <v>117</v>
      </c>
      <c r="G2329" s="606" t="s">
        <v>1085</v>
      </c>
      <c r="H2329" s="606" t="s">
        <v>5284</v>
      </c>
      <c r="I2329" s="606" t="s">
        <v>1087</v>
      </c>
      <c r="J2329" s="606" t="s">
        <v>1088</v>
      </c>
    </row>
    <row r="2330" spans="2:10" ht="21" customHeight="1">
      <c r="B2330" s="605" t="s">
        <v>5567</v>
      </c>
      <c r="C2330" s="606" t="s">
        <v>15</v>
      </c>
      <c r="D2330" s="605" t="s">
        <v>689</v>
      </c>
      <c r="E2330" s="606" t="s">
        <v>5568</v>
      </c>
      <c r="F2330" s="606" t="s">
        <v>5568</v>
      </c>
      <c r="G2330" s="606" t="s">
        <v>1554</v>
      </c>
      <c r="H2330" s="606" t="s">
        <v>1555</v>
      </c>
      <c r="I2330" s="606" t="s">
        <v>1556</v>
      </c>
      <c r="J2330" s="606" t="s">
        <v>5258</v>
      </c>
    </row>
    <row r="2331" spans="2:10" ht="21" customHeight="1">
      <c r="B2331" s="605" t="s">
        <v>5569</v>
      </c>
      <c r="C2331" s="606" t="s">
        <v>15</v>
      </c>
      <c r="D2331" s="605" t="s">
        <v>689</v>
      </c>
      <c r="E2331" s="606" t="s">
        <v>5570</v>
      </c>
      <c r="F2331" s="606" t="s">
        <v>5570</v>
      </c>
      <c r="G2331" s="606" t="s">
        <v>1554</v>
      </c>
      <c r="H2331" s="606" t="s">
        <v>1555</v>
      </c>
      <c r="I2331" s="606" t="s">
        <v>1556</v>
      </c>
      <c r="J2331" s="606" t="s">
        <v>5258</v>
      </c>
    </row>
    <row r="2332" spans="2:10" ht="21" customHeight="1">
      <c r="B2332" s="605" t="s">
        <v>5571</v>
      </c>
      <c r="C2332" s="606" t="s">
        <v>15</v>
      </c>
      <c r="D2332" s="605" t="s">
        <v>689</v>
      </c>
      <c r="E2332" s="606" t="s">
        <v>5572</v>
      </c>
      <c r="F2332" s="606" t="s">
        <v>5572</v>
      </c>
      <c r="G2332" s="606" t="s">
        <v>1554</v>
      </c>
      <c r="H2332" s="606" t="s">
        <v>1555</v>
      </c>
      <c r="I2332" s="606" t="s">
        <v>1556</v>
      </c>
      <c r="J2332" s="606" t="s">
        <v>5258</v>
      </c>
    </row>
    <row r="2333" spans="2:10" ht="21" customHeight="1">
      <c r="B2333" s="605" t="s">
        <v>5573</v>
      </c>
      <c r="C2333" s="606" t="s">
        <v>15</v>
      </c>
      <c r="D2333" s="605" t="s">
        <v>689</v>
      </c>
      <c r="E2333" s="606" t="s">
        <v>5574</v>
      </c>
      <c r="F2333" s="606" t="s">
        <v>5574</v>
      </c>
      <c r="G2333" s="606" t="s">
        <v>1554</v>
      </c>
      <c r="H2333" s="606" t="s">
        <v>1555</v>
      </c>
      <c r="I2333" s="606" t="s">
        <v>1556</v>
      </c>
      <c r="J2333" s="606" t="s">
        <v>5258</v>
      </c>
    </row>
    <row r="2334" spans="2:10" ht="21" customHeight="1">
      <c r="B2334" s="605" t="s">
        <v>5575</v>
      </c>
      <c r="C2334" s="606" t="s">
        <v>15</v>
      </c>
      <c r="D2334" s="605" t="s">
        <v>689</v>
      </c>
      <c r="E2334" s="606" t="s">
        <v>339</v>
      </c>
      <c r="F2334" s="606" t="s">
        <v>1008</v>
      </c>
      <c r="G2334" s="606" t="s">
        <v>1085</v>
      </c>
      <c r="H2334" s="606" t="s">
        <v>5284</v>
      </c>
      <c r="I2334" s="606" t="s">
        <v>1087</v>
      </c>
      <c r="J2334" s="606" t="s">
        <v>1088</v>
      </c>
    </row>
    <row r="2335" spans="2:10" ht="21" customHeight="1">
      <c r="B2335" s="605" t="s">
        <v>5576</v>
      </c>
      <c r="C2335" s="606" t="s">
        <v>15</v>
      </c>
      <c r="D2335" s="605" t="s">
        <v>689</v>
      </c>
      <c r="E2335" s="606" t="s">
        <v>5577</v>
      </c>
      <c r="F2335" s="606" t="s">
        <v>1009</v>
      </c>
      <c r="G2335" s="606" t="s">
        <v>1085</v>
      </c>
      <c r="H2335" s="606" t="s">
        <v>5284</v>
      </c>
      <c r="I2335" s="606" t="s">
        <v>1087</v>
      </c>
      <c r="J2335" s="606" t="s">
        <v>1088</v>
      </c>
    </row>
    <row r="2336" spans="2:10" ht="21" customHeight="1">
      <c r="B2336" s="605" t="s">
        <v>5578</v>
      </c>
      <c r="C2336" s="606" t="s">
        <v>15</v>
      </c>
      <c r="D2336" s="605" t="s">
        <v>689</v>
      </c>
      <c r="E2336" s="606" t="s">
        <v>5579</v>
      </c>
      <c r="F2336" s="606" t="s">
        <v>5579</v>
      </c>
      <c r="G2336" s="606" t="s">
        <v>1554</v>
      </c>
      <c r="H2336" s="606" t="s">
        <v>1555</v>
      </c>
      <c r="I2336" s="606" t="s">
        <v>1556</v>
      </c>
      <c r="J2336" s="606" t="s">
        <v>5258</v>
      </c>
    </row>
    <row r="2337" spans="2:10" ht="21" customHeight="1">
      <c r="B2337" s="605" t="s">
        <v>5580</v>
      </c>
      <c r="C2337" s="606" t="s">
        <v>15</v>
      </c>
      <c r="D2337" s="605" t="s">
        <v>689</v>
      </c>
      <c r="E2337" s="606" t="s">
        <v>5581</v>
      </c>
      <c r="F2337" s="606" t="s">
        <v>5581</v>
      </c>
      <c r="G2337" s="606" t="s">
        <v>1554</v>
      </c>
      <c r="H2337" s="606" t="s">
        <v>1555</v>
      </c>
      <c r="I2337" s="606" t="s">
        <v>1556</v>
      </c>
      <c r="J2337" s="606" t="s">
        <v>5258</v>
      </c>
    </row>
    <row r="2338" spans="2:10" ht="21" customHeight="1">
      <c r="B2338" s="605" t="s">
        <v>5582</v>
      </c>
      <c r="C2338" s="606" t="s">
        <v>15</v>
      </c>
      <c r="D2338" s="605" t="s">
        <v>689</v>
      </c>
      <c r="E2338" s="606" t="s">
        <v>361</v>
      </c>
      <c r="F2338" s="606" t="s">
        <v>361</v>
      </c>
      <c r="G2338" s="606" t="s">
        <v>1554</v>
      </c>
      <c r="H2338" s="606" t="s">
        <v>1555</v>
      </c>
      <c r="I2338" s="606" t="s">
        <v>1556</v>
      </c>
      <c r="J2338" s="606" t="s">
        <v>5258</v>
      </c>
    </row>
    <row r="2339" spans="2:10" ht="21" customHeight="1">
      <c r="B2339" s="605" t="s">
        <v>5583</v>
      </c>
      <c r="C2339" s="606" t="s">
        <v>15</v>
      </c>
      <c r="D2339" s="605" t="s">
        <v>689</v>
      </c>
      <c r="E2339" s="606" t="s">
        <v>5584</v>
      </c>
      <c r="F2339" s="606" t="s">
        <v>5584</v>
      </c>
      <c r="G2339" s="606" t="s">
        <v>1085</v>
      </c>
      <c r="H2339" s="606" t="s">
        <v>5284</v>
      </c>
      <c r="I2339" s="606" t="s">
        <v>1087</v>
      </c>
      <c r="J2339" s="606" t="s">
        <v>1088</v>
      </c>
    </row>
    <row r="2340" spans="2:10" ht="21" customHeight="1">
      <c r="B2340" s="605" t="s">
        <v>5585</v>
      </c>
      <c r="C2340" s="606" t="s">
        <v>15</v>
      </c>
      <c r="D2340" s="605" t="s">
        <v>689</v>
      </c>
      <c r="E2340" s="606" t="s">
        <v>5586</v>
      </c>
      <c r="F2340" s="606" t="s">
        <v>5586</v>
      </c>
      <c r="G2340" s="606" t="s">
        <v>1554</v>
      </c>
      <c r="H2340" s="606" t="s">
        <v>1555</v>
      </c>
      <c r="I2340" s="606" t="s">
        <v>1556</v>
      </c>
      <c r="J2340" s="606" t="s">
        <v>5258</v>
      </c>
    </row>
    <row r="2341" spans="2:10" ht="21" customHeight="1">
      <c r="B2341" s="605" t="s">
        <v>5587</v>
      </c>
      <c r="C2341" s="606" t="s">
        <v>15</v>
      </c>
      <c r="D2341" s="605" t="s">
        <v>689</v>
      </c>
      <c r="E2341" s="606" t="s">
        <v>5588</v>
      </c>
      <c r="F2341" s="606" t="s">
        <v>5588</v>
      </c>
      <c r="G2341" s="606" t="s">
        <v>1554</v>
      </c>
      <c r="H2341" s="606" t="s">
        <v>1555</v>
      </c>
      <c r="I2341" s="606" t="s">
        <v>1556</v>
      </c>
      <c r="J2341" s="606" t="s">
        <v>5258</v>
      </c>
    </row>
    <row r="2342" spans="2:10" ht="21" customHeight="1">
      <c r="B2342" s="605" t="s">
        <v>5589</v>
      </c>
      <c r="C2342" s="606" t="s">
        <v>15</v>
      </c>
      <c r="D2342" s="605" t="s">
        <v>689</v>
      </c>
      <c r="E2342" s="606" t="s">
        <v>193</v>
      </c>
      <c r="F2342" s="606" t="s">
        <v>193</v>
      </c>
      <c r="G2342" s="606" t="s">
        <v>1554</v>
      </c>
      <c r="H2342" s="606" t="s">
        <v>1555</v>
      </c>
      <c r="I2342" s="606" t="s">
        <v>1556</v>
      </c>
      <c r="J2342" s="606" t="s">
        <v>5258</v>
      </c>
    </row>
    <row r="2343" spans="2:10" ht="21" customHeight="1">
      <c r="B2343" s="605" t="s">
        <v>5590</v>
      </c>
      <c r="C2343" s="606" t="s">
        <v>15</v>
      </c>
      <c r="D2343" s="605" t="s">
        <v>689</v>
      </c>
      <c r="E2343" s="606" t="s">
        <v>5591</v>
      </c>
      <c r="F2343" s="606" t="s">
        <v>5591</v>
      </c>
      <c r="G2343" s="606" t="s">
        <v>1554</v>
      </c>
      <c r="H2343" s="606" t="s">
        <v>1555</v>
      </c>
      <c r="I2343" s="606" t="s">
        <v>1556</v>
      </c>
      <c r="J2343" s="606" t="s">
        <v>5258</v>
      </c>
    </row>
    <row r="2344" spans="2:10" ht="21" customHeight="1">
      <c r="B2344" s="605" t="s">
        <v>5592</v>
      </c>
      <c r="C2344" s="606" t="s">
        <v>15</v>
      </c>
      <c r="D2344" s="605" t="s">
        <v>689</v>
      </c>
      <c r="E2344" s="606" t="s">
        <v>5593</v>
      </c>
      <c r="F2344" s="606" t="s">
        <v>5593</v>
      </c>
      <c r="G2344" s="606" t="s">
        <v>1554</v>
      </c>
      <c r="H2344" s="606" t="s">
        <v>1555</v>
      </c>
      <c r="I2344" s="606" t="s">
        <v>1556</v>
      </c>
      <c r="J2344" s="606" t="s">
        <v>5258</v>
      </c>
    </row>
    <row r="2345" spans="2:10" ht="21" customHeight="1">
      <c r="B2345" s="605" t="s">
        <v>5594</v>
      </c>
      <c r="C2345" s="606" t="s">
        <v>15</v>
      </c>
      <c r="D2345" s="605" t="s">
        <v>689</v>
      </c>
      <c r="E2345" s="606" t="s">
        <v>5595</v>
      </c>
      <c r="F2345" s="606" t="s">
        <v>5595</v>
      </c>
      <c r="G2345" s="606" t="s">
        <v>1554</v>
      </c>
      <c r="H2345" s="606" t="s">
        <v>1555</v>
      </c>
      <c r="I2345" s="606" t="s">
        <v>1556</v>
      </c>
      <c r="J2345" s="606" t="s">
        <v>5258</v>
      </c>
    </row>
    <row r="2346" spans="2:10" ht="21" customHeight="1">
      <c r="B2346" s="605" t="s">
        <v>5596</v>
      </c>
      <c r="C2346" s="606" t="s">
        <v>15</v>
      </c>
      <c r="D2346" s="605" t="s">
        <v>689</v>
      </c>
      <c r="E2346" s="606" t="s">
        <v>5597</v>
      </c>
      <c r="F2346" s="606" t="s">
        <v>5597</v>
      </c>
      <c r="G2346" s="606" t="s">
        <v>1554</v>
      </c>
      <c r="H2346" s="606" t="s">
        <v>1555</v>
      </c>
      <c r="I2346" s="606" t="s">
        <v>1556</v>
      </c>
      <c r="J2346" s="606" t="s">
        <v>5258</v>
      </c>
    </row>
    <row r="2347" spans="2:10" ht="21" customHeight="1">
      <c r="B2347" s="605" t="s">
        <v>5598</v>
      </c>
      <c r="C2347" s="606" t="s">
        <v>15</v>
      </c>
      <c r="D2347" s="605" t="s">
        <v>689</v>
      </c>
      <c r="E2347" s="606" t="s">
        <v>5599</v>
      </c>
      <c r="F2347" s="606" t="s">
        <v>5599</v>
      </c>
      <c r="G2347" s="606" t="s">
        <v>1554</v>
      </c>
      <c r="H2347" s="606" t="s">
        <v>1555</v>
      </c>
      <c r="I2347" s="606" t="s">
        <v>1556</v>
      </c>
      <c r="J2347" s="606" t="s">
        <v>5258</v>
      </c>
    </row>
    <row r="2348" spans="2:10" ht="21" customHeight="1">
      <c r="B2348" s="605" t="s">
        <v>5600</v>
      </c>
      <c r="C2348" s="606" t="s">
        <v>15</v>
      </c>
      <c r="D2348" s="605" t="s">
        <v>689</v>
      </c>
      <c r="E2348" s="606" t="s">
        <v>197</v>
      </c>
      <c r="F2348" s="606" t="s">
        <v>197</v>
      </c>
      <c r="G2348" s="606" t="s">
        <v>1085</v>
      </c>
      <c r="H2348" s="606" t="s">
        <v>5284</v>
      </c>
      <c r="I2348" s="606" t="s">
        <v>1087</v>
      </c>
      <c r="J2348" s="606" t="s">
        <v>1088</v>
      </c>
    </row>
    <row r="2349" spans="2:10" ht="21" customHeight="1">
      <c r="B2349" s="605" t="s">
        <v>5601</v>
      </c>
      <c r="C2349" s="606" t="s">
        <v>15</v>
      </c>
      <c r="D2349" s="605" t="s">
        <v>689</v>
      </c>
      <c r="E2349" s="606" t="s">
        <v>5602</v>
      </c>
      <c r="F2349" s="606" t="s">
        <v>5602</v>
      </c>
      <c r="G2349" s="606" t="s">
        <v>1554</v>
      </c>
      <c r="H2349" s="606" t="s">
        <v>1555</v>
      </c>
      <c r="I2349" s="606" t="s">
        <v>1556</v>
      </c>
      <c r="J2349" s="606" t="s">
        <v>5258</v>
      </c>
    </row>
    <row r="2350" spans="2:10" ht="21" customHeight="1">
      <c r="B2350" s="605" t="s">
        <v>5603</v>
      </c>
      <c r="C2350" s="606" t="s">
        <v>15</v>
      </c>
      <c r="D2350" s="605" t="s">
        <v>689</v>
      </c>
      <c r="E2350" s="606" t="s">
        <v>149</v>
      </c>
      <c r="F2350" s="606" t="s">
        <v>149</v>
      </c>
      <c r="G2350" s="606" t="s">
        <v>1554</v>
      </c>
      <c r="H2350" s="606" t="s">
        <v>1555</v>
      </c>
      <c r="I2350" s="606" t="s">
        <v>1556</v>
      </c>
      <c r="J2350" s="606" t="s">
        <v>5258</v>
      </c>
    </row>
    <row r="2351" spans="2:10" ht="21" customHeight="1">
      <c r="B2351" s="605" t="s">
        <v>5604</v>
      </c>
      <c r="C2351" s="606" t="s">
        <v>15</v>
      </c>
      <c r="D2351" s="605" t="s">
        <v>689</v>
      </c>
      <c r="E2351" s="606" t="s">
        <v>157</v>
      </c>
      <c r="F2351" s="606" t="s">
        <v>157</v>
      </c>
      <c r="G2351" s="606" t="s">
        <v>1085</v>
      </c>
      <c r="H2351" s="606" t="s">
        <v>5284</v>
      </c>
      <c r="I2351" s="606" t="s">
        <v>1087</v>
      </c>
      <c r="J2351" s="606" t="s">
        <v>1088</v>
      </c>
    </row>
    <row r="2352" spans="2:10" ht="21" customHeight="1">
      <c r="B2352" s="605" t="s">
        <v>5605</v>
      </c>
      <c r="C2352" s="606" t="s">
        <v>15</v>
      </c>
      <c r="D2352" s="605" t="s">
        <v>689</v>
      </c>
      <c r="E2352" s="606" t="s">
        <v>5606</v>
      </c>
      <c r="F2352" s="606" t="s">
        <v>5606</v>
      </c>
      <c r="G2352" s="606" t="s">
        <v>1554</v>
      </c>
      <c r="H2352" s="606" t="s">
        <v>1555</v>
      </c>
      <c r="I2352" s="606" t="s">
        <v>1556</v>
      </c>
      <c r="J2352" s="606" t="s">
        <v>5258</v>
      </c>
    </row>
    <row r="2353" spans="2:10" ht="21" customHeight="1">
      <c r="B2353" s="605" t="s">
        <v>5607</v>
      </c>
      <c r="C2353" s="606" t="s">
        <v>15</v>
      </c>
      <c r="D2353" s="605" t="s">
        <v>689</v>
      </c>
      <c r="E2353" s="606" t="s">
        <v>5608</v>
      </c>
      <c r="F2353" s="606" t="s">
        <v>5608</v>
      </c>
      <c r="G2353" s="606" t="s">
        <v>1554</v>
      </c>
      <c r="H2353" s="606" t="s">
        <v>1555</v>
      </c>
      <c r="I2353" s="606" t="s">
        <v>1556</v>
      </c>
      <c r="J2353" s="606" t="s">
        <v>5258</v>
      </c>
    </row>
    <row r="2354" spans="2:10" ht="21" customHeight="1">
      <c r="B2354" s="605" t="s">
        <v>5609</v>
      </c>
      <c r="C2354" s="606" t="s">
        <v>15</v>
      </c>
      <c r="D2354" s="605" t="s">
        <v>689</v>
      </c>
      <c r="E2354" s="606" t="s">
        <v>5610</v>
      </c>
      <c r="F2354" s="606" t="s">
        <v>5610</v>
      </c>
      <c r="G2354" s="606" t="s">
        <v>1554</v>
      </c>
      <c r="H2354" s="606" t="s">
        <v>1555</v>
      </c>
      <c r="I2354" s="606" t="s">
        <v>1556</v>
      </c>
      <c r="J2354" s="606" t="s">
        <v>5258</v>
      </c>
    </row>
    <row r="2355" spans="2:10" ht="21" customHeight="1">
      <c r="B2355" s="605" t="s">
        <v>5611</v>
      </c>
      <c r="C2355" s="606" t="s">
        <v>15</v>
      </c>
      <c r="D2355" s="605" t="s">
        <v>689</v>
      </c>
      <c r="E2355" s="606" t="s">
        <v>5612</v>
      </c>
      <c r="F2355" s="606" t="s">
        <v>5612</v>
      </c>
      <c r="G2355" s="606" t="s">
        <v>1554</v>
      </c>
      <c r="H2355" s="606" t="s">
        <v>1555</v>
      </c>
      <c r="I2355" s="606" t="s">
        <v>1556</v>
      </c>
      <c r="J2355" s="606" t="s">
        <v>5258</v>
      </c>
    </row>
    <row r="2356" spans="2:10" ht="21" customHeight="1">
      <c r="B2356" s="605" t="s">
        <v>5613</v>
      </c>
      <c r="C2356" s="606" t="s">
        <v>15</v>
      </c>
      <c r="D2356" s="605" t="s">
        <v>689</v>
      </c>
      <c r="E2356" s="606" t="s">
        <v>5614</v>
      </c>
      <c r="F2356" s="606" t="s">
        <v>5614</v>
      </c>
      <c r="G2356" s="606" t="s">
        <v>1554</v>
      </c>
      <c r="H2356" s="606" t="s">
        <v>1555</v>
      </c>
      <c r="I2356" s="606" t="s">
        <v>1556</v>
      </c>
      <c r="J2356" s="606" t="s">
        <v>5258</v>
      </c>
    </row>
    <row r="2357" spans="2:10" ht="21" customHeight="1">
      <c r="B2357" s="605" t="s">
        <v>5615</v>
      </c>
      <c r="C2357" s="606" t="s">
        <v>15</v>
      </c>
      <c r="D2357" s="605" t="s">
        <v>689</v>
      </c>
      <c r="E2357" s="606" t="s">
        <v>5616</v>
      </c>
      <c r="F2357" s="606" t="s">
        <v>5616</v>
      </c>
      <c r="G2357" s="606" t="s">
        <v>1085</v>
      </c>
      <c r="H2357" s="606" t="s">
        <v>5284</v>
      </c>
      <c r="I2357" s="606" t="s">
        <v>1087</v>
      </c>
      <c r="J2357" s="606" t="s">
        <v>1088</v>
      </c>
    </row>
    <row r="2358" spans="2:10" ht="21" customHeight="1">
      <c r="B2358" s="605" t="s">
        <v>5617</v>
      </c>
      <c r="C2358" s="606" t="s">
        <v>15</v>
      </c>
      <c r="D2358" s="605" t="s">
        <v>689</v>
      </c>
      <c r="E2358" s="606" t="s">
        <v>5618</v>
      </c>
      <c r="F2358" s="606" t="s">
        <v>5618</v>
      </c>
      <c r="G2358" s="606" t="s">
        <v>1554</v>
      </c>
      <c r="H2358" s="606" t="s">
        <v>1555</v>
      </c>
      <c r="I2358" s="606" t="s">
        <v>1556</v>
      </c>
      <c r="J2358" s="606" t="s">
        <v>5258</v>
      </c>
    </row>
    <row r="2359" spans="2:10" ht="21" customHeight="1">
      <c r="B2359" s="605" t="s">
        <v>5619</v>
      </c>
      <c r="C2359" s="606" t="s">
        <v>15</v>
      </c>
      <c r="D2359" s="605" t="s">
        <v>689</v>
      </c>
      <c r="E2359" s="606" t="s">
        <v>210</v>
      </c>
      <c r="F2359" s="606" t="s">
        <v>210</v>
      </c>
      <c r="G2359" s="606" t="s">
        <v>1085</v>
      </c>
      <c r="H2359" s="606" t="s">
        <v>5284</v>
      </c>
      <c r="I2359" s="606" t="s">
        <v>1087</v>
      </c>
      <c r="J2359" s="606" t="s">
        <v>1088</v>
      </c>
    </row>
    <row r="2360" spans="2:10" ht="21" customHeight="1">
      <c r="B2360" s="605" t="s">
        <v>5620</v>
      </c>
      <c r="C2360" s="606" t="s">
        <v>15</v>
      </c>
      <c r="D2360" s="605" t="s">
        <v>689</v>
      </c>
      <c r="E2360" s="606" t="s">
        <v>5621</v>
      </c>
      <c r="F2360" s="606" t="s">
        <v>5621</v>
      </c>
      <c r="G2360" s="606" t="s">
        <v>1554</v>
      </c>
      <c r="H2360" s="606" t="s">
        <v>1555</v>
      </c>
      <c r="I2360" s="606" t="s">
        <v>1556</v>
      </c>
      <c r="J2360" s="606" t="s">
        <v>5258</v>
      </c>
    </row>
    <row r="2361" spans="2:10" ht="21" customHeight="1">
      <c r="B2361" s="605" t="s">
        <v>5622</v>
      </c>
      <c r="C2361" s="606" t="s">
        <v>15</v>
      </c>
      <c r="D2361" s="605" t="s">
        <v>689</v>
      </c>
      <c r="E2361" s="606" t="s">
        <v>5623</v>
      </c>
      <c r="F2361" s="606" t="s">
        <v>5624</v>
      </c>
      <c r="G2361" s="606" t="s">
        <v>1085</v>
      </c>
      <c r="H2361" s="606" t="s">
        <v>5284</v>
      </c>
      <c r="I2361" s="606" t="s">
        <v>1087</v>
      </c>
      <c r="J2361" s="606" t="s">
        <v>1088</v>
      </c>
    </row>
    <row r="2362" spans="2:10" ht="21" customHeight="1">
      <c r="B2362" s="605" t="s">
        <v>5625</v>
      </c>
      <c r="C2362" s="606" t="s">
        <v>15</v>
      </c>
      <c r="D2362" s="605" t="s">
        <v>689</v>
      </c>
      <c r="E2362" s="606" t="s">
        <v>5626</v>
      </c>
      <c r="F2362" s="606" t="s">
        <v>5627</v>
      </c>
      <c r="G2362" s="606" t="s">
        <v>1085</v>
      </c>
      <c r="H2362" s="606" t="s">
        <v>5284</v>
      </c>
      <c r="I2362" s="606" t="s">
        <v>1087</v>
      </c>
      <c r="J2362" s="606" t="s">
        <v>1088</v>
      </c>
    </row>
    <row r="2363" spans="2:10" ht="21" customHeight="1">
      <c r="B2363" s="605" t="s">
        <v>5628</v>
      </c>
      <c r="C2363" s="606" t="s">
        <v>15</v>
      </c>
      <c r="D2363" s="605" t="s">
        <v>689</v>
      </c>
      <c r="E2363" s="606" t="s">
        <v>5629</v>
      </c>
      <c r="F2363" s="606" t="s">
        <v>5629</v>
      </c>
      <c r="G2363" s="606" t="s">
        <v>1554</v>
      </c>
      <c r="H2363" s="606" t="s">
        <v>1555</v>
      </c>
      <c r="I2363" s="606" t="s">
        <v>1556</v>
      </c>
      <c r="J2363" s="606" t="s">
        <v>5258</v>
      </c>
    </row>
    <row r="2364" spans="2:10" ht="21" customHeight="1">
      <c r="B2364" s="605" t="s">
        <v>5630</v>
      </c>
      <c r="C2364" s="606" t="s">
        <v>15</v>
      </c>
      <c r="D2364" s="605" t="s">
        <v>689</v>
      </c>
      <c r="E2364" s="606" t="s">
        <v>340</v>
      </c>
      <c r="F2364" s="606" t="s">
        <v>340</v>
      </c>
      <c r="G2364" s="606" t="s">
        <v>1151</v>
      </c>
      <c r="H2364" s="606" t="s">
        <v>1152</v>
      </c>
      <c r="I2364" s="606" t="s">
        <v>1087</v>
      </c>
      <c r="J2364" s="606" t="s">
        <v>1153</v>
      </c>
    </row>
    <row r="2365" spans="2:10" ht="21" customHeight="1">
      <c r="B2365" s="605" t="s">
        <v>5631</v>
      </c>
      <c r="C2365" s="606" t="s">
        <v>15</v>
      </c>
      <c r="D2365" s="605" t="s">
        <v>689</v>
      </c>
      <c r="E2365" s="606" t="s">
        <v>341</v>
      </c>
      <c r="F2365" s="606" t="s">
        <v>341</v>
      </c>
      <c r="G2365" s="606" t="s">
        <v>1151</v>
      </c>
      <c r="H2365" s="606" t="s">
        <v>1152</v>
      </c>
      <c r="I2365" s="606" t="s">
        <v>1087</v>
      </c>
      <c r="J2365" s="606" t="s">
        <v>1153</v>
      </c>
    </row>
    <row r="2366" spans="2:10" ht="21" customHeight="1">
      <c r="B2366" s="605" t="s">
        <v>5632</v>
      </c>
      <c r="C2366" s="606" t="s">
        <v>15</v>
      </c>
      <c r="D2366" s="605" t="s">
        <v>689</v>
      </c>
      <c r="E2366" s="606" t="s">
        <v>188</v>
      </c>
      <c r="F2366" s="606" t="s">
        <v>188</v>
      </c>
      <c r="G2366" s="606" t="s">
        <v>1554</v>
      </c>
      <c r="H2366" s="606" t="s">
        <v>1555</v>
      </c>
      <c r="I2366" s="606" t="s">
        <v>1556</v>
      </c>
      <c r="J2366" s="606" t="s">
        <v>5258</v>
      </c>
    </row>
    <row r="2367" spans="2:10" ht="21" customHeight="1">
      <c r="B2367" s="605" t="s">
        <v>5633</v>
      </c>
      <c r="C2367" s="606" t="s">
        <v>15</v>
      </c>
      <c r="D2367" s="605" t="s">
        <v>689</v>
      </c>
      <c r="E2367" s="606" t="s">
        <v>5634</v>
      </c>
      <c r="F2367" s="606" t="s">
        <v>5634</v>
      </c>
      <c r="G2367" s="606" t="s">
        <v>1554</v>
      </c>
      <c r="H2367" s="606" t="s">
        <v>1555</v>
      </c>
      <c r="I2367" s="606" t="s">
        <v>1556</v>
      </c>
      <c r="J2367" s="606" t="s">
        <v>5258</v>
      </c>
    </row>
    <row r="2368" spans="2:10" ht="21" customHeight="1">
      <c r="B2368" s="605" t="s">
        <v>5635</v>
      </c>
      <c r="C2368" s="606" t="s">
        <v>15</v>
      </c>
      <c r="D2368" s="605" t="s">
        <v>689</v>
      </c>
      <c r="E2368" s="606" t="s">
        <v>5636</v>
      </c>
      <c r="F2368" s="606" t="s">
        <v>5636</v>
      </c>
      <c r="G2368" s="606" t="s">
        <v>1554</v>
      </c>
      <c r="H2368" s="606" t="s">
        <v>1555</v>
      </c>
      <c r="I2368" s="606" t="s">
        <v>1556</v>
      </c>
      <c r="J2368" s="606" t="s">
        <v>5258</v>
      </c>
    </row>
    <row r="2369" spans="2:10" ht="21" customHeight="1">
      <c r="B2369" s="605" t="s">
        <v>5637</v>
      </c>
      <c r="C2369" s="606" t="s">
        <v>15</v>
      </c>
      <c r="D2369" s="605" t="s">
        <v>689</v>
      </c>
      <c r="E2369" s="606" t="s">
        <v>5638</v>
      </c>
      <c r="F2369" s="606" t="s">
        <v>5638</v>
      </c>
      <c r="G2369" s="606" t="s">
        <v>1554</v>
      </c>
      <c r="H2369" s="606" t="s">
        <v>1555</v>
      </c>
      <c r="I2369" s="606" t="s">
        <v>1556</v>
      </c>
      <c r="J2369" s="606" t="s">
        <v>5258</v>
      </c>
    </row>
    <row r="2370" spans="2:10" ht="21" customHeight="1">
      <c r="B2370" s="605" t="s">
        <v>5639</v>
      </c>
      <c r="C2370" s="606" t="s">
        <v>15</v>
      </c>
      <c r="D2370" s="605" t="s">
        <v>689</v>
      </c>
      <c r="E2370" s="606" t="s">
        <v>5640</v>
      </c>
      <c r="F2370" s="606" t="s">
        <v>5640</v>
      </c>
      <c r="G2370" s="606" t="s">
        <v>1554</v>
      </c>
      <c r="H2370" s="606" t="s">
        <v>1555</v>
      </c>
      <c r="I2370" s="606" t="s">
        <v>1556</v>
      </c>
      <c r="J2370" s="606" t="s">
        <v>5258</v>
      </c>
    </row>
    <row r="2371" spans="2:10" ht="21" customHeight="1">
      <c r="B2371" s="605" t="s">
        <v>5641</v>
      </c>
      <c r="C2371" s="606" t="s">
        <v>15</v>
      </c>
      <c r="D2371" s="605" t="s">
        <v>689</v>
      </c>
      <c r="E2371" s="606" t="s">
        <v>5642</v>
      </c>
      <c r="F2371" s="606" t="s">
        <v>5642</v>
      </c>
      <c r="G2371" s="606" t="s">
        <v>1554</v>
      </c>
      <c r="H2371" s="606" t="s">
        <v>1555</v>
      </c>
      <c r="I2371" s="606" t="s">
        <v>1556</v>
      </c>
      <c r="J2371" s="606" t="s">
        <v>5258</v>
      </c>
    </row>
    <row r="2372" spans="2:10" ht="21" customHeight="1">
      <c r="B2372" s="605" t="s">
        <v>5643</v>
      </c>
      <c r="C2372" s="606" t="s">
        <v>15</v>
      </c>
      <c r="D2372" s="605" t="s">
        <v>689</v>
      </c>
      <c r="E2372" s="606" t="s">
        <v>191</v>
      </c>
      <c r="F2372" s="606" t="s">
        <v>191</v>
      </c>
      <c r="G2372" s="606" t="s">
        <v>1085</v>
      </c>
      <c r="H2372" s="606" t="s">
        <v>5284</v>
      </c>
      <c r="I2372" s="606" t="s">
        <v>1087</v>
      </c>
      <c r="J2372" s="606" t="s">
        <v>1088</v>
      </c>
    </row>
    <row r="2373" spans="2:10" ht="21" customHeight="1">
      <c r="B2373" s="605" t="s">
        <v>5644</v>
      </c>
      <c r="C2373" s="606" t="s">
        <v>15</v>
      </c>
      <c r="D2373" s="605" t="s">
        <v>689</v>
      </c>
      <c r="E2373" s="606" t="s">
        <v>5645</v>
      </c>
      <c r="F2373" s="606" t="s">
        <v>5645</v>
      </c>
      <c r="G2373" s="606" t="s">
        <v>1554</v>
      </c>
      <c r="H2373" s="606" t="s">
        <v>1555</v>
      </c>
      <c r="I2373" s="606" t="s">
        <v>1556</v>
      </c>
      <c r="J2373" s="606" t="s">
        <v>5258</v>
      </c>
    </row>
    <row r="2374" spans="2:10" ht="21" customHeight="1">
      <c r="B2374" s="605" t="s">
        <v>5646</v>
      </c>
      <c r="C2374" s="606" t="s">
        <v>15</v>
      </c>
      <c r="D2374" s="605" t="s">
        <v>689</v>
      </c>
      <c r="E2374" s="606" t="s">
        <v>5647</v>
      </c>
      <c r="F2374" s="606" t="s">
        <v>5647</v>
      </c>
      <c r="G2374" s="606" t="s">
        <v>1554</v>
      </c>
      <c r="H2374" s="606" t="s">
        <v>1555</v>
      </c>
      <c r="I2374" s="606" t="s">
        <v>1556</v>
      </c>
      <c r="J2374" s="606" t="s">
        <v>5258</v>
      </c>
    </row>
    <row r="2375" spans="2:10" ht="21" customHeight="1">
      <c r="B2375" s="605" t="s">
        <v>5648</v>
      </c>
      <c r="C2375" s="606" t="s">
        <v>15</v>
      </c>
      <c r="D2375" s="605" t="s">
        <v>689</v>
      </c>
      <c r="E2375" s="606" t="s">
        <v>5649</v>
      </c>
      <c r="F2375" s="606" t="s">
        <v>5649</v>
      </c>
      <c r="G2375" s="606" t="s">
        <v>1554</v>
      </c>
      <c r="H2375" s="606" t="s">
        <v>1555</v>
      </c>
      <c r="I2375" s="606" t="s">
        <v>1556</v>
      </c>
      <c r="J2375" s="606" t="s">
        <v>5258</v>
      </c>
    </row>
    <row r="2376" spans="2:10" ht="21" customHeight="1">
      <c r="B2376" s="605" t="s">
        <v>5650</v>
      </c>
      <c r="C2376" s="606" t="s">
        <v>15</v>
      </c>
      <c r="D2376" s="605" t="s">
        <v>689</v>
      </c>
      <c r="E2376" s="606" t="s">
        <v>5651</v>
      </c>
      <c r="F2376" s="606" t="s">
        <v>5651</v>
      </c>
      <c r="G2376" s="606" t="s">
        <v>1554</v>
      </c>
      <c r="H2376" s="606" t="s">
        <v>1555</v>
      </c>
      <c r="I2376" s="606" t="s">
        <v>1556</v>
      </c>
      <c r="J2376" s="606" t="s">
        <v>5258</v>
      </c>
    </row>
    <row r="2377" spans="2:10" ht="21" customHeight="1">
      <c r="B2377" s="605" t="s">
        <v>5652</v>
      </c>
      <c r="C2377" s="606" t="s">
        <v>15</v>
      </c>
      <c r="D2377" s="605" t="s">
        <v>689</v>
      </c>
      <c r="E2377" s="606" t="s">
        <v>5653</v>
      </c>
      <c r="F2377" s="606" t="s">
        <v>5653</v>
      </c>
      <c r="G2377" s="606" t="s">
        <v>1554</v>
      </c>
      <c r="H2377" s="606" t="s">
        <v>1555</v>
      </c>
      <c r="I2377" s="606" t="s">
        <v>1556</v>
      </c>
      <c r="J2377" s="606" t="s">
        <v>5258</v>
      </c>
    </row>
    <row r="2378" spans="2:10" ht="21" customHeight="1">
      <c r="B2378" s="605" t="s">
        <v>5654</v>
      </c>
      <c r="C2378" s="606" t="s">
        <v>15</v>
      </c>
      <c r="D2378" s="605" t="s">
        <v>689</v>
      </c>
      <c r="E2378" s="606" t="s">
        <v>342</v>
      </c>
      <c r="F2378" s="606" t="s">
        <v>342</v>
      </c>
      <c r="G2378" s="606" t="s">
        <v>1151</v>
      </c>
      <c r="H2378" s="606" t="s">
        <v>1152</v>
      </c>
      <c r="I2378" s="606" t="s">
        <v>1087</v>
      </c>
      <c r="J2378" s="606" t="s">
        <v>1153</v>
      </c>
    </row>
    <row r="2379" spans="2:10" ht="21" customHeight="1">
      <c r="B2379" s="605" t="s">
        <v>5655</v>
      </c>
      <c r="C2379" s="606" t="s">
        <v>15</v>
      </c>
      <c r="D2379" s="605" t="s">
        <v>689</v>
      </c>
      <c r="E2379" s="606" t="s">
        <v>5656</v>
      </c>
      <c r="F2379" s="606" t="s">
        <v>5656</v>
      </c>
      <c r="G2379" s="606" t="s">
        <v>1554</v>
      </c>
      <c r="H2379" s="606" t="s">
        <v>1555</v>
      </c>
      <c r="I2379" s="606" t="s">
        <v>1556</v>
      </c>
      <c r="J2379" s="606" t="s">
        <v>5258</v>
      </c>
    </row>
    <row r="2380" spans="2:10" ht="21" customHeight="1">
      <c r="B2380" s="605" t="s">
        <v>5657</v>
      </c>
      <c r="C2380" s="606" t="s">
        <v>15</v>
      </c>
      <c r="D2380" s="605" t="s">
        <v>689</v>
      </c>
      <c r="E2380" s="606" t="s">
        <v>5658</v>
      </c>
      <c r="F2380" s="606" t="s">
        <v>5658</v>
      </c>
      <c r="G2380" s="606" t="s">
        <v>1554</v>
      </c>
      <c r="H2380" s="606" t="s">
        <v>1555</v>
      </c>
      <c r="I2380" s="606" t="s">
        <v>1556</v>
      </c>
      <c r="J2380" s="606" t="s">
        <v>5258</v>
      </c>
    </row>
    <row r="2381" spans="2:10" ht="21" customHeight="1">
      <c r="B2381" s="605" t="s">
        <v>5659</v>
      </c>
      <c r="C2381" s="606" t="s">
        <v>15</v>
      </c>
      <c r="D2381" s="605" t="s">
        <v>689</v>
      </c>
      <c r="E2381" s="606" t="s">
        <v>5660</v>
      </c>
      <c r="F2381" s="606" t="s">
        <v>5660</v>
      </c>
      <c r="G2381" s="606" t="s">
        <v>1554</v>
      </c>
      <c r="H2381" s="606" t="s">
        <v>1555</v>
      </c>
      <c r="I2381" s="606" t="s">
        <v>1556</v>
      </c>
      <c r="J2381" s="606" t="s">
        <v>5258</v>
      </c>
    </row>
    <row r="2382" spans="2:10" ht="21" customHeight="1">
      <c r="B2382" s="605" t="s">
        <v>5661</v>
      </c>
      <c r="C2382" s="606" t="s">
        <v>15</v>
      </c>
      <c r="D2382" s="605" t="s">
        <v>689</v>
      </c>
      <c r="E2382" s="606" t="s">
        <v>1010</v>
      </c>
      <c r="F2382" s="606" t="s">
        <v>1010</v>
      </c>
      <c r="G2382" s="606" t="s">
        <v>1554</v>
      </c>
      <c r="H2382" s="606" t="s">
        <v>1555</v>
      </c>
      <c r="I2382" s="606" t="s">
        <v>1556</v>
      </c>
      <c r="J2382" s="606" t="s">
        <v>5258</v>
      </c>
    </row>
    <row r="2383" spans="2:10" ht="21" customHeight="1">
      <c r="B2383" s="605" t="s">
        <v>5662</v>
      </c>
      <c r="C2383" s="606" t="s">
        <v>15</v>
      </c>
      <c r="D2383" s="605" t="s">
        <v>689</v>
      </c>
      <c r="E2383" s="606" t="s">
        <v>1011</v>
      </c>
      <c r="F2383" s="606" t="s">
        <v>1011</v>
      </c>
      <c r="G2383" s="606" t="s">
        <v>1085</v>
      </c>
      <c r="H2383" s="606" t="s">
        <v>5284</v>
      </c>
      <c r="I2383" s="606" t="s">
        <v>1087</v>
      </c>
      <c r="J2383" s="606" t="s">
        <v>1088</v>
      </c>
    </row>
    <row r="2384" spans="2:10" ht="21" customHeight="1">
      <c r="B2384" s="605" t="s">
        <v>5663</v>
      </c>
      <c r="C2384" s="606" t="s">
        <v>15</v>
      </c>
      <c r="D2384" s="605" t="s">
        <v>689</v>
      </c>
      <c r="E2384" s="606" t="s">
        <v>5664</v>
      </c>
      <c r="F2384" s="606" t="s">
        <v>5664</v>
      </c>
      <c r="G2384" s="606" t="s">
        <v>1554</v>
      </c>
      <c r="H2384" s="606" t="s">
        <v>1555</v>
      </c>
      <c r="I2384" s="606" t="s">
        <v>1556</v>
      </c>
      <c r="J2384" s="606" t="s">
        <v>5258</v>
      </c>
    </row>
    <row r="2385" spans="2:10" ht="21" customHeight="1">
      <c r="B2385" s="605" t="s">
        <v>5665</v>
      </c>
      <c r="C2385" s="606" t="s">
        <v>15</v>
      </c>
      <c r="D2385" s="605" t="s">
        <v>689</v>
      </c>
      <c r="E2385" s="606" t="s">
        <v>5666</v>
      </c>
      <c r="F2385" s="606" t="s">
        <v>5666</v>
      </c>
      <c r="G2385" s="606" t="s">
        <v>1554</v>
      </c>
      <c r="H2385" s="606" t="s">
        <v>1555</v>
      </c>
      <c r="I2385" s="606" t="s">
        <v>1556</v>
      </c>
      <c r="J2385" s="606" t="s">
        <v>5258</v>
      </c>
    </row>
    <row r="2386" spans="2:10" ht="21" customHeight="1">
      <c r="B2386" s="605" t="s">
        <v>5667</v>
      </c>
      <c r="C2386" s="606" t="s">
        <v>15</v>
      </c>
      <c r="D2386" s="605" t="s">
        <v>689</v>
      </c>
      <c r="E2386" s="606" t="s">
        <v>5668</v>
      </c>
      <c r="F2386" s="606" t="s">
        <v>5668</v>
      </c>
      <c r="G2386" s="606" t="s">
        <v>1554</v>
      </c>
      <c r="H2386" s="606" t="s">
        <v>1555</v>
      </c>
      <c r="I2386" s="606" t="s">
        <v>1556</v>
      </c>
      <c r="J2386" s="606" t="s">
        <v>5258</v>
      </c>
    </row>
    <row r="2387" spans="2:10" ht="21" customHeight="1">
      <c r="B2387" s="605" t="s">
        <v>5669</v>
      </c>
      <c r="C2387" s="606" t="s">
        <v>15</v>
      </c>
      <c r="D2387" s="605" t="s">
        <v>689</v>
      </c>
      <c r="E2387" s="606" t="s">
        <v>5670</v>
      </c>
      <c r="F2387" s="606" t="s">
        <v>5670</v>
      </c>
      <c r="G2387" s="606" t="s">
        <v>1554</v>
      </c>
      <c r="H2387" s="606" t="s">
        <v>1555</v>
      </c>
      <c r="I2387" s="606" t="s">
        <v>1556</v>
      </c>
      <c r="J2387" s="606" t="s">
        <v>5258</v>
      </c>
    </row>
    <row r="2388" spans="2:10" ht="21" customHeight="1">
      <c r="B2388" s="605" t="s">
        <v>5671</v>
      </c>
      <c r="C2388" s="606" t="s">
        <v>15</v>
      </c>
      <c r="D2388" s="605" t="s">
        <v>689</v>
      </c>
      <c r="E2388" s="606" t="s">
        <v>5672</v>
      </c>
      <c r="F2388" s="606" t="s">
        <v>5672</v>
      </c>
      <c r="G2388" s="606" t="s">
        <v>1554</v>
      </c>
      <c r="H2388" s="606" t="s">
        <v>1555</v>
      </c>
      <c r="I2388" s="606" t="s">
        <v>1556</v>
      </c>
      <c r="J2388" s="606" t="s">
        <v>5258</v>
      </c>
    </row>
    <row r="2389" spans="2:10" ht="21" customHeight="1">
      <c r="B2389" s="605" t="s">
        <v>5673</v>
      </c>
      <c r="C2389" s="606" t="s">
        <v>15</v>
      </c>
      <c r="D2389" s="605" t="s">
        <v>689</v>
      </c>
      <c r="E2389" s="606" t="s">
        <v>5674</v>
      </c>
      <c r="F2389" s="606" t="s">
        <v>5674</v>
      </c>
      <c r="G2389" s="606" t="s">
        <v>1554</v>
      </c>
      <c r="H2389" s="606" t="s">
        <v>1555</v>
      </c>
      <c r="I2389" s="606" t="s">
        <v>1556</v>
      </c>
      <c r="J2389" s="606" t="s">
        <v>5258</v>
      </c>
    </row>
    <row r="2390" spans="2:10" ht="21" customHeight="1">
      <c r="B2390" s="605" t="s">
        <v>5675</v>
      </c>
      <c r="C2390" s="606" t="s">
        <v>15</v>
      </c>
      <c r="D2390" s="605" t="s">
        <v>689</v>
      </c>
      <c r="E2390" s="606" t="s">
        <v>5676</v>
      </c>
      <c r="F2390" s="606" t="s">
        <v>5676</v>
      </c>
      <c r="G2390" s="606" t="s">
        <v>1554</v>
      </c>
      <c r="H2390" s="606" t="s">
        <v>1555</v>
      </c>
      <c r="I2390" s="606" t="s">
        <v>1556</v>
      </c>
      <c r="J2390" s="606" t="s">
        <v>5258</v>
      </c>
    </row>
    <row r="2391" spans="2:10" ht="21" customHeight="1">
      <c r="B2391" s="605" t="s">
        <v>5677</v>
      </c>
      <c r="C2391" s="606" t="s">
        <v>15</v>
      </c>
      <c r="D2391" s="605" t="s">
        <v>689</v>
      </c>
      <c r="E2391" s="606" t="s">
        <v>5678</v>
      </c>
      <c r="F2391" s="606" t="s">
        <v>5678</v>
      </c>
      <c r="G2391" s="606" t="s">
        <v>1554</v>
      </c>
      <c r="H2391" s="606" t="s">
        <v>1555</v>
      </c>
      <c r="I2391" s="606" t="s">
        <v>1556</v>
      </c>
      <c r="J2391" s="606" t="s">
        <v>5258</v>
      </c>
    </row>
    <row r="2392" spans="2:10" ht="21" customHeight="1">
      <c r="B2392" s="605" t="s">
        <v>5679</v>
      </c>
      <c r="C2392" s="606" t="s">
        <v>15</v>
      </c>
      <c r="D2392" s="605" t="s">
        <v>689</v>
      </c>
      <c r="E2392" s="606" t="s">
        <v>5680</v>
      </c>
      <c r="F2392" s="606" t="s">
        <v>5680</v>
      </c>
      <c r="G2392" s="606" t="s">
        <v>1554</v>
      </c>
      <c r="H2392" s="606" t="s">
        <v>1555</v>
      </c>
      <c r="I2392" s="606" t="s">
        <v>1556</v>
      </c>
      <c r="J2392" s="606" t="s">
        <v>5258</v>
      </c>
    </row>
    <row r="2393" spans="2:10" ht="21" customHeight="1">
      <c r="B2393" s="605" t="s">
        <v>5681</v>
      </c>
      <c r="C2393" s="606" t="s">
        <v>15</v>
      </c>
      <c r="D2393" s="605" t="s">
        <v>689</v>
      </c>
      <c r="E2393" s="606" t="s">
        <v>5682</v>
      </c>
      <c r="F2393" s="606" t="s">
        <v>5682</v>
      </c>
      <c r="G2393" s="606" t="s">
        <v>1554</v>
      </c>
      <c r="H2393" s="606" t="s">
        <v>1555</v>
      </c>
      <c r="I2393" s="606" t="s">
        <v>1556</v>
      </c>
      <c r="J2393" s="606" t="s">
        <v>5258</v>
      </c>
    </row>
    <row r="2394" spans="2:10" ht="21" customHeight="1">
      <c r="B2394" s="605" t="s">
        <v>5683</v>
      </c>
      <c r="C2394" s="606" t="s">
        <v>15</v>
      </c>
      <c r="D2394" s="605" t="s">
        <v>689</v>
      </c>
      <c r="E2394" s="606" t="s">
        <v>5684</v>
      </c>
      <c r="F2394" s="606" t="s">
        <v>5684</v>
      </c>
      <c r="G2394" s="606" t="s">
        <v>1554</v>
      </c>
      <c r="H2394" s="606" t="s">
        <v>1555</v>
      </c>
      <c r="I2394" s="606" t="s">
        <v>1556</v>
      </c>
      <c r="J2394" s="606" t="s">
        <v>5258</v>
      </c>
    </row>
    <row r="2395" spans="2:10" ht="21" customHeight="1">
      <c r="B2395" s="605" t="s">
        <v>5685</v>
      </c>
      <c r="C2395" s="606" t="s">
        <v>15</v>
      </c>
      <c r="D2395" s="605" t="s">
        <v>689</v>
      </c>
      <c r="E2395" s="606" t="s">
        <v>5686</v>
      </c>
      <c r="F2395" s="606" t="s">
        <v>5686</v>
      </c>
      <c r="G2395" s="606" t="s">
        <v>1554</v>
      </c>
      <c r="H2395" s="606" t="s">
        <v>1555</v>
      </c>
      <c r="I2395" s="606" t="s">
        <v>1556</v>
      </c>
      <c r="J2395" s="606" t="s">
        <v>5258</v>
      </c>
    </row>
    <row r="2396" spans="2:10" ht="21" customHeight="1">
      <c r="B2396" s="605" t="s">
        <v>5687</v>
      </c>
      <c r="C2396" s="606" t="s">
        <v>15</v>
      </c>
      <c r="D2396" s="605" t="s">
        <v>689</v>
      </c>
      <c r="E2396" s="606" t="s">
        <v>5688</v>
      </c>
      <c r="F2396" s="606" t="s">
        <v>5688</v>
      </c>
      <c r="G2396" s="606" t="s">
        <v>1554</v>
      </c>
      <c r="H2396" s="606" t="s">
        <v>1555</v>
      </c>
      <c r="I2396" s="606" t="s">
        <v>1556</v>
      </c>
      <c r="J2396" s="606" t="s">
        <v>5258</v>
      </c>
    </row>
    <row r="2397" spans="2:10" ht="21" customHeight="1">
      <c r="B2397" s="605" t="s">
        <v>5689</v>
      </c>
      <c r="C2397" s="606" t="s">
        <v>15</v>
      </c>
      <c r="D2397" s="605" t="s">
        <v>689</v>
      </c>
      <c r="E2397" s="606" t="s">
        <v>5690</v>
      </c>
      <c r="F2397" s="606" t="s">
        <v>5690</v>
      </c>
      <c r="G2397" s="606" t="s">
        <v>1554</v>
      </c>
      <c r="H2397" s="606" t="s">
        <v>1555</v>
      </c>
      <c r="I2397" s="606" t="s">
        <v>1556</v>
      </c>
      <c r="J2397" s="606" t="s">
        <v>5258</v>
      </c>
    </row>
    <row r="2398" spans="2:10" ht="21" customHeight="1">
      <c r="B2398" s="605" t="s">
        <v>5691</v>
      </c>
      <c r="C2398" s="606" t="s">
        <v>15</v>
      </c>
      <c r="D2398" s="605" t="s">
        <v>689</v>
      </c>
      <c r="E2398" s="606" t="s">
        <v>5692</v>
      </c>
      <c r="F2398" s="606" t="s">
        <v>5692</v>
      </c>
      <c r="G2398" s="606" t="s">
        <v>1151</v>
      </c>
      <c r="H2398" s="606" t="s">
        <v>1152</v>
      </c>
      <c r="I2398" s="606" t="s">
        <v>1087</v>
      </c>
      <c r="J2398" s="606" t="s">
        <v>1153</v>
      </c>
    </row>
    <row r="2399" spans="2:10" ht="21" customHeight="1">
      <c r="B2399" s="605" t="s">
        <v>5693</v>
      </c>
      <c r="C2399" s="606" t="s">
        <v>15</v>
      </c>
      <c r="D2399" s="605" t="s">
        <v>689</v>
      </c>
      <c r="E2399" s="606" t="s">
        <v>5694</v>
      </c>
      <c r="F2399" s="606" t="s">
        <v>5694</v>
      </c>
      <c r="G2399" s="606" t="s">
        <v>1151</v>
      </c>
      <c r="H2399" s="606" t="s">
        <v>1152</v>
      </c>
      <c r="I2399" s="606" t="s">
        <v>1087</v>
      </c>
      <c r="J2399" s="606" t="s">
        <v>1153</v>
      </c>
    </row>
    <row r="2400" spans="2:10" ht="21" customHeight="1">
      <c r="B2400" s="605" t="s">
        <v>5695</v>
      </c>
      <c r="C2400" s="606" t="s">
        <v>15</v>
      </c>
      <c r="D2400" s="605" t="s">
        <v>689</v>
      </c>
      <c r="E2400" s="606" t="s">
        <v>5696</v>
      </c>
      <c r="F2400" s="606" t="s">
        <v>5696</v>
      </c>
      <c r="G2400" s="606" t="s">
        <v>1554</v>
      </c>
      <c r="H2400" s="606" t="s">
        <v>1555</v>
      </c>
      <c r="I2400" s="606" t="s">
        <v>1556</v>
      </c>
      <c r="J2400" s="606" t="s">
        <v>5258</v>
      </c>
    </row>
    <row r="2401" spans="2:10" ht="21" customHeight="1">
      <c r="B2401" s="605" t="s">
        <v>5697</v>
      </c>
      <c r="C2401" s="606" t="s">
        <v>15</v>
      </c>
      <c r="D2401" s="605" t="s">
        <v>690</v>
      </c>
      <c r="E2401" s="606" t="s">
        <v>5698</v>
      </c>
      <c r="F2401" s="606" t="s">
        <v>5698</v>
      </c>
      <c r="G2401" s="606" t="s">
        <v>1085</v>
      </c>
      <c r="H2401" s="606" t="s">
        <v>5699</v>
      </c>
      <c r="I2401" s="606" t="s">
        <v>1087</v>
      </c>
      <c r="J2401" s="606" t="s">
        <v>1088</v>
      </c>
    </row>
    <row r="2402" spans="2:10" ht="21" customHeight="1">
      <c r="B2402" s="605" t="s">
        <v>5700</v>
      </c>
      <c r="C2402" s="606" t="s">
        <v>15</v>
      </c>
      <c r="D2402" s="605" t="s">
        <v>690</v>
      </c>
      <c r="E2402" s="606" t="s">
        <v>5701</v>
      </c>
      <c r="F2402" s="606" t="s">
        <v>5701</v>
      </c>
      <c r="G2402" s="606" t="s">
        <v>1085</v>
      </c>
      <c r="H2402" s="606" t="s">
        <v>5699</v>
      </c>
      <c r="I2402" s="606" t="s">
        <v>1087</v>
      </c>
      <c r="J2402" s="606" t="s">
        <v>1088</v>
      </c>
    </row>
    <row r="2403" spans="2:10" ht="21" customHeight="1">
      <c r="B2403" s="605" t="s">
        <v>5702</v>
      </c>
      <c r="C2403" s="606" t="s">
        <v>15</v>
      </c>
      <c r="D2403" s="605" t="s">
        <v>690</v>
      </c>
      <c r="E2403" s="606" t="s">
        <v>5703</v>
      </c>
      <c r="F2403" s="606" t="s">
        <v>5703</v>
      </c>
      <c r="G2403" s="606" t="s">
        <v>1085</v>
      </c>
      <c r="H2403" s="606" t="s">
        <v>5699</v>
      </c>
      <c r="I2403" s="606" t="s">
        <v>1087</v>
      </c>
      <c r="J2403" s="606" t="s">
        <v>1088</v>
      </c>
    </row>
    <row r="2404" spans="2:10" ht="21" customHeight="1">
      <c r="B2404" s="605" t="s">
        <v>5704</v>
      </c>
      <c r="C2404" s="606" t="s">
        <v>15</v>
      </c>
      <c r="D2404" s="605" t="s">
        <v>690</v>
      </c>
      <c r="E2404" s="606" t="s">
        <v>5705</v>
      </c>
      <c r="F2404" s="606" t="s">
        <v>5705</v>
      </c>
      <c r="G2404" s="606" t="s">
        <v>1085</v>
      </c>
      <c r="H2404" s="606" t="s">
        <v>5699</v>
      </c>
      <c r="I2404" s="606" t="s">
        <v>1087</v>
      </c>
      <c r="J2404" s="606" t="s">
        <v>1088</v>
      </c>
    </row>
    <row r="2405" spans="2:10" ht="21" customHeight="1">
      <c r="B2405" s="605" t="s">
        <v>5706</v>
      </c>
      <c r="C2405" s="606" t="s">
        <v>15</v>
      </c>
      <c r="D2405" s="605" t="s">
        <v>690</v>
      </c>
      <c r="E2405" s="606" t="s">
        <v>5707</v>
      </c>
      <c r="F2405" s="606" t="s">
        <v>5707</v>
      </c>
      <c r="G2405" s="606" t="s">
        <v>1085</v>
      </c>
      <c r="H2405" s="606" t="s">
        <v>5699</v>
      </c>
      <c r="I2405" s="606" t="s">
        <v>1087</v>
      </c>
      <c r="J2405" s="606" t="s">
        <v>1088</v>
      </c>
    </row>
    <row r="2406" spans="2:10" ht="21" customHeight="1">
      <c r="B2406" s="605" t="s">
        <v>5708</v>
      </c>
      <c r="C2406" s="606" t="s">
        <v>15</v>
      </c>
      <c r="D2406" s="605" t="s">
        <v>690</v>
      </c>
      <c r="E2406" s="606" t="s">
        <v>5709</v>
      </c>
      <c r="F2406" s="606" t="s">
        <v>5709</v>
      </c>
      <c r="G2406" s="606" t="s">
        <v>1085</v>
      </c>
      <c r="H2406" s="606" t="s">
        <v>5699</v>
      </c>
      <c r="I2406" s="606" t="s">
        <v>1087</v>
      </c>
      <c r="J2406" s="606" t="s">
        <v>1088</v>
      </c>
    </row>
    <row r="2407" spans="2:10" ht="21" customHeight="1">
      <c r="B2407" s="605" t="s">
        <v>5710</v>
      </c>
      <c r="C2407" s="606" t="s">
        <v>15</v>
      </c>
      <c r="D2407" s="605" t="s">
        <v>690</v>
      </c>
      <c r="E2407" s="606" t="s">
        <v>1478</v>
      </c>
      <c r="F2407" s="606" t="s">
        <v>860</v>
      </c>
      <c r="G2407" s="606" t="s">
        <v>1151</v>
      </c>
      <c r="H2407" s="606" t="s">
        <v>1446</v>
      </c>
      <c r="I2407" s="606" t="s">
        <v>1087</v>
      </c>
      <c r="J2407" s="606" t="s">
        <v>1153</v>
      </c>
    </row>
    <row r="2408" spans="2:10" ht="21" customHeight="1">
      <c r="B2408" s="605" t="s">
        <v>5711</v>
      </c>
      <c r="C2408" s="606" t="s">
        <v>15</v>
      </c>
      <c r="D2408" s="605" t="s">
        <v>690</v>
      </c>
      <c r="E2408" s="606" t="s">
        <v>857</v>
      </c>
      <c r="F2408" s="606" t="s">
        <v>861</v>
      </c>
      <c r="G2408" s="606" t="s">
        <v>1085</v>
      </c>
      <c r="H2408" s="606" t="s">
        <v>5699</v>
      </c>
      <c r="I2408" s="606" t="s">
        <v>1087</v>
      </c>
      <c r="J2408" s="606" t="s">
        <v>1088</v>
      </c>
    </row>
    <row r="2409" spans="2:10" ht="21" customHeight="1">
      <c r="B2409" s="605" t="s">
        <v>5712</v>
      </c>
      <c r="C2409" s="606" t="s">
        <v>15</v>
      </c>
      <c r="D2409" s="605" t="s">
        <v>690</v>
      </c>
      <c r="E2409" s="606" t="s">
        <v>1481</v>
      </c>
      <c r="F2409" s="606" t="s">
        <v>863</v>
      </c>
      <c r="G2409" s="606" t="s">
        <v>1085</v>
      </c>
      <c r="H2409" s="606" t="s">
        <v>5699</v>
      </c>
      <c r="I2409" s="606" t="s">
        <v>1087</v>
      </c>
      <c r="J2409" s="606" t="s">
        <v>1088</v>
      </c>
    </row>
    <row r="2410" spans="2:10" ht="21" customHeight="1">
      <c r="B2410" s="605" t="s">
        <v>5713</v>
      </c>
      <c r="C2410" s="606" t="s">
        <v>15</v>
      </c>
      <c r="D2410" s="605" t="s">
        <v>690</v>
      </c>
      <c r="E2410" s="606" t="s">
        <v>1483</v>
      </c>
      <c r="F2410" s="606" t="s">
        <v>1484</v>
      </c>
      <c r="G2410" s="606" t="s">
        <v>1151</v>
      </c>
      <c r="H2410" s="606" t="s">
        <v>1446</v>
      </c>
      <c r="I2410" s="606" t="s">
        <v>1087</v>
      </c>
      <c r="J2410" s="606" t="s">
        <v>1153</v>
      </c>
    </row>
    <row r="2411" spans="2:10" ht="21" customHeight="1">
      <c r="B2411" s="605" t="s">
        <v>5714</v>
      </c>
      <c r="C2411" s="606" t="s">
        <v>15</v>
      </c>
      <c r="D2411" s="605" t="s">
        <v>690</v>
      </c>
      <c r="E2411" s="606" t="s">
        <v>1486</v>
      </c>
      <c r="F2411" s="606" t="s">
        <v>864</v>
      </c>
      <c r="G2411" s="606" t="s">
        <v>1151</v>
      </c>
      <c r="H2411" s="606" t="s">
        <v>1446</v>
      </c>
      <c r="I2411" s="606" t="s">
        <v>1087</v>
      </c>
      <c r="J2411" s="606" t="s">
        <v>1153</v>
      </c>
    </row>
    <row r="2412" spans="2:10" ht="21" customHeight="1">
      <c r="B2412" s="605" t="s">
        <v>5715</v>
      </c>
      <c r="C2412" s="606" t="s">
        <v>15</v>
      </c>
      <c r="D2412" s="605" t="s">
        <v>690</v>
      </c>
      <c r="E2412" s="606" t="s">
        <v>1488</v>
      </c>
      <c r="F2412" s="606" t="s">
        <v>867</v>
      </c>
      <c r="G2412" s="606" t="s">
        <v>1151</v>
      </c>
      <c r="H2412" s="606" t="s">
        <v>1446</v>
      </c>
      <c r="I2412" s="606" t="s">
        <v>1087</v>
      </c>
      <c r="J2412" s="606" t="s">
        <v>1153</v>
      </c>
    </row>
    <row r="2413" spans="2:10" ht="21" customHeight="1">
      <c r="B2413" s="605" t="s">
        <v>5716</v>
      </c>
      <c r="C2413" s="606" t="s">
        <v>15</v>
      </c>
      <c r="D2413" s="605" t="s">
        <v>690</v>
      </c>
      <c r="E2413" s="606" t="s">
        <v>1490</v>
      </c>
      <c r="F2413" s="606" t="s">
        <v>869</v>
      </c>
      <c r="G2413" s="606" t="s">
        <v>1085</v>
      </c>
      <c r="H2413" s="606" t="s">
        <v>5699</v>
      </c>
      <c r="I2413" s="606" t="s">
        <v>1087</v>
      </c>
      <c r="J2413" s="606" t="s">
        <v>1088</v>
      </c>
    </row>
    <row r="2414" spans="2:10" ht="21" customHeight="1">
      <c r="B2414" s="605" t="s">
        <v>5717</v>
      </c>
      <c r="C2414" s="606" t="s">
        <v>15</v>
      </c>
      <c r="D2414" s="605" t="s">
        <v>690</v>
      </c>
      <c r="E2414" s="606" t="s">
        <v>693</v>
      </c>
      <c r="F2414" s="606" t="s">
        <v>693</v>
      </c>
      <c r="G2414" s="606" t="s">
        <v>1085</v>
      </c>
      <c r="H2414" s="606" t="s">
        <v>5699</v>
      </c>
      <c r="I2414" s="606" t="s">
        <v>1087</v>
      </c>
      <c r="J2414" s="606" t="s">
        <v>1088</v>
      </c>
    </row>
    <row r="2415" spans="2:10" ht="21" customHeight="1">
      <c r="B2415" s="605" t="s">
        <v>5718</v>
      </c>
      <c r="C2415" s="606" t="s">
        <v>15</v>
      </c>
      <c r="D2415" s="605" t="s">
        <v>690</v>
      </c>
      <c r="E2415" s="606" t="s">
        <v>5719</v>
      </c>
      <c r="F2415" s="606" t="s">
        <v>5720</v>
      </c>
      <c r="G2415" s="606" t="s">
        <v>1085</v>
      </c>
      <c r="H2415" s="606" t="s">
        <v>5699</v>
      </c>
      <c r="I2415" s="606" t="s">
        <v>1087</v>
      </c>
      <c r="J2415" s="606" t="s">
        <v>1088</v>
      </c>
    </row>
    <row r="2416" spans="2:10" ht="21" customHeight="1">
      <c r="B2416" s="605" t="s">
        <v>5721</v>
      </c>
      <c r="C2416" s="606" t="s">
        <v>15</v>
      </c>
      <c r="D2416" s="605" t="s">
        <v>690</v>
      </c>
      <c r="E2416" s="606" t="s">
        <v>694</v>
      </c>
      <c r="F2416" s="606" t="s">
        <v>694</v>
      </c>
      <c r="G2416" s="606" t="s">
        <v>1085</v>
      </c>
      <c r="H2416" s="606" t="s">
        <v>5699</v>
      </c>
      <c r="I2416" s="606" t="s">
        <v>1087</v>
      </c>
      <c r="J2416" s="606" t="s">
        <v>1088</v>
      </c>
    </row>
    <row r="2417" spans="2:10" ht="21" customHeight="1">
      <c r="B2417" s="605" t="s">
        <v>5722</v>
      </c>
      <c r="C2417" s="606" t="s">
        <v>15</v>
      </c>
      <c r="D2417" s="605" t="s">
        <v>1511</v>
      </c>
      <c r="E2417" s="606" t="s">
        <v>3801</v>
      </c>
      <c r="F2417" s="606" t="s">
        <v>3801</v>
      </c>
      <c r="G2417" s="606" t="s">
        <v>1085</v>
      </c>
      <c r="H2417" s="606" t="s">
        <v>3799</v>
      </c>
      <c r="I2417" s="606" t="s">
        <v>1087</v>
      </c>
      <c r="J2417" s="606" t="s">
        <v>1088</v>
      </c>
    </row>
    <row r="2418" spans="2:10" ht="21" customHeight="1">
      <c r="B2418" s="605" t="s">
        <v>5723</v>
      </c>
      <c r="C2418" s="606" t="s">
        <v>15</v>
      </c>
      <c r="D2418" s="605" t="s">
        <v>1511</v>
      </c>
      <c r="E2418" s="606" t="s">
        <v>3808</v>
      </c>
      <c r="F2418" s="606" t="s">
        <v>3808</v>
      </c>
      <c r="G2418" s="606" t="s">
        <v>1085</v>
      </c>
      <c r="H2418" s="606" t="s">
        <v>3799</v>
      </c>
      <c r="I2418" s="606" t="s">
        <v>1087</v>
      </c>
      <c r="J2418" s="606" t="s">
        <v>1088</v>
      </c>
    </row>
    <row r="2419" spans="2:10" ht="21" customHeight="1">
      <c r="B2419" s="605" t="s">
        <v>5724</v>
      </c>
      <c r="C2419" s="606" t="s">
        <v>15</v>
      </c>
      <c r="D2419" s="605" t="s">
        <v>1511</v>
      </c>
      <c r="E2419" s="606" t="s">
        <v>5725</v>
      </c>
      <c r="F2419" s="606" t="s">
        <v>5726</v>
      </c>
      <c r="G2419" s="606" t="s">
        <v>1085</v>
      </c>
      <c r="H2419" s="606" t="s">
        <v>3799</v>
      </c>
      <c r="I2419" s="606" t="s">
        <v>1087</v>
      </c>
      <c r="J2419" s="606" t="s">
        <v>1088</v>
      </c>
    </row>
    <row r="2420" spans="2:10" ht="21" customHeight="1">
      <c r="B2420" s="605" t="s">
        <v>5727</v>
      </c>
      <c r="C2420" s="606" t="s">
        <v>15</v>
      </c>
      <c r="D2420" s="605" t="s">
        <v>1511</v>
      </c>
      <c r="E2420" s="606" t="s">
        <v>5728</v>
      </c>
      <c r="F2420" s="606" t="s">
        <v>5729</v>
      </c>
      <c r="G2420" s="606" t="s">
        <v>1085</v>
      </c>
      <c r="H2420" s="606" t="s">
        <v>3799</v>
      </c>
      <c r="I2420" s="606" t="s">
        <v>1087</v>
      </c>
      <c r="J2420" s="606" t="s">
        <v>1088</v>
      </c>
    </row>
    <row r="2421" spans="2:10" ht="21" customHeight="1">
      <c r="B2421" s="605" t="s">
        <v>5730</v>
      </c>
      <c r="C2421" s="606" t="s">
        <v>15</v>
      </c>
      <c r="D2421" s="605" t="s">
        <v>1511</v>
      </c>
      <c r="E2421" s="606" t="s">
        <v>1052</v>
      </c>
      <c r="F2421" s="606" t="s">
        <v>1052</v>
      </c>
      <c r="G2421" s="606" t="s">
        <v>1085</v>
      </c>
      <c r="H2421" s="606" t="s">
        <v>3799</v>
      </c>
      <c r="I2421" s="606" t="s">
        <v>1087</v>
      </c>
      <c r="J2421" s="606" t="s">
        <v>1088</v>
      </c>
    </row>
    <row r="2422" spans="2:10" ht="21" customHeight="1">
      <c r="B2422" s="605" t="s">
        <v>5747</v>
      </c>
      <c r="C2422" s="606" t="s">
        <v>1083</v>
      </c>
      <c r="D2422" s="605" t="s">
        <v>690</v>
      </c>
      <c r="E2422" s="606" t="s">
        <v>5738</v>
      </c>
      <c r="F2422" s="606" t="s">
        <v>5738</v>
      </c>
      <c r="G2422" s="606" t="s">
        <v>1085</v>
      </c>
      <c r="H2422" s="606" t="s">
        <v>5748</v>
      </c>
      <c r="I2422" s="606" t="s">
        <v>1087</v>
      </c>
      <c r="J2422" s="606" t="s">
        <v>1153</v>
      </c>
    </row>
    <row r="2423" spans="2:10" ht="21" customHeight="1">
      <c r="B2423" s="605" t="s">
        <v>5749</v>
      </c>
      <c r="C2423" s="606" t="s">
        <v>1083</v>
      </c>
      <c r="D2423" s="605" t="s">
        <v>689</v>
      </c>
      <c r="E2423" s="606" t="s">
        <v>887</v>
      </c>
      <c r="F2423" s="606" t="s">
        <v>887</v>
      </c>
      <c r="G2423" s="606" t="s">
        <v>5750</v>
      </c>
      <c r="H2423" s="606" t="s">
        <v>5751</v>
      </c>
      <c r="I2423" s="606" t="s">
        <v>1087</v>
      </c>
      <c r="J2423" s="606" t="s">
        <v>1153</v>
      </c>
    </row>
    <row r="2424" spans="2:10" ht="21" customHeight="1">
      <c r="B2424" s="605" t="s">
        <v>5752</v>
      </c>
      <c r="C2424" s="606" t="s">
        <v>1083</v>
      </c>
      <c r="D2424" s="605" t="s">
        <v>689</v>
      </c>
      <c r="E2424" s="606" t="s">
        <v>5753</v>
      </c>
      <c r="F2424" s="606" t="s">
        <v>5753</v>
      </c>
      <c r="G2424" s="606" t="s">
        <v>5750</v>
      </c>
      <c r="H2424" s="606" t="s">
        <v>5754</v>
      </c>
      <c r="I2424" s="606" t="s">
        <v>1087</v>
      </c>
      <c r="J2424" s="606" t="s">
        <v>1153</v>
      </c>
    </row>
    <row r="2425" spans="2:10" ht="21" customHeight="1">
      <c r="B2425" s="605" t="s">
        <v>5755</v>
      </c>
      <c r="C2425" s="606" t="s">
        <v>1083</v>
      </c>
      <c r="D2425" s="605" t="s">
        <v>689</v>
      </c>
      <c r="E2425" s="606" t="s">
        <v>5756</v>
      </c>
      <c r="F2425" s="606" t="s">
        <v>5756</v>
      </c>
      <c r="G2425" s="606" t="s">
        <v>5750</v>
      </c>
      <c r="H2425" s="606" t="s">
        <v>5757</v>
      </c>
      <c r="I2425" s="606" t="s">
        <v>1087</v>
      </c>
      <c r="J2425" s="606" t="s">
        <v>1153</v>
      </c>
    </row>
    <row r="2426" spans="2:10" ht="21" customHeight="1">
      <c r="B2426" s="605" t="s">
        <v>5758</v>
      </c>
      <c r="C2426" s="606" t="s">
        <v>8</v>
      </c>
      <c r="D2426" s="605" t="s">
        <v>689</v>
      </c>
      <c r="E2426" s="606" t="s">
        <v>45</v>
      </c>
      <c r="F2426" s="606" t="s">
        <v>45</v>
      </c>
      <c r="G2426" s="606" t="s">
        <v>5750</v>
      </c>
      <c r="H2426" s="606" t="s">
        <v>5759</v>
      </c>
      <c r="I2426" s="606" t="s">
        <v>1087</v>
      </c>
      <c r="J2426" s="606" t="s">
        <v>1153</v>
      </c>
    </row>
    <row r="2427" spans="2:10" ht="21" customHeight="1">
      <c r="B2427" s="605" t="s">
        <v>5760</v>
      </c>
      <c r="C2427" s="606" t="s">
        <v>8</v>
      </c>
      <c r="D2427" s="605" t="s">
        <v>689</v>
      </c>
      <c r="E2427" s="606" t="s">
        <v>5761</v>
      </c>
      <c r="F2427" s="606" t="s">
        <v>5761</v>
      </c>
      <c r="G2427" s="606" t="s">
        <v>5750</v>
      </c>
      <c r="H2427" s="606" t="s">
        <v>5762</v>
      </c>
      <c r="I2427" s="606" t="s">
        <v>1087</v>
      </c>
      <c r="J2427" s="606" t="s">
        <v>1153</v>
      </c>
    </row>
    <row r="2428" spans="2:10" ht="21" customHeight="1">
      <c r="B2428" s="605" t="s">
        <v>5763</v>
      </c>
      <c r="C2428" s="606" t="s">
        <v>11</v>
      </c>
      <c r="D2428" s="605" t="s">
        <v>689</v>
      </c>
      <c r="E2428" s="606" t="s">
        <v>5764</v>
      </c>
      <c r="F2428" s="606" t="s">
        <v>5764</v>
      </c>
      <c r="G2428" s="606" t="s">
        <v>5765</v>
      </c>
      <c r="H2428" s="606" t="s">
        <v>5766</v>
      </c>
      <c r="I2428" s="606" t="s">
        <v>1087</v>
      </c>
      <c r="J2428" s="606" t="s">
        <v>1153</v>
      </c>
    </row>
    <row r="2429" spans="2:10" ht="21" customHeight="1">
      <c r="B2429" s="605" t="s">
        <v>5767</v>
      </c>
      <c r="C2429" s="606" t="s">
        <v>11</v>
      </c>
      <c r="D2429" s="605" t="s">
        <v>689</v>
      </c>
      <c r="E2429" s="606" t="s">
        <v>5768</v>
      </c>
      <c r="F2429" s="606" t="s">
        <v>5768</v>
      </c>
      <c r="G2429" s="606" t="s">
        <v>5765</v>
      </c>
      <c r="H2429" s="606" t="s">
        <v>5769</v>
      </c>
      <c r="I2429" s="606" t="s">
        <v>1087</v>
      </c>
      <c r="J2429" s="606" t="s">
        <v>1153</v>
      </c>
    </row>
  </sheetData>
  <mergeCells count="15">
    <mergeCell ref="B2:U2"/>
    <mergeCell ref="B3:U4"/>
    <mergeCell ref="L6:N6"/>
    <mergeCell ref="P6:U6"/>
    <mergeCell ref="P7:Q7"/>
    <mergeCell ref="R7:U7"/>
    <mergeCell ref="P11:Q11"/>
    <mergeCell ref="R11:U11"/>
    <mergeCell ref="P13:U14"/>
    <mergeCell ref="P8:Q8"/>
    <mergeCell ref="R8:U8"/>
    <mergeCell ref="P9:Q9"/>
    <mergeCell ref="R9:U9"/>
    <mergeCell ref="P10:Q10"/>
    <mergeCell ref="R10:U10"/>
  </mergeCells>
  <conditionalFormatting sqref="D7:D2429">
    <cfRule type="expression" dxfId="29" priority="1">
      <formula>$D7="SUSP_EXCL"</formula>
    </cfRule>
    <cfRule type="expression" dxfId="28" priority="2">
      <formula>$D7="ALERTE"</formula>
    </cfRule>
    <cfRule type="expression" dxfId="27" priority="3">
      <formula>$D7="SUSPICION"</formula>
    </cfRule>
    <cfRule type="expression" dxfId="26" priority="4">
      <formula>$D7="EXCL"</formula>
    </cfRule>
  </conditionalFormatting>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8629F-3815-4E3A-A911-1D8D7A4A5CB3}">
  <dimension ref="A1:AGI201"/>
  <sheetViews>
    <sheetView zoomScaleNormal="100" workbookViewId="0">
      <selection activeCell="D14" sqref="D14:D15"/>
    </sheetView>
  </sheetViews>
  <sheetFormatPr baseColWidth="10" defaultColWidth="9.140625" defaultRowHeight="15"/>
  <cols>
    <col min="1" max="1" width="8" style="1" customWidth="1"/>
    <col min="2" max="2" width="80.7109375" style="1" customWidth="1"/>
    <col min="3" max="3" width="5" style="1" customWidth="1"/>
    <col min="4" max="4" width="80.7109375" style="1" customWidth="1"/>
    <col min="5" max="5" width="40.28515625" style="1" customWidth="1"/>
    <col min="6" max="6" width="26" style="1" customWidth="1"/>
    <col min="7" max="7" width="28" style="1" customWidth="1"/>
    <col min="8" max="8" width="12" style="1" customWidth="1"/>
    <col min="9" max="9" width="14" style="1" customWidth="1"/>
    <col min="10" max="10" width="24" style="1" customWidth="1"/>
    <col min="11" max="340" width="13" style="1" hidden="1" customWidth="1"/>
    <col min="341" max="566" width="0" style="1" hidden="1" customWidth="1"/>
    <col min="567" max="736" width="13" style="1" hidden="1" customWidth="1"/>
    <col min="737" max="737" width="14.42578125" style="1" hidden="1" customWidth="1"/>
    <col min="738" max="763" width="13" style="1" hidden="1" customWidth="1"/>
    <col min="764" max="764" width="14.42578125" style="1" hidden="1" customWidth="1"/>
    <col min="765" max="865" width="13" style="1" hidden="1" customWidth="1"/>
    <col min="866" max="866" width="33.140625" style="1" customWidth="1"/>
    <col min="867" max="16384" width="9.140625" style="1"/>
  </cols>
  <sheetData>
    <row r="1" spans="1:867" ht="21.95" customHeight="1">
      <c r="A1" s="1408" t="s">
        <v>7014</v>
      </c>
      <c r="B1" s="1408"/>
      <c r="C1" s="1408"/>
      <c r="D1" s="1408"/>
      <c r="E1" s="1408"/>
      <c r="F1" s="1408"/>
      <c r="G1" s="1408"/>
      <c r="H1" s="1408"/>
      <c r="I1" s="1408"/>
      <c r="J1" s="1408"/>
    </row>
    <row r="2" spans="1:867" ht="21" customHeight="1">
      <c r="A2" s="1033" t="s">
        <v>7015</v>
      </c>
      <c r="B2" s="1033"/>
      <c r="C2" s="1034"/>
      <c r="D2" s="1034"/>
      <c r="E2" s="1034"/>
      <c r="F2" s="1034"/>
      <c r="G2" s="1034"/>
      <c r="H2" s="1034"/>
      <c r="I2" s="1034"/>
      <c r="J2" s="1035" t="s">
        <v>841</v>
      </c>
      <c r="K2" s="1035"/>
    </row>
    <row r="3" spans="1:867" ht="21" customHeight="1">
      <c r="A3" s="1033" t="s">
        <v>7016</v>
      </c>
      <c r="B3" s="1033"/>
      <c r="C3" s="1034"/>
      <c r="D3" s="1034"/>
      <c r="E3" s="1034"/>
      <c r="F3" s="1034"/>
      <c r="G3" s="1034"/>
      <c r="H3" s="1034"/>
      <c r="I3" s="1034"/>
      <c r="J3" s="1034"/>
    </row>
    <row r="4" spans="1:867" ht="21" customHeight="1">
      <c r="A4" s="1033" t="s">
        <v>7017</v>
      </c>
      <c r="B4" s="1033"/>
      <c r="C4" s="1034"/>
      <c r="D4" s="1034"/>
      <c r="E4" s="1034"/>
      <c r="F4" s="1034"/>
      <c r="G4" s="1034"/>
      <c r="H4" s="1034"/>
      <c r="I4" s="1034"/>
      <c r="J4" s="1034"/>
    </row>
    <row r="5" spans="1:867" ht="21" customHeight="1">
      <c r="A5" s="1033" t="s">
        <v>7018</v>
      </c>
      <c r="B5" s="1033"/>
      <c r="C5" s="1034"/>
      <c r="D5" s="1034"/>
      <c r="E5" s="1034"/>
      <c r="F5" s="1034"/>
      <c r="G5" s="1034"/>
      <c r="H5" s="1034"/>
      <c r="I5" s="1034"/>
      <c r="J5" s="1034"/>
    </row>
    <row r="6" spans="1:867" ht="18" customHeight="1"/>
    <row r="7" spans="1:867" ht="21" customHeight="1">
      <c r="A7" s="1036" t="s">
        <v>7019</v>
      </c>
      <c r="B7" s="1036"/>
      <c r="C7" s="1036"/>
      <c r="D7" s="1036"/>
      <c r="E7" s="1036"/>
      <c r="F7" s="1036"/>
      <c r="G7" s="1036"/>
      <c r="H7" s="1036"/>
      <c r="I7" s="1036"/>
      <c r="J7" s="1036"/>
      <c r="AGH7" s="1037" t="s">
        <v>7020</v>
      </c>
    </row>
    <row r="8" spans="1:867" ht="21" customHeight="1">
      <c r="A8" s="1038" t="s">
        <v>7021</v>
      </c>
      <c r="B8" s="1039"/>
      <c r="C8" s="1039"/>
      <c r="D8" s="1039"/>
      <c r="E8" s="1039"/>
      <c r="F8" s="1039"/>
      <c r="G8" s="1039"/>
      <c r="H8" s="1039"/>
      <c r="I8" s="1039"/>
      <c r="J8" s="1039"/>
      <c r="AGH8" s="1" t="s">
        <v>7022</v>
      </c>
    </row>
    <row r="9" spans="1:867" ht="21" customHeight="1">
      <c r="A9" s="1409" t="s">
        <v>7023</v>
      </c>
      <c r="B9" s="1409"/>
      <c r="C9" s="1409"/>
      <c r="D9" s="1409"/>
      <c r="E9" s="1409"/>
      <c r="F9" s="1409"/>
      <c r="G9" s="1409"/>
      <c r="H9" s="1409"/>
      <c r="I9" s="1409"/>
      <c r="J9" s="1409"/>
      <c r="BV9" s="1" t="s">
        <v>7024</v>
      </c>
    </row>
    <row r="10" spans="1:867" ht="15.75">
      <c r="A10" s="1040" t="s">
        <v>261</v>
      </c>
      <c r="B10" s="1041" t="s">
        <v>7025</v>
      </c>
      <c r="BV10" s="1042" t="s">
        <v>7026</v>
      </c>
      <c r="AGH10" s="1043" t="s">
        <v>7022</v>
      </c>
    </row>
    <row r="11" spans="1:867">
      <c r="A11" s="1044"/>
      <c r="B11" s="1044"/>
      <c r="C11" s="1044"/>
      <c r="D11" s="1044"/>
      <c r="E11" s="1044"/>
      <c r="F11" s="1044"/>
      <c r="G11" s="1044"/>
      <c r="H11" s="1044"/>
      <c r="I11" s="1044"/>
      <c r="J11" s="1044"/>
      <c r="BV11" s="1045" t="s">
        <v>9</v>
      </c>
      <c r="BW11" s="1046" t="s">
        <v>9</v>
      </c>
      <c r="BX11" s="1046" t="s">
        <v>9</v>
      </c>
      <c r="BY11" s="1046" t="s">
        <v>9</v>
      </c>
      <c r="BZ11" s="1046" t="s">
        <v>9</v>
      </c>
      <c r="CA11" s="1046" t="s">
        <v>9</v>
      </c>
      <c r="CB11" s="1046" t="s">
        <v>9</v>
      </c>
      <c r="CC11" s="1046" t="s">
        <v>9</v>
      </c>
      <c r="CD11" s="1046" t="s">
        <v>9</v>
      </c>
      <c r="CE11" s="1046" t="s">
        <v>9</v>
      </c>
      <c r="CF11" s="1046" t="s">
        <v>9</v>
      </c>
      <c r="CG11" s="1046" t="s">
        <v>9</v>
      </c>
      <c r="CH11" s="1046" t="s">
        <v>9</v>
      </c>
      <c r="CI11" s="1046" t="s">
        <v>9</v>
      </c>
      <c r="CJ11" s="1046" t="s">
        <v>9</v>
      </c>
      <c r="CK11" s="1046" t="s">
        <v>9</v>
      </c>
      <c r="CL11" s="1046" t="s">
        <v>9</v>
      </c>
      <c r="CM11" s="1046" t="s">
        <v>9</v>
      </c>
      <c r="CN11" s="1046" t="s">
        <v>9</v>
      </c>
      <c r="CO11" s="1046" t="s">
        <v>9</v>
      </c>
      <c r="CP11" s="1046" t="s">
        <v>9</v>
      </c>
      <c r="CQ11" s="1046" t="s">
        <v>9</v>
      </c>
      <c r="CR11" s="1046" t="s">
        <v>9</v>
      </c>
      <c r="CS11" s="1046" t="s">
        <v>9</v>
      </c>
      <c r="CT11" s="1046" t="s">
        <v>9</v>
      </c>
      <c r="CU11" s="1046" t="s">
        <v>9</v>
      </c>
      <c r="CV11" s="1046" t="s">
        <v>9</v>
      </c>
      <c r="CW11" s="1046" t="s">
        <v>9</v>
      </c>
      <c r="CX11" s="1046" t="s">
        <v>9</v>
      </c>
      <c r="CY11" s="1046" t="s">
        <v>9</v>
      </c>
      <c r="CZ11" s="1046" t="s">
        <v>9</v>
      </c>
      <c r="DA11" s="1046" t="s">
        <v>9</v>
      </c>
      <c r="DB11" s="1046" t="s">
        <v>9</v>
      </c>
      <c r="DC11" s="1046" t="s">
        <v>9</v>
      </c>
      <c r="DD11" s="1046" t="s">
        <v>9</v>
      </c>
      <c r="DE11" s="1046" t="s">
        <v>9</v>
      </c>
      <c r="DF11" s="1046" t="s">
        <v>9</v>
      </c>
      <c r="DG11" s="1045" t="s">
        <v>7027</v>
      </c>
      <c r="DH11" s="1046" t="s">
        <v>7027</v>
      </c>
      <c r="DI11" s="1046" t="s">
        <v>7027</v>
      </c>
      <c r="DJ11" s="1046" t="s">
        <v>7027</v>
      </c>
      <c r="DK11" s="1046" t="s">
        <v>7027</v>
      </c>
      <c r="DL11" s="1046" t="s">
        <v>7027</v>
      </c>
      <c r="DM11" s="1046" t="s">
        <v>7027</v>
      </c>
      <c r="DN11" s="1046" t="s">
        <v>7027</v>
      </c>
      <c r="DO11" s="1046" t="s">
        <v>7027</v>
      </c>
      <c r="DP11" s="1046" t="s">
        <v>7027</v>
      </c>
      <c r="DQ11" s="1046" t="s">
        <v>7027</v>
      </c>
      <c r="DR11" s="1046" t="s">
        <v>7027</v>
      </c>
      <c r="DS11" s="1046" t="s">
        <v>7027</v>
      </c>
      <c r="DT11" s="1046" t="s">
        <v>7027</v>
      </c>
      <c r="DU11" s="1046" t="s">
        <v>7027</v>
      </c>
      <c r="DV11" s="1046" t="s">
        <v>7027</v>
      </c>
      <c r="DW11" s="1046" t="s">
        <v>7027</v>
      </c>
      <c r="DX11" s="1046" t="s">
        <v>7027</v>
      </c>
      <c r="DY11" s="1045" t="s">
        <v>7028</v>
      </c>
      <c r="DZ11" s="1047" t="s">
        <v>7028</v>
      </c>
      <c r="EA11" s="1047" t="s">
        <v>7028</v>
      </c>
      <c r="EB11" s="1047" t="s">
        <v>7028</v>
      </c>
      <c r="EC11" s="1046" t="s">
        <v>7028</v>
      </c>
      <c r="ED11" s="1046" t="s">
        <v>7028</v>
      </c>
      <c r="EE11" s="1046" t="s">
        <v>7028</v>
      </c>
      <c r="EF11" s="1046" t="s">
        <v>7028</v>
      </c>
      <c r="EG11" s="1046" t="s">
        <v>7028</v>
      </c>
      <c r="EH11" s="1046" t="s">
        <v>7028</v>
      </c>
      <c r="EI11" s="1046" t="s">
        <v>7028</v>
      </c>
      <c r="EJ11" s="1046" t="s">
        <v>7028</v>
      </c>
      <c r="EK11" s="1047" t="s">
        <v>7028</v>
      </c>
      <c r="EL11" s="1046" t="s">
        <v>7028</v>
      </c>
      <c r="EM11" s="1046" t="s">
        <v>7028</v>
      </c>
      <c r="EN11" s="1046" t="s">
        <v>7028</v>
      </c>
      <c r="EO11" s="1046" t="s">
        <v>7028</v>
      </c>
      <c r="EP11" s="1047" t="s">
        <v>7028</v>
      </c>
      <c r="EQ11" s="1046" t="s">
        <v>7028</v>
      </c>
      <c r="ER11" s="1046" t="s">
        <v>7028</v>
      </c>
      <c r="ES11" s="1046" t="s">
        <v>7028</v>
      </c>
      <c r="ET11" s="1046" t="s">
        <v>7028</v>
      </c>
      <c r="EU11" s="1046" t="s">
        <v>7028</v>
      </c>
      <c r="EV11" s="1045" t="s">
        <v>7028</v>
      </c>
      <c r="EW11" s="1045" t="s">
        <v>7028</v>
      </c>
      <c r="EX11" s="1045" t="s">
        <v>7028</v>
      </c>
      <c r="EY11" s="1045" t="s">
        <v>7028</v>
      </c>
      <c r="EZ11" s="1045" t="s">
        <v>7029</v>
      </c>
      <c r="FA11" s="1046" t="s">
        <v>7029</v>
      </c>
      <c r="FB11" s="1047" t="s">
        <v>7029</v>
      </c>
      <c r="FC11" s="1046" t="s">
        <v>7029</v>
      </c>
      <c r="FD11" s="1046" t="s">
        <v>7029</v>
      </c>
      <c r="FE11" s="1046" t="s">
        <v>7029</v>
      </c>
      <c r="FF11" s="1046" t="s">
        <v>7029</v>
      </c>
      <c r="FG11" s="1046" t="s">
        <v>7029</v>
      </c>
      <c r="FH11" s="1046" t="s">
        <v>7029</v>
      </c>
      <c r="FI11" s="1046" t="s">
        <v>7029</v>
      </c>
      <c r="FJ11" s="1046" t="s">
        <v>7029</v>
      </c>
      <c r="FK11" s="1046" t="s">
        <v>7029</v>
      </c>
      <c r="FL11" s="1046" t="s">
        <v>7029</v>
      </c>
      <c r="FM11" s="1046" t="s">
        <v>7029</v>
      </c>
      <c r="FN11" s="1046" t="s">
        <v>7029</v>
      </c>
      <c r="FO11" s="1047" t="s">
        <v>7029</v>
      </c>
      <c r="FP11" s="1046" t="s">
        <v>7029</v>
      </c>
      <c r="FQ11" s="1046" t="s">
        <v>7029</v>
      </c>
      <c r="FR11" s="1046" t="s">
        <v>7029</v>
      </c>
      <c r="FS11" s="1047" t="s">
        <v>7029</v>
      </c>
      <c r="FT11" s="1046" t="s">
        <v>7029</v>
      </c>
      <c r="FU11" s="1046" t="s">
        <v>7029</v>
      </c>
      <c r="FV11" s="1047" t="s">
        <v>7029</v>
      </c>
      <c r="FW11" s="1047" t="s">
        <v>7029</v>
      </c>
      <c r="FX11" s="1046" t="s">
        <v>7029</v>
      </c>
      <c r="FY11" s="1046" t="s">
        <v>7029</v>
      </c>
      <c r="FZ11" s="1046" t="s">
        <v>7029</v>
      </c>
      <c r="GA11" s="1046" t="s">
        <v>7029</v>
      </c>
      <c r="GB11" s="1046" t="s">
        <v>7029</v>
      </c>
      <c r="GC11" s="1046" t="s">
        <v>7029</v>
      </c>
      <c r="GD11" s="1046" t="s">
        <v>7029</v>
      </c>
      <c r="GE11" s="1047" t="s">
        <v>7029</v>
      </c>
      <c r="GF11" s="1046" t="s">
        <v>7029</v>
      </c>
      <c r="GG11" s="1046" t="s">
        <v>7029</v>
      </c>
      <c r="GH11" s="1047" t="s">
        <v>7029</v>
      </c>
      <c r="GI11" s="1046" t="s">
        <v>7029</v>
      </c>
      <c r="GJ11" s="1046" t="s">
        <v>7029</v>
      </c>
      <c r="GK11" s="1046" t="s">
        <v>7029</v>
      </c>
      <c r="GL11" s="1046" t="s">
        <v>7029</v>
      </c>
      <c r="GM11" s="1046" t="s">
        <v>7029</v>
      </c>
      <c r="GN11" s="1046" t="s">
        <v>7029</v>
      </c>
      <c r="GO11" s="1047" t="s">
        <v>7029</v>
      </c>
      <c r="GP11" s="1047" t="s">
        <v>7029</v>
      </c>
      <c r="GQ11" s="1046" t="s">
        <v>7029</v>
      </c>
      <c r="GR11" s="1046" t="s">
        <v>7029</v>
      </c>
      <c r="GS11" s="1046" t="s">
        <v>7029</v>
      </c>
      <c r="GT11" s="1046" t="s">
        <v>7029</v>
      </c>
      <c r="GU11" s="1046" t="s">
        <v>7029</v>
      </c>
      <c r="GV11" s="1047" t="s">
        <v>7029</v>
      </c>
      <c r="GW11" s="1046" t="s">
        <v>7029</v>
      </c>
      <c r="GX11" t="s">
        <v>7029</v>
      </c>
      <c r="GY11" s="1045" t="s">
        <v>7029</v>
      </c>
      <c r="GZ11" s="1045" t="s">
        <v>7029</v>
      </c>
      <c r="HA11" s="1045" t="s">
        <v>7029</v>
      </c>
      <c r="HB11" t="s">
        <v>7029</v>
      </c>
      <c r="HC11" t="s">
        <v>7029</v>
      </c>
      <c r="HD11" t="s">
        <v>7029</v>
      </c>
      <c r="HE11" t="s">
        <v>7029</v>
      </c>
      <c r="HF11" s="1045" t="s">
        <v>7029</v>
      </c>
      <c r="HG11" s="1045" t="s">
        <v>7029</v>
      </c>
      <c r="HH11" s="1045" t="s">
        <v>7029</v>
      </c>
      <c r="HI11" s="1045" t="s">
        <v>7029</v>
      </c>
      <c r="HJ11" s="1045" t="s">
        <v>7029</v>
      </c>
      <c r="HK11" s="1045" t="s">
        <v>7029</v>
      </c>
      <c r="HL11" s="1045" t="s">
        <v>7</v>
      </c>
      <c r="HM11" s="1045" t="s">
        <v>7</v>
      </c>
      <c r="HN11" s="1045" t="s">
        <v>7</v>
      </c>
      <c r="HO11" s="1045" t="s">
        <v>7</v>
      </c>
      <c r="HP11" s="1045" t="s">
        <v>7</v>
      </c>
      <c r="HQ11" s="1047" t="s">
        <v>7</v>
      </c>
      <c r="HR11" s="1047" t="s">
        <v>7</v>
      </c>
      <c r="HS11" s="1047" t="s">
        <v>7</v>
      </c>
      <c r="HT11" s="1046" t="s">
        <v>7</v>
      </c>
      <c r="HU11" s="1046" t="s">
        <v>7</v>
      </c>
      <c r="HV11" s="1046" t="s">
        <v>7</v>
      </c>
      <c r="HW11" s="1046" t="s">
        <v>7</v>
      </c>
      <c r="HX11" s="1046" t="s">
        <v>7</v>
      </c>
      <c r="HY11" s="1046" t="s">
        <v>7</v>
      </c>
      <c r="HZ11" s="1047" t="s">
        <v>7</v>
      </c>
      <c r="IA11" s="1046" t="s">
        <v>7</v>
      </c>
      <c r="IB11" s="1047" t="s">
        <v>7</v>
      </c>
      <c r="IC11" s="1047" t="s">
        <v>7</v>
      </c>
      <c r="ID11" s="1046" t="s">
        <v>7</v>
      </c>
      <c r="IE11" s="1047" t="s">
        <v>7</v>
      </c>
      <c r="IF11" s="1046" t="s">
        <v>7</v>
      </c>
      <c r="IG11" s="1046" t="s">
        <v>7</v>
      </c>
      <c r="IH11" s="1046" t="s">
        <v>7</v>
      </c>
      <c r="II11" s="1046" t="s">
        <v>7</v>
      </c>
      <c r="IJ11" s="1046" t="s">
        <v>7</v>
      </c>
      <c r="IK11" s="1046" t="s">
        <v>7</v>
      </c>
      <c r="IL11" s="1046" t="s">
        <v>7</v>
      </c>
      <c r="IM11" s="1046" t="s">
        <v>7</v>
      </c>
      <c r="IN11" s="1046" t="s">
        <v>7</v>
      </c>
      <c r="IO11" s="1046" t="s">
        <v>7</v>
      </c>
      <c r="IP11" s="1046" t="s">
        <v>7</v>
      </c>
      <c r="IQ11" s="1046" t="s">
        <v>7</v>
      </c>
      <c r="IR11" s="1046" t="s">
        <v>7</v>
      </c>
      <c r="IS11" s="1046" t="s">
        <v>7</v>
      </c>
      <c r="IT11" s="1046" t="s">
        <v>7</v>
      </c>
      <c r="IU11" s="1047" t="s">
        <v>7</v>
      </c>
      <c r="IV11" s="1046" t="s">
        <v>7</v>
      </c>
      <c r="IW11" s="1046" t="s">
        <v>7</v>
      </c>
      <c r="IX11" s="1046" t="s">
        <v>7</v>
      </c>
      <c r="IY11" s="1046" t="s">
        <v>7</v>
      </c>
      <c r="IZ11" s="1046" t="s">
        <v>7</v>
      </c>
      <c r="JA11" s="1046" t="s">
        <v>7</v>
      </c>
      <c r="JB11" s="1047" t="s">
        <v>7</v>
      </c>
      <c r="JC11" s="1047" t="s">
        <v>7</v>
      </c>
      <c r="JD11" s="1046" t="s">
        <v>7</v>
      </c>
      <c r="JE11" s="1047" t="s">
        <v>7</v>
      </c>
      <c r="JF11" s="1047" t="s">
        <v>7</v>
      </c>
      <c r="JG11" s="1047" t="s">
        <v>7</v>
      </c>
      <c r="JH11" s="1046" t="s">
        <v>7</v>
      </c>
      <c r="JI11" s="1047" t="s">
        <v>7</v>
      </c>
      <c r="JJ11" s="1047" t="s">
        <v>7</v>
      </c>
      <c r="JK11" s="1047" t="s">
        <v>7</v>
      </c>
      <c r="JL11" s="1046" t="s">
        <v>7</v>
      </c>
      <c r="JM11" s="1047" t="s">
        <v>7</v>
      </c>
      <c r="JN11" s="1047" t="s">
        <v>7</v>
      </c>
      <c r="JO11" s="1046" t="s">
        <v>7</v>
      </c>
      <c r="JP11" s="1046" t="s">
        <v>7</v>
      </c>
      <c r="JQ11" s="1045" t="s">
        <v>7</v>
      </c>
      <c r="JR11" s="1045" t="s">
        <v>7</v>
      </c>
      <c r="JS11" s="1045" t="s">
        <v>7</v>
      </c>
      <c r="JT11" s="1045" t="s">
        <v>7</v>
      </c>
      <c r="JU11" s="1045" t="s">
        <v>7</v>
      </c>
      <c r="JV11" s="1045" t="s">
        <v>7</v>
      </c>
      <c r="JW11" s="1045" t="s">
        <v>7</v>
      </c>
      <c r="JX11" s="1045" t="s">
        <v>7</v>
      </c>
      <c r="JY11" s="1045" t="s">
        <v>7</v>
      </c>
      <c r="JZ11" s="1045" t="s">
        <v>7</v>
      </c>
      <c r="KA11" s="1045" t="s">
        <v>7</v>
      </c>
      <c r="KB11" t="s">
        <v>7</v>
      </c>
      <c r="KC11" s="1045" t="s">
        <v>7</v>
      </c>
      <c r="KD11" s="1045" t="s">
        <v>7</v>
      </c>
      <c r="KE11" s="1045" t="s">
        <v>11</v>
      </c>
      <c r="KF11" s="1045" t="s">
        <v>11</v>
      </c>
      <c r="KG11" t="s">
        <v>11</v>
      </c>
      <c r="KH11" s="1045" t="s">
        <v>11</v>
      </c>
      <c r="KI11" s="1045" t="s">
        <v>11</v>
      </c>
      <c r="KJ11" s="1045" t="s">
        <v>11</v>
      </c>
      <c r="KK11" s="1047" t="s">
        <v>11</v>
      </c>
      <c r="KL11" s="1046" t="s">
        <v>11</v>
      </c>
      <c r="KM11" s="1046" t="s">
        <v>11</v>
      </c>
      <c r="KN11" s="1046" t="s">
        <v>11</v>
      </c>
      <c r="KO11" s="1046" t="s">
        <v>11</v>
      </c>
      <c r="KP11" s="1046" t="s">
        <v>11</v>
      </c>
      <c r="KQ11" s="1046" t="s">
        <v>11</v>
      </c>
      <c r="KR11" s="1046" t="s">
        <v>11</v>
      </c>
      <c r="KS11" s="1046" t="s">
        <v>11</v>
      </c>
      <c r="KT11" s="1046" t="s">
        <v>11</v>
      </c>
      <c r="KU11" s="1046" t="s">
        <v>11</v>
      </c>
      <c r="KV11" s="1046" t="s">
        <v>11</v>
      </c>
      <c r="KW11" s="1047" t="s">
        <v>11</v>
      </c>
      <c r="KX11" s="1046" t="s">
        <v>11</v>
      </c>
      <c r="KY11" s="1046" t="s">
        <v>11</v>
      </c>
      <c r="KZ11" s="1046" t="s">
        <v>11</v>
      </c>
      <c r="LA11" s="1046" t="s">
        <v>11</v>
      </c>
      <c r="LB11" s="1046" t="s">
        <v>11</v>
      </c>
      <c r="LC11" s="1046" t="s">
        <v>11</v>
      </c>
      <c r="LD11" s="1046" t="s">
        <v>11</v>
      </c>
      <c r="LE11" s="1046" t="s">
        <v>11</v>
      </c>
      <c r="LF11" s="1046" t="s">
        <v>11</v>
      </c>
      <c r="LG11" s="1046" t="s">
        <v>11</v>
      </c>
      <c r="LH11" s="1046" t="s">
        <v>11</v>
      </c>
      <c r="LI11" s="1046" t="s">
        <v>11</v>
      </c>
      <c r="LJ11" s="1047" t="s">
        <v>11</v>
      </c>
      <c r="LK11" s="1046" t="s">
        <v>11</v>
      </c>
      <c r="LL11" s="1046" t="s">
        <v>11</v>
      </c>
      <c r="LM11" s="1046" t="s">
        <v>11</v>
      </c>
      <c r="LN11" s="1046" t="s">
        <v>11</v>
      </c>
      <c r="LO11" s="1046" t="s">
        <v>11</v>
      </c>
      <c r="LP11" s="1046" t="s">
        <v>11</v>
      </c>
      <c r="LQ11" s="1046" t="s">
        <v>11</v>
      </c>
      <c r="LR11" s="1046" t="s">
        <v>11</v>
      </c>
      <c r="LS11" s="1046" t="s">
        <v>11</v>
      </c>
      <c r="LT11" s="1046" t="s">
        <v>11</v>
      </c>
      <c r="LU11" s="1046" t="s">
        <v>11</v>
      </c>
      <c r="LV11" s="1046" t="s">
        <v>11</v>
      </c>
      <c r="LW11" s="1046" t="s">
        <v>11</v>
      </c>
      <c r="LX11" s="1046" t="s">
        <v>11</v>
      </c>
      <c r="LY11" s="1046" t="s">
        <v>11</v>
      </c>
      <c r="LZ11" s="1046" t="s">
        <v>11</v>
      </c>
      <c r="MA11" s="1046" t="s">
        <v>11</v>
      </c>
      <c r="MB11" s="1046" t="s">
        <v>11</v>
      </c>
      <c r="MC11" s="1046" t="s">
        <v>11</v>
      </c>
      <c r="MD11" s="1046" t="s">
        <v>11</v>
      </c>
      <c r="ME11" s="1047" t="s">
        <v>11</v>
      </c>
      <c r="MF11" s="1047" t="s">
        <v>11</v>
      </c>
      <c r="MG11" s="1046" t="s">
        <v>11</v>
      </c>
      <c r="MH11" s="1046" t="s">
        <v>11</v>
      </c>
      <c r="MI11" s="1046" t="s">
        <v>11</v>
      </c>
      <c r="MJ11" s="1046" t="s">
        <v>11</v>
      </c>
      <c r="MK11" s="1046" t="s">
        <v>11</v>
      </c>
      <c r="ML11" s="1046" t="s">
        <v>11</v>
      </c>
      <c r="MM11" s="1046" t="s">
        <v>11</v>
      </c>
      <c r="MN11" s="1045" t="s">
        <v>11</v>
      </c>
      <c r="MO11" s="1045" t="s">
        <v>14</v>
      </c>
      <c r="MP11" s="1045" t="s">
        <v>14</v>
      </c>
      <c r="MQ11" s="1045" t="s">
        <v>14</v>
      </c>
      <c r="MR11" s="1045" t="s">
        <v>14</v>
      </c>
      <c r="MS11" s="1045" t="s">
        <v>14</v>
      </c>
      <c r="MT11" s="1045" t="s">
        <v>14</v>
      </c>
      <c r="MU11" s="1045" t="s">
        <v>14</v>
      </c>
      <c r="MV11" s="1045" t="s">
        <v>14</v>
      </c>
      <c r="MW11" s="1045" t="s">
        <v>14</v>
      </c>
      <c r="MX11" s="1045" t="s">
        <v>14</v>
      </c>
      <c r="MY11" s="1045" t="s">
        <v>14</v>
      </c>
      <c r="MZ11" s="1045" t="s">
        <v>15</v>
      </c>
      <c r="NA11" s="1045" t="s">
        <v>15</v>
      </c>
      <c r="NB11" s="1045" t="s">
        <v>15</v>
      </c>
      <c r="NC11" s="1045" t="s">
        <v>15</v>
      </c>
      <c r="ND11" s="1045" t="s">
        <v>15</v>
      </c>
      <c r="NE11" s="1045" t="s">
        <v>15</v>
      </c>
      <c r="NF11" s="1045" t="s">
        <v>15</v>
      </c>
      <c r="NG11" s="1046" t="s">
        <v>15</v>
      </c>
      <c r="NH11" s="1046" t="s">
        <v>15</v>
      </c>
      <c r="NI11" s="1046" t="s">
        <v>15</v>
      </c>
      <c r="NJ11" s="1046" t="s">
        <v>15</v>
      </c>
      <c r="NK11" s="1046" t="s">
        <v>15</v>
      </c>
      <c r="NL11" s="1046" t="s">
        <v>15</v>
      </c>
      <c r="NM11" s="1046" t="s">
        <v>15</v>
      </c>
      <c r="NN11" s="1046" t="s">
        <v>15</v>
      </c>
      <c r="NO11" s="1046" t="s">
        <v>15</v>
      </c>
      <c r="NP11" s="1046" t="s">
        <v>15</v>
      </c>
      <c r="NQ11" s="1046" t="s">
        <v>15</v>
      </c>
      <c r="NR11" s="1046" t="s">
        <v>15</v>
      </c>
      <c r="NS11" s="1046" t="s">
        <v>15</v>
      </c>
      <c r="NT11" s="1046" t="s">
        <v>15</v>
      </c>
      <c r="NU11" s="1046" t="s">
        <v>15</v>
      </c>
      <c r="NV11" s="1046" t="s">
        <v>15</v>
      </c>
      <c r="NW11" s="1046" t="s">
        <v>15</v>
      </c>
      <c r="NX11" s="1046" t="s">
        <v>15</v>
      </c>
      <c r="NY11" s="1046" t="s">
        <v>15</v>
      </c>
      <c r="NZ11" s="1046" t="s">
        <v>15</v>
      </c>
      <c r="OA11" s="1046" t="s">
        <v>15</v>
      </c>
      <c r="OB11" s="1046" t="s">
        <v>15</v>
      </c>
      <c r="OC11" s="1046" t="s">
        <v>15</v>
      </c>
      <c r="OD11" s="1046" t="s">
        <v>15</v>
      </c>
      <c r="OE11" s="1046" t="s">
        <v>15</v>
      </c>
      <c r="OF11" s="1046" t="s">
        <v>15</v>
      </c>
      <c r="OG11" s="1046" t="s">
        <v>15</v>
      </c>
      <c r="OH11" s="1046" t="s">
        <v>15</v>
      </c>
      <c r="OI11" s="1046" t="s">
        <v>15</v>
      </c>
      <c r="OJ11" s="1046" t="s">
        <v>15</v>
      </c>
      <c r="OK11" s="1046" t="s">
        <v>15</v>
      </c>
      <c r="OL11" s="1046" t="s">
        <v>15</v>
      </c>
      <c r="OM11" s="1046" t="s">
        <v>15</v>
      </c>
      <c r="ON11" s="1045" t="s">
        <v>12</v>
      </c>
      <c r="OO11" s="1046" t="s">
        <v>12</v>
      </c>
      <c r="OP11" s="1046" t="s">
        <v>12</v>
      </c>
      <c r="OQ11" s="1047" t="s">
        <v>12</v>
      </c>
      <c r="OR11" s="1046" t="s">
        <v>12</v>
      </c>
      <c r="OS11" s="1046" t="s">
        <v>12</v>
      </c>
      <c r="OT11" s="1046" t="s">
        <v>12</v>
      </c>
      <c r="OU11" s="1046" t="s">
        <v>12</v>
      </c>
      <c r="OV11" s="1046" t="s">
        <v>12</v>
      </c>
      <c r="OW11" s="1047" t="s">
        <v>12</v>
      </c>
      <c r="OX11" s="1046" t="s">
        <v>12</v>
      </c>
      <c r="OY11" s="1046" t="s">
        <v>12</v>
      </c>
      <c r="OZ11" s="1047" t="s">
        <v>12</v>
      </c>
      <c r="PA11" s="1045" t="s">
        <v>7030</v>
      </c>
      <c r="PB11" s="1046" t="s">
        <v>7030</v>
      </c>
      <c r="PC11" s="1046" t="s">
        <v>7030</v>
      </c>
      <c r="PD11" s="1046" t="s">
        <v>7030</v>
      </c>
      <c r="PE11" s="1047" t="s">
        <v>7030</v>
      </c>
      <c r="PF11" s="1047" t="s">
        <v>7030</v>
      </c>
      <c r="PG11" t="s">
        <v>7030</v>
      </c>
      <c r="PH11" s="1045" t="s">
        <v>7030</v>
      </c>
      <c r="PI11" t="s">
        <v>7030</v>
      </c>
      <c r="PJ11" t="s">
        <v>7030</v>
      </c>
      <c r="PK11" t="s">
        <v>7030</v>
      </c>
      <c r="PL11" t="s">
        <v>7030</v>
      </c>
      <c r="PM11" s="1045" t="s">
        <v>7030</v>
      </c>
      <c r="PN11" t="s">
        <v>7030</v>
      </c>
      <c r="PO11" s="1047" t="s">
        <v>7030</v>
      </c>
      <c r="PP11" s="1046" t="s">
        <v>7030</v>
      </c>
      <c r="PQ11" s="1047" t="s">
        <v>7030</v>
      </c>
      <c r="PR11" s="1047" t="s">
        <v>7030</v>
      </c>
      <c r="PS11" s="1046" t="s">
        <v>7030</v>
      </c>
      <c r="PT11" s="1046" t="s">
        <v>7030</v>
      </c>
      <c r="PU11" s="1046" t="s">
        <v>7030</v>
      </c>
      <c r="PV11" s="1046" t="s">
        <v>7030</v>
      </c>
      <c r="PW11" s="1047" t="s">
        <v>7030</v>
      </c>
      <c r="PX11" s="1046" t="s">
        <v>7030</v>
      </c>
      <c r="PY11" s="1046" t="s">
        <v>7030</v>
      </c>
      <c r="PZ11" s="1047" t="s">
        <v>7030</v>
      </c>
      <c r="QA11" s="1047" t="s">
        <v>7030</v>
      </c>
      <c r="QB11" s="1046" t="s">
        <v>7030</v>
      </c>
      <c r="QC11" s="1046" t="s">
        <v>7030</v>
      </c>
      <c r="QD11" s="1046" t="s">
        <v>7030</v>
      </c>
      <c r="QE11" s="1046" t="s">
        <v>7030</v>
      </c>
      <c r="QF11" s="1046" t="s">
        <v>7030</v>
      </c>
      <c r="QG11" s="1046" t="s">
        <v>7030</v>
      </c>
      <c r="QH11" s="1046" t="s">
        <v>7030</v>
      </c>
      <c r="QI11" s="1046" t="s">
        <v>7030</v>
      </c>
      <c r="QJ11" s="1045" t="s">
        <v>8</v>
      </c>
      <c r="QK11" s="1045" t="s">
        <v>8</v>
      </c>
      <c r="QL11" s="1046" t="s">
        <v>8</v>
      </c>
      <c r="QM11" s="1046" t="s">
        <v>8</v>
      </c>
      <c r="QN11" s="1046" t="s">
        <v>8</v>
      </c>
      <c r="QO11" s="1046" t="s">
        <v>8</v>
      </c>
      <c r="QP11" s="1046" t="s">
        <v>8</v>
      </c>
      <c r="QQ11" s="1046" t="s">
        <v>8</v>
      </c>
      <c r="QR11" s="1046" t="s">
        <v>8</v>
      </c>
      <c r="QS11" s="1046" t="s">
        <v>8</v>
      </c>
      <c r="QT11" s="1047" t="s">
        <v>8</v>
      </c>
      <c r="QU11" s="1046" t="s">
        <v>8</v>
      </c>
      <c r="QV11" s="1046" t="s">
        <v>8</v>
      </c>
      <c r="QW11" s="1045" t="s">
        <v>8</v>
      </c>
      <c r="QX11" s="1045" t="s">
        <v>8</v>
      </c>
      <c r="QY11" s="1045" t="s">
        <v>8</v>
      </c>
      <c r="QZ11" s="1045" t="s">
        <v>8</v>
      </c>
      <c r="RA11" s="1045" t="s">
        <v>8</v>
      </c>
      <c r="RB11" s="1045" t="s">
        <v>8</v>
      </c>
      <c r="RC11" s="1045" t="s">
        <v>8</v>
      </c>
      <c r="RD11" t="s">
        <v>8</v>
      </c>
      <c r="RE11" s="1045" t="s">
        <v>8</v>
      </c>
      <c r="RF11" t="s">
        <v>8</v>
      </c>
      <c r="RG11" s="1045" t="s">
        <v>8</v>
      </c>
      <c r="RH11" s="1045" t="s">
        <v>8</v>
      </c>
      <c r="RI11" s="1045" t="s">
        <v>8</v>
      </c>
      <c r="RJ11" s="1045" t="s">
        <v>8</v>
      </c>
      <c r="RK11" s="1045" t="s">
        <v>8</v>
      </c>
      <c r="RL11" s="1045" t="s">
        <v>8</v>
      </c>
      <c r="RM11" t="s">
        <v>8</v>
      </c>
      <c r="RN11" s="1045" t="s">
        <v>8</v>
      </c>
      <c r="RO11" s="1045" t="s">
        <v>8</v>
      </c>
      <c r="RP11" s="1046" t="s">
        <v>8</v>
      </c>
      <c r="RQ11" s="1046" t="s">
        <v>8</v>
      </c>
      <c r="RR11" s="1046" t="s">
        <v>8</v>
      </c>
      <c r="RS11" s="1046" t="s">
        <v>8</v>
      </c>
      <c r="RT11" s="1045" t="s">
        <v>7031</v>
      </c>
      <c r="RU11" s="1046" t="s">
        <v>7031</v>
      </c>
      <c r="RV11" s="1046" t="s">
        <v>7031</v>
      </c>
      <c r="RW11" s="1046" t="s">
        <v>7031</v>
      </c>
      <c r="RX11" s="1046" t="s">
        <v>7031</v>
      </c>
      <c r="RY11" s="1046" t="s">
        <v>7031</v>
      </c>
      <c r="RZ11" s="1046" t="s">
        <v>7031</v>
      </c>
      <c r="SA11" s="1046" t="s">
        <v>7031</v>
      </c>
      <c r="SB11" s="1046" t="s">
        <v>7031</v>
      </c>
      <c r="SC11" s="1046" t="s">
        <v>7031</v>
      </c>
      <c r="SD11" s="1046" t="s">
        <v>7031</v>
      </c>
      <c r="SE11" s="1046" t="s">
        <v>7031</v>
      </c>
      <c r="SF11" s="1045" t="s">
        <v>10</v>
      </c>
      <c r="SG11" s="1046" t="s">
        <v>10</v>
      </c>
      <c r="SH11" s="1046" t="s">
        <v>10</v>
      </c>
      <c r="SI11" s="1046" t="s">
        <v>10</v>
      </c>
      <c r="SJ11" s="1046" t="s">
        <v>10</v>
      </c>
      <c r="SK11" s="1046" t="s">
        <v>10</v>
      </c>
      <c r="SL11" s="1046" t="s">
        <v>10</v>
      </c>
      <c r="SM11" s="1046" t="s">
        <v>10</v>
      </c>
      <c r="SN11" s="1046" t="s">
        <v>10</v>
      </c>
      <c r="SO11" s="1046" t="s">
        <v>10</v>
      </c>
      <c r="SP11" s="1046" t="s">
        <v>10</v>
      </c>
      <c r="SQ11" s="1046" t="s">
        <v>10</v>
      </c>
      <c r="SR11" s="1046" t="s">
        <v>10</v>
      </c>
      <c r="SS11" s="1046" t="s">
        <v>10</v>
      </c>
      <c r="ST11" s="1046" t="s">
        <v>10</v>
      </c>
      <c r="SU11" s="1045" t="s">
        <v>10</v>
      </c>
      <c r="SV11" s="1045" t="s">
        <v>10</v>
      </c>
      <c r="SW11" s="1045" t="s">
        <v>10</v>
      </c>
      <c r="SX11" s="1045" t="s">
        <v>10</v>
      </c>
      <c r="SY11" s="1045" t="s">
        <v>10</v>
      </c>
      <c r="SZ11" s="1046" t="s">
        <v>10</v>
      </c>
      <c r="TA11" s="1046" t="s">
        <v>10</v>
      </c>
      <c r="TB11" s="1046" t="s">
        <v>10</v>
      </c>
      <c r="TC11" s="1046" t="s">
        <v>10</v>
      </c>
      <c r="TD11" s="1046" t="s">
        <v>10</v>
      </c>
      <c r="TE11" s="1046" t="s">
        <v>10</v>
      </c>
      <c r="TF11" s="1046" t="s">
        <v>10</v>
      </c>
      <c r="TG11" s="1046" t="s">
        <v>10</v>
      </c>
      <c r="TH11" s="1046" t="s">
        <v>10</v>
      </c>
      <c r="TI11" s="1046" t="s">
        <v>10</v>
      </c>
      <c r="TJ11" s="1046" t="s">
        <v>10</v>
      </c>
      <c r="TK11" s="1046" t="s">
        <v>10</v>
      </c>
      <c r="TL11" s="1045" t="s">
        <v>10</v>
      </c>
      <c r="TM11" s="1045" t="s">
        <v>10</v>
      </c>
      <c r="TN11" s="1045" t="s">
        <v>10</v>
      </c>
      <c r="TO11" s="1046" t="s">
        <v>10</v>
      </c>
      <c r="TP11" s="1046" t="s">
        <v>10</v>
      </c>
      <c r="TQ11" s="1046" t="s">
        <v>10</v>
      </c>
      <c r="TR11" s="1046" t="s">
        <v>10</v>
      </c>
      <c r="TS11" s="1046" t="s">
        <v>10</v>
      </c>
      <c r="TT11" s="1046" t="s">
        <v>10</v>
      </c>
      <c r="TU11" s="1046" t="s">
        <v>10</v>
      </c>
      <c r="TV11" s="1046" t="s">
        <v>10</v>
      </c>
      <c r="TW11" s="1045" t="s">
        <v>13</v>
      </c>
      <c r="TX11" s="1046" t="s">
        <v>13</v>
      </c>
      <c r="TY11" s="1046" t="s">
        <v>13</v>
      </c>
      <c r="TZ11" s="1046" t="s">
        <v>13</v>
      </c>
      <c r="UA11" s="1046" t="s">
        <v>13</v>
      </c>
      <c r="UB11" s="1046" t="s">
        <v>13</v>
      </c>
      <c r="UC11" s="1046" t="s">
        <v>13</v>
      </c>
      <c r="UD11" s="1046" t="s">
        <v>13</v>
      </c>
      <c r="UE11" s="1046" t="s">
        <v>13</v>
      </c>
      <c r="UF11" s="1046" t="s">
        <v>13</v>
      </c>
      <c r="UG11" s="1046" t="s">
        <v>13</v>
      </c>
      <c r="UH11" s="1046" t="s">
        <v>13</v>
      </c>
      <c r="UI11" s="1046" t="s">
        <v>13</v>
      </c>
      <c r="UJ11" s="1046" t="s">
        <v>13</v>
      </c>
      <c r="UK11" s="1046" t="s">
        <v>13</v>
      </c>
      <c r="UL11" s="1046" t="s">
        <v>13</v>
      </c>
      <c r="UM11" s="1046" t="s">
        <v>13</v>
      </c>
      <c r="UN11" s="1046" t="s">
        <v>13</v>
      </c>
      <c r="UO11" s="1046" t="s">
        <v>13</v>
      </c>
      <c r="UP11" s="1046" t="s">
        <v>13</v>
      </c>
      <c r="UQ11" s="1046" t="s">
        <v>13</v>
      </c>
      <c r="UR11" s="1046" t="s">
        <v>13</v>
      </c>
      <c r="US11" s="1046" t="s">
        <v>13</v>
      </c>
      <c r="UT11" s="1046" t="s">
        <v>13</v>
      </c>
      <c r="UU11" s="1045" t="s">
        <v>7029</v>
      </c>
      <c r="UV11" s="1046" t="s">
        <v>7029</v>
      </c>
      <c r="UW11" s="1046" t="s">
        <v>7029</v>
      </c>
      <c r="UX11" s="1046" t="s">
        <v>7029</v>
      </c>
      <c r="UY11" s="1046" t="s">
        <v>7029</v>
      </c>
      <c r="UZ11" s="1046" t="s">
        <v>7029</v>
      </c>
      <c r="VA11" s="1046" t="s">
        <v>7029</v>
      </c>
      <c r="VB11" s="1046" t="s">
        <v>7029</v>
      </c>
      <c r="VC11" s="1046" t="s">
        <v>7029</v>
      </c>
      <c r="VD11" s="1046" t="s">
        <v>7029</v>
      </c>
      <c r="VE11" s="1046" t="s">
        <v>7029</v>
      </c>
      <c r="VF11" s="1046" t="s">
        <v>7029</v>
      </c>
      <c r="VG11" s="1046" t="s">
        <v>7029</v>
      </c>
      <c r="VH11" s="1046" t="s">
        <v>7029</v>
      </c>
      <c r="VI11" s="1046" t="s">
        <v>7029</v>
      </c>
      <c r="VJ11" s="1046" t="s">
        <v>7029</v>
      </c>
      <c r="VK11" s="1046" t="s">
        <v>7029</v>
      </c>
      <c r="VL11" s="1046" t="s">
        <v>7029</v>
      </c>
      <c r="VM11" s="1046" t="s">
        <v>7029</v>
      </c>
      <c r="VN11" s="1046" t="s">
        <v>7029</v>
      </c>
      <c r="VO11" s="1046" t="s">
        <v>7029</v>
      </c>
      <c r="VP11" s="1046" t="s">
        <v>7029</v>
      </c>
      <c r="VQ11" s="1046" t="s">
        <v>7029</v>
      </c>
      <c r="VR11" s="1046" t="s">
        <v>7029</v>
      </c>
      <c r="VS11" s="1046" t="s">
        <v>7029</v>
      </c>
      <c r="VT11" s="1046" t="s">
        <v>7029</v>
      </c>
      <c r="VU11" s="1046" t="s">
        <v>7029</v>
      </c>
      <c r="VV11" s="1046" t="s">
        <v>7029</v>
      </c>
      <c r="VW11" s="1046" t="s">
        <v>7029</v>
      </c>
      <c r="VX11" s="1045" t="s">
        <v>7</v>
      </c>
      <c r="VY11" s="1045" t="s">
        <v>7</v>
      </c>
      <c r="VZ11" s="1045" t="s">
        <v>7</v>
      </c>
      <c r="WA11" s="1046" t="s">
        <v>7</v>
      </c>
      <c r="WB11" s="1046" t="s">
        <v>7</v>
      </c>
      <c r="WC11" s="1046" t="s">
        <v>7</v>
      </c>
      <c r="WD11" s="1046" t="s">
        <v>7</v>
      </c>
      <c r="WE11" s="1046" t="s">
        <v>7</v>
      </c>
      <c r="WF11" s="1047" t="s">
        <v>7</v>
      </c>
      <c r="WG11" s="1047" t="s">
        <v>7</v>
      </c>
      <c r="WH11" s="1046" t="s">
        <v>7</v>
      </c>
      <c r="WI11" s="1046" t="s">
        <v>7</v>
      </c>
      <c r="WJ11" s="1046" t="s">
        <v>7</v>
      </c>
      <c r="WK11" s="1047" t="s">
        <v>7</v>
      </c>
      <c r="WL11" s="1046" t="s">
        <v>7</v>
      </c>
      <c r="WM11" s="1046" t="s">
        <v>7</v>
      </c>
      <c r="WN11" s="1046" t="s">
        <v>7</v>
      </c>
      <c r="WO11" s="1046" t="s">
        <v>7</v>
      </c>
      <c r="WP11" s="1046" t="s">
        <v>7</v>
      </c>
      <c r="WQ11" s="1046" t="s">
        <v>7</v>
      </c>
      <c r="WR11" s="1046" t="s">
        <v>7</v>
      </c>
      <c r="WS11" s="1046" t="s">
        <v>7</v>
      </c>
      <c r="WT11" s="1046" t="s">
        <v>7</v>
      </c>
      <c r="WU11" s="1046" t="s">
        <v>7</v>
      </c>
      <c r="WV11" s="1047" t="s">
        <v>7</v>
      </c>
      <c r="WW11" s="1047" t="s">
        <v>7</v>
      </c>
      <c r="WX11" s="1046" t="s">
        <v>7</v>
      </c>
      <c r="WY11" s="1046" t="s">
        <v>7</v>
      </c>
      <c r="WZ11" s="1046" t="s">
        <v>7</v>
      </c>
      <c r="XA11" s="1046" t="s">
        <v>7</v>
      </c>
      <c r="XB11" s="1047" t="s">
        <v>7</v>
      </c>
      <c r="XC11" s="1046" t="s">
        <v>7</v>
      </c>
      <c r="XD11" s="1046" t="s">
        <v>7</v>
      </c>
      <c r="XE11" s="1046" t="s">
        <v>7</v>
      </c>
      <c r="XF11" s="1047" t="s">
        <v>7</v>
      </c>
      <c r="XG11" s="1046" t="s">
        <v>7</v>
      </c>
      <c r="XH11" s="1046" t="s">
        <v>7</v>
      </c>
      <c r="XI11" s="1046" t="s">
        <v>7</v>
      </c>
      <c r="XJ11" s="1046" t="s">
        <v>7</v>
      </c>
      <c r="XK11" s="1046" t="s">
        <v>7</v>
      </c>
      <c r="XL11" s="1046" t="s">
        <v>7</v>
      </c>
      <c r="XM11" s="1046" t="s">
        <v>7</v>
      </c>
      <c r="XN11" s="1046" t="s">
        <v>7</v>
      </c>
      <c r="XO11" s="1046" t="s">
        <v>7</v>
      </c>
      <c r="XP11" s="1046" t="s">
        <v>7</v>
      </c>
      <c r="XQ11" s="1046" t="s">
        <v>7</v>
      </c>
      <c r="XR11" s="1046" t="s">
        <v>7</v>
      </c>
      <c r="XS11" s="1046" t="s">
        <v>7</v>
      </c>
      <c r="XT11" t="s">
        <v>7</v>
      </c>
      <c r="XU11" s="1045" t="s">
        <v>7</v>
      </c>
      <c r="XV11" s="1045" t="s">
        <v>7</v>
      </c>
      <c r="XW11" s="1045" t="s">
        <v>7</v>
      </c>
      <c r="XX11" s="1045" t="s">
        <v>7</v>
      </c>
      <c r="XY11" s="1045" t="s">
        <v>7</v>
      </c>
      <c r="XZ11" s="1045" t="s">
        <v>11</v>
      </c>
      <c r="YA11" s="1046" t="s">
        <v>11</v>
      </c>
      <c r="YB11" s="1046" t="s">
        <v>11</v>
      </c>
      <c r="YC11" s="1046" t="s">
        <v>11</v>
      </c>
      <c r="YD11" s="1046" t="s">
        <v>11</v>
      </c>
      <c r="YE11" s="1046" t="s">
        <v>11</v>
      </c>
      <c r="YF11" s="1046" t="s">
        <v>11</v>
      </c>
      <c r="YG11" s="1046" t="s">
        <v>11</v>
      </c>
      <c r="YH11" s="1046" t="s">
        <v>11</v>
      </c>
      <c r="YI11" s="1046" t="s">
        <v>11</v>
      </c>
      <c r="YJ11" s="1046" t="s">
        <v>11</v>
      </c>
      <c r="YK11" s="1046" t="s">
        <v>11</v>
      </c>
      <c r="YL11" s="1046" t="s">
        <v>11</v>
      </c>
      <c r="YM11" s="1046" t="s">
        <v>11</v>
      </c>
      <c r="YN11" s="1046" t="s">
        <v>11</v>
      </c>
      <c r="YO11" s="1046" t="s">
        <v>11</v>
      </c>
      <c r="YP11" s="1046" t="s">
        <v>11</v>
      </c>
      <c r="YQ11" s="1046" t="s">
        <v>11</v>
      </c>
      <c r="YR11" s="1046" t="s">
        <v>11</v>
      </c>
      <c r="YS11" s="1046" t="s">
        <v>11</v>
      </c>
      <c r="YT11" s="1046" t="s">
        <v>11</v>
      </c>
      <c r="YU11" s="1046" t="s">
        <v>11</v>
      </c>
      <c r="YV11" s="1046" t="s">
        <v>11</v>
      </c>
      <c r="YW11" s="1046" t="s">
        <v>11</v>
      </c>
      <c r="YX11" s="1046" t="s">
        <v>11</v>
      </c>
      <c r="YY11" s="1046" t="s">
        <v>11</v>
      </c>
      <c r="YZ11" s="1046" t="s">
        <v>11</v>
      </c>
      <c r="ZA11" s="1046" t="s">
        <v>11</v>
      </c>
      <c r="ZB11" s="1046" t="s">
        <v>11</v>
      </c>
      <c r="ZC11" s="1046" t="s">
        <v>11</v>
      </c>
      <c r="ZD11" s="1046" t="s">
        <v>11</v>
      </c>
      <c r="ZE11" s="1046" t="s">
        <v>11</v>
      </c>
      <c r="ZF11" s="1046" t="s">
        <v>11</v>
      </c>
      <c r="ZG11" s="1046" t="s">
        <v>11</v>
      </c>
      <c r="ZH11" s="1046" t="s">
        <v>11</v>
      </c>
      <c r="ZI11" s="1046" t="s">
        <v>11</v>
      </c>
      <c r="ZJ11" s="1046" t="s">
        <v>11</v>
      </c>
      <c r="ZK11" s="1046" t="s">
        <v>11</v>
      </c>
      <c r="ZL11" s="1046" t="s">
        <v>11</v>
      </c>
      <c r="ZM11" s="1046" t="s">
        <v>11</v>
      </c>
      <c r="ZN11" s="1046" t="s">
        <v>11</v>
      </c>
      <c r="ZO11" s="1046" t="s">
        <v>11</v>
      </c>
      <c r="ZP11" s="1046" t="s">
        <v>11</v>
      </c>
      <c r="ZQ11" s="1046" t="s">
        <v>11</v>
      </c>
      <c r="ZR11" s="1046" t="s">
        <v>11</v>
      </c>
      <c r="ZS11" s="1046" t="s">
        <v>11</v>
      </c>
      <c r="ZT11" s="1046" t="s">
        <v>11</v>
      </c>
      <c r="ZU11" s="1046" t="s">
        <v>11</v>
      </c>
      <c r="ZV11" s="1046" t="s">
        <v>11</v>
      </c>
      <c r="ZW11" s="1046" t="s">
        <v>11</v>
      </c>
      <c r="ZX11" s="1046" t="s">
        <v>11</v>
      </c>
      <c r="ZY11" s="1046" t="s">
        <v>11</v>
      </c>
      <c r="ZZ11" s="1046" t="s">
        <v>11</v>
      </c>
      <c r="AAA11" s="1046" t="s">
        <v>11</v>
      </c>
      <c r="AAB11" s="1046" t="s">
        <v>11</v>
      </c>
      <c r="AAC11" s="1046" t="s">
        <v>11</v>
      </c>
      <c r="AAD11" s="1046" t="s">
        <v>11</v>
      </c>
      <c r="AAE11" s="1046" t="s">
        <v>11</v>
      </c>
      <c r="AAF11" s="1046" t="s">
        <v>11</v>
      </c>
      <c r="AAG11" s="1046" t="s">
        <v>11</v>
      </c>
      <c r="AAH11" s="1046" t="s">
        <v>11</v>
      </c>
      <c r="AAI11" s="1046" t="s">
        <v>11</v>
      </c>
      <c r="AAJ11" s="1046" t="s">
        <v>11</v>
      </c>
      <c r="AAK11" s="1046" t="s">
        <v>11</v>
      </c>
      <c r="AAL11" s="1046" t="s">
        <v>11</v>
      </c>
      <c r="AAM11" s="1046" t="s">
        <v>11</v>
      </c>
      <c r="AAN11" s="1046" t="s">
        <v>11</v>
      </c>
      <c r="AAO11" s="1046" t="s">
        <v>11</v>
      </c>
      <c r="AAP11" s="1046" t="s">
        <v>11</v>
      </c>
      <c r="AAQ11" s="1046" t="s">
        <v>11</v>
      </c>
      <c r="AAR11" s="1046" t="s">
        <v>11</v>
      </c>
      <c r="AAS11" s="1046" t="s">
        <v>11</v>
      </c>
      <c r="AAT11" s="1046" t="s">
        <v>11</v>
      </c>
      <c r="AAU11" s="1046" t="s">
        <v>11</v>
      </c>
      <c r="AAV11" s="1046" t="s">
        <v>11</v>
      </c>
      <c r="AAW11" s="1046" t="s">
        <v>11</v>
      </c>
      <c r="AAX11" s="1046" t="s">
        <v>11</v>
      </c>
      <c r="AAY11" s="1046" t="s">
        <v>11</v>
      </c>
      <c r="AAZ11" s="1046" t="s">
        <v>11</v>
      </c>
      <c r="ABA11" s="1046" t="s">
        <v>11</v>
      </c>
      <c r="ABB11" s="1046" t="s">
        <v>11</v>
      </c>
      <c r="ABC11" s="1046" t="s">
        <v>11</v>
      </c>
      <c r="ABD11" s="1046" t="s">
        <v>11</v>
      </c>
      <c r="ABE11" s="1046" t="s">
        <v>11</v>
      </c>
      <c r="ABF11" s="1046" t="s">
        <v>11</v>
      </c>
      <c r="ABG11" s="1046" t="s">
        <v>11</v>
      </c>
      <c r="ABH11" s="1046" t="s">
        <v>11</v>
      </c>
      <c r="ABI11" s="1046" t="s">
        <v>11</v>
      </c>
      <c r="ABJ11" s="1046" t="s">
        <v>11</v>
      </c>
      <c r="ABK11" s="1046" t="s">
        <v>11</v>
      </c>
      <c r="ABL11" s="1046" t="s">
        <v>11</v>
      </c>
      <c r="ABM11" s="1045" t="s">
        <v>15</v>
      </c>
      <c r="ABN11" s="1046" t="s">
        <v>15</v>
      </c>
      <c r="ABO11" s="1046" t="s">
        <v>15</v>
      </c>
      <c r="ABP11" s="1046" t="s">
        <v>15</v>
      </c>
      <c r="ABQ11" s="1046" t="s">
        <v>15</v>
      </c>
      <c r="ABR11" s="1046" t="s">
        <v>15</v>
      </c>
      <c r="ABS11" s="1046" t="s">
        <v>15</v>
      </c>
      <c r="ABT11" s="1046" t="s">
        <v>15</v>
      </c>
      <c r="ABU11" s="1046" t="s">
        <v>15</v>
      </c>
      <c r="ABV11" s="1046" t="s">
        <v>15</v>
      </c>
      <c r="ABW11" s="1046" t="s">
        <v>15</v>
      </c>
      <c r="ABX11" s="1046" t="s">
        <v>15</v>
      </c>
      <c r="ABY11" s="1046" t="s">
        <v>15</v>
      </c>
      <c r="ABZ11" s="1046" t="s">
        <v>15</v>
      </c>
      <c r="ACA11" s="1046" t="s">
        <v>15</v>
      </c>
      <c r="ACB11" s="1046" t="s">
        <v>15</v>
      </c>
      <c r="ACC11" s="1046" t="s">
        <v>15</v>
      </c>
      <c r="ACD11" s="1046" t="s">
        <v>15</v>
      </c>
      <c r="ACE11" s="1046" t="s">
        <v>15</v>
      </c>
      <c r="ACF11" s="1046" t="s">
        <v>15</v>
      </c>
      <c r="ACG11" s="1046" t="s">
        <v>15</v>
      </c>
      <c r="ACH11" s="1046" t="s">
        <v>15</v>
      </c>
      <c r="ACI11" s="1046" t="s">
        <v>15</v>
      </c>
      <c r="ACJ11" s="1046" t="s">
        <v>15</v>
      </c>
      <c r="ACK11" s="1046" t="s">
        <v>15</v>
      </c>
      <c r="ACL11" s="1046" t="s">
        <v>15</v>
      </c>
      <c r="ACM11" s="1046" t="s">
        <v>15</v>
      </c>
      <c r="ACN11" s="1046" t="s">
        <v>15</v>
      </c>
      <c r="ACO11" s="1046" t="s">
        <v>15</v>
      </c>
      <c r="ACP11" s="1046" t="s">
        <v>15</v>
      </c>
      <c r="ACQ11" s="1046" t="s">
        <v>15</v>
      </c>
      <c r="ACR11" s="1045" t="s">
        <v>8</v>
      </c>
      <c r="ACS11" s="1046" t="s">
        <v>8</v>
      </c>
      <c r="ACT11" s="1046" t="s">
        <v>8</v>
      </c>
      <c r="ACU11" s="1046" t="s">
        <v>8</v>
      </c>
      <c r="ACV11" s="1046" t="s">
        <v>8</v>
      </c>
      <c r="ACW11" s="1046" t="s">
        <v>8</v>
      </c>
      <c r="ACX11" s="1046" t="s">
        <v>8</v>
      </c>
      <c r="ACY11" s="1046" t="s">
        <v>8</v>
      </c>
      <c r="ACZ11" s="1046" t="s">
        <v>8</v>
      </c>
      <c r="ADA11" s="1046" t="s">
        <v>8</v>
      </c>
      <c r="ADB11" s="1046" t="s">
        <v>8</v>
      </c>
      <c r="ADC11" s="1046" t="s">
        <v>8</v>
      </c>
      <c r="ADD11" s="1046" t="s">
        <v>8</v>
      </c>
      <c r="ADE11" s="1046" t="s">
        <v>8</v>
      </c>
      <c r="ADF11" s="1046" t="s">
        <v>8</v>
      </c>
      <c r="ADG11" s="1046" t="s">
        <v>7029</v>
      </c>
      <c r="ADH11" s="1046" t="s">
        <v>7029</v>
      </c>
      <c r="ADI11" s="1046" t="s">
        <v>7029</v>
      </c>
      <c r="ADJ11" s="1046" t="s">
        <v>7029</v>
      </c>
      <c r="ADK11" s="1046" t="s">
        <v>7029</v>
      </c>
      <c r="ADL11" s="1046" t="s">
        <v>7029</v>
      </c>
      <c r="ADM11" s="1046" t="s">
        <v>7029</v>
      </c>
      <c r="ADN11" s="1046" t="s">
        <v>7029</v>
      </c>
      <c r="ADO11" s="1046" t="s">
        <v>7029</v>
      </c>
      <c r="ADP11" s="1046" t="s">
        <v>7</v>
      </c>
      <c r="ADQ11" s="1046" t="s">
        <v>7</v>
      </c>
      <c r="ADR11" s="1046" t="s">
        <v>7</v>
      </c>
      <c r="ADS11" s="1046" t="s">
        <v>7</v>
      </c>
      <c r="ADT11" s="1046" t="s">
        <v>7</v>
      </c>
      <c r="ADU11" s="1046" t="s">
        <v>7</v>
      </c>
      <c r="ADV11" s="1046" t="s">
        <v>7</v>
      </c>
      <c r="ADW11" s="1046" t="s">
        <v>7</v>
      </c>
      <c r="ADX11" s="1046" t="s">
        <v>11</v>
      </c>
      <c r="ADY11" s="1046" t="s">
        <v>11</v>
      </c>
      <c r="ADZ11" s="1046" t="s">
        <v>11</v>
      </c>
      <c r="AEA11" s="1046" t="s">
        <v>11</v>
      </c>
      <c r="AEB11" s="1046" t="s">
        <v>11</v>
      </c>
      <c r="AEC11" s="1046" t="s">
        <v>11</v>
      </c>
      <c r="AED11" s="1046" t="s">
        <v>11</v>
      </c>
      <c r="AEE11" s="1046" t="s">
        <v>11</v>
      </c>
      <c r="AEF11" s="1046" t="s">
        <v>11</v>
      </c>
      <c r="AEG11" s="1046" t="s">
        <v>11</v>
      </c>
      <c r="AEH11" s="1046" t="s">
        <v>11</v>
      </c>
      <c r="AEI11" s="1046" t="s">
        <v>8</v>
      </c>
      <c r="AEJ11" s="1046" t="s">
        <v>8</v>
      </c>
      <c r="AEK11" s="1046" t="s">
        <v>8</v>
      </c>
      <c r="AEL11" s="1046" t="s">
        <v>8</v>
      </c>
      <c r="AEM11" s="1046" t="s">
        <v>8</v>
      </c>
      <c r="AEN11" s="1046" t="s">
        <v>8</v>
      </c>
      <c r="AEO11" s="1046" t="s">
        <v>8</v>
      </c>
      <c r="AEP11" s="1046" t="s">
        <v>8</v>
      </c>
      <c r="AEQ11" s="1046" t="s">
        <v>8</v>
      </c>
      <c r="AER11" s="1046" t="s">
        <v>8</v>
      </c>
      <c r="AES11" s="1046" t="s">
        <v>8</v>
      </c>
      <c r="AET11" s="1046" t="s">
        <v>8</v>
      </c>
      <c r="AEU11" s="1046" t="s">
        <v>8</v>
      </c>
      <c r="AEV11" s="1046" t="s">
        <v>10</v>
      </c>
      <c r="AEW11" s="1046" t="s">
        <v>10</v>
      </c>
      <c r="AEX11" s="1046" t="s">
        <v>10</v>
      </c>
      <c r="AEY11" s="1046" t="s">
        <v>10</v>
      </c>
      <c r="AEZ11" s="1046" t="s">
        <v>10</v>
      </c>
      <c r="AFA11" s="1046" t="s">
        <v>10</v>
      </c>
      <c r="AFB11" s="1046" t="s">
        <v>10</v>
      </c>
      <c r="AFC11" s="1046" t="s">
        <v>10</v>
      </c>
      <c r="AFD11" s="1046" t="s">
        <v>10</v>
      </c>
      <c r="AFE11" s="1046" t="s">
        <v>10</v>
      </c>
      <c r="AFF11" s="1046" t="s">
        <v>10</v>
      </c>
      <c r="AFG11" s="1046" t="s">
        <v>10</v>
      </c>
      <c r="AFH11" s="1046" t="s">
        <v>10</v>
      </c>
      <c r="AFI11" s="1046" t="s">
        <v>10</v>
      </c>
      <c r="AFJ11" s="1046" t="s">
        <v>13</v>
      </c>
      <c r="AFK11" s="1046" t="s">
        <v>13</v>
      </c>
      <c r="AFL11" s="1046" t="s">
        <v>13</v>
      </c>
      <c r="AFM11" s="1046" t="s">
        <v>13</v>
      </c>
      <c r="AFN11" s="1046" t="s">
        <v>13</v>
      </c>
      <c r="AFO11" s="1046" t="s">
        <v>13</v>
      </c>
      <c r="AFP11" s="1046" t="s">
        <v>13</v>
      </c>
      <c r="AFQ11" s="1046" t="s">
        <v>13</v>
      </c>
      <c r="AFR11" s="1046" t="s">
        <v>13</v>
      </c>
      <c r="AFS11" s="1" t="s">
        <v>7</v>
      </c>
      <c r="AFT11" s="1" t="s">
        <v>7</v>
      </c>
      <c r="AFU11" s="1" t="s">
        <v>7</v>
      </c>
      <c r="AFV11" s="1" t="s">
        <v>7</v>
      </c>
      <c r="AFW11" s="1" t="s">
        <v>7</v>
      </c>
      <c r="AFX11" s="1" t="s">
        <v>7</v>
      </c>
      <c r="AFY11" s="1" t="s">
        <v>7</v>
      </c>
      <c r="AFZ11" s="1" t="s">
        <v>7</v>
      </c>
      <c r="AGA11" s="1" t="s">
        <v>7</v>
      </c>
      <c r="AGB11" s="1" t="s">
        <v>7</v>
      </c>
      <c r="AGC11" s="1" t="s">
        <v>7</v>
      </c>
      <c r="AGD11" s="1" t="s">
        <v>7</v>
      </c>
      <c r="AGE11" s="1" t="s">
        <v>11</v>
      </c>
      <c r="AGF11" s="1" t="s">
        <v>11</v>
      </c>
      <c r="AGG11" s="1" t="s">
        <v>11</v>
      </c>
      <c r="AGH11" s="1048"/>
      <c r="AGI11" s="1" t="s">
        <v>7032</v>
      </c>
    </row>
    <row r="12" spans="1:867">
      <c r="A12" s="1044"/>
      <c r="B12" s="1044"/>
      <c r="C12" s="1044"/>
      <c r="D12" s="1044"/>
      <c r="E12" s="1044"/>
      <c r="F12" s="1044"/>
      <c r="G12" s="1044"/>
      <c r="H12" s="1044"/>
      <c r="I12" s="1044"/>
      <c r="J12" s="1044"/>
      <c r="BV12" s="1049" t="s">
        <v>689</v>
      </c>
      <c r="BW12" s="1049" t="s">
        <v>689</v>
      </c>
      <c r="BX12" s="1049" t="s">
        <v>689</v>
      </c>
      <c r="BY12" s="1049" t="s">
        <v>689</v>
      </c>
      <c r="BZ12" s="1049" t="s">
        <v>689</v>
      </c>
      <c r="CA12" s="1049" t="s">
        <v>689</v>
      </c>
      <c r="CB12" s="1049" t="s">
        <v>689</v>
      </c>
      <c r="CC12" s="1049" t="s">
        <v>689</v>
      </c>
      <c r="CD12" s="1049" t="s">
        <v>689</v>
      </c>
      <c r="CE12" s="1049" t="s">
        <v>689</v>
      </c>
      <c r="CF12" s="1049" t="s">
        <v>689</v>
      </c>
      <c r="CG12" s="1049" t="s">
        <v>689</v>
      </c>
      <c r="CH12" s="1049" t="s">
        <v>689</v>
      </c>
      <c r="CI12" s="1049" t="s">
        <v>689</v>
      </c>
      <c r="CJ12" s="1049" t="s">
        <v>689</v>
      </c>
      <c r="CK12" s="1049" t="s">
        <v>689</v>
      </c>
      <c r="CL12" s="1049" t="s">
        <v>689</v>
      </c>
      <c r="CM12" s="1049" t="s">
        <v>689</v>
      </c>
      <c r="CN12" s="1049" t="s">
        <v>689</v>
      </c>
      <c r="CO12" s="1049" t="s">
        <v>689</v>
      </c>
      <c r="CP12" s="1049" t="s">
        <v>689</v>
      </c>
      <c r="CQ12" s="1049" t="s">
        <v>689</v>
      </c>
      <c r="CR12" s="1049" t="s">
        <v>689</v>
      </c>
      <c r="CS12" s="1049" t="s">
        <v>689</v>
      </c>
      <c r="CT12" s="1049" t="s">
        <v>689</v>
      </c>
      <c r="CU12" s="1049" t="s">
        <v>689</v>
      </c>
      <c r="CV12" s="1049" t="s">
        <v>689</v>
      </c>
      <c r="CW12" s="1049" t="s">
        <v>689</v>
      </c>
      <c r="CX12" s="1049" t="s">
        <v>689</v>
      </c>
      <c r="CY12" s="1049" t="s">
        <v>689</v>
      </c>
      <c r="CZ12" s="1049" t="s">
        <v>689</v>
      </c>
      <c r="DA12" s="1049" t="s">
        <v>689</v>
      </c>
      <c r="DB12" s="1049" t="s">
        <v>689</v>
      </c>
      <c r="DC12" s="1049" t="s">
        <v>689</v>
      </c>
      <c r="DD12" s="1049" t="s">
        <v>689</v>
      </c>
      <c r="DE12" s="1049" t="s">
        <v>689</v>
      </c>
      <c r="DF12" s="1049" t="s">
        <v>689</v>
      </c>
      <c r="DG12" s="1049" t="s">
        <v>689</v>
      </c>
      <c r="DH12" s="1049" t="s">
        <v>689</v>
      </c>
      <c r="DI12" s="1049" t="s">
        <v>689</v>
      </c>
      <c r="DJ12" s="1049" t="s">
        <v>689</v>
      </c>
      <c r="DK12" s="1049" t="s">
        <v>689</v>
      </c>
      <c r="DL12" s="1049" t="s">
        <v>689</v>
      </c>
      <c r="DM12" s="1049" t="s">
        <v>689</v>
      </c>
      <c r="DN12" s="1049" t="s">
        <v>689</v>
      </c>
      <c r="DO12" s="1049" t="s">
        <v>689</v>
      </c>
      <c r="DP12" s="1049" t="s">
        <v>689</v>
      </c>
      <c r="DQ12" s="1049" t="s">
        <v>689</v>
      </c>
      <c r="DR12" s="1049" t="s">
        <v>689</v>
      </c>
      <c r="DS12" s="1049" t="s">
        <v>689</v>
      </c>
      <c r="DT12" s="1049" t="s">
        <v>689</v>
      </c>
      <c r="DU12" s="1049" t="s">
        <v>689</v>
      </c>
      <c r="DV12" s="1049" t="s">
        <v>689</v>
      </c>
      <c r="DW12" s="1049" t="s">
        <v>689</v>
      </c>
      <c r="DX12" s="1049" t="s">
        <v>689</v>
      </c>
      <c r="DY12" s="1049" t="s">
        <v>689</v>
      </c>
      <c r="DZ12" s="1049" t="s">
        <v>689</v>
      </c>
      <c r="EA12" s="1049" t="s">
        <v>689</v>
      </c>
      <c r="EB12" s="1049" t="s">
        <v>689</v>
      </c>
      <c r="EC12" s="1049" t="s">
        <v>689</v>
      </c>
      <c r="ED12" s="1049" t="s">
        <v>689</v>
      </c>
      <c r="EE12" s="1049" t="s">
        <v>689</v>
      </c>
      <c r="EF12" s="1049" t="s">
        <v>689</v>
      </c>
      <c r="EG12" s="1049" t="s">
        <v>689</v>
      </c>
      <c r="EH12" s="1049" t="s">
        <v>689</v>
      </c>
      <c r="EI12" s="1049" t="s">
        <v>689</v>
      </c>
      <c r="EJ12" s="1049" t="s">
        <v>689</v>
      </c>
      <c r="EK12" s="1049" t="s">
        <v>689</v>
      </c>
      <c r="EL12" s="1049" t="s">
        <v>689</v>
      </c>
      <c r="EM12" s="1049" t="s">
        <v>689</v>
      </c>
      <c r="EN12" s="1049" t="s">
        <v>689</v>
      </c>
      <c r="EO12" s="1049" t="s">
        <v>689</v>
      </c>
      <c r="EP12" s="1049" t="s">
        <v>689</v>
      </c>
      <c r="EQ12" s="1049" t="s">
        <v>689</v>
      </c>
      <c r="ER12" s="1049" t="s">
        <v>689</v>
      </c>
      <c r="ES12" s="1049" t="s">
        <v>689</v>
      </c>
      <c r="ET12" s="1049" t="s">
        <v>689</v>
      </c>
      <c r="EU12" s="1049" t="s">
        <v>689</v>
      </c>
      <c r="EV12" s="1049" t="s">
        <v>689</v>
      </c>
      <c r="EW12" s="1049" t="s">
        <v>689</v>
      </c>
      <c r="EX12" s="1049" t="s">
        <v>689</v>
      </c>
      <c r="EY12" s="1049" t="s">
        <v>689</v>
      </c>
      <c r="EZ12" s="1049" t="s">
        <v>689</v>
      </c>
      <c r="FA12" s="1049" t="s">
        <v>689</v>
      </c>
      <c r="FB12" s="1049" t="s">
        <v>689</v>
      </c>
      <c r="FC12" s="1049" t="s">
        <v>689</v>
      </c>
      <c r="FD12" s="1049" t="s">
        <v>689</v>
      </c>
      <c r="FE12" s="1049" t="s">
        <v>689</v>
      </c>
      <c r="FF12" s="1049" t="s">
        <v>689</v>
      </c>
      <c r="FG12" s="1049" t="s">
        <v>689</v>
      </c>
      <c r="FH12" s="1049" t="s">
        <v>689</v>
      </c>
      <c r="FI12" s="1049" t="s">
        <v>689</v>
      </c>
      <c r="FJ12" s="1049" t="s">
        <v>689</v>
      </c>
      <c r="FK12" s="1049" t="s">
        <v>689</v>
      </c>
      <c r="FL12" s="1049" t="s">
        <v>689</v>
      </c>
      <c r="FM12" s="1049" t="s">
        <v>689</v>
      </c>
      <c r="FN12" s="1049" t="s">
        <v>689</v>
      </c>
      <c r="FO12" s="1049" t="s">
        <v>689</v>
      </c>
      <c r="FP12" s="1049" t="s">
        <v>689</v>
      </c>
      <c r="FQ12" s="1049" t="s">
        <v>689</v>
      </c>
      <c r="FR12" s="1049" t="s">
        <v>689</v>
      </c>
      <c r="FS12" s="1049" t="s">
        <v>689</v>
      </c>
      <c r="FT12" s="1049" t="s">
        <v>689</v>
      </c>
      <c r="FU12" s="1049" t="s">
        <v>689</v>
      </c>
      <c r="FV12" s="1049" t="s">
        <v>689</v>
      </c>
      <c r="FW12" s="1049" t="s">
        <v>689</v>
      </c>
      <c r="FX12" s="1049" t="s">
        <v>689</v>
      </c>
      <c r="FY12" s="1049" t="s">
        <v>689</v>
      </c>
      <c r="FZ12" s="1049" t="s">
        <v>689</v>
      </c>
      <c r="GA12" s="1049" t="s">
        <v>689</v>
      </c>
      <c r="GB12" s="1049" t="s">
        <v>689</v>
      </c>
      <c r="GC12" s="1049" t="s">
        <v>689</v>
      </c>
      <c r="GD12" s="1049" t="s">
        <v>689</v>
      </c>
      <c r="GE12" s="1049" t="s">
        <v>689</v>
      </c>
      <c r="GF12" s="1049" t="s">
        <v>689</v>
      </c>
      <c r="GG12" s="1049" t="s">
        <v>689</v>
      </c>
      <c r="GH12" s="1049" t="s">
        <v>689</v>
      </c>
      <c r="GI12" s="1049" t="s">
        <v>689</v>
      </c>
      <c r="GJ12" s="1049" t="s">
        <v>689</v>
      </c>
      <c r="GK12" s="1049" t="s">
        <v>689</v>
      </c>
      <c r="GL12" s="1049" t="s">
        <v>689</v>
      </c>
      <c r="GM12" s="1049" t="s">
        <v>689</v>
      </c>
      <c r="GN12" s="1049" t="s">
        <v>689</v>
      </c>
      <c r="GO12" s="1049" t="s">
        <v>689</v>
      </c>
      <c r="GP12" s="1049" t="s">
        <v>689</v>
      </c>
      <c r="GQ12" s="1049" t="s">
        <v>689</v>
      </c>
      <c r="GR12" s="1049" t="s">
        <v>689</v>
      </c>
      <c r="GS12" s="1049" t="s">
        <v>689</v>
      </c>
      <c r="GT12" s="1049" t="s">
        <v>689</v>
      </c>
      <c r="GU12" s="1049" t="s">
        <v>689</v>
      </c>
      <c r="GV12" s="1049" t="s">
        <v>689</v>
      </c>
      <c r="GW12" s="1049" t="s">
        <v>689</v>
      </c>
      <c r="GX12" s="1049" t="s">
        <v>689</v>
      </c>
      <c r="GY12" s="1049" t="s">
        <v>689</v>
      </c>
      <c r="GZ12" s="1049" t="s">
        <v>689</v>
      </c>
      <c r="HA12" s="1049" t="s">
        <v>689</v>
      </c>
      <c r="HB12" s="1049" t="s">
        <v>689</v>
      </c>
      <c r="HC12" s="1049" t="s">
        <v>689</v>
      </c>
      <c r="HD12" s="1049" t="s">
        <v>689</v>
      </c>
      <c r="HE12" s="1049" t="s">
        <v>689</v>
      </c>
      <c r="HF12" s="1049" t="s">
        <v>689</v>
      </c>
      <c r="HG12" s="1049" t="s">
        <v>689</v>
      </c>
      <c r="HH12" s="1049" t="s">
        <v>689</v>
      </c>
      <c r="HI12" s="1049" t="s">
        <v>689</v>
      </c>
      <c r="HJ12" s="1049" t="s">
        <v>689</v>
      </c>
      <c r="HK12" s="1049" t="s">
        <v>689</v>
      </c>
      <c r="HL12" s="1049" t="s">
        <v>689</v>
      </c>
      <c r="HM12" s="1049" t="s">
        <v>689</v>
      </c>
      <c r="HN12" s="1049" t="s">
        <v>689</v>
      </c>
      <c r="HO12" s="1049" t="s">
        <v>689</v>
      </c>
      <c r="HP12" s="1049" t="s">
        <v>689</v>
      </c>
      <c r="HQ12" s="1049" t="s">
        <v>689</v>
      </c>
      <c r="HR12" s="1049" t="s">
        <v>689</v>
      </c>
      <c r="HS12" s="1049" t="s">
        <v>689</v>
      </c>
      <c r="HT12" s="1049" t="s">
        <v>689</v>
      </c>
      <c r="HU12" s="1049" t="s">
        <v>689</v>
      </c>
      <c r="HV12" s="1049" t="s">
        <v>689</v>
      </c>
      <c r="HW12" s="1049" t="s">
        <v>689</v>
      </c>
      <c r="HX12" s="1049" t="s">
        <v>689</v>
      </c>
      <c r="HY12" s="1049" t="s">
        <v>689</v>
      </c>
      <c r="HZ12" s="1049" t="s">
        <v>689</v>
      </c>
      <c r="IA12" s="1049" t="s">
        <v>689</v>
      </c>
      <c r="IB12" s="1049" t="s">
        <v>689</v>
      </c>
      <c r="IC12" s="1049" t="s">
        <v>689</v>
      </c>
      <c r="ID12" s="1049" t="s">
        <v>689</v>
      </c>
      <c r="IE12" s="1049" t="s">
        <v>689</v>
      </c>
      <c r="IF12" s="1049" t="s">
        <v>689</v>
      </c>
      <c r="IG12" s="1049" t="s">
        <v>689</v>
      </c>
      <c r="IH12" s="1049" t="s">
        <v>689</v>
      </c>
      <c r="II12" s="1049" t="s">
        <v>689</v>
      </c>
      <c r="IJ12" s="1049" t="s">
        <v>689</v>
      </c>
      <c r="IK12" s="1049" t="s">
        <v>689</v>
      </c>
      <c r="IL12" s="1049" t="s">
        <v>689</v>
      </c>
      <c r="IM12" s="1049" t="s">
        <v>689</v>
      </c>
      <c r="IN12" s="1049" t="s">
        <v>689</v>
      </c>
      <c r="IO12" s="1049" t="s">
        <v>689</v>
      </c>
      <c r="IP12" s="1049" t="s">
        <v>689</v>
      </c>
      <c r="IQ12" s="1049" t="s">
        <v>689</v>
      </c>
      <c r="IR12" s="1049" t="s">
        <v>689</v>
      </c>
      <c r="IS12" s="1049" t="s">
        <v>689</v>
      </c>
      <c r="IT12" s="1049" t="s">
        <v>689</v>
      </c>
      <c r="IU12" s="1049" t="s">
        <v>689</v>
      </c>
      <c r="IV12" s="1049" t="s">
        <v>689</v>
      </c>
      <c r="IW12" s="1049" t="s">
        <v>689</v>
      </c>
      <c r="IX12" s="1049" t="s">
        <v>689</v>
      </c>
      <c r="IY12" s="1049" t="s">
        <v>689</v>
      </c>
      <c r="IZ12" s="1049" t="s">
        <v>689</v>
      </c>
      <c r="JA12" s="1049" t="s">
        <v>689</v>
      </c>
      <c r="JB12" s="1049" t="s">
        <v>689</v>
      </c>
      <c r="JC12" s="1049" t="s">
        <v>689</v>
      </c>
      <c r="JD12" s="1049" t="s">
        <v>689</v>
      </c>
      <c r="JE12" s="1049" t="s">
        <v>689</v>
      </c>
      <c r="JF12" s="1049" t="s">
        <v>689</v>
      </c>
      <c r="JG12" s="1049" t="s">
        <v>689</v>
      </c>
      <c r="JH12" s="1049" t="s">
        <v>689</v>
      </c>
      <c r="JI12" s="1049" t="s">
        <v>689</v>
      </c>
      <c r="JJ12" s="1049" t="s">
        <v>689</v>
      </c>
      <c r="JK12" s="1049" t="s">
        <v>689</v>
      </c>
      <c r="JL12" s="1049" t="s">
        <v>689</v>
      </c>
      <c r="JM12" s="1049" t="s">
        <v>689</v>
      </c>
      <c r="JN12" s="1049" t="s">
        <v>689</v>
      </c>
      <c r="JO12" s="1049" t="s">
        <v>689</v>
      </c>
      <c r="JP12" s="1049" t="s">
        <v>689</v>
      </c>
      <c r="JQ12" s="1049" t="s">
        <v>689</v>
      </c>
      <c r="JR12" s="1049" t="s">
        <v>689</v>
      </c>
      <c r="JS12" s="1049" t="s">
        <v>689</v>
      </c>
      <c r="JT12" s="1049" t="s">
        <v>689</v>
      </c>
      <c r="JU12" s="1049" t="s">
        <v>689</v>
      </c>
      <c r="JV12" s="1049" t="s">
        <v>689</v>
      </c>
      <c r="JW12" s="1049" t="s">
        <v>689</v>
      </c>
      <c r="JX12" s="1049" t="s">
        <v>689</v>
      </c>
      <c r="JY12" s="1049" t="s">
        <v>689</v>
      </c>
      <c r="JZ12" s="1049" t="s">
        <v>689</v>
      </c>
      <c r="KA12" s="1049" t="s">
        <v>689</v>
      </c>
      <c r="KB12" s="1049" t="s">
        <v>689</v>
      </c>
      <c r="KC12" s="1049" t="s">
        <v>689</v>
      </c>
      <c r="KD12" s="1049" t="s">
        <v>689</v>
      </c>
      <c r="KE12" s="1049" t="s">
        <v>689</v>
      </c>
      <c r="KF12" s="1049" t="s">
        <v>689</v>
      </c>
      <c r="KG12" s="1049" t="s">
        <v>689</v>
      </c>
      <c r="KH12" s="1049" t="s">
        <v>689</v>
      </c>
      <c r="KI12" s="1049" t="s">
        <v>689</v>
      </c>
      <c r="KJ12" s="1049" t="s">
        <v>689</v>
      </c>
      <c r="KK12" s="1049" t="s">
        <v>689</v>
      </c>
      <c r="KL12" s="1049" t="s">
        <v>689</v>
      </c>
      <c r="KM12" s="1049" t="s">
        <v>689</v>
      </c>
      <c r="KN12" s="1049" t="s">
        <v>689</v>
      </c>
      <c r="KO12" s="1049" t="s">
        <v>689</v>
      </c>
      <c r="KP12" s="1049" t="s">
        <v>689</v>
      </c>
      <c r="KQ12" s="1049" t="s">
        <v>689</v>
      </c>
      <c r="KR12" s="1049" t="s">
        <v>689</v>
      </c>
      <c r="KS12" s="1049" t="s">
        <v>689</v>
      </c>
      <c r="KT12" s="1049" t="s">
        <v>689</v>
      </c>
      <c r="KU12" s="1049" t="s">
        <v>689</v>
      </c>
      <c r="KV12" s="1049" t="s">
        <v>689</v>
      </c>
      <c r="KW12" s="1049" t="s">
        <v>689</v>
      </c>
      <c r="KX12" s="1049" t="s">
        <v>689</v>
      </c>
      <c r="KY12" s="1049" t="s">
        <v>689</v>
      </c>
      <c r="KZ12" s="1049" t="s">
        <v>689</v>
      </c>
      <c r="LA12" s="1049" t="s">
        <v>689</v>
      </c>
      <c r="LB12" s="1049" t="s">
        <v>689</v>
      </c>
      <c r="LC12" s="1049" t="s">
        <v>689</v>
      </c>
      <c r="LD12" s="1049" t="s">
        <v>689</v>
      </c>
      <c r="LE12" s="1049" t="s">
        <v>689</v>
      </c>
      <c r="LF12" s="1049" t="s">
        <v>689</v>
      </c>
      <c r="LG12" s="1049" t="s">
        <v>689</v>
      </c>
      <c r="LH12" s="1049" t="s">
        <v>689</v>
      </c>
      <c r="LI12" s="1049" t="s">
        <v>689</v>
      </c>
      <c r="LJ12" s="1049" t="s">
        <v>689</v>
      </c>
      <c r="LK12" s="1049" t="s">
        <v>689</v>
      </c>
      <c r="LL12" s="1049" t="s">
        <v>689</v>
      </c>
      <c r="LM12" s="1049" t="s">
        <v>689</v>
      </c>
      <c r="LN12" s="1049" t="s">
        <v>689</v>
      </c>
      <c r="LO12" s="1049" t="s">
        <v>689</v>
      </c>
      <c r="LP12" s="1049" t="s">
        <v>689</v>
      </c>
      <c r="LQ12" s="1049" t="s">
        <v>689</v>
      </c>
      <c r="LR12" s="1049" t="s">
        <v>689</v>
      </c>
      <c r="LS12" s="1049" t="s">
        <v>689</v>
      </c>
      <c r="LT12" s="1049" t="s">
        <v>689</v>
      </c>
      <c r="LU12" s="1049" t="s">
        <v>689</v>
      </c>
      <c r="LV12" s="1049" t="s">
        <v>689</v>
      </c>
      <c r="LW12" s="1049" t="s">
        <v>689</v>
      </c>
      <c r="LX12" s="1049" t="s">
        <v>689</v>
      </c>
      <c r="LY12" s="1049" t="s">
        <v>689</v>
      </c>
      <c r="LZ12" s="1049" t="s">
        <v>689</v>
      </c>
      <c r="MA12" s="1049" t="s">
        <v>689</v>
      </c>
      <c r="MB12" s="1049" t="s">
        <v>689</v>
      </c>
      <c r="MC12" s="1049" t="s">
        <v>689</v>
      </c>
      <c r="MD12" s="1049" t="s">
        <v>689</v>
      </c>
      <c r="ME12" s="1049" t="s">
        <v>689</v>
      </c>
      <c r="MF12" s="1049" t="s">
        <v>689</v>
      </c>
      <c r="MG12" s="1049" t="s">
        <v>689</v>
      </c>
      <c r="MH12" s="1049" t="s">
        <v>689</v>
      </c>
      <c r="MI12" s="1049" t="s">
        <v>689</v>
      </c>
      <c r="MJ12" s="1049" t="s">
        <v>689</v>
      </c>
      <c r="MK12" s="1049" t="s">
        <v>689</v>
      </c>
      <c r="ML12" s="1049" t="s">
        <v>689</v>
      </c>
      <c r="MM12" s="1049" t="s">
        <v>689</v>
      </c>
      <c r="MN12" s="1049" t="s">
        <v>689</v>
      </c>
      <c r="MO12" s="1049" t="s">
        <v>689</v>
      </c>
      <c r="MP12" s="1049" t="s">
        <v>689</v>
      </c>
      <c r="MQ12" s="1049" t="s">
        <v>689</v>
      </c>
      <c r="MR12" s="1049" t="s">
        <v>689</v>
      </c>
      <c r="MS12" s="1049" t="s">
        <v>689</v>
      </c>
      <c r="MT12" s="1049" t="s">
        <v>689</v>
      </c>
      <c r="MU12" s="1049" t="s">
        <v>689</v>
      </c>
      <c r="MV12" s="1049" t="s">
        <v>689</v>
      </c>
      <c r="MW12" s="1049" t="s">
        <v>689</v>
      </c>
      <c r="MX12" s="1049" t="s">
        <v>689</v>
      </c>
      <c r="MY12" s="1049" t="s">
        <v>689</v>
      </c>
      <c r="MZ12" s="1049" t="s">
        <v>689</v>
      </c>
      <c r="NA12" s="1049" t="s">
        <v>689</v>
      </c>
      <c r="NB12" s="1049" t="s">
        <v>689</v>
      </c>
      <c r="NC12" s="1049" t="s">
        <v>689</v>
      </c>
      <c r="ND12" s="1049" t="s">
        <v>689</v>
      </c>
      <c r="NE12" s="1049" t="s">
        <v>689</v>
      </c>
      <c r="NF12" s="1049" t="s">
        <v>689</v>
      </c>
      <c r="NG12" s="1049" t="s">
        <v>689</v>
      </c>
      <c r="NH12" s="1049" t="s">
        <v>689</v>
      </c>
      <c r="NI12" s="1049" t="s">
        <v>689</v>
      </c>
      <c r="NJ12" s="1049" t="s">
        <v>689</v>
      </c>
      <c r="NK12" s="1049" t="s">
        <v>689</v>
      </c>
      <c r="NL12" s="1049" t="s">
        <v>689</v>
      </c>
      <c r="NM12" s="1049" t="s">
        <v>689</v>
      </c>
      <c r="NN12" s="1049" t="s">
        <v>689</v>
      </c>
      <c r="NO12" s="1049" t="s">
        <v>689</v>
      </c>
      <c r="NP12" s="1049" t="s">
        <v>689</v>
      </c>
      <c r="NQ12" s="1049" t="s">
        <v>689</v>
      </c>
      <c r="NR12" s="1049" t="s">
        <v>689</v>
      </c>
      <c r="NS12" s="1049" t="s">
        <v>689</v>
      </c>
      <c r="NT12" s="1049" t="s">
        <v>689</v>
      </c>
      <c r="NU12" s="1049" t="s">
        <v>689</v>
      </c>
      <c r="NV12" s="1049" t="s">
        <v>689</v>
      </c>
      <c r="NW12" s="1049" t="s">
        <v>689</v>
      </c>
      <c r="NX12" s="1049" t="s">
        <v>689</v>
      </c>
      <c r="NY12" s="1049" t="s">
        <v>689</v>
      </c>
      <c r="NZ12" s="1049" t="s">
        <v>689</v>
      </c>
      <c r="OA12" s="1049" t="s">
        <v>689</v>
      </c>
      <c r="OB12" s="1049" t="s">
        <v>689</v>
      </c>
      <c r="OC12" s="1049" t="s">
        <v>689</v>
      </c>
      <c r="OD12" s="1049" t="s">
        <v>689</v>
      </c>
      <c r="OE12" s="1049" t="s">
        <v>689</v>
      </c>
      <c r="OF12" s="1049" t="s">
        <v>689</v>
      </c>
      <c r="OG12" s="1049" t="s">
        <v>689</v>
      </c>
      <c r="OH12" s="1049" t="s">
        <v>689</v>
      </c>
      <c r="OI12" s="1049" t="s">
        <v>689</v>
      </c>
      <c r="OJ12" s="1049" t="s">
        <v>689</v>
      </c>
      <c r="OK12" s="1049" t="s">
        <v>689</v>
      </c>
      <c r="OL12" s="1049" t="s">
        <v>689</v>
      </c>
      <c r="OM12" s="1049" t="s">
        <v>689</v>
      </c>
      <c r="ON12" s="1049" t="s">
        <v>689</v>
      </c>
      <c r="OO12" s="1049" t="s">
        <v>689</v>
      </c>
      <c r="OP12" s="1049" t="s">
        <v>689</v>
      </c>
      <c r="OQ12" s="1049" t="s">
        <v>689</v>
      </c>
      <c r="OR12" s="1049" t="s">
        <v>689</v>
      </c>
      <c r="OS12" s="1049" t="s">
        <v>689</v>
      </c>
      <c r="OT12" s="1049" t="s">
        <v>689</v>
      </c>
      <c r="OU12" s="1049" t="s">
        <v>689</v>
      </c>
      <c r="OV12" s="1049" t="s">
        <v>689</v>
      </c>
      <c r="OW12" s="1049" t="s">
        <v>689</v>
      </c>
      <c r="OX12" s="1049" t="s">
        <v>689</v>
      </c>
      <c r="OY12" s="1049" t="s">
        <v>689</v>
      </c>
      <c r="OZ12" s="1049" t="s">
        <v>689</v>
      </c>
      <c r="PA12" s="1049" t="s">
        <v>689</v>
      </c>
      <c r="PB12" s="1049" t="s">
        <v>689</v>
      </c>
      <c r="PC12" s="1049" t="s">
        <v>689</v>
      </c>
      <c r="PD12" s="1049" t="s">
        <v>689</v>
      </c>
      <c r="PE12" s="1049" t="s">
        <v>689</v>
      </c>
      <c r="PF12" s="1049" t="s">
        <v>689</v>
      </c>
      <c r="PG12" s="1049" t="s">
        <v>689</v>
      </c>
      <c r="PH12" s="1049" t="s">
        <v>689</v>
      </c>
      <c r="PI12" s="1049" t="s">
        <v>689</v>
      </c>
      <c r="PJ12" s="1049" t="s">
        <v>689</v>
      </c>
      <c r="PK12" s="1049" t="s">
        <v>689</v>
      </c>
      <c r="PL12" s="1049" t="s">
        <v>689</v>
      </c>
      <c r="PM12" s="1049" t="s">
        <v>689</v>
      </c>
      <c r="PN12" s="1049" t="s">
        <v>689</v>
      </c>
      <c r="PO12" s="1049" t="s">
        <v>689</v>
      </c>
      <c r="PP12" s="1049" t="s">
        <v>689</v>
      </c>
      <c r="PQ12" s="1049" t="s">
        <v>689</v>
      </c>
      <c r="PR12" s="1049" t="s">
        <v>689</v>
      </c>
      <c r="PS12" s="1049" t="s">
        <v>689</v>
      </c>
      <c r="PT12" s="1049" t="s">
        <v>689</v>
      </c>
      <c r="PU12" s="1049" t="s">
        <v>689</v>
      </c>
      <c r="PV12" s="1049" t="s">
        <v>689</v>
      </c>
      <c r="PW12" s="1049" t="s">
        <v>689</v>
      </c>
      <c r="PX12" s="1049" t="s">
        <v>689</v>
      </c>
      <c r="PY12" s="1049" t="s">
        <v>689</v>
      </c>
      <c r="PZ12" s="1049" t="s">
        <v>689</v>
      </c>
      <c r="QA12" s="1049" t="s">
        <v>689</v>
      </c>
      <c r="QB12" s="1049" t="s">
        <v>689</v>
      </c>
      <c r="QC12" s="1049" t="s">
        <v>689</v>
      </c>
      <c r="QD12" s="1049" t="s">
        <v>689</v>
      </c>
      <c r="QE12" s="1049" t="s">
        <v>689</v>
      </c>
      <c r="QF12" s="1049" t="s">
        <v>689</v>
      </c>
      <c r="QG12" s="1049" t="s">
        <v>689</v>
      </c>
      <c r="QH12" s="1049" t="s">
        <v>689</v>
      </c>
      <c r="QI12" s="1049" t="s">
        <v>689</v>
      </c>
      <c r="QJ12" s="1049" t="s">
        <v>689</v>
      </c>
      <c r="QK12" s="1049" t="s">
        <v>689</v>
      </c>
      <c r="QL12" s="1049" t="s">
        <v>689</v>
      </c>
      <c r="QM12" s="1049" t="s">
        <v>689</v>
      </c>
      <c r="QN12" s="1049" t="s">
        <v>689</v>
      </c>
      <c r="QO12" s="1049" t="s">
        <v>689</v>
      </c>
      <c r="QP12" s="1049" t="s">
        <v>689</v>
      </c>
      <c r="QQ12" s="1049" t="s">
        <v>689</v>
      </c>
      <c r="QR12" s="1049" t="s">
        <v>689</v>
      </c>
      <c r="QS12" s="1049" t="s">
        <v>689</v>
      </c>
      <c r="QT12" s="1049" t="s">
        <v>689</v>
      </c>
      <c r="QU12" s="1049" t="s">
        <v>689</v>
      </c>
      <c r="QV12" s="1049" t="s">
        <v>689</v>
      </c>
      <c r="QW12" s="1049" t="s">
        <v>689</v>
      </c>
      <c r="QX12" s="1049" t="s">
        <v>689</v>
      </c>
      <c r="QY12" s="1049" t="s">
        <v>689</v>
      </c>
      <c r="QZ12" s="1049" t="s">
        <v>689</v>
      </c>
      <c r="RA12" s="1049" t="s">
        <v>689</v>
      </c>
      <c r="RB12" s="1049" t="s">
        <v>689</v>
      </c>
      <c r="RC12" s="1049" t="s">
        <v>689</v>
      </c>
      <c r="RD12" s="1049" t="s">
        <v>689</v>
      </c>
      <c r="RE12" s="1049" t="s">
        <v>689</v>
      </c>
      <c r="RF12" s="1049" t="s">
        <v>689</v>
      </c>
      <c r="RG12" s="1049" t="s">
        <v>689</v>
      </c>
      <c r="RH12" s="1049" t="s">
        <v>689</v>
      </c>
      <c r="RI12" s="1049" t="s">
        <v>689</v>
      </c>
      <c r="RJ12" s="1049" t="s">
        <v>689</v>
      </c>
      <c r="RK12" s="1049" t="s">
        <v>689</v>
      </c>
      <c r="RL12" s="1049" t="s">
        <v>689</v>
      </c>
      <c r="RM12" s="1049" t="s">
        <v>689</v>
      </c>
      <c r="RN12" s="1049" t="s">
        <v>689</v>
      </c>
      <c r="RO12" s="1049" t="s">
        <v>689</v>
      </c>
      <c r="RP12" s="1049" t="s">
        <v>689</v>
      </c>
      <c r="RQ12" s="1049" t="s">
        <v>689</v>
      </c>
      <c r="RR12" s="1049" t="s">
        <v>689</v>
      </c>
      <c r="RS12" s="1049" t="s">
        <v>689</v>
      </c>
      <c r="RT12" s="1049" t="s">
        <v>689</v>
      </c>
      <c r="RU12" s="1049" t="s">
        <v>689</v>
      </c>
      <c r="RV12" s="1049" t="s">
        <v>689</v>
      </c>
      <c r="RW12" s="1049" t="s">
        <v>689</v>
      </c>
      <c r="RX12" s="1049" t="s">
        <v>689</v>
      </c>
      <c r="RY12" s="1049" t="s">
        <v>689</v>
      </c>
      <c r="RZ12" s="1049" t="s">
        <v>689</v>
      </c>
      <c r="SA12" s="1049" t="s">
        <v>689</v>
      </c>
      <c r="SB12" s="1049" t="s">
        <v>689</v>
      </c>
      <c r="SC12" s="1049" t="s">
        <v>689</v>
      </c>
      <c r="SD12" s="1049" t="s">
        <v>689</v>
      </c>
      <c r="SE12" s="1049" t="s">
        <v>689</v>
      </c>
      <c r="SF12" s="1049" t="s">
        <v>689</v>
      </c>
      <c r="SG12" s="1049" t="s">
        <v>689</v>
      </c>
      <c r="SH12" s="1049" t="s">
        <v>689</v>
      </c>
      <c r="SI12" s="1049" t="s">
        <v>689</v>
      </c>
      <c r="SJ12" s="1049" t="s">
        <v>689</v>
      </c>
      <c r="SK12" s="1049" t="s">
        <v>689</v>
      </c>
      <c r="SL12" s="1049" t="s">
        <v>689</v>
      </c>
      <c r="SM12" s="1049" t="s">
        <v>689</v>
      </c>
      <c r="SN12" s="1049" t="s">
        <v>689</v>
      </c>
      <c r="SO12" s="1049" t="s">
        <v>689</v>
      </c>
      <c r="SP12" s="1049" t="s">
        <v>689</v>
      </c>
      <c r="SQ12" s="1049" t="s">
        <v>689</v>
      </c>
      <c r="SR12" s="1049" t="s">
        <v>689</v>
      </c>
      <c r="SS12" s="1049" t="s">
        <v>689</v>
      </c>
      <c r="ST12" s="1049" t="s">
        <v>689</v>
      </c>
      <c r="SU12" s="1049" t="s">
        <v>689</v>
      </c>
      <c r="SV12" s="1049" t="s">
        <v>689</v>
      </c>
      <c r="SW12" s="1049" t="s">
        <v>689</v>
      </c>
      <c r="SX12" s="1049" t="s">
        <v>689</v>
      </c>
      <c r="SY12" s="1049" t="s">
        <v>689</v>
      </c>
      <c r="SZ12" s="1049" t="s">
        <v>689</v>
      </c>
      <c r="TA12" s="1049" t="s">
        <v>689</v>
      </c>
      <c r="TB12" s="1049" t="s">
        <v>689</v>
      </c>
      <c r="TC12" s="1049" t="s">
        <v>689</v>
      </c>
      <c r="TD12" s="1049" t="s">
        <v>689</v>
      </c>
      <c r="TE12" s="1049" t="s">
        <v>689</v>
      </c>
      <c r="TF12" s="1049" t="s">
        <v>689</v>
      </c>
      <c r="TG12" s="1049" t="s">
        <v>689</v>
      </c>
      <c r="TH12" s="1049" t="s">
        <v>689</v>
      </c>
      <c r="TI12" s="1049" t="s">
        <v>689</v>
      </c>
      <c r="TJ12" s="1049" t="s">
        <v>689</v>
      </c>
      <c r="TK12" s="1049" t="s">
        <v>689</v>
      </c>
      <c r="TL12" s="1049" t="s">
        <v>689</v>
      </c>
      <c r="TM12" s="1049" t="s">
        <v>689</v>
      </c>
      <c r="TN12" s="1049" t="s">
        <v>689</v>
      </c>
      <c r="TO12" s="1049" t="s">
        <v>689</v>
      </c>
      <c r="TP12" s="1049" t="s">
        <v>689</v>
      </c>
      <c r="TQ12" s="1049" t="s">
        <v>689</v>
      </c>
      <c r="TR12" s="1049" t="s">
        <v>689</v>
      </c>
      <c r="TS12" s="1049" t="s">
        <v>689</v>
      </c>
      <c r="TT12" s="1049" t="s">
        <v>689</v>
      </c>
      <c r="TU12" s="1049" t="s">
        <v>689</v>
      </c>
      <c r="TV12" s="1049" t="s">
        <v>689</v>
      </c>
      <c r="TW12" s="1049" t="s">
        <v>689</v>
      </c>
      <c r="TX12" s="1049" t="s">
        <v>689</v>
      </c>
      <c r="TY12" s="1049" t="s">
        <v>689</v>
      </c>
      <c r="TZ12" s="1049" t="s">
        <v>689</v>
      </c>
      <c r="UA12" s="1049" t="s">
        <v>689</v>
      </c>
      <c r="UB12" s="1049" t="s">
        <v>689</v>
      </c>
      <c r="UC12" s="1049" t="s">
        <v>689</v>
      </c>
      <c r="UD12" s="1049" t="s">
        <v>689</v>
      </c>
      <c r="UE12" s="1049" t="s">
        <v>689</v>
      </c>
      <c r="UF12" s="1049" t="s">
        <v>689</v>
      </c>
      <c r="UG12" s="1049" t="s">
        <v>689</v>
      </c>
      <c r="UH12" s="1049" t="s">
        <v>689</v>
      </c>
      <c r="UI12" s="1049" t="s">
        <v>689</v>
      </c>
      <c r="UJ12" s="1049" t="s">
        <v>689</v>
      </c>
      <c r="UK12" s="1049" t="s">
        <v>689</v>
      </c>
      <c r="UL12" s="1049" t="s">
        <v>689</v>
      </c>
      <c r="UM12" s="1049" t="s">
        <v>689</v>
      </c>
      <c r="UN12" s="1049" t="s">
        <v>689</v>
      </c>
      <c r="UO12" s="1049" t="s">
        <v>689</v>
      </c>
      <c r="UP12" s="1049" t="s">
        <v>689</v>
      </c>
      <c r="UQ12" s="1049" t="s">
        <v>689</v>
      </c>
      <c r="UR12" s="1049" t="s">
        <v>689</v>
      </c>
      <c r="US12" s="1049" t="s">
        <v>689</v>
      </c>
      <c r="UT12" s="1049" t="s">
        <v>689</v>
      </c>
      <c r="UU12" s="1050" t="s">
        <v>690</v>
      </c>
      <c r="UV12" s="1050" t="s">
        <v>690</v>
      </c>
      <c r="UW12" s="1050" t="s">
        <v>690</v>
      </c>
      <c r="UX12" s="1050" t="s">
        <v>690</v>
      </c>
      <c r="UY12" s="1050" t="s">
        <v>690</v>
      </c>
      <c r="UZ12" s="1050" t="s">
        <v>690</v>
      </c>
      <c r="VA12" s="1050" t="s">
        <v>690</v>
      </c>
      <c r="VB12" s="1050" t="s">
        <v>690</v>
      </c>
      <c r="VC12" s="1050" t="s">
        <v>690</v>
      </c>
      <c r="VD12" s="1050" t="s">
        <v>690</v>
      </c>
      <c r="VE12" s="1050" t="s">
        <v>690</v>
      </c>
      <c r="VF12" s="1050" t="s">
        <v>690</v>
      </c>
      <c r="VG12" s="1050" t="s">
        <v>690</v>
      </c>
      <c r="VH12" s="1050" t="s">
        <v>690</v>
      </c>
      <c r="VI12" s="1050" t="s">
        <v>690</v>
      </c>
      <c r="VJ12" s="1050" t="s">
        <v>690</v>
      </c>
      <c r="VK12" s="1050" t="s">
        <v>690</v>
      </c>
      <c r="VL12" s="1050" t="s">
        <v>690</v>
      </c>
      <c r="VM12" s="1050" t="s">
        <v>690</v>
      </c>
      <c r="VN12" s="1050" t="s">
        <v>690</v>
      </c>
      <c r="VO12" s="1050" t="s">
        <v>690</v>
      </c>
      <c r="VP12" s="1050" t="s">
        <v>690</v>
      </c>
      <c r="VQ12" s="1050" t="s">
        <v>690</v>
      </c>
      <c r="VR12" s="1050" t="s">
        <v>690</v>
      </c>
      <c r="VS12" s="1050" t="s">
        <v>690</v>
      </c>
      <c r="VT12" s="1050" t="s">
        <v>690</v>
      </c>
      <c r="VU12" s="1050" t="s">
        <v>690</v>
      </c>
      <c r="VV12" s="1050" t="s">
        <v>690</v>
      </c>
      <c r="VW12" s="1050" t="s">
        <v>690</v>
      </c>
      <c r="VX12" s="1050" t="s">
        <v>690</v>
      </c>
      <c r="VY12" s="1050" t="s">
        <v>690</v>
      </c>
      <c r="VZ12" s="1050" t="s">
        <v>690</v>
      </c>
      <c r="WA12" s="1050" t="s">
        <v>690</v>
      </c>
      <c r="WB12" s="1050" t="s">
        <v>690</v>
      </c>
      <c r="WC12" s="1050" t="s">
        <v>690</v>
      </c>
      <c r="WD12" s="1050" t="s">
        <v>690</v>
      </c>
      <c r="WE12" s="1050" t="s">
        <v>690</v>
      </c>
      <c r="WF12" s="1050" t="s">
        <v>690</v>
      </c>
      <c r="WG12" s="1050" t="s">
        <v>690</v>
      </c>
      <c r="WH12" s="1050" t="s">
        <v>690</v>
      </c>
      <c r="WI12" s="1050" t="s">
        <v>690</v>
      </c>
      <c r="WJ12" s="1050" t="s">
        <v>690</v>
      </c>
      <c r="WK12" s="1050" t="s">
        <v>690</v>
      </c>
      <c r="WL12" s="1050" t="s">
        <v>690</v>
      </c>
      <c r="WM12" s="1050" t="s">
        <v>690</v>
      </c>
      <c r="WN12" s="1050" t="s">
        <v>690</v>
      </c>
      <c r="WO12" s="1050" t="s">
        <v>690</v>
      </c>
      <c r="WP12" s="1050" t="s">
        <v>690</v>
      </c>
      <c r="WQ12" s="1050" t="s">
        <v>690</v>
      </c>
      <c r="WR12" s="1050" t="s">
        <v>690</v>
      </c>
      <c r="WS12" s="1050" t="s">
        <v>690</v>
      </c>
      <c r="WT12" s="1050" t="s">
        <v>690</v>
      </c>
      <c r="WU12" s="1050" t="s">
        <v>690</v>
      </c>
      <c r="WV12" s="1050" t="s">
        <v>690</v>
      </c>
      <c r="WW12" s="1050" t="s">
        <v>690</v>
      </c>
      <c r="WX12" s="1050" t="s">
        <v>690</v>
      </c>
      <c r="WY12" s="1050" t="s">
        <v>690</v>
      </c>
      <c r="WZ12" s="1050" t="s">
        <v>690</v>
      </c>
      <c r="XA12" s="1050" t="s">
        <v>690</v>
      </c>
      <c r="XB12" s="1050" t="s">
        <v>690</v>
      </c>
      <c r="XC12" s="1050" t="s">
        <v>690</v>
      </c>
      <c r="XD12" s="1050" t="s">
        <v>690</v>
      </c>
      <c r="XE12" s="1050" t="s">
        <v>690</v>
      </c>
      <c r="XF12" s="1050" t="s">
        <v>690</v>
      </c>
      <c r="XG12" s="1050" t="s">
        <v>690</v>
      </c>
      <c r="XH12" s="1050" t="s">
        <v>690</v>
      </c>
      <c r="XI12" s="1050" t="s">
        <v>690</v>
      </c>
      <c r="XJ12" s="1050" t="s">
        <v>690</v>
      </c>
      <c r="XK12" s="1050" t="s">
        <v>690</v>
      </c>
      <c r="XL12" s="1050" t="s">
        <v>690</v>
      </c>
      <c r="XM12" s="1050" t="s">
        <v>690</v>
      </c>
      <c r="XN12" s="1050" t="s">
        <v>690</v>
      </c>
      <c r="XO12" s="1050" t="s">
        <v>690</v>
      </c>
      <c r="XP12" s="1050" t="s">
        <v>690</v>
      </c>
      <c r="XQ12" s="1050" t="s">
        <v>690</v>
      </c>
      <c r="XR12" s="1050" t="s">
        <v>690</v>
      </c>
      <c r="XS12" s="1050" t="s">
        <v>690</v>
      </c>
      <c r="XT12" s="1050" t="s">
        <v>690</v>
      </c>
      <c r="XU12" s="1050" t="s">
        <v>690</v>
      </c>
      <c r="XV12" s="1050" t="s">
        <v>690</v>
      </c>
      <c r="XW12" s="1050" t="s">
        <v>690</v>
      </c>
      <c r="XX12" s="1050" t="s">
        <v>690</v>
      </c>
      <c r="XY12" s="1050" t="s">
        <v>690</v>
      </c>
      <c r="XZ12" s="1050" t="s">
        <v>690</v>
      </c>
      <c r="YA12" s="1050" t="s">
        <v>690</v>
      </c>
      <c r="YB12" s="1050" t="s">
        <v>690</v>
      </c>
      <c r="YC12" s="1050" t="s">
        <v>690</v>
      </c>
      <c r="YD12" s="1050" t="s">
        <v>690</v>
      </c>
      <c r="YE12" s="1050" t="s">
        <v>690</v>
      </c>
      <c r="YF12" s="1050" t="s">
        <v>690</v>
      </c>
      <c r="YG12" s="1050" t="s">
        <v>690</v>
      </c>
      <c r="YH12" s="1050" t="s">
        <v>690</v>
      </c>
      <c r="YI12" s="1050" t="s">
        <v>690</v>
      </c>
      <c r="YJ12" s="1050" t="s">
        <v>690</v>
      </c>
      <c r="YK12" s="1050" t="s">
        <v>690</v>
      </c>
      <c r="YL12" s="1050" t="s">
        <v>690</v>
      </c>
      <c r="YM12" s="1050" t="s">
        <v>690</v>
      </c>
      <c r="YN12" s="1050" t="s">
        <v>690</v>
      </c>
      <c r="YO12" s="1050" t="s">
        <v>690</v>
      </c>
      <c r="YP12" s="1050" t="s">
        <v>690</v>
      </c>
      <c r="YQ12" s="1050" t="s">
        <v>690</v>
      </c>
      <c r="YR12" s="1050" t="s">
        <v>690</v>
      </c>
      <c r="YS12" s="1050" t="s">
        <v>690</v>
      </c>
      <c r="YT12" s="1050" t="s">
        <v>690</v>
      </c>
      <c r="YU12" s="1050" t="s">
        <v>690</v>
      </c>
      <c r="YV12" s="1050" t="s">
        <v>690</v>
      </c>
      <c r="YW12" s="1050" t="s">
        <v>690</v>
      </c>
      <c r="YX12" s="1050" t="s">
        <v>690</v>
      </c>
      <c r="YY12" s="1050" t="s">
        <v>690</v>
      </c>
      <c r="YZ12" s="1050" t="s">
        <v>690</v>
      </c>
      <c r="ZA12" s="1050" t="s">
        <v>690</v>
      </c>
      <c r="ZB12" s="1050" t="s">
        <v>690</v>
      </c>
      <c r="ZC12" s="1050" t="s">
        <v>690</v>
      </c>
      <c r="ZD12" s="1050" t="s">
        <v>690</v>
      </c>
      <c r="ZE12" s="1050" t="s">
        <v>690</v>
      </c>
      <c r="ZF12" s="1050" t="s">
        <v>690</v>
      </c>
      <c r="ZG12" s="1050" t="s">
        <v>690</v>
      </c>
      <c r="ZH12" s="1050" t="s">
        <v>690</v>
      </c>
      <c r="ZI12" s="1050" t="s">
        <v>690</v>
      </c>
      <c r="ZJ12" s="1050" t="s">
        <v>690</v>
      </c>
      <c r="ZK12" s="1050" t="s">
        <v>690</v>
      </c>
      <c r="ZL12" s="1050" t="s">
        <v>690</v>
      </c>
      <c r="ZM12" s="1050" t="s">
        <v>690</v>
      </c>
      <c r="ZN12" s="1050" t="s">
        <v>690</v>
      </c>
      <c r="ZO12" s="1050" t="s">
        <v>690</v>
      </c>
      <c r="ZP12" s="1050" t="s">
        <v>690</v>
      </c>
      <c r="ZQ12" s="1050" t="s">
        <v>690</v>
      </c>
      <c r="ZR12" s="1050" t="s">
        <v>690</v>
      </c>
      <c r="ZS12" s="1050" t="s">
        <v>690</v>
      </c>
      <c r="ZT12" s="1050" t="s">
        <v>690</v>
      </c>
      <c r="ZU12" s="1050" t="s">
        <v>690</v>
      </c>
      <c r="ZV12" s="1050" t="s">
        <v>690</v>
      </c>
      <c r="ZW12" s="1050" t="s">
        <v>690</v>
      </c>
      <c r="ZX12" s="1050" t="s">
        <v>690</v>
      </c>
      <c r="ZY12" s="1050" t="s">
        <v>690</v>
      </c>
      <c r="ZZ12" s="1050" t="s">
        <v>690</v>
      </c>
      <c r="AAA12" s="1050" t="s">
        <v>690</v>
      </c>
      <c r="AAB12" s="1050" t="s">
        <v>690</v>
      </c>
      <c r="AAC12" s="1050" t="s">
        <v>690</v>
      </c>
      <c r="AAD12" s="1050" t="s">
        <v>690</v>
      </c>
      <c r="AAE12" s="1050" t="s">
        <v>690</v>
      </c>
      <c r="AAF12" s="1050" t="s">
        <v>690</v>
      </c>
      <c r="AAG12" s="1050" t="s">
        <v>690</v>
      </c>
      <c r="AAH12" s="1050" t="s">
        <v>690</v>
      </c>
      <c r="AAI12" s="1050" t="s">
        <v>690</v>
      </c>
      <c r="AAJ12" s="1050" t="s">
        <v>690</v>
      </c>
      <c r="AAK12" s="1050" t="s">
        <v>690</v>
      </c>
      <c r="AAL12" s="1050" t="s">
        <v>690</v>
      </c>
      <c r="AAM12" s="1050" t="s">
        <v>690</v>
      </c>
      <c r="AAN12" s="1050" t="s">
        <v>690</v>
      </c>
      <c r="AAO12" s="1050" t="s">
        <v>690</v>
      </c>
      <c r="AAP12" s="1050" t="s">
        <v>690</v>
      </c>
      <c r="AAQ12" s="1050" t="s">
        <v>690</v>
      </c>
      <c r="AAR12" s="1050" t="s">
        <v>690</v>
      </c>
      <c r="AAS12" s="1050" t="s">
        <v>690</v>
      </c>
      <c r="AAT12" s="1050" t="s">
        <v>690</v>
      </c>
      <c r="AAU12" s="1050" t="s">
        <v>690</v>
      </c>
      <c r="AAV12" s="1050" t="s">
        <v>690</v>
      </c>
      <c r="AAW12" s="1050" t="s">
        <v>690</v>
      </c>
      <c r="AAX12" s="1050" t="s">
        <v>690</v>
      </c>
      <c r="AAY12" s="1050" t="s">
        <v>690</v>
      </c>
      <c r="AAZ12" s="1050" t="s">
        <v>690</v>
      </c>
      <c r="ABA12" s="1050" t="s">
        <v>690</v>
      </c>
      <c r="ABB12" s="1050" t="s">
        <v>690</v>
      </c>
      <c r="ABC12" s="1050" t="s">
        <v>690</v>
      </c>
      <c r="ABD12" s="1050" t="s">
        <v>690</v>
      </c>
      <c r="ABE12" s="1050" t="s">
        <v>690</v>
      </c>
      <c r="ABF12" s="1050" t="s">
        <v>690</v>
      </c>
      <c r="ABG12" s="1050" t="s">
        <v>690</v>
      </c>
      <c r="ABH12" s="1050" t="s">
        <v>690</v>
      </c>
      <c r="ABI12" s="1050" t="s">
        <v>690</v>
      </c>
      <c r="ABJ12" s="1050" t="s">
        <v>690</v>
      </c>
      <c r="ABK12" s="1050" t="s">
        <v>690</v>
      </c>
      <c r="ABL12" s="1050" t="s">
        <v>690</v>
      </c>
      <c r="ABM12" s="1050" t="s">
        <v>690</v>
      </c>
      <c r="ABN12" s="1050" t="s">
        <v>690</v>
      </c>
      <c r="ABO12" s="1050" t="s">
        <v>690</v>
      </c>
      <c r="ABP12" s="1050" t="s">
        <v>690</v>
      </c>
      <c r="ABQ12" s="1050" t="s">
        <v>690</v>
      </c>
      <c r="ABR12" s="1050" t="s">
        <v>690</v>
      </c>
      <c r="ABS12" s="1050" t="s">
        <v>690</v>
      </c>
      <c r="ABT12" s="1050" t="s">
        <v>690</v>
      </c>
      <c r="ABU12" s="1050" t="s">
        <v>690</v>
      </c>
      <c r="ABV12" s="1050" t="s">
        <v>690</v>
      </c>
      <c r="ABW12" s="1050" t="s">
        <v>690</v>
      </c>
      <c r="ABX12" s="1050" t="s">
        <v>690</v>
      </c>
      <c r="ABY12" s="1050" t="s">
        <v>690</v>
      </c>
      <c r="ABZ12" s="1050" t="s">
        <v>690</v>
      </c>
      <c r="ACA12" s="1050" t="s">
        <v>690</v>
      </c>
      <c r="ACB12" s="1050" t="s">
        <v>690</v>
      </c>
      <c r="ACC12" s="1050" t="s">
        <v>690</v>
      </c>
      <c r="ACD12" s="1050" t="s">
        <v>690</v>
      </c>
      <c r="ACE12" s="1050" t="s">
        <v>690</v>
      </c>
      <c r="ACF12" s="1050" t="s">
        <v>690</v>
      </c>
      <c r="ACG12" s="1050" t="s">
        <v>690</v>
      </c>
      <c r="ACH12" s="1050" t="s">
        <v>690</v>
      </c>
      <c r="ACI12" s="1050" t="s">
        <v>690</v>
      </c>
      <c r="ACJ12" s="1050" t="s">
        <v>690</v>
      </c>
      <c r="ACK12" s="1050" t="s">
        <v>690</v>
      </c>
      <c r="ACL12" s="1050" t="s">
        <v>690</v>
      </c>
      <c r="ACM12" s="1050" t="s">
        <v>690</v>
      </c>
      <c r="ACN12" s="1050" t="s">
        <v>690</v>
      </c>
      <c r="ACO12" s="1050" t="s">
        <v>690</v>
      </c>
      <c r="ACP12" s="1050" t="s">
        <v>690</v>
      </c>
      <c r="ACQ12" s="1050" t="s">
        <v>690</v>
      </c>
      <c r="ACR12" s="1050" t="s">
        <v>690</v>
      </c>
      <c r="ACS12" s="1050" t="s">
        <v>690</v>
      </c>
      <c r="ACT12" s="1050" t="s">
        <v>690</v>
      </c>
      <c r="ACU12" s="1050" t="s">
        <v>690</v>
      </c>
      <c r="ACV12" s="1050" t="s">
        <v>690</v>
      </c>
      <c r="ACW12" s="1050" t="s">
        <v>690</v>
      </c>
      <c r="ACX12" s="1050" t="s">
        <v>690</v>
      </c>
      <c r="ACY12" s="1050" t="s">
        <v>690</v>
      </c>
      <c r="ACZ12" s="1050" t="s">
        <v>690</v>
      </c>
      <c r="ADA12" s="1050" t="s">
        <v>690</v>
      </c>
      <c r="ADB12" s="1050" t="s">
        <v>690</v>
      </c>
      <c r="ADC12" s="1050" t="s">
        <v>690</v>
      </c>
      <c r="ADD12" s="1050" t="s">
        <v>690</v>
      </c>
      <c r="ADE12" s="1050" t="s">
        <v>690</v>
      </c>
      <c r="ADF12" s="1050" t="s">
        <v>690</v>
      </c>
      <c r="ADG12" s="1051" t="s">
        <v>7033</v>
      </c>
      <c r="ADH12" s="1051" t="s">
        <v>7033</v>
      </c>
      <c r="ADI12" s="1051" t="s">
        <v>7033</v>
      </c>
      <c r="ADJ12" s="1051" t="s">
        <v>7033</v>
      </c>
      <c r="ADK12" s="1051" t="s">
        <v>7033</v>
      </c>
      <c r="ADL12" s="1051" t="s">
        <v>7033</v>
      </c>
      <c r="ADM12" s="1051" t="s">
        <v>7033</v>
      </c>
      <c r="ADN12" s="1051" t="s">
        <v>7033</v>
      </c>
      <c r="ADO12" s="1051" t="s">
        <v>7033</v>
      </c>
      <c r="ADP12" s="1051" t="s">
        <v>7033</v>
      </c>
      <c r="ADQ12" s="1051" t="s">
        <v>7033</v>
      </c>
      <c r="ADR12" s="1051" t="s">
        <v>7033</v>
      </c>
      <c r="ADS12" s="1051" t="s">
        <v>7033</v>
      </c>
      <c r="ADT12" s="1051" t="s">
        <v>7033</v>
      </c>
      <c r="ADU12" s="1051" t="s">
        <v>7033</v>
      </c>
      <c r="ADV12" s="1051" t="s">
        <v>7033</v>
      </c>
      <c r="ADW12" s="1051" t="s">
        <v>7033</v>
      </c>
      <c r="ADX12" s="1051" t="s">
        <v>7033</v>
      </c>
      <c r="ADY12" s="1051" t="s">
        <v>7033</v>
      </c>
      <c r="ADZ12" s="1051" t="s">
        <v>7033</v>
      </c>
      <c r="AEA12" s="1051" t="s">
        <v>7033</v>
      </c>
      <c r="AEB12" s="1051" t="s">
        <v>7033</v>
      </c>
      <c r="AEC12" s="1051" t="s">
        <v>7033</v>
      </c>
      <c r="AED12" s="1051" t="s">
        <v>7033</v>
      </c>
      <c r="AEE12" s="1051" t="s">
        <v>7033</v>
      </c>
      <c r="AEF12" s="1051" t="s">
        <v>7033</v>
      </c>
      <c r="AEG12" s="1051" t="s">
        <v>7033</v>
      </c>
      <c r="AEH12" s="1051" t="s">
        <v>7033</v>
      </c>
      <c r="AEI12" s="1051" t="s">
        <v>7033</v>
      </c>
      <c r="AEJ12" s="1051" t="s">
        <v>7033</v>
      </c>
      <c r="AEK12" s="1051" t="s">
        <v>7033</v>
      </c>
      <c r="AEL12" s="1051" t="s">
        <v>7033</v>
      </c>
      <c r="AEM12" s="1051" t="s">
        <v>7033</v>
      </c>
      <c r="AEN12" s="1051" t="s">
        <v>7033</v>
      </c>
      <c r="AEO12" s="1051" t="s">
        <v>7033</v>
      </c>
      <c r="AEP12" s="1051" t="s">
        <v>7033</v>
      </c>
      <c r="AEQ12" s="1051" t="s">
        <v>7033</v>
      </c>
      <c r="AER12" s="1051" t="s">
        <v>7033</v>
      </c>
      <c r="AES12" s="1051" t="s">
        <v>7033</v>
      </c>
      <c r="AET12" s="1051" t="s">
        <v>7033</v>
      </c>
      <c r="AEU12" s="1051" t="s">
        <v>7033</v>
      </c>
      <c r="AEV12" s="1051" t="s">
        <v>7033</v>
      </c>
      <c r="AEW12" s="1051" t="s">
        <v>7033</v>
      </c>
      <c r="AEX12" s="1051" t="s">
        <v>7033</v>
      </c>
      <c r="AEY12" s="1051" t="s">
        <v>7033</v>
      </c>
      <c r="AEZ12" s="1051" t="s">
        <v>7033</v>
      </c>
      <c r="AFA12" s="1051" t="s">
        <v>7033</v>
      </c>
      <c r="AFB12" s="1051" t="s">
        <v>7033</v>
      </c>
      <c r="AFC12" s="1051" t="s">
        <v>7033</v>
      </c>
      <c r="AFD12" s="1051" t="s">
        <v>7033</v>
      </c>
      <c r="AFE12" s="1051" t="s">
        <v>7033</v>
      </c>
      <c r="AFF12" s="1051" t="s">
        <v>7033</v>
      </c>
      <c r="AFG12" s="1051" t="s">
        <v>7033</v>
      </c>
      <c r="AFH12" s="1051" t="s">
        <v>7033</v>
      </c>
      <c r="AFI12" s="1051" t="s">
        <v>7033</v>
      </c>
      <c r="AFJ12" s="1051" t="s">
        <v>7033</v>
      </c>
      <c r="AFK12" s="1051" t="s">
        <v>7033</v>
      </c>
      <c r="AFL12" s="1051" t="s">
        <v>7033</v>
      </c>
      <c r="AFM12" s="1051" t="s">
        <v>7033</v>
      </c>
      <c r="AFN12" s="1051" t="s">
        <v>7033</v>
      </c>
      <c r="AFO12" s="1051" t="s">
        <v>7033</v>
      </c>
      <c r="AFP12" s="1051" t="s">
        <v>7033</v>
      </c>
      <c r="AFQ12" s="1051" t="s">
        <v>7033</v>
      </c>
      <c r="AFR12" s="1052" t="s">
        <v>7033</v>
      </c>
      <c r="AFS12" s="1053" t="s">
        <v>7034</v>
      </c>
      <c r="AFT12" s="1053" t="s">
        <v>7034</v>
      </c>
      <c r="AFU12" s="1053" t="s">
        <v>7034</v>
      </c>
      <c r="AFV12" s="1053" t="s">
        <v>7034</v>
      </c>
      <c r="AFW12" s="1053" t="s">
        <v>7034</v>
      </c>
      <c r="AFX12" s="1053" t="s">
        <v>7034</v>
      </c>
      <c r="AFY12" s="1053" t="s">
        <v>7034</v>
      </c>
      <c r="AFZ12" s="1053" t="s">
        <v>7034</v>
      </c>
      <c r="AGA12" s="1053" t="s">
        <v>7034</v>
      </c>
      <c r="AGB12" s="1053" t="s">
        <v>7034</v>
      </c>
      <c r="AGC12" s="1053" t="s">
        <v>7034</v>
      </c>
      <c r="AGD12" s="1053" t="s">
        <v>7034</v>
      </c>
      <c r="AGE12" s="1053" t="s">
        <v>7034</v>
      </c>
      <c r="AGF12" s="1053" t="s">
        <v>7034</v>
      </c>
      <c r="AGG12" s="1053" t="s">
        <v>7034</v>
      </c>
      <c r="AGH12" s="1048"/>
    </row>
    <row r="13" spans="1:867">
      <c r="A13" s="1044"/>
      <c r="B13" s="1044"/>
      <c r="C13" s="1044"/>
      <c r="D13" s="1044"/>
      <c r="E13" s="1044"/>
      <c r="F13" s="1044"/>
      <c r="G13" s="1044"/>
      <c r="H13" s="1044"/>
      <c r="I13" s="1044"/>
      <c r="J13" s="1044"/>
      <c r="BV13" s="1054" t="s">
        <v>20</v>
      </c>
      <c r="BW13" s="1055" t="s">
        <v>1</v>
      </c>
      <c r="BX13" s="1055" t="s">
        <v>46</v>
      </c>
      <c r="BY13" s="1055" t="s">
        <v>40</v>
      </c>
      <c r="BZ13" s="1055" t="s">
        <v>7035</v>
      </c>
      <c r="CA13" s="1055" t="s">
        <v>7036</v>
      </c>
      <c r="CB13" s="1055" t="s">
        <v>7037</v>
      </c>
      <c r="CC13" s="1055" t="s">
        <v>108</v>
      </c>
      <c r="CD13" s="1055" t="s">
        <v>122</v>
      </c>
      <c r="CE13" s="1055" t="s">
        <v>3831</v>
      </c>
      <c r="CF13" s="1055" t="s">
        <v>7038</v>
      </c>
      <c r="CG13" s="1055" t="s">
        <v>7039</v>
      </c>
      <c r="CH13" s="1055" t="s">
        <v>7040</v>
      </c>
      <c r="CI13" s="1055" t="s">
        <v>270</v>
      </c>
      <c r="CJ13" s="1055" t="s">
        <v>3836</v>
      </c>
      <c r="CK13" s="1055" t="s">
        <v>135</v>
      </c>
      <c r="CL13" s="1055" t="s">
        <v>7041</v>
      </c>
      <c r="CM13" s="1055" t="s">
        <v>7042</v>
      </c>
      <c r="CN13" s="1055" t="s">
        <v>7043</v>
      </c>
      <c r="CO13" s="1055" t="s">
        <v>166</v>
      </c>
      <c r="CP13" s="1055" t="s">
        <v>7044</v>
      </c>
      <c r="CQ13" s="1055" t="s">
        <v>7045</v>
      </c>
      <c r="CR13" s="1055" t="s">
        <v>272</v>
      </c>
      <c r="CS13" s="1055" t="s">
        <v>3842</v>
      </c>
      <c r="CT13" s="1055" t="s">
        <v>273</v>
      </c>
      <c r="CU13" s="1055" t="s">
        <v>7046</v>
      </c>
      <c r="CV13" s="1055" t="s">
        <v>7047</v>
      </c>
      <c r="CW13" s="1055" t="s">
        <v>3849</v>
      </c>
      <c r="CX13" s="1055" t="s">
        <v>7048</v>
      </c>
      <c r="CY13" s="1055" t="s">
        <v>7049</v>
      </c>
      <c r="CZ13" s="1055" t="s">
        <v>7050</v>
      </c>
      <c r="DA13" s="1055" t="s">
        <v>7051</v>
      </c>
      <c r="DB13" s="1055" t="s">
        <v>7052</v>
      </c>
      <c r="DC13" s="1055" t="s">
        <v>7053</v>
      </c>
      <c r="DD13" s="1055" t="s">
        <v>7054</v>
      </c>
      <c r="DE13" s="1055" t="s">
        <v>7055</v>
      </c>
      <c r="DF13" s="1055" t="s">
        <v>7056</v>
      </c>
      <c r="DG13" s="1054" t="s">
        <v>7057</v>
      </c>
      <c r="DH13" s="1055" t="s">
        <v>7058</v>
      </c>
      <c r="DI13" s="1055" t="s">
        <v>2</v>
      </c>
      <c r="DJ13" s="1055" t="s">
        <v>277</v>
      </c>
      <c r="DK13" s="1055" t="s">
        <v>7059</v>
      </c>
      <c r="DL13" s="1055" t="s">
        <v>35</v>
      </c>
      <c r="DM13" s="1055" t="s">
        <v>280</v>
      </c>
      <c r="DN13" s="1055" t="s">
        <v>7060</v>
      </c>
      <c r="DO13" s="1055" t="s">
        <v>7061</v>
      </c>
      <c r="DP13" s="1055" t="s">
        <v>4943</v>
      </c>
      <c r="DQ13" s="1055" t="s">
        <v>73</v>
      </c>
      <c r="DR13" s="1055" t="s">
        <v>86</v>
      </c>
      <c r="DS13" s="1055" t="s">
        <v>99</v>
      </c>
      <c r="DT13" s="1055" t="s">
        <v>114</v>
      </c>
      <c r="DU13" s="1055" t="s">
        <v>4957</v>
      </c>
      <c r="DV13" s="1055" t="s">
        <v>4960</v>
      </c>
      <c r="DW13" s="1055" t="s">
        <v>7062</v>
      </c>
      <c r="DX13" s="1055" t="s">
        <v>127</v>
      </c>
      <c r="DY13" s="1054" t="s">
        <v>132</v>
      </c>
      <c r="DZ13" s="1047" t="s">
        <v>854</v>
      </c>
      <c r="EA13" s="1047" t="s">
        <v>7063</v>
      </c>
      <c r="EB13" s="1047" t="s">
        <v>7064</v>
      </c>
      <c r="EC13" s="1055" t="s">
        <v>282</v>
      </c>
      <c r="ED13" s="1055" t="s">
        <v>119</v>
      </c>
      <c r="EE13" s="1055" t="s">
        <v>43</v>
      </c>
      <c r="EF13" s="1055" t="s">
        <v>55</v>
      </c>
      <c r="EG13" s="1055" t="s">
        <v>7065</v>
      </c>
      <c r="EH13" s="1055" t="s">
        <v>7066</v>
      </c>
      <c r="EI13" s="1055" t="s">
        <v>143</v>
      </c>
      <c r="EJ13" s="1055" t="s">
        <v>152</v>
      </c>
      <c r="EK13" s="1047" t="s">
        <v>866</v>
      </c>
      <c r="EL13" s="1055" t="s">
        <v>1685</v>
      </c>
      <c r="EM13" s="1055" t="s">
        <v>67</v>
      </c>
      <c r="EN13" s="1055" t="s">
        <v>81</v>
      </c>
      <c r="EO13" s="1055" t="s">
        <v>1696</v>
      </c>
      <c r="EP13" s="1047" t="s">
        <v>1703</v>
      </c>
      <c r="EQ13" s="1055" t="s">
        <v>7067</v>
      </c>
      <c r="ER13" s="1055" t="s">
        <v>93</v>
      </c>
      <c r="ES13" s="1055" t="s">
        <v>1760</v>
      </c>
      <c r="ET13" s="1055" t="s">
        <v>105</v>
      </c>
      <c r="EU13" s="1055" t="s">
        <v>290</v>
      </c>
      <c r="EV13" s="1054" t="s">
        <v>292</v>
      </c>
      <c r="EW13" s="1054" t="s">
        <v>873</v>
      </c>
      <c r="EX13" s="1054" t="s">
        <v>874</v>
      </c>
      <c r="EY13" s="1054" t="s">
        <v>293</v>
      </c>
      <c r="EZ13" s="1054" t="s">
        <v>24</v>
      </c>
      <c r="FA13" s="1055" t="s">
        <v>34</v>
      </c>
      <c r="FB13" s="1047" t="s">
        <v>40</v>
      </c>
      <c r="FC13" s="1055" t="s">
        <v>7068</v>
      </c>
      <c r="FD13" s="1055" t="s">
        <v>7069</v>
      </c>
      <c r="FE13" s="1055" t="s">
        <v>7070</v>
      </c>
      <c r="FF13" s="1055" t="s">
        <v>7071</v>
      </c>
      <c r="FG13" s="1055" t="s">
        <v>7072</v>
      </c>
      <c r="FH13" s="1055" t="s">
        <v>97</v>
      </c>
      <c r="FI13" s="1055" t="s">
        <v>112</v>
      </c>
      <c r="FJ13" s="1055" t="s">
        <v>125</v>
      </c>
      <c r="FK13" s="1055" t="s">
        <v>7073</v>
      </c>
      <c r="FL13" s="1055" t="s">
        <v>148</v>
      </c>
      <c r="FM13" s="1055" t="s">
        <v>7074</v>
      </c>
      <c r="FN13" s="1055" t="s">
        <v>7075</v>
      </c>
      <c r="FO13" s="1047" t="s">
        <v>7076</v>
      </c>
      <c r="FP13" s="1055" t="s">
        <v>7077</v>
      </c>
      <c r="FQ13" s="1055" t="s">
        <v>7078</v>
      </c>
      <c r="FR13" s="1055" t="s">
        <v>7079</v>
      </c>
      <c r="FS13" s="1047" t="s">
        <v>878</v>
      </c>
      <c r="FT13" s="1055" t="s">
        <v>7080</v>
      </c>
      <c r="FU13" s="1055" t="s">
        <v>7081</v>
      </c>
      <c r="FV13" s="1047" t="s">
        <v>7082</v>
      </c>
      <c r="FW13" s="1047" t="s">
        <v>297</v>
      </c>
      <c r="FX13" s="1055" t="s">
        <v>147</v>
      </c>
      <c r="FY13" s="1055" t="s">
        <v>181</v>
      </c>
      <c r="FZ13" s="1055" t="s">
        <v>7083</v>
      </c>
      <c r="GA13" s="1055" t="s">
        <v>140</v>
      </c>
      <c r="GB13" s="1055" t="s">
        <v>7084</v>
      </c>
      <c r="GC13" s="1055" t="s">
        <v>190</v>
      </c>
      <c r="GD13" s="1055" t="s">
        <v>7085</v>
      </c>
      <c r="GE13" s="1047" t="s">
        <v>4817</v>
      </c>
      <c r="GF13" s="1055" t="s">
        <v>196</v>
      </c>
      <c r="GG13" s="1055" t="s">
        <v>200</v>
      </c>
      <c r="GH13" s="1047" t="s">
        <v>7086</v>
      </c>
      <c r="GI13" s="1055" t="s">
        <v>203</v>
      </c>
      <c r="GJ13" s="1055" t="s">
        <v>206</v>
      </c>
      <c r="GK13" s="1055" t="s">
        <v>209</v>
      </c>
      <c r="GL13" s="1055" t="s">
        <v>212</v>
      </c>
      <c r="GM13" s="1055" t="s">
        <v>213</v>
      </c>
      <c r="GN13" s="1055" t="s">
        <v>215</v>
      </c>
      <c r="GO13" s="1047" t="s">
        <v>303</v>
      </c>
      <c r="GP13" s="1047" t="s">
        <v>7087</v>
      </c>
      <c r="GQ13" s="1055" t="s">
        <v>217</v>
      </c>
      <c r="GR13" s="1055" t="s">
        <v>219</v>
      </c>
      <c r="GS13" s="1055" t="s">
        <v>221</v>
      </c>
      <c r="GT13" s="1055" t="s">
        <v>222</v>
      </c>
      <c r="GU13" s="1055" t="s">
        <v>223</v>
      </c>
      <c r="GV13" s="1047" t="s">
        <v>7088</v>
      </c>
      <c r="GW13" s="1055" t="s">
        <v>224</v>
      </c>
      <c r="GX13" t="s">
        <v>7089</v>
      </c>
      <c r="GY13" s="1054" t="s">
        <v>7090</v>
      </c>
      <c r="GZ13" s="1054" t="s">
        <v>225</v>
      </c>
      <c r="HA13" s="1054" t="s">
        <v>4847</v>
      </c>
      <c r="HB13" t="s">
        <v>4849</v>
      </c>
      <c r="HC13" t="s">
        <v>305</v>
      </c>
      <c r="HD13" t="s">
        <v>7091</v>
      </c>
      <c r="HE13" t="s">
        <v>7092</v>
      </c>
      <c r="HF13" s="1054" t="s">
        <v>4854</v>
      </c>
      <c r="HG13" s="1054" t="s">
        <v>7093</v>
      </c>
      <c r="HH13" s="1054" t="s">
        <v>4857</v>
      </c>
      <c r="HI13" s="1054" t="s">
        <v>4860</v>
      </c>
      <c r="HJ13" s="1054" t="s">
        <v>7094</v>
      </c>
      <c r="HK13" s="1054" t="s">
        <v>7095</v>
      </c>
      <c r="HL13" s="1054" t="s">
        <v>1091</v>
      </c>
      <c r="HM13" s="1054" t="s">
        <v>7096</v>
      </c>
      <c r="HN13" s="1054" t="s">
        <v>7097</v>
      </c>
      <c r="HO13" s="1054" t="s">
        <v>142</v>
      </c>
      <c r="HP13" s="1054" t="s">
        <v>308</v>
      </c>
      <c r="HQ13" s="1047" t="s">
        <v>702</v>
      </c>
      <c r="HR13" s="1047" t="s">
        <v>884</v>
      </c>
      <c r="HS13" s="1047" t="s">
        <v>1813</v>
      </c>
      <c r="HT13" s="1055" t="s">
        <v>29</v>
      </c>
      <c r="HU13" s="1055" t="s">
        <v>7098</v>
      </c>
      <c r="HV13" s="1055" t="s">
        <v>7099</v>
      </c>
      <c r="HW13" s="1055" t="s">
        <v>7100</v>
      </c>
      <c r="HX13" s="1055" t="s">
        <v>7101</v>
      </c>
      <c r="HY13" s="1055" t="s">
        <v>183</v>
      </c>
      <c r="HZ13" s="1047" t="s">
        <v>889</v>
      </c>
      <c r="IA13" s="1055" t="s">
        <v>198</v>
      </c>
      <c r="IB13" s="1047" t="s">
        <v>7102</v>
      </c>
      <c r="IC13" s="1047" t="s">
        <v>7103</v>
      </c>
      <c r="ID13" s="1055" t="s">
        <v>187</v>
      </c>
      <c r="IE13" s="1047" t="s">
        <v>897</v>
      </c>
      <c r="IF13" s="1055" t="s">
        <v>66</v>
      </c>
      <c r="IG13" s="1055" t="s">
        <v>170</v>
      </c>
      <c r="IH13" s="1055" t="s">
        <v>313</v>
      </c>
      <c r="II13" s="1055" t="s">
        <v>1227</v>
      </c>
      <c r="IJ13" s="1055" t="s">
        <v>1230</v>
      </c>
      <c r="IK13" s="1055" t="s">
        <v>1232</v>
      </c>
      <c r="IL13" s="1055" t="s">
        <v>41</v>
      </c>
      <c r="IM13" s="1055" t="s">
        <v>1236</v>
      </c>
      <c r="IN13" s="1055" t="s">
        <v>7104</v>
      </c>
      <c r="IO13" s="1055" t="s">
        <v>1242</v>
      </c>
      <c r="IP13" s="1055" t="s">
        <v>7105</v>
      </c>
      <c r="IQ13" s="1055" t="s">
        <v>7106</v>
      </c>
      <c r="IR13" s="1055" t="s">
        <v>7107</v>
      </c>
      <c r="IS13" s="1055" t="s">
        <v>7108</v>
      </c>
      <c r="IT13" s="1055" t="s">
        <v>54</v>
      </c>
      <c r="IU13" s="1047" t="s">
        <v>906</v>
      </c>
      <c r="IV13" s="1055" t="s">
        <v>192</v>
      </c>
      <c r="IW13" s="1055" t="s">
        <v>16</v>
      </c>
      <c r="IX13" s="1055" t="s">
        <v>92</v>
      </c>
      <c r="IY13" s="1055" t="s">
        <v>208</v>
      </c>
      <c r="IZ13" s="1055" t="s">
        <v>159</v>
      </c>
      <c r="JA13" s="1055" t="s">
        <v>164</v>
      </c>
      <c r="JB13" s="1047" t="s">
        <v>7109</v>
      </c>
      <c r="JC13" s="1047" t="s">
        <v>314</v>
      </c>
      <c r="JD13" s="1055" t="s">
        <v>131</v>
      </c>
      <c r="JE13" s="1047" t="s">
        <v>1335</v>
      </c>
      <c r="JF13" s="1047" t="s">
        <v>7110</v>
      </c>
      <c r="JG13" s="1047" t="s">
        <v>1345</v>
      </c>
      <c r="JH13" s="1055" t="s">
        <v>202</v>
      </c>
      <c r="JI13" s="1047" t="s">
        <v>1071</v>
      </c>
      <c r="JJ13" s="1047" t="s">
        <v>1359</v>
      </c>
      <c r="JK13" s="1047" t="s">
        <v>1362</v>
      </c>
      <c r="JL13" s="1055" t="s">
        <v>1371</v>
      </c>
      <c r="JM13" s="1047" t="s">
        <v>7111</v>
      </c>
      <c r="JN13" s="1047" t="s">
        <v>1944</v>
      </c>
      <c r="JO13" s="1055" t="s">
        <v>80</v>
      </c>
      <c r="JP13" s="1055" t="s">
        <v>317</v>
      </c>
      <c r="JQ13" s="1054" t="s">
        <v>118</v>
      </c>
      <c r="JR13" s="1054" t="s">
        <v>194</v>
      </c>
      <c r="JS13" s="1054" t="s">
        <v>704</v>
      </c>
      <c r="JT13" s="1054" t="s">
        <v>7112</v>
      </c>
      <c r="JU13" s="1054" t="s">
        <v>7113</v>
      </c>
      <c r="JV13" s="1054" t="s">
        <v>7114</v>
      </c>
      <c r="JW13" s="1054" t="s">
        <v>7115</v>
      </c>
      <c r="JX13" s="1054" t="s">
        <v>189</v>
      </c>
      <c r="JY13" s="1054" t="s">
        <v>7116</v>
      </c>
      <c r="JZ13" s="1054" t="s">
        <v>318</v>
      </c>
      <c r="KA13" s="1054" t="s">
        <v>151</v>
      </c>
      <c r="KB13" t="s">
        <v>7117</v>
      </c>
      <c r="KC13" s="1054" t="s">
        <v>7118</v>
      </c>
      <c r="KD13" s="1054" t="s">
        <v>1435</v>
      </c>
      <c r="KE13" s="1054" t="s">
        <v>322</v>
      </c>
      <c r="KF13" s="1054" t="s">
        <v>167</v>
      </c>
      <c r="KG13" t="s">
        <v>3987</v>
      </c>
      <c r="KH13" s="1054" t="s">
        <v>696</v>
      </c>
      <c r="KI13" s="1054" t="s">
        <v>697</v>
      </c>
      <c r="KJ13" s="1054" t="s">
        <v>695</v>
      </c>
      <c r="KK13" s="1047" t="s">
        <v>3995</v>
      </c>
      <c r="KL13" s="1055" t="s">
        <v>325</v>
      </c>
      <c r="KM13" s="1055" t="s">
        <v>4073</v>
      </c>
      <c r="KN13" s="1055" t="s">
        <v>7119</v>
      </c>
      <c r="KO13" s="1055" t="s">
        <v>4076</v>
      </c>
      <c r="KP13" s="1055" t="s">
        <v>110</v>
      </c>
      <c r="KQ13" s="1055" t="s">
        <v>96</v>
      </c>
      <c r="KR13" s="1055" t="s">
        <v>948</v>
      </c>
      <c r="KS13" s="1055" t="s">
        <v>4112</v>
      </c>
      <c r="KT13" s="1055" t="s">
        <v>698</v>
      </c>
      <c r="KU13" s="1055" t="s">
        <v>7120</v>
      </c>
      <c r="KV13" s="1055" t="s">
        <v>4136</v>
      </c>
      <c r="KW13" s="1047" t="s">
        <v>4139</v>
      </c>
      <c r="KX13" s="1055" t="s">
        <v>180</v>
      </c>
      <c r="KY13" s="1055" t="s">
        <v>328</v>
      </c>
      <c r="KZ13" s="1055" t="s">
        <v>959</v>
      </c>
      <c r="LA13" s="1055" t="s">
        <v>961</v>
      </c>
      <c r="LB13" s="1055" t="s">
        <v>962</v>
      </c>
      <c r="LC13" s="1055" t="s">
        <v>176</v>
      </c>
      <c r="LD13" s="1055" t="s">
        <v>965</v>
      </c>
      <c r="LE13" s="1055" t="s">
        <v>7121</v>
      </c>
      <c r="LF13" s="1055" t="s">
        <v>7122</v>
      </c>
      <c r="LG13" s="1055" t="s">
        <v>7123</v>
      </c>
      <c r="LH13" s="1055" t="s">
        <v>7124</v>
      </c>
      <c r="LI13" s="1055" t="s">
        <v>967</v>
      </c>
      <c r="LJ13" s="1047" t="s">
        <v>4212</v>
      </c>
      <c r="LK13" s="1055" t="s">
        <v>699</v>
      </c>
      <c r="LL13" s="1055" t="s">
        <v>4252</v>
      </c>
      <c r="LM13" s="1055" t="s">
        <v>84</v>
      </c>
      <c r="LN13" s="1055" t="s">
        <v>70</v>
      </c>
      <c r="LO13" s="1055" t="s">
        <v>23</v>
      </c>
      <c r="LP13" s="1055" t="s">
        <v>4264</v>
      </c>
      <c r="LQ13" s="1055" t="s">
        <v>7125</v>
      </c>
      <c r="LR13" s="1055" t="s">
        <v>4267</v>
      </c>
      <c r="LS13" s="1055" t="s">
        <v>58</v>
      </c>
      <c r="LT13" s="1055" t="s">
        <v>47</v>
      </c>
      <c r="LU13" s="1055" t="s">
        <v>156</v>
      </c>
      <c r="LV13" s="1055" t="s">
        <v>33</v>
      </c>
      <c r="LW13" s="1055" t="s">
        <v>185</v>
      </c>
      <c r="LX13" s="1055" t="s">
        <v>4300</v>
      </c>
      <c r="LY13" s="1055" t="s">
        <v>4325</v>
      </c>
      <c r="LZ13" s="1055" t="s">
        <v>981</v>
      </c>
      <c r="MA13" s="1055" t="s">
        <v>985</v>
      </c>
      <c r="MB13" s="1055" t="s">
        <v>331</v>
      </c>
      <c r="MC13" s="1055" t="s">
        <v>986</v>
      </c>
      <c r="MD13" s="1055" t="s">
        <v>146</v>
      </c>
      <c r="ME13" s="1047" t="s">
        <v>4399</v>
      </c>
      <c r="MF13" s="1047" t="s">
        <v>7126</v>
      </c>
      <c r="MG13" s="1055" t="s">
        <v>123</v>
      </c>
      <c r="MH13" s="1055" t="s">
        <v>136</v>
      </c>
      <c r="MI13" s="1055" t="s">
        <v>4423</v>
      </c>
      <c r="MJ13" s="1055" t="s">
        <v>4465</v>
      </c>
      <c r="MK13" s="1055" t="s">
        <v>332</v>
      </c>
      <c r="ML13" s="1055" t="s">
        <v>7127</v>
      </c>
      <c r="MM13" s="1055" t="s">
        <v>4515</v>
      </c>
      <c r="MN13" s="1054" t="s">
        <v>172</v>
      </c>
      <c r="MO13" s="1054" t="s">
        <v>7128</v>
      </c>
      <c r="MP13" s="1054" t="s">
        <v>38</v>
      </c>
      <c r="MQ13" s="1054" t="s">
        <v>7129</v>
      </c>
      <c r="MR13" s="1054" t="s">
        <v>64</v>
      </c>
      <c r="MS13" s="1054" t="s">
        <v>51</v>
      </c>
      <c r="MT13" s="1054" t="s">
        <v>7130</v>
      </c>
      <c r="MU13" s="1054" t="s">
        <v>5</v>
      </c>
      <c r="MV13" s="1054" t="s">
        <v>77</v>
      </c>
      <c r="MW13" s="1054" t="s">
        <v>89</v>
      </c>
      <c r="MX13" s="1054" t="s">
        <v>116</v>
      </c>
      <c r="MY13" s="1054" t="s">
        <v>102</v>
      </c>
      <c r="MZ13" s="1054" t="s">
        <v>691</v>
      </c>
      <c r="NA13" s="1054" t="s">
        <v>5288</v>
      </c>
      <c r="NB13" s="1054" t="s">
        <v>5290</v>
      </c>
      <c r="NC13" s="1054" t="s">
        <v>1001</v>
      </c>
      <c r="ND13" s="1054" t="s">
        <v>343</v>
      </c>
      <c r="NE13" s="1054" t="s">
        <v>173</v>
      </c>
      <c r="NF13" s="1054" t="s">
        <v>177</v>
      </c>
      <c r="NG13" s="1055" t="s">
        <v>692</v>
      </c>
      <c r="NH13" s="1055" t="s">
        <v>129</v>
      </c>
      <c r="NI13" s="1055" t="s">
        <v>138</v>
      </c>
      <c r="NJ13" s="1055" t="s">
        <v>204</v>
      </c>
      <c r="NK13" s="1055" t="s">
        <v>207</v>
      </c>
      <c r="NL13" s="1055" t="s">
        <v>182</v>
      </c>
      <c r="NM13" s="1055" t="s">
        <v>186</v>
      </c>
      <c r="NN13" s="1055" t="s">
        <v>162</v>
      </c>
      <c r="NO13" s="1055" t="s">
        <v>168</v>
      </c>
      <c r="NP13" s="1055" t="s">
        <v>7131</v>
      </c>
      <c r="NQ13" s="1055" t="s">
        <v>78</v>
      </c>
      <c r="NR13" s="1055" t="s">
        <v>90</v>
      </c>
      <c r="NS13" s="1055" t="s">
        <v>27</v>
      </c>
      <c r="NT13" s="1055" t="s">
        <v>6</v>
      </c>
      <c r="NU13" s="1055" t="s">
        <v>7132</v>
      </c>
      <c r="NV13" s="1055" t="s">
        <v>65</v>
      </c>
      <c r="NW13" s="1055" t="s">
        <v>28</v>
      </c>
      <c r="NX13" s="1055" t="s">
        <v>39</v>
      </c>
      <c r="NY13" s="1055" t="s">
        <v>201</v>
      </c>
      <c r="NZ13" s="1055" t="s">
        <v>1007</v>
      </c>
      <c r="OA13" s="1055" t="s">
        <v>5542</v>
      </c>
      <c r="OB13" s="1055" t="s">
        <v>103</v>
      </c>
      <c r="OC13" s="1055" t="s">
        <v>117</v>
      </c>
      <c r="OD13" s="1055" t="s">
        <v>361</v>
      </c>
      <c r="OE13" s="1055" t="s">
        <v>193</v>
      </c>
      <c r="OF13" s="1055" t="s">
        <v>197</v>
      </c>
      <c r="OG13" s="1055" t="s">
        <v>149</v>
      </c>
      <c r="OH13" s="1055" t="s">
        <v>157</v>
      </c>
      <c r="OI13" s="1055" t="s">
        <v>210</v>
      </c>
      <c r="OJ13" s="1055" t="s">
        <v>188</v>
      </c>
      <c r="OK13" s="1055" t="s">
        <v>191</v>
      </c>
      <c r="OL13" s="1055" t="s">
        <v>1010</v>
      </c>
      <c r="OM13" s="1055" t="s">
        <v>1011</v>
      </c>
      <c r="ON13" s="1054" t="s">
        <v>7133</v>
      </c>
      <c r="OO13" s="1055" t="s">
        <v>61</v>
      </c>
      <c r="OP13" s="1055" t="s">
        <v>36</v>
      </c>
      <c r="OQ13" s="1047" t="s">
        <v>48</v>
      </c>
      <c r="OR13" s="1055" t="s">
        <v>7134</v>
      </c>
      <c r="OS13" s="1055" t="s">
        <v>7135</v>
      </c>
      <c r="OT13" s="1055" t="s">
        <v>7136</v>
      </c>
      <c r="OU13" s="1055" t="s">
        <v>87</v>
      </c>
      <c r="OV13" s="1055" t="s">
        <v>25</v>
      </c>
      <c r="OW13" s="1047" t="s">
        <v>5002</v>
      </c>
      <c r="OX13" s="1055" t="s">
        <v>5004</v>
      </c>
      <c r="OY13" s="1055" t="s">
        <v>74</v>
      </c>
      <c r="OZ13" s="1047" t="s">
        <v>7137</v>
      </c>
      <c r="PA13" s="1054" t="s">
        <v>120</v>
      </c>
      <c r="PB13" s="1055" t="s">
        <v>7138</v>
      </c>
      <c r="PC13" s="1055" t="s">
        <v>7139</v>
      </c>
      <c r="PD13" s="1055" t="s">
        <v>44</v>
      </c>
      <c r="PE13" s="1047" t="s">
        <v>7140</v>
      </c>
      <c r="PF13" s="1047" t="s">
        <v>7141</v>
      </c>
      <c r="PG13" t="s">
        <v>7142</v>
      </c>
      <c r="PH13" s="1054" t="s">
        <v>56</v>
      </c>
      <c r="PI13" t="s">
        <v>7143</v>
      </c>
      <c r="PJ13" t="s">
        <v>7144</v>
      </c>
      <c r="PK13" t="s">
        <v>7145</v>
      </c>
      <c r="PL13" t="s">
        <v>1835</v>
      </c>
      <c r="PM13" s="1054" t="s">
        <v>68</v>
      </c>
      <c r="PN13" t="s">
        <v>7146</v>
      </c>
      <c r="PO13" s="1047" t="s">
        <v>7147</v>
      </c>
      <c r="PP13" s="1055" t="s">
        <v>82</v>
      </c>
      <c r="PQ13" s="1047" t="s">
        <v>7148</v>
      </c>
      <c r="PR13" s="1047" t="s">
        <v>7149</v>
      </c>
      <c r="PS13" s="1055" t="s">
        <v>1860</v>
      </c>
      <c r="PT13" s="1055" t="s">
        <v>7150</v>
      </c>
      <c r="PU13" s="1055" t="s">
        <v>18</v>
      </c>
      <c r="PV13" s="1055" t="s">
        <v>7151</v>
      </c>
      <c r="PW13" s="1047" t="s">
        <v>7152</v>
      </c>
      <c r="PX13" s="1055" t="s">
        <v>7153</v>
      </c>
      <c r="PY13" s="1055" t="s">
        <v>0</v>
      </c>
      <c r="PZ13" s="1047" t="s">
        <v>7154</v>
      </c>
      <c r="QA13" s="1047" t="s">
        <v>7155</v>
      </c>
      <c r="QB13" s="1055" t="s">
        <v>7156</v>
      </c>
      <c r="QC13" s="1055" t="s">
        <v>133</v>
      </c>
      <c r="QD13" s="1055" t="s">
        <v>7157</v>
      </c>
      <c r="QE13" s="1055" t="s">
        <v>1886</v>
      </c>
      <c r="QF13" s="1055" t="s">
        <v>1889</v>
      </c>
      <c r="QG13" s="1055" t="s">
        <v>144</v>
      </c>
      <c r="QH13" s="1055" t="s">
        <v>153</v>
      </c>
      <c r="QI13" s="1055" t="s">
        <v>106</v>
      </c>
      <c r="QJ13" s="1054" t="s">
        <v>134</v>
      </c>
      <c r="QK13" s="1054" t="s">
        <v>165</v>
      </c>
      <c r="QL13" s="1055" t="s">
        <v>69</v>
      </c>
      <c r="QM13" s="1055" t="s">
        <v>7158</v>
      </c>
      <c r="QN13" s="1055" t="s">
        <v>83</v>
      </c>
      <c r="QO13" s="1055" t="s">
        <v>7159</v>
      </c>
      <c r="QP13" s="1055" t="s">
        <v>171</v>
      </c>
      <c r="QQ13" s="1055" t="s">
        <v>7160</v>
      </c>
      <c r="QR13" s="1055" t="s">
        <v>1028</v>
      </c>
      <c r="QS13" s="1055" t="s">
        <v>1030</v>
      </c>
      <c r="QT13" s="1047" t="s">
        <v>1031</v>
      </c>
      <c r="QU13" s="1055" t="s">
        <v>700</v>
      </c>
      <c r="QV13" s="1055" t="s">
        <v>358</v>
      </c>
      <c r="QW13" s="1054" t="s">
        <v>359</v>
      </c>
      <c r="QX13" s="1054" t="s">
        <v>2719</v>
      </c>
      <c r="QY13" s="1054" t="s">
        <v>1033</v>
      </c>
      <c r="QZ13" s="1054" t="s">
        <v>701</v>
      </c>
      <c r="RA13" s="1054" t="s">
        <v>1036</v>
      </c>
      <c r="RB13" s="1054" t="s">
        <v>154</v>
      </c>
      <c r="RC13" s="1054" t="s">
        <v>94</v>
      </c>
      <c r="RD13" t="s">
        <v>1041</v>
      </c>
      <c r="RE13" s="1054" t="s">
        <v>7161</v>
      </c>
      <c r="RF13" t="s">
        <v>7162</v>
      </c>
      <c r="RG13" s="1054" t="s">
        <v>19</v>
      </c>
      <c r="RH13" s="1054" t="s">
        <v>31</v>
      </c>
      <c r="RI13" s="1054" t="s">
        <v>3256</v>
      </c>
      <c r="RJ13" s="1054" t="s">
        <v>7163</v>
      </c>
      <c r="RK13" s="1054" t="s">
        <v>107</v>
      </c>
      <c r="RL13" s="1054" t="s">
        <v>121</v>
      </c>
      <c r="RM13" t="s">
        <v>1052</v>
      </c>
      <c r="RN13" s="1054" t="s">
        <v>57</v>
      </c>
      <c r="RO13" s="1054" t="s">
        <v>160</v>
      </c>
      <c r="RP13" s="1055" t="s">
        <v>179</v>
      </c>
      <c r="RQ13" s="1055" t="s">
        <v>45</v>
      </c>
      <c r="RR13" s="1055" t="s">
        <v>1060</v>
      </c>
      <c r="RS13" s="1055" t="s">
        <v>145</v>
      </c>
      <c r="RT13" s="1054" t="s">
        <v>128</v>
      </c>
      <c r="RU13" s="1055" t="s">
        <v>49</v>
      </c>
      <c r="RV13" s="1055" t="s">
        <v>37</v>
      </c>
      <c r="RW13" s="1055" t="s">
        <v>7164</v>
      </c>
      <c r="RX13" s="1055" t="s">
        <v>5050</v>
      </c>
      <c r="RY13" s="1055" t="s">
        <v>62</v>
      </c>
      <c r="RZ13" s="1055" t="s">
        <v>7165</v>
      </c>
      <c r="SA13" s="1055" t="s">
        <v>115</v>
      </c>
      <c r="SB13" s="1055" t="s">
        <v>100</v>
      </c>
      <c r="SC13" s="1055" t="s">
        <v>3</v>
      </c>
      <c r="SD13" s="1055" t="s">
        <v>88</v>
      </c>
      <c r="SE13" s="1055" t="s">
        <v>75</v>
      </c>
      <c r="SF13" s="1054" t="s">
        <v>21</v>
      </c>
      <c r="SG13" s="1055" t="s">
        <v>7166</v>
      </c>
      <c r="SH13" s="1055" t="s">
        <v>7167</v>
      </c>
      <c r="SI13" s="1055" t="s">
        <v>7168</v>
      </c>
      <c r="SJ13" s="1055" t="s">
        <v>7169</v>
      </c>
      <c r="SK13" s="1055" t="s">
        <v>59</v>
      </c>
      <c r="SL13" s="1055" t="s">
        <v>7170</v>
      </c>
      <c r="SM13" s="1055" t="s">
        <v>7171</v>
      </c>
      <c r="SN13" s="1055" t="s">
        <v>95</v>
      </c>
      <c r="SO13" s="1055" t="s">
        <v>109</v>
      </c>
      <c r="SP13" s="1055" t="s">
        <v>7172</v>
      </c>
      <c r="SQ13" s="1055" t="s">
        <v>7173</v>
      </c>
      <c r="SR13" s="1055" t="s">
        <v>7174</v>
      </c>
      <c r="SS13" s="1055" t="s">
        <v>7175</v>
      </c>
      <c r="ST13" s="1055" t="s">
        <v>155</v>
      </c>
      <c r="SU13" s="1054" t="s">
        <v>7176</v>
      </c>
      <c r="SV13" s="1054" t="s">
        <v>7177</v>
      </c>
      <c r="SW13" s="1054" t="s">
        <v>7178</v>
      </c>
      <c r="SX13" s="1054" t="s">
        <v>7179</v>
      </c>
      <c r="SY13" s="1054" t="s">
        <v>175</v>
      </c>
      <c r="SZ13" s="1055" t="s">
        <v>7180</v>
      </c>
      <c r="TA13" s="1055" t="s">
        <v>184</v>
      </c>
      <c r="TB13" s="1055" t="s">
        <v>7181</v>
      </c>
      <c r="TC13" s="1055" t="s">
        <v>7182</v>
      </c>
      <c r="TD13" s="1055" t="s">
        <v>7183</v>
      </c>
      <c r="TE13" s="1055" t="s">
        <v>195</v>
      </c>
      <c r="TF13" s="1055" t="s">
        <v>3890</v>
      </c>
      <c r="TG13" s="1055" t="s">
        <v>199</v>
      </c>
      <c r="TH13" s="1055" t="s">
        <v>7184</v>
      </c>
      <c r="TI13" s="1055" t="s">
        <v>205</v>
      </c>
      <c r="TJ13" s="1055" t="s">
        <v>7185</v>
      </c>
      <c r="TK13" s="1055" t="s">
        <v>7186</v>
      </c>
      <c r="TL13" s="1054" t="s">
        <v>7187</v>
      </c>
      <c r="TM13" s="1054" t="s">
        <v>211</v>
      </c>
      <c r="TN13" s="1054" t="s">
        <v>7188</v>
      </c>
      <c r="TO13" s="1055" t="s">
        <v>214</v>
      </c>
      <c r="TP13" s="1055" t="s">
        <v>216</v>
      </c>
      <c r="TQ13" s="1055" t="s">
        <v>367</v>
      </c>
      <c r="TR13" s="1055" t="s">
        <v>218</v>
      </c>
      <c r="TS13" s="1055" t="s">
        <v>220</v>
      </c>
      <c r="TT13" s="1055" t="s">
        <v>7189</v>
      </c>
      <c r="TU13" s="1055" t="s">
        <v>7190</v>
      </c>
      <c r="TV13" s="1055" t="s">
        <v>7191</v>
      </c>
      <c r="TW13" s="1054" t="s">
        <v>50</v>
      </c>
      <c r="TX13" s="1055" t="s">
        <v>76</v>
      </c>
      <c r="TY13" s="1055" t="s">
        <v>7192</v>
      </c>
      <c r="TZ13" s="1055" t="s">
        <v>63</v>
      </c>
      <c r="UA13" s="1055" t="s">
        <v>368</v>
      </c>
      <c r="UB13" s="1055" t="s">
        <v>369</v>
      </c>
      <c r="UC13" s="1055" t="s">
        <v>370</v>
      </c>
      <c r="UD13" s="1055" t="s">
        <v>371</v>
      </c>
      <c r="UE13" s="1055" t="s">
        <v>372</v>
      </c>
      <c r="UF13" s="1055" t="s">
        <v>374</v>
      </c>
      <c r="UG13" s="1055" t="s">
        <v>375</v>
      </c>
      <c r="UH13" s="1055" t="s">
        <v>376</v>
      </c>
      <c r="UI13" s="1055" t="s">
        <v>101</v>
      </c>
      <c r="UJ13" s="1055" t="s">
        <v>7193</v>
      </c>
      <c r="UK13" s="1055" t="s">
        <v>7194</v>
      </c>
      <c r="UL13" s="1055" t="s">
        <v>7195</v>
      </c>
      <c r="UM13" s="1055" t="s">
        <v>26</v>
      </c>
      <c r="UN13" s="1055" t="s">
        <v>7196</v>
      </c>
      <c r="UO13" s="1055" t="s">
        <v>7197</v>
      </c>
      <c r="UP13" s="1055" t="s">
        <v>7198</v>
      </c>
      <c r="UQ13" s="1055" t="s">
        <v>7199</v>
      </c>
      <c r="UR13" s="1055" t="s">
        <v>4</v>
      </c>
      <c r="US13" s="1055" t="s">
        <v>7200</v>
      </c>
      <c r="UT13" s="1055" t="s">
        <v>7201</v>
      </c>
      <c r="UU13" s="1054" t="s">
        <v>998</v>
      </c>
      <c r="UV13" s="1055" t="s">
        <v>999</v>
      </c>
      <c r="UW13" s="1055" t="s">
        <v>7202</v>
      </c>
      <c r="UX13" s="1055" t="s">
        <v>98</v>
      </c>
      <c r="UY13" s="1055" t="s">
        <v>139</v>
      </c>
      <c r="UZ13" s="1055" t="s">
        <v>7203</v>
      </c>
      <c r="VA13" s="1055" t="s">
        <v>7204</v>
      </c>
      <c r="VB13" s="1055" t="s">
        <v>79</v>
      </c>
      <c r="VC13" s="1055" t="s">
        <v>4872</v>
      </c>
      <c r="VD13" s="1055" t="s">
        <v>707</v>
      </c>
      <c r="VE13" s="1055" t="s">
        <v>72</v>
      </c>
      <c r="VF13" s="1055" t="s">
        <v>113</v>
      </c>
      <c r="VG13" s="1055" t="s">
        <v>126</v>
      </c>
      <c r="VH13" s="1055" t="s">
        <v>163</v>
      </c>
      <c r="VI13" s="1055" t="s">
        <v>4882</v>
      </c>
      <c r="VJ13" s="1055" t="s">
        <v>60</v>
      </c>
      <c r="VK13" s="1055" t="s">
        <v>7205</v>
      </c>
      <c r="VL13" s="1055" t="s">
        <v>53</v>
      </c>
      <c r="VM13" s="1055" t="s">
        <v>7206</v>
      </c>
      <c r="VN13" s="1055" t="s">
        <v>7207</v>
      </c>
      <c r="VO13" s="1055" t="s">
        <v>28</v>
      </c>
      <c r="VP13" s="1055" t="s">
        <v>39</v>
      </c>
      <c r="VQ13" s="1055" t="s">
        <v>4892</v>
      </c>
      <c r="VR13" s="1055" t="s">
        <v>7208</v>
      </c>
      <c r="VS13" s="1055" t="s">
        <v>104</v>
      </c>
      <c r="VT13" s="1055" t="s">
        <v>7209</v>
      </c>
      <c r="VU13" s="1055" t="s">
        <v>7210</v>
      </c>
      <c r="VV13" s="1055" t="s">
        <v>7211</v>
      </c>
      <c r="VW13" s="1055" t="s">
        <v>7212</v>
      </c>
      <c r="VX13" s="1054" t="s">
        <v>7213</v>
      </c>
      <c r="VY13" s="1054" t="s">
        <v>7214</v>
      </c>
      <c r="VZ13" s="1054" t="s">
        <v>7215</v>
      </c>
      <c r="WA13" s="1055" t="s">
        <v>7216</v>
      </c>
      <c r="WB13" s="1055" t="s">
        <v>7217</v>
      </c>
      <c r="WC13" s="1055" t="s">
        <v>706</v>
      </c>
      <c r="WD13" s="1055" t="s">
        <v>7218</v>
      </c>
      <c r="WE13" s="1055" t="s">
        <v>7219</v>
      </c>
      <c r="WF13" s="1047" t="s">
        <v>7220</v>
      </c>
      <c r="WG13" s="1047" t="s">
        <v>7221</v>
      </c>
      <c r="WH13" s="1055" t="s">
        <v>709</v>
      </c>
      <c r="WI13" s="1055" t="s">
        <v>7222</v>
      </c>
      <c r="WJ13" s="1055" t="s">
        <v>707</v>
      </c>
      <c r="WK13" s="1047" t="s">
        <v>7223</v>
      </c>
      <c r="WL13" s="1055" t="s">
        <v>1458</v>
      </c>
      <c r="WM13" s="1055" t="s">
        <v>7224</v>
      </c>
      <c r="WN13" s="1055" t="s">
        <v>38</v>
      </c>
      <c r="WO13" s="1055" t="s">
        <v>711</v>
      </c>
      <c r="WP13" s="1055" t="s">
        <v>1463</v>
      </c>
      <c r="WQ13" s="1055" t="s">
        <v>7225</v>
      </c>
      <c r="WR13" s="1055" t="s">
        <v>61</v>
      </c>
      <c r="WS13" s="1055" t="s">
        <v>705</v>
      </c>
      <c r="WT13" s="1055" t="s">
        <v>7226</v>
      </c>
      <c r="WU13" s="1055" t="s">
        <v>7227</v>
      </c>
      <c r="WV13" s="1047" t="s">
        <v>7228</v>
      </c>
      <c r="WW13" s="1047" t="s">
        <v>7229</v>
      </c>
      <c r="WX13" s="1055" t="s">
        <v>708</v>
      </c>
      <c r="WY13" s="1055" t="s">
        <v>7230</v>
      </c>
      <c r="WZ13" s="1055" t="s">
        <v>1466</v>
      </c>
      <c r="XA13" s="1055" t="s">
        <v>712</v>
      </c>
      <c r="XB13" s="1047" t="s">
        <v>7231</v>
      </c>
      <c r="XC13" s="1055" t="s">
        <v>710</v>
      </c>
      <c r="XD13" s="1055" t="s">
        <v>109</v>
      </c>
      <c r="XE13" s="1055" t="s">
        <v>7232</v>
      </c>
      <c r="XF13" s="1047" t="s">
        <v>7233</v>
      </c>
      <c r="XG13" s="1055" t="s">
        <v>1470</v>
      </c>
      <c r="XH13" s="1055" t="s">
        <v>7234</v>
      </c>
      <c r="XI13" s="1055" t="s">
        <v>7129</v>
      </c>
      <c r="XJ13" s="1055" t="s">
        <v>7173</v>
      </c>
      <c r="XK13" s="1055" t="s">
        <v>7235</v>
      </c>
      <c r="XL13" s="1055" t="s">
        <v>7236</v>
      </c>
      <c r="XM13" s="1055" t="s">
        <v>7237</v>
      </c>
      <c r="XN13" s="1055" t="s">
        <v>7238</v>
      </c>
      <c r="XO13" s="1055" t="s">
        <v>7239</v>
      </c>
      <c r="XP13" s="1055" t="s">
        <v>116</v>
      </c>
      <c r="XQ13" s="1055" t="s">
        <v>7240</v>
      </c>
      <c r="XR13" s="1055" t="s">
        <v>7241</v>
      </c>
      <c r="XS13" s="1055" t="s">
        <v>7242</v>
      </c>
      <c r="XT13" t="s">
        <v>7243</v>
      </c>
      <c r="XU13" s="1054" t="s">
        <v>7244</v>
      </c>
      <c r="XV13" s="1054" t="s">
        <v>7245</v>
      </c>
      <c r="XW13" s="1054" t="s">
        <v>7246</v>
      </c>
      <c r="XX13" s="1054" t="s">
        <v>7247</v>
      </c>
      <c r="XY13" s="1054" t="s">
        <v>7248</v>
      </c>
      <c r="XZ13" s="1054" t="s">
        <v>141</v>
      </c>
      <c r="YA13" s="1055" t="s">
        <v>7249</v>
      </c>
      <c r="YB13" s="1055" t="s">
        <v>46</v>
      </c>
      <c r="YC13" s="1055" t="s">
        <v>7250</v>
      </c>
      <c r="YD13" s="1055" t="s">
        <v>40</v>
      </c>
      <c r="YE13" s="1055" t="s">
        <v>7035</v>
      </c>
      <c r="YF13" s="1055" t="s">
        <v>150</v>
      </c>
      <c r="YG13" s="1055" t="s">
        <v>158</v>
      </c>
      <c r="YH13" s="1055" t="s">
        <v>169</v>
      </c>
      <c r="YI13" s="1055" t="s">
        <v>7251</v>
      </c>
      <c r="YJ13" s="1055" t="s">
        <v>91</v>
      </c>
      <c r="YK13" s="1055" t="s">
        <v>7252</v>
      </c>
      <c r="YL13" s="1055" t="s">
        <v>7253</v>
      </c>
      <c r="YM13" s="1055" t="s">
        <v>7254</v>
      </c>
      <c r="YN13" s="1055" t="s">
        <v>7255</v>
      </c>
      <c r="YO13" s="1055" t="s">
        <v>7256</v>
      </c>
      <c r="YP13" s="1055" t="s">
        <v>21</v>
      </c>
      <c r="YQ13" s="1055" t="s">
        <v>7257</v>
      </c>
      <c r="YR13" s="1055" t="s">
        <v>7068</v>
      </c>
      <c r="YS13" s="1055" t="s">
        <v>7101</v>
      </c>
      <c r="YT13" s="1055" t="s">
        <v>7069</v>
      </c>
      <c r="YU13" s="1055" t="s">
        <v>7258</v>
      </c>
      <c r="YV13" s="1055" t="s">
        <v>7259</v>
      </c>
      <c r="YW13" s="1055" t="s">
        <v>7260</v>
      </c>
      <c r="YX13" s="1055" t="s">
        <v>7071</v>
      </c>
      <c r="YY13" s="1055" t="s">
        <v>7072</v>
      </c>
      <c r="YZ13" s="1055" t="s">
        <v>7261</v>
      </c>
      <c r="ZA13" s="1055" t="s">
        <v>7262</v>
      </c>
      <c r="ZB13" s="1055" t="s">
        <v>7167</v>
      </c>
      <c r="ZC13" s="1055" t="s">
        <v>7168</v>
      </c>
      <c r="ZD13" s="1055" t="s">
        <v>130</v>
      </c>
      <c r="ZE13" s="1055" t="s">
        <v>7263</v>
      </c>
      <c r="ZF13" s="1055" t="s">
        <v>7264</v>
      </c>
      <c r="ZG13" s="1055" t="s">
        <v>125</v>
      </c>
      <c r="ZH13" s="1055" t="s">
        <v>7073</v>
      </c>
      <c r="ZI13" s="1055" t="s">
        <v>71</v>
      </c>
      <c r="ZJ13" s="1055" t="s">
        <v>148</v>
      </c>
      <c r="ZK13" s="1055" t="s">
        <v>4577</v>
      </c>
      <c r="ZL13" s="1055" t="s">
        <v>7265</v>
      </c>
      <c r="ZM13" s="1055" t="s">
        <v>79</v>
      </c>
      <c r="ZN13" s="1055" t="s">
        <v>7266</v>
      </c>
      <c r="ZO13" s="1055" t="s">
        <v>4582</v>
      </c>
      <c r="ZP13" s="1055" t="s">
        <v>7267</v>
      </c>
      <c r="ZQ13" s="1055" t="s">
        <v>7074</v>
      </c>
      <c r="ZR13" s="1055" t="s">
        <v>7075</v>
      </c>
      <c r="ZS13" s="1055" t="s">
        <v>7268</v>
      </c>
      <c r="ZT13" s="1055" t="s">
        <v>7269</v>
      </c>
      <c r="ZU13" s="1055" t="s">
        <v>85</v>
      </c>
      <c r="ZV13" s="1055" t="s">
        <v>59</v>
      </c>
      <c r="ZW13" s="1055" t="s">
        <v>7170</v>
      </c>
      <c r="ZX13" s="1055" t="s">
        <v>7270</v>
      </c>
      <c r="ZY13" s="1055" t="s">
        <v>7271</v>
      </c>
      <c r="ZZ13" s="1055" t="s">
        <v>111</v>
      </c>
      <c r="AAA13" s="1055" t="s">
        <v>7272</v>
      </c>
      <c r="AAB13" s="1055" t="s">
        <v>7171</v>
      </c>
      <c r="AAC13" s="1055" t="s">
        <v>7273</v>
      </c>
      <c r="AAD13" s="1055" t="s">
        <v>7274</v>
      </c>
      <c r="AAE13" s="1055" t="s">
        <v>7275</v>
      </c>
      <c r="AAF13" s="1055" t="s">
        <v>7276</v>
      </c>
      <c r="AAG13" s="1055" t="s">
        <v>7277</v>
      </c>
      <c r="AAH13" s="1055" t="s">
        <v>7278</v>
      </c>
      <c r="AAI13" s="1055" t="s">
        <v>7279</v>
      </c>
      <c r="AAJ13" s="1055" t="s">
        <v>7280</v>
      </c>
      <c r="AAK13" s="1055" t="s">
        <v>4599</v>
      </c>
      <c r="AAL13" s="1055" t="s">
        <v>7281</v>
      </c>
      <c r="AAM13" s="1055" t="s">
        <v>4602</v>
      </c>
      <c r="AAN13" s="1055" t="s">
        <v>7282</v>
      </c>
      <c r="AAO13" s="1055" t="s">
        <v>147</v>
      </c>
      <c r="AAP13" s="1055" t="s">
        <v>7283</v>
      </c>
      <c r="AAQ13" s="1055" t="s">
        <v>208</v>
      </c>
      <c r="AAR13" s="1055" t="s">
        <v>181</v>
      </c>
      <c r="AAS13" s="1055" t="s">
        <v>4607</v>
      </c>
      <c r="AAT13" s="1055" t="s">
        <v>7284</v>
      </c>
      <c r="AAU13" s="1055" t="s">
        <v>124</v>
      </c>
      <c r="AAV13" s="1055" t="s">
        <v>7285</v>
      </c>
      <c r="AAW13" s="1055" t="s">
        <v>140</v>
      </c>
      <c r="AAX13" s="1055" t="s">
        <v>7286</v>
      </c>
      <c r="AAY13" s="1055" t="s">
        <v>7084</v>
      </c>
      <c r="AAZ13" s="1055" t="s">
        <v>4611</v>
      </c>
      <c r="ABA13" s="1055" t="s">
        <v>137</v>
      </c>
      <c r="ABB13" s="1055" t="s">
        <v>175</v>
      </c>
      <c r="ABC13" s="1055" t="s">
        <v>7180</v>
      </c>
      <c r="ABD13" s="1055" t="s">
        <v>7287</v>
      </c>
      <c r="ABE13" s="1055" t="s">
        <v>7288</v>
      </c>
      <c r="ABF13" s="1055" t="s">
        <v>7289</v>
      </c>
      <c r="ABG13" s="1055" t="s">
        <v>7290</v>
      </c>
      <c r="ABH13" s="1055" t="s">
        <v>7291</v>
      </c>
      <c r="ABI13" s="1055" t="s">
        <v>7292</v>
      </c>
      <c r="ABJ13" s="1055" t="s">
        <v>7191</v>
      </c>
      <c r="ABK13" s="1055" t="s">
        <v>7293</v>
      </c>
      <c r="ABL13" s="1055" t="s">
        <v>7294</v>
      </c>
      <c r="ABM13" s="1054" t="s">
        <v>7295</v>
      </c>
      <c r="ABN13" s="1055" t="s">
        <v>7296</v>
      </c>
      <c r="ABO13" s="1055" t="s">
        <v>7297</v>
      </c>
      <c r="ABP13" s="1055" t="s">
        <v>7298</v>
      </c>
      <c r="ABQ13" s="1055" t="s">
        <v>7299</v>
      </c>
      <c r="ABR13" s="1055" t="s">
        <v>7300</v>
      </c>
      <c r="ABS13" s="1055" t="s">
        <v>7301</v>
      </c>
      <c r="ABT13" s="1055" t="s">
        <v>7302</v>
      </c>
      <c r="ABU13" s="1055" t="s">
        <v>7303</v>
      </c>
      <c r="ABV13" s="1055" t="s">
        <v>7304</v>
      </c>
      <c r="ABW13" s="1055" t="s">
        <v>860</v>
      </c>
      <c r="ABX13" s="1055" t="s">
        <v>861</v>
      </c>
      <c r="ABY13" s="1055" t="s">
        <v>7305</v>
      </c>
      <c r="ABZ13" s="1055" t="s">
        <v>7306</v>
      </c>
      <c r="ACA13" s="1055" t="s">
        <v>7307</v>
      </c>
      <c r="ACB13" s="1055" t="s">
        <v>7308</v>
      </c>
      <c r="ACC13" s="1055" t="s">
        <v>7309</v>
      </c>
      <c r="ACD13" s="1055" t="s">
        <v>864</v>
      </c>
      <c r="ACE13" s="1055" t="s">
        <v>7310</v>
      </c>
      <c r="ACF13" s="1055" t="s">
        <v>7311</v>
      </c>
      <c r="ACG13" s="1055" t="s">
        <v>7312</v>
      </c>
      <c r="ACH13" s="1055" t="s">
        <v>869</v>
      </c>
      <c r="ACI13" s="1055" t="s">
        <v>7313</v>
      </c>
      <c r="ACJ13" s="1055" t="s">
        <v>7314</v>
      </c>
      <c r="ACK13" s="1055" t="s">
        <v>7315</v>
      </c>
      <c r="ACL13" s="1055" t="s">
        <v>7316</v>
      </c>
      <c r="ACM13" s="1055" t="s">
        <v>693</v>
      </c>
      <c r="ACN13" s="1055" t="s">
        <v>7317</v>
      </c>
      <c r="ACO13" s="1055" t="s">
        <v>7318</v>
      </c>
      <c r="ACP13" s="1055" t="s">
        <v>694</v>
      </c>
      <c r="ACQ13" s="1055" t="s">
        <v>7319</v>
      </c>
      <c r="ACR13" s="1054" t="s">
        <v>7320</v>
      </c>
      <c r="ACS13" s="1055" t="s">
        <v>3781</v>
      </c>
      <c r="ACT13" s="1055" t="s">
        <v>3789</v>
      </c>
      <c r="ACU13" s="1055" t="s">
        <v>7321</v>
      </c>
      <c r="ACV13" s="1055" t="s">
        <v>7322</v>
      </c>
      <c r="ACW13" s="1055" t="s">
        <v>7323</v>
      </c>
      <c r="ACX13" s="1055" t="s">
        <v>7324</v>
      </c>
      <c r="ACY13" s="1055" t="s">
        <v>7325</v>
      </c>
      <c r="ACZ13" s="1055" t="s">
        <v>7326</v>
      </c>
      <c r="ADA13" s="1055" t="s">
        <v>7327</v>
      </c>
      <c r="ADB13" s="1055" t="s">
        <v>7328</v>
      </c>
      <c r="ADC13" s="1055" t="s">
        <v>7329</v>
      </c>
      <c r="ADD13" s="1055" t="s">
        <v>7330</v>
      </c>
      <c r="ADE13" s="1055" t="s">
        <v>7331</v>
      </c>
      <c r="ADF13" s="1055" t="s">
        <v>7332</v>
      </c>
      <c r="ADG13" s="1055" t="s">
        <v>7333</v>
      </c>
      <c r="ADH13" s="1055" t="s">
        <v>7334</v>
      </c>
      <c r="ADI13" s="1055" t="s">
        <v>7335</v>
      </c>
      <c r="ADJ13" s="1055" t="s">
        <v>7336</v>
      </c>
      <c r="ADK13" s="1055" t="s">
        <v>7337</v>
      </c>
      <c r="ADL13" s="1055" t="s">
        <v>7338</v>
      </c>
      <c r="ADM13" s="1055" t="s">
        <v>7339</v>
      </c>
      <c r="ADN13" s="1055" t="s">
        <v>7340</v>
      </c>
      <c r="ADO13" s="1055" t="s">
        <v>7341</v>
      </c>
      <c r="ADP13" s="1055" t="s">
        <v>7342</v>
      </c>
      <c r="ADQ13" s="1055" t="s">
        <v>7343</v>
      </c>
      <c r="ADR13" s="1055" t="s">
        <v>30</v>
      </c>
      <c r="ADS13" s="1055" t="s">
        <v>42</v>
      </c>
      <c r="ADT13" s="1055" t="s">
        <v>5791</v>
      </c>
      <c r="ADU13" s="1055" t="s">
        <v>713</v>
      </c>
      <c r="ADV13" s="1055" t="s">
        <v>17</v>
      </c>
      <c r="ADW13" s="1055" t="s">
        <v>5793</v>
      </c>
      <c r="ADX13" s="1055" t="s">
        <v>7344</v>
      </c>
      <c r="ADY13" s="1055" t="s">
        <v>7345</v>
      </c>
      <c r="ADZ13" s="1055" t="s">
        <v>7346</v>
      </c>
      <c r="AEA13" s="1055" t="s">
        <v>7347</v>
      </c>
      <c r="AEB13" s="1055" t="s">
        <v>7348</v>
      </c>
      <c r="AEC13" s="1055" t="s">
        <v>7349</v>
      </c>
      <c r="AED13" s="1055" t="s">
        <v>7350</v>
      </c>
      <c r="AEE13" s="1055" t="s">
        <v>7351</v>
      </c>
      <c r="AEF13" s="1055" t="s">
        <v>7352</v>
      </c>
      <c r="AEG13" s="1055" t="s">
        <v>7353</v>
      </c>
      <c r="AEH13" s="1055" t="s">
        <v>7354</v>
      </c>
      <c r="AEI13" s="1055" t="s">
        <v>7355</v>
      </c>
      <c r="AEJ13" s="1055" t="s">
        <v>7356</v>
      </c>
      <c r="AEK13" s="1055" t="s">
        <v>7357</v>
      </c>
      <c r="AEL13" s="1055" t="s">
        <v>7358</v>
      </c>
      <c r="AEM13" s="1055" t="s">
        <v>7359</v>
      </c>
      <c r="AEN13" s="1055" t="s">
        <v>7360</v>
      </c>
      <c r="AEO13" s="1055" t="s">
        <v>7361</v>
      </c>
      <c r="AEP13" s="1055" t="s">
        <v>7362</v>
      </c>
      <c r="AEQ13" s="1055" t="s">
        <v>7363</v>
      </c>
      <c r="AER13" s="1055" t="s">
        <v>7364</v>
      </c>
      <c r="AES13" s="1055" t="s">
        <v>7365</v>
      </c>
      <c r="AET13" s="1055" t="s">
        <v>7366</v>
      </c>
      <c r="AEU13" s="1055" t="s">
        <v>7367</v>
      </c>
      <c r="AEV13" s="1055" t="s">
        <v>7368</v>
      </c>
      <c r="AEW13" s="1055" t="s">
        <v>7369</v>
      </c>
      <c r="AEX13" s="1055" t="s">
        <v>32</v>
      </c>
      <c r="AEY13" s="1055" t="s">
        <v>7370</v>
      </c>
      <c r="AEZ13" s="1055" t="s">
        <v>7371</v>
      </c>
      <c r="AFA13" s="1055" t="s">
        <v>7372</v>
      </c>
      <c r="AFB13" s="1055" t="s">
        <v>22</v>
      </c>
      <c r="AFC13" s="1055" t="s">
        <v>7373</v>
      </c>
      <c r="AFD13" s="1055" t="s">
        <v>7374</v>
      </c>
      <c r="AFE13" s="1055" t="s">
        <v>7375</v>
      </c>
      <c r="AFF13" s="1055" t="s">
        <v>7376</v>
      </c>
      <c r="AFG13" s="1055" t="s">
        <v>7377</v>
      </c>
      <c r="AFH13" s="1055" t="s">
        <v>7378</v>
      </c>
      <c r="AFI13" s="1055" t="s">
        <v>7379</v>
      </c>
      <c r="AFJ13" s="1055" t="s">
        <v>5150</v>
      </c>
      <c r="AFK13" s="1055" t="s">
        <v>5178</v>
      </c>
      <c r="AFL13" s="1055" t="s">
        <v>5185</v>
      </c>
      <c r="AFM13" s="1055" t="s">
        <v>1065</v>
      </c>
      <c r="AFN13" s="1055" t="s">
        <v>7380</v>
      </c>
      <c r="AFO13" s="1055" t="s">
        <v>1066</v>
      </c>
      <c r="AFP13" s="1055" t="s">
        <v>5215</v>
      </c>
      <c r="AFQ13" s="1055" t="s">
        <v>5217</v>
      </c>
      <c r="AFR13" s="1055" t="s">
        <v>5219</v>
      </c>
      <c r="AFS13" s="1" t="s">
        <v>702</v>
      </c>
      <c r="AFT13" s="1" t="s">
        <v>309</v>
      </c>
      <c r="AFU13" s="1" t="s">
        <v>703</v>
      </c>
      <c r="AFV13" s="1" t="s">
        <v>198</v>
      </c>
      <c r="AFW13" s="1" t="s">
        <v>320</v>
      </c>
      <c r="AFX13" s="1" t="s">
        <v>313</v>
      </c>
      <c r="AFY13" s="1" t="s">
        <v>7381</v>
      </c>
      <c r="AFZ13" s="1" t="s">
        <v>314</v>
      </c>
      <c r="AGA13" s="1" t="s">
        <v>202</v>
      </c>
      <c r="AGB13" s="1" t="s">
        <v>7111</v>
      </c>
      <c r="AGC13" s="1" t="s">
        <v>178</v>
      </c>
      <c r="AGD13" s="1" t="s">
        <v>7117</v>
      </c>
      <c r="AGE13" s="1" t="s">
        <v>167</v>
      </c>
      <c r="AGF13" s="1" t="s">
        <v>161</v>
      </c>
      <c r="AGG13" s="1" t="s">
        <v>7382</v>
      </c>
      <c r="AGH13" s="1048"/>
    </row>
    <row r="14" spans="1:867">
      <c r="A14" s="1044"/>
      <c r="B14" s="1044"/>
      <c r="C14" s="1044"/>
      <c r="D14" s="1044"/>
      <c r="E14" s="1044"/>
      <c r="F14" s="1044"/>
      <c r="G14" s="1044"/>
      <c r="H14" s="1044"/>
      <c r="I14" s="1044"/>
      <c r="J14" s="1044"/>
      <c r="BV14" s="1" t="s">
        <v>7383</v>
      </c>
      <c r="BW14" s="1" t="s">
        <v>7384</v>
      </c>
      <c r="BX14" s="1" t="s">
        <v>7385</v>
      </c>
      <c r="BY14" s="1" t="s">
        <v>7386</v>
      </c>
      <c r="BZ14" s="1" t="s">
        <v>7387</v>
      </c>
      <c r="CA14" s="1" t="s">
        <v>7388</v>
      </c>
      <c r="CB14" s="1" t="s">
        <v>7389</v>
      </c>
      <c r="CC14" s="1" t="s">
        <v>7390</v>
      </c>
      <c r="CD14" s="1" t="s">
        <v>7391</v>
      </c>
      <c r="CE14" s="1" t="s">
        <v>7392</v>
      </c>
      <c r="CF14" s="1" t="s">
        <v>7393</v>
      </c>
      <c r="CG14" s="1" t="s">
        <v>7394</v>
      </c>
      <c r="CH14" s="1" t="s">
        <v>7395</v>
      </c>
      <c r="CI14" s="1" t="s">
        <v>7396</v>
      </c>
      <c r="CJ14" s="1" t="s">
        <v>7397</v>
      </c>
      <c r="CK14" s="1" t="s">
        <v>7398</v>
      </c>
      <c r="CL14" s="1" t="s">
        <v>7399</v>
      </c>
      <c r="CM14" s="1" t="s">
        <v>7400</v>
      </c>
      <c r="CN14" s="1" t="s">
        <v>7401</v>
      </c>
      <c r="CO14" s="1" t="s">
        <v>7402</v>
      </c>
      <c r="CP14" s="1" t="s">
        <v>7403</v>
      </c>
      <c r="CQ14" s="1" t="s">
        <v>7404</v>
      </c>
      <c r="CR14" s="1" t="s">
        <v>7405</v>
      </c>
      <c r="CS14" s="1" t="s">
        <v>7406</v>
      </c>
      <c r="CT14" s="1" t="s">
        <v>7407</v>
      </c>
      <c r="CU14" s="1" t="s">
        <v>7408</v>
      </c>
      <c r="CV14" s="1" t="s">
        <v>7409</v>
      </c>
      <c r="CW14" s="1" t="s">
        <v>7410</v>
      </c>
      <c r="CX14" s="1" t="s">
        <v>7411</v>
      </c>
      <c r="CY14" s="1" t="s">
        <v>7412</v>
      </c>
      <c r="CZ14" s="1" t="s">
        <v>7413</v>
      </c>
      <c r="DA14" s="1" t="s">
        <v>7414</v>
      </c>
      <c r="DB14" s="1" t="s">
        <v>7415</v>
      </c>
      <c r="DC14" s="1" t="s">
        <v>7416</v>
      </c>
      <c r="DD14" s="1" t="s">
        <v>7417</v>
      </c>
      <c r="DE14" s="1" t="s">
        <v>7418</v>
      </c>
      <c r="DF14" s="1" t="s">
        <v>7419</v>
      </c>
      <c r="DG14" s="1" t="s">
        <v>7420</v>
      </c>
      <c r="DH14" s="1" t="s">
        <v>7421</v>
      </c>
      <c r="DI14" s="1" t="s">
        <v>7422</v>
      </c>
      <c r="DJ14" s="1" t="s">
        <v>7423</v>
      </c>
      <c r="DK14" s="1" t="s">
        <v>7424</v>
      </c>
      <c r="DL14" s="1" t="s">
        <v>7425</v>
      </c>
      <c r="DM14" s="1" t="s">
        <v>7426</v>
      </c>
      <c r="DN14" s="1" t="s">
        <v>7427</v>
      </c>
      <c r="DO14" s="1" t="s">
        <v>7428</v>
      </c>
      <c r="DP14" s="1" t="s">
        <v>7429</v>
      </c>
      <c r="DQ14" s="1" t="s">
        <v>7430</v>
      </c>
      <c r="DR14" s="1" t="s">
        <v>7431</v>
      </c>
      <c r="DS14" s="1" t="s">
        <v>7432</v>
      </c>
      <c r="DT14" s="1" t="s">
        <v>7433</v>
      </c>
      <c r="DU14" s="1" t="s">
        <v>7434</v>
      </c>
      <c r="DV14" s="1" t="s">
        <v>7435</v>
      </c>
      <c r="DW14" s="1" t="s">
        <v>7436</v>
      </c>
      <c r="DX14" s="1" t="s">
        <v>7437</v>
      </c>
      <c r="DY14" s="1" t="s">
        <v>7438</v>
      </c>
      <c r="DZ14" s="1" t="s">
        <v>7439</v>
      </c>
      <c r="EA14" s="1" t="s">
        <v>7440</v>
      </c>
      <c r="EB14" s="1" t="s">
        <v>7441</v>
      </c>
      <c r="EC14" s="1" t="s">
        <v>7442</v>
      </c>
      <c r="ED14" s="1" t="s">
        <v>7443</v>
      </c>
      <c r="EE14" s="1" t="s">
        <v>7444</v>
      </c>
      <c r="EF14" s="1" t="s">
        <v>7445</v>
      </c>
      <c r="EG14" s="1" t="s">
        <v>7446</v>
      </c>
      <c r="EH14" s="1" t="s">
        <v>7447</v>
      </c>
      <c r="EI14" s="1" t="s">
        <v>7448</v>
      </c>
      <c r="EJ14" s="1" t="s">
        <v>7449</v>
      </c>
      <c r="EK14" s="1" t="s">
        <v>7450</v>
      </c>
      <c r="EL14" s="1" t="s">
        <v>7451</v>
      </c>
      <c r="EM14" s="1" t="s">
        <v>7452</v>
      </c>
      <c r="EN14" s="1" t="s">
        <v>7453</v>
      </c>
      <c r="EO14" s="1" t="s">
        <v>7454</v>
      </c>
      <c r="EP14" s="1" t="s">
        <v>7455</v>
      </c>
      <c r="EQ14" s="1" t="s">
        <v>7456</v>
      </c>
      <c r="ER14" s="1" t="s">
        <v>7457</v>
      </c>
      <c r="ES14" s="1" t="s">
        <v>7458</v>
      </c>
      <c r="ET14" s="1" t="s">
        <v>7459</v>
      </c>
      <c r="EU14" s="1" t="s">
        <v>7460</v>
      </c>
      <c r="EV14" s="1" t="s">
        <v>7461</v>
      </c>
      <c r="EW14" s="1" t="s">
        <v>7462</v>
      </c>
      <c r="EX14" s="1" t="s">
        <v>7463</v>
      </c>
      <c r="EY14" s="1" t="s">
        <v>7464</v>
      </c>
      <c r="EZ14" s="1" t="s">
        <v>7465</v>
      </c>
      <c r="FA14" s="1" t="s">
        <v>7466</v>
      </c>
      <c r="FB14" s="1" t="s">
        <v>7467</v>
      </c>
      <c r="FC14" s="1" t="s">
        <v>7468</v>
      </c>
      <c r="FD14" s="1" t="s">
        <v>7469</v>
      </c>
      <c r="FE14" s="1" t="s">
        <v>7470</v>
      </c>
      <c r="FF14" s="1" t="s">
        <v>7471</v>
      </c>
      <c r="FG14" s="1" t="s">
        <v>7472</v>
      </c>
      <c r="FH14" s="1" t="s">
        <v>7473</v>
      </c>
      <c r="FI14" s="1" t="s">
        <v>7474</v>
      </c>
      <c r="FJ14" s="1" t="s">
        <v>7475</v>
      </c>
      <c r="FK14" s="1" t="s">
        <v>7476</v>
      </c>
      <c r="FL14" s="1" t="s">
        <v>7477</v>
      </c>
      <c r="FM14" s="1" t="s">
        <v>7478</v>
      </c>
      <c r="FN14" s="1" t="s">
        <v>7479</v>
      </c>
      <c r="FO14" s="1" t="s">
        <v>7480</v>
      </c>
      <c r="FP14" s="1" t="s">
        <v>7481</v>
      </c>
      <c r="FQ14" s="1" t="s">
        <v>7482</v>
      </c>
      <c r="FR14" s="1" t="s">
        <v>7483</v>
      </c>
      <c r="FS14" s="1" t="s">
        <v>7484</v>
      </c>
      <c r="FT14" s="1" t="s">
        <v>7485</v>
      </c>
      <c r="FU14" s="1" t="s">
        <v>7486</v>
      </c>
      <c r="FV14" s="1" t="s">
        <v>7487</v>
      </c>
      <c r="FW14" s="1" t="s">
        <v>7488</v>
      </c>
      <c r="FX14" s="1" t="s">
        <v>7489</v>
      </c>
      <c r="FY14" s="1" t="s">
        <v>7490</v>
      </c>
      <c r="FZ14" s="1" t="s">
        <v>7491</v>
      </c>
      <c r="GA14" s="1" t="s">
        <v>7492</v>
      </c>
      <c r="GB14" s="1" t="s">
        <v>7493</v>
      </c>
      <c r="GC14" s="1" t="s">
        <v>7494</v>
      </c>
      <c r="GD14" s="1" t="s">
        <v>7495</v>
      </c>
      <c r="GE14" s="1" t="s">
        <v>7496</v>
      </c>
      <c r="GF14" s="1" t="s">
        <v>7497</v>
      </c>
      <c r="GG14" s="1" t="s">
        <v>7498</v>
      </c>
      <c r="GH14" s="1" t="s">
        <v>7499</v>
      </c>
      <c r="GI14" s="1" t="s">
        <v>7500</v>
      </c>
      <c r="GJ14" s="1" t="s">
        <v>7501</v>
      </c>
      <c r="GK14" s="1" t="s">
        <v>7502</v>
      </c>
      <c r="GL14" s="1" t="s">
        <v>7503</v>
      </c>
      <c r="GM14" s="1" t="s">
        <v>7504</v>
      </c>
      <c r="GN14" s="1" t="s">
        <v>7505</v>
      </c>
      <c r="GO14" s="1" t="s">
        <v>7506</v>
      </c>
      <c r="GP14" s="1" t="s">
        <v>7507</v>
      </c>
      <c r="GQ14" s="1" t="s">
        <v>7508</v>
      </c>
      <c r="GR14" s="1" t="s">
        <v>7509</v>
      </c>
      <c r="GS14" s="1" t="s">
        <v>7510</v>
      </c>
      <c r="GT14" s="1" t="s">
        <v>7511</v>
      </c>
      <c r="GU14" s="1" t="s">
        <v>7512</v>
      </c>
      <c r="GV14" s="1" t="s">
        <v>7513</v>
      </c>
      <c r="GW14" s="1" t="s">
        <v>7514</v>
      </c>
      <c r="GX14" s="1" t="s">
        <v>7515</v>
      </c>
      <c r="GY14" s="1" t="s">
        <v>7516</v>
      </c>
      <c r="GZ14" s="1" t="s">
        <v>7517</v>
      </c>
      <c r="HA14" s="1" t="s">
        <v>7518</v>
      </c>
      <c r="HB14" s="1" t="s">
        <v>7519</v>
      </c>
      <c r="HC14" s="1" t="s">
        <v>7520</v>
      </c>
      <c r="HD14" s="1" t="s">
        <v>7521</v>
      </c>
      <c r="HE14" s="1" t="s">
        <v>7522</v>
      </c>
      <c r="HF14" s="1" t="s">
        <v>7523</v>
      </c>
      <c r="HG14" s="1" t="s">
        <v>7524</v>
      </c>
      <c r="HH14" s="1" t="s">
        <v>7525</v>
      </c>
      <c r="HI14" s="1" t="s">
        <v>7526</v>
      </c>
      <c r="HJ14" s="1" t="s">
        <v>7527</v>
      </c>
      <c r="HK14" s="1" t="s">
        <v>7528</v>
      </c>
      <c r="HL14" s="1" t="s">
        <v>7529</v>
      </c>
      <c r="HM14" s="1" t="s">
        <v>7530</v>
      </c>
      <c r="HN14" s="1" t="s">
        <v>7531</v>
      </c>
      <c r="HO14" s="1" t="s">
        <v>7532</v>
      </c>
      <c r="HP14" s="1" t="s">
        <v>7533</v>
      </c>
      <c r="HQ14" s="1" t="s">
        <v>7534</v>
      </c>
      <c r="HR14" s="1" t="s">
        <v>7535</v>
      </c>
      <c r="HS14" s="1" t="s">
        <v>7536</v>
      </c>
      <c r="HT14" s="1" t="s">
        <v>7537</v>
      </c>
      <c r="HU14" s="1" t="s">
        <v>7538</v>
      </c>
      <c r="HV14" s="1" t="s">
        <v>7539</v>
      </c>
      <c r="HW14" s="1" t="s">
        <v>7540</v>
      </c>
      <c r="HX14" s="1" t="s">
        <v>7541</v>
      </c>
      <c r="HY14" s="1" t="s">
        <v>7542</v>
      </c>
      <c r="HZ14" s="1" t="s">
        <v>7543</v>
      </c>
      <c r="IA14" s="1" t="s">
        <v>7544</v>
      </c>
      <c r="IB14" s="1" t="s">
        <v>7545</v>
      </c>
      <c r="IC14" s="1" t="s">
        <v>7546</v>
      </c>
      <c r="ID14" s="1" t="s">
        <v>7547</v>
      </c>
      <c r="IE14" s="1" t="s">
        <v>7548</v>
      </c>
      <c r="IF14" s="1" t="s">
        <v>7549</v>
      </c>
      <c r="IG14" s="1" t="s">
        <v>7550</v>
      </c>
      <c r="IH14" s="1" t="s">
        <v>7551</v>
      </c>
      <c r="II14" s="1" t="s">
        <v>7552</v>
      </c>
      <c r="IJ14" s="1" t="s">
        <v>7553</v>
      </c>
      <c r="IK14" s="1" t="s">
        <v>7554</v>
      </c>
      <c r="IL14" s="1" t="s">
        <v>7555</v>
      </c>
      <c r="IM14" s="1" t="s">
        <v>7556</v>
      </c>
      <c r="IN14" s="1" t="s">
        <v>7557</v>
      </c>
      <c r="IO14" s="1" t="s">
        <v>7558</v>
      </c>
      <c r="IP14" s="1" t="s">
        <v>7559</v>
      </c>
      <c r="IQ14" s="1" t="s">
        <v>7560</v>
      </c>
      <c r="IR14" s="1" t="s">
        <v>7561</v>
      </c>
      <c r="IS14" s="1" t="s">
        <v>7562</v>
      </c>
      <c r="IT14" s="1" t="s">
        <v>7563</v>
      </c>
      <c r="IU14" s="1" t="s">
        <v>7564</v>
      </c>
      <c r="IV14" s="1" t="s">
        <v>7565</v>
      </c>
      <c r="IW14" s="1" t="s">
        <v>7566</v>
      </c>
      <c r="IX14" s="1" t="s">
        <v>7567</v>
      </c>
      <c r="IY14" s="1" t="s">
        <v>7568</v>
      </c>
      <c r="IZ14" s="1" t="s">
        <v>7569</v>
      </c>
      <c r="JA14" s="1" t="s">
        <v>7570</v>
      </c>
      <c r="JB14" s="1" t="s">
        <v>7571</v>
      </c>
      <c r="JC14" s="1" t="s">
        <v>7572</v>
      </c>
      <c r="JD14" s="1" t="s">
        <v>7573</v>
      </c>
      <c r="JE14" s="1" t="s">
        <v>7574</v>
      </c>
      <c r="JF14" s="1" t="s">
        <v>7575</v>
      </c>
      <c r="JG14" s="1" t="s">
        <v>7576</v>
      </c>
      <c r="JH14" s="1" t="s">
        <v>7577</v>
      </c>
      <c r="JI14" s="1" t="s">
        <v>7578</v>
      </c>
      <c r="JJ14" s="1" t="s">
        <v>7579</v>
      </c>
      <c r="JK14" s="1" t="s">
        <v>7580</v>
      </c>
      <c r="JL14" s="1" t="s">
        <v>7581</v>
      </c>
      <c r="JM14" s="1" t="s">
        <v>7582</v>
      </c>
      <c r="JN14" s="1" t="s">
        <v>7583</v>
      </c>
      <c r="JO14" s="1" t="s">
        <v>7584</v>
      </c>
      <c r="JP14" s="1" t="s">
        <v>7585</v>
      </c>
      <c r="JQ14" s="1" t="s">
        <v>7586</v>
      </c>
      <c r="JR14" s="1" t="s">
        <v>7587</v>
      </c>
      <c r="JS14" s="1" t="s">
        <v>7588</v>
      </c>
      <c r="JT14" s="1" t="s">
        <v>7589</v>
      </c>
      <c r="JU14" s="1" t="s">
        <v>7590</v>
      </c>
      <c r="JV14" s="1" t="s">
        <v>7591</v>
      </c>
      <c r="JW14" s="1" t="s">
        <v>7592</v>
      </c>
      <c r="JX14" s="1" t="s">
        <v>7593</v>
      </c>
      <c r="JY14" s="1" t="s">
        <v>7594</v>
      </c>
      <c r="JZ14" s="1" t="s">
        <v>7595</v>
      </c>
      <c r="KA14" s="1" t="s">
        <v>7596</v>
      </c>
      <c r="KB14" s="1" t="s">
        <v>7597</v>
      </c>
      <c r="KC14" s="1" t="s">
        <v>7598</v>
      </c>
      <c r="KD14" s="1" t="s">
        <v>7599</v>
      </c>
      <c r="KE14" s="1" t="s">
        <v>7600</v>
      </c>
      <c r="KF14" s="1" t="s">
        <v>7601</v>
      </c>
      <c r="KG14" s="1" t="s">
        <v>7602</v>
      </c>
      <c r="KH14" s="1" t="s">
        <v>7603</v>
      </c>
      <c r="KI14" s="1" t="s">
        <v>7604</v>
      </c>
      <c r="KJ14" s="1" t="s">
        <v>7605</v>
      </c>
      <c r="KK14" s="1" t="s">
        <v>7606</v>
      </c>
      <c r="KL14" s="1" t="s">
        <v>7607</v>
      </c>
      <c r="KM14" s="1" t="s">
        <v>7608</v>
      </c>
      <c r="KN14" s="1" t="s">
        <v>7609</v>
      </c>
      <c r="KO14" s="1" t="s">
        <v>7610</v>
      </c>
      <c r="KP14" s="1" t="s">
        <v>7611</v>
      </c>
      <c r="KQ14" s="1" t="s">
        <v>7612</v>
      </c>
      <c r="KR14" s="1" t="s">
        <v>7613</v>
      </c>
      <c r="KS14" s="1" t="s">
        <v>7614</v>
      </c>
      <c r="KT14" s="1" t="s">
        <v>7615</v>
      </c>
      <c r="KU14" s="1" t="s">
        <v>7616</v>
      </c>
      <c r="KV14" s="1" t="s">
        <v>7617</v>
      </c>
      <c r="KW14" s="1" t="s">
        <v>7618</v>
      </c>
      <c r="KX14" s="1" t="s">
        <v>7619</v>
      </c>
      <c r="KY14" s="1" t="s">
        <v>7620</v>
      </c>
      <c r="KZ14" s="1" t="s">
        <v>7621</v>
      </c>
      <c r="LA14" s="1" t="s">
        <v>7622</v>
      </c>
      <c r="LB14" s="1" t="s">
        <v>7623</v>
      </c>
      <c r="LC14" s="1" t="s">
        <v>7624</v>
      </c>
      <c r="LD14" s="1" t="s">
        <v>7625</v>
      </c>
      <c r="LE14" s="1" t="s">
        <v>7626</v>
      </c>
      <c r="LF14" s="1" t="s">
        <v>7627</v>
      </c>
      <c r="LG14" s="1" t="s">
        <v>7628</v>
      </c>
      <c r="LH14" s="1" t="s">
        <v>7629</v>
      </c>
      <c r="LI14" s="1" t="s">
        <v>7630</v>
      </c>
      <c r="LJ14" s="1" t="s">
        <v>7631</v>
      </c>
      <c r="LK14" s="1" t="s">
        <v>7632</v>
      </c>
      <c r="LL14" s="1" t="s">
        <v>7633</v>
      </c>
      <c r="LM14" s="1" t="s">
        <v>7634</v>
      </c>
      <c r="LN14" s="1" t="s">
        <v>7635</v>
      </c>
      <c r="LO14" s="1" t="s">
        <v>7636</v>
      </c>
      <c r="LP14" s="1" t="s">
        <v>7637</v>
      </c>
      <c r="LQ14" s="1" t="s">
        <v>7638</v>
      </c>
      <c r="LR14" s="1" t="s">
        <v>7639</v>
      </c>
      <c r="LS14" s="1" t="s">
        <v>7640</v>
      </c>
      <c r="LT14" s="1" t="s">
        <v>7641</v>
      </c>
      <c r="LU14" s="1" t="s">
        <v>7642</v>
      </c>
      <c r="LV14" s="1" t="s">
        <v>7643</v>
      </c>
      <c r="LW14" s="1" t="s">
        <v>7644</v>
      </c>
      <c r="LX14" s="1" t="s">
        <v>7645</v>
      </c>
      <c r="LY14" s="1" t="s">
        <v>7646</v>
      </c>
      <c r="LZ14" s="1" t="s">
        <v>7647</v>
      </c>
      <c r="MA14" s="1" t="s">
        <v>7648</v>
      </c>
      <c r="MB14" s="1" t="s">
        <v>7649</v>
      </c>
      <c r="MC14" s="1" t="s">
        <v>7650</v>
      </c>
      <c r="MD14" s="1" t="s">
        <v>7651</v>
      </c>
      <c r="ME14" s="1" t="s">
        <v>7652</v>
      </c>
      <c r="MF14" s="1" t="s">
        <v>7653</v>
      </c>
      <c r="MG14" s="1" t="s">
        <v>7654</v>
      </c>
      <c r="MH14" s="1" t="s">
        <v>7655</v>
      </c>
      <c r="MI14" s="1" t="s">
        <v>7656</v>
      </c>
      <c r="MJ14" s="1" t="s">
        <v>7657</v>
      </c>
      <c r="MK14" s="1" t="s">
        <v>7658</v>
      </c>
      <c r="ML14" s="1" t="s">
        <v>7659</v>
      </c>
      <c r="MM14" s="1" t="s">
        <v>7660</v>
      </c>
      <c r="MN14" s="1" t="s">
        <v>7661</v>
      </c>
      <c r="MO14" s="1" t="s">
        <v>7662</v>
      </c>
      <c r="MP14" s="1" t="s">
        <v>7663</v>
      </c>
      <c r="MQ14" s="1" t="s">
        <v>7664</v>
      </c>
      <c r="MR14" s="1" t="s">
        <v>7665</v>
      </c>
      <c r="MS14" s="1" t="s">
        <v>7666</v>
      </c>
      <c r="MT14" s="1" t="s">
        <v>7667</v>
      </c>
      <c r="MU14" s="1" t="s">
        <v>7668</v>
      </c>
      <c r="MV14" s="1" t="s">
        <v>7669</v>
      </c>
      <c r="MW14" s="1" t="s">
        <v>7670</v>
      </c>
      <c r="MX14" s="1" t="s">
        <v>7671</v>
      </c>
      <c r="MY14" s="1" t="s">
        <v>7672</v>
      </c>
      <c r="MZ14" s="1" t="s">
        <v>7673</v>
      </c>
      <c r="NA14" s="1" t="s">
        <v>7674</v>
      </c>
      <c r="NB14" s="1" t="s">
        <v>7675</v>
      </c>
      <c r="NC14" s="1" t="s">
        <v>7676</v>
      </c>
      <c r="ND14" s="1" t="s">
        <v>7677</v>
      </c>
      <c r="NE14" s="1" t="s">
        <v>7678</v>
      </c>
      <c r="NF14" s="1" t="s">
        <v>7679</v>
      </c>
      <c r="NG14" s="1" t="s">
        <v>7680</v>
      </c>
      <c r="NH14" s="1" t="s">
        <v>7681</v>
      </c>
      <c r="NI14" s="1" t="s">
        <v>7682</v>
      </c>
      <c r="NJ14" s="1" t="s">
        <v>7683</v>
      </c>
      <c r="NK14" s="1" t="s">
        <v>7684</v>
      </c>
      <c r="NL14" s="1" t="s">
        <v>7685</v>
      </c>
      <c r="NM14" s="1" t="s">
        <v>7686</v>
      </c>
      <c r="NN14" s="1" t="s">
        <v>7687</v>
      </c>
      <c r="NO14" s="1" t="s">
        <v>7688</v>
      </c>
      <c r="NP14" s="1" t="s">
        <v>7689</v>
      </c>
      <c r="NQ14" s="1" t="s">
        <v>7690</v>
      </c>
      <c r="NR14" s="1" t="s">
        <v>7691</v>
      </c>
      <c r="NS14" s="1" t="s">
        <v>7692</v>
      </c>
      <c r="NT14" s="1" t="s">
        <v>7693</v>
      </c>
      <c r="NU14" s="1" t="s">
        <v>7694</v>
      </c>
      <c r="NV14" s="1" t="s">
        <v>7695</v>
      </c>
      <c r="NW14" s="1" t="s">
        <v>7696</v>
      </c>
      <c r="NX14" s="1" t="s">
        <v>7697</v>
      </c>
      <c r="NY14" s="1" t="s">
        <v>7698</v>
      </c>
      <c r="NZ14" s="1" t="s">
        <v>7699</v>
      </c>
      <c r="OA14" s="1" t="s">
        <v>7700</v>
      </c>
      <c r="OB14" s="1" t="s">
        <v>7701</v>
      </c>
      <c r="OC14" s="1" t="s">
        <v>7702</v>
      </c>
      <c r="OD14" s="1" t="s">
        <v>7703</v>
      </c>
      <c r="OE14" s="1" t="s">
        <v>7704</v>
      </c>
      <c r="OF14" s="1" t="s">
        <v>7705</v>
      </c>
      <c r="OG14" s="1" t="s">
        <v>7706</v>
      </c>
      <c r="OH14" s="1" t="s">
        <v>7707</v>
      </c>
      <c r="OI14" s="1" t="s">
        <v>7708</v>
      </c>
      <c r="OJ14" s="1" t="s">
        <v>7709</v>
      </c>
      <c r="OK14" s="1" t="s">
        <v>7710</v>
      </c>
      <c r="OL14" s="1" t="s">
        <v>7711</v>
      </c>
      <c r="OM14" s="1" t="s">
        <v>7712</v>
      </c>
      <c r="ON14" s="1" t="s">
        <v>7713</v>
      </c>
      <c r="OO14" s="1" t="s">
        <v>7714</v>
      </c>
      <c r="OP14" s="1" t="s">
        <v>7715</v>
      </c>
      <c r="OQ14" s="1" t="s">
        <v>7716</v>
      </c>
      <c r="OR14" s="1" t="s">
        <v>7717</v>
      </c>
      <c r="OS14" s="1" t="s">
        <v>7718</v>
      </c>
      <c r="OT14" s="1" t="s">
        <v>7719</v>
      </c>
      <c r="OU14" s="1" t="s">
        <v>7720</v>
      </c>
      <c r="OV14" s="1" t="s">
        <v>7721</v>
      </c>
      <c r="OW14" s="1" t="s">
        <v>7722</v>
      </c>
      <c r="OX14" s="1" t="s">
        <v>7723</v>
      </c>
      <c r="OY14" s="1" t="s">
        <v>7724</v>
      </c>
      <c r="OZ14" s="1" t="s">
        <v>7725</v>
      </c>
      <c r="PA14" s="1" t="s">
        <v>7726</v>
      </c>
      <c r="PB14" s="1" t="s">
        <v>7727</v>
      </c>
      <c r="PC14" s="1" t="s">
        <v>7728</v>
      </c>
      <c r="PD14" s="1" t="s">
        <v>7729</v>
      </c>
      <c r="PE14" s="1" t="s">
        <v>7730</v>
      </c>
      <c r="PF14" s="1" t="s">
        <v>7731</v>
      </c>
      <c r="PG14" s="1" t="s">
        <v>7732</v>
      </c>
      <c r="PH14" s="1" t="s">
        <v>7733</v>
      </c>
      <c r="PI14" s="1" t="s">
        <v>7734</v>
      </c>
      <c r="PJ14" s="1" t="s">
        <v>7735</v>
      </c>
      <c r="PK14" s="1" t="s">
        <v>7736</v>
      </c>
      <c r="PL14" s="1" t="s">
        <v>7737</v>
      </c>
      <c r="PM14" s="1" t="s">
        <v>7738</v>
      </c>
      <c r="PN14" s="1" t="s">
        <v>7739</v>
      </c>
      <c r="PO14" s="1" t="s">
        <v>7740</v>
      </c>
      <c r="PP14" s="1" t="s">
        <v>7741</v>
      </c>
      <c r="PQ14" s="1" t="s">
        <v>7742</v>
      </c>
      <c r="PR14" s="1" t="s">
        <v>7743</v>
      </c>
      <c r="PS14" s="1" t="s">
        <v>7744</v>
      </c>
      <c r="PT14" s="1" t="s">
        <v>7745</v>
      </c>
      <c r="PU14" s="1" t="s">
        <v>7746</v>
      </c>
      <c r="PV14" s="1" t="s">
        <v>7747</v>
      </c>
      <c r="PW14" s="1" t="s">
        <v>7748</v>
      </c>
      <c r="PX14" s="1" t="s">
        <v>7749</v>
      </c>
      <c r="PY14" s="1" t="s">
        <v>7750</v>
      </c>
      <c r="PZ14" s="1" t="s">
        <v>7751</v>
      </c>
      <c r="QA14" s="1" t="s">
        <v>7752</v>
      </c>
      <c r="QB14" s="1" t="s">
        <v>7753</v>
      </c>
      <c r="QC14" s="1" t="s">
        <v>7754</v>
      </c>
      <c r="QD14" s="1" t="s">
        <v>7755</v>
      </c>
      <c r="QE14" s="1" t="s">
        <v>7756</v>
      </c>
      <c r="QF14" s="1" t="s">
        <v>7757</v>
      </c>
      <c r="QG14" s="1" t="s">
        <v>7758</v>
      </c>
      <c r="QH14" s="1" t="s">
        <v>7759</v>
      </c>
      <c r="QI14" s="1" t="s">
        <v>7760</v>
      </c>
      <c r="QJ14" s="1" t="s">
        <v>7761</v>
      </c>
      <c r="QK14" s="1" t="s">
        <v>7762</v>
      </c>
      <c r="QL14" s="1" t="s">
        <v>7763</v>
      </c>
      <c r="QM14" s="1" t="s">
        <v>7764</v>
      </c>
      <c r="QN14" s="1" t="s">
        <v>7765</v>
      </c>
      <c r="QO14" s="1" t="s">
        <v>7766</v>
      </c>
      <c r="QP14" s="1" t="s">
        <v>7767</v>
      </c>
      <c r="QQ14" s="1" t="s">
        <v>7768</v>
      </c>
      <c r="QR14" s="1" t="s">
        <v>7769</v>
      </c>
      <c r="QS14" s="1" t="s">
        <v>7770</v>
      </c>
      <c r="QT14" s="1" t="s">
        <v>7771</v>
      </c>
      <c r="QU14" s="1" t="s">
        <v>7772</v>
      </c>
      <c r="QV14" s="1" t="s">
        <v>7773</v>
      </c>
      <c r="QW14" s="1" t="s">
        <v>7774</v>
      </c>
      <c r="QX14" s="1" t="s">
        <v>7775</v>
      </c>
      <c r="QY14" s="1" t="s">
        <v>7776</v>
      </c>
      <c r="QZ14" s="1" t="s">
        <v>7777</v>
      </c>
      <c r="RA14" s="1" t="s">
        <v>7778</v>
      </c>
      <c r="RB14" s="1" t="s">
        <v>7779</v>
      </c>
      <c r="RC14" s="1" t="s">
        <v>7780</v>
      </c>
      <c r="RD14" s="1" t="s">
        <v>7781</v>
      </c>
      <c r="RE14" s="1" t="s">
        <v>7782</v>
      </c>
      <c r="RF14" s="1" t="s">
        <v>7783</v>
      </c>
      <c r="RG14" s="1" t="s">
        <v>7784</v>
      </c>
      <c r="RH14" s="1" t="s">
        <v>7785</v>
      </c>
      <c r="RI14" s="1" t="s">
        <v>7786</v>
      </c>
      <c r="RJ14" s="1" t="s">
        <v>7787</v>
      </c>
      <c r="RK14" s="1" t="s">
        <v>7788</v>
      </c>
      <c r="RL14" s="1" t="s">
        <v>7789</v>
      </c>
      <c r="RM14" s="1" t="s">
        <v>7790</v>
      </c>
      <c r="RN14" s="1" t="s">
        <v>7791</v>
      </c>
      <c r="RO14" s="1" t="s">
        <v>7792</v>
      </c>
      <c r="RP14" s="1" t="s">
        <v>7793</v>
      </c>
      <c r="RQ14" s="1" t="s">
        <v>7794</v>
      </c>
      <c r="RR14" s="1" t="s">
        <v>7795</v>
      </c>
      <c r="RS14" s="1" t="s">
        <v>7796</v>
      </c>
      <c r="RT14" s="1" t="s">
        <v>7797</v>
      </c>
      <c r="RU14" s="1" t="s">
        <v>7798</v>
      </c>
      <c r="RV14" s="1" t="s">
        <v>7799</v>
      </c>
      <c r="RW14" s="1" t="s">
        <v>7800</v>
      </c>
      <c r="RX14" s="1" t="s">
        <v>7801</v>
      </c>
      <c r="RY14" s="1" t="s">
        <v>7802</v>
      </c>
      <c r="RZ14" s="1" t="s">
        <v>7803</v>
      </c>
      <c r="SA14" s="1" t="s">
        <v>7804</v>
      </c>
      <c r="SB14" s="1" t="s">
        <v>7805</v>
      </c>
      <c r="SC14" s="1" t="s">
        <v>7806</v>
      </c>
      <c r="SD14" s="1" t="s">
        <v>7807</v>
      </c>
      <c r="SE14" s="1" t="s">
        <v>7808</v>
      </c>
      <c r="SF14" s="1" t="s">
        <v>7809</v>
      </c>
      <c r="SG14" s="1" t="s">
        <v>7810</v>
      </c>
      <c r="SH14" s="1" t="s">
        <v>7811</v>
      </c>
      <c r="SI14" s="1" t="s">
        <v>7812</v>
      </c>
      <c r="SJ14" s="1" t="s">
        <v>7813</v>
      </c>
      <c r="SK14" s="1" t="s">
        <v>7814</v>
      </c>
      <c r="SL14" s="1" t="s">
        <v>7815</v>
      </c>
      <c r="SM14" s="1" t="s">
        <v>7816</v>
      </c>
      <c r="SN14" s="1" t="s">
        <v>7817</v>
      </c>
      <c r="SO14" s="1" t="s">
        <v>7818</v>
      </c>
      <c r="SP14" s="1" t="s">
        <v>7819</v>
      </c>
      <c r="SQ14" s="1" t="s">
        <v>7820</v>
      </c>
      <c r="SR14" s="1" t="s">
        <v>7821</v>
      </c>
      <c r="SS14" s="1" t="s">
        <v>7822</v>
      </c>
      <c r="ST14" s="1" t="s">
        <v>7823</v>
      </c>
      <c r="SU14" s="1" t="s">
        <v>7824</v>
      </c>
      <c r="SV14" s="1" t="s">
        <v>7825</v>
      </c>
      <c r="SW14" s="1" t="s">
        <v>7826</v>
      </c>
      <c r="SX14" s="1" t="s">
        <v>7827</v>
      </c>
      <c r="SY14" s="1" t="s">
        <v>7828</v>
      </c>
      <c r="SZ14" s="1" t="s">
        <v>7829</v>
      </c>
      <c r="TA14" s="1" t="s">
        <v>7830</v>
      </c>
      <c r="TB14" s="1" t="s">
        <v>7831</v>
      </c>
      <c r="TC14" s="1" t="s">
        <v>7832</v>
      </c>
      <c r="TD14" s="1" t="s">
        <v>7833</v>
      </c>
      <c r="TE14" s="1" t="s">
        <v>7834</v>
      </c>
      <c r="TF14" s="1" t="s">
        <v>7835</v>
      </c>
      <c r="TG14" s="1" t="s">
        <v>7836</v>
      </c>
      <c r="TH14" s="1" t="s">
        <v>7837</v>
      </c>
      <c r="TI14" s="1" t="s">
        <v>7838</v>
      </c>
      <c r="TJ14" s="1" t="s">
        <v>7839</v>
      </c>
      <c r="TK14" s="1" t="s">
        <v>7840</v>
      </c>
      <c r="TL14" s="1" t="s">
        <v>7841</v>
      </c>
      <c r="TM14" s="1" t="s">
        <v>7842</v>
      </c>
      <c r="TN14" s="1" t="s">
        <v>7843</v>
      </c>
      <c r="TO14" s="1" t="s">
        <v>7844</v>
      </c>
      <c r="TP14" s="1" t="s">
        <v>7845</v>
      </c>
      <c r="TQ14" s="1" t="s">
        <v>7846</v>
      </c>
      <c r="TR14" s="1" t="s">
        <v>7847</v>
      </c>
      <c r="TS14" s="1" t="s">
        <v>7848</v>
      </c>
      <c r="TT14" s="1" t="s">
        <v>7849</v>
      </c>
      <c r="TU14" s="1" t="s">
        <v>7850</v>
      </c>
      <c r="TV14" s="1" t="s">
        <v>7851</v>
      </c>
      <c r="TW14" s="1" t="s">
        <v>7852</v>
      </c>
      <c r="TX14" s="1" t="s">
        <v>7853</v>
      </c>
      <c r="TY14" s="1" t="s">
        <v>7854</v>
      </c>
      <c r="TZ14" s="1" t="s">
        <v>7855</v>
      </c>
      <c r="UA14" s="1" t="s">
        <v>7856</v>
      </c>
      <c r="UB14" s="1" t="s">
        <v>7857</v>
      </c>
      <c r="UC14" s="1" t="s">
        <v>7858</v>
      </c>
      <c r="UD14" s="1" t="s">
        <v>7859</v>
      </c>
      <c r="UE14" s="1" t="s">
        <v>7860</v>
      </c>
      <c r="UF14" s="1" t="s">
        <v>7861</v>
      </c>
      <c r="UG14" s="1" t="s">
        <v>7862</v>
      </c>
      <c r="UH14" s="1" t="s">
        <v>7863</v>
      </c>
      <c r="UI14" s="1" t="s">
        <v>7864</v>
      </c>
      <c r="UJ14" s="1" t="s">
        <v>7865</v>
      </c>
      <c r="UK14" s="1" t="s">
        <v>7866</v>
      </c>
      <c r="UL14" s="1" t="s">
        <v>7867</v>
      </c>
      <c r="UM14" s="1" t="s">
        <v>7868</v>
      </c>
      <c r="UN14" s="1" t="s">
        <v>7869</v>
      </c>
      <c r="UO14" s="1" t="s">
        <v>7870</v>
      </c>
      <c r="UP14" s="1" t="s">
        <v>7871</v>
      </c>
      <c r="UQ14" s="1" t="s">
        <v>7872</v>
      </c>
      <c r="UR14" s="1" t="s">
        <v>7873</v>
      </c>
      <c r="US14" s="1" t="s">
        <v>7874</v>
      </c>
      <c r="UT14" s="1" t="s">
        <v>7875</v>
      </c>
      <c r="UU14" s="1" t="s">
        <v>7876</v>
      </c>
      <c r="UV14" s="1" t="s">
        <v>7877</v>
      </c>
      <c r="UW14" s="1" t="s">
        <v>7878</v>
      </c>
      <c r="UX14" s="1" t="s">
        <v>7879</v>
      </c>
      <c r="UY14" s="1" t="s">
        <v>7880</v>
      </c>
      <c r="UZ14" s="1" t="s">
        <v>7881</v>
      </c>
      <c r="VA14" s="1" t="s">
        <v>7882</v>
      </c>
      <c r="VB14" s="1" t="s">
        <v>7883</v>
      </c>
      <c r="VC14" s="1" t="s">
        <v>7884</v>
      </c>
      <c r="VD14" s="1" t="s">
        <v>7885</v>
      </c>
      <c r="VE14" s="1" t="s">
        <v>7886</v>
      </c>
      <c r="VF14" s="1" t="s">
        <v>7887</v>
      </c>
      <c r="VG14" s="1" t="s">
        <v>7888</v>
      </c>
      <c r="VH14" s="1" t="s">
        <v>7889</v>
      </c>
      <c r="VI14" s="1" t="s">
        <v>7890</v>
      </c>
      <c r="VJ14" s="1" t="s">
        <v>7891</v>
      </c>
      <c r="VK14" s="1" t="s">
        <v>7892</v>
      </c>
      <c r="VL14" s="1" t="s">
        <v>7893</v>
      </c>
      <c r="VM14" s="1" t="s">
        <v>7894</v>
      </c>
      <c r="VN14" s="1" t="s">
        <v>7895</v>
      </c>
      <c r="VO14" s="1" t="s">
        <v>7896</v>
      </c>
      <c r="VP14" s="1" t="s">
        <v>7897</v>
      </c>
      <c r="VQ14" s="1" t="s">
        <v>7898</v>
      </c>
      <c r="VR14" s="1" t="s">
        <v>7899</v>
      </c>
      <c r="VS14" s="1" t="s">
        <v>7900</v>
      </c>
      <c r="VT14" s="1" t="s">
        <v>7901</v>
      </c>
      <c r="VU14" s="1" t="s">
        <v>7902</v>
      </c>
      <c r="VV14" s="1" t="s">
        <v>7903</v>
      </c>
      <c r="VW14" s="1" t="s">
        <v>7904</v>
      </c>
      <c r="VX14" s="1" t="s">
        <v>7905</v>
      </c>
      <c r="VY14" s="1" t="s">
        <v>7906</v>
      </c>
      <c r="VZ14" s="1" t="s">
        <v>7907</v>
      </c>
      <c r="WA14" s="1" t="s">
        <v>7908</v>
      </c>
      <c r="WB14" s="1" t="s">
        <v>7909</v>
      </c>
      <c r="WC14" s="1" t="s">
        <v>7910</v>
      </c>
      <c r="WD14" s="1" t="s">
        <v>7911</v>
      </c>
      <c r="WE14" s="1" t="s">
        <v>7912</v>
      </c>
      <c r="WF14" s="1" t="s">
        <v>7913</v>
      </c>
      <c r="WG14" s="1" t="s">
        <v>7914</v>
      </c>
      <c r="WH14" s="1" t="s">
        <v>7915</v>
      </c>
      <c r="WI14" s="1" t="s">
        <v>7916</v>
      </c>
      <c r="WJ14" s="1" t="s">
        <v>7917</v>
      </c>
      <c r="WK14" s="1" t="s">
        <v>7918</v>
      </c>
      <c r="WL14" s="1" t="s">
        <v>7919</v>
      </c>
      <c r="WM14" s="1" t="s">
        <v>7920</v>
      </c>
      <c r="WN14" s="1" t="s">
        <v>7921</v>
      </c>
      <c r="WO14" s="1" t="s">
        <v>7922</v>
      </c>
      <c r="WP14" s="1" t="s">
        <v>7923</v>
      </c>
      <c r="WQ14" s="1" t="s">
        <v>7924</v>
      </c>
      <c r="WR14" s="1" t="s">
        <v>7925</v>
      </c>
      <c r="WS14" s="1" t="s">
        <v>7926</v>
      </c>
      <c r="WT14" s="1" t="s">
        <v>7927</v>
      </c>
      <c r="WU14" s="1" t="s">
        <v>7928</v>
      </c>
      <c r="WV14" s="1" t="s">
        <v>7929</v>
      </c>
      <c r="WW14" s="1" t="s">
        <v>7930</v>
      </c>
      <c r="WX14" s="1" t="s">
        <v>7931</v>
      </c>
      <c r="WY14" s="1" t="s">
        <v>7932</v>
      </c>
      <c r="WZ14" s="1" t="s">
        <v>7933</v>
      </c>
      <c r="XA14" s="1" t="s">
        <v>7934</v>
      </c>
      <c r="XB14" s="1" t="s">
        <v>7935</v>
      </c>
      <c r="XC14" s="1" t="s">
        <v>7936</v>
      </c>
      <c r="XD14" s="1" t="s">
        <v>7937</v>
      </c>
      <c r="XE14" s="1" t="s">
        <v>7938</v>
      </c>
      <c r="XF14" s="1" t="s">
        <v>7939</v>
      </c>
      <c r="XG14" s="1" t="s">
        <v>7940</v>
      </c>
      <c r="XH14" s="1" t="s">
        <v>7941</v>
      </c>
      <c r="XI14" s="1" t="s">
        <v>7942</v>
      </c>
      <c r="XJ14" s="1" t="s">
        <v>7943</v>
      </c>
      <c r="XK14" s="1" t="s">
        <v>7944</v>
      </c>
      <c r="XL14" s="1" t="s">
        <v>7945</v>
      </c>
      <c r="XM14" s="1" t="s">
        <v>7946</v>
      </c>
      <c r="XN14" s="1" t="s">
        <v>7947</v>
      </c>
      <c r="XO14" s="1" t="s">
        <v>7948</v>
      </c>
      <c r="XP14" s="1" t="s">
        <v>7949</v>
      </c>
      <c r="XQ14" s="1" t="s">
        <v>7950</v>
      </c>
      <c r="XR14" s="1" t="s">
        <v>7951</v>
      </c>
      <c r="XS14" s="1" t="s">
        <v>7952</v>
      </c>
      <c r="XT14" s="1" t="s">
        <v>7953</v>
      </c>
      <c r="XU14" s="1" t="s">
        <v>7954</v>
      </c>
      <c r="XV14" s="1" t="s">
        <v>7955</v>
      </c>
      <c r="XW14" s="1" t="s">
        <v>7956</v>
      </c>
      <c r="XX14" s="1" t="s">
        <v>7957</v>
      </c>
      <c r="XY14" s="1" t="s">
        <v>7958</v>
      </c>
      <c r="XZ14" s="1" t="s">
        <v>7959</v>
      </c>
      <c r="YA14" s="1" t="s">
        <v>7960</v>
      </c>
      <c r="YB14" s="1" t="s">
        <v>7961</v>
      </c>
      <c r="YC14" s="1" t="s">
        <v>7962</v>
      </c>
      <c r="YD14" s="1" t="s">
        <v>7963</v>
      </c>
      <c r="YE14" s="1" t="s">
        <v>7964</v>
      </c>
      <c r="YF14" s="1" t="s">
        <v>7965</v>
      </c>
      <c r="YG14" s="1" t="s">
        <v>7966</v>
      </c>
      <c r="YH14" s="1" t="s">
        <v>7967</v>
      </c>
      <c r="YI14" s="1" t="s">
        <v>7968</v>
      </c>
      <c r="YJ14" s="1" t="s">
        <v>7969</v>
      </c>
      <c r="YK14" s="1" t="s">
        <v>7970</v>
      </c>
      <c r="YL14" s="1" t="s">
        <v>7971</v>
      </c>
      <c r="YM14" s="1" t="s">
        <v>7972</v>
      </c>
      <c r="YN14" s="1" t="s">
        <v>7973</v>
      </c>
      <c r="YO14" s="1" t="s">
        <v>7974</v>
      </c>
      <c r="YP14" s="1" t="s">
        <v>7975</v>
      </c>
      <c r="YQ14" s="1" t="s">
        <v>7976</v>
      </c>
      <c r="YR14" s="1" t="s">
        <v>7977</v>
      </c>
      <c r="YS14" s="1" t="s">
        <v>7978</v>
      </c>
      <c r="YT14" s="1" t="s">
        <v>7979</v>
      </c>
      <c r="YU14" s="1" t="s">
        <v>7980</v>
      </c>
      <c r="YV14" s="1" t="s">
        <v>7981</v>
      </c>
      <c r="YW14" s="1" t="s">
        <v>7982</v>
      </c>
      <c r="YX14" s="1" t="s">
        <v>7983</v>
      </c>
      <c r="YY14" s="1" t="s">
        <v>7984</v>
      </c>
      <c r="YZ14" s="1" t="s">
        <v>7985</v>
      </c>
      <c r="ZA14" s="1" t="s">
        <v>7986</v>
      </c>
      <c r="ZB14" s="1" t="s">
        <v>7987</v>
      </c>
      <c r="ZC14" s="1" t="s">
        <v>7988</v>
      </c>
      <c r="ZD14" s="1" t="s">
        <v>7989</v>
      </c>
      <c r="ZE14" s="1" t="s">
        <v>7990</v>
      </c>
      <c r="ZF14" s="1" t="s">
        <v>7991</v>
      </c>
      <c r="ZG14" s="1" t="s">
        <v>7992</v>
      </c>
      <c r="ZH14" s="1" t="s">
        <v>7993</v>
      </c>
      <c r="ZI14" s="1" t="s">
        <v>7994</v>
      </c>
      <c r="ZJ14" s="1" t="s">
        <v>7995</v>
      </c>
      <c r="ZK14" s="1" t="s">
        <v>7996</v>
      </c>
      <c r="ZL14" s="1" t="s">
        <v>7997</v>
      </c>
      <c r="ZM14" s="1" t="s">
        <v>7998</v>
      </c>
      <c r="ZN14" s="1" t="s">
        <v>7999</v>
      </c>
      <c r="ZO14" s="1" t="s">
        <v>8000</v>
      </c>
      <c r="ZP14" s="1" t="s">
        <v>8001</v>
      </c>
      <c r="ZQ14" s="1" t="s">
        <v>8002</v>
      </c>
      <c r="ZR14" s="1" t="s">
        <v>8003</v>
      </c>
      <c r="ZS14" s="1" t="s">
        <v>8004</v>
      </c>
      <c r="ZT14" s="1" t="s">
        <v>8005</v>
      </c>
      <c r="ZU14" s="1" t="s">
        <v>8006</v>
      </c>
      <c r="ZV14" s="1" t="s">
        <v>8007</v>
      </c>
      <c r="ZW14" s="1" t="s">
        <v>8008</v>
      </c>
      <c r="ZX14" s="1" t="s">
        <v>8009</v>
      </c>
      <c r="ZY14" s="1" t="s">
        <v>8010</v>
      </c>
      <c r="ZZ14" s="1" t="s">
        <v>8011</v>
      </c>
      <c r="AAA14" s="1" t="s">
        <v>8012</v>
      </c>
      <c r="AAB14" s="1" t="s">
        <v>8013</v>
      </c>
      <c r="AAC14" s="1" t="s">
        <v>8014</v>
      </c>
      <c r="AAD14" s="1" t="s">
        <v>8015</v>
      </c>
      <c r="AAE14" s="1" t="s">
        <v>8016</v>
      </c>
      <c r="AAF14" s="1" t="s">
        <v>8017</v>
      </c>
      <c r="AAG14" s="1" t="s">
        <v>8018</v>
      </c>
      <c r="AAH14" s="1" t="s">
        <v>8019</v>
      </c>
      <c r="AAI14" s="1" t="s">
        <v>8020</v>
      </c>
      <c r="AAJ14" s="1" t="s">
        <v>8021</v>
      </c>
      <c r="AAK14" s="1" t="s">
        <v>8022</v>
      </c>
      <c r="AAL14" s="1" t="s">
        <v>8023</v>
      </c>
      <c r="AAM14" s="1" t="s">
        <v>8024</v>
      </c>
      <c r="AAN14" s="1" t="s">
        <v>8025</v>
      </c>
      <c r="AAO14" s="1" t="s">
        <v>8026</v>
      </c>
      <c r="AAP14" s="1" t="s">
        <v>8027</v>
      </c>
      <c r="AAQ14" s="1" t="s">
        <v>8028</v>
      </c>
      <c r="AAR14" s="1" t="s">
        <v>8029</v>
      </c>
      <c r="AAS14" s="1" t="s">
        <v>8030</v>
      </c>
      <c r="AAT14" s="1" t="s">
        <v>8031</v>
      </c>
      <c r="AAU14" s="1" t="s">
        <v>8032</v>
      </c>
      <c r="AAV14" s="1" t="s">
        <v>8033</v>
      </c>
      <c r="AAW14" s="1" t="s">
        <v>8034</v>
      </c>
      <c r="AAX14" s="1" t="s">
        <v>8035</v>
      </c>
      <c r="AAY14" s="1" t="s">
        <v>8036</v>
      </c>
      <c r="AAZ14" s="1" t="s">
        <v>8037</v>
      </c>
      <c r="ABA14" s="1" t="s">
        <v>8038</v>
      </c>
      <c r="ABB14" s="1" t="s">
        <v>8039</v>
      </c>
      <c r="ABC14" s="1" t="s">
        <v>8040</v>
      </c>
      <c r="ABD14" s="1" t="s">
        <v>8041</v>
      </c>
      <c r="ABE14" s="1" t="s">
        <v>8042</v>
      </c>
      <c r="ABF14" s="1" t="s">
        <v>8043</v>
      </c>
      <c r="ABG14" s="1" t="s">
        <v>8044</v>
      </c>
      <c r="ABH14" s="1" t="s">
        <v>8045</v>
      </c>
      <c r="ABI14" s="1" t="s">
        <v>8046</v>
      </c>
      <c r="ABJ14" s="1" t="s">
        <v>8047</v>
      </c>
      <c r="ABK14" s="1" t="s">
        <v>8048</v>
      </c>
      <c r="ABL14" s="1" t="s">
        <v>8049</v>
      </c>
      <c r="ABM14" s="1" t="s">
        <v>8050</v>
      </c>
      <c r="ABN14" s="1" t="s">
        <v>8051</v>
      </c>
      <c r="ABO14" s="1" t="s">
        <v>8052</v>
      </c>
      <c r="ABP14" s="1" t="s">
        <v>8053</v>
      </c>
      <c r="ABQ14" s="1" t="s">
        <v>8054</v>
      </c>
      <c r="ABR14" s="1" t="s">
        <v>8055</v>
      </c>
      <c r="ABS14" s="1" t="s">
        <v>8056</v>
      </c>
      <c r="ABT14" s="1" t="s">
        <v>8057</v>
      </c>
      <c r="ABU14" s="1" t="s">
        <v>8058</v>
      </c>
      <c r="ABV14" s="1" t="s">
        <v>8059</v>
      </c>
      <c r="ABW14" s="1" t="s">
        <v>8060</v>
      </c>
      <c r="ABX14" s="1" t="s">
        <v>8061</v>
      </c>
      <c r="ABY14" s="1" t="s">
        <v>8062</v>
      </c>
      <c r="ABZ14" s="1" t="s">
        <v>8063</v>
      </c>
      <c r="ACA14" s="1" t="s">
        <v>8064</v>
      </c>
      <c r="ACB14" s="1" t="s">
        <v>8065</v>
      </c>
      <c r="ACC14" s="1" t="s">
        <v>8066</v>
      </c>
      <c r="ACD14" s="1" t="s">
        <v>8067</v>
      </c>
      <c r="ACE14" s="1" t="s">
        <v>8068</v>
      </c>
      <c r="ACF14" s="1" t="s">
        <v>8069</v>
      </c>
      <c r="ACG14" s="1" t="s">
        <v>8070</v>
      </c>
      <c r="ACH14" s="1" t="s">
        <v>8071</v>
      </c>
      <c r="ACI14" s="1" t="s">
        <v>8072</v>
      </c>
      <c r="ACJ14" s="1" t="s">
        <v>8073</v>
      </c>
      <c r="ACK14" s="1" t="s">
        <v>8074</v>
      </c>
      <c r="ACL14" s="1" t="s">
        <v>8075</v>
      </c>
      <c r="ACM14" s="1" t="s">
        <v>8076</v>
      </c>
      <c r="ACN14" s="1" t="s">
        <v>8077</v>
      </c>
      <c r="ACO14" s="1" t="s">
        <v>8078</v>
      </c>
      <c r="ACP14" s="1" t="s">
        <v>8079</v>
      </c>
      <c r="ACQ14" s="1" t="s">
        <v>8080</v>
      </c>
      <c r="ACR14" s="1" t="s">
        <v>8081</v>
      </c>
      <c r="ACS14" s="1" t="s">
        <v>8082</v>
      </c>
      <c r="ACT14" s="1" t="s">
        <v>8083</v>
      </c>
      <c r="ACU14" s="1" t="s">
        <v>8084</v>
      </c>
      <c r="ACV14" s="1" t="s">
        <v>8085</v>
      </c>
      <c r="ACW14" s="1" t="s">
        <v>8086</v>
      </c>
      <c r="ACX14" s="1" t="s">
        <v>8087</v>
      </c>
      <c r="ACY14" s="1" t="s">
        <v>8088</v>
      </c>
      <c r="ACZ14" s="1" t="s">
        <v>8089</v>
      </c>
      <c r="ADA14" s="1" t="s">
        <v>8090</v>
      </c>
      <c r="ADB14" s="1" t="s">
        <v>8091</v>
      </c>
      <c r="ADC14" s="1" t="s">
        <v>8092</v>
      </c>
      <c r="ADD14" s="1" t="s">
        <v>8093</v>
      </c>
      <c r="ADE14" s="1" t="s">
        <v>8094</v>
      </c>
      <c r="ADF14" s="1" t="s">
        <v>8095</v>
      </c>
      <c r="ADG14" s="1" t="s">
        <v>8096</v>
      </c>
      <c r="ADH14" s="1" t="s">
        <v>8097</v>
      </c>
      <c r="ADI14" s="1" t="s">
        <v>8098</v>
      </c>
      <c r="ADJ14" s="1" t="s">
        <v>8099</v>
      </c>
      <c r="ADK14" s="1" t="s">
        <v>8100</v>
      </c>
      <c r="ADL14" s="1" t="s">
        <v>8101</v>
      </c>
      <c r="ADM14" s="1" t="s">
        <v>8102</v>
      </c>
      <c r="ADN14" s="1" t="s">
        <v>8103</v>
      </c>
      <c r="ADO14" s="1" t="s">
        <v>8104</v>
      </c>
      <c r="ADP14" s="1" t="s">
        <v>8105</v>
      </c>
      <c r="ADQ14" s="1" t="s">
        <v>8106</v>
      </c>
      <c r="ADR14" s="1" t="s">
        <v>8107</v>
      </c>
      <c r="ADS14" s="1" t="s">
        <v>8108</v>
      </c>
      <c r="ADT14" s="1" t="s">
        <v>8109</v>
      </c>
      <c r="ADU14" s="1" t="s">
        <v>8110</v>
      </c>
      <c r="ADV14" s="1" t="s">
        <v>8111</v>
      </c>
      <c r="ADW14" s="1" t="s">
        <v>8112</v>
      </c>
      <c r="ADX14" s="1" t="s">
        <v>8113</v>
      </c>
      <c r="ADY14" s="1" t="s">
        <v>8114</v>
      </c>
      <c r="ADZ14" s="1" t="s">
        <v>8115</v>
      </c>
      <c r="AEA14" s="1" t="s">
        <v>8116</v>
      </c>
      <c r="AEB14" s="1" t="s">
        <v>8117</v>
      </c>
      <c r="AEC14" s="1" t="s">
        <v>8118</v>
      </c>
      <c r="AED14" s="1" t="s">
        <v>8119</v>
      </c>
      <c r="AEE14" s="1" t="s">
        <v>8120</v>
      </c>
      <c r="AEF14" s="1" t="s">
        <v>8121</v>
      </c>
      <c r="AEG14" s="1" t="s">
        <v>8122</v>
      </c>
      <c r="AEH14" s="1" t="s">
        <v>8123</v>
      </c>
      <c r="AEI14" s="1" t="s">
        <v>8124</v>
      </c>
      <c r="AEJ14" s="1" t="s">
        <v>8125</v>
      </c>
      <c r="AEK14" s="1" t="s">
        <v>8126</v>
      </c>
      <c r="AEL14" s="1" t="s">
        <v>8127</v>
      </c>
      <c r="AEM14" s="1" t="s">
        <v>8128</v>
      </c>
      <c r="AEN14" s="1" t="s">
        <v>8129</v>
      </c>
      <c r="AEO14" s="1" t="s">
        <v>8130</v>
      </c>
      <c r="AEP14" s="1" t="s">
        <v>8131</v>
      </c>
      <c r="AEQ14" s="1" t="s">
        <v>8132</v>
      </c>
      <c r="AER14" s="1" t="s">
        <v>8133</v>
      </c>
      <c r="AES14" s="1" t="s">
        <v>8134</v>
      </c>
      <c r="AET14" s="1" t="s">
        <v>8135</v>
      </c>
      <c r="AEU14" s="1" t="s">
        <v>8136</v>
      </c>
      <c r="AEV14" s="1" t="s">
        <v>8137</v>
      </c>
      <c r="AEW14" s="1" t="s">
        <v>8138</v>
      </c>
      <c r="AEX14" s="1" t="s">
        <v>8139</v>
      </c>
      <c r="AEY14" s="1" t="s">
        <v>8140</v>
      </c>
      <c r="AEZ14" s="1" t="s">
        <v>8141</v>
      </c>
      <c r="AFA14" s="1" t="s">
        <v>8142</v>
      </c>
      <c r="AFB14" s="1" t="s">
        <v>8143</v>
      </c>
      <c r="AFC14" s="1" t="s">
        <v>8144</v>
      </c>
      <c r="AFD14" s="1" t="s">
        <v>8145</v>
      </c>
      <c r="AFE14" s="1" t="s">
        <v>8146</v>
      </c>
      <c r="AFF14" s="1" t="s">
        <v>8147</v>
      </c>
      <c r="AFG14" s="1" t="s">
        <v>8148</v>
      </c>
      <c r="AFH14" s="1" t="s">
        <v>8149</v>
      </c>
      <c r="AFI14" s="1" t="s">
        <v>8150</v>
      </c>
      <c r="AFJ14" s="1" t="s">
        <v>8151</v>
      </c>
      <c r="AFK14" s="1" t="s">
        <v>8152</v>
      </c>
      <c r="AFL14" s="1" t="s">
        <v>8153</v>
      </c>
      <c r="AFM14" s="1" t="s">
        <v>8154</v>
      </c>
      <c r="AFN14" s="1" t="s">
        <v>8155</v>
      </c>
      <c r="AFO14" s="1" t="s">
        <v>8156</v>
      </c>
      <c r="AFP14" s="1" t="s">
        <v>8157</v>
      </c>
      <c r="AFQ14" s="1" t="s">
        <v>8158</v>
      </c>
      <c r="AFR14" s="1" t="s">
        <v>8159</v>
      </c>
      <c r="AFS14" s="1" t="s">
        <v>8160</v>
      </c>
      <c r="AFT14" s="1" t="s">
        <v>8161</v>
      </c>
      <c r="AFU14" s="1" t="s">
        <v>8162</v>
      </c>
      <c r="AFV14" s="1" t="s">
        <v>8163</v>
      </c>
      <c r="AFW14" s="1" t="s">
        <v>8164</v>
      </c>
      <c r="AFX14" s="1" t="s">
        <v>8165</v>
      </c>
      <c r="AFY14" s="1" t="s">
        <v>8166</v>
      </c>
      <c r="AFZ14" s="1" t="s">
        <v>8167</v>
      </c>
      <c r="AGA14" s="1" t="s">
        <v>8168</v>
      </c>
      <c r="AGB14" s="1" t="s">
        <v>8169</v>
      </c>
      <c r="AGC14" s="1" t="s">
        <v>8170</v>
      </c>
      <c r="AGD14" s="1" t="s">
        <v>8171</v>
      </c>
      <c r="AGE14" s="1" t="s">
        <v>8172</v>
      </c>
      <c r="AGF14" s="1" t="s">
        <v>8173</v>
      </c>
      <c r="AGG14" s="1" t="s">
        <v>8174</v>
      </c>
      <c r="AGH14" s="1048"/>
    </row>
    <row r="15" spans="1:867" ht="27.95" customHeight="1">
      <c r="A15" s="1056" t="s">
        <v>6456</v>
      </c>
      <c r="B15" s="1057" t="s">
        <v>8175</v>
      </c>
      <c r="C15" s="1058"/>
      <c r="D15" s="1059" t="s">
        <v>8176</v>
      </c>
      <c r="E15" s="1059" t="s">
        <v>8177</v>
      </c>
      <c r="F15" s="1056" t="s">
        <v>8178</v>
      </c>
      <c r="G15" s="1056" t="s">
        <v>8179</v>
      </c>
      <c r="H15" s="1056" t="s">
        <v>8180</v>
      </c>
      <c r="I15" s="1056" t="s">
        <v>8181</v>
      </c>
      <c r="J15" s="1056" t="s">
        <v>8182</v>
      </c>
      <c r="K15" s="1" t="s">
        <v>8183</v>
      </c>
      <c r="L15" s="1" t="s">
        <v>8184</v>
      </c>
      <c r="M15" s="1" t="s">
        <v>8185</v>
      </c>
      <c r="N15" s="1" t="s">
        <v>8186</v>
      </c>
      <c r="O15" s="1" t="s">
        <v>8187</v>
      </c>
      <c r="P15" s="1" t="s">
        <v>8188</v>
      </c>
      <c r="Q15" s="1" t="s">
        <v>8189</v>
      </c>
      <c r="R15" s="1" t="s">
        <v>8190</v>
      </c>
      <c r="S15" s="1" t="s">
        <v>8191</v>
      </c>
      <c r="T15" s="1" t="s">
        <v>8192</v>
      </c>
      <c r="U15" s="1" t="s">
        <v>8193</v>
      </c>
      <c r="V15" s="1" t="s">
        <v>8194</v>
      </c>
      <c r="W15" s="1" t="s">
        <v>8195</v>
      </c>
      <c r="X15" s="1" t="s">
        <v>8196</v>
      </c>
      <c r="Y15" s="1" t="s">
        <v>8197</v>
      </c>
      <c r="Z15" s="1" t="s">
        <v>8198</v>
      </c>
      <c r="AA15" s="1" t="s">
        <v>8199</v>
      </c>
      <c r="AB15" s="1" t="s">
        <v>8200</v>
      </c>
      <c r="AC15" s="1" t="s">
        <v>8201</v>
      </c>
      <c r="AD15" s="1" t="s">
        <v>8202</v>
      </c>
      <c r="AE15" s="1" t="s">
        <v>8203</v>
      </c>
      <c r="AF15" s="1" t="s">
        <v>8204</v>
      </c>
      <c r="AG15" s="1" t="s">
        <v>8205</v>
      </c>
      <c r="AH15" s="1" t="s">
        <v>8206</v>
      </c>
      <c r="AI15" s="1" t="s">
        <v>8207</v>
      </c>
      <c r="AJ15" s="1" t="s">
        <v>8208</v>
      </c>
      <c r="AK15" s="1" t="s">
        <v>8209</v>
      </c>
      <c r="AL15" s="1" t="s">
        <v>8210</v>
      </c>
      <c r="AM15" s="1" t="s">
        <v>8211</v>
      </c>
      <c r="AN15" s="1" t="s">
        <v>8212</v>
      </c>
      <c r="AO15" s="1" t="s">
        <v>8213</v>
      </c>
      <c r="AP15" s="1" t="s">
        <v>8214</v>
      </c>
      <c r="AQ15" s="1" t="s">
        <v>8215</v>
      </c>
      <c r="AR15" s="1" t="s">
        <v>8216</v>
      </c>
      <c r="AS15" s="1" t="s">
        <v>8217</v>
      </c>
      <c r="AT15" s="1" t="s">
        <v>8218</v>
      </c>
      <c r="AU15" s="1" t="s">
        <v>8219</v>
      </c>
      <c r="AV15" s="1" t="s">
        <v>8220</v>
      </c>
      <c r="AW15" s="1" t="s">
        <v>8221</v>
      </c>
      <c r="AX15" s="1" t="s">
        <v>8222</v>
      </c>
      <c r="AY15" s="1" t="s">
        <v>8223</v>
      </c>
      <c r="AZ15" s="1" t="s">
        <v>8224</v>
      </c>
      <c r="BA15" s="1" t="s">
        <v>8225</v>
      </c>
      <c r="BB15" s="1" t="s">
        <v>8226</v>
      </c>
      <c r="BC15" s="1" t="s">
        <v>8227</v>
      </c>
      <c r="BD15" s="1" t="s">
        <v>8228</v>
      </c>
      <c r="BE15" s="1" t="s">
        <v>8229</v>
      </c>
      <c r="BF15" s="1" t="s">
        <v>8230</v>
      </c>
      <c r="BG15" s="1" t="s">
        <v>8231</v>
      </c>
      <c r="BH15" s="1" t="s">
        <v>8232</v>
      </c>
      <c r="BI15" s="1" t="s">
        <v>8233</v>
      </c>
      <c r="BJ15" s="1" t="s">
        <v>8234</v>
      </c>
      <c r="BK15" s="1" t="s">
        <v>8235</v>
      </c>
      <c r="BL15" s="1" t="s">
        <v>8236</v>
      </c>
      <c r="BM15" s="1" t="s">
        <v>8237</v>
      </c>
      <c r="BN15" s="1" t="s">
        <v>8238</v>
      </c>
      <c r="BO15" s="1" t="s">
        <v>8239</v>
      </c>
      <c r="BP15" s="1" t="s">
        <v>8240</v>
      </c>
      <c r="BQ15" s="1" t="s">
        <v>8241</v>
      </c>
      <c r="BR15" s="1" t="s">
        <v>8242</v>
      </c>
      <c r="BS15" s="1" t="s">
        <v>8243</v>
      </c>
      <c r="BT15" s="1" t="s">
        <v>8244</v>
      </c>
      <c r="BU15" s="1" t="s">
        <v>8245</v>
      </c>
      <c r="BV15" s="1060" t="s">
        <v>8246</v>
      </c>
      <c r="BW15" s="1" t="s">
        <v>8246</v>
      </c>
      <c r="BX15" s="1" t="s">
        <v>8246</v>
      </c>
      <c r="BY15" s="1" t="s">
        <v>8246</v>
      </c>
      <c r="BZ15" s="1" t="s">
        <v>8246</v>
      </c>
      <c r="CA15" s="1" t="s">
        <v>8246</v>
      </c>
      <c r="CB15" s="1" t="s">
        <v>8246</v>
      </c>
      <c r="CC15" s="1" t="s">
        <v>8246</v>
      </c>
      <c r="CD15" s="1" t="s">
        <v>8246</v>
      </c>
      <c r="CE15" s="1" t="s">
        <v>8246</v>
      </c>
      <c r="CF15" s="1" t="s">
        <v>8246</v>
      </c>
      <c r="CG15" s="1" t="s">
        <v>8246</v>
      </c>
      <c r="CH15" s="1" t="s">
        <v>8246</v>
      </c>
      <c r="CI15" s="1" t="s">
        <v>8246</v>
      </c>
      <c r="CJ15" s="1" t="s">
        <v>8246</v>
      </c>
      <c r="CK15" s="1" t="s">
        <v>8246</v>
      </c>
      <c r="CL15" s="1" t="s">
        <v>8246</v>
      </c>
      <c r="CM15" s="1" t="s">
        <v>8246</v>
      </c>
      <c r="CN15" s="1" t="s">
        <v>8246</v>
      </c>
      <c r="CO15" s="1" t="s">
        <v>8246</v>
      </c>
      <c r="CP15" s="1" t="s">
        <v>8246</v>
      </c>
      <c r="CQ15" s="1" t="s">
        <v>8246</v>
      </c>
      <c r="CR15" s="1" t="s">
        <v>8246</v>
      </c>
      <c r="CS15" s="1" t="s">
        <v>8246</v>
      </c>
      <c r="CT15" s="1" t="s">
        <v>8246</v>
      </c>
      <c r="CU15" s="1" t="s">
        <v>8246</v>
      </c>
      <c r="CV15" s="1" t="s">
        <v>8246</v>
      </c>
      <c r="CW15" s="1" t="s">
        <v>8246</v>
      </c>
      <c r="CX15" s="1" t="s">
        <v>8246</v>
      </c>
      <c r="CY15" s="1" t="s">
        <v>8246</v>
      </c>
      <c r="CZ15" s="1" t="s">
        <v>8246</v>
      </c>
      <c r="DA15" s="1" t="s">
        <v>8246</v>
      </c>
      <c r="DB15" s="1" t="s">
        <v>8246</v>
      </c>
      <c r="DC15" s="1" t="s">
        <v>8246</v>
      </c>
      <c r="DD15" s="1" t="s">
        <v>8246</v>
      </c>
      <c r="DE15" s="1" t="s">
        <v>8246</v>
      </c>
      <c r="DF15" s="1" t="s">
        <v>8246</v>
      </c>
      <c r="DG15" s="1" t="s">
        <v>8246</v>
      </c>
      <c r="DH15" s="1" t="s">
        <v>8246</v>
      </c>
      <c r="DI15" s="1" t="s">
        <v>8246</v>
      </c>
      <c r="DJ15" s="1" t="s">
        <v>8246</v>
      </c>
      <c r="DK15" s="1" t="s">
        <v>8246</v>
      </c>
      <c r="DL15" s="1" t="s">
        <v>8246</v>
      </c>
      <c r="DM15" s="1" t="s">
        <v>8246</v>
      </c>
      <c r="DN15" s="1" t="s">
        <v>8246</v>
      </c>
      <c r="DO15" s="1" t="s">
        <v>8246</v>
      </c>
      <c r="DP15" s="1" t="s">
        <v>8246</v>
      </c>
      <c r="DQ15" s="1" t="s">
        <v>8246</v>
      </c>
      <c r="DR15" s="1" t="s">
        <v>8246</v>
      </c>
      <c r="DS15" s="1" t="s">
        <v>8246</v>
      </c>
      <c r="DT15" s="1" t="s">
        <v>8246</v>
      </c>
      <c r="DU15" s="1" t="s">
        <v>8246</v>
      </c>
      <c r="DV15" s="1" t="s">
        <v>8246</v>
      </c>
      <c r="DW15" s="1" t="s">
        <v>8246</v>
      </c>
      <c r="DX15" s="1" t="s">
        <v>8246</v>
      </c>
      <c r="DY15" s="1" t="s">
        <v>8246</v>
      </c>
      <c r="DZ15" s="1" t="s">
        <v>8246</v>
      </c>
      <c r="EA15" s="1" t="s">
        <v>8246</v>
      </c>
      <c r="EB15" s="1" t="s">
        <v>8246</v>
      </c>
      <c r="EC15" s="1" t="s">
        <v>8246</v>
      </c>
      <c r="ED15" s="1" t="s">
        <v>8246</v>
      </c>
      <c r="EE15" s="1" t="s">
        <v>8246</v>
      </c>
      <c r="EF15" s="1" t="s">
        <v>8246</v>
      </c>
      <c r="EG15" s="1" t="s">
        <v>8246</v>
      </c>
      <c r="EH15" s="1" t="s">
        <v>8246</v>
      </c>
      <c r="EI15" s="1" t="s">
        <v>8246</v>
      </c>
      <c r="EJ15" s="1" t="s">
        <v>8246</v>
      </c>
      <c r="EK15" s="1" t="s">
        <v>8246</v>
      </c>
      <c r="EL15" s="1" t="s">
        <v>8246</v>
      </c>
      <c r="EM15" s="1" t="s">
        <v>8246</v>
      </c>
      <c r="EN15" s="1" t="s">
        <v>8246</v>
      </c>
      <c r="EO15" s="1" t="s">
        <v>8246</v>
      </c>
      <c r="EP15" s="1" t="s">
        <v>8246</v>
      </c>
      <c r="EQ15" s="1" t="s">
        <v>8246</v>
      </c>
      <c r="ER15" s="1" t="s">
        <v>8246</v>
      </c>
      <c r="ES15" s="1" t="s">
        <v>8246</v>
      </c>
      <c r="ET15" s="1" t="s">
        <v>8246</v>
      </c>
      <c r="EU15" s="1" t="s">
        <v>8246</v>
      </c>
      <c r="EV15" s="1" t="s">
        <v>8246</v>
      </c>
      <c r="EW15" s="1" t="s">
        <v>8246</v>
      </c>
      <c r="EX15" s="1" t="s">
        <v>8246</v>
      </c>
      <c r="EY15" s="1" t="s">
        <v>8246</v>
      </c>
      <c r="EZ15" s="1" t="s">
        <v>8246</v>
      </c>
      <c r="FA15" s="1" t="s">
        <v>8246</v>
      </c>
      <c r="FB15" s="1" t="s">
        <v>8246</v>
      </c>
      <c r="FC15" s="1" t="s">
        <v>8246</v>
      </c>
      <c r="FD15" s="1" t="s">
        <v>8246</v>
      </c>
      <c r="FE15" s="1" t="s">
        <v>8246</v>
      </c>
      <c r="FF15" s="1" t="s">
        <v>8246</v>
      </c>
      <c r="FG15" s="1" t="s">
        <v>8246</v>
      </c>
      <c r="FH15" s="1" t="s">
        <v>8246</v>
      </c>
      <c r="FI15" s="1" t="s">
        <v>8246</v>
      </c>
      <c r="FJ15" s="1" t="s">
        <v>8246</v>
      </c>
      <c r="FK15" s="1" t="s">
        <v>8246</v>
      </c>
      <c r="FL15" s="1" t="s">
        <v>8246</v>
      </c>
      <c r="FM15" s="1" t="s">
        <v>8246</v>
      </c>
      <c r="FN15" s="1" t="s">
        <v>8246</v>
      </c>
      <c r="FO15" s="1" t="s">
        <v>8246</v>
      </c>
      <c r="FP15" s="1" t="s">
        <v>8246</v>
      </c>
      <c r="FQ15" s="1" t="s">
        <v>8246</v>
      </c>
      <c r="FR15" s="1" t="s">
        <v>8246</v>
      </c>
      <c r="FS15" s="1" t="s">
        <v>8246</v>
      </c>
      <c r="FT15" s="1" t="s">
        <v>8246</v>
      </c>
      <c r="FU15" s="1" t="s">
        <v>8246</v>
      </c>
      <c r="FV15" s="1" t="s">
        <v>8246</v>
      </c>
      <c r="FW15" s="1" t="s">
        <v>8246</v>
      </c>
      <c r="FX15" s="1" t="s">
        <v>8246</v>
      </c>
      <c r="FY15" s="1" t="s">
        <v>8246</v>
      </c>
      <c r="FZ15" s="1" t="s">
        <v>8246</v>
      </c>
      <c r="GA15" s="1" t="s">
        <v>8246</v>
      </c>
      <c r="GB15" s="1" t="s">
        <v>8246</v>
      </c>
      <c r="GC15" s="1" t="s">
        <v>8246</v>
      </c>
      <c r="GD15" s="1" t="s">
        <v>8246</v>
      </c>
      <c r="GE15" s="1" t="s">
        <v>8246</v>
      </c>
      <c r="GF15" s="1" t="s">
        <v>8246</v>
      </c>
      <c r="GG15" s="1" t="s">
        <v>8246</v>
      </c>
      <c r="GH15" s="1" t="s">
        <v>8246</v>
      </c>
      <c r="GI15" s="1" t="s">
        <v>8246</v>
      </c>
      <c r="GJ15" s="1" t="s">
        <v>8246</v>
      </c>
      <c r="GK15" s="1" t="s">
        <v>8246</v>
      </c>
      <c r="GL15" s="1" t="s">
        <v>8246</v>
      </c>
      <c r="GM15" s="1" t="s">
        <v>8246</v>
      </c>
      <c r="GN15" s="1" t="s">
        <v>8246</v>
      </c>
      <c r="GO15" s="1" t="s">
        <v>8246</v>
      </c>
      <c r="GP15" s="1" t="s">
        <v>8246</v>
      </c>
      <c r="GQ15" s="1" t="s">
        <v>8246</v>
      </c>
      <c r="GR15" s="1" t="s">
        <v>8246</v>
      </c>
      <c r="GS15" s="1" t="s">
        <v>8246</v>
      </c>
      <c r="GT15" s="1" t="s">
        <v>8246</v>
      </c>
      <c r="GU15" s="1" t="s">
        <v>8246</v>
      </c>
      <c r="GV15" s="1" t="s">
        <v>8246</v>
      </c>
      <c r="GW15" s="1" t="s">
        <v>8246</v>
      </c>
      <c r="GX15" s="1" t="s">
        <v>8246</v>
      </c>
      <c r="GY15" s="1" t="s">
        <v>8246</v>
      </c>
      <c r="GZ15" s="1" t="s">
        <v>8246</v>
      </c>
      <c r="HA15" s="1" t="s">
        <v>8246</v>
      </c>
      <c r="HB15" s="1" t="s">
        <v>8246</v>
      </c>
      <c r="HC15" s="1" t="s">
        <v>8246</v>
      </c>
      <c r="HD15" s="1" t="s">
        <v>8246</v>
      </c>
      <c r="HE15" s="1" t="s">
        <v>8246</v>
      </c>
      <c r="HF15" s="1" t="s">
        <v>8246</v>
      </c>
      <c r="HG15" s="1" t="s">
        <v>8246</v>
      </c>
      <c r="HH15" s="1" t="s">
        <v>8246</v>
      </c>
      <c r="HI15" s="1" t="s">
        <v>8246</v>
      </c>
      <c r="HJ15" s="1" t="s">
        <v>8246</v>
      </c>
      <c r="HK15" s="1" t="s">
        <v>8246</v>
      </c>
      <c r="HL15" s="1" t="s">
        <v>8246</v>
      </c>
      <c r="HM15" s="1" t="s">
        <v>8246</v>
      </c>
      <c r="HN15" s="1" t="s">
        <v>8246</v>
      </c>
      <c r="HO15" s="1" t="s">
        <v>8246</v>
      </c>
      <c r="HP15" s="1" t="s">
        <v>8246</v>
      </c>
      <c r="HQ15" s="1" t="s">
        <v>8246</v>
      </c>
      <c r="HR15" s="1" t="s">
        <v>8246</v>
      </c>
      <c r="HS15" s="1" t="s">
        <v>8246</v>
      </c>
      <c r="HT15" s="1" t="s">
        <v>8246</v>
      </c>
      <c r="HU15" s="1" t="s">
        <v>8246</v>
      </c>
      <c r="HV15" s="1" t="s">
        <v>8246</v>
      </c>
      <c r="HW15" s="1" t="s">
        <v>8246</v>
      </c>
      <c r="HX15" s="1" t="s">
        <v>8246</v>
      </c>
      <c r="HY15" s="1" t="s">
        <v>8246</v>
      </c>
      <c r="HZ15" s="1" t="s">
        <v>8246</v>
      </c>
      <c r="IA15" s="1" t="s">
        <v>8246</v>
      </c>
      <c r="IB15" s="1" t="s">
        <v>8246</v>
      </c>
      <c r="IC15" s="1" t="s">
        <v>8246</v>
      </c>
      <c r="ID15" s="1" t="s">
        <v>8246</v>
      </c>
      <c r="IE15" s="1" t="s">
        <v>8246</v>
      </c>
      <c r="IF15" s="1" t="s">
        <v>8246</v>
      </c>
      <c r="IG15" s="1" t="s">
        <v>8246</v>
      </c>
      <c r="IH15" s="1" t="s">
        <v>8246</v>
      </c>
      <c r="II15" s="1" t="s">
        <v>8246</v>
      </c>
      <c r="IJ15" s="1" t="s">
        <v>8246</v>
      </c>
      <c r="IK15" s="1" t="s">
        <v>8246</v>
      </c>
      <c r="IL15" s="1" t="s">
        <v>8246</v>
      </c>
      <c r="IM15" s="1" t="s">
        <v>8246</v>
      </c>
      <c r="IN15" s="1" t="s">
        <v>8246</v>
      </c>
      <c r="IO15" s="1" t="s">
        <v>8246</v>
      </c>
      <c r="IP15" s="1" t="s">
        <v>8246</v>
      </c>
      <c r="IQ15" s="1" t="s">
        <v>8246</v>
      </c>
      <c r="IR15" s="1" t="s">
        <v>8246</v>
      </c>
      <c r="IS15" s="1" t="s">
        <v>8246</v>
      </c>
      <c r="IT15" s="1" t="s">
        <v>8246</v>
      </c>
      <c r="IU15" s="1" t="s">
        <v>8246</v>
      </c>
      <c r="IV15" s="1" t="s">
        <v>8246</v>
      </c>
      <c r="IW15" s="1" t="s">
        <v>8246</v>
      </c>
      <c r="IX15" s="1" t="s">
        <v>8246</v>
      </c>
      <c r="IY15" s="1" t="s">
        <v>8246</v>
      </c>
      <c r="IZ15" s="1" t="s">
        <v>8246</v>
      </c>
      <c r="JA15" s="1" t="s">
        <v>8246</v>
      </c>
      <c r="JB15" s="1" t="s">
        <v>8246</v>
      </c>
      <c r="JC15" s="1" t="s">
        <v>8246</v>
      </c>
      <c r="JD15" s="1" t="s">
        <v>8246</v>
      </c>
      <c r="JE15" s="1" t="s">
        <v>8246</v>
      </c>
      <c r="JF15" s="1" t="s">
        <v>8246</v>
      </c>
      <c r="JG15" s="1" t="s">
        <v>8246</v>
      </c>
      <c r="JH15" s="1" t="s">
        <v>8246</v>
      </c>
      <c r="JI15" s="1" t="s">
        <v>8246</v>
      </c>
      <c r="JJ15" s="1" t="s">
        <v>8246</v>
      </c>
      <c r="JK15" s="1" t="s">
        <v>8246</v>
      </c>
      <c r="JL15" s="1" t="s">
        <v>8246</v>
      </c>
      <c r="JM15" s="1" t="s">
        <v>8246</v>
      </c>
      <c r="JN15" s="1" t="s">
        <v>8246</v>
      </c>
      <c r="JO15" s="1" t="s">
        <v>8246</v>
      </c>
      <c r="JP15" s="1" t="s">
        <v>8246</v>
      </c>
      <c r="JQ15" s="1" t="s">
        <v>8246</v>
      </c>
      <c r="JR15" s="1" t="s">
        <v>8246</v>
      </c>
      <c r="JS15" s="1" t="s">
        <v>8246</v>
      </c>
      <c r="JT15" s="1" t="s">
        <v>8246</v>
      </c>
      <c r="JU15" s="1" t="s">
        <v>8246</v>
      </c>
      <c r="JV15" s="1" t="s">
        <v>8246</v>
      </c>
      <c r="JW15" s="1" t="s">
        <v>8246</v>
      </c>
      <c r="JX15" s="1" t="s">
        <v>8246</v>
      </c>
      <c r="JY15" s="1" t="s">
        <v>8246</v>
      </c>
      <c r="JZ15" s="1" t="s">
        <v>8246</v>
      </c>
      <c r="KA15" s="1" t="s">
        <v>8246</v>
      </c>
      <c r="KB15" s="1" t="s">
        <v>8246</v>
      </c>
      <c r="KC15" s="1" t="s">
        <v>8246</v>
      </c>
      <c r="KD15" s="1" t="s">
        <v>8246</v>
      </c>
      <c r="KE15" s="1" t="s">
        <v>8246</v>
      </c>
      <c r="KF15" s="1" t="s">
        <v>8246</v>
      </c>
      <c r="KG15" s="1" t="s">
        <v>8246</v>
      </c>
      <c r="KH15" s="1" t="s">
        <v>8246</v>
      </c>
      <c r="KI15" s="1" t="s">
        <v>8246</v>
      </c>
      <c r="KJ15" s="1" t="s">
        <v>8246</v>
      </c>
      <c r="KK15" s="1" t="s">
        <v>8246</v>
      </c>
      <c r="KL15" s="1" t="s">
        <v>8246</v>
      </c>
      <c r="KM15" s="1" t="s">
        <v>8246</v>
      </c>
      <c r="KN15" s="1" t="s">
        <v>8246</v>
      </c>
      <c r="KO15" s="1" t="s">
        <v>8246</v>
      </c>
      <c r="KP15" s="1" t="s">
        <v>8246</v>
      </c>
      <c r="KQ15" s="1" t="s">
        <v>8246</v>
      </c>
      <c r="KR15" s="1" t="s">
        <v>8246</v>
      </c>
      <c r="KS15" s="1" t="s">
        <v>8246</v>
      </c>
      <c r="KT15" s="1" t="s">
        <v>8246</v>
      </c>
      <c r="KU15" s="1" t="s">
        <v>8246</v>
      </c>
      <c r="KV15" s="1" t="s">
        <v>8246</v>
      </c>
      <c r="KW15" s="1" t="s">
        <v>8246</v>
      </c>
      <c r="KX15" s="1" t="s">
        <v>8246</v>
      </c>
      <c r="KY15" s="1" t="s">
        <v>8246</v>
      </c>
      <c r="KZ15" s="1" t="s">
        <v>8246</v>
      </c>
      <c r="LA15" s="1" t="s">
        <v>8246</v>
      </c>
      <c r="LB15" s="1" t="s">
        <v>8246</v>
      </c>
      <c r="LC15" s="1" t="s">
        <v>8246</v>
      </c>
      <c r="LD15" s="1" t="s">
        <v>8246</v>
      </c>
      <c r="LE15" s="1" t="s">
        <v>8246</v>
      </c>
      <c r="LF15" s="1" t="s">
        <v>8246</v>
      </c>
      <c r="LG15" s="1" t="s">
        <v>8246</v>
      </c>
      <c r="LH15" s="1" t="s">
        <v>8246</v>
      </c>
      <c r="LI15" s="1" t="s">
        <v>8246</v>
      </c>
      <c r="LJ15" s="1" t="s">
        <v>8246</v>
      </c>
      <c r="LK15" s="1" t="s">
        <v>8246</v>
      </c>
      <c r="LL15" s="1" t="s">
        <v>8246</v>
      </c>
      <c r="LM15" s="1" t="s">
        <v>8246</v>
      </c>
      <c r="LN15" s="1" t="s">
        <v>8246</v>
      </c>
      <c r="LO15" s="1" t="s">
        <v>8246</v>
      </c>
      <c r="LP15" s="1" t="s">
        <v>8246</v>
      </c>
      <c r="LQ15" s="1" t="s">
        <v>8246</v>
      </c>
      <c r="LR15" s="1" t="s">
        <v>8246</v>
      </c>
      <c r="LS15" s="1" t="s">
        <v>8246</v>
      </c>
      <c r="LT15" s="1" t="s">
        <v>8246</v>
      </c>
      <c r="LU15" s="1" t="s">
        <v>8246</v>
      </c>
      <c r="LV15" s="1" t="s">
        <v>8246</v>
      </c>
      <c r="LW15" s="1" t="s">
        <v>8246</v>
      </c>
      <c r="LX15" s="1" t="s">
        <v>8246</v>
      </c>
      <c r="LY15" s="1" t="s">
        <v>8246</v>
      </c>
      <c r="LZ15" s="1" t="s">
        <v>8246</v>
      </c>
      <c r="MA15" s="1" t="s">
        <v>8246</v>
      </c>
      <c r="MB15" s="1" t="s">
        <v>8246</v>
      </c>
      <c r="UU15" s="1" t="s">
        <v>8246</v>
      </c>
      <c r="UV15" s="1" t="s">
        <v>8246</v>
      </c>
      <c r="UW15" s="1" t="s">
        <v>8246</v>
      </c>
      <c r="UX15" s="1" t="s">
        <v>8246</v>
      </c>
      <c r="UY15" s="1" t="s">
        <v>8246</v>
      </c>
      <c r="UZ15" s="1" t="s">
        <v>8246</v>
      </c>
      <c r="VA15" s="1" t="s">
        <v>8246</v>
      </c>
      <c r="VB15" s="1" t="s">
        <v>8246</v>
      </c>
      <c r="VC15" s="1" t="s">
        <v>8246</v>
      </c>
      <c r="VD15" s="1" t="s">
        <v>8246</v>
      </c>
      <c r="VE15" s="1" t="s">
        <v>8246</v>
      </c>
      <c r="VF15" s="1" t="s">
        <v>8246</v>
      </c>
      <c r="VG15" s="1" t="s">
        <v>8246</v>
      </c>
      <c r="VH15" s="1" t="s">
        <v>8246</v>
      </c>
      <c r="VI15" s="1" t="s">
        <v>8246</v>
      </c>
      <c r="VJ15" s="1" t="s">
        <v>8246</v>
      </c>
      <c r="VK15" s="1" t="s">
        <v>8246</v>
      </c>
      <c r="VL15" s="1" t="s">
        <v>8246</v>
      </c>
      <c r="VM15" s="1" t="s">
        <v>8246</v>
      </c>
      <c r="VN15" s="1" t="s">
        <v>8246</v>
      </c>
      <c r="VO15" s="1" t="s">
        <v>8246</v>
      </c>
      <c r="VP15" s="1" t="s">
        <v>8246</v>
      </c>
      <c r="VQ15" s="1" t="s">
        <v>8246</v>
      </c>
      <c r="VR15" s="1" t="s">
        <v>8246</v>
      </c>
      <c r="VS15" s="1" t="s">
        <v>8246</v>
      </c>
      <c r="VT15" s="1" t="s">
        <v>8246</v>
      </c>
      <c r="VU15" s="1" t="s">
        <v>8246</v>
      </c>
      <c r="VV15" s="1" t="s">
        <v>8246</v>
      </c>
      <c r="VW15" s="1" t="s">
        <v>8246</v>
      </c>
      <c r="VX15" s="1" t="s">
        <v>8246</v>
      </c>
      <c r="VY15" s="1" t="s">
        <v>8246</v>
      </c>
      <c r="VZ15" s="1" t="s">
        <v>8246</v>
      </c>
      <c r="WA15" s="1" t="s">
        <v>8246</v>
      </c>
      <c r="WB15" s="1" t="s">
        <v>8246</v>
      </c>
      <c r="WC15" s="1" t="s">
        <v>8246</v>
      </c>
      <c r="WD15" s="1" t="s">
        <v>8246</v>
      </c>
      <c r="WE15" s="1" t="s">
        <v>8246</v>
      </c>
      <c r="WF15" s="1" t="s">
        <v>8246</v>
      </c>
      <c r="WG15" s="1" t="s">
        <v>8246</v>
      </c>
      <c r="WH15" s="1" t="s">
        <v>8246</v>
      </c>
      <c r="WI15" s="1" t="s">
        <v>8246</v>
      </c>
      <c r="WJ15" s="1" t="s">
        <v>8246</v>
      </c>
      <c r="WK15" s="1" t="s">
        <v>8246</v>
      </c>
      <c r="WL15" s="1" t="s">
        <v>8246</v>
      </c>
      <c r="WM15" s="1" t="s">
        <v>8246</v>
      </c>
      <c r="WN15" s="1" t="s">
        <v>8246</v>
      </c>
      <c r="WO15" s="1" t="s">
        <v>8246</v>
      </c>
      <c r="WP15" s="1" t="s">
        <v>8246</v>
      </c>
      <c r="WQ15" s="1" t="s">
        <v>8246</v>
      </c>
      <c r="WR15" s="1" t="s">
        <v>8246</v>
      </c>
      <c r="WS15" s="1" t="s">
        <v>8246</v>
      </c>
      <c r="WT15" s="1" t="s">
        <v>8246</v>
      </c>
      <c r="WU15" s="1" t="s">
        <v>8246</v>
      </c>
      <c r="WV15" s="1" t="s">
        <v>8246</v>
      </c>
      <c r="WW15" s="1" t="s">
        <v>8246</v>
      </c>
      <c r="WX15" s="1" t="s">
        <v>8246</v>
      </c>
      <c r="WY15" s="1" t="s">
        <v>8246</v>
      </c>
      <c r="WZ15" s="1" t="s">
        <v>8246</v>
      </c>
      <c r="XA15" s="1" t="s">
        <v>8246</v>
      </c>
      <c r="XB15" s="1" t="s">
        <v>8246</v>
      </c>
      <c r="XC15" s="1" t="s">
        <v>8246</v>
      </c>
      <c r="XD15" s="1" t="s">
        <v>8246</v>
      </c>
      <c r="XE15" s="1" t="s">
        <v>8246</v>
      </c>
      <c r="XF15" s="1" t="s">
        <v>8246</v>
      </c>
      <c r="XG15" s="1" t="s">
        <v>8246</v>
      </c>
      <c r="XH15" s="1" t="s">
        <v>8246</v>
      </c>
      <c r="XI15" s="1" t="s">
        <v>8246</v>
      </c>
      <c r="XJ15" s="1" t="s">
        <v>8246</v>
      </c>
      <c r="XK15" s="1" t="s">
        <v>8246</v>
      </c>
      <c r="XL15" s="1" t="s">
        <v>8246</v>
      </c>
      <c r="XM15" s="1" t="s">
        <v>8246</v>
      </c>
      <c r="XN15" s="1" t="s">
        <v>8246</v>
      </c>
      <c r="XO15" s="1" t="s">
        <v>8246</v>
      </c>
      <c r="XP15" s="1" t="s">
        <v>8246</v>
      </c>
      <c r="XQ15" s="1" t="s">
        <v>8246</v>
      </c>
      <c r="XR15" s="1" t="s">
        <v>8246</v>
      </c>
      <c r="XS15" s="1" t="s">
        <v>8246</v>
      </c>
      <c r="XT15" s="1" t="s">
        <v>8246</v>
      </c>
      <c r="XU15" s="1" t="s">
        <v>8246</v>
      </c>
      <c r="XV15" s="1" t="s">
        <v>8246</v>
      </c>
      <c r="XW15" s="1" t="s">
        <v>8246</v>
      </c>
      <c r="XX15" s="1" t="s">
        <v>8246</v>
      </c>
      <c r="XY15" s="1" t="s">
        <v>8246</v>
      </c>
      <c r="XZ15" s="1" t="s">
        <v>8246</v>
      </c>
      <c r="YA15" s="1" t="s">
        <v>8246</v>
      </c>
      <c r="YB15" s="1" t="s">
        <v>8246</v>
      </c>
      <c r="YC15" s="1" t="s">
        <v>8246</v>
      </c>
      <c r="YD15" s="1" t="s">
        <v>8246</v>
      </c>
      <c r="YE15" s="1" t="s">
        <v>8246</v>
      </c>
      <c r="YF15" s="1" t="s">
        <v>8246</v>
      </c>
      <c r="YG15" s="1" t="s">
        <v>8246</v>
      </c>
      <c r="YH15" s="1" t="s">
        <v>8246</v>
      </c>
      <c r="YI15" s="1" t="s">
        <v>8246</v>
      </c>
      <c r="YJ15" s="1" t="s">
        <v>8246</v>
      </c>
      <c r="YK15" s="1" t="s">
        <v>8246</v>
      </c>
      <c r="YL15" s="1" t="s">
        <v>8246</v>
      </c>
      <c r="YM15" s="1" t="s">
        <v>8246</v>
      </c>
      <c r="YN15" s="1" t="s">
        <v>8246</v>
      </c>
      <c r="YO15" s="1" t="s">
        <v>8246</v>
      </c>
      <c r="YP15" s="1" t="s">
        <v>8246</v>
      </c>
      <c r="YQ15" s="1" t="s">
        <v>8246</v>
      </c>
      <c r="YR15" s="1" t="s">
        <v>8246</v>
      </c>
      <c r="YS15" s="1" t="s">
        <v>8246</v>
      </c>
      <c r="YT15" s="1" t="s">
        <v>8246</v>
      </c>
      <c r="YU15" s="1" t="s">
        <v>8246</v>
      </c>
      <c r="YV15" s="1" t="s">
        <v>8246</v>
      </c>
      <c r="YW15" s="1" t="s">
        <v>8246</v>
      </c>
      <c r="YX15" s="1" t="s">
        <v>8246</v>
      </c>
      <c r="YY15" s="1" t="s">
        <v>8246</v>
      </c>
      <c r="YZ15" s="1" t="s">
        <v>8246</v>
      </c>
      <c r="ZA15" s="1" t="s">
        <v>8246</v>
      </c>
      <c r="ZB15" s="1" t="s">
        <v>8246</v>
      </c>
      <c r="ZC15" s="1" t="s">
        <v>8246</v>
      </c>
      <c r="ZD15" s="1" t="s">
        <v>8246</v>
      </c>
      <c r="ZE15" s="1" t="s">
        <v>8246</v>
      </c>
      <c r="ZF15" s="1" t="s">
        <v>8246</v>
      </c>
      <c r="ZG15" s="1" t="s">
        <v>8246</v>
      </c>
      <c r="ZH15" s="1" t="s">
        <v>8246</v>
      </c>
      <c r="ZI15" s="1" t="s">
        <v>8246</v>
      </c>
      <c r="ZJ15" s="1" t="s">
        <v>8246</v>
      </c>
      <c r="ZK15" s="1" t="s">
        <v>8246</v>
      </c>
      <c r="ZL15" s="1" t="s">
        <v>8246</v>
      </c>
      <c r="ZM15" s="1" t="s">
        <v>8246</v>
      </c>
      <c r="ZN15" s="1" t="s">
        <v>8246</v>
      </c>
      <c r="ZO15" s="1" t="s">
        <v>8246</v>
      </c>
      <c r="ZP15" s="1" t="s">
        <v>8246</v>
      </c>
      <c r="ZQ15" s="1" t="s">
        <v>8246</v>
      </c>
      <c r="ZR15" s="1" t="s">
        <v>8246</v>
      </c>
      <c r="ZS15" s="1" t="s">
        <v>8246</v>
      </c>
      <c r="ZT15" s="1" t="s">
        <v>8246</v>
      </c>
      <c r="ADG15" s="1" t="s">
        <v>8246</v>
      </c>
      <c r="ADH15" s="1" t="s">
        <v>8246</v>
      </c>
      <c r="ADI15" s="1" t="s">
        <v>8246</v>
      </c>
      <c r="ADJ15" s="1" t="s">
        <v>8246</v>
      </c>
      <c r="ADK15" s="1" t="s">
        <v>8246</v>
      </c>
      <c r="ADL15" s="1" t="s">
        <v>8246</v>
      </c>
      <c r="ADM15" s="1" t="s">
        <v>8246</v>
      </c>
      <c r="ADN15" s="1" t="s">
        <v>8246</v>
      </c>
      <c r="ADO15" s="1" t="s">
        <v>8246</v>
      </c>
      <c r="ADP15" s="1" t="s">
        <v>8246</v>
      </c>
      <c r="ADQ15" s="1" t="s">
        <v>8246</v>
      </c>
      <c r="ADR15" s="1" t="s">
        <v>8246</v>
      </c>
      <c r="ADS15" s="1" t="s">
        <v>8246</v>
      </c>
      <c r="ADT15" s="1" t="s">
        <v>8246</v>
      </c>
      <c r="ADU15" s="1" t="s">
        <v>8246</v>
      </c>
      <c r="ADV15" s="1" t="s">
        <v>8246</v>
      </c>
      <c r="ADW15" s="1" t="s">
        <v>8246</v>
      </c>
      <c r="ADX15" s="1" t="s">
        <v>8246</v>
      </c>
      <c r="ADY15" s="1" t="s">
        <v>8246</v>
      </c>
      <c r="ADZ15" s="1" t="s">
        <v>8246</v>
      </c>
      <c r="AEA15" s="1" t="s">
        <v>8246</v>
      </c>
      <c r="AEB15" s="1" t="s">
        <v>8246</v>
      </c>
      <c r="AEC15" s="1" t="s">
        <v>8246</v>
      </c>
      <c r="AED15" s="1" t="s">
        <v>8246</v>
      </c>
      <c r="AEE15" s="1" t="s">
        <v>8246</v>
      </c>
      <c r="AEF15" s="1" t="s">
        <v>8246</v>
      </c>
      <c r="AEG15" s="1" t="s">
        <v>8246</v>
      </c>
      <c r="AEH15" s="1" t="s">
        <v>8246</v>
      </c>
      <c r="AEI15" s="1" t="s">
        <v>8246</v>
      </c>
      <c r="AEJ15" s="1" t="s">
        <v>8246</v>
      </c>
      <c r="AEK15" s="1" t="s">
        <v>8246</v>
      </c>
      <c r="AEL15" s="1" t="s">
        <v>8246</v>
      </c>
      <c r="AEM15" s="1" t="s">
        <v>8246</v>
      </c>
      <c r="AEN15" s="1" t="s">
        <v>8246</v>
      </c>
      <c r="AEO15" s="1" t="s">
        <v>8246</v>
      </c>
      <c r="AEP15" s="1" t="s">
        <v>8246</v>
      </c>
      <c r="AEQ15" s="1" t="s">
        <v>8246</v>
      </c>
      <c r="AER15" s="1" t="s">
        <v>8246</v>
      </c>
      <c r="AES15" s="1" t="s">
        <v>8246</v>
      </c>
      <c r="AET15" s="1" t="s">
        <v>8246</v>
      </c>
      <c r="AEU15" s="1" t="s">
        <v>8246</v>
      </c>
      <c r="AEV15" s="1" t="s">
        <v>8246</v>
      </c>
      <c r="AEW15" s="1" t="s">
        <v>8246</v>
      </c>
      <c r="AEX15" s="1" t="s">
        <v>8246</v>
      </c>
      <c r="AEY15" s="1" t="s">
        <v>8246</v>
      </c>
      <c r="AEZ15" s="1" t="s">
        <v>8246</v>
      </c>
      <c r="AFA15" s="1" t="s">
        <v>8246</v>
      </c>
      <c r="AFB15" s="1" t="s">
        <v>8246</v>
      </c>
      <c r="AFC15" s="1" t="s">
        <v>8246</v>
      </c>
      <c r="AFD15" s="1" t="s">
        <v>8246</v>
      </c>
      <c r="AFE15" s="1" t="s">
        <v>8246</v>
      </c>
      <c r="AFF15" s="1" t="s">
        <v>8246</v>
      </c>
      <c r="AFG15" s="1" t="s">
        <v>8246</v>
      </c>
      <c r="AFH15" s="1" t="s">
        <v>8246</v>
      </c>
      <c r="AFI15" s="1" t="s">
        <v>8246</v>
      </c>
      <c r="AFJ15" s="1" t="s">
        <v>8246</v>
      </c>
      <c r="AFK15" s="1" t="s">
        <v>8246</v>
      </c>
      <c r="AFL15" s="1" t="s">
        <v>8246</v>
      </c>
      <c r="AFM15" s="1" t="s">
        <v>8246</v>
      </c>
      <c r="AFN15" s="1" t="s">
        <v>8246</v>
      </c>
      <c r="AFO15" s="1" t="s">
        <v>8246</v>
      </c>
      <c r="AFP15" s="1" t="s">
        <v>8246</v>
      </c>
      <c r="AFQ15" s="1" t="s">
        <v>8246</v>
      </c>
      <c r="AFR15" s="1" t="s">
        <v>8246</v>
      </c>
      <c r="AFS15" s="1" t="s">
        <v>8246</v>
      </c>
      <c r="AFT15" s="1" t="s">
        <v>8246</v>
      </c>
      <c r="AFU15" s="1" t="s">
        <v>8246</v>
      </c>
      <c r="AFV15" s="1" t="s">
        <v>8246</v>
      </c>
      <c r="AFW15" s="1" t="s">
        <v>8246</v>
      </c>
      <c r="AFX15" s="1" t="s">
        <v>8246</v>
      </c>
      <c r="AFY15" s="1" t="s">
        <v>8246</v>
      </c>
      <c r="AFZ15" s="1" t="s">
        <v>8246</v>
      </c>
      <c r="AGA15" s="1" t="s">
        <v>8246</v>
      </c>
      <c r="AGB15" s="1" t="s">
        <v>8246</v>
      </c>
      <c r="AGC15" s="1" t="s">
        <v>8246</v>
      </c>
      <c r="AGD15" s="1" t="s">
        <v>8246</v>
      </c>
      <c r="AGE15" s="1" t="s">
        <v>8246</v>
      </c>
      <c r="AGF15" s="1" t="s">
        <v>8246</v>
      </c>
      <c r="AGG15" s="1" t="s">
        <v>8246</v>
      </c>
      <c r="AGH15" s="1061" t="s">
        <v>8247</v>
      </c>
    </row>
    <row r="16" spans="1:867" ht="30" customHeight="1">
      <c r="A16" s="1062">
        <f t="shared" ref="A16:A79" si="0">IF(B16="","",ROW())</f>
        <v>16</v>
      </c>
      <c r="B16" s="1063" t="s">
        <v>227</v>
      </c>
      <c r="C16" s="1064" t="s">
        <v>254</v>
      </c>
      <c r="D16" s="1065" t="str">
        <f t="shared" ref="D16:D79" si="1">IF(B16="","",TRIM(SUBSTITUTE(B16,"*",""))&amp;IF(COUNTIF(E16,"*⚠*")&gt;0," *",""))</f>
        <v>crème</v>
      </c>
      <c r="E16" s="1066" t="str">
        <f t="shared" ref="E16:E79" si="2">IF(B16="","",BS16)</f>
        <v/>
      </c>
      <c r="F16" s="1067" t="str">
        <f t="shared" ref="F16:F79" si="3">IF(B16="","",TRIM(B16)&amp;IF(H16&gt;0," *",""))</f>
        <v>crème</v>
      </c>
      <c r="G16" s="1068" t="str">
        <f t="shared" ref="G16:G79" si="4">IF(B16="","",BU16)</f>
        <v>suspicion Lait</v>
      </c>
      <c r="H16" s="1069">
        <f t="shared" ref="H16:H79" si="5">IF(B16="","",IF(U16&lt;&gt;"",1,0)+IF(X16&lt;&gt;"",1,0)+IF(Z16&lt;&gt;"",1,0)+IF(AD16&lt;&gt;"",1,0)+IF(AF16&lt;&gt;"",1,0)+IF(AI16&lt;&gt;"",1,0)+IF(AN16&lt;&gt;"",1,0)+IF(AR16&lt;&gt;"",1,0)+IF(AT16&lt;&gt;"",1,0)+IF(AV16&lt;&gt;"",1,0)+IF(AX16&lt;&gt;"",1,0)+IF(AZ16&lt;&gt;"",1,0)+IF(BB16&lt;&gt;"",1,0)+IF(BE16&lt;&gt;"",1,0))</f>
        <v>0</v>
      </c>
      <c r="I16" s="1069">
        <f t="shared" ref="I16:I79" si="6">IF(B16="","",IF(V16&lt;&gt;"",1,0)+IF(AO16&lt;&gt;"",1,0))</f>
        <v>1</v>
      </c>
      <c r="J16" s="1067" t="str">
        <f t="shared" ref="J16:J79" si="7">IF(B16="","",IF(E16&lt;&gt;"",E16,IF(G16&lt;&gt;"",G16,"aucun match")))</f>
        <v>suspicion Lait</v>
      </c>
      <c r="K16" s="1044" t="str">
        <f t="shared" ref="K16:K79" si="8">IF(B16="","",LOWER(B16))</f>
        <v>crème</v>
      </c>
      <c r="L16" s="1044" t="str">
        <f t="shared" ref="L16:L79" si="9">IF(K16="","",SUBSTITUTE(SUBSTITUTE(SUBSTITUTE(SUBSTITUTE(SUBSTITUTE(SUBSTITUTE(SUBSTITUTE(SUBSTITUTE(K16,"œ","oe"),"æ","ae"),"à","a"),"á","a"),"â","a"),"ä","a"),"ã","a"),"å","a"))</f>
        <v>crème</v>
      </c>
      <c r="M16" s="1044" t="str">
        <f t="shared" ref="M16:M79" si="10">IF(L16="","",SUBSTITUTE(SUBSTITUTE(SUBSTITUTE(SUBSTITUTE(SUBSTITUTE(SUBSTITUTE(SUBSTITUTE(SUBSTITUTE(SUBSTITUTE(SUBSTITUTE(SUBSTITUTE(SUBSTITUTE(SUBSTITUTE(SUBSTITUTE(SUBSTITUTE(SUBSTITUTE(SUBSTITUTE(SUBSTITUTE(SUBSTITUTE(SUBSTITUTE(SUBSTITUTE(L16,"ç","c"),"è","e"),"é","e"),"ê","e"),"ë","e"),"ì","i"),"í","i"),"î","i"),"ï","i"),"ñ","n"),"ò","o"),"ó","o"),"ô","o"),"ö","o"),"õ","o"),"ù","u"),"ú","u"),"û","u"),"ü","u"),"ý","y"),"ÿ","y"))</f>
        <v>creme</v>
      </c>
      <c r="N16" s="1044" t="str">
        <f t="shared" ref="N16:N79" si="11">IF(M16="","",SUBSTITUTE(SUBSTITUTE(SUBSTITUTE(SUBSTITUTE(SUBSTITUTE(SUBSTITUTE(SUBSTITUTE(SUBSTITUTE(SUBSTITUTE(SUBSTITUTE(M16,CHAR(10)," "),CHAR(13)," "),","," "),"."," "),","," "),":"," "),"/"," "),"-"," "),"_"," "),""""," "))</f>
        <v>creme</v>
      </c>
      <c r="O16" s="1044" t="str">
        <f t="shared" ref="O16:O79" si="12">IF(N16="","",SUBSTITUTE(SUBSTITUTE(SUBSTITUTE(SUBSTITUTE(SUBSTITUTE(SUBSTITUTE(SUBSTITUTE(SUBSTITUTE(N16,CHAR(40)," "),CHAR(41)," "),CHAR(39)," "),"?"," "),"!"," "),"+"," "),"*"," "),"&amp;"," "))</f>
        <v>creme</v>
      </c>
      <c r="P16" s="1044" t="str">
        <f t="shared" ref="P16:P79" si="13">IF(O16="",""," "&amp;TRIM(SUBSTITUTE(SUBSTITUTE(SUBSTITUTE(O16,"  "," "),"  "," "),"  "," "))&amp;" ")</f>
        <v xml:space="preserve"> creme </v>
      </c>
      <c r="Q16" s="1044">
        <f t="shared" ref="Q16:Q79" si="14">IF(B16="",0,SUMPRODUCT(($BV$11:$AGG$11="Gluten")*($BV$12:$AGG$12="INFO")*(COUNTIF($P16,"*"&amp;$BV$13:$AGG$13&amp;"*")&gt;0)*1))</f>
        <v>0</v>
      </c>
      <c r="R16" s="1044">
        <f t="shared" ref="R16:R79" si="15">IF(B16="",0,SUMPRODUCT(($BV$11:$AGG$11="Gluten")*($BV$12:$AGG$12="EXCL")*(COUNTIF($P16,"*"&amp;$BV$13:$AGG$13&amp;"*")&gt;0)*1))</f>
        <v>0</v>
      </c>
      <c r="S16" s="1044">
        <f t="shared" ref="S16:S79" si="16">IF(B16="",0,SUMPRODUCT(($BV$11:$AGG$11="Gluten")*($BV$12:$AGG$12="ALERTE")*(COUNTIF($P16,"*"&amp;$BV$13:$AGG$13&amp;"*")&gt;0)*1))</f>
        <v>0</v>
      </c>
      <c r="T16" s="1044">
        <f t="shared" ref="T16:T79" si="17">IF(B16="",0,SUMPRODUCT(($BV$11:$AGG$11="Gluten")*($BV$12:$AGG$12="SUSP")*(COUNTIF($P16,"*"&amp;$BV$13:$AGG$13&amp;"*")&gt;0)*1))</f>
        <v>0</v>
      </c>
      <c r="U16" s="1044" t="str">
        <f t="shared" ref="U16:U79" si="18">IF(B16="","",IF(Q16&gt;0,"info Gluten",IF(AND(S16&gt;0,R16=0),"⚠ Gluten","")))</f>
        <v/>
      </c>
      <c r="V16" s="1044" t="str">
        <f t="shared" ref="V16:V79" si="19">IF(B16="","",IF(AND(U16="",T16&gt;0,R16=0),"suspicion Gluten",""))</f>
        <v/>
      </c>
      <c r="W16" s="1044">
        <f t="shared" ref="W16:W79" si="20">IF(B16="",0,SUMPRODUCT(($BV$11:$AGG$11="Crustaces")*($BV$12:$AGG$12="ALERTE")*(COUNTIF($P16,"*"&amp;$BV$13:$AGG$13&amp;"*")&gt;0)*1))</f>
        <v>0</v>
      </c>
      <c r="X16" s="1044" t="str">
        <f t="shared" ref="X16:X79" si="21">IF(B16="","",IF(W16&gt;0,"⚠ Crustaces",""))</f>
        <v/>
      </c>
      <c r="Y16" s="1044">
        <f t="shared" ref="Y16:Y79" si="22">IF(B16="",0,SUMPRODUCT(($BV$11:$AGG$11="Oeufs")*($BV$12:$AGG$12="ALERTE")*(COUNTIF($P16,"*"&amp;$BV$13:$AGG$13&amp;"*")&gt;0)*1))</f>
        <v>0</v>
      </c>
      <c r="Z16" s="1044" t="str">
        <f t="shared" ref="Z16:Z79" si="23">IF(B16="","",IF(Y16&gt;0,"⚠ Oeufs",""))</f>
        <v/>
      </c>
      <c r="AA16" s="1044">
        <f t="shared" ref="AA16:AA79" si="24">IF(B16="",0,SUMPRODUCT(($BV$11:$AGG$11="Poissons")*($BV$12:$AGG$12="INFO")*(COUNTIF($P16,"*"&amp;$BV$13:$AGG$13&amp;"*")&gt;0)*1))</f>
        <v>0</v>
      </c>
      <c r="AB16" s="1044">
        <f t="shared" ref="AB16:AB79" si="25">IF(B16="",0,SUMPRODUCT(($BV$11:$AGG$11="Poissons")*($BV$12:$AGG$12="EXCL")*(COUNTIF($P16,"*"&amp;$BV$13:$AGG$13&amp;"*")&gt;0)*1))</f>
        <v>0</v>
      </c>
      <c r="AC16" s="1044">
        <f t="shared" ref="AC16:AC79" si="26">IF(B16="",0,SUMPRODUCT(($BV$11:$AGG$11="Poissons")*($BV$12:$AGG$12="ALERTE")*(COUNTIF($P16,"*"&amp;$BV$13:$AGG$13&amp;"*")&gt;0)*1))</f>
        <v>0</v>
      </c>
      <c r="AD16" s="1044" t="str">
        <f t="shared" ref="AD16:AD79" si="27">IF(B16="","",IF(AA16&gt;0,"info Poissons",IF(AND(AC16&gt;0,AB16=0),"⚠ Poissons","")))</f>
        <v/>
      </c>
      <c r="AE16" s="1044">
        <f t="shared" ref="AE16:AE79" si="28">IF(B16="",0,SUMPRODUCT(($BV$11:$AGG$11="Arachides")*($BV$12:$AGG$12="ALERTE")*(COUNTIF($P16,"*"&amp;$BV$13:$AGG$13&amp;"*")&gt;0)*1))</f>
        <v>0</v>
      </c>
      <c r="AF16" s="1044" t="str">
        <f t="shared" ref="AF16:AF79" si="29">IF(B16="","",IF(AE16&gt;0,"⚠ Arachides",""))</f>
        <v/>
      </c>
      <c r="AG16" s="1044">
        <f t="shared" ref="AG16:AG79" si="30">IF(B16="",0,SUMPRODUCT(($BV$11:$AGG$11="Soja")*($BV$12:$AGG$12="INFO")*(COUNTIF($P16,"*"&amp;$BV$13:$AGG$13&amp;"*")&gt;0)*1))</f>
        <v>0</v>
      </c>
      <c r="AH16" s="1044">
        <f t="shared" ref="AH16:AH79" si="31">IF(B16="",0,SUMPRODUCT(($BV$11:$AGG$11="Soja")*($BV$12:$AGG$12="ALERTE")*(COUNTIF($P16,"*"&amp;$BV$13:$AGG$13&amp;"*")&gt;0)*1))</f>
        <v>0</v>
      </c>
      <c r="AI16" s="1044" t="str">
        <f t="shared" ref="AI16:AI79" si="32">IF(B16="","",IF(AG16&gt;0,"info Soja",IF(AH16&gt;0,"⚠ Soja","")))</f>
        <v/>
      </c>
      <c r="AJ16" s="1044">
        <f t="shared" ref="AJ16:AJ79" si="33">IF(B16="",0,SUMPRODUCT(($BV$11:$AGG$11="Lait")*($BV$12:$AGG$12="INFO")*(COUNTIF($P16,"*"&amp;$BV$13:$AGG$13&amp;"*")&gt;0)*1))</f>
        <v>0</v>
      </c>
      <c r="AK16" s="1044">
        <f t="shared" ref="AK16:AK79" si="34">IF(B16="",0,SUMPRODUCT(($BV$11:$AGG$11="Lait")*($BV$12:$AGG$12="EXCL")*(COUNTIF($P16,"*"&amp;$BV$13:$AGG$13&amp;"*")&gt;0)*1))</f>
        <v>0</v>
      </c>
      <c r="AL16" s="1044">
        <f t="shared" ref="AL16:AL79" si="35">IF(B16="",0,SUMPRODUCT(($BV$11:$AGG$11="Lait")*($BV$12:$AGG$12="ALERTE")*(COUNTIF($P16,"*"&amp;$BV$13:$AGG$13&amp;"*")&gt;0)*1))</f>
        <v>0</v>
      </c>
      <c r="AM16" s="1044">
        <f t="shared" ref="AM16:AM79" si="36">IF(B16="",0,SUMPRODUCT(($BV$11:$AGG$11="Lait")*($BV$12:$AGG$12="SUSP")*(COUNTIF($P16,"*"&amp;$BV$13:$AGG$13&amp;"*")&gt;0)*1))</f>
        <v>1</v>
      </c>
      <c r="AN16" s="1044" t="str">
        <f t="shared" ref="AN16:AN79" si="37">IF(B16="","",IF(AJ16&gt;0,"info Lait",IF(AND(AL16&gt;0,AK16=0),"⚠ Lait","")))</f>
        <v/>
      </c>
      <c r="AO16" s="1044" t="str">
        <f t="shared" ref="AO16:AO79" si="38">IF(B16="","",IF(AND(AN16="",AM16&gt;0,AK16=0),"suspicion Lait",""))</f>
        <v>suspicion Lait</v>
      </c>
      <c r="AP16" s="1044">
        <f t="shared" ref="AP16:AP79" si="39">IF(B16="",0,SUMPRODUCT(($BV$11:$AGG$11="Fruits a coque")*($BV$12:$AGG$12="EXCL")*(COUNTIF($P16,"*"&amp;$BV$13:$AGG$13&amp;"*")&gt;0)*1))</f>
        <v>0</v>
      </c>
      <c r="AQ16" s="1044">
        <f t="shared" ref="AQ16:AQ79" si="40">IF(B16="",0,SUMPRODUCT(($BV$11:$AGG$11="Fruits a coque")*($BV$12:$AGG$12="ALERTE")*(COUNTIF($P16,"*"&amp;$BV$13:$AGG$13&amp;"*")&gt;0)*1))</f>
        <v>0</v>
      </c>
      <c r="AR16" s="1044" t="str">
        <f t="shared" ref="AR16:AR79" si="41">IF(B16="","",IF(AND(AQ16&gt;0,AP16=0),"⚠ Fruits a coque",""))</f>
        <v/>
      </c>
      <c r="AS16" s="1044">
        <f t="shared" ref="AS16:AS79" si="42">IF(B16="",0,SUMPRODUCT(($BV$11:$AGG$11="Celeri")*($BV$12:$AGG$12="ALERTE")*(COUNTIF($P16,"*"&amp;$BV$13:$AGG$13&amp;"*")&gt;0)*1))</f>
        <v>0</v>
      </c>
      <c r="AT16" s="1044" t="str">
        <f t="shared" ref="AT16:AT79" si="43">IF(B16="","",IF(AS16&gt;0,"⚠ Celeri",""))</f>
        <v/>
      </c>
      <c r="AU16" s="1044">
        <f t="shared" ref="AU16:AU79" si="44">IF(B16="",0,SUMPRODUCT(($BV$11:$AGG$11="Moutarde")*($BV$12:$AGG$12="ALERTE")*(COUNTIF($P16,"*"&amp;$BV$13:$AGG$13&amp;"*")&gt;0)*1))</f>
        <v>0</v>
      </c>
      <c r="AV16" s="1044" t="str">
        <f t="shared" ref="AV16:AV79" si="45">IF(B16="","",IF(AU16&gt;0,"⚠ Moutarde",""))</f>
        <v/>
      </c>
      <c r="AW16" s="1044">
        <f t="shared" ref="AW16:AW79" si="46">IF(B16="",0,SUMPRODUCT(($BV$11:$AGG$11="Sesame")*($BV$12:$AGG$12="ALERTE")*(COUNTIF($P16,"*"&amp;$BV$13:$AGG$13&amp;"*")&gt;0)*1))</f>
        <v>0</v>
      </c>
      <c r="AX16" s="1044" t="str">
        <f t="shared" ref="AX16:AX79" si="47">IF(B16="","",IF(AW16&gt;0,"⚠ Sesame",""))</f>
        <v/>
      </c>
      <c r="AY16" s="1044">
        <f t="shared" ref="AY16:AY79" si="48">IF(B16="",0,SUMPRODUCT(($BV$11:$AGG$11="Sulfites")*($BV$12:$AGG$12="ALERTE")*(COUNTIF($P16,"*"&amp;$BV$13:$AGG$13&amp;"*")&gt;0)*1))</f>
        <v>0</v>
      </c>
      <c r="AZ16" s="1044" t="str">
        <f t="shared" ref="AZ16:AZ79" si="49">IF(B16="","",IF(AY16&gt;0,"⚠ Sulfites",""))</f>
        <v/>
      </c>
      <c r="BA16" s="1044">
        <f t="shared" ref="BA16:BA79" si="50">IF(B16="",0,SUMPRODUCT(($BV$11:$AGG$11="Lupin")*($BV$12:$AGG$12="ALERTE")*(COUNTIF($P16,"*"&amp;$BV$13:$AGG$13&amp;"*")&gt;0)*1))</f>
        <v>0</v>
      </c>
      <c r="BB16" s="1044" t="str">
        <f t="shared" ref="BB16:BB79" si="51">IF(B16="","",IF(BA16&gt;0,"⚠ Lupin",""))</f>
        <v/>
      </c>
      <c r="BC16" s="1044">
        <f t="shared" ref="BC16:BC79" si="52">IF(B16="",0,SUMPRODUCT(($BV$11:$AGG$11="Mollusques")*($BV$12:$AGG$12="EXCL")*(COUNTIF($P16,"*"&amp;$BV$13:$AGG$13&amp;"*")&gt;0)*1))</f>
        <v>0</v>
      </c>
      <c r="BD16" s="1044">
        <f t="shared" ref="BD16:BD79" si="53">IF(B16="",0,SUMPRODUCT(($BV$11:$AGG$11="Mollusques")*($BV$12:$AGG$12="ALERTE")*(COUNTIF($P16,"*"&amp;$BV$13:$AGG$13&amp;"*")&gt;0)*1))</f>
        <v>0</v>
      </c>
      <c r="BE16" s="1044" t="str">
        <f t="shared" ref="BE16:BE79" si="54">IF(B16="","",IF(AND(BD16&gt;0,BC16=0),"⚠ Mollusques",""))</f>
        <v/>
      </c>
      <c r="BF16" s="1044" t="str">
        <f t="shared" ref="BF16:BF79" si="55">IF(B16="","",U16)</f>
        <v/>
      </c>
      <c r="BG16" s="1044" t="str">
        <f t="shared" ref="BG16:BG79" si="56">IF(B16="","",IF(X16="",BF16,IF(BF16="",X16,BF16&amp;" • "&amp;X16)))</f>
        <v/>
      </c>
      <c r="BH16" s="1044" t="str">
        <f t="shared" ref="BH16:BH79" si="57">IF(B16="","",IF(Z16="",BG16,IF(BG16="",Z16,BG16&amp;" • "&amp;Z16)))</f>
        <v/>
      </c>
      <c r="BI16" s="1044" t="str">
        <f t="shared" ref="BI16:BI79" si="58">IF(B16="","",IF(AD16="",BH16,IF(BH16="",AD16,BH16&amp;" • "&amp;AD16)))</f>
        <v/>
      </c>
      <c r="BJ16" s="1044" t="str">
        <f t="shared" ref="BJ16:BJ79" si="59">IF(B16="","",IF(AF16="",BI16,IF(BI16="",AF16,BI16&amp;" • "&amp;AF16)))</f>
        <v/>
      </c>
      <c r="BK16" s="1044" t="str">
        <f t="shared" ref="BK16:BK79" si="60">IF(B16="","",IF(AI16="",BJ16,IF(BJ16="",AI16,BJ16&amp;" • "&amp;AI16)))</f>
        <v/>
      </c>
      <c r="BL16" s="1044" t="str">
        <f t="shared" ref="BL16:BL79" si="61">IF(B16="","",IF(AN16="",BK16,IF(BK16="",AN16,BK16&amp;" • "&amp;AN16)))</f>
        <v/>
      </c>
      <c r="BM16" s="1044" t="str">
        <f t="shared" ref="BM16:BM79" si="62">IF(B16="","",IF(AR16="",BL16,IF(BL16="",AR16,BL16&amp;" • "&amp;AR16)))</f>
        <v/>
      </c>
      <c r="BN16" s="1044" t="str">
        <f t="shared" ref="BN16:BN79" si="63">IF(B16="","",IF(AT16="",BM16,IF(BM16="",AT16,BM16&amp;" • "&amp;AT16)))</f>
        <v/>
      </c>
      <c r="BO16" s="1044" t="str">
        <f t="shared" ref="BO16:BO79" si="64">IF(B16="","",IF(AV16="",BN16,IF(BN16="",AV16,BN16&amp;" • "&amp;AV16)))</f>
        <v/>
      </c>
      <c r="BP16" s="1044" t="str">
        <f t="shared" ref="BP16:BP79" si="65">IF(B16="","",IF(AX16="",BO16,IF(BO16="",AX16,BO16&amp;" • "&amp;AX16)))</f>
        <v/>
      </c>
      <c r="BQ16" s="1044" t="str">
        <f t="shared" ref="BQ16:BQ79" si="66">IF(B16="","",IF(AZ16="",BP16,IF(BP16="",AZ16,BP16&amp;" • "&amp;AZ16)))</f>
        <v/>
      </c>
      <c r="BR16" s="1044" t="str">
        <f t="shared" ref="BR16:BR79" si="67">IF(B16="","",IF(BB16="",BQ16,IF(BQ16="",BB16,BQ16&amp;" • "&amp;BB16)))</f>
        <v/>
      </c>
      <c r="BS16" s="1044" t="str">
        <f t="shared" ref="BS16:BS79" si="68">IF(B16="","",IF(BE16="",BR16,IF(BR16="",BE16,BR16&amp;" • "&amp;BE16)))</f>
        <v/>
      </c>
      <c r="BT16" s="1044" t="str">
        <f t="shared" ref="BT16:BT79" si="69">IF(B16="","",V16)</f>
        <v/>
      </c>
      <c r="BU16" s="1044" t="str">
        <f t="shared" ref="BU16:BU79" si="70">IF(B16="","",IF(AO16="",BT16,IF(BT16="",AO16,BT16&amp;" • "&amp;AO16)))</f>
        <v>suspicion Lait</v>
      </c>
    </row>
    <row r="17" spans="1:73" ht="30" customHeight="1">
      <c r="A17" s="1069">
        <f t="shared" si="0"/>
        <v>17</v>
      </c>
      <c r="B17" s="1063" t="s">
        <v>8248</v>
      </c>
      <c r="C17" s="1064" t="s">
        <v>254</v>
      </c>
      <c r="D17" s="1070" t="str">
        <f t="shared" si="1"/>
        <v>zestes de pamplemousse</v>
      </c>
      <c r="E17" s="1071" t="str">
        <f t="shared" si="2"/>
        <v/>
      </c>
      <c r="F17" s="1067" t="str">
        <f t="shared" si="3"/>
        <v>zestes de pamplemousse</v>
      </c>
      <c r="G17" s="1068" t="str">
        <f t="shared" si="4"/>
        <v/>
      </c>
      <c r="H17" s="1069">
        <f t="shared" si="5"/>
        <v>0</v>
      </c>
      <c r="I17" s="1069">
        <f t="shared" si="6"/>
        <v>0</v>
      </c>
      <c r="J17" s="1067" t="str">
        <f t="shared" si="7"/>
        <v>aucun match</v>
      </c>
      <c r="K17" s="1044" t="str">
        <f t="shared" si="8"/>
        <v>zestes de pamplemousse</v>
      </c>
      <c r="L17" s="1044" t="str">
        <f t="shared" si="9"/>
        <v>zestes de pamplemousse</v>
      </c>
      <c r="M17" s="1044" t="str">
        <f t="shared" si="10"/>
        <v>zestes de pamplemousse</v>
      </c>
      <c r="N17" s="1044" t="str">
        <f t="shared" si="11"/>
        <v>zestes de pamplemousse</v>
      </c>
      <c r="O17" s="1044" t="str">
        <f t="shared" si="12"/>
        <v>zestes de pamplemousse</v>
      </c>
      <c r="P17" s="1044" t="str">
        <f t="shared" si="13"/>
        <v xml:space="preserve"> zestes de pamplemousse </v>
      </c>
      <c r="Q17" s="1044">
        <f t="shared" si="14"/>
        <v>0</v>
      </c>
      <c r="R17" s="1044">
        <f t="shared" si="15"/>
        <v>0</v>
      </c>
      <c r="S17" s="1044">
        <f t="shared" si="16"/>
        <v>0</v>
      </c>
      <c r="T17" s="1044">
        <f t="shared" si="17"/>
        <v>0</v>
      </c>
      <c r="U17" s="1044" t="str">
        <f t="shared" si="18"/>
        <v/>
      </c>
      <c r="V17" s="1044" t="str">
        <f t="shared" si="19"/>
        <v/>
      </c>
      <c r="W17" s="1044">
        <f t="shared" si="20"/>
        <v>0</v>
      </c>
      <c r="X17" s="1044" t="str">
        <f t="shared" si="21"/>
        <v/>
      </c>
      <c r="Y17" s="1044">
        <f t="shared" si="22"/>
        <v>0</v>
      </c>
      <c r="Z17" s="1044" t="str">
        <f t="shared" si="23"/>
        <v/>
      </c>
      <c r="AA17" s="1044">
        <f t="shared" si="24"/>
        <v>0</v>
      </c>
      <c r="AB17" s="1044">
        <f t="shared" si="25"/>
        <v>0</v>
      </c>
      <c r="AC17" s="1044">
        <f t="shared" si="26"/>
        <v>0</v>
      </c>
      <c r="AD17" s="1044" t="str">
        <f t="shared" si="27"/>
        <v/>
      </c>
      <c r="AE17" s="1044">
        <f t="shared" si="28"/>
        <v>0</v>
      </c>
      <c r="AF17" s="1044" t="str">
        <f t="shared" si="29"/>
        <v/>
      </c>
      <c r="AG17" s="1044">
        <f t="shared" si="30"/>
        <v>0</v>
      </c>
      <c r="AH17" s="1044">
        <f t="shared" si="31"/>
        <v>0</v>
      </c>
      <c r="AI17" s="1044" t="str">
        <f t="shared" si="32"/>
        <v/>
      </c>
      <c r="AJ17" s="1044">
        <f t="shared" si="33"/>
        <v>0</v>
      </c>
      <c r="AK17" s="1044">
        <f t="shared" si="34"/>
        <v>0</v>
      </c>
      <c r="AL17" s="1044">
        <f t="shared" si="35"/>
        <v>0</v>
      </c>
      <c r="AM17" s="1044">
        <f t="shared" si="36"/>
        <v>0</v>
      </c>
      <c r="AN17" s="1044" t="str">
        <f t="shared" si="37"/>
        <v/>
      </c>
      <c r="AO17" s="1044" t="str">
        <f t="shared" si="38"/>
        <v/>
      </c>
      <c r="AP17" s="1044">
        <f t="shared" si="39"/>
        <v>0</v>
      </c>
      <c r="AQ17" s="1044">
        <f t="shared" si="40"/>
        <v>0</v>
      </c>
      <c r="AR17" s="1044" t="str">
        <f t="shared" si="41"/>
        <v/>
      </c>
      <c r="AS17" s="1044">
        <f t="shared" si="42"/>
        <v>0</v>
      </c>
      <c r="AT17" s="1044" t="str">
        <f t="shared" si="43"/>
        <v/>
      </c>
      <c r="AU17" s="1044">
        <f t="shared" si="44"/>
        <v>0</v>
      </c>
      <c r="AV17" s="1044" t="str">
        <f t="shared" si="45"/>
        <v/>
      </c>
      <c r="AW17" s="1044">
        <f t="shared" si="46"/>
        <v>0</v>
      </c>
      <c r="AX17" s="1044" t="str">
        <f t="shared" si="47"/>
        <v/>
      </c>
      <c r="AY17" s="1044">
        <f t="shared" si="48"/>
        <v>0</v>
      </c>
      <c r="AZ17" s="1044" t="str">
        <f t="shared" si="49"/>
        <v/>
      </c>
      <c r="BA17" s="1044">
        <f t="shared" si="50"/>
        <v>0</v>
      </c>
      <c r="BB17" s="1044" t="str">
        <f t="shared" si="51"/>
        <v/>
      </c>
      <c r="BC17" s="1044">
        <f t="shared" si="52"/>
        <v>0</v>
      </c>
      <c r="BD17" s="1044">
        <f t="shared" si="53"/>
        <v>0</v>
      </c>
      <c r="BE17" s="1044" t="str">
        <f t="shared" si="54"/>
        <v/>
      </c>
      <c r="BF17" s="1044" t="str">
        <f t="shared" si="55"/>
        <v/>
      </c>
      <c r="BG17" s="1044" t="str">
        <f t="shared" si="56"/>
        <v/>
      </c>
      <c r="BH17" s="1044" t="str">
        <f t="shared" si="57"/>
        <v/>
      </c>
      <c r="BI17" s="1044" t="str">
        <f t="shared" si="58"/>
        <v/>
      </c>
      <c r="BJ17" s="1044" t="str">
        <f t="shared" si="59"/>
        <v/>
      </c>
      <c r="BK17" s="1044" t="str">
        <f t="shared" si="60"/>
        <v/>
      </c>
      <c r="BL17" s="1044" t="str">
        <f t="shared" si="61"/>
        <v/>
      </c>
      <c r="BM17" s="1044" t="str">
        <f t="shared" si="62"/>
        <v/>
      </c>
      <c r="BN17" s="1044" t="str">
        <f t="shared" si="63"/>
        <v/>
      </c>
      <c r="BO17" s="1044" t="str">
        <f t="shared" si="64"/>
        <v/>
      </c>
      <c r="BP17" s="1044" t="str">
        <f t="shared" si="65"/>
        <v/>
      </c>
      <c r="BQ17" s="1044" t="str">
        <f t="shared" si="66"/>
        <v/>
      </c>
      <c r="BR17" s="1044" t="str">
        <f t="shared" si="67"/>
        <v/>
      </c>
      <c r="BS17" s="1044" t="str">
        <f t="shared" si="68"/>
        <v/>
      </c>
      <c r="BT17" s="1044" t="str">
        <f t="shared" si="69"/>
        <v/>
      </c>
      <c r="BU17" s="1044" t="str">
        <f t="shared" si="70"/>
        <v/>
      </c>
    </row>
    <row r="18" spans="1:73" ht="30" customHeight="1">
      <c r="A18" s="1069">
        <f t="shared" si="0"/>
        <v>18</v>
      </c>
      <c r="B18" s="1063" t="s">
        <v>8249</v>
      </c>
      <c r="C18" s="1064" t="s">
        <v>254</v>
      </c>
      <c r="D18" s="1070" t="str">
        <f t="shared" si="1"/>
        <v>jaunes d'œufs *</v>
      </c>
      <c r="E18" s="1071" t="str">
        <f t="shared" si="2"/>
        <v>⚠ Oeufs</v>
      </c>
      <c r="F18" s="1067" t="str">
        <f t="shared" si="3"/>
        <v>jaunes d'œufs * *</v>
      </c>
      <c r="G18" s="1068" t="str">
        <f t="shared" si="4"/>
        <v/>
      </c>
      <c r="H18" s="1069">
        <f t="shared" si="5"/>
        <v>1</v>
      </c>
      <c r="I18" s="1069">
        <f t="shared" si="6"/>
        <v>0</v>
      </c>
      <c r="J18" s="1067" t="str">
        <f t="shared" si="7"/>
        <v>⚠ Oeufs</v>
      </c>
      <c r="K18" s="1044" t="str">
        <f t="shared" si="8"/>
        <v>jaunes d'œufs *</v>
      </c>
      <c r="L18" s="1044" t="str">
        <f t="shared" si="9"/>
        <v>jaunes d'oeufs *</v>
      </c>
      <c r="M18" s="1044" t="str">
        <f t="shared" si="10"/>
        <v>jaunes d'oeufs *</v>
      </c>
      <c r="N18" s="1044" t="str">
        <f t="shared" si="11"/>
        <v>jaunes d'oeufs *</v>
      </c>
      <c r="O18" s="1044" t="str">
        <f t="shared" si="12"/>
        <v xml:space="preserve">jaunes d oeufs  </v>
      </c>
      <c r="P18" s="1044" t="str">
        <f t="shared" si="13"/>
        <v xml:space="preserve"> jaunes d oeufs </v>
      </c>
      <c r="Q18" s="1044">
        <f t="shared" si="14"/>
        <v>0</v>
      </c>
      <c r="R18" s="1044">
        <f t="shared" si="15"/>
        <v>0</v>
      </c>
      <c r="S18" s="1044">
        <f t="shared" si="16"/>
        <v>0</v>
      </c>
      <c r="T18" s="1044">
        <f t="shared" si="17"/>
        <v>0</v>
      </c>
      <c r="U18" s="1044" t="str">
        <f t="shared" si="18"/>
        <v/>
      </c>
      <c r="V18" s="1044" t="str">
        <f t="shared" si="19"/>
        <v/>
      </c>
      <c r="W18" s="1044">
        <f t="shared" si="20"/>
        <v>0</v>
      </c>
      <c r="X18" s="1044" t="str">
        <f t="shared" si="21"/>
        <v/>
      </c>
      <c r="Y18" s="1044">
        <f t="shared" si="22"/>
        <v>3</v>
      </c>
      <c r="Z18" s="1044" t="str">
        <f t="shared" si="23"/>
        <v>⚠ Oeufs</v>
      </c>
      <c r="AA18" s="1044">
        <f t="shared" si="24"/>
        <v>0</v>
      </c>
      <c r="AB18" s="1044">
        <f t="shared" si="25"/>
        <v>0</v>
      </c>
      <c r="AC18" s="1044">
        <f t="shared" si="26"/>
        <v>0</v>
      </c>
      <c r="AD18" s="1044" t="str">
        <f t="shared" si="27"/>
        <v/>
      </c>
      <c r="AE18" s="1044">
        <f t="shared" si="28"/>
        <v>0</v>
      </c>
      <c r="AF18" s="1044" t="str">
        <f t="shared" si="29"/>
        <v/>
      </c>
      <c r="AG18" s="1044">
        <f t="shared" si="30"/>
        <v>0</v>
      </c>
      <c r="AH18" s="1044">
        <f t="shared" si="31"/>
        <v>0</v>
      </c>
      <c r="AI18" s="1044" t="str">
        <f t="shared" si="32"/>
        <v/>
      </c>
      <c r="AJ18" s="1044">
        <f t="shared" si="33"/>
        <v>0</v>
      </c>
      <c r="AK18" s="1044">
        <f t="shared" si="34"/>
        <v>0</v>
      </c>
      <c r="AL18" s="1044">
        <f t="shared" si="35"/>
        <v>0</v>
      </c>
      <c r="AM18" s="1044">
        <f t="shared" si="36"/>
        <v>0</v>
      </c>
      <c r="AN18" s="1044" t="str">
        <f t="shared" si="37"/>
        <v/>
      </c>
      <c r="AO18" s="1044" t="str">
        <f t="shared" si="38"/>
        <v/>
      </c>
      <c r="AP18" s="1044">
        <f t="shared" si="39"/>
        <v>0</v>
      </c>
      <c r="AQ18" s="1044">
        <f t="shared" si="40"/>
        <v>0</v>
      </c>
      <c r="AR18" s="1044" t="str">
        <f t="shared" si="41"/>
        <v/>
      </c>
      <c r="AS18" s="1044">
        <f t="shared" si="42"/>
        <v>0</v>
      </c>
      <c r="AT18" s="1044" t="str">
        <f t="shared" si="43"/>
        <v/>
      </c>
      <c r="AU18" s="1044">
        <f t="shared" si="44"/>
        <v>0</v>
      </c>
      <c r="AV18" s="1044" t="str">
        <f t="shared" si="45"/>
        <v/>
      </c>
      <c r="AW18" s="1044">
        <f t="shared" si="46"/>
        <v>0</v>
      </c>
      <c r="AX18" s="1044" t="str">
        <f t="shared" si="47"/>
        <v/>
      </c>
      <c r="AY18" s="1044">
        <f t="shared" si="48"/>
        <v>0</v>
      </c>
      <c r="AZ18" s="1044" t="str">
        <f t="shared" si="49"/>
        <v/>
      </c>
      <c r="BA18" s="1044">
        <f t="shared" si="50"/>
        <v>0</v>
      </c>
      <c r="BB18" s="1044" t="str">
        <f t="shared" si="51"/>
        <v/>
      </c>
      <c r="BC18" s="1044">
        <f t="shared" si="52"/>
        <v>0</v>
      </c>
      <c r="BD18" s="1044">
        <f t="shared" si="53"/>
        <v>0</v>
      </c>
      <c r="BE18" s="1044" t="str">
        <f t="shared" si="54"/>
        <v/>
      </c>
      <c r="BF18" s="1044" t="str">
        <f t="shared" si="55"/>
        <v/>
      </c>
      <c r="BG18" s="1044" t="str">
        <f t="shared" si="56"/>
        <v/>
      </c>
      <c r="BH18" s="1044" t="str">
        <f t="shared" si="57"/>
        <v>⚠ Oeufs</v>
      </c>
      <c r="BI18" s="1044" t="str">
        <f t="shared" si="58"/>
        <v>⚠ Oeufs</v>
      </c>
      <c r="BJ18" s="1044" t="str">
        <f t="shared" si="59"/>
        <v>⚠ Oeufs</v>
      </c>
      <c r="BK18" s="1044" t="str">
        <f t="shared" si="60"/>
        <v>⚠ Oeufs</v>
      </c>
      <c r="BL18" s="1044" t="str">
        <f t="shared" si="61"/>
        <v>⚠ Oeufs</v>
      </c>
      <c r="BM18" s="1044" t="str">
        <f t="shared" si="62"/>
        <v>⚠ Oeufs</v>
      </c>
      <c r="BN18" s="1044" t="str">
        <f t="shared" si="63"/>
        <v>⚠ Oeufs</v>
      </c>
      <c r="BO18" s="1044" t="str">
        <f t="shared" si="64"/>
        <v>⚠ Oeufs</v>
      </c>
      <c r="BP18" s="1044" t="str">
        <f t="shared" si="65"/>
        <v>⚠ Oeufs</v>
      </c>
      <c r="BQ18" s="1044" t="str">
        <f t="shared" si="66"/>
        <v>⚠ Oeufs</v>
      </c>
      <c r="BR18" s="1044" t="str">
        <f t="shared" si="67"/>
        <v>⚠ Oeufs</v>
      </c>
      <c r="BS18" s="1044" t="str">
        <f t="shared" si="68"/>
        <v>⚠ Oeufs</v>
      </c>
      <c r="BT18" s="1044" t="str">
        <f t="shared" si="69"/>
        <v/>
      </c>
      <c r="BU18" s="1044" t="str">
        <f t="shared" si="70"/>
        <v/>
      </c>
    </row>
    <row r="19" spans="1:73" ht="30" customHeight="1">
      <c r="A19" s="1069">
        <f t="shared" si="0"/>
        <v>19</v>
      </c>
      <c r="B19" s="1063" t="s">
        <v>8250</v>
      </c>
      <c r="C19" s="1064" t="s">
        <v>254</v>
      </c>
      <c r="D19" s="1070" t="str">
        <f t="shared" si="1"/>
        <v>cassonade antillaise</v>
      </c>
      <c r="E19" s="1071" t="str">
        <f t="shared" si="2"/>
        <v/>
      </c>
      <c r="F19" s="1067" t="str">
        <f t="shared" si="3"/>
        <v>cassonade antillaise</v>
      </c>
      <c r="G19" s="1068" t="str">
        <f t="shared" si="4"/>
        <v/>
      </c>
      <c r="H19" s="1069">
        <f t="shared" si="5"/>
        <v>0</v>
      </c>
      <c r="I19" s="1069">
        <f t="shared" si="6"/>
        <v>0</v>
      </c>
      <c r="J19" s="1067" t="str">
        <f t="shared" si="7"/>
        <v>aucun match</v>
      </c>
      <c r="K19" s="1044" t="str">
        <f t="shared" si="8"/>
        <v>cassonade antillaise</v>
      </c>
      <c r="L19" s="1044" t="str">
        <f t="shared" si="9"/>
        <v>cassonade antillaise</v>
      </c>
      <c r="M19" s="1044" t="str">
        <f t="shared" si="10"/>
        <v>cassonade antillaise</v>
      </c>
      <c r="N19" s="1044" t="str">
        <f t="shared" si="11"/>
        <v>cassonade antillaise</v>
      </c>
      <c r="O19" s="1044" t="str">
        <f t="shared" si="12"/>
        <v>cassonade antillaise</v>
      </c>
      <c r="P19" s="1044" t="str">
        <f t="shared" si="13"/>
        <v xml:space="preserve"> cassonade antillaise </v>
      </c>
      <c r="Q19" s="1044">
        <f t="shared" si="14"/>
        <v>0</v>
      </c>
      <c r="R19" s="1044">
        <f t="shared" si="15"/>
        <v>0</v>
      </c>
      <c r="S19" s="1044">
        <f t="shared" si="16"/>
        <v>0</v>
      </c>
      <c r="T19" s="1044">
        <f t="shared" si="17"/>
        <v>0</v>
      </c>
      <c r="U19" s="1044" t="str">
        <f t="shared" si="18"/>
        <v/>
      </c>
      <c r="V19" s="1044" t="str">
        <f t="shared" si="19"/>
        <v/>
      </c>
      <c r="W19" s="1044">
        <f t="shared" si="20"/>
        <v>0</v>
      </c>
      <c r="X19" s="1044" t="str">
        <f t="shared" si="21"/>
        <v/>
      </c>
      <c r="Y19" s="1044">
        <f t="shared" si="22"/>
        <v>0</v>
      </c>
      <c r="Z19" s="1044" t="str">
        <f t="shared" si="23"/>
        <v/>
      </c>
      <c r="AA19" s="1044">
        <f t="shared" si="24"/>
        <v>0</v>
      </c>
      <c r="AB19" s="1044">
        <f t="shared" si="25"/>
        <v>0</v>
      </c>
      <c r="AC19" s="1044">
        <f t="shared" si="26"/>
        <v>0</v>
      </c>
      <c r="AD19" s="1044" t="str">
        <f t="shared" si="27"/>
        <v/>
      </c>
      <c r="AE19" s="1044">
        <f t="shared" si="28"/>
        <v>0</v>
      </c>
      <c r="AF19" s="1044" t="str">
        <f t="shared" si="29"/>
        <v/>
      </c>
      <c r="AG19" s="1044">
        <f t="shared" si="30"/>
        <v>0</v>
      </c>
      <c r="AH19" s="1044">
        <f t="shared" si="31"/>
        <v>0</v>
      </c>
      <c r="AI19" s="1044" t="str">
        <f t="shared" si="32"/>
        <v/>
      </c>
      <c r="AJ19" s="1044">
        <f t="shared" si="33"/>
        <v>0</v>
      </c>
      <c r="AK19" s="1044">
        <f t="shared" si="34"/>
        <v>0</v>
      </c>
      <c r="AL19" s="1044">
        <f t="shared" si="35"/>
        <v>0</v>
      </c>
      <c r="AM19" s="1044">
        <f t="shared" si="36"/>
        <v>0</v>
      </c>
      <c r="AN19" s="1044" t="str">
        <f t="shared" si="37"/>
        <v/>
      </c>
      <c r="AO19" s="1044" t="str">
        <f t="shared" si="38"/>
        <v/>
      </c>
      <c r="AP19" s="1044">
        <f t="shared" si="39"/>
        <v>0</v>
      </c>
      <c r="AQ19" s="1044">
        <f t="shared" si="40"/>
        <v>0</v>
      </c>
      <c r="AR19" s="1044" t="str">
        <f t="shared" si="41"/>
        <v/>
      </c>
      <c r="AS19" s="1044">
        <f t="shared" si="42"/>
        <v>0</v>
      </c>
      <c r="AT19" s="1044" t="str">
        <f t="shared" si="43"/>
        <v/>
      </c>
      <c r="AU19" s="1044">
        <f t="shared" si="44"/>
        <v>0</v>
      </c>
      <c r="AV19" s="1044" t="str">
        <f t="shared" si="45"/>
        <v/>
      </c>
      <c r="AW19" s="1044">
        <f t="shared" si="46"/>
        <v>0</v>
      </c>
      <c r="AX19" s="1044" t="str">
        <f t="shared" si="47"/>
        <v/>
      </c>
      <c r="AY19" s="1044">
        <f t="shared" si="48"/>
        <v>0</v>
      </c>
      <c r="AZ19" s="1044" t="str">
        <f t="shared" si="49"/>
        <v/>
      </c>
      <c r="BA19" s="1044">
        <f t="shared" si="50"/>
        <v>0</v>
      </c>
      <c r="BB19" s="1044" t="str">
        <f t="shared" si="51"/>
        <v/>
      </c>
      <c r="BC19" s="1044">
        <f t="shared" si="52"/>
        <v>0</v>
      </c>
      <c r="BD19" s="1044">
        <f t="shared" si="53"/>
        <v>0</v>
      </c>
      <c r="BE19" s="1044" t="str">
        <f t="shared" si="54"/>
        <v/>
      </c>
      <c r="BF19" s="1044" t="str">
        <f t="shared" si="55"/>
        <v/>
      </c>
      <c r="BG19" s="1044" t="str">
        <f t="shared" si="56"/>
        <v/>
      </c>
      <c r="BH19" s="1044" t="str">
        <f t="shared" si="57"/>
        <v/>
      </c>
      <c r="BI19" s="1044" t="str">
        <f t="shared" si="58"/>
        <v/>
      </c>
      <c r="BJ19" s="1044" t="str">
        <f t="shared" si="59"/>
        <v/>
      </c>
      <c r="BK19" s="1044" t="str">
        <f t="shared" si="60"/>
        <v/>
      </c>
      <c r="BL19" s="1044" t="str">
        <f t="shared" si="61"/>
        <v/>
      </c>
      <c r="BM19" s="1044" t="str">
        <f t="shared" si="62"/>
        <v/>
      </c>
      <c r="BN19" s="1044" t="str">
        <f t="shared" si="63"/>
        <v/>
      </c>
      <c r="BO19" s="1044" t="str">
        <f t="shared" si="64"/>
        <v/>
      </c>
      <c r="BP19" s="1044" t="str">
        <f t="shared" si="65"/>
        <v/>
      </c>
      <c r="BQ19" s="1044" t="str">
        <f t="shared" si="66"/>
        <v/>
      </c>
      <c r="BR19" s="1044" t="str">
        <f t="shared" si="67"/>
        <v/>
      </c>
      <c r="BS19" s="1044" t="str">
        <f t="shared" si="68"/>
        <v/>
      </c>
      <c r="BT19" s="1044" t="str">
        <f t="shared" si="69"/>
        <v/>
      </c>
      <c r="BU19" s="1044" t="str">
        <f t="shared" si="70"/>
        <v/>
      </c>
    </row>
    <row r="20" spans="1:73" ht="30" customHeight="1">
      <c r="A20" s="1069">
        <f t="shared" si="0"/>
        <v>20</v>
      </c>
      <c r="B20" s="1063" t="s">
        <v>8251</v>
      </c>
      <c r="C20" s="1064" t="s">
        <v>254</v>
      </c>
      <c r="D20" s="1070" t="str">
        <f t="shared" si="1"/>
        <v>maïzena</v>
      </c>
      <c r="E20" s="1071" t="str">
        <f t="shared" si="2"/>
        <v/>
      </c>
      <c r="F20" s="1067" t="str">
        <f t="shared" si="3"/>
        <v>maïzena</v>
      </c>
      <c r="G20" s="1068" t="str">
        <f t="shared" si="4"/>
        <v/>
      </c>
      <c r="H20" s="1069">
        <f t="shared" si="5"/>
        <v>0</v>
      </c>
      <c r="I20" s="1069">
        <f t="shared" si="6"/>
        <v>0</v>
      </c>
      <c r="J20" s="1067" t="str">
        <f t="shared" si="7"/>
        <v>aucun match</v>
      </c>
      <c r="K20" s="1044" t="str">
        <f t="shared" si="8"/>
        <v>maïzena</v>
      </c>
      <c r="L20" s="1044" t="str">
        <f t="shared" si="9"/>
        <v>maïzena</v>
      </c>
      <c r="M20" s="1044" t="str">
        <f t="shared" si="10"/>
        <v>maizena</v>
      </c>
      <c r="N20" s="1044" t="str">
        <f t="shared" si="11"/>
        <v>maizena</v>
      </c>
      <c r="O20" s="1044" t="str">
        <f t="shared" si="12"/>
        <v>maizena</v>
      </c>
      <c r="P20" s="1044" t="str">
        <f t="shared" si="13"/>
        <v xml:space="preserve"> maizena </v>
      </c>
      <c r="Q20" s="1044">
        <f t="shared" si="14"/>
        <v>0</v>
      </c>
      <c r="R20" s="1044">
        <f t="shared" si="15"/>
        <v>1</v>
      </c>
      <c r="S20" s="1044">
        <f t="shared" si="16"/>
        <v>0</v>
      </c>
      <c r="T20" s="1044">
        <f t="shared" si="17"/>
        <v>0</v>
      </c>
      <c r="U20" s="1044" t="str">
        <f t="shared" si="18"/>
        <v/>
      </c>
      <c r="V20" s="1044" t="str">
        <f t="shared" si="19"/>
        <v/>
      </c>
      <c r="W20" s="1044">
        <f t="shared" si="20"/>
        <v>0</v>
      </c>
      <c r="X20" s="1044" t="str">
        <f t="shared" si="21"/>
        <v/>
      </c>
      <c r="Y20" s="1044">
        <f t="shared" si="22"/>
        <v>0</v>
      </c>
      <c r="Z20" s="1044" t="str">
        <f t="shared" si="23"/>
        <v/>
      </c>
      <c r="AA20" s="1044">
        <f t="shared" si="24"/>
        <v>0</v>
      </c>
      <c r="AB20" s="1044">
        <f t="shared" si="25"/>
        <v>0</v>
      </c>
      <c r="AC20" s="1044">
        <f t="shared" si="26"/>
        <v>0</v>
      </c>
      <c r="AD20" s="1044" t="str">
        <f t="shared" si="27"/>
        <v/>
      </c>
      <c r="AE20" s="1044">
        <f t="shared" si="28"/>
        <v>0</v>
      </c>
      <c r="AF20" s="1044" t="str">
        <f t="shared" si="29"/>
        <v/>
      </c>
      <c r="AG20" s="1044">
        <f t="shared" si="30"/>
        <v>0</v>
      </c>
      <c r="AH20" s="1044">
        <f t="shared" si="31"/>
        <v>0</v>
      </c>
      <c r="AI20" s="1044" t="str">
        <f t="shared" si="32"/>
        <v/>
      </c>
      <c r="AJ20" s="1044">
        <f t="shared" si="33"/>
        <v>0</v>
      </c>
      <c r="AK20" s="1044">
        <f t="shared" si="34"/>
        <v>0</v>
      </c>
      <c r="AL20" s="1044">
        <f t="shared" si="35"/>
        <v>0</v>
      </c>
      <c r="AM20" s="1044">
        <f t="shared" si="36"/>
        <v>0</v>
      </c>
      <c r="AN20" s="1044" t="str">
        <f t="shared" si="37"/>
        <v/>
      </c>
      <c r="AO20" s="1044" t="str">
        <f t="shared" si="38"/>
        <v/>
      </c>
      <c r="AP20" s="1044">
        <f t="shared" si="39"/>
        <v>0</v>
      </c>
      <c r="AQ20" s="1044">
        <f t="shared" si="40"/>
        <v>0</v>
      </c>
      <c r="AR20" s="1044" t="str">
        <f t="shared" si="41"/>
        <v/>
      </c>
      <c r="AS20" s="1044">
        <f t="shared" si="42"/>
        <v>0</v>
      </c>
      <c r="AT20" s="1044" t="str">
        <f t="shared" si="43"/>
        <v/>
      </c>
      <c r="AU20" s="1044">
        <f t="shared" si="44"/>
        <v>0</v>
      </c>
      <c r="AV20" s="1044" t="str">
        <f t="shared" si="45"/>
        <v/>
      </c>
      <c r="AW20" s="1044">
        <f t="shared" si="46"/>
        <v>0</v>
      </c>
      <c r="AX20" s="1044" t="str">
        <f t="shared" si="47"/>
        <v/>
      </c>
      <c r="AY20" s="1044">
        <f t="shared" si="48"/>
        <v>0</v>
      </c>
      <c r="AZ20" s="1044" t="str">
        <f t="shared" si="49"/>
        <v/>
      </c>
      <c r="BA20" s="1044">
        <f t="shared" si="50"/>
        <v>0</v>
      </c>
      <c r="BB20" s="1044" t="str">
        <f t="shared" si="51"/>
        <v/>
      </c>
      <c r="BC20" s="1044">
        <f t="shared" si="52"/>
        <v>0</v>
      </c>
      <c r="BD20" s="1044">
        <f t="shared" si="53"/>
        <v>0</v>
      </c>
      <c r="BE20" s="1044" t="str">
        <f t="shared" si="54"/>
        <v/>
      </c>
      <c r="BF20" s="1044" t="str">
        <f t="shared" si="55"/>
        <v/>
      </c>
      <c r="BG20" s="1044" t="str">
        <f t="shared" si="56"/>
        <v/>
      </c>
      <c r="BH20" s="1044" t="str">
        <f t="shared" si="57"/>
        <v/>
      </c>
      <c r="BI20" s="1044" t="str">
        <f t="shared" si="58"/>
        <v/>
      </c>
      <c r="BJ20" s="1044" t="str">
        <f t="shared" si="59"/>
        <v/>
      </c>
      <c r="BK20" s="1044" t="str">
        <f t="shared" si="60"/>
        <v/>
      </c>
      <c r="BL20" s="1044" t="str">
        <f t="shared" si="61"/>
        <v/>
      </c>
      <c r="BM20" s="1044" t="str">
        <f t="shared" si="62"/>
        <v/>
      </c>
      <c r="BN20" s="1044" t="str">
        <f t="shared" si="63"/>
        <v/>
      </c>
      <c r="BO20" s="1044" t="str">
        <f t="shared" si="64"/>
        <v/>
      </c>
      <c r="BP20" s="1044" t="str">
        <f t="shared" si="65"/>
        <v/>
      </c>
      <c r="BQ20" s="1044" t="str">
        <f t="shared" si="66"/>
        <v/>
      </c>
      <c r="BR20" s="1044" t="str">
        <f t="shared" si="67"/>
        <v/>
      </c>
      <c r="BS20" s="1044" t="str">
        <f t="shared" si="68"/>
        <v/>
      </c>
      <c r="BT20" s="1044" t="str">
        <f t="shared" si="69"/>
        <v/>
      </c>
      <c r="BU20" s="1044" t="str">
        <f t="shared" si="70"/>
        <v/>
      </c>
    </row>
    <row r="21" spans="1:73" ht="30" customHeight="1">
      <c r="A21" s="1069">
        <f t="shared" si="0"/>
        <v>21</v>
      </c>
      <c r="B21" s="1063" t="s">
        <v>8252</v>
      </c>
      <c r="C21" s="1064" t="s">
        <v>254</v>
      </c>
      <c r="D21" s="1070" t="str">
        <f t="shared" si="1"/>
        <v>gélatine</v>
      </c>
      <c r="E21" s="1071" t="str">
        <f t="shared" si="2"/>
        <v/>
      </c>
      <c r="F21" s="1067" t="str">
        <f t="shared" si="3"/>
        <v>gélatine</v>
      </c>
      <c r="G21" s="1068" t="str">
        <f t="shared" si="4"/>
        <v/>
      </c>
      <c r="H21" s="1069">
        <f t="shared" si="5"/>
        <v>0</v>
      </c>
      <c r="I21" s="1069">
        <f t="shared" si="6"/>
        <v>0</v>
      </c>
      <c r="J21" s="1067" t="str">
        <f t="shared" si="7"/>
        <v>aucun match</v>
      </c>
      <c r="K21" s="1044" t="str">
        <f t="shared" si="8"/>
        <v>gélatine</v>
      </c>
      <c r="L21" s="1044" t="str">
        <f t="shared" si="9"/>
        <v>gélatine</v>
      </c>
      <c r="M21" s="1044" t="str">
        <f t="shared" si="10"/>
        <v>gelatine</v>
      </c>
      <c r="N21" s="1044" t="str">
        <f t="shared" si="11"/>
        <v>gelatine</v>
      </c>
      <c r="O21" s="1044" t="str">
        <f t="shared" si="12"/>
        <v>gelatine</v>
      </c>
      <c r="P21" s="1044" t="str">
        <f t="shared" si="13"/>
        <v xml:space="preserve"> gelatine </v>
      </c>
      <c r="Q21" s="1044">
        <f t="shared" si="14"/>
        <v>0</v>
      </c>
      <c r="R21" s="1044">
        <f t="shared" si="15"/>
        <v>0</v>
      </c>
      <c r="S21" s="1044">
        <f t="shared" si="16"/>
        <v>0</v>
      </c>
      <c r="T21" s="1044">
        <f t="shared" si="17"/>
        <v>0</v>
      </c>
      <c r="U21" s="1044" t="str">
        <f t="shared" si="18"/>
        <v/>
      </c>
      <c r="V21" s="1044" t="str">
        <f t="shared" si="19"/>
        <v/>
      </c>
      <c r="W21" s="1044">
        <f t="shared" si="20"/>
        <v>0</v>
      </c>
      <c r="X21" s="1044" t="str">
        <f t="shared" si="21"/>
        <v/>
      </c>
      <c r="Y21" s="1044">
        <f t="shared" si="22"/>
        <v>0</v>
      </c>
      <c r="Z21" s="1044" t="str">
        <f t="shared" si="23"/>
        <v/>
      </c>
      <c r="AA21" s="1044">
        <f t="shared" si="24"/>
        <v>0</v>
      </c>
      <c r="AB21" s="1044">
        <f t="shared" si="25"/>
        <v>0</v>
      </c>
      <c r="AC21" s="1044">
        <f t="shared" si="26"/>
        <v>0</v>
      </c>
      <c r="AD21" s="1044" t="str">
        <f t="shared" si="27"/>
        <v/>
      </c>
      <c r="AE21" s="1044">
        <f t="shared" si="28"/>
        <v>0</v>
      </c>
      <c r="AF21" s="1044" t="str">
        <f t="shared" si="29"/>
        <v/>
      </c>
      <c r="AG21" s="1044">
        <f t="shared" si="30"/>
        <v>0</v>
      </c>
      <c r="AH21" s="1044">
        <f t="shared" si="31"/>
        <v>0</v>
      </c>
      <c r="AI21" s="1044" t="str">
        <f t="shared" si="32"/>
        <v/>
      </c>
      <c r="AJ21" s="1044">
        <f t="shared" si="33"/>
        <v>0</v>
      </c>
      <c r="AK21" s="1044">
        <f t="shared" si="34"/>
        <v>0</v>
      </c>
      <c r="AL21" s="1044">
        <f t="shared" si="35"/>
        <v>0</v>
      </c>
      <c r="AM21" s="1044">
        <f t="shared" si="36"/>
        <v>0</v>
      </c>
      <c r="AN21" s="1044" t="str">
        <f t="shared" si="37"/>
        <v/>
      </c>
      <c r="AO21" s="1044" t="str">
        <f t="shared" si="38"/>
        <v/>
      </c>
      <c r="AP21" s="1044">
        <f t="shared" si="39"/>
        <v>0</v>
      </c>
      <c r="AQ21" s="1044">
        <f t="shared" si="40"/>
        <v>0</v>
      </c>
      <c r="AR21" s="1044" t="str">
        <f t="shared" si="41"/>
        <v/>
      </c>
      <c r="AS21" s="1044">
        <f t="shared" si="42"/>
        <v>0</v>
      </c>
      <c r="AT21" s="1044" t="str">
        <f t="shared" si="43"/>
        <v/>
      </c>
      <c r="AU21" s="1044">
        <f t="shared" si="44"/>
        <v>0</v>
      </c>
      <c r="AV21" s="1044" t="str">
        <f t="shared" si="45"/>
        <v/>
      </c>
      <c r="AW21" s="1044">
        <f t="shared" si="46"/>
        <v>0</v>
      </c>
      <c r="AX21" s="1044" t="str">
        <f t="shared" si="47"/>
        <v/>
      </c>
      <c r="AY21" s="1044">
        <f t="shared" si="48"/>
        <v>0</v>
      </c>
      <c r="AZ21" s="1044" t="str">
        <f t="shared" si="49"/>
        <v/>
      </c>
      <c r="BA21" s="1044">
        <f t="shared" si="50"/>
        <v>0</v>
      </c>
      <c r="BB21" s="1044" t="str">
        <f t="shared" si="51"/>
        <v/>
      </c>
      <c r="BC21" s="1044">
        <f t="shared" si="52"/>
        <v>0</v>
      </c>
      <c r="BD21" s="1044">
        <f t="shared" si="53"/>
        <v>0</v>
      </c>
      <c r="BE21" s="1044" t="str">
        <f t="shared" si="54"/>
        <v/>
      </c>
      <c r="BF21" s="1044" t="str">
        <f t="shared" si="55"/>
        <v/>
      </c>
      <c r="BG21" s="1044" t="str">
        <f t="shared" si="56"/>
        <v/>
      </c>
      <c r="BH21" s="1044" t="str">
        <f t="shared" si="57"/>
        <v/>
      </c>
      <c r="BI21" s="1044" t="str">
        <f t="shared" si="58"/>
        <v/>
      </c>
      <c r="BJ21" s="1044" t="str">
        <f t="shared" si="59"/>
        <v/>
      </c>
      <c r="BK21" s="1044" t="str">
        <f t="shared" si="60"/>
        <v/>
      </c>
      <c r="BL21" s="1044" t="str">
        <f t="shared" si="61"/>
        <v/>
      </c>
      <c r="BM21" s="1044" t="str">
        <f t="shared" si="62"/>
        <v/>
      </c>
      <c r="BN21" s="1044" t="str">
        <f t="shared" si="63"/>
        <v/>
      </c>
      <c r="BO21" s="1044" t="str">
        <f t="shared" si="64"/>
        <v/>
      </c>
      <c r="BP21" s="1044" t="str">
        <f t="shared" si="65"/>
        <v/>
      </c>
      <c r="BQ21" s="1044" t="str">
        <f t="shared" si="66"/>
        <v/>
      </c>
      <c r="BR21" s="1044" t="str">
        <f t="shared" si="67"/>
        <v/>
      </c>
      <c r="BS21" s="1044" t="str">
        <f t="shared" si="68"/>
        <v/>
      </c>
      <c r="BT21" s="1044" t="str">
        <f t="shared" si="69"/>
        <v/>
      </c>
      <c r="BU21" s="1044" t="str">
        <f t="shared" si="70"/>
        <v/>
      </c>
    </row>
    <row r="22" spans="1:73" ht="30" customHeight="1">
      <c r="A22" s="1069">
        <f t="shared" si="0"/>
        <v>22</v>
      </c>
      <c r="B22" s="1063" t="s">
        <v>8253</v>
      </c>
      <c r="C22" s="1064" t="s">
        <v>254</v>
      </c>
      <c r="D22" s="1070" t="str">
        <f t="shared" si="1"/>
        <v>blancs</v>
      </c>
      <c r="E22" s="1071" t="str">
        <f t="shared" si="2"/>
        <v/>
      </c>
      <c r="F22" s="1067" t="str">
        <f t="shared" si="3"/>
        <v>blancs</v>
      </c>
      <c r="G22" s="1068" t="str">
        <f t="shared" si="4"/>
        <v/>
      </c>
      <c r="H22" s="1069">
        <f t="shared" si="5"/>
        <v>0</v>
      </c>
      <c r="I22" s="1069">
        <f t="shared" si="6"/>
        <v>0</v>
      </c>
      <c r="J22" s="1067" t="str">
        <f t="shared" si="7"/>
        <v>aucun match</v>
      </c>
      <c r="K22" s="1044" t="str">
        <f t="shared" si="8"/>
        <v>blancs</v>
      </c>
      <c r="L22" s="1044" t="str">
        <f t="shared" si="9"/>
        <v>blancs</v>
      </c>
      <c r="M22" s="1044" t="str">
        <f t="shared" si="10"/>
        <v>blancs</v>
      </c>
      <c r="N22" s="1044" t="str">
        <f t="shared" si="11"/>
        <v>blancs</v>
      </c>
      <c r="O22" s="1044" t="str">
        <f t="shared" si="12"/>
        <v>blancs</v>
      </c>
      <c r="P22" s="1044" t="str">
        <f t="shared" si="13"/>
        <v xml:space="preserve"> blancs </v>
      </c>
      <c r="Q22" s="1044">
        <f t="shared" si="14"/>
        <v>0</v>
      </c>
      <c r="R22" s="1044">
        <f t="shared" si="15"/>
        <v>0</v>
      </c>
      <c r="S22" s="1044">
        <f t="shared" si="16"/>
        <v>0</v>
      </c>
      <c r="T22" s="1044">
        <f t="shared" si="17"/>
        <v>0</v>
      </c>
      <c r="U22" s="1044" t="str">
        <f t="shared" si="18"/>
        <v/>
      </c>
      <c r="V22" s="1044" t="str">
        <f t="shared" si="19"/>
        <v/>
      </c>
      <c r="W22" s="1044">
        <f t="shared" si="20"/>
        <v>0</v>
      </c>
      <c r="X22" s="1044" t="str">
        <f t="shared" si="21"/>
        <v/>
      </c>
      <c r="Y22" s="1044">
        <f t="shared" si="22"/>
        <v>0</v>
      </c>
      <c r="Z22" s="1044" t="str">
        <f t="shared" si="23"/>
        <v/>
      </c>
      <c r="AA22" s="1044">
        <f t="shared" si="24"/>
        <v>0</v>
      </c>
      <c r="AB22" s="1044">
        <f t="shared" si="25"/>
        <v>0</v>
      </c>
      <c r="AC22" s="1044">
        <f t="shared" si="26"/>
        <v>0</v>
      </c>
      <c r="AD22" s="1044" t="str">
        <f t="shared" si="27"/>
        <v/>
      </c>
      <c r="AE22" s="1044">
        <f t="shared" si="28"/>
        <v>0</v>
      </c>
      <c r="AF22" s="1044" t="str">
        <f t="shared" si="29"/>
        <v/>
      </c>
      <c r="AG22" s="1044">
        <f t="shared" si="30"/>
        <v>0</v>
      </c>
      <c r="AH22" s="1044">
        <f t="shared" si="31"/>
        <v>0</v>
      </c>
      <c r="AI22" s="1044" t="str">
        <f t="shared" si="32"/>
        <v/>
      </c>
      <c r="AJ22" s="1044">
        <f t="shared" si="33"/>
        <v>0</v>
      </c>
      <c r="AK22" s="1044">
        <f t="shared" si="34"/>
        <v>0</v>
      </c>
      <c r="AL22" s="1044">
        <f t="shared" si="35"/>
        <v>0</v>
      </c>
      <c r="AM22" s="1044">
        <f t="shared" si="36"/>
        <v>0</v>
      </c>
      <c r="AN22" s="1044" t="str">
        <f t="shared" si="37"/>
        <v/>
      </c>
      <c r="AO22" s="1044" t="str">
        <f t="shared" si="38"/>
        <v/>
      </c>
      <c r="AP22" s="1044">
        <f t="shared" si="39"/>
        <v>0</v>
      </c>
      <c r="AQ22" s="1044">
        <f t="shared" si="40"/>
        <v>0</v>
      </c>
      <c r="AR22" s="1044" t="str">
        <f t="shared" si="41"/>
        <v/>
      </c>
      <c r="AS22" s="1044">
        <f t="shared" si="42"/>
        <v>0</v>
      </c>
      <c r="AT22" s="1044" t="str">
        <f t="shared" si="43"/>
        <v/>
      </c>
      <c r="AU22" s="1044">
        <f t="shared" si="44"/>
        <v>0</v>
      </c>
      <c r="AV22" s="1044" t="str">
        <f t="shared" si="45"/>
        <v/>
      </c>
      <c r="AW22" s="1044">
        <f t="shared" si="46"/>
        <v>0</v>
      </c>
      <c r="AX22" s="1044" t="str">
        <f t="shared" si="47"/>
        <v/>
      </c>
      <c r="AY22" s="1044">
        <f t="shared" si="48"/>
        <v>0</v>
      </c>
      <c r="AZ22" s="1044" t="str">
        <f t="shared" si="49"/>
        <v/>
      </c>
      <c r="BA22" s="1044">
        <f t="shared" si="50"/>
        <v>0</v>
      </c>
      <c r="BB22" s="1044" t="str">
        <f t="shared" si="51"/>
        <v/>
      </c>
      <c r="BC22" s="1044">
        <f t="shared" si="52"/>
        <v>0</v>
      </c>
      <c r="BD22" s="1044">
        <f t="shared" si="53"/>
        <v>0</v>
      </c>
      <c r="BE22" s="1044" t="str">
        <f t="shared" si="54"/>
        <v/>
      </c>
      <c r="BF22" s="1044" t="str">
        <f t="shared" si="55"/>
        <v/>
      </c>
      <c r="BG22" s="1044" t="str">
        <f t="shared" si="56"/>
        <v/>
      </c>
      <c r="BH22" s="1044" t="str">
        <f t="shared" si="57"/>
        <v/>
      </c>
      <c r="BI22" s="1044" t="str">
        <f t="shared" si="58"/>
        <v/>
      </c>
      <c r="BJ22" s="1044" t="str">
        <f t="shared" si="59"/>
        <v/>
      </c>
      <c r="BK22" s="1044" t="str">
        <f t="shared" si="60"/>
        <v/>
      </c>
      <c r="BL22" s="1044" t="str">
        <f t="shared" si="61"/>
        <v/>
      </c>
      <c r="BM22" s="1044" t="str">
        <f t="shared" si="62"/>
        <v/>
      </c>
      <c r="BN22" s="1044" t="str">
        <f t="shared" si="63"/>
        <v/>
      </c>
      <c r="BO22" s="1044" t="str">
        <f t="shared" si="64"/>
        <v/>
      </c>
      <c r="BP22" s="1044" t="str">
        <f t="shared" si="65"/>
        <v/>
      </c>
      <c r="BQ22" s="1044" t="str">
        <f t="shared" si="66"/>
        <v/>
      </c>
      <c r="BR22" s="1044" t="str">
        <f t="shared" si="67"/>
        <v/>
      </c>
      <c r="BS22" s="1044" t="str">
        <f t="shared" si="68"/>
        <v/>
      </c>
      <c r="BT22" s="1044" t="str">
        <f t="shared" si="69"/>
        <v/>
      </c>
      <c r="BU22" s="1044" t="str">
        <f t="shared" si="70"/>
        <v/>
      </c>
    </row>
    <row r="23" spans="1:73" ht="30" customHeight="1">
      <c r="A23" s="1069">
        <f t="shared" si="0"/>
        <v>23</v>
      </c>
      <c r="B23" s="1063" t="s">
        <v>7067</v>
      </c>
      <c r="C23" s="1064" t="s">
        <v>254</v>
      </c>
      <c r="D23" s="1065" t="str">
        <f t="shared" si="1"/>
        <v>krill *</v>
      </c>
      <c r="E23" s="1071" t="str">
        <f t="shared" si="2"/>
        <v>⚠ Crustaces</v>
      </c>
      <c r="F23" s="1067" t="str">
        <f t="shared" si="3"/>
        <v>krill *</v>
      </c>
      <c r="G23" s="1068" t="str">
        <f t="shared" si="4"/>
        <v/>
      </c>
      <c r="H23" s="1069">
        <f t="shared" si="5"/>
        <v>1</v>
      </c>
      <c r="I23" s="1069">
        <f t="shared" si="6"/>
        <v>0</v>
      </c>
      <c r="J23" s="1067" t="str">
        <f t="shared" si="7"/>
        <v>⚠ Crustaces</v>
      </c>
      <c r="K23" s="1044" t="str">
        <f t="shared" si="8"/>
        <v>krill</v>
      </c>
      <c r="L23" s="1044" t="str">
        <f t="shared" si="9"/>
        <v>krill</v>
      </c>
      <c r="M23" s="1044" t="str">
        <f t="shared" si="10"/>
        <v>krill</v>
      </c>
      <c r="N23" s="1044" t="str">
        <f t="shared" si="11"/>
        <v>krill</v>
      </c>
      <c r="O23" s="1044" t="str">
        <f t="shared" si="12"/>
        <v>krill</v>
      </c>
      <c r="P23" s="1044" t="str">
        <f t="shared" si="13"/>
        <v xml:space="preserve"> krill </v>
      </c>
      <c r="Q23" s="1044">
        <f t="shared" si="14"/>
        <v>0</v>
      </c>
      <c r="R23" s="1044">
        <f t="shared" si="15"/>
        <v>0</v>
      </c>
      <c r="S23" s="1044">
        <f t="shared" si="16"/>
        <v>0</v>
      </c>
      <c r="T23" s="1044">
        <f t="shared" si="17"/>
        <v>0</v>
      </c>
      <c r="U23" s="1044" t="str">
        <f t="shared" si="18"/>
        <v/>
      </c>
      <c r="V23" s="1044" t="str">
        <f t="shared" si="19"/>
        <v/>
      </c>
      <c r="W23" s="1044">
        <f t="shared" si="20"/>
        <v>1</v>
      </c>
      <c r="X23" s="1044" t="str">
        <f t="shared" si="21"/>
        <v>⚠ Crustaces</v>
      </c>
      <c r="Y23" s="1044">
        <f t="shared" si="22"/>
        <v>0</v>
      </c>
      <c r="Z23" s="1044" t="str">
        <f t="shared" si="23"/>
        <v/>
      </c>
      <c r="AA23" s="1044">
        <f t="shared" si="24"/>
        <v>0</v>
      </c>
      <c r="AB23" s="1044">
        <f t="shared" si="25"/>
        <v>0</v>
      </c>
      <c r="AC23" s="1044">
        <f t="shared" si="26"/>
        <v>0</v>
      </c>
      <c r="AD23" s="1044" t="str">
        <f t="shared" si="27"/>
        <v/>
      </c>
      <c r="AE23" s="1044">
        <f t="shared" si="28"/>
        <v>0</v>
      </c>
      <c r="AF23" s="1044" t="str">
        <f t="shared" si="29"/>
        <v/>
      </c>
      <c r="AG23" s="1044">
        <f t="shared" si="30"/>
        <v>0</v>
      </c>
      <c r="AH23" s="1044">
        <f t="shared" si="31"/>
        <v>0</v>
      </c>
      <c r="AI23" s="1044" t="str">
        <f t="shared" si="32"/>
        <v/>
      </c>
      <c r="AJ23" s="1044">
        <f t="shared" si="33"/>
        <v>0</v>
      </c>
      <c r="AK23" s="1044">
        <f t="shared" si="34"/>
        <v>0</v>
      </c>
      <c r="AL23" s="1044">
        <f t="shared" si="35"/>
        <v>0</v>
      </c>
      <c r="AM23" s="1044">
        <f t="shared" si="36"/>
        <v>0</v>
      </c>
      <c r="AN23" s="1044" t="str">
        <f t="shared" si="37"/>
        <v/>
      </c>
      <c r="AO23" s="1044" t="str">
        <f t="shared" si="38"/>
        <v/>
      </c>
      <c r="AP23" s="1044">
        <f t="shared" si="39"/>
        <v>0</v>
      </c>
      <c r="AQ23" s="1044">
        <f t="shared" si="40"/>
        <v>0</v>
      </c>
      <c r="AR23" s="1044" t="str">
        <f t="shared" si="41"/>
        <v/>
      </c>
      <c r="AS23" s="1044">
        <f t="shared" si="42"/>
        <v>0</v>
      </c>
      <c r="AT23" s="1044" t="str">
        <f t="shared" si="43"/>
        <v/>
      </c>
      <c r="AU23" s="1044">
        <f t="shared" si="44"/>
        <v>0</v>
      </c>
      <c r="AV23" s="1044" t="str">
        <f t="shared" si="45"/>
        <v/>
      </c>
      <c r="AW23" s="1044">
        <f t="shared" si="46"/>
        <v>0</v>
      </c>
      <c r="AX23" s="1044" t="str">
        <f t="shared" si="47"/>
        <v/>
      </c>
      <c r="AY23" s="1044">
        <f t="shared" si="48"/>
        <v>0</v>
      </c>
      <c r="AZ23" s="1044" t="str">
        <f t="shared" si="49"/>
        <v/>
      </c>
      <c r="BA23" s="1044">
        <f t="shared" si="50"/>
        <v>0</v>
      </c>
      <c r="BB23" s="1044" t="str">
        <f t="shared" si="51"/>
        <v/>
      </c>
      <c r="BC23" s="1044">
        <f t="shared" si="52"/>
        <v>0</v>
      </c>
      <c r="BD23" s="1044">
        <f t="shared" si="53"/>
        <v>0</v>
      </c>
      <c r="BE23" s="1044" t="str">
        <f t="shared" si="54"/>
        <v/>
      </c>
      <c r="BF23" s="1044" t="str">
        <f t="shared" si="55"/>
        <v/>
      </c>
      <c r="BG23" s="1044" t="str">
        <f t="shared" si="56"/>
        <v>⚠ Crustaces</v>
      </c>
      <c r="BH23" s="1044" t="str">
        <f t="shared" si="57"/>
        <v>⚠ Crustaces</v>
      </c>
      <c r="BI23" s="1044" t="str">
        <f t="shared" si="58"/>
        <v>⚠ Crustaces</v>
      </c>
      <c r="BJ23" s="1044" t="str">
        <f t="shared" si="59"/>
        <v>⚠ Crustaces</v>
      </c>
      <c r="BK23" s="1044" t="str">
        <f t="shared" si="60"/>
        <v>⚠ Crustaces</v>
      </c>
      <c r="BL23" s="1044" t="str">
        <f t="shared" si="61"/>
        <v>⚠ Crustaces</v>
      </c>
      <c r="BM23" s="1044" t="str">
        <f t="shared" si="62"/>
        <v>⚠ Crustaces</v>
      </c>
      <c r="BN23" s="1044" t="str">
        <f t="shared" si="63"/>
        <v>⚠ Crustaces</v>
      </c>
      <c r="BO23" s="1044" t="str">
        <f t="shared" si="64"/>
        <v>⚠ Crustaces</v>
      </c>
      <c r="BP23" s="1044" t="str">
        <f t="shared" si="65"/>
        <v>⚠ Crustaces</v>
      </c>
      <c r="BQ23" s="1044" t="str">
        <f t="shared" si="66"/>
        <v>⚠ Crustaces</v>
      </c>
      <c r="BR23" s="1044" t="str">
        <f t="shared" si="67"/>
        <v>⚠ Crustaces</v>
      </c>
      <c r="BS23" s="1044" t="str">
        <f t="shared" si="68"/>
        <v>⚠ Crustaces</v>
      </c>
      <c r="BT23" s="1044" t="str">
        <f t="shared" si="69"/>
        <v/>
      </c>
      <c r="BU23" s="1044" t="str">
        <f t="shared" si="70"/>
        <v/>
      </c>
    </row>
    <row r="24" spans="1:73" ht="30" customHeight="1">
      <c r="A24" s="1069">
        <f t="shared" si="0"/>
        <v>24</v>
      </c>
      <c r="B24" s="1063" t="s">
        <v>5787</v>
      </c>
      <c r="C24" s="1064" t="s">
        <v>254</v>
      </c>
      <c r="D24" s="1070" t="str">
        <f t="shared" si="1"/>
        <v>sirop de glucose a base d orge *</v>
      </c>
      <c r="E24" s="1071" t="str">
        <f t="shared" si="2"/>
        <v>⚠ Gluten</v>
      </c>
      <c r="F24" s="1067" t="str">
        <f t="shared" si="3"/>
        <v>sirop de glucose a base d orge *</v>
      </c>
      <c r="G24" s="1068" t="str">
        <f t="shared" si="4"/>
        <v/>
      </c>
      <c r="H24" s="1069">
        <f t="shared" si="5"/>
        <v>1</v>
      </c>
      <c r="I24" s="1069">
        <f t="shared" si="6"/>
        <v>0</v>
      </c>
      <c r="J24" s="1067" t="str">
        <f t="shared" si="7"/>
        <v>⚠ Gluten</v>
      </c>
      <c r="K24" s="1044" t="str">
        <f t="shared" si="8"/>
        <v>sirop de glucose a base d orge</v>
      </c>
      <c r="L24" s="1044" t="str">
        <f t="shared" si="9"/>
        <v>sirop de glucose a base d orge</v>
      </c>
      <c r="M24" s="1044" t="str">
        <f t="shared" si="10"/>
        <v>sirop de glucose a base d orge</v>
      </c>
      <c r="N24" s="1044" t="str">
        <f t="shared" si="11"/>
        <v>sirop de glucose a base d orge</v>
      </c>
      <c r="O24" s="1044" t="str">
        <f t="shared" si="12"/>
        <v>sirop de glucose a base d orge</v>
      </c>
      <c r="P24" s="1044" t="str">
        <f t="shared" si="13"/>
        <v xml:space="preserve"> sirop de glucose a base d orge </v>
      </c>
      <c r="Q24" s="1044">
        <f t="shared" si="14"/>
        <v>0</v>
      </c>
      <c r="R24" s="1044">
        <f t="shared" si="15"/>
        <v>0</v>
      </c>
      <c r="S24" s="1044">
        <f t="shared" si="16"/>
        <v>1</v>
      </c>
      <c r="T24" s="1044">
        <f t="shared" si="17"/>
        <v>0</v>
      </c>
      <c r="U24" s="1044" t="str">
        <f t="shared" si="18"/>
        <v>⚠ Gluten</v>
      </c>
      <c r="V24" s="1044" t="str">
        <f t="shared" si="19"/>
        <v/>
      </c>
      <c r="W24" s="1044">
        <f t="shared" si="20"/>
        <v>0</v>
      </c>
      <c r="X24" s="1044" t="str">
        <f t="shared" si="21"/>
        <v/>
      </c>
      <c r="Y24" s="1044">
        <f t="shared" si="22"/>
        <v>0</v>
      </c>
      <c r="Z24" s="1044" t="str">
        <f t="shared" si="23"/>
        <v/>
      </c>
      <c r="AA24" s="1044">
        <f t="shared" si="24"/>
        <v>0</v>
      </c>
      <c r="AB24" s="1044">
        <f t="shared" si="25"/>
        <v>0</v>
      </c>
      <c r="AC24" s="1044">
        <f t="shared" si="26"/>
        <v>0</v>
      </c>
      <c r="AD24" s="1044" t="str">
        <f t="shared" si="27"/>
        <v/>
      </c>
      <c r="AE24" s="1044">
        <f t="shared" si="28"/>
        <v>0</v>
      </c>
      <c r="AF24" s="1044" t="str">
        <f t="shared" si="29"/>
        <v/>
      </c>
      <c r="AG24" s="1044">
        <f t="shared" si="30"/>
        <v>0</v>
      </c>
      <c r="AH24" s="1044">
        <f t="shared" si="31"/>
        <v>0</v>
      </c>
      <c r="AI24" s="1044" t="str">
        <f t="shared" si="32"/>
        <v/>
      </c>
      <c r="AJ24" s="1044">
        <f t="shared" si="33"/>
        <v>0</v>
      </c>
      <c r="AK24" s="1044">
        <f t="shared" si="34"/>
        <v>0</v>
      </c>
      <c r="AL24" s="1044">
        <f t="shared" si="35"/>
        <v>0</v>
      </c>
      <c r="AM24" s="1044">
        <f t="shared" si="36"/>
        <v>0</v>
      </c>
      <c r="AN24" s="1044" t="str">
        <f t="shared" si="37"/>
        <v/>
      </c>
      <c r="AO24" s="1044" t="str">
        <f t="shared" si="38"/>
        <v/>
      </c>
      <c r="AP24" s="1044">
        <f t="shared" si="39"/>
        <v>0</v>
      </c>
      <c r="AQ24" s="1044">
        <f t="shared" si="40"/>
        <v>0</v>
      </c>
      <c r="AR24" s="1044" t="str">
        <f t="shared" si="41"/>
        <v/>
      </c>
      <c r="AS24" s="1044">
        <f t="shared" si="42"/>
        <v>0</v>
      </c>
      <c r="AT24" s="1044" t="str">
        <f t="shared" si="43"/>
        <v/>
      </c>
      <c r="AU24" s="1044">
        <f t="shared" si="44"/>
        <v>0</v>
      </c>
      <c r="AV24" s="1044" t="str">
        <f t="shared" si="45"/>
        <v/>
      </c>
      <c r="AW24" s="1044">
        <f t="shared" si="46"/>
        <v>0</v>
      </c>
      <c r="AX24" s="1044" t="str">
        <f t="shared" si="47"/>
        <v/>
      </c>
      <c r="AY24" s="1044">
        <f t="shared" si="48"/>
        <v>0</v>
      </c>
      <c r="AZ24" s="1044" t="str">
        <f t="shared" si="49"/>
        <v/>
      </c>
      <c r="BA24" s="1044">
        <f t="shared" si="50"/>
        <v>0</v>
      </c>
      <c r="BB24" s="1044" t="str">
        <f t="shared" si="51"/>
        <v/>
      </c>
      <c r="BC24" s="1044">
        <f t="shared" si="52"/>
        <v>0</v>
      </c>
      <c r="BD24" s="1044">
        <f t="shared" si="53"/>
        <v>0</v>
      </c>
      <c r="BE24" s="1044" t="str">
        <f t="shared" si="54"/>
        <v/>
      </c>
      <c r="BF24" s="1044" t="str">
        <f t="shared" si="55"/>
        <v>⚠ Gluten</v>
      </c>
      <c r="BG24" s="1044" t="str">
        <f t="shared" si="56"/>
        <v>⚠ Gluten</v>
      </c>
      <c r="BH24" s="1044" t="str">
        <f t="shared" si="57"/>
        <v>⚠ Gluten</v>
      </c>
      <c r="BI24" s="1044" t="str">
        <f t="shared" si="58"/>
        <v>⚠ Gluten</v>
      </c>
      <c r="BJ24" s="1044" t="str">
        <f t="shared" si="59"/>
        <v>⚠ Gluten</v>
      </c>
      <c r="BK24" s="1044" t="str">
        <f t="shared" si="60"/>
        <v>⚠ Gluten</v>
      </c>
      <c r="BL24" s="1044" t="str">
        <f t="shared" si="61"/>
        <v>⚠ Gluten</v>
      </c>
      <c r="BM24" s="1044" t="str">
        <f t="shared" si="62"/>
        <v>⚠ Gluten</v>
      </c>
      <c r="BN24" s="1044" t="str">
        <f t="shared" si="63"/>
        <v>⚠ Gluten</v>
      </c>
      <c r="BO24" s="1044" t="str">
        <f t="shared" si="64"/>
        <v>⚠ Gluten</v>
      </c>
      <c r="BP24" s="1044" t="str">
        <f t="shared" si="65"/>
        <v>⚠ Gluten</v>
      </c>
      <c r="BQ24" s="1044" t="str">
        <f t="shared" si="66"/>
        <v>⚠ Gluten</v>
      </c>
      <c r="BR24" s="1044" t="str">
        <f t="shared" si="67"/>
        <v>⚠ Gluten</v>
      </c>
      <c r="BS24" s="1044" t="str">
        <f t="shared" si="68"/>
        <v>⚠ Gluten</v>
      </c>
      <c r="BT24" s="1044" t="str">
        <f t="shared" si="69"/>
        <v/>
      </c>
      <c r="BU24" s="1044" t="str">
        <f t="shared" si="70"/>
        <v/>
      </c>
    </row>
    <row r="25" spans="1:73" ht="30" customHeight="1">
      <c r="A25" s="1069" t="str">
        <f t="shared" si="0"/>
        <v/>
      </c>
      <c r="B25" s="1063"/>
      <c r="C25" s="1064" t="s">
        <v>254</v>
      </c>
      <c r="D25" s="1070" t="str">
        <f t="shared" si="1"/>
        <v/>
      </c>
      <c r="E25" s="1071" t="str">
        <f t="shared" si="2"/>
        <v/>
      </c>
      <c r="F25" s="1067" t="str">
        <f t="shared" si="3"/>
        <v/>
      </c>
      <c r="G25" s="1068" t="str">
        <f t="shared" si="4"/>
        <v/>
      </c>
      <c r="H25" s="1069" t="str">
        <f t="shared" si="5"/>
        <v/>
      </c>
      <c r="I25" s="1069" t="str">
        <f t="shared" si="6"/>
        <v/>
      </c>
      <c r="J25" s="1067" t="str">
        <f t="shared" si="7"/>
        <v/>
      </c>
      <c r="K25" s="1044" t="str">
        <f t="shared" si="8"/>
        <v/>
      </c>
      <c r="L25" s="1044" t="str">
        <f t="shared" si="9"/>
        <v/>
      </c>
      <c r="M25" s="1044" t="str">
        <f t="shared" si="10"/>
        <v/>
      </c>
      <c r="N25" s="1044" t="str">
        <f t="shared" si="11"/>
        <v/>
      </c>
      <c r="O25" s="1044" t="str">
        <f t="shared" si="12"/>
        <v/>
      </c>
      <c r="P25" s="1044" t="str">
        <f t="shared" si="13"/>
        <v/>
      </c>
      <c r="Q25" s="1044">
        <f t="shared" si="14"/>
        <v>0</v>
      </c>
      <c r="R25" s="1044">
        <f t="shared" si="15"/>
        <v>0</v>
      </c>
      <c r="S25" s="1044">
        <f t="shared" si="16"/>
        <v>0</v>
      </c>
      <c r="T25" s="1044">
        <f t="shared" si="17"/>
        <v>0</v>
      </c>
      <c r="U25" s="1044" t="str">
        <f t="shared" si="18"/>
        <v/>
      </c>
      <c r="V25" s="1044" t="str">
        <f t="shared" si="19"/>
        <v/>
      </c>
      <c r="W25" s="1044">
        <f t="shared" si="20"/>
        <v>0</v>
      </c>
      <c r="X25" s="1044" t="str">
        <f t="shared" si="21"/>
        <v/>
      </c>
      <c r="Y25" s="1044">
        <f t="shared" si="22"/>
        <v>0</v>
      </c>
      <c r="Z25" s="1044" t="str">
        <f t="shared" si="23"/>
        <v/>
      </c>
      <c r="AA25" s="1044">
        <f t="shared" si="24"/>
        <v>0</v>
      </c>
      <c r="AB25" s="1044">
        <f t="shared" si="25"/>
        <v>0</v>
      </c>
      <c r="AC25" s="1044">
        <f t="shared" si="26"/>
        <v>0</v>
      </c>
      <c r="AD25" s="1044" t="str">
        <f t="shared" si="27"/>
        <v/>
      </c>
      <c r="AE25" s="1044">
        <f t="shared" si="28"/>
        <v>0</v>
      </c>
      <c r="AF25" s="1044" t="str">
        <f t="shared" si="29"/>
        <v/>
      </c>
      <c r="AG25" s="1044">
        <f t="shared" si="30"/>
        <v>0</v>
      </c>
      <c r="AH25" s="1044">
        <f t="shared" si="31"/>
        <v>0</v>
      </c>
      <c r="AI25" s="1044" t="str">
        <f t="shared" si="32"/>
        <v/>
      </c>
      <c r="AJ25" s="1044">
        <f t="shared" si="33"/>
        <v>0</v>
      </c>
      <c r="AK25" s="1044">
        <f t="shared" si="34"/>
        <v>0</v>
      </c>
      <c r="AL25" s="1044">
        <f t="shared" si="35"/>
        <v>0</v>
      </c>
      <c r="AM25" s="1044">
        <f t="shared" si="36"/>
        <v>0</v>
      </c>
      <c r="AN25" s="1044" t="str">
        <f t="shared" si="37"/>
        <v/>
      </c>
      <c r="AO25" s="1044" t="str">
        <f t="shared" si="38"/>
        <v/>
      </c>
      <c r="AP25" s="1044">
        <f t="shared" si="39"/>
        <v>0</v>
      </c>
      <c r="AQ25" s="1044">
        <f t="shared" si="40"/>
        <v>0</v>
      </c>
      <c r="AR25" s="1044" t="str">
        <f t="shared" si="41"/>
        <v/>
      </c>
      <c r="AS25" s="1044">
        <f t="shared" si="42"/>
        <v>0</v>
      </c>
      <c r="AT25" s="1044" t="str">
        <f t="shared" si="43"/>
        <v/>
      </c>
      <c r="AU25" s="1044">
        <f t="shared" si="44"/>
        <v>0</v>
      </c>
      <c r="AV25" s="1044" t="str">
        <f t="shared" si="45"/>
        <v/>
      </c>
      <c r="AW25" s="1044">
        <f t="shared" si="46"/>
        <v>0</v>
      </c>
      <c r="AX25" s="1044" t="str">
        <f t="shared" si="47"/>
        <v/>
      </c>
      <c r="AY25" s="1044">
        <f t="shared" si="48"/>
        <v>0</v>
      </c>
      <c r="AZ25" s="1044" t="str">
        <f t="shared" si="49"/>
        <v/>
      </c>
      <c r="BA25" s="1044">
        <f t="shared" si="50"/>
        <v>0</v>
      </c>
      <c r="BB25" s="1044" t="str">
        <f t="shared" si="51"/>
        <v/>
      </c>
      <c r="BC25" s="1044">
        <f t="shared" si="52"/>
        <v>0</v>
      </c>
      <c r="BD25" s="1044">
        <f t="shared" si="53"/>
        <v>0</v>
      </c>
      <c r="BE25" s="1044" t="str">
        <f t="shared" si="54"/>
        <v/>
      </c>
      <c r="BF25" s="1044" t="str">
        <f t="shared" si="55"/>
        <v/>
      </c>
      <c r="BG25" s="1044" t="str">
        <f t="shared" si="56"/>
        <v/>
      </c>
      <c r="BH25" s="1044" t="str">
        <f t="shared" si="57"/>
        <v/>
      </c>
      <c r="BI25" s="1044" t="str">
        <f t="shared" si="58"/>
        <v/>
      </c>
      <c r="BJ25" s="1044" t="str">
        <f t="shared" si="59"/>
        <v/>
      </c>
      <c r="BK25" s="1044" t="str">
        <f t="shared" si="60"/>
        <v/>
      </c>
      <c r="BL25" s="1044" t="str">
        <f t="shared" si="61"/>
        <v/>
      </c>
      <c r="BM25" s="1044" t="str">
        <f t="shared" si="62"/>
        <v/>
      </c>
      <c r="BN25" s="1044" t="str">
        <f t="shared" si="63"/>
        <v/>
      </c>
      <c r="BO25" s="1044" t="str">
        <f t="shared" si="64"/>
        <v/>
      </c>
      <c r="BP25" s="1044" t="str">
        <f t="shared" si="65"/>
        <v/>
      </c>
      <c r="BQ25" s="1044" t="str">
        <f t="shared" si="66"/>
        <v/>
      </c>
      <c r="BR25" s="1044" t="str">
        <f t="shared" si="67"/>
        <v/>
      </c>
      <c r="BS25" s="1044" t="str">
        <f t="shared" si="68"/>
        <v/>
      </c>
      <c r="BT25" s="1044" t="str">
        <f t="shared" si="69"/>
        <v/>
      </c>
      <c r="BU25" s="1044" t="str">
        <f t="shared" si="70"/>
        <v/>
      </c>
    </row>
    <row r="26" spans="1:73" ht="30" customHeight="1">
      <c r="A26" s="1069">
        <f t="shared" si="0"/>
        <v>26</v>
      </c>
      <c r="B26" s="1063" t="s">
        <v>8254</v>
      </c>
      <c r="C26" s="1064" t="s">
        <v>254</v>
      </c>
      <c r="D26" s="1070" t="str">
        <f t="shared" si="1"/>
        <v>beurre de cacahuete;branche de celeri;ecrevisse;beurre d amande;avoine *</v>
      </c>
      <c r="E26" s="1071" t="str">
        <f t="shared" si="2"/>
        <v>⚠ Gluten • ⚠ Crustaces • ⚠ Arachides • ⚠ Fruits a coque • ⚠ Celeri</v>
      </c>
      <c r="F26" s="1067" t="str">
        <f t="shared" si="3"/>
        <v>beurre de cacahuete;branche de celeri;ecrevisse;beurre d amande;avoine *</v>
      </c>
      <c r="G26" s="1068" t="str">
        <f t="shared" si="4"/>
        <v/>
      </c>
      <c r="H26" s="1069">
        <f t="shared" si="5"/>
        <v>5</v>
      </c>
      <c r="I26" s="1069">
        <f t="shared" si="6"/>
        <v>0</v>
      </c>
      <c r="J26" s="1067" t="str">
        <f t="shared" si="7"/>
        <v>⚠ Gluten • ⚠ Crustaces • ⚠ Arachides • ⚠ Fruits a coque • ⚠ Celeri</v>
      </c>
      <c r="K26" s="1044" t="str">
        <f t="shared" si="8"/>
        <v>beurre de cacahuete;branche de celeri;ecrevisse;beurre d amande;avoine</v>
      </c>
      <c r="L26" s="1044" t="str">
        <f t="shared" si="9"/>
        <v>beurre de cacahuete;branche de celeri;ecrevisse;beurre d amande;avoine</v>
      </c>
      <c r="M26" s="1044" t="str">
        <f t="shared" si="10"/>
        <v>beurre de cacahuete;branche de celeri;ecrevisse;beurre d amande;avoine</v>
      </c>
      <c r="N26" s="1044" t="str">
        <f t="shared" si="11"/>
        <v>beurre de cacahuete;branche de celeri;ecrevisse;beurre d amande;avoine</v>
      </c>
      <c r="O26" s="1044" t="str">
        <f t="shared" si="12"/>
        <v>beurre de cacahuete;branche de celeri;ecrevisse;beurre d amande;avoine</v>
      </c>
      <c r="P26" s="1044" t="str">
        <f t="shared" si="13"/>
        <v xml:space="preserve"> beurre de cacahuete;branche de celeri;ecrevisse;beurre d amande;avoine </v>
      </c>
      <c r="Q26" s="1044">
        <f t="shared" si="14"/>
        <v>0</v>
      </c>
      <c r="R26" s="1044">
        <f t="shared" si="15"/>
        <v>0</v>
      </c>
      <c r="S26" s="1044">
        <f t="shared" si="16"/>
        <v>1</v>
      </c>
      <c r="T26" s="1044">
        <f t="shared" si="17"/>
        <v>0</v>
      </c>
      <c r="U26" s="1044" t="str">
        <f t="shared" si="18"/>
        <v>⚠ Gluten</v>
      </c>
      <c r="V26" s="1044" t="str">
        <f t="shared" si="19"/>
        <v/>
      </c>
      <c r="W26" s="1044">
        <f t="shared" si="20"/>
        <v>1</v>
      </c>
      <c r="X26" s="1044" t="str">
        <f t="shared" si="21"/>
        <v>⚠ Crustaces</v>
      </c>
      <c r="Y26" s="1044">
        <f t="shared" si="22"/>
        <v>0</v>
      </c>
      <c r="Z26" s="1044" t="str">
        <f t="shared" si="23"/>
        <v/>
      </c>
      <c r="AA26" s="1044">
        <f t="shared" si="24"/>
        <v>0</v>
      </c>
      <c r="AB26" s="1044">
        <f t="shared" si="25"/>
        <v>0</v>
      </c>
      <c r="AC26" s="1044">
        <f t="shared" si="26"/>
        <v>0</v>
      </c>
      <c r="AD26" s="1044" t="str">
        <f t="shared" si="27"/>
        <v/>
      </c>
      <c r="AE26" s="1044">
        <f t="shared" si="28"/>
        <v>2</v>
      </c>
      <c r="AF26" s="1044" t="str">
        <f t="shared" si="29"/>
        <v>⚠ Arachides</v>
      </c>
      <c r="AG26" s="1044">
        <f t="shared" si="30"/>
        <v>0</v>
      </c>
      <c r="AH26" s="1044">
        <f t="shared" si="31"/>
        <v>0</v>
      </c>
      <c r="AI26" s="1044" t="str">
        <f t="shared" si="32"/>
        <v/>
      </c>
      <c r="AJ26" s="1044">
        <f t="shared" si="33"/>
        <v>0</v>
      </c>
      <c r="AK26" s="1044">
        <f t="shared" si="34"/>
        <v>2</v>
      </c>
      <c r="AL26" s="1044">
        <f t="shared" si="35"/>
        <v>1</v>
      </c>
      <c r="AM26" s="1044">
        <f t="shared" si="36"/>
        <v>1</v>
      </c>
      <c r="AN26" s="1044" t="str">
        <f t="shared" si="37"/>
        <v/>
      </c>
      <c r="AO26" s="1044" t="str">
        <f t="shared" si="38"/>
        <v/>
      </c>
      <c r="AP26" s="1044">
        <f t="shared" si="39"/>
        <v>0</v>
      </c>
      <c r="AQ26" s="1044">
        <f t="shared" si="40"/>
        <v>2</v>
      </c>
      <c r="AR26" s="1044" t="str">
        <f t="shared" si="41"/>
        <v>⚠ Fruits a coque</v>
      </c>
      <c r="AS26" s="1044">
        <f t="shared" si="42"/>
        <v>2</v>
      </c>
      <c r="AT26" s="1044" t="str">
        <f t="shared" si="43"/>
        <v>⚠ Celeri</v>
      </c>
      <c r="AU26" s="1044">
        <f t="shared" si="44"/>
        <v>0</v>
      </c>
      <c r="AV26" s="1044" t="str">
        <f t="shared" si="45"/>
        <v/>
      </c>
      <c r="AW26" s="1044">
        <f t="shared" si="46"/>
        <v>0</v>
      </c>
      <c r="AX26" s="1044" t="str">
        <f t="shared" si="47"/>
        <v/>
      </c>
      <c r="AY26" s="1044">
        <f t="shared" si="48"/>
        <v>0</v>
      </c>
      <c r="AZ26" s="1044" t="str">
        <f t="shared" si="49"/>
        <v/>
      </c>
      <c r="BA26" s="1044">
        <f t="shared" si="50"/>
        <v>0</v>
      </c>
      <c r="BB26" s="1044" t="str">
        <f t="shared" si="51"/>
        <v/>
      </c>
      <c r="BC26" s="1044">
        <f t="shared" si="52"/>
        <v>0</v>
      </c>
      <c r="BD26" s="1044">
        <f t="shared" si="53"/>
        <v>0</v>
      </c>
      <c r="BE26" s="1044" t="str">
        <f t="shared" si="54"/>
        <v/>
      </c>
      <c r="BF26" s="1044" t="str">
        <f t="shared" si="55"/>
        <v>⚠ Gluten</v>
      </c>
      <c r="BG26" s="1044" t="str">
        <f t="shared" si="56"/>
        <v>⚠ Gluten • ⚠ Crustaces</v>
      </c>
      <c r="BH26" s="1044" t="str">
        <f t="shared" si="57"/>
        <v>⚠ Gluten • ⚠ Crustaces</v>
      </c>
      <c r="BI26" s="1044" t="str">
        <f t="shared" si="58"/>
        <v>⚠ Gluten • ⚠ Crustaces</v>
      </c>
      <c r="BJ26" s="1044" t="str">
        <f t="shared" si="59"/>
        <v>⚠ Gluten • ⚠ Crustaces • ⚠ Arachides</v>
      </c>
      <c r="BK26" s="1044" t="str">
        <f t="shared" si="60"/>
        <v>⚠ Gluten • ⚠ Crustaces • ⚠ Arachides</v>
      </c>
      <c r="BL26" s="1044" t="str">
        <f t="shared" si="61"/>
        <v>⚠ Gluten • ⚠ Crustaces • ⚠ Arachides</v>
      </c>
      <c r="BM26" s="1044" t="str">
        <f t="shared" si="62"/>
        <v>⚠ Gluten • ⚠ Crustaces • ⚠ Arachides • ⚠ Fruits a coque</v>
      </c>
      <c r="BN26" s="1044" t="str">
        <f t="shared" si="63"/>
        <v>⚠ Gluten • ⚠ Crustaces • ⚠ Arachides • ⚠ Fruits a coque • ⚠ Celeri</v>
      </c>
      <c r="BO26" s="1044" t="str">
        <f t="shared" si="64"/>
        <v>⚠ Gluten • ⚠ Crustaces • ⚠ Arachides • ⚠ Fruits a coque • ⚠ Celeri</v>
      </c>
      <c r="BP26" s="1044" t="str">
        <f t="shared" si="65"/>
        <v>⚠ Gluten • ⚠ Crustaces • ⚠ Arachides • ⚠ Fruits a coque • ⚠ Celeri</v>
      </c>
      <c r="BQ26" s="1044" t="str">
        <f t="shared" si="66"/>
        <v>⚠ Gluten • ⚠ Crustaces • ⚠ Arachides • ⚠ Fruits a coque • ⚠ Celeri</v>
      </c>
      <c r="BR26" s="1044" t="str">
        <f t="shared" si="67"/>
        <v>⚠ Gluten • ⚠ Crustaces • ⚠ Arachides • ⚠ Fruits a coque • ⚠ Celeri</v>
      </c>
      <c r="BS26" s="1044" t="str">
        <f t="shared" si="68"/>
        <v>⚠ Gluten • ⚠ Crustaces • ⚠ Arachides • ⚠ Fruits a coque • ⚠ Celeri</v>
      </c>
      <c r="BT26" s="1044" t="str">
        <f t="shared" si="69"/>
        <v/>
      </c>
      <c r="BU26" s="1044" t="str">
        <f t="shared" si="70"/>
        <v/>
      </c>
    </row>
    <row r="27" spans="1:73" ht="30" customHeight="1">
      <c r="A27" s="1069" t="str">
        <f t="shared" si="0"/>
        <v/>
      </c>
      <c r="B27" s="1063"/>
      <c r="C27" s="1064" t="s">
        <v>254</v>
      </c>
      <c r="D27" s="1070" t="str">
        <f t="shared" si="1"/>
        <v/>
      </c>
      <c r="E27" s="1071" t="str">
        <f t="shared" si="2"/>
        <v/>
      </c>
      <c r="F27" s="1067" t="str">
        <f t="shared" si="3"/>
        <v/>
      </c>
      <c r="G27" s="1068" t="str">
        <f t="shared" si="4"/>
        <v/>
      </c>
      <c r="H27" s="1069" t="str">
        <f t="shared" si="5"/>
        <v/>
      </c>
      <c r="I27" s="1069" t="str">
        <f t="shared" si="6"/>
        <v/>
      </c>
      <c r="J27" s="1067" t="str">
        <f t="shared" si="7"/>
        <v/>
      </c>
      <c r="K27" s="1044" t="str">
        <f t="shared" si="8"/>
        <v/>
      </c>
      <c r="L27" s="1044" t="str">
        <f t="shared" si="9"/>
        <v/>
      </c>
      <c r="M27" s="1044" t="str">
        <f t="shared" si="10"/>
        <v/>
      </c>
      <c r="N27" s="1044" t="str">
        <f t="shared" si="11"/>
        <v/>
      </c>
      <c r="O27" s="1044" t="str">
        <f t="shared" si="12"/>
        <v/>
      </c>
      <c r="P27" s="1044" t="str">
        <f t="shared" si="13"/>
        <v/>
      </c>
      <c r="Q27" s="1044">
        <f t="shared" si="14"/>
        <v>0</v>
      </c>
      <c r="R27" s="1044">
        <f t="shared" si="15"/>
        <v>0</v>
      </c>
      <c r="S27" s="1044">
        <f t="shared" si="16"/>
        <v>0</v>
      </c>
      <c r="T27" s="1044">
        <f t="shared" si="17"/>
        <v>0</v>
      </c>
      <c r="U27" s="1044" t="str">
        <f t="shared" si="18"/>
        <v/>
      </c>
      <c r="V27" s="1044" t="str">
        <f t="shared" si="19"/>
        <v/>
      </c>
      <c r="W27" s="1044">
        <f t="shared" si="20"/>
        <v>0</v>
      </c>
      <c r="X27" s="1044" t="str">
        <f t="shared" si="21"/>
        <v/>
      </c>
      <c r="Y27" s="1044">
        <f t="shared" si="22"/>
        <v>0</v>
      </c>
      <c r="Z27" s="1044" t="str">
        <f t="shared" si="23"/>
        <v/>
      </c>
      <c r="AA27" s="1044">
        <f t="shared" si="24"/>
        <v>0</v>
      </c>
      <c r="AB27" s="1044">
        <f t="shared" si="25"/>
        <v>0</v>
      </c>
      <c r="AC27" s="1044">
        <f t="shared" si="26"/>
        <v>0</v>
      </c>
      <c r="AD27" s="1044" t="str">
        <f t="shared" si="27"/>
        <v/>
      </c>
      <c r="AE27" s="1044">
        <f t="shared" si="28"/>
        <v>0</v>
      </c>
      <c r="AF27" s="1044" t="str">
        <f t="shared" si="29"/>
        <v/>
      </c>
      <c r="AG27" s="1044">
        <f t="shared" si="30"/>
        <v>0</v>
      </c>
      <c r="AH27" s="1044">
        <f t="shared" si="31"/>
        <v>0</v>
      </c>
      <c r="AI27" s="1044" t="str">
        <f t="shared" si="32"/>
        <v/>
      </c>
      <c r="AJ27" s="1044">
        <f t="shared" si="33"/>
        <v>0</v>
      </c>
      <c r="AK27" s="1044">
        <f t="shared" si="34"/>
        <v>0</v>
      </c>
      <c r="AL27" s="1044">
        <f t="shared" si="35"/>
        <v>0</v>
      </c>
      <c r="AM27" s="1044">
        <f t="shared" si="36"/>
        <v>0</v>
      </c>
      <c r="AN27" s="1044" t="str">
        <f t="shared" si="37"/>
        <v/>
      </c>
      <c r="AO27" s="1044" t="str">
        <f t="shared" si="38"/>
        <v/>
      </c>
      <c r="AP27" s="1044">
        <f t="shared" si="39"/>
        <v>0</v>
      </c>
      <c r="AQ27" s="1044">
        <f t="shared" si="40"/>
        <v>0</v>
      </c>
      <c r="AR27" s="1044" t="str">
        <f t="shared" si="41"/>
        <v/>
      </c>
      <c r="AS27" s="1044">
        <f t="shared" si="42"/>
        <v>0</v>
      </c>
      <c r="AT27" s="1044" t="str">
        <f t="shared" si="43"/>
        <v/>
      </c>
      <c r="AU27" s="1044">
        <f t="shared" si="44"/>
        <v>0</v>
      </c>
      <c r="AV27" s="1044" t="str">
        <f t="shared" si="45"/>
        <v/>
      </c>
      <c r="AW27" s="1044">
        <f t="shared" si="46"/>
        <v>0</v>
      </c>
      <c r="AX27" s="1044" t="str">
        <f t="shared" si="47"/>
        <v/>
      </c>
      <c r="AY27" s="1044">
        <f t="shared" si="48"/>
        <v>0</v>
      </c>
      <c r="AZ27" s="1044" t="str">
        <f t="shared" si="49"/>
        <v/>
      </c>
      <c r="BA27" s="1044">
        <f t="shared" si="50"/>
        <v>0</v>
      </c>
      <c r="BB27" s="1044" t="str">
        <f t="shared" si="51"/>
        <v/>
      </c>
      <c r="BC27" s="1044">
        <f t="shared" si="52"/>
        <v>0</v>
      </c>
      <c r="BD27" s="1044">
        <f t="shared" si="53"/>
        <v>0</v>
      </c>
      <c r="BE27" s="1044" t="str">
        <f t="shared" si="54"/>
        <v/>
      </c>
      <c r="BF27" s="1044" t="str">
        <f t="shared" si="55"/>
        <v/>
      </c>
      <c r="BG27" s="1044" t="str">
        <f t="shared" si="56"/>
        <v/>
      </c>
      <c r="BH27" s="1044" t="str">
        <f t="shared" si="57"/>
        <v/>
      </c>
      <c r="BI27" s="1044" t="str">
        <f t="shared" si="58"/>
        <v/>
      </c>
      <c r="BJ27" s="1044" t="str">
        <f t="shared" si="59"/>
        <v/>
      </c>
      <c r="BK27" s="1044" t="str">
        <f t="shared" si="60"/>
        <v/>
      </c>
      <c r="BL27" s="1044" t="str">
        <f t="shared" si="61"/>
        <v/>
      </c>
      <c r="BM27" s="1044" t="str">
        <f t="shared" si="62"/>
        <v/>
      </c>
      <c r="BN27" s="1044" t="str">
        <f t="shared" si="63"/>
        <v/>
      </c>
      <c r="BO27" s="1044" t="str">
        <f t="shared" si="64"/>
        <v/>
      </c>
      <c r="BP27" s="1044" t="str">
        <f t="shared" si="65"/>
        <v/>
      </c>
      <c r="BQ27" s="1044" t="str">
        <f t="shared" si="66"/>
        <v/>
      </c>
      <c r="BR27" s="1044" t="str">
        <f t="shared" si="67"/>
        <v/>
      </c>
      <c r="BS27" s="1044" t="str">
        <f t="shared" si="68"/>
        <v/>
      </c>
      <c r="BT27" s="1044" t="str">
        <f t="shared" si="69"/>
        <v/>
      </c>
      <c r="BU27" s="1044" t="str">
        <f t="shared" si="70"/>
        <v/>
      </c>
    </row>
    <row r="28" spans="1:73" ht="30" customHeight="1">
      <c r="A28" s="1069" t="str">
        <f t="shared" si="0"/>
        <v/>
      </c>
      <c r="B28" s="1063"/>
      <c r="C28" s="1064" t="s">
        <v>254</v>
      </c>
      <c r="D28" s="1070" t="str">
        <f t="shared" si="1"/>
        <v/>
      </c>
      <c r="E28" s="1071" t="str">
        <f t="shared" si="2"/>
        <v/>
      </c>
      <c r="F28" s="1067" t="str">
        <f t="shared" si="3"/>
        <v/>
      </c>
      <c r="G28" s="1068" t="str">
        <f t="shared" si="4"/>
        <v/>
      </c>
      <c r="H28" s="1069" t="str">
        <f t="shared" si="5"/>
        <v/>
      </c>
      <c r="I28" s="1069" t="str">
        <f t="shared" si="6"/>
        <v/>
      </c>
      <c r="J28" s="1067" t="str">
        <f t="shared" si="7"/>
        <v/>
      </c>
      <c r="K28" s="1044" t="str">
        <f t="shared" si="8"/>
        <v/>
      </c>
      <c r="L28" s="1044" t="str">
        <f t="shared" si="9"/>
        <v/>
      </c>
      <c r="M28" s="1044" t="str">
        <f t="shared" si="10"/>
        <v/>
      </c>
      <c r="N28" s="1044" t="str">
        <f t="shared" si="11"/>
        <v/>
      </c>
      <c r="O28" s="1044" t="str">
        <f t="shared" si="12"/>
        <v/>
      </c>
      <c r="P28" s="1044" t="str">
        <f t="shared" si="13"/>
        <v/>
      </c>
      <c r="Q28" s="1044">
        <f t="shared" si="14"/>
        <v>0</v>
      </c>
      <c r="R28" s="1044">
        <f t="shared" si="15"/>
        <v>0</v>
      </c>
      <c r="S28" s="1044">
        <f t="shared" si="16"/>
        <v>0</v>
      </c>
      <c r="T28" s="1044">
        <f t="shared" si="17"/>
        <v>0</v>
      </c>
      <c r="U28" s="1044" t="str">
        <f t="shared" si="18"/>
        <v/>
      </c>
      <c r="V28" s="1044" t="str">
        <f t="shared" si="19"/>
        <v/>
      </c>
      <c r="W28" s="1044">
        <f t="shared" si="20"/>
        <v>0</v>
      </c>
      <c r="X28" s="1044" t="str">
        <f t="shared" si="21"/>
        <v/>
      </c>
      <c r="Y28" s="1044">
        <f t="shared" si="22"/>
        <v>0</v>
      </c>
      <c r="Z28" s="1044" t="str">
        <f t="shared" si="23"/>
        <v/>
      </c>
      <c r="AA28" s="1044">
        <f t="shared" si="24"/>
        <v>0</v>
      </c>
      <c r="AB28" s="1044">
        <f t="shared" si="25"/>
        <v>0</v>
      </c>
      <c r="AC28" s="1044">
        <f t="shared" si="26"/>
        <v>0</v>
      </c>
      <c r="AD28" s="1044" t="str">
        <f t="shared" si="27"/>
        <v/>
      </c>
      <c r="AE28" s="1044">
        <f t="shared" si="28"/>
        <v>0</v>
      </c>
      <c r="AF28" s="1044" t="str">
        <f t="shared" si="29"/>
        <v/>
      </c>
      <c r="AG28" s="1044">
        <f t="shared" si="30"/>
        <v>0</v>
      </c>
      <c r="AH28" s="1044">
        <f t="shared" si="31"/>
        <v>0</v>
      </c>
      <c r="AI28" s="1044" t="str">
        <f t="shared" si="32"/>
        <v/>
      </c>
      <c r="AJ28" s="1044">
        <f t="shared" si="33"/>
        <v>0</v>
      </c>
      <c r="AK28" s="1044">
        <f t="shared" si="34"/>
        <v>0</v>
      </c>
      <c r="AL28" s="1044">
        <f t="shared" si="35"/>
        <v>0</v>
      </c>
      <c r="AM28" s="1044">
        <f t="shared" si="36"/>
        <v>0</v>
      </c>
      <c r="AN28" s="1044" t="str">
        <f t="shared" si="37"/>
        <v/>
      </c>
      <c r="AO28" s="1044" t="str">
        <f t="shared" si="38"/>
        <v/>
      </c>
      <c r="AP28" s="1044">
        <f t="shared" si="39"/>
        <v>0</v>
      </c>
      <c r="AQ28" s="1044">
        <f t="shared" si="40"/>
        <v>0</v>
      </c>
      <c r="AR28" s="1044" t="str">
        <f t="shared" si="41"/>
        <v/>
      </c>
      <c r="AS28" s="1044">
        <f t="shared" si="42"/>
        <v>0</v>
      </c>
      <c r="AT28" s="1044" t="str">
        <f t="shared" si="43"/>
        <v/>
      </c>
      <c r="AU28" s="1044">
        <f t="shared" si="44"/>
        <v>0</v>
      </c>
      <c r="AV28" s="1044" t="str">
        <f t="shared" si="45"/>
        <v/>
      </c>
      <c r="AW28" s="1044">
        <f t="shared" si="46"/>
        <v>0</v>
      </c>
      <c r="AX28" s="1044" t="str">
        <f t="shared" si="47"/>
        <v/>
      </c>
      <c r="AY28" s="1044">
        <f t="shared" si="48"/>
        <v>0</v>
      </c>
      <c r="AZ28" s="1044" t="str">
        <f t="shared" si="49"/>
        <v/>
      </c>
      <c r="BA28" s="1044">
        <f t="shared" si="50"/>
        <v>0</v>
      </c>
      <c r="BB28" s="1044" t="str">
        <f t="shared" si="51"/>
        <v/>
      </c>
      <c r="BC28" s="1044">
        <f t="shared" si="52"/>
        <v>0</v>
      </c>
      <c r="BD28" s="1044">
        <f t="shared" si="53"/>
        <v>0</v>
      </c>
      <c r="BE28" s="1044" t="str">
        <f t="shared" si="54"/>
        <v/>
      </c>
      <c r="BF28" s="1044" t="str">
        <f t="shared" si="55"/>
        <v/>
      </c>
      <c r="BG28" s="1044" t="str">
        <f t="shared" si="56"/>
        <v/>
      </c>
      <c r="BH28" s="1044" t="str">
        <f t="shared" si="57"/>
        <v/>
      </c>
      <c r="BI28" s="1044" t="str">
        <f t="shared" si="58"/>
        <v/>
      </c>
      <c r="BJ28" s="1044" t="str">
        <f t="shared" si="59"/>
        <v/>
      </c>
      <c r="BK28" s="1044" t="str">
        <f t="shared" si="60"/>
        <v/>
      </c>
      <c r="BL28" s="1044" t="str">
        <f t="shared" si="61"/>
        <v/>
      </c>
      <c r="BM28" s="1044" t="str">
        <f t="shared" si="62"/>
        <v/>
      </c>
      <c r="BN28" s="1044" t="str">
        <f t="shared" si="63"/>
        <v/>
      </c>
      <c r="BO28" s="1044" t="str">
        <f t="shared" si="64"/>
        <v/>
      </c>
      <c r="BP28" s="1044" t="str">
        <f t="shared" si="65"/>
        <v/>
      </c>
      <c r="BQ28" s="1044" t="str">
        <f t="shared" si="66"/>
        <v/>
      </c>
      <c r="BR28" s="1044" t="str">
        <f t="shared" si="67"/>
        <v/>
      </c>
      <c r="BS28" s="1044" t="str">
        <f t="shared" si="68"/>
        <v/>
      </c>
      <c r="BT28" s="1044" t="str">
        <f t="shared" si="69"/>
        <v/>
      </c>
      <c r="BU28" s="1044" t="str">
        <f t="shared" si="70"/>
        <v/>
      </c>
    </row>
    <row r="29" spans="1:73" ht="30" customHeight="1">
      <c r="A29" s="1069" t="str">
        <f t="shared" si="0"/>
        <v/>
      </c>
      <c r="B29" s="1063"/>
      <c r="C29" s="1064" t="s">
        <v>254</v>
      </c>
      <c r="D29" s="1070" t="str">
        <f t="shared" si="1"/>
        <v/>
      </c>
      <c r="E29" s="1071" t="str">
        <f t="shared" si="2"/>
        <v/>
      </c>
      <c r="F29" s="1067" t="str">
        <f t="shared" si="3"/>
        <v/>
      </c>
      <c r="G29" s="1068" t="str">
        <f t="shared" si="4"/>
        <v/>
      </c>
      <c r="H29" s="1069" t="str">
        <f t="shared" si="5"/>
        <v/>
      </c>
      <c r="I29" s="1069" t="str">
        <f t="shared" si="6"/>
        <v/>
      </c>
      <c r="J29" s="1067" t="str">
        <f t="shared" si="7"/>
        <v/>
      </c>
      <c r="K29" s="1044" t="str">
        <f t="shared" si="8"/>
        <v/>
      </c>
      <c r="L29" s="1044" t="str">
        <f t="shared" si="9"/>
        <v/>
      </c>
      <c r="M29" s="1044" t="str">
        <f t="shared" si="10"/>
        <v/>
      </c>
      <c r="N29" s="1044" t="str">
        <f t="shared" si="11"/>
        <v/>
      </c>
      <c r="O29" s="1044" t="str">
        <f t="shared" si="12"/>
        <v/>
      </c>
      <c r="P29" s="1044" t="str">
        <f t="shared" si="13"/>
        <v/>
      </c>
      <c r="Q29" s="1044">
        <f t="shared" si="14"/>
        <v>0</v>
      </c>
      <c r="R29" s="1044">
        <f t="shared" si="15"/>
        <v>0</v>
      </c>
      <c r="S29" s="1044">
        <f t="shared" si="16"/>
        <v>0</v>
      </c>
      <c r="T29" s="1044">
        <f t="shared" si="17"/>
        <v>0</v>
      </c>
      <c r="U29" s="1044" t="str">
        <f t="shared" si="18"/>
        <v/>
      </c>
      <c r="V29" s="1044" t="str">
        <f t="shared" si="19"/>
        <v/>
      </c>
      <c r="W29" s="1044">
        <f t="shared" si="20"/>
        <v>0</v>
      </c>
      <c r="X29" s="1044" t="str">
        <f t="shared" si="21"/>
        <v/>
      </c>
      <c r="Y29" s="1044">
        <f t="shared" si="22"/>
        <v>0</v>
      </c>
      <c r="Z29" s="1044" t="str">
        <f t="shared" si="23"/>
        <v/>
      </c>
      <c r="AA29" s="1044">
        <f t="shared" si="24"/>
        <v>0</v>
      </c>
      <c r="AB29" s="1044">
        <f t="shared" si="25"/>
        <v>0</v>
      </c>
      <c r="AC29" s="1044">
        <f t="shared" si="26"/>
        <v>0</v>
      </c>
      <c r="AD29" s="1044" t="str">
        <f t="shared" si="27"/>
        <v/>
      </c>
      <c r="AE29" s="1044">
        <f t="shared" si="28"/>
        <v>0</v>
      </c>
      <c r="AF29" s="1044" t="str">
        <f t="shared" si="29"/>
        <v/>
      </c>
      <c r="AG29" s="1044">
        <f t="shared" si="30"/>
        <v>0</v>
      </c>
      <c r="AH29" s="1044">
        <f t="shared" si="31"/>
        <v>0</v>
      </c>
      <c r="AI29" s="1044" t="str">
        <f t="shared" si="32"/>
        <v/>
      </c>
      <c r="AJ29" s="1044">
        <f t="shared" si="33"/>
        <v>0</v>
      </c>
      <c r="AK29" s="1044">
        <f t="shared" si="34"/>
        <v>0</v>
      </c>
      <c r="AL29" s="1044">
        <f t="shared" si="35"/>
        <v>0</v>
      </c>
      <c r="AM29" s="1044">
        <f t="shared" si="36"/>
        <v>0</v>
      </c>
      <c r="AN29" s="1044" t="str">
        <f t="shared" si="37"/>
        <v/>
      </c>
      <c r="AO29" s="1044" t="str">
        <f t="shared" si="38"/>
        <v/>
      </c>
      <c r="AP29" s="1044">
        <f t="shared" si="39"/>
        <v>0</v>
      </c>
      <c r="AQ29" s="1044">
        <f t="shared" si="40"/>
        <v>0</v>
      </c>
      <c r="AR29" s="1044" t="str">
        <f t="shared" si="41"/>
        <v/>
      </c>
      <c r="AS29" s="1044">
        <f t="shared" si="42"/>
        <v>0</v>
      </c>
      <c r="AT29" s="1044" t="str">
        <f t="shared" si="43"/>
        <v/>
      </c>
      <c r="AU29" s="1044">
        <f t="shared" si="44"/>
        <v>0</v>
      </c>
      <c r="AV29" s="1044" t="str">
        <f t="shared" si="45"/>
        <v/>
      </c>
      <c r="AW29" s="1044">
        <f t="shared" si="46"/>
        <v>0</v>
      </c>
      <c r="AX29" s="1044" t="str">
        <f t="shared" si="47"/>
        <v/>
      </c>
      <c r="AY29" s="1044">
        <f t="shared" si="48"/>
        <v>0</v>
      </c>
      <c r="AZ29" s="1044" t="str">
        <f t="shared" si="49"/>
        <v/>
      </c>
      <c r="BA29" s="1044">
        <f t="shared" si="50"/>
        <v>0</v>
      </c>
      <c r="BB29" s="1044" t="str">
        <f t="shared" si="51"/>
        <v/>
      </c>
      <c r="BC29" s="1044">
        <f t="shared" si="52"/>
        <v>0</v>
      </c>
      <c r="BD29" s="1044">
        <f t="shared" si="53"/>
        <v>0</v>
      </c>
      <c r="BE29" s="1044" t="str">
        <f t="shared" si="54"/>
        <v/>
      </c>
      <c r="BF29" s="1044" t="str">
        <f t="shared" si="55"/>
        <v/>
      </c>
      <c r="BG29" s="1044" t="str">
        <f t="shared" si="56"/>
        <v/>
      </c>
      <c r="BH29" s="1044" t="str">
        <f t="shared" si="57"/>
        <v/>
      </c>
      <c r="BI29" s="1044" t="str">
        <f t="shared" si="58"/>
        <v/>
      </c>
      <c r="BJ29" s="1044" t="str">
        <f t="shared" si="59"/>
        <v/>
      </c>
      <c r="BK29" s="1044" t="str">
        <f t="shared" si="60"/>
        <v/>
      </c>
      <c r="BL29" s="1044" t="str">
        <f t="shared" si="61"/>
        <v/>
      </c>
      <c r="BM29" s="1044" t="str">
        <f t="shared" si="62"/>
        <v/>
      </c>
      <c r="BN29" s="1044" t="str">
        <f t="shared" si="63"/>
        <v/>
      </c>
      <c r="BO29" s="1044" t="str">
        <f t="shared" si="64"/>
        <v/>
      </c>
      <c r="BP29" s="1044" t="str">
        <f t="shared" si="65"/>
        <v/>
      </c>
      <c r="BQ29" s="1044" t="str">
        <f t="shared" si="66"/>
        <v/>
      </c>
      <c r="BR29" s="1044" t="str">
        <f t="shared" si="67"/>
        <v/>
      </c>
      <c r="BS29" s="1044" t="str">
        <f t="shared" si="68"/>
        <v/>
      </c>
      <c r="BT29" s="1044" t="str">
        <f t="shared" si="69"/>
        <v/>
      </c>
      <c r="BU29" s="1044" t="str">
        <f t="shared" si="70"/>
        <v/>
      </c>
    </row>
    <row r="30" spans="1:73" ht="30" customHeight="1">
      <c r="A30" s="1069" t="str">
        <f t="shared" si="0"/>
        <v/>
      </c>
      <c r="B30" s="1063"/>
      <c r="C30" s="1064" t="s">
        <v>254</v>
      </c>
      <c r="D30" s="1070" t="str">
        <f t="shared" si="1"/>
        <v/>
      </c>
      <c r="E30" s="1071" t="str">
        <f t="shared" si="2"/>
        <v/>
      </c>
      <c r="F30" s="1067" t="str">
        <f t="shared" si="3"/>
        <v/>
      </c>
      <c r="G30" s="1068" t="str">
        <f t="shared" si="4"/>
        <v/>
      </c>
      <c r="H30" s="1069" t="str">
        <f t="shared" si="5"/>
        <v/>
      </c>
      <c r="I30" s="1069" t="str">
        <f t="shared" si="6"/>
        <v/>
      </c>
      <c r="J30" s="1067" t="str">
        <f t="shared" si="7"/>
        <v/>
      </c>
      <c r="K30" s="1044" t="str">
        <f t="shared" si="8"/>
        <v/>
      </c>
      <c r="L30" s="1044" t="str">
        <f t="shared" si="9"/>
        <v/>
      </c>
      <c r="M30" s="1044" t="str">
        <f t="shared" si="10"/>
        <v/>
      </c>
      <c r="N30" s="1044" t="str">
        <f t="shared" si="11"/>
        <v/>
      </c>
      <c r="O30" s="1044" t="str">
        <f t="shared" si="12"/>
        <v/>
      </c>
      <c r="P30" s="1044" t="str">
        <f t="shared" si="13"/>
        <v/>
      </c>
      <c r="Q30" s="1044">
        <f t="shared" si="14"/>
        <v>0</v>
      </c>
      <c r="R30" s="1044">
        <f t="shared" si="15"/>
        <v>0</v>
      </c>
      <c r="S30" s="1044">
        <f t="shared" si="16"/>
        <v>0</v>
      </c>
      <c r="T30" s="1044">
        <f t="shared" si="17"/>
        <v>0</v>
      </c>
      <c r="U30" s="1044" t="str">
        <f t="shared" si="18"/>
        <v/>
      </c>
      <c r="V30" s="1044" t="str">
        <f t="shared" si="19"/>
        <v/>
      </c>
      <c r="W30" s="1044">
        <f t="shared" si="20"/>
        <v>0</v>
      </c>
      <c r="X30" s="1044" t="str">
        <f t="shared" si="21"/>
        <v/>
      </c>
      <c r="Y30" s="1044">
        <f t="shared" si="22"/>
        <v>0</v>
      </c>
      <c r="Z30" s="1044" t="str">
        <f t="shared" si="23"/>
        <v/>
      </c>
      <c r="AA30" s="1044">
        <f t="shared" si="24"/>
        <v>0</v>
      </c>
      <c r="AB30" s="1044">
        <f t="shared" si="25"/>
        <v>0</v>
      </c>
      <c r="AC30" s="1044">
        <f t="shared" si="26"/>
        <v>0</v>
      </c>
      <c r="AD30" s="1044" t="str">
        <f t="shared" si="27"/>
        <v/>
      </c>
      <c r="AE30" s="1044">
        <f t="shared" si="28"/>
        <v>0</v>
      </c>
      <c r="AF30" s="1044" t="str">
        <f t="shared" si="29"/>
        <v/>
      </c>
      <c r="AG30" s="1044">
        <f t="shared" si="30"/>
        <v>0</v>
      </c>
      <c r="AH30" s="1044">
        <f t="shared" si="31"/>
        <v>0</v>
      </c>
      <c r="AI30" s="1044" t="str">
        <f t="shared" si="32"/>
        <v/>
      </c>
      <c r="AJ30" s="1044">
        <f t="shared" si="33"/>
        <v>0</v>
      </c>
      <c r="AK30" s="1044">
        <f t="shared" si="34"/>
        <v>0</v>
      </c>
      <c r="AL30" s="1044">
        <f t="shared" si="35"/>
        <v>0</v>
      </c>
      <c r="AM30" s="1044">
        <f t="shared" si="36"/>
        <v>0</v>
      </c>
      <c r="AN30" s="1044" t="str">
        <f t="shared" si="37"/>
        <v/>
      </c>
      <c r="AO30" s="1044" t="str">
        <f t="shared" si="38"/>
        <v/>
      </c>
      <c r="AP30" s="1044">
        <f t="shared" si="39"/>
        <v>0</v>
      </c>
      <c r="AQ30" s="1044">
        <f t="shared" si="40"/>
        <v>0</v>
      </c>
      <c r="AR30" s="1044" t="str">
        <f t="shared" si="41"/>
        <v/>
      </c>
      <c r="AS30" s="1044">
        <f t="shared" si="42"/>
        <v>0</v>
      </c>
      <c r="AT30" s="1044" t="str">
        <f t="shared" si="43"/>
        <v/>
      </c>
      <c r="AU30" s="1044">
        <f t="shared" si="44"/>
        <v>0</v>
      </c>
      <c r="AV30" s="1044" t="str">
        <f t="shared" si="45"/>
        <v/>
      </c>
      <c r="AW30" s="1044">
        <f t="shared" si="46"/>
        <v>0</v>
      </c>
      <c r="AX30" s="1044" t="str">
        <f t="shared" si="47"/>
        <v/>
      </c>
      <c r="AY30" s="1044">
        <f t="shared" si="48"/>
        <v>0</v>
      </c>
      <c r="AZ30" s="1044" t="str">
        <f t="shared" si="49"/>
        <v/>
      </c>
      <c r="BA30" s="1044">
        <f t="shared" si="50"/>
        <v>0</v>
      </c>
      <c r="BB30" s="1044" t="str">
        <f t="shared" si="51"/>
        <v/>
      </c>
      <c r="BC30" s="1044">
        <f t="shared" si="52"/>
        <v>0</v>
      </c>
      <c r="BD30" s="1044">
        <f t="shared" si="53"/>
        <v>0</v>
      </c>
      <c r="BE30" s="1044" t="str">
        <f t="shared" si="54"/>
        <v/>
      </c>
      <c r="BF30" s="1044" t="str">
        <f t="shared" si="55"/>
        <v/>
      </c>
      <c r="BG30" s="1044" t="str">
        <f t="shared" si="56"/>
        <v/>
      </c>
      <c r="BH30" s="1044" t="str">
        <f t="shared" si="57"/>
        <v/>
      </c>
      <c r="BI30" s="1044" t="str">
        <f t="shared" si="58"/>
        <v/>
      </c>
      <c r="BJ30" s="1044" t="str">
        <f t="shared" si="59"/>
        <v/>
      </c>
      <c r="BK30" s="1044" t="str">
        <f t="shared" si="60"/>
        <v/>
      </c>
      <c r="BL30" s="1044" t="str">
        <f t="shared" si="61"/>
        <v/>
      </c>
      <c r="BM30" s="1044" t="str">
        <f t="shared" si="62"/>
        <v/>
      </c>
      <c r="BN30" s="1044" t="str">
        <f t="shared" si="63"/>
        <v/>
      </c>
      <c r="BO30" s="1044" t="str">
        <f t="shared" si="64"/>
        <v/>
      </c>
      <c r="BP30" s="1044" t="str">
        <f t="shared" si="65"/>
        <v/>
      </c>
      <c r="BQ30" s="1044" t="str">
        <f t="shared" si="66"/>
        <v/>
      </c>
      <c r="BR30" s="1044" t="str">
        <f t="shared" si="67"/>
        <v/>
      </c>
      <c r="BS30" s="1044" t="str">
        <f t="shared" si="68"/>
        <v/>
      </c>
      <c r="BT30" s="1044" t="str">
        <f t="shared" si="69"/>
        <v/>
      </c>
      <c r="BU30" s="1044" t="str">
        <f t="shared" si="70"/>
        <v/>
      </c>
    </row>
    <row r="31" spans="1:73" ht="30" customHeight="1">
      <c r="A31" s="1069">
        <f t="shared" si="0"/>
        <v>31</v>
      </c>
      <c r="B31" s="1063" t="s">
        <v>8254</v>
      </c>
      <c r="C31" s="1064" t="s">
        <v>254</v>
      </c>
      <c r="D31" s="1070" t="str">
        <f t="shared" si="1"/>
        <v>beurre de cacahuete;branche de celeri;ecrevisse;beurre d amande;avoine *</v>
      </c>
      <c r="E31" s="1071" t="str">
        <f t="shared" si="2"/>
        <v>⚠ Gluten • ⚠ Crustaces • ⚠ Arachides • ⚠ Fruits a coque • ⚠ Celeri</v>
      </c>
      <c r="F31" s="1067" t="str">
        <f t="shared" si="3"/>
        <v>beurre de cacahuete;branche de celeri;ecrevisse;beurre d amande;avoine *</v>
      </c>
      <c r="G31" s="1068" t="str">
        <f t="shared" si="4"/>
        <v/>
      </c>
      <c r="H31" s="1069">
        <f t="shared" si="5"/>
        <v>5</v>
      </c>
      <c r="I31" s="1069">
        <f t="shared" si="6"/>
        <v>0</v>
      </c>
      <c r="J31" s="1067" t="str">
        <f t="shared" si="7"/>
        <v>⚠ Gluten • ⚠ Crustaces • ⚠ Arachides • ⚠ Fruits a coque • ⚠ Celeri</v>
      </c>
      <c r="K31" s="1044" t="str">
        <f t="shared" si="8"/>
        <v>beurre de cacahuete;branche de celeri;ecrevisse;beurre d amande;avoine</v>
      </c>
      <c r="L31" s="1044" t="str">
        <f t="shared" si="9"/>
        <v>beurre de cacahuete;branche de celeri;ecrevisse;beurre d amande;avoine</v>
      </c>
      <c r="M31" s="1044" t="str">
        <f t="shared" si="10"/>
        <v>beurre de cacahuete;branche de celeri;ecrevisse;beurre d amande;avoine</v>
      </c>
      <c r="N31" s="1044" t="str">
        <f t="shared" si="11"/>
        <v>beurre de cacahuete;branche de celeri;ecrevisse;beurre d amande;avoine</v>
      </c>
      <c r="O31" s="1044" t="str">
        <f t="shared" si="12"/>
        <v>beurre de cacahuete;branche de celeri;ecrevisse;beurre d amande;avoine</v>
      </c>
      <c r="P31" s="1044" t="str">
        <f t="shared" si="13"/>
        <v xml:space="preserve"> beurre de cacahuete;branche de celeri;ecrevisse;beurre d amande;avoine </v>
      </c>
      <c r="Q31" s="1044">
        <f t="shared" si="14"/>
        <v>0</v>
      </c>
      <c r="R31" s="1044">
        <f t="shared" si="15"/>
        <v>0</v>
      </c>
      <c r="S31" s="1044">
        <f t="shared" si="16"/>
        <v>1</v>
      </c>
      <c r="T31" s="1044">
        <f t="shared" si="17"/>
        <v>0</v>
      </c>
      <c r="U31" s="1044" t="str">
        <f t="shared" si="18"/>
        <v>⚠ Gluten</v>
      </c>
      <c r="V31" s="1044" t="str">
        <f t="shared" si="19"/>
        <v/>
      </c>
      <c r="W31" s="1044">
        <f t="shared" si="20"/>
        <v>1</v>
      </c>
      <c r="X31" s="1044" t="str">
        <f t="shared" si="21"/>
        <v>⚠ Crustaces</v>
      </c>
      <c r="Y31" s="1044">
        <f t="shared" si="22"/>
        <v>0</v>
      </c>
      <c r="Z31" s="1044" t="str">
        <f t="shared" si="23"/>
        <v/>
      </c>
      <c r="AA31" s="1044">
        <f t="shared" si="24"/>
        <v>0</v>
      </c>
      <c r="AB31" s="1044">
        <f t="shared" si="25"/>
        <v>0</v>
      </c>
      <c r="AC31" s="1044">
        <f t="shared" si="26"/>
        <v>0</v>
      </c>
      <c r="AD31" s="1044" t="str">
        <f t="shared" si="27"/>
        <v/>
      </c>
      <c r="AE31" s="1044">
        <f t="shared" si="28"/>
        <v>2</v>
      </c>
      <c r="AF31" s="1044" t="str">
        <f t="shared" si="29"/>
        <v>⚠ Arachides</v>
      </c>
      <c r="AG31" s="1044">
        <f t="shared" si="30"/>
        <v>0</v>
      </c>
      <c r="AH31" s="1044">
        <f t="shared" si="31"/>
        <v>0</v>
      </c>
      <c r="AI31" s="1044" t="str">
        <f t="shared" si="32"/>
        <v/>
      </c>
      <c r="AJ31" s="1044">
        <f t="shared" si="33"/>
        <v>0</v>
      </c>
      <c r="AK31" s="1044">
        <f t="shared" si="34"/>
        <v>2</v>
      </c>
      <c r="AL31" s="1044">
        <f t="shared" si="35"/>
        <v>1</v>
      </c>
      <c r="AM31" s="1044">
        <f t="shared" si="36"/>
        <v>1</v>
      </c>
      <c r="AN31" s="1044" t="str">
        <f t="shared" si="37"/>
        <v/>
      </c>
      <c r="AO31" s="1044" t="str">
        <f t="shared" si="38"/>
        <v/>
      </c>
      <c r="AP31" s="1044">
        <f t="shared" si="39"/>
        <v>0</v>
      </c>
      <c r="AQ31" s="1044">
        <f t="shared" si="40"/>
        <v>2</v>
      </c>
      <c r="AR31" s="1044" t="str">
        <f t="shared" si="41"/>
        <v>⚠ Fruits a coque</v>
      </c>
      <c r="AS31" s="1044">
        <f t="shared" si="42"/>
        <v>2</v>
      </c>
      <c r="AT31" s="1044" t="str">
        <f t="shared" si="43"/>
        <v>⚠ Celeri</v>
      </c>
      <c r="AU31" s="1044">
        <f t="shared" si="44"/>
        <v>0</v>
      </c>
      <c r="AV31" s="1044" t="str">
        <f t="shared" si="45"/>
        <v/>
      </c>
      <c r="AW31" s="1044">
        <f t="shared" si="46"/>
        <v>0</v>
      </c>
      <c r="AX31" s="1044" t="str">
        <f t="shared" si="47"/>
        <v/>
      </c>
      <c r="AY31" s="1044">
        <f t="shared" si="48"/>
        <v>0</v>
      </c>
      <c r="AZ31" s="1044" t="str">
        <f t="shared" si="49"/>
        <v/>
      </c>
      <c r="BA31" s="1044">
        <f t="shared" si="50"/>
        <v>0</v>
      </c>
      <c r="BB31" s="1044" t="str">
        <f t="shared" si="51"/>
        <v/>
      </c>
      <c r="BC31" s="1044">
        <f t="shared" si="52"/>
        <v>0</v>
      </c>
      <c r="BD31" s="1044">
        <f t="shared" si="53"/>
        <v>0</v>
      </c>
      <c r="BE31" s="1044" t="str">
        <f t="shared" si="54"/>
        <v/>
      </c>
      <c r="BF31" s="1044" t="str">
        <f t="shared" si="55"/>
        <v>⚠ Gluten</v>
      </c>
      <c r="BG31" s="1044" t="str">
        <f t="shared" si="56"/>
        <v>⚠ Gluten • ⚠ Crustaces</v>
      </c>
      <c r="BH31" s="1044" t="str">
        <f t="shared" si="57"/>
        <v>⚠ Gluten • ⚠ Crustaces</v>
      </c>
      <c r="BI31" s="1044" t="str">
        <f t="shared" si="58"/>
        <v>⚠ Gluten • ⚠ Crustaces</v>
      </c>
      <c r="BJ31" s="1044" t="str">
        <f t="shared" si="59"/>
        <v>⚠ Gluten • ⚠ Crustaces • ⚠ Arachides</v>
      </c>
      <c r="BK31" s="1044" t="str">
        <f t="shared" si="60"/>
        <v>⚠ Gluten • ⚠ Crustaces • ⚠ Arachides</v>
      </c>
      <c r="BL31" s="1044" t="str">
        <f t="shared" si="61"/>
        <v>⚠ Gluten • ⚠ Crustaces • ⚠ Arachides</v>
      </c>
      <c r="BM31" s="1044" t="str">
        <f t="shared" si="62"/>
        <v>⚠ Gluten • ⚠ Crustaces • ⚠ Arachides • ⚠ Fruits a coque</v>
      </c>
      <c r="BN31" s="1044" t="str">
        <f t="shared" si="63"/>
        <v>⚠ Gluten • ⚠ Crustaces • ⚠ Arachides • ⚠ Fruits a coque • ⚠ Celeri</v>
      </c>
      <c r="BO31" s="1044" t="str">
        <f t="shared" si="64"/>
        <v>⚠ Gluten • ⚠ Crustaces • ⚠ Arachides • ⚠ Fruits a coque • ⚠ Celeri</v>
      </c>
      <c r="BP31" s="1044" t="str">
        <f t="shared" si="65"/>
        <v>⚠ Gluten • ⚠ Crustaces • ⚠ Arachides • ⚠ Fruits a coque • ⚠ Celeri</v>
      </c>
      <c r="BQ31" s="1044" t="str">
        <f t="shared" si="66"/>
        <v>⚠ Gluten • ⚠ Crustaces • ⚠ Arachides • ⚠ Fruits a coque • ⚠ Celeri</v>
      </c>
      <c r="BR31" s="1044" t="str">
        <f t="shared" si="67"/>
        <v>⚠ Gluten • ⚠ Crustaces • ⚠ Arachides • ⚠ Fruits a coque • ⚠ Celeri</v>
      </c>
      <c r="BS31" s="1044" t="str">
        <f t="shared" si="68"/>
        <v>⚠ Gluten • ⚠ Crustaces • ⚠ Arachides • ⚠ Fruits a coque • ⚠ Celeri</v>
      </c>
      <c r="BT31" s="1044" t="str">
        <f t="shared" si="69"/>
        <v/>
      </c>
      <c r="BU31" s="1044" t="str">
        <f t="shared" si="70"/>
        <v/>
      </c>
    </row>
    <row r="32" spans="1:73" ht="30" customHeight="1">
      <c r="A32" s="1069">
        <f t="shared" si="0"/>
        <v>32</v>
      </c>
      <c r="B32" s="1063" t="s">
        <v>8255</v>
      </c>
      <c r="C32" s="1064" t="s">
        <v>254</v>
      </c>
      <c r="D32" s="1070" t="str">
        <f t="shared" si="1"/>
        <v>creme entiere;huitre;œufs;dorade;farines de soja;lactitol;farine de sarrasin *</v>
      </c>
      <c r="E32" s="1071" t="str">
        <f t="shared" si="2"/>
        <v>⚠ Oeufs • ⚠ Poissons • ⚠ Soja • info Lait • ⚠ Mollusques</v>
      </c>
      <c r="F32" s="1067" t="str">
        <f t="shared" si="3"/>
        <v>creme entiere;huitre;œufs;dorade;farines de soja;lactitol;farine de sarrasin *</v>
      </c>
      <c r="G32" s="1068" t="str">
        <f t="shared" si="4"/>
        <v/>
      </c>
      <c r="H32" s="1069">
        <f t="shared" si="5"/>
        <v>5</v>
      </c>
      <c r="I32" s="1069">
        <f t="shared" si="6"/>
        <v>0</v>
      </c>
      <c r="J32" s="1067" t="str">
        <f t="shared" si="7"/>
        <v>⚠ Oeufs • ⚠ Poissons • ⚠ Soja • info Lait • ⚠ Mollusques</v>
      </c>
      <c r="K32" s="1044" t="str">
        <f t="shared" si="8"/>
        <v>creme entiere;huitre;œufs;dorade;farines de soja;lactitol;farine de sarrasin</v>
      </c>
      <c r="L32" s="1044" t="str">
        <f t="shared" si="9"/>
        <v>creme entiere;huitre;oeufs;dorade;farines de soja;lactitol;farine de sarrasin</v>
      </c>
      <c r="M32" s="1044" t="str">
        <f t="shared" si="10"/>
        <v>creme entiere;huitre;oeufs;dorade;farines de soja;lactitol;farine de sarrasin</v>
      </c>
      <c r="N32" s="1044" t="str">
        <f t="shared" si="11"/>
        <v>creme entiere;huitre;oeufs;dorade;farines de soja;lactitol;farine de sarrasin</v>
      </c>
      <c r="O32" s="1044" t="str">
        <f t="shared" si="12"/>
        <v>creme entiere;huitre;oeufs;dorade;farines de soja;lactitol;farine de sarrasin</v>
      </c>
      <c r="P32" s="1044" t="str">
        <f t="shared" si="13"/>
        <v xml:space="preserve"> creme entiere;huitre;oeufs;dorade;farines de soja;lactitol;farine de sarrasin </v>
      </c>
      <c r="Q32" s="1044">
        <f t="shared" si="14"/>
        <v>0</v>
      </c>
      <c r="R32" s="1044">
        <f t="shared" si="15"/>
        <v>2</v>
      </c>
      <c r="S32" s="1044">
        <f t="shared" si="16"/>
        <v>1</v>
      </c>
      <c r="T32" s="1044">
        <f t="shared" si="17"/>
        <v>2</v>
      </c>
      <c r="U32" s="1044" t="str">
        <f t="shared" si="18"/>
        <v/>
      </c>
      <c r="V32" s="1044" t="str">
        <f t="shared" si="19"/>
        <v/>
      </c>
      <c r="W32" s="1044">
        <f t="shared" si="20"/>
        <v>0</v>
      </c>
      <c r="X32" s="1044" t="str">
        <f t="shared" si="21"/>
        <v/>
      </c>
      <c r="Y32" s="1044">
        <f t="shared" si="22"/>
        <v>2</v>
      </c>
      <c r="Z32" s="1044" t="str">
        <f t="shared" si="23"/>
        <v>⚠ Oeufs</v>
      </c>
      <c r="AA32" s="1044">
        <f t="shared" si="24"/>
        <v>0</v>
      </c>
      <c r="AB32" s="1044">
        <f t="shared" si="25"/>
        <v>0</v>
      </c>
      <c r="AC32" s="1044">
        <f t="shared" si="26"/>
        <v>1</v>
      </c>
      <c r="AD32" s="1044" t="str">
        <f t="shared" si="27"/>
        <v>⚠ Poissons</v>
      </c>
      <c r="AE32" s="1044">
        <f t="shared" si="28"/>
        <v>0</v>
      </c>
      <c r="AF32" s="1044" t="str">
        <f t="shared" si="29"/>
        <v/>
      </c>
      <c r="AG32" s="1044">
        <f t="shared" si="30"/>
        <v>0</v>
      </c>
      <c r="AH32" s="1044">
        <f t="shared" si="31"/>
        <v>2</v>
      </c>
      <c r="AI32" s="1044" t="str">
        <f t="shared" si="32"/>
        <v>⚠ Soja</v>
      </c>
      <c r="AJ32" s="1044">
        <f t="shared" si="33"/>
        <v>1</v>
      </c>
      <c r="AK32" s="1044">
        <f t="shared" si="34"/>
        <v>0</v>
      </c>
      <c r="AL32" s="1044">
        <f t="shared" si="35"/>
        <v>1</v>
      </c>
      <c r="AM32" s="1044">
        <f t="shared" si="36"/>
        <v>1</v>
      </c>
      <c r="AN32" s="1044" t="str">
        <f t="shared" si="37"/>
        <v>info Lait</v>
      </c>
      <c r="AO32" s="1044" t="str">
        <f t="shared" si="38"/>
        <v/>
      </c>
      <c r="AP32" s="1044">
        <f t="shared" si="39"/>
        <v>0</v>
      </c>
      <c r="AQ32" s="1044">
        <f t="shared" si="40"/>
        <v>0</v>
      </c>
      <c r="AR32" s="1044" t="str">
        <f t="shared" si="41"/>
        <v/>
      </c>
      <c r="AS32" s="1044">
        <f t="shared" si="42"/>
        <v>0</v>
      </c>
      <c r="AT32" s="1044" t="str">
        <f t="shared" si="43"/>
        <v/>
      </c>
      <c r="AU32" s="1044">
        <f t="shared" si="44"/>
        <v>0</v>
      </c>
      <c r="AV32" s="1044" t="str">
        <f t="shared" si="45"/>
        <v/>
      </c>
      <c r="AW32" s="1044">
        <f t="shared" si="46"/>
        <v>0</v>
      </c>
      <c r="AX32" s="1044" t="str">
        <f t="shared" si="47"/>
        <v/>
      </c>
      <c r="AY32" s="1044">
        <f t="shared" si="48"/>
        <v>0</v>
      </c>
      <c r="AZ32" s="1044" t="str">
        <f t="shared" si="49"/>
        <v/>
      </c>
      <c r="BA32" s="1044">
        <f t="shared" si="50"/>
        <v>0</v>
      </c>
      <c r="BB32" s="1044" t="str">
        <f t="shared" si="51"/>
        <v/>
      </c>
      <c r="BC32" s="1044">
        <f t="shared" si="52"/>
        <v>0</v>
      </c>
      <c r="BD32" s="1044">
        <f t="shared" si="53"/>
        <v>1</v>
      </c>
      <c r="BE32" s="1044" t="str">
        <f t="shared" si="54"/>
        <v>⚠ Mollusques</v>
      </c>
      <c r="BF32" s="1044" t="str">
        <f t="shared" si="55"/>
        <v/>
      </c>
      <c r="BG32" s="1044" t="str">
        <f t="shared" si="56"/>
        <v/>
      </c>
      <c r="BH32" s="1044" t="str">
        <f t="shared" si="57"/>
        <v>⚠ Oeufs</v>
      </c>
      <c r="BI32" s="1044" t="str">
        <f t="shared" si="58"/>
        <v>⚠ Oeufs • ⚠ Poissons</v>
      </c>
      <c r="BJ32" s="1044" t="str">
        <f t="shared" si="59"/>
        <v>⚠ Oeufs • ⚠ Poissons</v>
      </c>
      <c r="BK32" s="1044" t="str">
        <f t="shared" si="60"/>
        <v>⚠ Oeufs • ⚠ Poissons • ⚠ Soja</v>
      </c>
      <c r="BL32" s="1044" t="str">
        <f t="shared" si="61"/>
        <v>⚠ Oeufs • ⚠ Poissons • ⚠ Soja • info Lait</v>
      </c>
      <c r="BM32" s="1044" t="str">
        <f t="shared" si="62"/>
        <v>⚠ Oeufs • ⚠ Poissons • ⚠ Soja • info Lait</v>
      </c>
      <c r="BN32" s="1044" t="str">
        <f t="shared" si="63"/>
        <v>⚠ Oeufs • ⚠ Poissons • ⚠ Soja • info Lait</v>
      </c>
      <c r="BO32" s="1044" t="str">
        <f t="shared" si="64"/>
        <v>⚠ Oeufs • ⚠ Poissons • ⚠ Soja • info Lait</v>
      </c>
      <c r="BP32" s="1044" t="str">
        <f t="shared" si="65"/>
        <v>⚠ Oeufs • ⚠ Poissons • ⚠ Soja • info Lait</v>
      </c>
      <c r="BQ32" s="1044" t="str">
        <f t="shared" si="66"/>
        <v>⚠ Oeufs • ⚠ Poissons • ⚠ Soja • info Lait</v>
      </c>
      <c r="BR32" s="1044" t="str">
        <f t="shared" si="67"/>
        <v>⚠ Oeufs • ⚠ Poissons • ⚠ Soja • info Lait</v>
      </c>
      <c r="BS32" s="1044" t="str">
        <f t="shared" si="68"/>
        <v>⚠ Oeufs • ⚠ Poissons • ⚠ Soja • info Lait • ⚠ Mollusques</v>
      </c>
      <c r="BT32" s="1044" t="str">
        <f t="shared" si="69"/>
        <v/>
      </c>
      <c r="BU32" s="1044" t="str">
        <f t="shared" si="70"/>
        <v/>
      </c>
    </row>
    <row r="33" spans="1:73" ht="30" customHeight="1">
      <c r="A33" s="1069">
        <f t="shared" si="0"/>
        <v>33</v>
      </c>
      <c r="B33" s="1063" t="s">
        <v>7342</v>
      </c>
      <c r="C33" s="1064" t="s">
        <v>254</v>
      </c>
      <c r="D33" s="1070" t="str">
        <f t="shared" si="1"/>
        <v>ble utilise pour la fabrication de distillats alcooliques</v>
      </c>
      <c r="E33" s="1071" t="str">
        <f t="shared" si="2"/>
        <v>info Gluten</v>
      </c>
      <c r="F33" s="1067" t="str">
        <f t="shared" si="3"/>
        <v>ble utilise pour la fabrication de distillats alcooliques *</v>
      </c>
      <c r="G33" s="1068" t="str">
        <f t="shared" si="4"/>
        <v/>
      </c>
      <c r="H33" s="1069">
        <f t="shared" si="5"/>
        <v>1</v>
      </c>
      <c r="I33" s="1069">
        <f t="shared" si="6"/>
        <v>0</v>
      </c>
      <c r="J33" s="1067" t="str">
        <f t="shared" si="7"/>
        <v>info Gluten</v>
      </c>
      <c r="K33" s="1044" t="str">
        <f t="shared" si="8"/>
        <v>ble utilise pour la fabrication de distillats alcooliques</v>
      </c>
      <c r="L33" s="1044" t="str">
        <f t="shared" si="9"/>
        <v>ble utilise pour la fabrication de distillats alcooliques</v>
      </c>
      <c r="M33" s="1044" t="str">
        <f t="shared" si="10"/>
        <v>ble utilise pour la fabrication de distillats alcooliques</v>
      </c>
      <c r="N33" s="1044" t="str">
        <f t="shared" si="11"/>
        <v>ble utilise pour la fabrication de distillats alcooliques</v>
      </c>
      <c r="O33" s="1044" t="str">
        <f t="shared" si="12"/>
        <v>ble utilise pour la fabrication de distillats alcooliques</v>
      </c>
      <c r="P33" s="1044" t="str">
        <f t="shared" si="13"/>
        <v xml:space="preserve"> ble utilise pour la fabrication de distillats alcooliques </v>
      </c>
      <c r="Q33" s="1044">
        <f t="shared" si="14"/>
        <v>1</v>
      </c>
      <c r="R33" s="1044">
        <f t="shared" si="15"/>
        <v>0</v>
      </c>
      <c r="S33" s="1044">
        <f t="shared" si="16"/>
        <v>1</v>
      </c>
      <c r="T33" s="1044">
        <f t="shared" si="17"/>
        <v>0</v>
      </c>
      <c r="U33" s="1044" t="str">
        <f t="shared" si="18"/>
        <v>info Gluten</v>
      </c>
      <c r="V33" s="1044" t="str">
        <f t="shared" si="19"/>
        <v/>
      </c>
      <c r="W33" s="1044">
        <f t="shared" si="20"/>
        <v>0</v>
      </c>
      <c r="X33" s="1044" t="str">
        <f t="shared" si="21"/>
        <v/>
      </c>
      <c r="Y33" s="1044">
        <f t="shared" si="22"/>
        <v>0</v>
      </c>
      <c r="Z33" s="1044" t="str">
        <f t="shared" si="23"/>
        <v/>
      </c>
      <c r="AA33" s="1044">
        <f t="shared" si="24"/>
        <v>0</v>
      </c>
      <c r="AB33" s="1044">
        <f t="shared" si="25"/>
        <v>0</v>
      </c>
      <c r="AC33" s="1044">
        <f t="shared" si="26"/>
        <v>0</v>
      </c>
      <c r="AD33" s="1044" t="str">
        <f t="shared" si="27"/>
        <v/>
      </c>
      <c r="AE33" s="1044">
        <f t="shared" si="28"/>
        <v>0</v>
      </c>
      <c r="AF33" s="1044" t="str">
        <f t="shared" si="29"/>
        <v/>
      </c>
      <c r="AG33" s="1044">
        <f t="shared" si="30"/>
        <v>0</v>
      </c>
      <c r="AH33" s="1044">
        <f t="shared" si="31"/>
        <v>0</v>
      </c>
      <c r="AI33" s="1044" t="str">
        <f t="shared" si="32"/>
        <v/>
      </c>
      <c r="AJ33" s="1044">
        <f t="shared" si="33"/>
        <v>0</v>
      </c>
      <c r="AK33" s="1044">
        <f t="shared" si="34"/>
        <v>0</v>
      </c>
      <c r="AL33" s="1044">
        <f t="shared" si="35"/>
        <v>0</v>
      </c>
      <c r="AM33" s="1044">
        <f t="shared" si="36"/>
        <v>0</v>
      </c>
      <c r="AN33" s="1044" t="str">
        <f t="shared" si="37"/>
        <v/>
      </c>
      <c r="AO33" s="1044" t="str">
        <f t="shared" si="38"/>
        <v/>
      </c>
      <c r="AP33" s="1044">
        <f t="shared" si="39"/>
        <v>0</v>
      </c>
      <c r="AQ33" s="1044">
        <f t="shared" si="40"/>
        <v>0</v>
      </c>
      <c r="AR33" s="1044" t="str">
        <f t="shared" si="41"/>
        <v/>
      </c>
      <c r="AS33" s="1044">
        <f t="shared" si="42"/>
        <v>0</v>
      </c>
      <c r="AT33" s="1044" t="str">
        <f t="shared" si="43"/>
        <v/>
      </c>
      <c r="AU33" s="1044">
        <f t="shared" si="44"/>
        <v>0</v>
      </c>
      <c r="AV33" s="1044" t="str">
        <f t="shared" si="45"/>
        <v/>
      </c>
      <c r="AW33" s="1044">
        <f t="shared" si="46"/>
        <v>0</v>
      </c>
      <c r="AX33" s="1044" t="str">
        <f t="shared" si="47"/>
        <v/>
      </c>
      <c r="AY33" s="1044">
        <f t="shared" si="48"/>
        <v>0</v>
      </c>
      <c r="AZ33" s="1044" t="str">
        <f t="shared" si="49"/>
        <v/>
      </c>
      <c r="BA33" s="1044">
        <f t="shared" si="50"/>
        <v>0</v>
      </c>
      <c r="BB33" s="1044" t="str">
        <f t="shared" si="51"/>
        <v/>
      </c>
      <c r="BC33" s="1044">
        <f t="shared" si="52"/>
        <v>0</v>
      </c>
      <c r="BD33" s="1044">
        <f t="shared" si="53"/>
        <v>0</v>
      </c>
      <c r="BE33" s="1044" t="str">
        <f t="shared" si="54"/>
        <v/>
      </c>
      <c r="BF33" s="1044" t="str">
        <f t="shared" si="55"/>
        <v>info Gluten</v>
      </c>
      <c r="BG33" s="1044" t="str">
        <f t="shared" si="56"/>
        <v>info Gluten</v>
      </c>
      <c r="BH33" s="1044" t="str">
        <f t="shared" si="57"/>
        <v>info Gluten</v>
      </c>
      <c r="BI33" s="1044" t="str">
        <f t="shared" si="58"/>
        <v>info Gluten</v>
      </c>
      <c r="BJ33" s="1044" t="str">
        <f t="shared" si="59"/>
        <v>info Gluten</v>
      </c>
      <c r="BK33" s="1044" t="str">
        <f t="shared" si="60"/>
        <v>info Gluten</v>
      </c>
      <c r="BL33" s="1044" t="str">
        <f t="shared" si="61"/>
        <v>info Gluten</v>
      </c>
      <c r="BM33" s="1044" t="str">
        <f t="shared" si="62"/>
        <v>info Gluten</v>
      </c>
      <c r="BN33" s="1044" t="str">
        <f t="shared" si="63"/>
        <v>info Gluten</v>
      </c>
      <c r="BO33" s="1044" t="str">
        <f t="shared" si="64"/>
        <v>info Gluten</v>
      </c>
      <c r="BP33" s="1044" t="str">
        <f t="shared" si="65"/>
        <v>info Gluten</v>
      </c>
      <c r="BQ33" s="1044" t="str">
        <f t="shared" si="66"/>
        <v>info Gluten</v>
      </c>
      <c r="BR33" s="1044" t="str">
        <f t="shared" si="67"/>
        <v>info Gluten</v>
      </c>
      <c r="BS33" s="1044" t="str">
        <f t="shared" si="68"/>
        <v>info Gluten</v>
      </c>
      <c r="BT33" s="1044" t="str">
        <f t="shared" si="69"/>
        <v/>
      </c>
      <c r="BU33" s="1044" t="str">
        <f t="shared" si="70"/>
        <v/>
      </c>
    </row>
    <row r="34" spans="1:73" ht="30" customHeight="1">
      <c r="A34" s="1069">
        <f t="shared" si="0"/>
        <v>34</v>
      </c>
      <c r="B34" s="1063" t="s">
        <v>8256</v>
      </c>
      <c r="C34" s="1064" t="s">
        <v>254</v>
      </c>
      <c r="D34" s="1070" t="str">
        <f t="shared" si="1"/>
        <v>farine de soja;gambas;esters de stanol vegetal issus du soja *</v>
      </c>
      <c r="E34" s="1071" t="str">
        <f t="shared" si="2"/>
        <v>⚠ Crustaces • info Soja</v>
      </c>
      <c r="F34" s="1067" t="str">
        <f t="shared" si="3"/>
        <v>farine de soja;gambas;esters de stanol vegetal issus du soja *</v>
      </c>
      <c r="G34" s="1068" t="str">
        <f t="shared" si="4"/>
        <v/>
      </c>
      <c r="H34" s="1069">
        <f t="shared" si="5"/>
        <v>2</v>
      </c>
      <c r="I34" s="1069">
        <f t="shared" si="6"/>
        <v>0</v>
      </c>
      <c r="J34" s="1067" t="str">
        <f t="shared" si="7"/>
        <v>⚠ Crustaces • info Soja</v>
      </c>
      <c r="K34" s="1044" t="str">
        <f t="shared" si="8"/>
        <v>farine de soja;gambas;esters de stanol vegetal issus du soja</v>
      </c>
      <c r="L34" s="1044" t="str">
        <f t="shared" si="9"/>
        <v>farine de soja;gambas;esters de stanol vegetal issus du soja</v>
      </c>
      <c r="M34" s="1044" t="str">
        <f t="shared" si="10"/>
        <v>farine de soja;gambas;esters de stanol vegetal issus du soja</v>
      </c>
      <c r="N34" s="1044" t="str">
        <f t="shared" si="11"/>
        <v>farine de soja;gambas;esters de stanol vegetal issus du soja</v>
      </c>
      <c r="O34" s="1044" t="str">
        <f t="shared" si="12"/>
        <v>farine de soja;gambas;esters de stanol vegetal issus du soja</v>
      </c>
      <c r="P34" s="1044" t="str">
        <f t="shared" si="13"/>
        <v xml:space="preserve"> farine de soja;gambas;esters de stanol vegetal issus du soja </v>
      </c>
      <c r="Q34" s="1044">
        <f t="shared" si="14"/>
        <v>0</v>
      </c>
      <c r="R34" s="1044">
        <f t="shared" si="15"/>
        <v>1</v>
      </c>
      <c r="S34" s="1044">
        <f t="shared" si="16"/>
        <v>1</v>
      </c>
      <c r="T34" s="1044">
        <f t="shared" si="17"/>
        <v>1</v>
      </c>
      <c r="U34" s="1044" t="str">
        <f t="shared" si="18"/>
        <v/>
      </c>
      <c r="V34" s="1044" t="str">
        <f t="shared" si="19"/>
        <v/>
      </c>
      <c r="W34" s="1044">
        <f t="shared" si="20"/>
        <v>2</v>
      </c>
      <c r="X34" s="1044" t="str">
        <f t="shared" si="21"/>
        <v>⚠ Crustaces</v>
      </c>
      <c r="Y34" s="1044">
        <f t="shared" si="22"/>
        <v>0</v>
      </c>
      <c r="Z34" s="1044" t="str">
        <f t="shared" si="23"/>
        <v/>
      </c>
      <c r="AA34" s="1044">
        <f t="shared" si="24"/>
        <v>0</v>
      </c>
      <c r="AB34" s="1044">
        <f t="shared" si="25"/>
        <v>0</v>
      </c>
      <c r="AC34" s="1044">
        <f t="shared" si="26"/>
        <v>0</v>
      </c>
      <c r="AD34" s="1044" t="str">
        <f t="shared" si="27"/>
        <v/>
      </c>
      <c r="AE34" s="1044">
        <f t="shared" si="28"/>
        <v>0</v>
      </c>
      <c r="AF34" s="1044" t="str">
        <f t="shared" si="29"/>
        <v/>
      </c>
      <c r="AG34" s="1044">
        <f t="shared" si="30"/>
        <v>1</v>
      </c>
      <c r="AH34" s="1044">
        <f t="shared" si="31"/>
        <v>2</v>
      </c>
      <c r="AI34" s="1044" t="str">
        <f t="shared" si="32"/>
        <v>info Soja</v>
      </c>
      <c r="AJ34" s="1044">
        <f t="shared" si="33"/>
        <v>0</v>
      </c>
      <c r="AK34" s="1044">
        <f t="shared" si="34"/>
        <v>0</v>
      </c>
      <c r="AL34" s="1044">
        <f t="shared" si="35"/>
        <v>0</v>
      </c>
      <c r="AM34" s="1044">
        <f t="shared" si="36"/>
        <v>0</v>
      </c>
      <c r="AN34" s="1044" t="str">
        <f t="shared" si="37"/>
        <v/>
      </c>
      <c r="AO34" s="1044" t="str">
        <f t="shared" si="38"/>
        <v/>
      </c>
      <c r="AP34" s="1044">
        <f t="shared" si="39"/>
        <v>0</v>
      </c>
      <c r="AQ34" s="1044">
        <f t="shared" si="40"/>
        <v>0</v>
      </c>
      <c r="AR34" s="1044" t="str">
        <f t="shared" si="41"/>
        <v/>
      </c>
      <c r="AS34" s="1044">
        <f t="shared" si="42"/>
        <v>0</v>
      </c>
      <c r="AT34" s="1044" t="str">
        <f t="shared" si="43"/>
        <v/>
      </c>
      <c r="AU34" s="1044">
        <f t="shared" si="44"/>
        <v>0</v>
      </c>
      <c r="AV34" s="1044" t="str">
        <f t="shared" si="45"/>
        <v/>
      </c>
      <c r="AW34" s="1044">
        <f t="shared" si="46"/>
        <v>0</v>
      </c>
      <c r="AX34" s="1044" t="str">
        <f t="shared" si="47"/>
        <v/>
      </c>
      <c r="AY34" s="1044">
        <f t="shared" si="48"/>
        <v>0</v>
      </c>
      <c r="AZ34" s="1044" t="str">
        <f t="shared" si="49"/>
        <v/>
      </c>
      <c r="BA34" s="1044">
        <f t="shared" si="50"/>
        <v>0</v>
      </c>
      <c r="BB34" s="1044" t="str">
        <f t="shared" si="51"/>
        <v/>
      </c>
      <c r="BC34" s="1044">
        <f t="shared" si="52"/>
        <v>0</v>
      </c>
      <c r="BD34" s="1044">
        <f t="shared" si="53"/>
        <v>0</v>
      </c>
      <c r="BE34" s="1044" t="str">
        <f t="shared" si="54"/>
        <v/>
      </c>
      <c r="BF34" s="1044" t="str">
        <f t="shared" si="55"/>
        <v/>
      </c>
      <c r="BG34" s="1044" t="str">
        <f t="shared" si="56"/>
        <v>⚠ Crustaces</v>
      </c>
      <c r="BH34" s="1044" t="str">
        <f t="shared" si="57"/>
        <v>⚠ Crustaces</v>
      </c>
      <c r="BI34" s="1044" t="str">
        <f t="shared" si="58"/>
        <v>⚠ Crustaces</v>
      </c>
      <c r="BJ34" s="1044" t="str">
        <f t="shared" si="59"/>
        <v>⚠ Crustaces</v>
      </c>
      <c r="BK34" s="1044" t="str">
        <f t="shared" si="60"/>
        <v>⚠ Crustaces • info Soja</v>
      </c>
      <c r="BL34" s="1044" t="str">
        <f t="shared" si="61"/>
        <v>⚠ Crustaces • info Soja</v>
      </c>
      <c r="BM34" s="1044" t="str">
        <f t="shared" si="62"/>
        <v>⚠ Crustaces • info Soja</v>
      </c>
      <c r="BN34" s="1044" t="str">
        <f t="shared" si="63"/>
        <v>⚠ Crustaces • info Soja</v>
      </c>
      <c r="BO34" s="1044" t="str">
        <f t="shared" si="64"/>
        <v>⚠ Crustaces • info Soja</v>
      </c>
      <c r="BP34" s="1044" t="str">
        <f t="shared" si="65"/>
        <v>⚠ Crustaces • info Soja</v>
      </c>
      <c r="BQ34" s="1044" t="str">
        <f t="shared" si="66"/>
        <v>⚠ Crustaces • info Soja</v>
      </c>
      <c r="BR34" s="1044" t="str">
        <f t="shared" si="67"/>
        <v>⚠ Crustaces • info Soja</v>
      </c>
      <c r="BS34" s="1044" t="str">
        <f t="shared" si="68"/>
        <v>⚠ Crustaces • info Soja</v>
      </c>
      <c r="BT34" s="1044" t="str">
        <f t="shared" si="69"/>
        <v/>
      </c>
      <c r="BU34" s="1044" t="str">
        <f t="shared" si="70"/>
        <v/>
      </c>
    </row>
    <row r="35" spans="1:73" ht="30" customHeight="1">
      <c r="A35" s="1069">
        <f t="shared" si="0"/>
        <v>35</v>
      </c>
      <c r="B35" s="1063" t="s">
        <v>8257</v>
      </c>
      <c r="C35" s="1064" t="s">
        <v>254</v>
      </c>
      <c r="D35" s="1070" t="str">
        <f t="shared" si="1"/>
        <v>lactoserum utilise pour la fabrication de distillats;lait d avoine;creme legere;creme de noisettes *</v>
      </c>
      <c r="E35" s="1071" t="str">
        <f t="shared" si="2"/>
        <v>⚠ Gluten • info Lait • ⚠ Fruits a coque</v>
      </c>
      <c r="F35" s="1067" t="str">
        <f t="shared" si="3"/>
        <v>lactoserum utilise pour la fabrication de distillats;lait d avoine;creme legere;creme de noisettes *</v>
      </c>
      <c r="G35" s="1068" t="str">
        <f t="shared" si="4"/>
        <v/>
      </c>
      <c r="H35" s="1069">
        <f t="shared" si="5"/>
        <v>3</v>
      </c>
      <c r="I35" s="1069">
        <f t="shared" si="6"/>
        <v>0</v>
      </c>
      <c r="J35" s="1067" t="str">
        <f t="shared" si="7"/>
        <v>⚠ Gluten • info Lait • ⚠ Fruits a coque</v>
      </c>
      <c r="K35" s="1044" t="str">
        <f t="shared" si="8"/>
        <v>lactoserum utilise pour la fabrication de distillats;lait d avoine;creme legere;creme de noisettes</v>
      </c>
      <c r="L35" s="1044" t="str">
        <f t="shared" si="9"/>
        <v>lactoserum utilise pour la fabrication de distillats;lait d avoine;creme legere;creme de noisettes</v>
      </c>
      <c r="M35" s="1044" t="str">
        <f t="shared" si="10"/>
        <v>lactoserum utilise pour la fabrication de distillats;lait d avoine;creme legere;creme de noisettes</v>
      </c>
      <c r="N35" s="1044" t="str">
        <f t="shared" si="11"/>
        <v>lactoserum utilise pour la fabrication de distillats;lait d avoine;creme legere;creme de noisettes</v>
      </c>
      <c r="O35" s="1044" t="str">
        <f t="shared" si="12"/>
        <v>lactoserum utilise pour la fabrication de distillats;lait d avoine;creme legere;creme de noisettes</v>
      </c>
      <c r="P35" s="1044" t="str">
        <f t="shared" si="13"/>
        <v xml:space="preserve"> lactoserum utilise pour la fabrication de distillats;lait d avoine;creme legere;creme de noisettes </v>
      </c>
      <c r="Q35" s="1044">
        <f t="shared" si="14"/>
        <v>0</v>
      </c>
      <c r="R35" s="1044">
        <f t="shared" si="15"/>
        <v>0</v>
      </c>
      <c r="S35" s="1044">
        <f t="shared" si="16"/>
        <v>2</v>
      </c>
      <c r="T35" s="1044">
        <f t="shared" si="17"/>
        <v>0</v>
      </c>
      <c r="U35" s="1044" t="str">
        <f t="shared" si="18"/>
        <v>⚠ Gluten</v>
      </c>
      <c r="V35" s="1044" t="str">
        <f t="shared" si="19"/>
        <v/>
      </c>
      <c r="W35" s="1044">
        <f t="shared" si="20"/>
        <v>0</v>
      </c>
      <c r="X35" s="1044" t="str">
        <f t="shared" si="21"/>
        <v/>
      </c>
      <c r="Y35" s="1044">
        <f t="shared" si="22"/>
        <v>0</v>
      </c>
      <c r="Z35" s="1044" t="str">
        <f t="shared" si="23"/>
        <v/>
      </c>
      <c r="AA35" s="1044">
        <f t="shared" si="24"/>
        <v>0</v>
      </c>
      <c r="AB35" s="1044">
        <f t="shared" si="25"/>
        <v>0</v>
      </c>
      <c r="AC35" s="1044">
        <f t="shared" si="26"/>
        <v>0</v>
      </c>
      <c r="AD35" s="1044" t="str">
        <f t="shared" si="27"/>
        <v/>
      </c>
      <c r="AE35" s="1044">
        <f t="shared" si="28"/>
        <v>0</v>
      </c>
      <c r="AF35" s="1044" t="str">
        <f t="shared" si="29"/>
        <v/>
      </c>
      <c r="AG35" s="1044">
        <f t="shared" si="30"/>
        <v>0</v>
      </c>
      <c r="AH35" s="1044">
        <f t="shared" si="31"/>
        <v>0</v>
      </c>
      <c r="AI35" s="1044" t="str">
        <f t="shared" si="32"/>
        <v/>
      </c>
      <c r="AJ35" s="1044">
        <f t="shared" si="33"/>
        <v>1</v>
      </c>
      <c r="AK35" s="1044">
        <f t="shared" si="34"/>
        <v>3</v>
      </c>
      <c r="AL35" s="1044">
        <f t="shared" si="35"/>
        <v>3</v>
      </c>
      <c r="AM35" s="1044">
        <f t="shared" si="36"/>
        <v>2</v>
      </c>
      <c r="AN35" s="1044" t="str">
        <f t="shared" si="37"/>
        <v>info Lait</v>
      </c>
      <c r="AO35" s="1044" t="str">
        <f t="shared" si="38"/>
        <v/>
      </c>
      <c r="AP35" s="1044">
        <f t="shared" si="39"/>
        <v>0</v>
      </c>
      <c r="AQ35" s="1044">
        <f t="shared" si="40"/>
        <v>4</v>
      </c>
      <c r="AR35" s="1044" t="str">
        <f t="shared" si="41"/>
        <v>⚠ Fruits a coque</v>
      </c>
      <c r="AS35" s="1044">
        <f t="shared" si="42"/>
        <v>0</v>
      </c>
      <c r="AT35" s="1044" t="str">
        <f t="shared" si="43"/>
        <v/>
      </c>
      <c r="AU35" s="1044">
        <f t="shared" si="44"/>
        <v>0</v>
      </c>
      <c r="AV35" s="1044" t="str">
        <f t="shared" si="45"/>
        <v/>
      </c>
      <c r="AW35" s="1044">
        <f t="shared" si="46"/>
        <v>0</v>
      </c>
      <c r="AX35" s="1044" t="str">
        <f t="shared" si="47"/>
        <v/>
      </c>
      <c r="AY35" s="1044">
        <f t="shared" si="48"/>
        <v>0</v>
      </c>
      <c r="AZ35" s="1044" t="str">
        <f t="shared" si="49"/>
        <v/>
      </c>
      <c r="BA35" s="1044">
        <f t="shared" si="50"/>
        <v>0</v>
      </c>
      <c r="BB35" s="1044" t="str">
        <f t="shared" si="51"/>
        <v/>
      </c>
      <c r="BC35" s="1044">
        <f t="shared" si="52"/>
        <v>0</v>
      </c>
      <c r="BD35" s="1044">
        <f t="shared" si="53"/>
        <v>0</v>
      </c>
      <c r="BE35" s="1044" t="str">
        <f t="shared" si="54"/>
        <v/>
      </c>
      <c r="BF35" s="1044" t="str">
        <f t="shared" si="55"/>
        <v>⚠ Gluten</v>
      </c>
      <c r="BG35" s="1044" t="str">
        <f t="shared" si="56"/>
        <v>⚠ Gluten</v>
      </c>
      <c r="BH35" s="1044" t="str">
        <f t="shared" si="57"/>
        <v>⚠ Gluten</v>
      </c>
      <c r="BI35" s="1044" t="str">
        <f t="shared" si="58"/>
        <v>⚠ Gluten</v>
      </c>
      <c r="BJ35" s="1044" t="str">
        <f t="shared" si="59"/>
        <v>⚠ Gluten</v>
      </c>
      <c r="BK35" s="1044" t="str">
        <f t="shared" si="60"/>
        <v>⚠ Gluten</v>
      </c>
      <c r="BL35" s="1044" t="str">
        <f t="shared" si="61"/>
        <v>⚠ Gluten • info Lait</v>
      </c>
      <c r="BM35" s="1044" t="str">
        <f t="shared" si="62"/>
        <v>⚠ Gluten • info Lait • ⚠ Fruits a coque</v>
      </c>
      <c r="BN35" s="1044" t="str">
        <f t="shared" si="63"/>
        <v>⚠ Gluten • info Lait • ⚠ Fruits a coque</v>
      </c>
      <c r="BO35" s="1044" t="str">
        <f t="shared" si="64"/>
        <v>⚠ Gluten • info Lait • ⚠ Fruits a coque</v>
      </c>
      <c r="BP35" s="1044" t="str">
        <f t="shared" si="65"/>
        <v>⚠ Gluten • info Lait • ⚠ Fruits a coque</v>
      </c>
      <c r="BQ35" s="1044" t="str">
        <f t="shared" si="66"/>
        <v>⚠ Gluten • info Lait • ⚠ Fruits a coque</v>
      </c>
      <c r="BR35" s="1044" t="str">
        <f t="shared" si="67"/>
        <v>⚠ Gluten • info Lait • ⚠ Fruits a coque</v>
      </c>
      <c r="BS35" s="1044" t="str">
        <f t="shared" si="68"/>
        <v>⚠ Gluten • info Lait • ⚠ Fruits a coque</v>
      </c>
      <c r="BT35" s="1044" t="str">
        <f t="shared" si="69"/>
        <v/>
      </c>
      <c r="BU35" s="1044" t="str">
        <f t="shared" si="70"/>
        <v/>
      </c>
    </row>
    <row r="36" spans="1:73" ht="30" customHeight="1">
      <c r="A36" s="1069">
        <f t="shared" si="0"/>
        <v>36</v>
      </c>
      <c r="B36" s="1063" t="s">
        <v>7343</v>
      </c>
      <c r="C36" s="1064" t="s">
        <v>254</v>
      </c>
      <c r="D36" s="1070" t="str">
        <f t="shared" si="1"/>
        <v>cereales utilisees pour la fabrication de distillats alcooliques</v>
      </c>
      <c r="E36" s="1071" t="str">
        <f t="shared" si="2"/>
        <v>info Gluten</v>
      </c>
      <c r="F36" s="1067" t="str">
        <f t="shared" si="3"/>
        <v>cereales utilisees pour la fabrication de distillats alcooliques *</v>
      </c>
      <c r="G36" s="1068" t="str">
        <f t="shared" si="4"/>
        <v/>
      </c>
      <c r="H36" s="1069">
        <f t="shared" si="5"/>
        <v>1</v>
      </c>
      <c r="I36" s="1069">
        <f t="shared" si="6"/>
        <v>0</v>
      </c>
      <c r="J36" s="1067" t="str">
        <f t="shared" si="7"/>
        <v>info Gluten</v>
      </c>
      <c r="K36" s="1044" t="str">
        <f t="shared" si="8"/>
        <v>cereales utilisees pour la fabrication de distillats alcooliques</v>
      </c>
      <c r="L36" s="1044" t="str">
        <f t="shared" si="9"/>
        <v>cereales utilisees pour la fabrication de distillats alcooliques</v>
      </c>
      <c r="M36" s="1044" t="str">
        <f t="shared" si="10"/>
        <v>cereales utilisees pour la fabrication de distillats alcooliques</v>
      </c>
      <c r="N36" s="1044" t="str">
        <f t="shared" si="11"/>
        <v>cereales utilisees pour la fabrication de distillats alcooliques</v>
      </c>
      <c r="O36" s="1044" t="str">
        <f t="shared" si="12"/>
        <v>cereales utilisees pour la fabrication de distillats alcooliques</v>
      </c>
      <c r="P36" s="1044" t="str">
        <f t="shared" si="13"/>
        <v xml:space="preserve"> cereales utilisees pour la fabrication de distillats alcooliques </v>
      </c>
      <c r="Q36" s="1044">
        <f t="shared" si="14"/>
        <v>1</v>
      </c>
      <c r="R36" s="1044">
        <f t="shared" si="15"/>
        <v>0</v>
      </c>
      <c r="S36" s="1044">
        <f t="shared" si="16"/>
        <v>0</v>
      </c>
      <c r="T36" s="1044">
        <f t="shared" si="17"/>
        <v>0</v>
      </c>
      <c r="U36" s="1044" t="str">
        <f t="shared" si="18"/>
        <v>info Gluten</v>
      </c>
      <c r="V36" s="1044" t="str">
        <f t="shared" si="19"/>
        <v/>
      </c>
      <c r="W36" s="1044">
        <f t="shared" si="20"/>
        <v>0</v>
      </c>
      <c r="X36" s="1044" t="str">
        <f t="shared" si="21"/>
        <v/>
      </c>
      <c r="Y36" s="1044">
        <f t="shared" si="22"/>
        <v>0</v>
      </c>
      <c r="Z36" s="1044" t="str">
        <f t="shared" si="23"/>
        <v/>
      </c>
      <c r="AA36" s="1044">
        <f t="shared" si="24"/>
        <v>0</v>
      </c>
      <c r="AB36" s="1044">
        <f t="shared" si="25"/>
        <v>0</v>
      </c>
      <c r="AC36" s="1044">
        <f t="shared" si="26"/>
        <v>0</v>
      </c>
      <c r="AD36" s="1044" t="str">
        <f t="shared" si="27"/>
        <v/>
      </c>
      <c r="AE36" s="1044">
        <f t="shared" si="28"/>
        <v>0</v>
      </c>
      <c r="AF36" s="1044" t="str">
        <f t="shared" si="29"/>
        <v/>
      </c>
      <c r="AG36" s="1044">
        <f t="shared" si="30"/>
        <v>0</v>
      </c>
      <c r="AH36" s="1044">
        <f t="shared" si="31"/>
        <v>0</v>
      </c>
      <c r="AI36" s="1044" t="str">
        <f t="shared" si="32"/>
        <v/>
      </c>
      <c r="AJ36" s="1044">
        <f t="shared" si="33"/>
        <v>0</v>
      </c>
      <c r="AK36" s="1044">
        <f t="shared" si="34"/>
        <v>0</v>
      </c>
      <c r="AL36" s="1044">
        <f t="shared" si="35"/>
        <v>0</v>
      </c>
      <c r="AM36" s="1044">
        <f t="shared" si="36"/>
        <v>0</v>
      </c>
      <c r="AN36" s="1044" t="str">
        <f t="shared" si="37"/>
        <v/>
      </c>
      <c r="AO36" s="1044" t="str">
        <f t="shared" si="38"/>
        <v/>
      </c>
      <c r="AP36" s="1044">
        <f t="shared" si="39"/>
        <v>0</v>
      </c>
      <c r="AQ36" s="1044">
        <f t="shared" si="40"/>
        <v>0</v>
      </c>
      <c r="AR36" s="1044" t="str">
        <f t="shared" si="41"/>
        <v/>
      </c>
      <c r="AS36" s="1044">
        <f t="shared" si="42"/>
        <v>0</v>
      </c>
      <c r="AT36" s="1044" t="str">
        <f t="shared" si="43"/>
        <v/>
      </c>
      <c r="AU36" s="1044">
        <f t="shared" si="44"/>
        <v>0</v>
      </c>
      <c r="AV36" s="1044" t="str">
        <f t="shared" si="45"/>
        <v/>
      </c>
      <c r="AW36" s="1044">
        <f t="shared" si="46"/>
        <v>0</v>
      </c>
      <c r="AX36" s="1044" t="str">
        <f t="shared" si="47"/>
        <v/>
      </c>
      <c r="AY36" s="1044">
        <f t="shared" si="48"/>
        <v>0</v>
      </c>
      <c r="AZ36" s="1044" t="str">
        <f t="shared" si="49"/>
        <v/>
      </c>
      <c r="BA36" s="1044">
        <f t="shared" si="50"/>
        <v>0</v>
      </c>
      <c r="BB36" s="1044" t="str">
        <f t="shared" si="51"/>
        <v/>
      </c>
      <c r="BC36" s="1044">
        <f t="shared" si="52"/>
        <v>0</v>
      </c>
      <c r="BD36" s="1044">
        <f t="shared" si="53"/>
        <v>0</v>
      </c>
      <c r="BE36" s="1044" t="str">
        <f t="shared" si="54"/>
        <v/>
      </c>
      <c r="BF36" s="1044" t="str">
        <f t="shared" si="55"/>
        <v>info Gluten</v>
      </c>
      <c r="BG36" s="1044" t="str">
        <f t="shared" si="56"/>
        <v>info Gluten</v>
      </c>
      <c r="BH36" s="1044" t="str">
        <f t="shared" si="57"/>
        <v>info Gluten</v>
      </c>
      <c r="BI36" s="1044" t="str">
        <f t="shared" si="58"/>
        <v>info Gluten</v>
      </c>
      <c r="BJ36" s="1044" t="str">
        <f t="shared" si="59"/>
        <v>info Gluten</v>
      </c>
      <c r="BK36" s="1044" t="str">
        <f t="shared" si="60"/>
        <v>info Gluten</v>
      </c>
      <c r="BL36" s="1044" t="str">
        <f t="shared" si="61"/>
        <v>info Gluten</v>
      </c>
      <c r="BM36" s="1044" t="str">
        <f t="shared" si="62"/>
        <v>info Gluten</v>
      </c>
      <c r="BN36" s="1044" t="str">
        <f t="shared" si="63"/>
        <v>info Gluten</v>
      </c>
      <c r="BO36" s="1044" t="str">
        <f t="shared" si="64"/>
        <v>info Gluten</v>
      </c>
      <c r="BP36" s="1044" t="str">
        <f t="shared" si="65"/>
        <v>info Gluten</v>
      </c>
      <c r="BQ36" s="1044" t="str">
        <f t="shared" si="66"/>
        <v>info Gluten</v>
      </c>
      <c r="BR36" s="1044" t="str">
        <f t="shared" si="67"/>
        <v>info Gluten</v>
      </c>
      <c r="BS36" s="1044" t="str">
        <f t="shared" si="68"/>
        <v>info Gluten</v>
      </c>
      <c r="BT36" s="1044" t="str">
        <f t="shared" si="69"/>
        <v/>
      </c>
      <c r="BU36" s="1044" t="str">
        <f t="shared" si="70"/>
        <v/>
      </c>
    </row>
    <row r="37" spans="1:73" ht="30" customHeight="1">
      <c r="A37" s="1069" t="str">
        <f t="shared" si="0"/>
        <v/>
      </c>
      <c r="B37" s="1063"/>
      <c r="C37" s="1064" t="s">
        <v>254</v>
      </c>
      <c r="D37" s="1070" t="str">
        <f t="shared" si="1"/>
        <v/>
      </c>
      <c r="E37" s="1071" t="str">
        <f t="shared" si="2"/>
        <v/>
      </c>
      <c r="F37" s="1067" t="str">
        <f t="shared" si="3"/>
        <v/>
      </c>
      <c r="G37" s="1068" t="str">
        <f t="shared" si="4"/>
        <v/>
      </c>
      <c r="H37" s="1069" t="str">
        <f t="shared" si="5"/>
        <v/>
      </c>
      <c r="I37" s="1069" t="str">
        <f t="shared" si="6"/>
        <v/>
      </c>
      <c r="J37" s="1067" t="str">
        <f t="shared" si="7"/>
        <v/>
      </c>
      <c r="K37" s="1044" t="str">
        <f t="shared" si="8"/>
        <v/>
      </c>
      <c r="L37" s="1044" t="str">
        <f t="shared" si="9"/>
        <v/>
      </c>
      <c r="M37" s="1044" t="str">
        <f t="shared" si="10"/>
        <v/>
      </c>
      <c r="N37" s="1044" t="str">
        <f t="shared" si="11"/>
        <v/>
      </c>
      <c r="O37" s="1044" t="str">
        <f t="shared" si="12"/>
        <v/>
      </c>
      <c r="P37" s="1044" t="str">
        <f t="shared" si="13"/>
        <v/>
      </c>
      <c r="Q37" s="1044">
        <f t="shared" si="14"/>
        <v>0</v>
      </c>
      <c r="R37" s="1044">
        <f t="shared" si="15"/>
        <v>0</v>
      </c>
      <c r="S37" s="1044">
        <f t="shared" si="16"/>
        <v>0</v>
      </c>
      <c r="T37" s="1044">
        <f t="shared" si="17"/>
        <v>0</v>
      </c>
      <c r="U37" s="1044" t="str">
        <f t="shared" si="18"/>
        <v/>
      </c>
      <c r="V37" s="1044" t="str">
        <f t="shared" si="19"/>
        <v/>
      </c>
      <c r="W37" s="1044">
        <f t="shared" si="20"/>
        <v>0</v>
      </c>
      <c r="X37" s="1044" t="str">
        <f t="shared" si="21"/>
        <v/>
      </c>
      <c r="Y37" s="1044">
        <f t="shared" si="22"/>
        <v>0</v>
      </c>
      <c r="Z37" s="1044" t="str">
        <f t="shared" si="23"/>
        <v/>
      </c>
      <c r="AA37" s="1044">
        <f t="shared" si="24"/>
        <v>0</v>
      </c>
      <c r="AB37" s="1044">
        <f t="shared" si="25"/>
        <v>0</v>
      </c>
      <c r="AC37" s="1044">
        <f t="shared" si="26"/>
        <v>0</v>
      </c>
      <c r="AD37" s="1044" t="str">
        <f t="shared" si="27"/>
        <v/>
      </c>
      <c r="AE37" s="1044">
        <f t="shared" si="28"/>
        <v>0</v>
      </c>
      <c r="AF37" s="1044" t="str">
        <f t="shared" si="29"/>
        <v/>
      </c>
      <c r="AG37" s="1044">
        <f t="shared" si="30"/>
        <v>0</v>
      </c>
      <c r="AH37" s="1044">
        <f t="shared" si="31"/>
        <v>0</v>
      </c>
      <c r="AI37" s="1044" t="str">
        <f t="shared" si="32"/>
        <v/>
      </c>
      <c r="AJ37" s="1044">
        <f t="shared" si="33"/>
        <v>0</v>
      </c>
      <c r="AK37" s="1044">
        <f t="shared" si="34"/>
        <v>0</v>
      </c>
      <c r="AL37" s="1044">
        <f t="shared" si="35"/>
        <v>0</v>
      </c>
      <c r="AM37" s="1044">
        <f t="shared" si="36"/>
        <v>0</v>
      </c>
      <c r="AN37" s="1044" t="str">
        <f t="shared" si="37"/>
        <v/>
      </c>
      <c r="AO37" s="1044" t="str">
        <f t="shared" si="38"/>
        <v/>
      </c>
      <c r="AP37" s="1044">
        <f t="shared" si="39"/>
        <v>0</v>
      </c>
      <c r="AQ37" s="1044">
        <f t="shared" si="40"/>
        <v>0</v>
      </c>
      <c r="AR37" s="1044" t="str">
        <f t="shared" si="41"/>
        <v/>
      </c>
      <c r="AS37" s="1044">
        <f t="shared" si="42"/>
        <v>0</v>
      </c>
      <c r="AT37" s="1044" t="str">
        <f t="shared" si="43"/>
        <v/>
      </c>
      <c r="AU37" s="1044">
        <f t="shared" si="44"/>
        <v>0</v>
      </c>
      <c r="AV37" s="1044" t="str">
        <f t="shared" si="45"/>
        <v/>
      </c>
      <c r="AW37" s="1044">
        <f t="shared" si="46"/>
        <v>0</v>
      </c>
      <c r="AX37" s="1044" t="str">
        <f t="shared" si="47"/>
        <v/>
      </c>
      <c r="AY37" s="1044">
        <f t="shared" si="48"/>
        <v>0</v>
      </c>
      <c r="AZ37" s="1044" t="str">
        <f t="shared" si="49"/>
        <v/>
      </c>
      <c r="BA37" s="1044">
        <f t="shared" si="50"/>
        <v>0</v>
      </c>
      <c r="BB37" s="1044" t="str">
        <f t="shared" si="51"/>
        <v/>
      </c>
      <c r="BC37" s="1044">
        <f t="shared" si="52"/>
        <v>0</v>
      </c>
      <c r="BD37" s="1044">
        <f t="shared" si="53"/>
        <v>0</v>
      </c>
      <c r="BE37" s="1044" t="str">
        <f t="shared" si="54"/>
        <v/>
      </c>
      <c r="BF37" s="1044" t="str">
        <f t="shared" si="55"/>
        <v/>
      </c>
      <c r="BG37" s="1044" t="str">
        <f t="shared" si="56"/>
        <v/>
      </c>
      <c r="BH37" s="1044" t="str">
        <f t="shared" si="57"/>
        <v/>
      </c>
      <c r="BI37" s="1044" t="str">
        <f t="shared" si="58"/>
        <v/>
      </c>
      <c r="BJ37" s="1044" t="str">
        <f t="shared" si="59"/>
        <v/>
      </c>
      <c r="BK37" s="1044" t="str">
        <f t="shared" si="60"/>
        <v/>
      </c>
      <c r="BL37" s="1044" t="str">
        <f t="shared" si="61"/>
        <v/>
      </c>
      <c r="BM37" s="1044" t="str">
        <f t="shared" si="62"/>
        <v/>
      </c>
      <c r="BN37" s="1044" t="str">
        <f t="shared" si="63"/>
        <v/>
      </c>
      <c r="BO37" s="1044" t="str">
        <f t="shared" si="64"/>
        <v/>
      </c>
      <c r="BP37" s="1044" t="str">
        <f t="shared" si="65"/>
        <v/>
      </c>
      <c r="BQ37" s="1044" t="str">
        <f t="shared" si="66"/>
        <v/>
      </c>
      <c r="BR37" s="1044" t="str">
        <f t="shared" si="67"/>
        <v/>
      </c>
      <c r="BS37" s="1044" t="str">
        <f t="shared" si="68"/>
        <v/>
      </c>
      <c r="BT37" s="1044" t="str">
        <f t="shared" si="69"/>
        <v/>
      </c>
      <c r="BU37" s="1044" t="str">
        <f t="shared" si="70"/>
        <v/>
      </c>
    </row>
    <row r="38" spans="1:73" ht="30" customHeight="1">
      <c r="A38" s="1069" t="str">
        <f t="shared" si="0"/>
        <v/>
      </c>
      <c r="B38" s="1063"/>
      <c r="C38" s="1064" t="s">
        <v>254</v>
      </c>
      <c r="D38" s="1070" t="str">
        <f t="shared" si="1"/>
        <v/>
      </c>
      <c r="E38" s="1071" t="str">
        <f t="shared" si="2"/>
        <v/>
      </c>
      <c r="F38" s="1067" t="str">
        <f t="shared" si="3"/>
        <v/>
      </c>
      <c r="G38" s="1068" t="str">
        <f t="shared" si="4"/>
        <v/>
      </c>
      <c r="H38" s="1069" t="str">
        <f t="shared" si="5"/>
        <v/>
      </c>
      <c r="I38" s="1069" t="str">
        <f t="shared" si="6"/>
        <v/>
      </c>
      <c r="J38" s="1067" t="str">
        <f t="shared" si="7"/>
        <v/>
      </c>
      <c r="K38" s="1044" t="str">
        <f t="shared" si="8"/>
        <v/>
      </c>
      <c r="L38" s="1044" t="str">
        <f t="shared" si="9"/>
        <v/>
      </c>
      <c r="M38" s="1044" t="str">
        <f t="shared" si="10"/>
        <v/>
      </c>
      <c r="N38" s="1044" t="str">
        <f t="shared" si="11"/>
        <v/>
      </c>
      <c r="O38" s="1044" t="str">
        <f t="shared" si="12"/>
        <v/>
      </c>
      <c r="P38" s="1044" t="str">
        <f t="shared" si="13"/>
        <v/>
      </c>
      <c r="Q38" s="1044">
        <f t="shared" si="14"/>
        <v>0</v>
      </c>
      <c r="R38" s="1044">
        <f t="shared" si="15"/>
        <v>0</v>
      </c>
      <c r="S38" s="1044">
        <f t="shared" si="16"/>
        <v>0</v>
      </c>
      <c r="T38" s="1044">
        <f t="shared" si="17"/>
        <v>0</v>
      </c>
      <c r="U38" s="1044" t="str">
        <f t="shared" si="18"/>
        <v/>
      </c>
      <c r="V38" s="1044" t="str">
        <f t="shared" si="19"/>
        <v/>
      </c>
      <c r="W38" s="1044">
        <f t="shared" si="20"/>
        <v>0</v>
      </c>
      <c r="X38" s="1044" t="str">
        <f t="shared" si="21"/>
        <v/>
      </c>
      <c r="Y38" s="1044">
        <f t="shared" si="22"/>
        <v>0</v>
      </c>
      <c r="Z38" s="1044" t="str">
        <f t="shared" si="23"/>
        <v/>
      </c>
      <c r="AA38" s="1044">
        <f t="shared" si="24"/>
        <v>0</v>
      </c>
      <c r="AB38" s="1044">
        <f t="shared" si="25"/>
        <v>0</v>
      </c>
      <c r="AC38" s="1044">
        <f t="shared" si="26"/>
        <v>0</v>
      </c>
      <c r="AD38" s="1044" t="str">
        <f t="shared" si="27"/>
        <v/>
      </c>
      <c r="AE38" s="1044">
        <f t="shared" si="28"/>
        <v>0</v>
      </c>
      <c r="AF38" s="1044" t="str">
        <f t="shared" si="29"/>
        <v/>
      </c>
      <c r="AG38" s="1044">
        <f t="shared" si="30"/>
        <v>0</v>
      </c>
      <c r="AH38" s="1044">
        <f t="shared" si="31"/>
        <v>0</v>
      </c>
      <c r="AI38" s="1044" t="str">
        <f t="shared" si="32"/>
        <v/>
      </c>
      <c r="AJ38" s="1044">
        <f t="shared" si="33"/>
        <v>0</v>
      </c>
      <c r="AK38" s="1044">
        <f t="shared" si="34"/>
        <v>0</v>
      </c>
      <c r="AL38" s="1044">
        <f t="shared" si="35"/>
        <v>0</v>
      </c>
      <c r="AM38" s="1044">
        <f t="shared" si="36"/>
        <v>0</v>
      </c>
      <c r="AN38" s="1044" t="str">
        <f t="shared" si="37"/>
        <v/>
      </c>
      <c r="AO38" s="1044" t="str">
        <f t="shared" si="38"/>
        <v/>
      </c>
      <c r="AP38" s="1044">
        <f t="shared" si="39"/>
        <v>0</v>
      </c>
      <c r="AQ38" s="1044">
        <f t="shared" si="40"/>
        <v>0</v>
      </c>
      <c r="AR38" s="1044" t="str">
        <f t="shared" si="41"/>
        <v/>
      </c>
      <c r="AS38" s="1044">
        <f t="shared" si="42"/>
        <v>0</v>
      </c>
      <c r="AT38" s="1044" t="str">
        <f t="shared" si="43"/>
        <v/>
      </c>
      <c r="AU38" s="1044">
        <f t="shared" si="44"/>
        <v>0</v>
      </c>
      <c r="AV38" s="1044" t="str">
        <f t="shared" si="45"/>
        <v/>
      </c>
      <c r="AW38" s="1044">
        <f t="shared" si="46"/>
        <v>0</v>
      </c>
      <c r="AX38" s="1044" t="str">
        <f t="shared" si="47"/>
        <v/>
      </c>
      <c r="AY38" s="1044">
        <f t="shared" si="48"/>
        <v>0</v>
      </c>
      <c r="AZ38" s="1044" t="str">
        <f t="shared" si="49"/>
        <v/>
      </c>
      <c r="BA38" s="1044">
        <f t="shared" si="50"/>
        <v>0</v>
      </c>
      <c r="BB38" s="1044" t="str">
        <f t="shared" si="51"/>
        <v/>
      </c>
      <c r="BC38" s="1044">
        <f t="shared" si="52"/>
        <v>0</v>
      </c>
      <c r="BD38" s="1044">
        <f t="shared" si="53"/>
        <v>0</v>
      </c>
      <c r="BE38" s="1044" t="str">
        <f t="shared" si="54"/>
        <v/>
      </c>
      <c r="BF38" s="1044" t="str">
        <f t="shared" si="55"/>
        <v/>
      </c>
      <c r="BG38" s="1044" t="str">
        <f t="shared" si="56"/>
        <v/>
      </c>
      <c r="BH38" s="1044" t="str">
        <f t="shared" si="57"/>
        <v/>
      </c>
      <c r="BI38" s="1044" t="str">
        <f t="shared" si="58"/>
        <v/>
      </c>
      <c r="BJ38" s="1044" t="str">
        <f t="shared" si="59"/>
        <v/>
      </c>
      <c r="BK38" s="1044" t="str">
        <f t="shared" si="60"/>
        <v/>
      </c>
      <c r="BL38" s="1044" t="str">
        <f t="shared" si="61"/>
        <v/>
      </c>
      <c r="BM38" s="1044" t="str">
        <f t="shared" si="62"/>
        <v/>
      </c>
      <c r="BN38" s="1044" t="str">
        <f t="shared" si="63"/>
        <v/>
      </c>
      <c r="BO38" s="1044" t="str">
        <f t="shared" si="64"/>
        <v/>
      </c>
      <c r="BP38" s="1044" t="str">
        <f t="shared" si="65"/>
        <v/>
      </c>
      <c r="BQ38" s="1044" t="str">
        <f t="shared" si="66"/>
        <v/>
      </c>
      <c r="BR38" s="1044" t="str">
        <f t="shared" si="67"/>
        <v/>
      </c>
      <c r="BS38" s="1044" t="str">
        <f t="shared" si="68"/>
        <v/>
      </c>
      <c r="BT38" s="1044" t="str">
        <f t="shared" si="69"/>
        <v/>
      </c>
      <c r="BU38" s="1044" t="str">
        <f t="shared" si="70"/>
        <v/>
      </c>
    </row>
    <row r="39" spans="1:73" ht="30" customHeight="1">
      <c r="A39" s="1069" t="str">
        <f t="shared" si="0"/>
        <v/>
      </c>
      <c r="B39" s="1063"/>
      <c r="C39" s="1064" t="s">
        <v>254</v>
      </c>
      <c r="D39" s="1070" t="str">
        <f t="shared" si="1"/>
        <v/>
      </c>
      <c r="E39" s="1071" t="str">
        <f t="shared" si="2"/>
        <v/>
      </c>
      <c r="F39" s="1067" t="str">
        <f t="shared" si="3"/>
        <v/>
      </c>
      <c r="G39" s="1068" t="str">
        <f t="shared" si="4"/>
        <v/>
      </c>
      <c r="H39" s="1069" t="str">
        <f t="shared" si="5"/>
        <v/>
      </c>
      <c r="I39" s="1069" t="str">
        <f t="shared" si="6"/>
        <v/>
      </c>
      <c r="J39" s="1067" t="str">
        <f t="shared" si="7"/>
        <v/>
      </c>
      <c r="K39" s="1044" t="str">
        <f t="shared" si="8"/>
        <v/>
      </c>
      <c r="L39" s="1044" t="str">
        <f t="shared" si="9"/>
        <v/>
      </c>
      <c r="M39" s="1044" t="str">
        <f t="shared" si="10"/>
        <v/>
      </c>
      <c r="N39" s="1044" t="str">
        <f t="shared" si="11"/>
        <v/>
      </c>
      <c r="O39" s="1044" t="str">
        <f t="shared" si="12"/>
        <v/>
      </c>
      <c r="P39" s="1044" t="str">
        <f t="shared" si="13"/>
        <v/>
      </c>
      <c r="Q39" s="1044">
        <f t="shared" si="14"/>
        <v>0</v>
      </c>
      <c r="R39" s="1044">
        <f t="shared" si="15"/>
        <v>0</v>
      </c>
      <c r="S39" s="1044">
        <f t="shared" si="16"/>
        <v>0</v>
      </c>
      <c r="T39" s="1044">
        <f t="shared" si="17"/>
        <v>0</v>
      </c>
      <c r="U39" s="1044" t="str">
        <f t="shared" si="18"/>
        <v/>
      </c>
      <c r="V39" s="1044" t="str">
        <f t="shared" si="19"/>
        <v/>
      </c>
      <c r="W39" s="1044">
        <f t="shared" si="20"/>
        <v>0</v>
      </c>
      <c r="X39" s="1044" t="str">
        <f t="shared" si="21"/>
        <v/>
      </c>
      <c r="Y39" s="1044">
        <f t="shared" si="22"/>
        <v>0</v>
      </c>
      <c r="Z39" s="1044" t="str">
        <f t="shared" si="23"/>
        <v/>
      </c>
      <c r="AA39" s="1044">
        <f t="shared" si="24"/>
        <v>0</v>
      </c>
      <c r="AB39" s="1044">
        <f t="shared" si="25"/>
        <v>0</v>
      </c>
      <c r="AC39" s="1044">
        <f t="shared" si="26"/>
        <v>0</v>
      </c>
      <c r="AD39" s="1044" t="str">
        <f t="shared" si="27"/>
        <v/>
      </c>
      <c r="AE39" s="1044">
        <f t="shared" si="28"/>
        <v>0</v>
      </c>
      <c r="AF39" s="1044" t="str">
        <f t="shared" si="29"/>
        <v/>
      </c>
      <c r="AG39" s="1044">
        <f t="shared" si="30"/>
        <v>0</v>
      </c>
      <c r="AH39" s="1044">
        <f t="shared" si="31"/>
        <v>0</v>
      </c>
      <c r="AI39" s="1044" t="str">
        <f t="shared" si="32"/>
        <v/>
      </c>
      <c r="AJ39" s="1044">
        <f t="shared" si="33"/>
        <v>0</v>
      </c>
      <c r="AK39" s="1044">
        <f t="shared" si="34"/>
        <v>0</v>
      </c>
      <c r="AL39" s="1044">
        <f t="shared" si="35"/>
        <v>0</v>
      </c>
      <c r="AM39" s="1044">
        <f t="shared" si="36"/>
        <v>0</v>
      </c>
      <c r="AN39" s="1044" t="str">
        <f t="shared" si="37"/>
        <v/>
      </c>
      <c r="AO39" s="1044" t="str">
        <f t="shared" si="38"/>
        <v/>
      </c>
      <c r="AP39" s="1044">
        <f t="shared" si="39"/>
        <v>0</v>
      </c>
      <c r="AQ39" s="1044">
        <f t="shared" si="40"/>
        <v>0</v>
      </c>
      <c r="AR39" s="1044" t="str">
        <f t="shared" si="41"/>
        <v/>
      </c>
      <c r="AS39" s="1044">
        <f t="shared" si="42"/>
        <v>0</v>
      </c>
      <c r="AT39" s="1044" t="str">
        <f t="shared" si="43"/>
        <v/>
      </c>
      <c r="AU39" s="1044">
        <f t="shared" si="44"/>
        <v>0</v>
      </c>
      <c r="AV39" s="1044" t="str">
        <f t="shared" si="45"/>
        <v/>
      </c>
      <c r="AW39" s="1044">
        <f t="shared" si="46"/>
        <v>0</v>
      </c>
      <c r="AX39" s="1044" t="str">
        <f t="shared" si="47"/>
        <v/>
      </c>
      <c r="AY39" s="1044">
        <f t="shared" si="48"/>
        <v>0</v>
      </c>
      <c r="AZ39" s="1044" t="str">
        <f t="shared" si="49"/>
        <v/>
      </c>
      <c r="BA39" s="1044">
        <f t="shared" si="50"/>
        <v>0</v>
      </c>
      <c r="BB39" s="1044" t="str">
        <f t="shared" si="51"/>
        <v/>
      </c>
      <c r="BC39" s="1044">
        <f t="shared" si="52"/>
        <v>0</v>
      </c>
      <c r="BD39" s="1044">
        <f t="shared" si="53"/>
        <v>0</v>
      </c>
      <c r="BE39" s="1044" t="str">
        <f t="shared" si="54"/>
        <v/>
      </c>
      <c r="BF39" s="1044" t="str">
        <f t="shared" si="55"/>
        <v/>
      </c>
      <c r="BG39" s="1044" t="str">
        <f t="shared" si="56"/>
        <v/>
      </c>
      <c r="BH39" s="1044" t="str">
        <f t="shared" si="57"/>
        <v/>
      </c>
      <c r="BI39" s="1044" t="str">
        <f t="shared" si="58"/>
        <v/>
      </c>
      <c r="BJ39" s="1044" t="str">
        <f t="shared" si="59"/>
        <v/>
      </c>
      <c r="BK39" s="1044" t="str">
        <f t="shared" si="60"/>
        <v/>
      </c>
      <c r="BL39" s="1044" t="str">
        <f t="shared" si="61"/>
        <v/>
      </c>
      <c r="BM39" s="1044" t="str">
        <f t="shared" si="62"/>
        <v/>
      </c>
      <c r="BN39" s="1044" t="str">
        <f t="shared" si="63"/>
        <v/>
      </c>
      <c r="BO39" s="1044" t="str">
        <f t="shared" si="64"/>
        <v/>
      </c>
      <c r="BP39" s="1044" t="str">
        <f t="shared" si="65"/>
        <v/>
      </c>
      <c r="BQ39" s="1044" t="str">
        <f t="shared" si="66"/>
        <v/>
      </c>
      <c r="BR39" s="1044" t="str">
        <f t="shared" si="67"/>
        <v/>
      </c>
      <c r="BS39" s="1044" t="str">
        <f t="shared" si="68"/>
        <v/>
      </c>
      <c r="BT39" s="1044" t="str">
        <f t="shared" si="69"/>
        <v/>
      </c>
      <c r="BU39" s="1044" t="str">
        <f t="shared" si="70"/>
        <v/>
      </c>
    </row>
    <row r="40" spans="1:73" ht="30" customHeight="1">
      <c r="A40" s="1069" t="str">
        <f t="shared" si="0"/>
        <v/>
      </c>
      <c r="B40" s="1063"/>
      <c r="C40" s="1064" t="s">
        <v>254</v>
      </c>
      <c r="D40" s="1070" t="str">
        <f t="shared" si="1"/>
        <v/>
      </c>
      <c r="E40" s="1071" t="str">
        <f t="shared" si="2"/>
        <v/>
      </c>
      <c r="F40" s="1067" t="str">
        <f t="shared" si="3"/>
        <v/>
      </c>
      <c r="G40" s="1068" t="str">
        <f t="shared" si="4"/>
        <v/>
      </c>
      <c r="H40" s="1069" t="str">
        <f t="shared" si="5"/>
        <v/>
      </c>
      <c r="I40" s="1069" t="str">
        <f t="shared" si="6"/>
        <v/>
      </c>
      <c r="J40" s="1067" t="str">
        <f t="shared" si="7"/>
        <v/>
      </c>
      <c r="K40" s="1044" t="str">
        <f t="shared" si="8"/>
        <v/>
      </c>
      <c r="L40" s="1044" t="str">
        <f t="shared" si="9"/>
        <v/>
      </c>
      <c r="M40" s="1044" t="str">
        <f t="shared" si="10"/>
        <v/>
      </c>
      <c r="N40" s="1044" t="str">
        <f t="shared" si="11"/>
        <v/>
      </c>
      <c r="O40" s="1044" t="str">
        <f t="shared" si="12"/>
        <v/>
      </c>
      <c r="P40" s="1044" t="str">
        <f t="shared" si="13"/>
        <v/>
      </c>
      <c r="Q40" s="1044">
        <f t="shared" si="14"/>
        <v>0</v>
      </c>
      <c r="R40" s="1044">
        <f t="shared" si="15"/>
        <v>0</v>
      </c>
      <c r="S40" s="1044">
        <f t="shared" si="16"/>
        <v>0</v>
      </c>
      <c r="T40" s="1044">
        <f t="shared" si="17"/>
        <v>0</v>
      </c>
      <c r="U40" s="1044" t="str">
        <f t="shared" si="18"/>
        <v/>
      </c>
      <c r="V40" s="1044" t="str">
        <f t="shared" si="19"/>
        <v/>
      </c>
      <c r="W40" s="1044">
        <f t="shared" si="20"/>
        <v>0</v>
      </c>
      <c r="X40" s="1044" t="str">
        <f t="shared" si="21"/>
        <v/>
      </c>
      <c r="Y40" s="1044">
        <f t="shared" si="22"/>
        <v>0</v>
      </c>
      <c r="Z40" s="1044" t="str">
        <f t="shared" si="23"/>
        <v/>
      </c>
      <c r="AA40" s="1044">
        <f t="shared" si="24"/>
        <v>0</v>
      </c>
      <c r="AB40" s="1044">
        <f t="shared" si="25"/>
        <v>0</v>
      </c>
      <c r="AC40" s="1044">
        <f t="shared" si="26"/>
        <v>0</v>
      </c>
      <c r="AD40" s="1044" t="str">
        <f t="shared" si="27"/>
        <v/>
      </c>
      <c r="AE40" s="1044">
        <f t="shared" si="28"/>
        <v>0</v>
      </c>
      <c r="AF40" s="1044" t="str">
        <f t="shared" si="29"/>
        <v/>
      </c>
      <c r="AG40" s="1044">
        <f t="shared" si="30"/>
        <v>0</v>
      </c>
      <c r="AH40" s="1044">
        <f t="shared" si="31"/>
        <v>0</v>
      </c>
      <c r="AI40" s="1044" t="str">
        <f t="shared" si="32"/>
        <v/>
      </c>
      <c r="AJ40" s="1044">
        <f t="shared" si="33"/>
        <v>0</v>
      </c>
      <c r="AK40" s="1044">
        <f t="shared" si="34"/>
        <v>0</v>
      </c>
      <c r="AL40" s="1044">
        <f t="shared" si="35"/>
        <v>0</v>
      </c>
      <c r="AM40" s="1044">
        <f t="shared" si="36"/>
        <v>0</v>
      </c>
      <c r="AN40" s="1044" t="str">
        <f t="shared" si="37"/>
        <v/>
      </c>
      <c r="AO40" s="1044" t="str">
        <f t="shared" si="38"/>
        <v/>
      </c>
      <c r="AP40" s="1044">
        <f t="shared" si="39"/>
        <v>0</v>
      </c>
      <c r="AQ40" s="1044">
        <f t="shared" si="40"/>
        <v>0</v>
      </c>
      <c r="AR40" s="1044" t="str">
        <f t="shared" si="41"/>
        <v/>
      </c>
      <c r="AS40" s="1044">
        <f t="shared" si="42"/>
        <v>0</v>
      </c>
      <c r="AT40" s="1044" t="str">
        <f t="shared" si="43"/>
        <v/>
      </c>
      <c r="AU40" s="1044">
        <f t="shared" si="44"/>
        <v>0</v>
      </c>
      <c r="AV40" s="1044" t="str">
        <f t="shared" si="45"/>
        <v/>
      </c>
      <c r="AW40" s="1044">
        <f t="shared" si="46"/>
        <v>0</v>
      </c>
      <c r="AX40" s="1044" t="str">
        <f t="shared" si="47"/>
        <v/>
      </c>
      <c r="AY40" s="1044">
        <f t="shared" si="48"/>
        <v>0</v>
      </c>
      <c r="AZ40" s="1044" t="str">
        <f t="shared" si="49"/>
        <v/>
      </c>
      <c r="BA40" s="1044">
        <f t="shared" si="50"/>
        <v>0</v>
      </c>
      <c r="BB40" s="1044" t="str">
        <f t="shared" si="51"/>
        <v/>
      </c>
      <c r="BC40" s="1044">
        <f t="shared" si="52"/>
        <v>0</v>
      </c>
      <c r="BD40" s="1044">
        <f t="shared" si="53"/>
        <v>0</v>
      </c>
      <c r="BE40" s="1044" t="str">
        <f t="shared" si="54"/>
        <v/>
      </c>
      <c r="BF40" s="1044" t="str">
        <f t="shared" si="55"/>
        <v/>
      </c>
      <c r="BG40" s="1044" t="str">
        <f t="shared" si="56"/>
        <v/>
      </c>
      <c r="BH40" s="1044" t="str">
        <f t="shared" si="57"/>
        <v/>
      </c>
      <c r="BI40" s="1044" t="str">
        <f t="shared" si="58"/>
        <v/>
      </c>
      <c r="BJ40" s="1044" t="str">
        <f t="shared" si="59"/>
        <v/>
      </c>
      <c r="BK40" s="1044" t="str">
        <f t="shared" si="60"/>
        <v/>
      </c>
      <c r="BL40" s="1044" t="str">
        <f t="shared" si="61"/>
        <v/>
      </c>
      <c r="BM40" s="1044" t="str">
        <f t="shared" si="62"/>
        <v/>
      </c>
      <c r="BN40" s="1044" t="str">
        <f t="shared" si="63"/>
        <v/>
      </c>
      <c r="BO40" s="1044" t="str">
        <f t="shared" si="64"/>
        <v/>
      </c>
      <c r="BP40" s="1044" t="str">
        <f t="shared" si="65"/>
        <v/>
      </c>
      <c r="BQ40" s="1044" t="str">
        <f t="shared" si="66"/>
        <v/>
      </c>
      <c r="BR40" s="1044" t="str">
        <f t="shared" si="67"/>
        <v/>
      </c>
      <c r="BS40" s="1044" t="str">
        <f t="shared" si="68"/>
        <v/>
      </c>
      <c r="BT40" s="1044" t="str">
        <f t="shared" si="69"/>
        <v/>
      </c>
      <c r="BU40" s="1044" t="str">
        <f t="shared" si="70"/>
        <v/>
      </c>
    </row>
    <row r="41" spans="1:73" ht="30" customHeight="1">
      <c r="A41" s="1069" t="str">
        <f t="shared" si="0"/>
        <v/>
      </c>
      <c r="B41" s="1063"/>
      <c r="C41" s="1064" t="s">
        <v>254</v>
      </c>
      <c r="D41" s="1070" t="str">
        <f t="shared" si="1"/>
        <v/>
      </c>
      <c r="E41" s="1071" t="str">
        <f t="shared" si="2"/>
        <v/>
      </c>
      <c r="F41" s="1067" t="str">
        <f t="shared" si="3"/>
        <v/>
      </c>
      <c r="G41" s="1068" t="str">
        <f t="shared" si="4"/>
        <v/>
      </c>
      <c r="H41" s="1069" t="str">
        <f t="shared" si="5"/>
        <v/>
      </c>
      <c r="I41" s="1069" t="str">
        <f t="shared" si="6"/>
        <v/>
      </c>
      <c r="J41" s="1067" t="str">
        <f t="shared" si="7"/>
        <v/>
      </c>
      <c r="K41" s="1044" t="str">
        <f t="shared" si="8"/>
        <v/>
      </c>
      <c r="L41" s="1044" t="str">
        <f t="shared" si="9"/>
        <v/>
      </c>
      <c r="M41" s="1044" t="str">
        <f t="shared" si="10"/>
        <v/>
      </c>
      <c r="N41" s="1044" t="str">
        <f t="shared" si="11"/>
        <v/>
      </c>
      <c r="O41" s="1044" t="str">
        <f t="shared" si="12"/>
        <v/>
      </c>
      <c r="P41" s="1044" t="str">
        <f t="shared" si="13"/>
        <v/>
      </c>
      <c r="Q41" s="1044">
        <f t="shared" si="14"/>
        <v>0</v>
      </c>
      <c r="R41" s="1044">
        <f t="shared" si="15"/>
        <v>0</v>
      </c>
      <c r="S41" s="1044">
        <f t="shared" si="16"/>
        <v>0</v>
      </c>
      <c r="T41" s="1044">
        <f t="shared" si="17"/>
        <v>0</v>
      </c>
      <c r="U41" s="1044" t="str">
        <f t="shared" si="18"/>
        <v/>
      </c>
      <c r="V41" s="1044" t="str">
        <f t="shared" si="19"/>
        <v/>
      </c>
      <c r="W41" s="1044">
        <f t="shared" si="20"/>
        <v>0</v>
      </c>
      <c r="X41" s="1044" t="str">
        <f t="shared" si="21"/>
        <v/>
      </c>
      <c r="Y41" s="1044">
        <f t="shared" si="22"/>
        <v>0</v>
      </c>
      <c r="Z41" s="1044" t="str">
        <f t="shared" si="23"/>
        <v/>
      </c>
      <c r="AA41" s="1044">
        <f t="shared" si="24"/>
        <v>0</v>
      </c>
      <c r="AB41" s="1044">
        <f t="shared" si="25"/>
        <v>0</v>
      </c>
      <c r="AC41" s="1044">
        <f t="shared" si="26"/>
        <v>0</v>
      </c>
      <c r="AD41" s="1044" t="str">
        <f t="shared" si="27"/>
        <v/>
      </c>
      <c r="AE41" s="1044">
        <f t="shared" si="28"/>
        <v>0</v>
      </c>
      <c r="AF41" s="1044" t="str">
        <f t="shared" si="29"/>
        <v/>
      </c>
      <c r="AG41" s="1044">
        <f t="shared" si="30"/>
        <v>0</v>
      </c>
      <c r="AH41" s="1044">
        <f t="shared" si="31"/>
        <v>0</v>
      </c>
      <c r="AI41" s="1044" t="str">
        <f t="shared" si="32"/>
        <v/>
      </c>
      <c r="AJ41" s="1044">
        <f t="shared" si="33"/>
        <v>0</v>
      </c>
      <c r="AK41" s="1044">
        <f t="shared" si="34"/>
        <v>0</v>
      </c>
      <c r="AL41" s="1044">
        <f t="shared" si="35"/>
        <v>0</v>
      </c>
      <c r="AM41" s="1044">
        <f t="shared" si="36"/>
        <v>0</v>
      </c>
      <c r="AN41" s="1044" t="str">
        <f t="shared" si="37"/>
        <v/>
      </c>
      <c r="AO41" s="1044" t="str">
        <f t="shared" si="38"/>
        <v/>
      </c>
      <c r="AP41" s="1044">
        <f t="shared" si="39"/>
        <v>0</v>
      </c>
      <c r="AQ41" s="1044">
        <f t="shared" si="40"/>
        <v>0</v>
      </c>
      <c r="AR41" s="1044" t="str">
        <f t="shared" si="41"/>
        <v/>
      </c>
      <c r="AS41" s="1044">
        <f t="shared" si="42"/>
        <v>0</v>
      </c>
      <c r="AT41" s="1044" t="str">
        <f t="shared" si="43"/>
        <v/>
      </c>
      <c r="AU41" s="1044">
        <f t="shared" si="44"/>
        <v>0</v>
      </c>
      <c r="AV41" s="1044" t="str">
        <f t="shared" si="45"/>
        <v/>
      </c>
      <c r="AW41" s="1044">
        <f t="shared" si="46"/>
        <v>0</v>
      </c>
      <c r="AX41" s="1044" t="str">
        <f t="shared" si="47"/>
        <v/>
      </c>
      <c r="AY41" s="1044">
        <f t="shared" si="48"/>
        <v>0</v>
      </c>
      <c r="AZ41" s="1044" t="str">
        <f t="shared" si="49"/>
        <v/>
      </c>
      <c r="BA41" s="1044">
        <f t="shared" si="50"/>
        <v>0</v>
      </c>
      <c r="BB41" s="1044" t="str">
        <f t="shared" si="51"/>
        <v/>
      </c>
      <c r="BC41" s="1044">
        <f t="shared" si="52"/>
        <v>0</v>
      </c>
      <c r="BD41" s="1044">
        <f t="shared" si="53"/>
        <v>0</v>
      </c>
      <c r="BE41" s="1044" t="str">
        <f t="shared" si="54"/>
        <v/>
      </c>
      <c r="BF41" s="1044" t="str">
        <f t="shared" si="55"/>
        <v/>
      </c>
      <c r="BG41" s="1044" t="str">
        <f t="shared" si="56"/>
        <v/>
      </c>
      <c r="BH41" s="1044" t="str">
        <f t="shared" si="57"/>
        <v/>
      </c>
      <c r="BI41" s="1044" t="str">
        <f t="shared" si="58"/>
        <v/>
      </c>
      <c r="BJ41" s="1044" t="str">
        <f t="shared" si="59"/>
        <v/>
      </c>
      <c r="BK41" s="1044" t="str">
        <f t="shared" si="60"/>
        <v/>
      </c>
      <c r="BL41" s="1044" t="str">
        <f t="shared" si="61"/>
        <v/>
      </c>
      <c r="BM41" s="1044" t="str">
        <f t="shared" si="62"/>
        <v/>
      </c>
      <c r="BN41" s="1044" t="str">
        <f t="shared" si="63"/>
        <v/>
      </c>
      <c r="BO41" s="1044" t="str">
        <f t="shared" si="64"/>
        <v/>
      </c>
      <c r="BP41" s="1044" t="str">
        <f t="shared" si="65"/>
        <v/>
      </c>
      <c r="BQ41" s="1044" t="str">
        <f t="shared" si="66"/>
        <v/>
      </c>
      <c r="BR41" s="1044" t="str">
        <f t="shared" si="67"/>
        <v/>
      </c>
      <c r="BS41" s="1044" t="str">
        <f t="shared" si="68"/>
        <v/>
      </c>
      <c r="BT41" s="1044" t="str">
        <f t="shared" si="69"/>
        <v/>
      </c>
      <c r="BU41" s="1044" t="str">
        <f t="shared" si="70"/>
        <v/>
      </c>
    </row>
    <row r="42" spans="1:73" ht="30" customHeight="1">
      <c r="A42" s="1069" t="str">
        <f t="shared" si="0"/>
        <v/>
      </c>
      <c r="B42" s="1063"/>
      <c r="C42" s="1064" t="s">
        <v>254</v>
      </c>
      <c r="D42" s="1070" t="str">
        <f t="shared" si="1"/>
        <v/>
      </c>
      <c r="E42" s="1071" t="str">
        <f t="shared" si="2"/>
        <v/>
      </c>
      <c r="F42" s="1067" t="str">
        <f t="shared" si="3"/>
        <v/>
      </c>
      <c r="G42" s="1068" t="str">
        <f t="shared" si="4"/>
        <v/>
      </c>
      <c r="H42" s="1069" t="str">
        <f t="shared" si="5"/>
        <v/>
      </c>
      <c r="I42" s="1069" t="str">
        <f t="shared" si="6"/>
        <v/>
      </c>
      <c r="J42" s="1067" t="str">
        <f t="shared" si="7"/>
        <v/>
      </c>
      <c r="K42" s="1044" t="str">
        <f t="shared" si="8"/>
        <v/>
      </c>
      <c r="L42" s="1044" t="str">
        <f t="shared" si="9"/>
        <v/>
      </c>
      <c r="M42" s="1044" t="str">
        <f t="shared" si="10"/>
        <v/>
      </c>
      <c r="N42" s="1044" t="str">
        <f t="shared" si="11"/>
        <v/>
      </c>
      <c r="O42" s="1044" t="str">
        <f t="shared" si="12"/>
        <v/>
      </c>
      <c r="P42" s="1044" t="str">
        <f t="shared" si="13"/>
        <v/>
      </c>
      <c r="Q42" s="1044">
        <f t="shared" si="14"/>
        <v>0</v>
      </c>
      <c r="R42" s="1044">
        <f t="shared" si="15"/>
        <v>0</v>
      </c>
      <c r="S42" s="1044">
        <f t="shared" si="16"/>
        <v>0</v>
      </c>
      <c r="T42" s="1044">
        <f t="shared" si="17"/>
        <v>0</v>
      </c>
      <c r="U42" s="1044" t="str">
        <f t="shared" si="18"/>
        <v/>
      </c>
      <c r="V42" s="1044" t="str">
        <f t="shared" si="19"/>
        <v/>
      </c>
      <c r="W42" s="1044">
        <f t="shared" si="20"/>
        <v>0</v>
      </c>
      <c r="X42" s="1044" t="str">
        <f t="shared" si="21"/>
        <v/>
      </c>
      <c r="Y42" s="1044">
        <f t="shared" si="22"/>
        <v>0</v>
      </c>
      <c r="Z42" s="1044" t="str">
        <f t="shared" si="23"/>
        <v/>
      </c>
      <c r="AA42" s="1044">
        <f t="shared" si="24"/>
        <v>0</v>
      </c>
      <c r="AB42" s="1044">
        <f t="shared" si="25"/>
        <v>0</v>
      </c>
      <c r="AC42" s="1044">
        <f t="shared" si="26"/>
        <v>0</v>
      </c>
      <c r="AD42" s="1044" t="str">
        <f t="shared" si="27"/>
        <v/>
      </c>
      <c r="AE42" s="1044">
        <f t="shared" si="28"/>
        <v>0</v>
      </c>
      <c r="AF42" s="1044" t="str">
        <f t="shared" si="29"/>
        <v/>
      </c>
      <c r="AG42" s="1044">
        <f t="shared" si="30"/>
        <v>0</v>
      </c>
      <c r="AH42" s="1044">
        <f t="shared" si="31"/>
        <v>0</v>
      </c>
      <c r="AI42" s="1044" t="str">
        <f t="shared" si="32"/>
        <v/>
      </c>
      <c r="AJ42" s="1044">
        <f t="shared" si="33"/>
        <v>0</v>
      </c>
      <c r="AK42" s="1044">
        <f t="shared" si="34"/>
        <v>0</v>
      </c>
      <c r="AL42" s="1044">
        <f t="shared" si="35"/>
        <v>0</v>
      </c>
      <c r="AM42" s="1044">
        <f t="shared" si="36"/>
        <v>0</v>
      </c>
      <c r="AN42" s="1044" t="str">
        <f t="shared" si="37"/>
        <v/>
      </c>
      <c r="AO42" s="1044" t="str">
        <f t="shared" si="38"/>
        <v/>
      </c>
      <c r="AP42" s="1044">
        <f t="shared" si="39"/>
        <v>0</v>
      </c>
      <c r="AQ42" s="1044">
        <f t="shared" si="40"/>
        <v>0</v>
      </c>
      <c r="AR42" s="1044" t="str">
        <f t="shared" si="41"/>
        <v/>
      </c>
      <c r="AS42" s="1044">
        <f t="shared" si="42"/>
        <v>0</v>
      </c>
      <c r="AT42" s="1044" t="str">
        <f t="shared" si="43"/>
        <v/>
      </c>
      <c r="AU42" s="1044">
        <f t="shared" si="44"/>
        <v>0</v>
      </c>
      <c r="AV42" s="1044" t="str">
        <f t="shared" si="45"/>
        <v/>
      </c>
      <c r="AW42" s="1044">
        <f t="shared" si="46"/>
        <v>0</v>
      </c>
      <c r="AX42" s="1044" t="str">
        <f t="shared" si="47"/>
        <v/>
      </c>
      <c r="AY42" s="1044">
        <f t="shared" si="48"/>
        <v>0</v>
      </c>
      <c r="AZ42" s="1044" t="str">
        <f t="shared" si="49"/>
        <v/>
      </c>
      <c r="BA42" s="1044">
        <f t="shared" si="50"/>
        <v>0</v>
      </c>
      <c r="BB42" s="1044" t="str">
        <f t="shared" si="51"/>
        <v/>
      </c>
      <c r="BC42" s="1044">
        <f t="shared" si="52"/>
        <v>0</v>
      </c>
      <c r="BD42" s="1044">
        <f t="shared" si="53"/>
        <v>0</v>
      </c>
      <c r="BE42" s="1044" t="str">
        <f t="shared" si="54"/>
        <v/>
      </c>
      <c r="BF42" s="1044" t="str">
        <f t="shared" si="55"/>
        <v/>
      </c>
      <c r="BG42" s="1044" t="str">
        <f t="shared" si="56"/>
        <v/>
      </c>
      <c r="BH42" s="1044" t="str">
        <f t="shared" si="57"/>
        <v/>
      </c>
      <c r="BI42" s="1044" t="str">
        <f t="shared" si="58"/>
        <v/>
      </c>
      <c r="BJ42" s="1044" t="str">
        <f t="shared" si="59"/>
        <v/>
      </c>
      <c r="BK42" s="1044" t="str">
        <f t="shared" si="60"/>
        <v/>
      </c>
      <c r="BL42" s="1044" t="str">
        <f t="shared" si="61"/>
        <v/>
      </c>
      <c r="BM42" s="1044" t="str">
        <f t="shared" si="62"/>
        <v/>
      </c>
      <c r="BN42" s="1044" t="str">
        <f t="shared" si="63"/>
        <v/>
      </c>
      <c r="BO42" s="1044" t="str">
        <f t="shared" si="64"/>
        <v/>
      </c>
      <c r="BP42" s="1044" t="str">
        <f t="shared" si="65"/>
        <v/>
      </c>
      <c r="BQ42" s="1044" t="str">
        <f t="shared" si="66"/>
        <v/>
      </c>
      <c r="BR42" s="1044" t="str">
        <f t="shared" si="67"/>
        <v/>
      </c>
      <c r="BS42" s="1044" t="str">
        <f t="shared" si="68"/>
        <v/>
      </c>
      <c r="BT42" s="1044" t="str">
        <f t="shared" si="69"/>
        <v/>
      </c>
      <c r="BU42" s="1044" t="str">
        <f t="shared" si="70"/>
        <v/>
      </c>
    </row>
    <row r="43" spans="1:73" ht="30" customHeight="1">
      <c r="A43" s="1069" t="str">
        <f t="shared" si="0"/>
        <v/>
      </c>
      <c r="B43" s="1063"/>
      <c r="C43" s="1064" t="s">
        <v>254</v>
      </c>
      <c r="D43" s="1070" t="str">
        <f t="shared" si="1"/>
        <v/>
      </c>
      <c r="E43" s="1071" t="str">
        <f t="shared" si="2"/>
        <v/>
      </c>
      <c r="F43" s="1067" t="str">
        <f t="shared" si="3"/>
        <v/>
      </c>
      <c r="G43" s="1068" t="str">
        <f t="shared" si="4"/>
        <v/>
      </c>
      <c r="H43" s="1069" t="str">
        <f t="shared" si="5"/>
        <v/>
      </c>
      <c r="I43" s="1069" t="str">
        <f t="shared" si="6"/>
        <v/>
      </c>
      <c r="J43" s="1067" t="str">
        <f t="shared" si="7"/>
        <v/>
      </c>
      <c r="K43" s="1044" t="str">
        <f t="shared" si="8"/>
        <v/>
      </c>
      <c r="L43" s="1044" t="str">
        <f t="shared" si="9"/>
        <v/>
      </c>
      <c r="M43" s="1044" t="str">
        <f t="shared" si="10"/>
        <v/>
      </c>
      <c r="N43" s="1044" t="str">
        <f t="shared" si="11"/>
        <v/>
      </c>
      <c r="O43" s="1044" t="str">
        <f t="shared" si="12"/>
        <v/>
      </c>
      <c r="P43" s="1044" t="str">
        <f t="shared" si="13"/>
        <v/>
      </c>
      <c r="Q43" s="1044">
        <f t="shared" si="14"/>
        <v>0</v>
      </c>
      <c r="R43" s="1044">
        <f t="shared" si="15"/>
        <v>0</v>
      </c>
      <c r="S43" s="1044">
        <f t="shared" si="16"/>
        <v>0</v>
      </c>
      <c r="T43" s="1044">
        <f t="shared" si="17"/>
        <v>0</v>
      </c>
      <c r="U43" s="1044" t="str">
        <f t="shared" si="18"/>
        <v/>
      </c>
      <c r="V43" s="1044" t="str">
        <f t="shared" si="19"/>
        <v/>
      </c>
      <c r="W43" s="1044">
        <f t="shared" si="20"/>
        <v>0</v>
      </c>
      <c r="X43" s="1044" t="str">
        <f t="shared" si="21"/>
        <v/>
      </c>
      <c r="Y43" s="1044">
        <f t="shared" si="22"/>
        <v>0</v>
      </c>
      <c r="Z43" s="1044" t="str">
        <f t="shared" si="23"/>
        <v/>
      </c>
      <c r="AA43" s="1044">
        <f t="shared" si="24"/>
        <v>0</v>
      </c>
      <c r="AB43" s="1044">
        <f t="shared" si="25"/>
        <v>0</v>
      </c>
      <c r="AC43" s="1044">
        <f t="shared" si="26"/>
        <v>0</v>
      </c>
      <c r="AD43" s="1044" t="str">
        <f t="shared" si="27"/>
        <v/>
      </c>
      <c r="AE43" s="1044">
        <f t="shared" si="28"/>
        <v>0</v>
      </c>
      <c r="AF43" s="1044" t="str">
        <f t="shared" si="29"/>
        <v/>
      </c>
      <c r="AG43" s="1044">
        <f t="shared" si="30"/>
        <v>0</v>
      </c>
      <c r="AH43" s="1044">
        <f t="shared" si="31"/>
        <v>0</v>
      </c>
      <c r="AI43" s="1044" t="str">
        <f t="shared" si="32"/>
        <v/>
      </c>
      <c r="AJ43" s="1044">
        <f t="shared" si="33"/>
        <v>0</v>
      </c>
      <c r="AK43" s="1044">
        <f t="shared" si="34"/>
        <v>0</v>
      </c>
      <c r="AL43" s="1044">
        <f t="shared" si="35"/>
        <v>0</v>
      </c>
      <c r="AM43" s="1044">
        <f t="shared" si="36"/>
        <v>0</v>
      </c>
      <c r="AN43" s="1044" t="str">
        <f t="shared" si="37"/>
        <v/>
      </c>
      <c r="AO43" s="1044" t="str">
        <f t="shared" si="38"/>
        <v/>
      </c>
      <c r="AP43" s="1044">
        <f t="shared" si="39"/>
        <v>0</v>
      </c>
      <c r="AQ43" s="1044">
        <f t="shared" si="40"/>
        <v>0</v>
      </c>
      <c r="AR43" s="1044" t="str">
        <f t="shared" si="41"/>
        <v/>
      </c>
      <c r="AS43" s="1044">
        <f t="shared" si="42"/>
        <v>0</v>
      </c>
      <c r="AT43" s="1044" t="str">
        <f t="shared" si="43"/>
        <v/>
      </c>
      <c r="AU43" s="1044">
        <f t="shared" si="44"/>
        <v>0</v>
      </c>
      <c r="AV43" s="1044" t="str">
        <f t="shared" si="45"/>
        <v/>
      </c>
      <c r="AW43" s="1044">
        <f t="shared" si="46"/>
        <v>0</v>
      </c>
      <c r="AX43" s="1044" t="str">
        <f t="shared" si="47"/>
        <v/>
      </c>
      <c r="AY43" s="1044">
        <f t="shared" si="48"/>
        <v>0</v>
      </c>
      <c r="AZ43" s="1044" t="str">
        <f t="shared" si="49"/>
        <v/>
      </c>
      <c r="BA43" s="1044">
        <f t="shared" si="50"/>
        <v>0</v>
      </c>
      <c r="BB43" s="1044" t="str">
        <f t="shared" si="51"/>
        <v/>
      </c>
      <c r="BC43" s="1044">
        <f t="shared" si="52"/>
        <v>0</v>
      </c>
      <c r="BD43" s="1044">
        <f t="shared" si="53"/>
        <v>0</v>
      </c>
      <c r="BE43" s="1044" t="str">
        <f t="shared" si="54"/>
        <v/>
      </c>
      <c r="BF43" s="1044" t="str">
        <f t="shared" si="55"/>
        <v/>
      </c>
      <c r="BG43" s="1044" t="str">
        <f t="shared" si="56"/>
        <v/>
      </c>
      <c r="BH43" s="1044" t="str">
        <f t="shared" si="57"/>
        <v/>
      </c>
      <c r="BI43" s="1044" t="str">
        <f t="shared" si="58"/>
        <v/>
      </c>
      <c r="BJ43" s="1044" t="str">
        <f t="shared" si="59"/>
        <v/>
      </c>
      <c r="BK43" s="1044" t="str">
        <f t="shared" si="60"/>
        <v/>
      </c>
      <c r="BL43" s="1044" t="str">
        <f t="shared" si="61"/>
        <v/>
      </c>
      <c r="BM43" s="1044" t="str">
        <f t="shared" si="62"/>
        <v/>
      </c>
      <c r="BN43" s="1044" t="str">
        <f t="shared" si="63"/>
        <v/>
      </c>
      <c r="BO43" s="1044" t="str">
        <f t="shared" si="64"/>
        <v/>
      </c>
      <c r="BP43" s="1044" t="str">
        <f t="shared" si="65"/>
        <v/>
      </c>
      <c r="BQ43" s="1044" t="str">
        <f t="shared" si="66"/>
        <v/>
      </c>
      <c r="BR43" s="1044" t="str">
        <f t="shared" si="67"/>
        <v/>
      </c>
      <c r="BS43" s="1044" t="str">
        <f t="shared" si="68"/>
        <v/>
      </c>
      <c r="BT43" s="1044" t="str">
        <f t="shared" si="69"/>
        <v/>
      </c>
      <c r="BU43" s="1044" t="str">
        <f t="shared" si="70"/>
        <v/>
      </c>
    </row>
    <row r="44" spans="1:73" ht="30" customHeight="1">
      <c r="A44" s="1069" t="str">
        <f t="shared" si="0"/>
        <v/>
      </c>
      <c r="B44" s="1063"/>
      <c r="C44" s="1064" t="s">
        <v>254</v>
      </c>
      <c r="D44" s="1070" t="str">
        <f t="shared" si="1"/>
        <v/>
      </c>
      <c r="E44" s="1071" t="str">
        <f t="shared" si="2"/>
        <v/>
      </c>
      <c r="F44" s="1067" t="str">
        <f t="shared" si="3"/>
        <v/>
      </c>
      <c r="G44" s="1068" t="str">
        <f t="shared" si="4"/>
        <v/>
      </c>
      <c r="H44" s="1069" t="str">
        <f t="shared" si="5"/>
        <v/>
      </c>
      <c r="I44" s="1069" t="str">
        <f t="shared" si="6"/>
        <v/>
      </c>
      <c r="J44" s="1067" t="str">
        <f t="shared" si="7"/>
        <v/>
      </c>
      <c r="K44" s="1044" t="str">
        <f t="shared" si="8"/>
        <v/>
      </c>
      <c r="L44" s="1044" t="str">
        <f t="shared" si="9"/>
        <v/>
      </c>
      <c r="M44" s="1044" t="str">
        <f t="shared" si="10"/>
        <v/>
      </c>
      <c r="N44" s="1044" t="str">
        <f t="shared" si="11"/>
        <v/>
      </c>
      <c r="O44" s="1044" t="str">
        <f t="shared" si="12"/>
        <v/>
      </c>
      <c r="P44" s="1044" t="str">
        <f t="shared" si="13"/>
        <v/>
      </c>
      <c r="Q44" s="1044">
        <f t="shared" si="14"/>
        <v>0</v>
      </c>
      <c r="R44" s="1044">
        <f t="shared" si="15"/>
        <v>0</v>
      </c>
      <c r="S44" s="1044">
        <f t="shared" si="16"/>
        <v>0</v>
      </c>
      <c r="T44" s="1044">
        <f t="shared" si="17"/>
        <v>0</v>
      </c>
      <c r="U44" s="1044" t="str">
        <f t="shared" si="18"/>
        <v/>
      </c>
      <c r="V44" s="1044" t="str">
        <f t="shared" si="19"/>
        <v/>
      </c>
      <c r="W44" s="1044">
        <f t="shared" si="20"/>
        <v>0</v>
      </c>
      <c r="X44" s="1044" t="str">
        <f t="shared" si="21"/>
        <v/>
      </c>
      <c r="Y44" s="1044">
        <f t="shared" si="22"/>
        <v>0</v>
      </c>
      <c r="Z44" s="1044" t="str">
        <f t="shared" si="23"/>
        <v/>
      </c>
      <c r="AA44" s="1044">
        <f t="shared" si="24"/>
        <v>0</v>
      </c>
      <c r="AB44" s="1044">
        <f t="shared" si="25"/>
        <v>0</v>
      </c>
      <c r="AC44" s="1044">
        <f t="shared" si="26"/>
        <v>0</v>
      </c>
      <c r="AD44" s="1044" t="str">
        <f t="shared" si="27"/>
        <v/>
      </c>
      <c r="AE44" s="1044">
        <f t="shared" si="28"/>
        <v>0</v>
      </c>
      <c r="AF44" s="1044" t="str">
        <f t="shared" si="29"/>
        <v/>
      </c>
      <c r="AG44" s="1044">
        <f t="shared" si="30"/>
        <v>0</v>
      </c>
      <c r="AH44" s="1044">
        <f t="shared" si="31"/>
        <v>0</v>
      </c>
      <c r="AI44" s="1044" t="str">
        <f t="shared" si="32"/>
        <v/>
      </c>
      <c r="AJ44" s="1044">
        <f t="shared" si="33"/>
        <v>0</v>
      </c>
      <c r="AK44" s="1044">
        <f t="shared" si="34"/>
        <v>0</v>
      </c>
      <c r="AL44" s="1044">
        <f t="shared" si="35"/>
        <v>0</v>
      </c>
      <c r="AM44" s="1044">
        <f t="shared" si="36"/>
        <v>0</v>
      </c>
      <c r="AN44" s="1044" t="str">
        <f t="shared" si="37"/>
        <v/>
      </c>
      <c r="AO44" s="1044" t="str">
        <f t="shared" si="38"/>
        <v/>
      </c>
      <c r="AP44" s="1044">
        <f t="shared" si="39"/>
        <v>0</v>
      </c>
      <c r="AQ44" s="1044">
        <f t="shared" si="40"/>
        <v>0</v>
      </c>
      <c r="AR44" s="1044" t="str">
        <f t="shared" si="41"/>
        <v/>
      </c>
      <c r="AS44" s="1044">
        <f t="shared" si="42"/>
        <v>0</v>
      </c>
      <c r="AT44" s="1044" t="str">
        <f t="shared" si="43"/>
        <v/>
      </c>
      <c r="AU44" s="1044">
        <f t="shared" si="44"/>
        <v>0</v>
      </c>
      <c r="AV44" s="1044" t="str">
        <f t="shared" si="45"/>
        <v/>
      </c>
      <c r="AW44" s="1044">
        <f t="shared" si="46"/>
        <v>0</v>
      </c>
      <c r="AX44" s="1044" t="str">
        <f t="shared" si="47"/>
        <v/>
      </c>
      <c r="AY44" s="1044">
        <f t="shared" si="48"/>
        <v>0</v>
      </c>
      <c r="AZ44" s="1044" t="str">
        <f t="shared" si="49"/>
        <v/>
      </c>
      <c r="BA44" s="1044">
        <f t="shared" si="50"/>
        <v>0</v>
      </c>
      <c r="BB44" s="1044" t="str">
        <f t="shared" si="51"/>
        <v/>
      </c>
      <c r="BC44" s="1044">
        <f t="shared" si="52"/>
        <v>0</v>
      </c>
      <c r="BD44" s="1044">
        <f t="shared" si="53"/>
        <v>0</v>
      </c>
      <c r="BE44" s="1044" t="str">
        <f t="shared" si="54"/>
        <v/>
      </c>
      <c r="BF44" s="1044" t="str">
        <f t="shared" si="55"/>
        <v/>
      </c>
      <c r="BG44" s="1044" t="str">
        <f t="shared" si="56"/>
        <v/>
      </c>
      <c r="BH44" s="1044" t="str">
        <f t="shared" si="57"/>
        <v/>
      </c>
      <c r="BI44" s="1044" t="str">
        <f t="shared" si="58"/>
        <v/>
      </c>
      <c r="BJ44" s="1044" t="str">
        <f t="shared" si="59"/>
        <v/>
      </c>
      <c r="BK44" s="1044" t="str">
        <f t="shared" si="60"/>
        <v/>
      </c>
      <c r="BL44" s="1044" t="str">
        <f t="shared" si="61"/>
        <v/>
      </c>
      <c r="BM44" s="1044" t="str">
        <f t="shared" si="62"/>
        <v/>
      </c>
      <c r="BN44" s="1044" t="str">
        <f t="shared" si="63"/>
        <v/>
      </c>
      <c r="BO44" s="1044" t="str">
        <f t="shared" si="64"/>
        <v/>
      </c>
      <c r="BP44" s="1044" t="str">
        <f t="shared" si="65"/>
        <v/>
      </c>
      <c r="BQ44" s="1044" t="str">
        <f t="shared" si="66"/>
        <v/>
      </c>
      <c r="BR44" s="1044" t="str">
        <f t="shared" si="67"/>
        <v/>
      </c>
      <c r="BS44" s="1044" t="str">
        <f t="shared" si="68"/>
        <v/>
      </c>
      <c r="BT44" s="1044" t="str">
        <f t="shared" si="69"/>
        <v/>
      </c>
      <c r="BU44" s="1044" t="str">
        <f t="shared" si="70"/>
        <v/>
      </c>
    </row>
    <row r="45" spans="1:73" ht="30" customHeight="1">
      <c r="A45" s="1069" t="str">
        <f t="shared" si="0"/>
        <v/>
      </c>
      <c r="B45" s="1063"/>
      <c r="C45" s="1064" t="s">
        <v>254</v>
      </c>
      <c r="D45" s="1070" t="str">
        <f t="shared" si="1"/>
        <v/>
      </c>
      <c r="E45" s="1071" t="str">
        <f t="shared" si="2"/>
        <v/>
      </c>
      <c r="F45" s="1067" t="str">
        <f t="shared" si="3"/>
        <v/>
      </c>
      <c r="G45" s="1068" t="str">
        <f t="shared" si="4"/>
        <v/>
      </c>
      <c r="H45" s="1069" t="str">
        <f t="shared" si="5"/>
        <v/>
      </c>
      <c r="I45" s="1069" t="str">
        <f t="shared" si="6"/>
        <v/>
      </c>
      <c r="J45" s="1067" t="str">
        <f t="shared" si="7"/>
        <v/>
      </c>
      <c r="K45" s="1044" t="str">
        <f t="shared" si="8"/>
        <v/>
      </c>
      <c r="L45" s="1044" t="str">
        <f t="shared" si="9"/>
        <v/>
      </c>
      <c r="M45" s="1044" t="str">
        <f t="shared" si="10"/>
        <v/>
      </c>
      <c r="N45" s="1044" t="str">
        <f t="shared" si="11"/>
        <v/>
      </c>
      <c r="O45" s="1044" t="str">
        <f t="shared" si="12"/>
        <v/>
      </c>
      <c r="P45" s="1044" t="str">
        <f t="shared" si="13"/>
        <v/>
      </c>
      <c r="Q45" s="1044">
        <f t="shared" si="14"/>
        <v>0</v>
      </c>
      <c r="R45" s="1044">
        <f t="shared" si="15"/>
        <v>0</v>
      </c>
      <c r="S45" s="1044">
        <f t="shared" si="16"/>
        <v>0</v>
      </c>
      <c r="T45" s="1044">
        <f t="shared" si="17"/>
        <v>0</v>
      </c>
      <c r="U45" s="1044" t="str">
        <f t="shared" si="18"/>
        <v/>
      </c>
      <c r="V45" s="1044" t="str">
        <f t="shared" si="19"/>
        <v/>
      </c>
      <c r="W45" s="1044">
        <f t="shared" si="20"/>
        <v>0</v>
      </c>
      <c r="X45" s="1044" t="str">
        <f t="shared" si="21"/>
        <v/>
      </c>
      <c r="Y45" s="1044">
        <f t="shared" si="22"/>
        <v>0</v>
      </c>
      <c r="Z45" s="1044" t="str">
        <f t="shared" si="23"/>
        <v/>
      </c>
      <c r="AA45" s="1044">
        <f t="shared" si="24"/>
        <v>0</v>
      </c>
      <c r="AB45" s="1044">
        <f t="shared" si="25"/>
        <v>0</v>
      </c>
      <c r="AC45" s="1044">
        <f t="shared" si="26"/>
        <v>0</v>
      </c>
      <c r="AD45" s="1044" t="str">
        <f t="shared" si="27"/>
        <v/>
      </c>
      <c r="AE45" s="1044">
        <f t="shared" si="28"/>
        <v>0</v>
      </c>
      <c r="AF45" s="1044" t="str">
        <f t="shared" si="29"/>
        <v/>
      </c>
      <c r="AG45" s="1044">
        <f t="shared" si="30"/>
        <v>0</v>
      </c>
      <c r="AH45" s="1044">
        <f t="shared" si="31"/>
        <v>0</v>
      </c>
      <c r="AI45" s="1044" t="str">
        <f t="shared" si="32"/>
        <v/>
      </c>
      <c r="AJ45" s="1044">
        <f t="shared" si="33"/>
        <v>0</v>
      </c>
      <c r="AK45" s="1044">
        <f t="shared" si="34"/>
        <v>0</v>
      </c>
      <c r="AL45" s="1044">
        <f t="shared" si="35"/>
        <v>0</v>
      </c>
      <c r="AM45" s="1044">
        <f t="shared" si="36"/>
        <v>0</v>
      </c>
      <c r="AN45" s="1044" t="str">
        <f t="shared" si="37"/>
        <v/>
      </c>
      <c r="AO45" s="1044" t="str">
        <f t="shared" si="38"/>
        <v/>
      </c>
      <c r="AP45" s="1044">
        <f t="shared" si="39"/>
        <v>0</v>
      </c>
      <c r="AQ45" s="1044">
        <f t="shared" si="40"/>
        <v>0</v>
      </c>
      <c r="AR45" s="1044" t="str">
        <f t="shared" si="41"/>
        <v/>
      </c>
      <c r="AS45" s="1044">
        <f t="shared" si="42"/>
        <v>0</v>
      </c>
      <c r="AT45" s="1044" t="str">
        <f t="shared" si="43"/>
        <v/>
      </c>
      <c r="AU45" s="1044">
        <f t="shared" si="44"/>
        <v>0</v>
      </c>
      <c r="AV45" s="1044" t="str">
        <f t="shared" si="45"/>
        <v/>
      </c>
      <c r="AW45" s="1044">
        <f t="shared" si="46"/>
        <v>0</v>
      </c>
      <c r="AX45" s="1044" t="str">
        <f t="shared" si="47"/>
        <v/>
      </c>
      <c r="AY45" s="1044">
        <f t="shared" si="48"/>
        <v>0</v>
      </c>
      <c r="AZ45" s="1044" t="str">
        <f t="shared" si="49"/>
        <v/>
      </c>
      <c r="BA45" s="1044">
        <f t="shared" si="50"/>
        <v>0</v>
      </c>
      <c r="BB45" s="1044" t="str">
        <f t="shared" si="51"/>
        <v/>
      </c>
      <c r="BC45" s="1044">
        <f t="shared" si="52"/>
        <v>0</v>
      </c>
      <c r="BD45" s="1044">
        <f t="shared" si="53"/>
        <v>0</v>
      </c>
      <c r="BE45" s="1044" t="str">
        <f t="shared" si="54"/>
        <v/>
      </c>
      <c r="BF45" s="1044" t="str">
        <f t="shared" si="55"/>
        <v/>
      </c>
      <c r="BG45" s="1044" t="str">
        <f t="shared" si="56"/>
        <v/>
      </c>
      <c r="BH45" s="1044" t="str">
        <f t="shared" si="57"/>
        <v/>
      </c>
      <c r="BI45" s="1044" t="str">
        <f t="shared" si="58"/>
        <v/>
      </c>
      <c r="BJ45" s="1044" t="str">
        <f t="shared" si="59"/>
        <v/>
      </c>
      <c r="BK45" s="1044" t="str">
        <f t="shared" si="60"/>
        <v/>
      </c>
      <c r="BL45" s="1044" t="str">
        <f t="shared" si="61"/>
        <v/>
      </c>
      <c r="BM45" s="1044" t="str">
        <f t="shared" si="62"/>
        <v/>
      </c>
      <c r="BN45" s="1044" t="str">
        <f t="shared" si="63"/>
        <v/>
      </c>
      <c r="BO45" s="1044" t="str">
        <f t="shared" si="64"/>
        <v/>
      </c>
      <c r="BP45" s="1044" t="str">
        <f t="shared" si="65"/>
        <v/>
      </c>
      <c r="BQ45" s="1044" t="str">
        <f t="shared" si="66"/>
        <v/>
      </c>
      <c r="BR45" s="1044" t="str">
        <f t="shared" si="67"/>
        <v/>
      </c>
      <c r="BS45" s="1044" t="str">
        <f t="shared" si="68"/>
        <v/>
      </c>
      <c r="BT45" s="1044" t="str">
        <f t="shared" si="69"/>
        <v/>
      </c>
      <c r="BU45" s="1044" t="str">
        <f t="shared" si="70"/>
        <v/>
      </c>
    </row>
    <row r="46" spans="1:73" ht="30" customHeight="1">
      <c r="A46" s="1069" t="str">
        <f t="shared" si="0"/>
        <v/>
      </c>
      <c r="B46" s="1063"/>
      <c r="C46" s="1064" t="s">
        <v>254</v>
      </c>
      <c r="D46" s="1070" t="str">
        <f t="shared" si="1"/>
        <v/>
      </c>
      <c r="E46" s="1071" t="str">
        <f t="shared" si="2"/>
        <v/>
      </c>
      <c r="F46" s="1067" t="str">
        <f t="shared" si="3"/>
        <v/>
      </c>
      <c r="G46" s="1068" t="str">
        <f t="shared" si="4"/>
        <v/>
      </c>
      <c r="H46" s="1069" t="str">
        <f t="shared" si="5"/>
        <v/>
      </c>
      <c r="I46" s="1069" t="str">
        <f t="shared" si="6"/>
        <v/>
      </c>
      <c r="J46" s="1067" t="str">
        <f t="shared" si="7"/>
        <v/>
      </c>
      <c r="K46" s="1044" t="str">
        <f t="shared" si="8"/>
        <v/>
      </c>
      <c r="L46" s="1044" t="str">
        <f t="shared" si="9"/>
        <v/>
      </c>
      <c r="M46" s="1044" t="str">
        <f t="shared" si="10"/>
        <v/>
      </c>
      <c r="N46" s="1044" t="str">
        <f t="shared" si="11"/>
        <v/>
      </c>
      <c r="O46" s="1044" t="str">
        <f t="shared" si="12"/>
        <v/>
      </c>
      <c r="P46" s="1044" t="str">
        <f t="shared" si="13"/>
        <v/>
      </c>
      <c r="Q46" s="1044">
        <f t="shared" si="14"/>
        <v>0</v>
      </c>
      <c r="R46" s="1044">
        <f t="shared" si="15"/>
        <v>0</v>
      </c>
      <c r="S46" s="1044">
        <f t="shared" si="16"/>
        <v>0</v>
      </c>
      <c r="T46" s="1044">
        <f t="shared" si="17"/>
        <v>0</v>
      </c>
      <c r="U46" s="1044" t="str">
        <f t="shared" si="18"/>
        <v/>
      </c>
      <c r="V46" s="1044" t="str">
        <f t="shared" si="19"/>
        <v/>
      </c>
      <c r="W46" s="1044">
        <f t="shared" si="20"/>
        <v>0</v>
      </c>
      <c r="X46" s="1044" t="str">
        <f t="shared" si="21"/>
        <v/>
      </c>
      <c r="Y46" s="1044">
        <f t="shared" si="22"/>
        <v>0</v>
      </c>
      <c r="Z46" s="1044" t="str">
        <f t="shared" si="23"/>
        <v/>
      </c>
      <c r="AA46" s="1044">
        <f t="shared" si="24"/>
        <v>0</v>
      </c>
      <c r="AB46" s="1044">
        <f t="shared" si="25"/>
        <v>0</v>
      </c>
      <c r="AC46" s="1044">
        <f t="shared" si="26"/>
        <v>0</v>
      </c>
      <c r="AD46" s="1044" t="str">
        <f t="shared" si="27"/>
        <v/>
      </c>
      <c r="AE46" s="1044">
        <f t="shared" si="28"/>
        <v>0</v>
      </c>
      <c r="AF46" s="1044" t="str">
        <f t="shared" si="29"/>
        <v/>
      </c>
      <c r="AG46" s="1044">
        <f t="shared" si="30"/>
        <v>0</v>
      </c>
      <c r="AH46" s="1044">
        <f t="shared" si="31"/>
        <v>0</v>
      </c>
      <c r="AI46" s="1044" t="str">
        <f t="shared" si="32"/>
        <v/>
      </c>
      <c r="AJ46" s="1044">
        <f t="shared" si="33"/>
        <v>0</v>
      </c>
      <c r="AK46" s="1044">
        <f t="shared" si="34"/>
        <v>0</v>
      </c>
      <c r="AL46" s="1044">
        <f t="shared" si="35"/>
        <v>0</v>
      </c>
      <c r="AM46" s="1044">
        <f t="shared" si="36"/>
        <v>0</v>
      </c>
      <c r="AN46" s="1044" t="str">
        <f t="shared" si="37"/>
        <v/>
      </c>
      <c r="AO46" s="1044" t="str">
        <f t="shared" si="38"/>
        <v/>
      </c>
      <c r="AP46" s="1044">
        <f t="shared" si="39"/>
        <v>0</v>
      </c>
      <c r="AQ46" s="1044">
        <f t="shared" si="40"/>
        <v>0</v>
      </c>
      <c r="AR46" s="1044" t="str">
        <f t="shared" si="41"/>
        <v/>
      </c>
      <c r="AS46" s="1044">
        <f t="shared" si="42"/>
        <v>0</v>
      </c>
      <c r="AT46" s="1044" t="str">
        <f t="shared" si="43"/>
        <v/>
      </c>
      <c r="AU46" s="1044">
        <f t="shared" si="44"/>
        <v>0</v>
      </c>
      <c r="AV46" s="1044" t="str">
        <f t="shared" si="45"/>
        <v/>
      </c>
      <c r="AW46" s="1044">
        <f t="shared" si="46"/>
        <v>0</v>
      </c>
      <c r="AX46" s="1044" t="str">
        <f t="shared" si="47"/>
        <v/>
      </c>
      <c r="AY46" s="1044">
        <f t="shared" si="48"/>
        <v>0</v>
      </c>
      <c r="AZ46" s="1044" t="str">
        <f t="shared" si="49"/>
        <v/>
      </c>
      <c r="BA46" s="1044">
        <f t="shared" si="50"/>
        <v>0</v>
      </c>
      <c r="BB46" s="1044" t="str">
        <f t="shared" si="51"/>
        <v/>
      </c>
      <c r="BC46" s="1044">
        <f t="shared" si="52"/>
        <v>0</v>
      </c>
      <c r="BD46" s="1044">
        <f t="shared" si="53"/>
        <v>0</v>
      </c>
      <c r="BE46" s="1044" t="str">
        <f t="shared" si="54"/>
        <v/>
      </c>
      <c r="BF46" s="1044" t="str">
        <f t="shared" si="55"/>
        <v/>
      </c>
      <c r="BG46" s="1044" t="str">
        <f t="shared" si="56"/>
        <v/>
      </c>
      <c r="BH46" s="1044" t="str">
        <f t="shared" si="57"/>
        <v/>
      </c>
      <c r="BI46" s="1044" t="str">
        <f t="shared" si="58"/>
        <v/>
      </c>
      <c r="BJ46" s="1044" t="str">
        <f t="shared" si="59"/>
        <v/>
      </c>
      <c r="BK46" s="1044" t="str">
        <f t="shared" si="60"/>
        <v/>
      </c>
      <c r="BL46" s="1044" t="str">
        <f t="shared" si="61"/>
        <v/>
      </c>
      <c r="BM46" s="1044" t="str">
        <f t="shared" si="62"/>
        <v/>
      </c>
      <c r="BN46" s="1044" t="str">
        <f t="shared" si="63"/>
        <v/>
      </c>
      <c r="BO46" s="1044" t="str">
        <f t="shared" si="64"/>
        <v/>
      </c>
      <c r="BP46" s="1044" t="str">
        <f t="shared" si="65"/>
        <v/>
      </c>
      <c r="BQ46" s="1044" t="str">
        <f t="shared" si="66"/>
        <v/>
      </c>
      <c r="BR46" s="1044" t="str">
        <f t="shared" si="67"/>
        <v/>
      </c>
      <c r="BS46" s="1044" t="str">
        <f t="shared" si="68"/>
        <v/>
      </c>
      <c r="BT46" s="1044" t="str">
        <f t="shared" si="69"/>
        <v/>
      </c>
      <c r="BU46" s="1044" t="str">
        <f t="shared" si="70"/>
        <v/>
      </c>
    </row>
    <row r="47" spans="1:73" ht="30" customHeight="1">
      <c r="A47" s="1069" t="str">
        <f t="shared" si="0"/>
        <v/>
      </c>
      <c r="B47" s="1063"/>
      <c r="C47" s="1064" t="s">
        <v>254</v>
      </c>
      <c r="D47" s="1070" t="str">
        <f t="shared" si="1"/>
        <v/>
      </c>
      <c r="E47" s="1071" t="str">
        <f t="shared" si="2"/>
        <v/>
      </c>
      <c r="F47" s="1067" t="str">
        <f t="shared" si="3"/>
        <v/>
      </c>
      <c r="G47" s="1068" t="str">
        <f t="shared" si="4"/>
        <v/>
      </c>
      <c r="H47" s="1069" t="str">
        <f t="shared" si="5"/>
        <v/>
      </c>
      <c r="I47" s="1069" t="str">
        <f t="shared" si="6"/>
        <v/>
      </c>
      <c r="J47" s="1067" t="str">
        <f t="shared" si="7"/>
        <v/>
      </c>
      <c r="K47" s="1044" t="str">
        <f t="shared" si="8"/>
        <v/>
      </c>
      <c r="L47" s="1044" t="str">
        <f t="shared" si="9"/>
        <v/>
      </c>
      <c r="M47" s="1044" t="str">
        <f t="shared" si="10"/>
        <v/>
      </c>
      <c r="N47" s="1044" t="str">
        <f t="shared" si="11"/>
        <v/>
      </c>
      <c r="O47" s="1044" t="str">
        <f t="shared" si="12"/>
        <v/>
      </c>
      <c r="P47" s="1044" t="str">
        <f t="shared" si="13"/>
        <v/>
      </c>
      <c r="Q47" s="1044">
        <f t="shared" si="14"/>
        <v>0</v>
      </c>
      <c r="R47" s="1044">
        <f t="shared" si="15"/>
        <v>0</v>
      </c>
      <c r="S47" s="1044">
        <f t="shared" si="16"/>
        <v>0</v>
      </c>
      <c r="T47" s="1044">
        <f t="shared" si="17"/>
        <v>0</v>
      </c>
      <c r="U47" s="1044" t="str">
        <f t="shared" si="18"/>
        <v/>
      </c>
      <c r="V47" s="1044" t="str">
        <f t="shared" si="19"/>
        <v/>
      </c>
      <c r="W47" s="1044">
        <f t="shared" si="20"/>
        <v>0</v>
      </c>
      <c r="X47" s="1044" t="str">
        <f t="shared" si="21"/>
        <v/>
      </c>
      <c r="Y47" s="1044">
        <f t="shared" si="22"/>
        <v>0</v>
      </c>
      <c r="Z47" s="1044" t="str">
        <f t="shared" si="23"/>
        <v/>
      </c>
      <c r="AA47" s="1044">
        <f t="shared" si="24"/>
        <v>0</v>
      </c>
      <c r="AB47" s="1044">
        <f t="shared" si="25"/>
        <v>0</v>
      </c>
      <c r="AC47" s="1044">
        <f t="shared" si="26"/>
        <v>0</v>
      </c>
      <c r="AD47" s="1044" t="str">
        <f t="shared" si="27"/>
        <v/>
      </c>
      <c r="AE47" s="1044">
        <f t="shared" si="28"/>
        <v>0</v>
      </c>
      <c r="AF47" s="1044" t="str">
        <f t="shared" si="29"/>
        <v/>
      </c>
      <c r="AG47" s="1044">
        <f t="shared" si="30"/>
        <v>0</v>
      </c>
      <c r="AH47" s="1044">
        <f t="shared" si="31"/>
        <v>0</v>
      </c>
      <c r="AI47" s="1044" t="str">
        <f t="shared" si="32"/>
        <v/>
      </c>
      <c r="AJ47" s="1044">
        <f t="shared" si="33"/>
        <v>0</v>
      </c>
      <c r="AK47" s="1044">
        <f t="shared" si="34"/>
        <v>0</v>
      </c>
      <c r="AL47" s="1044">
        <f t="shared" si="35"/>
        <v>0</v>
      </c>
      <c r="AM47" s="1044">
        <f t="shared" si="36"/>
        <v>0</v>
      </c>
      <c r="AN47" s="1044" t="str">
        <f t="shared" si="37"/>
        <v/>
      </c>
      <c r="AO47" s="1044" t="str">
        <f t="shared" si="38"/>
        <v/>
      </c>
      <c r="AP47" s="1044">
        <f t="shared" si="39"/>
        <v>0</v>
      </c>
      <c r="AQ47" s="1044">
        <f t="shared" si="40"/>
        <v>0</v>
      </c>
      <c r="AR47" s="1044" t="str">
        <f t="shared" si="41"/>
        <v/>
      </c>
      <c r="AS47" s="1044">
        <f t="shared" si="42"/>
        <v>0</v>
      </c>
      <c r="AT47" s="1044" t="str">
        <f t="shared" si="43"/>
        <v/>
      </c>
      <c r="AU47" s="1044">
        <f t="shared" si="44"/>
        <v>0</v>
      </c>
      <c r="AV47" s="1044" t="str">
        <f t="shared" si="45"/>
        <v/>
      </c>
      <c r="AW47" s="1044">
        <f t="shared" si="46"/>
        <v>0</v>
      </c>
      <c r="AX47" s="1044" t="str">
        <f t="shared" si="47"/>
        <v/>
      </c>
      <c r="AY47" s="1044">
        <f t="shared" si="48"/>
        <v>0</v>
      </c>
      <c r="AZ47" s="1044" t="str">
        <f t="shared" si="49"/>
        <v/>
      </c>
      <c r="BA47" s="1044">
        <f t="shared" si="50"/>
        <v>0</v>
      </c>
      <c r="BB47" s="1044" t="str">
        <f t="shared" si="51"/>
        <v/>
      </c>
      <c r="BC47" s="1044">
        <f t="shared" si="52"/>
        <v>0</v>
      </c>
      <c r="BD47" s="1044">
        <f t="shared" si="53"/>
        <v>0</v>
      </c>
      <c r="BE47" s="1044" t="str">
        <f t="shared" si="54"/>
        <v/>
      </c>
      <c r="BF47" s="1044" t="str">
        <f t="shared" si="55"/>
        <v/>
      </c>
      <c r="BG47" s="1044" t="str">
        <f t="shared" si="56"/>
        <v/>
      </c>
      <c r="BH47" s="1044" t="str">
        <f t="shared" si="57"/>
        <v/>
      </c>
      <c r="BI47" s="1044" t="str">
        <f t="shared" si="58"/>
        <v/>
      </c>
      <c r="BJ47" s="1044" t="str">
        <f t="shared" si="59"/>
        <v/>
      </c>
      <c r="BK47" s="1044" t="str">
        <f t="shared" si="60"/>
        <v/>
      </c>
      <c r="BL47" s="1044" t="str">
        <f t="shared" si="61"/>
        <v/>
      </c>
      <c r="BM47" s="1044" t="str">
        <f t="shared" si="62"/>
        <v/>
      </c>
      <c r="BN47" s="1044" t="str">
        <f t="shared" si="63"/>
        <v/>
      </c>
      <c r="BO47" s="1044" t="str">
        <f t="shared" si="64"/>
        <v/>
      </c>
      <c r="BP47" s="1044" t="str">
        <f t="shared" si="65"/>
        <v/>
      </c>
      <c r="BQ47" s="1044" t="str">
        <f t="shared" si="66"/>
        <v/>
      </c>
      <c r="BR47" s="1044" t="str">
        <f t="shared" si="67"/>
        <v/>
      </c>
      <c r="BS47" s="1044" t="str">
        <f t="shared" si="68"/>
        <v/>
      </c>
      <c r="BT47" s="1044" t="str">
        <f t="shared" si="69"/>
        <v/>
      </c>
      <c r="BU47" s="1044" t="str">
        <f t="shared" si="70"/>
        <v/>
      </c>
    </row>
    <row r="48" spans="1:73" ht="30" customHeight="1">
      <c r="A48" s="1069" t="str">
        <f t="shared" si="0"/>
        <v/>
      </c>
      <c r="B48" s="1063"/>
      <c r="C48" s="1064" t="s">
        <v>254</v>
      </c>
      <c r="D48" s="1070" t="str">
        <f t="shared" si="1"/>
        <v/>
      </c>
      <c r="E48" s="1071" t="str">
        <f t="shared" si="2"/>
        <v/>
      </c>
      <c r="F48" s="1067" t="str">
        <f t="shared" si="3"/>
        <v/>
      </c>
      <c r="G48" s="1068" t="str">
        <f t="shared" si="4"/>
        <v/>
      </c>
      <c r="H48" s="1069" t="str">
        <f t="shared" si="5"/>
        <v/>
      </c>
      <c r="I48" s="1069" t="str">
        <f t="shared" si="6"/>
        <v/>
      </c>
      <c r="J48" s="1067" t="str">
        <f t="shared" si="7"/>
        <v/>
      </c>
      <c r="K48" s="1044" t="str">
        <f t="shared" si="8"/>
        <v/>
      </c>
      <c r="L48" s="1044" t="str">
        <f t="shared" si="9"/>
        <v/>
      </c>
      <c r="M48" s="1044" t="str">
        <f t="shared" si="10"/>
        <v/>
      </c>
      <c r="N48" s="1044" t="str">
        <f t="shared" si="11"/>
        <v/>
      </c>
      <c r="O48" s="1044" t="str">
        <f t="shared" si="12"/>
        <v/>
      </c>
      <c r="P48" s="1044" t="str">
        <f t="shared" si="13"/>
        <v/>
      </c>
      <c r="Q48" s="1044">
        <f t="shared" si="14"/>
        <v>0</v>
      </c>
      <c r="R48" s="1044">
        <f t="shared" si="15"/>
        <v>0</v>
      </c>
      <c r="S48" s="1044">
        <f t="shared" si="16"/>
        <v>0</v>
      </c>
      <c r="T48" s="1044">
        <f t="shared" si="17"/>
        <v>0</v>
      </c>
      <c r="U48" s="1044" t="str">
        <f t="shared" si="18"/>
        <v/>
      </c>
      <c r="V48" s="1044" t="str">
        <f t="shared" si="19"/>
        <v/>
      </c>
      <c r="W48" s="1044">
        <f t="shared" si="20"/>
        <v>0</v>
      </c>
      <c r="X48" s="1044" t="str">
        <f t="shared" si="21"/>
        <v/>
      </c>
      <c r="Y48" s="1044">
        <f t="shared" si="22"/>
        <v>0</v>
      </c>
      <c r="Z48" s="1044" t="str">
        <f t="shared" si="23"/>
        <v/>
      </c>
      <c r="AA48" s="1044">
        <f t="shared" si="24"/>
        <v>0</v>
      </c>
      <c r="AB48" s="1044">
        <f t="shared" si="25"/>
        <v>0</v>
      </c>
      <c r="AC48" s="1044">
        <f t="shared" si="26"/>
        <v>0</v>
      </c>
      <c r="AD48" s="1044" t="str">
        <f t="shared" si="27"/>
        <v/>
      </c>
      <c r="AE48" s="1044">
        <f t="shared" si="28"/>
        <v>0</v>
      </c>
      <c r="AF48" s="1044" t="str">
        <f t="shared" si="29"/>
        <v/>
      </c>
      <c r="AG48" s="1044">
        <f t="shared" si="30"/>
        <v>0</v>
      </c>
      <c r="AH48" s="1044">
        <f t="shared" si="31"/>
        <v>0</v>
      </c>
      <c r="AI48" s="1044" t="str">
        <f t="shared" si="32"/>
        <v/>
      </c>
      <c r="AJ48" s="1044">
        <f t="shared" si="33"/>
        <v>0</v>
      </c>
      <c r="AK48" s="1044">
        <f t="shared" si="34"/>
        <v>0</v>
      </c>
      <c r="AL48" s="1044">
        <f t="shared" si="35"/>
        <v>0</v>
      </c>
      <c r="AM48" s="1044">
        <f t="shared" si="36"/>
        <v>0</v>
      </c>
      <c r="AN48" s="1044" t="str">
        <f t="shared" si="37"/>
        <v/>
      </c>
      <c r="AO48" s="1044" t="str">
        <f t="shared" si="38"/>
        <v/>
      </c>
      <c r="AP48" s="1044">
        <f t="shared" si="39"/>
        <v>0</v>
      </c>
      <c r="AQ48" s="1044">
        <f t="shared" si="40"/>
        <v>0</v>
      </c>
      <c r="AR48" s="1044" t="str">
        <f t="shared" si="41"/>
        <v/>
      </c>
      <c r="AS48" s="1044">
        <f t="shared" si="42"/>
        <v>0</v>
      </c>
      <c r="AT48" s="1044" t="str">
        <f t="shared" si="43"/>
        <v/>
      </c>
      <c r="AU48" s="1044">
        <f t="shared" si="44"/>
        <v>0</v>
      </c>
      <c r="AV48" s="1044" t="str">
        <f t="shared" si="45"/>
        <v/>
      </c>
      <c r="AW48" s="1044">
        <f t="shared" si="46"/>
        <v>0</v>
      </c>
      <c r="AX48" s="1044" t="str">
        <f t="shared" si="47"/>
        <v/>
      </c>
      <c r="AY48" s="1044">
        <f t="shared" si="48"/>
        <v>0</v>
      </c>
      <c r="AZ48" s="1044" t="str">
        <f t="shared" si="49"/>
        <v/>
      </c>
      <c r="BA48" s="1044">
        <f t="shared" si="50"/>
        <v>0</v>
      </c>
      <c r="BB48" s="1044" t="str">
        <f t="shared" si="51"/>
        <v/>
      </c>
      <c r="BC48" s="1044">
        <f t="shared" si="52"/>
        <v>0</v>
      </c>
      <c r="BD48" s="1044">
        <f t="shared" si="53"/>
        <v>0</v>
      </c>
      <c r="BE48" s="1044" t="str">
        <f t="shared" si="54"/>
        <v/>
      </c>
      <c r="BF48" s="1044" t="str">
        <f t="shared" si="55"/>
        <v/>
      </c>
      <c r="BG48" s="1044" t="str">
        <f t="shared" si="56"/>
        <v/>
      </c>
      <c r="BH48" s="1044" t="str">
        <f t="shared" si="57"/>
        <v/>
      </c>
      <c r="BI48" s="1044" t="str">
        <f t="shared" si="58"/>
        <v/>
      </c>
      <c r="BJ48" s="1044" t="str">
        <f t="shared" si="59"/>
        <v/>
      </c>
      <c r="BK48" s="1044" t="str">
        <f t="shared" si="60"/>
        <v/>
      </c>
      <c r="BL48" s="1044" t="str">
        <f t="shared" si="61"/>
        <v/>
      </c>
      <c r="BM48" s="1044" t="str">
        <f t="shared" si="62"/>
        <v/>
      </c>
      <c r="BN48" s="1044" t="str">
        <f t="shared" si="63"/>
        <v/>
      </c>
      <c r="BO48" s="1044" t="str">
        <f t="shared" si="64"/>
        <v/>
      </c>
      <c r="BP48" s="1044" t="str">
        <f t="shared" si="65"/>
        <v/>
      </c>
      <c r="BQ48" s="1044" t="str">
        <f t="shared" si="66"/>
        <v/>
      </c>
      <c r="BR48" s="1044" t="str">
        <f t="shared" si="67"/>
        <v/>
      </c>
      <c r="BS48" s="1044" t="str">
        <f t="shared" si="68"/>
        <v/>
      </c>
      <c r="BT48" s="1044" t="str">
        <f t="shared" si="69"/>
        <v/>
      </c>
      <c r="BU48" s="1044" t="str">
        <f t="shared" si="70"/>
        <v/>
      </c>
    </row>
    <row r="49" spans="1:73" ht="30" customHeight="1">
      <c r="A49" s="1069" t="str">
        <f t="shared" si="0"/>
        <v/>
      </c>
      <c r="B49" s="1063"/>
      <c r="C49" s="1064" t="s">
        <v>254</v>
      </c>
      <c r="D49" s="1070" t="str">
        <f t="shared" si="1"/>
        <v/>
      </c>
      <c r="E49" s="1071" t="str">
        <f t="shared" si="2"/>
        <v/>
      </c>
      <c r="F49" s="1067" t="str">
        <f t="shared" si="3"/>
        <v/>
      </c>
      <c r="G49" s="1068" t="str">
        <f t="shared" si="4"/>
        <v/>
      </c>
      <c r="H49" s="1069" t="str">
        <f t="shared" si="5"/>
        <v/>
      </c>
      <c r="I49" s="1069" t="str">
        <f t="shared" si="6"/>
        <v/>
      </c>
      <c r="J49" s="1067" t="str">
        <f t="shared" si="7"/>
        <v/>
      </c>
      <c r="K49" s="1044" t="str">
        <f t="shared" si="8"/>
        <v/>
      </c>
      <c r="L49" s="1044" t="str">
        <f t="shared" si="9"/>
        <v/>
      </c>
      <c r="M49" s="1044" t="str">
        <f t="shared" si="10"/>
        <v/>
      </c>
      <c r="N49" s="1044" t="str">
        <f t="shared" si="11"/>
        <v/>
      </c>
      <c r="O49" s="1044" t="str">
        <f t="shared" si="12"/>
        <v/>
      </c>
      <c r="P49" s="1044" t="str">
        <f t="shared" si="13"/>
        <v/>
      </c>
      <c r="Q49" s="1044">
        <f t="shared" si="14"/>
        <v>0</v>
      </c>
      <c r="R49" s="1044">
        <f t="shared" si="15"/>
        <v>0</v>
      </c>
      <c r="S49" s="1044">
        <f t="shared" si="16"/>
        <v>0</v>
      </c>
      <c r="T49" s="1044">
        <f t="shared" si="17"/>
        <v>0</v>
      </c>
      <c r="U49" s="1044" t="str">
        <f t="shared" si="18"/>
        <v/>
      </c>
      <c r="V49" s="1044" t="str">
        <f t="shared" si="19"/>
        <v/>
      </c>
      <c r="W49" s="1044">
        <f t="shared" si="20"/>
        <v>0</v>
      </c>
      <c r="X49" s="1044" t="str">
        <f t="shared" si="21"/>
        <v/>
      </c>
      <c r="Y49" s="1044">
        <f t="shared" si="22"/>
        <v>0</v>
      </c>
      <c r="Z49" s="1044" t="str">
        <f t="shared" si="23"/>
        <v/>
      </c>
      <c r="AA49" s="1044">
        <f t="shared" si="24"/>
        <v>0</v>
      </c>
      <c r="AB49" s="1044">
        <f t="shared" si="25"/>
        <v>0</v>
      </c>
      <c r="AC49" s="1044">
        <f t="shared" si="26"/>
        <v>0</v>
      </c>
      <c r="AD49" s="1044" t="str">
        <f t="shared" si="27"/>
        <v/>
      </c>
      <c r="AE49" s="1044">
        <f t="shared" si="28"/>
        <v>0</v>
      </c>
      <c r="AF49" s="1044" t="str">
        <f t="shared" si="29"/>
        <v/>
      </c>
      <c r="AG49" s="1044">
        <f t="shared" si="30"/>
        <v>0</v>
      </c>
      <c r="AH49" s="1044">
        <f t="shared" si="31"/>
        <v>0</v>
      </c>
      <c r="AI49" s="1044" t="str">
        <f t="shared" si="32"/>
        <v/>
      </c>
      <c r="AJ49" s="1044">
        <f t="shared" si="33"/>
        <v>0</v>
      </c>
      <c r="AK49" s="1044">
        <f t="shared" si="34"/>
        <v>0</v>
      </c>
      <c r="AL49" s="1044">
        <f t="shared" si="35"/>
        <v>0</v>
      </c>
      <c r="AM49" s="1044">
        <f t="shared" si="36"/>
        <v>0</v>
      </c>
      <c r="AN49" s="1044" t="str">
        <f t="shared" si="37"/>
        <v/>
      </c>
      <c r="AO49" s="1044" t="str">
        <f t="shared" si="38"/>
        <v/>
      </c>
      <c r="AP49" s="1044">
        <f t="shared" si="39"/>
        <v>0</v>
      </c>
      <c r="AQ49" s="1044">
        <f t="shared" si="40"/>
        <v>0</v>
      </c>
      <c r="AR49" s="1044" t="str">
        <f t="shared" si="41"/>
        <v/>
      </c>
      <c r="AS49" s="1044">
        <f t="shared" si="42"/>
        <v>0</v>
      </c>
      <c r="AT49" s="1044" t="str">
        <f t="shared" si="43"/>
        <v/>
      </c>
      <c r="AU49" s="1044">
        <f t="shared" si="44"/>
        <v>0</v>
      </c>
      <c r="AV49" s="1044" t="str">
        <f t="shared" si="45"/>
        <v/>
      </c>
      <c r="AW49" s="1044">
        <f t="shared" si="46"/>
        <v>0</v>
      </c>
      <c r="AX49" s="1044" t="str">
        <f t="shared" si="47"/>
        <v/>
      </c>
      <c r="AY49" s="1044">
        <f t="shared" si="48"/>
        <v>0</v>
      </c>
      <c r="AZ49" s="1044" t="str">
        <f t="shared" si="49"/>
        <v/>
      </c>
      <c r="BA49" s="1044">
        <f t="shared" si="50"/>
        <v>0</v>
      </c>
      <c r="BB49" s="1044" t="str">
        <f t="shared" si="51"/>
        <v/>
      </c>
      <c r="BC49" s="1044">
        <f t="shared" si="52"/>
        <v>0</v>
      </c>
      <c r="BD49" s="1044">
        <f t="shared" si="53"/>
        <v>0</v>
      </c>
      <c r="BE49" s="1044" t="str">
        <f t="shared" si="54"/>
        <v/>
      </c>
      <c r="BF49" s="1044" t="str">
        <f t="shared" si="55"/>
        <v/>
      </c>
      <c r="BG49" s="1044" t="str">
        <f t="shared" si="56"/>
        <v/>
      </c>
      <c r="BH49" s="1044" t="str">
        <f t="shared" si="57"/>
        <v/>
      </c>
      <c r="BI49" s="1044" t="str">
        <f t="shared" si="58"/>
        <v/>
      </c>
      <c r="BJ49" s="1044" t="str">
        <f t="shared" si="59"/>
        <v/>
      </c>
      <c r="BK49" s="1044" t="str">
        <f t="shared" si="60"/>
        <v/>
      </c>
      <c r="BL49" s="1044" t="str">
        <f t="shared" si="61"/>
        <v/>
      </c>
      <c r="BM49" s="1044" t="str">
        <f t="shared" si="62"/>
        <v/>
      </c>
      <c r="BN49" s="1044" t="str">
        <f t="shared" si="63"/>
        <v/>
      </c>
      <c r="BO49" s="1044" t="str">
        <f t="shared" si="64"/>
        <v/>
      </c>
      <c r="BP49" s="1044" t="str">
        <f t="shared" si="65"/>
        <v/>
      </c>
      <c r="BQ49" s="1044" t="str">
        <f t="shared" si="66"/>
        <v/>
      </c>
      <c r="BR49" s="1044" t="str">
        <f t="shared" si="67"/>
        <v/>
      </c>
      <c r="BS49" s="1044" t="str">
        <f t="shared" si="68"/>
        <v/>
      </c>
      <c r="BT49" s="1044" t="str">
        <f t="shared" si="69"/>
        <v/>
      </c>
      <c r="BU49" s="1044" t="str">
        <f t="shared" si="70"/>
        <v/>
      </c>
    </row>
    <row r="50" spans="1:73" ht="30" customHeight="1">
      <c r="A50" s="1069" t="str">
        <f t="shared" si="0"/>
        <v/>
      </c>
      <c r="B50" s="1063"/>
      <c r="C50" s="1064" t="s">
        <v>254</v>
      </c>
      <c r="D50" s="1070" t="str">
        <f t="shared" si="1"/>
        <v/>
      </c>
      <c r="E50" s="1071" t="str">
        <f t="shared" si="2"/>
        <v/>
      </c>
      <c r="F50" s="1067" t="str">
        <f t="shared" si="3"/>
        <v/>
      </c>
      <c r="G50" s="1068" t="str">
        <f t="shared" si="4"/>
        <v/>
      </c>
      <c r="H50" s="1069" t="str">
        <f t="shared" si="5"/>
        <v/>
      </c>
      <c r="I50" s="1069" t="str">
        <f t="shared" si="6"/>
        <v/>
      </c>
      <c r="J50" s="1067" t="str">
        <f t="shared" si="7"/>
        <v/>
      </c>
      <c r="K50" s="1044" t="str">
        <f t="shared" si="8"/>
        <v/>
      </c>
      <c r="L50" s="1044" t="str">
        <f t="shared" si="9"/>
        <v/>
      </c>
      <c r="M50" s="1044" t="str">
        <f t="shared" si="10"/>
        <v/>
      </c>
      <c r="N50" s="1044" t="str">
        <f t="shared" si="11"/>
        <v/>
      </c>
      <c r="O50" s="1044" t="str">
        <f t="shared" si="12"/>
        <v/>
      </c>
      <c r="P50" s="1044" t="str">
        <f t="shared" si="13"/>
        <v/>
      </c>
      <c r="Q50" s="1044">
        <f t="shared" si="14"/>
        <v>0</v>
      </c>
      <c r="R50" s="1044">
        <f t="shared" si="15"/>
        <v>0</v>
      </c>
      <c r="S50" s="1044">
        <f t="shared" si="16"/>
        <v>0</v>
      </c>
      <c r="T50" s="1044">
        <f t="shared" si="17"/>
        <v>0</v>
      </c>
      <c r="U50" s="1044" t="str">
        <f t="shared" si="18"/>
        <v/>
      </c>
      <c r="V50" s="1044" t="str">
        <f t="shared" si="19"/>
        <v/>
      </c>
      <c r="W50" s="1044">
        <f t="shared" si="20"/>
        <v>0</v>
      </c>
      <c r="X50" s="1044" t="str">
        <f t="shared" si="21"/>
        <v/>
      </c>
      <c r="Y50" s="1044">
        <f t="shared" si="22"/>
        <v>0</v>
      </c>
      <c r="Z50" s="1044" t="str">
        <f t="shared" si="23"/>
        <v/>
      </c>
      <c r="AA50" s="1044">
        <f t="shared" si="24"/>
        <v>0</v>
      </c>
      <c r="AB50" s="1044">
        <f t="shared" si="25"/>
        <v>0</v>
      </c>
      <c r="AC50" s="1044">
        <f t="shared" si="26"/>
        <v>0</v>
      </c>
      <c r="AD50" s="1044" t="str">
        <f t="shared" si="27"/>
        <v/>
      </c>
      <c r="AE50" s="1044">
        <f t="shared" si="28"/>
        <v>0</v>
      </c>
      <c r="AF50" s="1044" t="str">
        <f t="shared" si="29"/>
        <v/>
      </c>
      <c r="AG50" s="1044">
        <f t="shared" si="30"/>
        <v>0</v>
      </c>
      <c r="AH50" s="1044">
        <f t="shared" si="31"/>
        <v>0</v>
      </c>
      <c r="AI50" s="1044" t="str">
        <f t="shared" si="32"/>
        <v/>
      </c>
      <c r="AJ50" s="1044">
        <f t="shared" si="33"/>
        <v>0</v>
      </c>
      <c r="AK50" s="1044">
        <f t="shared" si="34"/>
        <v>0</v>
      </c>
      <c r="AL50" s="1044">
        <f t="shared" si="35"/>
        <v>0</v>
      </c>
      <c r="AM50" s="1044">
        <f t="shared" si="36"/>
        <v>0</v>
      </c>
      <c r="AN50" s="1044" t="str">
        <f t="shared" si="37"/>
        <v/>
      </c>
      <c r="AO50" s="1044" t="str">
        <f t="shared" si="38"/>
        <v/>
      </c>
      <c r="AP50" s="1044">
        <f t="shared" si="39"/>
        <v>0</v>
      </c>
      <c r="AQ50" s="1044">
        <f t="shared" si="40"/>
        <v>0</v>
      </c>
      <c r="AR50" s="1044" t="str">
        <f t="shared" si="41"/>
        <v/>
      </c>
      <c r="AS50" s="1044">
        <f t="shared" si="42"/>
        <v>0</v>
      </c>
      <c r="AT50" s="1044" t="str">
        <f t="shared" si="43"/>
        <v/>
      </c>
      <c r="AU50" s="1044">
        <f t="shared" si="44"/>
        <v>0</v>
      </c>
      <c r="AV50" s="1044" t="str">
        <f t="shared" si="45"/>
        <v/>
      </c>
      <c r="AW50" s="1044">
        <f t="shared" si="46"/>
        <v>0</v>
      </c>
      <c r="AX50" s="1044" t="str">
        <f t="shared" si="47"/>
        <v/>
      </c>
      <c r="AY50" s="1044">
        <f t="shared" si="48"/>
        <v>0</v>
      </c>
      <c r="AZ50" s="1044" t="str">
        <f t="shared" si="49"/>
        <v/>
      </c>
      <c r="BA50" s="1044">
        <f t="shared" si="50"/>
        <v>0</v>
      </c>
      <c r="BB50" s="1044" t="str">
        <f t="shared" si="51"/>
        <v/>
      </c>
      <c r="BC50" s="1044">
        <f t="shared" si="52"/>
        <v>0</v>
      </c>
      <c r="BD50" s="1044">
        <f t="shared" si="53"/>
        <v>0</v>
      </c>
      <c r="BE50" s="1044" t="str">
        <f t="shared" si="54"/>
        <v/>
      </c>
      <c r="BF50" s="1044" t="str">
        <f t="shared" si="55"/>
        <v/>
      </c>
      <c r="BG50" s="1044" t="str">
        <f t="shared" si="56"/>
        <v/>
      </c>
      <c r="BH50" s="1044" t="str">
        <f t="shared" si="57"/>
        <v/>
      </c>
      <c r="BI50" s="1044" t="str">
        <f t="shared" si="58"/>
        <v/>
      </c>
      <c r="BJ50" s="1044" t="str">
        <f t="shared" si="59"/>
        <v/>
      </c>
      <c r="BK50" s="1044" t="str">
        <f t="shared" si="60"/>
        <v/>
      </c>
      <c r="BL50" s="1044" t="str">
        <f t="shared" si="61"/>
        <v/>
      </c>
      <c r="BM50" s="1044" t="str">
        <f t="shared" si="62"/>
        <v/>
      </c>
      <c r="BN50" s="1044" t="str">
        <f t="shared" si="63"/>
        <v/>
      </c>
      <c r="BO50" s="1044" t="str">
        <f t="shared" si="64"/>
        <v/>
      </c>
      <c r="BP50" s="1044" t="str">
        <f t="shared" si="65"/>
        <v/>
      </c>
      <c r="BQ50" s="1044" t="str">
        <f t="shared" si="66"/>
        <v/>
      </c>
      <c r="BR50" s="1044" t="str">
        <f t="shared" si="67"/>
        <v/>
      </c>
      <c r="BS50" s="1044" t="str">
        <f t="shared" si="68"/>
        <v/>
      </c>
      <c r="BT50" s="1044" t="str">
        <f t="shared" si="69"/>
        <v/>
      </c>
      <c r="BU50" s="1044" t="str">
        <f t="shared" si="70"/>
        <v/>
      </c>
    </row>
    <row r="51" spans="1:73" ht="30" customHeight="1">
      <c r="A51" s="1069" t="str">
        <f t="shared" si="0"/>
        <v/>
      </c>
      <c r="B51" s="1063"/>
      <c r="C51" s="1064" t="s">
        <v>254</v>
      </c>
      <c r="D51" s="1070" t="str">
        <f t="shared" si="1"/>
        <v/>
      </c>
      <c r="E51" s="1071" t="str">
        <f t="shared" si="2"/>
        <v/>
      </c>
      <c r="F51" s="1067" t="str">
        <f t="shared" si="3"/>
        <v/>
      </c>
      <c r="G51" s="1068" t="str">
        <f t="shared" si="4"/>
        <v/>
      </c>
      <c r="H51" s="1069" t="str">
        <f t="shared" si="5"/>
        <v/>
      </c>
      <c r="I51" s="1069" t="str">
        <f t="shared" si="6"/>
        <v/>
      </c>
      <c r="J51" s="1067" t="str">
        <f t="shared" si="7"/>
        <v/>
      </c>
      <c r="K51" s="1044" t="str">
        <f t="shared" si="8"/>
        <v/>
      </c>
      <c r="L51" s="1044" t="str">
        <f t="shared" si="9"/>
        <v/>
      </c>
      <c r="M51" s="1044" t="str">
        <f t="shared" si="10"/>
        <v/>
      </c>
      <c r="N51" s="1044" t="str">
        <f t="shared" si="11"/>
        <v/>
      </c>
      <c r="O51" s="1044" t="str">
        <f t="shared" si="12"/>
        <v/>
      </c>
      <c r="P51" s="1044" t="str">
        <f t="shared" si="13"/>
        <v/>
      </c>
      <c r="Q51" s="1044">
        <f t="shared" si="14"/>
        <v>0</v>
      </c>
      <c r="R51" s="1044">
        <f t="shared" si="15"/>
        <v>0</v>
      </c>
      <c r="S51" s="1044">
        <f t="shared" si="16"/>
        <v>0</v>
      </c>
      <c r="T51" s="1044">
        <f t="shared" si="17"/>
        <v>0</v>
      </c>
      <c r="U51" s="1044" t="str">
        <f t="shared" si="18"/>
        <v/>
      </c>
      <c r="V51" s="1044" t="str">
        <f t="shared" si="19"/>
        <v/>
      </c>
      <c r="W51" s="1044">
        <f t="shared" si="20"/>
        <v>0</v>
      </c>
      <c r="X51" s="1044" t="str">
        <f t="shared" si="21"/>
        <v/>
      </c>
      <c r="Y51" s="1044">
        <f t="shared" si="22"/>
        <v>0</v>
      </c>
      <c r="Z51" s="1044" t="str">
        <f t="shared" si="23"/>
        <v/>
      </c>
      <c r="AA51" s="1044">
        <f t="shared" si="24"/>
        <v>0</v>
      </c>
      <c r="AB51" s="1044">
        <f t="shared" si="25"/>
        <v>0</v>
      </c>
      <c r="AC51" s="1044">
        <f t="shared" si="26"/>
        <v>0</v>
      </c>
      <c r="AD51" s="1044" t="str">
        <f t="shared" si="27"/>
        <v/>
      </c>
      <c r="AE51" s="1044">
        <f t="shared" si="28"/>
        <v>0</v>
      </c>
      <c r="AF51" s="1044" t="str">
        <f t="shared" si="29"/>
        <v/>
      </c>
      <c r="AG51" s="1044">
        <f t="shared" si="30"/>
        <v>0</v>
      </c>
      <c r="AH51" s="1044">
        <f t="shared" si="31"/>
        <v>0</v>
      </c>
      <c r="AI51" s="1044" t="str">
        <f t="shared" si="32"/>
        <v/>
      </c>
      <c r="AJ51" s="1044">
        <f t="shared" si="33"/>
        <v>0</v>
      </c>
      <c r="AK51" s="1044">
        <f t="shared" si="34"/>
        <v>0</v>
      </c>
      <c r="AL51" s="1044">
        <f t="shared" si="35"/>
        <v>0</v>
      </c>
      <c r="AM51" s="1044">
        <f t="shared" si="36"/>
        <v>0</v>
      </c>
      <c r="AN51" s="1044" t="str">
        <f t="shared" si="37"/>
        <v/>
      </c>
      <c r="AO51" s="1044" t="str">
        <f t="shared" si="38"/>
        <v/>
      </c>
      <c r="AP51" s="1044">
        <f t="shared" si="39"/>
        <v>0</v>
      </c>
      <c r="AQ51" s="1044">
        <f t="shared" si="40"/>
        <v>0</v>
      </c>
      <c r="AR51" s="1044" t="str">
        <f t="shared" si="41"/>
        <v/>
      </c>
      <c r="AS51" s="1044">
        <f t="shared" si="42"/>
        <v>0</v>
      </c>
      <c r="AT51" s="1044" t="str">
        <f t="shared" si="43"/>
        <v/>
      </c>
      <c r="AU51" s="1044">
        <f t="shared" si="44"/>
        <v>0</v>
      </c>
      <c r="AV51" s="1044" t="str">
        <f t="shared" si="45"/>
        <v/>
      </c>
      <c r="AW51" s="1044">
        <f t="shared" si="46"/>
        <v>0</v>
      </c>
      <c r="AX51" s="1044" t="str">
        <f t="shared" si="47"/>
        <v/>
      </c>
      <c r="AY51" s="1044">
        <f t="shared" si="48"/>
        <v>0</v>
      </c>
      <c r="AZ51" s="1044" t="str">
        <f t="shared" si="49"/>
        <v/>
      </c>
      <c r="BA51" s="1044">
        <f t="shared" si="50"/>
        <v>0</v>
      </c>
      <c r="BB51" s="1044" t="str">
        <f t="shared" si="51"/>
        <v/>
      </c>
      <c r="BC51" s="1044">
        <f t="shared" si="52"/>
        <v>0</v>
      </c>
      <c r="BD51" s="1044">
        <f t="shared" si="53"/>
        <v>0</v>
      </c>
      <c r="BE51" s="1044" t="str">
        <f t="shared" si="54"/>
        <v/>
      </c>
      <c r="BF51" s="1044" t="str">
        <f t="shared" si="55"/>
        <v/>
      </c>
      <c r="BG51" s="1044" t="str">
        <f t="shared" si="56"/>
        <v/>
      </c>
      <c r="BH51" s="1044" t="str">
        <f t="shared" si="57"/>
        <v/>
      </c>
      <c r="BI51" s="1044" t="str">
        <f t="shared" si="58"/>
        <v/>
      </c>
      <c r="BJ51" s="1044" t="str">
        <f t="shared" si="59"/>
        <v/>
      </c>
      <c r="BK51" s="1044" t="str">
        <f t="shared" si="60"/>
        <v/>
      </c>
      <c r="BL51" s="1044" t="str">
        <f t="shared" si="61"/>
        <v/>
      </c>
      <c r="BM51" s="1044" t="str">
        <f t="shared" si="62"/>
        <v/>
      </c>
      <c r="BN51" s="1044" t="str">
        <f t="shared" si="63"/>
        <v/>
      </c>
      <c r="BO51" s="1044" t="str">
        <f t="shared" si="64"/>
        <v/>
      </c>
      <c r="BP51" s="1044" t="str">
        <f t="shared" si="65"/>
        <v/>
      </c>
      <c r="BQ51" s="1044" t="str">
        <f t="shared" si="66"/>
        <v/>
      </c>
      <c r="BR51" s="1044" t="str">
        <f t="shared" si="67"/>
        <v/>
      </c>
      <c r="BS51" s="1044" t="str">
        <f t="shared" si="68"/>
        <v/>
      </c>
      <c r="BT51" s="1044" t="str">
        <f t="shared" si="69"/>
        <v/>
      </c>
      <c r="BU51" s="1044" t="str">
        <f t="shared" si="70"/>
        <v/>
      </c>
    </row>
    <row r="52" spans="1:73" ht="30" customHeight="1">
      <c r="A52" s="1069" t="str">
        <f t="shared" si="0"/>
        <v/>
      </c>
      <c r="B52" s="1063"/>
      <c r="C52" s="1064" t="s">
        <v>254</v>
      </c>
      <c r="D52" s="1070" t="str">
        <f t="shared" si="1"/>
        <v/>
      </c>
      <c r="E52" s="1071" t="str">
        <f t="shared" si="2"/>
        <v/>
      </c>
      <c r="F52" s="1067" t="str">
        <f t="shared" si="3"/>
        <v/>
      </c>
      <c r="G52" s="1068" t="str">
        <f t="shared" si="4"/>
        <v/>
      </c>
      <c r="H52" s="1069" t="str">
        <f t="shared" si="5"/>
        <v/>
      </c>
      <c r="I52" s="1069" t="str">
        <f t="shared" si="6"/>
        <v/>
      </c>
      <c r="J52" s="1067" t="str">
        <f t="shared" si="7"/>
        <v/>
      </c>
      <c r="K52" s="1044" t="str">
        <f t="shared" si="8"/>
        <v/>
      </c>
      <c r="L52" s="1044" t="str">
        <f t="shared" si="9"/>
        <v/>
      </c>
      <c r="M52" s="1044" t="str">
        <f t="shared" si="10"/>
        <v/>
      </c>
      <c r="N52" s="1044" t="str">
        <f t="shared" si="11"/>
        <v/>
      </c>
      <c r="O52" s="1044" t="str">
        <f t="shared" si="12"/>
        <v/>
      </c>
      <c r="P52" s="1044" t="str">
        <f t="shared" si="13"/>
        <v/>
      </c>
      <c r="Q52" s="1044">
        <f t="shared" si="14"/>
        <v>0</v>
      </c>
      <c r="R52" s="1044">
        <f t="shared" si="15"/>
        <v>0</v>
      </c>
      <c r="S52" s="1044">
        <f t="shared" si="16"/>
        <v>0</v>
      </c>
      <c r="T52" s="1044">
        <f t="shared" si="17"/>
        <v>0</v>
      </c>
      <c r="U52" s="1044" t="str">
        <f t="shared" si="18"/>
        <v/>
      </c>
      <c r="V52" s="1044" t="str">
        <f t="shared" si="19"/>
        <v/>
      </c>
      <c r="W52" s="1044">
        <f t="shared" si="20"/>
        <v>0</v>
      </c>
      <c r="X52" s="1044" t="str">
        <f t="shared" si="21"/>
        <v/>
      </c>
      <c r="Y52" s="1044">
        <f t="shared" si="22"/>
        <v>0</v>
      </c>
      <c r="Z52" s="1044" t="str">
        <f t="shared" si="23"/>
        <v/>
      </c>
      <c r="AA52" s="1044">
        <f t="shared" si="24"/>
        <v>0</v>
      </c>
      <c r="AB52" s="1044">
        <f t="shared" si="25"/>
        <v>0</v>
      </c>
      <c r="AC52" s="1044">
        <f t="shared" si="26"/>
        <v>0</v>
      </c>
      <c r="AD52" s="1044" t="str">
        <f t="shared" si="27"/>
        <v/>
      </c>
      <c r="AE52" s="1044">
        <f t="shared" si="28"/>
        <v>0</v>
      </c>
      <c r="AF52" s="1044" t="str">
        <f t="shared" si="29"/>
        <v/>
      </c>
      <c r="AG52" s="1044">
        <f t="shared" si="30"/>
        <v>0</v>
      </c>
      <c r="AH52" s="1044">
        <f t="shared" si="31"/>
        <v>0</v>
      </c>
      <c r="AI52" s="1044" t="str">
        <f t="shared" si="32"/>
        <v/>
      </c>
      <c r="AJ52" s="1044">
        <f t="shared" si="33"/>
        <v>0</v>
      </c>
      <c r="AK52" s="1044">
        <f t="shared" si="34"/>
        <v>0</v>
      </c>
      <c r="AL52" s="1044">
        <f t="shared" si="35"/>
        <v>0</v>
      </c>
      <c r="AM52" s="1044">
        <f t="shared" si="36"/>
        <v>0</v>
      </c>
      <c r="AN52" s="1044" t="str">
        <f t="shared" si="37"/>
        <v/>
      </c>
      <c r="AO52" s="1044" t="str">
        <f t="shared" si="38"/>
        <v/>
      </c>
      <c r="AP52" s="1044">
        <f t="shared" si="39"/>
        <v>0</v>
      </c>
      <c r="AQ52" s="1044">
        <f t="shared" si="40"/>
        <v>0</v>
      </c>
      <c r="AR52" s="1044" t="str">
        <f t="shared" si="41"/>
        <v/>
      </c>
      <c r="AS52" s="1044">
        <f t="shared" si="42"/>
        <v>0</v>
      </c>
      <c r="AT52" s="1044" t="str">
        <f t="shared" si="43"/>
        <v/>
      </c>
      <c r="AU52" s="1044">
        <f t="shared" si="44"/>
        <v>0</v>
      </c>
      <c r="AV52" s="1044" t="str">
        <f t="shared" si="45"/>
        <v/>
      </c>
      <c r="AW52" s="1044">
        <f t="shared" si="46"/>
        <v>0</v>
      </c>
      <c r="AX52" s="1044" t="str">
        <f t="shared" si="47"/>
        <v/>
      </c>
      <c r="AY52" s="1044">
        <f t="shared" si="48"/>
        <v>0</v>
      </c>
      <c r="AZ52" s="1044" t="str">
        <f t="shared" si="49"/>
        <v/>
      </c>
      <c r="BA52" s="1044">
        <f t="shared" si="50"/>
        <v>0</v>
      </c>
      <c r="BB52" s="1044" t="str">
        <f t="shared" si="51"/>
        <v/>
      </c>
      <c r="BC52" s="1044">
        <f t="shared" si="52"/>
        <v>0</v>
      </c>
      <c r="BD52" s="1044">
        <f t="shared" si="53"/>
        <v>0</v>
      </c>
      <c r="BE52" s="1044" t="str">
        <f t="shared" si="54"/>
        <v/>
      </c>
      <c r="BF52" s="1044" t="str">
        <f t="shared" si="55"/>
        <v/>
      </c>
      <c r="BG52" s="1044" t="str">
        <f t="shared" si="56"/>
        <v/>
      </c>
      <c r="BH52" s="1044" t="str">
        <f t="shared" si="57"/>
        <v/>
      </c>
      <c r="BI52" s="1044" t="str">
        <f t="shared" si="58"/>
        <v/>
      </c>
      <c r="BJ52" s="1044" t="str">
        <f t="shared" si="59"/>
        <v/>
      </c>
      <c r="BK52" s="1044" t="str">
        <f t="shared" si="60"/>
        <v/>
      </c>
      <c r="BL52" s="1044" t="str">
        <f t="shared" si="61"/>
        <v/>
      </c>
      <c r="BM52" s="1044" t="str">
        <f t="shared" si="62"/>
        <v/>
      </c>
      <c r="BN52" s="1044" t="str">
        <f t="shared" si="63"/>
        <v/>
      </c>
      <c r="BO52" s="1044" t="str">
        <f t="shared" si="64"/>
        <v/>
      </c>
      <c r="BP52" s="1044" t="str">
        <f t="shared" si="65"/>
        <v/>
      </c>
      <c r="BQ52" s="1044" t="str">
        <f t="shared" si="66"/>
        <v/>
      </c>
      <c r="BR52" s="1044" t="str">
        <f t="shared" si="67"/>
        <v/>
      </c>
      <c r="BS52" s="1044" t="str">
        <f t="shared" si="68"/>
        <v/>
      </c>
      <c r="BT52" s="1044" t="str">
        <f t="shared" si="69"/>
        <v/>
      </c>
      <c r="BU52" s="1044" t="str">
        <f t="shared" si="70"/>
        <v/>
      </c>
    </row>
    <row r="53" spans="1:73" ht="30" customHeight="1">
      <c r="A53" s="1069" t="str">
        <f t="shared" si="0"/>
        <v/>
      </c>
      <c r="B53" s="1063"/>
      <c r="C53" s="1064" t="s">
        <v>254</v>
      </c>
      <c r="D53" s="1070" t="str">
        <f t="shared" si="1"/>
        <v/>
      </c>
      <c r="E53" s="1071" t="str">
        <f t="shared" si="2"/>
        <v/>
      </c>
      <c r="F53" s="1067" t="str">
        <f t="shared" si="3"/>
        <v/>
      </c>
      <c r="G53" s="1068" t="str">
        <f t="shared" si="4"/>
        <v/>
      </c>
      <c r="H53" s="1069" t="str">
        <f t="shared" si="5"/>
        <v/>
      </c>
      <c r="I53" s="1069" t="str">
        <f t="shared" si="6"/>
        <v/>
      </c>
      <c r="J53" s="1067" t="str">
        <f t="shared" si="7"/>
        <v/>
      </c>
      <c r="K53" s="1044" t="str">
        <f t="shared" si="8"/>
        <v/>
      </c>
      <c r="L53" s="1044" t="str">
        <f t="shared" si="9"/>
        <v/>
      </c>
      <c r="M53" s="1044" t="str">
        <f t="shared" si="10"/>
        <v/>
      </c>
      <c r="N53" s="1044" t="str">
        <f t="shared" si="11"/>
        <v/>
      </c>
      <c r="O53" s="1044" t="str">
        <f t="shared" si="12"/>
        <v/>
      </c>
      <c r="P53" s="1044" t="str">
        <f t="shared" si="13"/>
        <v/>
      </c>
      <c r="Q53" s="1044">
        <f t="shared" si="14"/>
        <v>0</v>
      </c>
      <c r="R53" s="1044">
        <f t="shared" si="15"/>
        <v>0</v>
      </c>
      <c r="S53" s="1044">
        <f t="shared" si="16"/>
        <v>0</v>
      </c>
      <c r="T53" s="1044">
        <f t="shared" si="17"/>
        <v>0</v>
      </c>
      <c r="U53" s="1044" t="str">
        <f t="shared" si="18"/>
        <v/>
      </c>
      <c r="V53" s="1044" t="str">
        <f t="shared" si="19"/>
        <v/>
      </c>
      <c r="W53" s="1044">
        <f t="shared" si="20"/>
        <v>0</v>
      </c>
      <c r="X53" s="1044" t="str">
        <f t="shared" si="21"/>
        <v/>
      </c>
      <c r="Y53" s="1044">
        <f t="shared" si="22"/>
        <v>0</v>
      </c>
      <c r="Z53" s="1044" t="str">
        <f t="shared" si="23"/>
        <v/>
      </c>
      <c r="AA53" s="1044">
        <f t="shared" si="24"/>
        <v>0</v>
      </c>
      <c r="AB53" s="1044">
        <f t="shared" si="25"/>
        <v>0</v>
      </c>
      <c r="AC53" s="1044">
        <f t="shared" si="26"/>
        <v>0</v>
      </c>
      <c r="AD53" s="1044" t="str">
        <f t="shared" si="27"/>
        <v/>
      </c>
      <c r="AE53" s="1044">
        <f t="shared" si="28"/>
        <v>0</v>
      </c>
      <c r="AF53" s="1044" t="str">
        <f t="shared" si="29"/>
        <v/>
      </c>
      <c r="AG53" s="1044">
        <f t="shared" si="30"/>
        <v>0</v>
      </c>
      <c r="AH53" s="1044">
        <f t="shared" si="31"/>
        <v>0</v>
      </c>
      <c r="AI53" s="1044" t="str">
        <f t="shared" si="32"/>
        <v/>
      </c>
      <c r="AJ53" s="1044">
        <f t="shared" si="33"/>
        <v>0</v>
      </c>
      <c r="AK53" s="1044">
        <f t="shared" si="34"/>
        <v>0</v>
      </c>
      <c r="AL53" s="1044">
        <f t="shared" si="35"/>
        <v>0</v>
      </c>
      <c r="AM53" s="1044">
        <f t="shared" si="36"/>
        <v>0</v>
      </c>
      <c r="AN53" s="1044" t="str">
        <f t="shared" si="37"/>
        <v/>
      </c>
      <c r="AO53" s="1044" t="str">
        <f t="shared" si="38"/>
        <v/>
      </c>
      <c r="AP53" s="1044">
        <f t="shared" si="39"/>
        <v>0</v>
      </c>
      <c r="AQ53" s="1044">
        <f t="shared" si="40"/>
        <v>0</v>
      </c>
      <c r="AR53" s="1044" t="str">
        <f t="shared" si="41"/>
        <v/>
      </c>
      <c r="AS53" s="1044">
        <f t="shared" si="42"/>
        <v>0</v>
      </c>
      <c r="AT53" s="1044" t="str">
        <f t="shared" si="43"/>
        <v/>
      </c>
      <c r="AU53" s="1044">
        <f t="shared" si="44"/>
        <v>0</v>
      </c>
      <c r="AV53" s="1044" t="str">
        <f t="shared" si="45"/>
        <v/>
      </c>
      <c r="AW53" s="1044">
        <f t="shared" si="46"/>
        <v>0</v>
      </c>
      <c r="AX53" s="1044" t="str">
        <f t="shared" si="47"/>
        <v/>
      </c>
      <c r="AY53" s="1044">
        <f t="shared" si="48"/>
        <v>0</v>
      </c>
      <c r="AZ53" s="1044" t="str">
        <f t="shared" si="49"/>
        <v/>
      </c>
      <c r="BA53" s="1044">
        <f t="shared" si="50"/>
        <v>0</v>
      </c>
      <c r="BB53" s="1044" t="str">
        <f t="shared" si="51"/>
        <v/>
      </c>
      <c r="BC53" s="1044">
        <f t="shared" si="52"/>
        <v>0</v>
      </c>
      <c r="BD53" s="1044">
        <f t="shared" si="53"/>
        <v>0</v>
      </c>
      <c r="BE53" s="1044" t="str">
        <f t="shared" si="54"/>
        <v/>
      </c>
      <c r="BF53" s="1044" t="str">
        <f t="shared" si="55"/>
        <v/>
      </c>
      <c r="BG53" s="1044" t="str">
        <f t="shared" si="56"/>
        <v/>
      </c>
      <c r="BH53" s="1044" t="str">
        <f t="shared" si="57"/>
        <v/>
      </c>
      <c r="BI53" s="1044" t="str">
        <f t="shared" si="58"/>
        <v/>
      </c>
      <c r="BJ53" s="1044" t="str">
        <f t="shared" si="59"/>
        <v/>
      </c>
      <c r="BK53" s="1044" t="str">
        <f t="shared" si="60"/>
        <v/>
      </c>
      <c r="BL53" s="1044" t="str">
        <f t="shared" si="61"/>
        <v/>
      </c>
      <c r="BM53" s="1044" t="str">
        <f t="shared" si="62"/>
        <v/>
      </c>
      <c r="BN53" s="1044" t="str">
        <f t="shared" si="63"/>
        <v/>
      </c>
      <c r="BO53" s="1044" t="str">
        <f t="shared" si="64"/>
        <v/>
      </c>
      <c r="BP53" s="1044" t="str">
        <f t="shared" si="65"/>
        <v/>
      </c>
      <c r="BQ53" s="1044" t="str">
        <f t="shared" si="66"/>
        <v/>
      </c>
      <c r="BR53" s="1044" t="str">
        <f t="shared" si="67"/>
        <v/>
      </c>
      <c r="BS53" s="1044" t="str">
        <f t="shared" si="68"/>
        <v/>
      </c>
      <c r="BT53" s="1044" t="str">
        <f t="shared" si="69"/>
        <v/>
      </c>
      <c r="BU53" s="1044" t="str">
        <f t="shared" si="70"/>
        <v/>
      </c>
    </row>
    <row r="54" spans="1:73" ht="30" customHeight="1">
      <c r="A54" s="1069" t="str">
        <f t="shared" si="0"/>
        <v/>
      </c>
      <c r="B54" s="1063"/>
      <c r="C54" s="1064" t="s">
        <v>254</v>
      </c>
      <c r="D54" s="1070" t="str">
        <f t="shared" si="1"/>
        <v/>
      </c>
      <c r="E54" s="1071" t="str">
        <f t="shared" si="2"/>
        <v/>
      </c>
      <c r="F54" s="1067" t="str">
        <f t="shared" si="3"/>
        <v/>
      </c>
      <c r="G54" s="1068" t="str">
        <f t="shared" si="4"/>
        <v/>
      </c>
      <c r="H54" s="1069" t="str">
        <f t="shared" si="5"/>
        <v/>
      </c>
      <c r="I54" s="1069" t="str">
        <f t="shared" si="6"/>
        <v/>
      </c>
      <c r="J54" s="1067" t="str">
        <f t="shared" si="7"/>
        <v/>
      </c>
      <c r="K54" s="1044" t="str">
        <f t="shared" si="8"/>
        <v/>
      </c>
      <c r="L54" s="1044" t="str">
        <f t="shared" si="9"/>
        <v/>
      </c>
      <c r="M54" s="1044" t="str">
        <f t="shared" si="10"/>
        <v/>
      </c>
      <c r="N54" s="1044" t="str">
        <f t="shared" si="11"/>
        <v/>
      </c>
      <c r="O54" s="1044" t="str">
        <f t="shared" si="12"/>
        <v/>
      </c>
      <c r="P54" s="1044" t="str">
        <f t="shared" si="13"/>
        <v/>
      </c>
      <c r="Q54" s="1044">
        <f t="shared" si="14"/>
        <v>0</v>
      </c>
      <c r="R54" s="1044">
        <f t="shared" si="15"/>
        <v>0</v>
      </c>
      <c r="S54" s="1044">
        <f t="shared" si="16"/>
        <v>0</v>
      </c>
      <c r="T54" s="1044">
        <f t="shared" si="17"/>
        <v>0</v>
      </c>
      <c r="U54" s="1044" t="str">
        <f t="shared" si="18"/>
        <v/>
      </c>
      <c r="V54" s="1044" t="str">
        <f t="shared" si="19"/>
        <v/>
      </c>
      <c r="W54" s="1044">
        <f t="shared" si="20"/>
        <v>0</v>
      </c>
      <c r="X54" s="1044" t="str">
        <f t="shared" si="21"/>
        <v/>
      </c>
      <c r="Y54" s="1044">
        <f t="shared" si="22"/>
        <v>0</v>
      </c>
      <c r="Z54" s="1044" t="str">
        <f t="shared" si="23"/>
        <v/>
      </c>
      <c r="AA54" s="1044">
        <f t="shared" si="24"/>
        <v>0</v>
      </c>
      <c r="AB54" s="1044">
        <f t="shared" si="25"/>
        <v>0</v>
      </c>
      <c r="AC54" s="1044">
        <f t="shared" si="26"/>
        <v>0</v>
      </c>
      <c r="AD54" s="1044" t="str">
        <f t="shared" si="27"/>
        <v/>
      </c>
      <c r="AE54" s="1044">
        <f t="shared" si="28"/>
        <v>0</v>
      </c>
      <c r="AF54" s="1044" t="str">
        <f t="shared" si="29"/>
        <v/>
      </c>
      <c r="AG54" s="1044">
        <f t="shared" si="30"/>
        <v>0</v>
      </c>
      <c r="AH54" s="1044">
        <f t="shared" si="31"/>
        <v>0</v>
      </c>
      <c r="AI54" s="1044" t="str">
        <f t="shared" si="32"/>
        <v/>
      </c>
      <c r="AJ54" s="1044">
        <f t="shared" si="33"/>
        <v>0</v>
      </c>
      <c r="AK54" s="1044">
        <f t="shared" si="34"/>
        <v>0</v>
      </c>
      <c r="AL54" s="1044">
        <f t="shared" si="35"/>
        <v>0</v>
      </c>
      <c r="AM54" s="1044">
        <f t="shared" si="36"/>
        <v>0</v>
      </c>
      <c r="AN54" s="1044" t="str">
        <f t="shared" si="37"/>
        <v/>
      </c>
      <c r="AO54" s="1044" t="str">
        <f t="shared" si="38"/>
        <v/>
      </c>
      <c r="AP54" s="1044">
        <f t="shared" si="39"/>
        <v>0</v>
      </c>
      <c r="AQ54" s="1044">
        <f t="shared" si="40"/>
        <v>0</v>
      </c>
      <c r="AR54" s="1044" t="str">
        <f t="shared" si="41"/>
        <v/>
      </c>
      <c r="AS54" s="1044">
        <f t="shared" si="42"/>
        <v>0</v>
      </c>
      <c r="AT54" s="1044" t="str">
        <f t="shared" si="43"/>
        <v/>
      </c>
      <c r="AU54" s="1044">
        <f t="shared" si="44"/>
        <v>0</v>
      </c>
      <c r="AV54" s="1044" t="str">
        <f t="shared" si="45"/>
        <v/>
      </c>
      <c r="AW54" s="1044">
        <f t="shared" si="46"/>
        <v>0</v>
      </c>
      <c r="AX54" s="1044" t="str">
        <f t="shared" si="47"/>
        <v/>
      </c>
      <c r="AY54" s="1044">
        <f t="shared" si="48"/>
        <v>0</v>
      </c>
      <c r="AZ54" s="1044" t="str">
        <f t="shared" si="49"/>
        <v/>
      </c>
      <c r="BA54" s="1044">
        <f t="shared" si="50"/>
        <v>0</v>
      </c>
      <c r="BB54" s="1044" t="str">
        <f t="shared" si="51"/>
        <v/>
      </c>
      <c r="BC54" s="1044">
        <f t="shared" si="52"/>
        <v>0</v>
      </c>
      <c r="BD54" s="1044">
        <f t="shared" si="53"/>
        <v>0</v>
      </c>
      <c r="BE54" s="1044" t="str">
        <f t="shared" si="54"/>
        <v/>
      </c>
      <c r="BF54" s="1044" t="str">
        <f t="shared" si="55"/>
        <v/>
      </c>
      <c r="BG54" s="1044" t="str">
        <f t="shared" si="56"/>
        <v/>
      </c>
      <c r="BH54" s="1044" t="str">
        <f t="shared" si="57"/>
        <v/>
      </c>
      <c r="BI54" s="1044" t="str">
        <f t="shared" si="58"/>
        <v/>
      </c>
      <c r="BJ54" s="1044" t="str">
        <f t="shared" si="59"/>
        <v/>
      </c>
      <c r="BK54" s="1044" t="str">
        <f t="shared" si="60"/>
        <v/>
      </c>
      <c r="BL54" s="1044" t="str">
        <f t="shared" si="61"/>
        <v/>
      </c>
      <c r="BM54" s="1044" t="str">
        <f t="shared" si="62"/>
        <v/>
      </c>
      <c r="BN54" s="1044" t="str">
        <f t="shared" si="63"/>
        <v/>
      </c>
      <c r="BO54" s="1044" t="str">
        <f t="shared" si="64"/>
        <v/>
      </c>
      <c r="BP54" s="1044" t="str">
        <f t="shared" si="65"/>
        <v/>
      </c>
      <c r="BQ54" s="1044" t="str">
        <f t="shared" si="66"/>
        <v/>
      </c>
      <c r="BR54" s="1044" t="str">
        <f t="shared" si="67"/>
        <v/>
      </c>
      <c r="BS54" s="1044" t="str">
        <f t="shared" si="68"/>
        <v/>
      </c>
      <c r="BT54" s="1044" t="str">
        <f t="shared" si="69"/>
        <v/>
      </c>
      <c r="BU54" s="1044" t="str">
        <f t="shared" si="70"/>
        <v/>
      </c>
    </row>
    <row r="55" spans="1:73" ht="30" customHeight="1">
      <c r="A55" s="1069" t="str">
        <f t="shared" si="0"/>
        <v/>
      </c>
      <c r="B55" s="1063"/>
      <c r="C55" s="1064" t="s">
        <v>254</v>
      </c>
      <c r="D55" s="1070" t="str">
        <f t="shared" si="1"/>
        <v/>
      </c>
      <c r="E55" s="1071" t="str">
        <f t="shared" si="2"/>
        <v/>
      </c>
      <c r="F55" s="1067" t="str">
        <f t="shared" si="3"/>
        <v/>
      </c>
      <c r="G55" s="1068" t="str">
        <f t="shared" si="4"/>
        <v/>
      </c>
      <c r="H55" s="1069" t="str">
        <f t="shared" si="5"/>
        <v/>
      </c>
      <c r="I55" s="1069" t="str">
        <f t="shared" si="6"/>
        <v/>
      </c>
      <c r="J55" s="1067" t="str">
        <f t="shared" si="7"/>
        <v/>
      </c>
      <c r="K55" s="1044" t="str">
        <f t="shared" si="8"/>
        <v/>
      </c>
      <c r="L55" s="1044" t="str">
        <f t="shared" si="9"/>
        <v/>
      </c>
      <c r="M55" s="1044" t="str">
        <f t="shared" si="10"/>
        <v/>
      </c>
      <c r="N55" s="1044" t="str">
        <f t="shared" si="11"/>
        <v/>
      </c>
      <c r="O55" s="1044" t="str">
        <f t="shared" si="12"/>
        <v/>
      </c>
      <c r="P55" s="1044" t="str">
        <f t="shared" si="13"/>
        <v/>
      </c>
      <c r="Q55" s="1044">
        <f t="shared" si="14"/>
        <v>0</v>
      </c>
      <c r="R55" s="1044">
        <f t="shared" si="15"/>
        <v>0</v>
      </c>
      <c r="S55" s="1044">
        <f t="shared" si="16"/>
        <v>0</v>
      </c>
      <c r="T55" s="1044">
        <f t="shared" si="17"/>
        <v>0</v>
      </c>
      <c r="U55" s="1044" t="str">
        <f t="shared" si="18"/>
        <v/>
      </c>
      <c r="V55" s="1044" t="str">
        <f t="shared" si="19"/>
        <v/>
      </c>
      <c r="W55" s="1044">
        <f t="shared" si="20"/>
        <v>0</v>
      </c>
      <c r="X55" s="1044" t="str">
        <f t="shared" si="21"/>
        <v/>
      </c>
      <c r="Y55" s="1044">
        <f t="shared" si="22"/>
        <v>0</v>
      </c>
      <c r="Z55" s="1044" t="str">
        <f t="shared" si="23"/>
        <v/>
      </c>
      <c r="AA55" s="1044">
        <f t="shared" si="24"/>
        <v>0</v>
      </c>
      <c r="AB55" s="1044">
        <f t="shared" si="25"/>
        <v>0</v>
      </c>
      <c r="AC55" s="1044">
        <f t="shared" si="26"/>
        <v>0</v>
      </c>
      <c r="AD55" s="1044" t="str">
        <f t="shared" si="27"/>
        <v/>
      </c>
      <c r="AE55" s="1044">
        <f t="shared" si="28"/>
        <v>0</v>
      </c>
      <c r="AF55" s="1044" t="str">
        <f t="shared" si="29"/>
        <v/>
      </c>
      <c r="AG55" s="1044">
        <f t="shared" si="30"/>
        <v>0</v>
      </c>
      <c r="AH55" s="1044">
        <f t="shared" si="31"/>
        <v>0</v>
      </c>
      <c r="AI55" s="1044" t="str">
        <f t="shared" si="32"/>
        <v/>
      </c>
      <c r="AJ55" s="1044">
        <f t="shared" si="33"/>
        <v>0</v>
      </c>
      <c r="AK55" s="1044">
        <f t="shared" si="34"/>
        <v>0</v>
      </c>
      <c r="AL55" s="1044">
        <f t="shared" si="35"/>
        <v>0</v>
      </c>
      <c r="AM55" s="1044">
        <f t="shared" si="36"/>
        <v>0</v>
      </c>
      <c r="AN55" s="1044" t="str">
        <f t="shared" si="37"/>
        <v/>
      </c>
      <c r="AO55" s="1044" t="str">
        <f t="shared" si="38"/>
        <v/>
      </c>
      <c r="AP55" s="1044">
        <f t="shared" si="39"/>
        <v>0</v>
      </c>
      <c r="AQ55" s="1044">
        <f t="shared" si="40"/>
        <v>0</v>
      </c>
      <c r="AR55" s="1044" t="str">
        <f t="shared" si="41"/>
        <v/>
      </c>
      <c r="AS55" s="1044">
        <f t="shared" si="42"/>
        <v>0</v>
      </c>
      <c r="AT55" s="1044" t="str">
        <f t="shared" si="43"/>
        <v/>
      </c>
      <c r="AU55" s="1044">
        <f t="shared" si="44"/>
        <v>0</v>
      </c>
      <c r="AV55" s="1044" t="str">
        <f t="shared" si="45"/>
        <v/>
      </c>
      <c r="AW55" s="1044">
        <f t="shared" si="46"/>
        <v>0</v>
      </c>
      <c r="AX55" s="1044" t="str">
        <f t="shared" si="47"/>
        <v/>
      </c>
      <c r="AY55" s="1044">
        <f t="shared" si="48"/>
        <v>0</v>
      </c>
      <c r="AZ55" s="1044" t="str">
        <f t="shared" si="49"/>
        <v/>
      </c>
      <c r="BA55" s="1044">
        <f t="shared" si="50"/>
        <v>0</v>
      </c>
      <c r="BB55" s="1044" t="str">
        <f t="shared" si="51"/>
        <v/>
      </c>
      <c r="BC55" s="1044">
        <f t="shared" si="52"/>
        <v>0</v>
      </c>
      <c r="BD55" s="1044">
        <f t="shared" si="53"/>
        <v>0</v>
      </c>
      <c r="BE55" s="1044" t="str">
        <f t="shared" si="54"/>
        <v/>
      </c>
      <c r="BF55" s="1044" t="str">
        <f t="shared" si="55"/>
        <v/>
      </c>
      <c r="BG55" s="1044" t="str">
        <f t="shared" si="56"/>
        <v/>
      </c>
      <c r="BH55" s="1044" t="str">
        <f t="shared" si="57"/>
        <v/>
      </c>
      <c r="BI55" s="1044" t="str">
        <f t="shared" si="58"/>
        <v/>
      </c>
      <c r="BJ55" s="1044" t="str">
        <f t="shared" si="59"/>
        <v/>
      </c>
      <c r="BK55" s="1044" t="str">
        <f t="shared" si="60"/>
        <v/>
      </c>
      <c r="BL55" s="1044" t="str">
        <f t="shared" si="61"/>
        <v/>
      </c>
      <c r="BM55" s="1044" t="str">
        <f t="shared" si="62"/>
        <v/>
      </c>
      <c r="BN55" s="1044" t="str">
        <f t="shared" si="63"/>
        <v/>
      </c>
      <c r="BO55" s="1044" t="str">
        <f t="shared" si="64"/>
        <v/>
      </c>
      <c r="BP55" s="1044" t="str">
        <f t="shared" si="65"/>
        <v/>
      </c>
      <c r="BQ55" s="1044" t="str">
        <f t="shared" si="66"/>
        <v/>
      </c>
      <c r="BR55" s="1044" t="str">
        <f t="shared" si="67"/>
        <v/>
      </c>
      <c r="BS55" s="1044" t="str">
        <f t="shared" si="68"/>
        <v/>
      </c>
      <c r="BT55" s="1044" t="str">
        <f t="shared" si="69"/>
        <v/>
      </c>
      <c r="BU55" s="1044" t="str">
        <f t="shared" si="70"/>
        <v/>
      </c>
    </row>
    <row r="56" spans="1:73" ht="30" customHeight="1">
      <c r="A56" s="1069" t="str">
        <f t="shared" si="0"/>
        <v/>
      </c>
      <c r="B56" s="1063"/>
      <c r="C56" s="1064" t="s">
        <v>254</v>
      </c>
      <c r="D56" s="1070" t="str">
        <f t="shared" si="1"/>
        <v/>
      </c>
      <c r="E56" s="1071" t="str">
        <f t="shared" si="2"/>
        <v/>
      </c>
      <c r="F56" s="1067" t="str">
        <f t="shared" si="3"/>
        <v/>
      </c>
      <c r="G56" s="1068" t="str">
        <f t="shared" si="4"/>
        <v/>
      </c>
      <c r="H56" s="1069" t="str">
        <f t="shared" si="5"/>
        <v/>
      </c>
      <c r="I56" s="1069" t="str">
        <f t="shared" si="6"/>
        <v/>
      </c>
      <c r="J56" s="1067" t="str">
        <f t="shared" si="7"/>
        <v/>
      </c>
      <c r="K56" s="1044" t="str">
        <f t="shared" si="8"/>
        <v/>
      </c>
      <c r="L56" s="1044" t="str">
        <f t="shared" si="9"/>
        <v/>
      </c>
      <c r="M56" s="1044" t="str">
        <f t="shared" si="10"/>
        <v/>
      </c>
      <c r="N56" s="1044" t="str">
        <f t="shared" si="11"/>
        <v/>
      </c>
      <c r="O56" s="1044" t="str">
        <f t="shared" si="12"/>
        <v/>
      </c>
      <c r="P56" s="1044" t="str">
        <f t="shared" si="13"/>
        <v/>
      </c>
      <c r="Q56" s="1044">
        <f t="shared" si="14"/>
        <v>0</v>
      </c>
      <c r="R56" s="1044">
        <f t="shared" si="15"/>
        <v>0</v>
      </c>
      <c r="S56" s="1044">
        <f t="shared" si="16"/>
        <v>0</v>
      </c>
      <c r="T56" s="1044">
        <f t="shared" si="17"/>
        <v>0</v>
      </c>
      <c r="U56" s="1044" t="str">
        <f t="shared" si="18"/>
        <v/>
      </c>
      <c r="V56" s="1044" t="str">
        <f t="shared" si="19"/>
        <v/>
      </c>
      <c r="W56" s="1044">
        <f t="shared" si="20"/>
        <v>0</v>
      </c>
      <c r="X56" s="1044" t="str">
        <f t="shared" si="21"/>
        <v/>
      </c>
      <c r="Y56" s="1044">
        <f t="shared" si="22"/>
        <v>0</v>
      </c>
      <c r="Z56" s="1044" t="str">
        <f t="shared" si="23"/>
        <v/>
      </c>
      <c r="AA56" s="1044">
        <f t="shared" si="24"/>
        <v>0</v>
      </c>
      <c r="AB56" s="1044">
        <f t="shared" si="25"/>
        <v>0</v>
      </c>
      <c r="AC56" s="1044">
        <f t="shared" si="26"/>
        <v>0</v>
      </c>
      <c r="AD56" s="1044" t="str">
        <f t="shared" si="27"/>
        <v/>
      </c>
      <c r="AE56" s="1044">
        <f t="shared" si="28"/>
        <v>0</v>
      </c>
      <c r="AF56" s="1044" t="str">
        <f t="shared" si="29"/>
        <v/>
      </c>
      <c r="AG56" s="1044">
        <f t="shared" si="30"/>
        <v>0</v>
      </c>
      <c r="AH56" s="1044">
        <f t="shared" si="31"/>
        <v>0</v>
      </c>
      <c r="AI56" s="1044" t="str">
        <f t="shared" si="32"/>
        <v/>
      </c>
      <c r="AJ56" s="1044">
        <f t="shared" si="33"/>
        <v>0</v>
      </c>
      <c r="AK56" s="1044">
        <f t="shared" si="34"/>
        <v>0</v>
      </c>
      <c r="AL56" s="1044">
        <f t="shared" si="35"/>
        <v>0</v>
      </c>
      <c r="AM56" s="1044">
        <f t="shared" si="36"/>
        <v>0</v>
      </c>
      <c r="AN56" s="1044" t="str">
        <f t="shared" si="37"/>
        <v/>
      </c>
      <c r="AO56" s="1044" t="str">
        <f t="shared" si="38"/>
        <v/>
      </c>
      <c r="AP56" s="1044">
        <f t="shared" si="39"/>
        <v>0</v>
      </c>
      <c r="AQ56" s="1044">
        <f t="shared" si="40"/>
        <v>0</v>
      </c>
      <c r="AR56" s="1044" t="str">
        <f t="shared" si="41"/>
        <v/>
      </c>
      <c r="AS56" s="1044">
        <f t="shared" si="42"/>
        <v>0</v>
      </c>
      <c r="AT56" s="1044" t="str">
        <f t="shared" si="43"/>
        <v/>
      </c>
      <c r="AU56" s="1044">
        <f t="shared" si="44"/>
        <v>0</v>
      </c>
      <c r="AV56" s="1044" t="str">
        <f t="shared" si="45"/>
        <v/>
      </c>
      <c r="AW56" s="1044">
        <f t="shared" si="46"/>
        <v>0</v>
      </c>
      <c r="AX56" s="1044" t="str">
        <f t="shared" si="47"/>
        <v/>
      </c>
      <c r="AY56" s="1044">
        <f t="shared" si="48"/>
        <v>0</v>
      </c>
      <c r="AZ56" s="1044" t="str">
        <f t="shared" si="49"/>
        <v/>
      </c>
      <c r="BA56" s="1044">
        <f t="shared" si="50"/>
        <v>0</v>
      </c>
      <c r="BB56" s="1044" t="str">
        <f t="shared" si="51"/>
        <v/>
      </c>
      <c r="BC56" s="1044">
        <f t="shared" si="52"/>
        <v>0</v>
      </c>
      <c r="BD56" s="1044">
        <f t="shared" si="53"/>
        <v>0</v>
      </c>
      <c r="BE56" s="1044" t="str">
        <f t="shared" si="54"/>
        <v/>
      </c>
      <c r="BF56" s="1044" t="str">
        <f t="shared" si="55"/>
        <v/>
      </c>
      <c r="BG56" s="1044" t="str">
        <f t="shared" si="56"/>
        <v/>
      </c>
      <c r="BH56" s="1044" t="str">
        <f t="shared" si="57"/>
        <v/>
      </c>
      <c r="BI56" s="1044" t="str">
        <f t="shared" si="58"/>
        <v/>
      </c>
      <c r="BJ56" s="1044" t="str">
        <f t="shared" si="59"/>
        <v/>
      </c>
      <c r="BK56" s="1044" t="str">
        <f t="shared" si="60"/>
        <v/>
      </c>
      <c r="BL56" s="1044" t="str">
        <f t="shared" si="61"/>
        <v/>
      </c>
      <c r="BM56" s="1044" t="str">
        <f t="shared" si="62"/>
        <v/>
      </c>
      <c r="BN56" s="1044" t="str">
        <f t="shared" si="63"/>
        <v/>
      </c>
      <c r="BO56" s="1044" t="str">
        <f t="shared" si="64"/>
        <v/>
      </c>
      <c r="BP56" s="1044" t="str">
        <f t="shared" si="65"/>
        <v/>
      </c>
      <c r="BQ56" s="1044" t="str">
        <f t="shared" si="66"/>
        <v/>
      </c>
      <c r="BR56" s="1044" t="str">
        <f t="shared" si="67"/>
        <v/>
      </c>
      <c r="BS56" s="1044" t="str">
        <f t="shared" si="68"/>
        <v/>
      </c>
      <c r="BT56" s="1044" t="str">
        <f t="shared" si="69"/>
        <v/>
      </c>
      <c r="BU56" s="1044" t="str">
        <f t="shared" si="70"/>
        <v/>
      </c>
    </row>
    <row r="57" spans="1:73" ht="30" customHeight="1">
      <c r="A57" s="1069" t="str">
        <f t="shared" si="0"/>
        <v/>
      </c>
      <c r="B57" s="1063"/>
      <c r="C57" s="1064" t="s">
        <v>254</v>
      </c>
      <c r="D57" s="1070" t="str">
        <f t="shared" si="1"/>
        <v/>
      </c>
      <c r="E57" s="1071" t="str">
        <f t="shared" si="2"/>
        <v/>
      </c>
      <c r="F57" s="1067" t="str">
        <f t="shared" si="3"/>
        <v/>
      </c>
      <c r="G57" s="1068" t="str">
        <f t="shared" si="4"/>
        <v/>
      </c>
      <c r="H57" s="1069" t="str">
        <f t="shared" si="5"/>
        <v/>
      </c>
      <c r="I57" s="1069" t="str">
        <f t="shared" si="6"/>
        <v/>
      </c>
      <c r="J57" s="1067" t="str">
        <f t="shared" si="7"/>
        <v/>
      </c>
      <c r="K57" s="1044" t="str">
        <f t="shared" si="8"/>
        <v/>
      </c>
      <c r="L57" s="1044" t="str">
        <f t="shared" si="9"/>
        <v/>
      </c>
      <c r="M57" s="1044" t="str">
        <f t="shared" si="10"/>
        <v/>
      </c>
      <c r="N57" s="1044" t="str">
        <f t="shared" si="11"/>
        <v/>
      </c>
      <c r="O57" s="1044" t="str">
        <f t="shared" si="12"/>
        <v/>
      </c>
      <c r="P57" s="1044" t="str">
        <f t="shared" si="13"/>
        <v/>
      </c>
      <c r="Q57" s="1044">
        <f t="shared" si="14"/>
        <v>0</v>
      </c>
      <c r="R57" s="1044">
        <f t="shared" si="15"/>
        <v>0</v>
      </c>
      <c r="S57" s="1044">
        <f t="shared" si="16"/>
        <v>0</v>
      </c>
      <c r="T57" s="1044">
        <f t="shared" si="17"/>
        <v>0</v>
      </c>
      <c r="U57" s="1044" t="str">
        <f t="shared" si="18"/>
        <v/>
      </c>
      <c r="V57" s="1044" t="str">
        <f t="shared" si="19"/>
        <v/>
      </c>
      <c r="W57" s="1044">
        <f t="shared" si="20"/>
        <v>0</v>
      </c>
      <c r="X57" s="1044" t="str">
        <f t="shared" si="21"/>
        <v/>
      </c>
      <c r="Y57" s="1044">
        <f t="shared" si="22"/>
        <v>0</v>
      </c>
      <c r="Z57" s="1044" t="str">
        <f t="shared" si="23"/>
        <v/>
      </c>
      <c r="AA57" s="1044">
        <f t="shared" si="24"/>
        <v>0</v>
      </c>
      <c r="AB57" s="1044">
        <f t="shared" si="25"/>
        <v>0</v>
      </c>
      <c r="AC57" s="1044">
        <f t="shared" si="26"/>
        <v>0</v>
      </c>
      <c r="AD57" s="1044" t="str">
        <f t="shared" si="27"/>
        <v/>
      </c>
      <c r="AE57" s="1044">
        <f t="shared" si="28"/>
        <v>0</v>
      </c>
      <c r="AF57" s="1044" t="str">
        <f t="shared" si="29"/>
        <v/>
      </c>
      <c r="AG57" s="1044">
        <f t="shared" si="30"/>
        <v>0</v>
      </c>
      <c r="AH57" s="1044">
        <f t="shared" si="31"/>
        <v>0</v>
      </c>
      <c r="AI57" s="1044" t="str">
        <f t="shared" si="32"/>
        <v/>
      </c>
      <c r="AJ57" s="1044">
        <f t="shared" si="33"/>
        <v>0</v>
      </c>
      <c r="AK57" s="1044">
        <f t="shared" si="34"/>
        <v>0</v>
      </c>
      <c r="AL57" s="1044">
        <f t="shared" si="35"/>
        <v>0</v>
      </c>
      <c r="AM57" s="1044">
        <f t="shared" si="36"/>
        <v>0</v>
      </c>
      <c r="AN57" s="1044" t="str">
        <f t="shared" si="37"/>
        <v/>
      </c>
      <c r="AO57" s="1044" t="str">
        <f t="shared" si="38"/>
        <v/>
      </c>
      <c r="AP57" s="1044">
        <f t="shared" si="39"/>
        <v>0</v>
      </c>
      <c r="AQ57" s="1044">
        <f t="shared" si="40"/>
        <v>0</v>
      </c>
      <c r="AR57" s="1044" t="str">
        <f t="shared" si="41"/>
        <v/>
      </c>
      <c r="AS57" s="1044">
        <f t="shared" si="42"/>
        <v>0</v>
      </c>
      <c r="AT57" s="1044" t="str">
        <f t="shared" si="43"/>
        <v/>
      </c>
      <c r="AU57" s="1044">
        <f t="shared" si="44"/>
        <v>0</v>
      </c>
      <c r="AV57" s="1044" t="str">
        <f t="shared" si="45"/>
        <v/>
      </c>
      <c r="AW57" s="1044">
        <f t="shared" si="46"/>
        <v>0</v>
      </c>
      <c r="AX57" s="1044" t="str">
        <f t="shared" si="47"/>
        <v/>
      </c>
      <c r="AY57" s="1044">
        <f t="shared" si="48"/>
        <v>0</v>
      </c>
      <c r="AZ57" s="1044" t="str">
        <f t="shared" si="49"/>
        <v/>
      </c>
      <c r="BA57" s="1044">
        <f t="shared" si="50"/>
        <v>0</v>
      </c>
      <c r="BB57" s="1044" t="str">
        <f t="shared" si="51"/>
        <v/>
      </c>
      <c r="BC57" s="1044">
        <f t="shared" si="52"/>
        <v>0</v>
      </c>
      <c r="BD57" s="1044">
        <f t="shared" si="53"/>
        <v>0</v>
      </c>
      <c r="BE57" s="1044" t="str">
        <f t="shared" si="54"/>
        <v/>
      </c>
      <c r="BF57" s="1044" t="str">
        <f t="shared" si="55"/>
        <v/>
      </c>
      <c r="BG57" s="1044" t="str">
        <f t="shared" si="56"/>
        <v/>
      </c>
      <c r="BH57" s="1044" t="str">
        <f t="shared" si="57"/>
        <v/>
      </c>
      <c r="BI57" s="1044" t="str">
        <f t="shared" si="58"/>
        <v/>
      </c>
      <c r="BJ57" s="1044" t="str">
        <f t="shared" si="59"/>
        <v/>
      </c>
      <c r="BK57" s="1044" t="str">
        <f t="shared" si="60"/>
        <v/>
      </c>
      <c r="BL57" s="1044" t="str">
        <f t="shared" si="61"/>
        <v/>
      </c>
      <c r="BM57" s="1044" t="str">
        <f t="shared" si="62"/>
        <v/>
      </c>
      <c r="BN57" s="1044" t="str">
        <f t="shared" si="63"/>
        <v/>
      </c>
      <c r="BO57" s="1044" t="str">
        <f t="shared" si="64"/>
        <v/>
      </c>
      <c r="BP57" s="1044" t="str">
        <f t="shared" si="65"/>
        <v/>
      </c>
      <c r="BQ57" s="1044" t="str">
        <f t="shared" si="66"/>
        <v/>
      </c>
      <c r="BR57" s="1044" t="str">
        <f t="shared" si="67"/>
        <v/>
      </c>
      <c r="BS57" s="1044" t="str">
        <f t="shared" si="68"/>
        <v/>
      </c>
      <c r="BT57" s="1044" t="str">
        <f t="shared" si="69"/>
        <v/>
      </c>
      <c r="BU57" s="1044" t="str">
        <f t="shared" si="70"/>
        <v/>
      </c>
    </row>
    <row r="58" spans="1:73" ht="30" customHeight="1">
      <c r="A58" s="1069" t="str">
        <f t="shared" si="0"/>
        <v/>
      </c>
      <c r="B58" s="1063"/>
      <c r="C58" s="1064" t="s">
        <v>254</v>
      </c>
      <c r="D58" s="1070" t="str">
        <f t="shared" si="1"/>
        <v/>
      </c>
      <c r="E58" s="1071" t="str">
        <f t="shared" si="2"/>
        <v/>
      </c>
      <c r="F58" s="1067" t="str">
        <f t="shared" si="3"/>
        <v/>
      </c>
      <c r="G58" s="1068" t="str">
        <f t="shared" si="4"/>
        <v/>
      </c>
      <c r="H58" s="1069" t="str">
        <f t="shared" si="5"/>
        <v/>
      </c>
      <c r="I58" s="1069" t="str">
        <f t="shared" si="6"/>
        <v/>
      </c>
      <c r="J58" s="1067" t="str">
        <f t="shared" si="7"/>
        <v/>
      </c>
      <c r="K58" s="1044" t="str">
        <f t="shared" si="8"/>
        <v/>
      </c>
      <c r="L58" s="1044" t="str">
        <f t="shared" si="9"/>
        <v/>
      </c>
      <c r="M58" s="1044" t="str">
        <f t="shared" si="10"/>
        <v/>
      </c>
      <c r="N58" s="1044" t="str">
        <f t="shared" si="11"/>
        <v/>
      </c>
      <c r="O58" s="1044" t="str">
        <f t="shared" si="12"/>
        <v/>
      </c>
      <c r="P58" s="1044" t="str">
        <f t="shared" si="13"/>
        <v/>
      </c>
      <c r="Q58" s="1044">
        <f t="shared" si="14"/>
        <v>0</v>
      </c>
      <c r="R58" s="1044">
        <f t="shared" si="15"/>
        <v>0</v>
      </c>
      <c r="S58" s="1044">
        <f t="shared" si="16"/>
        <v>0</v>
      </c>
      <c r="T58" s="1044">
        <f t="shared" si="17"/>
        <v>0</v>
      </c>
      <c r="U58" s="1044" t="str">
        <f t="shared" si="18"/>
        <v/>
      </c>
      <c r="V58" s="1044" t="str">
        <f t="shared" si="19"/>
        <v/>
      </c>
      <c r="W58" s="1044">
        <f t="shared" si="20"/>
        <v>0</v>
      </c>
      <c r="X58" s="1044" t="str">
        <f t="shared" si="21"/>
        <v/>
      </c>
      <c r="Y58" s="1044">
        <f t="shared" si="22"/>
        <v>0</v>
      </c>
      <c r="Z58" s="1044" t="str">
        <f t="shared" si="23"/>
        <v/>
      </c>
      <c r="AA58" s="1044">
        <f t="shared" si="24"/>
        <v>0</v>
      </c>
      <c r="AB58" s="1044">
        <f t="shared" si="25"/>
        <v>0</v>
      </c>
      <c r="AC58" s="1044">
        <f t="shared" si="26"/>
        <v>0</v>
      </c>
      <c r="AD58" s="1044" t="str">
        <f t="shared" si="27"/>
        <v/>
      </c>
      <c r="AE58" s="1044">
        <f t="shared" si="28"/>
        <v>0</v>
      </c>
      <c r="AF58" s="1044" t="str">
        <f t="shared" si="29"/>
        <v/>
      </c>
      <c r="AG58" s="1044">
        <f t="shared" si="30"/>
        <v>0</v>
      </c>
      <c r="AH58" s="1044">
        <f t="shared" si="31"/>
        <v>0</v>
      </c>
      <c r="AI58" s="1044" t="str">
        <f t="shared" si="32"/>
        <v/>
      </c>
      <c r="AJ58" s="1044">
        <f t="shared" si="33"/>
        <v>0</v>
      </c>
      <c r="AK58" s="1044">
        <f t="shared" si="34"/>
        <v>0</v>
      </c>
      <c r="AL58" s="1044">
        <f t="shared" si="35"/>
        <v>0</v>
      </c>
      <c r="AM58" s="1044">
        <f t="shared" si="36"/>
        <v>0</v>
      </c>
      <c r="AN58" s="1044" t="str">
        <f t="shared" si="37"/>
        <v/>
      </c>
      <c r="AO58" s="1044" t="str">
        <f t="shared" si="38"/>
        <v/>
      </c>
      <c r="AP58" s="1044">
        <f t="shared" si="39"/>
        <v>0</v>
      </c>
      <c r="AQ58" s="1044">
        <f t="shared" si="40"/>
        <v>0</v>
      </c>
      <c r="AR58" s="1044" t="str">
        <f t="shared" si="41"/>
        <v/>
      </c>
      <c r="AS58" s="1044">
        <f t="shared" si="42"/>
        <v>0</v>
      </c>
      <c r="AT58" s="1044" t="str">
        <f t="shared" si="43"/>
        <v/>
      </c>
      <c r="AU58" s="1044">
        <f t="shared" si="44"/>
        <v>0</v>
      </c>
      <c r="AV58" s="1044" t="str">
        <f t="shared" si="45"/>
        <v/>
      </c>
      <c r="AW58" s="1044">
        <f t="shared" si="46"/>
        <v>0</v>
      </c>
      <c r="AX58" s="1044" t="str">
        <f t="shared" si="47"/>
        <v/>
      </c>
      <c r="AY58" s="1044">
        <f t="shared" si="48"/>
        <v>0</v>
      </c>
      <c r="AZ58" s="1044" t="str">
        <f t="shared" si="49"/>
        <v/>
      </c>
      <c r="BA58" s="1044">
        <f t="shared" si="50"/>
        <v>0</v>
      </c>
      <c r="BB58" s="1044" t="str">
        <f t="shared" si="51"/>
        <v/>
      </c>
      <c r="BC58" s="1044">
        <f t="shared" si="52"/>
        <v>0</v>
      </c>
      <c r="BD58" s="1044">
        <f t="shared" si="53"/>
        <v>0</v>
      </c>
      <c r="BE58" s="1044" t="str">
        <f t="shared" si="54"/>
        <v/>
      </c>
      <c r="BF58" s="1044" t="str">
        <f t="shared" si="55"/>
        <v/>
      </c>
      <c r="BG58" s="1044" t="str">
        <f t="shared" si="56"/>
        <v/>
      </c>
      <c r="BH58" s="1044" t="str">
        <f t="shared" si="57"/>
        <v/>
      </c>
      <c r="BI58" s="1044" t="str">
        <f t="shared" si="58"/>
        <v/>
      </c>
      <c r="BJ58" s="1044" t="str">
        <f t="shared" si="59"/>
        <v/>
      </c>
      <c r="BK58" s="1044" t="str">
        <f t="shared" si="60"/>
        <v/>
      </c>
      <c r="BL58" s="1044" t="str">
        <f t="shared" si="61"/>
        <v/>
      </c>
      <c r="BM58" s="1044" t="str">
        <f t="shared" si="62"/>
        <v/>
      </c>
      <c r="BN58" s="1044" t="str">
        <f t="shared" si="63"/>
        <v/>
      </c>
      <c r="BO58" s="1044" t="str">
        <f t="shared" si="64"/>
        <v/>
      </c>
      <c r="BP58" s="1044" t="str">
        <f t="shared" si="65"/>
        <v/>
      </c>
      <c r="BQ58" s="1044" t="str">
        <f t="shared" si="66"/>
        <v/>
      </c>
      <c r="BR58" s="1044" t="str">
        <f t="shared" si="67"/>
        <v/>
      </c>
      <c r="BS58" s="1044" t="str">
        <f t="shared" si="68"/>
        <v/>
      </c>
      <c r="BT58" s="1044" t="str">
        <f t="shared" si="69"/>
        <v/>
      </c>
      <c r="BU58" s="1044" t="str">
        <f t="shared" si="70"/>
        <v/>
      </c>
    </row>
    <row r="59" spans="1:73" ht="30" customHeight="1">
      <c r="A59" s="1069" t="str">
        <f t="shared" si="0"/>
        <v/>
      </c>
      <c r="B59" s="1063"/>
      <c r="C59" s="1064" t="s">
        <v>254</v>
      </c>
      <c r="D59" s="1070" t="str">
        <f t="shared" si="1"/>
        <v/>
      </c>
      <c r="E59" s="1071" t="str">
        <f t="shared" si="2"/>
        <v/>
      </c>
      <c r="F59" s="1067" t="str">
        <f t="shared" si="3"/>
        <v/>
      </c>
      <c r="G59" s="1068" t="str">
        <f t="shared" si="4"/>
        <v/>
      </c>
      <c r="H59" s="1069" t="str">
        <f t="shared" si="5"/>
        <v/>
      </c>
      <c r="I59" s="1069" t="str">
        <f t="shared" si="6"/>
        <v/>
      </c>
      <c r="J59" s="1067" t="str">
        <f t="shared" si="7"/>
        <v/>
      </c>
      <c r="K59" s="1044" t="str">
        <f t="shared" si="8"/>
        <v/>
      </c>
      <c r="L59" s="1044" t="str">
        <f t="shared" si="9"/>
        <v/>
      </c>
      <c r="M59" s="1044" t="str">
        <f t="shared" si="10"/>
        <v/>
      </c>
      <c r="N59" s="1044" t="str">
        <f t="shared" si="11"/>
        <v/>
      </c>
      <c r="O59" s="1044" t="str">
        <f t="shared" si="12"/>
        <v/>
      </c>
      <c r="P59" s="1044" t="str">
        <f t="shared" si="13"/>
        <v/>
      </c>
      <c r="Q59" s="1044">
        <f t="shared" si="14"/>
        <v>0</v>
      </c>
      <c r="R59" s="1044">
        <f t="shared" si="15"/>
        <v>0</v>
      </c>
      <c r="S59" s="1044">
        <f t="shared" si="16"/>
        <v>0</v>
      </c>
      <c r="T59" s="1044">
        <f t="shared" si="17"/>
        <v>0</v>
      </c>
      <c r="U59" s="1044" t="str">
        <f t="shared" si="18"/>
        <v/>
      </c>
      <c r="V59" s="1044" t="str">
        <f t="shared" si="19"/>
        <v/>
      </c>
      <c r="W59" s="1044">
        <f t="shared" si="20"/>
        <v>0</v>
      </c>
      <c r="X59" s="1044" t="str">
        <f t="shared" si="21"/>
        <v/>
      </c>
      <c r="Y59" s="1044">
        <f t="shared" si="22"/>
        <v>0</v>
      </c>
      <c r="Z59" s="1044" t="str">
        <f t="shared" si="23"/>
        <v/>
      </c>
      <c r="AA59" s="1044">
        <f t="shared" si="24"/>
        <v>0</v>
      </c>
      <c r="AB59" s="1044">
        <f t="shared" si="25"/>
        <v>0</v>
      </c>
      <c r="AC59" s="1044">
        <f t="shared" si="26"/>
        <v>0</v>
      </c>
      <c r="AD59" s="1044" t="str">
        <f t="shared" si="27"/>
        <v/>
      </c>
      <c r="AE59" s="1044">
        <f t="shared" si="28"/>
        <v>0</v>
      </c>
      <c r="AF59" s="1044" t="str">
        <f t="shared" si="29"/>
        <v/>
      </c>
      <c r="AG59" s="1044">
        <f t="shared" si="30"/>
        <v>0</v>
      </c>
      <c r="AH59" s="1044">
        <f t="shared" si="31"/>
        <v>0</v>
      </c>
      <c r="AI59" s="1044" t="str">
        <f t="shared" si="32"/>
        <v/>
      </c>
      <c r="AJ59" s="1044">
        <f t="shared" si="33"/>
        <v>0</v>
      </c>
      <c r="AK59" s="1044">
        <f t="shared" si="34"/>
        <v>0</v>
      </c>
      <c r="AL59" s="1044">
        <f t="shared" si="35"/>
        <v>0</v>
      </c>
      <c r="AM59" s="1044">
        <f t="shared" si="36"/>
        <v>0</v>
      </c>
      <c r="AN59" s="1044" t="str">
        <f t="shared" si="37"/>
        <v/>
      </c>
      <c r="AO59" s="1044" t="str">
        <f t="shared" si="38"/>
        <v/>
      </c>
      <c r="AP59" s="1044">
        <f t="shared" si="39"/>
        <v>0</v>
      </c>
      <c r="AQ59" s="1044">
        <f t="shared" si="40"/>
        <v>0</v>
      </c>
      <c r="AR59" s="1044" t="str">
        <f t="shared" si="41"/>
        <v/>
      </c>
      <c r="AS59" s="1044">
        <f t="shared" si="42"/>
        <v>0</v>
      </c>
      <c r="AT59" s="1044" t="str">
        <f t="shared" si="43"/>
        <v/>
      </c>
      <c r="AU59" s="1044">
        <f t="shared" si="44"/>
        <v>0</v>
      </c>
      <c r="AV59" s="1044" t="str">
        <f t="shared" si="45"/>
        <v/>
      </c>
      <c r="AW59" s="1044">
        <f t="shared" si="46"/>
        <v>0</v>
      </c>
      <c r="AX59" s="1044" t="str">
        <f t="shared" si="47"/>
        <v/>
      </c>
      <c r="AY59" s="1044">
        <f t="shared" si="48"/>
        <v>0</v>
      </c>
      <c r="AZ59" s="1044" t="str">
        <f t="shared" si="49"/>
        <v/>
      </c>
      <c r="BA59" s="1044">
        <f t="shared" si="50"/>
        <v>0</v>
      </c>
      <c r="BB59" s="1044" t="str">
        <f t="shared" si="51"/>
        <v/>
      </c>
      <c r="BC59" s="1044">
        <f t="shared" si="52"/>
        <v>0</v>
      </c>
      <c r="BD59" s="1044">
        <f t="shared" si="53"/>
        <v>0</v>
      </c>
      <c r="BE59" s="1044" t="str">
        <f t="shared" si="54"/>
        <v/>
      </c>
      <c r="BF59" s="1044" t="str">
        <f t="shared" si="55"/>
        <v/>
      </c>
      <c r="BG59" s="1044" t="str">
        <f t="shared" si="56"/>
        <v/>
      </c>
      <c r="BH59" s="1044" t="str">
        <f t="shared" si="57"/>
        <v/>
      </c>
      <c r="BI59" s="1044" t="str">
        <f t="shared" si="58"/>
        <v/>
      </c>
      <c r="BJ59" s="1044" t="str">
        <f t="shared" si="59"/>
        <v/>
      </c>
      <c r="BK59" s="1044" t="str">
        <f t="shared" si="60"/>
        <v/>
      </c>
      <c r="BL59" s="1044" t="str">
        <f t="shared" si="61"/>
        <v/>
      </c>
      <c r="BM59" s="1044" t="str">
        <f t="shared" si="62"/>
        <v/>
      </c>
      <c r="BN59" s="1044" t="str">
        <f t="shared" si="63"/>
        <v/>
      </c>
      <c r="BO59" s="1044" t="str">
        <f t="shared" si="64"/>
        <v/>
      </c>
      <c r="BP59" s="1044" t="str">
        <f t="shared" si="65"/>
        <v/>
      </c>
      <c r="BQ59" s="1044" t="str">
        <f t="shared" si="66"/>
        <v/>
      </c>
      <c r="BR59" s="1044" t="str">
        <f t="shared" si="67"/>
        <v/>
      </c>
      <c r="BS59" s="1044" t="str">
        <f t="shared" si="68"/>
        <v/>
      </c>
      <c r="BT59" s="1044" t="str">
        <f t="shared" si="69"/>
        <v/>
      </c>
      <c r="BU59" s="1044" t="str">
        <f t="shared" si="70"/>
        <v/>
      </c>
    </row>
    <row r="60" spans="1:73" ht="30" customHeight="1">
      <c r="A60" s="1069" t="str">
        <f t="shared" si="0"/>
        <v/>
      </c>
      <c r="B60" s="1063"/>
      <c r="C60" s="1064" t="s">
        <v>254</v>
      </c>
      <c r="D60" s="1070" t="str">
        <f t="shared" si="1"/>
        <v/>
      </c>
      <c r="E60" s="1071" t="str">
        <f t="shared" si="2"/>
        <v/>
      </c>
      <c r="F60" s="1067" t="str">
        <f t="shared" si="3"/>
        <v/>
      </c>
      <c r="G60" s="1068" t="str">
        <f t="shared" si="4"/>
        <v/>
      </c>
      <c r="H60" s="1069" t="str">
        <f t="shared" si="5"/>
        <v/>
      </c>
      <c r="I60" s="1069" t="str">
        <f t="shared" si="6"/>
        <v/>
      </c>
      <c r="J60" s="1067" t="str">
        <f t="shared" si="7"/>
        <v/>
      </c>
      <c r="K60" s="1044" t="str">
        <f t="shared" si="8"/>
        <v/>
      </c>
      <c r="L60" s="1044" t="str">
        <f t="shared" si="9"/>
        <v/>
      </c>
      <c r="M60" s="1044" t="str">
        <f t="shared" si="10"/>
        <v/>
      </c>
      <c r="N60" s="1044" t="str">
        <f t="shared" si="11"/>
        <v/>
      </c>
      <c r="O60" s="1044" t="str">
        <f t="shared" si="12"/>
        <v/>
      </c>
      <c r="P60" s="1044" t="str">
        <f t="shared" si="13"/>
        <v/>
      </c>
      <c r="Q60" s="1044">
        <f t="shared" si="14"/>
        <v>0</v>
      </c>
      <c r="R60" s="1044">
        <f t="shared" si="15"/>
        <v>0</v>
      </c>
      <c r="S60" s="1044">
        <f t="shared" si="16"/>
        <v>0</v>
      </c>
      <c r="T60" s="1044">
        <f t="shared" si="17"/>
        <v>0</v>
      </c>
      <c r="U60" s="1044" t="str">
        <f t="shared" si="18"/>
        <v/>
      </c>
      <c r="V60" s="1044" t="str">
        <f t="shared" si="19"/>
        <v/>
      </c>
      <c r="W60" s="1044">
        <f t="shared" si="20"/>
        <v>0</v>
      </c>
      <c r="X60" s="1044" t="str">
        <f t="shared" si="21"/>
        <v/>
      </c>
      <c r="Y60" s="1044">
        <f t="shared" si="22"/>
        <v>0</v>
      </c>
      <c r="Z60" s="1044" t="str">
        <f t="shared" si="23"/>
        <v/>
      </c>
      <c r="AA60" s="1044">
        <f t="shared" si="24"/>
        <v>0</v>
      </c>
      <c r="AB60" s="1044">
        <f t="shared" si="25"/>
        <v>0</v>
      </c>
      <c r="AC60" s="1044">
        <f t="shared" si="26"/>
        <v>0</v>
      </c>
      <c r="AD60" s="1044" t="str">
        <f t="shared" si="27"/>
        <v/>
      </c>
      <c r="AE60" s="1044">
        <f t="shared" si="28"/>
        <v>0</v>
      </c>
      <c r="AF60" s="1044" t="str">
        <f t="shared" si="29"/>
        <v/>
      </c>
      <c r="AG60" s="1044">
        <f t="shared" si="30"/>
        <v>0</v>
      </c>
      <c r="AH60" s="1044">
        <f t="shared" si="31"/>
        <v>0</v>
      </c>
      <c r="AI60" s="1044" t="str">
        <f t="shared" si="32"/>
        <v/>
      </c>
      <c r="AJ60" s="1044">
        <f t="shared" si="33"/>
        <v>0</v>
      </c>
      <c r="AK60" s="1044">
        <f t="shared" si="34"/>
        <v>0</v>
      </c>
      <c r="AL60" s="1044">
        <f t="shared" si="35"/>
        <v>0</v>
      </c>
      <c r="AM60" s="1044">
        <f t="shared" si="36"/>
        <v>0</v>
      </c>
      <c r="AN60" s="1044" t="str">
        <f t="shared" si="37"/>
        <v/>
      </c>
      <c r="AO60" s="1044" t="str">
        <f t="shared" si="38"/>
        <v/>
      </c>
      <c r="AP60" s="1044">
        <f t="shared" si="39"/>
        <v>0</v>
      </c>
      <c r="AQ60" s="1044">
        <f t="shared" si="40"/>
        <v>0</v>
      </c>
      <c r="AR60" s="1044" t="str">
        <f t="shared" si="41"/>
        <v/>
      </c>
      <c r="AS60" s="1044">
        <f t="shared" si="42"/>
        <v>0</v>
      </c>
      <c r="AT60" s="1044" t="str">
        <f t="shared" si="43"/>
        <v/>
      </c>
      <c r="AU60" s="1044">
        <f t="shared" si="44"/>
        <v>0</v>
      </c>
      <c r="AV60" s="1044" t="str">
        <f t="shared" si="45"/>
        <v/>
      </c>
      <c r="AW60" s="1044">
        <f t="shared" si="46"/>
        <v>0</v>
      </c>
      <c r="AX60" s="1044" t="str">
        <f t="shared" si="47"/>
        <v/>
      </c>
      <c r="AY60" s="1044">
        <f t="shared" si="48"/>
        <v>0</v>
      </c>
      <c r="AZ60" s="1044" t="str">
        <f t="shared" si="49"/>
        <v/>
      </c>
      <c r="BA60" s="1044">
        <f t="shared" si="50"/>
        <v>0</v>
      </c>
      <c r="BB60" s="1044" t="str">
        <f t="shared" si="51"/>
        <v/>
      </c>
      <c r="BC60" s="1044">
        <f t="shared" si="52"/>
        <v>0</v>
      </c>
      <c r="BD60" s="1044">
        <f t="shared" si="53"/>
        <v>0</v>
      </c>
      <c r="BE60" s="1044" t="str">
        <f t="shared" si="54"/>
        <v/>
      </c>
      <c r="BF60" s="1044" t="str">
        <f t="shared" si="55"/>
        <v/>
      </c>
      <c r="BG60" s="1044" t="str">
        <f t="shared" si="56"/>
        <v/>
      </c>
      <c r="BH60" s="1044" t="str">
        <f t="shared" si="57"/>
        <v/>
      </c>
      <c r="BI60" s="1044" t="str">
        <f t="shared" si="58"/>
        <v/>
      </c>
      <c r="BJ60" s="1044" t="str">
        <f t="shared" si="59"/>
        <v/>
      </c>
      <c r="BK60" s="1044" t="str">
        <f t="shared" si="60"/>
        <v/>
      </c>
      <c r="BL60" s="1044" t="str">
        <f t="shared" si="61"/>
        <v/>
      </c>
      <c r="BM60" s="1044" t="str">
        <f t="shared" si="62"/>
        <v/>
      </c>
      <c r="BN60" s="1044" t="str">
        <f t="shared" si="63"/>
        <v/>
      </c>
      <c r="BO60" s="1044" t="str">
        <f t="shared" si="64"/>
        <v/>
      </c>
      <c r="BP60" s="1044" t="str">
        <f t="shared" si="65"/>
        <v/>
      </c>
      <c r="BQ60" s="1044" t="str">
        <f t="shared" si="66"/>
        <v/>
      </c>
      <c r="BR60" s="1044" t="str">
        <f t="shared" si="67"/>
        <v/>
      </c>
      <c r="BS60" s="1044" t="str">
        <f t="shared" si="68"/>
        <v/>
      </c>
      <c r="BT60" s="1044" t="str">
        <f t="shared" si="69"/>
        <v/>
      </c>
      <c r="BU60" s="1044" t="str">
        <f t="shared" si="70"/>
        <v/>
      </c>
    </row>
    <row r="61" spans="1:73" ht="30" customHeight="1">
      <c r="A61" s="1069" t="str">
        <f t="shared" si="0"/>
        <v/>
      </c>
      <c r="B61" s="1063"/>
      <c r="C61" s="1064" t="s">
        <v>254</v>
      </c>
      <c r="D61" s="1070" t="str">
        <f t="shared" si="1"/>
        <v/>
      </c>
      <c r="E61" s="1071" t="str">
        <f t="shared" si="2"/>
        <v/>
      </c>
      <c r="F61" s="1067" t="str">
        <f t="shared" si="3"/>
        <v/>
      </c>
      <c r="G61" s="1068" t="str">
        <f t="shared" si="4"/>
        <v/>
      </c>
      <c r="H61" s="1069" t="str">
        <f t="shared" si="5"/>
        <v/>
      </c>
      <c r="I61" s="1069" t="str">
        <f t="shared" si="6"/>
        <v/>
      </c>
      <c r="J61" s="1067" t="str">
        <f t="shared" si="7"/>
        <v/>
      </c>
      <c r="K61" s="1044" t="str">
        <f t="shared" si="8"/>
        <v/>
      </c>
      <c r="L61" s="1044" t="str">
        <f t="shared" si="9"/>
        <v/>
      </c>
      <c r="M61" s="1044" t="str">
        <f t="shared" si="10"/>
        <v/>
      </c>
      <c r="N61" s="1044" t="str">
        <f t="shared" si="11"/>
        <v/>
      </c>
      <c r="O61" s="1044" t="str">
        <f t="shared" si="12"/>
        <v/>
      </c>
      <c r="P61" s="1044" t="str">
        <f t="shared" si="13"/>
        <v/>
      </c>
      <c r="Q61" s="1044">
        <f t="shared" si="14"/>
        <v>0</v>
      </c>
      <c r="R61" s="1044">
        <f t="shared" si="15"/>
        <v>0</v>
      </c>
      <c r="S61" s="1044">
        <f t="shared" si="16"/>
        <v>0</v>
      </c>
      <c r="T61" s="1044">
        <f t="shared" si="17"/>
        <v>0</v>
      </c>
      <c r="U61" s="1044" t="str">
        <f t="shared" si="18"/>
        <v/>
      </c>
      <c r="V61" s="1044" t="str">
        <f t="shared" si="19"/>
        <v/>
      </c>
      <c r="W61" s="1044">
        <f t="shared" si="20"/>
        <v>0</v>
      </c>
      <c r="X61" s="1044" t="str">
        <f t="shared" si="21"/>
        <v/>
      </c>
      <c r="Y61" s="1044">
        <f t="shared" si="22"/>
        <v>0</v>
      </c>
      <c r="Z61" s="1044" t="str">
        <f t="shared" si="23"/>
        <v/>
      </c>
      <c r="AA61" s="1044">
        <f t="shared" si="24"/>
        <v>0</v>
      </c>
      <c r="AB61" s="1044">
        <f t="shared" si="25"/>
        <v>0</v>
      </c>
      <c r="AC61" s="1044">
        <f t="shared" si="26"/>
        <v>0</v>
      </c>
      <c r="AD61" s="1044" t="str">
        <f t="shared" si="27"/>
        <v/>
      </c>
      <c r="AE61" s="1044">
        <f t="shared" si="28"/>
        <v>0</v>
      </c>
      <c r="AF61" s="1044" t="str">
        <f t="shared" si="29"/>
        <v/>
      </c>
      <c r="AG61" s="1044">
        <f t="shared" si="30"/>
        <v>0</v>
      </c>
      <c r="AH61" s="1044">
        <f t="shared" si="31"/>
        <v>0</v>
      </c>
      <c r="AI61" s="1044" t="str">
        <f t="shared" si="32"/>
        <v/>
      </c>
      <c r="AJ61" s="1044">
        <f t="shared" si="33"/>
        <v>0</v>
      </c>
      <c r="AK61" s="1044">
        <f t="shared" si="34"/>
        <v>0</v>
      </c>
      <c r="AL61" s="1044">
        <f t="shared" si="35"/>
        <v>0</v>
      </c>
      <c r="AM61" s="1044">
        <f t="shared" si="36"/>
        <v>0</v>
      </c>
      <c r="AN61" s="1044" t="str">
        <f t="shared" si="37"/>
        <v/>
      </c>
      <c r="AO61" s="1044" t="str">
        <f t="shared" si="38"/>
        <v/>
      </c>
      <c r="AP61" s="1044">
        <f t="shared" si="39"/>
        <v>0</v>
      </c>
      <c r="AQ61" s="1044">
        <f t="shared" si="40"/>
        <v>0</v>
      </c>
      <c r="AR61" s="1044" t="str">
        <f t="shared" si="41"/>
        <v/>
      </c>
      <c r="AS61" s="1044">
        <f t="shared" si="42"/>
        <v>0</v>
      </c>
      <c r="AT61" s="1044" t="str">
        <f t="shared" si="43"/>
        <v/>
      </c>
      <c r="AU61" s="1044">
        <f t="shared" si="44"/>
        <v>0</v>
      </c>
      <c r="AV61" s="1044" t="str">
        <f t="shared" si="45"/>
        <v/>
      </c>
      <c r="AW61" s="1044">
        <f t="shared" si="46"/>
        <v>0</v>
      </c>
      <c r="AX61" s="1044" t="str">
        <f t="shared" si="47"/>
        <v/>
      </c>
      <c r="AY61" s="1044">
        <f t="shared" si="48"/>
        <v>0</v>
      </c>
      <c r="AZ61" s="1044" t="str">
        <f t="shared" si="49"/>
        <v/>
      </c>
      <c r="BA61" s="1044">
        <f t="shared" si="50"/>
        <v>0</v>
      </c>
      <c r="BB61" s="1044" t="str">
        <f t="shared" si="51"/>
        <v/>
      </c>
      <c r="BC61" s="1044">
        <f t="shared" si="52"/>
        <v>0</v>
      </c>
      <c r="BD61" s="1044">
        <f t="shared" si="53"/>
        <v>0</v>
      </c>
      <c r="BE61" s="1044" t="str">
        <f t="shared" si="54"/>
        <v/>
      </c>
      <c r="BF61" s="1044" t="str">
        <f t="shared" si="55"/>
        <v/>
      </c>
      <c r="BG61" s="1044" t="str">
        <f t="shared" si="56"/>
        <v/>
      </c>
      <c r="BH61" s="1044" t="str">
        <f t="shared" si="57"/>
        <v/>
      </c>
      <c r="BI61" s="1044" t="str">
        <f t="shared" si="58"/>
        <v/>
      </c>
      <c r="BJ61" s="1044" t="str">
        <f t="shared" si="59"/>
        <v/>
      </c>
      <c r="BK61" s="1044" t="str">
        <f t="shared" si="60"/>
        <v/>
      </c>
      <c r="BL61" s="1044" t="str">
        <f t="shared" si="61"/>
        <v/>
      </c>
      <c r="BM61" s="1044" t="str">
        <f t="shared" si="62"/>
        <v/>
      </c>
      <c r="BN61" s="1044" t="str">
        <f t="shared" si="63"/>
        <v/>
      </c>
      <c r="BO61" s="1044" t="str">
        <f t="shared" si="64"/>
        <v/>
      </c>
      <c r="BP61" s="1044" t="str">
        <f t="shared" si="65"/>
        <v/>
      </c>
      <c r="BQ61" s="1044" t="str">
        <f t="shared" si="66"/>
        <v/>
      </c>
      <c r="BR61" s="1044" t="str">
        <f t="shared" si="67"/>
        <v/>
      </c>
      <c r="BS61" s="1044" t="str">
        <f t="shared" si="68"/>
        <v/>
      </c>
      <c r="BT61" s="1044" t="str">
        <f t="shared" si="69"/>
        <v/>
      </c>
      <c r="BU61" s="1044" t="str">
        <f t="shared" si="70"/>
        <v/>
      </c>
    </row>
    <row r="62" spans="1:73" ht="30" customHeight="1">
      <c r="A62" s="1069" t="str">
        <f t="shared" si="0"/>
        <v/>
      </c>
      <c r="B62" s="1063"/>
      <c r="C62" s="1064" t="s">
        <v>254</v>
      </c>
      <c r="D62" s="1070" t="str">
        <f t="shared" si="1"/>
        <v/>
      </c>
      <c r="E62" s="1071" t="str">
        <f t="shared" si="2"/>
        <v/>
      </c>
      <c r="F62" s="1067" t="str">
        <f t="shared" si="3"/>
        <v/>
      </c>
      <c r="G62" s="1068" t="str">
        <f t="shared" si="4"/>
        <v/>
      </c>
      <c r="H62" s="1069" t="str">
        <f t="shared" si="5"/>
        <v/>
      </c>
      <c r="I62" s="1069" t="str">
        <f t="shared" si="6"/>
        <v/>
      </c>
      <c r="J62" s="1067" t="str">
        <f t="shared" si="7"/>
        <v/>
      </c>
      <c r="K62" s="1044" t="str">
        <f t="shared" si="8"/>
        <v/>
      </c>
      <c r="L62" s="1044" t="str">
        <f t="shared" si="9"/>
        <v/>
      </c>
      <c r="M62" s="1044" t="str">
        <f t="shared" si="10"/>
        <v/>
      </c>
      <c r="N62" s="1044" t="str">
        <f t="shared" si="11"/>
        <v/>
      </c>
      <c r="O62" s="1044" t="str">
        <f t="shared" si="12"/>
        <v/>
      </c>
      <c r="P62" s="1044" t="str">
        <f t="shared" si="13"/>
        <v/>
      </c>
      <c r="Q62" s="1044">
        <f t="shared" si="14"/>
        <v>0</v>
      </c>
      <c r="R62" s="1044">
        <f t="shared" si="15"/>
        <v>0</v>
      </c>
      <c r="S62" s="1044">
        <f t="shared" si="16"/>
        <v>0</v>
      </c>
      <c r="T62" s="1044">
        <f t="shared" si="17"/>
        <v>0</v>
      </c>
      <c r="U62" s="1044" t="str">
        <f t="shared" si="18"/>
        <v/>
      </c>
      <c r="V62" s="1044" t="str">
        <f t="shared" si="19"/>
        <v/>
      </c>
      <c r="W62" s="1044">
        <f t="shared" si="20"/>
        <v>0</v>
      </c>
      <c r="X62" s="1044" t="str">
        <f t="shared" si="21"/>
        <v/>
      </c>
      <c r="Y62" s="1044">
        <f t="shared" si="22"/>
        <v>0</v>
      </c>
      <c r="Z62" s="1044" t="str">
        <f t="shared" si="23"/>
        <v/>
      </c>
      <c r="AA62" s="1044">
        <f t="shared" si="24"/>
        <v>0</v>
      </c>
      <c r="AB62" s="1044">
        <f t="shared" si="25"/>
        <v>0</v>
      </c>
      <c r="AC62" s="1044">
        <f t="shared" si="26"/>
        <v>0</v>
      </c>
      <c r="AD62" s="1044" t="str">
        <f t="shared" si="27"/>
        <v/>
      </c>
      <c r="AE62" s="1044">
        <f t="shared" si="28"/>
        <v>0</v>
      </c>
      <c r="AF62" s="1044" t="str">
        <f t="shared" si="29"/>
        <v/>
      </c>
      <c r="AG62" s="1044">
        <f t="shared" si="30"/>
        <v>0</v>
      </c>
      <c r="AH62" s="1044">
        <f t="shared" si="31"/>
        <v>0</v>
      </c>
      <c r="AI62" s="1044" t="str">
        <f t="shared" si="32"/>
        <v/>
      </c>
      <c r="AJ62" s="1044">
        <f t="shared" si="33"/>
        <v>0</v>
      </c>
      <c r="AK62" s="1044">
        <f t="shared" si="34"/>
        <v>0</v>
      </c>
      <c r="AL62" s="1044">
        <f t="shared" si="35"/>
        <v>0</v>
      </c>
      <c r="AM62" s="1044">
        <f t="shared" si="36"/>
        <v>0</v>
      </c>
      <c r="AN62" s="1044" t="str">
        <f t="shared" si="37"/>
        <v/>
      </c>
      <c r="AO62" s="1044" t="str">
        <f t="shared" si="38"/>
        <v/>
      </c>
      <c r="AP62" s="1044">
        <f t="shared" si="39"/>
        <v>0</v>
      </c>
      <c r="AQ62" s="1044">
        <f t="shared" si="40"/>
        <v>0</v>
      </c>
      <c r="AR62" s="1044" t="str">
        <f t="shared" si="41"/>
        <v/>
      </c>
      <c r="AS62" s="1044">
        <f t="shared" si="42"/>
        <v>0</v>
      </c>
      <c r="AT62" s="1044" t="str">
        <f t="shared" si="43"/>
        <v/>
      </c>
      <c r="AU62" s="1044">
        <f t="shared" si="44"/>
        <v>0</v>
      </c>
      <c r="AV62" s="1044" t="str">
        <f t="shared" si="45"/>
        <v/>
      </c>
      <c r="AW62" s="1044">
        <f t="shared" si="46"/>
        <v>0</v>
      </c>
      <c r="AX62" s="1044" t="str">
        <f t="shared" si="47"/>
        <v/>
      </c>
      <c r="AY62" s="1044">
        <f t="shared" si="48"/>
        <v>0</v>
      </c>
      <c r="AZ62" s="1044" t="str">
        <f t="shared" si="49"/>
        <v/>
      </c>
      <c r="BA62" s="1044">
        <f t="shared" si="50"/>
        <v>0</v>
      </c>
      <c r="BB62" s="1044" t="str">
        <f t="shared" si="51"/>
        <v/>
      </c>
      <c r="BC62" s="1044">
        <f t="shared" si="52"/>
        <v>0</v>
      </c>
      <c r="BD62" s="1044">
        <f t="shared" si="53"/>
        <v>0</v>
      </c>
      <c r="BE62" s="1044" t="str">
        <f t="shared" si="54"/>
        <v/>
      </c>
      <c r="BF62" s="1044" t="str">
        <f t="shared" si="55"/>
        <v/>
      </c>
      <c r="BG62" s="1044" t="str">
        <f t="shared" si="56"/>
        <v/>
      </c>
      <c r="BH62" s="1044" t="str">
        <f t="shared" si="57"/>
        <v/>
      </c>
      <c r="BI62" s="1044" t="str">
        <f t="shared" si="58"/>
        <v/>
      </c>
      <c r="BJ62" s="1044" t="str">
        <f t="shared" si="59"/>
        <v/>
      </c>
      <c r="BK62" s="1044" t="str">
        <f t="shared" si="60"/>
        <v/>
      </c>
      <c r="BL62" s="1044" t="str">
        <f t="shared" si="61"/>
        <v/>
      </c>
      <c r="BM62" s="1044" t="str">
        <f t="shared" si="62"/>
        <v/>
      </c>
      <c r="BN62" s="1044" t="str">
        <f t="shared" si="63"/>
        <v/>
      </c>
      <c r="BO62" s="1044" t="str">
        <f t="shared" si="64"/>
        <v/>
      </c>
      <c r="BP62" s="1044" t="str">
        <f t="shared" si="65"/>
        <v/>
      </c>
      <c r="BQ62" s="1044" t="str">
        <f t="shared" si="66"/>
        <v/>
      </c>
      <c r="BR62" s="1044" t="str">
        <f t="shared" si="67"/>
        <v/>
      </c>
      <c r="BS62" s="1044" t="str">
        <f t="shared" si="68"/>
        <v/>
      </c>
      <c r="BT62" s="1044" t="str">
        <f t="shared" si="69"/>
        <v/>
      </c>
      <c r="BU62" s="1044" t="str">
        <f t="shared" si="70"/>
        <v/>
      </c>
    </row>
    <row r="63" spans="1:73" ht="30" customHeight="1">
      <c r="A63" s="1069" t="str">
        <f t="shared" si="0"/>
        <v/>
      </c>
      <c r="B63" s="1063"/>
      <c r="C63" s="1064" t="s">
        <v>254</v>
      </c>
      <c r="D63" s="1070" t="str">
        <f t="shared" si="1"/>
        <v/>
      </c>
      <c r="E63" s="1071" t="str">
        <f t="shared" si="2"/>
        <v/>
      </c>
      <c r="F63" s="1067" t="str">
        <f t="shared" si="3"/>
        <v/>
      </c>
      <c r="G63" s="1068" t="str">
        <f t="shared" si="4"/>
        <v/>
      </c>
      <c r="H63" s="1069" t="str">
        <f t="shared" si="5"/>
        <v/>
      </c>
      <c r="I63" s="1069" t="str">
        <f t="shared" si="6"/>
        <v/>
      </c>
      <c r="J63" s="1067" t="str">
        <f t="shared" si="7"/>
        <v/>
      </c>
      <c r="K63" s="1044" t="str">
        <f t="shared" si="8"/>
        <v/>
      </c>
      <c r="L63" s="1044" t="str">
        <f t="shared" si="9"/>
        <v/>
      </c>
      <c r="M63" s="1044" t="str">
        <f t="shared" si="10"/>
        <v/>
      </c>
      <c r="N63" s="1044" t="str">
        <f t="shared" si="11"/>
        <v/>
      </c>
      <c r="O63" s="1044" t="str">
        <f t="shared" si="12"/>
        <v/>
      </c>
      <c r="P63" s="1044" t="str">
        <f t="shared" si="13"/>
        <v/>
      </c>
      <c r="Q63" s="1044">
        <f t="shared" si="14"/>
        <v>0</v>
      </c>
      <c r="R63" s="1044">
        <f t="shared" si="15"/>
        <v>0</v>
      </c>
      <c r="S63" s="1044">
        <f t="shared" si="16"/>
        <v>0</v>
      </c>
      <c r="T63" s="1044">
        <f t="shared" si="17"/>
        <v>0</v>
      </c>
      <c r="U63" s="1044" t="str">
        <f t="shared" si="18"/>
        <v/>
      </c>
      <c r="V63" s="1044" t="str">
        <f t="shared" si="19"/>
        <v/>
      </c>
      <c r="W63" s="1044">
        <f t="shared" si="20"/>
        <v>0</v>
      </c>
      <c r="X63" s="1044" t="str">
        <f t="shared" si="21"/>
        <v/>
      </c>
      <c r="Y63" s="1044">
        <f t="shared" si="22"/>
        <v>0</v>
      </c>
      <c r="Z63" s="1044" t="str">
        <f t="shared" si="23"/>
        <v/>
      </c>
      <c r="AA63" s="1044">
        <f t="shared" si="24"/>
        <v>0</v>
      </c>
      <c r="AB63" s="1044">
        <f t="shared" si="25"/>
        <v>0</v>
      </c>
      <c r="AC63" s="1044">
        <f t="shared" si="26"/>
        <v>0</v>
      </c>
      <c r="AD63" s="1044" t="str">
        <f t="shared" si="27"/>
        <v/>
      </c>
      <c r="AE63" s="1044">
        <f t="shared" si="28"/>
        <v>0</v>
      </c>
      <c r="AF63" s="1044" t="str">
        <f t="shared" si="29"/>
        <v/>
      </c>
      <c r="AG63" s="1044">
        <f t="shared" si="30"/>
        <v>0</v>
      </c>
      <c r="AH63" s="1044">
        <f t="shared" si="31"/>
        <v>0</v>
      </c>
      <c r="AI63" s="1044" t="str">
        <f t="shared" si="32"/>
        <v/>
      </c>
      <c r="AJ63" s="1044">
        <f t="shared" si="33"/>
        <v>0</v>
      </c>
      <c r="AK63" s="1044">
        <f t="shared" si="34"/>
        <v>0</v>
      </c>
      <c r="AL63" s="1044">
        <f t="shared" si="35"/>
        <v>0</v>
      </c>
      <c r="AM63" s="1044">
        <f t="shared" si="36"/>
        <v>0</v>
      </c>
      <c r="AN63" s="1044" t="str">
        <f t="shared" si="37"/>
        <v/>
      </c>
      <c r="AO63" s="1044" t="str">
        <f t="shared" si="38"/>
        <v/>
      </c>
      <c r="AP63" s="1044">
        <f t="shared" si="39"/>
        <v>0</v>
      </c>
      <c r="AQ63" s="1044">
        <f t="shared" si="40"/>
        <v>0</v>
      </c>
      <c r="AR63" s="1044" t="str">
        <f t="shared" si="41"/>
        <v/>
      </c>
      <c r="AS63" s="1044">
        <f t="shared" si="42"/>
        <v>0</v>
      </c>
      <c r="AT63" s="1044" t="str">
        <f t="shared" si="43"/>
        <v/>
      </c>
      <c r="AU63" s="1044">
        <f t="shared" si="44"/>
        <v>0</v>
      </c>
      <c r="AV63" s="1044" t="str">
        <f t="shared" si="45"/>
        <v/>
      </c>
      <c r="AW63" s="1044">
        <f t="shared" si="46"/>
        <v>0</v>
      </c>
      <c r="AX63" s="1044" t="str">
        <f t="shared" si="47"/>
        <v/>
      </c>
      <c r="AY63" s="1044">
        <f t="shared" si="48"/>
        <v>0</v>
      </c>
      <c r="AZ63" s="1044" t="str">
        <f t="shared" si="49"/>
        <v/>
      </c>
      <c r="BA63" s="1044">
        <f t="shared" si="50"/>
        <v>0</v>
      </c>
      <c r="BB63" s="1044" t="str">
        <f t="shared" si="51"/>
        <v/>
      </c>
      <c r="BC63" s="1044">
        <f t="shared" si="52"/>
        <v>0</v>
      </c>
      <c r="BD63" s="1044">
        <f t="shared" si="53"/>
        <v>0</v>
      </c>
      <c r="BE63" s="1044" t="str">
        <f t="shared" si="54"/>
        <v/>
      </c>
      <c r="BF63" s="1044" t="str">
        <f t="shared" si="55"/>
        <v/>
      </c>
      <c r="BG63" s="1044" t="str">
        <f t="shared" si="56"/>
        <v/>
      </c>
      <c r="BH63" s="1044" t="str">
        <f t="shared" si="57"/>
        <v/>
      </c>
      <c r="BI63" s="1044" t="str">
        <f t="shared" si="58"/>
        <v/>
      </c>
      <c r="BJ63" s="1044" t="str">
        <f t="shared" si="59"/>
        <v/>
      </c>
      <c r="BK63" s="1044" t="str">
        <f t="shared" si="60"/>
        <v/>
      </c>
      <c r="BL63" s="1044" t="str">
        <f t="shared" si="61"/>
        <v/>
      </c>
      <c r="BM63" s="1044" t="str">
        <f t="shared" si="62"/>
        <v/>
      </c>
      <c r="BN63" s="1044" t="str">
        <f t="shared" si="63"/>
        <v/>
      </c>
      <c r="BO63" s="1044" t="str">
        <f t="shared" si="64"/>
        <v/>
      </c>
      <c r="BP63" s="1044" t="str">
        <f t="shared" si="65"/>
        <v/>
      </c>
      <c r="BQ63" s="1044" t="str">
        <f t="shared" si="66"/>
        <v/>
      </c>
      <c r="BR63" s="1044" t="str">
        <f t="shared" si="67"/>
        <v/>
      </c>
      <c r="BS63" s="1044" t="str">
        <f t="shared" si="68"/>
        <v/>
      </c>
      <c r="BT63" s="1044" t="str">
        <f t="shared" si="69"/>
        <v/>
      </c>
      <c r="BU63" s="1044" t="str">
        <f t="shared" si="70"/>
        <v/>
      </c>
    </row>
    <row r="64" spans="1:73" ht="30" customHeight="1">
      <c r="A64" s="1069" t="str">
        <f t="shared" si="0"/>
        <v/>
      </c>
      <c r="B64" s="1063"/>
      <c r="C64" s="1064" t="s">
        <v>254</v>
      </c>
      <c r="D64" s="1070" t="str">
        <f t="shared" si="1"/>
        <v/>
      </c>
      <c r="E64" s="1071" t="str">
        <f t="shared" si="2"/>
        <v/>
      </c>
      <c r="F64" s="1067" t="str">
        <f t="shared" si="3"/>
        <v/>
      </c>
      <c r="G64" s="1068" t="str">
        <f t="shared" si="4"/>
        <v/>
      </c>
      <c r="H64" s="1069" t="str">
        <f t="shared" si="5"/>
        <v/>
      </c>
      <c r="I64" s="1069" t="str">
        <f t="shared" si="6"/>
        <v/>
      </c>
      <c r="J64" s="1067" t="str">
        <f t="shared" si="7"/>
        <v/>
      </c>
      <c r="K64" s="1044" t="str">
        <f t="shared" si="8"/>
        <v/>
      </c>
      <c r="L64" s="1044" t="str">
        <f t="shared" si="9"/>
        <v/>
      </c>
      <c r="M64" s="1044" t="str">
        <f t="shared" si="10"/>
        <v/>
      </c>
      <c r="N64" s="1044" t="str">
        <f t="shared" si="11"/>
        <v/>
      </c>
      <c r="O64" s="1044" t="str">
        <f t="shared" si="12"/>
        <v/>
      </c>
      <c r="P64" s="1044" t="str">
        <f t="shared" si="13"/>
        <v/>
      </c>
      <c r="Q64" s="1044">
        <f t="shared" si="14"/>
        <v>0</v>
      </c>
      <c r="R64" s="1044">
        <f t="shared" si="15"/>
        <v>0</v>
      </c>
      <c r="S64" s="1044">
        <f t="shared" si="16"/>
        <v>0</v>
      </c>
      <c r="T64" s="1044">
        <f t="shared" si="17"/>
        <v>0</v>
      </c>
      <c r="U64" s="1044" t="str">
        <f t="shared" si="18"/>
        <v/>
      </c>
      <c r="V64" s="1044" t="str">
        <f t="shared" si="19"/>
        <v/>
      </c>
      <c r="W64" s="1044">
        <f t="shared" si="20"/>
        <v>0</v>
      </c>
      <c r="X64" s="1044" t="str">
        <f t="shared" si="21"/>
        <v/>
      </c>
      <c r="Y64" s="1044">
        <f t="shared" si="22"/>
        <v>0</v>
      </c>
      <c r="Z64" s="1044" t="str">
        <f t="shared" si="23"/>
        <v/>
      </c>
      <c r="AA64" s="1044">
        <f t="shared" si="24"/>
        <v>0</v>
      </c>
      <c r="AB64" s="1044">
        <f t="shared" si="25"/>
        <v>0</v>
      </c>
      <c r="AC64" s="1044">
        <f t="shared" si="26"/>
        <v>0</v>
      </c>
      <c r="AD64" s="1044" t="str">
        <f t="shared" si="27"/>
        <v/>
      </c>
      <c r="AE64" s="1044">
        <f t="shared" si="28"/>
        <v>0</v>
      </c>
      <c r="AF64" s="1044" t="str">
        <f t="shared" si="29"/>
        <v/>
      </c>
      <c r="AG64" s="1044">
        <f t="shared" si="30"/>
        <v>0</v>
      </c>
      <c r="AH64" s="1044">
        <f t="shared" si="31"/>
        <v>0</v>
      </c>
      <c r="AI64" s="1044" t="str">
        <f t="shared" si="32"/>
        <v/>
      </c>
      <c r="AJ64" s="1044">
        <f t="shared" si="33"/>
        <v>0</v>
      </c>
      <c r="AK64" s="1044">
        <f t="shared" si="34"/>
        <v>0</v>
      </c>
      <c r="AL64" s="1044">
        <f t="shared" si="35"/>
        <v>0</v>
      </c>
      <c r="AM64" s="1044">
        <f t="shared" si="36"/>
        <v>0</v>
      </c>
      <c r="AN64" s="1044" t="str">
        <f t="shared" si="37"/>
        <v/>
      </c>
      <c r="AO64" s="1044" t="str">
        <f t="shared" si="38"/>
        <v/>
      </c>
      <c r="AP64" s="1044">
        <f t="shared" si="39"/>
        <v>0</v>
      </c>
      <c r="AQ64" s="1044">
        <f t="shared" si="40"/>
        <v>0</v>
      </c>
      <c r="AR64" s="1044" t="str">
        <f t="shared" si="41"/>
        <v/>
      </c>
      <c r="AS64" s="1044">
        <f t="shared" si="42"/>
        <v>0</v>
      </c>
      <c r="AT64" s="1044" t="str">
        <f t="shared" si="43"/>
        <v/>
      </c>
      <c r="AU64" s="1044">
        <f t="shared" si="44"/>
        <v>0</v>
      </c>
      <c r="AV64" s="1044" t="str">
        <f t="shared" si="45"/>
        <v/>
      </c>
      <c r="AW64" s="1044">
        <f t="shared" si="46"/>
        <v>0</v>
      </c>
      <c r="AX64" s="1044" t="str">
        <f t="shared" si="47"/>
        <v/>
      </c>
      <c r="AY64" s="1044">
        <f t="shared" si="48"/>
        <v>0</v>
      </c>
      <c r="AZ64" s="1044" t="str">
        <f t="shared" si="49"/>
        <v/>
      </c>
      <c r="BA64" s="1044">
        <f t="shared" si="50"/>
        <v>0</v>
      </c>
      <c r="BB64" s="1044" t="str">
        <f t="shared" si="51"/>
        <v/>
      </c>
      <c r="BC64" s="1044">
        <f t="shared" si="52"/>
        <v>0</v>
      </c>
      <c r="BD64" s="1044">
        <f t="shared" si="53"/>
        <v>0</v>
      </c>
      <c r="BE64" s="1044" t="str">
        <f t="shared" si="54"/>
        <v/>
      </c>
      <c r="BF64" s="1044" t="str">
        <f t="shared" si="55"/>
        <v/>
      </c>
      <c r="BG64" s="1044" t="str">
        <f t="shared" si="56"/>
        <v/>
      </c>
      <c r="BH64" s="1044" t="str">
        <f t="shared" si="57"/>
        <v/>
      </c>
      <c r="BI64" s="1044" t="str">
        <f t="shared" si="58"/>
        <v/>
      </c>
      <c r="BJ64" s="1044" t="str">
        <f t="shared" si="59"/>
        <v/>
      </c>
      <c r="BK64" s="1044" t="str">
        <f t="shared" si="60"/>
        <v/>
      </c>
      <c r="BL64" s="1044" t="str">
        <f t="shared" si="61"/>
        <v/>
      </c>
      <c r="BM64" s="1044" t="str">
        <f t="shared" si="62"/>
        <v/>
      </c>
      <c r="BN64" s="1044" t="str">
        <f t="shared" si="63"/>
        <v/>
      </c>
      <c r="BO64" s="1044" t="str">
        <f t="shared" si="64"/>
        <v/>
      </c>
      <c r="BP64" s="1044" t="str">
        <f t="shared" si="65"/>
        <v/>
      </c>
      <c r="BQ64" s="1044" t="str">
        <f t="shared" si="66"/>
        <v/>
      </c>
      <c r="BR64" s="1044" t="str">
        <f t="shared" si="67"/>
        <v/>
      </c>
      <c r="BS64" s="1044" t="str">
        <f t="shared" si="68"/>
        <v/>
      </c>
      <c r="BT64" s="1044" t="str">
        <f t="shared" si="69"/>
        <v/>
      </c>
      <c r="BU64" s="1044" t="str">
        <f t="shared" si="70"/>
        <v/>
      </c>
    </row>
    <row r="65" spans="1:73" ht="30" customHeight="1">
      <c r="A65" s="1069" t="str">
        <f t="shared" si="0"/>
        <v/>
      </c>
      <c r="B65" s="1063"/>
      <c r="C65" s="1064" t="s">
        <v>254</v>
      </c>
      <c r="D65" s="1070" t="str">
        <f t="shared" si="1"/>
        <v/>
      </c>
      <c r="E65" s="1071" t="str">
        <f t="shared" si="2"/>
        <v/>
      </c>
      <c r="F65" s="1067" t="str">
        <f t="shared" si="3"/>
        <v/>
      </c>
      <c r="G65" s="1068" t="str">
        <f t="shared" si="4"/>
        <v/>
      </c>
      <c r="H65" s="1069" t="str">
        <f t="shared" si="5"/>
        <v/>
      </c>
      <c r="I65" s="1069" t="str">
        <f t="shared" si="6"/>
        <v/>
      </c>
      <c r="J65" s="1067" t="str">
        <f t="shared" si="7"/>
        <v/>
      </c>
      <c r="K65" s="1044" t="str">
        <f t="shared" si="8"/>
        <v/>
      </c>
      <c r="L65" s="1044" t="str">
        <f t="shared" si="9"/>
        <v/>
      </c>
      <c r="M65" s="1044" t="str">
        <f t="shared" si="10"/>
        <v/>
      </c>
      <c r="N65" s="1044" t="str">
        <f t="shared" si="11"/>
        <v/>
      </c>
      <c r="O65" s="1044" t="str">
        <f t="shared" si="12"/>
        <v/>
      </c>
      <c r="P65" s="1044" t="str">
        <f t="shared" si="13"/>
        <v/>
      </c>
      <c r="Q65" s="1044">
        <f t="shared" si="14"/>
        <v>0</v>
      </c>
      <c r="R65" s="1044">
        <f t="shared" si="15"/>
        <v>0</v>
      </c>
      <c r="S65" s="1044">
        <f t="shared" si="16"/>
        <v>0</v>
      </c>
      <c r="T65" s="1044">
        <f t="shared" si="17"/>
        <v>0</v>
      </c>
      <c r="U65" s="1044" t="str">
        <f t="shared" si="18"/>
        <v/>
      </c>
      <c r="V65" s="1044" t="str">
        <f t="shared" si="19"/>
        <v/>
      </c>
      <c r="W65" s="1044">
        <f t="shared" si="20"/>
        <v>0</v>
      </c>
      <c r="X65" s="1044" t="str">
        <f t="shared" si="21"/>
        <v/>
      </c>
      <c r="Y65" s="1044">
        <f t="shared" si="22"/>
        <v>0</v>
      </c>
      <c r="Z65" s="1044" t="str">
        <f t="shared" si="23"/>
        <v/>
      </c>
      <c r="AA65" s="1044">
        <f t="shared" si="24"/>
        <v>0</v>
      </c>
      <c r="AB65" s="1044">
        <f t="shared" si="25"/>
        <v>0</v>
      </c>
      <c r="AC65" s="1044">
        <f t="shared" si="26"/>
        <v>0</v>
      </c>
      <c r="AD65" s="1044" t="str">
        <f t="shared" si="27"/>
        <v/>
      </c>
      <c r="AE65" s="1044">
        <f t="shared" si="28"/>
        <v>0</v>
      </c>
      <c r="AF65" s="1044" t="str">
        <f t="shared" si="29"/>
        <v/>
      </c>
      <c r="AG65" s="1044">
        <f t="shared" si="30"/>
        <v>0</v>
      </c>
      <c r="AH65" s="1044">
        <f t="shared" si="31"/>
        <v>0</v>
      </c>
      <c r="AI65" s="1044" t="str">
        <f t="shared" si="32"/>
        <v/>
      </c>
      <c r="AJ65" s="1044">
        <f t="shared" si="33"/>
        <v>0</v>
      </c>
      <c r="AK65" s="1044">
        <f t="shared" si="34"/>
        <v>0</v>
      </c>
      <c r="AL65" s="1044">
        <f t="shared" si="35"/>
        <v>0</v>
      </c>
      <c r="AM65" s="1044">
        <f t="shared" si="36"/>
        <v>0</v>
      </c>
      <c r="AN65" s="1044" t="str">
        <f t="shared" si="37"/>
        <v/>
      </c>
      <c r="AO65" s="1044" t="str">
        <f t="shared" si="38"/>
        <v/>
      </c>
      <c r="AP65" s="1044">
        <f t="shared" si="39"/>
        <v>0</v>
      </c>
      <c r="AQ65" s="1044">
        <f t="shared" si="40"/>
        <v>0</v>
      </c>
      <c r="AR65" s="1044" t="str">
        <f t="shared" si="41"/>
        <v/>
      </c>
      <c r="AS65" s="1044">
        <f t="shared" si="42"/>
        <v>0</v>
      </c>
      <c r="AT65" s="1044" t="str">
        <f t="shared" si="43"/>
        <v/>
      </c>
      <c r="AU65" s="1044">
        <f t="shared" si="44"/>
        <v>0</v>
      </c>
      <c r="AV65" s="1044" t="str">
        <f t="shared" si="45"/>
        <v/>
      </c>
      <c r="AW65" s="1044">
        <f t="shared" si="46"/>
        <v>0</v>
      </c>
      <c r="AX65" s="1044" t="str">
        <f t="shared" si="47"/>
        <v/>
      </c>
      <c r="AY65" s="1044">
        <f t="shared" si="48"/>
        <v>0</v>
      </c>
      <c r="AZ65" s="1044" t="str">
        <f t="shared" si="49"/>
        <v/>
      </c>
      <c r="BA65" s="1044">
        <f t="shared" si="50"/>
        <v>0</v>
      </c>
      <c r="BB65" s="1044" t="str">
        <f t="shared" si="51"/>
        <v/>
      </c>
      <c r="BC65" s="1044">
        <f t="shared" si="52"/>
        <v>0</v>
      </c>
      <c r="BD65" s="1044">
        <f t="shared" si="53"/>
        <v>0</v>
      </c>
      <c r="BE65" s="1044" t="str">
        <f t="shared" si="54"/>
        <v/>
      </c>
      <c r="BF65" s="1044" t="str">
        <f t="shared" si="55"/>
        <v/>
      </c>
      <c r="BG65" s="1044" t="str">
        <f t="shared" si="56"/>
        <v/>
      </c>
      <c r="BH65" s="1044" t="str">
        <f t="shared" si="57"/>
        <v/>
      </c>
      <c r="BI65" s="1044" t="str">
        <f t="shared" si="58"/>
        <v/>
      </c>
      <c r="BJ65" s="1044" t="str">
        <f t="shared" si="59"/>
        <v/>
      </c>
      <c r="BK65" s="1044" t="str">
        <f t="shared" si="60"/>
        <v/>
      </c>
      <c r="BL65" s="1044" t="str">
        <f t="shared" si="61"/>
        <v/>
      </c>
      <c r="BM65" s="1044" t="str">
        <f t="shared" si="62"/>
        <v/>
      </c>
      <c r="BN65" s="1044" t="str">
        <f t="shared" si="63"/>
        <v/>
      </c>
      <c r="BO65" s="1044" t="str">
        <f t="shared" si="64"/>
        <v/>
      </c>
      <c r="BP65" s="1044" t="str">
        <f t="shared" si="65"/>
        <v/>
      </c>
      <c r="BQ65" s="1044" t="str">
        <f t="shared" si="66"/>
        <v/>
      </c>
      <c r="BR65" s="1044" t="str">
        <f t="shared" si="67"/>
        <v/>
      </c>
      <c r="BS65" s="1044" t="str">
        <f t="shared" si="68"/>
        <v/>
      </c>
      <c r="BT65" s="1044" t="str">
        <f t="shared" si="69"/>
        <v/>
      </c>
      <c r="BU65" s="1044" t="str">
        <f t="shared" si="70"/>
        <v/>
      </c>
    </row>
    <row r="66" spans="1:73" ht="30" customHeight="1">
      <c r="A66" s="1069" t="str">
        <f t="shared" si="0"/>
        <v/>
      </c>
      <c r="B66" s="1063"/>
      <c r="C66" s="1064" t="s">
        <v>254</v>
      </c>
      <c r="D66" s="1070" t="str">
        <f t="shared" si="1"/>
        <v/>
      </c>
      <c r="E66" s="1071" t="str">
        <f t="shared" si="2"/>
        <v/>
      </c>
      <c r="F66" s="1067" t="str">
        <f t="shared" si="3"/>
        <v/>
      </c>
      <c r="G66" s="1068" t="str">
        <f t="shared" si="4"/>
        <v/>
      </c>
      <c r="H66" s="1069" t="str">
        <f t="shared" si="5"/>
        <v/>
      </c>
      <c r="I66" s="1069" t="str">
        <f t="shared" si="6"/>
        <v/>
      </c>
      <c r="J66" s="1067" t="str">
        <f t="shared" si="7"/>
        <v/>
      </c>
      <c r="K66" s="1044" t="str">
        <f t="shared" si="8"/>
        <v/>
      </c>
      <c r="L66" s="1044" t="str">
        <f t="shared" si="9"/>
        <v/>
      </c>
      <c r="M66" s="1044" t="str">
        <f t="shared" si="10"/>
        <v/>
      </c>
      <c r="N66" s="1044" t="str">
        <f t="shared" si="11"/>
        <v/>
      </c>
      <c r="O66" s="1044" t="str">
        <f t="shared" si="12"/>
        <v/>
      </c>
      <c r="P66" s="1044" t="str">
        <f t="shared" si="13"/>
        <v/>
      </c>
      <c r="Q66" s="1044">
        <f t="shared" si="14"/>
        <v>0</v>
      </c>
      <c r="R66" s="1044">
        <f t="shared" si="15"/>
        <v>0</v>
      </c>
      <c r="S66" s="1044">
        <f t="shared" si="16"/>
        <v>0</v>
      </c>
      <c r="T66" s="1044">
        <f t="shared" si="17"/>
        <v>0</v>
      </c>
      <c r="U66" s="1044" t="str">
        <f t="shared" si="18"/>
        <v/>
      </c>
      <c r="V66" s="1044" t="str">
        <f t="shared" si="19"/>
        <v/>
      </c>
      <c r="W66" s="1044">
        <f t="shared" si="20"/>
        <v>0</v>
      </c>
      <c r="X66" s="1044" t="str">
        <f t="shared" si="21"/>
        <v/>
      </c>
      <c r="Y66" s="1044">
        <f t="shared" si="22"/>
        <v>0</v>
      </c>
      <c r="Z66" s="1044" t="str">
        <f t="shared" si="23"/>
        <v/>
      </c>
      <c r="AA66" s="1044">
        <f t="shared" si="24"/>
        <v>0</v>
      </c>
      <c r="AB66" s="1044">
        <f t="shared" si="25"/>
        <v>0</v>
      </c>
      <c r="AC66" s="1044">
        <f t="shared" si="26"/>
        <v>0</v>
      </c>
      <c r="AD66" s="1044" t="str">
        <f t="shared" si="27"/>
        <v/>
      </c>
      <c r="AE66" s="1044">
        <f t="shared" si="28"/>
        <v>0</v>
      </c>
      <c r="AF66" s="1044" t="str">
        <f t="shared" si="29"/>
        <v/>
      </c>
      <c r="AG66" s="1044">
        <f t="shared" si="30"/>
        <v>0</v>
      </c>
      <c r="AH66" s="1044">
        <f t="shared" si="31"/>
        <v>0</v>
      </c>
      <c r="AI66" s="1044" t="str">
        <f t="shared" si="32"/>
        <v/>
      </c>
      <c r="AJ66" s="1044">
        <f t="shared" si="33"/>
        <v>0</v>
      </c>
      <c r="AK66" s="1044">
        <f t="shared" si="34"/>
        <v>0</v>
      </c>
      <c r="AL66" s="1044">
        <f t="shared" si="35"/>
        <v>0</v>
      </c>
      <c r="AM66" s="1044">
        <f t="shared" si="36"/>
        <v>0</v>
      </c>
      <c r="AN66" s="1044" t="str">
        <f t="shared" si="37"/>
        <v/>
      </c>
      <c r="AO66" s="1044" t="str">
        <f t="shared" si="38"/>
        <v/>
      </c>
      <c r="AP66" s="1044">
        <f t="shared" si="39"/>
        <v>0</v>
      </c>
      <c r="AQ66" s="1044">
        <f t="shared" si="40"/>
        <v>0</v>
      </c>
      <c r="AR66" s="1044" t="str">
        <f t="shared" si="41"/>
        <v/>
      </c>
      <c r="AS66" s="1044">
        <f t="shared" si="42"/>
        <v>0</v>
      </c>
      <c r="AT66" s="1044" t="str">
        <f t="shared" si="43"/>
        <v/>
      </c>
      <c r="AU66" s="1044">
        <f t="shared" si="44"/>
        <v>0</v>
      </c>
      <c r="AV66" s="1044" t="str">
        <f t="shared" si="45"/>
        <v/>
      </c>
      <c r="AW66" s="1044">
        <f t="shared" si="46"/>
        <v>0</v>
      </c>
      <c r="AX66" s="1044" t="str">
        <f t="shared" si="47"/>
        <v/>
      </c>
      <c r="AY66" s="1044">
        <f t="shared" si="48"/>
        <v>0</v>
      </c>
      <c r="AZ66" s="1044" t="str">
        <f t="shared" si="49"/>
        <v/>
      </c>
      <c r="BA66" s="1044">
        <f t="shared" si="50"/>
        <v>0</v>
      </c>
      <c r="BB66" s="1044" t="str">
        <f t="shared" si="51"/>
        <v/>
      </c>
      <c r="BC66" s="1044">
        <f t="shared" si="52"/>
        <v>0</v>
      </c>
      <c r="BD66" s="1044">
        <f t="shared" si="53"/>
        <v>0</v>
      </c>
      <c r="BE66" s="1044" t="str">
        <f t="shared" si="54"/>
        <v/>
      </c>
      <c r="BF66" s="1044" t="str">
        <f t="shared" si="55"/>
        <v/>
      </c>
      <c r="BG66" s="1044" t="str">
        <f t="shared" si="56"/>
        <v/>
      </c>
      <c r="BH66" s="1044" t="str">
        <f t="shared" si="57"/>
        <v/>
      </c>
      <c r="BI66" s="1044" t="str">
        <f t="shared" si="58"/>
        <v/>
      </c>
      <c r="BJ66" s="1044" t="str">
        <f t="shared" si="59"/>
        <v/>
      </c>
      <c r="BK66" s="1044" t="str">
        <f t="shared" si="60"/>
        <v/>
      </c>
      <c r="BL66" s="1044" t="str">
        <f t="shared" si="61"/>
        <v/>
      </c>
      <c r="BM66" s="1044" t="str">
        <f t="shared" si="62"/>
        <v/>
      </c>
      <c r="BN66" s="1044" t="str">
        <f t="shared" si="63"/>
        <v/>
      </c>
      <c r="BO66" s="1044" t="str">
        <f t="shared" si="64"/>
        <v/>
      </c>
      <c r="BP66" s="1044" t="str">
        <f t="shared" si="65"/>
        <v/>
      </c>
      <c r="BQ66" s="1044" t="str">
        <f t="shared" si="66"/>
        <v/>
      </c>
      <c r="BR66" s="1044" t="str">
        <f t="shared" si="67"/>
        <v/>
      </c>
      <c r="BS66" s="1044" t="str">
        <f t="shared" si="68"/>
        <v/>
      </c>
      <c r="BT66" s="1044" t="str">
        <f t="shared" si="69"/>
        <v/>
      </c>
      <c r="BU66" s="1044" t="str">
        <f t="shared" si="70"/>
        <v/>
      </c>
    </row>
    <row r="67" spans="1:73" ht="30" customHeight="1">
      <c r="A67" s="1069" t="str">
        <f t="shared" si="0"/>
        <v/>
      </c>
      <c r="B67" s="1063"/>
      <c r="C67" s="1064" t="s">
        <v>254</v>
      </c>
      <c r="D67" s="1070" t="str">
        <f t="shared" si="1"/>
        <v/>
      </c>
      <c r="E67" s="1071" t="str">
        <f t="shared" si="2"/>
        <v/>
      </c>
      <c r="F67" s="1067" t="str">
        <f t="shared" si="3"/>
        <v/>
      </c>
      <c r="G67" s="1068" t="str">
        <f t="shared" si="4"/>
        <v/>
      </c>
      <c r="H67" s="1069" t="str">
        <f t="shared" si="5"/>
        <v/>
      </c>
      <c r="I67" s="1069" t="str">
        <f t="shared" si="6"/>
        <v/>
      </c>
      <c r="J67" s="1067" t="str">
        <f t="shared" si="7"/>
        <v/>
      </c>
      <c r="K67" s="1044" t="str">
        <f t="shared" si="8"/>
        <v/>
      </c>
      <c r="L67" s="1044" t="str">
        <f t="shared" si="9"/>
        <v/>
      </c>
      <c r="M67" s="1044" t="str">
        <f t="shared" si="10"/>
        <v/>
      </c>
      <c r="N67" s="1044" t="str">
        <f t="shared" si="11"/>
        <v/>
      </c>
      <c r="O67" s="1044" t="str">
        <f t="shared" si="12"/>
        <v/>
      </c>
      <c r="P67" s="1044" t="str">
        <f t="shared" si="13"/>
        <v/>
      </c>
      <c r="Q67" s="1044">
        <f t="shared" si="14"/>
        <v>0</v>
      </c>
      <c r="R67" s="1044">
        <f t="shared" si="15"/>
        <v>0</v>
      </c>
      <c r="S67" s="1044">
        <f t="shared" si="16"/>
        <v>0</v>
      </c>
      <c r="T67" s="1044">
        <f t="shared" si="17"/>
        <v>0</v>
      </c>
      <c r="U67" s="1044" t="str">
        <f t="shared" si="18"/>
        <v/>
      </c>
      <c r="V67" s="1044" t="str">
        <f t="shared" si="19"/>
        <v/>
      </c>
      <c r="W67" s="1044">
        <f t="shared" si="20"/>
        <v>0</v>
      </c>
      <c r="X67" s="1044" t="str">
        <f t="shared" si="21"/>
        <v/>
      </c>
      <c r="Y67" s="1044">
        <f t="shared" si="22"/>
        <v>0</v>
      </c>
      <c r="Z67" s="1044" t="str">
        <f t="shared" si="23"/>
        <v/>
      </c>
      <c r="AA67" s="1044">
        <f t="shared" si="24"/>
        <v>0</v>
      </c>
      <c r="AB67" s="1044">
        <f t="shared" si="25"/>
        <v>0</v>
      </c>
      <c r="AC67" s="1044">
        <f t="shared" si="26"/>
        <v>0</v>
      </c>
      <c r="AD67" s="1044" t="str">
        <f t="shared" si="27"/>
        <v/>
      </c>
      <c r="AE67" s="1044">
        <f t="shared" si="28"/>
        <v>0</v>
      </c>
      <c r="AF67" s="1044" t="str">
        <f t="shared" si="29"/>
        <v/>
      </c>
      <c r="AG67" s="1044">
        <f t="shared" si="30"/>
        <v>0</v>
      </c>
      <c r="AH67" s="1044">
        <f t="shared" si="31"/>
        <v>0</v>
      </c>
      <c r="AI67" s="1044" t="str">
        <f t="shared" si="32"/>
        <v/>
      </c>
      <c r="AJ67" s="1044">
        <f t="shared" si="33"/>
        <v>0</v>
      </c>
      <c r="AK67" s="1044">
        <f t="shared" si="34"/>
        <v>0</v>
      </c>
      <c r="AL67" s="1044">
        <f t="shared" si="35"/>
        <v>0</v>
      </c>
      <c r="AM67" s="1044">
        <f t="shared" si="36"/>
        <v>0</v>
      </c>
      <c r="AN67" s="1044" t="str">
        <f t="shared" si="37"/>
        <v/>
      </c>
      <c r="AO67" s="1044" t="str">
        <f t="shared" si="38"/>
        <v/>
      </c>
      <c r="AP67" s="1044">
        <f t="shared" si="39"/>
        <v>0</v>
      </c>
      <c r="AQ67" s="1044">
        <f t="shared" si="40"/>
        <v>0</v>
      </c>
      <c r="AR67" s="1044" t="str">
        <f t="shared" si="41"/>
        <v/>
      </c>
      <c r="AS67" s="1044">
        <f t="shared" si="42"/>
        <v>0</v>
      </c>
      <c r="AT67" s="1044" t="str">
        <f t="shared" si="43"/>
        <v/>
      </c>
      <c r="AU67" s="1044">
        <f t="shared" si="44"/>
        <v>0</v>
      </c>
      <c r="AV67" s="1044" t="str">
        <f t="shared" si="45"/>
        <v/>
      </c>
      <c r="AW67" s="1044">
        <f t="shared" si="46"/>
        <v>0</v>
      </c>
      <c r="AX67" s="1044" t="str">
        <f t="shared" si="47"/>
        <v/>
      </c>
      <c r="AY67" s="1044">
        <f t="shared" si="48"/>
        <v>0</v>
      </c>
      <c r="AZ67" s="1044" t="str">
        <f t="shared" si="49"/>
        <v/>
      </c>
      <c r="BA67" s="1044">
        <f t="shared" si="50"/>
        <v>0</v>
      </c>
      <c r="BB67" s="1044" t="str">
        <f t="shared" si="51"/>
        <v/>
      </c>
      <c r="BC67" s="1044">
        <f t="shared" si="52"/>
        <v>0</v>
      </c>
      <c r="BD67" s="1044">
        <f t="shared" si="53"/>
        <v>0</v>
      </c>
      <c r="BE67" s="1044" t="str">
        <f t="shared" si="54"/>
        <v/>
      </c>
      <c r="BF67" s="1044" t="str">
        <f t="shared" si="55"/>
        <v/>
      </c>
      <c r="BG67" s="1044" t="str">
        <f t="shared" si="56"/>
        <v/>
      </c>
      <c r="BH67" s="1044" t="str">
        <f t="shared" si="57"/>
        <v/>
      </c>
      <c r="BI67" s="1044" t="str">
        <f t="shared" si="58"/>
        <v/>
      </c>
      <c r="BJ67" s="1044" t="str">
        <f t="shared" si="59"/>
        <v/>
      </c>
      <c r="BK67" s="1044" t="str">
        <f t="shared" si="60"/>
        <v/>
      </c>
      <c r="BL67" s="1044" t="str">
        <f t="shared" si="61"/>
        <v/>
      </c>
      <c r="BM67" s="1044" t="str">
        <f t="shared" si="62"/>
        <v/>
      </c>
      <c r="BN67" s="1044" t="str">
        <f t="shared" si="63"/>
        <v/>
      </c>
      <c r="BO67" s="1044" t="str">
        <f t="shared" si="64"/>
        <v/>
      </c>
      <c r="BP67" s="1044" t="str">
        <f t="shared" si="65"/>
        <v/>
      </c>
      <c r="BQ67" s="1044" t="str">
        <f t="shared" si="66"/>
        <v/>
      </c>
      <c r="BR67" s="1044" t="str">
        <f t="shared" si="67"/>
        <v/>
      </c>
      <c r="BS67" s="1044" t="str">
        <f t="shared" si="68"/>
        <v/>
      </c>
      <c r="BT67" s="1044" t="str">
        <f t="shared" si="69"/>
        <v/>
      </c>
      <c r="BU67" s="1044" t="str">
        <f t="shared" si="70"/>
        <v/>
      </c>
    </row>
    <row r="68" spans="1:73" ht="30" customHeight="1">
      <c r="A68" s="1069" t="str">
        <f t="shared" si="0"/>
        <v/>
      </c>
      <c r="B68" s="1063"/>
      <c r="C68" s="1064" t="s">
        <v>254</v>
      </c>
      <c r="D68" s="1070" t="str">
        <f t="shared" si="1"/>
        <v/>
      </c>
      <c r="E68" s="1071" t="str">
        <f t="shared" si="2"/>
        <v/>
      </c>
      <c r="F68" s="1067" t="str">
        <f t="shared" si="3"/>
        <v/>
      </c>
      <c r="G68" s="1068" t="str">
        <f t="shared" si="4"/>
        <v/>
      </c>
      <c r="H68" s="1069" t="str">
        <f t="shared" si="5"/>
        <v/>
      </c>
      <c r="I68" s="1069" t="str">
        <f t="shared" si="6"/>
        <v/>
      </c>
      <c r="J68" s="1067" t="str">
        <f t="shared" si="7"/>
        <v/>
      </c>
      <c r="K68" s="1044" t="str">
        <f t="shared" si="8"/>
        <v/>
      </c>
      <c r="L68" s="1044" t="str">
        <f t="shared" si="9"/>
        <v/>
      </c>
      <c r="M68" s="1044" t="str">
        <f t="shared" si="10"/>
        <v/>
      </c>
      <c r="N68" s="1044" t="str">
        <f t="shared" si="11"/>
        <v/>
      </c>
      <c r="O68" s="1044" t="str">
        <f t="shared" si="12"/>
        <v/>
      </c>
      <c r="P68" s="1044" t="str">
        <f t="shared" si="13"/>
        <v/>
      </c>
      <c r="Q68" s="1044">
        <f t="shared" si="14"/>
        <v>0</v>
      </c>
      <c r="R68" s="1044">
        <f t="shared" si="15"/>
        <v>0</v>
      </c>
      <c r="S68" s="1044">
        <f t="shared" si="16"/>
        <v>0</v>
      </c>
      <c r="T68" s="1044">
        <f t="shared" si="17"/>
        <v>0</v>
      </c>
      <c r="U68" s="1044" t="str">
        <f t="shared" si="18"/>
        <v/>
      </c>
      <c r="V68" s="1044" t="str">
        <f t="shared" si="19"/>
        <v/>
      </c>
      <c r="W68" s="1044">
        <f t="shared" si="20"/>
        <v>0</v>
      </c>
      <c r="X68" s="1044" t="str">
        <f t="shared" si="21"/>
        <v/>
      </c>
      <c r="Y68" s="1044">
        <f t="shared" si="22"/>
        <v>0</v>
      </c>
      <c r="Z68" s="1044" t="str">
        <f t="shared" si="23"/>
        <v/>
      </c>
      <c r="AA68" s="1044">
        <f t="shared" si="24"/>
        <v>0</v>
      </c>
      <c r="AB68" s="1044">
        <f t="shared" si="25"/>
        <v>0</v>
      </c>
      <c r="AC68" s="1044">
        <f t="shared" si="26"/>
        <v>0</v>
      </c>
      <c r="AD68" s="1044" t="str">
        <f t="shared" si="27"/>
        <v/>
      </c>
      <c r="AE68" s="1044">
        <f t="shared" si="28"/>
        <v>0</v>
      </c>
      <c r="AF68" s="1044" t="str">
        <f t="shared" si="29"/>
        <v/>
      </c>
      <c r="AG68" s="1044">
        <f t="shared" si="30"/>
        <v>0</v>
      </c>
      <c r="AH68" s="1044">
        <f t="shared" si="31"/>
        <v>0</v>
      </c>
      <c r="AI68" s="1044" t="str">
        <f t="shared" si="32"/>
        <v/>
      </c>
      <c r="AJ68" s="1044">
        <f t="shared" si="33"/>
        <v>0</v>
      </c>
      <c r="AK68" s="1044">
        <f t="shared" si="34"/>
        <v>0</v>
      </c>
      <c r="AL68" s="1044">
        <f t="shared" si="35"/>
        <v>0</v>
      </c>
      <c r="AM68" s="1044">
        <f t="shared" si="36"/>
        <v>0</v>
      </c>
      <c r="AN68" s="1044" t="str">
        <f t="shared" si="37"/>
        <v/>
      </c>
      <c r="AO68" s="1044" t="str">
        <f t="shared" si="38"/>
        <v/>
      </c>
      <c r="AP68" s="1044">
        <f t="shared" si="39"/>
        <v>0</v>
      </c>
      <c r="AQ68" s="1044">
        <f t="shared" si="40"/>
        <v>0</v>
      </c>
      <c r="AR68" s="1044" t="str">
        <f t="shared" si="41"/>
        <v/>
      </c>
      <c r="AS68" s="1044">
        <f t="shared" si="42"/>
        <v>0</v>
      </c>
      <c r="AT68" s="1044" t="str">
        <f t="shared" si="43"/>
        <v/>
      </c>
      <c r="AU68" s="1044">
        <f t="shared" si="44"/>
        <v>0</v>
      </c>
      <c r="AV68" s="1044" t="str">
        <f t="shared" si="45"/>
        <v/>
      </c>
      <c r="AW68" s="1044">
        <f t="shared" si="46"/>
        <v>0</v>
      </c>
      <c r="AX68" s="1044" t="str">
        <f t="shared" si="47"/>
        <v/>
      </c>
      <c r="AY68" s="1044">
        <f t="shared" si="48"/>
        <v>0</v>
      </c>
      <c r="AZ68" s="1044" t="str">
        <f t="shared" si="49"/>
        <v/>
      </c>
      <c r="BA68" s="1044">
        <f t="shared" si="50"/>
        <v>0</v>
      </c>
      <c r="BB68" s="1044" t="str">
        <f t="shared" si="51"/>
        <v/>
      </c>
      <c r="BC68" s="1044">
        <f t="shared" si="52"/>
        <v>0</v>
      </c>
      <c r="BD68" s="1044">
        <f t="shared" si="53"/>
        <v>0</v>
      </c>
      <c r="BE68" s="1044" t="str">
        <f t="shared" si="54"/>
        <v/>
      </c>
      <c r="BF68" s="1044" t="str">
        <f t="shared" si="55"/>
        <v/>
      </c>
      <c r="BG68" s="1044" t="str">
        <f t="shared" si="56"/>
        <v/>
      </c>
      <c r="BH68" s="1044" t="str">
        <f t="shared" si="57"/>
        <v/>
      </c>
      <c r="BI68" s="1044" t="str">
        <f t="shared" si="58"/>
        <v/>
      </c>
      <c r="BJ68" s="1044" t="str">
        <f t="shared" si="59"/>
        <v/>
      </c>
      <c r="BK68" s="1044" t="str">
        <f t="shared" si="60"/>
        <v/>
      </c>
      <c r="BL68" s="1044" t="str">
        <f t="shared" si="61"/>
        <v/>
      </c>
      <c r="BM68" s="1044" t="str">
        <f t="shared" si="62"/>
        <v/>
      </c>
      <c r="BN68" s="1044" t="str">
        <f t="shared" si="63"/>
        <v/>
      </c>
      <c r="BO68" s="1044" t="str">
        <f t="shared" si="64"/>
        <v/>
      </c>
      <c r="BP68" s="1044" t="str">
        <f t="shared" si="65"/>
        <v/>
      </c>
      <c r="BQ68" s="1044" t="str">
        <f t="shared" si="66"/>
        <v/>
      </c>
      <c r="BR68" s="1044" t="str">
        <f t="shared" si="67"/>
        <v/>
      </c>
      <c r="BS68" s="1044" t="str">
        <f t="shared" si="68"/>
        <v/>
      </c>
      <c r="BT68" s="1044" t="str">
        <f t="shared" si="69"/>
        <v/>
      </c>
      <c r="BU68" s="1044" t="str">
        <f t="shared" si="70"/>
        <v/>
      </c>
    </row>
    <row r="69" spans="1:73" ht="30" customHeight="1">
      <c r="A69" s="1069" t="str">
        <f t="shared" si="0"/>
        <v/>
      </c>
      <c r="B69" s="1063"/>
      <c r="C69" s="1064" t="s">
        <v>254</v>
      </c>
      <c r="D69" s="1070" t="str">
        <f t="shared" si="1"/>
        <v/>
      </c>
      <c r="E69" s="1071" t="str">
        <f t="shared" si="2"/>
        <v/>
      </c>
      <c r="F69" s="1067" t="str">
        <f t="shared" si="3"/>
        <v/>
      </c>
      <c r="G69" s="1068" t="str">
        <f t="shared" si="4"/>
        <v/>
      </c>
      <c r="H69" s="1069" t="str">
        <f t="shared" si="5"/>
        <v/>
      </c>
      <c r="I69" s="1069" t="str">
        <f t="shared" si="6"/>
        <v/>
      </c>
      <c r="J69" s="1067" t="str">
        <f t="shared" si="7"/>
        <v/>
      </c>
      <c r="K69" s="1044" t="str">
        <f t="shared" si="8"/>
        <v/>
      </c>
      <c r="L69" s="1044" t="str">
        <f t="shared" si="9"/>
        <v/>
      </c>
      <c r="M69" s="1044" t="str">
        <f t="shared" si="10"/>
        <v/>
      </c>
      <c r="N69" s="1044" t="str">
        <f t="shared" si="11"/>
        <v/>
      </c>
      <c r="O69" s="1044" t="str">
        <f t="shared" si="12"/>
        <v/>
      </c>
      <c r="P69" s="1044" t="str">
        <f t="shared" si="13"/>
        <v/>
      </c>
      <c r="Q69" s="1044">
        <f t="shared" si="14"/>
        <v>0</v>
      </c>
      <c r="R69" s="1044">
        <f t="shared" si="15"/>
        <v>0</v>
      </c>
      <c r="S69" s="1044">
        <f t="shared" si="16"/>
        <v>0</v>
      </c>
      <c r="T69" s="1044">
        <f t="shared" si="17"/>
        <v>0</v>
      </c>
      <c r="U69" s="1044" t="str">
        <f t="shared" si="18"/>
        <v/>
      </c>
      <c r="V69" s="1044" t="str">
        <f t="shared" si="19"/>
        <v/>
      </c>
      <c r="W69" s="1044">
        <f t="shared" si="20"/>
        <v>0</v>
      </c>
      <c r="X69" s="1044" t="str">
        <f t="shared" si="21"/>
        <v/>
      </c>
      <c r="Y69" s="1044">
        <f t="shared" si="22"/>
        <v>0</v>
      </c>
      <c r="Z69" s="1044" t="str">
        <f t="shared" si="23"/>
        <v/>
      </c>
      <c r="AA69" s="1044">
        <f t="shared" si="24"/>
        <v>0</v>
      </c>
      <c r="AB69" s="1044">
        <f t="shared" si="25"/>
        <v>0</v>
      </c>
      <c r="AC69" s="1044">
        <f t="shared" si="26"/>
        <v>0</v>
      </c>
      <c r="AD69" s="1044" t="str">
        <f t="shared" si="27"/>
        <v/>
      </c>
      <c r="AE69" s="1044">
        <f t="shared" si="28"/>
        <v>0</v>
      </c>
      <c r="AF69" s="1044" t="str">
        <f t="shared" si="29"/>
        <v/>
      </c>
      <c r="AG69" s="1044">
        <f t="shared" si="30"/>
        <v>0</v>
      </c>
      <c r="AH69" s="1044">
        <f t="shared" si="31"/>
        <v>0</v>
      </c>
      <c r="AI69" s="1044" t="str">
        <f t="shared" si="32"/>
        <v/>
      </c>
      <c r="AJ69" s="1044">
        <f t="shared" si="33"/>
        <v>0</v>
      </c>
      <c r="AK69" s="1044">
        <f t="shared" si="34"/>
        <v>0</v>
      </c>
      <c r="AL69" s="1044">
        <f t="shared" si="35"/>
        <v>0</v>
      </c>
      <c r="AM69" s="1044">
        <f t="shared" si="36"/>
        <v>0</v>
      </c>
      <c r="AN69" s="1044" t="str">
        <f t="shared" si="37"/>
        <v/>
      </c>
      <c r="AO69" s="1044" t="str">
        <f t="shared" si="38"/>
        <v/>
      </c>
      <c r="AP69" s="1044">
        <f t="shared" si="39"/>
        <v>0</v>
      </c>
      <c r="AQ69" s="1044">
        <f t="shared" si="40"/>
        <v>0</v>
      </c>
      <c r="AR69" s="1044" t="str">
        <f t="shared" si="41"/>
        <v/>
      </c>
      <c r="AS69" s="1044">
        <f t="shared" si="42"/>
        <v>0</v>
      </c>
      <c r="AT69" s="1044" t="str">
        <f t="shared" si="43"/>
        <v/>
      </c>
      <c r="AU69" s="1044">
        <f t="shared" si="44"/>
        <v>0</v>
      </c>
      <c r="AV69" s="1044" t="str">
        <f t="shared" si="45"/>
        <v/>
      </c>
      <c r="AW69" s="1044">
        <f t="shared" si="46"/>
        <v>0</v>
      </c>
      <c r="AX69" s="1044" t="str">
        <f t="shared" si="47"/>
        <v/>
      </c>
      <c r="AY69" s="1044">
        <f t="shared" si="48"/>
        <v>0</v>
      </c>
      <c r="AZ69" s="1044" t="str">
        <f t="shared" si="49"/>
        <v/>
      </c>
      <c r="BA69" s="1044">
        <f t="shared" si="50"/>
        <v>0</v>
      </c>
      <c r="BB69" s="1044" t="str">
        <f t="shared" si="51"/>
        <v/>
      </c>
      <c r="BC69" s="1044">
        <f t="shared" si="52"/>
        <v>0</v>
      </c>
      <c r="BD69" s="1044">
        <f t="shared" si="53"/>
        <v>0</v>
      </c>
      <c r="BE69" s="1044" t="str">
        <f t="shared" si="54"/>
        <v/>
      </c>
      <c r="BF69" s="1044" t="str">
        <f t="shared" si="55"/>
        <v/>
      </c>
      <c r="BG69" s="1044" t="str">
        <f t="shared" si="56"/>
        <v/>
      </c>
      <c r="BH69" s="1044" t="str">
        <f t="shared" si="57"/>
        <v/>
      </c>
      <c r="BI69" s="1044" t="str">
        <f t="shared" si="58"/>
        <v/>
      </c>
      <c r="BJ69" s="1044" t="str">
        <f t="shared" si="59"/>
        <v/>
      </c>
      <c r="BK69" s="1044" t="str">
        <f t="shared" si="60"/>
        <v/>
      </c>
      <c r="BL69" s="1044" t="str">
        <f t="shared" si="61"/>
        <v/>
      </c>
      <c r="BM69" s="1044" t="str">
        <f t="shared" si="62"/>
        <v/>
      </c>
      <c r="BN69" s="1044" t="str">
        <f t="shared" si="63"/>
        <v/>
      </c>
      <c r="BO69" s="1044" t="str">
        <f t="shared" si="64"/>
        <v/>
      </c>
      <c r="BP69" s="1044" t="str">
        <f t="shared" si="65"/>
        <v/>
      </c>
      <c r="BQ69" s="1044" t="str">
        <f t="shared" si="66"/>
        <v/>
      </c>
      <c r="BR69" s="1044" t="str">
        <f t="shared" si="67"/>
        <v/>
      </c>
      <c r="BS69" s="1044" t="str">
        <f t="shared" si="68"/>
        <v/>
      </c>
      <c r="BT69" s="1044" t="str">
        <f t="shared" si="69"/>
        <v/>
      </c>
      <c r="BU69" s="1044" t="str">
        <f t="shared" si="70"/>
        <v/>
      </c>
    </row>
    <row r="70" spans="1:73" ht="30" customHeight="1">
      <c r="A70" s="1069" t="str">
        <f t="shared" si="0"/>
        <v/>
      </c>
      <c r="B70" s="1063"/>
      <c r="C70" s="1064" t="s">
        <v>254</v>
      </c>
      <c r="D70" s="1070" t="str">
        <f t="shared" si="1"/>
        <v/>
      </c>
      <c r="E70" s="1071" t="str">
        <f t="shared" si="2"/>
        <v/>
      </c>
      <c r="F70" s="1067" t="str">
        <f t="shared" si="3"/>
        <v/>
      </c>
      <c r="G70" s="1068" t="str">
        <f t="shared" si="4"/>
        <v/>
      </c>
      <c r="H70" s="1069" t="str">
        <f t="shared" si="5"/>
        <v/>
      </c>
      <c r="I70" s="1069" t="str">
        <f t="shared" si="6"/>
        <v/>
      </c>
      <c r="J70" s="1067" t="str">
        <f t="shared" si="7"/>
        <v/>
      </c>
      <c r="K70" s="1044" t="str">
        <f t="shared" si="8"/>
        <v/>
      </c>
      <c r="L70" s="1044" t="str">
        <f t="shared" si="9"/>
        <v/>
      </c>
      <c r="M70" s="1044" t="str">
        <f t="shared" si="10"/>
        <v/>
      </c>
      <c r="N70" s="1044" t="str">
        <f t="shared" si="11"/>
        <v/>
      </c>
      <c r="O70" s="1044" t="str">
        <f t="shared" si="12"/>
        <v/>
      </c>
      <c r="P70" s="1044" t="str">
        <f t="shared" si="13"/>
        <v/>
      </c>
      <c r="Q70" s="1044">
        <f t="shared" si="14"/>
        <v>0</v>
      </c>
      <c r="R70" s="1044">
        <f t="shared" si="15"/>
        <v>0</v>
      </c>
      <c r="S70" s="1044">
        <f t="shared" si="16"/>
        <v>0</v>
      </c>
      <c r="T70" s="1044">
        <f t="shared" si="17"/>
        <v>0</v>
      </c>
      <c r="U70" s="1044" t="str">
        <f t="shared" si="18"/>
        <v/>
      </c>
      <c r="V70" s="1044" t="str">
        <f t="shared" si="19"/>
        <v/>
      </c>
      <c r="W70" s="1044">
        <f t="shared" si="20"/>
        <v>0</v>
      </c>
      <c r="X70" s="1044" t="str">
        <f t="shared" si="21"/>
        <v/>
      </c>
      <c r="Y70" s="1044">
        <f t="shared" si="22"/>
        <v>0</v>
      </c>
      <c r="Z70" s="1044" t="str">
        <f t="shared" si="23"/>
        <v/>
      </c>
      <c r="AA70" s="1044">
        <f t="shared" si="24"/>
        <v>0</v>
      </c>
      <c r="AB70" s="1044">
        <f t="shared" si="25"/>
        <v>0</v>
      </c>
      <c r="AC70" s="1044">
        <f t="shared" si="26"/>
        <v>0</v>
      </c>
      <c r="AD70" s="1044" t="str">
        <f t="shared" si="27"/>
        <v/>
      </c>
      <c r="AE70" s="1044">
        <f t="shared" si="28"/>
        <v>0</v>
      </c>
      <c r="AF70" s="1044" t="str">
        <f t="shared" si="29"/>
        <v/>
      </c>
      <c r="AG70" s="1044">
        <f t="shared" si="30"/>
        <v>0</v>
      </c>
      <c r="AH70" s="1044">
        <f t="shared" si="31"/>
        <v>0</v>
      </c>
      <c r="AI70" s="1044" t="str">
        <f t="shared" si="32"/>
        <v/>
      </c>
      <c r="AJ70" s="1044">
        <f t="shared" si="33"/>
        <v>0</v>
      </c>
      <c r="AK70" s="1044">
        <f t="shared" si="34"/>
        <v>0</v>
      </c>
      <c r="AL70" s="1044">
        <f t="shared" si="35"/>
        <v>0</v>
      </c>
      <c r="AM70" s="1044">
        <f t="shared" si="36"/>
        <v>0</v>
      </c>
      <c r="AN70" s="1044" t="str">
        <f t="shared" si="37"/>
        <v/>
      </c>
      <c r="AO70" s="1044" t="str">
        <f t="shared" si="38"/>
        <v/>
      </c>
      <c r="AP70" s="1044">
        <f t="shared" si="39"/>
        <v>0</v>
      </c>
      <c r="AQ70" s="1044">
        <f t="shared" si="40"/>
        <v>0</v>
      </c>
      <c r="AR70" s="1044" t="str">
        <f t="shared" si="41"/>
        <v/>
      </c>
      <c r="AS70" s="1044">
        <f t="shared" si="42"/>
        <v>0</v>
      </c>
      <c r="AT70" s="1044" t="str">
        <f t="shared" si="43"/>
        <v/>
      </c>
      <c r="AU70" s="1044">
        <f t="shared" si="44"/>
        <v>0</v>
      </c>
      <c r="AV70" s="1044" t="str">
        <f t="shared" si="45"/>
        <v/>
      </c>
      <c r="AW70" s="1044">
        <f t="shared" si="46"/>
        <v>0</v>
      </c>
      <c r="AX70" s="1044" t="str">
        <f t="shared" si="47"/>
        <v/>
      </c>
      <c r="AY70" s="1044">
        <f t="shared" si="48"/>
        <v>0</v>
      </c>
      <c r="AZ70" s="1044" t="str">
        <f t="shared" si="49"/>
        <v/>
      </c>
      <c r="BA70" s="1044">
        <f t="shared" si="50"/>
        <v>0</v>
      </c>
      <c r="BB70" s="1044" t="str">
        <f t="shared" si="51"/>
        <v/>
      </c>
      <c r="BC70" s="1044">
        <f t="shared" si="52"/>
        <v>0</v>
      </c>
      <c r="BD70" s="1044">
        <f t="shared" si="53"/>
        <v>0</v>
      </c>
      <c r="BE70" s="1044" t="str">
        <f t="shared" si="54"/>
        <v/>
      </c>
      <c r="BF70" s="1044" t="str">
        <f t="shared" si="55"/>
        <v/>
      </c>
      <c r="BG70" s="1044" t="str">
        <f t="shared" si="56"/>
        <v/>
      </c>
      <c r="BH70" s="1044" t="str">
        <f t="shared" si="57"/>
        <v/>
      </c>
      <c r="BI70" s="1044" t="str">
        <f t="shared" si="58"/>
        <v/>
      </c>
      <c r="BJ70" s="1044" t="str">
        <f t="shared" si="59"/>
        <v/>
      </c>
      <c r="BK70" s="1044" t="str">
        <f t="shared" si="60"/>
        <v/>
      </c>
      <c r="BL70" s="1044" t="str">
        <f t="shared" si="61"/>
        <v/>
      </c>
      <c r="BM70" s="1044" t="str">
        <f t="shared" si="62"/>
        <v/>
      </c>
      <c r="BN70" s="1044" t="str">
        <f t="shared" si="63"/>
        <v/>
      </c>
      <c r="BO70" s="1044" t="str">
        <f t="shared" si="64"/>
        <v/>
      </c>
      <c r="BP70" s="1044" t="str">
        <f t="shared" si="65"/>
        <v/>
      </c>
      <c r="BQ70" s="1044" t="str">
        <f t="shared" si="66"/>
        <v/>
      </c>
      <c r="BR70" s="1044" t="str">
        <f t="shared" si="67"/>
        <v/>
      </c>
      <c r="BS70" s="1044" t="str">
        <f t="shared" si="68"/>
        <v/>
      </c>
      <c r="BT70" s="1044" t="str">
        <f t="shared" si="69"/>
        <v/>
      </c>
      <c r="BU70" s="1044" t="str">
        <f t="shared" si="70"/>
        <v/>
      </c>
    </row>
    <row r="71" spans="1:73" ht="30" customHeight="1">
      <c r="A71" s="1069" t="str">
        <f t="shared" si="0"/>
        <v/>
      </c>
      <c r="B71" s="1063"/>
      <c r="C71" s="1064" t="s">
        <v>254</v>
      </c>
      <c r="D71" s="1070" t="str">
        <f t="shared" si="1"/>
        <v/>
      </c>
      <c r="E71" s="1071" t="str">
        <f t="shared" si="2"/>
        <v/>
      </c>
      <c r="F71" s="1067" t="str">
        <f t="shared" si="3"/>
        <v/>
      </c>
      <c r="G71" s="1068" t="str">
        <f t="shared" si="4"/>
        <v/>
      </c>
      <c r="H71" s="1069" t="str">
        <f t="shared" si="5"/>
        <v/>
      </c>
      <c r="I71" s="1069" t="str">
        <f t="shared" si="6"/>
        <v/>
      </c>
      <c r="J71" s="1067" t="str">
        <f t="shared" si="7"/>
        <v/>
      </c>
      <c r="K71" s="1044" t="str">
        <f t="shared" si="8"/>
        <v/>
      </c>
      <c r="L71" s="1044" t="str">
        <f t="shared" si="9"/>
        <v/>
      </c>
      <c r="M71" s="1044" t="str">
        <f t="shared" si="10"/>
        <v/>
      </c>
      <c r="N71" s="1044" t="str">
        <f t="shared" si="11"/>
        <v/>
      </c>
      <c r="O71" s="1044" t="str">
        <f t="shared" si="12"/>
        <v/>
      </c>
      <c r="P71" s="1044" t="str">
        <f t="shared" si="13"/>
        <v/>
      </c>
      <c r="Q71" s="1044">
        <f t="shared" si="14"/>
        <v>0</v>
      </c>
      <c r="R71" s="1044">
        <f t="shared" si="15"/>
        <v>0</v>
      </c>
      <c r="S71" s="1044">
        <f t="shared" si="16"/>
        <v>0</v>
      </c>
      <c r="T71" s="1044">
        <f t="shared" si="17"/>
        <v>0</v>
      </c>
      <c r="U71" s="1044" t="str">
        <f t="shared" si="18"/>
        <v/>
      </c>
      <c r="V71" s="1044" t="str">
        <f t="shared" si="19"/>
        <v/>
      </c>
      <c r="W71" s="1044">
        <f t="shared" si="20"/>
        <v>0</v>
      </c>
      <c r="X71" s="1044" t="str">
        <f t="shared" si="21"/>
        <v/>
      </c>
      <c r="Y71" s="1044">
        <f t="shared" si="22"/>
        <v>0</v>
      </c>
      <c r="Z71" s="1044" t="str">
        <f t="shared" si="23"/>
        <v/>
      </c>
      <c r="AA71" s="1044">
        <f t="shared" si="24"/>
        <v>0</v>
      </c>
      <c r="AB71" s="1044">
        <f t="shared" si="25"/>
        <v>0</v>
      </c>
      <c r="AC71" s="1044">
        <f t="shared" si="26"/>
        <v>0</v>
      </c>
      <c r="AD71" s="1044" t="str">
        <f t="shared" si="27"/>
        <v/>
      </c>
      <c r="AE71" s="1044">
        <f t="shared" si="28"/>
        <v>0</v>
      </c>
      <c r="AF71" s="1044" t="str">
        <f t="shared" si="29"/>
        <v/>
      </c>
      <c r="AG71" s="1044">
        <f t="shared" si="30"/>
        <v>0</v>
      </c>
      <c r="AH71" s="1044">
        <f t="shared" si="31"/>
        <v>0</v>
      </c>
      <c r="AI71" s="1044" t="str">
        <f t="shared" si="32"/>
        <v/>
      </c>
      <c r="AJ71" s="1044">
        <f t="shared" si="33"/>
        <v>0</v>
      </c>
      <c r="AK71" s="1044">
        <f t="shared" si="34"/>
        <v>0</v>
      </c>
      <c r="AL71" s="1044">
        <f t="shared" si="35"/>
        <v>0</v>
      </c>
      <c r="AM71" s="1044">
        <f t="shared" si="36"/>
        <v>0</v>
      </c>
      <c r="AN71" s="1044" t="str">
        <f t="shared" si="37"/>
        <v/>
      </c>
      <c r="AO71" s="1044" t="str">
        <f t="shared" si="38"/>
        <v/>
      </c>
      <c r="AP71" s="1044">
        <f t="shared" si="39"/>
        <v>0</v>
      </c>
      <c r="AQ71" s="1044">
        <f t="shared" si="40"/>
        <v>0</v>
      </c>
      <c r="AR71" s="1044" t="str">
        <f t="shared" si="41"/>
        <v/>
      </c>
      <c r="AS71" s="1044">
        <f t="shared" si="42"/>
        <v>0</v>
      </c>
      <c r="AT71" s="1044" t="str">
        <f t="shared" si="43"/>
        <v/>
      </c>
      <c r="AU71" s="1044">
        <f t="shared" si="44"/>
        <v>0</v>
      </c>
      <c r="AV71" s="1044" t="str">
        <f t="shared" si="45"/>
        <v/>
      </c>
      <c r="AW71" s="1044">
        <f t="shared" si="46"/>
        <v>0</v>
      </c>
      <c r="AX71" s="1044" t="str">
        <f t="shared" si="47"/>
        <v/>
      </c>
      <c r="AY71" s="1044">
        <f t="shared" si="48"/>
        <v>0</v>
      </c>
      <c r="AZ71" s="1044" t="str">
        <f t="shared" si="49"/>
        <v/>
      </c>
      <c r="BA71" s="1044">
        <f t="shared" si="50"/>
        <v>0</v>
      </c>
      <c r="BB71" s="1044" t="str">
        <f t="shared" si="51"/>
        <v/>
      </c>
      <c r="BC71" s="1044">
        <f t="shared" si="52"/>
        <v>0</v>
      </c>
      <c r="BD71" s="1044">
        <f t="shared" si="53"/>
        <v>0</v>
      </c>
      <c r="BE71" s="1044" t="str">
        <f t="shared" si="54"/>
        <v/>
      </c>
      <c r="BF71" s="1044" t="str">
        <f t="shared" si="55"/>
        <v/>
      </c>
      <c r="BG71" s="1044" t="str">
        <f t="shared" si="56"/>
        <v/>
      </c>
      <c r="BH71" s="1044" t="str">
        <f t="shared" si="57"/>
        <v/>
      </c>
      <c r="BI71" s="1044" t="str">
        <f t="shared" si="58"/>
        <v/>
      </c>
      <c r="BJ71" s="1044" t="str">
        <f t="shared" si="59"/>
        <v/>
      </c>
      <c r="BK71" s="1044" t="str">
        <f t="shared" si="60"/>
        <v/>
      </c>
      <c r="BL71" s="1044" t="str">
        <f t="shared" si="61"/>
        <v/>
      </c>
      <c r="BM71" s="1044" t="str">
        <f t="shared" si="62"/>
        <v/>
      </c>
      <c r="BN71" s="1044" t="str">
        <f t="shared" si="63"/>
        <v/>
      </c>
      <c r="BO71" s="1044" t="str">
        <f t="shared" si="64"/>
        <v/>
      </c>
      <c r="BP71" s="1044" t="str">
        <f t="shared" si="65"/>
        <v/>
      </c>
      <c r="BQ71" s="1044" t="str">
        <f t="shared" si="66"/>
        <v/>
      </c>
      <c r="BR71" s="1044" t="str">
        <f t="shared" si="67"/>
        <v/>
      </c>
      <c r="BS71" s="1044" t="str">
        <f t="shared" si="68"/>
        <v/>
      </c>
      <c r="BT71" s="1044" t="str">
        <f t="shared" si="69"/>
        <v/>
      </c>
      <c r="BU71" s="1044" t="str">
        <f t="shared" si="70"/>
        <v/>
      </c>
    </row>
    <row r="72" spans="1:73" ht="30" customHeight="1">
      <c r="A72" s="1069" t="str">
        <f t="shared" si="0"/>
        <v/>
      </c>
      <c r="B72" s="1063"/>
      <c r="C72" s="1064" t="s">
        <v>254</v>
      </c>
      <c r="D72" s="1070" t="str">
        <f t="shared" si="1"/>
        <v/>
      </c>
      <c r="E72" s="1071" t="str">
        <f t="shared" si="2"/>
        <v/>
      </c>
      <c r="F72" s="1067" t="str">
        <f t="shared" si="3"/>
        <v/>
      </c>
      <c r="G72" s="1068" t="str">
        <f t="shared" si="4"/>
        <v/>
      </c>
      <c r="H72" s="1069" t="str">
        <f t="shared" si="5"/>
        <v/>
      </c>
      <c r="I72" s="1069" t="str">
        <f t="shared" si="6"/>
        <v/>
      </c>
      <c r="J72" s="1067" t="str">
        <f t="shared" si="7"/>
        <v/>
      </c>
      <c r="K72" s="1044" t="str">
        <f t="shared" si="8"/>
        <v/>
      </c>
      <c r="L72" s="1044" t="str">
        <f t="shared" si="9"/>
        <v/>
      </c>
      <c r="M72" s="1044" t="str">
        <f t="shared" si="10"/>
        <v/>
      </c>
      <c r="N72" s="1044" t="str">
        <f t="shared" si="11"/>
        <v/>
      </c>
      <c r="O72" s="1044" t="str">
        <f t="shared" si="12"/>
        <v/>
      </c>
      <c r="P72" s="1044" t="str">
        <f t="shared" si="13"/>
        <v/>
      </c>
      <c r="Q72" s="1044">
        <f t="shared" si="14"/>
        <v>0</v>
      </c>
      <c r="R72" s="1044">
        <f t="shared" si="15"/>
        <v>0</v>
      </c>
      <c r="S72" s="1044">
        <f t="shared" si="16"/>
        <v>0</v>
      </c>
      <c r="T72" s="1044">
        <f t="shared" si="17"/>
        <v>0</v>
      </c>
      <c r="U72" s="1044" t="str">
        <f t="shared" si="18"/>
        <v/>
      </c>
      <c r="V72" s="1044" t="str">
        <f t="shared" si="19"/>
        <v/>
      </c>
      <c r="W72" s="1044">
        <f t="shared" si="20"/>
        <v>0</v>
      </c>
      <c r="X72" s="1044" t="str">
        <f t="shared" si="21"/>
        <v/>
      </c>
      <c r="Y72" s="1044">
        <f t="shared" si="22"/>
        <v>0</v>
      </c>
      <c r="Z72" s="1044" t="str">
        <f t="shared" si="23"/>
        <v/>
      </c>
      <c r="AA72" s="1044">
        <f t="shared" si="24"/>
        <v>0</v>
      </c>
      <c r="AB72" s="1044">
        <f t="shared" si="25"/>
        <v>0</v>
      </c>
      <c r="AC72" s="1044">
        <f t="shared" si="26"/>
        <v>0</v>
      </c>
      <c r="AD72" s="1044" t="str">
        <f t="shared" si="27"/>
        <v/>
      </c>
      <c r="AE72" s="1044">
        <f t="shared" si="28"/>
        <v>0</v>
      </c>
      <c r="AF72" s="1044" t="str">
        <f t="shared" si="29"/>
        <v/>
      </c>
      <c r="AG72" s="1044">
        <f t="shared" si="30"/>
        <v>0</v>
      </c>
      <c r="AH72" s="1044">
        <f t="shared" si="31"/>
        <v>0</v>
      </c>
      <c r="AI72" s="1044" t="str">
        <f t="shared" si="32"/>
        <v/>
      </c>
      <c r="AJ72" s="1044">
        <f t="shared" si="33"/>
        <v>0</v>
      </c>
      <c r="AK72" s="1044">
        <f t="shared" si="34"/>
        <v>0</v>
      </c>
      <c r="AL72" s="1044">
        <f t="shared" si="35"/>
        <v>0</v>
      </c>
      <c r="AM72" s="1044">
        <f t="shared" si="36"/>
        <v>0</v>
      </c>
      <c r="AN72" s="1044" t="str">
        <f t="shared" si="37"/>
        <v/>
      </c>
      <c r="AO72" s="1044" t="str">
        <f t="shared" si="38"/>
        <v/>
      </c>
      <c r="AP72" s="1044">
        <f t="shared" si="39"/>
        <v>0</v>
      </c>
      <c r="AQ72" s="1044">
        <f t="shared" si="40"/>
        <v>0</v>
      </c>
      <c r="AR72" s="1044" t="str">
        <f t="shared" si="41"/>
        <v/>
      </c>
      <c r="AS72" s="1044">
        <f t="shared" si="42"/>
        <v>0</v>
      </c>
      <c r="AT72" s="1044" t="str">
        <f t="shared" si="43"/>
        <v/>
      </c>
      <c r="AU72" s="1044">
        <f t="shared" si="44"/>
        <v>0</v>
      </c>
      <c r="AV72" s="1044" t="str">
        <f t="shared" si="45"/>
        <v/>
      </c>
      <c r="AW72" s="1044">
        <f t="shared" si="46"/>
        <v>0</v>
      </c>
      <c r="AX72" s="1044" t="str">
        <f t="shared" si="47"/>
        <v/>
      </c>
      <c r="AY72" s="1044">
        <f t="shared" si="48"/>
        <v>0</v>
      </c>
      <c r="AZ72" s="1044" t="str">
        <f t="shared" si="49"/>
        <v/>
      </c>
      <c r="BA72" s="1044">
        <f t="shared" si="50"/>
        <v>0</v>
      </c>
      <c r="BB72" s="1044" t="str">
        <f t="shared" si="51"/>
        <v/>
      </c>
      <c r="BC72" s="1044">
        <f t="shared" si="52"/>
        <v>0</v>
      </c>
      <c r="BD72" s="1044">
        <f t="shared" si="53"/>
        <v>0</v>
      </c>
      <c r="BE72" s="1044" t="str">
        <f t="shared" si="54"/>
        <v/>
      </c>
      <c r="BF72" s="1044" t="str">
        <f t="shared" si="55"/>
        <v/>
      </c>
      <c r="BG72" s="1044" t="str">
        <f t="shared" si="56"/>
        <v/>
      </c>
      <c r="BH72" s="1044" t="str">
        <f t="shared" si="57"/>
        <v/>
      </c>
      <c r="BI72" s="1044" t="str">
        <f t="shared" si="58"/>
        <v/>
      </c>
      <c r="BJ72" s="1044" t="str">
        <f t="shared" si="59"/>
        <v/>
      </c>
      <c r="BK72" s="1044" t="str">
        <f t="shared" si="60"/>
        <v/>
      </c>
      <c r="BL72" s="1044" t="str">
        <f t="shared" si="61"/>
        <v/>
      </c>
      <c r="BM72" s="1044" t="str">
        <f t="shared" si="62"/>
        <v/>
      </c>
      <c r="BN72" s="1044" t="str">
        <f t="shared" si="63"/>
        <v/>
      </c>
      <c r="BO72" s="1044" t="str">
        <f t="shared" si="64"/>
        <v/>
      </c>
      <c r="BP72" s="1044" t="str">
        <f t="shared" si="65"/>
        <v/>
      </c>
      <c r="BQ72" s="1044" t="str">
        <f t="shared" si="66"/>
        <v/>
      </c>
      <c r="BR72" s="1044" t="str">
        <f t="shared" si="67"/>
        <v/>
      </c>
      <c r="BS72" s="1044" t="str">
        <f t="shared" si="68"/>
        <v/>
      </c>
      <c r="BT72" s="1044" t="str">
        <f t="shared" si="69"/>
        <v/>
      </c>
      <c r="BU72" s="1044" t="str">
        <f t="shared" si="70"/>
        <v/>
      </c>
    </row>
    <row r="73" spans="1:73" ht="30" customHeight="1">
      <c r="A73" s="1069" t="str">
        <f t="shared" si="0"/>
        <v/>
      </c>
      <c r="B73" s="1063"/>
      <c r="C73" s="1064" t="s">
        <v>254</v>
      </c>
      <c r="D73" s="1070" t="str">
        <f t="shared" si="1"/>
        <v/>
      </c>
      <c r="E73" s="1071" t="str">
        <f t="shared" si="2"/>
        <v/>
      </c>
      <c r="F73" s="1067" t="str">
        <f t="shared" si="3"/>
        <v/>
      </c>
      <c r="G73" s="1068" t="str">
        <f t="shared" si="4"/>
        <v/>
      </c>
      <c r="H73" s="1069" t="str">
        <f t="shared" si="5"/>
        <v/>
      </c>
      <c r="I73" s="1069" t="str">
        <f t="shared" si="6"/>
        <v/>
      </c>
      <c r="J73" s="1067" t="str">
        <f t="shared" si="7"/>
        <v/>
      </c>
      <c r="K73" s="1044" t="str">
        <f t="shared" si="8"/>
        <v/>
      </c>
      <c r="L73" s="1044" t="str">
        <f t="shared" si="9"/>
        <v/>
      </c>
      <c r="M73" s="1044" t="str">
        <f t="shared" si="10"/>
        <v/>
      </c>
      <c r="N73" s="1044" t="str">
        <f t="shared" si="11"/>
        <v/>
      </c>
      <c r="O73" s="1044" t="str">
        <f t="shared" si="12"/>
        <v/>
      </c>
      <c r="P73" s="1044" t="str">
        <f t="shared" si="13"/>
        <v/>
      </c>
      <c r="Q73" s="1044">
        <f t="shared" si="14"/>
        <v>0</v>
      </c>
      <c r="R73" s="1044">
        <f t="shared" si="15"/>
        <v>0</v>
      </c>
      <c r="S73" s="1044">
        <f t="shared" si="16"/>
        <v>0</v>
      </c>
      <c r="T73" s="1044">
        <f t="shared" si="17"/>
        <v>0</v>
      </c>
      <c r="U73" s="1044" t="str">
        <f t="shared" si="18"/>
        <v/>
      </c>
      <c r="V73" s="1044" t="str">
        <f t="shared" si="19"/>
        <v/>
      </c>
      <c r="W73" s="1044">
        <f t="shared" si="20"/>
        <v>0</v>
      </c>
      <c r="X73" s="1044" t="str">
        <f t="shared" si="21"/>
        <v/>
      </c>
      <c r="Y73" s="1044">
        <f t="shared" si="22"/>
        <v>0</v>
      </c>
      <c r="Z73" s="1044" t="str">
        <f t="shared" si="23"/>
        <v/>
      </c>
      <c r="AA73" s="1044">
        <f t="shared" si="24"/>
        <v>0</v>
      </c>
      <c r="AB73" s="1044">
        <f t="shared" si="25"/>
        <v>0</v>
      </c>
      <c r="AC73" s="1044">
        <f t="shared" si="26"/>
        <v>0</v>
      </c>
      <c r="AD73" s="1044" t="str">
        <f t="shared" si="27"/>
        <v/>
      </c>
      <c r="AE73" s="1044">
        <f t="shared" si="28"/>
        <v>0</v>
      </c>
      <c r="AF73" s="1044" t="str">
        <f t="shared" si="29"/>
        <v/>
      </c>
      <c r="AG73" s="1044">
        <f t="shared" si="30"/>
        <v>0</v>
      </c>
      <c r="AH73" s="1044">
        <f t="shared" si="31"/>
        <v>0</v>
      </c>
      <c r="AI73" s="1044" t="str">
        <f t="shared" si="32"/>
        <v/>
      </c>
      <c r="AJ73" s="1044">
        <f t="shared" si="33"/>
        <v>0</v>
      </c>
      <c r="AK73" s="1044">
        <f t="shared" si="34"/>
        <v>0</v>
      </c>
      <c r="AL73" s="1044">
        <f t="shared" si="35"/>
        <v>0</v>
      </c>
      <c r="AM73" s="1044">
        <f t="shared" si="36"/>
        <v>0</v>
      </c>
      <c r="AN73" s="1044" t="str">
        <f t="shared" si="37"/>
        <v/>
      </c>
      <c r="AO73" s="1044" t="str">
        <f t="shared" si="38"/>
        <v/>
      </c>
      <c r="AP73" s="1044">
        <f t="shared" si="39"/>
        <v>0</v>
      </c>
      <c r="AQ73" s="1044">
        <f t="shared" si="40"/>
        <v>0</v>
      </c>
      <c r="AR73" s="1044" t="str">
        <f t="shared" si="41"/>
        <v/>
      </c>
      <c r="AS73" s="1044">
        <f t="shared" si="42"/>
        <v>0</v>
      </c>
      <c r="AT73" s="1044" t="str">
        <f t="shared" si="43"/>
        <v/>
      </c>
      <c r="AU73" s="1044">
        <f t="shared" si="44"/>
        <v>0</v>
      </c>
      <c r="AV73" s="1044" t="str">
        <f t="shared" si="45"/>
        <v/>
      </c>
      <c r="AW73" s="1044">
        <f t="shared" si="46"/>
        <v>0</v>
      </c>
      <c r="AX73" s="1044" t="str">
        <f t="shared" si="47"/>
        <v/>
      </c>
      <c r="AY73" s="1044">
        <f t="shared" si="48"/>
        <v>0</v>
      </c>
      <c r="AZ73" s="1044" t="str">
        <f t="shared" si="49"/>
        <v/>
      </c>
      <c r="BA73" s="1044">
        <f t="shared" si="50"/>
        <v>0</v>
      </c>
      <c r="BB73" s="1044" t="str">
        <f t="shared" si="51"/>
        <v/>
      </c>
      <c r="BC73" s="1044">
        <f t="shared" si="52"/>
        <v>0</v>
      </c>
      <c r="BD73" s="1044">
        <f t="shared" si="53"/>
        <v>0</v>
      </c>
      <c r="BE73" s="1044" t="str">
        <f t="shared" si="54"/>
        <v/>
      </c>
      <c r="BF73" s="1044" t="str">
        <f t="shared" si="55"/>
        <v/>
      </c>
      <c r="BG73" s="1044" t="str">
        <f t="shared" si="56"/>
        <v/>
      </c>
      <c r="BH73" s="1044" t="str">
        <f t="shared" si="57"/>
        <v/>
      </c>
      <c r="BI73" s="1044" t="str">
        <f t="shared" si="58"/>
        <v/>
      </c>
      <c r="BJ73" s="1044" t="str">
        <f t="shared" si="59"/>
        <v/>
      </c>
      <c r="BK73" s="1044" t="str">
        <f t="shared" si="60"/>
        <v/>
      </c>
      <c r="BL73" s="1044" t="str">
        <f t="shared" si="61"/>
        <v/>
      </c>
      <c r="BM73" s="1044" t="str">
        <f t="shared" si="62"/>
        <v/>
      </c>
      <c r="BN73" s="1044" t="str">
        <f t="shared" si="63"/>
        <v/>
      </c>
      <c r="BO73" s="1044" t="str">
        <f t="shared" si="64"/>
        <v/>
      </c>
      <c r="BP73" s="1044" t="str">
        <f t="shared" si="65"/>
        <v/>
      </c>
      <c r="BQ73" s="1044" t="str">
        <f t="shared" si="66"/>
        <v/>
      </c>
      <c r="BR73" s="1044" t="str">
        <f t="shared" si="67"/>
        <v/>
      </c>
      <c r="BS73" s="1044" t="str">
        <f t="shared" si="68"/>
        <v/>
      </c>
      <c r="BT73" s="1044" t="str">
        <f t="shared" si="69"/>
        <v/>
      </c>
      <c r="BU73" s="1044" t="str">
        <f t="shared" si="70"/>
        <v/>
      </c>
    </row>
    <row r="74" spans="1:73" ht="30" customHeight="1">
      <c r="A74" s="1069" t="str">
        <f t="shared" si="0"/>
        <v/>
      </c>
      <c r="B74" s="1063"/>
      <c r="C74" s="1064" t="s">
        <v>254</v>
      </c>
      <c r="D74" s="1070" t="str">
        <f t="shared" si="1"/>
        <v/>
      </c>
      <c r="E74" s="1071" t="str">
        <f t="shared" si="2"/>
        <v/>
      </c>
      <c r="F74" s="1067" t="str">
        <f t="shared" si="3"/>
        <v/>
      </c>
      <c r="G74" s="1068" t="str">
        <f t="shared" si="4"/>
        <v/>
      </c>
      <c r="H74" s="1069" t="str">
        <f t="shared" si="5"/>
        <v/>
      </c>
      <c r="I74" s="1069" t="str">
        <f t="shared" si="6"/>
        <v/>
      </c>
      <c r="J74" s="1067" t="str">
        <f t="shared" si="7"/>
        <v/>
      </c>
      <c r="K74" s="1044" t="str">
        <f t="shared" si="8"/>
        <v/>
      </c>
      <c r="L74" s="1044" t="str">
        <f t="shared" si="9"/>
        <v/>
      </c>
      <c r="M74" s="1044" t="str">
        <f t="shared" si="10"/>
        <v/>
      </c>
      <c r="N74" s="1044" t="str">
        <f t="shared" si="11"/>
        <v/>
      </c>
      <c r="O74" s="1044" t="str">
        <f t="shared" si="12"/>
        <v/>
      </c>
      <c r="P74" s="1044" t="str">
        <f t="shared" si="13"/>
        <v/>
      </c>
      <c r="Q74" s="1044">
        <f t="shared" si="14"/>
        <v>0</v>
      </c>
      <c r="R74" s="1044">
        <f t="shared" si="15"/>
        <v>0</v>
      </c>
      <c r="S74" s="1044">
        <f t="shared" si="16"/>
        <v>0</v>
      </c>
      <c r="T74" s="1044">
        <f t="shared" si="17"/>
        <v>0</v>
      </c>
      <c r="U74" s="1044" t="str">
        <f t="shared" si="18"/>
        <v/>
      </c>
      <c r="V74" s="1044" t="str">
        <f t="shared" si="19"/>
        <v/>
      </c>
      <c r="W74" s="1044">
        <f t="shared" si="20"/>
        <v>0</v>
      </c>
      <c r="X74" s="1044" t="str">
        <f t="shared" si="21"/>
        <v/>
      </c>
      <c r="Y74" s="1044">
        <f t="shared" si="22"/>
        <v>0</v>
      </c>
      <c r="Z74" s="1044" t="str">
        <f t="shared" si="23"/>
        <v/>
      </c>
      <c r="AA74" s="1044">
        <f t="shared" si="24"/>
        <v>0</v>
      </c>
      <c r="AB74" s="1044">
        <f t="shared" si="25"/>
        <v>0</v>
      </c>
      <c r="AC74" s="1044">
        <f t="shared" si="26"/>
        <v>0</v>
      </c>
      <c r="AD74" s="1044" t="str">
        <f t="shared" si="27"/>
        <v/>
      </c>
      <c r="AE74" s="1044">
        <f t="shared" si="28"/>
        <v>0</v>
      </c>
      <c r="AF74" s="1044" t="str">
        <f t="shared" si="29"/>
        <v/>
      </c>
      <c r="AG74" s="1044">
        <f t="shared" si="30"/>
        <v>0</v>
      </c>
      <c r="AH74" s="1044">
        <f t="shared" si="31"/>
        <v>0</v>
      </c>
      <c r="AI74" s="1044" t="str">
        <f t="shared" si="32"/>
        <v/>
      </c>
      <c r="AJ74" s="1044">
        <f t="shared" si="33"/>
        <v>0</v>
      </c>
      <c r="AK74" s="1044">
        <f t="shared" si="34"/>
        <v>0</v>
      </c>
      <c r="AL74" s="1044">
        <f t="shared" si="35"/>
        <v>0</v>
      </c>
      <c r="AM74" s="1044">
        <f t="shared" si="36"/>
        <v>0</v>
      </c>
      <c r="AN74" s="1044" t="str">
        <f t="shared" si="37"/>
        <v/>
      </c>
      <c r="AO74" s="1044" t="str">
        <f t="shared" si="38"/>
        <v/>
      </c>
      <c r="AP74" s="1044">
        <f t="shared" si="39"/>
        <v>0</v>
      </c>
      <c r="AQ74" s="1044">
        <f t="shared" si="40"/>
        <v>0</v>
      </c>
      <c r="AR74" s="1044" t="str">
        <f t="shared" si="41"/>
        <v/>
      </c>
      <c r="AS74" s="1044">
        <f t="shared" si="42"/>
        <v>0</v>
      </c>
      <c r="AT74" s="1044" t="str">
        <f t="shared" si="43"/>
        <v/>
      </c>
      <c r="AU74" s="1044">
        <f t="shared" si="44"/>
        <v>0</v>
      </c>
      <c r="AV74" s="1044" t="str">
        <f t="shared" si="45"/>
        <v/>
      </c>
      <c r="AW74" s="1044">
        <f t="shared" si="46"/>
        <v>0</v>
      </c>
      <c r="AX74" s="1044" t="str">
        <f t="shared" si="47"/>
        <v/>
      </c>
      <c r="AY74" s="1044">
        <f t="shared" si="48"/>
        <v>0</v>
      </c>
      <c r="AZ74" s="1044" t="str">
        <f t="shared" si="49"/>
        <v/>
      </c>
      <c r="BA74" s="1044">
        <f t="shared" si="50"/>
        <v>0</v>
      </c>
      <c r="BB74" s="1044" t="str">
        <f t="shared" si="51"/>
        <v/>
      </c>
      <c r="BC74" s="1044">
        <f t="shared" si="52"/>
        <v>0</v>
      </c>
      <c r="BD74" s="1044">
        <f t="shared" si="53"/>
        <v>0</v>
      </c>
      <c r="BE74" s="1044" t="str">
        <f t="shared" si="54"/>
        <v/>
      </c>
      <c r="BF74" s="1044" t="str">
        <f t="shared" si="55"/>
        <v/>
      </c>
      <c r="BG74" s="1044" t="str">
        <f t="shared" si="56"/>
        <v/>
      </c>
      <c r="BH74" s="1044" t="str">
        <f t="shared" si="57"/>
        <v/>
      </c>
      <c r="BI74" s="1044" t="str">
        <f t="shared" si="58"/>
        <v/>
      </c>
      <c r="BJ74" s="1044" t="str">
        <f t="shared" si="59"/>
        <v/>
      </c>
      <c r="BK74" s="1044" t="str">
        <f t="shared" si="60"/>
        <v/>
      </c>
      <c r="BL74" s="1044" t="str">
        <f t="shared" si="61"/>
        <v/>
      </c>
      <c r="BM74" s="1044" t="str">
        <f t="shared" si="62"/>
        <v/>
      </c>
      <c r="BN74" s="1044" t="str">
        <f t="shared" si="63"/>
        <v/>
      </c>
      <c r="BO74" s="1044" t="str">
        <f t="shared" si="64"/>
        <v/>
      </c>
      <c r="BP74" s="1044" t="str">
        <f t="shared" si="65"/>
        <v/>
      </c>
      <c r="BQ74" s="1044" t="str">
        <f t="shared" si="66"/>
        <v/>
      </c>
      <c r="BR74" s="1044" t="str">
        <f t="shared" si="67"/>
        <v/>
      </c>
      <c r="BS74" s="1044" t="str">
        <f t="shared" si="68"/>
        <v/>
      </c>
      <c r="BT74" s="1044" t="str">
        <f t="shared" si="69"/>
        <v/>
      </c>
      <c r="BU74" s="1044" t="str">
        <f t="shared" si="70"/>
        <v/>
      </c>
    </row>
    <row r="75" spans="1:73" ht="30" customHeight="1">
      <c r="A75" s="1069" t="str">
        <f t="shared" si="0"/>
        <v/>
      </c>
      <c r="B75" s="1063"/>
      <c r="C75" s="1064" t="s">
        <v>254</v>
      </c>
      <c r="D75" s="1070" t="str">
        <f t="shared" si="1"/>
        <v/>
      </c>
      <c r="E75" s="1071" t="str">
        <f t="shared" si="2"/>
        <v/>
      </c>
      <c r="F75" s="1067" t="str">
        <f t="shared" si="3"/>
        <v/>
      </c>
      <c r="G75" s="1068" t="str">
        <f t="shared" si="4"/>
        <v/>
      </c>
      <c r="H75" s="1069" t="str">
        <f t="shared" si="5"/>
        <v/>
      </c>
      <c r="I75" s="1069" t="str">
        <f t="shared" si="6"/>
        <v/>
      </c>
      <c r="J75" s="1067" t="str">
        <f t="shared" si="7"/>
        <v/>
      </c>
      <c r="K75" s="1044" t="str">
        <f t="shared" si="8"/>
        <v/>
      </c>
      <c r="L75" s="1044" t="str">
        <f t="shared" si="9"/>
        <v/>
      </c>
      <c r="M75" s="1044" t="str">
        <f t="shared" si="10"/>
        <v/>
      </c>
      <c r="N75" s="1044" t="str">
        <f t="shared" si="11"/>
        <v/>
      </c>
      <c r="O75" s="1044" t="str">
        <f t="shared" si="12"/>
        <v/>
      </c>
      <c r="P75" s="1044" t="str">
        <f t="shared" si="13"/>
        <v/>
      </c>
      <c r="Q75" s="1044">
        <f t="shared" si="14"/>
        <v>0</v>
      </c>
      <c r="R75" s="1044">
        <f t="shared" si="15"/>
        <v>0</v>
      </c>
      <c r="S75" s="1044">
        <f t="shared" si="16"/>
        <v>0</v>
      </c>
      <c r="T75" s="1044">
        <f t="shared" si="17"/>
        <v>0</v>
      </c>
      <c r="U75" s="1044" t="str">
        <f t="shared" si="18"/>
        <v/>
      </c>
      <c r="V75" s="1044" t="str">
        <f t="shared" si="19"/>
        <v/>
      </c>
      <c r="W75" s="1044">
        <f t="shared" si="20"/>
        <v>0</v>
      </c>
      <c r="X75" s="1044" t="str">
        <f t="shared" si="21"/>
        <v/>
      </c>
      <c r="Y75" s="1044">
        <f t="shared" si="22"/>
        <v>0</v>
      </c>
      <c r="Z75" s="1044" t="str">
        <f t="shared" si="23"/>
        <v/>
      </c>
      <c r="AA75" s="1044">
        <f t="shared" si="24"/>
        <v>0</v>
      </c>
      <c r="AB75" s="1044">
        <f t="shared" si="25"/>
        <v>0</v>
      </c>
      <c r="AC75" s="1044">
        <f t="shared" si="26"/>
        <v>0</v>
      </c>
      <c r="AD75" s="1044" t="str">
        <f t="shared" si="27"/>
        <v/>
      </c>
      <c r="AE75" s="1044">
        <f t="shared" si="28"/>
        <v>0</v>
      </c>
      <c r="AF75" s="1044" t="str">
        <f t="shared" si="29"/>
        <v/>
      </c>
      <c r="AG75" s="1044">
        <f t="shared" si="30"/>
        <v>0</v>
      </c>
      <c r="AH75" s="1044">
        <f t="shared" si="31"/>
        <v>0</v>
      </c>
      <c r="AI75" s="1044" t="str">
        <f t="shared" si="32"/>
        <v/>
      </c>
      <c r="AJ75" s="1044">
        <f t="shared" si="33"/>
        <v>0</v>
      </c>
      <c r="AK75" s="1044">
        <f t="shared" si="34"/>
        <v>0</v>
      </c>
      <c r="AL75" s="1044">
        <f t="shared" si="35"/>
        <v>0</v>
      </c>
      <c r="AM75" s="1044">
        <f t="shared" si="36"/>
        <v>0</v>
      </c>
      <c r="AN75" s="1044" t="str">
        <f t="shared" si="37"/>
        <v/>
      </c>
      <c r="AO75" s="1044" t="str">
        <f t="shared" si="38"/>
        <v/>
      </c>
      <c r="AP75" s="1044">
        <f t="shared" si="39"/>
        <v>0</v>
      </c>
      <c r="AQ75" s="1044">
        <f t="shared" si="40"/>
        <v>0</v>
      </c>
      <c r="AR75" s="1044" t="str">
        <f t="shared" si="41"/>
        <v/>
      </c>
      <c r="AS75" s="1044">
        <f t="shared" si="42"/>
        <v>0</v>
      </c>
      <c r="AT75" s="1044" t="str">
        <f t="shared" si="43"/>
        <v/>
      </c>
      <c r="AU75" s="1044">
        <f t="shared" si="44"/>
        <v>0</v>
      </c>
      <c r="AV75" s="1044" t="str">
        <f t="shared" si="45"/>
        <v/>
      </c>
      <c r="AW75" s="1044">
        <f t="shared" si="46"/>
        <v>0</v>
      </c>
      <c r="AX75" s="1044" t="str">
        <f t="shared" si="47"/>
        <v/>
      </c>
      <c r="AY75" s="1044">
        <f t="shared" si="48"/>
        <v>0</v>
      </c>
      <c r="AZ75" s="1044" t="str">
        <f t="shared" si="49"/>
        <v/>
      </c>
      <c r="BA75" s="1044">
        <f t="shared" si="50"/>
        <v>0</v>
      </c>
      <c r="BB75" s="1044" t="str">
        <f t="shared" si="51"/>
        <v/>
      </c>
      <c r="BC75" s="1044">
        <f t="shared" si="52"/>
        <v>0</v>
      </c>
      <c r="BD75" s="1044">
        <f t="shared" si="53"/>
        <v>0</v>
      </c>
      <c r="BE75" s="1044" t="str">
        <f t="shared" si="54"/>
        <v/>
      </c>
      <c r="BF75" s="1044" t="str">
        <f t="shared" si="55"/>
        <v/>
      </c>
      <c r="BG75" s="1044" t="str">
        <f t="shared" si="56"/>
        <v/>
      </c>
      <c r="BH75" s="1044" t="str">
        <f t="shared" si="57"/>
        <v/>
      </c>
      <c r="BI75" s="1044" t="str">
        <f t="shared" si="58"/>
        <v/>
      </c>
      <c r="BJ75" s="1044" t="str">
        <f t="shared" si="59"/>
        <v/>
      </c>
      <c r="BK75" s="1044" t="str">
        <f t="shared" si="60"/>
        <v/>
      </c>
      <c r="BL75" s="1044" t="str">
        <f t="shared" si="61"/>
        <v/>
      </c>
      <c r="BM75" s="1044" t="str">
        <f t="shared" si="62"/>
        <v/>
      </c>
      <c r="BN75" s="1044" t="str">
        <f t="shared" si="63"/>
        <v/>
      </c>
      <c r="BO75" s="1044" t="str">
        <f t="shared" si="64"/>
        <v/>
      </c>
      <c r="BP75" s="1044" t="str">
        <f t="shared" si="65"/>
        <v/>
      </c>
      <c r="BQ75" s="1044" t="str">
        <f t="shared" si="66"/>
        <v/>
      </c>
      <c r="BR75" s="1044" t="str">
        <f t="shared" si="67"/>
        <v/>
      </c>
      <c r="BS75" s="1044" t="str">
        <f t="shared" si="68"/>
        <v/>
      </c>
      <c r="BT75" s="1044" t="str">
        <f t="shared" si="69"/>
        <v/>
      </c>
      <c r="BU75" s="1044" t="str">
        <f t="shared" si="70"/>
        <v/>
      </c>
    </row>
    <row r="76" spans="1:73" ht="30" customHeight="1">
      <c r="A76" s="1069" t="str">
        <f t="shared" si="0"/>
        <v/>
      </c>
      <c r="B76" s="1063"/>
      <c r="C76" s="1064" t="s">
        <v>254</v>
      </c>
      <c r="D76" s="1070" t="str">
        <f t="shared" si="1"/>
        <v/>
      </c>
      <c r="E76" s="1071" t="str">
        <f t="shared" si="2"/>
        <v/>
      </c>
      <c r="F76" s="1067" t="str">
        <f t="shared" si="3"/>
        <v/>
      </c>
      <c r="G76" s="1068" t="str">
        <f t="shared" si="4"/>
        <v/>
      </c>
      <c r="H76" s="1069" t="str">
        <f t="shared" si="5"/>
        <v/>
      </c>
      <c r="I76" s="1069" t="str">
        <f t="shared" si="6"/>
        <v/>
      </c>
      <c r="J76" s="1067" t="str">
        <f t="shared" si="7"/>
        <v/>
      </c>
      <c r="K76" s="1044" t="str">
        <f t="shared" si="8"/>
        <v/>
      </c>
      <c r="L76" s="1044" t="str">
        <f t="shared" si="9"/>
        <v/>
      </c>
      <c r="M76" s="1044" t="str">
        <f t="shared" si="10"/>
        <v/>
      </c>
      <c r="N76" s="1044" t="str">
        <f t="shared" si="11"/>
        <v/>
      </c>
      <c r="O76" s="1044" t="str">
        <f t="shared" si="12"/>
        <v/>
      </c>
      <c r="P76" s="1044" t="str">
        <f t="shared" si="13"/>
        <v/>
      </c>
      <c r="Q76" s="1044">
        <f t="shared" si="14"/>
        <v>0</v>
      </c>
      <c r="R76" s="1044">
        <f t="shared" si="15"/>
        <v>0</v>
      </c>
      <c r="S76" s="1044">
        <f t="shared" si="16"/>
        <v>0</v>
      </c>
      <c r="T76" s="1044">
        <f t="shared" si="17"/>
        <v>0</v>
      </c>
      <c r="U76" s="1044" t="str">
        <f t="shared" si="18"/>
        <v/>
      </c>
      <c r="V76" s="1044" t="str">
        <f t="shared" si="19"/>
        <v/>
      </c>
      <c r="W76" s="1044">
        <f t="shared" si="20"/>
        <v>0</v>
      </c>
      <c r="X76" s="1044" t="str">
        <f t="shared" si="21"/>
        <v/>
      </c>
      <c r="Y76" s="1044">
        <f t="shared" si="22"/>
        <v>0</v>
      </c>
      <c r="Z76" s="1044" t="str">
        <f t="shared" si="23"/>
        <v/>
      </c>
      <c r="AA76" s="1044">
        <f t="shared" si="24"/>
        <v>0</v>
      </c>
      <c r="AB76" s="1044">
        <f t="shared" si="25"/>
        <v>0</v>
      </c>
      <c r="AC76" s="1044">
        <f t="shared" si="26"/>
        <v>0</v>
      </c>
      <c r="AD76" s="1044" t="str">
        <f t="shared" si="27"/>
        <v/>
      </c>
      <c r="AE76" s="1044">
        <f t="shared" si="28"/>
        <v>0</v>
      </c>
      <c r="AF76" s="1044" t="str">
        <f t="shared" si="29"/>
        <v/>
      </c>
      <c r="AG76" s="1044">
        <f t="shared" si="30"/>
        <v>0</v>
      </c>
      <c r="AH76" s="1044">
        <f t="shared" si="31"/>
        <v>0</v>
      </c>
      <c r="AI76" s="1044" t="str">
        <f t="shared" si="32"/>
        <v/>
      </c>
      <c r="AJ76" s="1044">
        <f t="shared" si="33"/>
        <v>0</v>
      </c>
      <c r="AK76" s="1044">
        <f t="shared" si="34"/>
        <v>0</v>
      </c>
      <c r="AL76" s="1044">
        <f t="shared" si="35"/>
        <v>0</v>
      </c>
      <c r="AM76" s="1044">
        <f t="shared" si="36"/>
        <v>0</v>
      </c>
      <c r="AN76" s="1044" t="str">
        <f t="shared" si="37"/>
        <v/>
      </c>
      <c r="AO76" s="1044" t="str">
        <f t="shared" si="38"/>
        <v/>
      </c>
      <c r="AP76" s="1044">
        <f t="shared" si="39"/>
        <v>0</v>
      </c>
      <c r="AQ76" s="1044">
        <f t="shared" si="40"/>
        <v>0</v>
      </c>
      <c r="AR76" s="1044" t="str">
        <f t="shared" si="41"/>
        <v/>
      </c>
      <c r="AS76" s="1044">
        <f t="shared" si="42"/>
        <v>0</v>
      </c>
      <c r="AT76" s="1044" t="str">
        <f t="shared" si="43"/>
        <v/>
      </c>
      <c r="AU76" s="1044">
        <f t="shared" si="44"/>
        <v>0</v>
      </c>
      <c r="AV76" s="1044" t="str">
        <f t="shared" si="45"/>
        <v/>
      </c>
      <c r="AW76" s="1044">
        <f t="shared" si="46"/>
        <v>0</v>
      </c>
      <c r="AX76" s="1044" t="str">
        <f t="shared" si="47"/>
        <v/>
      </c>
      <c r="AY76" s="1044">
        <f t="shared" si="48"/>
        <v>0</v>
      </c>
      <c r="AZ76" s="1044" t="str">
        <f t="shared" si="49"/>
        <v/>
      </c>
      <c r="BA76" s="1044">
        <f t="shared" si="50"/>
        <v>0</v>
      </c>
      <c r="BB76" s="1044" t="str">
        <f t="shared" si="51"/>
        <v/>
      </c>
      <c r="BC76" s="1044">
        <f t="shared" si="52"/>
        <v>0</v>
      </c>
      <c r="BD76" s="1044">
        <f t="shared" si="53"/>
        <v>0</v>
      </c>
      <c r="BE76" s="1044" t="str">
        <f t="shared" si="54"/>
        <v/>
      </c>
      <c r="BF76" s="1044" t="str">
        <f t="shared" si="55"/>
        <v/>
      </c>
      <c r="BG76" s="1044" t="str">
        <f t="shared" si="56"/>
        <v/>
      </c>
      <c r="BH76" s="1044" t="str">
        <f t="shared" si="57"/>
        <v/>
      </c>
      <c r="BI76" s="1044" t="str">
        <f t="shared" si="58"/>
        <v/>
      </c>
      <c r="BJ76" s="1044" t="str">
        <f t="shared" si="59"/>
        <v/>
      </c>
      <c r="BK76" s="1044" t="str">
        <f t="shared" si="60"/>
        <v/>
      </c>
      <c r="BL76" s="1044" t="str">
        <f t="shared" si="61"/>
        <v/>
      </c>
      <c r="BM76" s="1044" t="str">
        <f t="shared" si="62"/>
        <v/>
      </c>
      <c r="BN76" s="1044" t="str">
        <f t="shared" si="63"/>
        <v/>
      </c>
      <c r="BO76" s="1044" t="str">
        <f t="shared" si="64"/>
        <v/>
      </c>
      <c r="BP76" s="1044" t="str">
        <f t="shared" si="65"/>
        <v/>
      </c>
      <c r="BQ76" s="1044" t="str">
        <f t="shared" si="66"/>
        <v/>
      </c>
      <c r="BR76" s="1044" t="str">
        <f t="shared" si="67"/>
        <v/>
      </c>
      <c r="BS76" s="1044" t="str">
        <f t="shared" si="68"/>
        <v/>
      </c>
      <c r="BT76" s="1044" t="str">
        <f t="shared" si="69"/>
        <v/>
      </c>
      <c r="BU76" s="1044" t="str">
        <f t="shared" si="70"/>
        <v/>
      </c>
    </row>
    <row r="77" spans="1:73" ht="30" customHeight="1">
      <c r="A77" s="1069" t="str">
        <f t="shared" si="0"/>
        <v/>
      </c>
      <c r="B77" s="1063"/>
      <c r="C77" s="1064" t="s">
        <v>254</v>
      </c>
      <c r="D77" s="1070" t="str">
        <f t="shared" si="1"/>
        <v/>
      </c>
      <c r="E77" s="1071" t="str">
        <f t="shared" si="2"/>
        <v/>
      </c>
      <c r="F77" s="1067" t="str">
        <f t="shared" si="3"/>
        <v/>
      </c>
      <c r="G77" s="1068" t="str">
        <f t="shared" si="4"/>
        <v/>
      </c>
      <c r="H77" s="1069" t="str">
        <f t="shared" si="5"/>
        <v/>
      </c>
      <c r="I77" s="1069" t="str">
        <f t="shared" si="6"/>
        <v/>
      </c>
      <c r="J77" s="1067" t="str">
        <f t="shared" si="7"/>
        <v/>
      </c>
      <c r="K77" s="1044" t="str">
        <f t="shared" si="8"/>
        <v/>
      </c>
      <c r="L77" s="1044" t="str">
        <f t="shared" si="9"/>
        <v/>
      </c>
      <c r="M77" s="1044" t="str">
        <f t="shared" si="10"/>
        <v/>
      </c>
      <c r="N77" s="1044" t="str">
        <f t="shared" si="11"/>
        <v/>
      </c>
      <c r="O77" s="1044" t="str">
        <f t="shared" si="12"/>
        <v/>
      </c>
      <c r="P77" s="1044" t="str">
        <f t="shared" si="13"/>
        <v/>
      </c>
      <c r="Q77" s="1044">
        <f t="shared" si="14"/>
        <v>0</v>
      </c>
      <c r="R77" s="1044">
        <f t="shared" si="15"/>
        <v>0</v>
      </c>
      <c r="S77" s="1044">
        <f t="shared" si="16"/>
        <v>0</v>
      </c>
      <c r="T77" s="1044">
        <f t="shared" si="17"/>
        <v>0</v>
      </c>
      <c r="U77" s="1044" t="str">
        <f t="shared" si="18"/>
        <v/>
      </c>
      <c r="V77" s="1044" t="str">
        <f t="shared" si="19"/>
        <v/>
      </c>
      <c r="W77" s="1044">
        <f t="shared" si="20"/>
        <v>0</v>
      </c>
      <c r="X77" s="1044" t="str">
        <f t="shared" si="21"/>
        <v/>
      </c>
      <c r="Y77" s="1044">
        <f t="shared" si="22"/>
        <v>0</v>
      </c>
      <c r="Z77" s="1044" t="str">
        <f t="shared" si="23"/>
        <v/>
      </c>
      <c r="AA77" s="1044">
        <f t="shared" si="24"/>
        <v>0</v>
      </c>
      <c r="AB77" s="1044">
        <f t="shared" si="25"/>
        <v>0</v>
      </c>
      <c r="AC77" s="1044">
        <f t="shared" si="26"/>
        <v>0</v>
      </c>
      <c r="AD77" s="1044" t="str">
        <f t="shared" si="27"/>
        <v/>
      </c>
      <c r="AE77" s="1044">
        <f t="shared" si="28"/>
        <v>0</v>
      </c>
      <c r="AF77" s="1044" t="str">
        <f t="shared" si="29"/>
        <v/>
      </c>
      <c r="AG77" s="1044">
        <f t="shared" si="30"/>
        <v>0</v>
      </c>
      <c r="AH77" s="1044">
        <f t="shared" si="31"/>
        <v>0</v>
      </c>
      <c r="AI77" s="1044" t="str">
        <f t="shared" si="32"/>
        <v/>
      </c>
      <c r="AJ77" s="1044">
        <f t="shared" si="33"/>
        <v>0</v>
      </c>
      <c r="AK77" s="1044">
        <f t="shared" si="34"/>
        <v>0</v>
      </c>
      <c r="AL77" s="1044">
        <f t="shared" si="35"/>
        <v>0</v>
      </c>
      <c r="AM77" s="1044">
        <f t="shared" si="36"/>
        <v>0</v>
      </c>
      <c r="AN77" s="1044" t="str">
        <f t="shared" si="37"/>
        <v/>
      </c>
      <c r="AO77" s="1044" t="str">
        <f t="shared" si="38"/>
        <v/>
      </c>
      <c r="AP77" s="1044">
        <f t="shared" si="39"/>
        <v>0</v>
      </c>
      <c r="AQ77" s="1044">
        <f t="shared" si="40"/>
        <v>0</v>
      </c>
      <c r="AR77" s="1044" t="str">
        <f t="shared" si="41"/>
        <v/>
      </c>
      <c r="AS77" s="1044">
        <f t="shared" si="42"/>
        <v>0</v>
      </c>
      <c r="AT77" s="1044" t="str">
        <f t="shared" si="43"/>
        <v/>
      </c>
      <c r="AU77" s="1044">
        <f t="shared" si="44"/>
        <v>0</v>
      </c>
      <c r="AV77" s="1044" t="str">
        <f t="shared" si="45"/>
        <v/>
      </c>
      <c r="AW77" s="1044">
        <f t="shared" si="46"/>
        <v>0</v>
      </c>
      <c r="AX77" s="1044" t="str">
        <f t="shared" si="47"/>
        <v/>
      </c>
      <c r="AY77" s="1044">
        <f t="shared" si="48"/>
        <v>0</v>
      </c>
      <c r="AZ77" s="1044" t="str">
        <f t="shared" si="49"/>
        <v/>
      </c>
      <c r="BA77" s="1044">
        <f t="shared" si="50"/>
        <v>0</v>
      </c>
      <c r="BB77" s="1044" t="str">
        <f t="shared" si="51"/>
        <v/>
      </c>
      <c r="BC77" s="1044">
        <f t="shared" si="52"/>
        <v>0</v>
      </c>
      <c r="BD77" s="1044">
        <f t="shared" si="53"/>
        <v>0</v>
      </c>
      <c r="BE77" s="1044" t="str">
        <f t="shared" si="54"/>
        <v/>
      </c>
      <c r="BF77" s="1044" t="str">
        <f t="shared" si="55"/>
        <v/>
      </c>
      <c r="BG77" s="1044" t="str">
        <f t="shared" si="56"/>
        <v/>
      </c>
      <c r="BH77" s="1044" t="str">
        <f t="shared" si="57"/>
        <v/>
      </c>
      <c r="BI77" s="1044" t="str">
        <f t="shared" si="58"/>
        <v/>
      </c>
      <c r="BJ77" s="1044" t="str">
        <f t="shared" si="59"/>
        <v/>
      </c>
      <c r="BK77" s="1044" t="str">
        <f t="shared" si="60"/>
        <v/>
      </c>
      <c r="BL77" s="1044" t="str">
        <f t="shared" si="61"/>
        <v/>
      </c>
      <c r="BM77" s="1044" t="str">
        <f t="shared" si="62"/>
        <v/>
      </c>
      <c r="BN77" s="1044" t="str">
        <f t="shared" si="63"/>
        <v/>
      </c>
      <c r="BO77" s="1044" t="str">
        <f t="shared" si="64"/>
        <v/>
      </c>
      <c r="BP77" s="1044" t="str">
        <f t="shared" si="65"/>
        <v/>
      </c>
      <c r="BQ77" s="1044" t="str">
        <f t="shared" si="66"/>
        <v/>
      </c>
      <c r="BR77" s="1044" t="str">
        <f t="shared" si="67"/>
        <v/>
      </c>
      <c r="BS77" s="1044" t="str">
        <f t="shared" si="68"/>
        <v/>
      </c>
      <c r="BT77" s="1044" t="str">
        <f t="shared" si="69"/>
        <v/>
      </c>
      <c r="BU77" s="1044" t="str">
        <f t="shared" si="70"/>
        <v/>
      </c>
    </row>
    <row r="78" spans="1:73" ht="30" customHeight="1">
      <c r="A78" s="1069" t="str">
        <f t="shared" si="0"/>
        <v/>
      </c>
      <c r="B78" s="1063"/>
      <c r="C78" s="1064" t="s">
        <v>254</v>
      </c>
      <c r="D78" s="1070" t="str">
        <f t="shared" si="1"/>
        <v/>
      </c>
      <c r="E78" s="1071" t="str">
        <f t="shared" si="2"/>
        <v/>
      </c>
      <c r="F78" s="1067" t="str">
        <f t="shared" si="3"/>
        <v/>
      </c>
      <c r="G78" s="1068" t="str">
        <f t="shared" si="4"/>
        <v/>
      </c>
      <c r="H78" s="1069" t="str">
        <f t="shared" si="5"/>
        <v/>
      </c>
      <c r="I78" s="1069" t="str">
        <f t="shared" si="6"/>
        <v/>
      </c>
      <c r="J78" s="1067" t="str">
        <f t="shared" si="7"/>
        <v/>
      </c>
      <c r="K78" s="1044" t="str">
        <f t="shared" si="8"/>
        <v/>
      </c>
      <c r="L78" s="1044" t="str">
        <f t="shared" si="9"/>
        <v/>
      </c>
      <c r="M78" s="1044" t="str">
        <f t="shared" si="10"/>
        <v/>
      </c>
      <c r="N78" s="1044" t="str">
        <f t="shared" si="11"/>
        <v/>
      </c>
      <c r="O78" s="1044" t="str">
        <f t="shared" si="12"/>
        <v/>
      </c>
      <c r="P78" s="1044" t="str">
        <f t="shared" si="13"/>
        <v/>
      </c>
      <c r="Q78" s="1044">
        <f t="shared" si="14"/>
        <v>0</v>
      </c>
      <c r="R78" s="1044">
        <f t="shared" si="15"/>
        <v>0</v>
      </c>
      <c r="S78" s="1044">
        <f t="shared" si="16"/>
        <v>0</v>
      </c>
      <c r="T78" s="1044">
        <f t="shared" si="17"/>
        <v>0</v>
      </c>
      <c r="U78" s="1044" t="str">
        <f t="shared" si="18"/>
        <v/>
      </c>
      <c r="V78" s="1044" t="str">
        <f t="shared" si="19"/>
        <v/>
      </c>
      <c r="W78" s="1044">
        <f t="shared" si="20"/>
        <v>0</v>
      </c>
      <c r="X78" s="1044" t="str">
        <f t="shared" si="21"/>
        <v/>
      </c>
      <c r="Y78" s="1044">
        <f t="shared" si="22"/>
        <v>0</v>
      </c>
      <c r="Z78" s="1044" t="str">
        <f t="shared" si="23"/>
        <v/>
      </c>
      <c r="AA78" s="1044">
        <f t="shared" si="24"/>
        <v>0</v>
      </c>
      <c r="AB78" s="1044">
        <f t="shared" si="25"/>
        <v>0</v>
      </c>
      <c r="AC78" s="1044">
        <f t="shared" si="26"/>
        <v>0</v>
      </c>
      <c r="AD78" s="1044" t="str">
        <f t="shared" si="27"/>
        <v/>
      </c>
      <c r="AE78" s="1044">
        <f t="shared" si="28"/>
        <v>0</v>
      </c>
      <c r="AF78" s="1044" t="str">
        <f t="shared" si="29"/>
        <v/>
      </c>
      <c r="AG78" s="1044">
        <f t="shared" si="30"/>
        <v>0</v>
      </c>
      <c r="AH78" s="1044">
        <f t="shared" si="31"/>
        <v>0</v>
      </c>
      <c r="AI78" s="1044" t="str">
        <f t="shared" si="32"/>
        <v/>
      </c>
      <c r="AJ78" s="1044">
        <f t="shared" si="33"/>
        <v>0</v>
      </c>
      <c r="AK78" s="1044">
        <f t="shared" si="34"/>
        <v>0</v>
      </c>
      <c r="AL78" s="1044">
        <f t="shared" si="35"/>
        <v>0</v>
      </c>
      <c r="AM78" s="1044">
        <f t="shared" si="36"/>
        <v>0</v>
      </c>
      <c r="AN78" s="1044" t="str">
        <f t="shared" si="37"/>
        <v/>
      </c>
      <c r="AO78" s="1044" t="str">
        <f t="shared" si="38"/>
        <v/>
      </c>
      <c r="AP78" s="1044">
        <f t="shared" si="39"/>
        <v>0</v>
      </c>
      <c r="AQ78" s="1044">
        <f t="shared" si="40"/>
        <v>0</v>
      </c>
      <c r="AR78" s="1044" t="str">
        <f t="shared" si="41"/>
        <v/>
      </c>
      <c r="AS78" s="1044">
        <f t="shared" si="42"/>
        <v>0</v>
      </c>
      <c r="AT78" s="1044" t="str">
        <f t="shared" si="43"/>
        <v/>
      </c>
      <c r="AU78" s="1044">
        <f t="shared" si="44"/>
        <v>0</v>
      </c>
      <c r="AV78" s="1044" t="str">
        <f t="shared" si="45"/>
        <v/>
      </c>
      <c r="AW78" s="1044">
        <f t="shared" si="46"/>
        <v>0</v>
      </c>
      <c r="AX78" s="1044" t="str">
        <f t="shared" si="47"/>
        <v/>
      </c>
      <c r="AY78" s="1044">
        <f t="shared" si="48"/>
        <v>0</v>
      </c>
      <c r="AZ78" s="1044" t="str">
        <f t="shared" si="49"/>
        <v/>
      </c>
      <c r="BA78" s="1044">
        <f t="shared" si="50"/>
        <v>0</v>
      </c>
      <c r="BB78" s="1044" t="str">
        <f t="shared" si="51"/>
        <v/>
      </c>
      <c r="BC78" s="1044">
        <f t="shared" si="52"/>
        <v>0</v>
      </c>
      <c r="BD78" s="1044">
        <f t="shared" si="53"/>
        <v>0</v>
      </c>
      <c r="BE78" s="1044" t="str">
        <f t="shared" si="54"/>
        <v/>
      </c>
      <c r="BF78" s="1044" t="str">
        <f t="shared" si="55"/>
        <v/>
      </c>
      <c r="BG78" s="1044" t="str">
        <f t="shared" si="56"/>
        <v/>
      </c>
      <c r="BH78" s="1044" t="str">
        <f t="shared" si="57"/>
        <v/>
      </c>
      <c r="BI78" s="1044" t="str">
        <f t="shared" si="58"/>
        <v/>
      </c>
      <c r="BJ78" s="1044" t="str">
        <f t="shared" si="59"/>
        <v/>
      </c>
      <c r="BK78" s="1044" t="str">
        <f t="shared" si="60"/>
        <v/>
      </c>
      <c r="BL78" s="1044" t="str">
        <f t="shared" si="61"/>
        <v/>
      </c>
      <c r="BM78" s="1044" t="str">
        <f t="shared" si="62"/>
        <v/>
      </c>
      <c r="BN78" s="1044" t="str">
        <f t="shared" si="63"/>
        <v/>
      </c>
      <c r="BO78" s="1044" t="str">
        <f t="shared" si="64"/>
        <v/>
      </c>
      <c r="BP78" s="1044" t="str">
        <f t="shared" si="65"/>
        <v/>
      </c>
      <c r="BQ78" s="1044" t="str">
        <f t="shared" si="66"/>
        <v/>
      </c>
      <c r="BR78" s="1044" t="str">
        <f t="shared" si="67"/>
        <v/>
      </c>
      <c r="BS78" s="1044" t="str">
        <f t="shared" si="68"/>
        <v/>
      </c>
      <c r="BT78" s="1044" t="str">
        <f t="shared" si="69"/>
        <v/>
      </c>
      <c r="BU78" s="1044" t="str">
        <f t="shared" si="70"/>
        <v/>
      </c>
    </row>
    <row r="79" spans="1:73" ht="30" customHeight="1">
      <c r="A79" s="1069" t="str">
        <f t="shared" si="0"/>
        <v/>
      </c>
      <c r="B79" s="1063"/>
      <c r="C79" s="1064" t="s">
        <v>254</v>
      </c>
      <c r="D79" s="1070" t="str">
        <f t="shared" si="1"/>
        <v/>
      </c>
      <c r="E79" s="1071" t="str">
        <f t="shared" si="2"/>
        <v/>
      </c>
      <c r="F79" s="1067" t="str">
        <f t="shared" si="3"/>
        <v/>
      </c>
      <c r="G79" s="1068" t="str">
        <f t="shared" si="4"/>
        <v/>
      </c>
      <c r="H79" s="1069" t="str">
        <f t="shared" si="5"/>
        <v/>
      </c>
      <c r="I79" s="1069" t="str">
        <f t="shared" si="6"/>
        <v/>
      </c>
      <c r="J79" s="1067" t="str">
        <f t="shared" si="7"/>
        <v/>
      </c>
      <c r="K79" s="1044" t="str">
        <f t="shared" si="8"/>
        <v/>
      </c>
      <c r="L79" s="1044" t="str">
        <f t="shared" si="9"/>
        <v/>
      </c>
      <c r="M79" s="1044" t="str">
        <f t="shared" si="10"/>
        <v/>
      </c>
      <c r="N79" s="1044" t="str">
        <f t="shared" si="11"/>
        <v/>
      </c>
      <c r="O79" s="1044" t="str">
        <f t="shared" si="12"/>
        <v/>
      </c>
      <c r="P79" s="1044" t="str">
        <f t="shared" si="13"/>
        <v/>
      </c>
      <c r="Q79" s="1044">
        <f t="shared" si="14"/>
        <v>0</v>
      </c>
      <c r="R79" s="1044">
        <f t="shared" si="15"/>
        <v>0</v>
      </c>
      <c r="S79" s="1044">
        <f t="shared" si="16"/>
        <v>0</v>
      </c>
      <c r="T79" s="1044">
        <f t="shared" si="17"/>
        <v>0</v>
      </c>
      <c r="U79" s="1044" t="str">
        <f t="shared" si="18"/>
        <v/>
      </c>
      <c r="V79" s="1044" t="str">
        <f t="shared" si="19"/>
        <v/>
      </c>
      <c r="W79" s="1044">
        <f t="shared" si="20"/>
        <v>0</v>
      </c>
      <c r="X79" s="1044" t="str">
        <f t="shared" si="21"/>
        <v/>
      </c>
      <c r="Y79" s="1044">
        <f t="shared" si="22"/>
        <v>0</v>
      </c>
      <c r="Z79" s="1044" t="str">
        <f t="shared" si="23"/>
        <v/>
      </c>
      <c r="AA79" s="1044">
        <f t="shared" si="24"/>
        <v>0</v>
      </c>
      <c r="AB79" s="1044">
        <f t="shared" si="25"/>
        <v>0</v>
      </c>
      <c r="AC79" s="1044">
        <f t="shared" si="26"/>
        <v>0</v>
      </c>
      <c r="AD79" s="1044" t="str">
        <f t="shared" si="27"/>
        <v/>
      </c>
      <c r="AE79" s="1044">
        <f t="shared" si="28"/>
        <v>0</v>
      </c>
      <c r="AF79" s="1044" t="str">
        <f t="shared" si="29"/>
        <v/>
      </c>
      <c r="AG79" s="1044">
        <f t="shared" si="30"/>
        <v>0</v>
      </c>
      <c r="AH79" s="1044">
        <f t="shared" si="31"/>
        <v>0</v>
      </c>
      <c r="AI79" s="1044" t="str">
        <f t="shared" si="32"/>
        <v/>
      </c>
      <c r="AJ79" s="1044">
        <f t="shared" si="33"/>
        <v>0</v>
      </c>
      <c r="AK79" s="1044">
        <f t="shared" si="34"/>
        <v>0</v>
      </c>
      <c r="AL79" s="1044">
        <f t="shared" si="35"/>
        <v>0</v>
      </c>
      <c r="AM79" s="1044">
        <f t="shared" si="36"/>
        <v>0</v>
      </c>
      <c r="AN79" s="1044" t="str">
        <f t="shared" si="37"/>
        <v/>
      </c>
      <c r="AO79" s="1044" t="str">
        <f t="shared" si="38"/>
        <v/>
      </c>
      <c r="AP79" s="1044">
        <f t="shared" si="39"/>
        <v>0</v>
      </c>
      <c r="AQ79" s="1044">
        <f t="shared" si="40"/>
        <v>0</v>
      </c>
      <c r="AR79" s="1044" t="str">
        <f t="shared" si="41"/>
        <v/>
      </c>
      <c r="AS79" s="1044">
        <f t="shared" si="42"/>
        <v>0</v>
      </c>
      <c r="AT79" s="1044" t="str">
        <f t="shared" si="43"/>
        <v/>
      </c>
      <c r="AU79" s="1044">
        <f t="shared" si="44"/>
        <v>0</v>
      </c>
      <c r="AV79" s="1044" t="str">
        <f t="shared" si="45"/>
        <v/>
      </c>
      <c r="AW79" s="1044">
        <f t="shared" si="46"/>
        <v>0</v>
      </c>
      <c r="AX79" s="1044" t="str">
        <f t="shared" si="47"/>
        <v/>
      </c>
      <c r="AY79" s="1044">
        <f t="shared" si="48"/>
        <v>0</v>
      </c>
      <c r="AZ79" s="1044" t="str">
        <f t="shared" si="49"/>
        <v/>
      </c>
      <c r="BA79" s="1044">
        <f t="shared" si="50"/>
        <v>0</v>
      </c>
      <c r="BB79" s="1044" t="str">
        <f t="shared" si="51"/>
        <v/>
      </c>
      <c r="BC79" s="1044">
        <f t="shared" si="52"/>
        <v>0</v>
      </c>
      <c r="BD79" s="1044">
        <f t="shared" si="53"/>
        <v>0</v>
      </c>
      <c r="BE79" s="1044" t="str">
        <f t="shared" si="54"/>
        <v/>
      </c>
      <c r="BF79" s="1044" t="str">
        <f t="shared" si="55"/>
        <v/>
      </c>
      <c r="BG79" s="1044" t="str">
        <f t="shared" si="56"/>
        <v/>
      </c>
      <c r="BH79" s="1044" t="str">
        <f t="shared" si="57"/>
        <v/>
      </c>
      <c r="BI79" s="1044" t="str">
        <f t="shared" si="58"/>
        <v/>
      </c>
      <c r="BJ79" s="1044" t="str">
        <f t="shared" si="59"/>
        <v/>
      </c>
      <c r="BK79" s="1044" t="str">
        <f t="shared" si="60"/>
        <v/>
      </c>
      <c r="BL79" s="1044" t="str">
        <f t="shared" si="61"/>
        <v/>
      </c>
      <c r="BM79" s="1044" t="str">
        <f t="shared" si="62"/>
        <v/>
      </c>
      <c r="BN79" s="1044" t="str">
        <f t="shared" si="63"/>
        <v/>
      </c>
      <c r="BO79" s="1044" t="str">
        <f t="shared" si="64"/>
        <v/>
      </c>
      <c r="BP79" s="1044" t="str">
        <f t="shared" si="65"/>
        <v/>
      </c>
      <c r="BQ79" s="1044" t="str">
        <f t="shared" si="66"/>
        <v/>
      </c>
      <c r="BR79" s="1044" t="str">
        <f t="shared" si="67"/>
        <v/>
      </c>
      <c r="BS79" s="1044" t="str">
        <f t="shared" si="68"/>
        <v/>
      </c>
      <c r="BT79" s="1044" t="str">
        <f t="shared" si="69"/>
        <v/>
      </c>
      <c r="BU79" s="1044" t="str">
        <f t="shared" si="70"/>
        <v/>
      </c>
    </row>
    <row r="80" spans="1:73" ht="30" customHeight="1">
      <c r="A80" s="1069" t="str">
        <f t="shared" ref="A80:A143" si="71">IF(B80="","",ROW())</f>
        <v/>
      </c>
      <c r="B80" s="1063"/>
      <c r="C80" s="1064" t="s">
        <v>254</v>
      </c>
      <c r="D80" s="1070" t="str">
        <f t="shared" ref="D80:D143" si="72">IF(B80="","",TRIM(SUBSTITUTE(B80,"*",""))&amp;IF(COUNTIF(E80,"*⚠*")&gt;0," *",""))</f>
        <v/>
      </c>
      <c r="E80" s="1071" t="str">
        <f t="shared" ref="E80:E143" si="73">IF(B80="","",BS80)</f>
        <v/>
      </c>
      <c r="F80" s="1067" t="str">
        <f t="shared" ref="F80:F143" si="74">IF(B80="","",TRIM(B80)&amp;IF(H80&gt;0," *",""))</f>
        <v/>
      </c>
      <c r="G80" s="1068" t="str">
        <f t="shared" ref="G80:G143" si="75">IF(B80="","",BU80)</f>
        <v/>
      </c>
      <c r="H80" s="1069" t="str">
        <f t="shared" ref="H80:H143" si="76">IF(B80="","",IF(U80&lt;&gt;"",1,0)+IF(X80&lt;&gt;"",1,0)+IF(Z80&lt;&gt;"",1,0)+IF(AD80&lt;&gt;"",1,0)+IF(AF80&lt;&gt;"",1,0)+IF(AI80&lt;&gt;"",1,0)+IF(AN80&lt;&gt;"",1,0)+IF(AR80&lt;&gt;"",1,0)+IF(AT80&lt;&gt;"",1,0)+IF(AV80&lt;&gt;"",1,0)+IF(AX80&lt;&gt;"",1,0)+IF(AZ80&lt;&gt;"",1,0)+IF(BB80&lt;&gt;"",1,0)+IF(BE80&lt;&gt;"",1,0))</f>
        <v/>
      </c>
      <c r="I80" s="1069" t="str">
        <f t="shared" ref="I80:I143" si="77">IF(B80="","",IF(V80&lt;&gt;"",1,0)+IF(AO80&lt;&gt;"",1,0))</f>
        <v/>
      </c>
      <c r="J80" s="1067" t="str">
        <f t="shared" ref="J80:J143" si="78">IF(B80="","",IF(E80&lt;&gt;"",E80,IF(G80&lt;&gt;"",G80,"aucun match")))</f>
        <v/>
      </c>
      <c r="K80" s="1044" t="str">
        <f t="shared" ref="K80:K143" si="79">IF(B80="","",LOWER(B80))</f>
        <v/>
      </c>
      <c r="L80" s="1044" t="str">
        <f t="shared" ref="L80:L143" si="80">IF(K80="","",SUBSTITUTE(SUBSTITUTE(SUBSTITUTE(SUBSTITUTE(SUBSTITUTE(SUBSTITUTE(SUBSTITUTE(SUBSTITUTE(K80,"œ","oe"),"æ","ae"),"à","a"),"á","a"),"â","a"),"ä","a"),"ã","a"),"å","a"))</f>
        <v/>
      </c>
      <c r="M80" s="1044" t="str">
        <f t="shared" ref="M80:M143" si="81">IF(L80="","",SUBSTITUTE(SUBSTITUTE(SUBSTITUTE(SUBSTITUTE(SUBSTITUTE(SUBSTITUTE(SUBSTITUTE(SUBSTITUTE(SUBSTITUTE(SUBSTITUTE(SUBSTITUTE(SUBSTITUTE(SUBSTITUTE(SUBSTITUTE(SUBSTITUTE(SUBSTITUTE(SUBSTITUTE(SUBSTITUTE(SUBSTITUTE(SUBSTITUTE(SUBSTITUTE(L80,"ç","c"),"è","e"),"é","e"),"ê","e"),"ë","e"),"ì","i"),"í","i"),"î","i"),"ï","i"),"ñ","n"),"ò","o"),"ó","o"),"ô","o"),"ö","o"),"õ","o"),"ù","u"),"ú","u"),"û","u"),"ü","u"),"ý","y"),"ÿ","y"))</f>
        <v/>
      </c>
      <c r="N80" s="1044" t="str">
        <f t="shared" ref="N80:N143" si="82">IF(M80="","",SUBSTITUTE(SUBSTITUTE(SUBSTITUTE(SUBSTITUTE(SUBSTITUTE(SUBSTITUTE(SUBSTITUTE(SUBSTITUTE(SUBSTITUTE(SUBSTITUTE(M80,CHAR(10)," "),CHAR(13)," "),","," "),"."," "),","," "),":"," "),"/"," "),"-"," "),"_"," "),""""," "))</f>
        <v/>
      </c>
      <c r="O80" s="1044" t="str">
        <f t="shared" ref="O80:O143" si="83">IF(N80="","",SUBSTITUTE(SUBSTITUTE(SUBSTITUTE(SUBSTITUTE(SUBSTITUTE(SUBSTITUTE(SUBSTITUTE(SUBSTITUTE(N80,CHAR(40)," "),CHAR(41)," "),CHAR(39)," "),"?"," "),"!"," "),"+"," "),"*"," "),"&amp;"," "))</f>
        <v/>
      </c>
      <c r="P80" s="1044" t="str">
        <f t="shared" ref="P80:P143" si="84">IF(O80="",""," "&amp;TRIM(SUBSTITUTE(SUBSTITUTE(SUBSTITUTE(O80,"  "," "),"  "," "),"  "," "))&amp;" ")</f>
        <v/>
      </c>
      <c r="Q80" s="1044">
        <f t="shared" ref="Q80:Q143" si="85">IF(B80="",0,SUMPRODUCT(($BV$11:$AGG$11="Gluten")*($BV$12:$AGG$12="INFO")*(COUNTIF($P80,"*"&amp;$BV$13:$AGG$13&amp;"*")&gt;0)*1))</f>
        <v>0</v>
      </c>
      <c r="R80" s="1044">
        <f t="shared" ref="R80:R143" si="86">IF(B80="",0,SUMPRODUCT(($BV$11:$AGG$11="Gluten")*($BV$12:$AGG$12="EXCL")*(COUNTIF($P80,"*"&amp;$BV$13:$AGG$13&amp;"*")&gt;0)*1))</f>
        <v>0</v>
      </c>
      <c r="S80" s="1044">
        <f t="shared" ref="S80:S143" si="87">IF(B80="",0,SUMPRODUCT(($BV$11:$AGG$11="Gluten")*($BV$12:$AGG$12="ALERTE")*(COUNTIF($P80,"*"&amp;$BV$13:$AGG$13&amp;"*")&gt;0)*1))</f>
        <v>0</v>
      </c>
      <c r="T80" s="1044">
        <f t="shared" ref="T80:T143" si="88">IF(B80="",0,SUMPRODUCT(($BV$11:$AGG$11="Gluten")*($BV$12:$AGG$12="SUSP")*(COUNTIF($P80,"*"&amp;$BV$13:$AGG$13&amp;"*")&gt;0)*1))</f>
        <v>0</v>
      </c>
      <c r="U80" s="1044" t="str">
        <f t="shared" ref="U80:U143" si="89">IF(B80="","",IF(Q80&gt;0,"info Gluten",IF(AND(S80&gt;0,R80=0),"⚠ Gluten","")))</f>
        <v/>
      </c>
      <c r="V80" s="1044" t="str">
        <f t="shared" ref="V80:V143" si="90">IF(B80="","",IF(AND(U80="",T80&gt;0,R80=0),"suspicion Gluten",""))</f>
        <v/>
      </c>
      <c r="W80" s="1044">
        <f t="shared" ref="W80:W143" si="91">IF(B80="",0,SUMPRODUCT(($BV$11:$AGG$11="Crustaces")*($BV$12:$AGG$12="ALERTE")*(COUNTIF($P80,"*"&amp;$BV$13:$AGG$13&amp;"*")&gt;0)*1))</f>
        <v>0</v>
      </c>
      <c r="X80" s="1044" t="str">
        <f t="shared" ref="X80:X143" si="92">IF(B80="","",IF(W80&gt;0,"⚠ Crustaces",""))</f>
        <v/>
      </c>
      <c r="Y80" s="1044">
        <f t="shared" ref="Y80:Y143" si="93">IF(B80="",0,SUMPRODUCT(($BV$11:$AGG$11="Oeufs")*($BV$12:$AGG$12="ALERTE")*(COUNTIF($P80,"*"&amp;$BV$13:$AGG$13&amp;"*")&gt;0)*1))</f>
        <v>0</v>
      </c>
      <c r="Z80" s="1044" t="str">
        <f t="shared" ref="Z80:Z143" si="94">IF(B80="","",IF(Y80&gt;0,"⚠ Oeufs",""))</f>
        <v/>
      </c>
      <c r="AA80" s="1044">
        <f t="shared" ref="AA80:AA143" si="95">IF(B80="",0,SUMPRODUCT(($BV$11:$AGG$11="Poissons")*($BV$12:$AGG$12="INFO")*(COUNTIF($P80,"*"&amp;$BV$13:$AGG$13&amp;"*")&gt;0)*1))</f>
        <v>0</v>
      </c>
      <c r="AB80" s="1044">
        <f t="shared" ref="AB80:AB143" si="96">IF(B80="",0,SUMPRODUCT(($BV$11:$AGG$11="Poissons")*($BV$12:$AGG$12="EXCL")*(COUNTIF($P80,"*"&amp;$BV$13:$AGG$13&amp;"*")&gt;0)*1))</f>
        <v>0</v>
      </c>
      <c r="AC80" s="1044">
        <f t="shared" ref="AC80:AC143" si="97">IF(B80="",0,SUMPRODUCT(($BV$11:$AGG$11="Poissons")*($BV$12:$AGG$12="ALERTE")*(COUNTIF($P80,"*"&amp;$BV$13:$AGG$13&amp;"*")&gt;0)*1))</f>
        <v>0</v>
      </c>
      <c r="AD80" s="1044" t="str">
        <f t="shared" ref="AD80:AD143" si="98">IF(B80="","",IF(AA80&gt;0,"info Poissons",IF(AND(AC80&gt;0,AB80=0),"⚠ Poissons","")))</f>
        <v/>
      </c>
      <c r="AE80" s="1044">
        <f t="shared" ref="AE80:AE143" si="99">IF(B80="",0,SUMPRODUCT(($BV$11:$AGG$11="Arachides")*($BV$12:$AGG$12="ALERTE")*(COUNTIF($P80,"*"&amp;$BV$13:$AGG$13&amp;"*")&gt;0)*1))</f>
        <v>0</v>
      </c>
      <c r="AF80" s="1044" t="str">
        <f t="shared" ref="AF80:AF143" si="100">IF(B80="","",IF(AE80&gt;0,"⚠ Arachides",""))</f>
        <v/>
      </c>
      <c r="AG80" s="1044">
        <f t="shared" ref="AG80:AG143" si="101">IF(B80="",0,SUMPRODUCT(($BV$11:$AGG$11="Soja")*($BV$12:$AGG$12="INFO")*(COUNTIF($P80,"*"&amp;$BV$13:$AGG$13&amp;"*")&gt;0)*1))</f>
        <v>0</v>
      </c>
      <c r="AH80" s="1044">
        <f t="shared" ref="AH80:AH143" si="102">IF(B80="",0,SUMPRODUCT(($BV$11:$AGG$11="Soja")*($BV$12:$AGG$12="ALERTE")*(COUNTIF($P80,"*"&amp;$BV$13:$AGG$13&amp;"*")&gt;0)*1))</f>
        <v>0</v>
      </c>
      <c r="AI80" s="1044" t="str">
        <f t="shared" ref="AI80:AI143" si="103">IF(B80="","",IF(AG80&gt;0,"info Soja",IF(AH80&gt;0,"⚠ Soja","")))</f>
        <v/>
      </c>
      <c r="AJ80" s="1044">
        <f t="shared" ref="AJ80:AJ143" si="104">IF(B80="",0,SUMPRODUCT(($BV$11:$AGG$11="Lait")*($BV$12:$AGG$12="INFO")*(COUNTIF($P80,"*"&amp;$BV$13:$AGG$13&amp;"*")&gt;0)*1))</f>
        <v>0</v>
      </c>
      <c r="AK80" s="1044">
        <f t="shared" ref="AK80:AK143" si="105">IF(B80="",0,SUMPRODUCT(($BV$11:$AGG$11="Lait")*($BV$12:$AGG$12="EXCL")*(COUNTIF($P80,"*"&amp;$BV$13:$AGG$13&amp;"*")&gt;0)*1))</f>
        <v>0</v>
      </c>
      <c r="AL80" s="1044">
        <f t="shared" ref="AL80:AL143" si="106">IF(B80="",0,SUMPRODUCT(($BV$11:$AGG$11="Lait")*($BV$12:$AGG$12="ALERTE")*(COUNTIF($P80,"*"&amp;$BV$13:$AGG$13&amp;"*")&gt;0)*1))</f>
        <v>0</v>
      </c>
      <c r="AM80" s="1044">
        <f t="shared" ref="AM80:AM143" si="107">IF(B80="",0,SUMPRODUCT(($BV$11:$AGG$11="Lait")*($BV$12:$AGG$12="SUSP")*(COUNTIF($P80,"*"&amp;$BV$13:$AGG$13&amp;"*")&gt;0)*1))</f>
        <v>0</v>
      </c>
      <c r="AN80" s="1044" t="str">
        <f t="shared" ref="AN80:AN143" si="108">IF(B80="","",IF(AJ80&gt;0,"info Lait",IF(AND(AL80&gt;0,AK80=0),"⚠ Lait","")))</f>
        <v/>
      </c>
      <c r="AO80" s="1044" t="str">
        <f t="shared" ref="AO80:AO143" si="109">IF(B80="","",IF(AND(AN80="",AM80&gt;0,AK80=0),"suspicion Lait",""))</f>
        <v/>
      </c>
      <c r="AP80" s="1044">
        <f t="shared" ref="AP80:AP143" si="110">IF(B80="",0,SUMPRODUCT(($BV$11:$AGG$11="Fruits a coque")*($BV$12:$AGG$12="EXCL")*(COUNTIF($P80,"*"&amp;$BV$13:$AGG$13&amp;"*")&gt;0)*1))</f>
        <v>0</v>
      </c>
      <c r="AQ80" s="1044">
        <f t="shared" ref="AQ80:AQ143" si="111">IF(B80="",0,SUMPRODUCT(($BV$11:$AGG$11="Fruits a coque")*($BV$12:$AGG$12="ALERTE")*(COUNTIF($P80,"*"&amp;$BV$13:$AGG$13&amp;"*")&gt;0)*1))</f>
        <v>0</v>
      </c>
      <c r="AR80" s="1044" t="str">
        <f t="shared" ref="AR80:AR143" si="112">IF(B80="","",IF(AND(AQ80&gt;0,AP80=0),"⚠ Fruits a coque",""))</f>
        <v/>
      </c>
      <c r="AS80" s="1044">
        <f t="shared" ref="AS80:AS143" si="113">IF(B80="",0,SUMPRODUCT(($BV$11:$AGG$11="Celeri")*($BV$12:$AGG$12="ALERTE")*(COUNTIF($P80,"*"&amp;$BV$13:$AGG$13&amp;"*")&gt;0)*1))</f>
        <v>0</v>
      </c>
      <c r="AT80" s="1044" t="str">
        <f t="shared" ref="AT80:AT143" si="114">IF(B80="","",IF(AS80&gt;0,"⚠ Celeri",""))</f>
        <v/>
      </c>
      <c r="AU80" s="1044">
        <f t="shared" ref="AU80:AU143" si="115">IF(B80="",0,SUMPRODUCT(($BV$11:$AGG$11="Moutarde")*($BV$12:$AGG$12="ALERTE")*(COUNTIF($P80,"*"&amp;$BV$13:$AGG$13&amp;"*")&gt;0)*1))</f>
        <v>0</v>
      </c>
      <c r="AV80" s="1044" t="str">
        <f t="shared" ref="AV80:AV143" si="116">IF(B80="","",IF(AU80&gt;0,"⚠ Moutarde",""))</f>
        <v/>
      </c>
      <c r="AW80" s="1044">
        <f t="shared" ref="AW80:AW143" si="117">IF(B80="",0,SUMPRODUCT(($BV$11:$AGG$11="Sesame")*($BV$12:$AGG$12="ALERTE")*(COUNTIF($P80,"*"&amp;$BV$13:$AGG$13&amp;"*")&gt;0)*1))</f>
        <v>0</v>
      </c>
      <c r="AX80" s="1044" t="str">
        <f t="shared" ref="AX80:AX143" si="118">IF(B80="","",IF(AW80&gt;0,"⚠ Sesame",""))</f>
        <v/>
      </c>
      <c r="AY80" s="1044">
        <f t="shared" ref="AY80:AY143" si="119">IF(B80="",0,SUMPRODUCT(($BV$11:$AGG$11="Sulfites")*($BV$12:$AGG$12="ALERTE")*(COUNTIF($P80,"*"&amp;$BV$13:$AGG$13&amp;"*")&gt;0)*1))</f>
        <v>0</v>
      </c>
      <c r="AZ80" s="1044" t="str">
        <f t="shared" ref="AZ80:AZ143" si="120">IF(B80="","",IF(AY80&gt;0,"⚠ Sulfites",""))</f>
        <v/>
      </c>
      <c r="BA80" s="1044">
        <f t="shared" ref="BA80:BA143" si="121">IF(B80="",0,SUMPRODUCT(($BV$11:$AGG$11="Lupin")*($BV$12:$AGG$12="ALERTE")*(COUNTIF($P80,"*"&amp;$BV$13:$AGG$13&amp;"*")&gt;0)*1))</f>
        <v>0</v>
      </c>
      <c r="BB80" s="1044" t="str">
        <f t="shared" ref="BB80:BB143" si="122">IF(B80="","",IF(BA80&gt;0,"⚠ Lupin",""))</f>
        <v/>
      </c>
      <c r="BC80" s="1044">
        <f t="shared" ref="BC80:BC143" si="123">IF(B80="",0,SUMPRODUCT(($BV$11:$AGG$11="Mollusques")*($BV$12:$AGG$12="EXCL")*(COUNTIF($P80,"*"&amp;$BV$13:$AGG$13&amp;"*")&gt;0)*1))</f>
        <v>0</v>
      </c>
      <c r="BD80" s="1044">
        <f t="shared" ref="BD80:BD143" si="124">IF(B80="",0,SUMPRODUCT(($BV$11:$AGG$11="Mollusques")*($BV$12:$AGG$12="ALERTE")*(COUNTIF($P80,"*"&amp;$BV$13:$AGG$13&amp;"*")&gt;0)*1))</f>
        <v>0</v>
      </c>
      <c r="BE80" s="1044" t="str">
        <f t="shared" ref="BE80:BE143" si="125">IF(B80="","",IF(AND(BD80&gt;0,BC80=0),"⚠ Mollusques",""))</f>
        <v/>
      </c>
      <c r="BF80" s="1044" t="str">
        <f t="shared" ref="BF80:BF143" si="126">IF(B80="","",U80)</f>
        <v/>
      </c>
      <c r="BG80" s="1044" t="str">
        <f t="shared" ref="BG80:BG143" si="127">IF(B80="","",IF(X80="",BF80,IF(BF80="",X80,BF80&amp;" • "&amp;X80)))</f>
        <v/>
      </c>
      <c r="BH80" s="1044" t="str">
        <f t="shared" ref="BH80:BH143" si="128">IF(B80="","",IF(Z80="",BG80,IF(BG80="",Z80,BG80&amp;" • "&amp;Z80)))</f>
        <v/>
      </c>
      <c r="BI80" s="1044" t="str">
        <f t="shared" ref="BI80:BI143" si="129">IF(B80="","",IF(AD80="",BH80,IF(BH80="",AD80,BH80&amp;" • "&amp;AD80)))</f>
        <v/>
      </c>
      <c r="BJ80" s="1044" t="str">
        <f t="shared" ref="BJ80:BJ143" si="130">IF(B80="","",IF(AF80="",BI80,IF(BI80="",AF80,BI80&amp;" • "&amp;AF80)))</f>
        <v/>
      </c>
      <c r="BK80" s="1044" t="str">
        <f t="shared" ref="BK80:BK143" si="131">IF(B80="","",IF(AI80="",BJ80,IF(BJ80="",AI80,BJ80&amp;" • "&amp;AI80)))</f>
        <v/>
      </c>
      <c r="BL80" s="1044" t="str">
        <f t="shared" ref="BL80:BL143" si="132">IF(B80="","",IF(AN80="",BK80,IF(BK80="",AN80,BK80&amp;" • "&amp;AN80)))</f>
        <v/>
      </c>
      <c r="BM80" s="1044" t="str">
        <f t="shared" ref="BM80:BM143" si="133">IF(B80="","",IF(AR80="",BL80,IF(BL80="",AR80,BL80&amp;" • "&amp;AR80)))</f>
        <v/>
      </c>
      <c r="BN80" s="1044" t="str">
        <f t="shared" ref="BN80:BN143" si="134">IF(B80="","",IF(AT80="",BM80,IF(BM80="",AT80,BM80&amp;" • "&amp;AT80)))</f>
        <v/>
      </c>
      <c r="BO80" s="1044" t="str">
        <f t="shared" ref="BO80:BO143" si="135">IF(B80="","",IF(AV80="",BN80,IF(BN80="",AV80,BN80&amp;" • "&amp;AV80)))</f>
        <v/>
      </c>
      <c r="BP80" s="1044" t="str">
        <f t="shared" ref="BP80:BP143" si="136">IF(B80="","",IF(AX80="",BO80,IF(BO80="",AX80,BO80&amp;" • "&amp;AX80)))</f>
        <v/>
      </c>
      <c r="BQ80" s="1044" t="str">
        <f t="shared" ref="BQ80:BQ143" si="137">IF(B80="","",IF(AZ80="",BP80,IF(BP80="",AZ80,BP80&amp;" • "&amp;AZ80)))</f>
        <v/>
      </c>
      <c r="BR80" s="1044" t="str">
        <f t="shared" ref="BR80:BR143" si="138">IF(B80="","",IF(BB80="",BQ80,IF(BQ80="",BB80,BQ80&amp;" • "&amp;BB80)))</f>
        <v/>
      </c>
      <c r="BS80" s="1044" t="str">
        <f t="shared" ref="BS80:BS143" si="139">IF(B80="","",IF(BE80="",BR80,IF(BR80="",BE80,BR80&amp;" • "&amp;BE80)))</f>
        <v/>
      </c>
      <c r="BT80" s="1044" t="str">
        <f t="shared" ref="BT80:BT143" si="140">IF(B80="","",V80)</f>
        <v/>
      </c>
      <c r="BU80" s="1044" t="str">
        <f t="shared" ref="BU80:BU143" si="141">IF(B80="","",IF(AO80="",BT80,IF(BT80="",AO80,BT80&amp;" • "&amp;AO80)))</f>
        <v/>
      </c>
    </row>
    <row r="81" spans="1:73" ht="30" customHeight="1">
      <c r="A81" s="1069" t="str">
        <f t="shared" si="71"/>
        <v/>
      </c>
      <c r="B81" s="1063"/>
      <c r="C81" s="1064" t="s">
        <v>254</v>
      </c>
      <c r="D81" s="1070" t="str">
        <f t="shared" si="72"/>
        <v/>
      </c>
      <c r="E81" s="1071" t="str">
        <f t="shared" si="73"/>
        <v/>
      </c>
      <c r="F81" s="1067" t="str">
        <f t="shared" si="74"/>
        <v/>
      </c>
      <c r="G81" s="1068" t="str">
        <f t="shared" si="75"/>
        <v/>
      </c>
      <c r="H81" s="1069" t="str">
        <f t="shared" si="76"/>
        <v/>
      </c>
      <c r="I81" s="1069" t="str">
        <f t="shared" si="77"/>
        <v/>
      </c>
      <c r="J81" s="1067" t="str">
        <f t="shared" si="78"/>
        <v/>
      </c>
      <c r="K81" s="1044" t="str">
        <f t="shared" si="79"/>
        <v/>
      </c>
      <c r="L81" s="1044" t="str">
        <f t="shared" si="80"/>
        <v/>
      </c>
      <c r="M81" s="1044" t="str">
        <f t="shared" si="81"/>
        <v/>
      </c>
      <c r="N81" s="1044" t="str">
        <f t="shared" si="82"/>
        <v/>
      </c>
      <c r="O81" s="1044" t="str">
        <f t="shared" si="83"/>
        <v/>
      </c>
      <c r="P81" s="1044" t="str">
        <f t="shared" si="84"/>
        <v/>
      </c>
      <c r="Q81" s="1044">
        <f t="shared" si="85"/>
        <v>0</v>
      </c>
      <c r="R81" s="1044">
        <f t="shared" si="86"/>
        <v>0</v>
      </c>
      <c r="S81" s="1044">
        <f t="shared" si="87"/>
        <v>0</v>
      </c>
      <c r="T81" s="1044">
        <f t="shared" si="88"/>
        <v>0</v>
      </c>
      <c r="U81" s="1044" t="str">
        <f t="shared" si="89"/>
        <v/>
      </c>
      <c r="V81" s="1044" t="str">
        <f t="shared" si="90"/>
        <v/>
      </c>
      <c r="W81" s="1044">
        <f t="shared" si="91"/>
        <v>0</v>
      </c>
      <c r="X81" s="1044" t="str">
        <f t="shared" si="92"/>
        <v/>
      </c>
      <c r="Y81" s="1044">
        <f t="shared" si="93"/>
        <v>0</v>
      </c>
      <c r="Z81" s="1044" t="str">
        <f t="shared" si="94"/>
        <v/>
      </c>
      <c r="AA81" s="1044">
        <f t="shared" si="95"/>
        <v>0</v>
      </c>
      <c r="AB81" s="1044">
        <f t="shared" si="96"/>
        <v>0</v>
      </c>
      <c r="AC81" s="1044">
        <f t="shared" si="97"/>
        <v>0</v>
      </c>
      <c r="AD81" s="1044" t="str">
        <f t="shared" si="98"/>
        <v/>
      </c>
      <c r="AE81" s="1044">
        <f t="shared" si="99"/>
        <v>0</v>
      </c>
      <c r="AF81" s="1044" t="str">
        <f t="shared" si="100"/>
        <v/>
      </c>
      <c r="AG81" s="1044">
        <f t="shared" si="101"/>
        <v>0</v>
      </c>
      <c r="AH81" s="1044">
        <f t="shared" si="102"/>
        <v>0</v>
      </c>
      <c r="AI81" s="1044" t="str">
        <f t="shared" si="103"/>
        <v/>
      </c>
      <c r="AJ81" s="1044">
        <f t="shared" si="104"/>
        <v>0</v>
      </c>
      <c r="AK81" s="1044">
        <f t="shared" si="105"/>
        <v>0</v>
      </c>
      <c r="AL81" s="1044">
        <f t="shared" si="106"/>
        <v>0</v>
      </c>
      <c r="AM81" s="1044">
        <f t="shared" si="107"/>
        <v>0</v>
      </c>
      <c r="AN81" s="1044" t="str">
        <f t="shared" si="108"/>
        <v/>
      </c>
      <c r="AO81" s="1044" t="str">
        <f t="shared" si="109"/>
        <v/>
      </c>
      <c r="AP81" s="1044">
        <f t="shared" si="110"/>
        <v>0</v>
      </c>
      <c r="AQ81" s="1044">
        <f t="shared" si="111"/>
        <v>0</v>
      </c>
      <c r="AR81" s="1044" t="str">
        <f t="shared" si="112"/>
        <v/>
      </c>
      <c r="AS81" s="1044">
        <f t="shared" si="113"/>
        <v>0</v>
      </c>
      <c r="AT81" s="1044" t="str">
        <f t="shared" si="114"/>
        <v/>
      </c>
      <c r="AU81" s="1044">
        <f t="shared" si="115"/>
        <v>0</v>
      </c>
      <c r="AV81" s="1044" t="str">
        <f t="shared" si="116"/>
        <v/>
      </c>
      <c r="AW81" s="1044">
        <f t="shared" si="117"/>
        <v>0</v>
      </c>
      <c r="AX81" s="1044" t="str">
        <f t="shared" si="118"/>
        <v/>
      </c>
      <c r="AY81" s="1044">
        <f t="shared" si="119"/>
        <v>0</v>
      </c>
      <c r="AZ81" s="1044" t="str">
        <f t="shared" si="120"/>
        <v/>
      </c>
      <c r="BA81" s="1044">
        <f t="shared" si="121"/>
        <v>0</v>
      </c>
      <c r="BB81" s="1044" t="str">
        <f t="shared" si="122"/>
        <v/>
      </c>
      <c r="BC81" s="1044">
        <f t="shared" si="123"/>
        <v>0</v>
      </c>
      <c r="BD81" s="1044">
        <f t="shared" si="124"/>
        <v>0</v>
      </c>
      <c r="BE81" s="1044" t="str">
        <f t="shared" si="125"/>
        <v/>
      </c>
      <c r="BF81" s="1044" t="str">
        <f t="shared" si="126"/>
        <v/>
      </c>
      <c r="BG81" s="1044" t="str">
        <f t="shared" si="127"/>
        <v/>
      </c>
      <c r="BH81" s="1044" t="str">
        <f t="shared" si="128"/>
        <v/>
      </c>
      <c r="BI81" s="1044" t="str">
        <f t="shared" si="129"/>
        <v/>
      </c>
      <c r="BJ81" s="1044" t="str">
        <f t="shared" si="130"/>
        <v/>
      </c>
      <c r="BK81" s="1044" t="str">
        <f t="shared" si="131"/>
        <v/>
      </c>
      <c r="BL81" s="1044" t="str">
        <f t="shared" si="132"/>
        <v/>
      </c>
      <c r="BM81" s="1044" t="str">
        <f t="shared" si="133"/>
        <v/>
      </c>
      <c r="BN81" s="1044" t="str">
        <f t="shared" si="134"/>
        <v/>
      </c>
      <c r="BO81" s="1044" t="str">
        <f t="shared" si="135"/>
        <v/>
      </c>
      <c r="BP81" s="1044" t="str">
        <f t="shared" si="136"/>
        <v/>
      </c>
      <c r="BQ81" s="1044" t="str">
        <f t="shared" si="137"/>
        <v/>
      </c>
      <c r="BR81" s="1044" t="str">
        <f t="shared" si="138"/>
        <v/>
      </c>
      <c r="BS81" s="1044" t="str">
        <f t="shared" si="139"/>
        <v/>
      </c>
      <c r="BT81" s="1044" t="str">
        <f t="shared" si="140"/>
        <v/>
      </c>
      <c r="BU81" s="1044" t="str">
        <f t="shared" si="141"/>
        <v/>
      </c>
    </row>
    <row r="82" spans="1:73" ht="30" customHeight="1">
      <c r="A82" s="1069" t="str">
        <f t="shared" si="71"/>
        <v/>
      </c>
      <c r="B82" s="1063"/>
      <c r="C82" s="1064" t="s">
        <v>254</v>
      </c>
      <c r="D82" s="1070" t="str">
        <f t="shared" si="72"/>
        <v/>
      </c>
      <c r="E82" s="1071" t="str">
        <f t="shared" si="73"/>
        <v/>
      </c>
      <c r="F82" s="1067" t="str">
        <f t="shared" si="74"/>
        <v/>
      </c>
      <c r="G82" s="1068" t="str">
        <f t="shared" si="75"/>
        <v/>
      </c>
      <c r="H82" s="1069" t="str">
        <f t="shared" si="76"/>
        <v/>
      </c>
      <c r="I82" s="1069" t="str">
        <f t="shared" si="77"/>
        <v/>
      </c>
      <c r="J82" s="1067" t="str">
        <f t="shared" si="78"/>
        <v/>
      </c>
      <c r="K82" s="1044" t="str">
        <f t="shared" si="79"/>
        <v/>
      </c>
      <c r="L82" s="1044" t="str">
        <f t="shared" si="80"/>
        <v/>
      </c>
      <c r="M82" s="1044" t="str">
        <f t="shared" si="81"/>
        <v/>
      </c>
      <c r="N82" s="1044" t="str">
        <f t="shared" si="82"/>
        <v/>
      </c>
      <c r="O82" s="1044" t="str">
        <f t="shared" si="83"/>
        <v/>
      </c>
      <c r="P82" s="1044" t="str">
        <f t="shared" si="84"/>
        <v/>
      </c>
      <c r="Q82" s="1044">
        <f t="shared" si="85"/>
        <v>0</v>
      </c>
      <c r="R82" s="1044">
        <f t="shared" si="86"/>
        <v>0</v>
      </c>
      <c r="S82" s="1044">
        <f t="shared" si="87"/>
        <v>0</v>
      </c>
      <c r="T82" s="1044">
        <f t="shared" si="88"/>
        <v>0</v>
      </c>
      <c r="U82" s="1044" t="str">
        <f t="shared" si="89"/>
        <v/>
      </c>
      <c r="V82" s="1044" t="str">
        <f t="shared" si="90"/>
        <v/>
      </c>
      <c r="W82" s="1044">
        <f t="shared" si="91"/>
        <v>0</v>
      </c>
      <c r="X82" s="1044" t="str">
        <f t="shared" si="92"/>
        <v/>
      </c>
      <c r="Y82" s="1044">
        <f t="shared" si="93"/>
        <v>0</v>
      </c>
      <c r="Z82" s="1044" t="str">
        <f t="shared" si="94"/>
        <v/>
      </c>
      <c r="AA82" s="1044">
        <f t="shared" si="95"/>
        <v>0</v>
      </c>
      <c r="AB82" s="1044">
        <f t="shared" si="96"/>
        <v>0</v>
      </c>
      <c r="AC82" s="1044">
        <f t="shared" si="97"/>
        <v>0</v>
      </c>
      <c r="AD82" s="1044" t="str">
        <f t="shared" si="98"/>
        <v/>
      </c>
      <c r="AE82" s="1044">
        <f t="shared" si="99"/>
        <v>0</v>
      </c>
      <c r="AF82" s="1044" t="str">
        <f t="shared" si="100"/>
        <v/>
      </c>
      <c r="AG82" s="1044">
        <f t="shared" si="101"/>
        <v>0</v>
      </c>
      <c r="AH82" s="1044">
        <f t="shared" si="102"/>
        <v>0</v>
      </c>
      <c r="AI82" s="1044" t="str">
        <f t="shared" si="103"/>
        <v/>
      </c>
      <c r="AJ82" s="1044">
        <f t="shared" si="104"/>
        <v>0</v>
      </c>
      <c r="AK82" s="1044">
        <f t="shared" si="105"/>
        <v>0</v>
      </c>
      <c r="AL82" s="1044">
        <f t="shared" si="106"/>
        <v>0</v>
      </c>
      <c r="AM82" s="1044">
        <f t="shared" si="107"/>
        <v>0</v>
      </c>
      <c r="AN82" s="1044" t="str">
        <f t="shared" si="108"/>
        <v/>
      </c>
      <c r="AO82" s="1044" t="str">
        <f t="shared" si="109"/>
        <v/>
      </c>
      <c r="AP82" s="1044">
        <f t="shared" si="110"/>
        <v>0</v>
      </c>
      <c r="AQ82" s="1044">
        <f t="shared" si="111"/>
        <v>0</v>
      </c>
      <c r="AR82" s="1044" t="str">
        <f t="shared" si="112"/>
        <v/>
      </c>
      <c r="AS82" s="1044">
        <f t="shared" si="113"/>
        <v>0</v>
      </c>
      <c r="AT82" s="1044" t="str">
        <f t="shared" si="114"/>
        <v/>
      </c>
      <c r="AU82" s="1044">
        <f t="shared" si="115"/>
        <v>0</v>
      </c>
      <c r="AV82" s="1044" t="str">
        <f t="shared" si="116"/>
        <v/>
      </c>
      <c r="AW82" s="1044">
        <f t="shared" si="117"/>
        <v>0</v>
      </c>
      <c r="AX82" s="1044" t="str">
        <f t="shared" si="118"/>
        <v/>
      </c>
      <c r="AY82" s="1044">
        <f t="shared" si="119"/>
        <v>0</v>
      </c>
      <c r="AZ82" s="1044" t="str">
        <f t="shared" si="120"/>
        <v/>
      </c>
      <c r="BA82" s="1044">
        <f t="shared" si="121"/>
        <v>0</v>
      </c>
      <c r="BB82" s="1044" t="str">
        <f t="shared" si="122"/>
        <v/>
      </c>
      <c r="BC82" s="1044">
        <f t="shared" si="123"/>
        <v>0</v>
      </c>
      <c r="BD82" s="1044">
        <f t="shared" si="124"/>
        <v>0</v>
      </c>
      <c r="BE82" s="1044" t="str">
        <f t="shared" si="125"/>
        <v/>
      </c>
      <c r="BF82" s="1044" t="str">
        <f t="shared" si="126"/>
        <v/>
      </c>
      <c r="BG82" s="1044" t="str">
        <f t="shared" si="127"/>
        <v/>
      </c>
      <c r="BH82" s="1044" t="str">
        <f t="shared" si="128"/>
        <v/>
      </c>
      <c r="BI82" s="1044" t="str">
        <f t="shared" si="129"/>
        <v/>
      </c>
      <c r="BJ82" s="1044" t="str">
        <f t="shared" si="130"/>
        <v/>
      </c>
      <c r="BK82" s="1044" t="str">
        <f t="shared" si="131"/>
        <v/>
      </c>
      <c r="BL82" s="1044" t="str">
        <f t="shared" si="132"/>
        <v/>
      </c>
      <c r="BM82" s="1044" t="str">
        <f t="shared" si="133"/>
        <v/>
      </c>
      <c r="BN82" s="1044" t="str">
        <f t="shared" si="134"/>
        <v/>
      </c>
      <c r="BO82" s="1044" t="str">
        <f t="shared" si="135"/>
        <v/>
      </c>
      <c r="BP82" s="1044" t="str">
        <f t="shared" si="136"/>
        <v/>
      </c>
      <c r="BQ82" s="1044" t="str">
        <f t="shared" si="137"/>
        <v/>
      </c>
      <c r="BR82" s="1044" t="str">
        <f t="shared" si="138"/>
        <v/>
      </c>
      <c r="BS82" s="1044" t="str">
        <f t="shared" si="139"/>
        <v/>
      </c>
      <c r="BT82" s="1044" t="str">
        <f t="shared" si="140"/>
        <v/>
      </c>
      <c r="BU82" s="1044" t="str">
        <f t="shared" si="141"/>
        <v/>
      </c>
    </row>
    <row r="83" spans="1:73" ht="30" customHeight="1">
      <c r="A83" s="1069" t="str">
        <f t="shared" si="71"/>
        <v/>
      </c>
      <c r="B83" s="1063"/>
      <c r="C83" s="1064" t="s">
        <v>254</v>
      </c>
      <c r="D83" s="1070" t="str">
        <f t="shared" si="72"/>
        <v/>
      </c>
      <c r="E83" s="1071" t="str">
        <f t="shared" si="73"/>
        <v/>
      </c>
      <c r="F83" s="1067" t="str">
        <f t="shared" si="74"/>
        <v/>
      </c>
      <c r="G83" s="1068" t="str">
        <f t="shared" si="75"/>
        <v/>
      </c>
      <c r="H83" s="1069" t="str">
        <f t="shared" si="76"/>
        <v/>
      </c>
      <c r="I83" s="1069" t="str">
        <f t="shared" si="77"/>
        <v/>
      </c>
      <c r="J83" s="1067" t="str">
        <f t="shared" si="78"/>
        <v/>
      </c>
      <c r="K83" s="1044" t="str">
        <f t="shared" si="79"/>
        <v/>
      </c>
      <c r="L83" s="1044" t="str">
        <f t="shared" si="80"/>
        <v/>
      </c>
      <c r="M83" s="1044" t="str">
        <f t="shared" si="81"/>
        <v/>
      </c>
      <c r="N83" s="1044" t="str">
        <f t="shared" si="82"/>
        <v/>
      </c>
      <c r="O83" s="1044" t="str">
        <f t="shared" si="83"/>
        <v/>
      </c>
      <c r="P83" s="1044" t="str">
        <f t="shared" si="84"/>
        <v/>
      </c>
      <c r="Q83" s="1044">
        <f t="shared" si="85"/>
        <v>0</v>
      </c>
      <c r="R83" s="1044">
        <f t="shared" si="86"/>
        <v>0</v>
      </c>
      <c r="S83" s="1044">
        <f t="shared" si="87"/>
        <v>0</v>
      </c>
      <c r="T83" s="1044">
        <f t="shared" si="88"/>
        <v>0</v>
      </c>
      <c r="U83" s="1044" t="str">
        <f t="shared" si="89"/>
        <v/>
      </c>
      <c r="V83" s="1044" t="str">
        <f t="shared" si="90"/>
        <v/>
      </c>
      <c r="W83" s="1044">
        <f t="shared" si="91"/>
        <v>0</v>
      </c>
      <c r="X83" s="1044" t="str">
        <f t="shared" si="92"/>
        <v/>
      </c>
      <c r="Y83" s="1044">
        <f t="shared" si="93"/>
        <v>0</v>
      </c>
      <c r="Z83" s="1044" t="str">
        <f t="shared" si="94"/>
        <v/>
      </c>
      <c r="AA83" s="1044">
        <f t="shared" si="95"/>
        <v>0</v>
      </c>
      <c r="AB83" s="1044">
        <f t="shared" si="96"/>
        <v>0</v>
      </c>
      <c r="AC83" s="1044">
        <f t="shared" si="97"/>
        <v>0</v>
      </c>
      <c r="AD83" s="1044" t="str">
        <f t="shared" si="98"/>
        <v/>
      </c>
      <c r="AE83" s="1044">
        <f t="shared" si="99"/>
        <v>0</v>
      </c>
      <c r="AF83" s="1044" t="str">
        <f t="shared" si="100"/>
        <v/>
      </c>
      <c r="AG83" s="1044">
        <f t="shared" si="101"/>
        <v>0</v>
      </c>
      <c r="AH83" s="1044">
        <f t="shared" si="102"/>
        <v>0</v>
      </c>
      <c r="AI83" s="1044" t="str">
        <f t="shared" si="103"/>
        <v/>
      </c>
      <c r="AJ83" s="1044">
        <f t="shared" si="104"/>
        <v>0</v>
      </c>
      <c r="AK83" s="1044">
        <f t="shared" si="105"/>
        <v>0</v>
      </c>
      <c r="AL83" s="1044">
        <f t="shared" si="106"/>
        <v>0</v>
      </c>
      <c r="AM83" s="1044">
        <f t="shared" si="107"/>
        <v>0</v>
      </c>
      <c r="AN83" s="1044" t="str">
        <f t="shared" si="108"/>
        <v/>
      </c>
      <c r="AO83" s="1044" t="str">
        <f t="shared" si="109"/>
        <v/>
      </c>
      <c r="AP83" s="1044">
        <f t="shared" si="110"/>
        <v>0</v>
      </c>
      <c r="AQ83" s="1044">
        <f t="shared" si="111"/>
        <v>0</v>
      </c>
      <c r="AR83" s="1044" t="str">
        <f t="shared" si="112"/>
        <v/>
      </c>
      <c r="AS83" s="1044">
        <f t="shared" si="113"/>
        <v>0</v>
      </c>
      <c r="AT83" s="1044" t="str">
        <f t="shared" si="114"/>
        <v/>
      </c>
      <c r="AU83" s="1044">
        <f t="shared" si="115"/>
        <v>0</v>
      </c>
      <c r="AV83" s="1044" t="str">
        <f t="shared" si="116"/>
        <v/>
      </c>
      <c r="AW83" s="1044">
        <f t="shared" si="117"/>
        <v>0</v>
      </c>
      <c r="AX83" s="1044" t="str">
        <f t="shared" si="118"/>
        <v/>
      </c>
      <c r="AY83" s="1044">
        <f t="shared" si="119"/>
        <v>0</v>
      </c>
      <c r="AZ83" s="1044" t="str">
        <f t="shared" si="120"/>
        <v/>
      </c>
      <c r="BA83" s="1044">
        <f t="shared" si="121"/>
        <v>0</v>
      </c>
      <c r="BB83" s="1044" t="str">
        <f t="shared" si="122"/>
        <v/>
      </c>
      <c r="BC83" s="1044">
        <f t="shared" si="123"/>
        <v>0</v>
      </c>
      <c r="BD83" s="1044">
        <f t="shared" si="124"/>
        <v>0</v>
      </c>
      <c r="BE83" s="1044" t="str">
        <f t="shared" si="125"/>
        <v/>
      </c>
      <c r="BF83" s="1044" t="str">
        <f t="shared" si="126"/>
        <v/>
      </c>
      <c r="BG83" s="1044" t="str">
        <f t="shared" si="127"/>
        <v/>
      </c>
      <c r="BH83" s="1044" t="str">
        <f t="shared" si="128"/>
        <v/>
      </c>
      <c r="BI83" s="1044" t="str">
        <f t="shared" si="129"/>
        <v/>
      </c>
      <c r="BJ83" s="1044" t="str">
        <f t="shared" si="130"/>
        <v/>
      </c>
      <c r="BK83" s="1044" t="str">
        <f t="shared" si="131"/>
        <v/>
      </c>
      <c r="BL83" s="1044" t="str">
        <f t="shared" si="132"/>
        <v/>
      </c>
      <c r="BM83" s="1044" t="str">
        <f t="shared" si="133"/>
        <v/>
      </c>
      <c r="BN83" s="1044" t="str">
        <f t="shared" si="134"/>
        <v/>
      </c>
      <c r="BO83" s="1044" t="str">
        <f t="shared" si="135"/>
        <v/>
      </c>
      <c r="BP83" s="1044" t="str">
        <f t="shared" si="136"/>
        <v/>
      </c>
      <c r="BQ83" s="1044" t="str">
        <f t="shared" si="137"/>
        <v/>
      </c>
      <c r="BR83" s="1044" t="str">
        <f t="shared" si="138"/>
        <v/>
      </c>
      <c r="BS83" s="1044" t="str">
        <f t="shared" si="139"/>
        <v/>
      </c>
      <c r="BT83" s="1044" t="str">
        <f t="shared" si="140"/>
        <v/>
      </c>
      <c r="BU83" s="1044" t="str">
        <f t="shared" si="141"/>
        <v/>
      </c>
    </row>
    <row r="84" spans="1:73" ht="30" customHeight="1">
      <c r="A84" s="1069" t="str">
        <f t="shared" si="71"/>
        <v/>
      </c>
      <c r="B84" s="1063"/>
      <c r="C84" s="1064" t="s">
        <v>254</v>
      </c>
      <c r="D84" s="1070" t="str">
        <f t="shared" si="72"/>
        <v/>
      </c>
      <c r="E84" s="1071" t="str">
        <f t="shared" si="73"/>
        <v/>
      </c>
      <c r="F84" s="1067" t="str">
        <f t="shared" si="74"/>
        <v/>
      </c>
      <c r="G84" s="1068" t="str">
        <f t="shared" si="75"/>
        <v/>
      </c>
      <c r="H84" s="1069" t="str">
        <f t="shared" si="76"/>
        <v/>
      </c>
      <c r="I84" s="1069" t="str">
        <f t="shared" si="77"/>
        <v/>
      </c>
      <c r="J84" s="1067" t="str">
        <f t="shared" si="78"/>
        <v/>
      </c>
      <c r="K84" s="1044" t="str">
        <f t="shared" si="79"/>
        <v/>
      </c>
      <c r="L84" s="1044" t="str">
        <f t="shared" si="80"/>
        <v/>
      </c>
      <c r="M84" s="1044" t="str">
        <f t="shared" si="81"/>
        <v/>
      </c>
      <c r="N84" s="1044" t="str">
        <f t="shared" si="82"/>
        <v/>
      </c>
      <c r="O84" s="1044" t="str">
        <f t="shared" si="83"/>
        <v/>
      </c>
      <c r="P84" s="1044" t="str">
        <f t="shared" si="84"/>
        <v/>
      </c>
      <c r="Q84" s="1044">
        <f t="shared" si="85"/>
        <v>0</v>
      </c>
      <c r="R84" s="1044">
        <f t="shared" si="86"/>
        <v>0</v>
      </c>
      <c r="S84" s="1044">
        <f t="shared" si="87"/>
        <v>0</v>
      </c>
      <c r="T84" s="1044">
        <f t="shared" si="88"/>
        <v>0</v>
      </c>
      <c r="U84" s="1044" t="str">
        <f t="shared" si="89"/>
        <v/>
      </c>
      <c r="V84" s="1044" t="str">
        <f t="shared" si="90"/>
        <v/>
      </c>
      <c r="W84" s="1044">
        <f t="shared" si="91"/>
        <v>0</v>
      </c>
      <c r="X84" s="1044" t="str">
        <f t="shared" si="92"/>
        <v/>
      </c>
      <c r="Y84" s="1044">
        <f t="shared" si="93"/>
        <v>0</v>
      </c>
      <c r="Z84" s="1044" t="str">
        <f t="shared" si="94"/>
        <v/>
      </c>
      <c r="AA84" s="1044">
        <f t="shared" si="95"/>
        <v>0</v>
      </c>
      <c r="AB84" s="1044">
        <f t="shared" si="96"/>
        <v>0</v>
      </c>
      <c r="AC84" s="1044">
        <f t="shared" si="97"/>
        <v>0</v>
      </c>
      <c r="AD84" s="1044" t="str">
        <f t="shared" si="98"/>
        <v/>
      </c>
      <c r="AE84" s="1044">
        <f t="shared" si="99"/>
        <v>0</v>
      </c>
      <c r="AF84" s="1044" t="str">
        <f t="shared" si="100"/>
        <v/>
      </c>
      <c r="AG84" s="1044">
        <f t="shared" si="101"/>
        <v>0</v>
      </c>
      <c r="AH84" s="1044">
        <f t="shared" si="102"/>
        <v>0</v>
      </c>
      <c r="AI84" s="1044" t="str">
        <f t="shared" si="103"/>
        <v/>
      </c>
      <c r="AJ84" s="1044">
        <f t="shared" si="104"/>
        <v>0</v>
      </c>
      <c r="AK84" s="1044">
        <f t="shared" si="105"/>
        <v>0</v>
      </c>
      <c r="AL84" s="1044">
        <f t="shared" si="106"/>
        <v>0</v>
      </c>
      <c r="AM84" s="1044">
        <f t="shared" si="107"/>
        <v>0</v>
      </c>
      <c r="AN84" s="1044" t="str">
        <f t="shared" si="108"/>
        <v/>
      </c>
      <c r="AO84" s="1044" t="str">
        <f t="shared" si="109"/>
        <v/>
      </c>
      <c r="AP84" s="1044">
        <f t="shared" si="110"/>
        <v>0</v>
      </c>
      <c r="AQ84" s="1044">
        <f t="shared" si="111"/>
        <v>0</v>
      </c>
      <c r="AR84" s="1044" t="str">
        <f t="shared" si="112"/>
        <v/>
      </c>
      <c r="AS84" s="1044">
        <f t="shared" si="113"/>
        <v>0</v>
      </c>
      <c r="AT84" s="1044" t="str">
        <f t="shared" si="114"/>
        <v/>
      </c>
      <c r="AU84" s="1044">
        <f t="shared" si="115"/>
        <v>0</v>
      </c>
      <c r="AV84" s="1044" t="str">
        <f t="shared" si="116"/>
        <v/>
      </c>
      <c r="AW84" s="1044">
        <f t="shared" si="117"/>
        <v>0</v>
      </c>
      <c r="AX84" s="1044" t="str">
        <f t="shared" si="118"/>
        <v/>
      </c>
      <c r="AY84" s="1044">
        <f t="shared" si="119"/>
        <v>0</v>
      </c>
      <c r="AZ84" s="1044" t="str">
        <f t="shared" si="120"/>
        <v/>
      </c>
      <c r="BA84" s="1044">
        <f t="shared" si="121"/>
        <v>0</v>
      </c>
      <c r="BB84" s="1044" t="str">
        <f t="shared" si="122"/>
        <v/>
      </c>
      <c r="BC84" s="1044">
        <f t="shared" si="123"/>
        <v>0</v>
      </c>
      <c r="BD84" s="1044">
        <f t="shared" si="124"/>
        <v>0</v>
      </c>
      <c r="BE84" s="1044" t="str">
        <f t="shared" si="125"/>
        <v/>
      </c>
      <c r="BF84" s="1044" t="str">
        <f t="shared" si="126"/>
        <v/>
      </c>
      <c r="BG84" s="1044" t="str">
        <f t="shared" si="127"/>
        <v/>
      </c>
      <c r="BH84" s="1044" t="str">
        <f t="shared" si="128"/>
        <v/>
      </c>
      <c r="BI84" s="1044" t="str">
        <f t="shared" si="129"/>
        <v/>
      </c>
      <c r="BJ84" s="1044" t="str">
        <f t="shared" si="130"/>
        <v/>
      </c>
      <c r="BK84" s="1044" t="str">
        <f t="shared" si="131"/>
        <v/>
      </c>
      <c r="BL84" s="1044" t="str">
        <f t="shared" si="132"/>
        <v/>
      </c>
      <c r="BM84" s="1044" t="str">
        <f t="shared" si="133"/>
        <v/>
      </c>
      <c r="BN84" s="1044" t="str">
        <f t="shared" si="134"/>
        <v/>
      </c>
      <c r="BO84" s="1044" t="str">
        <f t="shared" si="135"/>
        <v/>
      </c>
      <c r="BP84" s="1044" t="str">
        <f t="shared" si="136"/>
        <v/>
      </c>
      <c r="BQ84" s="1044" t="str">
        <f t="shared" si="137"/>
        <v/>
      </c>
      <c r="BR84" s="1044" t="str">
        <f t="shared" si="138"/>
        <v/>
      </c>
      <c r="BS84" s="1044" t="str">
        <f t="shared" si="139"/>
        <v/>
      </c>
      <c r="BT84" s="1044" t="str">
        <f t="shared" si="140"/>
        <v/>
      </c>
      <c r="BU84" s="1044" t="str">
        <f t="shared" si="141"/>
        <v/>
      </c>
    </row>
    <row r="85" spans="1:73" ht="30" customHeight="1">
      <c r="A85" s="1069" t="str">
        <f t="shared" si="71"/>
        <v/>
      </c>
      <c r="B85" s="1063"/>
      <c r="C85" s="1064" t="s">
        <v>254</v>
      </c>
      <c r="D85" s="1070" t="str">
        <f t="shared" si="72"/>
        <v/>
      </c>
      <c r="E85" s="1071" t="str">
        <f t="shared" si="73"/>
        <v/>
      </c>
      <c r="F85" s="1067" t="str">
        <f t="shared" si="74"/>
        <v/>
      </c>
      <c r="G85" s="1068" t="str">
        <f t="shared" si="75"/>
        <v/>
      </c>
      <c r="H85" s="1069" t="str">
        <f t="shared" si="76"/>
        <v/>
      </c>
      <c r="I85" s="1069" t="str">
        <f t="shared" si="77"/>
        <v/>
      </c>
      <c r="J85" s="1067" t="str">
        <f t="shared" si="78"/>
        <v/>
      </c>
      <c r="K85" s="1044" t="str">
        <f t="shared" si="79"/>
        <v/>
      </c>
      <c r="L85" s="1044" t="str">
        <f t="shared" si="80"/>
        <v/>
      </c>
      <c r="M85" s="1044" t="str">
        <f t="shared" si="81"/>
        <v/>
      </c>
      <c r="N85" s="1044" t="str">
        <f t="shared" si="82"/>
        <v/>
      </c>
      <c r="O85" s="1044" t="str">
        <f t="shared" si="83"/>
        <v/>
      </c>
      <c r="P85" s="1044" t="str">
        <f t="shared" si="84"/>
        <v/>
      </c>
      <c r="Q85" s="1044">
        <f t="shared" si="85"/>
        <v>0</v>
      </c>
      <c r="R85" s="1044">
        <f t="shared" si="86"/>
        <v>0</v>
      </c>
      <c r="S85" s="1044">
        <f t="shared" si="87"/>
        <v>0</v>
      </c>
      <c r="T85" s="1044">
        <f t="shared" si="88"/>
        <v>0</v>
      </c>
      <c r="U85" s="1044" t="str">
        <f t="shared" si="89"/>
        <v/>
      </c>
      <c r="V85" s="1044" t="str">
        <f t="shared" si="90"/>
        <v/>
      </c>
      <c r="W85" s="1044">
        <f t="shared" si="91"/>
        <v>0</v>
      </c>
      <c r="X85" s="1044" t="str">
        <f t="shared" si="92"/>
        <v/>
      </c>
      <c r="Y85" s="1044">
        <f t="shared" si="93"/>
        <v>0</v>
      </c>
      <c r="Z85" s="1044" t="str">
        <f t="shared" si="94"/>
        <v/>
      </c>
      <c r="AA85" s="1044">
        <f t="shared" si="95"/>
        <v>0</v>
      </c>
      <c r="AB85" s="1044">
        <f t="shared" si="96"/>
        <v>0</v>
      </c>
      <c r="AC85" s="1044">
        <f t="shared" si="97"/>
        <v>0</v>
      </c>
      <c r="AD85" s="1044" t="str">
        <f t="shared" si="98"/>
        <v/>
      </c>
      <c r="AE85" s="1044">
        <f t="shared" si="99"/>
        <v>0</v>
      </c>
      <c r="AF85" s="1044" t="str">
        <f t="shared" si="100"/>
        <v/>
      </c>
      <c r="AG85" s="1044">
        <f t="shared" si="101"/>
        <v>0</v>
      </c>
      <c r="AH85" s="1044">
        <f t="shared" si="102"/>
        <v>0</v>
      </c>
      <c r="AI85" s="1044" t="str">
        <f t="shared" si="103"/>
        <v/>
      </c>
      <c r="AJ85" s="1044">
        <f t="shared" si="104"/>
        <v>0</v>
      </c>
      <c r="AK85" s="1044">
        <f t="shared" si="105"/>
        <v>0</v>
      </c>
      <c r="AL85" s="1044">
        <f t="shared" si="106"/>
        <v>0</v>
      </c>
      <c r="AM85" s="1044">
        <f t="shared" si="107"/>
        <v>0</v>
      </c>
      <c r="AN85" s="1044" t="str">
        <f t="shared" si="108"/>
        <v/>
      </c>
      <c r="AO85" s="1044" t="str">
        <f t="shared" si="109"/>
        <v/>
      </c>
      <c r="AP85" s="1044">
        <f t="shared" si="110"/>
        <v>0</v>
      </c>
      <c r="AQ85" s="1044">
        <f t="shared" si="111"/>
        <v>0</v>
      </c>
      <c r="AR85" s="1044" t="str">
        <f t="shared" si="112"/>
        <v/>
      </c>
      <c r="AS85" s="1044">
        <f t="shared" si="113"/>
        <v>0</v>
      </c>
      <c r="AT85" s="1044" t="str">
        <f t="shared" si="114"/>
        <v/>
      </c>
      <c r="AU85" s="1044">
        <f t="shared" si="115"/>
        <v>0</v>
      </c>
      <c r="AV85" s="1044" t="str">
        <f t="shared" si="116"/>
        <v/>
      </c>
      <c r="AW85" s="1044">
        <f t="shared" si="117"/>
        <v>0</v>
      </c>
      <c r="AX85" s="1044" t="str">
        <f t="shared" si="118"/>
        <v/>
      </c>
      <c r="AY85" s="1044">
        <f t="shared" si="119"/>
        <v>0</v>
      </c>
      <c r="AZ85" s="1044" t="str">
        <f t="shared" si="120"/>
        <v/>
      </c>
      <c r="BA85" s="1044">
        <f t="shared" si="121"/>
        <v>0</v>
      </c>
      <c r="BB85" s="1044" t="str">
        <f t="shared" si="122"/>
        <v/>
      </c>
      <c r="BC85" s="1044">
        <f t="shared" si="123"/>
        <v>0</v>
      </c>
      <c r="BD85" s="1044">
        <f t="shared" si="124"/>
        <v>0</v>
      </c>
      <c r="BE85" s="1044" t="str">
        <f t="shared" si="125"/>
        <v/>
      </c>
      <c r="BF85" s="1044" t="str">
        <f t="shared" si="126"/>
        <v/>
      </c>
      <c r="BG85" s="1044" t="str">
        <f t="shared" si="127"/>
        <v/>
      </c>
      <c r="BH85" s="1044" t="str">
        <f t="shared" si="128"/>
        <v/>
      </c>
      <c r="BI85" s="1044" t="str">
        <f t="shared" si="129"/>
        <v/>
      </c>
      <c r="BJ85" s="1044" t="str">
        <f t="shared" si="130"/>
        <v/>
      </c>
      <c r="BK85" s="1044" t="str">
        <f t="shared" si="131"/>
        <v/>
      </c>
      <c r="BL85" s="1044" t="str">
        <f t="shared" si="132"/>
        <v/>
      </c>
      <c r="BM85" s="1044" t="str">
        <f t="shared" si="133"/>
        <v/>
      </c>
      <c r="BN85" s="1044" t="str">
        <f t="shared" si="134"/>
        <v/>
      </c>
      <c r="BO85" s="1044" t="str">
        <f t="shared" si="135"/>
        <v/>
      </c>
      <c r="BP85" s="1044" t="str">
        <f t="shared" si="136"/>
        <v/>
      </c>
      <c r="BQ85" s="1044" t="str">
        <f t="shared" si="137"/>
        <v/>
      </c>
      <c r="BR85" s="1044" t="str">
        <f t="shared" si="138"/>
        <v/>
      </c>
      <c r="BS85" s="1044" t="str">
        <f t="shared" si="139"/>
        <v/>
      </c>
      <c r="BT85" s="1044" t="str">
        <f t="shared" si="140"/>
        <v/>
      </c>
      <c r="BU85" s="1044" t="str">
        <f t="shared" si="141"/>
        <v/>
      </c>
    </row>
    <row r="86" spans="1:73" ht="30" customHeight="1">
      <c r="A86" s="1069" t="str">
        <f t="shared" si="71"/>
        <v/>
      </c>
      <c r="B86" s="1063"/>
      <c r="C86" s="1064" t="s">
        <v>254</v>
      </c>
      <c r="D86" s="1070" t="str">
        <f t="shared" si="72"/>
        <v/>
      </c>
      <c r="E86" s="1071" t="str">
        <f t="shared" si="73"/>
        <v/>
      </c>
      <c r="F86" s="1067" t="str">
        <f t="shared" si="74"/>
        <v/>
      </c>
      <c r="G86" s="1068" t="str">
        <f t="shared" si="75"/>
        <v/>
      </c>
      <c r="H86" s="1069" t="str">
        <f t="shared" si="76"/>
        <v/>
      </c>
      <c r="I86" s="1069" t="str">
        <f t="shared" si="77"/>
        <v/>
      </c>
      <c r="J86" s="1067" t="str">
        <f t="shared" si="78"/>
        <v/>
      </c>
      <c r="K86" s="1044" t="str">
        <f t="shared" si="79"/>
        <v/>
      </c>
      <c r="L86" s="1044" t="str">
        <f t="shared" si="80"/>
        <v/>
      </c>
      <c r="M86" s="1044" t="str">
        <f t="shared" si="81"/>
        <v/>
      </c>
      <c r="N86" s="1044" t="str">
        <f t="shared" si="82"/>
        <v/>
      </c>
      <c r="O86" s="1044" t="str">
        <f t="shared" si="83"/>
        <v/>
      </c>
      <c r="P86" s="1044" t="str">
        <f t="shared" si="84"/>
        <v/>
      </c>
      <c r="Q86" s="1044">
        <f t="shared" si="85"/>
        <v>0</v>
      </c>
      <c r="R86" s="1044">
        <f t="shared" si="86"/>
        <v>0</v>
      </c>
      <c r="S86" s="1044">
        <f t="shared" si="87"/>
        <v>0</v>
      </c>
      <c r="T86" s="1044">
        <f t="shared" si="88"/>
        <v>0</v>
      </c>
      <c r="U86" s="1044" t="str">
        <f t="shared" si="89"/>
        <v/>
      </c>
      <c r="V86" s="1044" t="str">
        <f t="shared" si="90"/>
        <v/>
      </c>
      <c r="W86" s="1044">
        <f t="shared" si="91"/>
        <v>0</v>
      </c>
      <c r="X86" s="1044" t="str">
        <f t="shared" si="92"/>
        <v/>
      </c>
      <c r="Y86" s="1044">
        <f t="shared" si="93"/>
        <v>0</v>
      </c>
      <c r="Z86" s="1044" t="str">
        <f t="shared" si="94"/>
        <v/>
      </c>
      <c r="AA86" s="1044">
        <f t="shared" si="95"/>
        <v>0</v>
      </c>
      <c r="AB86" s="1044">
        <f t="shared" si="96"/>
        <v>0</v>
      </c>
      <c r="AC86" s="1044">
        <f t="shared" si="97"/>
        <v>0</v>
      </c>
      <c r="AD86" s="1044" t="str">
        <f t="shared" si="98"/>
        <v/>
      </c>
      <c r="AE86" s="1044">
        <f t="shared" si="99"/>
        <v>0</v>
      </c>
      <c r="AF86" s="1044" t="str">
        <f t="shared" si="100"/>
        <v/>
      </c>
      <c r="AG86" s="1044">
        <f t="shared" si="101"/>
        <v>0</v>
      </c>
      <c r="AH86" s="1044">
        <f t="shared" si="102"/>
        <v>0</v>
      </c>
      <c r="AI86" s="1044" t="str">
        <f t="shared" si="103"/>
        <v/>
      </c>
      <c r="AJ86" s="1044">
        <f t="shared" si="104"/>
        <v>0</v>
      </c>
      <c r="AK86" s="1044">
        <f t="shared" si="105"/>
        <v>0</v>
      </c>
      <c r="AL86" s="1044">
        <f t="shared" si="106"/>
        <v>0</v>
      </c>
      <c r="AM86" s="1044">
        <f t="shared" si="107"/>
        <v>0</v>
      </c>
      <c r="AN86" s="1044" t="str">
        <f t="shared" si="108"/>
        <v/>
      </c>
      <c r="AO86" s="1044" t="str">
        <f t="shared" si="109"/>
        <v/>
      </c>
      <c r="AP86" s="1044">
        <f t="shared" si="110"/>
        <v>0</v>
      </c>
      <c r="AQ86" s="1044">
        <f t="shared" si="111"/>
        <v>0</v>
      </c>
      <c r="AR86" s="1044" t="str">
        <f t="shared" si="112"/>
        <v/>
      </c>
      <c r="AS86" s="1044">
        <f t="shared" si="113"/>
        <v>0</v>
      </c>
      <c r="AT86" s="1044" t="str">
        <f t="shared" si="114"/>
        <v/>
      </c>
      <c r="AU86" s="1044">
        <f t="shared" si="115"/>
        <v>0</v>
      </c>
      <c r="AV86" s="1044" t="str">
        <f t="shared" si="116"/>
        <v/>
      </c>
      <c r="AW86" s="1044">
        <f t="shared" si="117"/>
        <v>0</v>
      </c>
      <c r="AX86" s="1044" t="str">
        <f t="shared" si="118"/>
        <v/>
      </c>
      <c r="AY86" s="1044">
        <f t="shared" si="119"/>
        <v>0</v>
      </c>
      <c r="AZ86" s="1044" t="str">
        <f t="shared" si="120"/>
        <v/>
      </c>
      <c r="BA86" s="1044">
        <f t="shared" si="121"/>
        <v>0</v>
      </c>
      <c r="BB86" s="1044" t="str">
        <f t="shared" si="122"/>
        <v/>
      </c>
      <c r="BC86" s="1044">
        <f t="shared" si="123"/>
        <v>0</v>
      </c>
      <c r="BD86" s="1044">
        <f t="shared" si="124"/>
        <v>0</v>
      </c>
      <c r="BE86" s="1044" t="str">
        <f t="shared" si="125"/>
        <v/>
      </c>
      <c r="BF86" s="1044" t="str">
        <f t="shared" si="126"/>
        <v/>
      </c>
      <c r="BG86" s="1044" t="str">
        <f t="shared" si="127"/>
        <v/>
      </c>
      <c r="BH86" s="1044" t="str">
        <f t="shared" si="128"/>
        <v/>
      </c>
      <c r="BI86" s="1044" t="str">
        <f t="shared" si="129"/>
        <v/>
      </c>
      <c r="BJ86" s="1044" t="str">
        <f t="shared" si="130"/>
        <v/>
      </c>
      <c r="BK86" s="1044" t="str">
        <f t="shared" si="131"/>
        <v/>
      </c>
      <c r="BL86" s="1044" t="str">
        <f t="shared" si="132"/>
        <v/>
      </c>
      <c r="BM86" s="1044" t="str">
        <f t="shared" si="133"/>
        <v/>
      </c>
      <c r="BN86" s="1044" t="str">
        <f t="shared" si="134"/>
        <v/>
      </c>
      <c r="BO86" s="1044" t="str">
        <f t="shared" si="135"/>
        <v/>
      </c>
      <c r="BP86" s="1044" t="str">
        <f t="shared" si="136"/>
        <v/>
      </c>
      <c r="BQ86" s="1044" t="str">
        <f t="shared" si="137"/>
        <v/>
      </c>
      <c r="BR86" s="1044" t="str">
        <f t="shared" si="138"/>
        <v/>
      </c>
      <c r="BS86" s="1044" t="str">
        <f t="shared" si="139"/>
        <v/>
      </c>
      <c r="BT86" s="1044" t="str">
        <f t="shared" si="140"/>
        <v/>
      </c>
      <c r="BU86" s="1044" t="str">
        <f t="shared" si="141"/>
        <v/>
      </c>
    </row>
    <row r="87" spans="1:73" ht="30" customHeight="1">
      <c r="A87" s="1069" t="str">
        <f t="shared" si="71"/>
        <v/>
      </c>
      <c r="B87" s="1063"/>
      <c r="C87" s="1064" t="s">
        <v>254</v>
      </c>
      <c r="D87" s="1070" t="str">
        <f t="shared" si="72"/>
        <v/>
      </c>
      <c r="E87" s="1071" t="str">
        <f t="shared" si="73"/>
        <v/>
      </c>
      <c r="F87" s="1067" t="str">
        <f t="shared" si="74"/>
        <v/>
      </c>
      <c r="G87" s="1068" t="str">
        <f t="shared" si="75"/>
        <v/>
      </c>
      <c r="H87" s="1069" t="str">
        <f t="shared" si="76"/>
        <v/>
      </c>
      <c r="I87" s="1069" t="str">
        <f t="shared" si="77"/>
        <v/>
      </c>
      <c r="J87" s="1067" t="str">
        <f t="shared" si="78"/>
        <v/>
      </c>
      <c r="K87" s="1044" t="str">
        <f t="shared" si="79"/>
        <v/>
      </c>
      <c r="L87" s="1044" t="str">
        <f t="shared" si="80"/>
        <v/>
      </c>
      <c r="M87" s="1044" t="str">
        <f t="shared" si="81"/>
        <v/>
      </c>
      <c r="N87" s="1044" t="str">
        <f t="shared" si="82"/>
        <v/>
      </c>
      <c r="O87" s="1044" t="str">
        <f t="shared" si="83"/>
        <v/>
      </c>
      <c r="P87" s="1044" t="str">
        <f t="shared" si="84"/>
        <v/>
      </c>
      <c r="Q87" s="1044">
        <f t="shared" si="85"/>
        <v>0</v>
      </c>
      <c r="R87" s="1044">
        <f t="shared" si="86"/>
        <v>0</v>
      </c>
      <c r="S87" s="1044">
        <f t="shared" si="87"/>
        <v>0</v>
      </c>
      <c r="T87" s="1044">
        <f t="shared" si="88"/>
        <v>0</v>
      </c>
      <c r="U87" s="1044" t="str">
        <f t="shared" si="89"/>
        <v/>
      </c>
      <c r="V87" s="1044" t="str">
        <f t="shared" si="90"/>
        <v/>
      </c>
      <c r="W87" s="1044">
        <f t="shared" si="91"/>
        <v>0</v>
      </c>
      <c r="X87" s="1044" t="str">
        <f t="shared" si="92"/>
        <v/>
      </c>
      <c r="Y87" s="1044">
        <f t="shared" si="93"/>
        <v>0</v>
      </c>
      <c r="Z87" s="1044" t="str">
        <f t="shared" si="94"/>
        <v/>
      </c>
      <c r="AA87" s="1044">
        <f t="shared" si="95"/>
        <v>0</v>
      </c>
      <c r="AB87" s="1044">
        <f t="shared" si="96"/>
        <v>0</v>
      </c>
      <c r="AC87" s="1044">
        <f t="shared" si="97"/>
        <v>0</v>
      </c>
      <c r="AD87" s="1044" t="str">
        <f t="shared" si="98"/>
        <v/>
      </c>
      <c r="AE87" s="1044">
        <f t="shared" si="99"/>
        <v>0</v>
      </c>
      <c r="AF87" s="1044" t="str">
        <f t="shared" si="100"/>
        <v/>
      </c>
      <c r="AG87" s="1044">
        <f t="shared" si="101"/>
        <v>0</v>
      </c>
      <c r="AH87" s="1044">
        <f t="shared" si="102"/>
        <v>0</v>
      </c>
      <c r="AI87" s="1044" t="str">
        <f t="shared" si="103"/>
        <v/>
      </c>
      <c r="AJ87" s="1044">
        <f t="shared" si="104"/>
        <v>0</v>
      </c>
      <c r="AK87" s="1044">
        <f t="shared" si="105"/>
        <v>0</v>
      </c>
      <c r="AL87" s="1044">
        <f t="shared" si="106"/>
        <v>0</v>
      </c>
      <c r="AM87" s="1044">
        <f t="shared" si="107"/>
        <v>0</v>
      </c>
      <c r="AN87" s="1044" t="str">
        <f t="shared" si="108"/>
        <v/>
      </c>
      <c r="AO87" s="1044" t="str">
        <f t="shared" si="109"/>
        <v/>
      </c>
      <c r="AP87" s="1044">
        <f t="shared" si="110"/>
        <v>0</v>
      </c>
      <c r="AQ87" s="1044">
        <f t="shared" si="111"/>
        <v>0</v>
      </c>
      <c r="AR87" s="1044" t="str">
        <f t="shared" si="112"/>
        <v/>
      </c>
      <c r="AS87" s="1044">
        <f t="shared" si="113"/>
        <v>0</v>
      </c>
      <c r="AT87" s="1044" t="str">
        <f t="shared" si="114"/>
        <v/>
      </c>
      <c r="AU87" s="1044">
        <f t="shared" si="115"/>
        <v>0</v>
      </c>
      <c r="AV87" s="1044" t="str">
        <f t="shared" si="116"/>
        <v/>
      </c>
      <c r="AW87" s="1044">
        <f t="shared" si="117"/>
        <v>0</v>
      </c>
      <c r="AX87" s="1044" t="str">
        <f t="shared" si="118"/>
        <v/>
      </c>
      <c r="AY87" s="1044">
        <f t="shared" si="119"/>
        <v>0</v>
      </c>
      <c r="AZ87" s="1044" t="str">
        <f t="shared" si="120"/>
        <v/>
      </c>
      <c r="BA87" s="1044">
        <f t="shared" si="121"/>
        <v>0</v>
      </c>
      <c r="BB87" s="1044" t="str">
        <f t="shared" si="122"/>
        <v/>
      </c>
      <c r="BC87" s="1044">
        <f t="shared" si="123"/>
        <v>0</v>
      </c>
      <c r="BD87" s="1044">
        <f t="shared" si="124"/>
        <v>0</v>
      </c>
      <c r="BE87" s="1044" t="str">
        <f t="shared" si="125"/>
        <v/>
      </c>
      <c r="BF87" s="1044" t="str">
        <f t="shared" si="126"/>
        <v/>
      </c>
      <c r="BG87" s="1044" t="str">
        <f t="shared" si="127"/>
        <v/>
      </c>
      <c r="BH87" s="1044" t="str">
        <f t="shared" si="128"/>
        <v/>
      </c>
      <c r="BI87" s="1044" t="str">
        <f t="shared" si="129"/>
        <v/>
      </c>
      <c r="BJ87" s="1044" t="str">
        <f t="shared" si="130"/>
        <v/>
      </c>
      <c r="BK87" s="1044" t="str">
        <f t="shared" si="131"/>
        <v/>
      </c>
      <c r="BL87" s="1044" t="str">
        <f t="shared" si="132"/>
        <v/>
      </c>
      <c r="BM87" s="1044" t="str">
        <f t="shared" si="133"/>
        <v/>
      </c>
      <c r="BN87" s="1044" t="str">
        <f t="shared" si="134"/>
        <v/>
      </c>
      <c r="BO87" s="1044" t="str">
        <f t="shared" si="135"/>
        <v/>
      </c>
      <c r="BP87" s="1044" t="str">
        <f t="shared" si="136"/>
        <v/>
      </c>
      <c r="BQ87" s="1044" t="str">
        <f t="shared" si="137"/>
        <v/>
      </c>
      <c r="BR87" s="1044" t="str">
        <f t="shared" si="138"/>
        <v/>
      </c>
      <c r="BS87" s="1044" t="str">
        <f t="shared" si="139"/>
        <v/>
      </c>
      <c r="BT87" s="1044" t="str">
        <f t="shared" si="140"/>
        <v/>
      </c>
      <c r="BU87" s="1044" t="str">
        <f t="shared" si="141"/>
        <v/>
      </c>
    </row>
    <row r="88" spans="1:73" ht="30" customHeight="1">
      <c r="A88" s="1069" t="str">
        <f t="shared" si="71"/>
        <v/>
      </c>
      <c r="B88" s="1063"/>
      <c r="C88" s="1064" t="s">
        <v>254</v>
      </c>
      <c r="D88" s="1070" t="str">
        <f t="shared" si="72"/>
        <v/>
      </c>
      <c r="E88" s="1071" t="str">
        <f t="shared" si="73"/>
        <v/>
      </c>
      <c r="F88" s="1067" t="str">
        <f t="shared" si="74"/>
        <v/>
      </c>
      <c r="G88" s="1068" t="str">
        <f t="shared" si="75"/>
        <v/>
      </c>
      <c r="H88" s="1069" t="str">
        <f t="shared" si="76"/>
        <v/>
      </c>
      <c r="I88" s="1069" t="str">
        <f t="shared" si="77"/>
        <v/>
      </c>
      <c r="J88" s="1067" t="str">
        <f t="shared" si="78"/>
        <v/>
      </c>
      <c r="K88" s="1044" t="str">
        <f t="shared" si="79"/>
        <v/>
      </c>
      <c r="L88" s="1044" t="str">
        <f t="shared" si="80"/>
        <v/>
      </c>
      <c r="M88" s="1044" t="str">
        <f t="shared" si="81"/>
        <v/>
      </c>
      <c r="N88" s="1044" t="str">
        <f t="shared" si="82"/>
        <v/>
      </c>
      <c r="O88" s="1044" t="str">
        <f t="shared" si="83"/>
        <v/>
      </c>
      <c r="P88" s="1044" t="str">
        <f t="shared" si="84"/>
        <v/>
      </c>
      <c r="Q88" s="1044">
        <f t="shared" si="85"/>
        <v>0</v>
      </c>
      <c r="R88" s="1044">
        <f t="shared" si="86"/>
        <v>0</v>
      </c>
      <c r="S88" s="1044">
        <f t="shared" si="87"/>
        <v>0</v>
      </c>
      <c r="T88" s="1044">
        <f t="shared" si="88"/>
        <v>0</v>
      </c>
      <c r="U88" s="1044" t="str">
        <f t="shared" si="89"/>
        <v/>
      </c>
      <c r="V88" s="1044" t="str">
        <f t="shared" si="90"/>
        <v/>
      </c>
      <c r="W88" s="1044">
        <f t="shared" si="91"/>
        <v>0</v>
      </c>
      <c r="X88" s="1044" t="str">
        <f t="shared" si="92"/>
        <v/>
      </c>
      <c r="Y88" s="1044">
        <f t="shared" si="93"/>
        <v>0</v>
      </c>
      <c r="Z88" s="1044" t="str">
        <f t="shared" si="94"/>
        <v/>
      </c>
      <c r="AA88" s="1044">
        <f t="shared" si="95"/>
        <v>0</v>
      </c>
      <c r="AB88" s="1044">
        <f t="shared" si="96"/>
        <v>0</v>
      </c>
      <c r="AC88" s="1044">
        <f t="shared" si="97"/>
        <v>0</v>
      </c>
      <c r="AD88" s="1044" t="str">
        <f t="shared" si="98"/>
        <v/>
      </c>
      <c r="AE88" s="1044">
        <f t="shared" si="99"/>
        <v>0</v>
      </c>
      <c r="AF88" s="1044" t="str">
        <f t="shared" si="100"/>
        <v/>
      </c>
      <c r="AG88" s="1044">
        <f t="shared" si="101"/>
        <v>0</v>
      </c>
      <c r="AH88" s="1044">
        <f t="shared" si="102"/>
        <v>0</v>
      </c>
      <c r="AI88" s="1044" t="str">
        <f t="shared" si="103"/>
        <v/>
      </c>
      <c r="AJ88" s="1044">
        <f t="shared" si="104"/>
        <v>0</v>
      </c>
      <c r="AK88" s="1044">
        <f t="shared" si="105"/>
        <v>0</v>
      </c>
      <c r="AL88" s="1044">
        <f t="shared" si="106"/>
        <v>0</v>
      </c>
      <c r="AM88" s="1044">
        <f t="shared" si="107"/>
        <v>0</v>
      </c>
      <c r="AN88" s="1044" t="str">
        <f t="shared" si="108"/>
        <v/>
      </c>
      <c r="AO88" s="1044" t="str">
        <f t="shared" si="109"/>
        <v/>
      </c>
      <c r="AP88" s="1044">
        <f t="shared" si="110"/>
        <v>0</v>
      </c>
      <c r="AQ88" s="1044">
        <f t="shared" si="111"/>
        <v>0</v>
      </c>
      <c r="AR88" s="1044" t="str">
        <f t="shared" si="112"/>
        <v/>
      </c>
      <c r="AS88" s="1044">
        <f t="shared" si="113"/>
        <v>0</v>
      </c>
      <c r="AT88" s="1044" t="str">
        <f t="shared" si="114"/>
        <v/>
      </c>
      <c r="AU88" s="1044">
        <f t="shared" si="115"/>
        <v>0</v>
      </c>
      <c r="AV88" s="1044" t="str">
        <f t="shared" si="116"/>
        <v/>
      </c>
      <c r="AW88" s="1044">
        <f t="shared" si="117"/>
        <v>0</v>
      </c>
      <c r="AX88" s="1044" t="str">
        <f t="shared" si="118"/>
        <v/>
      </c>
      <c r="AY88" s="1044">
        <f t="shared" si="119"/>
        <v>0</v>
      </c>
      <c r="AZ88" s="1044" t="str">
        <f t="shared" si="120"/>
        <v/>
      </c>
      <c r="BA88" s="1044">
        <f t="shared" si="121"/>
        <v>0</v>
      </c>
      <c r="BB88" s="1044" t="str">
        <f t="shared" si="122"/>
        <v/>
      </c>
      <c r="BC88" s="1044">
        <f t="shared" si="123"/>
        <v>0</v>
      </c>
      <c r="BD88" s="1044">
        <f t="shared" si="124"/>
        <v>0</v>
      </c>
      <c r="BE88" s="1044" t="str">
        <f t="shared" si="125"/>
        <v/>
      </c>
      <c r="BF88" s="1044" t="str">
        <f t="shared" si="126"/>
        <v/>
      </c>
      <c r="BG88" s="1044" t="str">
        <f t="shared" si="127"/>
        <v/>
      </c>
      <c r="BH88" s="1044" t="str">
        <f t="shared" si="128"/>
        <v/>
      </c>
      <c r="BI88" s="1044" t="str">
        <f t="shared" si="129"/>
        <v/>
      </c>
      <c r="BJ88" s="1044" t="str">
        <f t="shared" si="130"/>
        <v/>
      </c>
      <c r="BK88" s="1044" t="str">
        <f t="shared" si="131"/>
        <v/>
      </c>
      <c r="BL88" s="1044" t="str">
        <f t="shared" si="132"/>
        <v/>
      </c>
      <c r="BM88" s="1044" t="str">
        <f t="shared" si="133"/>
        <v/>
      </c>
      <c r="BN88" s="1044" t="str">
        <f t="shared" si="134"/>
        <v/>
      </c>
      <c r="BO88" s="1044" t="str">
        <f t="shared" si="135"/>
        <v/>
      </c>
      <c r="BP88" s="1044" t="str">
        <f t="shared" si="136"/>
        <v/>
      </c>
      <c r="BQ88" s="1044" t="str">
        <f t="shared" si="137"/>
        <v/>
      </c>
      <c r="BR88" s="1044" t="str">
        <f t="shared" si="138"/>
        <v/>
      </c>
      <c r="BS88" s="1044" t="str">
        <f t="shared" si="139"/>
        <v/>
      </c>
      <c r="BT88" s="1044" t="str">
        <f t="shared" si="140"/>
        <v/>
      </c>
      <c r="BU88" s="1044" t="str">
        <f t="shared" si="141"/>
        <v/>
      </c>
    </row>
    <row r="89" spans="1:73" ht="30" customHeight="1">
      <c r="A89" s="1069" t="str">
        <f t="shared" si="71"/>
        <v/>
      </c>
      <c r="B89" s="1063"/>
      <c r="C89" s="1064" t="s">
        <v>254</v>
      </c>
      <c r="D89" s="1070" t="str">
        <f t="shared" si="72"/>
        <v/>
      </c>
      <c r="E89" s="1071" t="str">
        <f t="shared" si="73"/>
        <v/>
      </c>
      <c r="F89" s="1067" t="str">
        <f t="shared" si="74"/>
        <v/>
      </c>
      <c r="G89" s="1068" t="str">
        <f t="shared" si="75"/>
        <v/>
      </c>
      <c r="H89" s="1069" t="str">
        <f t="shared" si="76"/>
        <v/>
      </c>
      <c r="I89" s="1069" t="str">
        <f t="shared" si="77"/>
        <v/>
      </c>
      <c r="J89" s="1067" t="str">
        <f t="shared" si="78"/>
        <v/>
      </c>
      <c r="K89" s="1044" t="str">
        <f t="shared" si="79"/>
        <v/>
      </c>
      <c r="L89" s="1044" t="str">
        <f t="shared" si="80"/>
        <v/>
      </c>
      <c r="M89" s="1044" t="str">
        <f t="shared" si="81"/>
        <v/>
      </c>
      <c r="N89" s="1044" t="str">
        <f t="shared" si="82"/>
        <v/>
      </c>
      <c r="O89" s="1044" t="str">
        <f t="shared" si="83"/>
        <v/>
      </c>
      <c r="P89" s="1044" t="str">
        <f t="shared" si="84"/>
        <v/>
      </c>
      <c r="Q89" s="1044">
        <f t="shared" si="85"/>
        <v>0</v>
      </c>
      <c r="R89" s="1044">
        <f t="shared" si="86"/>
        <v>0</v>
      </c>
      <c r="S89" s="1044">
        <f t="shared" si="87"/>
        <v>0</v>
      </c>
      <c r="T89" s="1044">
        <f t="shared" si="88"/>
        <v>0</v>
      </c>
      <c r="U89" s="1044" t="str">
        <f t="shared" si="89"/>
        <v/>
      </c>
      <c r="V89" s="1044" t="str">
        <f t="shared" si="90"/>
        <v/>
      </c>
      <c r="W89" s="1044">
        <f t="shared" si="91"/>
        <v>0</v>
      </c>
      <c r="X89" s="1044" t="str">
        <f t="shared" si="92"/>
        <v/>
      </c>
      <c r="Y89" s="1044">
        <f t="shared" si="93"/>
        <v>0</v>
      </c>
      <c r="Z89" s="1044" t="str">
        <f t="shared" si="94"/>
        <v/>
      </c>
      <c r="AA89" s="1044">
        <f t="shared" si="95"/>
        <v>0</v>
      </c>
      <c r="AB89" s="1044">
        <f t="shared" si="96"/>
        <v>0</v>
      </c>
      <c r="AC89" s="1044">
        <f t="shared" si="97"/>
        <v>0</v>
      </c>
      <c r="AD89" s="1044" t="str">
        <f t="shared" si="98"/>
        <v/>
      </c>
      <c r="AE89" s="1044">
        <f t="shared" si="99"/>
        <v>0</v>
      </c>
      <c r="AF89" s="1044" t="str">
        <f t="shared" si="100"/>
        <v/>
      </c>
      <c r="AG89" s="1044">
        <f t="shared" si="101"/>
        <v>0</v>
      </c>
      <c r="AH89" s="1044">
        <f t="shared" si="102"/>
        <v>0</v>
      </c>
      <c r="AI89" s="1044" t="str">
        <f t="shared" si="103"/>
        <v/>
      </c>
      <c r="AJ89" s="1044">
        <f t="shared" si="104"/>
        <v>0</v>
      </c>
      <c r="AK89" s="1044">
        <f t="shared" si="105"/>
        <v>0</v>
      </c>
      <c r="AL89" s="1044">
        <f t="shared" si="106"/>
        <v>0</v>
      </c>
      <c r="AM89" s="1044">
        <f t="shared" si="107"/>
        <v>0</v>
      </c>
      <c r="AN89" s="1044" t="str">
        <f t="shared" si="108"/>
        <v/>
      </c>
      <c r="AO89" s="1044" t="str">
        <f t="shared" si="109"/>
        <v/>
      </c>
      <c r="AP89" s="1044">
        <f t="shared" si="110"/>
        <v>0</v>
      </c>
      <c r="AQ89" s="1044">
        <f t="shared" si="111"/>
        <v>0</v>
      </c>
      <c r="AR89" s="1044" t="str">
        <f t="shared" si="112"/>
        <v/>
      </c>
      <c r="AS89" s="1044">
        <f t="shared" si="113"/>
        <v>0</v>
      </c>
      <c r="AT89" s="1044" t="str">
        <f t="shared" si="114"/>
        <v/>
      </c>
      <c r="AU89" s="1044">
        <f t="shared" si="115"/>
        <v>0</v>
      </c>
      <c r="AV89" s="1044" t="str">
        <f t="shared" si="116"/>
        <v/>
      </c>
      <c r="AW89" s="1044">
        <f t="shared" si="117"/>
        <v>0</v>
      </c>
      <c r="AX89" s="1044" t="str">
        <f t="shared" si="118"/>
        <v/>
      </c>
      <c r="AY89" s="1044">
        <f t="shared" si="119"/>
        <v>0</v>
      </c>
      <c r="AZ89" s="1044" t="str">
        <f t="shared" si="120"/>
        <v/>
      </c>
      <c r="BA89" s="1044">
        <f t="shared" si="121"/>
        <v>0</v>
      </c>
      <c r="BB89" s="1044" t="str">
        <f t="shared" si="122"/>
        <v/>
      </c>
      <c r="BC89" s="1044">
        <f t="shared" si="123"/>
        <v>0</v>
      </c>
      <c r="BD89" s="1044">
        <f t="shared" si="124"/>
        <v>0</v>
      </c>
      <c r="BE89" s="1044" t="str">
        <f t="shared" si="125"/>
        <v/>
      </c>
      <c r="BF89" s="1044" t="str">
        <f t="shared" si="126"/>
        <v/>
      </c>
      <c r="BG89" s="1044" t="str">
        <f t="shared" si="127"/>
        <v/>
      </c>
      <c r="BH89" s="1044" t="str">
        <f t="shared" si="128"/>
        <v/>
      </c>
      <c r="BI89" s="1044" t="str">
        <f t="shared" si="129"/>
        <v/>
      </c>
      <c r="BJ89" s="1044" t="str">
        <f t="shared" si="130"/>
        <v/>
      </c>
      <c r="BK89" s="1044" t="str">
        <f t="shared" si="131"/>
        <v/>
      </c>
      <c r="BL89" s="1044" t="str">
        <f t="shared" si="132"/>
        <v/>
      </c>
      <c r="BM89" s="1044" t="str">
        <f t="shared" si="133"/>
        <v/>
      </c>
      <c r="BN89" s="1044" t="str">
        <f t="shared" si="134"/>
        <v/>
      </c>
      <c r="BO89" s="1044" t="str">
        <f t="shared" si="135"/>
        <v/>
      </c>
      <c r="BP89" s="1044" t="str">
        <f t="shared" si="136"/>
        <v/>
      </c>
      <c r="BQ89" s="1044" t="str">
        <f t="shared" si="137"/>
        <v/>
      </c>
      <c r="BR89" s="1044" t="str">
        <f t="shared" si="138"/>
        <v/>
      </c>
      <c r="BS89" s="1044" t="str">
        <f t="shared" si="139"/>
        <v/>
      </c>
      <c r="BT89" s="1044" t="str">
        <f t="shared" si="140"/>
        <v/>
      </c>
      <c r="BU89" s="1044" t="str">
        <f t="shared" si="141"/>
        <v/>
      </c>
    </row>
    <row r="90" spans="1:73" ht="30" customHeight="1">
      <c r="A90" s="1069" t="str">
        <f t="shared" si="71"/>
        <v/>
      </c>
      <c r="B90" s="1063"/>
      <c r="C90" s="1064" t="s">
        <v>254</v>
      </c>
      <c r="D90" s="1070" t="str">
        <f t="shared" si="72"/>
        <v/>
      </c>
      <c r="E90" s="1071" t="str">
        <f t="shared" si="73"/>
        <v/>
      </c>
      <c r="F90" s="1067" t="str">
        <f t="shared" si="74"/>
        <v/>
      </c>
      <c r="G90" s="1068" t="str">
        <f t="shared" si="75"/>
        <v/>
      </c>
      <c r="H90" s="1069" t="str">
        <f t="shared" si="76"/>
        <v/>
      </c>
      <c r="I90" s="1069" t="str">
        <f t="shared" si="77"/>
        <v/>
      </c>
      <c r="J90" s="1067" t="str">
        <f t="shared" si="78"/>
        <v/>
      </c>
      <c r="K90" s="1044" t="str">
        <f t="shared" si="79"/>
        <v/>
      </c>
      <c r="L90" s="1044" t="str">
        <f t="shared" si="80"/>
        <v/>
      </c>
      <c r="M90" s="1044" t="str">
        <f t="shared" si="81"/>
        <v/>
      </c>
      <c r="N90" s="1044" t="str">
        <f t="shared" si="82"/>
        <v/>
      </c>
      <c r="O90" s="1044" t="str">
        <f t="shared" si="83"/>
        <v/>
      </c>
      <c r="P90" s="1044" t="str">
        <f t="shared" si="84"/>
        <v/>
      </c>
      <c r="Q90" s="1044">
        <f t="shared" si="85"/>
        <v>0</v>
      </c>
      <c r="R90" s="1044">
        <f t="shared" si="86"/>
        <v>0</v>
      </c>
      <c r="S90" s="1044">
        <f t="shared" si="87"/>
        <v>0</v>
      </c>
      <c r="T90" s="1044">
        <f t="shared" si="88"/>
        <v>0</v>
      </c>
      <c r="U90" s="1044" t="str">
        <f t="shared" si="89"/>
        <v/>
      </c>
      <c r="V90" s="1044" t="str">
        <f t="shared" si="90"/>
        <v/>
      </c>
      <c r="W90" s="1044">
        <f t="shared" si="91"/>
        <v>0</v>
      </c>
      <c r="X90" s="1044" t="str">
        <f t="shared" si="92"/>
        <v/>
      </c>
      <c r="Y90" s="1044">
        <f t="shared" si="93"/>
        <v>0</v>
      </c>
      <c r="Z90" s="1044" t="str">
        <f t="shared" si="94"/>
        <v/>
      </c>
      <c r="AA90" s="1044">
        <f t="shared" si="95"/>
        <v>0</v>
      </c>
      <c r="AB90" s="1044">
        <f t="shared" si="96"/>
        <v>0</v>
      </c>
      <c r="AC90" s="1044">
        <f t="shared" si="97"/>
        <v>0</v>
      </c>
      <c r="AD90" s="1044" t="str">
        <f t="shared" si="98"/>
        <v/>
      </c>
      <c r="AE90" s="1044">
        <f t="shared" si="99"/>
        <v>0</v>
      </c>
      <c r="AF90" s="1044" t="str">
        <f t="shared" si="100"/>
        <v/>
      </c>
      <c r="AG90" s="1044">
        <f t="shared" si="101"/>
        <v>0</v>
      </c>
      <c r="AH90" s="1044">
        <f t="shared" si="102"/>
        <v>0</v>
      </c>
      <c r="AI90" s="1044" t="str">
        <f t="shared" si="103"/>
        <v/>
      </c>
      <c r="AJ90" s="1044">
        <f t="shared" si="104"/>
        <v>0</v>
      </c>
      <c r="AK90" s="1044">
        <f t="shared" si="105"/>
        <v>0</v>
      </c>
      <c r="AL90" s="1044">
        <f t="shared" si="106"/>
        <v>0</v>
      </c>
      <c r="AM90" s="1044">
        <f t="shared" si="107"/>
        <v>0</v>
      </c>
      <c r="AN90" s="1044" t="str">
        <f t="shared" si="108"/>
        <v/>
      </c>
      <c r="AO90" s="1044" t="str">
        <f t="shared" si="109"/>
        <v/>
      </c>
      <c r="AP90" s="1044">
        <f t="shared" si="110"/>
        <v>0</v>
      </c>
      <c r="AQ90" s="1044">
        <f t="shared" si="111"/>
        <v>0</v>
      </c>
      <c r="AR90" s="1044" t="str">
        <f t="shared" si="112"/>
        <v/>
      </c>
      <c r="AS90" s="1044">
        <f t="shared" si="113"/>
        <v>0</v>
      </c>
      <c r="AT90" s="1044" t="str">
        <f t="shared" si="114"/>
        <v/>
      </c>
      <c r="AU90" s="1044">
        <f t="shared" si="115"/>
        <v>0</v>
      </c>
      <c r="AV90" s="1044" t="str">
        <f t="shared" si="116"/>
        <v/>
      </c>
      <c r="AW90" s="1044">
        <f t="shared" si="117"/>
        <v>0</v>
      </c>
      <c r="AX90" s="1044" t="str">
        <f t="shared" si="118"/>
        <v/>
      </c>
      <c r="AY90" s="1044">
        <f t="shared" si="119"/>
        <v>0</v>
      </c>
      <c r="AZ90" s="1044" t="str">
        <f t="shared" si="120"/>
        <v/>
      </c>
      <c r="BA90" s="1044">
        <f t="shared" si="121"/>
        <v>0</v>
      </c>
      <c r="BB90" s="1044" t="str">
        <f t="shared" si="122"/>
        <v/>
      </c>
      <c r="BC90" s="1044">
        <f t="shared" si="123"/>
        <v>0</v>
      </c>
      <c r="BD90" s="1044">
        <f t="shared" si="124"/>
        <v>0</v>
      </c>
      <c r="BE90" s="1044" t="str">
        <f t="shared" si="125"/>
        <v/>
      </c>
      <c r="BF90" s="1044" t="str">
        <f t="shared" si="126"/>
        <v/>
      </c>
      <c r="BG90" s="1044" t="str">
        <f t="shared" si="127"/>
        <v/>
      </c>
      <c r="BH90" s="1044" t="str">
        <f t="shared" si="128"/>
        <v/>
      </c>
      <c r="BI90" s="1044" t="str">
        <f t="shared" si="129"/>
        <v/>
      </c>
      <c r="BJ90" s="1044" t="str">
        <f t="shared" si="130"/>
        <v/>
      </c>
      <c r="BK90" s="1044" t="str">
        <f t="shared" si="131"/>
        <v/>
      </c>
      <c r="BL90" s="1044" t="str">
        <f t="shared" si="132"/>
        <v/>
      </c>
      <c r="BM90" s="1044" t="str">
        <f t="shared" si="133"/>
        <v/>
      </c>
      <c r="BN90" s="1044" t="str">
        <f t="shared" si="134"/>
        <v/>
      </c>
      <c r="BO90" s="1044" t="str">
        <f t="shared" si="135"/>
        <v/>
      </c>
      <c r="BP90" s="1044" t="str">
        <f t="shared" si="136"/>
        <v/>
      </c>
      <c r="BQ90" s="1044" t="str">
        <f t="shared" si="137"/>
        <v/>
      </c>
      <c r="BR90" s="1044" t="str">
        <f t="shared" si="138"/>
        <v/>
      </c>
      <c r="BS90" s="1044" t="str">
        <f t="shared" si="139"/>
        <v/>
      </c>
      <c r="BT90" s="1044" t="str">
        <f t="shared" si="140"/>
        <v/>
      </c>
      <c r="BU90" s="1044" t="str">
        <f t="shared" si="141"/>
        <v/>
      </c>
    </row>
    <row r="91" spans="1:73" ht="30" customHeight="1">
      <c r="A91" s="1069" t="str">
        <f t="shared" si="71"/>
        <v/>
      </c>
      <c r="B91" s="1063"/>
      <c r="C91" s="1064" t="s">
        <v>254</v>
      </c>
      <c r="D91" s="1070" t="str">
        <f t="shared" si="72"/>
        <v/>
      </c>
      <c r="E91" s="1071" t="str">
        <f t="shared" si="73"/>
        <v/>
      </c>
      <c r="F91" s="1067" t="str">
        <f t="shared" si="74"/>
        <v/>
      </c>
      <c r="G91" s="1068" t="str">
        <f t="shared" si="75"/>
        <v/>
      </c>
      <c r="H91" s="1069" t="str">
        <f t="shared" si="76"/>
        <v/>
      </c>
      <c r="I91" s="1069" t="str">
        <f t="shared" si="77"/>
        <v/>
      </c>
      <c r="J91" s="1067" t="str">
        <f t="shared" si="78"/>
        <v/>
      </c>
      <c r="K91" s="1044" t="str">
        <f t="shared" si="79"/>
        <v/>
      </c>
      <c r="L91" s="1044" t="str">
        <f t="shared" si="80"/>
        <v/>
      </c>
      <c r="M91" s="1044" t="str">
        <f t="shared" si="81"/>
        <v/>
      </c>
      <c r="N91" s="1044" t="str">
        <f t="shared" si="82"/>
        <v/>
      </c>
      <c r="O91" s="1044" t="str">
        <f t="shared" si="83"/>
        <v/>
      </c>
      <c r="P91" s="1044" t="str">
        <f t="shared" si="84"/>
        <v/>
      </c>
      <c r="Q91" s="1044">
        <f t="shared" si="85"/>
        <v>0</v>
      </c>
      <c r="R91" s="1044">
        <f t="shared" si="86"/>
        <v>0</v>
      </c>
      <c r="S91" s="1044">
        <f t="shared" si="87"/>
        <v>0</v>
      </c>
      <c r="T91" s="1044">
        <f t="shared" si="88"/>
        <v>0</v>
      </c>
      <c r="U91" s="1044" t="str">
        <f t="shared" si="89"/>
        <v/>
      </c>
      <c r="V91" s="1044" t="str">
        <f t="shared" si="90"/>
        <v/>
      </c>
      <c r="W91" s="1044">
        <f t="shared" si="91"/>
        <v>0</v>
      </c>
      <c r="X91" s="1044" t="str">
        <f t="shared" si="92"/>
        <v/>
      </c>
      <c r="Y91" s="1044">
        <f t="shared" si="93"/>
        <v>0</v>
      </c>
      <c r="Z91" s="1044" t="str">
        <f t="shared" si="94"/>
        <v/>
      </c>
      <c r="AA91" s="1044">
        <f t="shared" si="95"/>
        <v>0</v>
      </c>
      <c r="AB91" s="1044">
        <f t="shared" si="96"/>
        <v>0</v>
      </c>
      <c r="AC91" s="1044">
        <f t="shared" si="97"/>
        <v>0</v>
      </c>
      <c r="AD91" s="1044" t="str">
        <f t="shared" si="98"/>
        <v/>
      </c>
      <c r="AE91" s="1044">
        <f t="shared" si="99"/>
        <v>0</v>
      </c>
      <c r="AF91" s="1044" t="str">
        <f t="shared" si="100"/>
        <v/>
      </c>
      <c r="AG91" s="1044">
        <f t="shared" si="101"/>
        <v>0</v>
      </c>
      <c r="AH91" s="1044">
        <f t="shared" si="102"/>
        <v>0</v>
      </c>
      <c r="AI91" s="1044" t="str">
        <f t="shared" si="103"/>
        <v/>
      </c>
      <c r="AJ91" s="1044">
        <f t="shared" si="104"/>
        <v>0</v>
      </c>
      <c r="AK91" s="1044">
        <f t="shared" si="105"/>
        <v>0</v>
      </c>
      <c r="AL91" s="1044">
        <f t="shared" si="106"/>
        <v>0</v>
      </c>
      <c r="AM91" s="1044">
        <f t="shared" si="107"/>
        <v>0</v>
      </c>
      <c r="AN91" s="1044" t="str">
        <f t="shared" si="108"/>
        <v/>
      </c>
      <c r="AO91" s="1044" t="str">
        <f t="shared" si="109"/>
        <v/>
      </c>
      <c r="AP91" s="1044">
        <f t="shared" si="110"/>
        <v>0</v>
      </c>
      <c r="AQ91" s="1044">
        <f t="shared" si="111"/>
        <v>0</v>
      </c>
      <c r="AR91" s="1044" t="str">
        <f t="shared" si="112"/>
        <v/>
      </c>
      <c r="AS91" s="1044">
        <f t="shared" si="113"/>
        <v>0</v>
      </c>
      <c r="AT91" s="1044" t="str">
        <f t="shared" si="114"/>
        <v/>
      </c>
      <c r="AU91" s="1044">
        <f t="shared" si="115"/>
        <v>0</v>
      </c>
      <c r="AV91" s="1044" t="str">
        <f t="shared" si="116"/>
        <v/>
      </c>
      <c r="AW91" s="1044">
        <f t="shared" si="117"/>
        <v>0</v>
      </c>
      <c r="AX91" s="1044" t="str">
        <f t="shared" si="118"/>
        <v/>
      </c>
      <c r="AY91" s="1044">
        <f t="shared" si="119"/>
        <v>0</v>
      </c>
      <c r="AZ91" s="1044" t="str">
        <f t="shared" si="120"/>
        <v/>
      </c>
      <c r="BA91" s="1044">
        <f t="shared" si="121"/>
        <v>0</v>
      </c>
      <c r="BB91" s="1044" t="str">
        <f t="shared" si="122"/>
        <v/>
      </c>
      <c r="BC91" s="1044">
        <f t="shared" si="123"/>
        <v>0</v>
      </c>
      <c r="BD91" s="1044">
        <f t="shared" si="124"/>
        <v>0</v>
      </c>
      <c r="BE91" s="1044" t="str">
        <f t="shared" si="125"/>
        <v/>
      </c>
      <c r="BF91" s="1044" t="str">
        <f t="shared" si="126"/>
        <v/>
      </c>
      <c r="BG91" s="1044" t="str">
        <f t="shared" si="127"/>
        <v/>
      </c>
      <c r="BH91" s="1044" t="str">
        <f t="shared" si="128"/>
        <v/>
      </c>
      <c r="BI91" s="1044" t="str">
        <f t="shared" si="129"/>
        <v/>
      </c>
      <c r="BJ91" s="1044" t="str">
        <f t="shared" si="130"/>
        <v/>
      </c>
      <c r="BK91" s="1044" t="str">
        <f t="shared" si="131"/>
        <v/>
      </c>
      <c r="BL91" s="1044" t="str">
        <f t="shared" si="132"/>
        <v/>
      </c>
      <c r="BM91" s="1044" t="str">
        <f t="shared" si="133"/>
        <v/>
      </c>
      <c r="BN91" s="1044" t="str">
        <f t="shared" si="134"/>
        <v/>
      </c>
      <c r="BO91" s="1044" t="str">
        <f t="shared" si="135"/>
        <v/>
      </c>
      <c r="BP91" s="1044" t="str">
        <f t="shared" si="136"/>
        <v/>
      </c>
      <c r="BQ91" s="1044" t="str">
        <f t="shared" si="137"/>
        <v/>
      </c>
      <c r="BR91" s="1044" t="str">
        <f t="shared" si="138"/>
        <v/>
      </c>
      <c r="BS91" s="1044" t="str">
        <f t="shared" si="139"/>
        <v/>
      </c>
      <c r="BT91" s="1044" t="str">
        <f t="shared" si="140"/>
        <v/>
      </c>
      <c r="BU91" s="1044" t="str">
        <f t="shared" si="141"/>
        <v/>
      </c>
    </row>
    <row r="92" spans="1:73" ht="30" customHeight="1">
      <c r="A92" s="1069" t="str">
        <f t="shared" si="71"/>
        <v/>
      </c>
      <c r="B92" s="1063"/>
      <c r="C92" s="1064" t="s">
        <v>254</v>
      </c>
      <c r="D92" s="1070" t="str">
        <f t="shared" si="72"/>
        <v/>
      </c>
      <c r="E92" s="1071" t="str">
        <f t="shared" si="73"/>
        <v/>
      </c>
      <c r="F92" s="1067" t="str">
        <f t="shared" si="74"/>
        <v/>
      </c>
      <c r="G92" s="1068" t="str">
        <f t="shared" si="75"/>
        <v/>
      </c>
      <c r="H92" s="1069" t="str">
        <f t="shared" si="76"/>
        <v/>
      </c>
      <c r="I92" s="1069" t="str">
        <f t="shared" si="77"/>
        <v/>
      </c>
      <c r="J92" s="1067" t="str">
        <f t="shared" si="78"/>
        <v/>
      </c>
      <c r="K92" s="1044" t="str">
        <f t="shared" si="79"/>
        <v/>
      </c>
      <c r="L92" s="1044" t="str">
        <f t="shared" si="80"/>
        <v/>
      </c>
      <c r="M92" s="1044" t="str">
        <f t="shared" si="81"/>
        <v/>
      </c>
      <c r="N92" s="1044" t="str">
        <f t="shared" si="82"/>
        <v/>
      </c>
      <c r="O92" s="1044" t="str">
        <f t="shared" si="83"/>
        <v/>
      </c>
      <c r="P92" s="1044" t="str">
        <f t="shared" si="84"/>
        <v/>
      </c>
      <c r="Q92" s="1044">
        <f t="shared" si="85"/>
        <v>0</v>
      </c>
      <c r="R92" s="1044">
        <f t="shared" si="86"/>
        <v>0</v>
      </c>
      <c r="S92" s="1044">
        <f t="shared" si="87"/>
        <v>0</v>
      </c>
      <c r="T92" s="1044">
        <f t="shared" si="88"/>
        <v>0</v>
      </c>
      <c r="U92" s="1044" t="str">
        <f t="shared" si="89"/>
        <v/>
      </c>
      <c r="V92" s="1044" t="str">
        <f t="shared" si="90"/>
        <v/>
      </c>
      <c r="W92" s="1044">
        <f t="shared" si="91"/>
        <v>0</v>
      </c>
      <c r="X92" s="1044" t="str">
        <f t="shared" si="92"/>
        <v/>
      </c>
      <c r="Y92" s="1044">
        <f t="shared" si="93"/>
        <v>0</v>
      </c>
      <c r="Z92" s="1044" t="str">
        <f t="shared" si="94"/>
        <v/>
      </c>
      <c r="AA92" s="1044">
        <f t="shared" si="95"/>
        <v>0</v>
      </c>
      <c r="AB92" s="1044">
        <f t="shared" si="96"/>
        <v>0</v>
      </c>
      <c r="AC92" s="1044">
        <f t="shared" si="97"/>
        <v>0</v>
      </c>
      <c r="AD92" s="1044" t="str">
        <f t="shared" si="98"/>
        <v/>
      </c>
      <c r="AE92" s="1044">
        <f t="shared" si="99"/>
        <v>0</v>
      </c>
      <c r="AF92" s="1044" t="str">
        <f t="shared" si="100"/>
        <v/>
      </c>
      <c r="AG92" s="1044">
        <f t="shared" si="101"/>
        <v>0</v>
      </c>
      <c r="AH92" s="1044">
        <f t="shared" si="102"/>
        <v>0</v>
      </c>
      <c r="AI92" s="1044" t="str">
        <f t="shared" si="103"/>
        <v/>
      </c>
      <c r="AJ92" s="1044">
        <f t="shared" si="104"/>
        <v>0</v>
      </c>
      <c r="AK92" s="1044">
        <f t="shared" si="105"/>
        <v>0</v>
      </c>
      <c r="AL92" s="1044">
        <f t="shared" si="106"/>
        <v>0</v>
      </c>
      <c r="AM92" s="1044">
        <f t="shared" si="107"/>
        <v>0</v>
      </c>
      <c r="AN92" s="1044" t="str">
        <f t="shared" si="108"/>
        <v/>
      </c>
      <c r="AO92" s="1044" t="str">
        <f t="shared" si="109"/>
        <v/>
      </c>
      <c r="AP92" s="1044">
        <f t="shared" si="110"/>
        <v>0</v>
      </c>
      <c r="AQ92" s="1044">
        <f t="shared" si="111"/>
        <v>0</v>
      </c>
      <c r="AR92" s="1044" t="str">
        <f t="shared" si="112"/>
        <v/>
      </c>
      <c r="AS92" s="1044">
        <f t="shared" si="113"/>
        <v>0</v>
      </c>
      <c r="AT92" s="1044" t="str">
        <f t="shared" si="114"/>
        <v/>
      </c>
      <c r="AU92" s="1044">
        <f t="shared" si="115"/>
        <v>0</v>
      </c>
      <c r="AV92" s="1044" t="str">
        <f t="shared" si="116"/>
        <v/>
      </c>
      <c r="AW92" s="1044">
        <f t="shared" si="117"/>
        <v>0</v>
      </c>
      <c r="AX92" s="1044" t="str">
        <f t="shared" si="118"/>
        <v/>
      </c>
      <c r="AY92" s="1044">
        <f t="shared" si="119"/>
        <v>0</v>
      </c>
      <c r="AZ92" s="1044" t="str">
        <f t="shared" si="120"/>
        <v/>
      </c>
      <c r="BA92" s="1044">
        <f t="shared" si="121"/>
        <v>0</v>
      </c>
      <c r="BB92" s="1044" t="str">
        <f t="shared" si="122"/>
        <v/>
      </c>
      <c r="BC92" s="1044">
        <f t="shared" si="123"/>
        <v>0</v>
      </c>
      <c r="BD92" s="1044">
        <f t="shared" si="124"/>
        <v>0</v>
      </c>
      <c r="BE92" s="1044" t="str">
        <f t="shared" si="125"/>
        <v/>
      </c>
      <c r="BF92" s="1044" t="str">
        <f t="shared" si="126"/>
        <v/>
      </c>
      <c r="BG92" s="1044" t="str">
        <f t="shared" si="127"/>
        <v/>
      </c>
      <c r="BH92" s="1044" t="str">
        <f t="shared" si="128"/>
        <v/>
      </c>
      <c r="BI92" s="1044" t="str">
        <f t="shared" si="129"/>
        <v/>
      </c>
      <c r="BJ92" s="1044" t="str">
        <f t="shared" si="130"/>
        <v/>
      </c>
      <c r="BK92" s="1044" t="str">
        <f t="shared" si="131"/>
        <v/>
      </c>
      <c r="BL92" s="1044" t="str">
        <f t="shared" si="132"/>
        <v/>
      </c>
      <c r="BM92" s="1044" t="str">
        <f t="shared" si="133"/>
        <v/>
      </c>
      <c r="BN92" s="1044" t="str">
        <f t="shared" si="134"/>
        <v/>
      </c>
      <c r="BO92" s="1044" t="str">
        <f t="shared" si="135"/>
        <v/>
      </c>
      <c r="BP92" s="1044" t="str">
        <f t="shared" si="136"/>
        <v/>
      </c>
      <c r="BQ92" s="1044" t="str">
        <f t="shared" si="137"/>
        <v/>
      </c>
      <c r="BR92" s="1044" t="str">
        <f t="shared" si="138"/>
        <v/>
      </c>
      <c r="BS92" s="1044" t="str">
        <f t="shared" si="139"/>
        <v/>
      </c>
      <c r="BT92" s="1044" t="str">
        <f t="shared" si="140"/>
        <v/>
      </c>
      <c r="BU92" s="1044" t="str">
        <f t="shared" si="141"/>
        <v/>
      </c>
    </row>
    <row r="93" spans="1:73" ht="30" customHeight="1">
      <c r="A93" s="1069" t="str">
        <f t="shared" si="71"/>
        <v/>
      </c>
      <c r="B93" s="1063"/>
      <c r="C93" s="1064" t="s">
        <v>254</v>
      </c>
      <c r="D93" s="1070" t="str">
        <f t="shared" si="72"/>
        <v/>
      </c>
      <c r="E93" s="1071" t="str">
        <f t="shared" si="73"/>
        <v/>
      </c>
      <c r="F93" s="1067" t="str">
        <f t="shared" si="74"/>
        <v/>
      </c>
      <c r="G93" s="1068" t="str">
        <f t="shared" si="75"/>
        <v/>
      </c>
      <c r="H93" s="1069" t="str">
        <f t="shared" si="76"/>
        <v/>
      </c>
      <c r="I93" s="1069" t="str">
        <f t="shared" si="77"/>
        <v/>
      </c>
      <c r="J93" s="1067" t="str">
        <f t="shared" si="78"/>
        <v/>
      </c>
      <c r="K93" s="1044" t="str">
        <f t="shared" si="79"/>
        <v/>
      </c>
      <c r="L93" s="1044" t="str">
        <f t="shared" si="80"/>
        <v/>
      </c>
      <c r="M93" s="1044" t="str">
        <f t="shared" si="81"/>
        <v/>
      </c>
      <c r="N93" s="1044" t="str">
        <f t="shared" si="82"/>
        <v/>
      </c>
      <c r="O93" s="1044" t="str">
        <f t="shared" si="83"/>
        <v/>
      </c>
      <c r="P93" s="1044" t="str">
        <f t="shared" si="84"/>
        <v/>
      </c>
      <c r="Q93" s="1044">
        <f t="shared" si="85"/>
        <v>0</v>
      </c>
      <c r="R93" s="1044">
        <f t="shared" si="86"/>
        <v>0</v>
      </c>
      <c r="S93" s="1044">
        <f t="shared" si="87"/>
        <v>0</v>
      </c>
      <c r="T93" s="1044">
        <f t="shared" si="88"/>
        <v>0</v>
      </c>
      <c r="U93" s="1044" t="str">
        <f t="shared" si="89"/>
        <v/>
      </c>
      <c r="V93" s="1044" t="str">
        <f t="shared" si="90"/>
        <v/>
      </c>
      <c r="W93" s="1044">
        <f t="shared" si="91"/>
        <v>0</v>
      </c>
      <c r="X93" s="1044" t="str">
        <f t="shared" si="92"/>
        <v/>
      </c>
      <c r="Y93" s="1044">
        <f t="shared" si="93"/>
        <v>0</v>
      </c>
      <c r="Z93" s="1044" t="str">
        <f t="shared" si="94"/>
        <v/>
      </c>
      <c r="AA93" s="1044">
        <f t="shared" si="95"/>
        <v>0</v>
      </c>
      <c r="AB93" s="1044">
        <f t="shared" si="96"/>
        <v>0</v>
      </c>
      <c r="AC93" s="1044">
        <f t="shared" si="97"/>
        <v>0</v>
      </c>
      <c r="AD93" s="1044" t="str">
        <f t="shared" si="98"/>
        <v/>
      </c>
      <c r="AE93" s="1044">
        <f t="shared" si="99"/>
        <v>0</v>
      </c>
      <c r="AF93" s="1044" t="str">
        <f t="shared" si="100"/>
        <v/>
      </c>
      <c r="AG93" s="1044">
        <f t="shared" si="101"/>
        <v>0</v>
      </c>
      <c r="AH93" s="1044">
        <f t="shared" si="102"/>
        <v>0</v>
      </c>
      <c r="AI93" s="1044" t="str">
        <f t="shared" si="103"/>
        <v/>
      </c>
      <c r="AJ93" s="1044">
        <f t="shared" si="104"/>
        <v>0</v>
      </c>
      <c r="AK93" s="1044">
        <f t="shared" si="105"/>
        <v>0</v>
      </c>
      <c r="AL93" s="1044">
        <f t="shared" si="106"/>
        <v>0</v>
      </c>
      <c r="AM93" s="1044">
        <f t="shared" si="107"/>
        <v>0</v>
      </c>
      <c r="AN93" s="1044" t="str">
        <f t="shared" si="108"/>
        <v/>
      </c>
      <c r="AO93" s="1044" t="str">
        <f t="shared" si="109"/>
        <v/>
      </c>
      <c r="AP93" s="1044">
        <f t="shared" si="110"/>
        <v>0</v>
      </c>
      <c r="AQ93" s="1044">
        <f t="shared" si="111"/>
        <v>0</v>
      </c>
      <c r="AR93" s="1044" t="str">
        <f t="shared" si="112"/>
        <v/>
      </c>
      <c r="AS93" s="1044">
        <f t="shared" si="113"/>
        <v>0</v>
      </c>
      <c r="AT93" s="1044" t="str">
        <f t="shared" si="114"/>
        <v/>
      </c>
      <c r="AU93" s="1044">
        <f t="shared" si="115"/>
        <v>0</v>
      </c>
      <c r="AV93" s="1044" t="str">
        <f t="shared" si="116"/>
        <v/>
      </c>
      <c r="AW93" s="1044">
        <f t="shared" si="117"/>
        <v>0</v>
      </c>
      <c r="AX93" s="1044" t="str">
        <f t="shared" si="118"/>
        <v/>
      </c>
      <c r="AY93" s="1044">
        <f t="shared" si="119"/>
        <v>0</v>
      </c>
      <c r="AZ93" s="1044" t="str">
        <f t="shared" si="120"/>
        <v/>
      </c>
      <c r="BA93" s="1044">
        <f t="shared" si="121"/>
        <v>0</v>
      </c>
      <c r="BB93" s="1044" t="str">
        <f t="shared" si="122"/>
        <v/>
      </c>
      <c r="BC93" s="1044">
        <f t="shared" si="123"/>
        <v>0</v>
      </c>
      <c r="BD93" s="1044">
        <f t="shared" si="124"/>
        <v>0</v>
      </c>
      <c r="BE93" s="1044" t="str">
        <f t="shared" si="125"/>
        <v/>
      </c>
      <c r="BF93" s="1044" t="str">
        <f t="shared" si="126"/>
        <v/>
      </c>
      <c r="BG93" s="1044" t="str">
        <f t="shared" si="127"/>
        <v/>
      </c>
      <c r="BH93" s="1044" t="str">
        <f t="shared" si="128"/>
        <v/>
      </c>
      <c r="BI93" s="1044" t="str">
        <f t="shared" si="129"/>
        <v/>
      </c>
      <c r="BJ93" s="1044" t="str">
        <f t="shared" si="130"/>
        <v/>
      </c>
      <c r="BK93" s="1044" t="str">
        <f t="shared" si="131"/>
        <v/>
      </c>
      <c r="BL93" s="1044" t="str">
        <f t="shared" si="132"/>
        <v/>
      </c>
      <c r="BM93" s="1044" t="str">
        <f t="shared" si="133"/>
        <v/>
      </c>
      <c r="BN93" s="1044" t="str">
        <f t="shared" si="134"/>
        <v/>
      </c>
      <c r="BO93" s="1044" t="str">
        <f t="shared" si="135"/>
        <v/>
      </c>
      <c r="BP93" s="1044" t="str">
        <f t="shared" si="136"/>
        <v/>
      </c>
      <c r="BQ93" s="1044" t="str">
        <f t="shared" si="137"/>
        <v/>
      </c>
      <c r="BR93" s="1044" t="str">
        <f t="shared" si="138"/>
        <v/>
      </c>
      <c r="BS93" s="1044" t="str">
        <f t="shared" si="139"/>
        <v/>
      </c>
      <c r="BT93" s="1044" t="str">
        <f t="shared" si="140"/>
        <v/>
      </c>
      <c r="BU93" s="1044" t="str">
        <f t="shared" si="141"/>
        <v/>
      </c>
    </row>
    <row r="94" spans="1:73" ht="30" customHeight="1">
      <c r="A94" s="1069" t="str">
        <f t="shared" si="71"/>
        <v/>
      </c>
      <c r="B94" s="1063"/>
      <c r="C94" s="1064" t="s">
        <v>254</v>
      </c>
      <c r="D94" s="1070" t="str">
        <f t="shared" si="72"/>
        <v/>
      </c>
      <c r="E94" s="1071" t="str">
        <f t="shared" si="73"/>
        <v/>
      </c>
      <c r="F94" s="1067" t="str">
        <f t="shared" si="74"/>
        <v/>
      </c>
      <c r="G94" s="1068" t="str">
        <f t="shared" si="75"/>
        <v/>
      </c>
      <c r="H94" s="1069" t="str">
        <f t="shared" si="76"/>
        <v/>
      </c>
      <c r="I94" s="1069" t="str">
        <f t="shared" si="77"/>
        <v/>
      </c>
      <c r="J94" s="1067" t="str">
        <f t="shared" si="78"/>
        <v/>
      </c>
      <c r="K94" s="1044" t="str">
        <f t="shared" si="79"/>
        <v/>
      </c>
      <c r="L94" s="1044" t="str">
        <f t="shared" si="80"/>
        <v/>
      </c>
      <c r="M94" s="1044" t="str">
        <f t="shared" si="81"/>
        <v/>
      </c>
      <c r="N94" s="1044" t="str">
        <f t="shared" si="82"/>
        <v/>
      </c>
      <c r="O94" s="1044" t="str">
        <f t="shared" si="83"/>
        <v/>
      </c>
      <c r="P94" s="1044" t="str">
        <f t="shared" si="84"/>
        <v/>
      </c>
      <c r="Q94" s="1044">
        <f t="shared" si="85"/>
        <v>0</v>
      </c>
      <c r="R94" s="1044">
        <f t="shared" si="86"/>
        <v>0</v>
      </c>
      <c r="S94" s="1044">
        <f t="shared" si="87"/>
        <v>0</v>
      </c>
      <c r="T94" s="1044">
        <f t="shared" si="88"/>
        <v>0</v>
      </c>
      <c r="U94" s="1044" t="str">
        <f t="shared" si="89"/>
        <v/>
      </c>
      <c r="V94" s="1044" t="str">
        <f t="shared" si="90"/>
        <v/>
      </c>
      <c r="W94" s="1044">
        <f t="shared" si="91"/>
        <v>0</v>
      </c>
      <c r="X94" s="1044" t="str">
        <f t="shared" si="92"/>
        <v/>
      </c>
      <c r="Y94" s="1044">
        <f t="shared" si="93"/>
        <v>0</v>
      </c>
      <c r="Z94" s="1044" t="str">
        <f t="shared" si="94"/>
        <v/>
      </c>
      <c r="AA94" s="1044">
        <f t="shared" si="95"/>
        <v>0</v>
      </c>
      <c r="AB94" s="1044">
        <f t="shared" si="96"/>
        <v>0</v>
      </c>
      <c r="AC94" s="1044">
        <f t="shared" si="97"/>
        <v>0</v>
      </c>
      <c r="AD94" s="1044" t="str">
        <f t="shared" si="98"/>
        <v/>
      </c>
      <c r="AE94" s="1044">
        <f t="shared" si="99"/>
        <v>0</v>
      </c>
      <c r="AF94" s="1044" t="str">
        <f t="shared" si="100"/>
        <v/>
      </c>
      <c r="AG94" s="1044">
        <f t="shared" si="101"/>
        <v>0</v>
      </c>
      <c r="AH94" s="1044">
        <f t="shared" si="102"/>
        <v>0</v>
      </c>
      <c r="AI94" s="1044" t="str">
        <f t="shared" si="103"/>
        <v/>
      </c>
      <c r="AJ94" s="1044">
        <f t="shared" si="104"/>
        <v>0</v>
      </c>
      <c r="AK94" s="1044">
        <f t="shared" si="105"/>
        <v>0</v>
      </c>
      <c r="AL94" s="1044">
        <f t="shared" si="106"/>
        <v>0</v>
      </c>
      <c r="AM94" s="1044">
        <f t="shared" si="107"/>
        <v>0</v>
      </c>
      <c r="AN94" s="1044" t="str">
        <f t="shared" si="108"/>
        <v/>
      </c>
      <c r="AO94" s="1044" t="str">
        <f t="shared" si="109"/>
        <v/>
      </c>
      <c r="AP94" s="1044">
        <f t="shared" si="110"/>
        <v>0</v>
      </c>
      <c r="AQ94" s="1044">
        <f t="shared" si="111"/>
        <v>0</v>
      </c>
      <c r="AR94" s="1044" t="str">
        <f t="shared" si="112"/>
        <v/>
      </c>
      <c r="AS94" s="1044">
        <f t="shared" si="113"/>
        <v>0</v>
      </c>
      <c r="AT94" s="1044" t="str">
        <f t="shared" si="114"/>
        <v/>
      </c>
      <c r="AU94" s="1044">
        <f t="shared" si="115"/>
        <v>0</v>
      </c>
      <c r="AV94" s="1044" t="str">
        <f t="shared" si="116"/>
        <v/>
      </c>
      <c r="AW94" s="1044">
        <f t="shared" si="117"/>
        <v>0</v>
      </c>
      <c r="AX94" s="1044" t="str">
        <f t="shared" si="118"/>
        <v/>
      </c>
      <c r="AY94" s="1044">
        <f t="shared" si="119"/>
        <v>0</v>
      </c>
      <c r="AZ94" s="1044" t="str">
        <f t="shared" si="120"/>
        <v/>
      </c>
      <c r="BA94" s="1044">
        <f t="shared" si="121"/>
        <v>0</v>
      </c>
      <c r="BB94" s="1044" t="str">
        <f t="shared" si="122"/>
        <v/>
      </c>
      <c r="BC94" s="1044">
        <f t="shared" si="123"/>
        <v>0</v>
      </c>
      <c r="BD94" s="1044">
        <f t="shared" si="124"/>
        <v>0</v>
      </c>
      <c r="BE94" s="1044" t="str">
        <f t="shared" si="125"/>
        <v/>
      </c>
      <c r="BF94" s="1044" t="str">
        <f t="shared" si="126"/>
        <v/>
      </c>
      <c r="BG94" s="1044" t="str">
        <f t="shared" si="127"/>
        <v/>
      </c>
      <c r="BH94" s="1044" t="str">
        <f t="shared" si="128"/>
        <v/>
      </c>
      <c r="BI94" s="1044" t="str">
        <f t="shared" si="129"/>
        <v/>
      </c>
      <c r="BJ94" s="1044" t="str">
        <f t="shared" si="130"/>
        <v/>
      </c>
      <c r="BK94" s="1044" t="str">
        <f t="shared" si="131"/>
        <v/>
      </c>
      <c r="BL94" s="1044" t="str">
        <f t="shared" si="132"/>
        <v/>
      </c>
      <c r="BM94" s="1044" t="str">
        <f t="shared" si="133"/>
        <v/>
      </c>
      <c r="BN94" s="1044" t="str">
        <f t="shared" si="134"/>
        <v/>
      </c>
      <c r="BO94" s="1044" t="str">
        <f t="shared" si="135"/>
        <v/>
      </c>
      <c r="BP94" s="1044" t="str">
        <f t="shared" si="136"/>
        <v/>
      </c>
      <c r="BQ94" s="1044" t="str">
        <f t="shared" si="137"/>
        <v/>
      </c>
      <c r="BR94" s="1044" t="str">
        <f t="shared" si="138"/>
        <v/>
      </c>
      <c r="BS94" s="1044" t="str">
        <f t="shared" si="139"/>
        <v/>
      </c>
      <c r="BT94" s="1044" t="str">
        <f t="shared" si="140"/>
        <v/>
      </c>
      <c r="BU94" s="1044" t="str">
        <f t="shared" si="141"/>
        <v/>
      </c>
    </row>
    <row r="95" spans="1:73" ht="30" customHeight="1">
      <c r="A95" s="1069" t="str">
        <f t="shared" si="71"/>
        <v/>
      </c>
      <c r="B95" s="1063"/>
      <c r="C95" s="1064" t="s">
        <v>254</v>
      </c>
      <c r="D95" s="1070" t="str">
        <f t="shared" si="72"/>
        <v/>
      </c>
      <c r="E95" s="1071" t="str">
        <f t="shared" si="73"/>
        <v/>
      </c>
      <c r="F95" s="1067" t="str">
        <f t="shared" si="74"/>
        <v/>
      </c>
      <c r="G95" s="1068" t="str">
        <f t="shared" si="75"/>
        <v/>
      </c>
      <c r="H95" s="1069" t="str">
        <f t="shared" si="76"/>
        <v/>
      </c>
      <c r="I95" s="1069" t="str">
        <f t="shared" si="77"/>
        <v/>
      </c>
      <c r="J95" s="1067" t="str">
        <f t="shared" si="78"/>
        <v/>
      </c>
      <c r="K95" s="1044" t="str">
        <f t="shared" si="79"/>
        <v/>
      </c>
      <c r="L95" s="1044" t="str">
        <f t="shared" si="80"/>
        <v/>
      </c>
      <c r="M95" s="1044" t="str">
        <f t="shared" si="81"/>
        <v/>
      </c>
      <c r="N95" s="1044" t="str">
        <f t="shared" si="82"/>
        <v/>
      </c>
      <c r="O95" s="1044" t="str">
        <f t="shared" si="83"/>
        <v/>
      </c>
      <c r="P95" s="1044" t="str">
        <f t="shared" si="84"/>
        <v/>
      </c>
      <c r="Q95" s="1044">
        <f t="shared" si="85"/>
        <v>0</v>
      </c>
      <c r="R95" s="1044">
        <f t="shared" si="86"/>
        <v>0</v>
      </c>
      <c r="S95" s="1044">
        <f t="shared" si="87"/>
        <v>0</v>
      </c>
      <c r="T95" s="1044">
        <f t="shared" si="88"/>
        <v>0</v>
      </c>
      <c r="U95" s="1044" t="str">
        <f t="shared" si="89"/>
        <v/>
      </c>
      <c r="V95" s="1044" t="str">
        <f t="shared" si="90"/>
        <v/>
      </c>
      <c r="W95" s="1044">
        <f t="shared" si="91"/>
        <v>0</v>
      </c>
      <c r="X95" s="1044" t="str">
        <f t="shared" si="92"/>
        <v/>
      </c>
      <c r="Y95" s="1044">
        <f t="shared" si="93"/>
        <v>0</v>
      </c>
      <c r="Z95" s="1044" t="str">
        <f t="shared" si="94"/>
        <v/>
      </c>
      <c r="AA95" s="1044">
        <f t="shared" si="95"/>
        <v>0</v>
      </c>
      <c r="AB95" s="1044">
        <f t="shared" si="96"/>
        <v>0</v>
      </c>
      <c r="AC95" s="1044">
        <f t="shared" si="97"/>
        <v>0</v>
      </c>
      <c r="AD95" s="1044" t="str">
        <f t="shared" si="98"/>
        <v/>
      </c>
      <c r="AE95" s="1044">
        <f t="shared" si="99"/>
        <v>0</v>
      </c>
      <c r="AF95" s="1044" t="str">
        <f t="shared" si="100"/>
        <v/>
      </c>
      <c r="AG95" s="1044">
        <f t="shared" si="101"/>
        <v>0</v>
      </c>
      <c r="AH95" s="1044">
        <f t="shared" si="102"/>
        <v>0</v>
      </c>
      <c r="AI95" s="1044" t="str">
        <f t="shared" si="103"/>
        <v/>
      </c>
      <c r="AJ95" s="1044">
        <f t="shared" si="104"/>
        <v>0</v>
      </c>
      <c r="AK95" s="1044">
        <f t="shared" si="105"/>
        <v>0</v>
      </c>
      <c r="AL95" s="1044">
        <f t="shared" si="106"/>
        <v>0</v>
      </c>
      <c r="AM95" s="1044">
        <f t="shared" si="107"/>
        <v>0</v>
      </c>
      <c r="AN95" s="1044" t="str">
        <f t="shared" si="108"/>
        <v/>
      </c>
      <c r="AO95" s="1044" t="str">
        <f t="shared" si="109"/>
        <v/>
      </c>
      <c r="AP95" s="1044">
        <f t="shared" si="110"/>
        <v>0</v>
      </c>
      <c r="AQ95" s="1044">
        <f t="shared" si="111"/>
        <v>0</v>
      </c>
      <c r="AR95" s="1044" t="str">
        <f t="shared" si="112"/>
        <v/>
      </c>
      <c r="AS95" s="1044">
        <f t="shared" si="113"/>
        <v>0</v>
      </c>
      <c r="AT95" s="1044" t="str">
        <f t="shared" si="114"/>
        <v/>
      </c>
      <c r="AU95" s="1044">
        <f t="shared" si="115"/>
        <v>0</v>
      </c>
      <c r="AV95" s="1044" t="str">
        <f t="shared" si="116"/>
        <v/>
      </c>
      <c r="AW95" s="1044">
        <f t="shared" si="117"/>
        <v>0</v>
      </c>
      <c r="AX95" s="1044" t="str">
        <f t="shared" si="118"/>
        <v/>
      </c>
      <c r="AY95" s="1044">
        <f t="shared" si="119"/>
        <v>0</v>
      </c>
      <c r="AZ95" s="1044" t="str">
        <f t="shared" si="120"/>
        <v/>
      </c>
      <c r="BA95" s="1044">
        <f t="shared" si="121"/>
        <v>0</v>
      </c>
      <c r="BB95" s="1044" t="str">
        <f t="shared" si="122"/>
        <v/>
      </c>
      <c r="BC95" s="1044">
        <f t="shared" si="123"/>
        <v>0</v>
      </c>
      <c r="BD95" s="1044">
        <f t="shared" si="124"/>
        <v>0</v>
      </c>
      <c r="BE95" s="1044" t="str">
        <f t="shared" si="125"/>
        <v/>
      </c>
      <c r="BF95" s="1044" t="str">
        <f t="shared" si="126"/>
        <v/>
      </c>
      <c r="BG95" s="1044" t="str">
        <f t="shared" si="127"/>
        <v/>
      </c>
      <c r="BH95" s="1044" t="str">
        <f t="shared" si="128"/>
        <v/>
      </c>
      <c r="BI95" s="1044" t="str">
        <f t="shared" si="129"/>
        <v/>
      </c>
      <c r="BJ95" s="1044" t="str">
        <f t="shared" si="130"/>
        <v/>
      </c>
      <c r="BK95" s="1044" t="str">
        <f t="shared" si="131"/>
        <v/>
      </c>
      <c r="BL95" s="1044" t="str">
        <f t="shared" si="132"/>
        <v/>
      </c>
      <c r="BM95" s="1044" t="str">
        <f t="shared" si="133"/>
        <v/>
      </c>
      <c r="BN95" s="1044" t="str">
        <f t="shared" si="134"/>
        <v/>
      </c>
      <c r="BO95" s="1044" t="str">
        <f t="shared" si="135"/>
        <v/>
      </c>
      <c r="BP95" s="1044" t="str">
        <f t="shared" si="136"/>
        <v/>
      </c>
      <c r="BQ95" s="1044" t="str">
        <f t="shared" si="137"/>
        <v/>
      </c>
      <c r="BR95" s="1044" t="str">
        <f t="shared" si="138"/>
        <v/>
      </c>
      <c r="BS95" s="1044" t="str">
        <f t="shared" si="139"/>
        <v/>
      </c>
      <c r="BT95" s="1044" t="str">
        <f t="shared" si="140"/>
        <v/>
      </c>
      <c r="BU95" s="1044" t="str">
        <f t="shared" si="141"/>
        <v/>
      </c>
    </row>
    <row r="96" spans="1:73" ht="30" customHeight="1">
      <c r="A96" s="1069" t="str">
        <f t="shared" si="71"/>
        <v/>
      </c>
      <c r="B96" s="1063"/>
      <c r="C96" s="1064" t="s">
        <v>254</v>
      </c>
      <c r="D96" s="1070" t="str">
        <f t="shared" si="72"/>
        <v/>
      </c>
      <c r="E96" s="1071" t="str">
        <f t="shared" si="73"/>
        <v/>
      </c>
      <c r="F96" s="1067" t="str">
        <f t="shared" si="74"/>
        <v/>
      </c>
      <c r="G96" s="1068" t="str">
        <f t="shared" si="75"/>
        <v/>
      </c>
      <c r="H96" s="1069" t="str">
        <f t="shared" si="76"/>
        <v/>
      </c>
      <c r="I96" s="1069" t="str">
        <f t="shared" si="77"/>
        <v/>
      </c>
      <c r="J96" s="1067" t="str">
        <f t="shared" si="78"/>
        <v/>
      </c>
      <c r="K96" s="1044" t="str">
        <f t="shared" si="79"/>
        <v/>
      </c>
      <c r="L96" s="1044" t="str">
        <f t="shared" si="80"/>
        <v/>
      </c>
      <c r="M96" s="1044" t="str">
        <f t="shared" si="81"/>
        <v/>
      </c>
      <c r="N96" s="1044" t="str">
        <f t="shared" si="82"/>
        <v/>
      </c>
      <c r="O96" s="1044" t="str">
        <f t="shared" si="83"/>
        <v/>
      </c>
      <c r="P96" s="1044" t="str">
        <f t="shared" si="84"/>
        <v/>
      </c>
      <c r="Q96" s="1044">
        <f t="shared" si="85"/>
        <v>0</v>
      </c>
      <c r="R96" s="1044">
        <f t="shared" si="86"/>
        <v>0</v>
      </c>
      <c r="S96" s="1044">
        <f t="shared" si="87"/>
        <v>0</v>
      </c>
      <c r="T96" s="1044">
        <f t="shared" si="88"/>
        <v>0</v>
      </c>
      <c r="U96" s="1044" t="str">
        <f t="shared" si="89"/>
        <v/>
      </c>
      <c r="V96" s="1044" t="str">
        <f t="shared" si="90"/>
        <v/>
      </c>
      <c r="W96" s="1044">
        <f t="shared" si="91"/>
        <v>0</v>
      </c>
      <c r="X96" s="1044" t="str">
        <f t="shared" si="92"/>
        <v/>
      </c>
      <c r="Y96" s="1044">
        <f t="shared" si="93"/>
        <v>0</v>
      </c>
      <c r="Z96" s="1044" t="str">
        <f t="shared" si="94"/>
        <v/>
      </c>
      <c r="AA96" s="1044">
        <f t="shared" si="95"/>
        <v>0</v>
      </c>
      <c r="AB96" s="1044">
        <f t="shared" si="96"/>
        <v>0</v>
      </c>
      <c r="AC96" s="1044">
        <f t="shared" si="97"/>
        <v>0</v>
      </c>
      <c r="AD96" s="1044" t="str">
        <f t="shared" si="98"/>
        <v/>
      </c>
      <c r="AE96" s="1044">
        <f t="shared" si="99"/>
        <v>0</v>
      </c>
      <c r="AF96" s="1044" t="str">
        <f t="shared" si="100"/>
        <v/>
      </c>
      <c r="AG96" s="1044">
        <f t="shared" si="101"/>
        <v>0</v>
      </c>
      <c r="AH96" s="1044">
        <f t="shared" si="102"/>
        <v>0</v>
      </c>
      <c r="AI96" s="1044" t="str">
        <f t="shared" si="103"/>
        <v/>
      </c>
      <c r="AJ96" s="1044">
        <f t="shared" si="104"/>
        <v>0</v>
      </c>
      <c r="AK96" s="1044">
        <f t="shared" si="105"/>
        <v>0</v>
      </c>
      <c r="AL96" s="1044">
        <f t="shared" si="106"/>
        <v>0</v>
      </c>
      <c r="AM96" s="1044">
        <f t="shared" si="107"/>
        <v>0</v>
      </c>
      <c r="AN96" s="1044" t="str">
        <f t="shared" si="108"/>
        <v/>
      </c>
      <c r="AO96" s="1044" t="str">
        <f t="shared" si="109"/>
        <v/>
      </c>
      <c r="AP96" s="1044">
        <f t="shared" si="110"/>
        <v>0</v>
      </c>
      <c r="AQ96" s="1044">
        <f t="shared" si="111"/>
        <v>0</v>
      </c>
      <c r="AR96" s="1044" t="str">
        <f t="shared" si="112"/>
        <v/>
      </c>
      <c r="AS96" s="1044">
        <f t="shared" si="113"/>
        <v>0</v>
      </c>
      <c r="AT96" s="1044" t="str">
        <f t="shared" si="114"/>
        <v/>
      </c>
      <c r="AU96" s="1044">
        <f t="shared" si="115"/>
        <v>0</v>
      </c>
      <c r="AV96" s="1044" t="str">
        <f t="shared" si="116"/>
        <v/>
      </c>
      <c r="AW96" s="1044">
        <f t="shared" si="117"/>
        <v>0</v>
      </c>
      <c r="AX96" s="1044" t="str">
        <f t="shared" si="118"/>
        <v/>
      </c>
      <c r="AY96" s="1044">
        <f t="shared" si="119"/>
        <v>0</v>
      </c>
      <c r="AZ96" s="1044" t="str">
        <f t="shared" si="120"/>
        <v/>
      </c>
      <c r="BA96" s="1044">
        <f t="shared" si="121"/>
        <v>0</v>
      </c>
      <c r="BB96" s="1044" t="str">
        <f t="shared" si="122"/>
        <v/>
      </c>
      <c r="BC96" s="1044">
        <f t="shared" si="123"/>
        <v>0</v>
      </c>
      <c r="BD96" s="1044">
        <f t="shared" si="124"/>
        <v>0</v>
      </c>
      <c r="BE96" s="1044" t="str">
        <f t="shared" si="125"/>
        <v/>
      </c>
      <c r="BF96" s="1044" t="str">
        <f t="shared" si="126"/>
        <v/>
      </c>
      <c r="BG96" s="1044" t="str">
        <f t="shared" si="127"/>
        <v/>
      </c>
      <c r="BH96" s="1044" t="str">
        <f t="shared" si="128"/>
        <v/>
      </c>
      <c r="BI96" s="1044" t="str">
        <f t="shared" si="129"/>
        <v/>
      </c>
      <c r="BJ96" s="1044" t="str">
        <f t="shared" si="130"/>
        <v/>
      </c>
      <c r="BK96" s="1044" t="str">
        <f t="shared" si="131"/>
        <v/>
      </c>
      <c r="BL96" s="1044" t="str">
        <f t="shared" si="132"/>
        <v/>
      </c>
      <c r="BM96" s="1044" t="str">
        <f t="shared" si="133"/>
        <v/>
      </c>
      <c r="BN96" s="1044" t="str">
        <f t="shared" si="134"/>
        <v/>
      </c>
      <c r="BO96" s="1044" t="str">
        <f t="shared" si="135"/>
        <v/>
      </c>
      <c r="BP96" s="1044" t="str">
        <f t="shared" si="136"/>
        <v/>
      </c>
      <c r="BQ96" s="1044" t="str">
        <f t="shared" si="137"/>
        <v/>
      </c>
      <c r="BR96" s="1044" t="str">
        <f t="shared" si="138"/>
        <v/>
      </c>
      <c r="BS96" s="1044" t="str">
        <f t="shared" si="139"/>
        <v/>
      </c>
      <c r="BT96" s="1044" t="str">
        <f t="shared" si="140"/>
        <v/>
      </c>
      <c r="BU96" s="1044" t="str">
        <f t="shared" si="141"/>
        <v/>
      </c>
    </row>
    <row r="97" spans="1:73" ht="30" customHeight="1">
      <c r="A97" s="1069" t="str">
        <f t="shared" si="71"/>
        <v/>
      </c>
      <c r="B97" s="1063"/>
      <c r="C97" s="1064" t="s">
        <v>254</v>
      </c>
      <c r="D97" s="1070" t="str">
        <f t="shared" si="72"/>
        <v/>
      </c>
      <c r="E97" s="1071" t="str">
        <f t="shared" si="73"/>
        <v/>
      </c>
      <c r="F97" s="1067" t="str">
        <f t="shared" si="74"/>
        <v/>
      </c>
      <c r="G97" s="1068" t="str">
        <f t="shared" si="75"/>
        <v/>
      </c>
      <c r="H97" s="1069" t="str">
        <f t="shared" si="76"/>
        <v/>
      </c>
      <c r="I97" s="1069" t="str">
        <f t="shared" si="77"/>
        <v/>
      </c>
      <c r="J97" s="1067" t="str">
        <f t="shared" si="78"/>
        <v/>
      </c>
      <c r="K97" s="1044" t="str">
        <f t="shared" si="79"/>
        <v/>
      </c>
      <c r="L97" s="1044" t="str">
        <f t="shared" si="80"/>
        <v/>
      </c>
      <c r="M97" s="1044" t="str">
        <f t="shared" si="81"/>
        <v/>
      </c>
      <c r="N97" s="1044" t="str">
        <f t="shared" si="82"/>
        <v/>
      </c>
      <c r="O97" s="1044" t="str">
        <f t="shared" si="83"/>
        <v/>
      </c>
      <c r="P97" s="1044" t="str">
        <f t="shared" si="84"/>
        <v/>
      </c>
      <c r="Q97" s="1044">
        <f t="shared" si="85"/>
        <v>0</v>
      </c>
      <c r="R97" s="1044">
        <f t="shared" si="86"/>
        <v>0</v>
      </c>
      <c r="S97" s="1044">
        <f t="shared" si="87"/>
        <v>0</v>
      </c>
      <c r="T97" s="1044">
        <f t="shared" si="88"/>
        <v>0</v>
      </c>
      <c r="U97" s="1044" t="str">
        <f t="shared" si="89"/>
        <v/>
      </c>
      <c r="V97" s="1044" t="str">
        <f t="shared" si="90"/>
        <v/>
      </c>
      <c r="W97" s="1044">
        <f t="shared" si="91"/>
        <v>0</v>
      </c>
      <c r="X97" s="1044" t="str">
        <f t="shared" si="92"/>
        <v/>
      </c>
      <c r="Y97" s="1044">
        <f t="shared" si="93"/>
        <v>0</v>
      </c>
      <c r="Z97" s="1044" t="str">
        <f t="shared" si="94"/>
        <v/>
      </c>
      <c r="AA97" s="1044">
        <f t="shared" si="95"/>
        <v>0</v>
      </c>
      <c r="AB97" s="1044">
        <f t="shared" si="96"/>
        <v>0</v>
      </c>
      <c r="AC97" s="1044">
        <f t="shared" si="97"/>
        <v>0</v>
      </c>
      <c r="AD97" s="1044" t="str">
        <f t="shared" si="98"/>
        <v/>
      </c>
      <c r="AE97" s="1044">
        <f t="shared" si="99"/>
        <v>0</v>
      </c>
      <c r="AF97" s="1044" t="str">
        <f t="shared" si="100"/>
        <v/>
      </c>
      <c r="AG97" s="1044">
        <f t="shared" si="101"/>
        <v>0</v>
      </c>
      <c r="AH97" s="1044">
        <f t="shared" si="102"/>
        <v>0</v>
      </c>
      <c r="AI97" s="1044" t="str">
        <f t="shared" si="103"/>
        <v/>
      </c>
      <c r="AJ97" s="1044">
        <f t="shared" si="104"/>
        <v>0</v>
      </c>
      <c r="AK97" s="1044">
        <f t="shared" si="105"/>
        <v>0</v>
      </c>
      <c r="AL97" s="1044">
        <f t="shared" si="106"/>
        <v>0</v>
      </c>
      <c r="AM97" s="1044">
        <f t="shared" si="107"/>
        <v>0</v>
      </c>
      <c r="AN97" s="1044" t="str">
        <f t="shared" si="108"/>
        <v/>
      </c>
      <c r="AO97" s="1044" t="str">
        <f t="shared" si="109"/>
        <v/>
      </c>
      <c r="AP97" s="1044">
        <f t="shared" si="110"/>
        <v>0</v>
      </c>
      <c r="AQ97" s="1044">
        <f t="shared" si="111"/>
        <v>0</v>
      </c>
      <c r="AR97" s="1044" t="str">
        <f t="shared" si="112"/>
        <v/>
      </c>
      <c r="AS97" s="1044">
        <f t="shared" si="113"/>
        <v>0</v>
      </c>
      <c r="AT97" s="1044" t="str">
        <f t="shared" si="114"/>
        <v/>
      </c>
      <c r="AU97" s="1044">
        <f t="shared" si="115"/>
        <v>0</v>
      </c>
      <c r="AV97" s="1044" t="str">
        <f t="shared" si="116"/>
        <v/>
      </c>
      <c r="AW97" s="1044">
        <f t="shared" si="117"/>
        <v>0</v>
      </c>
      <c r="AX97" s="1044" t="str">
        <f t="shared" si="118"/>
        <v/>
      </c>
      <c r="AY97" s="1044">
        <f t="shared" si="119"/>
        <v>0</v>
      </c>
      <c r="AZ97" s="1044" t="str">
        <f t="shared" si="120"/>
        <v/>
      </c>
      <c r="BA97" s="1044">
        <f t="shared" si="121"/>
        <v>0</v>
      </c>
      <c r="BB97" s="1044" t="str">
        <f t="shared" si="122"/>
        <v/>
      </c>
      <c r="BC97" s="1044">
        <f t="shared" si="123"/>
        <v>0</v>
      </c>
      <c r="BD97" s="1044">
        <f t="shared" si="124"/>
        <v>0</v>
      </c>
      <c r="BE97" s="1044" t="str">
        <f t="shared" si="125"/>
        <v/>
      </c>
      <c r="BF97" s="1044" t="str">
        <f t="shared" si="126"/>
        <v/>
      </c>
      <c r="BG97" s="1044" t="str">
        <f t="shared" si="127"/>
        <v/>
      </c>
      <c r="BH97" s="1044" t="str">
        <f t="shared" si="128"/>
        <v/>
      </c>
      <c r="BI97" s="1044" t="str">
        <f t="shared" si="129"/>
        <v/>
      </c>
      <c r="BJ97" s="1044" t="str">
        <f t="shared" si="130"/>
        <v/>
      </c>
      <c r="BK97" s="1044" t="str">
        <f t="shared" si="131"/>
        <v/>
      </c>
      <c r="BL97" s="1044" t="str">
        <f t="shared" si="132"/>
        <v/>
      </c>
      <c r="BM97" s="1044" t="str">
        <f t="shared" si="133"/>
        <v/>
      </c>
      <c r="BN97" s="1044" t="str">
        <f t="shared" si="134"/>
        <v/>
      </c>
      <c r="BO97" s="1044" t="str">
        <f t="shared" si="135"/>
        <v/>
      </c>
      <c r="BP97" s="1044" t="str">
        <f t="shared" si="136"/>
        <v/>
      </c>
      <c r="BQ97" s="1044" t="str">
        <f t="shared" si="137"/>
        <v/>
      </c>
      <c r="BR97" s="1044" t="str">
        <f t="shared" si="138"/>
        <v/>
      </c>
      <c r="BS97" s="1044" t="str">
        <f t="shared" si="139"/>
        <v/>
      </c>
      <c r="BT97" s="1044" t="str">
        <f t="shared" si="140"/>
        <v/>
      </c>
      <c r="BU97" s="1044" t="str">
        <f t="shared" si="141"/>
        <v/>
      </c>
    </row>
    <row r="98" spans="1:73" ht="30" customHeight="1">
      <c r="A98" s="1069" t="str">
        <f t="shared" si="71"/>
        <v/>
      </c>
      <c r="B98" s="1063"/>
      <c r="C98" s="1064" t="s">
        <v>254</v>
      </c>
      <c r="D98" s="1070" t="str">
        <f t="shared" si="72"/>
        <v/>
      </c>
      <c r="E98" s="1071" t="str">
        <f t="shared" si="73"/>
        <v/>
      </c>
      <c r="F98" s="1067" t="str">
        <f t="shared" si="74"/>
        <v/>
      </c>
      <c r="G98" s="1068" t="str">
        <f t="shared" si="75"/>
        <v/>
      </c>
      <c r="H98" s="1069" t="str">
        <f t="shared" si="76"/>
        <v/>
      </c>
      <c r="I98" s="1069" t="str">
        <f t="shared" si="77"/>
        <v/>
      </c>
      <c r="J98" s="1067" t="str">
        <f t="shared" si="78"/>
        <v/>
      </c>
      <c r="K98" s="1044" t="str">
        <f t="shared" si="79"/>
        <v/>
      </c>
      <c r="L98" s="1044" t="str">
        <f t="shared" si="80"/>
        <v/>
      </c>
      <c r="M98" s="1044" t="str">
        <f t="shared" si="81"/>
        <v/>
      </c>
      <c r="N98" s="1044" t="str">
        <f t="shared" si="82"/>
        <v/>
      </c>
      <c r="O98" s="1044" t="str">
        <f t="shared" si="83"/>
        <v/>
      </c>
      <c r="P98" s="1044" t="str">
        <f t="shared" si="84"/>
        <v/>
      </c>
      <c r="Q98" s="1044">
        <f t="shared" si="85"/>
        <v>0</v>
      </c>
      <c r="R98" s="1044">
        <f t="shared" si="86"/>
        <v>0</v>
      </c>
      <c r="S98" s="1044">
        <f t="shared" si="87"/>
        <v>0</v>
      </c>
      <c r="T98" s="1044">
        <f t="shared" si="88"/>
        <v>0</v>
      </c>
      <c r="U98" s="1044" t="str">
        <f t="shared" si="89"/>
        <v/>
      </c>
      <c r="V98" s="1044" t="str">
        <f t="shared" si="90"/>
        <v/>
      </c>
      <c r="W98" s="1044">
        <f t="shared" si="91"/>
        <v>0</v>
      </c>
      <c r="X98" s="1044" t="str">
        <f t="shared" si="92"/>
        <v/>
      </c>
      <c r="Y98" s="1044">
        <f t="shared" si="93"/>
        <v>0</v>
      </c>
      <c r="Z98" s="1044" t="str">
        <f t="shared" si="94"/>
        <v/>
      </c>
      <c r="AA98" s="1044">
        <f t="shared" si="95"/>
        <v>0</v>
      </c>
      <c r="AB98" s="1044">
        <f t="shared" si="96"/>
        <v>0</v>
      </c>
      <c r="AC98" s="1044">
        <f t="shared" si="97"/>
        <v>0</v>
      </c>
      <c r="AD98" s="1044" t="str">
        <f t="shared" si="98"/>
        <v/>
      </c>
      <c r="AE98" s="1044">
        <f t="shared" si="99"/>
        <v>0</v>
      </c>
      <c r="AF98" s="1044" t="str">
        <f t="shared" si="100"/>
        <v/>
      </c>
      <c r="AG98" s="1044">
        <f t="shared" si="101"/>
        <v>0</v>
      </c>
      <c r="AH98" s="1044">
        <f t="shared" si="102"/>
        <v>0</v>
      </c>
      <c r="AI98" s="1044" t="str">
        <f t="shared" si="103"/>
        <v/>
      </c>
      <c r="AJ98" s="1044">
        <f t="shared" si="104"/>
        <v>0</v>
      </c>
      <c r="AK98" s="1044">
        <f t="shared" si="105"/>
        <v>0</v>
      </c>
      <c r="AL98" s="1044">
        <f t="shared" si="106"/>
        <v>0</v>
      </c>
      <c r="AM98" s="1044">
        <f t="shared" si="107"/>
        <v>0</v>
      </c>
      <c r="AN98" s="1044" t="str">
        <f t="shared" si="108"/>
        <v/>
      </c>
      <c r="AO98" s="1044" t="str">
        <f t="shared" si="109"/>
        <v/>
      </c>
      <c r="AP98" s="1044">
        <f t="shared" si="110"/>
        <v>0</v>
      </c>
      <c r="AQ98" s="1044">
        <f t="shared" si="111"/>
        <v>0</v>
      </c>
      <c r="AR98" s="1044" t="str">
        <f t="shared" si="112"/>
        <v/>
      </c>
      <c r="AS98" s="1044">
        <f t="shared" si="113"/>
        <v>0</v>
      </c>
      <c r="AT98" s="1044" t="str">
        <f t="shared" si="114"/>
        <v/>
      </c>
      <c r="AU98" s="1044">
        <f t="shared" si="115"/>
        <v>0</v>
      </c>
      <c r="AV98" s="1044" t="str">
        <f t="shared" si="116"/>
        <v/>
      </c>
      <c r="AW98" s="1044">
        <f t="shared" si="117"/>
        <v>0</v>
      </c>
      <c r="AX98" s="1044" t="str">
        <f t="shared" si="118"/>
        <v/>
      </c>
      <c r="AY98" s="1044">
        <f t="shared" si="119"/>
        <v>0</v>
      </c>
      <c r="AZ98" s="1044" t="str">
        <f t="shared" si="120"/>
        <v/>
      </c>
      <c r="BA98" s="1044">
        <f t="shared" si="121"/>
        <v>0</v>
      </c>
      <c r="BB98" s="1044" t="str">
        <f t="shared" si="122"/>
        <v/>
      </c>
      <c r="BC98" s="1044">
        <f t="shared" si="123"/>
        <v>0</v>
      </c>
      <c r="BD98" s="1044">
        <f t="shared" si="124"/>
        <v>0</v>
      </c>
      <c r="BE98" s="1044" t="str">
        <f t="shared" si="125"/>
        <v/>
      </c>
      <c r="BF98" s="1044" t="str">
        <f t="shared" si="126"/>
        <v/>
      </c>
      <c r="BG98" s="1044" t="str">
        <f t="shared" si="127"/>
        <v/>
      </c>
      <c r="BH98" s="1044" t="str">
        <f t="shared" si="128"/>
        <v/>
      </c>
      <c r="BI98" s="1044" t="str">
        <f t="shared" si="129"/>
        <v/>
      </c>
      <c r="BJ98" s="1044" t="str">
        <f t="shared" si="130"/>
        <v/>
      </c>
      <c r="BK98" s="1044" t="str">
        <f t="shared" si="131"/>
        <v/>
      </c>
      <c r="BL98" s="1044" t="str">
        <f t="shared" si="132"/>
        <v/>
      </c>
      <c r="BM98" s="1044" t="str">
        <f t="shared" si="133"/>
        <v/>
      </c>
      <c r="BN98" s="1044" t="str">
        <f t="shared" si="134"/>
        <v/>
      </c>
      <c r="BO98" s="1044" t="str">
        <f t="shared" si="135"/>
        <v/>
      </c>
      <c r="BP98" s="1044" t="str">
        <f t="shared" si="136"/>
        <v/>
      </c>
      <c r="BQ98" s="1044" t="str">
        <f t="shared" si="137"/>
        <v/>
      </c>
      <c r="BR98" s="1044" t="str">
        <f t="shared" si="138"/>
        <v/>
      </c>
      <c r="BS98" s="1044" t="str">
        <f t="shared" si="139"/>
        <v/>
      </c>
      <c r="BT98" s="1044" t="str">
        <f t="shared" si="140"/>
        <v/>
      </c>
      <c r="BU98" s="1044" t="str">
        <f t="shared" si="141"/>
        <v/>
      </c>
    </row>
    <row r="99" spans="1:73" ht="30" customHeight="1">
      <c r="A99" s="1069" t="str">
        <f t="shared" si="71"/>
        <v/>
      </c>
      <c r="B99" s="1063"/>
      <c r="C99" s="1064" t="s">
        <v>254</v>
      </c>
      <c r="D99" s="1070" t="str">
        <f t="shared" si="72"/>
        <v/>
      </c>
      <c r="E99" s="1071" t="str">
        <f t="shared" si="73"/>
        <v/>
      </c>
      <c r="F99" s="1067" t="str">
        <f t="shared" si="74"/>
        <v/>
      </c>
      <c r="G99" s="1068" t="str">
        <f t="shared" si="75"/>
        <v/>
      </c>
      <c r="H99" s="1069" t="str">
        <f t="shared" si="76"/>
        <v/>
      </c>
      <c r="I99" s="1069" t="str">
        <f t="shared" si="77"/>
        <v/>
      </c>
      <c r="J99" s="1067" t="str">
        <f t="shared" si="78"/>
        <v/>
      </c>
      <c r="K99" s="1044" t="str">
        <f t="shared" si="79"/>
        <v/>
      </c>
      <c r="L99" s="1044" t="str">
        <f t="shared" si="80"/>
        <v/>
      </c>
      <c r="M99" s="1044" t="str">
        <f t="shared" si="81"/>
        <v/>
      </c>
      <c r="N99" s="1044" t="str">
        <f t="shared" si="82"/>
        <v/>
      </c>
      <c r="O99" s="1044" t="str">
        <f t="shared" si="83"/>
        <v/>
      </c>
      <c r="P99" s="1044" t="str">
        <f t="shared" si="84"/>
        <v/>
      </c>
      <c r="Q99" s="1044">
        <f t="shared" si="85"/>
        <v>0</v>
      </c>
      <c r="R99" s="1044">
        <f t="shared" si="86"/>
        <v>0</v>
      </c>
      <c r="S99" s="1044">
        <f t="shared" si="87"/>
        <v>0</v>
      </c>
      <c r="T99" s="1044">
        <f t="shared" si="88"/>
        <v>0</v>
      </c>
      <c r="U99" s="1044" t="str">
        <f t="shared" si="89"/>
        <v/>
      </c>
      <c r="V99" s="1044" t="str">
        <f t="shared" si="90"/>
        <v/>
      </c>
      <c r="W99" s="1044">
        <f t="shared" si="91"/>
        <v>0</v>
      </c>
      <c r="X99" s="1044" t="str">
        <f t="shared" si="92"/>
        <v/>
      </c>
      <c r="Y99" s="1044">
        <f t="shared" si="93"/>
        <v>0</v>
      </c>
      <c r="Z99" s="1044" t="str">
        <f t="shared" si="94"/>
        <v/>
      </c>
      <c r="AA99" s="1044">
        <f t="shared" si="95"/>
        <v>0</v>
      </c>
      <c r="AB99" s="1044">
        <f t="shared" si="96"/>
        <v>0</v>
      </c>
      <c r="AC99" s="1044">
        <f t="shared" si="97"/>
        <v>0</v>
      </c>
      <c r="AD99" s="1044" t="str">
        <f t="shared" si="98"/>
        <v/>
      </c>
      <c r="AE99" s="1044">
        <f t="shared" si="99"/>
        <v>0</v>
      </c>
      <c r="AF99" s="1044" t="str">
        <f t="shared" si="100"/>
        <v/>
      </c>
      <c r="AG99" s="1044">
        <f t="shared" si="101"/>
        <v>0</v>
      </c>
      <c r="AH99" s="1044">
        <f t="shared" si="102"/>
        <v>0</v>
      </c>
      <c r="AI99" s="1044" t="str">
        <f t="shared" si="103"/>
        <v/>
      </c>
      <c r="AJ99" s="1044">
        <f t="shared" si="104"/>
        <v>0</v>
      </c>
      <c r="AK99" s="1044">
        <f t="shared" si="105"/>
        <v>0</v>
      </c>
      <c r="AL99" s="1044">
        <f t="shared" si="106"/>
        <v>0</v>
      </c>
      <c r="AM99" s="1044">
        <f t="shared" si="107"/>
        <v>0</v>
      </c>
      <c r="AN99" s="1044" t="str">
        <f t="shared" si="108"/>
        <v/>
      </c>
      <c r="AO99" s="1044" t="str">
        <f t="shared" si="109"/>
        <v/>
      </c>
      <c r="AP99" s="1044">
        <f t="shared" si="110"/>
        <v>0</v>
      </c>
      <c r="AQ99" s="1044">
        <f t="shared" si="111"/>
        <v>0</v>
      </c>
      <c r="AR99" s="1044" t="str">
        <f t="shared" si="112"/>
        <v/>
      </c>
      <c r="AS99" s="1044">
        <f t="shared" si="113"/>
        <v>0</v>
      </c>
      <c r="AT99" s="1044" t="str">
        <f t="shared" si="114"/>
        <v/>
      </c>
      <c r="AU99" s="1044">
        <f t="shared" si="115"/>
        <v>0</v>
      </c>
      <c r="AV99" s="1044" t="str">
        <f t="shared" si="116"/>
        <v/>
      </c>
      <c r="AW99" s="1044">
        <f t="shared" si="117"/>
        <v>0</v>
      </c>
      <c r="AX99" s="1044" t="str">
        <f t="shared" si="118"/>
        <v/>
      </c>
      <c r="AY99" s="1044">
        <f t="shared" si="119"/>
        <v>0</v>
      </c>
      <c r="AZ99" s="1044" t="str">
        <f t="shared" si="120"/>
        <v/>
      </c>
      <c r="BA99" s="1044">
        <f t="shared" si="121"/>
        <v>0</v>
      </c>
      <c r="BB99" s="1044" t="str">
        <f t="shared" si="122"/>
        <v/>
      </c>
      <c r="BC99" s="1044">
        <f t="shared" si="123"/>
        <v>0</v>
      </c>
      <c r="BD99" s="1044">
        <f t="shared" si="124"/>
        <v>0</v>
      </c>
      <c r="BE99" s="1044" t="str">
        <f t="shared" si="125"/>
        <v/>
      </c>
      <c r="BF99" s="1044" t="str">
        <f t="shared" si="126"/>
        <v/>
      </c>
      <c r="BG99" s="1044" t="str">
        <f t="shared" si="127"/>
        <v/>
      </c>
      <c r="BH99" s="1044" t="str">
        <f t="shared" si="128"/>
        <v/>
      </c>
      <c r="BI99" s="1044" t="str">
        <f t="shared" si="129"/>
        <v/>
      </c>
      <c r="BJ99" s="1044" t="str">
        <f t="shared" si="130"/>
        <v/>
      </c>
      <c r="BK99" s="1044" t="str">
        <f t="shared" si="131"/>
        <v/>
      </c>
      <c r="BL99" s="1044" t="str">
        <f t="shared" si="132"/>
        <v/>
      </c>
      <c r="BM99" s="1044" t="str">
        <f t="shared" si="133"/>
        <v/>
      </c>
      <c r="BN99" s="1044" t="str">
        <f t="shared" si="134"/>
        <v/>
      </c>
      <c r="BO99" s="1044" t="str">
        <f t="shared" si="135"/>
        <v/>
      </c>
      <c r="BP99" s="1044" t="str">
        <f t="shared" si="136"/>
        <v/>
      </c>
      <c r="BQ99" s="1044" t="str">
        <f t="shared" si="137"/>
        <v/>
      </c>
      <c r="BR99" s="1044" t="str">
        <f t="shared" si="138"/>
        <v/>
      </c>
      <c r="BS99" s="1044" t="str">
        <f t="shared" si="139"/>
        <v/>
      </c>
      <c r="BT99" s="1044" t="str">
        <f t="shared" si="140"/>
        <v/>
      </c>
      <c r="BU99" s="1044" t="str">
        <f t="shared" si="141"/>
        <v/>
      </c>
    </row>
    <row r="100" spans="1:73" ht="30" customHeight="1">
      <c r="A100" s="1069" t="str">
        <f t="shared" si="71"/>
        <v/>
      </c>
      <c r="B100" s="1063"/>
      <c r="C100" s="1064" t="s">
        <v>254</v>
      </c>
      <c r="D100" s="1070" t="str">
        <f t="shared" si="72"/>
        <v/>
      </c>
      <c r="E100" s="1071" t="str">
        <f t="shared" si="73"/>
        <v/>
      </c>
      <c r="F100" s="1067" t="str">
        <f t="shared" si="74"/>
        <v/>
      </c>
      <c r="G100" s="1068" t="str">
        <f t="shared" si="75"/>
        <v/>
      </c>
      <c r="H100" s="1069" t="str">
        <f t="shared" si="76"/>
        <v/>
      </c>
      <c r="I100" s="1069" t="str">
        <f t="shared" si="77"/>
        <v/>
      </c>
      <c r="J100" s="1067" t="str">
        <f t="shared" si="78"/>
        <v/>
      </c>
      <c r="K100" s="1044" t="str">
        <f t="shared" si="79"/>
        <v/>
      </c>
      <c r="L100" s="1044" t="str">
        <f t="shared" si="80"/>
        <v/>
      </c>
      <c r="M100" s="1044" t="str">
        <f t="shared" si="81"/>
        <v/>
      </c>
      <c r="N100" s="1044" t="str">
        <f t="shared" si="82"/>
        <v/>
      </c>
      <c r="O100" s="1044" t="str">
        <f t="shared" si="83"/>
        <v/>
      </c>
      <c r="P100" s="1044" t="str">
        <f t="shared" si="84"/>
        <v/>
      </c>
      <c r="Q100" s="1044">
        <f t="shared" si="85"/>
        <v>0</v>
      </c>
      <c r="R100" s="1044">
        <f t="shared" si="86"/>
        <v>0</v>
      </c>
      <c r="S100" s="1044">
        <f t="shared" si="87"/>
        <v>0</v>
      </c>
      <c r="T100" s="1044">
        <f t="shared" si="88"/>
        <v>0</v>
      </c>
      <c r="U100" s="1044" t="str">
        <f t="shared" si="89"/>
        <v/>
      </c>
      <c r="V100" s="1044" t="str">
        <f t="shared" si="90"/>
        <v/>
      </c>
      <c r="W100" s="1044">
        <f t="shared" si="91"/>
        <v>0</v>
      </c>
      <c r="X100" s="1044" t="str">
        <f t="shared" si="92"/>
        <v/>
      </c>
      <c r="Y100" s="1044">
        <f t="shared" si="93"/>
        <v>0</v>
      </c>
      <c r="Z100" s="1044" t="str">
        <f t="shared" si="94"/>
        <v/>
      </c>
      <c r="AA100" s="1044">
        <f t="shared" si="95"/>
        <v>0</v>
      </c>
      <c r="AB100" s="1044">
        <f t="shared" si="96"/>
        <v>0</v>
      </c>
      <c r="AC100" s="1044">
        <f t="shared" si="97"/>
        <v>0</v>
      </c>
      <c r="AD100" s="1044" t="str">
        <f t="shared" si="98"/>
        <v/>
      </c>
      <c r="AE100" s="1044">
        <f t="shared" si="99"/>
        <v>0</v>
      </c>
      <c r="AF100" s="1044" t="str">
        <f t="shared" si="100"/>
        <v/>
      </c>
      <c r="AG100" s="1044">
        <f t="shared" si="101"/>
        <v>0</v>
      </c>
      <c r="AH100" s="1044">
        <f t="shared" si="102"/>
        <v>0</v>
      </c>
      <c r="AI100" s="1044" t="str">
        <f t="shared" si="103"/>
        <v/>
      </c>
      <c r="AJ100" s="1044">
        <f t="shared" si="104"/>
        <v>0</v>
      </c>
      <c r="AK100" s="1044">
        <f t="shared" si="105"/>
        <v>0</v>
      </c>
      <c r="AL100" s="1044">
        <f t="shared" si="106"/>
        <v>0</v>
      </c>
      <c r="AM100" s="1044">
        <f t="shared" si="107"/>
        <v>0</v>
      </c>
      <c r="AN100" s="1044" t="str">
        <f t="shared" si="108"/>
        <v/>
      </c>
      <c r="AO100" s="1044" t="str">
        <f t="shared" si="109"/>
        <v/>
      </c>
      <c r="AP100" s="1044">
        <f t="shared" si="110"/>
        <v>0</v>
      </c>
      <c r="AQ100" s="1044">
        <f t="shared" si="111"/>
        <v>0</v>
      </c>
      <c r="AR100" s="1044" t="str">
        <f t="shared" si="112"/>
        <v/>
      </c>
      <c r="AS100" s="1044">
        <f t="shared" si="113"/>
        <v>0</v>
      </c>
      <c r="AT100" s="1044" t="str">
        <f t="shared" si="114"/>
        <v/>
      </c>
      <c r="AU100" s="1044">
        <f t="shared" si="115"/>
        <v>0</v>
      </c>
      <c r="AV100" s="1044" t="str">
        <f t="shared" si="116"/>
        <v/>
      </c>
      <c r="AW100" s="1044">
        <f t="shared" si="117"/>
        <v>0</v>
      </c>
      <c r="AX100" s="1044" t="str">
        <f t="shared" si="118"/>
        <v/>
      </c>
      <c r="AY100" s="1044">
        <f t="shared" si="119"/>
        <v>0</v>
      </c>
      <c r="AZ100" s="1044" t="str">
        <f t="shared" si="120"/>
        <v/>
      </c>
      <c r="BA100" s="1044">
        <f t="shared" si="121"/>
        <v>0</v>
      </c>
      <c r="BB100" s="1044" t="str">
        <f t="shared" si="122"/>
        <v/>
      </c>
      <c r="BC100" s="1044">
        <f t="shared" si="123"/>
        <v>0</v>
      </c>
      <c r="BD100" s="1044">
        <f t="shared" si="124"/>
        <v>0</v>
      </c>
      <c r="BE100" s="1044" t="str">
        <f t="shared" si="125"/>
        <v/>
      </c>
      <c r="BF100" s="1044" t="str">
        <f t="shared" si="126"/>
        <v/>
      </c>
      <c r="BG100" s="1044" t="str">
        <f t="shared" si="127"/>
        <v/>
      </c>
      <c r="BH100" s="1044" t="str">
        <f t="shared" si="128"/>
        <v/>
      </c>
      <c r="BI100" s="1044" t="str">
        <f t="shared" si="129"/>
        <v/>
      </c>
      <c r="BJ100" s="1044" t="str">
        <f t="shared" si="130"/>
        <v/>
      </c>
      <c r="BK100" s="1044" t="str">
        <f t="shared" si="131"/>
        <v/>
      </c>
      <c r="BL100" s="1044" t="str">
        <f t="shared" si="132"/>
        <v/>
      </c>
      <c r="BM100" s="1044" t="str">
        <f t="shared" si="133"/>
        <v/>
      </c>
      <c r="BN100" s="1044" t="str">
        <f t="shared" si="134"/>
        <v/>
      </c>
      <c r="BO100" s="1044" t="str">
        <f t="shared" si="135"/>
        <v/>
      </c>
      <c r="BP100" s="1044" t="str">
        <f t="shared" si="136"/>
        <v/>
      </c>
      <c r="BQ100" s="1044" t="str">
        <f t="shared" si="137"/>
        <v/>
      </c>
      <c r="BR100" s="1044" t="str">
        <f t="shared" si="138"/>
        <v/>
      </c>
      <c r="BS100" s="1044" t="str">
        <f t="shared" si="139"/>
        <v/>
      </c>
      <c r="BT100" s="1044" t="str">
        <f t="shared" si="140"/>
        <v/>
      </c>
      <c r="BU100" s="1044" t="str">
        <f t="shared" si="141"/>
        <v/>
      </c>
    </row>
    <row r="101" spans="1:73" ht="30" customHeight="1">
      <c r="A101" s="1069" t="str">
        <f t="shared" si="71"/>
        <v/>
      </c>
      <c r="B101" s="1063"/>
      <c r="C101" s="1064" t="s">
        <v>254</v>
      </c>
      <c r="D101" s="1070" t="str">
        <f t="shared" si="72"/>
        <v/>
      </c>
      <c r="E101" s="1071" t="str">
        <f t="shared" si="73"/>
        <v/>
      </c>
      <c r="F101" s="1067" t="str">
        <f t="shared" si="74"/>
        <v/>
      </c>
      <c r="G101" s="1068" t="str">
        <f t="shared" si="75"/>
        <v/>
      </c>
      <c r="H101" s="1069" t="str">
        <f t="shared" si="76"/>
        <v/>
      </c>
      <c r="I101" s="1069" t="str">
        <f t="shared" si="77"/>
        <v/>
      </c>
      <c r="J101" s="1067" t="str">
        <f t="shared" si="78"/>
        <v/>
      </c>
      <c r="K101" s="1044" t="str">
        <f t="shared" si="79"/>
        <v/>
      </c>
      <c r="L101" s="1044" t="str">
        <f t="shared" si="80"/>
        <v/>
      </c>
      <c r="M101" s="1044" t="str">
        <f t="shared" si="81"/>
        <v/>
      </c>
      <c r="N101" s="1044" t="str">
        <f t="shared" si="82"/>
        <v/>
      </c>
      <c r="O101" s="1044" t="str">
        <f t="shared" si="83"/>
        <v/>
      </c>
      <c r="P101" s="1044" t="str">
        <f t="shared" si="84"/>
        <v/>
      </c>
      <c r="Q101" s="1044">
        <f t="shared" si="85"/>
        <v>0</v>
      </c>
      <c r="R101" s="1044">
        <f t="shared" si="86"/>
        <v>0</v>
      </c>
      <c r="S101" s="1044">
        <f t="shared" si="87"/>
        <v>0</v>
      </c>
      <c r="T101" s="1044">
        <f t="shared" si="88"/>
        <v>0</v>
      </c>
      <c r="U101" s="1044" t="str">
        <f t="shared" si="89"/>
        <v/>
      </c>
      <c r="V101" s="1044" t="str">
        <f t="shared" si="90"/>
        <v/>
      </c>
      <c r="W101" s="1044">
        <f t="shared" si="91"/>
        <v>0</v>
      </c>
      <c r="X101" s="1044" t="str">
        <f t="shared" si="92"/>
        <v/>
      </c>
      <c r="Y101" s="1044">
        <f t="shared" si="93"/>
        <v>0</v>
      </c>
      <c r="Z101" s="1044" t="str">
        <f t="shared" si="94"/>
        <v/>
      </c>
      <c r="AA101" s="1044">
        <f t="shared" si="95"/>
        <v>0</v>
      </c>
      <c r="AB101" s="1044">
        <f t="shared" si="96"/>
        <v>0</v>
      </c>
      <c r="AC101" s="1044">
        <f t="shared" si="97"/>
        <v>0</v>
      </c>
      <c r="AD101" s="1044" t="str">
        <f t="shared" si="98"/>
        <v/>
      </c>
      <c r="AE101" s="1044">
        <f t="shared" si="99"/>
        <v>0</v>
      </c>
      <c r="AF101" s="1044" t="str">
        <f t="shared" si="100"/>
        <v/>
      </c>
      <c r="AG101" s="1044">
        <f t="shared" si="101"/>
        <v>0</v>
      </c>
      <c r="AH101" s="1044">
        <f t="shared" si="102"/>
        <v>0</v>
      </c>
      <c r="AI101" s="1044" t="str">
        <f t="shared" si="103"/>
        <v/>
      </c>
      <c r="AJ101" s="1044">
        <f t="shared" si="104"/>
        <v>0</v>
      </c>
      <c r="AK101" s="1044">
        <f t="shared" si="105"/>
        <v>0</v>
      </c>
      <c r="AL101" s="1044">
        <f t="shared" si="106"/>
        <v>0</v>
      </c>
      <c r="AM101" s="1044">
        <f t="shared" si="107"/>
        <v>0</v>
      </c>
      <c r="AN101" s="1044" t="str">
        <f t="shared" si="108"/>
        <v/>
      </c>
      <c r="AO101" s="1044" t="str">
        <f t="shared" si="109"/>
        <v/>
      </c>
      <c r="AP101" s="1044">
        <f t="shared" si="110"/>
        <v>0</v>
      </c>
      <c r="AQ101" s="1044">
        <f t="shared" si="111"/>
        <v>0</v>
      </c>
      <c r="AR101" s="1044" t="str">
        <f t="shared" si="112"/>
        <v/>
      </c>
      <c r="AS101" s="1044">
        <f t="shared" si="113"/>
        <v>0</v>
      </c>
      <c r="AT101" s="1044" t="str">
        <f t="shared" si="114"/>
        <v/>
      </c>
      <c r="AU101" s="1044">
        <f t="shared" si="115"/>
        <v>0</v>
      </c>
      <c r="AV101" s="1044" t="str">
        <f t="shared" si="116"/>
        <v/>
      </c>
      <c r="AW101" s="1044">
        <f t="shared" si="117"/>
        <v>0</v>
      </c>
      <c r="AX101" s="1044" t="str">
        <f t="shared" si="118"/>
        <v/>
      </c>
      <c r="AY101" s="1044">
        <f t="shared" si="119"/>
        <v>0</v>
      </c>
      <c r="AZ101" s="1044" t="str">
        <f t="shared" si="120"/>
        <v/>
      </c>
      <c r="BA101" s="1044">
        <f t="shared" si="121"/>
        <v>0</v>
      </c>
      <c r="BB101" s="1044" t="str">
        <f t="shared" si="122"/>
        <v/>
      </c>
      <c r="BC101" s="1044">
        <f t="shared" si="123"/>
        <v>0</v>
      </c>
      <c r="BD101" s="1044">
        <f t="shared" si="124"/>
        <v>0</v>
      </c>
      <c r="BE101" s="1044" t="str">
        <f t="shared" si="125"/>
        <v/>
      </c>
      <c r="BF101" s="1044" t="str">
        <f t="shared" si="126"/>
        <v/>
      </c>
      <c r="BG101" s="1044" t="str">
        <f t="shared" si="127"/>
        <v/>
      </c>
      <c r="BH101" s="1044" t="str">
        <f t="shared" si="128"/>
        <v/>
      </c>
      <c r="BI101" s="1044" t="str">
        <f t="shared" si="129"/>
        <v/>
      </c>
      <c r="BJ101" s="1044" t="str">
        <f t="shared" si="130"/>
        <v/>
      </c>
      <c r="BK101" s="1044" t="str">
        <f t="shared" si="131"/>
        <v/>
      </c>
      <c r="BL101" s="1044" t="str">
        <f t="shared" si="132"/>
        <v/>
      </c>
      <c r="BM101" s="1044" t="str">
        <f t="shared" si="133"/>
        <v/>
      </c>
      <c r="BN101" s="1044" t="str">
        <f t="shared" si="134"/>
        <v/>
      </c>
      <c r="BO101" s="1044" t="str">
        <f t="shared" si="135"/>
        <v/>
      </c>
      <c r="BP101" s="1044" t="str">
        <f t="shared" si="136"/>
        <v/>
      </c>
      <c r="BQ101" s="1044" t="str">
        <f t="shared" si="137"/>
        <v/>
      </c>
      <c r="BR101" s="1044" t="str">
        <f t="shared" si="138"/>
        <v/>
      </c>
      <c r="BS101" s="1044" t="str">
        <f t="shared" si="139"/>
        <v/>
      </c>
      <c r="BT101" s="1044" t="str">
        <f t="shared" si="140"/>
        <v/>
      </c>
      <c r="BU101" s="1044" t="str">
        <f t="shared" si="141"/>
        <v/>
      </c>
    </row>
    <row r="102" spans="1:73" ht="30" customHeight="1">
      <c r="A102" s="1069" t="str">
        <f t="shared" si="71"/>
        <v/>
      </c>
      <c r="B102" s="1063"/>
      <c r="C102" s="1064" t="s">
        <v>254</v>
      </c>
      <c r="D102" s="1070" t="str">
        <f t="shared" si="72"/>
        <v/>
      </c>
      <c r="E102" s="1071" t="str">
        <f t="shared" si="73"/>
        <v/>
      </c>
      <c r="F102" s="1067" t="str">
        <f t="shared" si="74"/>
        <v/>
      </c>
      <c r="G102" s="1068" t="str">
        <f t="shared" si="75"/>
        <v/>
      </c>
      <c r="H102" s="1069" t="str">
        <f t="shared" si="76"/>
        <v/>
      </c>
      <c r="I102" s="1069" t="str">
        <f t="shared" si="77"/>
        <v/>
      </c>
      <c r="J102" s="1067" t="str">
        <f t="shared" si="78"/>
        <v/>
      </c>
      <c r="K102" s="1044" t="str">
        <f t="shared" si="79"/>
        <v/>
      </c>
      <c r="L102" s="1044" t="str">
        <f t="shared" si="80"/>
        <v/>
      </c>
      <c r="M102" s="1044" t="str">
        <f t="shared" si="81"/>
        <v/>
      </c>
      <c r="N102" s="1044" t="str">
        <f t="shared" si="82"/>
        <v/>
      </c>
      <c r="O102" s="1044" t="str">
        <f t="shared" si="83"/>
        <v/>
      </c>
      <c r="P102" s="1044" t="str">
        <f t="shared" si="84"/>
        <v/>
      </c>
      <c r="Q102" s="1044">
        <f t="shared" si="85"/>
        <v>0</v>
      </c>
      <c r="R102" s="1044">
        <f t="shared" si="86"/>
        <v>0</v>
      </c>
      <c r="S102" s="1044">
        <f t="shared" si="87"/>
        <v>0</v>
      </c>
      <c r="T102" s="1044">
        <f t="shared" si="88"/>
        <v>0</v>
      </c>
      <c r="U102" s="1044" t="str">
        <f t="shared" si="89"/>
        <v/>
      </c>
      <c r="V102" s="1044" t="str">
        <f t="shared" si="90"/>
        <v/>
      </c>
      <c r="W102" s="1044">
        <f t="shared" si="91"/>
        <v>0</v>
      </c>
      <c r="X102" s="1044" t="str">
        <f t="shared" si="92"/>
        <v/>
      </c>
      <c r="Y102" s="1044">
        <f t="shared" si="93"/>
        <v>0</v>
      </c>
      <c r="Z102" s="1044" t="str">
        <f t="shared" si="94"/>
        <v/>
      </c>
      <c r="AA102" s="1044">
        <f t="shared" si="95"/>
        <v>0</v>
      </c>
      <c r="AB102" s="1044">
        <f t="shared" si="96"/>
        <v>0</v>
      </c>
      <c r="AC102" s="1044">
        <f t="shared" si="97"/>
        <v>0</v>
      </c>
      <c r="AD102" s="1044" t="str">
        <f t="shared" si="98"/>
        <v/>
      </c>
      <c r="AE102" s="1044">
        <f t="shared" si="99"/>
        <v>0</v>
      </c>
      <c r="AF102" s="1044" t="str">
        <f t="shared" si="100"/>
        <v/>
      </c>
      <c r="AG102" s="1044">
        <f t="shared" si="101"/>
        <v>0</v>
      </c>
      <c r="AH102" s="1044">
        <f t="shared" si="102"/>
        <v>0</v>
      </c>
      <c r="AI102" s="1044" t="str">
        <f t="shared" si="103"/>
        <v/>
      </c>
      <c r="AJ102" s="1044">
        <f t="shared" si="104"/>
        <v>0</v>
      </c>
      <c r="AK102" s="1044">
        <f t="shared" si="105"/>
        <v>0</v>
      </c>
      <c r="AL102" s="1044">
        <f t="shared" si="106"/>
        <v>0</v>
      </c>
      <c r="AM102" s="1044">
        <f t="shared" si="107"/>
        <v>0</v>
      </c>
      <c r="AN102" s="1044" t="str">
        <f t="shared" si="108"/>
        <v/>
      </c>
      <c r="AO102" s="1044" t="str">
        <f t="shared" si="109"/>
        <v/>
      </c>
      <c r="AP102" s="1044">
        <f t="shared" si="110"/>
        <v>0</v>
      </c>
      <c r="AQ102" s="1044">
        <f t="shared" si="111"/>
        <v>0</v>
      </c>
      <c r="AR102" s="1044" t="str">
        <f t="shared" si="112"/>
        <v/>
      </c>
      <c r="AS102" s="1044">
        <f t="shared" si="113"/>
        <v>0</v>
      </c>
      <c r="AT102" s="1044" t="str">
        <f t="shared" si="114"/>
        <v/>
      </c>
      <c r="AU102" s="1044">
        <f t="shared" si="115"/>
        <v>0</v>
      </c>
      <c r="AV102" s="1044" t="str">
        <f t="shared" si="116"/>
        <v/>
      </c>
      <c r="AW102" s="1044">
        <f t="shared" si="117"/>
        <v>0</v>
      </c>
      <c r="AX102" s="1044" t="str">
        <f t="shared" si="118"/>
        <v/>
      </c>
      <c r="AY102" s="1044">
        <f t="shared" si="119"/>
        <v>0</v>
      </c>
      <c r="AZ102" s="1044" t="str">
        <f t="shared" si="120"/>
        <v/>
      </c>
      <c r="BA102" s="1044">
        <f t="shared" si="121"/>
        <v>0</v>
      </c>
      <c r="BB102" s="1044" t="str">
        <f t="shared" si="122"/>
        <v/>
      </c>
      <c r="BC102" s="1044">
        <f t="shared" si="123"/>
        <v>0</v>
      </c>
      <c r="BD102" s="1044">
        <f t="shared" si="124"/>
        <v>0</v>
      </c>
      <c r="BE102" s="1044" t="str">
        <f t="shared" si="125"/>
        <v/>
      </c>
      <c r="BF102" s="1044" t="str">
        <f t="shared" si="126"/>
        <v/>
      </c>
      <c r="BG102" s="1044" t="str">
        <f t="shared" si="127"/>
        <v/>
      </c>
      <c r="BH102" s="1044" t="str">
        <f t="shared" si="128"/>
        <v/>
      </c>
      <c r="BI102" s="1044" t="str">
        <f t="shared" si="129"/>
        <v/>
      </c>
      <c r="BJ102" s="1044" t="str">
        <f t="shared" si="130"/>
        <v/>
      </c>
      <c r="BK102" s="1044" t="str">
        <f t="shared" si="131"/>
        <v/>
      </c>
      <c r="BL102" s="1044" t="str">
        <f t="shared" si="132"/>
        <v/>
      </c>
      <c r="BM102" s="1044" t="str">
        <f t="shared" si="133"/>
        <v/>
      </c>
      <c r="BN102" s="1044" t="str">
        <f t="shared" si="134"/>
        <v/>
      </c>
      <c r="BO102" s="1044" t="str">
        <f t="shared" si="135"/>
        <v/>
      </c>
      <c r="BP102" s="1044" t="str">
        <f t="shared" si="136"/>
        <v/>
      </c>
      <c r="BQ102" s="1044" t="str">
        <f t="shared" si="137"/>
        <v/>
      </c>
      <c r="BR102" s="1044" t="str">
        <f t="shared" si="138"/>
        <v/>
      </c>
      <c r="BS102" s="1044" t="str">
        <f t="shared" si="139"/>
        <v/>
      </c>
      <c r="BT102" s="1044" t="str">
        <f t="shared" si="140"/>
        <v/>
      </c>
      <c r="BU102" s="1044" t="str">
        <f t="shared" si="141"/>
        <v/>
      </c>
    </row>
    <row r="103" spans="1:73" ht="30" customHeight="1">
      <c r="A103" s="1069" t="str">
        <f t="shared" si="71"/>
        <v/>
      </c>
      <c r="B103" s="1063"/>
      <c r="C103" s="1064" t="s">
        <v>254</v>
      </c>
      <c r="D103" s="1070" t="str">
        <f t="shared" si="72"/>
        <v/>
      </c>
      <c r="E103" s="1071" t="str">
        <f t="shared" si="73"/>
        <v/>
      </c>
      <c r="F103" s="1067" t="str">
        <f t="shared" si="74"/>
        <v/>
      </c>
      <c r="G103" s="1068" t="str">
        <f t="shared" si="75"/>
        <v/>
      </c>
      <c r="H103" s="1069" t="str">
        <f t="shared" si="76"/>
        <v/>
      </c>
      <c r="I103" s="1069" t="str">
        <f t="shared" si="77"/>
        <v/>
      </c>
      <c r="J103" s="1067" t="str">
        <f t="shared" si="78"/>
        <v/>
      </c>
      <c r="K103" s="1044" t="str">
        <f t="shared" si="79"/>
        <v/>
      </c>
      <c r="L103" s="1044" t="str">
        <f t="shared" si="80"/>
        <v/>
      </c>
      <c r="M103" s="1044" t="str">
        <f t="shared" si="81"/>
        <v/>
      </c>
      <c r="N103" s="1044" t="str">
        <f t="shared" si="82"/>
        <v/>
      </c>
      <c r="O103" s="1044" t="str">
        <f t="shared" si="83"/>
        <v/>
      </c>
      <c r="P103" s="1044" t="str">
        <f t="shared" si="84"/>
        <v/>
      </c>
      <c r="Q103" s="1044">
        <f t="shared" si="85"/>
        <v>0</v>
      </c>
      <c r="R103" s="1044">
        <f t="shared" si="86"/>
        <v>0</v>
      </c>
      <c r="S103" s="1044">
        <f t="shared" si="87"/>
        <v>0</v>
      </c>
      <c r="T103" s="1044">
        <f t="shared" si="88"/>
        <v>0</v>
      </c>
      <c r="U103" s="1044" t="str">
        <f t="shared" si="89"/>
        <v/>
      </c>
      <c r="V103" s="1044" t="str">
        <f t="shared" si="90"/>
        <v/>
      </c>
      <c r="W103" s="1044">
        <f t="shared" si="91"/>
        <v>0</v>
      </c>
      <c r="X103" s="1044" t="str">
        <f t="shared" si="92"/>
        <v/>
      </c>
      <c r="Y103" s="1044">
        <f t="shared" si="93"/>
        <v>0</v>
      </c>
      <c r="Z103" s="1044" t="str">
        <f t="shared" si="94"/>
        <v/>
      </c>
      <c r="AA103" s="1044">
        <f t="shared" si="95"/>
        <v>0</v>
      </c>
      <c r="AB103" s="1044">
        <f t="shared" si="96"/>
        <v>0</v>
      </c>
      <c r="AC103" s="1044">
        <f t="shared" si="97"/>
        <v>0</v>
      </c>
      <c r="AD103" s="1044" t="str">
        <f t="shared" si="98"/>
        <v/>
      </c>
      <c r="AE103" s="1044">
        <f t="shared" si="99"/>
        <v>0</v>
      </c>
      <c r="AF103" s="1044" t="str">
        <f t="shared" si="100"/>
        <v/>
      </c>
      <c r="AG103" s="1044">
        <f t="shared" si="101"/>
        <v>0</v>
      </c>
      <c r="AH103" s="1044">
        <f t="shared" si="102"/>
        <v>0</v>
      </c>
      <c r="AI103" s="1044" t="str">
        <f t="shared" si="103"/>
        <v/>
      </c>
      <c r="AJ103" s="1044">
        <f t="shared" si="104"/>
        <v>0</v>
      </c>
      <c r="AK103" s="1044">
        <f t="shared" si="105"/>
        <v>0</v>
      </c>
      <c r="AL103" s="1044">
        <f t="shared" si="106"/>
        <v>0</v>
      </c>
      <c r="AM103" s="1044">
        <f t="shared" si="107"/>
        <v>0</v>
      </c>
      <c r="AN103" s="1044" t="str">
        <f t="shared" si="108"/>
        <v/>
      </c>
      <c r="AO103" s="1044" t="str">
        <f t="shared" si="109"/>
        <v/>
      </c>
      <c r="AP103" s="1044">
        <f t="shared" si="110"/>
        <v>0</v>
      </c>
      <c r="AQ103" s="1044">
        <f t="shared" si="111"/>
        <v>0</v>
      </c>
      <c r="AR103" s="1044" t="str">
        <f t="shared" si="112"/>
        <v/>
      </c>
      <c r="AS103" s="1044">
        <f t="shared" si="113"/>
        <v>0</v>
      </c>
      <c r="AT103" s="1044" t="str">
        <f t="shared" si="114"/>
        <v/>
      </c>
      <c r="AU103" s="1044">
        <f t="shared" si="115"/>
        <v>0</v>
      </c>
      <c r="AV103" s="1044" t="str">
        <f t="shared" si="116"/>
        <v/>
      </c>
      <c r="AW103" s="1044">
        <f t="shared" si="117"/>
        <v>0</v>
      </c>
      <c r="AX103" s="1044" t="str">
        <f t="shared" si="118"/>
        <v/>
      </c>
      <c r="AY103" s="1044">
        <f t="shared" si="119"/>
        <v>0</v>
      </c>
      <c r="AZ103" s="1044" t="str">
        <f t="shared" si="120"/>
        <v/>
      </c>
      <c r="BA103" s="1044">
        <f t="shared" si="121"/>
        <v>0</v>
      </c>
      <c r="BB103" s="1044" t="str">
        <f t="shared" si="122"/>
        <v/>
      </c>
      <c r="BC103" s="1044">
        <f t="shared" si="123"/>
        <v>0</v>
      </c>
      <c r="BD103" s="1044">
        <f t="shared" si="124"/>
        <v>0</v>
      </c>
      <c r="BE103" s="1044" t="str">
        <f t="shared" si="125"/>
        <v/>
      </c>
      <c r="BF103" s="1044" t="str">
        <f t="shared" si="126"/>
        <v/>
      </c>
      <c r="BG103" s="1044" t="str">
        <f t="shared" si="127"/>
        <v/>
      </c>
      <c r="BH103" s="1044" t="str">
        <f t="shared" si="128"/>
        <v/>
      </c>
      <c r="BI103" s="1044" t="str">
        <f t="shared" si="129"/>
        <v/>
      </c>
      <c r="BJ103" s="1044" t="str">
        <f t="shared" si="130"/>
        <v/>
      </c>
      <c r="BK103" s="1044" t="str">
        <f t="shared" si="131"/>
        <v/>
      </c>
      <c r="BL103" s="1044" t="str">
        <f t="shared" si="132"/>
        <v/>
      </c>
      <c r="BM103" s="1044" t="str">
        <f t="shared" si="133"/>
        <v/>
      </c>
      <c r="BN103" s="1044" t="str">
        <f t="shared" si="134"/>
        <v/>
      </c>
      <c r="BO103" s="1044" t="str">
        <f t="shared" si="135"/>
        <v/>
      </c>
      <c r="BP103" s="1044" t="str">
        <f t="shared" si="136"/>
        <v/>
      </c>
      <c r="BQ103" s="1044" t="str">
        <f t="shared" si="137"/>
        <v/>
      </c>
      <c r="BR103" s="1044" t="str">
        <f t="shared" si="138"/>
        <v/>
      </c>
      <c r="BS103" s="1044" t="str">
        <f t="shared" si="139"/>
        <v/>
      </c>
      <c r="BT103" s="1044" t="str">
        <f t="shared" si="140"/>
        <v/>
      </c>
      <c r="BU103" s="1044" t="str">
        <f t="shared" si="141"/>
        <v/>
      </c>
    </row>
    <row r="104" spans="1:73" ht="30" customHeight="1">
      <c r="A104" s="1069" t="str">
        <f t="shared" si="71"/>
        <v/>
      </c>
      <c r="B104" s="1063"/>
      <c r="C104" s="1064" t="s">
        <v>254</v>
      </c>
      <c r="D104" s="1070" t="str">
        <f t="shared" si="72"/>
        <v/>
      </c>
      <c r="E104" s="1071" t="str">
        <f t="shared" si="73"/>
        <v/>
      </c>
      <c r="F104" s="1067" t="str">
        <f t="shared" si="74"/>
        <v/>
      </c>
      <c r="G104" s="1068" t="str">
        <f t="shared" si="75"/>
        <v/>
      </c>
      <c r="H104" s="1069" t="str">
        <f t="shared" si="76"/>
        <v/>
      </c>
      <c r="I104" s="1069" t="str">
        <f t="shared" si="77"/>
        <v/>
      </c>
      <c r="J104" s="1067" t="str">
        <f t="shared" si="78"/>
        <v/>
      </c>
      <c r="K104" s="1044" t="str">
        <f t="shared" si="79"/>
        <v/>
      </c>
      <c r="L104" s="1044" t="str">
        <f t="shared" si="80"/>
        <v/>
      </c>
      <c r="M104" s="1044" t="str">
        <f t="shared" si="81"/>
        <v/>
      </c>
      <c r="N104" s="1044" t="str">
        <f t="shared" si="82"/>
        <v/>
      </c>
      <c r="O104" s="1044" t="str">
        <f t="shared" si="83"/>
        <v/>
      </c>
      <c r="P104" s="1044" t="str">
        <f t="shared" si="84"/>
        <v/>
      </c>
      <c r="Q104" s="1044">
        <f t="shared" si="85"/>
        <v>0</v>
      </c>
      <c r="R104" s="1044">
        <f t="shared" si="86"/>
        <v>0</v>
      </c>
      <c r="S104" s="1044">
        <f t="shared" si="87"/>
        <v>0</v>
      </c>
      <c r="T104" s="1044">
        <f t="shared" si="88"/>
        <v>0</v>
      </c>
      <c r="U104" s="1044" t="str">
        <f t="shared" si="89"/>
        <v/>
      </c>
      <c r="V104" s="1044" t="str">
        <f t="shared" si="90"/>
        <v/>
      </c>
      <c r="W104" s="1044">
        <f t="shared" si="91"/>
        <v>0</v>
      </c>
      <c r="X104" s="1044" t="str">
        <f t="shared" si="92"/>
        <v/>
      </c>
      <c r="Y104" s="1044">
        <f t="shared" si="93"/>
        <v>0</v>
      </c>
      <c r="Z104" s="1044" t="str">
        <f t="shared" si="94"/>
        <v/>
      </c>
      <c r="AA104" s="1044">
        <f t="shared" si="95"/>
        <v>0</v>
      </c>
      <c r="AB104" s="1044">
        <f t="shared" si="96"/>
        <v>0</v>
      </c>
      <c r="AC104" s="1044">
        <f t="shared" si="97"/>
        <v>0</v>
      </c>
      <c r="AD104" s="1044" t="str">
        <f t="shared" si="98"/>
        <v/>
      </c>
      <c r="AE104" s="1044">
        <f t="shared" si="99"/>
        <v>0</v>
      </c>
      <c r="AF104" s="1044" t="str">
        <f t="shared" si="100"/>
        <v/>
      </c>
      <c r="AG104" s="1044">
        <f t="shared" si="101"/>
        <v>0</v>
      </c>
      <c r="AH104" s="1044">
        <f t="shared" si="102"/>
        <v>0</v>
      </c>
      <c r="AI104" s="1044" t="str">
        <f t="shared" si="103"/>
        <v/>
      </c>
      <c r="AJ104" s="1044">
        <f t="shared" si="104"/>
        <v>0</v>
      </c>
      <c r="AK104" s="1044">
        <f t="shared" si="105"/>
        <v>0</v>
      </c>
      <c r="AL104" s="1044">
        <f t="shared" si="106"/>
        <v>0</v>
      </c>
      <c r="AM104" s="1044">
        <f t="shared" si="107"/>
        <v>0</v>
      </c>
      <c r="AN104" s="1044" t="str">
        <f t="shared" si="108"/>
        <v/>
      </c>
      <c r="AO104" s="1044" t="str">
        <f t="shared" si="109"/>
        <v/>
      </c>
      <c r="AP104" s="1044">
        <f t="shared" si="110"/>
        <v>0</v>
      </c>
      <c r="AQ104" s="1044">
        <f t="shared" si="111"/>
        <v>0</v>
      </c>
      <c r="AR104" s="1044" t="str">
        <f t="shared" si="112"/>
        <v/>
      </c>
      <c r="AS104" s="1044">
        <f t="shared" si="113"/>
        <v>0</v>
      </c>
      <c r="AT104" s="1044" t="str">
        <f t="shared" si="114"/>
        <v/>
      </c>
      <c r="AU104" s="1044">
        <f t="shared" si="115"/>
        <v>0</v>
      </c>
      <c r="AV104" s="1044" t="str">
        <f t="shared" si="116"/>
        <v/>
      </c>
      <c r="AW104" s="1044">
        <f t="shared" si="117"/>
        <v>0</v>
      </c>
      <c r="AX104" s="1044" t="str">
        <f t="shared" si="118"/>
        <v/>
      </c>
      <c r="AY104" s="1044">
        <f t="shared" si="119"/>
        <v>0</v>
      </c>
      <c r="AZ104" s="1044" t="str">
        <f t="shared" si="120"/>
        <v/>
      </c>
      <c r="BA104" s="1044">
        <f t="shared" si="121"/>
        <v>0</v>
      </c>
      <c r="BB104" s="1044" t="str">
        <f t="shared" si="122"/>
        <v/>
      </c>
      <c r="BC104" s="1044">
        <f t="shared" si="123"/>
        <v>0</v>
      </c>
      <c r="BD104" s="1044">
        <f t="shared" si="124"/>
        <v>0</v>
      </c>
      <c r="BE104" s="1044" t="str">
        <f t="shared" si="125"/>
        <v/>
      </c>
      <c r="BF104" s="1044" t="str">
        <f t="shared" si="126"/>
        <v/>
      </c>
      <c r="BG104" s="1044" t="str">
        <f t="shared" si="127"/>
        <v/>
      </c>
      <c r="BH104" s="1044" t="str">
        <f t="shared" si="128"/>
        <v/>
      </c>
      <c r="BI104" s="1044" t="str">
        <f t="shared" si="129"/>
        <v/>
      </c>
      <c r="BJ104" s="1044" t="str">
        <f t="shared" si="130"/>
        <v/>
      </c>
      <c r="BK104" s="1044" t="str">
        <f t="shared" si="131"/>
        <v/>
      </c>
      <c r="BL104" s="1044" t="str">
        <f t="shared" si="132"/>
        <v/>
      </c>
      <c r="BM104" s="1044" t="str">
        <f t="shared" si="133"/>
        <v/>
      </c>
      <c r="BN104" s="1044" t="str">
        <f t="shared" si="134"/>
        <v/>
      </c>
      <c r="BO104" s="1044" t="str">
        <f t="shared" si="135"/>
        <v/>
      </c>
      <c r="BP104" s="1044" t="str">
        <f t="shared" si="136"/>
        <v/>
      </c>
      <c r="BQ104" s="1044" t="str">
        <f t="shared" si="137"/>
        <v/>
      </c>
      <c r="BR104" s="1044" t="str">
        <f t="shared" si="138"/>
        <v/>
      </c>
      <c r="BS104" s="1044" t="str">
        <f t="shared" si="139"/>
        <v/>
      </c>
      <c r="BT104" s="1044" t="str">
        <f t="shared" si="140"/>
        <v/>
      </c>
      <c r="BU104" s="1044" t="str">
        <f t="shared" si="141"/>
        <v/>
      </c>
    </row>
    <row r="105" spans="1:73" ht="30" customHeight="1">
      <c r="A105" s="1069" t="str">
        <f t="shared" si="71"/>
        <v/>
      </c>
      <c r="B105" s="1063"/>
      <c r="C105" s="1064" t="s">
        <v>254</v>
      </c>
      <c r="D105" s="1070" t="str">
        <f t="shared" si="72"/>
        <v/>
      </c>
      <c r="E105" s="1071" t="str">
        <f t="shared" si="73"/>
        <v/>
      </c>
      <c r="F105" s="1067" t="str">
        <f t="shared" si="74"/>
        <v/>
      </c>
      <c r="G105" s="1068" t="str">
        <f t="shared" si="75"/>
        <v/>
      </c>
      <c r="H105" s="1069" t="str">
        <f t="shared" si="76"/>
        <v/>
      </c>
      <c r="I105" s="1069" t="str">
        <f t="shared" si="77"/>
        <v/>
      </c>
      <c r="J105" s="1067" t="str">
        <f t="shared" si="78"/>
        <v/>
      </c>
      <c r="K105" s="1044" t="str">
        <f t="shared" si="79"/>
        <v/>
      </c>
      <c r="L105" s="1044" t="str">
        <f t="shared" si="80"/>
        <v/>
      </c>
      <c r="M105" s="1044" t="str">
        <f t="shared" si="81"/>
        <v/>
      </c>
      <c r="N105" s="1044" t="str">
        <f t="shared" si="82"/>
        <v/>
      </c>
      <c r="O105" s="1044" t="str">
        <f t="shared" si="83"/>
        <v/>
      </c>
      <c r="P105" s="1044" t="str">
        <f t="shared" si="84"/>
        <v/>
      </c>
      <c r="Q105" s="1044">
        <f t="shared" si="85"/>
        <v>0</v>
      </c>
      <c r="R105" s="1044">
        <f t="shared" si="86"/>
        <v>0</v>
      </c>
      <c r="S105" s="1044">
        <f t="shared" si="87"/>
        <v>0</v>
      </c>
      <c r="T105" s="1044">
        <f t="shared" si="88"/>
        <v>0</v>
      </c>
      <c r="U105" s="1044" t="str">
        <f t="shared" si="89"/>
        <v/>
      </c>
      <c r="V105" s="1044" t="str">
        <f t="shared" si="90"/>
        <v/>
      </c>
      <c r="W105" s="1044">
        <f t="shared" si="91"/>
        <v>0</v>
      </c>
      <c r="X105" s="1044" t="str">
        <f t="shared" si="92"/>
        <v/>
      </c>
      <c r="Y105" s="1044">
        <f t="shared" si="93"/>
        <v>0</v>
      </c>
      <c r="Z105" s="1044" t="str">
        <f t="shared" si="94"/>
        <v/>
      </c>
      <c r="AA105" s="1044">
        <f t="shared" si="95"/>
        <v>0</v>
      </c>
      <c r="AB105" s="1044">
        <f t="shared" si="96"/>
        <v>0</v>
      </c>
      <c r="AC105" s="1044">
        <f t="shared" si="97"/>
        <v>0</v>
      </c>
      <c r="AD105" s="1044" t="str">
        <f t="shared" si="98"/>
        <v/>
      </c>
      <c r="AE105" s="1044">
        <f t="shared" si="99"/>
        <v>0</v>
      </c>
      <c r="AF105" s="1044" t="str">
        <f t="shared" si="100"/>
        <v/>
      </c>
      <c r="AG105" s="1044">
        <f t="shared" si="101"/>
        <v>0</v>
      </c>
      <c r="AH105" s="1044">
        <f t="shared" si="102"/>
        <v>0</v>
      </c>
      <c r="AI105" s="1044" t="str">
        <f t="shared" si="103"/>
        <v/>
      </c>
      <c r="AJ105" s="1044">
        <f t="shared" si="104"/>
        <v>0</v>
      </c>
      <c r="AK105" s="1044">
        <f t="shared" si="105"/>
        <v>0</v>
      </c>
      <c r="AL105" s="1044">
        <f t="shared" si="106"/>
        <v>0</v>
      </c>
      <c r="AM105" s="1044">
        <f t="shared" si="107"/>
        <v>0</v>
      </c>
      <c r="AN105" s="1044" t="str">
        <f t="shared" si="108"/>
        <v/>
      </c>
      <c r="AO105" s="1044" t="str">
        <f t="shared" si="109"/>
        <v/>
      </c>
      <c r="AP105" s="1044">
        <f t="shared" si="110"/>
        <v>0</v>
      </c>
      <c r="AQ105" s="1044">
        <f t="shared" si="111"/>
        <v>0</v>
      </c>
      <c r="AR105" s="1044" t="str">
        <f t="shared" si="112"/>
        <v/>
      </c>
      <c r="AS105" s="1044">
        <f t="shared" si="113"/>
        <v>0</v>
      </c>
      <c r="AT105" s="1044" t="str">
        <f t="shared" si="114"/>
        <v/>
      </c>
      <c r="AU105" s="1044">
        <f t="shared" si="115"/>
        <v>0</v>
      </c>
      <c r="AV105" s="1044" t="str">
        <f t="shared" si="116"/>
        <v/>
      </c>
      <c r="AW105" s="1044">
        <f t="shared" si="117"/>
        <v>0</v>
      </c>
      <c r="AX105" s="1044" t="str">
        <f t="shared" si="118"/>
        <v/>
      </c>
      <c r="AY105" s="1044">
        <f t="shared" si="119"/>
        <v>0</v>
      </c>
      <c r="AZ105" s="1044" t="str">
        <f t="shared" si="120"/>
        <v/>
      </c>
      <c r="BA105" s="1044">
        <f t="shared" si="121"/>
        <v>0</v>
      </c>
      <c r="BB105" s="1044" t="str">
        <f t="shared" si="122"/>
        <v/>
      </c>
      <c r="BC105" s="1044">
        <f t="shared" si="123"/>
        <v>0</v>
      </c>
      <c r="BD105" s="1044">
        <f t="shared" si="124"/>
        <v>0</v>
      </c>
      <c r="BE105" s="1044" t="str">
        <f t="shared" si="125"/>
        <v/>
      </c>
      <c r="BF105" s="1044" t="str">
        <f t="shared" si="126"/>
        <v/>
      </c>
      <c r="BG105" s="1044" t="str">
        <f t="shared" si="127"/>
        <v/>
      </c>
      <c r="BH105" s="1044" t="str">
        <f t="shared" si="128"/>
        <v/>
      </c>
      <c r="BI105" s="1044" t="str">
        <f t="shared" si="129"/>
        <v/>
      </c>
      <c r="BJ105" s="1044" t="str">
        <f t="shared" si="130"/>
        <v/>
      </c>
      <c r="BK105" s="1044" t="str">
        <f t="shared" si="131"/>
        <v/>
      </c>
      <c r="BL105" s="1044" t="str">
        <f t="shared" si="132"/>
        <v/>
      </c>
      <c r="BM105" s="1044" t="str">
        <f t="shared" si="133"/>
        <v/>
      </c>
      <c r="BN105" s="1044" t="str">
        <f t="shared" si="134"/>
        <v/>
      </c>
      <c r="BO105" s="1044" t="str">
        <f t="shared" si="135"/>
        <v/>
      </c>
      <c r="BP105" s="1044" t="str">
        <f t="shared" si="136"/>
        <v/>
      </c>
      <c r="BQ105" s="1044" t="str">
        <f t="shared" si="137"/>
        <v/>
      </c>
      <c r="BR105" s="1044" t="str">
        <f t="shared" si="138"/>
        <v/>
      </c>
      <c r="BS105" s="1044" t="str">
        <f t="shared" si="139"/>
        <v/>
      </c>
      <c r="BT105" s="1044" t="str">
        <f t="shared" si="140"/>
        <v/>
      </c>
      <c r="BU105" s="1044" t="str">
        <f t="shared" si="141"/>
        <v/>
      </c>
    </row>
    <row r="106" spans="1:73" ht="30" customHeight="1">
      <c r="A106" s="1069" t="str">
        <f t="shared" si="71"/>
        <v/>
      </c>
      <c r="B106" s="1063"/>
      <c r="C106" s="1064" t="s">
        <v>254</v>
      </c>
      <c r="D106" s="1070" t="str">
        <f t="shared" si="72"/>
        <v/>
      </c>
      <c r="E106" s="1071" t="str">
        <f t="shared" si="73"/>
        <v/>
      </c>
      <c r="F106" s="1067" t="str">
        <f t="shared" si="74"/>
        <v/>
      </c>
      <c r="G106" s="1068" t="str">
        <f t="shared" si="75"/>
        <v/>
      </c>
      <c r="H106" s="1069" t="str">
        <f t="shared" si="76"/>
        <v/>
      </c>
      <c r="I106" s="1069" t="str">
        <f t="shared" si="77"/>
        <v/>
      </c>
      <c r="J106" s="1067" t="str">
        <f t="shared" si="78"/>
        <v/>
      </c>
      <c r="K106" s="1044" t="str">
        <f t="shared" si="79"/>
        <v/>
      </c>
      <c r="L106" s="1044" t="str">
        <f t="shared" si="80"/>
        <v/>
      </c>
      <c r="M106" s="1044" t="str">
        <f t="shared" si="81"/>
        <v/>
      </c>
      <c r="N106" s="1044" t="str">
        <f t="shared" si="82"/>
        <v/>
      </c>
      <c r="O106" s="1044" t="str">
        <f t="shared" si="83"/>
        <v/>
      </c>
      <c r="P106" s="1044" t="str">
        <f t="shared" si="84"/>
        <v/>
      </c>
      <c r="Q106" s="1044">
        <f t="shared" si="85"/>
        <v>0</v>
      </c>
      <c r="R106" s="1044">
        <f t="shared" si="86"/>
        <v>0</v>
      </c>
      <c r="S106" s="1044">
        <f t="shared" si="87"/>
        <v>0</v>
      </c>
      <c r="T106" s="1044">
        <f t="shared" si="88"/>
        <v>0</v>
      </c>
      <c r="U106" s="1044" t="str">
        <f t="shared" si="89"/>
        <v/>
      </c>
      <c r="V106" s="1044" t="str">
        <f t="shared" si="90"/>
        <v/>
      </c>
      <c r="W106" s="1044">
        <f t="shared" si="91"/>
        <v>0</v>
      </c>
      <c r="X106" s="1044" t="str">
        <f t="shared" si="92"/>
        <v/>
      </c>
      <c r="Y106" s="1044">
        <f t="shared" si="93"/>
        <v>0</v>
      </c>
      <c r="Z106" s="1044" t="str">
        <f t="shared" si="94"/>
        <v/>
      </c>
      <c r="AA106" s="1044">
        <f t="shared" si="95"/>
        <v>0</v>
      </c>
      <c r="AB106" s="1044">
        <f t="shared" si="96"/>
        <v>0</v>
      </c>
      <c r="AC106" s="1044">
        <f t="shared" si="97"/>
        <v>0</v>
      </c>
      <c r="AD106" s="1044" t="str">
        <f t="shared" si="98"/>
        <v/>
      </c>
      <c r="AE106" s="1044">
        <f t="shared" si="99"/>
        <v>0</v>
      </c>
      <c r="AF106" s="1044" t="str">
        <f t="shared" si="100"/>
        <v/>
      </c>
      <c r="AG106" s="1044">
        <f t="shared" si="101"/>
        <v>0</v>
      </c>
      <c r="AH106" s="1044">
        <f t="shared" si="102"/>
        <v>0</v>
      </c>
      <c r="AI106" s="1044" t="str">
        <f t="shared" si="103"/>
        <v/>
      </c>
      <c r="AJ106" s="1044">
        <f t="shared" si="104"/>
        <v>0</v>
      </c>
      <c r="AK106" s="1044">
        <f t="shared" si="105"/>
        <v>0</v>
      </c>
      <c r="AL106" s="1044">
        <f t="shared" si="106"/>
        <v>0</v>
      </c>
      <c r="AM106" s="1044">
        <f t="shared" si="107"/>
        <v>0</v>
      </c>
      <c r="AN106" s="1044" t="str">
        <f t="shared" si="108"/>
        <v/>
      </c>
      <c r="AO106" s="1044" t="str">
        <f t="shared" si="109"/>
        <v/>
      </c>
      <c r="AP106" s="1044">
        <f t="shared" si="110"/>
        <v>0</v>
      </c>
      <c r="AQ106" s="1044">
        <f t="shared" si="111"/>
        <v>0</v>
      </c>
      <c r="AR106" s="1044" t="str">
        <f t="shared" si="112"/>
        <v/>
      </c>
      <c r="AS106" s="1044">
        <f t="shared" si="113"/>
        <v>0</v>
      </c>
      <c r="AT106" s="1044" t="str">
        <f t="shared" si="114"/>
        <v/>
      </c>
      <c r="AU106" s="1044">
        <f t="shared" si="115"/>
        <v>0</v>
      </c>
      <c r="AV106" s="1044" t="str">
        <f t="shared" si="116"/>
        <v/>
      </c>
      <c r="AW106" s="1044">
        <f t="shared" si="117"/>
        <v>0</v>
      </c>
      <c r="AX106" s="1044" t="str">
        <f t="shared" si="118"/>
        <v/>
      </c>
      <c r="AY106" s="1044">
        <f t="shared" si="119"/>
        <v>0</v>
      </c>
      <c r="AZ106" s="1044" t="str">
        <f t="shared" si="120"/>
        <v/>
      </c>
      <c r="BA106" s="1044">
        <f t="shared" si="121"/>
        <v>0</v>
      </c>
      <c r="BB106" s="1044" t="str">
        <f t="shared" si="122"/>
        <v/>
      </c>
      <c r="BC106" s="1044">
        <f t="shared" si="123"/>
        <v>0</v>
      </c>
      <c r="BD106" s="1044">
        <f t="shared" si="124"/>
        <v>0</v>
      </c>
      <c r="BE106" s="1044" t="str">
        <f t="shared" si="125"/>
        <v/>
      </c>
      <c r="BF106" s="1044" t="str">
        <f t="shared" si="126"/>
        <v/>
      </c>
      <c r="BG106" s="1044" t="str">
        <f t="shared" si="127"/>
        <v/>
      </c>
      <c r="BH106" s="1044" t="str">
        <f t="shared" si="128"/>
        <v/>
      </c>
      <c r="BI106" s="1044" t="str">
        <f t="shared" si="129"/>
        <v/>
      </c>
      <c r="BJ106" s="1044" t="str">
        <f t="shared" si="130"/>
        <v/>
      </c>
      <c r="BK106" s="1044" t="str">
        <f t="shared" si="131"/>
        <v/>
      </c>
      <c r="BL106" s="1044" t="str">
        <f t="shared" si="132"/>
        <v/>
      </c>
      <c r="BM106" s="1044" t="str">
        <f t="shared" si="133"/>
        <v/>
      </c>
      <c r="BN106" s="1044" t="str">
        <f t="shared" si="134"/>
        <v/>
      </c>
      <c r="BO106" s="1044" t="str">
        <f t="shared" si="135"/>
        <v/>
      </c>
      <c r="BP106" s="1044" t="str">
        <f t="shared" si="136"/>
        <v/>
      </c>
      <c r="BQ106" s="1044" t="str">
        <f t="shared" si="137"/>
        <v/>
      </c>
      <c r="BR106" s="1044" t="str">
        <f t="shared" si="138"/>
        <v/>
      </c>
      <c r="BS106" s="1044" t="str">
        <f t="shared" si="139"/>
        <v/>
      </c>
      <c r="BT106" s="1044" t="str">
        <f t="shared" si="140"/>
        <v/>
      </c>
      <c r="BU106" s="1044" t="str">
        <f t="shared" si="141"/>
        <v/>
      </c>
    </row>
    <row r="107" spans="1:73" ht="30" customHeight="1">
      <c r="A107" s="1069" t="str">
        <f t="shared" si="71"/>
        <v/>
      </c>
      <c r="B107" s="1063"/>
      <c r="C107" s="1064" t="s">
        <v>254</v>
      </c>
      <c r="D107" s="1070" t="str">
        <f t="shared" si="72"/>
        <v/>
      </c>
      <c r="E107" s="1071" t="str">
        <f t="shared" si="73"/>
        <v/>
      </c>
      <c r="F107" s="1067" t="str">
        <f t="shared" si="74"/>
        <v/>
      </c>
      <c r="G107" s="1068" t="str">
        <f t="shared" si="75"/>
        <v/>
      </c>
      <c r="H107" s="1069" t="str">
        <f t="shared" si="76"/>
        <v/>
      </c>
      <c r="I107" s="1069" t="str">
        <f t="shared" si="77"/>
        <v/>
      </c>
      <c r="J107" s="1067" t="str">
        <f t="shared" si="78"/>
        <v/>
      </c>
      <c r="K107" s="1044" t="str">
        <f t="shared" si="79"/>
        <v/>
      </c>
      <c r="L107" s="1044" t="str">
        <f t="shared" si="80"/>
        <v/>
      </c>
      <c r="M107" s="1044" t="str">
        <f t="shared" si="81"/>
        <v/>
      </c>
      <c r="N107" s="1044" t="str">
        <f t="shared" si="82"/>
        <v/>
      </c>
      <c r="O107" s="1044" t="str">
        <f t="shared" si="83"/>
        <v/>
      </c>
      <c r="P107" s="1044" t="str">
        <f t="shared" si="84"/>
        <v/>
      </c>
      <c r="Q107" s="1044">
        <f t="shared" si="85"/>
        <v>0</v>
      </c>
      <c r="R107" s="1044">
        <f t="shared" si="86"/>
        <v>0</v>
      </c>
      <c r="S107" s="1044">
        <f t="shared" si="87"/>
        <v>0</v>
      </c>
      <c r="T107" s="1044">
        <f t="shared" si="88"/>
        <v>0</v>
      </c>
      <c r="U107" s="1044" t="str">
        <f t="shared" si="89"/>
        <v/>
      </c>
      <c r="V107" s="1044" t="str">
        <f t="shared" si="90"/>
        <v/>
      </c>
      <c r="W107" s="1044">
        <f t="shared" si="91"/>
        <v>0</v>
      </c>
      <c r="X107" s="1044" t="str">
        <f t="shared" si="92"/>
        <v/>
      </c>
      <c r="Y107" s="1044">
        <f t="shared" si="93"/>
        <v>0</v>
      </c>
      <c r="Z107" s="1044" t="str">
        <f t="shared" si="94"/>
        <v/>
      </c>
      <c r="AA107" s="1044">
        <f t="shared" si="95"/>
        <v>0</v>
      </c>
      <c r="AB107" s="1044">
        <f t="shared" si="96"/>
        <v>0</v>
      </c>
      <c r="AC107" s="1044">
        <f t="shared" si="97"/>
        <v>0</v>
      </c>
      <c r="AD107" s="1044" t="str">
        <f t="shared" si="98"/>
        <v/>
      </c>
      <c r="AE107" s="1044">
        <f t="shared" si="99"/>
        <v>0</v>
      </c>
      <c r="AF107" s="1044" t="str">
        <f t="shared" si="100"/>
        <v/>
      </c>
      <c r="AG107" s="1044">
        <f t="shared" si="101"/>
        <v>0</v>
      </c>
      <c r="AH107" s="1044">
        <f t="shared" si="102"/>
        <v>0</v>
      </c>
      <c r="AI107" s="1044" t="str">
        <f t="shared" si="103"/>
        <v/>
      </c>
      <c r="AJ107" s="1044">
        <f t="shared" si="104"/>
        <v>0</v>
      </c>
      <c r="AK107" s="1044">
        <f t="shared" si="105"/>
        <v>0</v>
      </c>
      <c r="AL107" s="1044">
        <f t="shared" si="106"/>
        <v>0</v>
      </c>
      <c r="AM107" s="1044">
        <f t="shared" si="107"/>
        <v>0</v>
      </c>
      <c r="AN107" s="1044" t="str">
        <f t="shared" si="108"/>
        <v/>
      </c>
      <c r="AO107" s="1044" t="str">
        <f t="shared" si="109"/>
        <v/>
      </c>
      <c r="AP107" s="1044">
        <f t="shared" si="110"/>
        <v>0</v>
      </c>
      <c r="AQ107" s="1044">
        <f t="shared" si="111"/>
        <v>0</v>
      </c>
      <c r="AR107" s="1044" t="str">
        <f t="shared" si="112"/>
        <v/>
      </c>
      <c r="AS107" s="1044">
        <f t="shared" si="113"/>
        <v>0</v>
      </c>
      <c r="AT107" s="1044" t="str">
        <f t="shared" si="114"/>
        <v/>
      </c>
      <c r="AU107" s="1044">
        <f t="shared" si="115"/>
        <v>0</v>
      </c>
      <c r="AV107" s="1044" t="str">
        <f t="shared" si="116"/>
        <v/>
      </c>
      <c r="AW107" s="1044">
        <f t="shared" si="117"/>
        <v>0</v>
      </c>
      <c r="AX107" s="1044" t="str">
        <f t="shared" si="118"/>
        <v/>
      </c>
      <c r="AY107" s="1044">
        <f t="shared" si="119"/>
        <v>0</v>
      </c>
      <c r="AZ107" s="1044" t="str">
        <f t="shared" si="120"/>
        <v/>
      </c>
      <c r="BA107" s="1044">
        <f t="shared" si="121"/>
        <v>0</v>
      </c>
      <c r="BB107" s="1044" t="str">
        <f t="shared" si="122"/>
        <v/>
      </c>
      <c r="BC107" s="1044">
        <f t="shared" si="123"/>
        <v>0</v>
      </c>
      <c r="BD107" s="1044">
        <f t="shared" si="124"/>
        <v>0</v>
      </c>
      <c r="BE107" s="1044" t="str">
        <f t="shared" si="125"/>
        <v/>
      </c>
      <c r="BF107" s="1044" t="str">
        <f t="shared" si="126"/>
        <v/>
      </c>
      <c r="BG107" s="1044" t="str">
        <f t="shared" si="127"/>
        <v/>
      </c>
      <c r="BH107" s="1044" t="str">
        <f t="shared" si="128"/>
        <v/>
      </c>
      <c r="BI107" s="1044" t="str">
        <f t="shared" si="129"/>
        <v/>
      </c>
      <c r="BJ107" s="1044" t="str">
        <f t="shared" si="130"/>
        <v/>
      </c>
      <c r="BK107" s="1044" t="str">
        <f t="shared" si="131"/>
        <v/>
      </c>
      <c r="BL107" s="1044" t="str">
        <f t="shared" si="132"/>
        <v/>
      </c>
      <c r="BM107" s="1044" t="str">
        <f t="shared" si="133"/>
        <v/>
      </c>
      <c r="BN107" s="1044" t="str">
        <f t="shared" si="134"/>
        <v/>
      </c>
      <c r="BO107" s="1044" t="str">
        <f t="shared" si="135"/>
        <v/>
      </c>
      <c r="BP107" s="1044" t="str">
        <f t="shared" si="136"/>
        <v/>
      </c>
      <c r="BQ107" s="1044" t="str">
        <f t="shared" si="137"/>
        <v/>
      </c>
      <c r="BR107" s="1044" t="str">
        <f t="shared" si="138"/>
        <v/>
      </c>
      <c r="BS107" s="1044" t="str">
        <f t="shared" si="139"/>
        <v/>
      </c>
      <c r="BT107" s="1044" t="str">
        <f t="shared" si="140"/>
        <v/>
      </c>
      <c r="BU107" s="1044" t="str">
        <f t="shared" si="141"/>
        <v/>
      </c>
    </row>
    <row r="108" spans="1:73" ht="30" customHeight="1">
      <c r="A108" s="1069" t="str">
        <f t="shared" si="71"/>
        <v/>
      </c>
      <c r="B108" s="1063"/>
      <c r="C108" s="1064" t="s">
        <v>254</v>
      </c>
      <c r="D108" s="1070" t="str">
        <f t="shared" si="72"/>
        <v/>
      </c>
      <c r="E108" s="1071" t="str">
        <f t="shared" si="73"/>
        <v/>
      </c>
      <c r="F108" s="1067" t="str">
        <f t="shared" si="74"/>
        <v/>
      </c>
      <c r="G108" s="1068" t="str">
        <f t="shared" si="75"/>
        <v/>
      </c>
      <c r="H108" s="1069" t="str">
        <f t="shared" si="76"/>
        <v/>
      </c>
      <c r="I108" s="1069" t="str">
        <f t="shared" si="77"/>
        <v/>
      </c>
      <c r="J108" s="1067" t="str">
        <f t="shared" si="78"/>
        <v/>
      </c>
      <c r="K108" s="1044" t="str">
        <f t="shared" si="79"/>
        <v/>
      </c>
      <c r="L108" s="1044" t="str">
        <f t="shared" si="80"/>
        <v/>
      </c>
      <c r="M108" s="1044" t="str">
        <f t="shared" si="81"/>
        <v/>
      </c>
      <c r="N108" s="1044" t="str">
        <f t="shared" si="82"/>
        <v/>
      </c>
      <c r="O108" s="1044" t="str">
        <f t="shared" si="83"/>
        <v/>
      </c>
      <c r="P108" s="1044" t="str">
        <f t="shared" si="84"/>
        <v/>
      </c>
      <c r="Q108" s="1044">
        <f t="shared" si="85"/>
        <v>0</v>
      </c>
      <c r="R108" s="1044">
        <f t="shared" si="86"/>
        <v>0</v>
      </c>
      <c r="S108" s="1044">
        <f t="shared" si="87"/>
        <v>0</v>
      </c>
      <c r="T108" s="1044">
        <f t="shared" si="88"/>
        <v>0</v>
      </c>
      <c r="U108" s="1044" t="str">
        <f t="shared" si="89"/>
        <v/>
      </c>
      <c r="V108" s="1044" t="str">
        <f t="shared" si="90"/>
        <v/>
      </c>
      <c r="W108" s="1044">
        <f t="shared" si="91"/>
        <v>0</v>
      </c>
      <c r="X108" s="1044" t="str">
        <f t="shared" si="92"/>
        <v/>
      </c>
      <c r="Y108" s="1044">
        <f t="shared" si="93"/>
        <v>0</v>
      </c>
      <c r="Z108" s="1044" t="str">
        <f t="shared" si="94"/>
        <v/>
      </c>
      <c r="AA108" s="1044">
        <f t="shared" si="95"/>
        <v>0</v>
      </c>
      <c r="AB108" s="1044">
        <f t="shared" si="96"/>
        <v>0</v>
      </c>
      <c r="AC108" s="1044">
        <f t="shared" si="97"/>
        <v>0</v>
      </c>
      <c r="AD108" s="1044" t="str">
        <f t="shared" si="98"/>
        <v/>
      </c>
      <c r="AE108" s="1044">
        <f t="shared" si="99"/>
        <v>0</v>
      </c>
      <c r="AF108" s="1044" t="str">
        <f t="shared" si="100"/>
        <v/>
      </c>
      <c r="AG108" s="1044">
        <f t="shared" si="101"/>
        <v>0</v>
      </c>
      <c r="AH108" s="1044">
        <f t="shared" si="102"/>
        <v>0</v>
      </c>
      <c r="AI108" s="1044" t="str">
        <f t="shared" si="103"/>
        <v/>
      </c>
      <c r="AJ108" s="1044">
        <f t="shared" si="104"/>
        <v>0</v>
      </c>
      <c r="AK108" s="1044">
        <f t="shared" si="105"/>
        <v>0</v>
      </c>
      <c r="AL108" s="1044">
        <f t="shared" si="106"/>
        <v>0</v>
      </c>
      <c r="AM108" s="1044">
        <f t="shared" si="107"/>
        <v>0</v>
      </c>
      <c r="AN108" s="1044" t="str">
        <f t="shared" si="108"/>
        <v/>
      </c>
      <c r="AO108" s="1044" t="str">
        <f t="shared" si="109"/>
        <v/>
      </c>
      <c r="AP108" s="1044">
        <f t="shared" si="110"/>
        <v>0</v>
      </c>
      <c r="AQ108" s="1044">
        <f t="shared" si="111"/>
        <v>0</v>
      </c>
      <c r="AR108" s="1044" t="str">
        <f t="shared" si="112"/>
        <v/>
      </c>
      <c r="AS108" s="1044">
        <f t="shared" si="113"/>
        <v>0</v>
      </c>
      <c r="AT108" s="1044" t="str">
        <f t="shared" si="114"/>
        <v/>
      </c>
      <c r="AU108" s="1044">
        <f t="shared" si="115"/>
        <v>0</v>
      </c>
      <c r="AV108" s="1044" t="str">
        <f t="shared" si="116"/>
        <v/>
      </c>
      <c r="AW108" s="1044">
        <f t="shared" si="117"/>
        <v>0</v>
      </c>
      <c r="AX108" s="1044" t="str">
        <f t="shared" si="118"/>
        <v/>
      </c>
      <c r="AY108" s="1044">
        <f t="shared" si="119"/>
        <v>0</v>
      </c>
      <c r="AZ108" s="1044" t="str">
        <f t="shared" si="120"/>
        <v/>
      </c>
      <c r="BA108" s="1044">
        <f t="shared" si="121"/>
        <v>0</v>
      </c>
      <c r="BB108" s="1044" t="str">
        <f t="shared" si="122"/>
        <v/>
      </c>
      <c r="BC108" s="1044">
        <f t="shared" si="123"/>
        <v>0</v>
      </c>
      <c r="BD108" s="1044">
        <f t="shared" si="124"/>
        <v>0</v>
      </c>
      <c r="BE108" s="1044" t="str">
        <f t="shared" si="125"/>
        <v/>
      </c>
      <c r="BF108" s="1044" t="str">
        <f t="shared" si="126"/>
        <v/>
      </c>
      <c r="BG108" s="1044" t="str">
        <f t="shared" si="127"/>
        <v/>
      </c>
      <c r="BH108" s="1044" t="str">
        <f t="shared" si="128"/>
        <v/>
      </c>
      <c r="BI108" s="1044" t="str">
        <f t="shared" si="129"/>
        <v/>
      </c>
      <c r="BJ108" s="1044" t="str">
        <f t="shared" si="130"/>
        <v/>
      </c>
      <c r="BK108" s="1044" t="str">
        <f t="shared" si="131"/>
        <v/>
      </c>
      <c r="BL108" s="1044" t="str">
        <f t="shared" si="132"/>
        <v/>
      </c>
      <c r="BM108" s="1044" t="str">
        <f t="shared" si="133"/>
        <v/>
      </c>
      <c r="BN108" s="1044" t="str">
        <f t="shared" si="134"/>
        <v/>
      </c>
      <c r="BO108" s="1044" t="str">
        <f t="shared" si="135"/>
        <v/>
      </c>
      <c r="BP108" s="1044" t="str">
        <f t="shared" si="136"/>
        <v/>
      </c>
      <c r="BQ108" s="1044" t="str">
        <f t="shared" si="137"/>
        <v/>
      </c>
      <c r="BR108" s="1044" t="str">
        <f t="shared" si="138"/>
        <v/>
      </c>
      <c r="BS108" s="1044" t="str">
        <f t="shared" si="139"/>
        <v/>
      </c>
      <c r="BT108" s="1044" t="str">
        <f t="shared" si="140"/>
        <v/>
      </c>
      <c r="BU108" s="1044" t="str">
        <f t="shared" si="141"/>
        <v/>
      </c>
    </row>
    <row r="109" spans="1:73" ht="30" customHeight="1">
      <c r="A109" s="1069" t="str">
        <f t="shared" si="71"/>
        <v/>
      </c>
      <c r="B109" s="1063"/>
      <c r="C109" s="1064" t="s">
        <v>254</v>
      </c>
      <c r="D109" s="1070" t="str">
        <f t="shared" si="72"/>
        <v/>
      </c>
      <c r="E109" s="1071" t="str">
        <f t="shared" si="73"/>
        <v/>
      </c>
      <c r="F109" s="1067" t="str">
        <f t="shared" si="74"/>
        <v/>
      </c>
      <c r="G109" s="1068" t="str">
        <f t="shared" si="75"/>
        <v/>
      </c>
      <c r="H109" s="1069" t="str">
        <f t="shared" si="76"/>
        <v/>
      </c>
      <c r="I109" s="1069" t="str">
        <f t="shared" si="77"/>
        <v/>
      </c>
      <c r="J109" s="1067" t="str">
        <f t="shared" si="78"/>
        <v/>
      </c>
      <c r="K109" s="1044" t="str">
        <f t="shared" si="79"/>
        <v/>
      </c>
      <c r="L109" s="1044" t="str">
        <f t="shared" si="80"/>
        <v/>
      </c>
      <c r="M109" s="1044" t="str">
        <f t="shared" si="81"/>
        <v/>
      </c>
      <c r="N109" s="1044" t="str">
        <f t="shared" si="82"/>
        <v/>
      </c>
      <c r="O109" s="1044" t="str">
        <f t="shared" si="83"/>
        <v/>
      </c>
      <c r="P109" s="1044" t="str">
        <f t="shared" si="84"/>
        <v/>
      </c>
      <c r="Q109" s="1044">
        <f t="shared" si="85"/>
        <v>0</v>
      </c>
      <c r="R109" s="1044">
        <f t="shared" si="86"/>
        <v>0</v>
      </c>
      <c r="S109" s="1044">
        <f t="shared" si="87"/>
        <v>0</v>
      </c>
      <c r="T109" s="1044">
        <f t="shared" si="88"/>
        <v>0</v>
      </c>
      <c r="U109" s="1044" t="str">
        <f t="shared" si="89"/>
        <v/>
      </c>
      <c r="V109" s="1044" t="str">
        <f t="shared" si="90"/>
        <v/>
      </c>
      <c r="W109" s="1044">
        <f t="shared" si="91"/>
        <v>0</v>
      </c>
      <c r="X109" s="1044" t="str">
        <f t="shared" si="92"/>
        <v/>
      </c>
      <c r="Y109" s="1044">
        <f t="shared" si="93"/>
        <v>0</v>
      </c>
      <c r="Z109" s="1044" t="str">
        <f t="shared" si="94"/>
        <v/>
      </c>
      <c r="AA109" s="1044">
        <f t="shared" si="95"/>
        <v>0</v>
      </c>
      <c r="AB109" s="1044">
        <f t="shared" si="96"/>
        <v>0</v>
      </c>
      <c r="AC109" s="1044">
        <f t="shared" si="97"/>
        <v>0</v>
      </c>
      <c r="AD109" s="1044" t="str">
        <f t="shared" si="98"/>
        <v/>
      </c>
      <c r="AE109" s="1044">
        <f t="shared" si="99"/>
        <v>0</v>
      </c>
      <c r="AF109" s="1044" t="str">
        <f t="shared" si="100"/>
        <v/>
      </c>
      <c r="AG109" s="1044">
        <f t="shared" si="101"/>
        <v>0</v>
      </c>
      <c r="AH109" s="1044">
        <f t="shared" si="102"/>
        <v>0</v>
      </c>
      <c r="AI109" s="1044" t="str">
        <f t="shared" si="103"/>
        <v/>
      </c>
      <c r="AJ109" s="1044">
        <f t="shared" si="104"/>
        <v>0</v>
      </c>
      <c r="AK109" s="1044">
        <f t="shared" si="105"/>
        <v>0</v>
      </c>
      <c r="AL109" s="1044">
        <f t="shared" si="106"/>
        <v>0</v>
      </c>
      <c r="AM109" s="1044">
        <f t="shared" si="107"/>
        <v>0</v>
      </c>
      <c r="AN109" s="1044" t="str">
        <f t="shared" si="108"/>
        <v/>
      </c>
      <c r="AO109" s="1044" t="str">
        <f t="shared" si="109"/>
        <v/>
      </c>
      <c r="AP109" s="1044">
        <f t="shared" si="110"/>
        <v>0</v>
      </c>
      <c r="AQ109" s="1044">
        <f t="shared" si="111"/>
        <v>0</v>
      </c>
      <c r="AR109" s="1044" t="str">
        <f t="shared" si="112"/>
        <v/>
      </c>
      <c r="AS109" s="1044">
        <f t="shared" si="113"/>
        <v>0</v>
      </c>
      <c r="AT109" s="1044" t="str">
        <f t="shared" si="114"/>
        <v/>
      </c>
      <c r="AU109" s="1044">
        <f t="shared" si="115"/>
        <v>0</v>
      </c>
      <c r="AV109" s="1044" t="str">
        <f t="shared" si="116"/>
        <v/>
      </c>
      <c r="AW109" s="1044">
        <f t="shared" si="117"/>
        <v>0</v>
      </c>
      <c r="AX109" s="1044" t="str">
        <f t="shared" si="118"/>
        <v/>
      </c>
      <c r="AY109" s="1044">
        <f t="shared" si="119"/>
        <v>0</v>
      </c>
      <c r="AZ109" s="1044" t="str">
        <f t="shared" si="120"/>
        <v/>
      </c>
      <c r="BA109" s="1044">
        <f t="shared" si="121"/>
        <v>0</v>
      </c>
      <c r="BB109" s="1044" t="str">
        <f t="shared" si="122"/>
        <v/>
      </c>
      <c r="BC109" s="1044">
        <f t="shared" si="123"/>
        <v>0</v>
      </c>
      <c r="BD109" s="1044">
        <f t="shared" si="124"/>
        <v>0</v>
      </c>
      <c r="BE109" s="1044" t="str">
        <f t="shared" si="125"/>
        <v/>
      </c>
      <c r="BF109" s="1044" t="str">
        <f t="shared" si="126"/>
        <v/>
      </c>
      <c r="BG109" s="1044" t="str">
        <f t="shared" si="127"/>
        <v/>
      </c>
      <c r="BH109" s="1044" t="str">
        <f t="shared" si="128"/>
        <v/>
      </c>
      <c r="BI109" s="1044" t="str">
        <f t="shared" si="129"/>
        <v/>
      </c>
      <c r="BJ109" s="1044" t="str">
        <f t="shared" si="130"/>
        <v/>
      </c>
      <c r="BK109" s="1044" t="str">
        <f t="shared" si="131"/>
        <v/>
      </c>
      <c r="BL109" s="1044" t="str">
        <f t="shared" si="132"/>
        <v/>
      </c>
      <c r="BM109" s="1044" t="str">
        <f t="shared" si="133"/>
        <v/>
      </c>
      <c r="BN109" s="1044" t="str">
        <f t="shared" si="134"/>
        <v/>
      </c>
      <c r="BO109" s="1044" t="str">
        <f t="shared" si="135"/>
        <v/>
      </c>
      <c r="BP109" s="1044" t="str">
        <f t="shared" si="136"/>
        <v/>
      </c>
      <c r="BQ109" s="1044" t="str">
        <f t="shared" si="137"/>
        <v/>
      </c>
      <c r="BR109" s="1044" t="str">
        <f t="shared" si="138"/>
        <v/>
      </c>
      <c r="BS109" s="1044" t="str">
        <f t="shared" si="139"/>
        <v/>
      </c>
      <c r="BT109" s="1044" t="str">
        <f t="shared" si="140"/>
        <v/>
      </c>
      <c r="BU109" s="1044" t="str">
        <f t="shared" si="141"/>
        <v/>
      </c>
    </row>
    <row r="110" spans="1:73" ht="30" customHeight="1">
      <c r="A110" s="1069" t="str">
        <f t="shared" si="71"/>
        <v/>
      </c>
      <c r="B110" s="1063"/>
      <c r="C110" s="1064" t="s">
        <v>254</v>
      </c>
      <c r="D110" s="1070" t="str">
        <f t="shared" si="72"/>
        <v/>
      </c>
      <c r="E110" s="1071" t="str">
        <f t="shared" si="73"/>
        <v/>
      </c>
      <c r="F110" s="1067" t="str">
        <f t="shared" si="74"/>
        <v/>
      </c>
      <c r="G110" s="1068" t="str">
        <f t="shared" si="75"/>
        <v/>
      </c>
      <c r="H110" s="1069" t="str">
        <f t="shared" si="76"/>
        <v/>
      </c>
      <c r="I110" s="1069" t="str">
        <f t="shared" si="77"/>
        <v/>
      </c>
      <c r="J110" s="1067" t="str">
        <f t="shared" si="78"/>
        <v/>
      </c>
      <c r="K110" s="1044" t="str">
        <f t="shared" si="79"/>
        <v/>
      </c>
      <c r="L110" s="1044" t="str">
        <f t="shared" si="80"/>
        <v/>
      </c>
      <c r="M110" s="1044" t="str">
        <f t="shared" si="81"/>
        <v/>
      </c>
      <c r="N110" s="1044" t="str">
        <f t="shared" si="82"/>
        <v/>
      </c>
      <c r="O110" s="1044" t="str">
        <f t="shared" si="83"/>
        <v/>
      </c>
      <c r="P110" s="1044" t="str">
        <f t="shared" si="84"/>
        <v/>
      </c>
      <c r="Q110" s="1044">
        <f t="shared" si="85"/>
        <v>0</v>
      </c>
      <c r="R110" s="1044">
        <f t="shared" si="86"/>
        <v>0</v>
      </c>
      <c r="S110" s="1044">
        <f t="shared" si="87"/>
        <v>0</v>
      </c>
      <c r="T110" s="1044">
        <f t="shared" si="88"/>
        <v>0</v>
      </c>
      <c r="U110" s="1044" t="str">
        <f t="shared" si="89"/>
        <v/>
      </c>
      <c r="V110" s="1044" t="str">
        <f t="shared" si="90"/>
        <v/>
      </c>
      <c r="W110" s="1044">
        <f t="shared" si="91"/>
        <v>0</v>
      </c>
      <c r="X110" s="1044" t="str">
        <f t="shared" si="92"/>
        <v/>
      </c>
      <c r="Y110" s="1044">
        <f t="shared" si="93"/>
        <v>0</v>
      </c>
      <c r="Z110" s="1044" t="str">
        <f t="shared" si="94"/>
        <v/>
      </c>
      <c r="AA110" s="1044">
        <f t="shared" si="95"/>
        <v>0</v>
      </c>
      <c r="AB110" s="1044">
        <f t="shared" si="96"/>
        <v>0</v>
      </c>
      <c r="AC110" s="1044">
        <f t="shared" si="97"/>
        <v>0</v>
      </c>
      <c r="AD110" s="1044" t="str">
        <f t="shared" si="98"/>
        <v/>
      </c>
      <c r="AE110" s="1044">
        <f t="shared" si="99"/>
        <v>0</v>
      </c>
      <c r="AF110" s="1044" t="str">
        <f t="shared" si="100"/>
        <v/>
      </c>
      <c r="AG110" s="1044">
        <f t="shared" si="101"/>
        <v>0</v>
      </c>
      <c r="AH110" s="1044">
        <f t="shared" si="102"/>
        <v>0</v>
      </c>
      <c r="AI110" s="1044" t="str">
        <f t="shared" si="103"/>
        <v/>
      </c>
      <c r="AJ110" s="1044">
        <f t="shared" si="104"/>
        <v>0</v>
      </c>
      <c r="AK110" s="1044">
        <f t="shared" si="105"/>
        <v>0</v>
      </c>
      <c r="AL110" s="1044">
        <f t="shared" si="106"/>
        <v>0</v>
      </c>
      <c r="AM110" s="1044">
        <f t="shared" si="107"/>
        <v>0</v>
      </c>
      <c r="AN110" s="1044" t="str">
        <f t="shared" si="108"/>
        <v/>
      </c>
      <c r="AO110" s="1044" t="str">
        <f t="shared" si="109"/>
        <v/>
      </c>
      <c r="AP110" s="1044">
        <f t="shared" si="110"/>
        <v>0</v>
      </c>
      <c r="AQ110" s="1044">
        <f t="shared" si="111"/>
        <v>0</v>
      </c>
      <c r="AR110" s="1044" t="str">
        <f t="shared" si="112"/>
        <v/>
      </c>
      <c r="AS110" s="1044">
        <f t="shared" si="113"/>
        <v>0</v>
      </c>
      <c r="AT110" s="1044" t="str">
        <f t="shared" si="114"/>
        <v/>
      </c>
      <c r="AU110" s="1044">
        <f t="shared" si="115"/>
        <v>0</v>
      </c>
      <c r="AV110" s="1044" t="str">
        <f t="shared" si="116"/>
        <v/>
      </c>
      <c r="AW110" s="1044">
        <f t="shared" si="117"/>
        <v>0</v>
      </c>
      <c r="AX110" s="1044" t="str">
        <f t="shared" si="118"/>
        <v/>
      </c>
      <c r="AY110" s="1044">
        <f t="shared" si="119"/>
        <v>0</v>
      </c>
      <c r="AZ110" s="1044" t="str">
        <f t="shared" si="120"/>
        <v/>
      </c>
      <c r="BA110" s="1044">
        <f t="shared" si="121"/>
        <v>0</v>
      </c>
      <c r="BB110" s="1044" t="str">
        <f t="shared" si="122"/>
        <v/>
      </c>
      <c r="BC110" s="1044">
        <f t="shared" si="123"/>
        <v>0</v>
      </c>
      <c r="BD110" s="1044">
        <f t="shared" si="124"/>
        <v>0</v>
      </c>
      <c r="BE110" s="1044" t="str">
        <f t="shared" si="125"/>
        <v/>
      </c>
      <c r="BF110" s="1044" t="str">
        <f t="shared" si="126"/>
        <v/>
      </c>
      <c r="BG110" s="1044" t="str">
        <f t="shared" si="127"/>
        <v/>
      </c>
      <c r="BH110" s="1044" t="str">
        <f t="shared" si="128"/>
        <v/>
      </c>
      <c r="BI110" s="1044" t="str">
        <f t="shared" si="129"/>
        <v/>
      </c>
      <c r="BJ110" s="1044" t="str">
        <f t="shared" si="130"/>
        <v/>
      </c>
      <c r="BK110" s="1044" t="str">
        <f t="shared" si="131"/>
        <v/>
      </c>
      <c r="BL110" s="1044" t="str">
        <f t="shared" si="132"/>
        <v/>
      </c>
      <c r="BM110" s="1044" t="str">
        <f t="shared" si="133"/>
        <v/>
      </c>
      <c r="BN110" s="1044" t="str">
        <f t="shared" si="134"/>
        <v/>
      </c>
      <c r="BO110" s="1044" t="str">
        <f t="shared" si="135"/>
        <v/>
      </c>
      <c r="BP110" s="1044" t="str">
        <f t="shared" si="136"/>
        <v/>
      </c>
      <c r="BQ110" s="1044" t="str">
        <f t="shared" si="137"/>
        <v/>
      </c>
      <c r="BR110" s="1044" t="str">
        <f t="shared" si="138"/>
        <v/>
      </c>
      <c r="BS110" s="1044" t="str">
        <f t="shared" si="139"/>
        <v/>
      </c>
      <c r="BT110" s="1044" t="str">
        <f t="shared" si="140"/>
        <v/>
      </c>
      <c r="BU110" s="1044" t="str">
        <f t="shared" si="141"/>
        <v/>
      </c>
    </row>
    <row r="111" spans="1:73" ht="30" customHeight="1">
      <c r="A111" s="1069" t="str">
        <f t="shared" si="71"/>
        <v/>
      </c>
      <c r="B111" s="1063"/>
      <c r="C111" s="1064" t="s">
        <v>254</v>
      </c>
      <c r="D111" s="1070" t="str">
        <f t="shared" si="72"/>
        <v/>
      </c>
      <c r="E111" s="1071" t="str">
        <f t="shared" si="73"/>
        <v/>
      </c>
      <c r="F111" s="1067" t="str">
        <f t="shared" si="74"/>
        <v/>
      </c>
      <c r="G111" s="1068" t="str">
        <f t="shared" si="75"/>
        <v/>
      </c>
      <c r="H111" s="1069" t="str">
        <f t="shared" si="76"/>
        <v/>
      </c>
      <c r="I111" s="1069" t="str">
        <f t="shared" si="77"/>
        <v/>
      </c>
      <c r="J111" s="1067" t="str">
        <f t="shared" si="78"/>
        <v/>
      </c>
      <c r="K111" s="1044" t="str">
        <f t="shared" si="79"/>
        <v/>
      </c>
      <c r="L111" s="1044" t="str">
        <f t="shared" si="80"/>
        <v/>
      </c>
      <c r="M111" s="1044" t="str">
        <f t="shared" si="81"/>
        <v/>
      </c>
      <c r="N111" s="1044" t="str">
        <f t="shared" si="82"/>
        <v/>
      </c>
      <c r="O111" s="1044" t="str">
        <f t="shared" si="83"/>
        <v/>
      </c>
      <c r="P111" s="1044" t="str">
        <f t="shared" si="84"/>
        <v/>
      </c>
      <c r="Q111" s="1044">
        <f t="shared" si="85"/>
        <v>0</v>
      </c>
      <c r="R111" s="1044">
        <f t="shared" si="86"/>
        <v>0</v>
      </c>
      <c r="S111" s="1044">
        <f t="shared" si="87"/>
        <v>0</v>
      </c>
      <c r="T111" s="1044">
        <f t="shared" si="88"/>
        <v>0</v>
      </c>
      <c r="U111" s="1044" t="str">
        <f t="shared" si="89"/>
        <v/>
      </c>
      <c r="V111" s="1044" t="str">
        <f t="shared" si="90"/>
        <v/>
      </c>
      <c r="W111" s="1044">
        <f t="shared" si="91"/>
        <v>0</v>
      </c>
      <c r="X111" s="1044" t="str">
        <f t="shared" si="92"/>
        <v/>
      </c>
      <c r="Y111" s="1044">
        <f t="shared" si="93"/>
        <v>0</v>
      </c>
      <c r="Z111" s="1044" t="str">
        <f t="shared" si="94"/>
        <v/>
      </c>
      <c r="AA111" s="1044">
        <f t="shared" si="95"/>
        <v>0</v>
      </c>
      <c r="AB111" s="1044">
        <f t="shared" si="96"/>
        <v>0</v>
      </c>
      <c r="AC111" s="1044">
        <f t="shared" si="97"/>
        <v>0</v>
      </c>
      <c r="AD111" s="1044" t="str">
        <f t="shared" si="98"/>
        <v/>
      </c>
      <c r="AE111" s="1044">
        <f t="shared" si="99"/>
        <v>0</v>
      </c>
      <c r="AF111" s="1044" t="str">
        <f t="shared" si="100"/>
        <v/>
      </c>
      <c r="AG111" s="1044">
        <f t="shared" si="101"/>
        <v>0</v>
      </c>
      <c r="AH111" s="1044">
        <f t="shared" si="102"/>
        <v>0</v>
      </c>
      <c r="AI111" s="1044" t="str">
        <f t="shared" si="103"/>
        <v/>
      </c>
      <c r="AJ111" s="1044">
        <f t="shared" si="104"/>
        <v>0</v>
      </c>
      <c r="AK111" s="1044">
        <f t="shared" si="105"/>
        <v>0</v>
      </c>
      <c r="AL111" s="1044">
        <f t="shared" si="106"/>
        <v>0</v>
      </c>
      <c r="AM111" s="1044">
        <f t="shared" si="107"/>
        <v>0</v>
      </c>
      <c r="AN111" s="1044" t="str">
        <f t="shared" si="108"/>
        <v/>
      </c>
      <c r="AO111" s="1044" t="str">
        <f t="shared" si="109"/>
        <v/>
      </c>
      <c r="AP111" s="1044">
        <f t="shared" si="110"/>
        <v>0</v>
      </c>
      <c r="AQ111" s="1044">
        <f t="shared" si="111"/>
        <v>0</v>
      </c>
      <c r="AR111" s="1044" t="str">
        <f t="shared" si="112"/>
        <v/>
      </c>
      <c r="AS111" s="1044">
        <f t="shared" si="113"/>
        <v>0</v>
      </c>
      <c r="AT111" s="1044" t="str">
        <f t="shared" si="114"/>
        <v/>
      </c>
      <c r="AU111" s="1044">
        <f t="shared" si="115"/>
        <v>0</v>
      </c>
      <c r="AV111" s="1044" t="str">
        <f t="shared" si="116"/>
        <v/>
      </c>
      <c r="AW111" s="1044">
        <f t="shared" si="117"/>
        <v>0</v>
      </c>
      <c r="AX111" s="1044" t="str">
        <f t="shared" si="118"/>
        <v/>
      </c>
      <c r="AY111" s="1044">
        <f t="shared" si="119"/>
        <v>0</v>
      </c>
      <c r="AZ111" s="1044" t="str">
        <f t="shared" si="120"/>
        <v/>
      </c>
      <c r="BA111" s="1044">
        <f t="shared" si="121"/>
        <v>0</v>
      </c>
      <c r="BB111" s="1044" t="str">
        <f t="shared" si="122"/>
        <v/>
      </c>
      <c r="BC111" s="1044">
        <f t="shared" si="123"/>
        <v>0</v>
      </c>
      <c r="BD111" s="1044">
        <f t="shared" si="124"/>
        <v>0</v>
      </c>
      <c r="BE111" s="1044" t="str">
        <f t="shared" si="125"/>
        <v/>
      </c>
      <c r="BF111" s="1044" t="str">
        <f t="shared" si="126"/>
        <v/>
      </c>
      <c r="BG111" s="1044" t="str">
        <f t="shared" si="127"/>
        <v/>
      </c>
      <c r="BH111" s="1044" t="str">
        <f t="shared" si="128"/>
        <v/>
      </c>
      <c r="BI111" s="1044" t="str">
        <f t="shared" si="129"/>
        <v/>
      </c>
      <c r="BJ111" s="1044" t="str">
        <f t="shared" si="130"/>
        <v/>
      </c>
      <c r="BK111" s="1044" t="str">
        <f t="shared" si="131"/>
        <v/>
      </c>
      <c r="BL111" s="1044" t="str">
        <f t="shared" si="132"/>
        <v/>
      </c>
      <c r="BM111" s="1044" t="str">
        <f t="shared" si="133"/>
        <v/>
      </c>
      <c r="BN111" s="1044" t="str">
        <f t="shared" si="134"/>
        <v/>
      </c>
      <c r="BO111" s="1044" t="str">
        <f t="shared" si="135"/>
        <v/>
      </c>
      <c r="BP111" s="1044" t="str">
        <f t="shared" si="136"/>
        <v/>
      </c>
      <c r="BQ111" s="1044" t="str">
        <f t="shared" si="137"/>
        <v/>
      </c>
      <c r="BR111" s="1044" t="str">
        <f t="shared" si="138"/>
        <v/>
      </c>
      <c r="BS111" s="1044" t="str">
        <f t="shared" si="139"/>
        <v/>
      </c>
      <c r="BT111" s="1044" t="str">
        <f t="shared" si="140"/>
        <v/>
      </c>
      <c r="BU111" s="1044" t="str">
        <f t="shared" si="141"/>
        <v/>
      </c>
    </row>
    <row r="112" spans="1:73" ht="30" customHeight="1">
      <c r="A112" s="1069" t="str">
        <f t="shared" si="71"/>
        <v/>
      </c>
      <c r="B112" s="1063"/>
      <c r="C112" s="1064" t="s">
        <v>254</v>
      </c>
      <c r="D112" s="1070" t="str">
        <f t="shared" si="72"/>
        <v/>
      </c>
      <c r="E112" s="1071" t="str">
        <f t="shared" si="73"/>
        <v/>
      </c>
      <c r="F112" s="1067" t="str">
        <f t="shared" si="74"/>
        <v/>
      </c>
      <c r="G112" s="1068" t="str">
        <f t="shared" si="75"/>
        <v/>
      </c>
      <c r="H112" s="1069" t="str">
        <f t="shared" si="76"/>
        <v/>
      </c>
      <c r="I112" s="1069" t="str">
        <f t="shared" si="77"/>
        <v/>
      </c>
      <c r="J112" s="1067" t="str">
        <f t="shared" si="78"/>
        <v/>
      </c>
      <c r="K112" s="1044" t="str">
        <f t="shared" si="79"/>
        <v/>
      </c>
      <c r="L112" s="1044" t="str">
        <f t="shared" si="80"/>
        <v/>
      </c>
      <c r="M112" s="1044" t="str">
        <f t="shared" si="81"/>
        <v/>
      </c>
      <c r="N112" s="1044" t="str">
        <f t="shared" si="82"/>
        <v/>
      </c>
      <c r="O112" s="1044" t="str">
        <f t="shared" si="83"/>
        <v/>
      </c>
      <c r="P112" s="1044" t="str">
        <f t="shared" si="84"/>
        <v/>
      </c>
      <c r="Q112" s="1044">
        <f t="shared" si="85"/>
        <v>0</v>
      </c>
      <c r="R112" s="1044">
        <f t="shared" si="86"/>
        <v>0</v>
      </c>
      <c r="S112" s="1044">
        <f t="shared" si="87"/>
        <v>0</v>
      </c>
      <c r="T112" s="1044">
        <f t="shared" si="88"/>
        <v>0</v>
      </c>
      <c r="U112" s="1044" t="str">
        <f t="shared" si="89"/>
        <v/>
      </c>
      <c r="V112" s="1044" t="str">
        <f t="shared" si="90"/>
        <v/>
      </c>
      <c r="W112" s="1044">
        <f t="shared" si="91"/>
        <v>0</v>
      </c>
      <c r="X112" s="1044" t="str">
        <f t="shared" si="92"/>
        <v/>
      </c>
      <c r="Y112" s="1044">
        <f t="shared" si="93"/>
        <v>0</v>
      </c>
      <c r="Z112" s="1044" t="str">
        <f t="shared" si="94"/>
        <v/>
      </c>
      <c r="AA112" s="1044">
        <f t="shared" si="95"/>
        <v>0</v>
      </c>
      <c r="AB112" s="1044">
        <f t="shared" si="96"/>
        <v>0</v>
      </c>
      <c r="AC112" s="1044">
        <f t="shared" si="97"/>
        <v>0</v>
      </c>
      <c r="AD112" s="1044" t="str">
        <f t="shared" si="98"/>
        <v/>
      </c>
      <c r="AE112" s="1044">
        <f t="shared" si="99"/>
        <v>0</v>
      </c>
      <c r="AF112" s="1044" t="str">
        <f t="shared" si="100"/>
        <v/>
      </c>
      <c r="AG112" s="1044">
        <f t="shared" si="101"/>
        <v>0</v>
      </c>
      <c r="AH112" s="1044">
        <f t="shared" si="102"/>
        <v>0</v>
      </c>
      <c r="AI112" s="1044" t="str">
        <f t="shared" si="103"/>
        <v/>
      </c>
      <c r="AJ112" s="1044">
        <f t="shared" si="104"/>
        <v>0</v>
      </c>
      <c r="AK112" s="1044">
        <f t="shared" si="105"/>
        <v>0</v>
      </c>
      <c r="AL112" s="1044">
        <f t="shared" si="106"/>
        <v>0</v>
      </c>
      <c r="AM112" s="1044">
        <f t="shared" si="107"/>
        <v>0</v>
      </c>
      <c r="AN112" s="1044" t="str">
        <f t="shared" si="108"/>
        <v/>
      </c>
      <c r="AO112" s="1044" t="str">
        <f t="shared" si="109"/>
        <v/>
      </c>
      <c r="AP112" s="1044">
        <f t="shared" si="110"/>
        <v>0</v>
      </c>
      <c r="AQ112" s="1044">
        <f t="shared" si="111"/>
        <v>0</v>
      </c>
      <c r="AR112" s="1044" t="str">
        <f t="shared" si="112"/>
        <v/>
      </c>
      <c r="AS112" s="1044">
        <f t="shared" si="113"/>
        <v>0</v>
      </c>
      <c r="AT112" s="1044" t="str">
        <f t="shared" si="114"/>
        <v/>
      </c>
      <c r="AU112" s="1044">
        <f t="shared" si="115"/>
        <v>0</v>
      </c>
      <c r="AV112" s="1044" t="str">
        <f t="shared" si="116"/>
        <v/>
      </c>
      <c r="AW112" s="1044">
        <f t="shared" si="117"/>
        <v>0</v>
      </c>
      <c r="AX112" s="1044" t="str">
        <f t="shared" si="118"/>
        <v/>
      </c>
      <c r="AY112" s="1044">
        <f t="shared" si="119"/>
        <v>0</v>
      </c>
      <c r="AZ112" s="1044" t="str">
        <f t="shared" si="120"/>
        <v/>
      </c>
      <c r="BA112" s="1044">
        <f t="shared" si="121"/>
        <v>0</v>
      </c>
      <c r="BB112" s="1044" t="str">
        <f t="shared" si="122"/>
        <v/>
      </c>
      <c r="BC112" s="1044">
        <f t="shared" si="123"/>
        <v>0</v>
      </c>
      <c r="BD112" s="1044">
        <f t="shared" si="124"/>
        <v>0</v>
      </c>
      <c r="BE112" s="1044" t="str">
        <f t="shared" si="125"/>
        <v/>
      </c>
      <c r="BF112" s="1044" t="str">
        <f t="shared" si="126"/>
        <v/>
      </c>
      <c r="BG112" s="1044" t="str">
        <f t="shared" si="127"/>
        <v/>
      </c>
      <c r="BH112" s="1044" t="str">
        <f t="shared" si="128"/>
        <v/>
      </c>
      <c r="BI112" s="1044" t="str">
        <f t="shared" si="129"/>
        <v/>
      </c>
      <c r="BJ112" s="1044" t="str">
        <f t="shared" si="130"/>
        <v/>
      </c>
      <c r="BK112" s="1044" t="str">
        <f t="shared" si="131"/>
        <v/>
      </c>
      <c r="BL112" s="1044" t="str">
        <f t="shared" si="132"/>
        <v/>
      </c>
      <c r="BM112" s="1044" t="str">
        <f t="shared" si="133"/>
        <v/>
      </c>
      <c r="BN112" s="1044" t="str">
        <f t="shared" si="134"/>
        <v/>
      </c>
      <c r="BO112" s="1044" t="str">
        <f t="shared" si="135"/>
        <v/>
      </c>
      <c r="BP112" s="1044" t="str">
        <f t="shared" si="136"/>
        <v/>
      </c>
      <c r="BQ112" s="1044" t="str">
        <f t="shared" si="137"/>
        <v/>
      </c>
      <c r="BR112" s="1044" t="str">
        <f t="shared" si="138"/>
        <v/>
      </c>
      <c r="BS112" s="1044" t="str">
        <f t="shared" si="139"/>
        <v/>
      </c>
      <c r="BT112" s="1044" t="str">
        <f t="shared" si="140"/>
        <v/>
      </c>
      <c r="BU112" s="1044" t="str">
        <f t="shared" si="141"/>
        <v/>
      </c>
    </row>
    <row r="113" spans="1:73" ht="30" customHeight="1">
      <c r="A113" s="1069" t="str">
        <f t="shared" si="71"/>
        <v/>
      </c>
      <c r="B113" s="1063"/>
      <c r="C113" s="1064" t="s">
        <v>254</v>
      </c>
      <c r="D113" s="1070" t="str">
        <f t="shared" si="72"/>
        <v/>
      </c>
      <c r="E113" s="1071" t="str">
        <f t="shared" si="73"/>
        <v/>
      </c>
      <c r="F113" s="1067" t="str">
        <f t="shared" si="74"/>
        <v/>
      </c>
      <c r="G113" s="1068" t="str">
        <f t="shared" si="75"/>
        <v/>
      </c>
      <c r="H113" s="1069" t="str">
        <f t="shared" si="76"/>
        <v/>
      </c>
      <c r="I113" s="1069" t="str">
        <f t="shared" si="77"/>
        <v/>
      </c>
      <c r="J113" s="1067" t="str">
        <f t="shared" si="78"/>
        <v/>
      </c>
      <c r="K113" s="1044" t="str">
        <f t="shared" si="79"/>
        <v/>
      </c>
      <c r="L113" s="1044" t="str">
        <f t="shared" si="80"/>
        <v/>
      </c>
      <c r="M113" s="1044" t="str">
        <f t="shared" si="81"/>
        <v/>
      </c>
      <c r="N113" s="1044" t="str">
        <f t="shared" si="82"/>
        <v/>
      </c>
      <c r="O113" s="1044" t="str">
        <f t="shared" si="83"/>
        <v/>
      </c>
      <c r="P113" s="1044" t="str">
        <f t="shared" si="84"/>
        <v/>
      </c>
      <c r="Q113" s="1044">
        <f t="shared" si="85"/>
        <v>0</v>
      </c>
      <c r="R113" s="1044">
        <f t="shared" si="86"/>
        <v>0</v>
      </c>
      <c r="S113" s="1044">
        <f t="shared" si="87"/>
        <v>0</v>
      </c>
      <c r="T113" s="1044">
        <f t="shared" si="88"/>
        <v>0</v>
      </c>
      <c r="U113" s="1044" t="str">
        <f t="shared" si="89"/>
        <v/>
      </c>
      <c r="V113" s="1044" t="str">
        <f t="shared" si="90"/>
        <v/>
      </c>
      <c r="W113" s="1044">
        <f t="shared" si="91"/>
        <v>0</v>
      </c>
      <c r="X113" s="1044" t="str">
        <f t="shared" si="92"/>
        <v/>
      </c>
      <c r="Y113" s="1044">
        <f t="shared" si="93"/>
        <v>0</v>
      </c>
      <c r="Z113" s="1044" t="str">
        <f t="shared" si="94"/>
        <v/>
      </c>
      <c r="AA113" s="1044">
        <f t="shared" si="95"/>
        <v>0</v>
      </c>
      <c r="AB113" s="1044">
        <f t="shared" si="96"/>
        <v>0</v>
      </c>
      <c r="AC113" s="1044">
        <f t="shared" si="97"/>
        <v>0</v>
      </c>
      <c r="AD113" s="1044" t="str">
        <f t="shared" si="98"/>
        <v/>
      </c>
      <c r="AE113" s="1044">
        <f t="shared" si="99"/>
        <v>0</v>
      </c>
      <c r="AF113" s="1044" t="str">
        <f t="shared" si="100"/>
        <v/>
      </c>
      <c r="AG113" s="1044">
        <f t="shared" si="101"/>
        <v>0</v>
      </c>
      <c r="AH113" s="1044">
        <f t="shared" si="102"/>
        <v>0</v>
      </c>
      <c r="AI113" s="1044" t="str">
        <f t="shared" si="103"/>
        <v/>
      </c>
      <c r="AJ113" s="1044">
        <f t="shared" si="104"/>
        <v>0</v>
      </c>
      <c r="AK113" s="1044">
        <f t="shared" si="105"/>
        <v>0</v>
      </c>
      <c r="AL113" s="1044">
        <f t="shared" si="106"/>
        <v>0</v>
      </c>
      <c r="AM113" s="1044">
        <f t="shared" si="107"/>
        <v>0</v>
      </c>
      <c r="AN113" s="1044" t="str">
        <f t="shared" si="108"/>
        <v/>
      </c>
      <c r="AO113" s="1044" t="str">
        <f t="shared" si="109"/>
        <v/>
      </c>
      <c r="AP113" s="1044">
        <f t="shared" si="110"/>
        <v>0</v>
      </c>
      <c r="AQ113" s="1044">
        <f t="shared" si="111"/>
        <v>0</v>
      </c>
      <c r="AR113" s="1044" t="str">
        <f t="shared" si="112"/>
        <v/>
      </c>
      <c r="AS113" s="1044">
        <f t="shared" si="113"/>
        <v>0</v>
      </c>
      <c r="AT113" s="1044" t="str">
        <f t="shared" si="114"/>
        <v/>
      </c>
      <c r="AU113" s="1044">
        <f t="shared" si="115"/>
        <v>0</v>
      </c>
      <c r="AV113" s="1044" t="str">
        <f t="shared" si="116"/>
        <v/>
      </c>
      <c r="AW113" s="1044">
        <f t="shared" si="117"/>
        <v>0</v>
      </c>
      <c r="AX113" s="1044" t="str">
        <f t="shared" si="118"/>
        <v/>
      </c>
      <c r="AY113" s="1044">
        <f t="shared" si="119"/>
        <v>0</v>
      </c>
      <c r="AZ113" s="1044" t="str">
        <f t="shared" si="120"/>
        <v/>
      </c>
      <c r="BA113" s="1044">
        <f t="shared" si="121"/>
        <v>0</v>
      </c>
      <c r="BB113" s="1044" t="str">
        <f t="shared" si="122"/>
        <v/>
      </c>
      <c r="BC113" s="1044">
        <f t="shared" si="123"/>
        <v>0</v>
      </c>
      <c r="BD113" s="1044">
        <f t="shared" si="124"/>
        <v>0</v>
      </c>
      <c r="BE113" s="1044" t="str">
        <f t="shared" si="125"/>
        <v/>
      </c>
      <c r="BF113" s="1044" t="str">
        <f t="shared" si="126"/>
        <v/>
      </c>
      <c r="BG113" s="1044" t="str">
        <f t="shared" si="127"/>
        <v/>
      </c>
      <c r="BH113" s="1044" t="str">
        <f t="shared" si="128"/>
        <v/>
      </c>
      <c r="BI113" s="1044" t="str">
        <f t="shared" si="129"/>
        <v/>
      </c>
      <c r="BJ113" s="1044" t="str">
        <f t="shared" si="130"/>
        <v/>
      </c>
      <c r="BK113" s="1044" t="str">
        <f t="shared" si="131"/>
        <v/>
      </c>
      <c r="BL113" s="1044" t="str">
        <f t="shared" si="132"/>
        <v/>
      </c>
      <c r="BM113" s="1044" t="str">
        <f t="shared" si="133"/>
        <v/>
      </c>
      <c r="BN113" s="1044" t="str">
        <f t="shared" si="134"/>
        <v/>
      </c>
      <c r="BO113" s="1044" t="str">
        <f t="shared" si="135"/>
        <v/>
      </c>
      <c r="BP113" s="1044" t="str">
        <f t="shared" si="136"/>
        <v/>
      </c>
      <c r="BQ113" s="1044" t="str">
        <f t="shared" si="137"/>
        <v/>
      </c>
      <c r="BR113" s="1044" t="str">
        <f t="shared" si="138"/>
        <v/>
      </c>
      <c r="BS113" s="1044" t="str">
        <f t="shared" si="139"/>
        <v/>
      </c>
      <c r="BT113" s="1044" t="str">
        <f t="shared" si="140"/>
        <v/>
      </c>
      <c r="BU113" s="1044" t="str">
        <f t="shared" si="141"/>
        <v/>
      </c>
    </row>
    <row r="114" spans="1:73" ht="30" customHeight="1">
      <c r="A114" s="1069" t="str">
        <f t="shared" si="71"/>
        <v/>
      </c>
      <c r="B114" s="1063"/>
      <c r="C114" s="1064" t="s">
        <v>254</v>
      </c>
      <c r="D114" s="1070" t="str">
        <f t="shared" si="72"/>
        <v/>
      </c>
      <c r="E114" s="1071" t="str">
        <f t="shared" si="73"/>
        <v/>
      </c>
      <c r="F114" s="1067" t="str">
        <f t="shared" si="74"/>
        <v/>
      </c>
      <c r="G114" s="1068" t="str">
        <f t="shared" si="75"/>
        <v/>
      </c>
      <c r="H114" s="1069" t="str">
        <f t="shared" si="76"/>
        <v/>
      </c>
      <c r="I114" s="1069" t="str">
        <f t="shared" si="77"/>
        <v/>
      </c>
      <c r="J114" s="1067" t="str">
        <f t="shared" si="78"/>
        <v/>
      </c>
      <c r="K114" s="1044" t="str">
        <f t="shared" si="79"/>
        <v/>
      </c>
      <c r="L114" s="1044" t="str">
        <f t="shared" si="80"/>
        <v/>
      </c>
      <c r="M114" s="1044" t="str">
        <f t="shared" si="81"/>
        <v/>
      </c>
      <c r="N114" s="1044" t="str">
        <f t="shared" si="82"/>
        <v/>
      </c>
      <c r="O114" s="1044" t="str">
        <f t="shared" si="83"/>
        <v/>
      </c>
      <c r="P114" s="1044" t="str">
        <f t="shared" si="84"/>
        <v/>
      </c>
      <c r="Q114" s="1044">
        <f t="shared" si="85"/>
        <v>0</v>
      </c>
      <c r="R114" s="1044">
        <f t="shared" si="86"/>
        <v>0</v>
      </c>
      <c r="S114" s="1044">
        <f t="shared" si="87"/>
        <v>0</v>
      </c>
      <c r="T114" s="1044">
        <f t="shared" si="88"/>
        <v>0</v>
      </c>
      <c r="U114" s="1044" t="str">
        <f t="shared" si="89"/>
        <v/>
      </c>
      <c r="V114" s="1044" t="str">
        <f t="shared" si="90"/>
        <v/>
      </c>
      <c r="W114" s="1044">
        <f t="shared" si="91"/>
        <v>0</v>
      </c>
      <c r="X114" s="1044" t="str">
        <f t="shared" si="92"/>
        <v/>
      </c>
      <c r="Y114" s="1044">
        <f t="shared" si="93"/>
        <v>0</v>
      </c>
      <c r="Z114" s="1044" t="str">
        <f t="shared" si="94"/>
        <v/>
      </c>
      <c r="AA114" s="1044">
        <f t="shared" si="95"/>
        <v>0</v>
      </c>
      <c r="AB114" s="1044">
        <f t="shared" si="96"/>
        <v>0</v>
      </c>
      <c r="AC114" s="1044">
        <f t="shared" si="97"/>
        <v>0</v>
      </c>
      <c r="AD114" s="1044" t="str">
        <f t="shared" si="98"/>
        <v/>
      </c>
      <c r="AE114" s="1044">
        <f t="shared" si="99"/>
        <v>0</v>
      </c>
      <c r="AF114" s="1044" t="str">
        <f t="shared" si="100"/>
        <v/>
      </c>
      <c r="AG114" s="1044">
        <f t="shared" si="101"/>
        <v>0</v>
      </c>
      <c r="AH114" s="1044">
        <f t="shared" si="102"/>
        <v>0</v>
      </c>
      <c r="AI114" s="1044" t="str">
        <f t="shared" si="103"/>
        <v/>
      </c>
      <c r="AJ114" s="1044">
        <f t="shared" si="104"/>
        <v>0</v>
      </c>
      <c r="AK114" s="1044">
        <f t="shared" si="105"/>
        <v>0</v>
      </c>
      <c r="AL114" s="1044">
        <f t="shared" si="106"/>
        <v>0</v>
      </c>
      <c r="AM114" s="1044">
        <f t="shared" si="107"/>
        <v>0</v>
      </c>
      <c r="AN114" s="1044" t="str">
        <f t="shared" si="108"/>
        <v/>
      </c>
      <c r="AO114" s="1044" t="str">
        <f t="shared" si="109"/>
        <v/>
      </c>
      <c r="AP114" s="1044">
        <f t="shared" si="110"/>
        <v>0</v>
      </c>
      <c r="AQ114" s="1044">
        <f t="shared" si="111"/>
        <v>0</v>
      </c>
      <c r="AR114" s="1044" t="str">
        <f t="shared" si="112"/>
        <v/>
      </c>
      <c r="AS114" s="1044">
        <f t="shared" si="113"/>
        <v>0</v>
      </c>
      <c r="AT114" s="1044" t="str">
        <f t="shared" si="114"/>
        <v/>
      </c>
      <c r="AU114" s="1044">
        <f t="shared" si="115"/>
        <v>0</v>
      </c>
      <c r="AV114" s="1044" t="str">
        <f t="shared" si="116"/>
        <v/>
      </c>
      <c r="AW114" s="1044">
        <f t="shared" si="117"/>
        <v>0</v>
      </c>
      <c r="AX114" s="1044" t="str">
        <f t="shared" si="118"/>
        <v/>
      </c>
      <c r="AY114" s="1044">
        <f t="shared" si="119"/>
        <v>0</v>
      </c>
      <c r="AZ114" s="1044" t="str">
        <f t="shared" si="120"/>
        <v/>
      </c>
      <c r="BA114" s="1044">
        <f t="shared" si="121"/>
        <v>0</v>
      </c>
      <c r="BB114" s="1044" t="str">
        <f t="shared" si="122"/>
        <v/>
      </c>
      <c r="BC114" s="1044">
        <f t="shared" si="123"/>
        <v>0</v>
      </c>
      <c r="BD114" s="1044">
        <f t="shared" si="124"/>
        <v>0</v>
      </c>
      <c r="BE114" s="1044" t="str">
        <f t="shared" si="125"/>
        <v/>
      </c>
      <c r="BF114" s="1044" t="str">
        <f t="shared" si="126"/>
        <v/>
      </c>
      <c r="BG114" s="1044" t="str">
        <f t="shared" si="127"/>
        <v/>
      </c>
      <c r="BH114" s="1044" t="str">
        <f t="shared" si="128"/>
        <v/>
      </c>
      <c r="BI114" s="1044" t="str">
        <f t="shared" si="129"/>
        <v/>
      </c>
      <c r="BJ114" s="1044" t="str">
        <f t="shared" si="130"/>
        <v/>
      </c>
      <c r="BK114" s="1044" t="str">
        <f t="shared" si="131"/>
        <v/>
      </c>
      <c r="BL114" s="1044" t="str">
        <f t="shared" si="132"/>
        <v/>
      </c>
      <c r="BM114" s="1044" t="str">
        <f t="shared" si="133"/>
        <v/>
      </c>
      <c r="BN114" s="1044" t="str">
        <f t="shared" si="134"/>
        <v/>
      </c>
      <c r="BO114" s="1044" t="str">
        <f t="shared" si="135"/>
        <v/>
      </c>
      <c r="BP114" s="1044" t="str">
        <f t="shared" si="136"/>
        <v/>
      </c>
      <c r="BQ114" s="1044" t="str">
        <f t="shared" si="137"/>
        <v/>
      </c>
      <c r="BR114" s="1044" t="str">
        <f t="shared" si="138"/>
        <v/>
      </c>
      <c r="BS114" s="1044" t="str">
        <f t="shared" si="139"/>
        <v/>
      </c>
      <c r="BT114" s="1044" t="str">
        <f t="shared" si="140"/>
        <v/>
      </c>
      <c r="BU114" s="1044" t="str">
        <f t="shared" si="141"/>
        <v/>
      </c>
    </row>
    <row r="115" spans="1:73" ht="30" customHeight="1">
      <c r="A115" s="1069" t="str">
        <f t="shared" si="71"/>
        <v/>
      </c>
      <c r="B115" s="1063"/>
      <c r="C115" s="1064" t="s">
        <v>254</v>
      </c>
      <c r="D115" s="1070" t="str">
        <f t="shared" si="72"/>
        <v/>
      </c>
      <c r="E115" s="1071" t="str">
        <f t="shared" si="73"/>
        <v/>
      </c>
      <c r="F115" s="1067" t="str">
        <f t="shared" si="74"/>
        <v/>
      </c>
      <c r="G115" s="1068" t="str">
        <f t="shared" si="75"/>
        <v/>
      </c>
      <c r="H115" s="1069" t="str">
        <f t="shared" si="76"/>
        <v/>
      </c>
      <c r="I115" s="1069" t="str">
        <f t="shared" si="77"/>
        <v/>
      </c>
      <c r="J115" s="1067" t="str">
        <f t="shared" si="78"/>
        <v/>
      </c>
      <c r="K115" s="1044" t="str">
        <f t="shared" si="79"/>
        <v/>
      </c>
      <c r="L115" s="1044" t="str">
        <f t="shared" si="80"/>
        <v/>
      </c>
      <c r="M115" s="1044" t="str">
        <f t="shared" si="81"/>
        <v/>
      </c>
      <c r="N115" s="1044" t="str">
        <f t="shared" si="82"/>
        <v/>
      </c>
      <c r="O115" s="1044" t="str">
        <f t="shared" si="83"/>
        <v/>
      </c>
      <c r="P115" s="1044" t="str">
        <f t="shared" si="84"/>
        <v/>
      </c>
      <c r="Q115" s="1044">
        <f t="shared" si="85"/>
        <v>0</v>
      </c>
      <c r="R115" s="1044">
        <f t="shared" si="86"/>
        <v>0</v>
      </c>
      <c r="S115" s="1044">
        <f t="shared" si="87"/>
        <v>0</v>
      </c>
      <c r="T115" s="1044">
        <f t="shared" si="88"/>
        <v>0</v>
      </c>
      <c r="U115" s="1044" t="str">
        <f t="shared" si="89"/>
        <v/>
      </c>
      <c r="V115" s="1044" t="str">
        <f t="shared" si="90"/>
        <v/>
      </c>
      <c r="W115" s="1044">
        <f t="shared" si="91"/>
        <v>0</v>
      </c>
      <c r="X115" s="1044" t="str">
        <f t="shared" si="92"/>
        <v/>
      </c>
      <c r="Y115" s="1044">
        <f t="shared" si="93"/>
        <v>0</v>
      </c>
      <c r="Z115" s="1044" t="str">
        <f t="shared" si="94"/>
        <v/>
      </c>
      <c r="AA115" s="1044">
        <f t="shared" si="95"/>
        <v>0</v>
      </c>
      <c r="AB115" s="1044">
        <f t="shared" si="96"/>
        <v>0</v>
      </c>
      <c r="AC115" s="1044">
        <f t="shared" si="97"/>
        <v>0</v>
      </c>
      <c r="AD115" s="1044" t="str">
        <f t="shared" si="98"/>
        <v/>
      </c>
      <c r="AE115" s="1044">
        <f t="shared" si="99"/>
        <v>0</v>
      </c>
      <c r="AF115" s="1044" t="str">
        <f t="shared" si="100"/>
        <v/>
      </c>
      <c r="AG115" s="1044">
        <f t="shared" si="101"/>
        <v>0</v>
      </c>
      <c r="AH115" s="1044">
        <f t="shared" si="102"/>
        <v>0</v>
      </c>
      <c r="AI115" s="1044" t="str">
        <f t="shared" si="103"/>
        <v/>
      </c>
      <c r="AJ115" s="1044">
        <f t="shared" si="104"/>
        <v>0</v>
      </c>
      <c r="AK115" s="1044">
        <f t="shared" si="105"/>
        <v>0</v>
      </c>
      <c r="AL115" s="1044">
        <f t="shared" si="106"/>
        <v>0</v>
      </c>
      <c r="AM115" s="1044">
        <f t="shared" si="107"/>
        <v>0</v>
      </c>
      <c r="AN115" s="1044" t="str">
        <f t="shared" si="108"/>
        <v/>
      </c>
      <c r="AO115" s="1044" t="str">
        <f t="shared" si="109"/>
        <v/>
      </c>
      <c r="AP115" s="1044">
        <f t="shared" si="110"/>
        <v>0</v>
      </c>
      <c r="AQ115" s="1044">
        <f t="shared" si="111"/>
        <v>0</v>
      </c>
      <c r="AR115" s="1044" t="str">
        <f t="shared" si="112"/>
        <v/>
      </c>
      <c r="AS115" s="1044">
        <f t="shared" si="113"/>
        <v>0</v>
      </c>
      <c r="AT115" s="1044" t="str">
        <f t="shared" si="114"/>
        <v/>
      </c>
      <c r="AU115" s="1044">
        <f t="shared" si="115"/>
        <v>0</v>
      </c>
      <c r="AV115" s="1044" t="str">
        <f t="shared" si="116"/>
        <v/>
      </c>
      <c r="AW115" s="1044">
        <f t="shared" si="117"/>
        <v>0</v>
      </c>
      <c r="AX115" s="1044" t="str">
        <f t="shared" si="118"/>
        <v/>
      </c>
      <c r="AY115" s="1044">
        <f t="shared" si="119"/>
        <v>0</v>
      </c>
      <c r="AZ115" s="1044" t="str">
        <f t="shared" si="120"/>
        <v/>
      </c>
      <c r="BA115" s="1044">
        <f t="shared" si="121"/>
        <v>0</v>
      </c>
      <c r="BB115" s="1044" t="str">
        <f t="shared" si="122"/>
        <v/>
      </c>
      <c r="BC115" s="1044">
        <f t="shared" si="123"/>
        <v>0</v>
      </c>
      <c r="BD115" s="1044">
        <f t="shared" si="124"/>
        <v>0</v>
      </c>
      <c r="BE115" s="1044" t="str">
        <f t="shared" si="125"/>
        <v/>
      </c>
      <c r="BF115" s="1044" t="str">
        <f t="shared" si="126"/>
        <v/>
      </c>
      <c r="BG115" s="1044" t="str">
        <f t="shared" si="127"/>
        <v/>
      </c>
      <c r="BH115" s="1044" t="str">
        <f t="shared" si="128"/>
        <v/>
      </c>
      <c r="BI115" s="1044" t="str">
        <f t="shared" si="129"/>
        <v/>
      </c>
      <c r="BJ115" s="1044" t="str">
        <f t="shared" si="130"/>
        <v/>
      </c>
      <c r="BK115" s="1044" t="str">
        <f t="shared" si="131"/>
        <v/>
      </c>
      <c r="BL115" s="1044" t="str">
        <f t="shared" si="132"/>
        <v/>
      </c>
      <c r="BM115" s="1044" t="str">
        <f t="shared" si="133"/>
        <v/>
      </c>
      <c r="BN115" s="1044" t="str">
        <f t="shared" si="134"/>
        <v/>
      </c>
      <c r="BO115" s="1044" t="str">
        <f t="shared" si="135"/>
        <v/>
      </c>
      <c r="BP115" s="1044" t="str">
        <f t="shared" si="136"/>
        <v/>
      </c>
      <c r="BQ115" s="1044" t="str">
        <f t="shared" si="137"/>
        <v/>
      </c>
      <c r="BR115" s="1044" t="str">
        <f t="shared" si="138"/>
        <v/>
      </c>
      <c r="BS115" s="1044" t="str">
        <f t="shared" si="139"/>
        <v/>
      </c>
      <c r="BT115" s="1044" t="str">
        <f t="shared" si="140"/>
        <v/>
      </c>
      <c r="BU115" s="1044" t="str">
        <f t="shared" si="141"/>
        <v/>
      </c>
    </row>
    <row r="116" spans="1:73" ht="30" customHeight="1">
      <c r="A116" s="1069" t="str">
        <f t="shared" si="71"/>
        <v/>
      </c>
      <c r="B116" s="1063"/>
      <c r="C116" s="1064" t="s">
        <v>254</v>
      </c>
      <c r="D116" s="1070" t="str">
        <f t="shared" si="72"/>
        <v/>
      </c>
      <c r="E116" s="1071" t="str">
        <f t="shared" si="73"/>
        <v/>
      </c>
      <c r="F116" s="1067" t="str">
        <f t="shared" si="74"/>
        <v/>
      </c>
      <c r="G116" s="1068" t="str">
        <f t="shared" si="75"/>
        <v/>
      </c>
      <c r="H116" s="1069" t="str">
        <f t="shared" si="76"/>
        <v/>
      </c>
      <c r="I116" s="1069" t="str">
        <f t="shared" si="77"/>
        <v/>
      </c>
      <c r="J116" s="1067" t="str">
        <f t="shared" si="78"/>
        <v/>
      </c>
      <c r="K116" s="1044" t="str">
        <f t="shared" si="79"/>
        <v/>
      </c>
      <c r="L116" s="1044" t="str">
        <f t="shared" si="80"/>
        <v/>
      </c>
      <c r="M116" s="1044" t="str">
        <f t="shared" si="81"/>
        <v/>
      </c>
      <c r="N116" s="1044" t="str">
        <f t="shared" si="82"/>
        <v/>
      </c>
      <c r="O116" s="1044" t="str">
        <f t="shared" si="83"/>
        <v/>
      </c>
      <c r="P116" s="1044" t="str">
        <f t="shared" si="84"/>
        <v/>
      </c>
      <c r="Q116" s="1044">
        <f t="shared" si="85"/>
        <v>0</v>
      </c>
      <c r="R116" s="1044">
        <f t="shared" si="86"/>
        <v>0</v>
      </c>
      <c r="S116" s="1044">
        <f t="shared" si="87"/>
        <v>0</v>
      </c>
      <c r="T116" s="1044">
        <f t="shared" si="88"/>
        <v>0</v>
      </c>
      <c r="U116" s="1044" t="str">
        <f t="shared" si="89"/>
        <v/>
      </c>
      <c r="V116" s="1044" t="str">
        <f t="shared" si="90"/>
        <v/>
      </c>
      <c r="W116" s="1044">
        <f t="shared" si="91"/>
        <v>0</v>
      </c>
      <c r="X116" s="1044" t="str">
        <f t="shared" si="92"/>
        <v/>
      </c>
      <c r="Y116" s="1044">
        <f t="shared" si="93"/>
        <v>0</v>
      </c>
      <c r="Z116" s="1044" t="str">
        <f t="shared" si="94"/>
        <v/>
      </c>
      <c r="AA116" s="1044">
        <f t="shared" si="95"/>
        <v>0</v>
      </c>
      <c r="AB116" s="1044">
        <f t="shared" si="96"/>
        <v>0</v>
      </c>
      <c r="AC116" s="1044">
        <f t="shared" si="97"/>
        <v>0</v>
      </c>
      <c r="AD116" s="1044" t="str">
        <f t="shared" si="98"/>
        <v/>
      </c>
      <c r="AE116" s="1044">
        <f t="shared" si="99"/>
        <v>0</v>
      </c>
      <c r="AF116" s="1044" t="str">
        <f t="shared" si="100"/>
        <v/>
      </c>
      <c r="AG116" s="1044">
        <f t="shared" si="101"/>
        <v>0</v>
      </c>
      <c r="AH116" s="1044">
        <f t="shared" si="102"/>
        <v>0</v>
      </c>
      <c r="AI116" s="1044" t="str">
        <f t="shared" si="103"/>
        <v/>
      </c>
      <c r="AJ116" s="1044">
        <f t="shared" si="104"/>
        <v>0</v>
      </c>
      <c r="AK116" s="1044">
        <f t="shared" si="105"/>
        <v>0</v>
      </c>
      <c r="AL116" s="1044">
        <f t="shared" si="106"/>
        <v>0</v>
      </c>
      <c r="AM116" s="1044">
        <f t="shared" si="107"/>
        <v>0</v>
      </c>
      <c r="AN116" s="1044" t="str">
        <f t="shared" si="108"/>
        <v/>
      </c>
      <c r="AO116" s="1044" t="str">
        <f t="shared" si="109"/>
        <v/>
      </c>
      <c r="AP116" s="1044">
        <f t="shared" si="110"/>
        <v>0</v>
      </c>
      <c r="AQ116" s="1044">
        <f t="shared" si="111"/>
        <v>0</v>
      </c>
      <c r="AR116" s="1044" t="str">
        <f t="shared" si="112"/>
        <v/>
      </c>
      <c r="AS116" s="1044">
        <f t="shared" si="113"/>
        <v>0</v>
      </c>
      <c r="AT116" s="1044" t="str">
        <f t="shared" si="114"/>
        <v/>
      </c>
      <c r="AU116" s="1044">
        <f t="shared" si="115"/>
        <v>0</v>
      </c>
      <c r="AV116" s="1044" t="str">
        <f t="shared" si="116"/>
        <v/>
      </c>
      <c r="AW116" s="1044">
        <f t="shared" si="117"/>
        <v>0</v>
      </c>
      <c r="AX116" s="1044" t="str">
        <f t="shared" si="118"/>
        <v/>
      </c>
      <c r="AY116" s="1044">
        <f t="shared" si="119"/>
        <v>0</v>
      </c>
      <c r="AZ116" s="1044" t="str">
        <f t="shared" si="120"/>
        <v/>
      </c>
      <c r="BA116" s="1044">
        <f t="shared" si="121"/>
        <v>0</v>
      </c>
      <c r="BB116" s="1044" t="str">
        <f t="shared" si="122"/>
        <v/>
      </c>
      <c r="BC116" s="1044">
        <f t="shared" si="123"/>
        <v>0</v>
      </c>
      <c r="BD116" s="1044">
        <f t="shared" si="124"/>
        <v>0</v>
      </c>
      <c r="BE116" s="1044" t="str">
        <f t="shared" si="125"/>
        <v/>
      </c>
      <c r="BF116" s="1044" t="str">
        <f t="shared" si="126"/>
        <v/>
      </c>
      <c r="BG116" s="1044" t="str">
        <f t="shared" si="127"/>
        <v/>
      </c>
      <c r="BH116" s="1044" t="str">
        <f t="shared" si="128"/>
        <v/>
      </c>
      <c r="BI116" s="1044" t="str">
        <f t="shared" si="129"/>
        <v/>
      </c>
      <c r="BJ116" s="1044" t="str">
        <f t="shared" si="130"/>
        <v/>
      </c>
      <c r="BK116" s="1044" t="str">
        <f t="shared" si="131"/>
        <v/>
      </c>
      <c r="BL116" s="1044" t="str">
        <f t="shared" si="132"/>
        <v/>
      </c>
      <c r="BM116" s="1044" t="str">
        <f t="shared" si="133"/>
        <v/>
      </c>
      <c r="BN116" s="1044" t="str">
        <f t="shared" si="134"/>
        <v/>
      </c>
      <c r="BO116" s="1044" t="str">
        <f t="shared" si="135"/>
        <v/>
      </c>
      <c r="BP116" s="1044" t="str">
        <f t="shared" si="136"/>
        <v/>
      </c>
      <c r="BQ116" s="1044" t="str">
        <f t="shared" si="137"/>
        <v/>
      </c>
      <c r="BR116" s="1044" t="str">
        <f t="shared" si="138"/>
        <v/>
      </c>
      <c r="BS116" s="1044" t="str">
        <f t="shared" si="139"/>
        <v/>
      </c>
      <c r="BT116" s="1044" t="str">
        <f t="shared" si="140"/>
        <v/>
      </c>
      <c r="BU116" s="1044" t="str">
        <f t="shared" si="141"/>
        <v/>
      </c>
    </row>
    <row r="117" spans="1:73" ht="30" customHeight="1">
      <c r="A117" s="1069" t="str">
        <f t="shared" si="71"/>
        <v/>
      </c>
      <c r="B117" s="1063"/>
      <c r="C117" s="1064" t="s">
        <v>254</v>
      </c>
      <c r="D117" s="1070" t="str">
        <f t="shared" si="72"/>
        <v/>
      </c>
      <c r="E117" s="1071" t="str">
        <f t="shared" si="73"/>
        <v/>
      </c>
      <c r="F117" s="1067" t="str">
        <f t="shared" si="74"/>
        <v/>
      </c>
      <c r="G117" s="1068" t="str">
        <f t="shared" si="75"/>
        <v/>
      </c>
      <c r="H117" s="1069" t="str">
        <f t="shared" si="76"/>
        <v/>
      </c>
      <c r="I117" s="1069" t="str">
        <f t="shared" si="77"/>
        <v/>
      </c>
      <c r="J117" s="1067" t="str">
        <f t="shared" si="78"/>
        <v/>
      </c>
      <c r="K117" s="1044" t="str">
        <f t="shared" si="79"/>
        <v/>
      </c>
      <c r="L117" s="1044" t="str">
        <f t="shared" si="80"/>
        <v/>
      </c>
      <c r="M117" s="1044" t="str">
        <f t="shared" si="81"/>
        <v/>
      </c>
      <c r="N117" s="1044" t="str">
        <f t="shared" si="82"/>
        <v/>
      </c>
      <c r="O117" s="1044" t="str">
        <f t="shared" si="83"/>
        <v/>
      </c>
      <c r="P117" s="1044" t="str">
        <f t="shared" si="84"/>
        <v/>
      </c>
      <c r="Q117" s="1044">
        <f t="shared" si="85"/>
        <v>0</v>
      </c>
      <c r="R117" s="1044">
        <f t="shared" si="86"/>
        <v>0</v>
      </c>
      <c r="S117" s="1044">
        <f t="shared" si="87"/>
        <v>0</v>
      </c>
      <c r="T117" s="1044">
        <f t="shared" si="88"/>
        <v>0</v>
      </c>
      <c r="U117" s="1044" t="str">
        <f t="shared" si="89"/>
        <v/>
      </c>
      <c r="V117" s="1044" t="str">
        <f t="shared" si="90"/>
        <v/>
      </c>
      <c r="W117" s="1044">
        <f t="shared" si="91"/>
        <v>0</v>
      </c>
      <c r="X117" s="1044" t="str">
        <f t="shared" si="92"/>
        <v/>
      </c>
      <c r="Y117" s="1044">
        <f t="shared" si="93"/>
        <v>0</v>
      </c>
      <c r="Z117" s="1044" t="str">
        <f t="shared" si="94"/>
        <v/>
      </c>
      <c r="AA117" s="1044">
        <f t="shared" si="95"/>
        <v>0</v>
      </c>
      <c r="AB117" s="1044">
        <f t="shared" si="96"/>
        <v>0</v>
      </c>
      <c r="AC117" s="1044">
        <f t="shared" si="97"/>
        <v>0</v>
      </c>
      <c r="AD117" s="1044" t="str">
        <f t="shared" si="98"/>
        <v/>
      </c>
      <c r="AE117" s="1044">
        <f t="shared" si="99"/>
        <v>0</v>
      </c>
      <c r="AF117" s="1044" t="str">
        <f t="shared" si="100"/>
        <v/>
      </c>
      <c r="AG117" s="1044">
        <f t="shared" si="101"/>
        <v>0</v>
      </c>
      <c r="AH117" s="1044">
        <f t="shared" si="102"/>
        <v>0</v>
      </c>
      <c r="AI117" s="1044" t="str">
        <f t="shared" si="103"/>
        <v/>
      </c>
      <c r="AJ117" s="1044">
        <f t="shared" si="104"/>
        <v>0</v>
      </c>
      <c r="AK117" s="1044">
        <f t="shared" si="105"/>
        <v>0</v>
      </c>
      <c r="AL117" s="1044">
        <f t="shared" si="106"/>
        <v>0</v>
      </c>
      <c r="AM117" s="1044">
        <f t="shared" si="107"/>
        <v>0</v>
      </c>
      <c r="AN117" s="1044" t="str">
        <f t="shared" si="108"/>
        <v/>
      </c>
      <c r="AO117" s="1044" t="str">
        <f t="shared" si="109"/>
        <v/>
      </c>
      <c r="AP117" s="1044">
        <f t="shared" si="110"/>
        <v>0</v>
      </c>
      <c r="AQ117" s="1044">
        <f t="shared" si="111"/>
        <v>0</v>
      </c>
      <c r="AR117" s="1044" t="str">
        <f t="shared" si="112"/>
        <v/>
      </c>
      <c r="AS117" s="1044">
        <f t="shared" si="113"/>
        <v>0</v>
      </c>
      <c r="AT117" s="1044" t="str">
        <f t="shared" si="114"/>
        <v/>
      </c>
      <c r="AU117" s="1044">
        <f t="shared" si="115"/>
        <v>0</v>
      </c>
      <c r="AV117" s="1044" t="str">
        <f t="shared" si="116"/>
        <v/>
      </c>
      <c r="AW117" s="1044">
        <f t="shared" si="117"/>
        <v>0</v>
      </c>
      <c r="AX117" s="1044" t="str">
        <f t="shared" si="118"/>
        <v/>
      </c>
      <c r="AY117" s="1044">
        <f t="shared" si="119"/>
        <v>0</v>
      </c>
      <c r="AZ117" s="1044" t="str">
        <f t="shared" si="120"/>
        <v/>
      </c>
      <c r="BA117" s="1044">
        <f t="shared" si="121"/>
        <v>0</v>
      </c>
      <c r="BB117" s="1044" t="str">
        <f t="shared" si="122"/>
        <v/>
      </c>
      <c r="BC117" s="1044">
        <f t="shared" si="123"/>
        <v>0</v>
      </c>
      <c r="BD117" s="1044">
        <f t="shared" si="124"/>
        <v>0</v>
      </c>
      <c r="BE117" s="1044" t="str">
        <f t="shared" si="125"/>
        <v/>
      </c>
      <c r="BF117" s="1044" t="str">
        <f t="shared" si="126"/>
        <v/>
      </c>
      <c r="BG117" s="1044" t="str">
        <f t="shared" si="127"/>
        <v/>
      </c>
      <c r="BH117" s="1044" t="str">
        <f t="shared" si="128"/>
        <v/>
      </c>
      <c r="BI117" s="1044" t="str">
        <f t="shared" si="129"/>
        <v/>
      </c>
      <c r="BJ117" s="1044" t="str">
        <f t="shared" si="130"/>
        <v/>
      </c>
      <c r="BK117" s="1044" t="str">
        <f t="shared" si="131"/>
        <v/>
      </c>
      <c r="BL117" s="1044" t="str">
        <f t="shared" si="132"/>
        <v/>
      </c>
      <c r="BM117" s="1044" t="str">
        <f t="shared" si="133"/>
        <v/>
      </c>
      <c r="BN117" s="1044" t="str">
        <f t="shared" si="134"/>
        <v/>
      </c>
      <c r="BO117" s="1044" t="str">
        <f t="shared" si="135"/>
        <v/>
      </c>
      <c r="BP117" s="1044" t="str">
        <f t="shared" si="136"/>
        <v/>
      </c>
      <c r="BQ117" s="1044" t="str">
        <f t="shared" si="137"/>
        <v/>
      </c>
      <c r="BR117" s="1044" t="str">
        <f t="shared" si="138"/>
        <v/>
      </c>
      <c r="BS117" s="1044" t="str">
        <f t="shared" si="139"/>
        <v/>
      </c>
      <c r="BT117" s="1044" t="str">
        <f t="shared" si="140"/>
        <v/>
      </c>
      <c r="BU117" s="1044" t="str">
        <f t="shared" si="141"/>
        <v/>
      </c>
    </row>
    <row r="118" spans="1:73" ht="30" customHeight="1">
      <c r="A118" s="1069" t="str">
        <f t="shared" si="71"/>
        <v/>
      </c>
      <c r="B118" s="1063"/>
      <c r="C118" s="1064" t="s">
        <v>254</v>
      </c>
      <c r="D118" s="1070" t="str">
        <f t="shared" si="72"/>
        <v/>
      </c>
      <c r="E118" s="1071" t="str">
        <f t="shared" si="73"/>
        <v/>
      </c>
      <c r="F118" s="1067" t="str">
        <f t="shared" si="74"/>
        <v/>
      </c>
      <c r="G118" s="1068" t="str">
        <f t="shared" si="75"/>
        <v/>
      </c>
      <c r="H118" s="1069" t="str">
        <f t="shared" si="76"/>
        <v/>
      </c>
      <c r="I118" s="1069" t="str">
        <f t="shared" si="77"/>
        <v/>
      </c>
      <c r="J118" s="1067" t="str">
        <f t="shared" si="78"/>
        <v/>
      </c>
      <c r="K118" s="1044" t="str">
        <f t="shared" si="79"/>
        <v/>
      </c>
      <c r="L118" s="1044" t="str">
        <f t="shared" si="80"/>
        <v/>
      </c>
      <c r="M118" s="1044" t="str">
        <f t="shared" si="81"/>
        <v/>
      </c>
      <c r="N118" s="1044" t="str">
        <f t="shared" si="82"/>
        <v/>
      </c>
      <c r="O118" s="1044" t="str">
        <f t="shared" si="83"/>
        <v/>
      </c>
      <c r="P118" s="1044" t="str">
        <f t="shared" si="84"/>
        <v/>
      </c>
      <c r="Q118" s="1044">
        <f t="shared" si="85"/>
        <v>0</v>
      </c>
      <c r="R118" s="1044">
        <f t="shared" si="86"/>
        <v>0</v>
      </c>
      <c r="S118" s="1044">
        <f t="shared" si="87"/>
        <v>0</v>
      </c>
      <c r="T118" s="1044">
        <f t="shared" si="88"/>
        <v>0</v>
      </c>
      <c r="U118" s="1044" t="str">
        <f t="shared" si="89"/>
        <v/>
      </c>
      <c r="V118" s="1044" t="str">
        <f t="shared" si="90"/>
        <v/>
      </c>
      <c r="W118" s="1044">
        <f t="shared" si="91"/>
        <v>0</v>
      </c>
      <c r="X118" s="1044" t="str">
        <f t="shared" si="92"/>
        <v/>
      </c>
      <c r="Y118" s="1044">
        <f t="shared" si="93"/>
        <v>0</v>
      </c>
      <c r="Z118" s="1044" t="str">
        <f t="shared" si="94"/>
        <v/>
      </c>
      <c r="AA118" s="1044">
        <f t="shared" si="95"/>
        <v>0</v>
      </c>
      <c r="AB118" s="1044">
        <f t="shared" si="96"/>
        <v>0</v>
      </c>
      <c r="AC118" s="1044">
        <f t="shared" si="97"/>
        <v>0</v>
      </c>
      <c r="AD118" s="1044" t="str">
        <f t="shared" si="98"/>
        <v/>
      </c>
      <c r="AE118" s="1044">
        <f t="shared" si="99"/>
        <v>0</v>
      </c>
      <c r="AF118" s="1044" t="str">
        <f t="shared" si="100"/>
        <v/>
      </c>
      <c r="AG118" s="1044">
        <f t="shared" si="101"/>
        <v>0</v>
      </c>
      <c r="AH118" s="1044">
        <f t="shared" si="102"/>
        <v>0</v>
      </c>
      <c r="AI118" s="1044" t="str">
        <f t="shared" si="103"/>
        <v/>
      </c>
      <c r="AJ118" s="1044">
        <f t="shared" si="104"/>
        <v>0</v>
      </c>
      <c r="AK118" s="1044">
        <f t="shared" si="105"/>
        <v>0</v>
      </c>
      <c r="AL118" s="1044">
        <f t="shared" si="106"/>
        <v>0</v>
      </c>
      <c r="AM118" s="1044">
        <f t="shared" si="107"/>
        <v>0</v>
      </c>
      <c r="AN118" s="1044" t="str">
        <f t="shared" si="108"/>
        <v/>
      </c>
      <c r="AO118" s="1044" t="str">
        <f t="shared" si="109"/>
        <v/>
      </c>
      <c r="AP118" s="1044">
        <f t="shared" si="110"/>
        <v>0</v>
      </c>
      <c r="AQ118" s="1044">
        <f t="shared" si="111"/>
        <v>0</v>
      </c>
      <c r="AR118" s="1044" t="str">
        <f t="shared" si="112"/>
        <v/>
      </c>
      <c r="AS118" s="1044">
        <f t="shared" si="113"/>
        <v>0</v>
      </c>
      <c r="AT118" s="1044" t="str">
        <f t="shared" si="114"/>
        <v/>
      </c>
      <c r="AU118" s="1044">
        <f t="shared" si="115"/>
        <v>0</v>
      </c>
      <c r="AV118" s="1044" t="str">
        <f t="shared" si="116"/>
        <v/>
      </c>
      <c r="AW118" s="1044">
        <f t="shared" si="117"/>
        <v>0</v>
      </c>
      <c r="AX118" s="1044" t="str">
        <f t="shared" si="118"/>
        <v/>
      </c>
      <c r="AY118" s="1044">
        <f t="shared" si="119"/>
        <v>0</v>
      </c>
      <c r="AZ118" s="1044" t="str">
        <f t="shared" si="120"/>
        <v/>
      </c>
      <c r="BA118" s="1044">
        <f t="shared" si="121"/>
        <v>0</v>
      </c>
      <c r="BB118" s="1044" t="str">
        <f t="shared" si="122"/>
        <v/>
      </c>
      <c r="BC118" s="1044">
        <f t="shared" si="123"/>
        <v>0</v>
      </c>
      <c r="BD118" s="1044">
        <f t="shared" si="124"/>
        <v>0</v>
      </c>
      <c r="BE118" s="1044" t="str">
        <f t="shared" si="125"/>
        <v/>
      </c>
      <c r="BF118" s="1044" t="str">
        <f t="shared" si="126"/>
        <v/>
      </c>
      <c r="BG118" s="1044" t="str">
        <f t="shared" si="127"/>
        <v/>
      </c>
      <c r="BH118" s="1044" t="str">
        <f t="shared" si="128"/>
        <v/>
      </c>
      <c r="BI118" s="1044" t="str">
        <f t="shared" si="129"/>
        <v/>
      </c>
      <c r="BJ118" s="1044" t="str">
        <f t="shared" si="130"/>
        <v/>
      </c>
      <c r="BK118" s="1044" t="str">
        <f t="shared" si="131"/>
        <v/>
      </c>
      <c r="BL118" s="1044" t="str">
        <f t="shared" si="132"/>
        <v/>
      </c>
      <c r="BM118" s="1044" t="str">
        <f t="shared" si="133"/>
        <v/>
      </c>
      <c r="BN118" s="1044" t="str">
        <f t="shared" si="134"/>
        <v/>
      </c>
      <c r="BO118" s="1044" t="str">
        <f t="shared" si="135"/>
        <v/>
      </c>
      <c r="BP118" s="1044" t="str">
        <f t="shared" si="136"/>
        <v/>
      </c>
      <c r="BQ118" s="1044" t="str">
        <f t="shared" si="137"/>
        <v/>
      </c>
      <c r="BR118" s="1044" t="str">
        <f t="shared" si="138"/>
        <v/>
      </c>
      <c r="BS118" s="1044" t="str">
        <f t="shared" si="139"/>
        <v/>
      </c>
      <c r="BT118" s="1044" t="str">
        <f t="shared" si="140"/>
        <v/>
      </c>
      <c r="BU118" s="1044" t="str">
        <f t="shared" si="141"/>
        <v/>
      </c>
    </row>
    <row r="119" spans="1:73" ht="30" customHeight="1">
      <c r="A119" s="1069" t="str">
        <f t="shared" si="71"/>
        <v/>
      </c>
      <c r="B119" s="1063"/>
      <c r="C119" s="1064" t="s">
        <v>254</v>
      </c>
      <c r="D119" s="1070" t="str">
        <f t="shared" si="72"/>
        <v/>
      </c>
      <c r="E119" s="1071" t="str">
        <f t="shared" si="73"/>
        <v/>
      </c>
      <c r="F119" s="1067" t="str">
        <f t="shared" si="74"/>
        <v/>
      </c>
      <c r="G119" s="1068" t="str">
        <f t="shared" si="75"/>
        <v/>
      </c>
      <c r="H119" s="1069" t="str">
        <f t="shared" si="76"/>
        <v/>
      </c>
      <c r="I119" s="1069" t="str">
        <f t="shared" si="77"/>
        <v/>
      </c>
      <c r="J119" s="1067" t="str">
        <f t="shared" si="78"/>
        <v/>
      </c>
      <c r="K119" s="1044" t="str">
        <f t="shared" si="79"/>
        <v/>
      </c>
      <c r="L119" s="1044" t="str">
        <f t="shared" si="80"/>
        <v/>
      </c>
      <c r="M119" s="1044" t="str">
        <f t="shared" si="81"/>
        <v/>
      </c>
      <c r="N119" s="1044" t="str">
        <f t="shared" si="82"/>
        <v/>
      </c>
      <c r="O119" s="1044" t="str">
        <f t="shared" si="83"/>
        <v/>
      </c>
      <c r="P119" s="1044" t="str">
        <f t="shared" si="84"/>
        <v/>
      </c>
      <c r="Q119" s="1044">
        <f t="shared" si="85"/>
        <v>0</v>
      </c>
      <c r="R119" s="1044">
        <f t="shared" si="86"/>
        <v>0</v>
      </c>
      <c r="S119" s="1044">
        <f t="shared" si="87"/>
        <v>0</v>
      </c>
      <c r="T119" s="1044">
        <f t="shared" si="88"/>
        <v>0</v>
      </c>
      <c r="U119" s="1044" t="str">
        <f t="shared" si="89"/>
        <v/>
      </c>
      <c r="V119" s="1044" t="str">
        <f t="shared" si="90"/>
        <v/>
      </c>
      <c r="W119" s="1044">
        <f t="shared" si="91"/>
        <v>0</v>
      </c>
      <c r="X119" s="1044" t="str">
        <f t="shared" si="92"/>
        <v/>
      </c>
      <c r="Y119" s="1044">
        <f t="shared" si="93"/>
        <v>0</v>
      </c>
      <c r="Z119" s="1044" t="str">
        <f t="shared" si="94"/>
        <v/>
      </c>
      <c r="AA119" s="1044">
        <f t="shared" si="95"/>
        <v>0</v>
      </c>
      <c r="AB119" s="1044">
        <f t="shared" si="96"/>
        <v>0</v>
      </c>
      <c r="AC119" s="1044">
        <f t="shared" si="97"/>
        <v>0</v>
      </c>
      <c r="AD119" s="1044" t="str">
        <f t="shared" si="98"/>
        <v/>
      </c>
      <c r="AE119" s="1044">
        <f t="shared" si="99"/>
        <v>0</v>
      </c>
      <c r="AF119" s="1044" t="str">
        <f t="shared" si="100"/>
        <v/>
      </c>
      <c r="AG119" s="1044">
        <f t="shared" si="101"/>
        <v>0</v>
      </c>
      <c r="AH119" s="1044">
        <f t="shared" si="102"/>
        <v>0</v>
      </c>
      <c r="AI119" s="1044" t="str">
        <f t="shared" si="103"/>
        <v/>
      </c>
      <c r="AJ119" s="1044">
        <f t="shared" si="104"/>
        <v>0</v>
      </c>
      <c r="AK119" s="1044">
        <f t="shared" si="105"/>
        <v>0</v>
      </c>
      <c r="AL119" s="1044">
        <f t="shared" si="106"/>
        <v>0</v>
      </c>
      <c r="AM119" s="1044">
        <f t="shared" si="107"/>
        <v>0</v>
      </c>
      <c r="AN119" s="1044" t="str">
        <f t="shared" si="108"/>
        <v/>
      </c>
      <c r="AO119" s="1044" t="str">
        <f t="shared" si="109"/>
        <v/>
      </c>
      <c r="AP119" s="1044">
        <f t="shared" si="110"/>
        <v>0</v>
      </c>
      <c r="AQ119" s="1044">
        <f t="shared" si="111"/>
        <v>0</v>
      </c>
      <c r="AR119" s="1044" t="str">
        <f t="shared" si="112"/>
        <v/>
      </c>
      <c r="AS119" s="1044">
        <f t="shared" si="113"/>
        <v>0</v>
      </c>
      <c r="AT119" s="1044" t="str">
        <f t="shared" si="114"/>
        <v/>
      </c>
      <c r="AU119" s="1044">
        <f t="shared" si="115"/>
        <v>0</v>
      </c>
      <c r="AV119" s="1044" t="str">
        <f t="shared" si="116"/>
        <v/>
      </c>
      <c r="AW119" s="1044">
        <f t="shared" si="117"/>
        <v>0</v>
      </c>
      <c r="AX119" s="1044" t="str">
        <f t="shared" si="118"/>
        <v/>
      </c>
      <c r="AY119" s="1044">
        <f t="shared" si="119"/>
        <v>0</v>
      </c>
      <c r="AZ119" s="1044" t="str">
        <f t="shared" si="120"/>
        <v/>
      </c>
      <c r="BA119" s="1044">
        <f t="shared" si="121"/>
        <v>0</v>
      </c>
      <c r="BB119" s="1044" t="str">
        <f t="shared" si="122"/>
        <v/>
      </c>
      <c r="BC119" s="1044">
        <f t="shared" si="123"/>
        <v>0</v>
      </c>
      <c r="BD119" s="1044">
        <f t="shared" si="124"/>
        <v>0</v>
      </c>
      <c r="BE119" s="1044" t="str">
        <f t="shared" si="125"/>
        <v/>
      </c>
      <c r="BF119" s="1044" t="str">
        <f t="shared" si="126"/>
        <v/>
      </c>
      <c r="BG119" s="1044" t="str">
        <f t="shared" si="127"/>
        <v/>
      </c>
      <c r="BH119" s="1044" t="str">
        <f t="shared" si="128"/>
        <v/>
      </c>
      <c r="BI119" s="1044" t="str">
        <f t="shared" si="129"/>
        <v/>
      </c>
      <c r="BJ119" s="1044" t="str">
        <f t="shared" si="130"/>
        <v/>
      </c>
      <c r="BK119" s="1044" t="str">
        <f t="shared" si="131"/>
        <v/>
      </c>
      <c r="BL119" s="1044" t="str">
        <f t="shared" si="132"/>
        <v/>
      </c>
      <c r="BM119" s="1044" t="str">
        <f t="shared" si="133"/>
        <v/>
      </c>
      <c r="BN119" s="1044" t="str">
        <f t="shared" si="134"/>
        <v/>
      </c>
      <c r="BO119" s="1044" t="str">
        <f t="shared" si="135"/>
        <v/>
      </c>
      <c r="BP119" s="1044" t="str">
        <f t="shared" si="136"/>
        <v/>
      </c>
      <c r="BQ119" s="1044" t="str">
        <f t="shared" si="137"/>
        <v/>
      </c>
      <c r="BR119" s="1044" t="str">
        <f t="shared" si="138"/>
        <v/>
      </c>
      <c r="BS119" s="1044" t="str">
        <f t="shared" si="139"/>
        <v/>
      </c>
      <c r="BT119" s="1044" t="str">
        <f t="shared" si="140"/>
        <v/>
      </c>
      <c r="BU119" s="1044" t="str">
        <f t="shared" si="141"/>
        <v/>
      </c>
    </row>
    <row r="120" spans="1:73" ht="30" customHeight="1">
      <c r="A120" s="1069" t="str">
        <f t="shared" si="71"/>
        <v/>
      </c>
      <c r="B120" s="1063"/>
      <c r="C120" s="1064" t="s">
        <v>254</v>
      </c>
      <c r="D120" s="1070" t="str">
        <f t="shared" si="72"/>
        <v/>
      </c>
      <c r="E120" s="1071" t="str">
        <f t="shared" si="73"/>
        <v/>
      </c>
      <c r="F120" s="1067" t="str">
        <f t="shared" si="74"/>
        <v/>
      </c>
      <c r="G120" s="1068" t="str">
        <f t="shared" si="75"/>
        <v/>
      </c>
      <c r="H120" s="1069" t="str">
        <f t="shared" si="76"/>
        <v/>
      </c>
      <c r="I120" s="1069" t="str">
        <f t="shared" si="77"/>
        <v/>
      </c>
      <c r="J120" s="1067" t="str">
        <f t="shared" si="78"/>
        <v/>
      </c>
      <c r="K120" s="1044" t="str">
        <f t="shared" si="79"/>
        <v/>
      </c>
      <c r="L120" s="1044" t="str">
        <f t="shared" si="80"/>
        <v/>
      </c>
      <c r="M120" s="1044" t="str">
        <f t="shared" si="81"/>
        <v/>
      </c>
      <c r="N120" s="1044" t="str">
        <f t="shared" si="82"/>
        <v/>
      </c>
      <c r="O120" s="1044" t="str">
        <f t="shared" si="83"/>
        <v/>
      </c>
      <c r="P120" s="1044" t="str">
        <f t="shared" si="84"/>
        <v/>
      </c>
      <c r="Q120" s="1044">
        <f t="shared" si="85"/>
        <v>0</v>
      </c>
      <c r="R120" s="1044">
        <f t="shared" si="86"/>
        <v>0</v>
      </c>
      <c r="S120" s="1044">
        <f t="shared" si="87"/>
        <v>0</v>
      </c>
      <c r="T120" s="1044">
        <f t="shared" si="88"/>
        <v>0</v>
      </c>
      <c r="U120" s="1044" t="str">
        <f t="shared" si="89"/>
        <v/>
      </c>
      <c r="V120" s="1044" t="str">
        <f t="shared" si="90"/>
        <v/>
      </c>
      <c r="W120" s="1044">
        <f t="shared" si="91"/>
        <v>0</v>
      </c>
      <c r="X120" s="1044" t="str">
        <f t="shared" si="92"/>
        <v/>
      </c>
      <c r="Y120" s="1044">
        <f t="shared" si="93"/>
        <v>0</v>
      </c>
      <c r="Z120" s="1044" t="str">
        <f t="shared" si="94"/>
        <v/>
      </c>
      <c r="AA120" s="1044">
        <f t="shared" si="95"/>
        <v>0</v>
      </c>
      <c r="AB120" s="1044">
        <f t="shared" si="96"/>
        <v>0</v>
      </c>
      <c r="AC120" s="1044">
        <f t="shared" si="97"/>
        <v>0</v>
      </c>
      <c r="AD120" s="1044" t="str">
        <f t="shared" si="98"/>
        <v/>
      </c>
      <c r="AE120" s="1044">
        <f t="shared" si="99"/>
        <v>0</v>
      </c>
      <c r="AF120" s="1044" t="str">
        <f t="shared" si="100"/>
        <v/>
      </c>
      <c r="AG120" s="1044">
        <f t="shared" si="101"/>
        <v>0</v>
      </c>
      <c r="AH120" s="1044">
        <f t="shared" si="102"/>
        <v>0</v>
      </c>
      <c r="AI120" s="1044" t="str">
        <f t="shared" si="103"/>
        <v/>
      </c>
      <c r="AJ120" s="1044">
        <f t="shared" si="104"/>
        <v>0</v>
      </c>
      <c r="AK120" s="1044">
        <f t="shared" si="105"/>
        <v>0</v>
      </c>
      <c r="AL120" s="1044">
        <f t="shared" si="106"/>
        <v>0</v>
      </c>
      <c r="AM120" s="1044">
        <f t="shared" si="107"/>
        <v>0</v>
      </c>
      <c r="AN120" s="1044" t="str">
        <f t="shared" si="108"/>
        <v/>
      </c>
      <c r="AO120" s="1044" t="str">
        <f t="shared" si="109"/>
        <v/>
      </c>
      <c r="AP120" s="1044">
        <f t="shared" si="110"/>
        <v>0</v>
      </c>
      <c r="AQ120" s="1044">
        <f t="shared" si="111"/>
        <v>0</v>
      </c>
      <c r="AR120" s="1044" t="str">
        <f t="shared" si="112"/>
        <v/>
      </c>
      <c r="AS120" s="1044">
        <f t="shared" si="113"/>
        <v>0</v>
      </c>
      <c r="AT120" s="1044" t="str">
        <f t="shared" si="114"/>
        <v/>
      </c>
      <c r="AU120" s="1044">
        <f t="shared" si="115"/>
        <v>0</v>
      </c>
      <c r="AV120" s="1044" t="str">
        <f t="shared" si="116"/>
        <v/>
      </c>
      <c r="AW120" s="1044">
        <f t="shared" si="117"/>
        <v>0</v>
      </c>
      <c r="AX120" s="1044" t="str">
        <f t="shared" si="118"/>
        <v/>
      </c>
      <c r="AY120" s="1044">
        <f t="shared" si="119"/>
        <v>0</v>
      </c>
      <c r="AZ120" s="1044" t="str">
        <f t="shared" si="120"/>
        <v/>
      </c>
      <c r="BA120" s="1044">
        <f t="shared" si="121"/>
        <v>0</v>
      </c>
      <c r="BB120" s="1044" t="str">
        <f t="shared" si="122"/>
        <v/>
      </c>
      <c r="BC120" s="1044">
        <f t="shared" si="123"/>
        <v>0</v>
      </c>
      <c r="BD120" s="1044">
        <f t="shared" si="124"/>
        <v>0</v>
      </c>
      <c r="BE120" s="1044" t="str">
        <f t="shared" si="125"/>
        <v/>
      </c>
      <c r="BF120" s="1044" t="str">
        <f t="shared" si="126"/>
        <v/>
      </c>
      <c r="BG120" s="1044" t="str">
        <f t="shared" si="127"/>
        <v/>
      </c>
      <c r="BH120" s="1044" t="str">
        <f t="shared" si="128"/>
        <v/>
      </c>
      <c r="BI120" s="1044" t="str">
        <f t="shared" si="129"/>
        <v/>
      </c>
      <c r="BJ120" s="1044" t="str">
        <f t="shared" si="130"/>
        <v/>
      </c>
      <c r="BK120" s="1044" t="str">
        <f t="shared" si="131"/>
        <v/>
      </c>
      <c r="BL120" s="1044" t="str">
        <f t="shared" si="132"/>
        <v/>
      </c>
      <c r="BM120" s="1044" t="str">
        <f t="shared" si="133"/>
        <v/>
      </c>
      <c r="BN120" s="1044" t="str">
        <f t="shared" si="134"/>
        <v/>
      </c>
      <c r="BO120" s="1044" t="str">
        <f t="shared" si="135"/>
        <v/>
      </c>
      <c r="BP120" s="1044" t="str">
        <f t="shared" si="136"/>
        <v/>
      </c>
      <c r="BQ120" s="1044" t="str">
        <f t="shared" si="137"/>
        <v/>
      </c>
      <c r="BR120" s="1044" t="str">
        <f t="shared" si="138"/>
        <v/>
      </c>
      <c r="BS120" s="1044" t="str">
        <f t="shared" si="139"/>
        <v/>
      </c>
      <c r="BT120" s="1044" t="str">
        <f t="shared" si="140"/>
        <v/>
      </c>
      <c r="BU120" s="1044" t="str">
        <f t="shared" si="141"/>
        <v/>
      </c>
    </row>
    <row r="121" spans="1:73" ht="30" customHeight="1">
      <c r="A121" s="1069" t="str">
        <f t="shared" si="71"/>
        <v/>
      </c>
      <c r="B121" s="1063"/>
      <c r="C121" s="1064" t="s">
        <v>254</v>
      </c>
      <c r="D121" s="1070" t="str">
        <f t="shared" si="72"/>
        <v/>
      </c>
      <c r="E121" s="1071" t="str">
        <f t="shared" si="73"/>
        <v/>
      </c>
      <c r="F121" s="1067" t="str">
        <f t="shared" si="74"/>
        <v/>
      </c>
      <c r="G121" s="1068" t="str">
        <f t="shared" si="75"/>
        <v/>
      </c>
      <c r="H121" s="1069" t="str">
        <f t="shared" si="76"/>
        <v/>
      </c>
      <c r="I121" s="1069" t="str">
        <f t="shared" si="77"/>
        <v/>
      </c>
      <c r="J121" s="1067" t="str">
        <f t="shared" si="78"/>
        <v/>
      </c>
      <c r="K121" s="1044" t="str">
        <f t="shared" si="79"/>
        <v/>
      </c>
      <c r="L121" s="1044" t="str">
        <f t="shared" si="80"/>
        <v/>
      </c>
      <c r="M121" s="1044" t="str">
        <f t="shared" si="81"/>
        <v/>
      </c>
      <c r="N121" s="1044" t="str">
        <f t="shared" si="82"/>
        <v/>
      </c>
      <c r="O121" s="1044" t="str">
        <f t="shared" si="83"/>
        <v/>
      </c>
      <c r="P121" s="1044" t="str">
        <f t="shared" si="84"/>
        <v/>
      </c>
      <c r="Q121" s="1044">
        <f t="shared" si="85"/>
        <v>0</v>
      </c>
      <c r="R121" s="1044">
        <f t="shared" si="86"/>
        <v>0</v>
      </c>
      <c r="S121" s="1044">
        <f t="shared" si="87"/>
        <v>0</v>
      </c>
      <c r="T121" s="1044">
        <f t="shared" si="88"/>
        <v>0</v>
      </c>
      <c r="U121" s="1044" t="str">
        <f t="shared" si="89"/>
        <v/>
      </c>
      <c r="V121" s="1044" t="str">
        <f t="shared" si="90"/>
        <v/>
      </c>
      <c r="W121" s="1044">
        <f t="shared" si="91"/>
        <v>0</v>
      </c>
      <c r="X121" s="1044" t="str">
        <f t="shared" si="92"/>
        <v/>
      </c>
      <c r="Y121" s="1044">
        <f t="shared" si="93"/>
        <v>0</v>
      </c>
      <c r="Z121" s="1044" t="str">
        <f t="shared" si="94"/>
        <v/>
      </c>
      <c r="AA121" s="1044">
        <f t="shared" si="95"/>
        <v>0</v>
      </c>
      <c r="AB121" s="1044">
        <f t="shared" si="96"/>
        <v>0</v>
      </c>
      <c r="AC121" s="1044">
        <f t="shared" si="97"/>
        <v>0</v>
      </c>
      <c r="AD121" s="1044" t="str">
        <f t="shared" si="98"/>
        <v/>
      </c>
      <c r="AE121" s="1044">
        <f t="shared" si="99"/>
        <v>0</v>
      </c>
      <c r="AF121" s="1044" t="str">
        <f t="shared" si="100"/>
        <v/>
      </c>
      <c r="AG121" s="1044">
        <f t="shared" si="101"/>
        <v>0</v>
      </c>
      <c r="AH121" s="1044">
        <f t="shared" si="102"/>
        <v>0</v>
      </c>
      <c r="AI121" s="1044" t="str">
        <f t="shared" si="103"/>
        <v/>
      </c>
      <c r="AJ121" s="1044">
        <f t="shared" si="104"/>
        <v>0</v>
      </c>
      <c r="AK121" s="1044">
        <f t="shared" si="105"/>
        <v>0</v>
      </c>
      <c r="AL121" s="1044">
        <f t="shared" si="106"/>
        <v>0</v>
      </c>
      <c r="AM121" s="1044">
        <f t="shared" si="107"/>
        <v>0</v>
      </c>
      <c r="AN121" s="1044" t="str">
        <f t="shared" si="108"/>
        <v/>
      </c>
      <c r="AO121" s="1044" t="str">
        <f t="shared" si="109"/>
        <v/>
      </c>
      <c r="AP121" s="1044">
        <f t="shared" si="110"/>
        <v>0</v>
      </c>
      <c r="AQ121" s="1044">
        <f t="shared" si="111"/>
        <v>0</v>
      </c>
      <c r="AR121" s="1044" t="str">
        <f t="shared" si="112"/>
        <v/>
      </c>
      <c r="AS121" s="1044">
        <f t="shared" si="113"/>
        <v>0</v>
      </c>
      <c r="AT121" s="1044" t="str">
        <f t="shared" si="114"/>
        <v/>
      </c>
      <c r="AU121" s="1044">
        <f t="shared" si="115"/>
        <v>0</v>
      </c>
      <c r="AV121" s="1044" t="str">
        <f t="shared" si="116"/>
        <v/>
      </c>
      <c r="AW121" s="1044">
        <f t="shared" si="117"/>
        <v>0</v>
      </c>
      <c r="AX121" s="1044" t="str">
        <f t="shared" si="118"/>
        <v/>
      </c>
      <c r="AY121" s="1044">
        <f t="shared" si="119"/>
        <v>0</v>
      </c>
      <c r="AZ121" s="1044" t="str">
        <f t="shared" si="120"/>
        <v/>
      </c>
      <c r="BA121" s="1044">
        <f t="shared" si="121"/>
        <v>0</v>
      </c>
      <c r="BB121" s="1044" t="str">
        <f t="shared" si="122"/>
        <v/>
      </c>
      <c r="BC121" s="1044">
        <f t="shared" si="123"/>
        <v>0</v>
      </c>
      <c r="BD121" s="1044">
        <f t="shared" si="124"/>
        <v>0</v>
      </c>
      <c r="BE121" s="1044" t="str">
        <f t="shared" si="125"/>
        <v/>
      </c>
      <c r="BF121" s="1044" t="str">
        <f t="shared" si="126"/>
        <v/>
      </c>
      <c r="BG121" s="1044" t="str">
        <f t="shared" si="127"/>
        <v/>
      </c>
      <c r="BH121" s="1044" t="str">
        <f t="shared" si="128"/>
        <v/>
      </c>
      <c r="BI121" s="1044" t="str">
        <f t="shared" si="129"/>
        <v/>
      </c>
      <c r="BJ121" s="1044" t="str">
        <f t="shared" si="130"/>
        <v/>
      </c>
      <c r="BK121" s="1044" t="str">
        <f t="shared" si="131"/>
        <v/>
      </c>
      <c r="BL121" s="1044" t="str">
        <f t="shared" si="132"/>
        <v/>
      </c>
      <c r="BM121" s="1044" t="str">
        <f t="shared" si="133"/>
        <v/>
      </c>
      <c r="BN121" s="1044" t="str">
        <f t="shared" si="134"/>
        <v/>
      </c>
      <c r="BO121" s="1044" t="str">
        <f t="shared" si="135"/>
        <v/>
      </c>
      <c r="BP121" s="1044" t="str">
        <f t="shared" si="136"/>
        <v/>
      </c>
      <c r="BQ121" s="1044" t="str">
        <f t="shared" si="137"/>
        <v/>
      </c>
      <c r="BR121" s="1044" t="str">
        <f t="shared" si="138"/>
        <v/>
      </c>
      <c r="BS121" s="1044" t="str">
        <f t="shared" si="139"/>
        <v/>
      </c>
      <c r="BT121" s="1044" t="str">
        <f t="shared" si="140"/>
        <v/>
      </c>
      <c r="BU121" s="1044" t="str">
        <f t="shared" si="141"/>
        <v/>
      </c>
    </row>
    <row r="122" spans="1:73" ht="30" customHeight="1">
      <c r="A122" s="1069" t="str">
        <f t="shared" si="71"/>
        <v/>
      </c>
      <c r="B122" s="1063"/>
      <c r="C122" s="1064" t="s">
        <v>254</v>
      </c>
      <c r="D122" s="1070" t="str">
        <f t="shared" si="72"/>
        <v/>
      </c>
      <c r="E122" s="1071" t="str">
        <f t="shared" si="73"/>
        <v/>
      </c>
      <c r="F122" s="1067" t="str">
        <f t="shared" si="74"/>
        <v/>
      </c>
      <c r="G122" s="1068" t="str">
        <f t="shared" si="75"/>
        <v/>
      </c>
      <c r="H122" s="1069" t="str">
        <f t="shared" si="76"/>
        <v/>
      </c>
      <c r="I122" s="1069" t="str">
        <f t="shared" si="77"/>
        <v/>
      </c>
      <c r="J122" s="1067" t="str">
        <f t="shared" si="78"/>
        <v/>
      </c>
      <c r="K122" s="1044" t="str">
        <f t="shared" si="79"/>
        <v/>
      </c>
      <c r="L122" s="1044" t="str">
        <f t="shared" si="80"/>
        <v/>
      </c>
      <c r="M122" s="1044" t="str">
        <f t="shared" si="81"/>
        <v/>
      </c>
      <c r="N122" s="1044" t="str">
        <f t="shared" si="82"/>
        <v/>
      </c>
      <c r="O122" s="1044" t="str">
        <f t="shared" si="83"/>
        <v/>
      </c>
      <c r="P122" s="1044" t="str">
        <f t="shared" si="84"/>
        <v/>
      </c>
      <c r="Q122" s="1044">
        <f t="shared" si="85"/>
        <v>0</v>
      </c>
      <c r="R122" s="1044">
        <f t="shared" si="86"/>
        <v>0</v>
      </c>
      <c r="S122" s="1044">
        <f t="shared" si="87"/>
        <v>0</v>
      </c>
      <c r="T122" s="1044">
        <f t="shared" si="88"/>
        <v>0</v>
      </c>
      <c r="U122" s="1044" t="str">
        <f t="shared" si="89"/>
        <v/>
      </c>
      <c r="V122" s="1044" t="str">
        <f t="shared" si="90"/>
        <v/>
      </c>
      <c r="W122" s="1044">
        <f t="shared" si="91"/>
        <v>0</v>
      </c>
      <c r="X122" s="1044" t="str">
        <f t="shared" si="92"/>
        <v/>
      </c>
      <c r="Y122" s="1044">
        <f t="shared" si="93"/>
        <v>0</v>
      </c>
      <c r="Z122" s="1044" t="str">
        <f t="shared" si="94"/>
        <v/>
      </c>
      <c r="AA122" s="1044">
        <f t="shared" si="95"/>
        <v>0</v>
      </c>
      <c r="AB122" s="1044">
        <f t="shared" si="96"/>
        <v>0</v>
      </c>
      <c r="AC122" s="1044">
        <f t="shared" si="97"/>
        <v>0</v>
      </c>
      <c r="AD122" s="1044" t="str">
        <f t="shared" si="98"/>
        <v/>
      </c>
      <c r="AE122" s="1044">
        <f t="shared" si="99"/>
        <v>0</v>
      </c>
      <c r="AF122" s="1044" t="str">
        <f t="shared" si="100"/>
        <v/>
      </c>
      <c r="AG122" s="1044">
        <f t="shared" si="101"/>
        <v>0</v>
      </c>
      <c r="AH122" s="1044">
        <f t="shared" si="102"/>
        <v>0</v>
      </c>
      <c r="AI122" s="1044" t="str">
        <f t="shared" si="103"/>
        <v/>
      </c>
      <c r="AJ122" s="1044">
        <f t="shared" si="104"/>
        <v>0</v>
      </c>
      <c r="AK122" s="1044">
        <f t="shared" si="105"/>
        <v>0</v>
      </c>
      <c r="AL122" s="1044">
        <f t="shared" si="106"/>
        <v>0</v>
      </c>
      <c r="AM122" s="1044">
        <f t="shared" si="107"/>
        <v>0</v>
      </c>
      <c r="AN122" s="1044" t="str">
        <f t="shared" si="108"/>
        <v/>
      </c>
      <c r="AO122" s="1044" t="str">
        <f t="shared" si="109"/>
        <v/>
      </c>
      <c r="AP122" s="1044">
        <f t="shared" si="110"/>
        <v>0</v>
      </c>
      <c r="AQ122" s="1044">
        <f t="shared" si="111"/>
        <v>0</v>
      </c>
      <c r="AR122" s="1044" t="str">
        <f t="shared" si="112"/>
        <v/>
      </c>
      <c r="AS122" s="1044">
        <f t="shared" si="113"/>
        <v>0</v>
      </c>
      <c r="AT122" s="1044" t="str">
        <f t="shared" si="114"/>
        <v/>
      </c>
      <c r="AU122" s="1044">
        <f t="shared" si="115"/>
        <v>0</v>
      </c>
      <c r="AV122" s="1044" t="str">
        <f t="shared" si="116"/>
        <v/>
      </c>
      <c r="AW122" s="1044">
        <f t="shared" si="117"/>
        <v>0</v>
      </c>
      <c r="AX122" s="1044" t="str">
        <f t="shared" si="118"/>
        <v/>
      </c>
      <c r="AY122" s="1044">
        <f t="shared" si="119"/>
        <v>0</v>
      </c>
      <c r="AZ122" s="1044" t="str">
        <f t="shared" si="120"/>
        <v/>
      </c>
      <c r="BA122" s="1044">
        <f t="shared" si="121"/>
        <v>0</v>
      </c>
      <c r="BB122" s="1044" t="str">
        <f t="shared" si="122"/>
        <v/>
      </c>
      <c r="BC122" s="1044">
        <f t="shared" si="123"/>
        <v>0</v>
      </c>
      <c r="BD122" s="1044">
        <f t="shared" si="124"/>
        <v>0</v>
      </c>
      <c r="BE122" s="1044" t="str">
        <f t="shared" si="125"/>
        <v/>
      </c>
      <c r="BF122" s="1044" t="str">
        <f t="shared" si="126"/>
        <v/>
      </c>
      <c r="BG122" s="1044" t="str">
        <f t="shared" si="127"/>
        <v/>
      </c>
      <c r="BH122" s="1044" t="str">
        <f t="shared" si="128"/>
        <v/>
      </c>
      <c r="BI122" s="1044" t="str">
        <f t="shared" si="129"/>
        <v/>
      </c>
      <c r="BJ122" s="1044" t="str">
        <f t="shared" si="130"/>
        <v/>
      </c>
      <c r="BK122" s="1044" t="str">
        <f t="shared" si="131"/>
        <v/>
      </c>
      <c r="BL122" s="1044" t="str">
        <f t="shared" si="132"/>
        <v/>
      </c>
      <c r="BM122" s="1044" t="str">
        <f t="shared" si="133"/>
        <v/>
      </c>
      <c r="BN122" s="1044" t="str">
        <f t="shared" si="134"/>
        <v/>
      </c>
      <c r="BO122" s="1044" t="str">
        <f t="shared" si="135"/>
        <v/>
      </c>
      <c r="BP122" s="1044" t="str">
        <f t="shared" si="136"/>
        <v/>
      </c>
      <c r="BQ122" s="1044" t="str">
        <f t="shared" si="137"/>
        <v/>
      </c>
      <c r="BR122" s="1044" t="str">
        <f t="shared" si="138"/>
        <v/>
      </c>
      <c r="BS122" s="1044" t="str">
        <f t="shared" si="139"/>
        <v/>
      </c>
      <c r="BT122" s="1044" t="str">
        <f t="shared" si="140"/>
        <v/>
      </c>
      <c r="BU122" s="1044" t="str">
        <f t="shared" si="141"/>
        <v/>
      </c>
    </row>
    <row r="123" spans="1:73" ht="30" customHeight="1">
      <c r="A123" s="1069" t="str">
        <f t="shared" si="71"/>
        <v/>
      </c>
      <c r="B123" s="1063"/>
      <c r="C123" s="1064" t="s">
        <v>254</v>
      </c>
      <c r="D123" s="1070" t="str">
        <f t="shared" si="72"/>
        <v/>
      </c>
      <c r="E123" s="1071" t="str">
        <f t="shared" si="73"/>
        <v/>
      </c>
      <c r="F123" s="1067" t="str">
        <f t="shared" si="74"/>
        <v/>
      </c>
      <c r="G123" s="1068" t="str">
        <f t="shared" si="75"/>
        <v/>
      </c>
      <c r="H123" s="1069" t="str">
        <f t="shared" si="76"/>
        <v/>
      </c>
      <c r="I123" s="1069" t="str">
        <f t="shared" si="77"/>
        <v/>
      </c>
      <c r="J123" s="1067" t="str">
        <f t="shared" si="78"/>
        <v/>
      </c>
      <c r="K123" s="1044" t="str">
        <f t="shared" si="79"/>
        <v/>
      </c>
      <c r="L123" s="1044" t="str">
        <f t="shared" si="80"/>
        <v/>
      </c>
      <c r="M123" s="1044" t="str">
        <f t="shared" si="81"/>
        <v/>
      </c>
      <c r="N123" s="1044" t="str">
        <f t="shared" si="82"/>
        <v/>
      </c>
      <c r="O123" s="1044" t="str">
        <f t="shared" si="83"/>
        <v/>
      </c>
      <c r="P123" s="1044" t="str">
        <f t="shared" si="84"/>
        <v/>
      </c>
      <c r="Q123" s="1044">
        <f t="shared" si="85"/>
        <v>0</v>
      </c>
      <c r="R123" s="1044">
        <f t="shared" si="86"/>
        <v>0</v>
      </c>
      <c r="S123" s="1044">
        <f t="shared" si="87"/>
        <v>0</v>
      </c>
      <c r="T123" s="1044">
        <f t="shared" si="88"/>
        <v>0</v>
      </c>
      <c r="U123" s="1044" t="str">
        <f t="shared" si="89"/>
        <v/>
      </c>
      <c r="V123" s="1044" t="str">
        <f t="shared" si="90"/>
        <v/>
      </c>
      <c r="W123" s="1044">
        <f t="shared" si="91"/>
        <v>0</v>
      </c>
      <c r="X123" s="1044" t="str">
        <f t="shared" si="92"/>
        <v/>
      </c>
      <c r="Y123" s="1044">
        <f t="shared" si="93"/>
        <v>0</v>
      </c>
      <c r="Z123" s="1044" t="str">
        <f t="shared" si="94"/>
        <v/>
      </c>
      <c r="AA123" s="1044">
        <f t="shared" si="95"/>
        <v>0</v>
      </c>
      <c r="AB123" s="1044">
        <f t="shared" si="96"/>
        <v>0</v>
      </c>
      <c r="AC123" s="1044">
        <f t="shared" si="97"/>
        <v>0</v>
      </c>
      <c r="AD123" s="1044" t="str">
        <f t="shared" si="98"/>
        <v/>
      </c>
      <c r="AE123" s="1044">
        <f t="shared" si="99"/>
        <v>0</v>
      </c>
      <c r="AF123" s="1044" t="str">
        <f t="shared" si="100"/>
        <v/>
      </c>
      <c r="AG123" s="1044">
        <f t="shared" si="101"/>
        <v>0</v>
      </c>
      <c r="AH123" s="1044">
        <f t="shared" si="102"/>
        <v>0</v>
      </c>
      <c r="AI123" s="1044" t="str">
        <f t="shared" si="103"/>
        <v/>
      </c>
      <c r="AJ123" s="1044">
        <f t="shared" si="104"/>
        <v>0</v>
      </c>
      <c r="AK123" s="1044">
        <f t="shared" si="105"/>
        <v>0</v>
      </c>
      <c r="AL123" s="1044">
        <f t="shared" si="106"/>
        <v>0</v>
      </c>
      <c r="AM123" s="1044">
        <f t="shared" si="107"/>
        <v>0</v>
      </c>
      <c r="AN123" s="1044" t="str">
        <f t="shared" si="108"/>
        <v/>
      </c>
      <c r="AO123" s="1044" t="str">
        <f t="shared" si="109"/>
        <v/>
      </c>
      <c r="AP123" s="1044">
        <f t="shared" si="110"/>
        <v>0</v>
      </c>
      <c r="AQ123" s="1044">
        <f t="shared" si="111"/>
        <v>0</v>
      </c>
      <c r="AR123" s="1044" t="str">
        <f t="shared" si="112"/>
        <v/>
      </c>
      <c r="AS123" s="1044">
        <f t="shared" si="113"/>
        <v>0</v>
      </c>
      <c r="AT123" s="1044" t="str">
        <f t="shared" si="114"/>
        <v/>
      </c>
      <c r="AU123" s="1044">
        <f t="shared" si="115"/>
        <v>0</v>
      </c>
      <c r="AV123" s="1044" t="str">
        <f t="shared" si="116"/>
        <v/>
      </c>
      <c r="AW123" s="1044">
        <f t="shared" si="117"/>
        <v>0</v>
      </c>
      <c r="AX123" s="1044" t="str">
        <f t="shared" si="118"/>
        <v/>
      </c>
      <c r="AY123" s="1044">
        <f t="shared" si="119"/>
        <v>0</v>
      </c>
      <c r="AZ123" s="1044" t="str">
        <f t="shared" si="120"/>
        <v/>
      </c>
      <c r="BA123" s="1044">
        <f t="shared" si="121"/>
        <v>0</v>
      </c>
      <c r="BB123" s="1044" t="str">
        <f t="shared" si="122"/>
        <v/>
      </c>
      <c r="BC123" s="1044">
        <f t="shared" si="123"/>
        <v>0</v>
      </c>
      <c r="BD123" s="1044">
        <f t="shared" si="124"/>
        <v>0</v>
      </c>
      <c r="BE123" s="1044" t="str">
        <f t="shared" si="125"/>
        <v/>
      </c>
      <c r="BF123" s="1044" t="str">
        <f t="shared" si="126"/>
        <v/>
      </c>
      <c r="BG123" s="1044" t="str">
        <f t="shared" si="127"/>
        <v/>
      </c>
      <c r="BH123" s="1044" t="str">
        <f t="shared" si="128"/>
        <v/>
      </c>
      <c r="BI123" s="1044" t="str">
        <f t="shared" si="129"/>
        <v/>
      </c>
      <c r="BJ123" s="1044" t="str">
        <f t="shared" si="130"/>
        <v/>
      </c>
      <c r="BK123" s="1044" t="str">
        <f t="shared" si="131"/>
        <v/>
      </c>
      <c r="BL123" s="1044" t="str">
        <f t="shared" si="132"/>
        <v/>
      </c>
      <c r="BM123" s="1044" t="str">
        <f t="shared" si="133"/>
        <v/>
      </c>
      <c r="BN123" s="1044" t="str">
        <f t="shared" si="134"/>
        <v/>
      </c>
      <c r="BO123" s="1044" t="str">
        <f t="shared" si="135"/>
        <v/>
      </c>
      <c r="BP123" s="1044" t="str">
        <f t="shared" si="136"/>
        <v/>
      </c>
      <c r="BQ123" s="1044" t="str">
        <f t="shared" si="137"/>
        <v/>
      </c>
      <c r="BR123" s="1044" t="str">
        <f t="shared" si="138"/>
        <v/>
      </c>
      <c r="BS123" s="1044" t="str">
        <f t="shared" si="139"/>
        <v/>
      </c>
      <c r="BT123" s="1044" t="str">
        <f t="shared" si="140"/>
        <v/>
      </c>
      <c r="BU123" s="1044" t="str">
        <f t="shared" si="141"/>
        <v/>
      </c>
    </row>
    <row r="124" spans="1:73" ht="30" customHeight="1">
      <c r="A124" s="1069" t="str">
        <f t="shared" si="71"/>
        <v/>
      </c>
      <c r="B124" s="1063"/>
      <c r="C124" s="1064" t="s">
        <v>254</v>
      </c>
      <c r="D124" s="1070" t="str">
        <f t="shared" si="72"/>
        <v/>
      </c>
      <c r="E124" s="1071" t="str">
        <f t="shared" si="73"/>
        <v/>
      </c>
      <c r="F124" s="1067" t="str">
        <f t="shared" si="74"/>
        <v/>
      </c>
      <c r="G124" s="1068" t="str">
        <f t="shared" si="75"/>
        <v/>
      </c>
      <c r="H124" s="1069" t="str">
        <f t="shared" si="76"/>
        <v/>
      </c>
      <c r="I124" s="1069" t="str">
        <f t="shared" si="77"/>
        <v/>
      </c>
      <c r="J124" s="1067" t="str">
        <f t="shared" si="78"/>
        <v/>
      </c>
      <c r="K124" s="1044" t="str">
        <f t="shared" si="79"/>
        <v/>
      </c>
      <c r="L124" s="1044" t="str">
        <f t="shared" si="80"/>
        <v/>
      </c>
      <c r="M124" s="1044" t="str">
        <f t="shared" si="81"/>
        <v/>
      </c>
      <c r="N124" s="1044" t="str">
        <f t="shared" si="82"/>
        <v/>
      </c>
      <c r="O124" s="1044" t="str">
        <f t="shared" si="83"/>
        <v/>
      </c>
      <c r="P124" s="1044" t="str">
        <f t="shared" si="84"/>
        <v/>
      </c>
      <c r="Q124" s="1044">
        <f t="shared" si="85"/>
        <v>0</v>
      </c>
      <c r="R124" s="1044">
        <f t="shared" si="86"/>
        <v>0</v>
      </c>
      <c r="S124" s="1044">
        <f t="shared" si="87"/>
        <v>0</v>
      </c>
      <c r="T124" s="1044">
        <f t="shared" si="88"/>
        <v>0</v>
      </c>
      <c r="U124" s="1044" t="str">
        <f t="shared" si="89"/>
        <v/>
      </c>
      <c r="V124" s="1044" t="str">
        <f t="shared" si="90"/>
        <v/>
      </c>
      <c r="W124" s="1044">
        <f t="shared" si="91"/>
        <v>0</v>
      </c>
      <c r="X124" s="1044" t="str">
        <f t="shared" si="92"/>
        <v/>
      </c>
      <c r="Y124" s="1044">
        <f t="shared" si="93"/>
        <v>0</v>
      </c>
      <c r="Z124" s="1044" t="str">
        <f t="shared" si="94"/>
        <v/>
      </c>
      <c r="AA124" s="1044">
        <f t="shared" si="95"/>
        <v>0</v>
      </c>
      <c r="AB124" s="1044">
        <f t="shared" si="96"/>
        <v>0</v>
      </c>
      <c r="AC124" s="1044">
        <f t="shared" si="97"/>
        <v>0</v>
      </c>
      <c r="AD124" s="1044" t="str">
        <f t="shared" si="98"/>
        <v/>
      </c>
      <c r="AE124" s="1044">
        <f t="shared" si="99"/>
        <v>0</v>
      </c>
      <c r="AF124" s="1044" t="str">
        <f t="shared" si="100"/>
        <v/>
      </c>
      <c r="AG124" s="1044">
        <f t="shared" si="101"/>
        <v>0</v>
      </c>
      <c r="AH124" s="1044">
        <f t="shared" si="102"/>
        <v>0</v>
      </c>
      <c r="AI124" s="1044" t="str">
        <f t="shared" si="103"/>
        <v/>
      </c>
      <c r="AJ124" s="1044">
        <f t="shared" si="104"/>
        <v>0</v>
      </c>
      <c r="AK124" s="1044">
        <f t="shared" si="105"/>
        <v>0</v>
      </c>
      <c r="AL124" s="1044">
        <f t="shared" si="106"/>
        <v>0</v>
      </c>
      <c r="AM124" s="1044">
        <f t="shared" si="107"/>
        <v>0</v>
      </c>
      <c r="AN124" s="1044" t="str">
        <f t="shared" si="108"/>
        <v/>
      </c>
      <c r="AO124" s="1044" t="str">
        <f t="shared" si="109"/>
        <v/>
      </c>
      <c r="AP124" s="1044">
        <f t="shared" si="110"/>
        <v>0</v>
      </c>
      <c r="AQ124" s="1044">
        <f t="shared" si="111"/>
        <v>0</v>
      </c>
      <c r="AR124" s="1044" t="str">
        <f t="shared" si="112"/>
        <v/>
      </c>
      <c r="AS124" s="1044">
        <f t="shared" si="113"/>
        <v>0</v>
      </c>
      <c r="AT124" s="1044" t="str">
        <f t="shared" si="114"/>
        <v/>
      </c>
      <c r="AU124" s="1044">
        <f t="shared" si="115"/>
        <v>0</v>
      </c>
      <c r="AV124" s="1044" t="str">
        <f t="shared" si="116"/>
        <v/>
      </c>
      <c r="AW124" s="1044">
        <f t="shared" si="117"/>
        <v>0</v>
      </c>
      <c r="AX124" s="1044" t="str">
        <f t="shared" si="118"/>
        <v/>
      </c>
      <c r="AY124" s="1044">
        <f t="shared" si="119"/>
        <v>0</v>
      </c>
      <c r="AZ124" s="1044" t="str">
        <f t="shared" si="120"/>
        <v/>
      </c>
      <c r="BA124" s="1044">
        <f t="shared" si="121"/>
        <v>0</v>
      </c>
      <c r="BB124" s="1044" t="str">
        <f t="shared" si="122"/>
        <v/>
      </c>
      <c r="BC124" s="1044">
        <f t="shared" si="123"/>
        <v>0</v>
      </c>
      <c r="BD124" s="1044">
        <f t="shared" si="124"/>
        <v>0</v>
      </c>
      <c r="BE124" s="1044" t="str">
        <f t="shared" si="125"/>
        <v/>
      </c>
      <c r="BF124" s="1044" t="str">
        <f t="shared" si="126"/>
        <v/>
      </c>
      <c r="BG124" s="1044" t="str">
        <f t="shared" si="127"/>
        <v/>
      </c>
      <c r="BH124" s="1044" t="str">
        <f t="shared" si="128"/>
        <v/>
      </c>
      <c r="BI124" s="1044" t="str">
        <f t="shared" si="129"/>
        <v/>
      </c>
      <c r="BJ124" s="1044" t="str">
        <f t="shared" si="130"/>
        <v/>
      </c>
      <c r="BK124" s="1044" t="str">
        <f t="shared" si="131"/>
        <v/>
      </c>
      <c r="BL124" s="1044" t="str">
        <f t="shared" si="132"/>
        <v/>
      </c>
      <c r="BM124" s="1044" t="str">
        <f t="shared" si="133"/>
        <v/>
      </c>
      <c r="BN124" s="1044" t="str">
        <f t="shared" si="134"/>
        <v/>
      </c>
      <c r="BO124" s="1044" t="str">
        <f t="shared" si="135"/>
        <v/>
      </c>
      <c r="BP124" s="1044" t="str">
        <f t="shared" si="136"/>
        <v/>
      </c>
      <c r="BQ124" s="1044" t="str">
        <f t="shared" si="137"/>
        <v/>
      </c>
      <c r="BR124" s="1044" t="str">
        <f t="shared" si="138"/>
        <v/>
      </c>
      <c r="BS124" s="1044" t="str">
        <f t="shared" si="139"/>
        <v/>
      </c>
      <c r="BT124" s="1044" t="str">
        <f t="shared" si="140"/>
        <v/>
      </c>
      <c r="BU124" s="1044" t="str">
        <f t="shared" si="141"/>
        <v/>
      </c>
    </row>
    <row r="125" spans="1:73" ht="30" customHeight="1">
      <c r="A125" s="1069" t="str">
        <f t="shared" si="71"/>
        <v/>
      </c>
      <c r="B125" s="1063"/>
      <c r="C125" s="1064" t="s">
        <v>254</v>
      </c>
      <c r="D125" s="1070" t="str">
        <f t="shared" si="72"/>
        <v/>
      </c>
      <c r="E125" s="1071" t="str">
        <f t="shared" si="73"/>
        <v/>
      </c>
      <c r="F125" s="1067" t="str">
        <f t="shared" si="74"/>
        <v/>
      </c>
      <c r="G125" s="1068" t="str">
        <f t="shared" si="75"/>
        <v/>
      </c>
      <c r="H125" s="1069" t="str">
        <f t="shared" si="76"/>
        <v/>
      </c>
      <c r="I125" s="1069" t="str">
        <f t="shared" si="77"/>
        <v/>
      </c>
      <c r="J125" s="1067" t="str">
        <f t="shared" si="78"/>
        <v/>
      </c>
      <c r="K125" s="1044" t="str">
        <f t="shared" si="79"/>
        <v/>
      </c>
      <c r="L125" s="1044" t="str">
        <f t="shared" si="80"/>
        <v/>
      </c>
      <c r="M125" s="1044" t="str">
        <f t="shared" si="81"/>
        <v/>
      </c>
      <c r="N125" s="1044" t="str">
        <f t="shared" si="82"/>
        <v/>
      </c>
      <c r="O125" s="1044" t="str">
        <f t="shared" si="83"/>
        <v/>
      </c>
      <c r="P125" s="1044" t="str">
        <f t="shared" si="84"/>
        <v/>
      </c>
      <c r="Q125" s="1044">
        <f t="shared" si="85"/>
        <v>0</v>
      </c>
      <c r="R125" s="1044">
        <f t="shared" si="86"/>
        <v>0</v>
      </c>
      <c r="S125" s="1044">
        <f t="shared" si="87"/>
        <v>0</v>
      </c>
      <c r="T125" s="1044">
        <f t="shared" si="88"/>
        <v>0</v>
      </c>
      <c r="U125" s="1044" t="str">
        <f t="shared" si="89"/>
        <v/>
      </c>
      <c r="V125" s="1044" t="str">
        <f t="shared" si="90"/>
        <v/>
      </c>
      <c r="W125" s="1044">
        <f t="shared" si="91"/>
        <v>0</v>
      </c>
      <c r="X125" s="1044" t="str">
        <f t="shared" si="92"/>
        <v/>
      </c>
      <c r="Y125" s="1044">
        <f t="shared" si="93"/>
        <v>0</v>
      </c>
      <c r="Z125" s="1044" t="str">
        <f t="shared" si="94"/>
        <v/>
      </c>
      <c r="AA125" s="1044">
        <f t="shared" si="95"/>
        <v>0</v>
      </c>
      <c r="AB125" s="1044">
        <f t="shared" si="96"/>
        <v>0</v>
      </c>
      <c r="AC125" s="1044">
        <f t="shared" si="97"/>
        <v>0</v>
      </c>
      <c r="AD125" s="1044" t="str">
        <f t="shared" si="98"/>
        <v/>
      </c>
      <c r="AE125" s="1044">
        <f t="shared" si="99"/>
        <v>0</v>
      </c>
      <c r="AF125" s="1044" t="str">
        <f t="shared" si="100"/>
        <v/>
      </c>
      <c r="AG125" s="1044">
        <f t="shared" si="101"/>
        <v>0</v>
      </c>
      <c r="AH125" s="1044">
        <f t="shared" si="102"/>
        <v>0</v>
      </c>
      <c r="AI125" s="1044" t="str">
        <f t="shared" si="103"/>
        <v/>
      </c>
      <c r="AJ125" s="1044">
        <f t="shared" si="104"/>
        <v>0</v>
      </c>
      <c r="AK125" s="1044">
        <f t="shared" si="105"/>
        <v>0</v>
      </c>
      <c r="AL125" s="1044">
        <f t="shared" si="106"/>
        <v>0</v>
      </c>
      <c r="AM125" s="1044">
        <f t="shared" si="107"/>
        <v>0</v>
      </c>
      <c r="AN125" s="1044" t="str">
        <f t="shared" si="108"/>
        <v/>
      </c>
      <c r="AO125" s="1044" t="str">
        <f t="shared" si="109"/>
        <v/>
      </c>
      <c r="AP125" s="1044">
        <f t="shared" si="110"/>
        <v>0</v>
      </c>
      <c r="AQ125" s="1044">
        <f t="shared" si="111"/>
        <v>0</v>
      </c>
      <c r="AR125" s="1044" t="str">
        <f t="shared" si="112"/>
        <v/>
      </c>
      <c r="AS125" s="1044">
        <f t="shared" si="113"/>
        <v>0</v>
      </c>
      <c r="AT125" s="1044" t="str">
        <f t="shared" si="114"/>
        <v/>
      </c>
      <c r="AU125" s="1044">
        <f t="shared" si="115"/>
        <v>0</v>
      </c>
      <c r="AV125" s="1044" t="str">
        <f t="shared" si="116"/>
        <v/>
      </c>
      <c r="AW125" s="1044">
        <f t="shared" si="117"/>
        <v>0</v>
      </c>
      <c r="AX125" s="1044" t="str">
        <f t="shared" si="118"/>
        <v/>
      </c>
      <c r="AY125" s="1044">
        <f t="shared" si="119"/>
        <v>0</v>
      </c>
      <c r="AZ125" s="1044" t="str">
        <f t="shared" si="120"/>
        <v/>
      </c>
      <c r="BA125" s="1044">
        <f t="shared" si="121"/>
        <v>0</v>
      </c>
      <c r="BB125" s="1044" t="str">
        <f t="shared" si="122"/>
        <v/>
      </c>
      <c r="BC125" s="1044">
        <f t="shared" si="123"/>
        <v>0</v>
      </c>
      <c r="BD125" s="1044">
        <f t="shared" si="124"/>
        <v>0</v>
      </c>
      <c r="BE125" s="1044" t="str">
        <f t="shared" si="125"/>
        <v/>
      </c>
      <c r="BF125" s="1044" t="str">
        <f t="shared" si="126"/>
        <v/>
      </c>
      <c r="BG125" s="1044" t="str">
        <f t="shared" si="127"/>
        <v/>
      </c>
      <c r="BH125" s="1044" t="str">
        <f t="shared" si="128"/>
        <v/>
      </c>
      <c r="BI125" s="1044" t="str">
        <f t="shared" si="129"/>
        <v/>
      </c>
      <c r="BJ125" s="1044" t="str">
        <f t="shared" si="130"/>
        <v/>
      </c>
      <c r="BK125" s="1044" t="str">
        <f t="shared" si="131"/>
        <v/>
      </c>
      <c r="BL125" s="1044" t="str">
        <f t="shared" si="132"/>
        <v/>
      </c>
      <c r="BM125" s="1044" t="str">
        <f t="shared" si="133"/>
        <v/>
      </c>
      <c r="BN125" s="1044" t="str">
        <f t="shared" si="134"/>
        <v/>
      </c>
      <c r="BO125" s="1044" t="str">
        <f t="shared" si="135"/>
        <v/>
      </c>
      <c r="BP125" s="1044" t="str">
        <f t="shared" si="136"/>
        <v/>
      </c>
      <c r="BQ125" s="1044" t="str">
        <f t="shared" si="137"/>
        <v/>
      </c>
      <c r="BR125" s="1044" t="str">
        <f t="shared" si="138"/>
        <v/>
      </c>
      <c r="BS125" s="1044" t="str">
        <f t="shared" si="139"/>
        <v/>
      </c>
      <c r="BT125" s="1044" t="str">
        <f t="shared" si="140"/>
        <v/>
      </c>
      <c r="BU125" s="1044" t="str">
        <f t="shared" si="141"/>
        <v/>
      </c>
    </row>
    <row r="126" spans="1:73" ht="30" customHeight="1">
      <c r="A126" s="1069" t="str">
        <f t="shared" si="71"/>
        <v/>
      </c>
      <c r="B126" s="1063"/>
      <c r="C126" s="1064" t="s">
        <v>254</v>
      </c>
      <c r="D126" s="1070" t="str">
        <f t="shared" si="72"/>
        <v/>
      </c>
      <c r="E126" s="1071" t="str">
        <f t="shared" si="73"/>
        <v/>
      </c>
      <c r="F126" s="1067" t="str">
        <f t="shared" si="74"/>
        <v/>
      </c>
      <c r="G126" s="1068" t="str">
        <f t="shared" si="75"/>
        <v/>
      </c>
      <c r="H126" s="1069" t="str">
        <f t="shared" si="76"/>
        <v/>
      </c>
      <c r="I126" s="1069" t="str">
        <f t="shared" si="77"/>
        <v/>
      </c>
      <c r="J126" s="1067" t="str">
        <f t="shared" si="78"/>
        <v/>
      </c>
      <c r="K126" s="1044" t="str">
        <f t="shared" si="79"/>
        <v/>
      </c>
      <c r="L126" s="1044" t="str">
        <f t="shared" si="80"/>
        <v/>
      </c>
      <c r="M126" s="1044" t="str">
        <f t="shared" si="81"/>
        <v/>
      </c>
      <c r="N126" s="1044" t="str">
        <f t="shared" si="82"/>
        <v/>
      </c>
      <c r="O126" s="1044" t="str">
        <f t="shared" si="83"/>
        <v/>
      </c>
      <c r="P126" s="1044" t="str">
        <f t="shared" si="84"/>
        <v/>
      </c>
      <c r="Q126" s="1044">
        <f t="shared" si="85"/>
        <v>0</v>
      </c>
      <c r="R126" s="1044">
        <f t="shared" si="86"/>
        <v>0</v>
      </c>
      <c r="S126" s="1044">
        <f t="shared" si="87"/>
        <v>0</v>
      </c>
      <c r="T126" s="1044">
        <f t="shared" si="88"/>
        <v>0</v>
      </c>
      <c r="U126" s="1044" t="str">
        <f t="shared" si="89"/>
        <v/>
      </c>
      <c r="V126" s="1044" t="str">
        <f t="shared" si="90"/>
        <v/>
      </c>
      <c r="W126" s="1044">
        <f t="shared" si="91"/>
        <v>0</v>
      </c>
      <c r="X126" s="1044" t="str">
        <f t="shared" si="92"/>
        <v/>
      </c>
      <c r="Y126" s="1044">
        <f t="shared" si="93"/>
        <v>0</v>
      </c>
      <c r="Z126" s="1044" t="str">
        <f t="shared" si="94"/>
        <v/>
      </c>
      <c r="AA126" s="1044">
        <f t="shared" si="95"/>
        <v>0</v>
      </c>
      <c r="AB126" s="1044">
        <f t="shared" si="96"/>
        <v>0</v>
      </c>
      <c r="AC126" s="1044">
        <f t="shared" si="97"/>
        <v>0</v>
      </c>
      <c r="AD126" s="1044" t="str">
        <f t="shared" si="98"/>
        <v/>
      </c>
      <c r="AE126" s="1044">
        <f t="shared" si="99"/>
        <v>0</v>
      </c>
      <c r="AF126" s="1044" t="str">
        <f t="shared" si="100"/>
        <v/>
      </c>
      <c r="AG126" s="1044">
        <f t="shared" si="101"/>
        <v>0</v>
      </c>
      <c r="AH126" s="1044">
        <f t="shared" si="102"/>
        <v>0</v>
      </c>
      <c r="AI126" s="1044" t="str">
        <f t="shared" si="103"/>
        <v/>
      </c>
      <c r="AJ126" s="1044">
        <f t="shared" si="104"/>
        <v>0</v>
      </c>
      <c r="AK126" s="1044">
        <f t="shared" si="105"/>
        <v>0</v>
      </c>
      <c r="AL126" s="1044">
        <f t="shared" si="106"/>
        <v>0</v>
      </c>
      <c r="AM126" s="1044">
        <f t="shared" si="107"/>
        <v>0</v>
      </c>
      <c r="AN126" s="1044" t="str">
        <f t="shared" si="108"/>
        <v/>
      </c>
      <c r="AO126" s="1044" t="str">
        <f t="shared" si="109"/>
        <v/>
      </c>
      <c r="AP126" s="1044">
        <f t="shared" si="110"/>
        <v>0</v>
      </c>
      <c r="AQ126" s="1044">
        <f t="shared" si="111"/>
        <v>0</v>
      </c>
      <c r="AR126" s="1044" t="str">
        <f t="shared" si="112"/>
        <v/>
      </c>
      <c r="AS126" s="1044">
        <f t="shared" si="113"/>
        <v>0</v>
      </c>
      <c r="AT126" s="1044" t="str">
        <f t="shared" si="114"/>
        <v/>
      </c>
      <c r="AU126" s="1044">
        <f t="shared" si="115"/>
        <v>0</v>
      </c>
      <c r="AV126" s="1044" t="str">
        <f t="shared" si="116"/>
        <v/>
      </c>
      <c r="AW126" s="1044">
        <f t="shared" si="117"/>
        <v>0</v>
      </c>
      <c r="AX126" s="1044" t="str">
        <f t="shared" si="118"/>
        <v/>
      </c>
      <c r="AY126" s="1044">
        <f t="shared" si="119"/>
        <v>0</v>
      </c>
      <c r="AZ126" s="1044" t="str">
        <f t="shared" si="120"/>
        <v/>
      </c>
      <c r="BA126" s="1044">
        <f t="shared" si="121"/>
        <v>0</v>
      </c>
      <c r="BB126" s="1044" t="str">
        <f t="shared" si="122"/>
        <v/>
      </c>
      <c r="BC126" s="1044">
        <f t="shared" si="123"/>
        <v>0</v>
      </c>
      <c r="BD126" s="1044">
        <f t="shared" si="124"/>
        <v>0</v>
      </c>
      <c r="BE126" s="1044" t="str">
        <f t="shared" si="125"/>
        <v/>
      </c>
      <c r="BF126" s="1044" t="str">
        <f t="shared" si="126"/>
        <v/>
      </c>
      <c r="BG126" s="1044" t="str">
        <f t="shared" si="127"/>
        <v/>
      </c>
      <c r="BH126" s="1044" t="str">
        <f t="shared" si="128"/>
        <v/>
      </c>
      <c r="BI126" s="1044" t="str">
        <f t="shared" si="129"/>
        <v/>
      </c>
      <c r="BJ126" s="1044" t="str">
        <f t="shared" si="130"/>
        <v/>
      </c>
      <c r="BK126" s="1044" t="str">
        <f t="shared" si="131"/>
        <v/>
      </c>
      <c r="BL126" s="1044" t="str">
        <f t="shared" si="132"/>
        <v/>
      </c>
      <c r="BM126" s="1044" t="str">
        <f t="shared" si="133"/>
        <v/>
      </c>
      <c r="BN126" s="1044" t="str">
        <f t="shared" si="134"/>
        <v/>
      </c>
      <c r="BO126" s="1044" t="str">
        <f t="shared" si="135"/>
        <v/>
      </c>
      <c r="BP126" s="1044" t="str">
        <f t="shared" si="136"/>
        <v/>
      </c>
      <c r="BQ126" s="1044" t="str">
        <f t="shared" si="137"/>
        <v/>
      </c>
      <c r="BR126" s="1044" t="str">
        <f t="shared" si="138"/>
        <v/>
      </c>
      <c r="BS126" s="1044" t="str">
        <f t="shared" si="139"/>
        <v/>
      </c>
      <c r="BT126" s="1044" t="str">
        <f t="shared" si="140"/>
        <v/>
      </c>
      <c r="BU126" s="1044" t="str">
        <f t="shared" si="141"/>
        <v/>
      </c>
    </row>
    <row r="127" spans="1:73" ht="30" customHeight="1">
      <c r="A127" s="1069" t="str">
        <f t="shared" si="71"/>
        <v/>
      </c>
      <c r="B127" s="1063"/>
      <c r="C127" s="1064" t="s">
        <v>254</v>
      </c>
      <c r="D127" s="1070" t="str">
        <f t="shared" si="72"/>
        <v/>
      </c>
      <c r="E127" s="1071" t="str">
        <f t="shared" si="73"/>
        <v/>
      </c>
      <c r="F127" s="1067" t="str">
        <f t="shared" si="74"/>
        <v/>
      </c>
      <c r="G127" s="1068" t="str">
        <f t="shared" si="75"/>
        <v/>
      </c>
      <c r="H127" s="1069" t="str">
        <f t="shared" si="76"/>
        <v/>
      </c>
      <c r="I127" s="1069" t="str">
        <f t="shared" si="77"/>
        <v/>
      </c>
      <c r="J127" s="1067" t="str">
        <f t="shared" si="78"/>
        <v/>
      </c>
      <c r="K127" s="1044" t="str">
        <f t="shared" si="79"/>
        <v/>
      </c>
      <c r="L127" s="1044" t="str">
        <f t="shared" si="80"/>
        <v/>
      </c>
      <c r="M127" s="1044" t="str">
        <f t="shared" si="81"/>
        <v/>
      </c>
      <c r="N127" s="1044" t="str">
        <f t="shared" si="82"/>
        <v/>
      </c>
      <c r="O127" s="1044" t="str">
        <f t="shared" si="83"/>
        <v/>
      </c>
      <c r="P127" s="1044" t="str">
        <f t="shared" si="84"/>
        <v/>
      </c>
      <c r="Q127" s="1044">
        <f t="shared" si="85"/>
        <v>0</v>
      </c>
      <c r="R127" s="1044">
        <f t="shared" si="86"/>
        <v>0</v>
      </c>
      <c r="S127" s="1044">
        <f t="shared" si="87"/>
        <v>0</v>
      </c>
      <c r="T127" s="1044">
        <f t="shared" si="88"/>
        <v>0</v>
      </c>
      <c r="U127" s="1044" t="str">
        <f t="shared" si="89"/>
        <v/>
      </c>
      <c r="V127" s="1044" t="str">
        <f t="shared" si="90"/>
        <v/>
      </c>
      <c r="W127" s="1044">
        <f t="shared" si="91"/>
        <v>0</v>
      </c>
      <c r="X127" s="1044" t="str">
        <f t="shared" si="92"/>
        <v/>
      </c>
      <c r="Y127" s="1044">
        <f t="shared" si="93"/>
        <v>0</v>
      </c>
      <c r="Z127" s="1044" t="str">
        <f t="shared" si="94"/>
        <v/>
      </c>
      <c r="AA127" s="1044">
        <f t="shared" si="95"/>
        <v>0</v>
      </c>
      <c r="AB127" s="1044">
        <f t="shared" si="96"/>
        <v>0</v>
      </c>
      <c r="AC127" s="1044">
        <f t="shared" si="97"/>
        <v>0</v>
      </c>
      <c r="AD127" s="1044" t="str">
        <f t="shared" si="98"/>
        <v/>
      </c>
      <c r="AE127" s="1044">
        <f t="shared" si="99"/>
        <v>0</v>
      </c>
      <c r="AF127" s="1044" t="str">
        <f t="shared" si="100"/>
        <v/>
      </c>
      <c r="AG127" s="1044">
        <f t="shared" si="101"/>
        <v>0</v>
      </c>
      <c r="AH127" s="1044">
        <f t="shared" si="102"/>
        <v>0</v>
      </c>
      <c r="AI127" s="1044" t="str">
        <f t="shared" si="103"/>
        <v/>
      </c>
      <c r="AJ127" s="1044">
        <f t="shared" si="104"/>
        <v>0</v>
      </c>
      <c r="AK127" s="1044">
        <f t="shared" si="105"/>
        <v>0</v>
      </c>
      <c r="AL127" s="1044">
        <f t="shared" si="106"/>
        <v>0</v>
      </c>
      <c r="AM127" s="1044">
        <f t="shared" si="107"/>
        <v>0</v>
      </c>
      <c r="AN127" s="1044" t="str">
        <f t="shared" si="108"/>
        <v/>
      </c>
      <c r="AO127" s="1044" t="str">
        <f t="shared" si="109"/>
        <v/>
      </c>
      <c r="AP127" s="1044">
        <f t="shared" si="110"/>
        <v>0</v>
      </c>
      <c r="AQ127" s="1044">
        <f t="shared" si="111"/>
        <v>0</v>
      </c>
      <c r="AR127" s="1044" t="str">
        <f t="shared" si="112"/>
        <v/>
      </c>
      <c r="AS127" s="1044">
        <f t="shared" si="113"/>
        <v>0</v>
      </c>
      <c r="AT127" s="1044" t="str">
        <f t="shared" si="114"/>
        <v/>
      </c>
      <c r="AU127" s="1044">
        <f t="shared" si="115"/>
        <v>0</v>
      </c>
      <c r="AV127" s="1044" t="str">
        <f t="shared" si="116"/>
        <v/>
      </c>
      <c r="AW127" s="1044">
        <f t="shared" si="117"/>
        <v>0</v>
      </c>
      <c r="AX127" s="1044" t="str">
        <f t="shared" si="118"/>
        <v/>
      </c>
      <c r="AY127" s="1044">
        <f t="shared" si="119"/>
        <v>0</v>
      </c>
      <c r="AZ127" s="1044" t="str">
        <f t="shared" si="120"/>
        <v/>
      </c>
      <c r="BA127" s="1044">
        <f t="shared" si="121"/>
        <v>0</v>
      </c>
      <c r="BB127" s="1044" t="str">
        <f t="shared" si="122"/>
        <v/>
      </c>
      <c r="BC127" s="1044">
        <f t="shared" si="123"/>
        <v>0</v>
      </c>
      <c r="BD127" s="1044">
        <f t="shared" si="124"/>
        <v>0</v>
      </c>
      <c r="BE127" s="1044" t="str">
        <f t="shared" si="125"/>
        <v/>
      </c>
      <c r="BF127" s="1044" t="str">
        <f t="shared" si="126"/>
        <v/>
      </c>
      <c r="BG127" s="1044" t="str">
        <f t="shared" si="127"/>
        <v/>
      </c>
      <c r="BH127" s="1044" t="str">
        <f t="shared" si="128"/>
        <v/>
      </c>
      <c r="BI127" s="1044" t="str">
        <f t="shared" si="129"/>
        <v/>
      </c>
      <c r="BJ127" s="1044" t="str">
        <f t="shared" si="130"/>
        <v/>
      </c>
      <c r="BK127" s="1044" t="str">
        <f t="shared" si="131"/>
        <v/>
      </c>
      <c r="BL127" s="1044" t="str">
        <f t="shared" si="132"/>
        <v/>
      </c>
      <c r="BM127" s="1044" t="str">
        <f t="shared" si="133"/>
        <v/>
      </c>
      <c r="BN127" s="1044" t="str">
        <f t="shared" si="134"/>
        <v/>
      </c>
      <c r="BO127" s="1044" t="str">
        <f t="shared" si="135"/>
        <v/>
      </c>
      <c r="BP127" s="1044" t="str">
        <f t="shared" si="136"/>
        <v/>
      </c>
      <c r="BQ127" s="1044" t="str">
        <f t="shared" si="137"/>
        <v/>
      </c>
      <c r="BR127" s="1044" t="str">
        <f t="shared" si="138"/>
        <v/>
      </c>
      <c r="BS127" s="1044" t="str">
        <f t="shared" si="139"/>
        <v/>
      </c>
      <c r="BT127" s="1044" t="str">
        <f t="shared" si="140"/>
        <v/>
      </c>
      <c r="BU127" s="1044" t="str">
        <f t="shared" si="141"/>
        <v/>
      </c>
    </row>
    <row r="128" spans="1:73" ht="30" customHeight="1">
      <c r="A128" s="1069" t="str">
        <f t="shared" si="71"/>
        <v/>
      </c>
      <c r="B128" s="1063"/>
      <c r="C128" s="1064" t="s">
        <v>254</v>
      </c>
      <c r="D128" s="1070" t="str">
        <f t="shared" si="72"/>
        <v/>
      </c>
      <c r="E128" s="1071" t="str">
        <f t="shared" si="73"/>
        <v/>
      </c>
      <c r="F128" s="1067" t="str">
        <f t="shared" si="74"/>
        <v/>
      </c>
      <c r="G128" s="1068" t="str">
        <f t="shared" si="75"/>
        <v/>
      </c>
      <c r="H128" s="1069" t="str">
        <f t="shared" si="76"/>
        <v/>
      </c>
      <c r="I128" s="1069" t="str">
        <f t="shared" si="77"/>
        <v/>
      </c>
      <c r="J128" s="1067" t="str">
        <f t="shared" si="78"/>
        <v/>
      </c>
      <c r="K128" s="1044" t="str">
        <f t="shared" si="79"/>
        <v/>
      </c>
      <c r="L128" s="1044" t="str">
        <f t="shared" si="80"/>
        <v/>
      </c>
      <c r="M128" s="1044" t="str">
        <f t="shared" si="81"/>
        <v/>
      </c>
      <c r="N128" s="1044" t="str">
        <f t="shared" si="82"/>
        <v/>
      </c>
      <c r="O128" s="1044" t="str">
        <f t="shared" si="83"/>
        <v/>
      </c>
      <c r="P128" s="1044" t="str">
        <f t="shared" si="84"/>
        <v/>
      </c>
      <c r="Q128" s="1044">
        <f t="shared" si="85"/>
        <v>0</v>
      </c>
      <c r="R128" s="1044">
        <f t="shared" si="86"/>
        <v>0</v>
      </c>
      <c r="S128" s="1044">
        <f t="shared" si="87"/>
        <v>0</v>
      </c>
      <c r="T128" s="1044">
        <f t="shared" si="88"/>
        <v>0</v>
      </c>
      <c r="U128" s="1044" t="str">
        <f t="shared" si="89"/>
        <v/>
      </c>
      <c r="V128" s="1044" t="str">
        <f t="shared" si="90"/>
        <v/>
      </c>
      <c r="W128" s="1044">
        <f t="shared" si="91"/>
        <v>0</v>
      </c>
      <c r="X128" s="1044" t="str">
        <f t="shared" si="92"/>
        <v/>
      </c>
      <c r="Y128" s="1044">
        <f t="shared" si="93"/>
        <v>0</v>
      </c>
      <c r="Z128" s="1044" t="str">
        <f t="shared" si="94"/>
        <v/>
      </c>
      <c r="AA128" s="1044">
        <f t="shared" si="95"/>
        <v>0</v>
      </c>
      <c r="AB128" s="1044">
        <f t="shared" si="96"/>
        <v>0</v>
      </c>
      <c r="AC128" s="1044">
        <f t="shared" si="97"/>
        <v>0</v>
      </c>
      <c r="AD128" s="1044" t="str">
        <f t="shared" si="98"/>
        <v/>
      </c>
      <c r="AE128" s="1044">
        <f t="shared" si="99"/>
        <v>0</v>
      </c>
      <c r="AF128" s="1044" t="str">
        <f t="shared" si="100"/>
        <v/>
      </c>
      <c r="AG128" s="1044">
        <f t="shared" si="101"/>
        <v>0</v>
      </c>
      <c r="AH128" s="1044">
        <f t="shared" si="102"/>
        <v>0</v>
      </c>
      <c r="AI128" s="1044" t="str">
        <f t="shared" si="103"/>
        <v/>
      </c>
      <c r="AJ128" s="1044">
        <f t="shared" si="104"/>
        <v>0</v>
      </c>
      <c r="AK128" s="1044">
        <f t="shared" si="105"/>
        <v>0</v>
      </c>
      <c r="AL128" s="1044">
        <f t="shared" si="106"/>
        <v>0</v>
      </c>
      <c r="AM128" s="1044">
        <f t="shared" si="107"/>
        <v>0</v>
      </c>
      <c r="AN128" s="1044" t="str">
        <f t="shared" si="108"/>
        <v/>
      </c>
      <c r="AO128" s="1044" t="str">
        <f t="shared" si="109"/>
        <v/>
      </c>
      <c r="AP128" s="1044">
        <f t="shared" si="110"/>
        <v>0</v>
      </c>
      <c r="AQ128" s="1044">
        <f t="shared" si="111"/>
        <v>0</v>
      </c>
      <c r="AR128" s="1044" t="str">
        <f t="shared" si="112"/>
        <v/>
      </c>
      <c r="AS128" s="1044">
        <f t="shared" si="113"/>
        <v>0</v>
      </c>
      <c r="AT128" s="1044" t="str">
        <f t="shared" si="114"/>
        <v/>
      </c>
      <c r="AU128" s="1044">
        <f t="shared" si="115"/>
        <v>0</v>
      </c>
      <c r="AV128" s="1044" t="str">
        <f t="shared" si="116"/>
        <v/>
      </c>
      <c r="AW128" s="1044">
        <f t="shared" si="117"/>
        <v>0</v>
      </c>
      <c r="AX128" s="1044" t="str">
        <f t="shared" si="118"/>
        <v/>
      </c>
      <c r="AY128" s="1044">
        <f t="shared" si="119"/>
        <v>0</v>
      </c>
      <c r="AZ128" s="1044" t="str">
        <f t="shared" si="120"/>
        <v/>
      </c>
      <c r="BA128" s="1044">
        <f t="shared" si="121"/>
        <v>0</v>
      </c>
      <c r="BB128" s="1044" t="str">
        <f t="shared" si="122"/>
        <v/>
      </c>
      <c r="BC128" s="1044">
        <f t="shared" si="123"/>
        <v>0</v>
      </c>
      <c r="BD128" s="1044">
        <f t="shared" si="124"/>
        <v>0</v>
      </c>
      <c r="BE128" s="1044" t="str">
        <f t="shared" si="125"/>
        <v/>
      </c>
      <c r="BF128" s="1044" t="str">
        <f t="shared" si="126"/>
        <v/>
      </c>
      <c r="BG128" s="1044" t="str">
        <f t="shared" si="127"/>
        <v/>
      </c>
      <c r="BH128" s="1044" t="str">
        <f t="shared" si="128"/>
        <v/>
      </c>
      <c r="BI128" s="1044" t="str">
        <f t="shared" si="129"/>
        <v/>
      </c>
      <c r="BJ128" s="1044" t="str">
        <f t="shared" si="130"/>
        <v/>
      </c>
      <c r="BK128" s="1044" t="str">
        <f t="shared" si="131"/>
        <v/>
      </c>
      <c r="BL128" s="1044" t="str">
        <f t="shared" si="132"/>
        <v/>
      </c>
      <c r="BM128" s="1044" t="str">
        <f t="shared" si="133"/>
        <v/>
      </c>
      <c r="BN128" s="1044" t="str">
        <f t="shared" si="134"/>
        <v/>
      </c>
      <c r="BO128" s="1044" t="str">
        <f t="shared" si="135"/>
        <v/>
      </c>
      <c r="BP128" s="1044" t="str">
        <f t="shared" si="136"/>
        <v/>
      </c>
      <c r="BQ128" s="1044" t="str">
        <f t="shared" si="137"/>
        <v/>
      </c>
      <c r="BR128" s="1044" t="str">
        <f t="shared" si="138"/>
        <v/>
      </c>
      <c r="BS128" s="1044" t="str">
        <f t="shared" si="139"/>
        <v/>
      </c>
      <c r="BT128" s="1044" t="str">
        <f t="shared" si="140"/>
        <v/>
      </c>
      <c r="BU128" s="1044" t="str">
        <f t="shared" si="141"/>
        <v/>
      </c>
    </row>
    <row r="129" spans="1:73" ht="30" customHeight="1">
      <c r="A129" s="1069" t="str">
        <f t="shared" si="71"/>
        <v/>
      </c>
      <c r="B129" s="1063"/>
      <c r="C129" s="1064" t="s">
        <v>254</v>
      </c>
      <c r="D129" s="1070" t="str">
        <f t="shared" si="72"/>
        <v/>
      </c>
      <c r="E129" s="1071" t="str">
        <f t="shared" si="73"/>
        <v/>
      </c>
      <c r="F129" s="1067" t="str">
        <f t="shared" si="74"/>
        <v/>
      </c>
      <c r="G129" s="1068" t="str">
        <f t="shared" si="75"/>
        <v/>
      </c>
      <c r="H129" s="1069" t="str">
        <f t="shared" si="76"/>
        <v/>
      </c>
      <c r="I129" s="1069" t="str">
        <f t="shared" si="77"/>
        <v/>
      </c>
      <c r="J129" s="1067" t="str">
        <f t="shared" si="78"/>
        <v/>
      </c>
      <c r="K129" s="1044" t="str">
        <f t="shared" si="79"/>
        <v/>
      </c>
      <c r="L129" s="1044" t="str">
        <f t="shared" si="80"/>
        <v/>
      </c>
      <c r="M129" s="1044" t="str">
        <f t="shared" si="81"/>
        <v/>
      </c>
      <c r="N129" s="1044" t="str">
        <f t="shared" si="82"/>
        <v/>
      </c>
      <c r="O129" s="1044" t="str">
        <f t="shared" si="83"/>
        <v/>
      </c>
      <c r="P129" s="1044" t="str">
        <f t="shared" si="84"/>
        <v/>
      </c>
      <c r="Q129" s="1044">
        <f t="shared" si="85"/>
        <v>0</v>
      </c>
      <c r="R129" s="1044">
        <f t="shared" si="86"/>
        <v>0</v>
      </c>
      <c r="S129" s="1044">
        <f t="shared" si="87"/>
        <v>0</v>
      </c>
      <c r="T129" s="1044">
        <f t="shared" si="88"/>
        <v>0</v>
      </c>
      <c r="U129" s="1044" t="str">
        <f t="shared" si="89"/>
        <v/>
      </c>
      <c r="V129" s="1044" t="str">
        <f t="shared" si="90"/>
        <v/>
      </c>
      <c r="W129" s="1044">
        <f t="shared" si="91"/>
        <v>0</v>
      </c>
      <c r="X129" s="1044" t="str">
        <f t="shared" si="92"/>
        <v/>
      </c>
      <c r="Y129" s="1044">
        <f t="shared" si="93"/>
        <v>0</v>
      </c>
      <c r="Z129" s="1044" t="str">
        <f t="shared" si="94"/>
        <v/>
      </c>
      <c r="AA129" s="1044">
        <f t="shared" si="95"/>
        <v>0</v>
      </c>
      <c r="AB129" s="1044">
        <f t="shared" si="96"/>
        <v>0</v>
      </c>
      <c r="AC129" s="1044">
        <f t="shared" si="97"/>
        <v>0</v>
      </c>
      <c r="AD129" s="1044" t="str">
        <f t="shared" si="98"/>
        <v/>
      </c>
      <c r="AE129" s="1044">
        <f t="shared" si="99"/>
        <v>0</v>
      </c>
      <c r="AF129" s="1044" t="str">
        <f t="shared" si="100"/>
        <v/>
      </c>
      <c r="AG129" s="1044">
        <f t="shared" si="101"/>
        <v>0</v>
      </c>
      <c r="AH129" s="1044">
        <f t="shared" si="102"/>
        <v>0</v>
      </c>
      <c r="AI129" s="1044" t="str">
        <f t="shared" si="103"/>
        <v/>
      </c>
      <c r="AJ129" s="1044">
        <f t="shared" si="104"/>
        <v>0</v>
      </c>
      <c r="AK129" s="1044">
        <f t="shared" si="105"/>
        <v>0</v>
      </c>
      <c r="AL129" s="1044">
        <f t="shared" si="106"/>
        <v>0</v>
      </c>
      <c r="AM129" s="1044">
        <f t="shared" si="107"/>
        <v>0</v>
      </c>
      <c r="AN129" s="1044" t="str">
        <f t="shared" si="108"/>
        <v/>
      </c>
      <c r="AO129" s="1044" t="str">
        <f t="shared" si="109"/>
        <v/>
      </c>
      <c r="AP129" s="1044">
        <f t="shared" si="110"/>
        <v>0</v>
      </c>
      <c r="AQ129" s="1044">
        <f t="shared" si="111"/>
        <v>0</v>
      </c>
      <c r="AR129" s="1044" t="str">
        <f t="shared" si="112"/>
        <v/>
      </c>
      <c r="AS129" s="1044">
        <f t="shared" si="113"/>
        <v>0</v>
      </c>
      <c r="AT129" s="1044" t="str">
        <f t="shared" si="114"/>
        <v/>
      </c>
      <c r="AU129" s="1044">
        <f t="shared" si="115"/>
        <v>0</v>
      </c>
      <c r="AV129" s="1044" t="str">
        <f t="shared" si="116"/>
        <v/>
      </c>
      <c r="AW129" s="1044">
        <f t="shared" si="117"/>
        <v>0</v>
      </c>
      <c r="AX129" s="1044" t="str">
        <f t="shared" si="118"/>
        <v/>
      </c>
      <c r="AY129" s="1044">
        <f t="shared" si="119"/>
        <v>0</v>
      </c>
      <c r="AZ129" s="1044" t="str">
        <f t="shared" si="120"/>
        <v/>
      </c>
      <c r="BA129" s="1044">
        <f t="shared" si="121"/>
        <v>0</v>
      </c>
      <c r="BB129" s="1044" t="str">
        <f t="shared" si="122"/>
        <v/>
      </c>
      <c r="BC129" s="1044">
        <f t="shared" si="123"/>
        <v>0</v>
      </c>
      <c r="BD129" s="1044">
        <f t="shared" si="124"/>
        <v>0</v>
      </c>
      <c r="BE129" s="1044" t="str">
        <f t="shared" si="125"/>
        <v/>
      </c>
      <c r="BF129" s="1044" t="str">
        <f t="shared" si="126"/>
        <v/>
      </c>
      <c r="BG129" s="1044" t="str">
        <f t="shared" si="127"/>
        <v/>
      </c>
      <c r="BH129" s="1044" t="str">
        <f t="shared" si="128"/>
        <v/>
      </c>
      <c r="BI129" s="1044" t="str">
        <f t="shared" si="129"/>
        <v/>
      </c>
      <c r="BJ129" s="1044" t="str">
        <f t="shared" si="130"/>
        <v/>
      </c>
      <c r="BK129" s="1044" t="str">
        <f t="shared" si="131"/>
        <v/>
      </c>
      <c r="BL129" s="1044" t="str">
        <f t="shared" si="132"/>
        <v/>
      </c>
      <c r="BM129" s="1044" t="str">
        <f t="shared" si="133"/>
        <v/>
      </c>
      <c r="BN129" s="1044" t="str">
        <f t="shared" si="134"/>
        <v/>
      </c>
      <c r="BO129" s="1044" t="str">
        <f t="shared" si="135"/>
        <v/>
      </c>
      <c r="BP129" s="1044" t="str">
        <f t="shared" si="136"/>
        <v/>
      </c>
      <c r="BQ129" s="1044" t="str">
        <f t="shared" si="137"/>
        <v/>
      </c>
      <c r="BR129" s="1044" t="str">
        <f t="shared" si="138"/>
        <v/>
      </c>
      <c r="BS129" s="1044" t="str">
        <f t="shared" si="139"/>
        <v/>
      </c>
      <c r="BT129" s="1044" t="str">
        <f t="shared" si="140"/>
        <v/>
      </c>
      <c r="BU129" s="1044" t="str">
        <f t="shared" si="141"/>
        <v/>
      </c>
    </row>
    <row r="130" spans="1:73" ht="30" customHeight="1">
      <c r="A130" s="1069" t="str">
        <f t="shared" si="71"/>
        <v/>
      </c>
      <c r="B130" s="1063"/>
      <c r="C130" s="1064" t="s">
        <v>254</v>
      </c>
      <c r="D130" s="1070" t="str">
        <f t="shared" si="72"/>
        <v/>
      </c>
      <c r="E130" s="1071" t="str">
        <f t="shared" si="73"/>
        <v/>
      </c>
      <c r="F130" s="1067" t="str">
        <f t="shared" si="74"/>
        <v/>
      </c>
      <c r="G130" s="1068" t="str">
        <f t="shared" si="75"/>
        <v/>
      </c>
      <c r="H130" s="1069" t="str">
        <f t="shared" si="76"/>
        <v/>
      </c>
      <c r="I130" s="1069" t="str">
        <f t="shared" si="77"/>
        <v/>
      </c>
      <c r="J130" s="1067" t="str">
        <f t="shared" si="78"/>
        <v/>
      </c>
      <c r="K130" s="1044" t="str">
        <f t="shared" si="79"/>
        <v/>
      </c>
      <c r="L130" s="1044" t="str">
        <f t="shared" si="80"/>
        <v/>
      </c>
      <c r="M130" s="1044" t="str">
        <f t="shared" si="81"/>
        <v/>
      </c>
      <c r="N130" s="1044" t="str">
        <f t="shared" si="82"/>
        <v/>
      </c>
      <c r="O130" s="1044" t="str">
        <f t="shared" si="83"/>
        <v/>
      </c>
      <c r="P130" s="1044" t="str">
        <f t="shared" si="84"/>
        <v/>
      </c>
      <c r="Q130" s="1044">
        <f t="shared" si="85"/>
        <v>0</v>
      </c>
      <c r="R130" s="1044">
        <f t="shared" si="86"/>
        <v>0</v>
      </c>
      <c r="S130" s="1044">
        <f t="shared" si="87"/>
        <v>0</v>
      </c>
      <c r="T130" s="1044">
        <f t="shared" si="88"/>
        <v>0</v>
      </c>
      <c r="U130" s="1044" t="str">
        <f t="shared" si="89"/>
        <v/>
      </c>
      <c r="V130" s="1044" t="str">
        <f t="shared" si="90"/>
        <v/>
      </c>
      <c r="W130" s="1044">
        <f t="shared" si="91"/>
        <v>0</v>
      </c>
      <c r="X130" s="1044" t="str">
        <f t="shared" si="92"/>
        <v/>
      </c>
      <c r="Y130" s="1044">
        <f t="shared" si="93"/>
        <v>0</v>
      </c>
      <c r="Z130" s="1044" t="str">
        <f t="shared" si="94"/>
        <v/>
      </c>
      <c r="AA130" s="1044">
        <f t="shared" si="95"/>
        <v>0</v>
      </c>
      <c r="AB130" s="1044">
        <f t="shared" si="96"/>
        <v>0</v>
      </c>
      <c r="AC130" s="1044">
        <f t="shared" si="97"/>
        <v>0</v>
      </c>
      <c r="AD130" s="1044" t="str">
        <f t="shared" si="98"/>
        <v/>
      </c>
      <c r="AE130" s="1044">
        <f t="shared" si="99"/>
        <v>0</v>
      </c>
      <c r="AF130" s="1044" t="str">
        <f t="shared" si="100"/>
        <v/>
      </c>
      <c r="AG130" s="1044">
        <f t="shared" si="101"/>
        <v>0</v>
      </c>
      <c r="AH130" s="1044">
        <f t="shared" si="102"/>
        <v>0</v>
      </c>
      <c r="AI130" s="1044" t="str">
        <f t="shared" si="103"/>
        <v/>
      </c>
      <c r="AJ130" s="1044">
        <f t="shared" si="104"/>
        <v>0</v>
      </c>
      <c r="AK130" s="1044">
        <f t="shared" si="105"/>
        <v>0</v>
      </c>
      <c r="AL130" s="1044">
        <f t="shared" si="106"/>
        <v>0</v>
      </c>
      <c r="AM130" s="1044">
        <f t="shared" si="107"/>
        <v>0</v>
      </c>
      <c r="AN130" s="1044" t="str">
        <f t="shared" si="108"/>
        <v/>
      </c>
      <c r="AO130" s="1044" t="str">
        <f t="shared" si="109"/>
        <v/>
      </c>
      <c r="AP130" s="1044">
        <f t="shared" si="110"/>
        <v>0</v>
      </c>
      <c r="AQ130" s="1044">
        <f t="shared" si="111"/>
        <v>0</v>
      </c>
      <c r="AR130" s="1044" t="str">
        <f t="shared" si="112"/>
        <v/>
      </c>
      <c r="AS130" s="1044">
        <f t="shared" si="113"/>
        <v>0</v>
      </c>
      <c r="AT130" s="1044" t="str">
        <f t="shared" si="114"/>
        <v/>
      </c>
      <c r="AU130" s="1044">
        <f t="shared" si="115"/>
        <v>0</v>
      </c>
      <c r="AV130" s="1044" t="str">
        <f t="shared" si="116"/>
        <v/>
      </c>
      <c r="AW130" s="1044">
        <f t="shared" si="117"/>
        <v>0</v>
      </c>
      <c r="AX130" s="1044" t="str">
        <f t="shared" si="118"/>
        <v/>
      </c>
      <c r="AY130" s="1044">
        <f t="shared" si="119"/>
        <v>0</v>
      </c>
      <c r="AZ130" s="1044" t="str">
        <f t="shared" si="120"/>
        <v/>
      </c>
      <c r="BA130" s="1044">
        <f t="shared" si="121"/>
        <v>0</v>
      </c>
      <c r="BB130" s="1044" t="str">
        <f t="shared" si="122"/>
        <v/>
      </c>
      <c r="BC130" s="1044">
        <f t="shared" si="123"/>
        <v>0</v>
      </c>
      <c r="BD130" s="1044">
        <f t="shared" si="124"/>
        <v>0</v>
      </c>
      <c r="BE130" s="1044" t="str">
        <f t="shared" si="125"/>
        <v/>
      </c>
      <c r="BF130" s="1044" t="str">
        <f t="shared" si="126"/>
        <v/>
      </c>
      <c r="BG130" s="1044" t="str">
        <f t="shared" si="127"/>
        <v/>
      </c>
      <c r="BH130" s="1044" t="str">
        <f t="shared" si="128"/>
        <v/>
      </c>
      <c r="BI130" s="1044" t="str">
        <f t="shared" si="129"/>
        <v/>
      </c>
      <c r="BJ130" s="1044" t="str">
        <f t="shared" si="130"/>
        <v/>
      </c>
      <c r="BK130" s="1044" t="str">
        <f t="shared" si="131"/>
        <v/>
      </c>
      <c r="BL130" s="1044" t="str">
        <f t="shared" si="132"/>
        <v/>
      </c>
      <c r="BM130" s="1044" t="str">
        <f t="shared" si="133"/>
        <v/>
      </c>
      <c r="BN130" s="1044" t="str">
        <f t="shared" si="134"/>
        <v/>
      </c>
      <c r="BO130" s="1044" t="str">
        <f t="shared" si="135"/>
        <v/>
      </c>
      <c r="BP130" s="1044" t="str">
        <f t="shared" si="136"/>
        <v/>
      </c>
      <c r="BQ130" s="1044" t="str">
        <f t="shared" si="137"/>
        <v/>
      </c>
      <c r="BR130" s="1044" t="str">
        <f t="shared" si="138"/>
        <v/>
      </c>
      <c r="BS130" s="1044" t="str">
        <f t="shared" si="139"/>
        <v/>
      </c>
      <c r="BT130" s="1044" t="str">
        <f t="shared" si="140"/>
        <v/>
      </c>
      <c r="BU130" s="1044" t="str">
        <f t="shared" si="141"/>
        <v/>
      </c>
    </row>
    <row r="131" spans="1:73" ht="30" customHeight="1">
      <c r="A131" s="1069" t="str">
        <f t="shared" si="71"/>
        <v/>
      </c>
      <c r="B131" s="1063"/>
      <c r="C131" s="1064" t="s">
        <v>254</v>
      </c>
      <c r="D131" s="1070" t="str">
        <f t="shared" si="72"/>
        <v/>
      </c>
      <c r="E131" s="1071" t="str">
        <f t="shared" si="73"/>
        <v/>
      </c>
      <c r="F131" s="1067" t="str">
        <f t="shared" si="74"/>
        <v/>
      </c>
      <c r="G131" s="1068" t="str">
        <f t="shared" si="75"/>
        <v/>
      </c>
      <c r="H131" s="1069" t="str">
        <f t="shared" si="76"/>
        <v/>
      </c>
      <c r="I131" s="1069" t="str">
        <f t="shared" si="77"/>
        <v/>
      </c>
      <c r="J131" s="1067" t="str">
        <f t="shared" si="78"/>
        <v/>
      </c>
      <c r="K131" s="1044" t="str">
        <f t="shared" si="79"/>
        <v/>
      </c>
      <c r="L131" s="1044" t="str">
        <f t="shared" si="80"/>
        <v/>
      </c>
      <c r="M131" s="1044" t="str">
        <f t="shared" si="81"/>
        <v/>
      </c>
      <c r="N131" s="1044" t="str">
        <f t="shared" si="82"/>
        <v/>
      </c>
      <c r="O131" s="1044" t="str">
        <f t="shared" si="83"/>
        <v/>
      </c>
      <c r="P131" s="1044" t="str">
        <f t="shared" si="84"/>
        <v/>
      </c>
      <c r="Q131" s="1044">
        <f t="shared" si="85"/>
        <v>0</v>
      </c>
      <c r="R131" s="1044">
        <f t="shared" si="86"/>
        <v>0</v>
      </c>
      <c r="S131" s="1044">
        <f t="shared" si="87"/>
        <v>0</v>
      </c>
      <c r="T131" s="1044">
        <f t="shared" si="88"/>
        <v>0</v>
      </c>
      <c r="U131" s="1044" t="str">
        <f t="shared" si="89"/>
        <v/>
      </c>
      <c r="V131" s="1044" t="str">
        <f t="shared" si="90"/>
        <v/>
      </c>
      <c r="W131" s="1044">
        <f t="shared" si="91"/>
        <v>0</v>
      </c>
      <c r="X131" s="1044" t="str">
        <f t="shared" si="92"/>
        <v/>
      </c>
      <c r="Y131" s="1044">
        <f t="shared" si="93"/>
        <v>0</v>
      </c>
      <c r="Z131" s="1044" t="str">
        <f t="shared" si="94"/>
        <v/>
      </c>
      <c r="AA131" s="1044">
        <f t="shared" si="95"/>
        <v>0</v>
      </c>
      <c r="AB131" s="1044">
        <f t="shared" si="96"/>
        <v>0</v>
      </c>
      <c r="AC131" s="1044">
        <f t="shared" si="97"/>
        <v>0</v>
      </c>
      <c r="AD131" s="1044" t="str">
        <f t="shared" si="98"/>
        <v/>
      </c>
      <c r="AE131" s="1044">
        <f t="shared" si="99"/>
        <v>0</v>
      </c>
      <c r="AF131" s="1044" t="str">
        <f t="shared" si="100"/>
        <v/>
      </c>
      <c r="AG131" s="1044">
        <f t="shared" si="101"/>
        <v>0</v>
      </c>
      <c r="AH131" s="1044">
        <f t="shared" si="102"/>
        <v>0</v>
      </c>
      <c r="AI131" s="1044" t="str">
        <f t="shared" si="103"/>
        <v/>
      </c>
      <c r="AJ131" s="1044">
        <f t="shared" si="104"/>
        <v>0</v>
      </c>
      <c r="AK131" s="1044">
        <f t="shared" si="105"/>
        <v>0</v>
      </c>
      <c r="AL131" s="1044">
        <f t="shared" si="106"/>
        <v>0</v>
      </c>
      <c r="AM131" s="1044">
        <f t="shared" si="107"/>
        <v>0</v>
      </c>
      <c r="AN131" s="1044" t="str">
        <f t="shared" si="108"/>
        <v/>
      </c>
      <c r="AO131" s="1044" t="str">
        <f t="shared" si="109"/>
        <v/>
      </c>
      <c r="AP131" s="1044">
        <f t="shared" si="110"/>
        <v>0</v>
      </c>
      <c r="AQ131" s="1044">
        <f t="shared" si="111"/>
        <v>0</v>
      </c>
      <c r="AR131" s="1044" t="str">
        <f t="shared" si="112"/>
        <v/>
      </c>
      <c r="AS131" s="1044">
        <f t="shared" si="113"/>
        <v>0</v>
      </c>
      <c r="AT131" s="1044" t="str">
        <f t="shared" si="114"/>
        <v/>
      </c>
      <c r="AU131" s="1044">
        <f t="shared" si="115"/>
        <v>0</v>
      </c>
      <c r="AV131" s="1044" t="str">
        <f t="shared" si="116"/>
        <v/>
      </c>
      <c r="AW131" s="1044">
        <f t="shared" si="117"/>
        <v>0</v>
      </c>
      <c r="AX131" s="1044" t="str">
        <f t="shared" si="118"/>
        <v/>
      </c>
      <c r="AY131" s="1044">
        <f t="shared" si="119"/>
        <v>0</v>
      </c>
      <c r="AZ131" s="1044" t="str">
        <f t="shared" si="120"/>
        <v/>
      </c>
      <c r="BA131" s="1044">
        <f t="shared" si="121"/>
        <v>0</v>
      </c>
      <c r="BB131" s="1044" t="str">
        <f t="shared" si="122"/>
        <v/>
      </c>
      <c r="BC131" s="1044">
        <f t="shared" si="123"/>
        <v>0</v>
      </c>
      <c r="BD131" s="1044">
        <f t="shared" si="124"/>
        <v>0</v>
      </c>
      <c r="BE131" s="1044" t="str">
        <f t="shared" si="125"/>
        <v/>
      </c>
      <c r="BF131" s="1044" t="str">
        <f t="shared" si="126"/>
        <v/>
      </c>
      <c r="BG131" s="1044" t="str">
        <f t="shared" si="127"/>
        <v/>
      </c>
      <c r="BH131" s="1044" t="str">
        <f t="shared" si="128"/>
        <v/>
      </c>
      <c r="BI131" s="1044" t="str">
        <f t="shared" si="129"/>
        <v/>
      </c>
      <c r="BJ131" s="1044" t="str">
        <f t="shared" si="130"/>
        <v/>
      </c>
      <c r="BK131" s="1044" t="str">
        <f t="shared" si="131"/>
        <v/>
      </c>
      <c r="BL131" s="1044" t="str">
        <f t="shared" si="132"/>
        <v/>
      </c>
      <c r="BM131" s="1044" t="str">
        <f t="shared" si="133"/>
        <v/>
      </c>
      <c r="BN131" s="1044" t="str">
        <f t="shared" si="134"/>
        <v/>
      </c>
      <c r="BO131" s="1044" t="str">
        <f t="shared" si="135"/>
        <v/>
      </c>
      <c r="BP131" s="1044" t="str">
        <f t="shared" si="136"/>
        <v/>
      </c>
      <c r="BQ131" s="1044" t="str">
        <f t="shared" si="137"/>
        <v/>
      </c>
      <c r="BR131" s="1044" t="str">
        <f t="shared" si="138"/>
        <v/>
      </c>
      <c r="BS131" s="1044" t="str">
        <f t="shared" si="139"/>
        <v/>
      </c>
      <c r="BT131" s="1044" t="str">
        <f t="shared" si="140"/>
        <v/>
      </c>
      <c r="BU131" s="1044" t="str">
        <f t="shared" si="141"/>
        <v/>
      </c>
    </row>
    <row r="132" spans="1:73" ht="30" customHeight="1">
      <c r="A132" s="1069" t="str">
        <f t="shared" si="71"/>
        <v/>
      </c>
      <c r="B132" s="1063"/>
      <c r="C132" s="1064" t="s">
        <v>254</v>
      </c>
      <c r="D132" s="1070" t="str">
        <f t="shared" si="72"/>
        <v/>
      </c>
      <c r="E132" s="1071" t="str">
        <f t="shared" si="73"/>
        <v/>
      </c>
      <c r="F132" s="1067" t="str">
        <f t="shared" si="74"/>
        <v/>
      </c>
      <c r="G132" s="1068" t="str">
        <f t="shared" si="75"/>
        <v/>
      </c>
      <c r="H132" s="1069" t="str">
        <f t="shared" si="76"/>
        <v/>
      </c>
      <c r="I132" s="1069" t="str">
        <f t="shared" si="77"/>
        <v/>
      </c>
      <c r="J132" s="1067" t="str">
        <f t="shared" si="78"/>
        <v/>
      </c>
      <c r="K132" s="1044" t="str">
        <f t="shared" si="79"/>
        <v/>
      </c>
      <c r="L132" s="1044" t="str">
        <f t="shared" si="80"/>
        <v/>
      </c>
      <c r="M132" s="1044" t="str">
        <f t="shared" si="81"/>
        <v/>
      </c>
      <c r="N132" s="1044" t="str">
        <f t="shared" si="82"/>
        <v/>
      </c>
      <c r="O132" s="1044" t="str">
        <f t="shared" si="83"/>
        <v/>
      </c>
      <c r="P132" s="1044" t="str">
        <f t="shared" si="84"/>
        <v/>
      </c>
      <c r="Q132" s="1044">
        <f t="shared" si="85"/>
        <v>0</v>
      </c>
      <c r="R132" s="1044">
        <f t="shared" si="86"/>
        <v>0</v>
      </c>
      <c r="S132" s="1044">
        <f t="shared" si="87"/>
        <v>0</v>
      </c>
      <c r="T132" s="1044">
        <f t="shared" si="88"/>
        <v>0</v>
      </c>
      <c r="U132" s="1044" t="str">
        <f t="shared" si="89"/>
        <v/>
      </c>
      <c r="V132" s="1044" t="str">
        <f t="shared" si="90"/>
        <v/>
      </c>
      <c r="W132" s="1044">
        <f t="shared" si="91"/>
        <v>0</v>
      </c>
      <c r="X132" s="1044" t="str">
        <f t="shared" si="92"/>
        <v/>
      </c>
      <c r="Y132" s="1044">
        <f t="shared" si="93"/>
        <v>0</v>
      </c>
      <c r="Z132" s="1044" t="str">
        <f t="shared" si="94"/>
        <v/>
      </c>
      <c r="AA132" s="1044">
        <f t="shared" si="95"/>
        <v>0</v>
      </c>
      <c r="AB132" s="1044">
        <f t="shared" si="96"/>
        <v>0</v>
      </c>
      <c r="AC132" s="1044">
        <f t="shared" si="97"/>
        <v>0</v>
      </c>
      <c r="AD132" s="1044" t="str">
        <f t="shared" si="98"/>
        <v/>
      </c>
      <c r="AE132" s="1044">
        <f t="shared" si="99"/>
        <v>0</v>
      </c>
      <c r="AF132" s="1044" t="str">
        <f t="shared" si="100"/>
        <v/>
      </c>
      <c r="AG132" s="1044">
        <f t="shared" si="101"/>
        <v>0</v>
      </c>
      <c r="AH132" s="1044">
        <f t="shared" si="102"/>
        <v>0</v>
      </c>
      <c r="AI132" s="1044" t="str">
        <f t="shared" si="103"/>
        <v/>
      </c>
      <c r="AJ132" s="1044">
        <f t="shared" si="104"/>
        <v>0</v>
      </c>
      <c r="AK132" s="1044">
        <f t="shared" si="105"/>
        <v>0</v>
      </c>
      <c r="AL132" s="1044">
        <f t="shared" si="106"/>
        <v>0</v>
      </c>
      <c r="AM132" s="1044">
        <f t="shared" si="107"/>
        <v>0</v>
      </c>
      <c r="AN132" s="1044" t="str">
        <f t="shared" si="108"/>
        <v/>
      </c>
      <c r="AO132" s="1044" t="str">
        <f t="shared" si="109"/>
        <v/>
      </c>
      <c r="AP132" s="1044">
        <f t="shared" si="110"/>
        <v>0</v>
      </c>
      <c r="AQ132" s="1044">
        <f t="shared" si="111"/>
        <v>0</v>
      </c>
      <c r="AR132" s="1044" t="str">
        <f t="shared" si="112"/>
        <v/>
      </c>
      <c r="AS132" s="1044">
        <f t="shared" si="113"/>
        <v>0</v>
      </c>
      <c r="AT132" s="1044" t="str">
        <f t="shared" si="114"/>
        <v/>
      </c>
      <c r="AU132" s="1044">
        <f t="shared" si="115"/>
        <v>0</v>
      </c>
      <c r="AV132" s="1044" t="str">
        <f t="shared" si="116"/>
        <v/>
      </c>
      <c r="AW132" s="1044">
        <f t="shared" si="117"/>
        <v>0</v>
      </c>
      <c r="AX132" s="1044" t="str">
        <f t="shared" si="118"/>
        <v/>
      </c>
      <c r="AY132" s="1044">
        <f t="shared" si="119"/>
        <v>0</v>
      </c>
      <c r="AZ132" s="1044" t="str">
        <f t="shared" si="120"/>
        <v/>
      </c>
      <c r="BA132" s="1044">
        <f t="shared" si="121"/>
        <v>0</v>
      </c>
      <c r="BB132" s="1044" t="str">
        <f t="shared" si="122"/>
        <v/>
      </c>
      <c r="BC132" s="1044">
        <f t="shared" si="123"/>
        <v>0</v>
      </c>
      <c r="BD132" s="1044">
        <f t="shared" si="124"/>
        <v>0</v>
      </c>
      <c r="BE132" s="1044" t="str">
        <f t="shared" si="125"/>
        <v/>
      </c>
      <c r="BF132" s="1044" t="str">
        <f t="shared" si="126"/>
        <v/>
      </c>
      <c r="BG132" s="1044" t="str">
        <f t="shared" si="127"/>
        <v/>
      </c>
      <c r="BH132" s="1044" t="str">
        <f t="shared" si="128"/>
        <v/>
      </c>
      <c r="BI132" s="1044" t="str">
        <f t="shared" si="129"/>
        <v/>
      </c>
      <c r="BJ132" s="1044" t="str">
        <f t="shared" si="130"/>
        <v/>
      </c>
      <c r="BK132" s="1044" t="str">
        <f t="shared" si="131"/>
        <v/>
      </c>
      <c r="BL132" s="1044" t="str">
        <f t="shared" si="132"/>
        <v/>
      </c>
      <c r="BM132" s="1044" t="str">
        <f t="shared" si="133"/>
        <v/>
      </c>
      <c r="BN132" s="1044" t="str">
        <f t="shared" si="134"/>
        <v/>
      </c>
      <c r="BO132" s="1044" t="str">
        <f t="shared" si="135"/>
        <v/>
      </c>
      <c r="BP132" s="1044" t="str">
        <f t="shared" si="136"/>
        <v/>
      </c>
      <c r="BQ132" s="1044" t="str">
        <f t="shared" si="137"/>
        <v/>
      </c>
      <c r="BR132" s="1044" t="str">
        <f t="shared" si="138"/>
        <v/>
      </c>
      <c r="BS132" s="1044" t="str">
        <f t="shared" si="139"/>
        <v/>
      </c>
      <c r="BT132" s="1044" t="str">
        <f t="shared" si="140"/>
        <v/>
      </c>
      <c r="BU132" s="1044" t="str">
        <f t="shared" si="141"/>
        <v/>
      </c>
    </row>
    <row r="133" spans="1:73" ht="30" customHeight="1">
      <c r="A133" s="1069" t="str">
        <f t="shared" si="71"/>
        <v/>
      </c>
      <c r="B133" s="1063"/>
      <c r="C133" s="1064" t="s">
        <v>254</v>
      </c>
      <c r="D133" s="1070" t="str">
        <f t="shared" si="72"/>
        <v/>
      </c>
      <c r="E133" s="1071" t="str">
        <f t="shared" si="73"/>
        <v/>
      </c>
      <c r="F133" s="1067" t="str">
        <f t="shared" si="74"/>
        <v/>
      </c>
      <c r="G133" s="1068" t="str">
        <f t="shared" si="75"/>
        <v/>
      </c>
      <c r="H133" s="1069" t="str">
        <f t="shared" si="76"/>
        <v/>
      </c>
      <c r="I133" s="1069" t="str">
        <f t="shared" si="77"/>
        <v/>
      </c>
      <c r="J133" s="1067" t="str">
        <f t="shared" si="78"/>
        <v/>
      </c>
      <c r="K133" s="1044" t="str">
        <f t="shared" si="79"/>
        <v/>
      </c>
      <c r="L133" s="1044" t="str">
        <f t="shared" si="80"/>
        <v/>
      </c>
      <c r="M133" s="1044" t="str">
        <f t="shared" si="81"/>
        <v/>
      </c>
      <c r="N133" s="1044" t="str">
        <f t="shared" si="82"/>
        <v/>
      </c>
      <c r="O133" s="1044" t="str">
        <f t="shared" si="83"/>
        <v/>
      </c>
      <c r="P133" s="1044" t="str">
        <f t="shared" si="84"/>
        <v/>
      </c>
      <c r="Q133" s="1044">
        <f t="shared" si="85"/>
        <v>0</v>
      </c>
      <c r="R133" s="1044">
        <f t="shared" si="86"/>
        <v>0</v>
      </c>
      <c r="S133" s="1044">
        <f t="shared" si="87"/>
        <v>0</v>
      </c>
      <c r="T133" s="1044">
        <f t="shared" si="88"/>
        <v>0</v>
      </c>
      <c r="U133" s="1044" t="str">
        <f t="shared" si="89"/>
        <v/>
      </c>
      <c r="V133" s="1044" t="str">
        <f t="shared" si="90"/>
        <v/>
      </c>
      <c r="W133" s="1044">
        <f t="shared" si="91"/>
        <v>0</v>
      </c>
      <c r="X133" s="1044" t="str">
        <f t="shared" si="92"/>
        <v/>
      </c>
      <c r="Y133" s="1044">
        <f t="shared" si="93"/>
        <v>0</v>
      </c>
      <c r="Z133" s="1044" t="str">
        <f t="shared" si="94"/>
        <v/>
      </c>
      <c r="AA133" s="1044">
        <f t="shared" si="95"/>
        <v>0</v>
      </c>
      <c r="AB133" s="1044">
        <f t="shared" si="96"/>
        <v>0</v>
      </c>
      <c r="AC133" s="1044">
        <f t="shared" si="97"/>
        <v>0</v>
      </c>
      <c r="AD133" s="1044" t="str">
        <f t="shared" si="98"/>
        <v/>
      </c>
      <c r="AE133" s="1044">
        <f t="shared" si="99"/>
        <v>0</v>
      </c>
      <c r="AF133" s="1044" t="str">
        <f t="shared" si="100"/>
        <v/>
      </c>
      <c r="AG133" s="1044">
        <f t="shared" si="101"/>
        <v>0</v>
      </c>
      <c r="AH133" s="1044">
        <f t="shared" si="102"/>
        <v>0</v>
      </c>
      <c r="AI133" s="1044" t="str">
        <f t="shared" si="103"/>
        <v/>
      </c>
      <c r="AJ133" s="1044">
        <f t="shared" si="104"/>
        <v>0</v>
      </c>
      <c r="AK133" s="1044">
        <f t="shared" si="105"/>
        <v>0</v>
      </c>
      <c r="AL133" s="1044">
        <f t="shared" si="106"/>
        <v>0</v>
      </c>
      <c r="AM133" s="1044">
        <f t="shared" si="107"/>
        <v>0</v>
      </c>
      <c r="AN133" s="1044" t="str">
        <f t="shared" si="108"/>
        <v/>
      </c>
      <c r="AO133" s="1044" t="str">
        <f t="shared" si="109"/>
        <v/>
      </c>
      <c r="AP133" s="1044">
        <f t="shared" si="110"/>
        <v>0</v>
      </c>
      <c r="AQ133" s="1044">
        <f t="shared" si="111"/>
        <v>0</v>
      </c>
      <c r="AR133" s="1044" t="str">
        <f t="shared" si="112"/>
        <v/>
      </c>
      <c r="AS133" s="1044">
        <f t="shared" si="113"/>
        <v>0</v>
      </c>
      <c r="AT133" s="1044" t="str">
        <f t="shared" si="114"/>
        <v/>
      </c>
      <c r="AU133" s="1044">
        <f t="shared" si="115"/>
        <v>0</v>
      </c>
      <c r="AV133" s="1044" t="str">
        <f t="shared" si="116"/>
        <v/>
      </c>
      <c r="AW133" s="1044">
        <f t="shared" si="117"/>
        <v>0</v>
      </c>
      <c r="AX133" s="1044" t="str">
        <f t="shared" si="118"/>
        <v/>
      </c>
      <c r="AY133" s="1044">
        <f t="shared" si="119"/>
        <v>0</v>
      </c>
      <c r="AZ133" s="1044" t="str">
        <f t="shared" si="120"/>
        <v/>
      </c>
      <c r="BA133" s="1044">
        <f t="shared" si="121"/>
        <v>0</v>
      </c>
      <c r="BB133" s="1044" t="str">
        <f t="shared" si="122"/>
        <v/>
      </c>
      <c r="BC133" s="1044">
        <f t="shared" si="123"/>
        <v>0</v>
      </c>
      <c r="BD133" s="1044">
        <f t="shared" si="124"/>
        <v>0</v>
      </c>
      <c r="BE133" s="1044" t="str">
        <f t="shared" si="125"/>
        <v/>
      </c>
      <c r="BF133" s="1044" t="str">
        <f t="shared" si="126"/>
        <v/>
      </c>
      <c r="BG133" s="1044" t="str">
        <f t="shared" si="127"/>
        <v/>
      </c>
      <c r="BH133" s="1044" t="str">
        <f t="shared" si="128"/>
        <v/>
      </c>
      <c r="BI133" s="1044" t="str">
        <f t="shared" si="129"/>
        <v/>
      </c>
      <c r="BJ133" s="1044" t="str">
        <f t="shared" si="130"/>
        <v/>
      </c>
      <c r="BK133" s="1044" t="str">
        <f t="shared" si="131"/>
        <v/>
      </c>
      <c r="BL133" s="1044" t="str">
        <f t="shared" si="132"/>
        <v/>
      </c>
      <c r="BM133" s="1044" t="str">
        <f t="shared" si="133"/>
        <v/>
      </c>
      <c r="BN133" s="1044" t="str">
        <f t="shared" si="134"/>
        <v/>
      </c>
      <c r="BO133" s="1044" t="str">
        <f t="shared" si="135"/>
        <v/>
      </c>
      <c r="BP133" s="1044" t="str">
        <f t="shared" si="136"/>
        <v/>
      </c>
      <c r="BQ133" s="1044" t="str">
        <f t="shared" si="137"/>
        <v/>
      </c>
      <c r="BR133" s="1044" t="str">
        <f t="shared" si="138"/>
        <v/>
      </c>
      <c r="BS133" s="1044" t="str">
        <f t="shared" si="139"/>
        <v/>
      </c>
      <c r="BT133" s="1044" t="str">
        <f t="shared" si="140"/>
        <v/>
      </c>
      <c r="BU133" s="1044" t="str">
        <f t="shared" si="141"/>
        <v/>
      </c>
    </row>
    <row r="134" spans="1:73" ht="30" customHeight="1">
      <c r="A134" s="1069" t="str">
        <f t="shared" si="71"/>
        <v/>
      </c>
      <c r="B134" s="1063"/>
      <c r="C134" s="1064" t="s">
        <v>254</v>
      </c>
      <c r="D134" s="1070" t="str">
        <f t="shared" si="72"/>
        <v/>
      </c>
      <c r="E134" s="1071" t="str">
        <f t="shared" si="73"/>
        <v/>
      </c>
      <c r="F134" s="1067" t="str">
        <f t="shared" si="74"/>
        <v/>
      </c>
      <c r="G134" s="1068" t="str">
        <f t="shared" si="75"/>
        <v/>
      </c>
      <c r="H134" s="1069" t="str">
        <f t="shared" si="76"/>
        <v/>
      </c>
      <c r="I134" s="1069" t="str">
        <f t="shared" si="77"/>
        <v/>
      </c>
      <c r="J134" s="1067" t="str">
        <f t="shared" si="78"/>
        <v/>
      </c>
      <c r="K134" s="1044" t="str">
        <f t="shared" si="79"/>
        <v/>
      </c>
      <c r="L134" s="1044" t="str">
        <f t="shared" si="80"/>
        <v/>
      </c>
      <c r="M134" s="1044" t="str">
        <f t="shared" si="81"/>
        <v/>
      </c>
      <c r="N134" s="1044" t="str">
        <f t="shared" si="82"/>
        <v/>
      </c>
      <c r="O134" s="1044" t="str">
        <f t="shared" si="83"/>
        <v/>
      </c>
      <c r="P134" s="1044" t="str">
        <f t="shared" si="84"/>
        <v/>
      </c>
      <c r="Q134" s="1044">
        <f t="shared" si="85"/>
        <v>0</v>
      </c>
      <c r="R134" s="1044">
        <f t="shared" si="86"/>
        <v>0</v>
      </c>
      <c r="S134" s="1044">
        <f t="shared" si="87"/>
        <v>0</v>
      </c>
      <c r="T134" s="1044">
        <f t="shared" si="88"/>
        <v>0</v>
      </c>
      <c r="U134" s="1044" t="str">
        <f t="shared" si="89"/>
        <v/>
      </c>
      <c r="V134" s="1044" t="str">
        <f t="shared" si="90"/>
        <v/>
      </c>
      <c r="W134" s="1044">
        <f t="shared" si="91"/>
        <v>0</v>
      </c>
      <c r="X134" s="1044" t="str">
        <f t="shared" si="92"/>
        <v/>
      </c>
      <c r="Y134" s="1044">
        <f t="shared" si="93"/>
        <v>0</v>
      </c>
      <c r="Z134" s="1044" t="str">
        <f t="shared" si="94"/>
        <v/>
      </c>
      <c r="AA134" s="1044">
        <f t="shared" si="95"/>
        <v>0</v>
      </c>
      <c r="AB134" s="1044">
        <f t="shared" si="96"/>
        <v>0</v>
      </c>
      <c r="AC134" s="1044">
        <f t="shared" si="97"/>
        <v>0</v>
      </c>
      <c r="AD134" s="1044" t="str">
        <f t="shared" si="98"/>
        <v/>
      </c>
      <c r="AE134" s="1044">
        <f t="shared" si="99"/>
        <v>0</v>
      </c>
      <c r="AF134" s="1044" t="str">
        <f t="shared" si="100"/>
        <v/>
      </c>
      <c r="AG134" s="1044">
        <f t="shared" si="101"/>
        <v>0</v>
      </c>
      <c r="AH134" s="1044">
        <f t="shared" si="102"/>
        <v>0</v>
      </c>
      <c r="AI134" s="1044" t="str">
        <f t="shared" si="103"/>
        <v/>
      </c>
      <c r="AJ134" s="1044">
        <f t="shared" si="104"/>
        <v>0</v>
      </c>
      <c r="AK134" s="1044">
        <f t="shared" si="105"/>
        <v>0</v>
      </c>
      <c r="AL134" s="1044">
        <f t="shared" si="106"/>
        <v>0</v>
      </c>
      <c r="AM134" s="1044">
        <f t="shared" si="107"/>
        <v>0</v>
      </c>
      <c r="AN134" s="1044" t="str">
        <f t="shared" si="108"/>
        <v/>
      </c>
      <c r="AO134" s="1044" t="str">
        <f t="shared" si="109"/>
        <v/>
      </c>
      <c r="AP134" s="1044">
        <f t="shared" si="110"/>
        <v>0</v>
      </c>
      <c r="AQ134" s="1044">
        <f t="shared" si="111"/>
        <v>0</v>
      </c>
      <c r="AR134" s="1044" t="str">
        <f t="shared" si="112"/>
        <v/>
      </c>
      <c r="AS134" s="1044">
        <f t="shared" si="113"/>
        <v>0</v>
      </c>
      <c r="AT134" s="1044" t="str">
        <f t="shared" si="114"/>
        <v/>
      </c>
      <c r="AU134" s="1044">
        <f t="shared" si="115"/>
        <v>0</v>
      </c>
      <c r="AV134" s="1044" t="str">
        <f t="shared" si="116"/>
        <v/>
      </c>
      <c r="AW134" s="1044">
        <f t="shared" si="117"/>
        <v>0</v>
      </c>
      <c r="AX134" s="1044" t="str">
        <f t="shared" si="118"/>
        <v/>
      </c>
      <c r="AY134" s="1044">
        <f t="shared" si="119"/>
        <v>0</v>
      </c>
      <c r="AZ134" s="1044" t="str">
        <f t="shared" si="120"/>
        <v/>
      </c>
      <c r="BA134" s="1044">
        <f t="shared" si="121"/>
        <v>0</v>
      </c>
      <c r="BB134" s="1044" t="str">
        <f t="shared" si="122"/>
        <v/>
      </c>
      <c r="BC134" s="1044">
        <f t="shared" si="123"/>
        <v>0</v>
      </c>
      <c r="BD134" s="1044">
        <f t="shared" si="124"/>
        <v>0</v>
      </c>
      <c r="BE134" s="1044" t="str">
        <f t="shared" si="125"/>
        <v/>
      </c>
      <c r="BF134" s="1044" t="str">
        <f t="shared" si="126"/>
        <v/>
      </c>
      <c r="BG134" s="1044" t="str">
        <f t="shared" si="127"/>
        <v/>
      </c>
      <c r="BH134" s="1044" t="str">
        <f t="shared" si="128"/>
        <v/>
      </c>
      <c r="BI134" s="1044" t="str">
        <f t="shared" si="129"/>
        <v/>
      </c>
      <c r="BJ134" s="1044" t="str">
        <f t="shared" si="130"/>
        <v/>
      </c>
      <c r="BK134" s="1044" t="str">
        <f t="shared" si="131"/>
        <v/>
      </c>
      <c r="BL134" s="1044" t="str">
        <f t="shared" si="132"/>
        <v/>
      </c>
      <c r="BM134" s="1044" t="str">
        <f t="shared" si="133"/>
        <v/>
      </c>
      <c r="BN134" s="1044" t="str">
        <f t="shared" si="134"/>
        <v/>
      </c>
      <c r="BO134" s="1044" t="str">
        <f t="shared" si="135"/>
        <v/>
      </c>
      <c r="BP134" s="1044" t="str">
        <f t="shared" si="136"/>
        <v/>
      </c>
      <c r="BQ134" s="1044" t="str">
        <f t="shared" si="137"/>
        <v/>
      </c>
      <c r="BR134" s="1044" t="str">
        <f t="shared" si="138"/>
        <v/>
      </c>
      <c r="BS134" s="1044" t="str">
        <f t="shared" si="139"/>
        <v/>
      </c>
      <c r="BT134" s="1044" t="str">
        <f t="shared" si="140"/>
        <v/>
      </c>
      <c r="BU134" s="1044" t="str">
        <f t="shared" si="141"/>
        <v/>
      </c>
    </row>
    <row r="135" spans="1:73" ht="30" customHeight="1">
      <c r="A135" s="1069" t="str">
        <f t="shared" si="71"/>
        <v/>
      </c>
      <c r="B135" s="1063"/>
      <c r="C135" s="1064" t="s">
        <v>254</v>
      </c>
      <c r="D135" s="1070" t="str">
        <f t="shared" si="72"/>
        <v/>
      </c>
      <c r="E135" s="1071" t="str">
        <f t="shared" si="73"/>
        <v/>
      </c>
      <c r="F135" s="1067" t="str">
        <f t="shared" si="74"/>
        <v/>
      </c>
      <c r="G135" s="1068" t="str">
        <f t="shared" si="75"/>
        <v/>
      </c>
      <c r="H135" s="1069" t="str">
        <f t="shared" si="76"/>
        <v/>
      </c>
      <c r="I135" s="1069" t="str">
        <f t="shared" si="77"/>
        <v/>
      </c>
      <c r="J135" s="1067" t="str">
        <f t="shared" si="78"/>
        <v/>
      </c>
      <c r="K135" s="1044" t="str">
        <f t="shared" si="79"/>
        <v/>
      </c>
      <c r="L135" s="1044" t="str">
        <f t="shared" si="80"/>
        <v/>
      </c>
      <c r="M135" s="1044" t="str">
        <f t="shared" si="81"/>
        <v/>
      </c>
      <c r="N135" s="1044" t="str">
        <f t="shared" si="82"/>
        <v/>
      </c>
      <c r="O135" s="1044" t="str">
        <f t="shared" si="83"/>
        <v/>
      </c>
      <c r="P135" s="1044" t="str">
        <f t="shared" si="84"/>
        <v/>
      </c>
      <c r="Q135" s="1044">
        <f t="shared" si="85"/>
        <v>0</v>
      </c>
      <c r="R135" s="1044">
        <f t="shared" si="86"/>
        <v>0</v>
      </c>
      <c r="S135" s="1044">
        <f t="shared" si="87"/>
        <v>0</v>
      </c>
      <c r="T135" s="1044">
        <f t="shared" si="88"/>
        <v>0</v>
      </c>
      <c r="U135" s="1044" t="str">
        <f t="shared" si="89"/>
        <v/>
      </c>
      <c r="V135" s="1044" t="str">
        <f t="shared" si="90"/>
        <v/>
      </c>
      <c r="W135" s="1044">
        <f t="shared" si="91"/>
        <v>0</v>
      </c>
      <c r="X135" s="1044" t="str">
        <f t="shared" si="92"/>
        <v/>
      </c>
      <c r="Y135" s="1044">
        <f t="shared" si="93"/>
        <v>0</v>
      </c>
      <c r="Z135" s="1044" t="str">
        <f t="shared" si="94"/>
        <v/>
      </c>
      <c r="AA135" s="1044">
        <f t="shared" si="95"/>
        <v>0</v>
      </c>
      <c r="AB135" s="1044">
        <f t="shared" si="96"/>
        <v>0</v>
      </c>
      <c r="AC135" s="1044">
        <f t="shared" si="97"/>
        <v>0</v>
      </c>
      <c r="AD135" s="1044" t="str">
        <f t="shared" si="98"/>
        <v/>
      </c>
      <c r="AE135" s="1044">
        <f t="shared" si="99"/>
        <v>0</v>
      </c>
      <c r="AF135" s="1044" t="str">
        <f t="shared" si="100"/>
        <v/>
      </c>
      <c r="AG135" s="1044">
        <f t="shared" si="101"/>
        <v>0</v>
      </c>
      <c r="AH135" s="1044">
        <f t="shared" si="102"/>
        <v>0</v>
      </c>
      <c r="AI135" s="1044" t="str">
        <f t="shared" si="103"/>
        <v/>
      </c>
      <c r="AJ135" s="1044">
        <f t="shared" si="104"/>
        <v>0</v>
      </c>
      <c r="AK135" s="1044">
        <f t="shared" si="105"/>
        <v>0</v>
      </c>
      <c r="AL135" s="1044">
        <f t="shared" si="106"/>
        <v>0</v>
      </c>
      <c r="AM135" s="1044">
        <f t="shared" si="107"/>
        <v>0</v>
      </c>
      <c r="AN135" s="1044" t="str">
        <f t="shared" si="108"/>
        <v/>
      </c>
      <c r="AO135" s="1044" t="str">
        <f t="shared" si="109"/>
        <v/>
      </c>
      <c r="AP135" s="1044">
        <f t="shared" si="110"/>
        <v>0</v>
      </c>
      <c r="AQ135" s="1044">
        <f t="shared" si="111"/>
        <v>0</v>
      </c>
      <c r="AR135" s="1044" t="str">
        <f t="shared" si="112"/>
        <v/>
      </c>
      <c r="AS135" s="1044">
        <f t="shared" si="113"/>
        <v>0</v>
      </c>
      <c r="AT135" s="1044" t="str">
        <f t="shared" si="114"/>
        <v/>
      </c>
      <c r="AU135" s="1044">
        <f t="shared" si="115"/>
        <v>0</v>
      </c>
      <c r="AV135" s="1044" t="str">
        <f t="shared" si="116"/>
        <v/>
      </c>
      <c r="AW135" s="1044">
        <f t="shared" si="117"/>
        <v>0</v>
      </c>
      <c r="AX135" s="1044" t="str">
        <f t="shared" si="118"/>
        <v/>
      </c>
      <c r="AY135" s="1044">
        <f t="shared" si="119"/>
        <v>0</v>
      </c>
      <c r="AZ135" s="1044" t="str">
        <f t="shared" si="120"/>
        <v/>
      </c>
      <c r="BA135" s="1044">
        <f t="shared" si="121"/>
        <v>0</v>
      </c>
      <c r="BB135" s="1044" t="str">
        <f t="shared" si="122"/>
        <v/>
      </c>
      <c r="BC135" s="1044">
        <f t="shared" si="123"/>
        <v>0</v>
      </c>
      <c r="BD135" s="1044">
        <f t="shared" si="124"/>
        <v>0</v>
      </c>
      <c r="BE135" s="1044" t="str">
        <f t="shared" si="125"/>
        <v/>
      </c>
      <c r="BF135" s="1044" t="str">
        <f t="shared" si="126"/>
        <v/>
      </c>
      <c r="BG135" s="1044" t="str">
        <f t="shared" si="127"/>
        <v/>
      </c>
      <c r="BH135" s="1044" t="str">
        <f t="shared" si="128"/>
        <v/>
      </c>
      <c r="BI135" s="1044" t="str">
        <f t="shared" si="129"/>
        <v/>
      </c>
      <c r="BJ135" s="1044" t="str">
        <f t="shared" si="130"/>
        <v/>
      </c>
      <c r="BK135" s="1044" t="str">
        <f t="shared" si="131"/>
        <v/>
      </c>
      <c r="BL135" s="1044" t="str">
        <f t="shared" si="132"/>
        <v/>
      </c>
      <c r="BM135" s="1044" t="str">
        <f t="shared" si="133"/>
        <v/>
      </c>
      <c r="BN135" s="1044" t="str">
        <f t="shared" si="134"/>
        <v/>
      </c>
      <c r="BO135" s="1044" t="str">
        <f t="shared" si="135"/>
        <v/>
      </c>
      <c r="BP135" s="1044" t="str">
        <f t="shared" si="136"/>
        <v/>
      </c>
      <c r="BQ135" s="1044" t="str">
        <f t="shared" si="137"/>
        <v/>
      </c>
      <c r="BR135" s="1044" t="str">
        <f t="shared" si="138"/>
        <v/>
      </c>
      <c r="BS135" s="1044" t="str">
        <f t="shared" si="139"/>
        <v/>
      </c>
      <c r="BT135" s="1044" t="str">
        <f t="shared" si="140"/>
        <v/>
      </c>
      <c r="BU135" s="1044" t="str">
        <f t="shared" si="141"/>
        <v/>
      </c>
    </row>
    <row r="136" spans="1:73" ht="30" customHeight="1">
      <c r="A136" s="1069" t="str">
        <f t="shared" si="71"/>
        <v/>
      </c>
      <c r="B136" s="1063"/>
      <c r="C136" s="1064" t="s">
        <v>254</v>
      </c>
      <c r="D136" s="1070" t="str">
        <f t="shared" si="72"/>
        <v/>
      </c>
      <c r="E136" s="1071" t="str">
        <f t="shared" si="73"/>
        <v/>
      </c>
      <c r="F136" s="1067" t="str">
        <f t="shared" si="74"/>
        <v/>
      </c>
      <c r="G136" s="1068" t="str">
        <f t="shared" si="75"/>
        <v/>
      </c>
      <c r="H136" s="1069" t="str">
        <f t="shared" si="76"/>
        <v/>
      </c>
      <c r="I136" s="1069" t="str">
        <f t="shared" si="77"/>
        <v/>
      </c>
      <c r="J136" s="1067" t="str">
        <f t="shared" si="78"/>
        <v/>
      </c>
      <c r="K136" s="1044" t="str">
        <f t="shared" si="79"/>
        <v/>
      </c>
      <c r="L136" s="1044" t="str">
        <f t="shared" si="80"/>
        <v/>
      </c>
      <c r="M136" s="1044" t="str">
        <f t="shared" si="81"/>
        <v/>
      </c>
      <c r="N136" s="1044" t="str">
        <f t="shared" si="82"/>
        <v/>
      </c>
      <c r="O136" s="1044" t="str">
        <f t="shared" si="83"/>
        <v/>
      </c>
      <c r="P136" s="1044" t="str">
        <f t="shared" si="84"/>
        <v/>
      </c>
      <c r="Q136" s="1044">
        <f t="shared" si="85"/>
        <v>0</v>
      </c>
      <c r="R136" s="1044">
        <f t="shared" si="86"/>
        <v>0</v>
      </c>
      <c r="S136" s="1044">
        <f t="shared" si="87"/>
        <v>0</v>
      </c>
      <c r="T136" s="1044">
        <f t="shared" si="88"/>
        <v>0</v>
      </c>
      <c r="U136" s="1044" t="str">
        <f t="shared" si="89"/>
        <v/>
      </c>
      <c r="V136" s="1044" t="str">
        <f t="shared" si="90"/>
        <v/>
      </c>
      <c r="W136" s="1044">
        <f t="shared" si="91"/>
        <v>0</v>
      </c>
      <c r="X136" s="1044" t="str">
        <f t="shared" si="92"/>
        <v/>
      </c>
      <c r="Y136" s="1044">
        <f t="shared" si="93"/>
        <v>0</v>
      </c>
      <c r="Z136" s="1044" t="str">
        <f t="shared" si="94"/>
        <v/>
      </c>
      <c r="AA136" s="1044">
        <f t="shared" si="95"/>
        <v>0</v>
      </c>
      <c r="AB136" s="1044">
        <f t="shared" si="96"/>
        <v>0</v>
      </c>
      <c r="AC136" s="1044">
        <f t="shared" si="97"/>
        <v>0</v>
      </c>
      <c r="AD136" s="1044" t="str">
        <f t="shared" si="98"/>
        <v/>
      </c>
      <c r="AE136" s="1044">
        <f t="shared" si="99"/>
        <v>0</v>
      </c>
      <c r="AF136" s="1044" t="str">
        <f t="shared" si="100"/>
        <v/>
      </c>
      <c r="AG136" s="1044">
        <f t="shared" si="101"/>
        <v>0</v>
      </c>
      <c r="AH136" s="1044">
        <f t="shared" si="102"/>
        <v>0</v>
      </c>
      <c r="AI136" s="1044" t="str">
        <f t="shared" si="103"/>
        <v/>
      </c>
      <c r="AJ136" s="1044">
        <f t="shared" si="104"/>
        <v>0</v>
      </c>
      <c r="AK136" s="1044">
        <f t="shared" si="105"/>
        <v>0</v>
      </c>
      <c r="AL136" s="1044">
        <f t="shared" si="106"/>
        <v>0</v>
      </c>
      <c r="AM136" s="1044">
        <f t="shared" si="107"/>
        <v>0</v>
      </c>
      <c r="AN136" s="1044" t="str">
        <f t="shared" si="108"/>
        <v/>
      </c>
      <c r="AO136" s="1044" t="str">
        <f t="shared" si="109"/>
        <v/>
      </c>
      <c r="AP136" s="1044">
        <f t="shared" si="110"/>
        <v>0</v>
      </c>
      <c r="AQ136" s="1044">
        <f t="shared" si="111"/>
        <v>0</v>
      </c>
      <c r="AR136" s="1044" t="str">
        <f t="shared" si="112"/>
        <v/>
      </c>
      <c r="AS136" s="1044">
        <f t="shared" si="113"/>
        <v>0</v>
      </c>
      <c r="AT136" s="1044" t="str">
        <f t="shared" si="114"/>
        <v/>
      </c>
      <c r="AU136" s="1044">
        <f t="shared" si="115"/>
        <v>0</v>
      </c>
      <c r="AV136" s="1044" t="str">
        <f t="shared" si="116"/>
        <v/>
      </c>
      <c r="AW136" s="1044">
        <f t="shared" si="117"/>
        <v>0</v>
      </c>
      <c r="AX136" s="1044" t="str">
        <f t="shared" si="118"/>
        <v/>
      </c>
      <c r="AY136" s="1044">
        <f t="shared" si="119"/>
        <v>0</v>
      </c>
      <c r="AZ136" s="1044" t="str">
        <f t="shared" si="120"/>
        <v/>
      </c>
      <c r="BA136" s="1044">
        <f t="shared" si="121"/>
        <v>0</v>
      </c>
      <c r="BB136" s="1044" t="str">
        <f t="shared" si="122"/>
        <v/>
      </c>
      <c r="BC136" s="1044">
        <f t="shared" si="123"/>
        <v>0</v>
      </c>
      <c r="BD136" s="1044">
        <f t="shared" si="124"/>
        <v>0</v>
      </c>
      <c r="BE136" s="1044" t="str">
        <f t="shared" si="125"/>
        <v/>
      </c>
      <c r="BF136" s="1044" t="str">
        <f t="shared" si="126"/>
        <v/>
      </c>
      <c r="BG136" s="1044" t="str">
        <f t="shared" si="127"/>
        <v/>
      </c>
      <c r="BH136" s="1044" t="str">
        <f t="shared" si="128"/>
        <v/>
      </c>
      <c r="BI136" s="1044" t="str">
        <f t="shared" si="129"/>
        <v/>
      </c>
      <c r="BJ136" s="1044" t="str">
        <f t="shared" si="130"/>
        <v/>
      </c>
      <c r="BK136" s="1044" t="str">
        <f t="shared" si="131"/>
        <v/>
      </c>
      <c r="BL136" s="1044" t="str">
        <f t="shared" si="132"/>
        <v/>
      </c>
      <c r="BM136" s="1044" t="str">
        <f t="shared" si="133"/>
        <v/>
      </c>
      <c r="BN136" s="1044" t="str">
        <f t="shared" si="134"/>
        <v/>
      </c>
      <c r="BO136" s="1044" t="str">
        <f t="shared" si="135"/>
        <v/>
      </c>
      <c r="BP136" s="1044" t="str">
        <f t="shared" si="136"/>
        <v/>
      </c>
      <c r="BQ136" s="1044" t="str">
        <f t="shared" si="137"/>
        <v/>
      </c>
      <c r="BR136" s="1044" t="str">
        <f t="shared" si="138"/>
        <v/>
      </c>
      <c r="BS136" s="1044" t="str">
        <f t="shared" si="139"/>
        <v/>
      </c>
      <c r="BT136" s="1044" t="str">
        <f t="shared" si="140"/>
        <v/>
      </c>
      <c r="BU136" s="1044" t="str">
        <f t="shared" si="141"/>
        <v/>
      </c>
    </row>
    <row r="137" spans="1:73" ht="30" customHeight="1">
      <c r="A137" s="1069" t="str">
        <f t="shared" si="71"/>
        <v/>
      </c>
      <c r="B137" s="1063"/>
      <c r="C137" s="1064" t="s">
        <v>254</v>
      </c>
      <c r="D137" s="1070" t="str">
        <f t="shared" si="72"/>
        <v/>
      </c>
      <c r="E137" s="1071" t="str">
        <f t="shared" si="73"/>
        <v/>
      </c>
      <c r="F137" s="1067" t="str">
        <f t="shared" si="74"/>
        <v/>
      </c>
      <c r="G137" s="1068" t="str">
        <f t="shared" si="75"/>
        <v/>
      </c>
      <c r="H137" s="1069" t="str">
        <f t="shared" si="76"/>
        <v/>
      </c>
      <c r="I137" s="1069" t="str">
        <f t="shared" si="77"/>
        <v/>
      </c>
      <c r="J137" s="1067" t="str">
        <f t="shared" si="78"/>
        <v/>
      </c>
      <c r="K137" s="1044" t="str">
        <f t="shared" si="79"/>
        <v/>
      </c>
      <c r="L137" s="1044" t="str">
        <f t="shared" si="80"/>
        <v/>
      </c>
      <c r="M137" s="1044" t="str">
        <f t="shared" si="81"/>
        <v/>
      </c>
      <c r="N137" s="1044" t="str">
        <f t="shared" si="82"/>
        <v/>
      </c>
      <c r="O137" s="1044" t="str">
        <f t="shared" si="83"/>
        <v/>
      </c>
      <c r="P137" s="1044" t="str">
        <f t="shared" si="84"/>
        <v/>
      </c>
      <c r="Q137" s="1044">
        <f t="shared" si="85"/>
        <v>0</v>
      </c>
      <c r="R137" s="1044">
        <f t="shared" si="86"/>
        <v>0</v>
      </c>
      <c r="S137" s="1044">
        <f t="shared" si="87"/>
        <v>0</v>
      </c>
      <c r="T137" s="1044">
        <f t="shared" si="88"/>
        <v>0</v>
      </c>
      <c r="U137" s="1044" t="str">
        <f t="shared" si="89"/>
        <v/>
      </c>
      <c r="V137" s="1044" t="str">
        <f t="shared" si="90"/>
        <v/>
      </c>
      <c r="W137" s="1044">
        <f t="shared" si="91"/>
        <v>0</v>
      </c>
      <c r="X137" s="1044" t="str">
        <f t="shared" si="92"/>
        <v/>
      </c>
      <c r="Y137" s="1044">
        <f t="shared" si="93"/>
        <v>0</v>
      </c>
      <c r="Z137" s="1044" t="str">
        <f t="shared" si="94"/>
        <v/>
      </c>
      <c r="AA137" s="1044">
        <f t="shared" si="95"/>
        <v>0</v>
      </c>
      <c r="AB137" s="1044">
        <f t="shared" si="96"/>
        <v>0</v>
      </c>
      <c r="AC137" s="1044">
        <f t="shared" si="97"/>
        <v>0</v>
      </c>
      <c r="AD137" s="1044" t="str">
        <f t="shared" si="98"/>
        <v/>
      </c>
      <c r="AE137" s="1044">
        <f t="shared" si="99"/>
        <v>0</v>
      </c>
      <c r="AF137" s="1044" t="str">
        <f t="shared" si="100"/>
        <v/>
      </c>
      <c r="AG137" s="1044">
        <f t="shared" si="101"/>
        <v>0</v>
      </c>
      <c r="AH137" s="1044">
        <f t="shared" si="102"/>
        <v>0</v>
      </c>
      <c r="AI137" s="1044" t="str">
        <f t="shared" si="103"/>
        <v/>
      </c>
      <c r="AJ137" s="1044">
        <f t="shared" si="104"/>
        <v>0</v>
      </c>
      <c r="AK137" s="1044">
        <f t="shared" si="105"/>
        <v>0</v>
      </c>
      <c r="AL137" s="1044">
        <f t="shared" si="106"/>
        <v>0</v>
      </c>
      <c r="AM137" s="1044">
        <f t="shared" si="107"/>
        <v>0</v>
      </c>
      <c r="AN137" s="1044" t="str">
        <f t="shared" si="108"/>
        <v/>
      </c>
      <c r="AO137" s="1044" t="str">
        <f t="shared" si="109"/>
        <v/>
      </c>
      <c r="AP137" s="1044">
        <f t="shared" si="110"/>
        <v>0</v>
      </c>
      <c r="AQ137" s="1044">
        <f t="shared" si="111"/>
        <v>0</v>
      </c>
      <c r="AR137" s="1044" t="str">
        <f t="shared" si="112"/>
        <v/>
      </c>
      <c r="AS137" s="1044">
        <f t="shared" si="113"/>
        <v>0</v>
      </c>
      <c r="AT137" s="1044" t="str">
        <f t="shared" si="114"/>
        <v/>
      </c>
      <c r="AU137" s="1044">
        <f t="shared" si="115"/>
        <v>0</v>
      </c>
      <c r="AV137" s="1044" t="str">
        <f t="shared" si="116"/>
        <v/>
      </c>
      <c r="AW137" s="1044">
        <f t="shared" si="117"/>
        <v>0</v>
      </c>
      <c r="AX137" s="1044" t="str">
        <f t="shared" si="118"/>
        <v/>
      </c>
      <c r="AY137" s="1044">
        <f t="shared" si="119"/>
        <v>0</v>
      </c>
      <c r="AZ137" s="1044" t="str">
        <f t="shared" si="120"/>
        <v/>
      </c>
      <c r="BA137" s="1044">
        <f t="shared" si="121"/>
        <v>0</v>
      </c>
      <c r="BB137" s="1044" t="str">
        <f t="shared" si="122"/>
        <v/>
      </c>
      <c r="BC137" s="1044">
        <f t="shared" si="123"/>
        <v>0</v>
      </c>
      <c r="BD137" s="1044">
        <f t="shared" si="124"/>
        <v>0</v>
      </c>
      <c r="BE137" s="1044" t="str">
        <f t="shared" si="125"/>
        <v/>
      </c>
      <c r="BF137" s="1044" t="str">
        <f t="shared" si="126"/>
        <v/>
      </c>
      <c r="BG137" s="1044" t="str">
        <f t="shared" si="127"/>
        <v/>
      </c>
      <c r="BH137" s="1044" t="str">
        <f t="shared" si="128"/>
        <v/>
      </c>
      <c r="BI137" s="1044" t="str">
        <f t="shared" si="129"/>
        <v/>
      </c>
      <c r="BJ137" s="1044" t="str">
        <f t="shared" si="130"/>
        <v/>
      </c>
      <c r="BK137" s="1044" t="str">
        <f t="shared" si="131"/>
        <v/>
      </c>
      <c r="BL137" s="1044" t="str">
        <f t="shared" si="132"/>
        <v/>
      </c>
      <c r="BM137" s="1044" t="str">
        <f t="shared" si="133"/>
        <v/>
      </c>
      <c r="BN137" s="1044" t="str">
        <f t="shared" si="134"/>
        <v/>
      </c>
      <c r="BO137" s="1044" t="str">
        <f t="shared" si="135"/>
        <v/>
      </c>
      <c r="BP137" s="1044" t="str">
        <f t="shared" si="136"/>
        <v/>
      </c>
      <c r="BQ137" s="1044" t="str">
        <f t="shared" si="137"/>
        <v/>
      </c>
      <c r="BR137" s="1044" t="str">
        <f t="shared" si="138"/>
        <v/>
      </c>
      <c r="BS137" s="1044" t="str">
        <f t="shared" si="139"/>
        <v/>
      </c>
      <c r="BT137" s="1044" t="str">
        <f t="shared" si="140"/>
        <v/>
      </c>
      <c r="BU137" s="1044" t="str">
        <f t="shared" si="141"/>
        <v/>
      </c>
    </row>
    <row r="138" spans="1:73" ht="30" customHeight="1">
      <c r="A138" s="1069" t="str">
        <f t="shared" si="71"/>
        <v/>
      </c>
      <c r="B138" s="1063"/>
      <c r="C138" s="1064" t="s">
        <v>254</v>
      </c>
      <c r="D138" s="1070" t="str">
        <f t="shared" si="72"/>
        <v/>
      </c>
      <c r="E138" s="1071" t="str">
        <f t="shared" si="73"/>
        <v/>
      </c>
      <c r="F138" s="1067" t="str">
        <f t="shared" si="74"/>
        <v/>
      </c>
      <c r="G138" s="1068" t="str">
        <f t="shared" si="75"/>
        <v/>
      </c>
      <c r="H138" s="1069" t="str">
        <f t="shared" si="76"/>
        <v/>
      </c>
      <c r="I138" s="1069" t="str">
        <f t="shared" si="77"/>
        <v/>
      </c>
      <c r="J138" s="1067" t="str">
        <f t="shared" si="78"/>
        <v/>
      </c>
      <c r="K138" s="1044" t="str">
        <f t="shared" si="79"/>
        <v/>
      </c>
      <c r="L138" s="1044" t="str">
        <f t="shared" si="80"/>
        <v/>
      </c>
      <c r="M138" s="1044" t="str">
        <f t="shared" si="81"/>
        <v/>
      </c>
      <c r="N138" s="1044" t="str">
        <f t="shared" si="82"/>
        <v/>
      </c>
      <c r="O138" s="1044" t="str">
        <f t="shared" si="83"/>
        <v/>
      </c>
      <c r="P138" s="1044" t="str">
        <f t="shared" si="84"/>
        <v/>
      </c>
      <c r="Q138" s="1044">
        <f t="shared" si="85"/>
        <v>0</v>
      </c>
      <c r="R138" s="1044">
        <f t="shared" si="86"/>
        <v>0</v>
      </c>
      <c r="S138" s="1044">
        <f t="shared" si="87"/>
        <v>0</v>
      </c>
      <c r="T138" s="1044">
        <f t="shared" si="88"/>
        <v>0</v>
      </c>
      <c r="U138" s="1044" t="str">
        <f t="shared" si="89"/>
        <v/>
      </c>
      <c r="V138" s="1044" t="str">
        <f t="shared" si="90"/>
        <v/>
      </c>
      <c r="W138" s="1044">
        <f t="shared" si="91"/>
        <v>0</v>
      </c>
      <c r="X138" s="1044" t="str">
        <f t="shared" si="92"/>
        <v/>
      </c>
      <c r="Y138" s="1044">
        <f t="shared" si="93"/>
        <v>0</v>
      </c>
      <c r="Z138" s="1044" t="str">
        <f t="shared" si="94"/>
        <v/>
      </c>
      <c r="AA138" s="1044">
        <f t="shared" si="95"/>
        <v>0</v>
      </c>
      <c r="AB138" s="1044">
        <f t="shared" si="96"/>
        <v>0</v>
      </c>
      <c r="AC138" s="1044">
        <f t="shared" si="97"/>
        <v>0</v>
      </c>
      <c r="AD138" s="1044" t="str">
        <f t="shared" si="98"/>
        <v/>
      </c>
      <c r="AE138" s="1044">
        <f t="shared" si="99"/>
        <v>0</v>
      </c>
      <c r="AF138" s="1044" t="str">
        <f t="shared" si="100"/>
        <v/>
      </c>
      <c r="AG138" s="1044">
        <f t="shared" si="101"/>
        <v>0</v>
      </c>
      <c r="AH138" s="1044">
        <f t="shared" si="102"/>
        <v>0</v>
      </c>
      <c r="AI138" s="1044" t="str">
        <f t="shared" si="103"/>
        <v/>
      </c>
      <c r="AJ138" s="1044">
        <f t="shared" si="104"/>
        <v>0</v>
      </c>
      <c r="AK138" s="1044">
        <f t="shared" si="105"/>
        <v>0</v>
      </c>
      <c r="AL138" s="1044">
        <f t="shared" si="106"/>
        <v>0</v>
      </c>
      <c r="AM138" s="1044">
        <f t="shared" si="107"/>
        <v>0</v>
      </c>
      <c r="AN138" s="1044" t="str">
        <f t="shared" si="108"/>
        <v/>
      </c>
      <c r="AO138" s="1044" t="str">
        <f t="shared" si="109"/>
        <v/>
      </c>
      <c r="AP138" s="1044">
        <f t="shared" si="110"/>
        <v>0</v>
      </c>
      <c r="AQ138" s="1044">
        <f t="shared" si="111"/>
        <v>0</v>
      </c>
      <c r="AR138" s="1044" t="str">
        <f t="shared" si="112"/>
        <v/>
      </c>
      <c r="AS138" s="1044">
        <f t="shared" si="113"/>
        <v>0</v>
      </c>
      <c r="AT138" s="1044" t="str">
        <f t="shared" si="114"/>
        <v/>
      </c>
      <c r="AU138" s="1044">
        <f t="shared" si="115"/>
        <v>0</v>
      </c>
      <c r="AV138" s="1044" t="str">
        <f t="shared" si="116"/>
        <v/>
      </c>
      <c r="AW138" s="1044">
        <f t="shared" si="117"/>
        <v>0</v>
      </c>
      <c r="AX138" s="1044" t="str">
        <f t="shared" si="118"/>
        <v/>
      </c>
      <c r="AY138" s="1044">
        <f t="shared" si="119"/>
        <v>0</v>
      </c>
      <c r="AZ138" s="1044" t="str">
        <f t="shared" si="120"/>
        <v/>
      </c>
      <c r="BA138" s="1044">
        <f t="shared" si="121"/>
        <v>0</v>
      </c>
      <c r="BB138" s="1044" t="str">
        <f t="shared" si="122"/>
        <v/>
      </c>
      <c r="BC138" s="1044">
        <f t="shared" si="123"/>
        <v>0</v>
      </c>
      <c r="BD138" s="1044">
        <f t="shared" si="124"/>
        <v>0</v>
      </c>
      <c r="BE138" s="1044" t="str">
        <f t="shared" si="125"/>
        <v/>
      </c>
      <c r="BF138" s="1044" t="str">
        <f t="shared" si="126"/>
        <v/>
      </c>
      <c r="BG138" s="1044" t="str">
        <f t="shared" si="127"/>
        <v/>
      </c>
      <c r="BH138" s="1044" t="str">
        <f t="shared" si="128"/>
        <v/>
      </c>
      <c r="BI138" s="1044" t="str">
        <f t="shared" si="129"/>
        <v/>
      </c>
      <c r="BJ138" s="1044" t="str">
        <f t="shared" si="130"/>
        <v/>
      </c>
      <c r="BK138" s="1044" t="str">
        <f t="shared" si="131"/>
        <v/>
      </c>
      <c r="BL138" s="1044" t="str">
        <f t="shared" si="132"/>
        <v/>
      </c>
      <c r="BM138" s="1044" t="str">
        <f t="shared" si="133"/>
        <v/>
      </c>
      <c r="BN138" s="1044" t="str">
        <f t="shared" si="134"/>
        <v/>
      </c>
      <c r="BO138" s="1044" t="str">
        <f t="shared" si="135"/>
        <v/>
      </c>
      <c r="BP138" s="1044" t="str">
        <f t="shared" si="136"/>
        <v/>
      </c>
      <c r="BQ138" s="1044" t="str">
        <f t="shared" si="137"/>
        <v/>
      </c>
      <c r="BR138" s="1044" t="str">
        <f t="shared" si="138"/>
        <v/>
      </c>
      <c r="BS138" s="1044" t="str">
        <f t="shared" si="139"/>
        <v/>
      </c>
      <c r="BT138" s="1044" t="str">
        <f t="shared" si="140"/>
        <v/>
      </c>
      <c r="BU138" s="1044" t="str">
        <f t="shared" si="141"/>
        <v/>
      </c>
    </row>
    <row r="139" spans="1:73" ht="30" customHeight="1">
      <c r="A139" s="1069" t="str">
        <f t="shared" si="71"/>
        <v/>
      </c>
      <c r="B139" s="1063"/>
      <c r="C139" s="1064" t="s">
        <v>254</v>
      </c>
      <c r="D139" s="1070" t="str">
        <f t="shared" si="72"/>
        <v/>
      </c>
      <c r="E139" s="1071" t="str">
        <f t="shared" si="73"/>
        <v/>
      </c>
      <c r="F139" s="1067" t="str">
        <f t="shared" si="74"/>
        <v/>
      </c>
      <c r="G139" s="1068" t="str">
        <f t="shared" si="75"/>
        <v/>
      </c>
      <c r="H139" s="1069" t="str">
        <f t="shared" si="76"/>
        <v/>
      </c>
      <c r="I139" s="1069" t="str">
        <f t="shared" si="77"/>
        <v/>
      </c>
      <c r="J139" s="1067" t="str">
        <f t="shared" si="78"/>
        <v/>
      </c>
      <c r="K139" s="1044" t="str">
        <f t="shared" si="79"/>
        <v/>
      </c>
      <c r="L139" s="1044" t="str">
        <f t="shared" si="80"/>
        <v/>
      </c>
      <c r="M139" s="1044" t="str">
        <f t="shared" si="81"/>
        <v/>
      </c>
      <c r="N139" s="1044" t="str">
        <f t="shared" si="82"/>
        <v/>
      </c>
      <c r="O139" s="1044" t="str">
        <f t="shared" si="83"/>
        <v/>
      </c>
      <c r="P139" s="1044" t="str">
        <f t="shared" si="84"/>
        <v/>
      </c>
      <c r="Q139" s="1044">
        <f t="shared" si="85"/>
        <v>0</v>
      </c>
      <c r="R139" s="1044">
        <f t="shared" si="86"/>
        <v>0</v>
      </c>
      <c r="S139" s="1044">
        <f t="shared" si="87"/>
        <v>0</v>
      </c>
      <c r="T139" s="1044">
        <f t="shared" si="88"/>
        <v>0</v>
      </c>
      <c r="U139" s="1044" t="str">
        <f t="shared" si="89"/>
        <v/>
      </c>
      <c r="V139" s="1044" t="str">
        <f t="shared" si="90"/>
        <v/>
      </c>
      <c r="W139" s="1044">
        <f t="shared" si="91"/>
        <v>0</v>
      </c>
      <c r="X139" s="1044" t="str">
        <f t="shared" si="92"/>
        <v/>
      </c>
      <c r="Y139" s="1044">
        <f t="shared" si="93"/>
        <v>0</v>
      </c>
      <c r="Z139" s="1044" t="str">
        <f t="shared" si="94"/>
        <v/>
      </c>
      <c r="AA139" s="1044">
        <f t="shared" si="95"/>
        <v>0</v>
      </c>
      <c r="AB139" s="1044">
        <f t="shared" si="96"/>
        <v>0</v>
      </c>
      <c r="AC139" s="1044">
        <f t="shared" si="97"/>
        <v>0</v>
      </c>
      <c r="AD139" s="1044" t="str">
        <f t="shared" si="98"/>
        <v/>
      </c>
      <c r="AE139" s="1044">
        <f t="shared" si="99"/>
        <v>0</v>
      </c>
      <c r="AF139" s="1044" t="str">
        <f t="shared" si="100"/>
        <v/>
      </c>
      <c r="AG139" s="1044">
        <f t="shared" si="101"/>
        <v>0</v>
      </c>
      <c r="AH139" s="1044">
        <f t="shared" si="102"/>
        <v>0</v>
      </c>
      <c r="AI139" s="1044" t="str">
        <f t="shared" si="103"/>
        <v/>
      </c>
      <c r="AJ139" s="1044">
        <f t="shared" si="104"/>
        <v>0</v>
      </c>
      <c r="AK139" s="1044">
        <f t="shared" si="105"/>
        <v>0</v>
      </c>
      <c r="AL139" s="1044">
        <f t="shared" si="106"/>
        <v>0</v>
      </c>
      <c r="AM139" s="1044">
        <f t="shared" si="107"/>
        <v>0</v>
      </c>
      <c r="AN139" s="1044" t="str">
        <f t="shared" si="108"/>
        <v/>
      </c>
      <c r="AO139" s="1044" t="str">
        <f t="shared" si="109"/>
        <v/>
      </c>
      <c r="AP139" s="1044">
        <f t="shared" si="110"/>
        <v>0</v>
      </c>
      <c r="AQ139" s="1044">
        <f t="shared" si="111"/>
        <v>0</v>
      </c>
      <c r="AR139" s="1044" t="str">
        <f t="shared" si="112"/>
        <v/>
      </c>
      <c r="AS139" s="1044">
        <f t="shared" si="113"/>
        <v>0</v>
      </c>
      <c r="AT139" s="1044" t="str">
        <f t="shared" si="114"/>
        <v/>
      </c>
      <c r="AU139" s="1044">
        <f t="shared" si="115"/>
        <v>0</v>
      </c>
      <c r="AV139" s="1044" t="str">
        <f t="shared" si="116"/>
        <v/>
      </c>
      <c r="AW139" s="1044">
        <f t="shared" si="117"/>
        <v>0</v>
      </c>
      <c r="AX139" s="1044" t="str">
        <f t="shared" si="118"/>
        <v/>
      </c>
      <c r="AY139" s="1044">
        <f t="shared" si="119"/>
        <v>0</v>
      </c>
      <c r="AZ139" s="1044" t="str">
        <f t="shared" si="120"/>
        <v/>
      </c>
      <c r="BA139" s="1044">
        <f t="shared" si="121"/>
        <v>0</v>
      </c>
      <c r="BB139" s="1044" t="str">
        <f t="shared" si="122"/>
        <v/>
      </c>
      <c r="BC139" s="1044">
        <f t="shared" si="123"/>
        <v>0</v>
      </c>
      <c r="BD139" s="1044">
        <f t="shared" si="124"/>
        <v>0</v>
      </c>
      <c r="BE139" s="1044" t="str">
        <f t="shared" si="125"/>
        <v/>
      </c>
      <c r="BF139" s="1044" t="str">
        <f t="shared" si="126"/>
        <v/>
      </c>
      <c r="BG139" s="1044" t="str">
        <f t="shared" si="127"/>
        <v/>
      </c>
      <c r="BH139" s="1044" t="str">
        <f t="shared" si="128"/>
        <v/>
      </c>
      <c r="BI139" s="1044" t="str">
        <f t="shared" si="129"/>
        <v/>
      </c>
      <c r="BJ139" s="1044" t="str">
        <f t="shared" si="130"/>
        <v/>
      </c>
      <c r="BK139" s="1044" t="str">
        <f t="shared" si="131"/>
        <v/>
      </c>
      <c r="BL139" s="1044" t="str">
        <f t="shared" si="132"/>
        <v/>
      </c>
      <c r="BM139" s="1044" t="str">
        <f t="shared" si="133"/>
        <v/>
      </c>
      <c r="BN139" s="1044" t="str">
        <f t="shared" si="134"/>
        <v/>
      </c>
      <c r="BO139" s="1044" t="str">
        <f t="shared" si="135"/>
        <v/>
      </c>
      <c r="BP139" s="1044" t="str">
        <f t="shared" si="136"/>
        <v/>
      </c>
      <c r="BQ139" s="1044" t="str">
        <f t="shared" si="137"/>
        <v/>
      </c>
      <c r="BR139" s="1044" t="str">
        <f t="shared" si="138"/>
        <v/>
      </c>
      <c r="BS139" s="1044" t="str">
        <f t="shared" si="139"/>
        <v/>
      </c>
      <c r="BT139" s="1044" t="str">
        <f t="shared" si="140"/>
        <v/>
      </c>
      <c r="BU139" s="1044" t="str">
        <f t="shared" si="141"/>
        <v/>
      </c>
    </row>
    <row r="140" spans="1:73" ht="30" customHeight="1">
      <c r="A140" s="1069" t="str">
        <f t="shared" si="71"/>
        <v/>
      </c>
      <c r="B140" s="1063"/>
      <c r="C140" s="1064" t="s">
        <v>254</v>
      </c>
      <c r="D140" s="1070" t="str">
        <f t="shared" si="72"/>
        <v/>
      </c>
      <c r="E140" s="1071" t="str">
        <f t="shared" si="73"/>
        <v/>
      </c>
      <c r="F140" s="1067" t="str">
        <f t="shared" si="74"/>
        <v/>
      </c>
      <c r="G140" s="1068" t="str">
        <f t="shared" si="75"/>
        <v/>
      </c>
      <c r="H140" s="1069" t="str">
        <f t="shared" si="76"/>
        <v/>
      </c>
      <c r="I140" s="1069" t="str">
        <f t="shared" si="77"/>
        <v/>
      </c>
      <c r="J140" s="1067" t="str">
        <f t="shared" si="78"/>
        <v/>
      </c>
      <c r="K140" s="1044" t="str">
        <f t="shared" si="79"/>
        <v/>
      </c>
      <c r="L140" s="1044" t="str">
        <f t="shared" si="80"/>
        <v/>
      </c>
      <c r="M140" s="1044" t="str">
        <f t="shared" si="81"/>
        <v/>
      </c>
      <c r="N140" s="1044" t="str">
        <f t="shared" si="82"/>
        <v/>
      </c>
      <c r="O140" s="1044" t="str">
        <f t="shared" si="83"/>
        <v/>
      </c>
      <c r="P140" s="1044" t="str">
        <f t="shared" si="84"/>
        <v/>
      </c>
      <c r="Q140" s="1044">
        <f t="shared" si="85"/>
        <v>0</v>
      </c>
      <c r="R140" s="1044">
        <f t="shared" si="86"/>
        <v>0</v>
      </c>
      <c r="S140" s="1044">
        <f t="shared" si="87"/>
        <v>0</v>
      </c>
      <c r="T140" s="1044">
        <f t="shared" si="88"/>
        <v>0</v>
      </c>
      <c r="U140" s="1044" t="str">
        <f t="shared" si="89"/>
        <v/>
      </c>
      <c r="V140" s="1044" t="str">
        <f t="shared" si="90"/>
        <v/>
      </c>
      <c r="W140" s="1044">
        <f t="shared" si="91"/>
        <v>0</v>
      </c>
      <c r="X140" s="1044" t="str">
        <f t="shared" si="92"/>
        <v/>
      </c>
      <c r="Y140" s="1044">
        <f t="shared" si="93"/>
        <v>0</v>
      </c>
      <c r="Z140" s="1044" t="str">
        <f t="shared" si="94"/>
        <v/>
      </c>
      <c r="AA140" s="1044">
        <f t="shared" si="95"/>
        <v>0</v>
      </c>
      <c r="AB140" s="1044">
        <f t="shared" si="96"/>
        <v>0</v>
      </c>
      <c r="AC140" s="1044">
        <f t="shared" si="97"/>
        <v>0</v>
      </c>
      <c r="AD140" s="1044" t="str">
        <f t="shared" si="98"/>
        <v/>
      </c>
      <c r="AE140" s="1044">
        <f t="shared" si="99"/>
        <v>0</v>
      </c>
      <c r="AF140" s="1044" t="str">
        <f t="shared" si="100"/>
        <v/>
      </c>
      <c r="AG140" s="1044">
        <f t="shared" si="101"/>
        <v>0</v>
      </c>
      <c r="AH140" s="1044">
        <f t="shared" si="102"/>
        <v>0</v>
      </c>
      <c r="AI140" s="1044" t="str">
        <f t="shared" si="103"/>
        <v/>
      </c>
      <c r="AJ140" s="1044">
        <f t="shared" si="104"/>
        <v>0</v>
      </c>
      <c r="AK140" s="1044">
        <f t="shared" si="105"/>
        <v>0</v>
      </c>
      <c r="AL140" s="1044">
        <f t="shared" si="106"/>
        <v>0</v>
      </c>
      <c r="AM140" s="1044">
        <f t="shared" si="107"/>
        <v>0</v>
      </c>
      <c r="AN140" s="1044" t="str">
        <f t="shared" si="108"/>
        <v/>
      </c>
      <c r="AO140" s="1044" t="str">
        <f t="shared" si="109"/>
        <v/>
      </c>
      <c r="AP140" s="1044">
        <f t="shared" si="110"/>
        <v>0</v>
      </c>
      <c r="AQ140" s="1044">
        <f t="shared" si="111"/>
        <v>0</v>
      </c>
      <c r="AR140" s="1044" t="str">
        <f t="shared" si="112"/>
        <v/>
      </c>
      <c r="AS140" s="1044">
        <f t="shared" si="113"/>
        <v>0</v>
      </c>
      <c r="AT140" s="1044" t="str">
        <f t="shared" si="114"/>
        <v/>
      </c>
      <c r="AU140" s="1044">
        <f t="shared" si="115"/>
        <v>0</v>
      </c>
      <c r="AV140" s="1044" t="str">
        <f t="shared" si="116"/>
        <v/>
      </c>
      <c r="AW140" s="1044">
        <f t="shared" si="117"/>
        <v>0</v>
      </c>
      <c r="AX140" s="1044" t="str">
        <f t="shared" si="118"/>
        <v/>
      </c>
      <c r="AY140" s="1044">
        <f t="shared" si="119"/>
        <v>0</v>
      </c>
      <c r="AZ140" s="1044" t="str">
        <f t="shared" si="120"/>
        <v/>
      </c>
      <c r="BA140" s="1044">
        <f t="shared" si="121"/>
        <v>0</v>
      </c>
      <c r="BB140" s="1044" t="str">
        <f t="shared" si="122"/>
        <v/>
      </c>
      <c r="BC140" s="1044">
        <f t="shared" si="123"/>
        <v>0</v>
      </c>
      <c r="BD140" s="1044">
        <f t="shared" si="124"/>
        <v>0</v>
      </c>
      <c r="BE140" s="1044" t="str">
        <f t="shared" si="125"/>
        <v/>
      </c>
      <c r="BF140" s="1044" t="str">
        <f t="shared" si="126"/>
        <v/>
      </c>
      <c r="BG140" s="1044" t="str">
        <f t="shared" si="127"/>
        <v/>
      </c>
      <c r="BH140" s="1044" t="str">
        <f t="shared" si="128"/>
        <v/>
      </c>
      <c r="BI140" s="1044" t="str">
        <f t="shared" si="129"/>
        <v/>
      </c>
      <c r="BJ140" s="1044" t="str">
        <f t="shared" si="130"/>
        <v/>
      </c>
      <c r="BK140" s="1044" t="str">
        <f t="shared" si="131"/>
        <v/>
      </c>
      <c r="BL140" s="1044" t="str">
        <f t="shared" si="132"/>
        <v/>
      </c>
      <c r="BM140" s="1044" t="str">
        <f t="shared" si="133"/>
        <v/>
      </c>
      <c r="BN140" s="1044" t="str">
        <f t="shared" si="134"/>
        <v/>
      </c>
      <c r="BO140" s="1044" t="str">
        <f t="shared" si="135"/>
        <v/>
      </c>
      <c r="BP140" s="1044" t="str">
        <f t="shared" si="136"/>
        <v/>
      </c>
      <c r="BQ140" s="1044" t="str">
        <f t="shared" si="137"/>
        <v/>
      </c>
      <c r="BR140" s="1044" t="str">
        <f t="shared" si="138"/>
        <v/>
      </c>
      <c r="BS140" s="1044" t="str">
        <f t="shared" si="139"/>
        <v/>
      </c>
      <c r="BT140" s="1044" t="str">
        <f t="shared" si="140"/>
        <v/>
      </c>
      <c r="BU140" s="1044" t="str">
        <f t="shared" si="141"/>
        <v/>
      </c>
    </row>
    <row r="141" spans="1:73" ht="30" customHeight="1">
      <c r="A141" s="1069" t="str">
        <f t="shared" si="71"/>
        <v/>
      </c>
      <c r="B141" s="1063"/>
      <c r="C141" s="1064" t="s">
        <v>254</v>
      </c>
      <c r="D141" s="1070" t="str">
        <f t="shared" si="72"/>
        <v/>
      </c>
      <c r="E141" s="1071" t="str">
        <f t="shared" si="73"/>
        <v/>
      </c>
      <c r="F141" s="1067" t="str">
        <f t="shared" si="74"/>
        <v/>
      </c>
      <c r="G141" s="1068" t="str">
        <f t="shared" si="75"/>
        <v/>
      </c>
      <c r="H141" s="1069" t="str">
        <f t="shared" si="76"/>
        <v/>
      </c>
      <c r="I141" s="1069" t="str">
        <f t="shared" si="77"/>
        <v/>
      </c>
      <c r="J141" s="1067" t="str">
        <f t="shared" si="78"/>
        <v/>
      </c>
      <c r="K141" s="1044" t="str">
        <f t="shared" si="79"/>
        <v/>
      </c>
      <c r="L141" s="1044" t="str">
        <f t="shared" si="80"/>
        <v/>
      </c>
      <c r="M141" s="1044" t="str">
        <f t="shared" si="81"/>
        <v/>
      </c>
      <c r="N141" s="1044" t="str">
        <f t="shared" si="82"/>
        <v/>
      </c>
      <c r="O141" s="1044" t="str">
        <f t="shared" si="83"/>
        <v/>
      </c>
      <c r="P141" s="1044" t="str">
        <f t="shared" si="84"/>
        <v/>
      </c>
      <c r="Q141" s="1044">
        <f t="shared" si="85"/>
        <v>0</v>
      </c>
      <c r="R141" s="1044">
        <f t="shared" si="86"/>
        <v>0</v>
      </c>
      <c r="S141" s="1044">
        <f t="shared" si="87"/>
        <v>0</v>
      </c>
      <c r="T141" s="1044">
        <f t="shared" si="88"/>
        <v>0</v>
      </c>
      <c r="U141" s="1044" t="str">
        <f t="shared" si="89"/>
        <v/>
      </c>
      <c r="V141" s="1044" t="str">
        <f t="shared" si="90"/>
        <v/>
      </c>
      <c r="W141" s="1044">
        <f t="shared" si="91"/>
        <v>0</v>
      </c>
      <c r="X141" s="1044" t="str">
        <f t="shared" si="92"/>
        <v/>
      </c>
      <c r="Y141" s="1044">
        <f t="shared" si="93"/>
        <v>0</v>
      </c>
      <c r="Z141" s="1044" t="str">
        <f t="shared" si="94"/>
        <v/>
      </c>
      <c r="AA141" s="1044">
        <f t="shared" si="95"/>
        <v>0</v>
      </c>
      <c r="AB141" s="1044">
        <f t="shared" si="96"/>
        <v>0</v>
      </c>
      <c r="AC141" s="1044">
        <f t="shared" si="97"/>
        <v>0</v>
      </c>
      <c r="AD141" s="1044" t="str">
        <f t="shared" si="98"/>
        <v/>
      </c>
      <c r="AE141" s="1044">
        <f t="shared" si="99"/>
        <v>0</v>
      </c>
      <c r="AF141" s="1044" t="str">
        <f t="shared" si="100"/>
        <v/>
      </c>
      <c r="AG141" s="1044">
        <f t="shared" si="101"/>
        <v>0</v>
      </c>
      <c r="AH141" s="1044">
        <f t="shared" si="102"/>
        <v>0</v>
      </c>
      <c r="AI141" s="1044" t="str">
        <f t="shared" si="103"/>
        <v/>
      </c>
      <c r="AJ141" s="1044">
        <f t="shared" si="104"/>
        <v>0</v>
      </c>
      <c r="AK141" s="1044">
        <f t="shared" si="105"/>
        <v>0</v>
      </c>
      <c r="AL141" s="1044">
        <f t="shared" si="106"/>
        <v>0</v>
      </c>
      <c r="AM141" s="1044">
        <f t="shared" si="107"/>
        <v>0</v>
      </c>
      <c r="AN141" s="1044" t="str">
        <f t="shared" si="108"/>
        <v/>
      </c>
      <c r="AO141" s="1044" t="str">
        <f t="shared" si="109"/>
        <v/>
      </c>
      <c r="AP141" s="1044">
        <f t="shared" si="110"/>
        <v>0</v>
      </c>
      <c r="AQ141" s="1044">
        <f t="shared" si="111"/>
        <v>0</v>
      </c>
      <c r="AR141" s="1044" t="str">
        <f t="shared" si="112"/>
        <v/>
      </c>
      <c r="AS141" s="1044">
        <f t="shared" si="113"/>
        <v>0</v>
      </c>
      <c r="AT141" s="1044" t="str">
        <f t="shared" si="114"/>
        <v/>
      </c>
      <c r="AU141" s="1044">
        <f t="shared" si="115"/>
        <v>0</v>
      </c>
      <c r="AV141" s="1044" t="str">
        <f t="shared" si="116"/>
        <v/>
      </c>
      <c r="AW141" s="1044">
        <f t="shared" si="117"/>
        <v>0</v>
      </c>
      <c r="AX141" s="1044" t="str">
        <f t="shared" si="118"/>
        <v/>
      </c>
      <c r="AY141" s="1044">
        <f t="shared" si="119"/>
        <v>0</v>
      </c>
      <c r="AZ141" s="1044" t="str">
        <f t="shared" si="120"/>
        <v/>
      </c>
      <c r="BA141" s="1044">
        <f t="shared" si="121"/>
        <v>0</v>
      </c>
      <c r="BB141" s="1044" t="str">
        <f t="shared" si="122"/>
        <v/>
      </c>
      <c r="BC141" s="1044">
        <f t="shared" si="123"/>
        <v>0</v>
      </c>
      <c r="BD141" s="1044">
        <f t="shared" si="124"/>
        <v>0</v>
      </c>
      <c r="BE141" s="1044" t="str">
        <f t="shared" si="125"/>
        <v/>
      </c>
      <c r="BF141" s="1044" t="str">
        <f t="shared" si="126"/>
        <v/>
      </c>
      <c r="BG141" s="1044" t="str">
        <f t="shared" si="127"/>
        <v/>
      </c>
      <c r="BH141" s="1044" t="str">
        <f t="shared" si="128"/>
        <v/>
      </c>
      <c r="BI141" s="1044" t="str">
        <f t="shared" si="129"/>
        <v/>
      </c>
      <c r="BJ141" s="1044" t="str">
        <f t="shared" si="130"/>
        <v/>
      </c>
      <c r="BK141" s="1044" t="str">
        <f t="shared" si="131"/>
        <v/>
      </c>
      <c r="BL141" s="1044" t="str">
        <f t="shared" si="132"/>
        <v/>
      </c>
      <c r="BM141" s="1044" t="str">
        <f t="shared" si="133"/>
        <v/>
      </c>
      <c r="BN141" s="1044" t="str">
        <f t="shared" si="134"/>
        <v/>
      </c>
      <c r="BO141" s="1044" t="str">
        <f t="shared" si="135"/>
        <v/>
      </c>
      <c r="BP141" s="1044" t="str">
        <f t="shared" si="136"/>
        <v/>
      </c>
      <c r="BQ141" s="1044" t="str">
        <f t="shared" si="137"/>
        <v/>
      </c>
      <c r="BR141" s="1044" t="str">
        <f t="shared" si="138"/>
        <v/>
      </c>
      <c r="BS141" s="1044" t="str">
        <f t="shared" si="139"/>
        <v/>
      </c>
      <c r="BT141" s="1044" t="str">
        <f t="shared" si="140"/>
        <v/>
      </c>
      <c r="BU141" s="1044" t="str">
        <f t="shared" si="141"/>
        <v/>
      </c>
    </row>
    <row r="142" spans="1:73" ht="30" customHeight="1">
      <c r="A142" s="1069" t="str">
        <f t="shared" si="71"/>
        <v/>
      </c>
      <c r="B142" s="1063"/>
      <c r="C142" s="1064" t="s">
        <v>254</v>
      </c>
      <c r="D142" s="1070" t="str">
        <f t="shared" si="72"/>
        <v/>
      </c>
      <c r="E142" s="1071" t="str">
        <f t="shared" si="73"/>
        <v/>
      </c>
      <c r="F142" s="1067" t="str">
        <f t="shared" si="74"/>
        <v/>
      </c>
      <c r="G142" s="1068" t="str">
        <f t="shared" si="75"/>
        <v/>
      </c>
      <c r="H142" s="1069" t="str">
        <f t="shared" si="76"/>
        <v/>
      </c>
      <c r="I142" s="1069" t="str">
        <f t="shared" si="77"/>
        <v/>
      </c>
      <c r="J142" s="1067" t="str">
        <f t="shared" si="78"/>
        <v/>
      </c>
      <c r="K142" s="1044" t="str">
        <f t="shared" si="79"/>
        <v/>
      </c>
      <c r="L142" s="1044" t="str">
        <f t="shared" si="80"/>
        <v/>
      </c>
      <c r="M142" s="1044" t="str">
        <f t="shared" si="81"/>
        <v/>
      </c>
      <c r="N142" s="1044" t="str">
        <f t="shared" si="82"/>
        <v/>
      </c>
      <c r="O142" s="1044" t="str">
        <f t="shared" si="83"/>
        <v/>
      </c>
      <c r="P142" s="1044" t="str">
        <f t="shared" si="84"/>
        <v/>
      </c>
      <c r="Q142" s="1044">
        <f t="shared" si="85"/>
        <v>0</v>
      </c>
      <c r="R142" s="1044">
        <f t="shared" si="86"/>
        <v>0</v>
      </c>
      <c r="S142" s="1044">
        <f t="shared" si="87"/>
        <v>0</v>
      </c>
      <c r="T142" s="1044">
        <f t="shared" si="88"/>
        <v>0</v>
      </c>
      <c r="U142" s="1044" t="str">
        <f t="shared" si="89"/>
        <v/>
      </c>
      <c r="V142" s="1044" t="str">
        <f t="shared" si="90"/>
        <v/>
      </c>
      <c r="W142" s="1044">
        <f t="shared" si="91"/>
        <v>0</v>
      </c>
      <c r="X142" s="1044" t="str">
        <f t="shared" si="92"/>
        <v/>
      </c>
      <c r="Y142" s="1044">
        <f t="shared" si="93"/>
        <v>0</v>
      </c>
      <c r="Z142" s="1044" t="str">
        <f t="shared" si="94"/>
        <v/>
      </c>
      <c r="AA142" s="1044">
        <f t="shared" si="95"/>
        <v>0</v>
      </c>
      <c r="AB142" s="1044">
        <f t="shared" si="96"/>
        <v>0</v>
      </c>
      <c r="AC142" s="1044">
        <f t="shared" si="97"/>
        <v>0</v>
      </c>
      <c r="AD142" s="1044" t="str">
        <f t="shared" si="98"/>
        <v/>
      </c>
      <c r="AE142" s="1044">
        <f t="shared" si="99"/>
        <v>0</v>
      </c>
      <c r="AF142" s="1044" t="str">
        <f t="shared" si="100"/>
        <v/>
      </c>
      <c r="AG142" s="1044">
        <f t="shared" si="101"/>
        <v>0</v>
      </c>
      <c r="AH142" s="1044">
        <f t="shared" si="102"/>
        <v>0</v>
      </c>
      <c r="AI142" s="1044" t="str">
        <f t="shared" si="103"/>
        <v/>
      </c>
      <c r="AJ142" s="1044">
        <f t="shared" si="104"/>
        <v>0</v>
      </c>
      <c r="AK142" s="1044">
        <f t="shared" si="105"/>
        <v>0</v>
      </c>
      <c r="AL142" s="1044">
        <f t="shared" si="106"/>
        <v>0</v>
      </c>
      <c r="AM142" s="1044">
        <f t="shared" si="107"/>
        <v>0</v>
      </c>
      <c r="AN142" s="1044" t="str">
        <f t="shared" si="108"/>
        <v/>
      </c>
      <c r="AO142" s="1044" t="str">
        <f t="shared" si="109"/>
        <v/>
      </c>
      <c r="AP142" s="1044">
        <f t="shared" si="110"/>
        <v>0</v>
      </c>
      <c r="AQ142" s="1044">
        <f t="shared" si="111"/>
        <v>0</v>
      </c>
      <c r="AR142" s="1044" t="str">
        <f t="shared" si="112"/>
        <v/>
      </c>
      <c r="AS142" s="1044">
        <f t="shared" si="113"/>
        <v>0</v>
      </c>
      <c r="AT142" s="1044" t="str">
        <f t="shared" si="114"/>
        <v/>
      </c>
      <c r="AU142" s="1044">
        <f t="shared" si="115"/>
        <v>0</v>
      </c>
      <c r="AV142" s="1044" t="str">
        <f t="shared" si="116"/>
        <v/>
      </c>
      <c r="AW142" s="1044">
        <f t="shared" si="117"/>
        <v>0</v>
      </c>
      <c r="AX142" s="1044" t="str">
        <f t="shared" si="118"/>
        <v/>
      </c>
      <c r="AY142" s="1044">
        <f t="shared" si="119"/>
        <v>0</v>
      </c>
      <c r="AZ142" s="1044" t="str">
        <f t="shared" si="120"/>
        <v/>
      </c>
      <c r="BA142" s="1044">
        <f t="shared" si="121"/>
        <v>0</v>
      </c>
      <c r="BB142" s="1044" t="str">
        <f t="shared" si="122"/>
        <v/>
      </c>
      <c r="BC142" s="1044">
        <f t="shared" si="123"/>
        <v>0</v>
      </c>
      <c r="BD142" s="1044">
        <f t="shared" si="124"/>
        <v>0</v>
      </c>
      <c r="BE142" s="1044" t="str">
        <f t="shared" si="125"/>
        <v/>
      </c>
      <c r="BF142" s="1044" t="str">
        <f t="shared" si="126"/>
        <v/>
      </c>
      <c r="BG142" s="1044" t="str">
        <f t="shared" si="127"/>
        <v/>
      </c>
      <c r="BH142" s="1044" t="str">
        <f t="shared" si="128"/>
        <v/>
      </c>
      <c r="BI142" s="1044" t="str">
        <f t="shared" si="129"/>
        <v/>
      </c>
      <c r="BJ142" s="1044" t="str">
        <f t="shared" si="130"/>
        <v/>
      </c>
      <c r="BK142" s="1044" t="str">
        <f t="shared" si="131"/>
        <v/>
      </c>
      <c r="BL142" s="1044" t="str">
        <f t="shared" si="132"/>
        <v/>
      </c>
      <c r="BM142" s="1044" t="str">
        <f t="shared" si="133"/>
        <v/>
      </c>
      <c r="BN142" s="1044" t="str">
        <f t="shared" si="134"/>
        <v/>
      </c>
      <c r="BO142" s="1044" t="str">
        <f t="shared" si="135"/>
        <v/>
      </c>
      <c r="BP142" s="1044" t="str">
        <f t="shared" si="136"/>
        <v/>
      </c>
      <c r="BQ142" s="1044" t="str">
        <f t="shared" si="137"/>
        <v/>
      </c>
      <c r="BR142" s="1044" t="str">
        <f t="shared" si="138"/>
        <v/>
      </c>
      <c r="BS142" s="1044" t="str">
        <f t="shared" si="139"/>
        <v/>
      </c>
      <c r="BT142" s="1044" t="str">
        <f t="shared" si="140"/>
        <v/>
      </c>
      <c r="BU142" s="1044" t="str">
        <f t="shared" si="141"/>
        <v/>
      </c>
    </row>
    <row r="143" spans="1:73" ht="30" customHeight="1">
      <c r="A143" s="1069" t="str">
        <f t="shared" si="71"/>
        <v/>
      </c>
      <c r="B143" s="1063"/>
      <c r="C143" s="1064" t="s">
        <v>254</v>
      </c>
      <c r="D143" s="1070" t="str">
        <f t="shared" si="72"/>
        <v/>
      </c>
      <c r="E143" s="1071" t="str">
        <f t="shared" si="73"/>
        <v/>
      </c>
      <c r="F143" s="1067" t="str">
        <f t="shared" si="74"/>
        <v/>
      </c>
      <c r="G143" s="1068" t="str">
        <f t="shared" si="75"/>
        <v/>
      </c>
      <c r="H143" s="1069" t="str">
        <f t="shared" si="76"/>
        <v/>
      </c>
      <c r="I143" s="1069" t="str">
        <f t="shared" si="77"/>
        <v/>
      </c>
      <c r="J143" s="1067" t="str">
        <f t="shared" si="78"/>
        <v/>
      </c>
      <c r="K143" s="1044" t="str">
        <f t="shared" si="79"/>
        <v/>
      </c>
      <c r="L143" s="1044" t="str">
        <f t="shared" si="80"/>
        <v/>
      </c>
      <c r="M143" s="1044" t="str">
        <f t="shared" si="81"/>
        <v/>
      </c>
      <c r="N143" s="1044" t="str">
        <f t="shared" si="82"/>
        <v/>
      </c>
      <c r="O143" s="1044" t="str">
        <f t="shared" si="83"/>
        <v/>
      </c>
      <c r="P143" s="1044" t="str">
        <f t="shared" si="84"/>
        <v/>
      </c>
      <c r="Q143" s="1044">
        <f t="shared" si="85"/>
        <v>0</v>
      </c>
      <c r="R143" s="1044">
        <f t="shared" si="86"/>
        <v>0</v>
      </c>
      <c r="S143" s="1044">
        <f t="shared" si="87"/>
        <v>0</v>
      </c>
      <c r="T143" s="1044">
        <f t="shared" si="88"/>
        <v>0</v>
      </c>
      <c r="U143" s="1044" t="str">
        <f t="shared" si="89"/>
        <v/>
      </c>
      <c r="V143" s="1044" t="str">
        <f t="shared" si="90"/>
        <v/>
      </c>
      <c r="W143" s="1044">
        <f t="shared" si="91"/>
        <v>0</v>
      </c>
      <c r="X143" s="1044" t="str">
        <f t="shared" si="92"/>
        <v/>
      </c>
      <c r="Y143" s="1044">
        <f t="shared" si="93"/>
        <v>0</v>
      </c>
      <c r="Z143" s="1044" t="str">
        <f t="shared" si="94"/>
        <v/>
      </c>
      <c r="AA143" s="1044">
        <f t="shared" si="95"/>
        <v>0</v>
      </c>
      <c r="AB143" s="1044">
        <f t="shared" si="96"/>
        <v>0</v>
      </c>
      <c r="AC143" s="1044">
        <f t="shared" si="97"/>
        <v>0</v>
      </c>
      <c r="AD143" s="1044" t="str">
        <f t="shared" si="98"/>
        <v/>
      </c>
      <c r="AE143" s="1044">
        <f t="shared" si="99"/>
        <v>0</v>
      </c>
      <c r="AF143" s="1044" t="str">
        <f t="shared" si="100"/>
        <v/>
      </c>
      <c r="AG143" s="1044">
        <f t="shared" si="101"/>
        <v>0</v>
      </c>
      <c r="AH143" s="1044">
        <f t="shared" si="102"/>
        <v>0</v>
      </c>
      <c r="AI143" s="1044" t="str">
        <f t="shared" si="103"/>
        <v/>
      </c>
      <c r="AJ143" s="1044">
        <f t="shared" si="104"/>
        <v>0</v>
      </c>
      <c r="AK143" s="1044">
        <f t="shared" si="105"/>
        <v>0</v>
      </c>
      <c r="AL143" s="1044">
        <f t="shared" si="106"/>
        <v>0</v>
      </c>
      <c r="AM143" s="1044">
        <f t="shared" si="107"/>
        <v>0</v>
      </c>
      <c r="AN143" s="1044" t="str">
        <f t="shared" si="108"/>
        <v/>
      </c>
      <c r="AO143" s="1044" t="str">
        <f t="shared" si="109"/>
        <v/>
      </c>
      <c r="AP143" s="1044">
        <f t="shared" si="110"/>
        <v>0</v>
      </c>
      <c r="AQ143" s="1044">
        <f t="shared" si="111"/>
        <v>0</v>
      </c>
      <c r="AR143" s="1044" t="str">
        <f t="shared" si="112"/>
        <v/>
      </c>
      <c r="AS143" s="1044">
        <f t="shared" si="113"/>
        <v>0</v>
      </c>
      <c r="AT143" s="1044" t="str">
        <f t="shared" si="114"/>
        <v/>
      </c>
      <c r="AU143" s="1044">
        <f t="shared" si="115"/>
        <v>0</v>
      </c>
      <c r="AV143" s="1044" t="str">
        <f t="shared" si="116"/>
        <v/>
      </c>
      <c r="AW143" s="1044">
        <f t="shared" si="117"/>
        <v>0</v>
      </c>
      <c r="AX143" s="1044" t="str">
        <f t="shared" si="118"/>
        <v/>
      </c>
      <c r="AY143" s="1044">
        <f t="shared" si="119"/>
        <v>0</v>
      </c>
      <c r="AZ143" s="1044" t="str">
        <f t="shared" si="120"/>
        <v/>
      </c>
      <c r="BA143" s="1044">
        <f t="shared" si="121"/>
        <v>0</v>
      </c>
      <c r="BB143" s="1044" t="str">
        <f t="shared" si="122"/>
        <v/>
      </c>
      <c r="BC143" s="1044">
        <f t="shared" si="123"/>
        <v>0</v>
      </c>
      <c r="BD143" s="1044">
        <f t="shared" si="124"/>
        <v>0</v>
      </c>
      <c r="BE143" s="1044" t="str">
        <f t="shared" si="125"/>
        <v/>
      </c>
      <c r="BF143" s="1044" t="str">
        <f t="shared" si="126"/>
        <v/>
      </c>
      <c r="BG143" s="1044" t="str">
        <f t="shared" si="127"/>
        <v/>
      </c>
      <c r="BH143" s="1044" t="str">
        <f t="shared" si="128"/>
        <v/>
      </c>
      <c r="BI143" s="1044" t="str">
        <f t="shared" si="129"/>
        <v/>
      </c>
      <c r="BJ143" s="1044" t="str">
        <f t="shared" si="130"/>
        <v/>
      </c>
      <c r="BK143" s="1044" t="str">
        <f t="shared" si="131"/>
        <v/>
      </c>
      <c r="BL143" s="1044" t="str">
        <f t="shared" si="132"/>
        <v/>
      </c>
      <c r="BM143" s="1044" t="str">
        <f t="shared" si="133"/>
        <v/>
      </c>
      <c r="BN143" s="1044" t="str">
        <f t="shared" si="134"/>
        <v/>
      </c>
      <c r="BO143" s="1044" t="str">
        <f t="shared" si="135"/>
        <v/>
      </c>
      <c r="BP143" s="1044" t="str">
        <f t="shared" si="136"/>
        <v/>
      </c>
      <c r="BQ143" s="1044" t="str">
        <f t="shared" si="137"/>
        <v/>
      </c>
      <c r="BR143" s="1044" t="str">
        <f t="shared" si="138"/>
        <v/>
      </c>
      <c r="BS143" s="1044" t="str">
        <f t="shared" si="139"/>
        <v/>
      </c>
      <c r="BT143" s="1044" t="str">
        <f t="shared" si="140"/>
        <v/>
      </c>
      <c r="BU143" s="1044" t="str">
        <f t="shared" si="141"/>
        <v/>
      </c>
    </row>
    <row r="144" spans="1:73" ht="30" customHeight="1">
      <c r="A144" s="1069" t="str">
        <f t="shared" ref="A144:A200" si="142">IF(B144="","",ROW())</f>
        <v/>
      </c>
      <c r="B144" s="1063"/>
      <c r="C144" s="1064" t="s">
        <v>254</v>
      </c>
      <c r="D144" s="1070" t="str">
        <f t="shared" ref="D144:D200" si="143">IF(B144="","",TRIM(SUBSTITUTE(B144,"*",""))&amp;IF(COUNTIF(E144,"*⚠*")&gt;0," *",""))</f>
        <v/>
      </c>
      <c r="E144" s="1071" t="str">
        <f t="shared" ref="E144:E200" si="144">IF(B144="","",BS144)</f>
        <v/>
      </c>
      <c r="F144" s="1067" t="str">
        <f t="shared" ref="F144:F200" si="145">IF(B144="","",TRIM(B144)&amp;IF(H144&gt;0," *",""))</f>
        <v/>
      </c>
      <c r="G144" s="1068" t="str">
        <f t="shared" ref="G144:G200" si="146">IF(B144="","",BU144)</f>
        <v/>
      </c>
      <c r="H144" s="1069" t="str">
        <f t="shared" ref="H144:H200" si="147">IF(B144="","",IF(U144&lt;&gt;"",1,0)+IF(X144&lt;&gt;"",1,0)+IF(Z144&lt;&gt;"",1,0)+IF(AD144&lt;&gt;"",1,0)+IF(AF144&lt;&gt;"",1,0)+IF(AI144&lt;&gt;"",1,0)+IF(AN144&lt;&gt;"",1,0)+IF(AR144&lt;&gt;"",1,0)+IF(AT144&lt;&gt;"",1,0)+IF(AV144&lt;&gt;"",1,0)+IF(AX144&lt;&gt;"",1,0)+IF(AZ144&lt;&gt;"",1,0)+IF(BB144&lt;&gt;"",1,0)+IF(BE144&lt;&gt;"",1,0))</f>
        <v/>
      </c>
      <c r="I144" s="1069" t="str">
        <f t="shared" ref="I144:I200" si="148">IF(B144="","",IF(V144&lt;&gt;"",1,0)+IF(AO144&lt;&gt;"",1,0))</f>
        <v/>
      </c>
      <c r="J144" s="1067" t="str">
        <f t="shared" ref="J144:J200" si="149">IF(B144="","",IF(E144&lt;&gt;"",E144,IF(G144&lt;&gt;"",G144,"aucun match")))</f>
        <v/>
      </c>
      <c r="K144" s="1044" t="str">
        <f t="shared" ref="K144:K200" si="150">IF(B144="","",LOWER(B144))</f>
        <v/>
      </c>
      <c r="L144" s="1044" t="str">
        <f t="shared" ref="L144:L200" si="151">IF(K144="","",SUBSTITUTE(SUBSTITUTE(SUBSTITUTE(SUBSTITUTE(SUBSTITUTE(SUBSTITUTE(SUBSTITUTE(SUBSTITUTE(K144,"œ","oe"),"æ","ae"),"à","a"),"á","a"),"â","a"),"ä","a"),"ã","a"),"å","a"))</f>
        <v/>
      </c>
      <c r="M144" s="1044" t="str">
        <f t="shared" ref="M144:M200" si="152">IF(L144="","",SUBSTITUTE(SUBSTITUTE(SUBSTITUTE(SUBSTITUTE(SUBSTITUTE(SUBSTITUTE(SUBSTITUTE(SUBSTITUTE(SUBSTITUTE(SUBSTITUTE(SUBSTITUTE(SUBSTITUTE(SUBSTITUTE(SUBSTITUTE(SUBSTITUTE(SUBSTITUTE(SUBSTITUTE(SUBSTITUTE(SUBSTITUTE(SUBSTITUTE(SUBSTITUTE(L144,"ç","c"),"è","e"),"é","e"),"ê","e"),"ë","e"),"ì","i"),"í","i"),"î","i"),"ï","i"),"ñ","n"),"ò","o"),"ó","o"),"ô","o"),"ö","o"),"õ","o"),"ù","u"),"ú","u"),"û","u"),"ü","u"),"ý","y"),"ÿ","y"))</f>
        <v/>
      </c>
      <c r="N144" s="1044" t="str">
        <f t="shared" ref="N144:N200" si="153">IF(M144="","",SUBSTITUTE(SUBSTITUTE(SUBSTITUTE(SUBSTITUTE(SUBSTITUTE(SUBSTITUTE(SUBSTITUTE(SUBSTITUTE(SUBSTITUTE(SUBSTITUTE(M144,CHAR(10)," "),CHAR(13)," "),","," "),"."," "),","," "),":"," "),"/"," "),"-"," "),"_"," "),""""," "))</f>
        <v/>
      </c>
      <c r="O144" s="1044" t="str">
        <f t="shared" ref="O144:O200" si="154">IF(N144="","",SUBSTITUTE(SUBSTITUTE(SUBSTITUTE(SUBSTITUTE(SUBSTITUTE(SUBSTITUTE(SUBSTITUTE(SUBSTITUTE(N144,CHAR(40)," "),CHAR(41)," "),CHAR(39)," "),"?"," "),"!"," "),"+"," "),"*"," "),"&amp;"," "))</f>
        <v/>
      </c>
      <c r="P144" s="1044" t="str">
        <f t="shared" ref="P144:P200" si="155">IF(O144="",""," "&amp;TRIM(SUBSTITUTE(SUBSTITUTE(SUBSTITUTE(O144,"  "," "),"  "," "),"  "," "))&amp;" ")</f>
        <v/>
      </c>
      <c r="Q144" s="1044">
        <f t="shared" ref="Q144:Q200" si="156">IF(B144="",0,SUMPRODUCT(($BV$11:$AGG$11="Gluten")*($BV$12:$AGG$12="INFO")*(COUNTIF($P144,"*"&amp;$BV$13:$AGG$13&amp;"*")&gt;0)*1))</f>
        <v>0</v>
      </c>
      <c r="R144" s="1044">
        <f t="shared" ref="R144:R200" si="157">IF(B144="",0,SUMPRODUCT(($BV$11:$AGG$11="Gluten")*($BV$12:$AGG$12="EXCL")*(COUNTIF($P144,"*"&amp;$BV$13:$AGG$13&amp;"*")&gt;0)*1))</f>
        <v>0</v>
      </c>
      <c r="S144" s="1044">
        <f t="shared" ref="S144:S200" si="158">IF(B144="",0,SUMPRODUCT(($BV$11:$AGG$11="Gluten")*($BV$12:$AGG$12="ALERTE")*(COUNTIF($P144,"*"&amp;$BV$13:$AGG$13&amp;"*")&gt;0)*1))</f>
        <v>0</v>
      </c>
      <c r="T144" s="1044">
        <f t="shared" ref="T144:T200" si="159">IF(B144="",0,SUMPRODUCT(($BV$11:$AGG$11="Gluten")*($BV$12:$AGG$12="SUSP")*(COUNTIF($P144,"*"&amp;$BV$13:$AGG$13&amp;"*")&gt;0)*1))</f>
        <v>0</v>
      </c>
      <c r="U144" s="1044" t="str">
        <f t="shared" ref="U144:U200" si="160">IF(B144="","",IF(Q144&gt;0,"info Gluten",IF(AND(S144&gt;0,R144=0),"⚠ Gluten","")))</f>
        <v/>
      </c>
      <c r="V144" s="1044" t="str">
        <f t="shared" ref="V144:V200" si="161">IF(B144="","",IF(AND(U144="",T144&gt;0,R144=0),"suspicion Gluten",""))</f>
        <v/>
      </c>
      <c r="W144" s="1044">
        <f t="shared" ref="W144:W200" si="162">IF(B144="",0,SUMPRODUCT(($BV$11:$AGG$11="Crustaces")*($BV$12:$AGG$12="ALERTE")*(COUNTIF($P144,"*"&amp;$BV$13:$AGG$13&amp;"*")&gt;0)*1))</f>
        <v>0</v>
      </c>
      <c r="X144" s="1044" t="str">
        <f t="shared" ref="X144:X200" si="163">IF(B144="","",IF(W144&gt;0,"⚠ Crustaces",""))</f>
        <v/>
      </c>
      <c r="Y144" s="1044">
        <f t="shared" ref="Y144:Y200" si="164">IF(B144="",0,SUMPRODUCT(($BV$11:$AGG$11="Oeufs")*($BV$12:$AGG$12="ALERTE")*(COUNTIF($P144,"*"&amp;$BV$13:$AGG$13&amp;"*")&gt;0)*1))</f>
        <v>0</v>
      </c>
      <c r="Z144" s="1044" t="str">
        <f t="shared" ref="Z144:Z200" si="165">IF(B144="","",IF(Y144&gt;0,"⚠ Oeufs",""))</f>
        <v/>
      </c>
      <c r="AA144" s="1044">
        <f t="shared" ref="AA144:AA200" si="166">IF(B144="",0,SUMPRODUCT(($BV$11:$AGG$11="Poissons")*($BV$12:$AGG$12="INFO")*(COUNTIF($P144,"*"&amp;$BV$13:$AGG$13&amp;"*")&gt;0)*1))</f>
        <v>0</v>
      </c>
      <c r="AB144" s="1044">
        <f t="shared" ref="AB144:AB200" si="167">IF(B144="",0,SUMPRODUCT(($BV$11:$AGG$11="Poissons")*($BV$12:$AGG$12="EXCL")*(COUNTIF($P144,"*"&amp;$BV$13:$AGG$13&amp;"*")&gt;0)*1))</f>
        <v>0</v>
      </c>
      <c r="AC144" s="1044">
        <f t="shared" ref="AC144:AC200" si="168">IF(B144="",0,SUMPRODUCT(($BV$11:$AGG$11="Poissons")*($BV$12:$AGG$12="ALERTE")*(COUNTIF($P144,"*"&amp;$BV$13:$AGG$13&amp;"*")&gt;0)*1))</f>
        <v>0</v>
      </c>
      <c r="AD144" s="1044" t="str">
        <f t="shared" ref="AD144:AD200" si="169">IF(B144="","",IF(AA144&gt;0,"info Poissons",IF(AND(AC144&gt;0,AB144=0),"⚠ Poissons","")))</f>
        <v/>
      </c>
      <c r="AE144" s="1044">
        <f t="shared" ref="AE144:AE200" si="170">IF(B144="",0,SUMPRODUCT(($BV$11:$AGG$11="Arachides")*($BV$12:$AGG$12="ALERTE")*(COUNTIF($P144,"*"&amp;$BV$13:$AGG$13&amp;"*")&gt;0)*1))</f>
        <v>0</v>
      </c>
      <c r="AF144" s="1044" t="str">
        <f t="shared" ref="AF144:AF200" si="171">IF(B144="","",IF(AE144&gt;0,"⚠ Arachides",""))</f>
        <v/>
      </c>
      <c r="AG144" s="1044">
        <f t="shared" ref="AG144:AG200" si="172">IF(B144="",0,SUMPRODUCT(($BV$11:$AGG$11="Soja")*($BV$12:$AGG$12="INFO")*(COUNTIF($P144,"*"&amp;$BV$13:$AGG$13&amp;"*")&gt;0)*1))</f>
        <v>0</v>
      </c>
      <c r="AH144" s="1044">
        <f t="shared" ref="AH144:AH200" si="173">IF(B144="",0,SUMPRODUCT(($BV$11:$AGG$11="Soja")*($BV$12:$AGG$12="ALERTE")*(COUNTIF($P144,"*"&amp;$BV$13:$AGG$13&amp;"*")&gt;0)*1))</f>
        <v>0</v>
      </c>
      <c r="AI144" s="1044" t="str">
        <f t="shared" ref="AI144:AI200" si="174">IF(B144="","",IF(AG144&gt;0,"info Soja",IF(AH144&gt;0,"⚠ Soja","")))</f>
        <v/>
      </c>
      <c r="AJ144" s="1044">
        <f t="shared" ref="AJ144:AJ200" si="175">IF(B144="",0,SUMPRODUCT(($BV$11:$AGG$11="Lait")*($BV$12:$AGG$12="INFO")*(COUNTIF($P144,"*"&amp;$BV$13:$AGG$13&amp;"*")&gt;0)*1))</f>
        <v>0</v>
      </c>
      <c r="AK144" s="1044">
        <f t="shared" ref="AK144:AK200" si="176">IF(B144="",0,SUMPRODUCT(($BV$11:$AGG$11="Lait")*($BV$12:$AGG$12="EXCL")*(COUNTIF($P144,"*"&amp;$BV$13:$AGG$13&amp;"*")&gt;0)*1))</f>
        <v>0</v>
      </c>
      <c r="AL144" s="1044">
        <f t="shared" ref="AL144:AL200" si="177">IF(B144="",0,SUMPRODUCT(($BV$11:$AGG$11="Lait")*($BV$12:$AGG$12="ALERTE")*(COUNTIF($P144,"*"&amp;$BV$13:$AGG$13&amp;"*")&gt;0)*1))</f>
        <v>0</v>
      </c>
      <c r="AM144" s="1044">
        <f t="shared" ref="AM144:AM200" si="178">IF(B144="",0,SUMPRODUCT(($BV$11:$AGG$11="Lait")*($BV$12:$AGG$12="SUSP")*(COUNTIF($P144,"*"&amp;$BV$13:$AGG$13&amp;"*")&gt;0)*1))</f>
        <v>0</v>
      </c>
      <c r="AN144" s="1044" t="str">
        <f t="shared" ref="AN144:AN200" si="179">IF(B144="","",IF(AJ144&gt;0,"info Lait",IF(AND(AL144&gt;0,AK144=0),"⚠ Lait","")))</f>
        <v/>
      </c>
      <c r="AO144" s="1044" t="str">
        <f t="shared" ref="AO144:AO200" si="180">IF(B144="","",IF(AND(AN144="",AM144&gt;0,AK144=0),"suspicion Lait",""))</f>
        <v/>
      </c>
      <c r="AP144" s="1044">
        <f t="shared" ref="AP144:AP200" si="181">IF(B144="",0,SUMPRODUCT(($BV$11:$AGG$11="Fruits a coque")*($BV$12:$AGG$12="EXCL")*(COUNTIF($P144,"*"&amp;$BV$13:$AGG$13&amp;"*")&gt;0)*1))</f>
        <v>0</v>
      </c>
      <c r="AQ144" s="1044">
        <f t="shared" ref="AQ144:AQ200" si="182">IF(B144="",0,SUMPRODUCT(($BV$11:$AGG$11="Fruits a coque")*($BV$12:$AGG$12="ALERTE")*(COUNTIF($P144,"*"&amp;$BV$13:$AGG$13&amp;"*")&gt;0)*1))</f>
        <v>0</v>
      </c>
      <c r="AR144" s="1044" t="str">
        <f t="shared" ref="AR144:AR200" si="183">IF(B144="","",IF(AND(AQ144&gt;0,AP144=0),"⚠ Fruits a coque",""))</f>
        <v/>
      </c>
      <c r="AS144" s="1044">
        <f t="shared" ref="AS144:AS200" si="184">IF(B144="",0,SUMPRODUCT(($BV$11:$AGG$11="Celeri")*($BV$12:$AGG$12="ALERTE")*(COUNTIF($P144,"*"&amp;$BV$13:$AGG$13&amp;"*")&gt;0)*1))</f>
        <v>0</v>
      </c>
      <c r="AT144" s="1044" t="str">
        <f t="shared" ref="AT144:AT200" si="185">IF(B144="","",IF(AS144&gt;0,"⚠ Celeri",""))</f>
        <v/>
      </c>
      <c r="AU144" s="1044">
        <f t="shared" ref="AU144:AU200" si="186">IF(B144="",0,SUMPRODUCT(($BV$11:$AGG$11="Moutarde")*($BV$12:$AGG$12="ALERTE")*(COUNTIF($P144,"*"&amp;$BV$13:$AGG$13&amp;"*")&gt;0)*1))</f>
        <v>0</v>
      </c>
      <c r="AV144" s="1044" t="str">
        <f t="shared" ref="AV144:AV200" si="187">IF(B144="","",IF(AU144&gt;0,"⚠ Moutarde",""))</f>
        <v/>
      </c>
      <c r="AW144" s="1044">
        <f t="shared" ref="AW144:AW200" si="188">IF(B144="",0,SUMPRODUCT(($BV$11:$AGG$11="Sesame")*($BV$12:$AGG$12="ALERTE")*(COUNTIF($P144,"*"&amp;$BV$13:$AGG$13&amp;"*")&gt;0)*1))</f>
        <v>0</v>
      </c>
      <c r="AX144" s="1044" t="str">
        <f t="shared" ref="AX144:AX200" si="189">IF(B144="","",IF(AW144&gt;0,"⚠ Sesame",""))</f>
        <v/>
      </c>
      <c r="AY144" s="1044">
        <f t="shared" ref="AY144:AY200" si="190">IF(B144="",0,SUMPRODUCT(($BV$11:$AGG$11="Sulfites")*($BV$12:$AGG$12="ALERTE")*(COUNTIF($P144,"*"&amp;$BV$13:$AGG$13&amp;"*")&gt;0)*1))</f>
        <v>0</v>
      </c>
      <c r="AZ144" s="1044" t="str">
        <f t="shared" ref="AZ144:AZ200" si="191">IF(B144="","",IF(AY144&gt;0,"⚠ Sulfites",""))</f>
        <v/>
      </c>
      <c r="BA144" s="1044">
        <f t="shared" ref="BA144:BA200" si="192">IF(B144="",0,SUMPRODUCT(($BV$11:$AGG$11="Lupin")*($BV$12:$AGG$12="ALERTE")*(COUNTIF($P144,"*"&amp;$BV$13:$AGG$13&amp;"*")&gt;0)*1))</f>
        <v>0</v>
      </c>
      <c r="BB144" s="1044" t="str">
        <f t="shared" ref="BB144:BB200" si="193">IF(B144="","",IF(BA144&gt;0,"⚠ Lupin",""))</f>
        <v/>
      </c>
      <c r="BC144" s="1044">
        <f t="shared" ref="BC144:BC200" si="194">IF(B144="",0,SUMPRODUCT(($BV$11:$AGG$11="Mollusques")*($BV$12:$AGG$12="EXCL")*(COUNTIF($P144,"*"&amp;$BV$13:$AGG$13&amp;"*")&gt;0)*1))</f>
        <v>0</v>
      </c>
      <c r="BD144" s="1044">
        <f t="shared" ref="BD144:BD200" si="195">IF(B144="",0,SUMPRODUCT(($BV$11:$AGG$11="Mollusques")*($BV$12:$AGG$12="ALERTE")*(COUNTIF($P144,"*"&amp;$BV$13:$AGG$13&amp;"*")&gt;0)*1))</f>
        <v>0</v>
      </c>
      <c r="BE144" s="1044" t="str">
        <f t="shared" ref="BE144:BE200" si="196">IF(B144="","",IF(AND(BD144&gt;0,BC144=0),"⚠ Mollusques",""))</f>
        <v/>
      </c>
      <c r="BF144" s="1044" t="str">
        <f t="shared" ref="BF144:BF200" si="197">IF(B144="","",U144)</f>
        <v/>
      </c>
      <c r="BG144" s="1044" t="str">
        <f t="shared" ref="BG144:BG200" si="198">IF(B144="","",IF(X144="",BF144,IF(BF144="",X144,BF144&amp;" • "&amp;X144)))</f>
        <v/>
      </c>
      <c r="BH144" s="1044" t="str">
        <f t="shared" ref="BH144:BH200" si="199">IF(B144="","",IF(Z144="",BG144,IF(BG144="",Z144,BG144&amp;" • "&amp;Z144)))</f>
        <v/>
      </c>
      <c r="BI144" s="1044" t="str">
        <f t="shared" ref="BI144:BI200" si="200">IF(B144="","",IF(AD144="",BH144,IF(BH144="",AD144,BH144&amp;" • "&amp;AD144)))</f>
        <v/>
      </c>
      <c r="BJ144" s="1044" t="str">
        <f t="shared" ref="BJ144:BJ200" si="201">IF(B144="","",IF(AF144="",BI144,IF(BI144="",AF144,BI144&amp;" • "&amp;AF144)))</f>
        <v/>
      </c>
      <c r="BK144" s="1044" t="str">
        <f t="shared" ref="BK144:BK200" si="202">IF(B144="","",IF(AI144="",BJ144,IF(BJ144="",AI144,BJ144&amp;" • "&amp;AI144)))</f>
        <v/>
      </c>
      <c r="BL144" s="1044" t="str">
        <f t="shared" ref="BL144:BL200" si="203">IF(B144="","",IF(AN144="",BK144,IF(BK144="",AN144,BK144&amp;" • "&amp;AN144)))</f>
        <v/>
      </c>
      <c r="BM144" s="1044" t="str">
        <f t="shared" ref="BM144:BM200" si="204">IF(B144="","",IF(AR144="",BL144,IF(BL144="",AR144,BL144&amp;" • "&amp;AR144)))</f>
        <v/>
      </c>
      <c r="BN144" s="1044" t="str">
        <f t="shared" ref="BN144:BN200" si="205">IF(B144="","",IF(AT144="",BM144,IF(BM144="",AT144,BM144&amp;" • "&amp;AT144)))</f>
        <v/>
      </c>
      <c r="BO144" s="1044" t="str">
        <f t="shared" ref="BO144:BO200" si="206">IF(B144="","",IF(AV144="",BN144,IF(BN144="",AV144,BN144&amp;" • "&amp;AV144)))</f>
        <v/>
      </c>
      <c r="BP144" s="1044" t="str">
        <f t="shared" ref="BP144:BP200" si="207">IF(B144="","",IF(AX144="",BO144,IF(BO144="",AX144,BO144&amp;" • "&amp;AX144)))</f>
        <v/>
      </c>
      <c r="BQ144" s="1044" t="str">
        <f t="shared" ref="BQ144:BQ200" si="208">IF(B144="","",IF(AZ144="",BP144,IF(BP144="",AZ144,BP144&amp;" • "&amp;AZ144)))</f>
        <v/>
      </c>
      <c r="BR144" s="1044" t="str">
        <f t="shared" ref="BR144:BR200" si="209">IF(B144="","",IF(BB144="",BQ144,IF(BQ144="",BB144,BQ144&amp;" • "&amp;BB144)))</f>
        <v/>
      </c>
      <c r="BS144" s="1044" t="str">
        <f t="shared" ref="BS144:BS200" si="210">IF(B144="","",IF(BE144="",BR144,IF(BR144="",BE144,BR144&amp;" • "&amp;BE144)))</f>
        <v/>
      </c>
      <c r="BT144" s="1044" t="str">
        <f t="shared" ref="BT144:BT200" si="211">IF(B144="","",V144)</f>
        <v/>
      </c>
      <c r="BU144" s="1044" t="str">
        <f t="shared" ref="BU144:BU200" si="212">IF(B144="","",IF(AO144="",BT144,IF(BT144="",AO144,BT144&amp;" • "&amp;AO144)))</f>
        <v/>
      </c>
    </row>
    <row r="145" spans="1:73" ht="30" customHeight="1">
      <c r="A145" s="1069" t="str">
        <f t="shared" si="142"/>
        <v/>
      </c>
      <c r="B145" s="1063"/>
      <c r="C145" s="1064" t="s">
        <v>254</v>
      </c>
      <c r="D145" s="1070" t="str">
        <f t="shared" si="143"/>
        <v/>
      </c>
      <c r="E145" s="1071" t="str">
        <f t="shared" si="144"/>
        <v/>
      </c>
      <c r="F145" s="1067" t="str">
        <f t="shared" si="145"/>
        <v/>
      </c>
      <c r="G145" s="1068" t="str">
        <f t="shared" si="146"/>
        <v/>
      </c>
      <c r="H145" s="1069" t="str">
        <f t="shared" si="147"/>
        <v/>
      </c>
      <c r="I145" s="1069" t="str">
        <f t="shared" si="148"/>
        <v/>
      </c>
      <c r="J145" s="1067" t="str">
        <f t="shared" si="149"/>
        <v/>
      </c>
      <c r="K145" s="1044" t="str">
        <f t="shared" si="150"/>
        <v/>
      </c>
      <c r="L145" s="1044" t="str">
        <f t="shared" si="151"/>
        <v/>
      </c>
      <c r="M145" s="1044" t="str">
        <f t="shared" si="152"/>
        <v/>
      </c>
      <c r="N145" s="1044" t="str">
        <f t="shared" si="153"/>
        <v/>
      </c>
      <c r="O145" s="1044" t="str">
        <f t="shared" si="154"/>
        <v/>
      </c>
      <c r="P145" s="1044" t="str">
        <f t="shared" si="155"/>
        <v/>
      </c>
      <c r="Q145" s="1044">
        <f t="shared" si="156"/>
        <v>0</v>
      </c>
      <c r="R145" s="1044">
        <f t="shared" si="157"/>
        <v>0</v>
      </c>
      <c r="S145" s="1044">
        <f t="shared" si="158"/>
        <v>0</v>
      </c>
      <c r="T145" s="1044">
        <f t="shared" si="159"/>
        <v>0</v>
      </c>
      <c r="U145" s="1044" t="str">
        <f t="shared" si="160"/>
        <v/>
      </c>
      <c r="V145" s="1044" t="str">
        <f t="shared" si="161"/>
        <v/>
      </c>
      <c r="W145" s="1044">
        <f t="shared" si="162"/>
        <v>0</v>
      </c>
      <c r="X145" s="1044" t="str">
        <f t="shared" si="163"/>
        <v/>
      </c>
      <c r="Y145" s="1044">
        <f t="shared" si="164"/>
        <v>0</v>
      </c>
      <c r="Z145" s="1044" t="str">
        <f t="shared" si="165"/>
        <v/>
      </c>
      <c r="AA145" s="1044">
        <f t="shared" si="166"/>
        <v>0</v>
      </c>
      <c r="AB145" s="1044">
        <f t="shared" si="167"/>
        <v>0</v>
      </c>
      <c r="AC145" s="1044">
        <f t="shared" si="168"/>
        <v>0</v>
      </c>
      <c r="AD145" s="1044" t="str">
        <f t="shared" si="169"/>
        <v/>
      </c>
      <c r="AE145" s="1044">
        <f t="shared" si="170"/>
        <v>0</v>
      </c>
      <c r="AF145" s="1044" t="str">
        <f t="shared" si="171"/>
        <v/>
      </c>
      <c r="AG145" s="1044">
        <f t="shared" si="172"/>
        <v>0</v>
      </c>
      <c r="AH145" s="1044">
        <f t="shared" si="173"/>
        <v>0</v>
      </c>
      <c r="AI145" s="1044" t="str">
        <f t="shared" si="174"/>
        <v/>
      </c>
      <c r="AJ145" s="1044">
        <f t="shared" si="175"/>
        <v>0</v>
      </c>
      <c r="AK145" s="1044">
        <f t="shared" si="176"/>
        <v>0</v>
      </c>
      <c r="AL145" s="1044">
        <f t="shared" si="177"/>
        <v>0</v>
      </c>
      <c r="AM145" s="1044">
        <f t="shared" si="178"/>
        <v>0</v>
      </c>
      <c r="AN145" s="1044" t="str">
        <f t="shared" si="179"/>
        <v/>
      </c>
      <c r="AO145" s="1044" t="str">
        <f t="shared" si="180"/>
        <v/>
      </c>
      <c r="AP145" s="1044">
        <f t="shared" si="181"/>
        <v>0</v>
      </c>
      <c r="AQ145" s="1044">
        <f t="shared" si="182"/>
        <v>0</v>
      </c>
      <c r="AR145" s="1044" t="str">
        <f t="shared" si="183"/>
        <v/>
      </c>
      <c r="AS145" s="1044">
        <f t="shared" si="184"/>
        <v>0</v>
      </c>
      <c r="AT145" s="1044" t="str">
        <f t="shared" si="185"/>
        <v/>
      </c>
      <c r="AU145" s="1044">
        <f t="shared" si="186"/>
        <v>0</v>
      </c>
      <c r="AV145" s="1044" t="str">
        <f t="shared" si="187"/>
        <v/>
      </c>
      <c r="AW145" s="1044">
        <f t="shared" si="188"/>
        <v>0</v>
      </c>
      <c r="AX145" s="1044" t="str">
        <f t="shared" si="189"/>
        <v/>
      </c>
      <c r="AY145" s="1044">
        <f t="shared" si="190"/>
        <v>0</v>
      </c>
      <c r="AZ145" s="1044" t="str">
        <f t="shared" si="191"/>
        <v/>
      </c>
      <c r="BA145" s="1044">
        <f t="shared" si="192"/>
        <v>0</v>
      </c>
      <c r="BB145" s="1044" t="str">
        <f t="shared" si="193"/>
        <v/>
      </c>
      <c r="BC145" s="1044">
        <f t="shared" si="194"/>
        <v>0</v>
      </c>
      <c r="BD145" s="1044">
        <f t="shared" si="195"/>
        <v>0</v>
      </c>
      <c r="BE145" s="1044" t="str">
        <f t="shared" si="196"/>
        <v/>
      </c>
      <c r="BF145" s="1044" t="str">
        <f t="shared" si="197"/>
        <v/>
      </c>
      <c r="BG145" s="1044" t="str">
        <f t="shared" si="198"/>
        <v/>
      </c>
      <c r="BH145" s="1044" t="str">
        <f t="shared" si="199"/>
        <v/>
      </c>
      <c r="BI145" s="1044" t="str">
        <f t="shared" si="200"/>
        <v/>
      </c>
      <c r="BJ145" s="1044" t="str">
        <f t="shared" si="201"/>
        <v/>
      </c>
      <c r="BK145" s="1044" t="str">
        <f t="shared" si="202"/>
        <v/>
      </c>
      <c r="BL145" s="1044" t="str">
        <f t="shared" si="203"/>
        <v/>
      </c>
      <c r="BM145" s="1044" t="str">
        <f t="shared" si="204"/>
        <v/>
      </c>
      <c r="BN145" s="1044" t="str">
        <f t="shared" si="205"/>
        <v/>
      </c>
      <c r="BO145" s="1044" t="str">
        <f t="shared" si="206"/>
        <v/>
      </c>
      <c r="BP145" s="1044" t="str">
        <f t="shared" si="207"/>
        <v/>
      </c>
      <c r="BQ145" s="1044" t="str">
        <f t="shared" si="208"/>
        <v/>
      </c>
      <c r="BR145" s="1044" t="str">
        <f t="shared" si="209"/>
        <v/>
      </c>
      <c r="BS145" s="1044" t="str">
        <f t="shared" si="210"/>
        <v/>
      </c>
      <c r="BT145" s="1044" t="str">
        <f t="shared" si="211"/>
        <v/>
      </c>
      <c r="BU145" s="1044" t="str">
        <f t="shared" si="212"/>
        <v/>
      </c>
    </row>
    <row r="146" spans="1:73" ht="30" customHeight="1">
      <c r="A146" s="1069" t="str">
        <f t="shared" si="142"/>
        <v/>
      </c>
      <c r="B146" s="1063"/>
      <c r="C146" s="1064" t="s">
        <v>254</v>
      </c>
      <c r="D146" s="1070" t="str">
        <f t="shared" si="143"/>
        <v/>
      </c>
      <c r="E146" s="1071" t="str">
        <f t="shared" si="144"/>
        <v/>
      </c>
      <c r="F146" s="1067" t="str">
        <f t="shared" si="145"/>
        <v/>
      </c>
      <c r="G146" s="1068" t="str">
        <f t="shared" si="146"/>
        <v/>
      </c>
      <c r="H146" s="1069" t="str">
        <f t="shared" si="147"/>
        <v/>
      </c>
      <c r="I146" s="1069" t="str">
        <f t="shared" si="148"/>
        <v/>
      </c>
      <c r="J146" s="1067" t="str">
        <f t="shared" si="149"/>
        <v/>
      </c>
      <c r="K146" s="1044" t="str">
        <f t="shared" si="150"/>
        <v/>
      </c>
      <c r="L146" s="1044" t="str">
        <f t="shared" si="151"/>
        <v/>
      </c>
      <c r="M146" s="1044" t="str">
        <f t="shared" si="152"/>
        <v/>
      </c>
      <c r="N146" s="1044" t="str">
        <f t="shared" si="153"/>
        <v/>
      </c>
      <c r="O146" s="1044" t="str">
        <f t="shared" si="154"/>
        <v/>
      </c>
      <c r="P146" s="1044" t="str">
        <f t="shared" si="155"/>
        <v/>
      </c>
      <c r="Q146" s="1044">
        <f t="shared" si="156"/>
        <v>0</v>
      </c>
      <c r="R146" s="1044">
        <f t="shared" si="157"/>
        <v>0</v>
      </c>
      <c r="S146" s="1044">
        <f t="shared" si="158"/>
        <v>0</v>
      </c>
      <c r="T146" s="1044">
        <f t="shared" si="159"/>
        <v>0</v>
      </c>
      <c r="U146" s="1044" t="str">
        <f t="shared" si="160"/>
        <v/>
      </c>
      <c r="V146" s="1044" t="str">
        <f t="shared" si="161"/>
        <v/>
      </c>
      <c r="W146" s="1044">
        <f t="shared" si="162"/>
        <v>0</v>
      </c>
      <c r="X146" s="1044" t="str">
        <f t="shared" si="163"/>
        <v/>
      </c>
      <c r="Y146" s="1044">
        <f t="shared" si="164"/>
        <v>0</v>
      </c>
      <c r="Z146" s="1044" t="str">
        <f t="shared" si="165"/>
        <v/>
      </c>
      <c r="AA146" s="1044">
        <f t="shared" si="166"/>
        <v>0</v>
      </c>
      <c r="AB146" s="1044">
        <f t="shared" si="167"/>
        <v>0</v>
      </c>
      <c r="AC146" s="1044">
        <f t="shared" si="168"/>
        <v>0</v>
      </c>
      <c r="AD146" s="1044" t="str">
        <f t="shared" si="169"/>
        <v/>
      </c>
      <c r="AE146" s="1044">
        <f t="shared" si="170"/>
        <v>0</v>
      </c>
      <c r="AF146" s="1044" t="str">
        <f t="shared" si="171"/>
        <v/>
      </c>
      <c r="AG146" s="1044">
        <f t="shared" si="172"/>
        <v>0</v>
      </c>
      <c r="AH146" s="1044">
        <f t="shared" si="173"/>
        <v>0</v>
      </c>
      <c r="AI146" s="1044" t="str">
        <f t="shared" si="174"/>
        <v/>
      </c>
      <c r="AJ146" s="1044">
        <f t="shared" si="175"/>
        <v>0</v>
      </c>
      <c r="AK146" s="1044">
        <f t="shared" si="176"/>
        <v>0</v>
      </c>
      <c r="AL146" s="1044">
        <f t="shared" si="177"/>
        <v>0</v>
      </c>
      <c r="AM146" s="1044">
        <f t="shared" si="178"/>
        <v>0</v>
      </c>
      <c r="AN146" s="1044" t="str">
        <f t="shared" si="179"/>
        <v/>
      </c>
      <c r="AO146" s="1044" t="str">
        <f t="shared" si="180"/>
        <v/>
      </c>
      <c r="AP146" s="1044">
        <f t="shared" si="181"/>
        <v>0</v>
      </c>
      <c r="AQ146" s="1044">
        <f t="shared" si="182"/>
        <v>0</v>
      </c>
      <c r="AR146" s="1044" t="str">
        <f t="shared" si="183"/>
        <v/>
      </c>
      <c r="AS146" s="1044">
        <f t="shared" si="184"/>
        <v>0</v>
      </c>
      <c r="AT146" s="1044" t="str">
        <f t="shared" si="185"/>
        <v/>
      </c>
      <c r="AU146" s="1044">
        <f t="shared" si="186"/>
        <v>0</v>
      </c>
      <c r="AV146" s="1044" t="str">
        <f t="shared" si="187"/>
        <v/>
      </c>
      <c r="AW146" s="1044">
        <f t="shared" si="188"/>
        <v>0</v>
      </c>
      <c r="AX146" s="1044" t="str">
        <f t="shared" si="189"/>
        <v/>
      </c>
      <c r="AY146" s="1044">
        <f t="shared" si="190"/>
        <v>0</v>
      </c>
      <c r="AZ146" s="1044" t="str">
        <f t="shared" si="191"/>
        <v/>
      </c>
      <c r="BA146" s="1044">
        <f t="shared" si="192"/>
        <v>0</v>
      </c>
      <c r="BB146" s="1044" t="str">
        <f t="shared" si="193"/>
        <v/>
      </c>
      <c r="BC146" s="1044">
        <f t="shared" si="194"/>
        <v>0</v>
      </c>
      <c r="BD146" s="1044">
        <f t="shared" si="195"/>
        <v>0</v>
      </c>
      <c r="BE146" s="1044" t="str">
        <f t="shared" si="196"/>
        <v/>
      </c>
      <c r="BF146" s="1044" t="str">
        <f t="shared" si="197"/>
        <v/>
      </c>
      <c r="BG146" s="1044" t="str">
        <f t="shared" si="198"/>
        <v/>
      </c>
      <c r="BH146" s="1044" t="str">
        <f t="shared" si="199"/>
        <v/>
      </c>
      <c r="BI146" s="1044" t="str">
        <f t="shared" si="200"/>
        <v/>
      </c>
      <c r="BJ146" s="1044" t="str">
        <f t="shared" si="201"/>
        <v/>
      </c>
      <c r="BK146" s="1044" t="str">
        <f t="shared" si="202"/>
        <v/>
      </c>
      <c r="BL146" s="1044" t="str">
        <f t="shared" si="203"/>
        <v/>
      </c>
      <c r="BM146" s="1044" t="str">
        <f t="shared" si="204"/>
        <v/>
      </c>
      <c r="BN146" s="1044" t="str">
        <f t="shared" si="205"/>
        <v/>
      </c>
      <c r="BO146" s="1044" t="str">
        <f t="shared" si="206"/>
        <v/>
      </c>
      <c r="BP146" s="1044" t="str">
        <f t="shared" si="207"/>
        <v/>
      </c>
      <c r="BQ146" s="1044" t="str">
        <f t="shared" si="208"/>
        <v/>
      </c>
      <c r="BR146" s="1044" t="str">
        <f t="shared" si="209"/>
        <v/>
      </c>
      <c r="BS146" s="1044" t="str">
        <f t="shared" si="210"/>
        <v/>
      </c>
      <c r="BT146" s="1044" t="str">
        <f t="shared" si="211"/>
        <v/>
      </c>
      <c r="BU146" s="1044" t="str">
        <f t="shared" si="212"/>
        <v/>
      </c>
    </row>
    <row r="147" spans="1:73" ht="30" customHeight="1">
      <c r="A147" s="1069" t="str">
        <f t="shared" si="142"/>
        <v/>
      </c>
      <c r="B147" s="1063"/>
      <c r="C147" s="1064" t="s">
        <v>254</v>
      </c>
      <c r="D147" s="1070" t="str">
        <f t="shared" si="143"/>
        <v/>
      </c>
      <c r="E147" s="1071" t="str">
        <f t="shared" si="144"/>
        <v/>
      </c>
      <c r="F147" s="1067" t="str">
        <f t="shared" si="145"/>
        <v/>
      </c>
      <c r="G147" s="1068" t="str">
        <f t="shared" si="146"/>
        <v/>
      </c>
      <c r="H147" s="1069" t="str">
        <f t="shared" si="147"/>
        <v/>
      </c>
      <c r="I147" s="1069" t="str">
        <f t="shared" si="148"/>
        <v/>
      </c>
      <c r="J147" s="1067" t="str">
        <f t="shared" si="149"/>
        <v/>
      </c>
      <c r="K147" s="1044" t="str">
        <f t="shared" si="150"/>
        <v/>
      </c>
      <c r="L147" s="1044" t="str">
        <f t="shared" si="151"/>
        <v/>
      </c>
      <c r="M147" s="1044" t="str">
        <f t="shared" si="152"/>
        <v/>
      </c>
      <c r="N147" s="1044" t="str">
        <f t="shared" si="153"/>
        <v/>
      </c>
      <c r="O147" s="1044" t="str">
        <f t="shared" si="154"/>
        <v/>
      </c>
      <c r="P147" s="1044" t="str">
        <f t="shared" si="155"/>
        <v/>
      </c>
      <c r="Q147" s="1044">
        <f t="shared" si="156"/>
        <v>0</v>
      </c>
      <c r="R147" s="1044">
        <f t="shared" si="157"/>
        <v>0</v>
      </c>
      <c r="S147" s="1044">
        <f t="shared" si="158"/>
        <v>0</v>
      </c>
      <c r="T147" s="1044">
        <f t="shared" si="159"/>
        <v>0</v>
      </c>
      <c r="U147" s="1044" t="str">
        <f t="shared" si="160"/>
        <v/>
      </c>
      <c r="V147" s="1044" t="str">
        <f t="shared" si="161"/>
        <v/>
      </c>
      <c r="W147" s="1044">
        <f t="shared" si="162"/>
        <v>0</v>
      </c>
      <c r="X147" s="1044" t="str">
        <f t="shared" si="163"/>
        <v/>
      </c>
      <c r="Y147" s="1044">
        <f t="shared" si="164"/>
        <v>0</v>
      </c>
      <c r="Z147" s="1044" t="str">
        <f t="shared" si="165"/>
        <v/>
      </c>
      <c r="AA147" s="1044">
        <f t="shared" si="166"/>
        <v>0</v>
      </c>
      <c r="AB147" s="1044">
        <f t="shared" si="167"/>
        <v>0</v>
      </c>
      <c r="AC147" s="1044">
        <f t="shared" si="168"/>
        <v>0</v>
      </c>
      <c r="AD147" s="1044" t="str">
        <f t="shared" si="169"/>
        <v/>
      </c>
      <c r="AE147" s="1044">
        <f t="shared" si="170"/>
        <v>0</v>
      </c>
      <c r="AF147" s="1044" t="str">
        <f t="shared" si="171"/>
        <v/>
      </c>
      <c r="AG147" s="1044">
        <f t="shared" si="172"/>
        <v>0</v>
      </c>
      <c r="AH147" s="1044">
        <f t="shared" si="173"/>
        <v>0</v>
      </c>
      <c r="AI147" s="1044" t="str">
        <f t="shared" si="174"/>
        <v/>
      </c>
      <c r="AJ147" s="1044">
        <f t="shared" si="175"/>
        <v>0</v>
      </c>
      <c r="AK147" s="1044">
        <f t="shared" si="176"/>
        <v>0</v>
      </c>
      <c r="AL147" s="1044">
        <f t="shared" si="177"/>
        <v>0</v>
      </c>
      <c r="AM147" s="1044">
        <f t="shared" si="178"/>
        <v>0</v>
      </c>
      <c r="AN147" s="1044" t="str">
        <f t="shared" si="179"/>
        <v/>
      </c>
      <c r="AO147" s="1044" t="str">
        <f t="shared" si="180"/>
        <v/>
      </c>
      <c r="AP147" s="1044">
        <f t="shared" si="181"/>
        <v>0</v>
      </c>
      <c r="AQ147" s="1044">
        <f t="shared" si="182"/>
        <v>0</v>
      </c>
      <c r="AR147" s="1044" t="str">
        <f t="shared" si="183"/>
        <v/>
      </c>
      <c r="AS147" s="1044">
        <f t="shared" si="184"/>
        <v>0</v>
      </c>
      <c r="AT147" s="1044" t="str">
        <f t="shared" si="185"/>
        <v/>
      </c>
      <c r="AU147" s="1044">
        <f t="shared" si="186"/>
        <v>0</v>
      </c>
      <c r="AV147" s="1044" t="str">
        <f t="shared" si="187"/>
        <v/>
      </c>
      <c r="AW147" s="1044">
        <f t="shared" si="188"/>
        <v>0</v>
      </c>
      <c r="AX147" s="1044" t="str">
        <f t="shared" si="189"/>
        <v/>
      </c>
      <c r="AY147" s="1044">
        <f t="shared" si="190"/>
        <v>0</v>
      </c>
      <c r="AZ147" s="1044" t="str">
        <f t="shared" si="191"/>
        <v/>
      </c>
      <c r="BA147" s="1044">
        <f t="shared" si="192"/>
        <v>0</v>
      </c>
      <c r="BB147" s="1044" t="str">
        <f t="shared" si="193"/>
        <v/>
      </c>
      <c r="BC147" s="1044">
        <f t="shared" si="194"/>
        <v>0</v>
      </c>
      <c r="BD147" s="1044">
        <f t="shared" si="195"/>
        <v>0</v>
      </c>
      <c r="BE147" s="1044" t="str">
        <f t="shared" si="196"/>
        <v/>
      </c>
      <c r="BF147" s="1044" t="str">
        <f t="shared" si="197"/>
        <v/>
      </c>
      <c r="BG147" s="1044" t="str">
        <f t="shared" si="198"/>
        <v/>
      </c>
      <c r="BH147" s="1044" t="str">
        <f t="shared" si="199"/>
        <v/>
      </c>
      <c r="BI147" s="1044" t="str">
        <f t="shared" si="200"/>
        <v/>
      </c>
      <c r="BJ147" s="1044" t="str">
        <f t="shared" si="201"/>
        <v/>
      </c>
      <c r="BK147" s="1044" t="str">
        <f t="shared" si="202"/>
        <v/>
      </c>
      <c r="BL147" s="1044" t="str">
        <f t="shared" si="203"/>
        <v/>
      </c>
      <c r="BM147" s="1044" t="str">
        <f t="shared" si="204"/>
        <v/>
      </c>
      <c r="BN147" s="1044" t="str">
        <f t="shared" si="205"/>
        <v/>
      </c>
      <c r="BO147" s="1044" t="str">
        <f t="shared" si="206"/>
        <v/>
      </c>
      <c r="BP147" s="1044" t="str">
        <f t="shared" si="207"/>
        <v/>
      </c>
      <c r="BQ147" s="1044" t="str">
        <f t="shared" si="208"/>
        <v/>
      </c>
      <c r="BR147" s="1044" t="str">
        <f t="shared" si="209"/>
        <v/>
      </c>
      <c r="BS147" s="1044" t="str">
        <f t="shared" si="210"/>
        <v/>
      </c>
      <c r="BT147" s="1044" t="str">
        <f t="shared" si="211"/>
        <v/>
      </c>
      <c r="BU147" s="1044" t="str">
        <f t="shared" si="212"/>
        <v/>
      </c>
    </row>
    <row r="148" spans="1:73" ht="30" customHeight="1">
      <c r="A148" s="1069" t="str">
        <f t="shared" si="142"/>
        <v/>
      </c>
      <c r="B148" s="1063"/>
      <c r="C148" s="1064" t="s">
        <v>254</v>
      </c>
      <c r="D148" s="1070" t="str">
        <f t="shared" si="143"/>
        <v/>
      </c>
      <c r="E148" s="1071" t="str">
        <f t="shared" si="144"/>
        <v/>
      </c>
      <c r="F148" s="1067" t="str">
        <f t="shared" si="145"/>
        <v/>
      </c>
      <c r="G148" s="1068" t="str">
        <f t="shared" si="146"/>
        <v/>
      </c>
      <c r="H148" s="1069" t="str">
        <f t="shared" si="147"/>
        <v/>
      </c>
      <c r="I148" s="1069" t="str">
        <f t="shared" si="148"/>
        <v/>
      </c>
      <c r="J148" s="1067" t="str">
        <f t="shared" si="149"/>
        <v/>
      </c>
      <c r="K148" s="1044" t="str">
        <f t="shared" si="150"/>
        <v/>
      </c>
      <c r="L148" s="1044" t="str">
        <f t="shared" si="151"/>
        <v/>
      </c>
      <c r="M148" s="1044" t="str">
        <f t="shared" si="152"/>
        <v/>
      </c>
      <c r="N148" s="1044" t="str">
        <f t="shared" si="153"/>
        <v/>
      </c>
      <c r="O148" s="1044" t="str">
        <f t="shared" si="154"/>
        <v/>
      </c>
      <c r="P148" s="1044" t="str">
        <f t="shared" si="155"/>
        <v/>
      </c>
      <c r="Q148" s="1044">
        <f t="shared" si="156"/>
        <v>0</v>
      </c>
      <c r="R148" s="1044">
        <f t="shared" si="157"/>
        <v>0</v>
      </c>
      <c r="S148" s="1044">
        <f t="shared" si="158"/>
        <v>0</v>
      </c>
      <c r="T148" s="1044">
        <f t="shared" si="159"/>
        <v>0</v>
      </c>
      <c r="U148" s="1044" t="str">
        <f t="shared" si="160"/>
        <v/>
      </c>
      <c r="V148" s="1044" t="str">
        <f t="shared" si="161"/>
        <v/>
      </c>
      <c r="W148" s="1044">
        <f t="shared" si="162"/>
        <v>0</v>
      </c>
      <c r="X148" s="1044" t="str">
        <f t="shared" si="163"/>
        <v/>
      </c>
      <c r="Y148" s="1044">
        <f t="shared" si="164"/>
        <v>0</v>
      </c>
      <c r="Z148" s="1044" t="str">
        <f t="shared" si="165"/>
        <v/>
      </c>
      <c r="AA148" s="1044">
        <f t="shared" si="166"/>
        <v>0</v>
      </c>
      <c r="AB148" s="1044">
        <f t="shared" si="167"/>
        <v>0</v>
      </c>
      <c r="AC148" s="1044">
        <f t="shared" si="168"/>
        <v>0</v>
      </c>
      <c r="AD148" s="1044" t="str">
        <f t="shared" si="169"/>
        <v/>
      </c>
      <c r="AE148" s="1044">
        <f t="shared" si="170"/>
        <v>0</v>
      </c>
      <c r="AF148" s="1044" t="str">
        <f t="shared" si="171"/>
        <v/>
      </c>
      <c r="AG148" s="1044">
        <f t="shared" si="172"/>
        <v>0</v>
      </c>
      <c r="AH148" s="1044">
        <f t="shared" si="173"/>
        <v>0</v>
      </c>
      <c r="AI148" s="1044" t="str">
        <f t="shared" si="174"/>
        <v/>
      </c>
      <c r="AJ148" s="1044">
        <f t="shared" si="175"/>
        <v>0</v>
      </c>
      <c r="AK148" s="1044">
        <f t="shared" si="176"/>
        <v>0</v>
      </c>
      <c r="AL148" s="1044">
        <f t="shared" si="177"/>
        <v>0</v>
      </c>
      <c r="AM148" s="1044">
        <f t="shared" si="178"/>
        <v>0</v>
      </c>
      <c r="AN148" s="1044" t="str">
        <f t="shared" si="179"/>
        <v/>
      </c>
      <c r="AO148" s="1044" t="str">
        <f t="shared" si="180"/>
        <v/>
      </c>
      <c r="AP148" s="1044">
        <f t="shared" si="181"/>
        <v>0</v>
      </c>
      <c r="AQ148" s="1044">
        <f t="shared" si="182"/>
        <v>0</v>
      </c>
      <c r="AR148" s="1044" t="str">
        <f t="shared" si="183"/>
        <v/>
      </c>
      <c r="AS148" s="1044">
        <f t="shared" si="184"/>
        <v>0</v>
      </c>
      <c r="AT148" s="1044" t="str">
        <f t="shared" si="185"/>
        <v/>
      </c>
      <c r="AU148" s="1044">
        <f t="shared" si="186"/>
        <v>0</v>
      </c>
      <c r="AV148" s="1044" t="str">
        <f t="shared" si="187"/>
        <v/>
      </c>
      <c r="AW148" s="1044">
        <f t="shared" si="188"/>
        <v>0</v>
      </c>
      <c r="AX148" s="1044" t="str">
        <f t="shared" si="189"/>
        <v/>
      </c>
      <c r="AY148" s="1044">
        <f t="shared" si="190"/>
        <v>0</v>
      </c>
      <c r="AZ148" s="1044" t="str">
        <f t="shared" si="191"/>
        <v/>
      </c>
      <c r="BA148" s="1044">
        <f t="shared" si="192"/>
        <v>0</v>
      </c>
      <c r="BB148" s="1044" t="str">
        <f t="shared" si="193"/>
        <v/>
      </c>
      <c r="BC148" s="1044">
        <f t="shared" si="194"/>
        <v>0</v>
      </c>
      <c r="BD148" s="1044">
        <f t="shared" si="195"/>
        <v>0</v>
      </c>
      <c r="BE148" s="1044" t="str">
        <f t="shared" si="196"/>
        <v/>
      </c>
      <c r="BF148" s="1044" t="str">
        <f t="shared" si="197"/>
        <v/>
      </c>
      <c r="BG148" s="1044" t="str">
        <f t="shared" si="198"/>
        <v/>
      </c>
      <c r="BH148" s="1044" t="str">
        <f t="shared" si="199"/>
        <v/>
      </c>
      <c r="BI148" s="1044" t="str">
        <f t="shared" si="200"/>
        <v/>
      </c>
      <c r="BJ148" s="1044" t="str">
        <f t="shared" si="201"/>
        <v/>
      </c>
      <c r="BK148" s="1044" t="str">
        <f t="shared" si="202"/>
        <v/>
      </c>
      <c r="BL148" s="1044" t="str">
        <f t="shared" si="203"/>
        <v/>
      </c>
      <c r="BM148" s="1044" t="str">
        <f t="shared" si="204"/>
        <v/>
      </c>
      <c r="BN148" s="1044" t="str">
        <f t="shared" si="205"/>
        <v/>
      </c>
      <c r="BO148" s="1044" t="str">
        <f t="shared" si="206"/>
        <v/>
      </c>
      <c r="BP148" s="1044" t="str">
        <f t="shared" si="207"/>
        <v/>
      </c>
      <c r="BQ148" s="1044" t="str">
        <f t="shared" si="208"/>
        <v/>
      </c>
      <c r="BR148" s="1044" t="str">
        <f t="shared" si="209"/>
        <v/>
      </c>
      <c r="BS148" s="1044" t="str">
        <f t="shared" si="210"/>
        <v/>
      </c>
      <c r="BT148" s="1044" t="str">
        <f t="shared" si="211"/>
        <v/>
      </c>
      <c r="BU148" s="1044" t="str">
        <f t="shared" si="212"/>
        <v/>
      </c>
    </row>
    <row r="149" spans="1:73" ht="30" customHeight="1">
      <c r="A149" s="1069" t="str">
        <f t="shared" si="142"/>
        <v/>
      </c>
      <c r="B149" s="1063"/>
      <c r="C149" s="1064" t="s">
        <v>254</v>
      </c>
      <c r="D149" s="1070" t="str">
        <f t="shared" si="143"/>
        <v/>
      </c>
      <c r="E149" s="1071" t="str">
        <f t="shared" si="144"/>
        <v/>
      </c>
      <c r="F149" s="1067" t="str">
        <f t="shared" si="145"/>
        <v/>
      </c>
      <c r="G149" s="1068" t="str">
        <f t="shared" si="146"/>
        <v/>
      </c>
      <c r="H149" s="1069" t="str">
        <f t="shared" si="147"/>
        <v/>
      </c>
      <c r="I149" s="1069" t="str">
        <f t="shared" si="148"/>
        <v/>
      </c>
      <c r="J149" s="1067" t="str">
        <f t="shared" si="149"/>
        <v/>
      </c>
      <c r="K149" s="1044" t="str">
        <f t="shared" si="150"/>
        <v/>
      </c>
      <c r="L149" s="1044" t="str">
        <f t="shared" si="151"/>
        <v/>
      </c>
      <c r="M149" s="1044" t="str">
        <f t="shared" si="152"/>
        <v/>
      </c>
      <c r="N149" s="1044" t="str">
        <f t="shared" si="153"/>
        <v/>
      </c>
      <c r="O149" s="1044" t="str">
        <f t="shared" si="154"/>
        <v/>
      </c>
      <c r="P149" s="1044" t="str">
        <f t="shared" si="155"/>
        <v/>
      </c>
      <c r="Q149" s="1044">
        <f t="shared" si="156"/>
        <v>0</v>
      </c>
      <c r="R149" s="1044">
        <f t="shared" si="157"/>
        <v>0</v>
      </c>
      <c r="S149" s="1044">
        <f t="shared" si="158"/>
        <v>0</v>
      </c>
      <c r="T149" s="1044">
        <f t="shared" si="159"/>
        <v>0</v>
      </c>
      <c r="U149" s="1044" t="str">
        <f t="shared" si="160"/>
        <v/>
      </c>
      <c r="V149" s="1044" t="str">
        <f t="shared" si="161"/>
        <v/>
      </c>
      <c r="W149" s="1044">
        <f t="shared" si="162"/>
        <v>0</v>
      </c>
      <c r="X149" s="1044" t="str">
        <f t="shared" si="163"/>
        <v/>
      </c>
      <c r="Y149" s="1044">
        <f t="shared" si="164"/>
        <v>0</v>
      </c>
      <c r="Z149" s="1044" t="str">
        <f t="shared" si="165"/>
        <v/>
      </c>
      <c r="AA149" s="1044">
        <f t="shared" si="166"/>
        <v>0</v>
      </c>
      <c r="AB149" s="1044">
        <f t="shared" si="167"/>
        <v>0</v>
      </c>
      <c r="AC149" s="1044">
        <f t="shared" si="168"/>
        <v>0</v>
      </c>
      <c r="AD149" s="1044" t="str">
        <f t="shared" si="169"/>
        <v/>
      </c>
      <c r="AE149" s="1044">
        <f t="shared" si="170"/>
        <v>0</v>
      </c>
      <c r="AF149" s="1044" t="str">
        <f t="shared" si="171"/>
        <v/>
      </c>
      <c r="AG149" s="1044">
        <f t="shared" si="172"/>
        <v>0</v>
      </c>
      <c r="AH149" s="1044">
        <f t="shared" si="173"/>
        <v>0</v>
      </c>
      <c r="AI149" s="1044" t="str">
        <f t="shared" si="174"/>
        <v/>
      </c>
      <c r="AJ149" s="1044">
        <f t="shared" si="175"/>
        <v>0</v>
      </c>
      <c r="AK149" s="1044">
        <f t="shared" si="176"/>
        <v>0</v>
      </c>
      <c r="AL149" s="1044">
        <f t="shared" si="177"/>
        <v>0</v>
      </c>
      <c r="AM149" s="1044">
        <f t="shared" si="178"/>
        <v>0</v>
      </c>
      <c r="AN149" s="1044" t="str">
        <f t="shared" si="179"/>
        <v/>
      </c>
      <c r="AO149" s="1044" t="str">
        <f t="shared" si="180"/>
        <v/>
      </c>
      <c r="AP149" s="1044">
        <f t="shared" si="181"/>
        <v>0</v>
      </c>
      <c r="AQ149" s="1044">
        <f t="shared" si="182"/>
        <v>0</v>
      </c>
      <c r="AR149" s="1044" t="str">
        <f t="shared" si="183"/>
        <v/>
      </c>
      <c r="AS149" s="1044">
        <f t="shared" si="184"/>
        <v>0</v>
      </c>
      <c r="AT149" s="1044" t="str">
        <f t="shared" si="185"/>
        <v/>
      </c>
      <c r="AU149" s="1044">
        <f t="shared" si="186"/>
        <v>0</v>
      </c>
      <c r="AV149" s="1044" t="str">
        <f t="shared" si="187"/>
        <v/>
      </c>
      <c r="AW149" s="1044">
        <f t="shared" si="188"/>
        <v>0</v>
      </c>
      <c r="AX149" s="1044" t="str">
        <f t="shared" si="189"/>
        <v/>
      </c>
      <c r="AY149" s="1044">
        <f t="shared" si="190"/>
        <v>0</v>
      </c>
      <c r="AZ149" s="1044" t="str">
        <f t="shared" si="191"/>
        <v/>
      </c>
      <c r="BA149" s="1044">
        <f t="shared" si="192"/>
        <v>0</v>
      </c>
      <c r="BB149" s="1044" t="str">
        <f t="shared" si="193"/>
        <v/>
      </c>
      <c r="BC149" s="1044">
        <f t="shared" si="194"/>
        <v>0</v>
      </c>
      <c r="BD149" s="1044">
        <f t="shared" si="195"/>
        <v>0</v>
      </c>
      <c r="BE149" s="1044" t="str">
        <f t="shared" si="196"/>
        <v/>
      </c>
      <c r="BF149" s="1044" t="str">
        <f t="shared" si="197"/>
        <v/>
      </c>
      <c r="BG149" s="1044" t="str">
        <f t="shared" si="198"/>
        <v/>
      </c>
      <c r="BH149" s="1044" t="str">
        <f t="shared" si="199"/>
        <v/>
      </c>
      <c r="BI149" s="1044" t="str">
        <f t="shared" si="200"/>
        <v/>
      </c>
      <c r="BJ149" s="1044" t="str">
        <f t="shared" si="201"/>
        <v/>
      </c>
      <c r="BK149" s="1044" t="str">
        <f t="shared" si="202"/>
        <v/>
      </c>
      <c r="BL149" s="1044" t="str">
        <f t="shared" si="203"/>
        <v/>
      </c>
      <c r="BM149" s="1044" t="str">
        <f t="shared" si="204"/>
        <v/>
      </c>
      <c r="BN149" s="1044" t="str">
        <f t="shared" si="205"/>
        <v/>
      </c>
      <c r="BO149" s="1044" t="str">
        <f t="shared" si="206"/>
        <v/>
      </c>
      <c r="BP149" s="1044" t="str">
        <f t="shared" si="207"/>
        <v/>
      </c>
      <c r="BQ149" s="1044" t="str">
        <f t="shared" si="208"/>
        <v/>
      </c>
      <c r="BR149" s="1044" t="str">
        <f t="shared" si="209"/>
        <v/>
      </c>
      <c r="BS149" s="1044" t="str">
        <f t="shared" si="210"/>
        <v/>
      </c>
      <c r="BT149" s="1044" t="str">
        <f t="shared" si="211"/>
        <v/>
      </c>
      <c r="BU149" s="1044" t="str">
        <f t="shared" si="212"/>
        <v/>
      </c>
    </row>
    <row r="150" spans="1:73" ht="30" customHeight="1">
      <c r="A150" s="1069" t="str">
        <f t="shared" si="142"/>
        <v/>
      </c>
      <c r="B150" s="1063"/>
      <c r="C150" s="1064" t="s">
        <v>254</v>
      </c>
      <c r="D150" s="1070" t="str">
        <f t="shared" si="143"/>
        <v/>
      </c>
      <c r="E150" s="1071" t="str">
        <f t="shared" si="144"/>
        <v/>
      </c>
      <c r="F150" s="1067" t="str">
        <f t="shared" si="145"/>
        <v/>
      </c>
      <c r="G150" s="1068" t="str">
        <f t="shared" si="146"/>
        <v/>
      </c>
      <c r="H150" s="1069" t="str">
        <f t="shared" si="147"/>
        <v/>
      </c>
      <c r="I150" s="1069" t="str">
        <f t="shared" si="148"/>
        <v/>
      </c>
      <c r="J150" s="1067" t="str">
        <f t="shared" si="149"/>
        <v/>
      </c>
      <c r="K150" s="1044" t="str">
        <f t="shared" si="150"/>
        <v/>
      </c>
      <c r="L150" s="1044" t="str">
        <f t="shared" si="151"/>
        <v/>
      </c>
      <c r="M150" s="1044" t="str">
        <f t="shared" si="152"/>
        <v/>
      </c>
      <c r="N150" s="1044" t="str">
        <f t="shared" si="153"/>
        <v/>
      </c>
      <c r="O150" s="1044" t="str">
        <f t="shared" si="154"/>
        <v/>
      </c>
      <c r="P150" s="1044" t="str">
        <f t="shared" si="155"/>
        <v/>
      </c>
      <c r="Q150" s="1044">
        <f t="shared" si="156"/>
        <v>0</v>
      </c>
      <c r="R150" s="1044">
        <f t="shared" si="157"/>
        <v>0</v>
      </c>
      <c r="S150" s="1044">
        <f t="shared" si="158"/>
        <v>0</v>
      </c>
      <c r="T150" s="1044">
        <f t="shared" si="159"/>
        <v>0</v>
      </c>
      <c r="U150" s="1044" t="str">
        <f t="shared" si="160"/>
        <v/>
      </c>
      <c r="V150" s="1044" t="str">
        <f t="shared" si="161"/>
        <v/>
      </c>
      <c r="W150" s="1044">
        <f t="shared" si="162"/>
        <v>0</v>
      </c>
      <c r="X150" s="1044" t="str">
        <f t="shared" si="163"/>
        <v/>
      </c>
      <c r="Y150" s="1044">
        <f t="shared" si="164"/>
        <v>0</v>
      </c>
      <c r="Z150" s="1044" t="str">
        <f t="shared" si="165"/>
        <v/>
      </c>
      <c r="AA150" s="1044">
        <f t="shared" si="166"/>
        <v>0</v>
      </c>
      <c r="AB150" s="1044">
        <f t="shared" si="167"/>
        <v>0</v>
      </c>
      <c r="AC150" s="1044">
        <f t="shared" si="168"/>
        <v>0</v>
      </c>
      <c r="AD150" s="1044" t="str">
        <f t="shared" si="169"/>
        <v/>
      </c>
      <c r="AE150" s="1044">
        <f t="shared" si="170"/>
        <v>0</v>
      </c>
      <c r="AF150" s="1044" t="str">
        <f t="shared" si="171"/>
        <v/>
      </c>
      <c r="AG150" s="1044">
        <f t="shared" si="172"/>
        <v>0</v>
      </c>
      <c r="AH150" s="1044">
        <f t="shared" si="173"/>
        <v>0</v>
      </c>
      <c r="AI150" s="1044" t="str">
        <f t="shared" si="174"/>
        <v/>
      </c>
      <c r="AJ150" s="1044">
        <f t="shared" si="175"/>
        <v>0</v>
      </c>
      <c r="AK150" s="1044">
        <f t="shared" si="176"/>
        <v>0</v>
      </c>
      <c r="AL150" s="1044">
        <f t="shared" si="177"/>
        <v>0</v>
      </c>
      <c r="AM150" s="1044">
        <f t="shared" si="178"/>
        <v>0</v>
      </c>
      <c r="AN150" s="1044" t="str">
        <f t="shared" si="179"/>
        <v/>
      </c>
      <c r="AO150" s="1044" t="str">
        <f t="shared" si="180"/>
        <v/>
      </c>
      <c r="AP150" s="1044">
        <f t="shared" si="181"/>
        <v>0</v>
      </c>
      <c r="AQ150" s="1044">
        <f t="shared" si="182"/>
        <v>0</v>
      </c>
      <c r="AR150" s="1044" t="str">
        <f t="shared" si="183"/>
        <v/>
      </c>
      <c r="AS150" s="1044">
        <f t="shared" si="184"/>
        <v>0</v>
      </c>
      <c r="AT150" s="1044" t="str">
        <f t="shared" si="185"/>
        <v/>
      </c>
      <c r="AU150" s="1044">
        <f t="shared" si="186"/>
        <v>0</v>
      </c>
      <c r="AV150" s="1044" t="str">
        <f t="shared" si="187"/>
        <v/>
      </c>
      <c r="AW150" s="1044">
        <f t="shared" si="188"/>
        <v>0</v>
      </c>
      <c r="AX150" s="1044" t="str">
        <f t="shared" si="189"/>
        <v/>
      </c>
      <c r="AY150" s="1044">
        <f t="shared" si="190"/>
        <v>0</v>
      </c>
      <c r="AZ150" s="1044" t="str">
        <f t="shared" si="191"/>
        <v/>
      </c>
      <c r="BA150" s="1044">
        <f t="shared" si="192"/>
        <v>0</v>
      </c>
      <c r="BB150" s="1044" t="str">
        <f t="shared" si="193"/>
        <v/>
      </c>
      <c r="BC150" s="1044">
        <f t="shared" si="194"/>
        <v>0</v>
      </c>
      <c r="BD150" s="1044">
        <f t="shared" si="195"/>
        <v>0</v>
      </c>
      <c r="BE150" s="1044" t="str">
        <f t="shared" si="196"/>
        <v/>
      </c>
      <c r="BF150" s="1044" t="str">
        <f t="shared" si="197"/>
        <v/>
      </c>
      <c r="BG150" s="1044" t="str">
        <f t="shared" si="198"/>
        <v/>
      </c>
      <c r="BH150" s="1044" t="str">
        <f t="shared" si="199"/>
        <v/>
      </c>
      <c r="BI150" s="1044" t="str">
        <f t="shared" si="200"/>
        <v/>
      </c>
      <c r="BJ150" s="1044" t="str">
        <f t="shared" si="201"/>
        <v/>
      </c>
      <c r="BK150" s="1044" t="str">
        <f t="shared" si="202"/>
        <v/>
      </c>
      <c r="BL150" s="1044" t="str">
        <f t="shared" si="203"/>
        <v/>
      </c>
      <c r="BM150" s="1044" t="str">
        <f t="shared" si="204"/>
        <v/>
      </c>
      <c r="BN150" s="1044" t="str">
        <f t="shared" si="205"/>
        <v/>
      </c>
      <c r="BO150" s="1044" t="str">
        <f t="shared" si="206"/>
        <v/>
      </c>
      <c r="BP150" s="1044" t="str">
        <f t="shared" si="207"/>
        <v/>
      </c>
      <c r="BQ150" s="1044" t="str">
        <f t="shared" si="208"/>
        <v/>
      </c>
      <c r="BR150" s="1044" t="str">
        <f t="shared" si="209"/>
        <v/>
      </c>
      <c r="BS150" s="1044" t="str">
        <f t="shared" si="210"/>
        <v/>
      </c>
      <c r="BT150" s="1044" t="str">
        <f t="shared" si="211"/>
        <v/>
      </c>
      <c r="BU150" s="1044" t="str">
        <f t="shared" si="212"/>
        <v/>
      </c>
    </row>
    <row r="151" spans="1:73" ht="30" customHeight="1">
      <c r="A151" s="1069" t="str">
        <f t="shared" si="142"/>
        <v/>
      </c>
      <c r="B151" s="1063"/>
      <c r="C151" s="1064" t="s">
        <v>254</v>
      </c>
      <c r="D151" s="1070" t="str">
        <f t="shared" si="143"/>
        <v/>
      </c>
      <c r="E151" s="1071" t="str">
        <f t="shared" si="144"/>
        <v/>
      </c>
      <c r="F151" s="1067" t="str">
        <f t="shared" si="145"/>
        <v/>
      </c>
      <c r="G151" s="1068" t="str">
        <f t="shared" si="146"/>
        <v/>
      </c>
      <c r="H151" s="1069" t="str">
        <f t="shared" si="147"/>
        <v/>
      </c>
      <c r="I151" s="1069" t="str">
        <f t="shared" si="148"/>
        <v/>
      </c>
      <c r="J151" s="1067" t="str">
        <f t="shared" si="149"/>
        <v/>
      </c>
      <c r="K151" s="1044" t="str">
        <f t="shared" si="150"/>
        <v/>
      </c>
      <c r="L151" s="1044" t="str">
        <f t="shared" si="151"/>
        <v/>
      </c>
      <c r="M151" s="1044" t="str">
        <f t="shared" si="152"/>
        <v/>
      </c>
      <c r="N151" s="1044" t="str">
        <f t="shared" si="153"/>
        <v/>
      </c>
      <c r="O151" s="1044" t="str">
        <f t="shared" si="154"/>
        <v/>
      </c>
      <c r="P151" s="1044" t="str">
        <f t="shared" si="155"/>
        <v/>
      </c>
      <c r="Q151" s="1044">
        <f t="shared" si="156"/>
        <v>0</v>
      </c>
      <c r="R151" s="1044">
        <f t="shared" si="157"/>
        <v>0</v>
      </c>
      <c r="S151" s="1044">
        <f t="shared" si="158"/>
        <v>0</v>
      </c>
      <c r="T151" s="1044">
        <f t="shared" si="159"/>
        <v>0</v>
      </c>
      <c r="U151" s="1044" t="str">
        <f t="shared" si="160"/>
        <v/>
      </c>
      <c r="V151" s="1044" t="str">
        <f t="shared" si="161"/>
        <v/>
      </c>
      <c r="W151" s="1044">
        <f t="shared" si="162"/>
        <v>0</v>
      </c>
      <c r="X151" s="1044" t="str">
        <f t="shared" si="163"/>
        <v/>
      </c>
      <c r="Y151" s="1044">
        <f t="shared" si="164"/>
        <v>0</v>
      </c>
      <c r="Z151" s="1044" t="str">
        <f t="shared" si="165"/>
        <v/>
      </c>
      <c r="AA151" s="1044">
        <f t="shared" si="166"/>
        <v>0</v>
      </c>
      <c r="AB151" s="1044">
        <f t="shared" si="167"/>
        <v>0</v>
      </c>
      <c r="AC151" s="1044">
        <f t="shared" si="168"/>
        <v>0</v>
      </c>
      <c r="AD151" s="1044" t="str">
        <f t="shared" si="169"/>
        <v/>
      </c>
      <c r="AE151" s="1044">
        <f t="shared" si="170"/>
        <v>0</v>
      </c>
      <c r="AF151" s="1044" t="str">
        <f t="shared" si="171"/>
        <v/>
      </c>
      <c r="AG151" s="1044">
        <f t="shared" si="172"/>
        <v>0</v>
      </c>
      <c r="AH151" s="1044">
        <f t="shared" si="173"/>
        <v>0</v>
      </c>
      <c r="AI151" s="1044" t="str">
        <f t="shared" si="174"/>
        <v/>
      </c>
      <c r="AJ151" s="1044">
        <f t="shared" si="175"/>
        <v>0</v>
      </c>
      <c r="AK151" s="1044">
        <f t="shared" si="176"/>
        <v>0</v>
      </c>
      <c r="AL151" s="1044">
        <f t="shared" si="177"/>
        <v>0</v>
      </c>
      <c r="AM151" s="1044">
        <f t="shared" si="178"/>
        <v>0</v>
      </c>
      <c r="AN151" s="1044" t="str">
        <f t="shared" si="179"/>
        <v/>
      </c>
      <c r="AO151" s="1044" t="str">
        <f t="shared" si="180"/>
        <v/>
      </c>
      <c r="AP151" s="1044">
        <f t="shared" si="181"/>
        <v>0</v>
      </c>
      <c r="AQ151" s="1044">
        <f t="shared" si="182"/>
        <v>0</v>
      </c>
      <c r="AR151" s="1044" t="str">
        <f t="shared" si="183"/>
        <v/>
      </c>
      <c r="AS151" s="1044">
        <f t="shared" si="184"/>
        <v>0</v>
      </c>
      <c r="AT151" s="1044" t="str">
        <f t="shared" si="185"/>
        <v/>
      </c>
      <c r="AU151" s="1044">
        <f t="shared" si="186"/>
        <v>0</v>
      </c>
      <c r="AV151" s="1044" t="str">
        <f t="shared" si="187"/>
        <v/>
      </c>
      <c r="AW151" s="1044">
        <f t="shared" si="188"/>
        <v>0</v>
      </c>
      <c r="AX151" s="1044" t="str">
        <f t="shared" si="189"/>
        <v/>
      </c>
      <c r="AY151" s="1044">
        <f t="shared" si="190"/>
        <v>0</v>
      </c>
      <c r="AZ151" s="1044" t="str">
        <f t="shared" si="191"/>
        <v/>
      </c>
      <c r="BA151" s="1044">
        <f t="shared" si="192"/>
        <v>0</v>
      </c>
      <c r="BB151" s="1044" t="str">
        <f t="shared" si="193"/>
        <v/>
      </c>
      <c r="BC151" s="1044">
        <f t="shared" si="194"/>
        <v>0</v>
      </c>
      <c r="BD151" s="1044">
        <f t="shared" si="195"/>
        <v>0</v>
      </c>
      <c r="BE151" s="1044" t="str">
        <f t="shared" si="196"/>
        <v/>
      </c>
      <c r="BF151" s="1044" t="str">
        <f t="shared" si="197"/>
        <v/>
      </c>
      <c r="BG151" s="1044" t="str">
        <f t="shared" si="198"/>
        <v/>
      </c>
      <c r="BH151" s="1044" t="str">
        <f t="shared" si="199"/>
        <v/>
      </c>
      <c r="BI151" s="1044" t="str">
        <f t="shared" si="200"/>
        <v/>
      </c>
      <c r="BJ151" s="1044" t="str">
        <f t="shared" si="201"/>
        <v/>
      </c>
      <c r="BK151" s="1044" t="str">
        <f t="shared" si="202"/>
        <v/>
      </c>
      <c r="BL151" s="1044" t="str">
        <f t="shared" si="203"/>
        <v/>
      </c>
      <c r="BM151" s="1044" t="str">
        <f t="shared" si="204"/>
        <v/>
      </c>
      <c r="BN151" s="1044" t="str">
        <f t="shared" si="205"/>
        <v/>
      </c>
      <c r="BO151" s="1044" t="str">
        <f t="shared" si="206"/>
        <v/>
      </c>
      <c r="BP151" s="1044" t="str">
        <f t="shared" si="207"/>
        <v/>
      </c>
      <c r="BQ151" s="1044" t="str">
        <f t="shared" si="208"/>
        <v/>
      </c>
      <c r="BR151" s="1044" t="str">
        <f t="shared" si="209"/>
        <v/>
      </c>
      <c r="BS151" s="1044" t="str">
        <f t="shared" si="210"/>
        <v/>
      </c>
      <c r="BT151" s="1044" t="str">
        <f t="shared" si="211"/>
        <v/>
      </c>
      <c r="BU151" s="1044" t="str">
        <f t="shared" si="212"/>
        <v/>
      </c>
    </row>
    <row r="152" spans="1:73" ht="30" customHeight="1">
      <c r="A152" s="1069" t="str">
        <f t="shared" si="142"/>
        <v/>
      </c>
      <c r="B152" s="1063"/>
      <c r="C152" s="1064" t="s">
        <v>254</v>
      </c>
      <c r="D152" s="1070" t="str">
        <f t="shared" si="143"/>
        <v/>
      </c>
      <c r="E152" s="1071" t="str">
        <f t="shared" si="144"/>
        <v/>
      </c>
      <c r="F152" s="1067" t="str">
        <f t="shared" si="145"/>
        <v/>
      </c>
      <c r="G152" s="1068" t="str">
        <f t="shared" si="146"/>
        <v/>
      </c>
      <c r="H152" s="1069" t="str">
        <f t="shared" si="147"/>
        <v/>
      </c>
      <c r="I152" s="1069" t="str">
        <f t="shared" si="148"/>
        <v/>
      </c>
      <c r="J152" s="1067" t="str">
        <f t="shared" si="149"/>
        <v/>
      </c>
      <c r="K152" s="1044" t="str">
        <f t="shared" si="150"/>
        <v/>
      </c>
      <c r="L152" s="1044" t="str">
        <f t="shared" si="151"/>
        <v/>
      </c>
      <c r="M152" s="1044" t="str">
        <f t="shared" si="152"/>
        <v/>
      </c>
      <c r="N152" s="1044" t="str">
        <f t="shared" si="153"/>
        <v/>
      </c>
      <c r="O152" s="1044" t="str">
        <f t="shared" si="154"/>
        <v/>
      </c>
      <c r="P152" s="1044" t="str">
        <f t="shared" si="155"/>
        <v/>
      </c>
      <c r="Q152" s="1044">
        <f t="shared" si="156"/>
        <v>0</v>
      </c>
      <c r="R152" s="1044">
        <f t="shared" si="157"/>
        <v>0</v>
      </c>
      <c r="S152" s="1044">
        <f t="shared" si="158"/>
        <v>0</v>
      </c>
      <c r="T152" s="1044">
        <f t="shared" si="159"/>
        <v>0</v>
      </c>
      <c r="U152" s="1044" t="str">
        <f t="shared" si="160"/>
        <v/>
      </c>
      <c r="V152" s="1044" t="str">
        <f t="shared" si="161"/>
        <v/>
      </c>
      <c r="W152" s="1044">
        <f t="shared" si="162"/>
        <v>0</v>
      </c>
      <c r="X152" s="1044" t="str">
        <f t="shared" si="163"/>
        <v/>
      </c>
      <c r="Y152" s="1044">
        <f t="shared" si="164"/>
        <v>0</v>
      </c>
      <c r="Z152" s="1044" t="str">
        <f t="shared" si="165"/>
        <v/>
      </c>
      <c r="AA152" s="1044">
        <f t="shared" si="166"/>
        <v>0</v>
      </c>
      <c r="AB152" s="1044">
        <f t="shared" si="167"/>
        <v>0</v>
      </c>
      <c r="AC152" s="1044">
        <f t="shared" si="168"/>
        <v>0</v>
      </c>
      <c r="AD152" s="1044" t="str">
        <f t="shared" si="169"/>
        <v/>
      </c>
      <c r="AE152" s="1044">
        <f t="shared" si="170"/>
        <v>0</v>
      </c>
      <c r="AF152" s="1044" t="str">
        <f t="shared" si="171"/>
        <v/>
      </c>
      <c r="AG152" s="1044">
        <f t="shared" si="172"/>
        <v>0</v>
      </c>
      <c r="AH152" s="1044">
        <f t="shared" si="173"/>
        <v>0</v>
      </c>
      <c r="AI152" s="1044" t="str">
        <f t="shared" si="174"/>
        <v/>
      </c>
      <c r="AJ152" s="1044">
        <f t="shared" si="175"/>
        <v>0</v>
      </c>
      <c r="AK152" s="1044">
        <f t="shared" si="176"/>
        <v>0</v>
      </c>
      <c r="AL152" s="1044">
        <f t="shared" si="177"/>
        <v>0</v>
      </c>
      <c r="AM152" s="1044">
        <f t="shared" si="178"/>
        <v>0</v>
      </c>
      <c r="AN152" s="1044" t="str">
        <f t="shared" si="179"/>
        <v/>
      </c>
      <c r="AO152" s="1044" t="str">
        <f t="shared" si="180"/>
        <v/>
      </c>
      <c r="AP152" s="1044">
        <f t="shared" si="181"/>
        <v>0</v>
      </c>
      <c r="AQ152" s="1044">
        <f t="shared" si="182"/>
        <v>0</v>
      </c>
      <c r="AR152" s="1044" t="str">
        <f t="shared" si="183"/>
        <v/>
      </c>
      <c r="AS152" s="1044">
        <f t="shared" si="184"/>
        <v>0</v>
      </c>
      <c r="AT152" s="1044" t="str">
        <f t="shared" si="185"/>
        <v/>
      </c>
      <c r="AU152" s="1044">
        <f t="shared" si="186"/>
        <v>0</v>
      </c>
      <c r="AV152" s="1044" t="str">
        <f t="shared" si="187"/>
        <v/>
      </c>
      <c r="AW152" s="1044">
        <f t="shared" si="188"/>
        <v>0</v>
      </c>
      <c r="AX152" s="1044" t="str">
        <f t="shared" si="189"/>
        <v/>
      </c>
      <c r="AY152" s="1044">
        <f t="shared" si="190"/>
        <v>0</v>
      </c>
      <c r="AZ152" s="1044" t="str">
        <f t="shared" si="191"/>
        <v/>
      </c>
      <c r="BA152" s="1044">
        <f t="shared" si="192"/>
        <v>0</v>
      </c>
      <c r="BB152" s="1044" t="str">
        <f t="shared" si="193"/>
        <v/>
      </c>
      <c r="BC152" s="1044">
        <f t="shared" si="194"/>
        <v>0</v>
      </c>
      <c r="BD152" s="1044">
        <f t="shared" si="195"/>
        <v>0</v>
      </c>
      <c r="BE152" s="1044" t="str">
        <f t="shared" si="196"/>
        <v/>
      </c>
      <c r="BF152" s="1044" t="str">
        <f t="shared" si="197"/>
        <v/>
      </c>
      <c r="BG152" s="1044" t="str">
        <f t="shared" si="198"/>
        <v/>
      </c>
      <c r="BH152" s="1044" t="str">
        <f t="shared" si="199"/>
        <v/>
      </c>
      <c r="BI152" s="1044" t="str">
        <f t="shared" si="200"/>
        <v/>
      </c>
      <c r="BJ152" s="1044" t="str">
        <f t="shared" si="201"/>
        <v/>
      </c>
      <c r="BK152" s="1044" t="str">
        <f t="shared" si="202"/>
        <v/>
      </c>
      <c r="BL152" s="1044" t="str">
        <f t="shared" si="203"/>
        <v/>
      </c>
      <c r="BM152" s="1044" t="str">
        <f t="shared" si="204"/>
        <v/>
      </c>
      <c r="BN152" s="1044" t="str">
        <f t="shared" si="205"/>
        <v/>
      </c>
      <c r="BO152" s="1044" t="str">
        <f t="shared" si="206"/>
        <v/>
      </c>
      <c r="BP152" s="1044" t="str">
        <f t="shared" si="207"/>
        <v/>
      </c>
      <c r="BQ152" s="1044" t="str">
        <f t="shared" si="208"/>
        <v/>
      </c>
      <c r="BR152" s="1044" t="str">
        <f t="shared" si="209"/>
        <v/>
      </c>
      <c r="BS152" s="1044" t="str">
        <f t="shared" si="210"/>
        <v/>
      </c>
      <c r="BT152" s="1044" t="str">
        <f t="shared" si="211"/>
        <v/>
      </c>
      <c r="BU152" s="1044" t="str">
        <f t="shared" si="212"/>
        <v/>
      </c>
    </row>
    <row r="153" spans="1:73" ht="30" customHeight="1">
      <c r="A153" s="1069" t="str">
        <f t="shared" si="142"/>
        <v/>
      </c>
      <c r="B153" s="1063"/>
      <c r="C153" s="1064" t="s">
        <v>254</v>
      </c>
      <c r="D153" s="1070" t="str">
        <f t="shared" si="143"/>
        <v/>
      </c>
      <c r="E153" s="1071" t="str">
        <f t="shared" si="144"/>
        <v/>
      </c>
      <c r="F153" s="1067" t="str">
        <f t="shared" si="145"/>
        <v/>
      </c>
      <c r="G153" s="1068" t="str">
        <f t="shared" si="146"/>
        <v/>
      </c>
      <c r="H153" s="1069" t="str">
        <f t="shared" si="147"/>
        <v/>
      </c>
      <c r="I153" s="1069" t="str">
        <f t="shared" si="148"/>
        <v/>
      </c>
      <c r="J153" s="1067" t="str">
        <f t="shared" si="149"/>
        <v/>
      </c>
      <c r="K153" s="1044" t="str">
        <f t="shared" si="150"/>
        <v/>
      </c>
      <c r="L153" s="1044" t="str">
        <f t="shared" si="151"/>
        <v/>
      </c>
      <c r="M153" s="1044" t="str">
        <f t="shared" si="152"/>
        <v/>
      </c>
      <c r="N153" s="1044" t="str">
        <f t="shared" si="153"/>
        <v/>
      </c>
      <c r="O153" s="1044" t="str">
        <f t="shared" si="154"/>
        <v/>
      </c>
      <c r="P153" s="1044" t="str">
        <f t="shared" si="155"/>
        <v/>
      </c>
      <c r="Q153" s="1044">
        <f t="shared" si="156"/>
        <v>0</v>
      </c>
      <c r="R153" s="1044">
        <f t="shared" si="157"/>
        <v>0</v>
      </c>
      <c r="S153" s="1044">
        <f t="shared" si="158"/>
        <v>0</v>
      </c>
      <c r="T153" s="1044">
        <f t="shared" si="159"/>
        <v>0</v>
      </c>
      <c r="U153" s="1044" t="str">
        <f t="shared" si="160"/>
        <v/>
      </c>
      <c r="V153" s="1044" t="str">
        <f t="shared" si="161"/>
        <v/>
      </c>
      <c r="W153" s="1044">
        <f t="shared" si="162"/>
        <v>0</v>
      </c>
      <c r="X153" s="1044" t="str">
        <f t="shared" si="163"/>
        <v/>
      </c>
      <c r="Y153" s="1044">
        <f t="shared" si="164"/>
        <v>0</v>
      </c>
      <c r="Z153" s="1044" t="str">
        <f t="shared" si="165"/>
        <v/>
      </c>
      <c r="AA153" s="1044">
        <f t="shared" si="166"/>
        <v>0</v>
      </c>
      <c r="AB153" s="1044">
        <f t="shared" si="167"/>
        <v>0</v>
      </c>
      <c r="AC153" s="1044">
        <f t="shared" si="168"/>
        <v>0</v>
      </c>
      <c r="AD153" s="1044" t="str">
        <f t="shared" si="169"/>
        <v/>
      </c>
      <c r="AE153" s="1044">
        <f t="shared" si="170"/>
        <v>0</v>
      </c>
      <c r="AF153" s="1044" t="str">
        <f t="shared" si="171"/>
        <v/>
      </c>
      <c r="AG153" s="1044">
        <f t="shared" si="172"/>
        <v>0</v>
      </c>
      <c r="AH153" s="1044">
        <f t="shared" si="173"/>
        <v>0</v>
      </c>
      <c r="AI153" s="1044" t="str">
        <f t="shared" si="174"/>
        <v/>
      </c>
      <c r="AJ153" s="1044">
        <f t="shared" si="175"/>
        <v>0</v>
      </c>
      <c r="AK153" s="1044">
        <f t="shared" si="176"/>
        <v>0</v>
      </c>
      <c r="AL153" s="1044">
        <f t="shared" si="177"/>
        <v>0</v>
      </c>
      <c r="AM153" s="1044">
        <f t="shared" si="178"/>
        <v>0</v>
      </c>
      <c r="AN153" s="1044" t="str">
        <f t="shared" si="179"/>
        <v/>
      </c>
      <c r="AO153" s="1044" t="str">
        <f t="shared" si="180"/>
        <v/>
      </c>
      <c r="AP153" s="1044">
        <f t="shared" si="181"/>
        <v>0</v>
      </c>
      <c r="AQ153" s="1044">
        <f t="shared" si="182"/>
        <v>0</v>
      </c>
      <c r="AR153" s="1044" t="str">
        <f t="shared" si="183"/>
        <v/>
      </c>
      <c r="AS153" s="1044">
        <f t="shared" si="184"/>
        <v>0</v>
      </c>
      <c r="AT153" s="1044" t="str">
        <f t="shared" si="185"/>
        <v/>
      </c>
      <c r="AU153" s="1044">
        <f t="shared" si="186"/>
        <v>0</v>
      </c>
      <c r="AV153" s="1044" t="str">
        <f t="shared" si="187"/>
        <v/>
      </c>
      <c r="AW153" s="1044">
        <f t="shared" si="188"/>
        <v>0</v>
      </c>
      <c r="AX153" s="1044" t="str">
        <f t="shared" si="189"/>
        <v/>
      </c>
      <c r="AY153" s="1044">
        <f t="shared" si="190"/>
        <v>0</v>
      </c>
      <c r="AZ153" s="1044" t="str">
        <f t="shared" si="191"/>
        <v/>
      </c>
      <c r="BA153" s="1044">
        <f t="shared" si="192"/>
        <v>0</v>
      </c>
      <c r="BB153" s="1044" t="str">
        <f t="shared" si="193"/>
        <v/>
      </c>
      <c r="BC153" s="1044">
        <f t="shared" si="194"/>
        <v>0</v>
      </c>
      <c r="BD153" s="1044">
        <f t="shared" si="195"/>
        <v>0</v>
      </c>
      <c r="BE153" s="1044" t="str">
        <f t="shared" si="196"/>
        <v/>
      </c>
      <c r="BF153" s="1044" t="str">
        <f t="shared" si="197"/>
        <v/>
      </c>
      <c r="BG153" s="1044" t="str">
        <f t="shared" si="198"/>
        <v/>
      </c>
      <c r="BH153" s="1044" t="str">
        <f t="shared" si="199"/>
        <v/>
      </c>
      <c r="BI153" s="1044" t="str">
        <f t="shared" si="200"/>
        <v/>
      </c>
      <c r="BJ153" s="1044" t="str">
        <f t="shared" si="201"/>
        <v/>
      </c>
      <c r="BK153" s="1044" t="str">
        <f t="shared" si="202"/>
        <v/>
      </c>
      <c r="BL153" s="1044" t="str">
        <f t="shared" si="203"/>
        <v/>
      </c>
      <c r="BM153" s="1044" t="str">
        <f t="shared" si="204"/>
        <v/>
      </c>
      <c r="BN153" s="1044" t="str">
        <f t="shared" si="205"/>
        <v/>
      </c>
      <c r="BO153" s="1044" t="str">
        <f t="shared" si="206"/>
        <v/>
      </c>
      <c r="BP153" s="1044" t="str">
        <f t="shared" si="207"/>
        <v/>
      </c>
      <c r="BQ153" s="1044" t="str">
        <f t="shared" si="208"/>
        <v/>
      </c>
      <c r="BR153" s="1044" t="str">
        <f t="shared" si="209"/>
        <v/>
      </c>
      <c r="BS153" s="1044" t="str">
        <f t="shared" si="210"/>
        <v/>
      </c>
      <c r="BT153" s="1044" t="str">
        <f t="shared" si="211"/>
        <v/>
      </c>
      <c r="BU153" s="1044" t="str">
        <f t="shared" si="212"/>
        <v/>
      </c>
    </row>
    <row r="154" spans="1:73" ht="30" customHeight="1">
      <c r="A154" s="1069" t="str">
        <f t="shared" si="142"/>
        <v/>
      </c>
      <c r="B154" s="1063"/>
      <c r="C154" s="1064" t="s">
        <v>254</v>
      </c>
      <c r="D154" s="1070" t="str">
        <f t="shared" si="143"/>
        <v/>
      </c>
      <c r="E154" s="1071" t="str">
        <f t="shared" si="144"/>
        <v/>
      </c>
      <c r="F154" s="1067" t="str">
        <f t="shared" si="145"/>
        <v/>
      </c>
      <c r="G154" s="1068" t="str">
        <f t="shared" si="146"/>
        <v/>
      </c>
      <c r="H154" s="1069" t="str">
        <f t="shared" si="147"/>
        <v/>
      </c>
      <c r="I154" s="1069" t="str">
        <f t="shared" si="148"/>
        <v/>
      </c>
      <c r="J154" s="1067" t="str">
        <f t="shared" si="149"/>
        <v/>
      </c>
      <c r="K154" s="1044" t="str">
        <f t="shared" si="150"/>
        <v/>
      </c>
      <c r="L154" s="1044" t="str">
        <f t="shared" si="151"/>
        <v/>
      </c>
      <c r="M154" s="1044" t="str">
        <f t="shared" si="152"/>
        <v/>
      </c>
      <c r="N154" s="1044" t="str">
        <f t="shared" si="153"/>
        <v/>
      </c>
      <c r="O154" s="1044" t="str">
        <f t="shared" si="154"/>
        <v/>
      </c>
      <c r="P154" s="1044" t="str">
        <f t="shared" si="155"/>
        <v/>
      </c>
      <c r="Q154" s="1044">
        <f t="shared" si="156"/>
        <v>0</v>
      </c>
      <c r="R154" s="1044">
        <f t="shared" si="157"/>
        <v>0</v>
      </c>
      <c r="S154" s="1044">
        <f t="shared" si="158"/>
        <v>0</v>
      </c>
      <c r="T154" s="1044">
        <f t="shared" si="159"/>
        <v>0</v>
      </c>
      <c r="U154" s="1044" t="str">
        <f t="shared" si="160"/>
        <v/>
      </c>
      <c r="V154" s="1044" t="str">
        <f t="shared" si="161"/>
        <v/>
      </c>
      <c r="W154" s="1044">
        <f t="shared" si="162"/>
        <v>0</v>
      </c>
      <c r="X154" s="1044" t="str">
        <f t="shared" si="163"/>
        <v/>
      </c>
      <c r="Y154" s="1044">
        <f t="shared" si="164"/>
        <v>0</v>
      </c>
      <c r="Z154" s="1044" t="str">
        <f t="shared" si="165"/>
        <v/>
      </c>
      <c r="AA154" s="1044">
        <f t="shared" si="166"/>
        <v>0</v>
      </c>
      <c r="AB154" s="1044">
        <f t="shared" si="167"/>
        <v>0</v>
      </c>
      <c r="AC154" s="1044">
        <f t="shared" si="168"/>
        <v>0</v>
      </c>
      <c r="AD154" s="1044" t="str">
        <f t="shared" si="169"/>
        <v/>
      </c>
      <c r="AE154" s="1044">
        <f t="shared" si="170"/>
        <v>0</v>
      </c>
      <c r="AF154" s="1044" t="str">
        <f t="shared" si="171"/>
        <v/>
      </c>
      <c r="AG154" s="1044">
        <f t="shared" si="172"/>
        <v>0</v>
      </c>
      <c r="AH154" s="1044">
        <f t="shared" si="173"/>
        <v>0</v>
      </c>
      <c r="AI154" s="1044" t="str">
        <f t="shared" si="174"/>
        <v/>
      </c>
      <c r="AJ154" s="1044">
        <f t="shared" si="175"/>
        <v>0</v>
      </c>
      <c r="AK154" s="1044">
        <f t="shared" si="176"/>
        <v>0</v>
      </c>
      <c r="AL154" s="1044">
        <f t="shared" si="177"/>
        <v>0</v>
      </c>
      <c r="AM154" s="1044">
        <f t="shared" si="178"/>
        <v>0</v>
      </c>
      <c r="AN154" s="1044" t="str">
        <f t="shared" si="179"/>
        <v/>
      </c>
      <c r="AO154" s="1044" t="str">
        <f t="shared" si="180"/>
        <v/>
      </c>
      <c r="AP154" s="1044">
        <f t="shared" si="181"/>
        <v>0</v>
      </c>
      <c r="AQ154" s="1044">
        <f t="shared" si="182"/>
        <v>0</v>
      </c>
      <c r="AR154" s="1044" t="str">
        <f t="shared" si="183"/>
        <v/>
      </c>
      <c r="AS154" s="1044">
        <f t="shared" si="184"/>
        <v>0</v>
      </c>
      <c r="AT154" s="1044" t="str">
        <f t="shared" si="185"/>
        <v/>
      </c>
      <c r="AU154" s="1044">
        <f t="shared" si="186"/>
        <v>0</v>
      </c>
      <c r="AV154" s="1044" t="str">
        <f t="shared" si="187"/>
        <v/>
      </c>
      <c r="AW154" s="1044">
        <f t="shared" si="188"/>
        <v>0</v>
      </c>
      <c r="AX154" s="1044" t="str">
        <f t="shared" si="189"/>
        <v/>
      </c>
      <c r="AY154" s="1044">
        <f t="shared" si="190"/>
        <v>0</v>
      </c>
      <c r="AZ154" s="1044" t="str">
        <f t="shared" si="191"/>
        <v/>
      </c>
      <c r="BA154" s="1044">
        <f t="shared" si="192"/>
        <v>0</v>
      </c>
      <c r="BB154" s="1044" t="str">
        <f t="shared" si="193"/>
        <v/>
      </c>
      <c r="BC154" s="1044">
        <f t="shared" si="194"/>
        <v>0</v>
      </c>
      <c r="BD154" s="1044">
        <f t="shared" si="195"/>
        <v>0</v>
      </c>
      <c r="BE154" s="1044" t="str">
        <f t="shared" si="196"/>
        <v/>
      </c>
      <c r="BF154" s="1044" t="str">
        <f t="shared" si="197"/>
        <v/>
      </c>
      <c r="BG154" s="1044" t="str">
        <f t="shared" si="198"/>
        <v/>
      </c>
      <c r="BH154" s="1044" t="str">
        <f t="shared" si="199"/>
        <v/>
      </c>
      <c r="BI154" s="1044" t="str">
        <f t="shared" si="200"/>
        <v/>
      </c>
      <c r="BJ154" s="1044" t="str">
        <f t="shared" si="201"/>
        <v/>
      </c>
      <c r="BK154" s="1044" t="str">
        <f t="shared" si="202"/>
        <v/>
      </c>
      <c r="BL154" s="1044" t="str">
        <f t="shared" si="203"/>
        <v/>
      </c>
      <c r="BM154" s="1044" t="str">
        <f t="shared" si="204"/>
        <v/>
      </c>
      <c r="BN154" s="1044" t="str">
        <f t="shared" si="205"/>
        <v/>
      </c>
      <c r="BO154" s="1044" t="str">
        <f t="shared" si="206"/>
        <v/>
      </c>
      <c r="BP154" s="1044" t="str">
        <f t="shared" si="207"/>
        <v/>
      </c>
      <c r="BQ154" s="1044" t="str">
        <f t="shared" si="208"/>
        <v/>
      </c>
      <c r="BR154" s="1044" t="str">
        <f t="shared" si="209"/>
        <v/>
      </c>
      <c r="BS154" s="1044" t="str">
        <f t="shared" si="210"/>
        <v/>
      </c>
      <c r="BT154" s="1044" t="str">
        <f t="shared" si="211"/>
        <v/>
      </c>
      <c r="BU154" s="1044" t="str">
        <f t="shared" si="212"/>
        <v/>
      </c>
    </row>
    <row r="155" spans="1:73" ht="30" customHeight="1">
      <c r="A155" s="1069" t="str">
        <f t="shared" si="142"/>
        <v/>
      </c>
      <c r="B155" s="1063"/>
      <c r="C155" s="1064" t="s">
        <v>254</v>
      </c>
      <c r="D155" s="1070" t="str">
        <f t="shared" si="143"/>
        <v/>
      </c>
      <c r="E155" s="1071" t="str">
        <f t="shared" si="144"/>
        <v/>
      </c>
      <c r="F155" s="1067" t="str">
        <f t="shared" si="145"/>
        <v/>
      </c>
      <c r="G155" s="1068" t="str">
        <f t="shared" si="146"/>
        <v/>
      </c>
      <c r="H155" s="1069" t="str">
        <f t="shared" si="147"/>
        <v/>
      </c>
      <c r="I155" s="1069" t="str">
        <f t="shared" si="148"/>
        <v/>
      </c>
      <c r="J155" s="1067" t="str">
        <f t="shared" si="149"/>
        <v/>
      </c>
      <c r="K155" s="1044" t="str">
        <f t="shared" si="150"/>
        <v/>
      </c>
      <c r="L155" s="1044" t="str">
        <f t="shared" si="151"/>
        <v/>
      </c>
      <c r="M155" s="1044" t="str">
        <f t="shared" si="152"/>
        <v/>
      </c>
      <c r="N155" s="1044" t="str">
        <f t="shared" si="153"/>
        <v/>
      </c>
      <c r="O155" s="1044" t="str">
        <f t="shared" si="154"/>
        <v/>
      </c>
      <c r="P155" s="1044" t="str">
        <f t="shared" si="155"/>
        <v/>
      </c>
      <c r="Q155" s="1044">
        <f t="shared" si="156"/>
        <v>0</v>
      </c>
      <c r="R155" s="1044">
        <f t="shared" si="157"/>
        <v>0</v>
      </c>
      <c r="S155" s="1044">
        <f t="shared" si="158"/>
        <v>0</v>
      </c>
      <c r="T155" s="1044">
        <f t="shared" si="159"/>
        <v>0</v>
      </c>
      <c r="U155" s="1044" t="str">
        <f t="shared" si="160"/>
        <v/>
      </c>
      <c r="V155" s="1044" t="str">
        <f t="shared" si="161"/>
        <v/>
      </c>
      <c r="W155" s="1044">
        <f t="shared" si="162"/>
        <v>0</v>
      </c>
      <c r="X155" s="1044" t="str">
        <f t="shared" si="163"/>
        <v/>
      </c>
      <c r="Y155" s="1044">
        <f t="shared" si="164"/>
        <v>0</v>
      </c>
      <c r="Z155" s="1044" t="str">
        <f t="shared" si="165"/>
        <v/>
      </c>
      <c r="AA155" s="1044">
        <f t="shared" si="166"/>
        <v>0</v>
      </c>
      <c r="AB155" s="1044">
        <f t="shared" si="167"/>
        <v>0</v>
      </c>
      <c r="AC155" s="1044">
        <f t="shared" si="168"/>
        <v>0</v>
      </c>
      <c r="AD155" s="1044" t="str">
        <f t="shared" si="169"/>
        <v/>
      </c>
      <c r="AE155" s="1044">
        <f t="shared" si="170"/>
        <v>0</v>
      </c>
      <c r="AF155" s="1044" t="str">
        <f t="shared" si="171"/>
        <v/>
      </c>
      <c r="AG155" s="1044">
        <f t="shared" si="172"/>
        <v>0</v>
      </c>
      <c r="AH155" s="1044">
        <f t="shared" si="173"/>
        <v>0</v>
      </c>
      <c r="AI155" s="1044" t="str">
        <f t="shared" si="174"/>
        <v/>
      </c>
      <c r="AJ155" s="1044">
        <f t="shared" si="175"/>
        <v>0</v>
      </c>
      <c r="AK155" s="1044">
        <f t="shared" si="176"/>
        <v>0</v>
      </c>
      <c r="AL155" s="1044">
        <f t="shared" si="177"/>
        <v>0</v>
      </c>
      <c r="AM155" s="1044">
        <f t="shared" si="178"/>
        <v>0</v>
      </c>
      <c r="AN155" s="1044" t="str">
        <f t="shared" si="179"/>
        <v/>
      </c>
      <c r="AO155" s="1044" t="str">
        <f t="shared" si="180"/>
        <v/>
      </c>
      <c r="AP155" s="1044">
        <f t="shared" si="181"/>
        <v>0</v>
      </c>
      <c r="AQ155" s="1044">
        <f t="shared" si="182"/>
        <v>0</v>
      </c>
      <c r="AR155" s="1044" t="str">
        <f t="shared" si="183"/>
        <v/>
      </c>
      <c r="AS155" s="1044">
        <f t="shared" si="184"/>
        <v>0</v>
      </c>
      <c r="AT155" s="1044" t="str">
        <f t="shared" si="185"/>
        <v/>
      </c>
      <c r="AU155" s="1044">
        <f t="shared" si="186"/>
        <v>0</v>
      </c>
      <c r="AV155" s="1044" t="str">
        <f t="shared" si="187"/>
        <v/>
      </c>
      <c r="AW155" s="1044">
        <f t="shared" si="188"/>
        <v>0</v>
      </c>
      <c r="AX155" s="1044" t="str">
        <f t="shared" si="189"/>
        <v/>
      </c>
      <c r="AY155" s="1044">
        <f t="shared" si="190"/>
        <v>0</v>
      </c>
      <c r="AZ155" s="1044" t="str">
        <f t="shared" si="191"/>
        <v/>
      </c>
      <c r="BA155" s="1044">
        <f t="shared" si="192"/>
        <v>0</v>
      </c>
      <c r="BB155" s="1044" t="str">
        <f t="shared" si="193"/>
        <v/>
      </c>
      <c r="BC155" s="1044">
        <f t="shared" si="194"/>
        <v>0</v>
      </c>
      <c r="BD155" s="1044">
        <f t="shared" si="195"/>
        <v>0</v>
      </c>
      <c r="BE155" s="1044" t="str">
        <f t="shared" si="196"/>
        <v/>
      </c>
      <c r="BF155" s="1044" t="str">
        <f t="shared" si="197"/>
        <v/>
      </c>
      <c r="BG155" s="1044" t="str">
        <f t="shared" si="198"/>
        <v/>
      </c>
      <c r="BH155" s="1044" t="str">
        <f t="shared" si="199"/>
        <v/>
      </c>
      <c r="BI155" s="1044" t="str">
        <f t="shared" si="200"/>
        <v/>
      </c>
      <c r="BJ155" s="1044" t="str">
        <f t="shared" si="201"/>
        <v/>
      </c>
      <c r="BK155" s="1044" t="str">
        <f t="shared" si="202"/>
        <v/>
      </c>
      <c r="BL155" s="1044" t="str">
        <f t="shared" si="203"/>
        <v/>
      </c>
      <c r="BM155" s="1044" t="str">
        <f t="shared" si="204"/>
        <v/>
      </c>
      <c r="BN155" s="1044" t="str">
        <f t="shared" si="205"/>
        <v/>
      </c>
      <c r="BO155" s="1044" t="str">
        <f t="shared" si="206"/>
        <v/>
      </c>
      <c r="BP155" s="1044" t="str">
        <f t="shared" si="207"/>
        <v/>
      </c>
      <c r="BQ155" s="1044" t="str">
        <f t="shared" si="208"/>
        <v/>
      </c>
      <c r="BR155" s="1044" t="str">
        <f t="shared" si="209"/>
        <v/>
      </c>
      <c r="BS155" s="1044" t="str">
        <f t="shared" si="210"/>
        <v/>
      </c>
      <c r="BT155" s="1044" t="str">
        <f t="shared" si="211"/>
        <v/>
      </c>
      <c r="BU155" s="1044" t="str">
        <f t="shared" si="212"/>
        <v/>
      </c>
    </row>
    <row r="156" spans="1:73" ht="30" customHeight="1">
      <c r="A156" s="1069" t="str">
        <f t="shared" si="142"/>
        <v/>
      </c>
      <c r="B156" s="1063"/>
      <c r="C156" s="1064" t="s">
        <v>254</v>
      </c>
      <c r="D156" s="1070" t="str">
        <f t="shared" si="143"/>
        <v/>
      </c>
      <c r="E156" s="1071" t="str">
        <f t="shared" si="144"/>
        <v/>
      </c>
      <c r="F156" s="1067" t="str">
        <f t="shared" si="145"/>
        <v/>
      </c>
      <c r="G156" s="1068" t="str">
        <f t="shared" si="146"/>
        <v/>
      </c>
      <c r="H156" s="1069" t="str">
        <f t="shared" si="147"/>
        <v/>
      </c>
      <c r="I156" s="1069" t="str">
        <f t="shared" si="148"/>
        <v/>
      </c>
      <c r="J156" s="1067" t="str">
        <f t="shared" si="149"/>
        <v/>
      </c>
      <c r="K156" s="1044" t="str">
        <f t="shared" si="150"/>
        <v/>
      </c>
      <c r="L156" s="1044" t="str">
        <f t="shared" si="151"/>
        <v/>
      </c>
      <c r="M156" s="1044" t="str">
        <f t="shared" si="152"/>
        <v/>
      </c>
      <c r="N156" s="1044" t="str">
        <f t="shared" si="153"/>
        <v/>
      </c>
      <c r="O156" s="1044" t="str">
        <f t="shared" si="154"/>
        <v/>
      </c>
      <c r="P156" s="1044" t="str">
        <f t="shared" si="155"/>
        <v/>
      </c>
      <c r="Q156" s="1044">
        <f t="shared" si="156"/>
        <v>0</v>
      </c>
      <c r="R156" s="1044">
        <f t="shared" si="157"/>
        <v>0</v>
      </c>
      <c r="S156" s="1044">
        <f t="shared" si="158"/>
        <v>0</v>
      </c>
      <c r="T156" s="1044">
        <f t="shared" si="159"/>
        <v>0</v>
      </c>
      <c r="U156" s="1044" t="str">
        <f t="shared" si="160"/>
        <v/>
      </c>
      <c r="V156" s="1044" t="str">
        <f t="shared" si="161"/>
        <v/>
      </c>
      <c r="W156" s="1044">
        <f t="shared" si="162"/>
        <v>0</v>
      </c>
      <c r="X156" s="1044" t="str">
        <f t="shared" si="163"/>
        <v/>
      </c>
      <c r="Y156" s="1044">
        <f t="shared" si="164"/>
        <v>0</v>
      </c>
      <c r="Z156" s="1044" t="str">
        <f t="shared" si="165"/>
        <v/>
      </c>
      <c r="AA156" s="1044">
        <f t="shared" si="166"/>
        <v>0</v>
      </c>
      <c r="AB156" s="1044">
        <f t="shared" si="167"/>
        <v>0</v>
      </c>
      <c r="AC156" s="1044">
        <f t="shared" si="168"/>
        <v>0</v>
      </c>
      <c r="AD156" s="1044" t="str">
        <f t="shared" si="169"/>
        <v/>
      </c>
      <c r="AE156" s="1044">
        <f t="shared" si="170"/>
        <v>0</v>
      </c>
      <c r="AF156" s="1044" t="str">
        <f t="shared" si="171"/>
        <v/>
      </c>
      <c r="AG156" s="1044">
        <f t="shared" si="172"/>
        <v>0</v>
      </c>
      <c r="AH156" s="1044">
        <f t="shared" si="173"/>
        <v>0</v>
      </c>
      <c r="AI156" s="1044" t="str">
        <f t="shared" si="174"/>
        <v/>
      </c>
      <c r="AJ156" s="1044">
        <f t="shared" si="175"/>
        <v>0</v>
      </c>
      <c r="AK156" s="1044">
        <f t="shared" si="176"/>
        <v>0</v>
      </c>
      <c r="AL156" s="1044">
        <f t="shared" si="177"/>
        <v>0</v>
      </c>
      <c r="AM156" s="1044">
        <f t="shared" si="178"/>
        <v>0</v>
      </c>
      <c r="AN156" s="1044" t="str">
        <f t="shared" si="179"/>
        <v/>
      </c>
      <c r="AO156" s="1044" t="str">
        <f t="shared" si="180"/>
        <v/>
      </c>
      <c r="AP156" s="1044">
        <f t="shared" si="181"/>
        <v>0</v>
      </c>
      <c r="AQ156" s="1044">
        <f t="shared" si="182"/>
        <v>0</v>
      </c>
      <c r="AR156" s="1044" t="str">
        <f t="shared" si="183"/>
        <v/>
      </c>
      <c r="AS156" s="1044">
        <f t="shared" si="184"/>
        <v>0</v>
      </c>
      <c r="AT156" s="1044" t="str">
        <f t="shared" si="185"/>
        <v/>
      </c>
      <c r="AU156" s="1044">
        <f t="shared" si="186"/>
        <v>0</v>
      </c>
      <c r="AV156" s="1044" t="str">
        <f t="shared" si="187"/>
        <v/>
      </c>
      <c r="AW156" s="1044">
        <f t="shared" si="188"/>
        <v>0</v>
      </c>
      <c r="AX156" s="1044" t="str">
        <f t="shared" si="189"/>
        <v/>
      </c>
      <c r="AY156" s="1044">
        <f t="shared" si="190"/>
        <v>0</v>
      </c>
      <c r="AZ156" s="1044" t="str">
        <f t="shared" si="191"/>
        <v/>
      </c>
      <c r="BA156" s="1044">
        <f t="shared" si="192"/>
        <v>0</v>
      </c>
      <c r="BB156" s="1044" t="str">
        <f t="shared" si="193"/>
        <v/>
      </c>
      <c r="BC156" s="1044">
        <f t="shared" si="194"/>
        <v>0</v>
      </c>
      <c r="BD156" s="1044">
        <f t="shared" si="195"/>
        <v>0</v>
      </c>
      <c r="BE156" s="1044" t="str">
        <f t="shared" si="196"/>
        <v/>
      </c>
      <c r="BF156" s="1044" t="str">
        <f t="shared" si="197"/>
        <v/>
      </c>
      <c r="BG156" s="1044" t="str">
        <f t="shared" si="198"/>
        <v/>
      </c>
      <c r="BH156" s="1044" t="str">
        <f t="shared" si="199"/>
        <v/>
      </c>
      <c r="BI156" s="1044" t="str">
        <f t="shared" si="200"/>
        <v/>
      </c>
      <c r="BJ156" s="1044" t="str">
        <f t="shared" si="201"/>
        <v/>
      </c>
      <c r="BK156" s="1044" t="str">
        <f t="shared" si="202"/>
        <v/>
      </c>
      <c r="BL156" s="1044" t="str">
        <f t="shared" si="203"/>
        <v/>
      </c>
      <c r="BM156" s="1044" t="str">
        <f t="shared" si="204"/>
        <v/>
      </c>
      <c r="BN156" s="1044" t="str">
        <f t="shared" si="205"/>
        <v/>
      </c>
      <c r="BO156" s="1044" t="str">
        <f t="shared" si="206"/>
        <v/>
      </c>
      <c r="BP156" s="1044" t="str">
        <f t="shared" si="207"/>
        <v/>
      </c>
      <c r="BQ156" s="1044" t="str">
        <f t="shared" si="208"/>
        <v/>
      </c>
      <c r="BR156" s="1044" t="str">
        <f t="shared" si="209"/>
        <v/>
      </c>
      <c r="BS156" s="1044" t="str">
        <f t="shared" si="210"/>
        <v/>
      </c>
      <c r="BT156" s="1044" t="str">
        <f t="shared" si="211"/>
        <v/>
      </c>
      <c r="BU156" s="1044" t="str">
        <f t="shared" si="212"/>
        <v/>
      </c>
    </row>
    <row r="157" spans="1:73" ht="30" customHeight="1">
      <c r="A157" s="1069" t="str">
        <f t="shared" si="142"/>
        <v/>
      </c>
      <c r="B157" s="1063"/>
      <c r="C157" s="1064" t="s">
        <v>254</v>
      </c>
      <c r="D157" s="1070" t="str">
        <f t="shared" si="143"/>
        <v/>
      </c>
      <c r="E157" s="1071" t="str">
        <f t="shared" si="144"/>
        <v/>
      </c>
      <c r="F157" s="1067" t="str">
        <f t="shared" si="145"/>
        <v/>
      </c>
      <c r="G157" s="1068" t="str">
        <f t="shared" si="146"/>
        <v/>
      </c>
      <c r="H157" s="1069" t="str">
        <f t="shared" si="147"/>
        <v/>
      </c>
      <c r="I157" s="1069" t="str">
        <f t="shared" si="148"/>
        <v/>
      </c>
      <c r="J157" s="1067" t="str">
        <f t="shared" si="149"/>
        <v/>
      </c>
      <c r="K157" s="1044" t="str">
        <f t="shared" si="150"/>
        <v/>
      </c>
      <c r="L157" s="1044" t="str">
        <f t="shared" si="151"/>
        <v/>
      </c>
      <c r="M157" s="1044" t="str">
        <f t="shared" si="152"/>
        <v/>
      </c>
      <c r="N157" s="1044" t="str">
        <f t="shared" si="153"/>
        <v/>
      </c>
      <c r="O157" s="1044" t="str">
        <f t="shared" si="154"/>
        <v/>
      </c>
      <c r="P157" s="1044" t="str">
        <f t="shared" si="155"/>
        <v/>
      </c>
      <c r="Q157" s="1044">
        <f t="shared" si="156"/>
        <v>0</v>
      </c>
      <c r="R157" s="1044">
        <f t="shared" si="157"/>
        <v>0</v>
      </c>
      <c r="S157" s="1044">
        <f t="shared" si="158"/>
        <v>0</v>
      </c>
      <c r="T157" s="1044">
        <f t="shared" si="159"/>
        <v>0</v>
      </c>
      <c r="U157" s="1044" t="str">
        <f t="shared" si="160"/>
        <v/>
      </c>
      <c r="V157" s="1044" t="str">
        <f t="shared" si="161"/>
        <v/>
      </c>
      <c r="W157" s="1044">
        <f t="shared" si="162"/>
        <v>0</v>
      </c>
      <c r="X157" s="1044" t="str">
        <f t="shared" si="163"/>
        <v/>
      </c>
      <c r="Y157" s="1044">
        <f t="shared" si="164"/>
        <v>0</v>
      </c>
      <c r="Z157" s="1044" t="str">
        <f t="shared" si="165"/>
        <v/>
      </c>
      <c r="AA157" s="1044">
        <f t="shared" si="166"/>
        <v>0</v>
      </c>
      <c r="AB157" s="1044">
        <f t="shared" si="167"/>
        <v>0</v>
      </c>
      <c r="AC157" s="1044">
        <f t="shared" si="168"/>
        <v>0</v>
      </c>
      <c r="AD157" s="1044" t="str">
        <f t="shared" si="169"/>
        <v/>
      </c>
      <c r="AE157" s="1044">
        <f t="shared" si="170"/>
        <v>0</v>
      </c>
      <c r="AF157" s="1044" t="str">
        <f t="shared" si="171"/>
        <v/>
      </c>
      <c r="AG157" s="1044">
        <f t="shared" si="172"/>
        <v>0</v>
      </c>
      <c r="AH157" s="1044">
        <f t="shared" si="173"/>
        <v>0</v>
      </c>
      <c r="AI157" s="1044" t="str">
        <f t="shared" si="174"/>
        <v/>
      </c>
      <c r="AJ157" s="1044">
        <f t="shared" si="175"/>
        <v>0</v>
      </c>
      <c r="AK157" s="1044">
        <f t="shared" si="176"/>
        <v>0</v>
      </c>
      <c r="AL157" s="1044">
        <f t="shared" si="177"/>
        <v>0</v>
      </c>
      <c r="AM157" s="1044">
        <f t="shared" si="178"/>
        <v>0</v>
      </c>
      <c r="AN157" s="1044" t="str">
        <f t="shared" si="179"/>
        <v/>
      </c>
      <c r="AO157" s="1044" t="str">
        <f t="shared" si="180"/>
        <v/>
      </c>
      <c r="AP157" s="1044">
        <f t="shared" si="181"/>
        <v>0</v>
      </c>
      <c r="AQ157" s="1044">
        <f t="shared" si="182"/>
        <v>0</v>
      </c>
      <c r="AR157" s="1044" t="str">
        <f t="shared" si="183"/>
        <v/>
      </c>
      <c r="AS157" s="1044">
        <f t="shared" si="184"/>
        <v>0</v>
      </c>
      <c r="AT157" s="1044" t="str">
        <f t="shared" si="185"/>
        <v/>
      </c>
      <c r="AU157" s="1044">
        <f t="shared" si="186"/>
        <v>0</v>
      </c>
      <c r="AV157" s="1044" t="str">
        <f t="shared" si="187"/>
        <v/>
      </c>
      <c r="AW157" s="1044">
        <f t="shared" si="188"/>
        <v>0</v>
      </c>
      <c r="AX157" s="1044" t="str">
        <f t="shared" si="189"/>
        <v/>
      </c>
      <c r="AY157" s="1044">
        <f t="shared" si="190"/>
        <v>0</v>
      </c>
      <c r="AZ157" s="1044" t="str">
        <f t="shared" si="191"/>
        <v/>
      </c>
      <c r="BA157" s="1044">
        <f t="shared" si="192"/>
        <v>0</v>
      </c>
      <c r="BB157" s="1044" t="str">
        <f t="shared" si="193"/>
        <v/>
      </c>
      <c r="BC157" s="1044">
        <f t="shared" si="194"/>
        <v>0</v>
      </c>
      <c r="BD157" s="1044">
        <f t="shared" si="195"/>
        <v>0</v>
      </c>
      <c r="BE157" s="1044" t="str">
        <f t="shared" si="196"/>
        <v/>
      </c>
      <c r="BF157" s="1044" t="str">
        <f t="shared" si="197"/>
        <v/>
      </c>
      <c r="BG157" s="1044" t="str">
        <f t="shared" si="198"/>
        <v/>
      </c>
      <c r="BH157" s="1044" t="str">
        <f t="shared" si="199"/>
        <v/>
      </c>
      <c r="BI157" s="1044" t="str">
        <f t="shared" si="200"/>
        <v/>
      </c>
      <c r="BJ157" s="1044" t="str">
        <f t="shared" si="201"/>
        <v/>
      </c>
      <c r="BK157" s="1044" t="str">
        <f t="shared" si="202"/>
        <v/>
      </c>
      <c r="BL157" s="1044" t="str">
        <f t="shared" si="203"/>
        <v/>
      </c>
      <c r="BM157" s="1044" t="str">
        <f t="shared" si="204"/>
        <v/>
      </c>
      <c r="BN157" s="1044" t="str">
        <f t="shared" si="205"/>
        <v/>
      </c>
      <c r="BO157" s="1044" t="str">
        <f t="shared" si="206"/>
        <v/>
      </c>
      <c r="BP157" s="1044" t="str">
        <f t="shared" si="207"/>
        <v/>
      </c>
      <c r="BQ157" s="1044" t="str">
        <f t="shared" si="208"/>
        <v/>
      </c>
      <c r="BR157" s="1044" t="str">
        <f t="shared" si="209"/>
        <v/>
      </c>
      <c r="BS157" s="1044" t="str">
        <f t="shared" si="210"/>
        <v/>
      </c>
      <c r="BT157" s="1044" t="str">
        <f t="shared" si="211"/>
        <v/>
      </c>
      <c r="BU157" s="1044" t="str">
        <f t="shared" si="212"/>
        <v/>
      </c>
    </row>
    <row r="158" spans="1:73" ht="30" customHeight="1">
      <c r="A158" s="1069" t="str">
        <f t="shared" si="142"/>
        <v/>
      </c>
      <c r="B158" s="1063"/>
      <c r="C158" s="1064" t="s">
        <v>254</v>
      </c>
      <c r="D158" s="1070" t="str">
        <f t="shared" si="143"/>
        <v/>
      </c>
      <c r="E158" s="1071" t="str">
        <f t="shared" si="144"/>
        <v/>
      </c>
      <c r="F158" s="1067" t="str">
        <f t="shared" si="145"/>
        <v/>
      </c>
      <c r="G158" s="1068" t="str">
        <f t="shared" si="146"/>
        <v/>
      </c>
      <c r="H158" s="1069" t="str">
        <f t="shared" si="147"/>
        <v/>
      </c>
      <c r="I158" s="1069" t="str">
        <f t="shared" si="148"/>
        <v/>
      </c>
      <c r="J158" s="1067" t="str">
        <f t="shared" si="149"/>
        <v/>
      </c>
      <c r="K158" s="1044" t="str">
        <f t="shared" si="150"/>
        <v/>
      </c>
      <c r="L158" s="1044" t="str">
        <f t="shared" si="151"/>
        <v/>
      </c>
      <c r="M158" s="1044" t="str">
        <f t="shared" si="152"/>
        <v/>
      </c>
      <c r="N158" s="1044" t="str">
        <f t="shared" si="153"/>
        <v/>
      </c>
      <c r="O158" s="1044" t="str">
        <f t="shared" si="154"/>
        <v/>
      </c>
      <c r="P158" s="1044" t="str">
        <f t="shared" si="155"/>
        <v/>
      </c>
      <c r="Q158" s="1044">
        <f t="shared" si="156"/>
        <v>0</v>
      </c>
      <c r="R158" s="1044">
        <f t="shared" si="157"/>
        <v>0</v>
      </c>
      <c r="S158" s="1044">
        <f t="shared" si="158"/>
        <v>0</v>
      </c>
      <c r="T158" s="1044">
        <f t="shared" si="159"/>
        <v>0</v>
      </c>
      <c r="U158" s="1044" t="str">
        <f t="shared" si="160"/>
        <v/>
      </c>
      <c r="V158" s="1044" t="str">
        <f t="shared" si="161"/>
        <v/>
      </c>
      <c r="W158" s="1044">
        <f t="shared" si="162"/>
        <v>0</v>
      </c>
      <c r="X158" s="1044" t="str">
        <f t="shared" si="163"/>
        <v/>
      </c>
      <c r="Y158" s="1044">
        <f t="shared" si="164"/>
        <v>0</v>
      </c>
      <c r="Z158" s="1044" t="str">
        <f t="shared" si="165"/>
        <v/>
      </c>
      <c r="AA158" s="1044">
        <f t="shared" si="166"/>
        <v>0</v>
      </c>
      <c r="AB158" s="1044">
        <f t="shared" si="167"/>
        <v>0</v>
      </c>
      <c r="AC158" s="1044">
        <f t="shared" si="168"/>
        <v>0</v>
      </c>
      <c r="AD158" s="1044" t="str">
        <f t="shared" si="169"/>
        <v/>
      </c>
      <c r="AE158" s="1044">
        <f t="shared" si="170"/>
        <v>0</v>
      </c>
      <c r="AF158" s="1044" t="str">
        <f t="shared" si="171"/>
        <v/>
      </c>
      <c r="AG158" s="1044">
        <f t="shared" si="172"/>
        <v>0</v>
      </c>
      <c r="AH158" s="1044">
        <f t="shared" si="173"/>
        <v>0</v>
      </c>
      <c r="AI158" s="1044" t="str">
        <f t="shared" si="174"/>
        <v/>
      </c>
      <c r="AJ158" s="1044">
        <f t="shared" si="175"/>
        <v>0</v>
      </c>
      <c r="AK158" s="1044">
        <f t="shared" si="176"/>
        <v>0</v>
      </c>
      <c r="AL158" s="1044">
        <f t="shared" si="177"/>
        <v>0</v>
      </c>
      <c r="AM158" s="1044">
        <f t="shared" si="178"/>
        <v>0</v>
      </c>
      <c r="AN158" s="1044" t="str">
        <f t="shared" si="179"/>
        <v/>
      </c>
      <c r="AO158" s="1044" t="str">
        <f t="shared" si="180"/>
        <v/>
      </c>
      <c r="AP158" s="1044">
        <f t="shared" si="181"/>
        <v>0</v>
      </c>
      <c r="AQ158" s="1044">
        <f t="shared" si="182"/>
        <v>0</v>
      </c>
      <c r="AR158" s="1044" t="str">
        <f t="shared" si="183"/>
        <v/>
      </c>
      <c r="AS158" s="1044">
        <f t="shared" si="184"/>
        <v>0</v>
      </c>
      <c r="AT158" s="1044" t="str">
        <f t="shared" si="185"/>
        <v/>
      </c>
      <c r="AU158" s="1044">
        <f t="shared" si="186"/>
        <v>0</v>
      </c>
      <c r="AV158" s="1044" t="str">
        <f t="shared" si="187"/>
        <v/>
      </c>
      <c r="AW158" s="1044">
        <f t="shared" si="188"/>
        <v>0</v>
      </c>
      <c r="AX158" s="1044" t="str">
        <f t="shared" si="189"/>
        <v/>
      </c>
      <c r="AY158" s="1044">
        <f t="shared" si="190"/>
        <v>0</v>
      </c>
      <c r="AZ158" s="1044" t="str">
        <f t="shared" si="191"/>
        <v/>
      </c>
      <c r="BA158" s="1044">
        <f t="shared" si="192"/>
        <v>0</v>
      </c>
      <c r="BB158" s="1044" t="str">
        <f t="shared" si="193"/>
        <v/>
      </c>
      <c r="BC158" s="1044">
        <f t="shared" si="194"/>
        <v>0</v>
      </c>
      <c r="BD158" s="1044">
        <f t="shared" si="195"/>
        <v>0</v>
      </c>
      <c r="BE158" s="1044" t="str">
        <f t="shared" si="196"/>
        <v/>
      </c>
      <c r="BF158" s="1044" t="str">
        <f t="shared" si="197"/>
        <v/>
      </c>
      <c r="BG158" s="1044" t="str">
        <f t="shared" si="198"/>
        <v/>
      </c>
      <c r="BH158" s="1044" t="str">
        <f t="shared" si="199"/>
        <v/>
      </c>
      <c r="BI158" s="1044" t="str">
        <f t="shared" si="200"/>
        <v/>
      </c>
      <c r="BJ158" s="1044" t="str">
        <f t="shared" si="201"/>
        <v/>
      </c>
      <c r="BK158" s="1044" t="str">
        <f t="shared" si="202"/>
        <v/>
      </c>
      <c r="BL158" s="1044" t="str">
        <f t="shared" si="203"/>
        <v/>
      </c>
      <c r="BM158" s="1044" t="str">
        <f t="shared" si="204"/>
        <v/>
      </c>
      <c r="BN158" s="1044" t="str">
        <f t="shared" si="205"/>
        <v/>
      </c>
      <c r="BO158" s="1044" t="str">
        <f t="shared" si="206"/>
        <v/>
      </c>
      <c r="BP158" s="1044" t="str">
        <f t="shared" si="207"/>
        <v/>
      </c>
      <c r="BQ158" s="1044" t="str">
        <f t="shared" si="208"/>
        <v/>
      </c>
      <c r="BR158" s="1044" t="str">
        <f t="shared" si="209"/>
        <v/>
      </c>
      <c r="BS158" s="1044" t="str">
        <f t="shared" si="210"/>
        <v/>
      </c>
      <c r="BT158" s="1044" t="str">
        <f t="shared" si="211"/>
        <v/>
      </c>
      <c r="BU158" s="1044" t="str">
        <f t="shared" si="212"/>
        <v/>
      </c>
    </row>
    <row r="159" spans="1:73" ht="30" customHeight="1">
      <c r="A159" s="1069" t="str">
        <f t="shared" si="142"/>
        <v/>
      </c>
      <c r="B159" s="1063"/>
      <c r="C159" s="1064" t="s">
        <v>254</v>
      </c>
      <c r="D159" s="1070" t="str">
        <f t="shared" si="143"/>
        <v/>
      </c>
      <c r="E159" s="1071" t="str">
        <f t="shared" si="144"/>
        <v/>
      </c>
      <c r="F159" s="1067" t="str">
        <f t="shared" si="145"/>
        <v/>
      </c>
      <c r="G159" s="1068" t="str">
        <f t="shared" si="146"/>
        <v/>
      </c>
      <c r="H159" s="1069" t="str">
        <f t="shared" si="147"/>
        <v/>
      </c>
      <c r="I159" s="1069" t="str">
        <f t="shared" si="148"/>
        <v/>
      </c>
      <c r="J159" s="1067" t="str">
        <f t="shared" si="149"/>
        <v/>
      </c>
      <c r="K159" s="1044" t="str">
        <f t="shared" si="150"/>
        <v/>
      </c>
      <c r="L159" s="1044" t="str">
        <f t="shared" si="151"/>
        <v/>
      </c>
      <c r="M159" s="1044" t="str">
        <f t="shared" si="152"/>
        <v/>
      </c>
      <c r="N159" s="1044" t="str">
        <f t="shared" si="153"/>
        <v/>
      </c>
      <c r="O159" s="1044" t="str">
        <f t="shared" si="154"/>
        <v/>
      </c>
      <c r="P159" s="1044" t="str">
        <f t="shared" si="155"/>
        <v/>
      </c>
      <c r="Q159" s="1044">
        <f t="shared" si="156"/>
        <v>0</v>
      </c>
      <c r="R159" s="1044">
        <f t="shared" si="157"/>
        <v>0</v>
      </c>
      <c r="S159" s="1044">
        <f t="shared" si="158"/>
        <v>0</v>
      </c>
      <c r="T159" s="1044">
        <f t="shared" si="159"/>
        <v>0</v>
      </c>
      <c r="U159" s="1044" t="str">
        <f t="shared" si="160"/>
        <v/>
      </c>
      <c r="V159" s="1044" t="str">
        <f t="shared" si="161"/>
        <v/>
      </c>
      <c r="W159" s="1044">
        <f t="shared" si="162"/>
        <v>0</v>
      </c>
      <c r="X159" s="1044" t="str">
        <f t="shared" si="163"/>
        <v/>
      </c>
      <c r="Y159" s="1044">
        <f t="shared" si="164"/>
        <v>0</v>
      </c>
      <c r="Z159" s="1044" t="str">
        <f t="shared" si="165"/>
        <v/>
      </c>
      <c r="AA159" s="1044">
        <f t="shared" si="166"/>
        <v>0</v>
      </c>
      <c r="AB159" s="1044">
        <f t="shared" si="167"/>
        <v>0</v>
      </c>
      <c r="AC159" s="1044">
        <f t="shared" si="168"/>
        <v>0</v>
      </c>
      <c r="AD159" s="1044" t="str">
        <f t="shared" si="169"/>
        <v/>
      </c>
      <c r="AE159" s="1044">
        <f t="shared" si="170"/>
        <v>0</v>
      </c>
      <c r="AF159" s="1044" t="str">
        <f t="shared" si="171"/>
        <v/>
      </c>
      <c r="AG159" s="1044">
        <f t="shared" si="172"/>
        <v>0</v>
      </c>
      <c r="AH159" s="1044">
        <f t="shared" si="173"/>
        <v>0</v>
      </c>
      <c r="AI159" s="1044" t="str">
        <f t="shared" si="174"/>
        <v/>
      </c>
      <c r="AJ159" s="1044">
        <f t="shared" si="175"/>
        <v>0</v>
      </c>
      <c r="AK159" s="1044">
        <f t="shared" si="176"/>
        <v>0</v>
      </c>
      <c r="AL159" s="1044">
        <f t="shared" si="177"/>
        <v>0</v>
      </c>
      <c r="AM159" s="1044">
        <f t="shared" si="178"/>
        <v>0</v>
      </c>
      <c r="AN159" s="1044" t="str">
        <f t="shared" si="179"/>
        <v/>
      </c>
      <c r="AO159" s="1044" t="str">
        <f t="shared" si="180"/>
        <v/>
      </c>
      <c r="AP159" s="1044">
        <f t="shared" si="181"/>
        <v>0</v>
      </c>
      <c r="AQ159" s="1044">
        <f t="shared" si="182"/>
        <v>0</v>
      </c>
      <c r="AR159" s="1044" t="str">
        <f t="shared" si="183"/>
        <v/>
      </c>
      <c r="AS159" s="1044">
        <f t="shared" si="184"/>
        <v>0</v>
      </c>
      <c r="AT159" s="1044" t="str">
        <f t="shared" si="185"/>
        <v/>
      </c>
      <c r="AU159" s="1044">
        <f t="shared" si="186"/>
        <v>0</v>
      </c>
      <c r="AV159" s="1044" t="str">
        <f t="shared" si="187"/>
        <v/>
      </c>
      <c r="AW159" s="1044">
        <f t="shared" si="188"/>
        <v>0</v>
      </c>
      <c r="AX159" s="1044" t="str">
        <f t="shared" si="189"/>
        <v/>
      </c>
      <c r="AY159" s="1044">
        <f t="shared" si="190"/>
        <v>0</v>
      </c>
      <c r="AZ159" s="1044" t="str">
        <f t="shared" si="191"/>
        <v/>
      </c>
      <c r="BA159" s="1044">
        <f t="shared" si="192"/>
        <v>0</v>
      </c>
      <c r="BB159" s="1044" t="str">
        <f t="shared" si="193"/>
        <v/>
      </c>
      <c r="BC159" s="1044">
        <f t="shared" si="194"/>
        <v>0</v>
      </c>
      <c r="BD159" s="1044">
        <f t="shared" si="195"/>
        <v>0</v>
      </c>
      <c r="BE159" s="1044" t="str">
        <f t="shared" si="196"/>
        <v/>
      </c>
      <c r="BF159" s="1044" t="str">
        <f t="shared" si="197"/>
        <v/>
      </c>
      <c r="BG159" s="1044" t="str">
        <f t="shared" si="198"/>
        <v/>
      </c>
      <c r="BH159" s="1044" t="str">
        <f t="shared" si="199"/>
        <v/>
      </c>
      <c r="BI159" s="1044" t="str">
        <f t="shared" si="200"/>
        <v/>
      </c>
      <c r="BJ159" s="1044" t="str">
        <f t="shared" si="201"/>
        <v/>
      </c>
      <c r="BK159" s="1044" t="str">
        <f t="shared" si="202"/>
        <v/>
      </c>
      <c r="BL159" s="1044" t="str">
        <f t="shared" si="203"/>
        <v/>
      </c>
      <c r="BM159" s="1044" t="str">
        <f t="shared" si="204"/>
        <v/>
      </c>
      <c r="BN159" s="1044" t="str">
        <f t="shared" si="205"/>
        <v/>
      </c>
      <c r="BO159" s="1044" t="str">
        <f t="shared" si="206"/>
        <v/>
      </c>
      <c r="BP159" s="1044" t="str">
        <f t="shared" si="207"/>
        <v/>
      </c>
      <c r="BQ159" s="1044" t="str">
        <f t="shared" si="208"/>
        <v/>
      </c>
      <c r="BR159" s="1044" t="str">
        <f t="shared" si="209"/>
        <v/>
      </c>
      <c r="BS159" s="1044" t="str">
        <f t="shared" si="210"/>
        <v/>
      </c>
      <c r="BT159" s="1044" t="str">
        <f t="shared" si="211"/>
        <v/>
      </c>
      <c r="BU159" s="1044" t="str">
        <f t="shared" si="212"/>
        <v/>
      </c>
    </row>
    <row r="160" spans="1:73" ht="30" customHeight="1">
      <c r="A160" s="1069" t="str">
        <f t="shared" si="142"/>
        <v/>
      </c>
      <c r="B160" s="1063"/>
      <c r="C160" s="1064" t="s">
        <v>254</v>
      </c>
      <c r="D160" s="1070" t="str">
        <f t="shared" si="143"/>
        <v/>
      </c>
      <c r="E160" s="1071" t="str">
        <f t="shared" si="144"/>
        <v/>
      </c>
      <c r="F160" s="1067" t="str">
        <f t="shared" si="145"/>
        <v/>
      </c>
      <c r="G160" s="1068" t="str">
        <f t="shared" si="146"/>
        <v/>
      </c>
      <c r="H160" s="1069" t="str">
        <f t="shared" si="147"/>
        <v/>
      </c>
      <c r="I160" s="1069" t="str">
        <f t="shared" si="148"/>
        <v/>
      </c>
      <c r="J160" s="1067" t="str">
        <f t="shared" si="149"/>
        <v/>
      </c>
      <c r="K160" s="1044" t="str">
        <f t="shared" si="150"/>
        <v/>
      </c>
      <c r="L160" s="1044" t="str">
        <f t="shared" si="151"/>
        <v/>
      </c>
      <c r="M160" s="1044" t="str">
        <f t="shared" si="152"/>
        <v/>
      </c>
      <c r="N160" s="1044" t="str">
        <f t="shared" si="153"/>
        <v/>
      </c>
      <c r="O160" s="1044" t="str">
        <f t="shared" si="154"/>
        <v/>
      </c>
      <c r="P160" s="1044" t="str">
        <f t="shared" si="155"/>
        <v/>
      </c>
      <c r="Q160" s="1044">
        <f t="shared" si="156"/>
        <v>0</v>
      </c>
      <c r="R160" s="1044">
        <f t="shared" si="157"/>
        <v>0</v>
      </c>
      <c r="S160" s="1044">
        <f t="shared" si="158"/>
        <v>0</v>
      </c>
      <c r="T160" s="1044">
        <f t="shared" si="159"/>
        <v>0</v>
      </c>
      <c r="U160" s="1044" t="str">
        <f t="shared" si="160"/>
        <v/>
      </c>
      <c r="V160" s="1044" t="str">
        <f t="shared" si="161"/>
        <v/>
      </c>
      <c r="W160" s="1044">
        <f t="shared" si="162"/>
        <v>0</v>
      </c>
      <c r="X160" s="1044" t="str">
        <f t="shared" si="163"/>
        <v/>
      </c>
      <c r="Y160" s="1044">
        <f t="shared" si="164"/>
        <v>0</v>
      </c>
      <c r="Z160" s="1044" t="str">
        <f t="shared" si="165"/>
        <v/>
      </c>
      <c r="AA160" s="1044">
        <f t="shared" si="166"/>
        <v>0</v>
      </c>
      <c r="AB160" s="1044">
        <f t="shared" si="167"/>
        <v>0</v>
      </c>
      <c r="AC160" s="1044">
        <f t="shared" si="168"/>
        <v>0</v>
      </c>
      <c r="AD160" s="1044" t="str">
        <f t="shared" si="169"/>
        <v/>
      </c>
      <c r="AE160" s="1044">
        <f t="shared" si="170"/>
        <v>0</v>
      </c>
      <c r="AF160" s="1044" t="str">
        <f t="shared" si="171"/>
        <v/>
      </c>
      <c r="AG160" s="1044">
        <f t="shared" si="172"/>
        <v>0</v>
      </c>
      <c r="AH160" s="1044">
        <f t="shared" si="173"/>
        <v>0</v>
      </c>
      <c r="AI160" s="1044" t="str">
        <f t="shared" si="174"/>
        <v/>
      </c>
      <c r="AJ160" s="1044">
        <f t="shared" si="175"/>
        <v>0</v>
      </c>
      <c r="AK160" s="1044">
        <f t="shared" si="176"/>
        <v>0</v>
      </c>
      <c r="AL160" s="1044">
        <f t="shared" si="177"/>
        <v>0</v>
      </c>
      <c r="AM160" s="1044">
        <f t="shared" si="178"/>
        <v>0</v>
      </c>
      <c r="AN160" s="1044" t="str">
        <f t="shared" si="179"/>
        <v/>
      </c>
      <c r="AO160" s="1044" t="str">
        <f t="shared" si="180"/>
        <v/>
      </c>
      <c r="AP160" s="1044">
        <f t="shared" si="181"/>
        <v>0</v>
      </c>
      <c r="AQ160" s="1044">
        <f t="shared" si="182"/>
        <v>0</v>
      </c>
      <c r="AR160" s="1044" t="str">
        <f t="shared" si="183"/>
        <v/>
      </c>
      <c r="AS160" s="1044">
        <f t="shared" si="184"/>
        <v>0</v>
      </c>
      <c r="AT160" s="1044" t="str">
        <f t="shared" si="185"/>
        <v/>
      </c>
      <c r="AU160" s="1044">
        <f t="shared" si="186"/>
        <v>0</v>
      </c>
      <c r="AV160" s="1044" t="str">
        <f t="shared" si="187"/>
        <v/>
      </c>
      <c r="AW160" s="1044">
        <f t="shared" si="188"/>
        <v>0</v>
      </c>
      <c r="AX160" s="1044" t="str">
        <f t="shared" si="189"/>
        <v/>
      </c>
      <c r="AY160" s="1044">
        <f t="shared" si="190"/>
        <v>0</v>
      </c>
      <c r="AZ160" s="1044" t="str">
        <f t="shared" si="191"/>
        <v/>
      </c>
      <c r="BA160" s="1044">
        <f t="shared" si="192"/>
        <v>0</v>
      </c>
      <c r="BB160" s="1044" t="str">
        <f t="shared" si="193"/>
        <v/>
      </c>
      <c r="BC160" s="1044">
        <f t="shared" si="194"/>
        <v>0</v>
      </c>
      <c r="BD160" s="1044">
        <f t="shared" si="195"/>
        <v>0</v>
      </c>
      <c r="BE160" s="1044" t="str">
        <f t="shared" si="196"/>
        <v/>
      </c>
      <c r="BF160" s="1044" t="str">
        <f t="shared" si="197"/>
        <v/>
      </c>
      <c r="BG160" s="1044" t="str">
        <f t="shared" si="198"/>
        <v/>
      </c>
      <c r="BH160" s="1044" t="str">
        <f t="shared" si="199"/>
        <v/>
      </c>
      <c r="BI160" s="1044" t="str">
        <f t="shared" si="200"/>
        <v/>
      </c>
      <c r="BJ160" s="1044" t="str">
        <f t="shared" si="201"/>
        <v/>
      </c>
      <c r="BK160" s="1044" t="str">
        <f t="shared" si="202"/>
        <v/>
      </c>
      <c r="BL160" s="1044" t="str">
        <f t="shared" si="203"/>
        <v/>
      </c>
      <c r="BM160" s="1044" t="str">
        <f t="shared" si="204"/>
        <v/>
      </c>
      <c r="BN160" s="1044" t="str">
        <f t="shared" si="205"/>
        <v/>
      </c>
      <c r="BO160" s="1044" t="str">
        <f t="shared" si="206"/>
        <v/>
      </c>
      <c r="BP160" s="1044" t="str">
        <f t="shared" si="207"/>
        <v/>
      </c>
      <c r="BQ160" s="1044" t="str">
        <f t="shared" si="208"/>
        <v/>
      </c>
      <c r="BR160" s="1044" t="str">
        <f t="shared" si="209"/>
        <v/>
      </c>
      <c r="BS160" s="1044" t="str">
        <f t="shared" si="210"/>
        <v/>
      </c>
      <c r="BT160" s="1044" t="str">
        <f t="shared" si="211"/>
        <v/>
      </c>
      <c r="BU160" s="1044" t="str">
        <f t="shared" si="212"/>
        <v/>
      </c>
    </row>
    <row r="161" spans="1:73" ht="30" customHeight="1">
      <c r="A161" s="1069" t="str">
        <f t="shared" si="142"/>
        <v/>
      </c>
      <c r="B161" s="1063"/>
      <c r="C161" s="1064" t="s">
        <v>254</v>
      </c>
      <c r="D161" s="1070" t="str">
        <f t="shared" si="143"/>
        <v/>
      </c>
      <c r="E161" s="1071" t="str">
        <f t="shared" si="144"/>
        <v/>
      </c>
      <c r="F161" s="1067" t="str">
        <f t="shared" si="145"/>
        <v/>
      </c>
      <c r="G161" s="1068" t="str">
        <f t="shared" si="146"/>
        <v/>
      </c>
      <c r="H161" s="1069" t="str">
        <f t="shared" si="147"/>
        <v/>
      </c>
      <c r="I161" s="1069" t="str">
        <f t="shared" si="148"/>
        <v/>
      </c>
      <c r="J161" s="1067" t="str">
        <f t="shared" si="149"/>
        <v/>
      </c>
      <c r="K161" s="1044" t="str">
        <f t="shared" si="150"/>
        <v/>
      </c>
      <c r="L161" s="1044" t="str">
        <f t="shared" si="151"/>
        <v/>
      </c>
      <c r="M161" s="1044" t="str">
        <f t="shared" si="152"/>
        <v/>
      </c>
      <c r="N161" s="1044" t="str">
        <f t="shared" si="153"/>
        <v/>
      </c>
      <c r="O161" s="1044" t="str">
        <f t="shared" si="154"/>
        <v/>
      </c>
      <c r="P161" s="1044" t="str">
        <f t="shared" si="155"/>
        <v/>
      </c>
      <c r="Q161" s="1044">
        <f t="shared" si="156"/>
        <v>0</v>
      </c>
      <c r="R161" s="1044">
        <f t="shared" si="157"/>
        <v>0</v>
      </c>
      <c r="S161" s="1044">
        <f t="shared" si="158"/>
        <v>0</v>
      </c>
      <c r="T161" s="1044">
        <f t="shared" si="159"/>
        <v>0</v>
      </c>
      <c r="U161" s="1044" t="str">
        <f t="shared" si="160"/>
        <v/>
      </c>
      <c r="V161" s="1044" t="str">
        <f t="shared" si="161"/>
        <v/>
      </c>
      <c r="W161" s="1044">
        <f t="shared" si="162"/>
        <v>0</v>
      </c>
      <c r="X161" s="1044" t="str">
        <f t="shared" si="163"/>
        <v/>
      </c>
      <c r="Y161" s="1044">
        <f t="shared" si="164"/>
        <v>0</v>
      </c>
      <c r="Z161" s="1044" t="str">
        <f t="shared" si="165"/>
        <v/>
      </c>
      <c r="AA161" s="1044">
        <f t="shared" si="166"/>
        <v>0</v>
      </c>
      <c r="AB161" s="1044">
        <f t="shared" si="167"/>
        <v>0</v>
      </c>
      <c r="AC161" s="1044">
        <f t="shared" si="168"/>
        <v>0</v>
      </c>
      <c r="AD161" s="1044" t="str">
        <f t="shared" si="169"/>
        <v/>
      </c>
      <c r="AE161" s="1044">
        <f t="shared" si="170"/>
        <v>0</v>
      </c>
      <c r="AF161" s="1044" t="str">
        <f t="shared" si="171"/>
        <v/>
      </c>
      <c r="AG161" s="1044">
        <f t="shared" si="172"/>
        <v>0</v>
      </c>
      <c r="AH161" s="1044">
        <f t="shared" si="173"/>
        <v>0</v>
      </c>
      <c r="AI161" s="1044" t="str">
        <f t="shared" si="174"/>
        <v/>
      </c>
      <c r="AJ161" s="1044">
        <f t="shared" si="175"/>
        <v>0</v>
      </c>
      <c r="AK161" s="1044">
        <f t="shared" si="176"/>
        <v>0</v>
      </c>
      <c r="AL161" s="1044">
        <f t="shared" si="177"/>
        <v>0</v>
      </c>
      <c r="AM161" s="1044">
        <f t="shared" si="178"/>
        <v>0</v>
      </c>
      <c r="AN161" s="1044" t="str">
        <f t="shared" si="179"/>
        <v/>
      </c>
      <c r="AO161" s="1044" t="str">
        <f t="shared" si="180"/>
        <v/>
      </c>
      <c r="AP161" s="1044">
        <f t="shared" si="181"/>
        <v>0</v>
      </c>
      <c r="AQ161" s="1044">
        <f t="shared" si="182"/>
        <v>0</v>
      </c>
      <c r="AR161" s="1044" t="str">
        <f t="shared" si="183"/>
        <v/>
      </c>
      <c r="AS161" s="1044">
        <f t="shared" si="184"/>
        <v>0</v>
      </c>
      <c r="AT161" s="1044" t="str">
        <f t="shared" si="185"/>
        <v/>
      </c>
      <c r="AU161" s="1044">
        <f t="shared" si="186"/>
        <v>0</v>
      </c>
      <c r="AV161" s="1044" t="str">
        <f t="shared" si="187"/>
        <v/>
      </c>
      <c r="AW161" s="1044">
        <f t="shared" si="188"/>
        <v>0</v>
      </c>
      <c r="AX161" s="1044" t="str">
        <f t="shared" si="189"/>
        <v/>
      </c>
      <c r="AY161" s="1044">
        <f t="shared" si="190"/>
        <v>0</v>
      </c>
      <c r="AZ161" s="1044" t="str">
        <f t="shared" si="191"/>
        <v/>
      </c>
      <c r="BA161" s="1044">
        <f t="shared" si="192"/>
        <v>0</v>
      </c>
      <c r="BB161" s="1044" t="str">
        <f t="shared" si="193"/>
        <v/>
      </c>
      <c r="BC161" s="1044">
        <f t="shared" si="194"/>
        <v>0</v>
      </c>
      <c r="BD161" s="1044">
        <f t="shared" si="195"/>
        <v>0</v>
      </c>
      <c r="BE161" s="1044" t="str">
        <f t="shared" si="196"/>
        <v/>
      </c>
      <c r="BF161" s="1044" t="str">
        <f t="shared" si="197"/>
        <v/>
      </c>
      <c r="BG161" s="1044" t="str">
        <f t="shared" si="198"/>
        <v/>
      </c>
      <c r="BH161" s="1044" t="str">
        <f t="shared" si="199"/>
        <v/>
      </c>
      <c r="BI161" s="1044" t="str">
        <f t="shared" si="200"/>
        <v/>
      </c>
      <c r="BJ161" s="1044" t="str">
        <f t="shared" si="201"/>
        <v/>
      </c>
      <c r="BK161" s="1044" t="str">
        <f t="shared" si="202"/>
        <v/>
      </c>
      <c r="BL161" s="1044" t="str">
        <f t="shared" si="203"/>
        <v/>
      </c>
      <c r="BM161" s="1044" t="str">
        <f t="shared" si="204"/>
        <v/>
      </c>
      <c r="BN161" s="1044" t="str">
        <f t="shared" si="205"/>
        <v/>
      </c>
      <c r="BO161" s="1044" t="str">
        <f t="shared" si="206"/>
        <v/>
      </c>
      <c r="BP161" s="1044" t="str">
        <f t="shared" si="207"/>
        <v/>
      </c>
      <c r="BQ161" s="1044" t="str">
        <f t="shared" si="208"/>
        <v/>
      </c>
      <c r="BR161" s="1044" t="str">
        <f t="shared" si="209"/>
        <v/>
      </c>
      <c r="BS161" s="1044" t="str">
        <f t="shared" si="210"/>
        <v/>
      </c>
      <c r="BT161" s="1044" t="str">
        <f t="shared" si="211"/>
        <v/>
      </c>
      <c r="BU161" s="1044" t="str">
        <f t="shared" si="212"/>
        <v/>
      </c>
    </row>
    <row r="162" spans="1:73" ht="30" customHeight="1">
      <c r="A162" s="1069" t="str">
        <f t="shared" si="142"/>
        <v/>
      </c>
      <c r="B162" s="1063"/>
      <c r="C162" s="1064" t="s">
        <v>254</v>
      </c>
      <c r="D162" s="1070" t="str">
        <f t="shared" si="143"/>
        <v/>
      </c>
      <c r="E162" s="1071" t="str">
        <f t="shared" si="144"/>
        <v/>
      </c>
      <c r="F162" s="1067" t="str">
        <f t="shared" si="145"/>
        <v/>
      </c>
      <c r="G162" s="1068" t="str">
        <f t="shared" si="146"/>
        <v/>
      </c>
      <c r="H162" s="1069" t="str">
        <f t="shared" si="147"/>
        <v/>
      </c>
      <c r="I162" s="1069" t="str">
        <f t="shared" si="148"/>
        <v/>
      </c>
      <c r="J162" s="1067" t="str">
        <f t="shared" si="149"/>
        <v/>
      </c>
      <c r="K162" s="1044" t="str">
        <f t="shared" si="150"/>
        <v/>
      </c>
      <c r="L162" s="1044" t="str">
        <f t="shared" si="151"/>
        <v/>
      </c>
      <c r="M162" s="1044" t="str">
        <f t="shared" si="152"/>
        <v/>
      </c>
      <c r="N162" s="1044" t="str">
        <f t="shared" si="153"/>
        <v/>
      </c>
      <c r="O162" s="1044" t="str">
        <f t="shared" si="154"/>
        <v/>
      </c>
      <c r="P162" s="1044" t="str">
        <f t="shared" si="155"/>
        <v/>
      </c>
      <c r="Q162" s="1044">
        <f t="shared" si="156"/>
        <v>0</v>
      </c>
      <c r="R162" s="1044">
        <f t="shared" si="157"/>
        <v>0</v>
      </c>
      <c r="S162" s="1044">
        <f t="shared" si="158"/>
        <v>0</v>
      </c>
      <c r="T162" s="1044">
        <f t="shared" si="159"/>
        <v>0</v>
      </c>
      <c r="U162" s="1044" t="str">
        <f t="shared" si="160"/>
        <v/>
      </c>
      <c r="V162" s="1044" t="str">
        <f t="shared" si="161"/>
        <v/>
      </c>
      <c r="W162" s="1044">
        <f t="shared" si="162"/>
        <v>0</v>
      </c>
      <c r="X162" s="1044" t="str">
        <f t="shared" si="163"/>
        <v/>
      </c>
      <c r="Y162" s="1044">
        <f t="shared" si="164"/>
        <v>0</v>
      </c>
      <c r="Z162" s="1044" t="str">
        <f t="shared" si="165"/>
        <v/>
      </c>
      <c r="AA162" s="1044">
        <f t="shared" si="166"/>
        <v>0</v>
      </c>
      <c r="AB162" s="1044">
        <f t="shared" si="167"/>
        <v>0</v>
      </c>
      <c r="AC162" s="1044">
        <f t="shared" si="168"/>
        <v>0</v>
      </c>
      <c r="AD162" s="1044" t="str">
        <f t="shared" si="169"/>
        <v/>
      </c>
      <c r="AE162" s="1044">
        <f t="shared" si="170"/>
        <v>0</v>
      </c>
      <c r="AF162" s="1044" t="str">
        <f t="shared" si="171"/>
        <v/>
      </c>
      <c r="AG162" s="1044">
        <f t="shared" si="172"/>
        <v>0</v>
      </c>
      <c r="AH162" s="1044">
        <f t="shared" si="173"/>
        <v>0</v>
      </c>
      <c r="AI162" s="1044" t="str">
        <f t="shared" si="174"/>
        <v/>
      </c>
      <c r="AJ162" s="1044">
        <f t="shared" si="175"/>
        <v>0</v>
      </c>
      <c r="AK162" s="1044">
        <f t="shared" si="176"/>
        <v>0</v>
      </c>
      <c r="AL162" s="1044">
        <f t="shared" si="177"/>
        <v>0</v>
      </c>
      <c r="AM162" s="1044">
        <f t="shared" si="178"/>
        <v>0</v>
      </c>
      <c r="AN162" s="1044" t="str">
        <f t="shared" si="179"/>
        <v/>
      </c>
      <c r="AO162" s="1044" t="str">
        <f t="shared" si="180"/>
        <v/>
      </c>
      <c r="AP162" s="1044">
        <f t="shared" si="181"/>
        <v>0</v>
      </c>
      <c r="AQ162" s="1044">
        <f t="shared" si="182"/>
        <v>0</v>
      </c>
      <c r="AR162" s="1044" t="str">
        <f t="shared" si="183"/>
        <v/>
      </c>
      <c r="AS162" s="1044">
        <f t="shared" si="184"/>
        <v>0</v>
      </c>
      <c r="AT162" s="1044" t="str">
        <f t="shared" si="185"/>
        <v/>
      </c>
      <c r="AU162" s="1044">
        <f t="shared" si="186"/>
        <v>0</v>
      </c>
      <c r="AV162" s="1044" t="str">
        <f t="shared" si="187"/>
        <v/>
      </c>
      <c r="AW162" s="1044">
        <f t="shared" si="188"/>
        <v>0</v>
      </c>
      <c r="AX162" s="1044" t="str">
        <f t="shared" si="189"/>
        <v/>
      </c>
      <c r="AY162" s="1044">
        <f t="shared" si="190"/>
        <v>0</v>
      </c>
      <c r="AZ162" s="1044" t="str">
        <f t="shared" si="191"/>
        <v/>
      </c>
      <c r="BA162" s="1044">
        <f t="shared" si="192"/>
        <v>0</v>
      </c>
      <c r="BB162" s="1044" t="str">
        <f t="shared" si="193"/>
        <v/>
      </c>
      <c r="BC162" s="1044">
        <f t="shared" si="194"/>
        <v>0</v>
      </c>
      <c r="BD162" s="1044">
        <f t="shared" si="195"/>
        <v>0</v>
      </c>
      <c r="BE162" s="1044" t="str">
        <f t="shared" si="196"/>
        <v/>
      </c>
      <c r="BF162" s="1044" t="str">
        <f t="shared" si="197"/>
        <v/>
      </c>
      <c r="BG162" s="1044" t="str">
        <f t="shared" si="198"/>
        <v/>
      </c>
      <c r="BH162" s="1044" t="str">
        <f t="shared" si="199"/>
        <v/>
      </c>
      <c r="BI162" s="1044" t="str">
        <f t="shared" si="200"/>
        <v/>
      </c>
      <c r="BJ162" s="1044" t="str">
        <f t="shared" si="201"/>
        <v/>
      </c>
      <c r="BK162" s="1044" t="str">
        <f t="shared" si="202"/>
        <v/>
      </c>
      <c r="BL162" s="1044" t="str">
        <f t="shared" si="203"/>
        <v/>
      </c>
      <c r="BM162" s="1044" t="str">
        <f t="shared" si="204"/>
        <v/>
      </c>
      <c r="BN162" s="1044" t="str">
        <f t="shared" si="205"/>
        <v/>
      </c>
      <c r="BO162" s="1044" t="str">
        <f t="shared" si="206"/>
        <v/>
      </c>
      <c r="BP162" s="1044" t="str">
        <f t="shared" si="207"/>
        <v/>
      </c>
      <c r="BQ162" s="1044" t="str">
        <f t="shared" si="208"/>
        <v/>
      </c>
      <c r="BR162" s="1044" t="str">
        <f t="shared" si="209"/>
        <v/>
      </c>
      <c r="BS162" s="1044" t="str">
        <f t="shared" si="210"/>
        <v/>
      </c>
      <c r="BT162" s="1044" t="str">
        <f t="shared" si="211"/>
        <v/>
      </c>
      <c r="BU162" s="1044" t="str">
        <f t="shared" si="212"/>
        <v/>
      </c>
    </row>
    <row r="163" spans="1:73" ht="30" customHeight="1">
      <c r="A163" s="1069" t="str">
        <f t="shared" si="142"/>
        <v/>
      </c>
      <c r="B163" s="1063"/>
      <c r="C163" s="1064" t="s">
        <v>254</v>
      </c>
      <c r="D163" s="1070" t="str">
        <f t="shared" si="143"/>
        <v/>
      </c>
      <c r="E163" s="1071" t="str">
        <f t="shared" si="144"/>
        <v/>
      </c>
      <c r="F163" s="1067" t="str">
        <f t="shared" si="145"/>
        <v/>
      </c>
      <c r="G163" s="1068" t="str">
        <f t="shared" si="146"/>
        <v/>
      </c>
      <c r="H163" s="1069" t="str">
        <f t="shared" si="147"/>
        <v/>
      </c>
      <c r="I163" s="1069" t="str">
        <f t="shared" si="148"/>
        <v/>
      </c>
      <c r="J163" s="1067" t="str">
        <f t="shared" si="149"/>
        <v/>
      </c>
      <c r="K163" s="1044" t="str">
        <f t="shared" si="150"/>
        <v/>
      </c>
      <c r="L163" s="1044" t="str">
        <f t="shared" si="151"/>
        <v/>
      </c>
      <c r="M163" s="1044" t="str">
        <f t="shared" si="152"/>
        <v/>
      </c>
      <c r="N163" s="1044" t="str">
        <f t="shared" si="153"/>
        <v/>
      </c>
      <c r="O163" s="1044" t="str">
        <f t="shared" si="154"/>
        <v/>
      </c>
      <c r="P163" s="1044" t="str">
        <f t="shared" si="155"/>
        <v/>
      </c>
      <c r="Q163" s="1044">
        <f t="shared" si="156"/>
        <v>0</v>
      </c>
      <c r="R163" s="1044">
        <f t="shared" si="157"/>
        <v>0</v>
      </c>
      <c r="S163" s="1044">
        <f t="shared" si="158"/>
        <v>0</v>
      </c>
      <c r="T163" s="1044">
        <f t="shared" si="159"/>
        <v>0</v>
      </c>
      <c r="U163" s="1044" t="str">
        <f t="shared" si="160"/>
        <v/>
      </c>
      <c r="V163" s="1044" t="str">
        <f t="shared" si="161"/>
        <v/>
      </c>
      <c r="W163" s="1044">
        <f t="shared" si="162"/>
        <v>0</v>
      </c>
      <c r="X163" s="1044" t="str">
        <f t="shared" si="163"/>
        <v/>
      </c>
      <c r="Y163" s="1044">
        <f t="shared" si="164"/>
        <v>0</v>
      </c>
      <c r="Z163" s="1044" t="str">
        <f t="shared" si="165"/>
        <v/>
      </c>
      <c r="AA163" s="1044">
        <f t="shared" si="166"/>
        <v>0</v>
      </c>
      <c r="AB163" s="1044">
        <f t="shared" si="167"/>
        <v>0</v>
      </c>
      <c r="AC163" s="1044">
        <f t="shared" si="168"/>
        <v>0</v>
      </c>
      <c r="AD163" s="1044" t="str">
        <f t="shared" si="169"/>
        <v/>
      </c>
      <c r="AE163" s="1044">
        <f t="shared" si="170"/>
        <v>0</v>
      </c>
      <c r="AF163" s="1044" t="str">
        <f t="shared" si="171"/>
        <v/>
      </c>
      <c r="AG163" s="1044">
        <f t="shared" si="172"/>
        <v>0</v>
      </c>
      <c r="AH163" s="1044">
        <f t="shared" si="173"/>
        <v>0</v>
      </c>
      <c r="AI163" s="1044" t="str">
        <f t="shared" si="174"/>
        <v/>
      </c>
      <c r="AJ163" s="1044">
        <f t="shared" si="175"/>
        <v>0</v>
      </c>
      <c r="AK163" s="1044">
        <f t="shared" si="176"/>
        <v>0</v>
      </c>
      <c r="AL163" s="1044">
        <f t="shared" si="177"/>
        <v>0</v>
      </c>
      <c r="AM163" s="1044">
        <f t="shared" si="178"/>
        <v>0</v>
      </c>
      <c r="AN163" s="1044" t="str">
        <f t="shared" si="179"/>
        <v/>
      </c>
      <c r="AO163" s="1044" t="str">
        <f t="shared" si="180"/>
        <v/>
      </c>
      <c r="AP163" s="1044">
        <f t="shared" si="181"/>
        <v>0</v>
      </c>
      <c r="AQ163" s="1044">
        <f t="shared" si="182"/>
        <v>0</v>
      </c>
      <c r="AR163" s="1044" t="str">
        <f t="shared" si="183"/>
        <v/>
      </c>
      <c r="AS163" s="1044">
        <f t="shared" si="184"/>
        <v>0</v>
      </c>
      <c r="AT163" s="1044" t="str">
        <f t="shared" si="185"/>
        <v/>
      </c>
      <c r="AU163" s="1044">
        <f t="shared" si="186"/>
        <v>0</v>
      </c>
      <c r="AV163" s="1044" t="str">
        <f t="shared" si="187"/>
        <v/>
      </c>
      <c r="AW163" s="1044">
        <f t="shared" si="188"/>
        <v>0</v>
      </c>
      <c r="AX163" s="1044" t="str">
        <f t="shared" si="189"/>
        <v/>
      </c>
      <c r="AY163" s="1044">
        <f t="shared" si="190"/>
        <v>0</v>
      </c>
      <c r="AZ163" s="1044" t="str">
        <f t="shared" si="191"/>
        <v/>
      </c>
      <c r="BA163" s="1044">
        <f t="shared" si="192"/>
        <v>0</v>
      </c>
      <c r="BB163" s="1044" t="str">
        <f t="shared" si="193"/>
        <v/>
      </c>
      <c r="BC163" s="1044">
        <f t="shared" si="194"/>
        <v>0</v>
      </c>
      <c r="BD163" s="1044">
        <f t="shared" si="195"/>
        <v>0</v>
      </c>
      <c r="BE163" s="1044" t="str">
        <f t="shared" si="196"/>
        <v/>
      </c>
      <c r="BF163" s="1044" t="str">
        <f t="shared" si="197"/>
        <v/>
      </c>
      <c r="BG163" s="1044" t="str">
        <f t="shared" si="198"/>
        <v/>
      </c>
      <c r="BH163" s="1044" t="str">
        <f t="shared" si="199"/>
        <v/>
      </c>
      <c r="BI163" s="1044" t="str">
        <f t="shared" si="200"/>
        <v/>
      </c>
      <c r="BJ163" s="1044" t="str">
        <f t="shared" si="201"/>
        <v/>
      </c>
      <c r="BK163" s="1044" t="str">
        <f t="shared" si="202"/>
        <v/>
      </c>
      <c r="BL163" s="1044" t="str">
        <f t="shared" si="203"/>
        <v/>
      </c>
      <c r="BM163" s="1044" t="str">
        <f t="shared" si="204"/>
        <v/>
      </c>
      <c r="BN163" s="1044" t="str">
        <f t="shared" si="205"/>
        <v/>
      </c>
      <c r="BO163" s="1044" t="str">
        <f t="shared" si="206"/>
        <v/>
      </c>
      <c r="BP163" s="1044" t="str">
        <f t="shared" si="207"/>
        <v/>
      </c>
      <c r="BQ163" s="1044" t="str">
        <f t="shared" si="208"/>
        <v/>
      </c>
      <c r="BR163" s="1044" t="str">
        <f t="shared" si="209"/>
        <v/>
      </c>
      <c r="BS163" s="1044" t="str">
        <f t="shared" si="210"/>
        <v/>
      </c>
      <c r="BT163" s="1044" t="str">
        <f t="shared" si="211"/>
        <v/>
      </c>
      <c r="BU163" s="1044" t="str">
        <f t="shared" si="212"/>
        <v/>
      </c>
    </row>
    <row r="164" spans="1:73" ht="30" customHeight="1">
      <c r="A164" s="1069" t="str">
        <f t="shared" si="142"/>
        <v/>
      </c>
      <c r="B164" s="1063"/>
      <c r="C164" s="1064" t="s">
        <v>254</v>
      </c>
      <c r="D164" s="1070" t="str">
        <f t="shared" si="143"/>
        <v/>
      </c>
      <c r="E164" s="1071" t="str">
        <f t="shared" si="144"/>
        <v/>
      </c>
      <c r="F164" s="1067" t="str">
        <f t="shared" si="145"/>
        <v/>
      </c>
      <c r="G164" s="1068" t="str">
        <f t="shared" si="146"/>
        <v/>
      </c>
      <c r="H164" s="1069" t="str">
        <f t="shared" si="147"/>
        <v/>
      </c>
      <c r="I164" s="1069" t="str">
        <f t="shared" si="148"/>
        <v/>
      </c>
      <c r="J164" s="1067" t="str">
        <f t="shared" si="149"/>
        <v/>
      </c>
      <c r="K164" s="1044" t="str">
        <f t="shared" si="150"/>
        <v/>
      </c>
      <c r="L164" s="1044" t="str">
        <f t="shared" si="151"/>
        <v/>
      </c>
      <c r="M164" s="1044" t="str">
        <f t="shared" si="152"/>
        <v/>
      </c>
      <c r="N164" s="1044" t="str">
        <f t="shared" si="153"/>
        <v/>
      </c>
      <c r="O164" s="1044" t="str">
        <f t="shared" si="154"/>
        <v/>
      </c>
      <c r="P164" s="1044" t="str">
        <f t="shared" si="155"/>
        <v/>
      </c>
      <c r="Q164" s="1044">
        <f t="shared" si="156"/>
        <v>0</v>
      </c>
      <c r="R164" s="1044">
        <f t="shared" si="157"/>
        <v>0</v>
      </c>
      <c r="S164" s="1044">
        <f t="shared" si="158"/>
        <v>0</v>
      </c>
      <c r="T164" s="1044">
        <f t="shared" si="159"/>
        <v>0</v>
      </c>
      <c r="U164" s="1044" t="str">
        <f t="shared" si="160"/>
        <v/>
      </c>
      <c r="V164" s="1044" t="str">
        <f t="shared" si="161"/>
        <v/>
      </c>
      <c r="W164" s="1044">
        <f t="shared" si="162"/>
        <v>0</v>
      </c>
      <c r="X164" s="1044" t="str">
        <f t="shared" si="163"/>
        <v/>
      </c>
      <c r="Y164" s="1044">
        <f t="shared" si="164"/>
        <v>0</v>
      </c>
      <c r="Z164" s="1044" t="str">
        <f t="shared" si="165"/>
        <v/>
      </c>
      <c r="AA164" s="1044">
        <f t="shared" si="166"/>
        <v>0</v>
      </c>
      <c r="AB164" s="1044">
        <f t="shared" si="167"/>
        <v>0</v>
      </c>
      <c r="AC164" s="1044">
        <f t="shared" si="168"/>
        <v>0</v>
      </c>
      <c r="AD164" s="1044" t="str">
        <f t="shared" si="169"/>
        <v/>
      </c>
      <c r="AE164" s="1044">
        <f t="shared" si="170"/>
        <v>0</v>
      </c>
      <c r="AF164" s="1044" t="str">
        <f t="shared" si="171"/>
        <v/>
      </c>
      <c r="AG164" s="1044">
        <f t="shared" si="172"/>
        <v>0</v>
      </c>
      <c r="AH164" s="1044">
        <f t="shared" si="173"/>
        <v>0</v>
      </c>
      <c r="AI164" s="1044" t="str">
        <f t="shared" si="174"/>
        <v/>
      </c>
      <c r="AJ164" s="1044">
        <f t="shared" si="175"/>
        <v>0</v>
      </c>
      <c r="AK164" s="1044">
        <f t="shared" si="176"/>
        <v>0</v>
      </c>
      <c r="AL164" s="1044">
        <f t="shared" si="177"/>
        <v>0</v>
      </c>
      <c r="AM164" s="1044">
        <f t="shared" si="178"/>
        <v>0</v>
      </c>
      <c r="AN164" s="1044" t="str">
        <f t="shared" si="179"/>
        <v/>
      </c>
      <c r="AO164" s="1044" t="str">
        <f t="shared" si="180"/>
        <v/>
      </c>
      <c r="AP164" s="1044">
        <f t="shared" si="181"/>
        <v>0</v>
      </c>
      <c r="AQ164" s="1044">
        <f t="shared" si="182"/>
        <v>0</v>
      </c>
      <c r="AR164" s="1044" t="str">
        <f t="shared" si="183"/>
        <v/>
      </c>
      <c r="AS164" s="1044">
        <f t="shared" si="184"/>
        <v>0</v>
      </c>
      <c r="AT164" s="1044" t="str">
        <f t="shared" si="185"/>
        <v/>
      </c>
      <c r="AU164" s="1044">
        <f t="shared" si="186"/>
        <v>0</v>
      </c>
      <c r="AV164" s="1044" t="str">
        <f t="shared" si="187"/>
        <v/>
      </c>
      <c r="AW164" s="1044">
        <f t="shared" si="188"/>
        <v>0</v>
      </c>
      <c r="AX164" s="1044" t="str">
        <f t="shared" si="189"/>
        <v/>
      </c>
      <c r="AY164" s="1044">
        <f t="shared" si="190"/>
        <v>0</v>
      </c>
      <c r="AZ164" s="1044" t="str">
        <f t="shared" si="191"/>
        <v/>
      </c>
      <c r="BA164" s="1044">
        <f t="shared" si="192"/>
        <v>0</v>
      </c>
      <c r="BB164" s="1044" t="str">
        <f t="shared" si="193"/>
        <v/>
      </c>
      <c r="BC164" s="1044">
        <f t="shared" si="194"/>
        <v>0</v>
      </c>
      <c r="BD164" s="1044">
        <f t="shared" si="195"/>
        <v>0</v>
      </c>
      <c r="BE164" s="1044" t="str">
        <f t="shared" si="196"/>
        <v/>
      </c>
      <c r="BF164" s="1044" t="str">
        <f t="shared" si="197"/>
        <v/>
      </c>
      <c r="BG164" s="1044" t="str">
        <f t="shared" si="198"/>
        <v/>
      </c>
      <c r="BH164" s="1044" t="str">
        <f t="shared" si="199"/>
        <v/>
      </c>
      <c r="BI164" s="1044" t="str">
        <f t="shared" si="200"/>
        <v/>
      </c>
      <c r="BJ164" s="1044" t="str">
        <f t="shared" si="201"/>
        <v/>
      </c>
      <c r="BK164" s="1044" t="str">
        <f t="shared" si="202"/>
        <v/>
      </c>
      <c r="BL164" s="1044" t="str">
        <f t="shared" si="203"/>
        <v/>
      </c>
      <c r="BM164" s="1044" t="str">
        <f t="shared" si="204"/>
        <v/>
      </c>
      <c r="BN164" s="1044" t="str">
        <f t="shared" si="205"/>
        <v/>
      </c>
      <c r="BO164" s="1044" t="str">
        <f t="shared" si="206"/>
        <v/>
      </c>
      <c r="BP164" s="1044" t="str">
        <f t="shared" si="207"/>
        <v/>
      </c>
      <c r="BQ164" s="1044" t="str">
        <f t="shared" si="208"/>
        <v/>
      </c>
      <c r="BR164" s="1044" t="str">
        <f t="shared" si="209"/>
        <v/>
      </c>
      <c r="BS164" s="1044" t="str">
        <f t="shared" si="210"/>
        <v/>
      </c>
      <c r="BT164" s="1044" t="str">
        <f t="shared" si="211"/>
        <v/>
      </c>
      <c r="BU164" s="1044" t="str">
        <f t="shared" si="212"/>
        <v/>
      </c>
    </row>
    <row r="165" spans="1:73" ht="30" customHeight="1">
      <c r="A165" s="1069" t="str">
        <f t="shared" si="142"/>
        <v/>
      </c>
      <c r="B165" s="1063"/>
      <c r="C165" s="1064" t="s">
        <v>254</v>
      </c>
      <c r="D165" s="1070" t="str">
        <f t="shared" si="143"/>
        <v/>
      </c>
      <c r="E165" s="1071" t="str">
        <f t="shared" si="144"/>
        <v/>
      </c>
      <c r="F165" s="1067" t="str">
        <f t="shared" si="145"/>
        <v/>
      </c>
      <c r="G165" s="1068" t="str">
        <f t="shared" si="146"/>
        <v/>
      </c>
      <c r="H165" s="1069" t="str">
        <f t="shared" si="147"/>
        <v/>
      </c>
      <c r="I165" s="1069" t="str">
        <f t="shared" si="148"/>
        <v/>
      </c>
      <c r="J165" s="1067" t="str">
        <f t="shared" si="149"/>
        <v/>
      </c>
      <c r="K165" s="1044" t="str">
        <f t="shared" si="150"/>
        <v/>
      </c>
      <c r="L165" s="1044" t="str">
        <f t="shared" si="151"/>
        <v/>
      </c>
      <c r="M165" s="1044" t="str">
        <f t="shared" si="152"/>
        <v/>
      </c>
      <c r="N165" s="1044" t="str">
        <f t="shared" si="153"/>
        <v/>
      </c>
      <c r="O165" s="1044" t="str">
        <f t="shared" si="154"/>
        <v/>
      </c>
      <c r="P165" s="1044" t="str">
        <f t="shared" si="155"/>
        <v/>
      </c>
      <c r="Q165" s="1044">
        <f t="shared" si="156"/>
        <v>0</v>
      </c>
      <c r="R165" s="1044">
        <f t="shared" si="157"/>
        <v>0</v>
      </c>
      <c r="S165" s="1044">
        <f t="shared" si="158"/>
        <v>0</v>
      </c>
      <c r="T165" s="1044">
        <f t="shared" si="159"/>
        <v>0</v>
      </c>
      <c r="U165" s="1044" t="str">
        <f t="shared" si="160"/>
        <v/>
      </c>
      <c r="V165" s="1044" t="str">
        <f t="shared" si="161"/>
        <v/>
      </c>
      <c r="W165" s="1044">
        <f t="shared" si="162"/>
        <v>0</v>
      </c>
      <c r="X165" s="1044" t="str">
        <f t="shared" si="163"/>
        <v/>
      </c>
      <c r="Y165" s="1044">
        <f t="shared" si="164"/>
        <v>0</v>
      </c>
      <c r="Z165" s="1044" t="str">
        <f t="shared" si="165"/>
        <v/>
      </c>
      <c r="AA165" s="1044">
        <f t="shared" si="166"/>
        <v>0</v>
      </c>
      <c r="AB165" s="1044">
        <f t="shared" si="167"/>
        <v>0</v>
      </c>
      <c r="AC165" s="1044">
        <f t="shared" si="168"/>
        <v>0</v>
      </c>
      <c r="AD165" s="1044" t="str">
        <f t="shared" si="169"/>
        <v/>
      </c>
      <c r="AE165" s="1044">
        <f t="shared" si="170"/>
        <v>0</v>
      </c>
      <c r="AF165" s="1044" t="str">
        <f t="shared" si="171"/>
        <v/>
      </c>
      <c r="AG165" s="1044">
        <f t="shared" si="172"/>
        <v>0</v>
      </c>
      <c r="AH165" s="1044">
        <f t="shared" si="173"/>
        <v>0</v>
      </c>
      <c r="AI165" s="1044" t="str">
        <f t="shared" si="174"/>
        <v/>
      </c>
      <c r="AJ165" s="1044">
        <f t="shared" si="175"/>
        <v>0</v>
      </c>
      <c r="AK165" s="1044">
        <f t="shared" si="176"/>
        <v>0</v>
      </c>
      <c r="AL165" s="1044">
        <f t="shared" si="177"/>
        <v>0</v>
      </c>
      <c r="AM165" s="1044">
        <f t="shared" si="178"/>
        <v>0</v>
      </c>
      <c r="AN165" s="1044" t="str">
        <f t="shared" si="179"/>
        <v/>
      </c>
      <c r="AO165" s="1044" t="str">
        <f t="shared" si="180"/>
        <v/>
      </c>
      <c r="AP165" s="1044">
        <f t="shared" si="181"/>
        <v>0</v>
      </c>
      <c r="AQ165" s="1044">
        <f t="shared" si="182"/>
        <v>0</v>
      </c>
      <c r="AR165" s="1044" t="str">
        <f t="shared" si="183"/>
        <v/>
      </c>
      <c r="AS165" s="1044">
        <f t="shared" si="184"/>
        <v>0</v>
      </c>
      <c r="AT165" s="1044" t="str">
        <f t="shared" si="185"/>
        <v/>
      </c>
      <c r="AU165" s="1044">
        <f t="shared" si="186"/>
        <v>0</v>
      </c>
      <c r="AV165" s="1044" t="str">
        <f t="shared" si="187"/>
        <v/>
      </c>
      <c r="AW165" s="1044">
        <f t="shared" si="188"/>
        <v>0</v>
      </c>
      <c r="AX165" s="1044" t="str">
        <f t="shared" si="189"/>
        <v/>
      </c>
      <c r="AY165" s="1044">
        <f t="shared" si="190"/>
        <v>0</v>
      </c>
      <c r="AZ165" s="1044" t="str">
        <f t="shared" si="191"/>
        <v/>
      </c>
      <c r="BA165" s="1044">
        <f t="shared" si="192"/>
        <v>0</v>
      </c>
      <c r="BB165" s="1044" t="str">
        <f t="shared" si="193"/>
        <v/>
      </c>
      <c r="BC165" s="1044">
        <f t="shared" si="194"/>
        <v>0</v>
      </c>
      <c r="BD165" s="1044">
        <f t="shared" si="195"/>
        <v>0</v>
      </c>
      <c r="BE165" s="1044" t="str">
        <f t="shared" si="196"/>
        <v/>
      </c>
      <c r="BF165" s="1044" t="str">
        <f t="shared" si="197"/>
        <v/>
      </c>
      <c r="BG165" s="1044" t="str">
        <f t="shared" si="198"/>
        <v/>
      </c>
      <c r="BH165" s="1044" t="str">
        <f t="shared" si="199"/>
        <v/>
      </c>
      <c r="BI165" s="1044" t="str">
        <f t="shared" si="200"/>
        <v/>
      </c>
      <c r="BJ165" s="1044" t="str">
        <f t="shared" si="201"/>
        <v/>
      </c>
      <c r="BK165" s="1044" t="str">
        <f t="shared" si="202"/>
        <v/>
      </c>
      <c r="BL165" s="1044" t="str">
        <f t="shared" si="203"/>
        <v/>
      </c>
      <c r="BM165" s="1044" t="str">
        <f t="shared" si="204"/>
        <v/>
      </c>
      <c r="BN165" s="1044" t="str">
        <f t="shared" si="205"/>
        <v/>
      </c>
      <c r="BO165" s="1044" t="str">
        <f t="shared" si="206"/>
        <v/>
      </c>
      <c r="BP165" s="1044" t="str">
        <f t="shared" si="207"/>
        <v/>
      </c>
      <c r="BQ165" s="1044" t="str">
        <f t="shared" si="208"/>
        <v/>
      </c>
      <c r="BR165" s="1044" t="str">
        <f t="shared" si="209"/>
        <v/>
      </c>
      <c r="BS165" s="1044" t="str">
        <f t="shared" si="210"/>
        <v/>
      </c>
      <c r="BT165" s="1044" t="str">
        <f t="shared" si="211"/>
        <v/>
      </c>
      <c r="BU165" s="1044" t="str">
        <f t="shared" si="212"/>
        <v/>
      </c>
    </row>
    <row r="166" spans="1:73" ht="30" customHeight="1">
      <c r="A166" s="1069" t="str">
        <f t="shared" si="142"/>
        <v/>
      </c>
      <c r="B166" s="1063"/>
      <c r="C166" s="1064" t="s">
        <v>254</v>
      </c>
      <c r="D166" s="1070" t="str">
        <f t="shared" si="143"/>
        <v/>
      </c>
      <c r="E166" s="1071" t="str">
        <f t="shared" si="144"/>
        <v/>
      </c>
      <c r="F166" s="1067" t="str">
        <f t="shared" si="145"/>
        <v/>
      </c>
      <c r="G166" s="1068" t="str">
        <f t="shared" si="146"/>
        <v/>
      </c>
      <c r="H166" s="1069" t="str">
        <f t="shared" si="147"/>
        <v/>
      </c>
      <c r="I166" s="1069" t="str">
        <f t="shared" si="148"/>
        <v/>
      </c>
      <c r="J166" s="1067" t="str">
        <f t="shared" si="149"/>
        <v/>
      </c>
      <c r="K166" s="1044" t="str">
        <f t="shared" si="150"/>
        <v/>
      </c>
      <c r="L166" s="1044" t="str">
        <f t="shared" si="151"/>
        <v/>
      </c>
      <c r="M166" s="1044" t="str">
        <f t="shared" si="152"/>
        <v/>
      </c>
      <c r="N166" s="1044" t="str">
        <f t="shared" si="153"/>
        <v/>
      </c>
      <c r="O166" s="1044" t="str">
        <f t="shared" si="154"/>
        <v/>
      </c>
      <c r="P166" s="1044" t="str">
        <f t="shared" si="155"/>
        <v/>
      </c>
      <c r="Q166" s="1044">
        <f t="shared" si="156"/>
        <v>0</v>
      </c>
      <c r="R166" s="1044">
        <f t="shared" si="157"/>
        <v>0</v>
      </c>
      <c r="S166" s="1044">
        <f t="shared" si="158"/>
        <v>0</v>
      </c>
      <c r="T166" s="1044">
        <f t="shared" si="159"/>
        <v>0</v>
      </c>
      <c r="U166" s="1044" t="str">
        <f t="shared" si="160"/>
        <v/>
      </c>
      <c r="V166" s="1044" t="str">
        <f t="shared" si="161"/>
        <v/>
      </c>
      <c r="W166" s="1044">
        <f t="shared" si="162"/>
        <v>0</v>
      </c>
      <c r="X166" s="1044" t="str">
        <f t="shared" si="163"/>
        <v/>
      </c>
      <c r="Y166" s="1044">
        <f t="shared" si="164"/>
        <v>0</v>
      </c>
      <c r="Z166" s="1044" t="str">
        <f t="shared" si="165"/>
        <v/>
      </c>
      <c r="AA166" s="1044">
        <f t="shared" si="166"/>
        <v>0</v>
      </c>
      <c r="AB166" s="1044">
        <f t="shared" si="167"/>
        <v>0</v>
      </c>
      <c r="AC166" s="1044">
        <f t="shared" si="168"/>
        <v>0</v>
      </c>
      <c r="AD166" s="1044" t="str">
        <f t="shared" si="169"/>
        <v/>
      </c>
      <c r="AE166" s="1044">
        <f t="shared" si="170"/>
        <v>0</v>
      </c>
      <c r="AF166" s="1044" t="str">
        <f t="shared" si="171"/>
        <v/>
      </c>
      <c r="AG166" s="1044">
        <f t="shared" si="172"/>
        <v>0</v>
      </c>
      <c r="AH166" s="1044">
        <f t="shared" si="173"/>
        <v>0</v>
      </c>
      <c r="AI166" s="1044" t="str">
        <f t="shared" si="174"/>
        <v/>
      </c>
      <c r="AJ166" s="1044">
        <f t="shared" si="175"/>
        <v>0</v>
      </c>
      <c r="AK166" s="1044">
        <f t="shared" si="176"/>
        <v>0</v>
      </c>
      <c r="AL166" s="1044">
        <f t="shared" si="177"/>
        <v>0</v>
      </c>
      <c r="AM166" s="1044">
        <f t="shared" si="178"/>
        <v>0</v>
      </c>
      <c r="AN166" s="1044" t="str">
        <f t="shared" si="179"/>
        <v/>
      </c>
      <c r="AO166" s="1044" t="str">
        <f t="shared" si="180"/>
        <v/>
      </c>
      <c r="AP166" s="1044">
        <f t="shared" si="181"/>
        <v>0</v>
      </c>
      <c r="AQ166" s="1044">
        <f t="shared" si="182"/>
        <v>0</v>
      </c>
      <c r="AR166" s="1044" t="str">
        <f t="shared" si="183"/>
        <v/>
      </c>
      <c r="AS166" s="1044">
        <f t="shared" si="184"/>
        <v>0</v>
      </c>
      <c r="AT166" s="1044" t="str">
        <f t="shared" si="185"/>
        <v/>
      </c>
      <c r="AU166" s="1044">
        <f t="shared" si="186"/>
        <v>0</v>
      </c>
      <c r="AV166" s="1044" t="str">
        <f t="shared" si="187"/>
        <v/>
      </c>
      <c r="AW166" s="1044">
        <f t="shared" si="188"/>
        <v>0</v>
      </c>
      <c r="AX166" s="1044" t="str">
        <f t="shared" si="189"/>
        <v/>
      </c>
      <c r="AY166" s="1044">
        <f t="shared" si="190"/>
        <v>0</v>
      </c>
      <c r="AZ166" s="1044" t="str">
        <f t="shared" si="191"/>
        <v/>
      </c>
      <c r="BA166" s="1044">
        <f t="shared" si="192"/>
        <v>0</v>
      </c>
      <c r="BB166" s="1044" t="str">
        <f t="shared" si="193"/>
        <v/>
      </c>
      <c r="BC166" s="1044">
        <f t="shared" si="194"/>
        <v>0</v>
      </c>
      <c r="BD166" s="1044">
        <f t="shared" si="195"/>
        <v>0</v>
      </c>
      <c r="BE166" s="1044" t="str">
        <f t="shared" si="196"/>
        <v/>
      </c>
      <c r="BF166" s="1044" t="str">
        <f t="shared" si="197"/>
        <v/>
      </c>
      <c r="BG166" s="1044" t="str">
        <f t="shared" si="198"/>
        <v/>
      </c>
      <c r="BH166" s="1044" t="str">
        <f t="shared" si="199"/>
        <v/>
      </c>
      <c r="BI166" s="1044" t="str">
        <f t="shared" si="200"/>
        <v/>
      </c>
      <c r="BJ166" s="1044" t="str">
        <f t="shared" si="201"/>
        <v/>
      </c>
      <c r="BK166" s="1044" t="str">
        <f t="shared" si="202"/>
        <v/>
      </c>
      <c r="BL166" s="1044" t="str">
        <f t="shared" si="203"/>
        <v/>
      </c>
      <c r="BM166" s="1044" t="str">
        <f t="shared" si="204"/>
        <v/>
      </c>
      <c r="BN166" s="1044" t="str">
        <f t="shared" si="205"/>
        <v/>
      </c>
      <c r="BO166" s="1044" t="str">
        <f t="shared" si="206"/>
        <v/>
      </c>
      <c r="BP166" s="1044" t="str">
        <f t="shared" si="207"/>
        <v/>
      </c>
      <c r="BQ166" s="1044" t="str">
        <f t="shared" si="208"/>
        <v/>
      </c>
      <c r="BR166" s="1044" t="str">
        <f t="shared" si="209"/>
        <v/>
      </c>
      <c r="BS166" s="1044" t="str">
        <f t="shared" si="210"/>
        <v/>
      </c>
      <c r="BT166" s="1044" t="str">
        <f t="shared" si="211"/>
        <v/>
      </c>
      <c r="BU166" s="1044" t="str">
        <f t="shared" si="212"/>
        <v/>
      </c>
    </row>
    <row r="167" spans="1:73" ht="30" customHeight="1">
      <c r="A167" s="1069" t="str">
        <f t="shared" si="142"/>
        <v/>
      </c>
      <c r="B167" s="1063"/>
      <c r="C167" s="1064" t="s">
        <v>254</v>
      </c>
      <c r="D167" s="1070" t="str">
        <f t="shared" si="143"/>
        <v/>
      </c>
      <c r="E167" s="1071" t="str">
        <f t="shared" si="144"/>
        <v/>
      </c>
      <c r="F167" s="1067" t="str">
        <f t="shared" si="145"/>
        <v/>
      </c>
      <c r="G167" s="1068" t="str">
        <f t="shared" si="146"/>
        <v/>
      </c>
      <c r="H167" s="1069" t="str">
        <f t="shared" si="147"/>
        <v/>
      </c>
      <c r="I167" s="1069" t="str">
        <f t="shared" si="148"/>
        <v/>
      </c>
      <c r="J167" s="1067" t="str">
        <f t="shared" si="149"/>
        <v/>
      </c>
      <c r="K167" s="1044" t="str">
        <f t="shared" si="150"/>
        <v/>
      </c>
      <c r="L167" s="1044" t="str">
        <f t="shared" si="151"/>
        <v/>
      </c>
      <c r="M167" s="1044" t="str">
        <f t="shared" si="152"/>
        <v/>
      </c>
      <c r="N167" s="1044" t="str">
        <f t="shared" si="153"/>
        <v/>
      </c>
      <c r="O167" s="1044" t="str">
        <f t="shared" si="154"/>
        <v/>
      </c>
      <c r="P167" s="1044" t="str">
        <f t="shared" si="155"/>
        <v/>
      </c>
      <c r="Q167" s="1044">
        <f t="shared" si="156"/>
        <v>0</v>
      </c>
      <c r="R167" s="1044">
        <f t="shared" si="157"/>
        <v>0</v>
      </c>
      <c r="S167" s="1044">
        <f t="shared" si="158"/>
        <v>0</v>
      </c>
      <c r="T167" s="1044">
        <f t="shared" si="159"/>
        <v>0</v>
      </c>
      <c r="U167" s="1044" t="str">
        <f t="shared" si="160"/>
        <v/>
      </c>
      <c r="V167" s="1044" t="str">
        <f t="shared" si="161"/>
        <v/>
      </c>
      <c r="W167" s="1044">
        <f t="shared" si="162"/>
        <v>0</v>
      </c>
      <c r="X167" s="1044" t="str">
        <f t="shared" si="163"/>
        <v/>
      </c>
      <c r="Y167" s="1044">
        <f t="shared" si="164"/>
        <v>0</v>
      </c>
      <c r="Z167" s="1044" t="str">
        <f t="shared" si="165"/>
        <v/>
      </c>
      <c r="AA167" s="1044">
        <f t="shared" si="166"/>
        <v>0</v>
      </c>
      <c r="AB167" s="1044">
        <f t="shared" si="167"/>
        <v>0</v>
      </c>
      <c r="AC167" s="1044">
        <f t="shared" si="168"/>
        <v>0</v>
      </c>
      <c r="AD167" s="1044" t="str">
        <f t="shared" si="169"/>
        <v/>
      </c>
      <c r="AE167" s="1044">
        <f t="shared" si="170"/>
        <v>0</v>
      </c>
      <c r="AF167" s="1044" t="str">
        <f t="shared" si="171"/>
        <v/>
      </c>
      <c r="AG167" s="1044">
        <f t="shared" si="172"/>
        <v>0</v>
      </c>
      <c r="AH167" s="1044">
        <f t="shared" si="173"/>
        <v>0</v>
      </c>
      <c r="AI167" s="1044" t="str">
        <f t="shared" si="174"/>
        <v/>
      </c>
      <c r="AJ167" s="1044">
        <f t="shared" si="175"/>
        <v>0</v>
      </c>
      <c r="AK167" s="1044">
        <f t="shared" si="176"/>
        <v>0</v>
      </c>
      <c r="AL167" s="1044">
        <f t="shared" si="177"/>
        <v>0</v>
      </c>
      <c r="AM167" s="1044">
        <f t="shared" si="178"/>
        <v>0</v>
      </c>
      <c r="AN167" s="1044" t="str">
        <f t="shared" si="179"/>
        <v/>
      </c>
      <c r="AO167" s="1044" t="str">
        <f t="shared" si="180"/>
        <v/>
      </c>
      <c r="AP167" s="1044">
        <f t="shared" si="181"/>
        <v>0</v>
      </c>
      <c r="AQ167" s="1044">
        <f t="shared" si="182"/>
        <v>0</v>
      </c>
      <c r="AR167" s="1044" t="str">
        <f t="shared" si="183"/>
        <v/>
      </c>
      <c r="AS167" s="1044">
        <f t="shared" si="184"/>
        <v>0</v>
      </c>
      <c r="AT167" s="1044" t="str">
        <f t="shared" si="185"/>
        <v/>
      </c>
      <c r="AU167" s="1044">
        <f t="shared" si="186"/>
        <v>0</v>
      </c>
      <c r="AV167" s="1044" t="str">
        <f t="shared" si="187"/>
        <v/>
      </c>
      <c r="AW167" s="1044">
        <f t="shared" si="188"/>
        <v>0</v>
      </c>
      <c r="AX167" s="1044" t="str">
        <f t="shared" si="189"/>
        <v/>
      </c>
      <c r="AY167" s="1044">
        <f t="shared" si="190"/>
        <v>0</v>
      </c>
      <c r="AZ167" s="1044" t="str">
        <f t="shared" si="191"/>
        <v/>
      </c>
      <c r="BA167" s="1044">
        <f t="shared" si="192"/>
        <v>0</v>
      </c>
      <c r="BB167" s="1044" t="str">
        <f t="shared" si="193"/>
        <v/>
      </c>
      <c r="BC167" s="1044">
        <f t="shared" si="194"/>
        <v>0</v>
      </c>
      <c r="BD167" s="1044">
        <f t="shared" si="195"/>
        <v>0</v>
      </c>
      <c r="BE167" s="1044" t="str">
        <f t="shared" si="196"/>
        <v/>
      </c>
      <c r="BF167" s="1044" t="str">
        <f t="shared" si="197"/>
        <v/>
      </c>
      <c r="BG167" s="1044" t="str">
        <f t="shared" si="198"/>
        <v/>
      </c>
      <c r="BH167" s="1044" t="str">
        <f t="shared" si="199"/>
        <v/>
      </c>
      <c r="BI167" s="1044" t="str">
        <f t="shared" si="200"/>
        <v/>
      </c>
      <c r="BJ167" s="1044" t="str">
        <f t="shared" si="201"/>
        <v/>
      </c>
      <c r="BK167" s="1044" t="str">
        <f t="shared" si="202"/>
        <v/>
      </c>
      <c r="BL167" s="1044" t="str">
        <f t="shared" si="203"/>
        <v/>
      </c>
      <c r="BM167" s="1044" t="str">
        <f t="shared" si="204"/>
        <v/>
      </c>
      <c r="BN167" s="1044" t="str">
        <f t="shared" si="205"/>
        <v/>
      </c>
      <c r="BO167" s="1044" t="str">
        <f t="shared" si="206"/>
        <v/>
      </c>
      <c r="BP167" s="1044" t="str">
        <f t="shared" si="207"/>
        <v/>
      </c>
      <c r="BQ167" s="1044" t="str">
        <f t="shared" si="208"/>
        <v/>
      </c>
      <c r="BR167" s="1044" t="str">
        <f t="shared" si="209"/>
        <v/>
      </c>
      <c r="BS167" s="1044" t="str">
        <f t="shared" si="210"/>
        <v/>
      </c>
      <c r="BT167" s="1044" t="str">
        <f t="shared" si="211"/>
        <v/>
      </c>
      <c r="BU167" s="1044" t="str">
        <f t="shared" si="212"/>
        <v/>
      </c>
    </row>
    <row r="168" spans="1:73" ht="30" customHeight="1">
      <c r="A168" s="1069" t="str">
        <f t="shared" si="142"/>
        <v/>
      </c>
      <c r="B168" s="1063"/>
      <c r="C168" s="1064" t="s">
        <v>254</v>
      </c>
      <c r="D168" s="1070" t="str">
        <f t="shared" si="143"/>
        <v/>
      </c>
      <c r="E168" s="1071" t="str">
        <f t="shared" si="144"/>
        <v/>
      </c>
      <c r="F168" s="1067" t="str">
        <f t="shared" si="145"/>
        <v/>
      </c>
      <c r="G168" s="1068" t="str">
        <f t="shared" si="146"/>
        <v/>
      </c>
      <c r="H168" s="1069" t="str">
        <f t="shared" si="147"/>
        <v/>
      </c>
      <c r="I168" s="1069" t="str">
        <f t="shared" si="148"/>
        <v/>
      </c>
      <c r="J168" s="1067" t="str">
        <f t="shared" si="149"/>
        <v/>
      </c>
      <c r="K168" s="1044" t="str">
        <f t="shared" si="150"/>
        <v/>
      </c>
      <c r="L168" s="1044" t="str">
        <f t="shared" si="151"/>
        <v/>
      </c>
      <c r="M168" s="1044" t="str">
        <f t="shared" si="152"/>
        <v/>
      </c>
      <c r="N168" s="1044" t="str">
        <f t="shared" si="153"/>
        <v/>
      </c>
      <c r="O168" s="1044" t="str">
        <f t="shared" si="154"/>
        <v/>
      </c>
      <c r="P168" s="1044" t="str">
        <f t="shared" si="155"/>
        <v/>
      </c>
      <c r="Q168" s="1044">
        <f t="shared" si="156"/>
        <v>0</v>
      </c>
      <c r="R168" s="1044">
        <f t="shared" si="157"/>
        <v>0</v>
      </c>
      <c r="S168" s="1044">
        <f t="shared" si="158"/>
        <v>0</v>
      </c>
      <c r="T168" s="1044">
        <f t="shared" si="159"/>
        <v>0</v>
      </c>
      <c r="U168" s="1044" t="str">
        <f t="shared" si="160"/>
        <v/>
      </c>
      <c r="V168" s="1044" t="str">
        <f t="shared" si="161"/>
        <v/>
      </c>
      <c r="W168" s="1044">
        <f t="shared" si="162"/>
        <v>0</v>
      </c>
      <c r="X168" s="1044" t="str">
        <f t="shared" si="163"/>
        <v/>
      </c>
      <c r="Y168" s="1044">
        <f t="shared" si="164"/>
        <v>0</v>
      </c>
      <c r="Z168" s="1044" t="str">
        <f t="shared" si="165"/>
        <v/>
      </c>
      <c r="AA168" s="1044">
        <f t="shared" si="166"/>
        <v>0</v>
      </c>
      <c r="AB168" s="1044">
        <f t="shared" si="167"/>
        <v>0</v>
      </c>
      <c r="AC168" s="1044">
        <f t="shared" si="168"/>
        <v>0</v>
      </c>
      <c r="AD168" s="1044" t="str">
        <f t="shared" si="169"/>
        <v/>
      </c>
      <c r="AE168" s="1044">
        <f t="shared" si="170"/>
        <v>0</v>
      </c>
      <c r="AF168" s="1044" t="str">
        <f t="shared" si="171"/>
        <v/>
      </c>
      <c r="AG168" s="1044">
        <f t="shared" si="172"/>
        <v>0</v>
      </c>
      <c r="AH168" s="1044">
        <f t="shared" si="173"/>
        <v>0</v>
      </c>
      <c r="AI168" s="1044" t="str">
        <f t="shared" si="174"/>
        <v/>
      </c>
      <c r="AJ168" s="1044">
        <f t="shared" si="175"/>
        <v>0</v>
      </c>
      <c r="AK168" s="1044">
        <f t="shared" si="176"/>
        <v>0</v>
      </c>
      <c r="AL168" s="1044">
        <f t="shared" si="177"/>
        <v>0</v>
      </c>
      <c r="AM168" s="1044">
        <f t="shared" si="178"/>
        <v>0</v>
      </c>
      <c r="AN168" s="1044" t="str">
        <f t="shared" si="179"/>
        <v/>
      </c>
      <c r="AO168" s="1044" t="str">
        <f t="shared" si="180"/>
        <v/>
      </c>
      <c r="AP168" s="1044">
        <f t="shared" si="181"/>
        <v>0</v>
      </c>
      <c r="AQ168" s="1044">
        <f t="shared" si="182"/>
        <v>0</v>
      </c>
      <c r="AR168" s="1044" t="str">
        <f t="shared" si="183"/>
        <v/>
      </c>
      <c r="AS168" s="1044">
        <f t="shared" si="184"/>
        <v>0</v>
      </c>
      <c r="AT168" s="1044" t="str">
        <f t="shared" si="185"/>
        <v/>
      </c>
      <c r="AU168" s="1044">
        <f t="shared" si="186"/>
        <v>0</v>
      </c>
      <c r="AV168" s="1044" t="str">
        <f t="shared" si="187"/>
        <v/>
      </c>
      <c r="AW168" s="1044">
        <f t="shared" si="188"/>
        <v>0</v>
      </c>
      <c r="AX168" s="1044" t="str">
        <f t="shared" si="189"/>
        <v/>
      </c>
      <c r="AY168" s="1044">
        <f t="shared" si="190"/>
        <v>0</v>
      </c>
      <c r="AZ168" s="1044" t="str">
        <f t="shared" si="191"/>
        <v/>
      </c>
      <c r="BA168" s="1044">
        <f t="shared" si="192"/>
        <v>0</v>
      </c>
      <c r="BB168" s="1044" t="str">
        <f t="shared" si="193"/>
        <v/>
      </c>
      <c r="BC168" s="1044">
        <f t="shared" si="194"/>
        <v>0</v>
      </c>
      <c r="BD168" s="1044">
        <f t="shared" si="195"/>
        <v>0</v>
      </c>
      <c r="BE168" s="1044" t="str">
        <f t="shared" si="196"/>
        <v/>
      </c>
      <c r="BF168" s="1044" t="str">
        <f t="shared" si="197"/>
        <v/>
      </c>
      <c r="BG168" s="1044" t="str">
        <f t="shared" si="198"/>
        <v/>
      </c>
      <c r="BH168" s="1044" t="str">
        <f t="shared" si="199"/>
        <v/>
      </c>
      <c r="BI168" s="1044" t="str">
        <f t="shared" si="200"/>
        <v/>
      </c>
      <c r="BJ168" s="1044" t="str">
        <f t="shared" si="201"/>
        <v/>
      </c>
      <c r="BK168" s="1044" t="str">
        <f t="shared" si="202"/>
        <v/>
      </c>
      <c r="BL168" s="1044" t="str">
        <f t="shared" si="203"/>
        <v/>
      </c>
      <c r="BM168" s="1044" t="str">
        <f t="shared" si="204"/>
        <v/>
      </c>
      <c r="BN168" s="1044" t="str">
        <f t="shared" si="205"/>
        <v/>
      </c>
      <c r="BO168" s="1044" t="str">
        <f t="shared" si="206"/>
        <v/>
      </c>
      <c r="BP168" s="1044" t="str">
        <f t="shared" si="207"/>
        <v/>
      </c>
      <c r="BQ168" s="1044" t="str">
        <f t="shared" si="208"/>
        <v/>
      </c>
      <c r="BR168" s="1044" t="str">
        <f t="shared" si="209"/>
        <v/>
      </c>
      <c r="BS168" s="1044" t="str">
        <f t="shared" si="210"/>
        <v/>
      </c>
      <c r="BT168" s="1044" t="str">
        <f t="shared" si="211"/>
        <v/>
      </c>
      <c r="BU168" s="1044" t="str">
        <f t="shared" si="212"/>
        <v/>
      </c>
    </row>
    <row r="169" spans="1:73" ht="30" customHeight="1">
      <c r="A169" s="1069" t="str">
        <f t="shared" si="142"/>
        <v/>
      </c>
      <c r="B169" s="1063"/>
      <c r="C169" s="1064" t="s">
        <v>254</v>
      </c>
      <c r="D169" s="1070" t="str">
        <f t="shared" si="143"/>
        <v/>
      </c>
      <c r="E169" s="1071" t="str">
        <f t="shared" si="144"/>
        <v/>
      </c>
      <c r="F169" s="1067" t="str">
        <f t="shared" si="145"/>
        <v/>
      </c>
      <c r="G169" s="1068" t="str">
        <f t="shared" si="146"/>
        <v/>
      </c>
      <c r="H169" s="1069" t="str">
        <f t="shared" si="147"/>
        <v/>
      </c>
      <c r="I169" s="1069" t="str">
        <f t="shared" si="148"/>
        <v/>
      </c>
      <c r="J169" s="1067" t="str">
        <f t="shared" si="149"/>
        <v/>
      </c>
      <c r="K169" s="1044" t="str">
        <f t="shared" si="150"/>
        <v/>
      </c>
      <c r="L169" s="1044" t="str">
        <f t="shared" si="151"/>
        <v/>
      </c>
      <c r="M169" s="1044" t="str">
        <f t="shared" si="152"/>
        <v/>
      </c>
      <c r="N169" s="1044" t="str">
        <f t="shared" si="153"/>
        <v/>
      </c>
      <c r="O169" s="1044" t="str">
        <f t="shared" si="154"/>
        <v/>
      </c>
      <c r="P169" s="1044" t="str">
        <f t="shared" si="155"/>
        <v/>
      </c>
      <c r="Q169" s="1044">
        <f t="shared" si="156"/>
        <v>0</v>
      </c>
      <c r="R169" s="1044">
        <f t="shared" si="157"/>
        <v>0</v>
      </c>
      <c r="S169" s="1044">
        <f t="shared" si="158"/>
        <v>0</v>
      </c>
      <c r="T169" s="1044">
        <f t="shared" si="159"/>
        <v>0</v>
      </c>
      <c r="U169" s="1044" t="str">
        <f t="shared" si="160"/>
        <v/>
      </c>
      <c r="V169" s="1044" t="str">
        <f t="shared" si="161"/>
        <v/>
      </c>
      <c r="W169" s="1044">
        <f t="shared" si="162"/>
        <v>0</v>
      </c>
      <c r="X169" s="1044" t="str">
        <f t="shared" si="163"/>
        <v/>
      </c>
      <c r="Y169" s="1044">
        <f t="shared" si="164"/>
        <v>0</v>
      </c>
      <c r="Z169" s="1044" t="str">
        <f t="shared" si="165"/>
        <v/>
      </c>
      <c r="AA169" s="1044">
        <f t="shared" si="166"/>
        <v>0</v>
      </c>
      <c r="AB169" s="1044">
        <f t="shared" si="167"/>
        <v>0</v>
      </c>
      <c r="AC169" s="1044">
        <f t="shared" si="168"/>
        <v>0</v>
      </c>
      <c r="AD169" s="1044" t="str">
        <f t="shared" si="169"/>
        <v/>
      </c>
      <c r="AE169" s="1044">
        <f t="shared" si="170"/>
        <v>0</v>
      </c>
      <c r="AF169" s="1044" t="str">
        <f t="shared" si="171"/>
        <v/>
      </c>
      <c r="AG169" s="1044">
        <f t="shared" si="172"/>
        <v>0</v>
      </c>
      <c r="AH169" s="1044">
        <f t="shared" si="173"/>
        <v>0</v>
      </c>
      <c r="AI169" s="1044" t="str">
        <f t="shared" si="174"/>
        <v/>
      </c>
      <c r="AJ169" s="1044">
        <f t="shared" si="175"/>
        <v>0</v>
      </c>
      <c r="AK169" s="1044">
        <f t="shared" si="176"/>
        <v>0</v>
      </c>
      <c r="AL169" s="1044">
        <f t="shared" si="177"/>
        <v>0</v>
      </c>
      <c r="AM169" s="1044">
        <f t="shared" si="178"/>
        <v>0</v>
      </c>
      <c r="AN169" s="1044" t="str">
        <f t="shared" si="179"/>
        <v/>
      </c>
      <c r="AO169" s="1044" t="str">
        <f t="shared" si="180"/>
        <v/>
      </c>
      <c r="AP169" s="1044">
        <f t="shared" si="181"/>
        <v>0</v>
      </c>
      <c r="AQ169" s="1044">
        <f t="shared" si="182"/>
        <v>0</v>
      </c>
      <c r="AR169" s="1044" t="str">
        <f t="shared" si="183"/>
        <v/>
      </c>
      <c r="AS169" s="1044">
        <f t="shared" si="184"/>
        <v>0</v>
      </c>
      <c r="AT169" s="1044" t="str">
        <f t="shared" si="185"/>
        <v/>
      </c>
      <c r="AU169" s="1044">
        <f t="shared" si="186"/>
        <v>0</v>
      </c>
      <c r="AV169" s="1044" t="str">
        <f t="shared" si="187"/>
        <v/>
      </c>
      <c r="AW169" s="1044">
        <f t="shared" si="188"/>
        <v>0</v>
      </c>
      <c r="AX169" s="1044" t="str">
        <f t="shared" si="189"/>
        <v/>
      </c>
      <c r="AY169" s="1044">
        <f t="shared" si="190"/>
        <v>0</v>
      </c>
      <c r="AZ169" s="1044" t="str">
        <f t="shared" si="191"/>
        <v/>
      </c>
      <c r="BA169" s="1044">
        <f t="shared" si="192"/>
        <v>0</v>
      </c>
      <c r="BB169" s="1044" t="str">
        <f t="shared" si="193"/>
        <v/>
      </c>
      <c r="BC169" s="1044">
        <f t="shared" si="194"/>
        <v>0</v>
      </c>
      <c r="BD169" s="1044">
        <f t="shared" si="195"/>
        <v>0</v>
      </c>
      <c r="BE169" s="1044" t="str">
        <f t="shared" si="196"/>
        <v/>
      </c>
      <c r="BF169" s="1044" t="str">
        <f t="shared" si="197"/>
        <v/>
      </c>
      <c r="BG169" s="1044" t="str">
        <f t="shared" si="198"/>
        <v/>
      </c>
      <c r="BH169" s="1044" t="str">
        <f t="shared" si="199"/>
        <v/>
      </c>
      <c r="BI169" s="1044" t="str">
        <f t="shared" si="200"/>
        <v/>
      </c>
      <c r="BJ169" s="1044" t="str">
        <f t="shared" si="201"/>
        <v/>
      </c>
      <c r="BK169" s="1044" t="str">
        <f t="shared" si="202"/>
        <v/>
      </c>
      <c r="BL169" s="1044" t="str">
        <f t="shared" si="203"/>
        <v/>
      </c>
      <c r="BM169" s="1044" t="str">
        <f t="shared" si="204"/>
        <v/>
      </c>
      <c r="BN169" s="1044" t="str">
        <f t="shared" si="205"/>
        <v/>
      </c>
      <c r="BO169" s="1044" t="str">
        <f t="shared" si="206"/>
        <v/>
      </c>
      <c r="BP169" s="1044" t="str">
        <f t="shared" si="207"/>
        <v/>
      </c>
      <c r="BQ169" s="1044" t="str">
        <f t="shared" si="208"/>
        <v/>
      </c>
      <c r="BR169" s="1044" t="str">
        <f t="shared" si="209"/>
        <v/>
      </c>
      <c r="BS169" s="1044" t="str">
        <f t="shared" si="210"/>
        <v/>
      </c>
      <c r="BT169" s="1044" t="str">
        <f t="shared" si="211"/>
        <v/>
      </c>
      <c r="BU169" s="1044" t="str">
        <f t="shared" si="212"/>
        <v/>
      </c>
    </row>
    <row r="170" spans="1:73" ht="30" customHeight="1">
      <c r="A170" s="1069" t="str">
        <f t="shared" si="142"/>
        <v/>
      </c>
      <c r="B170" s="1063"/>
      <c r="C170" s="1064" t="s">
        <v>254</v>
      </c>
      <c r="D170" s="1070" t="str">
        <f t="shared" si="143"/>
        <v/>
      </c>
      <c r="E170" s="1071" t="str">
        <f t="shared" si="144"/>
        <v/>
      </c>
      <c r="F170" s="1067" t="str">
        <f t="shared" si="145"/>
        <v/>
      </c>
      <c r="G170" s="1068" t="str">
        <f t="shared" si="146"/>
        <v/>
      </c>
      <c r="H170" s="1069" t="str">
        <f t="shared" si="147"/>
        <v/>
      </c>
      <c r="I170" s="1069" t="str">
        <f t="shared" si="148"/>
        <v/>
      </c>
      <c r="J170" s="1067" t="str">
        <f t="shared" si="149"/>
        <v/>
      </c>
      <c r="K170" s="1044" t="str">
        <f t="shared" si="150"/>
        <v/>
      </c>
      <c r="L170" s="1044" t="str">
        <f t="shared" si="151"/>
        <v/>
      </c>
      <c r="M170" s="1044" t="str">
        <f t="shared" si="152"/>
        <v/>
      </c>
      <c r="N170" s="1044" t="str">
        <f t="shared" si="153"/>
        <v/>
      </c>
      <c r="O170" s="1044" t="str">
        <f t="shared" si="154"/>
        <v/>
      </c>
      <c r="P170" s="1044" t="str">
        <f t="shared" si="155"/>
        <v/>
      </c>
      <c r="Q170" s="1044">
        <f t="shared" si="156"/>
        <v>0</v>
      </c>
      <c r="R170" s="1044">
        <f t="shared" si="157"/>
        <v>0</v>
      </c>
      <c r="S170" s="1044">
        <f t="shared" si="158"/>
        <v>0</v>
      </c>
      <c r="T170" s="1044">
        <f t="shared" si="159"/>
        <v>0</v>
      </c>
      <c r="U170" s="1044" t="str">
        <f t="shared" si="160"/>
        <v/>
      </c>
      <c r="V170" s="1044" t="str">
        <f t="shared" si="161"/>
        <v/>
      </c>
      <c r="W170" s="1044">
        <f t="shared" si="162"/>
        <v>0</v>
      </c>
      <c r="X170" s="1044" t="str">
        <f t="shared" si="163"/>
        <v/>
      </c>
      <c r="Y170" s="1044">
        <f t="shared" si="164"/>
        <v>0</v>
      </c>
      <c r="Z170" s="1044" t="str">
        <f t="shared" si="165"/>
        <v/>
      </c>
      <c r="AA170" s="1044">
        <f t="shared" si="166"/>
        <v>0</v>
      </c>
      <c r="AB170" s="1044">
        <f t="shared" si="167"/>
        <v>0</v>
      </c>
      <c r="AC170" s="1044">
        <f t="shared" si="168"/>
        <v>0</v>
      </c>
      <c r="AD170" s="1044" t="str">
        <f t="shared" si="169"/>
        <v/>
      </c>
      <c r="AE170" s="1044">
        <f t="shared" si="170"/>
        <v>0</v>
      </c>
      <c r="AF170" s="1044" t="str">
        <f t="shared" si="171"/>
        <v/>
      </c>
      <c r="AG170" s="1044">
        <f t="shared" si="172"/>
        <v>0</v>
      </c>
      <c r="AH170" s="1044">
        <f t="shared" si="173"/>
        <v>0</v>
      </c>
      <c r="AI170" s="1044" t="str">
        <f t="shared" si="174"/>
        <v/>
      </c>
      <c r="AJ170" s="1044">
        <f t="shared" si="175"/>
        <v>0</v>
      </c>
      <c r="AK170" s="1044">
        <f t="shared" si="176"/>
        <v>0</v>
      </c>
      <c r="AL170" s="1044">
        <f t="shared" si="177"/>
        <v>0</v>
      </c>
      <c r="AM170" s="1044">
        <f t="shared" si="178"/>
        <v>0</v>
      </c>
      <c r="AN170" s="1044" t="str">
        <f t="shared" si="179"/>
        <v/>
      </c>
      <c r="AO170" s="1044" t="str">
        <f t="shared" si="180"/>
        <v/>
      </c>
      <c r="AP170" s="1044">
        <f t="shared" si="181"/>
        <v>0</v>
      </c>
      <c r="AQ170" s="1044">
        <f t="shared" si="182"/>
        <v>0</v>
      </c>
      <c r="AR170" s="1044" t="str">
        <f t="shared" si="183"/>
        <v/>
      </c>
      <c r="AS170" s="1044">
        <f t="shared" si="184"/>
        <v>0</v>
      </c>
      <c r="AT170" s="1044" t="str">
        <f t="shared" si="185"/>
        <v/>
      </c>
      <c r="AU170" s="1044">
        <f t="shared" si="186"/>
        <v>0</v>
      </c>
      <c r="AV170" s="1044" t="str">
        <f t="shared" si="187"/>
        <v/>
      </c>
      <c r="AW170" s="1044">
        <f t="shared" si="188"/>
        <v>0</v>
      </c>
      <c r="AX170" s="1044" t="str">
        <f t="shared" si="189"/>
        <v/>
      </c>
      <c r="AY170" s="1044">
        <f t="shared" si="190"/>
        <v>0</v>
      </c>
      <c r="AZ170" s="1044" t="str">
        <f t="shared" si="191"/>
        <v/>
      </c>
      <c r="BA170" s="1044">
        <f t="shared" si="192"/>
        <v>0</v>
      </c>
      <c r="BB170" s="1044" t="str">
        <f t="shared" si="193"/>
        <v/>
      </c>
      <c r="BC170" s="1044">
        <f t="shared" si="194"/>
        <v>0</v>
      </c>
      <c r="BD170" s="1044">
        <f t="shared" si="195"/>
        <v>0</v>
      </c>
      <c r="BE170" s="1044" t="str">
        <f t="shared" si="196"/>
        <v/>
      </c>
      <c r="BF170" s="1044" t="str">
        <f t="shared" si="197"/>
        <v/>
      </c>
      <c r="BG170" s="1044" t="str">
        <f t="shared" si="198"/>
        <v/>
      </c>
      <c r="BH170" s="1044" t="str">
        <f t="shared" si="199"/>
        <v/>
      </c>
      <c r="BI170" s="1044" t="str">
        <f t="shared" si="200"/>
        <v/>
      </c>
      <c r="BJ170" s="1044" t="str">
        <f t="shared" si="201"/>
        <v/>
      </c>
      <c r="BK170" s="1044" t="str">
        <f t="shared" si="202"/>
        <v/>
      </c>
      <c r="BL170" s="1044" t="str">
        <f t="shared" si="203"/>
        <v/>
      </c>
      <c r="BM170" s="1044" t="str">
        <f t="shared" si="204"/>
        <v/>
      </c>
      <c r="BN170" s="1044" t="str">
        <f t="shared" si="205"/>
        <v/>
      </c>
      <c r="BO170" s="1044" t="str">
        <f t="shared" si="206"/>
        <v/>
      </c>
      <c r="BP170" s="1044" t="str">
        <f t="shared" si="207"/>
        <v/>
      </c>
      <c r="BQ170" s="1044" t="str">
        <f t="shared" si="208"/>
        <v/>
      </c>
      <c r="BR170" s="1044" t="str">
        <f t="shared" si="209"/>
        <v/>
      </c>
      <c r="BS170" s="1044" t="str">
        <f t="shared" si="210"/>
        <v/>
      </c>
      <c r="BT170" s="1044" t="str">
        <f t="shared" si="211"/>
        <v/>
      </c>
      <c r="BU170" s="1044" t="str">
        <f t="shared" si="212"/>
        <v/>
      </c>
    </row>
    <row r="171" spans="1:73" ht="30" customHeight="1">
      <c r="A171" s="1069" t="str">
        <f t="shared" si="142"/>
        <v/>
      </c>
      <c r="B171" s="1063"/>
      <c r="C171" s="1064" t="s">
        <v>254</v>
      </c>
      <c r="D171" s="1070" t="str">
        <f t="shared" si="143"/>
        <v/>
      </c>
      <c r="E171" s="1071" t="str">
        <f t="shared" si="144"/>
        <v/>
      </c>
      <c r="F171" s="1067" t="str">
        <f t="shared" si="145"/>
        <v/>
      </c>
      <c r="G171" s="1068" t="str">
        <f t="shared" si="146"/>
        <v/>
      </c>
      <c r="H171" s="1069" t="str">
        <f t="shared" si="147"/>
        <v/>
      </c>
      <c r="I171" s="1069" t="str">
        <f t="shared" si="148"/>
        <v/>
      </c>
      <c r="J171" s="1067" t="str">
        <f t="shared" si="149"/>
        <v/>
      </c>
      <c r="K171" s="1044" t="str">
        <f t="shared" si="150"/>
        <v/>
      </c>
      <c r="L171" s="1044" t="str">
        <f t="shared" si="151"/>
        <v/>
      </c>
      <c r="M171" s="1044" t="str">
        <f t="shared" si="152"/>
        <v/>
      </c>
      <c r="N171" s="1044" t="str">
        <f t="shared" si="153"/>
        <v/>
      </c>
      <c r="O171" s="1044" t="str">
        <f t="shared" si="154"/>
        <v/>
      </c>
      <c r="P171" s="1044" t="str">
        <f t="shared" si="155"/>
        <v/>
      </c>
      <c r="Q171" s="1044">
        <f t="shared" si="156"/>
        <v>0</v>
      </c>
      <c r="R171" s="1044">
        <f t="shared" si="157"/>
        <v>0</v>
      </c>
      <c r="S171" s="1044">
        <f t="shared" si="158"/>
        <v>0</v>
      </c>
      <c r="T171" s="1044">
        <f t="shared" si="159"/>
        <v>0</v>
      </c>
      <c r="U171" s="1044" t="str">
        <f t="shared" si="160"/>
        <v/>
      </c>
      <c r="V171" s="1044" t="str">
        <f t="shared" si="161"/>
        <v/>
      </c>
      <c r="W171" s="1044">
        <f t="shared" si="162"/>
        <v>0</v>
      </c>
      <c r="X171" s="1044" t="str">
        <f t="shared" si="163"/>
        <v/>
      </c>
      <c r="Y171" s="1044">
        <f t="shared" si="164"/>
        <v>0</v>
      </c>
      <c r="Z171" s="1044" t="str">
        <f t="shared" si="165"/>
        <v/>
      </c>
      <c r="AA171" s="1044">
        <f t="shared" si="166"/>
        <v>0</v>
      </c>
      <c r="AB171" s="1044">
        <f t="shared" si="167"/>
        <v>0</v>
      </c>
      <c r="AC171" s="1044">
        <f t="shared" si="168"/>
        <v>0</v>
      </c>
      <c r="AD171" s="1044" t="str">
        <f t="shared" si="169"/>
        <v/>
      </c>
      <c r="AE171" s="1044">
        <f t="shared" si="170"/>
        <v>0</v>
      </c>
      <c r="AF171" s="1044" t="str">
        <f t="shared" si="171"/>
        <v/>
      </c>
      <c r="AG171" s="1044">
        <f t="shared" si="172"/>
        <v>0</v>
      </c>
      <c r="AH171" s="1044">
        <f t="shared" si="173"/>
        <v>0</v>
      </c>
      <c r="AI171" s="1044" t="str">
        <f t="shared" si="174"/>
        <v/>
      </c>
      <c r="AJ171" s="1044">
        <f t="shared" si="175"/>
        <v>0</v>
      </c>
      <c r="AK171" s="1044">
        <f t="shared" si="176"/>
        <v>0</v>
      </c>
      <c r="AL171" s="1044">
        <f t="shared" si="177"/>
        <v>0</v>
      </c>
      <c r="AM171" s="1044">
        <f t="shared" si="178"/>
        <v>0</v>
      </c>
      <c r="AN171" s="1044" t="str">
        <f t="shared" si="179"/>
        <v/>
      </c>
      <c r="AO171" s="1044" t="str">
        <f t="shared" si="180"/>
        <v/>
      </c>
      <c r="AP171" s="1044">
        <f t="shared" si="181"/>
        <v>0</v>
      </c>
      <c r="AQ171" s="1044">
        <f t="shared" si="182"/>
        <v>0</v>
      </c>
      <c r="AR171" s="1044" t="str">
        <f t="shared" si="183"/>
        <v/>
      </c>
      <c r="AS171" s="1044">
        <f t="shared" si="184"/>
        <v>0</v>
      </c>
      <c r="AT171" s="1044" t="str">
        <f t="shared" si="185"/>
        <v/>
      </c>
      <c r="AU171" s="1044">
        <f t="shared" si="186"/>
        <v>0</v>
      </c>
      <c r="AV171" s="1044" t="str">
        <f t="shared" si="187"/>
        <v/>
      </c>
      <c r="AW171" s="1044">
        <f t="shared" si="188"/>
        <v>0</v>
      </c>
      <c r="AX171" s="1044" t="str">
        <f t="shared" si="189"/>
        <v/>
      </c>
      <c r="AY171" s="1044">
        <f t="shared" si="190"/>
        <v>0</v>
      </c>
      <c r="AZ171" s="1044" t="str">
        <f t="shared" si="191"/>
        <v/>
      </c>
      <c r="BA171" s="1044">
        <f t="shared" si="192"/>
        <v>0</v>
      </c>
      <c r="BB171" s="1044" t="str">
        <f t="shared" si="193"/>
        <v/>
      </c>
      <c r="BC171" s="1044">
        <f t="shared" si="194"/>
        <v>0</v>
      </c>
      <c r="BD171" s="1044">
        <f t="shared" si="195"/>
        <v>0</v>
      </c>
      <c r="BE171" s="1044" t="str">
        <f t="shared" si="196"/>
        <v/>
      </c>
      <c r="BF171" s="1044" t="str">
        <f t="shared" si="197"/>
        <v/>
      </c>
      <c r="BG171" s="1044" t="str">
        <f t="shared" si="198"/>
        <v/>
      </c>
      <c r="BH171" s="1044" t="str">
        <f t="shared" si="199"/>
        <v/>
      </c>
      <c r="BI171" s="1044" t="str">
        <f t="shared" si="200"/>
        <v/>
      </c>
      <c r="BJ171" s="1044" t="str">
        <f t="shared" si="201"/>
        <v/>
      </c>
      <c r="BK171" s="1044" t="str">
        <f t="shared" si="202"/>
        <v/>
      </c>
      <c r="BL171" s="1044" t="str">
        <f t="shared" si="203"/>
        <v/>
      </c>
      <c r="BM171" s="1044" t="str">
        <f t="shared" si="204"/>
        <v/>
      </c>
      <c r="BN171" s="1044" t="str">
        <f t="shared" si="205"/>
        <v/>
      </c>
      <c r="BO171" s="1044" t="str">
        <f t="shared" si="206"/>
        <v/>
      </c>
      <c r="BP171" s="1044" t="str">
        <f t="shared" si="207"/>
        <v/>
      </c>
      <c r="BQ171" s="1044" t="str">
        <f t="shared" si="208"/>
        <v/>
      </c>
      <c r="BR171" s="1044" t="str">
        <f t="shared" si="209"/>
        <v/>
      </c>
      <c r="BS171" s="1044" t="str">
        <f t="shared" si="210"/>
        <v/>
      </c>
      <c r="BT171" s="1044" t="str">
        <f t="shared" si="211"/>
        <v/>
      </c>
      <c r="BU171" s="1044" t="str">
        <f t="shared" si="212"/>
        <v/>
      </c>
    </row>
    <row r="172" spans="1:73" ht="30" customHeight="1">
      <c r="A172" s="1069" t="str">
        <f t="shared" si="142"/>
        <v/>
      </c>
      <c r="B172" s="1063"/>
      <c r="C172" s="1064" t="s">
        <v>254</v>
      </c>
      <c r="D172" s="1070" t="str">
        <f t="shared" si="143"/>
        <v/>
      </c>
      <c r="E172" s="1071" t="str">
        <f t="shared" si="144"/>
        <v/>
      </c>
      <c r="F172" s="1067" t="str">
        <f t="shared" si="145"/>
        <v/>
      </c>
      <c r="G172" s="1068" t="str">
        <f t="shared" si="146"/>
        <v/>
      </c>
      <c r="H172" s="1069" t="str">
        <f t="shared" si="147"/>
        <v/>
      </c>
      <c r="I172" s="1069" t="str">
        <f t="shared" si="148"/>
        <v/>
      </c>
      <c r="J172" s="1067" t="str">
        <f t="shared" si="149"/>
        <v/>
      </c>
      <c r="K172" s="1044" t="str">
        <f t="shared" si="150"/>
        <v/>
      </c>
      <c r="L172" s="1044" t="str">
        <f t="shared" si="151"/>
        <v/>
      </c>
      <c r="M172" s="1044" t="str">
        <f t="shared" si="152"/>
        <v/>
      </c>
      <c r="N172" s="1044" t="str">
        <f t="shared" si="153"/>
        <v/>
      </c>
      <c r="O172" s="1044" t="str">
        <f t="shared" si="154"/>
        <v/>
      </c>
      <c r="P172" s="1044" t="str">
        <f t="shared" si="155"/>
        <v/>
      </c>
      <c r="Q172" s="1044">
        <f t="shared" si="156"/>
        <v>0</v>
      </c>
      <c r="R172" s="1044">
        <f t="shared" si="157"/>
        <v>0</v>
      </c>
      <c r="S172" s="1044">
        <f t="shared" si="158"/>
        <v>0</v>
      </c>
      <c r="T172" s="1044">
        <f t="shared" si="159"/>
        <v>0</v>
      </c>
      <c r="U172" s="1044" t="str">
        <f t="shared" si="160"/>
        <v/>
      </c>
      <c r="V172" s="1044" t="str">
        <f t="shared" si="161"/>
        <v/>
      </c>
      <c r="W172" s="1044">
        <f t="shared" si="162"/>
        <v>0</v>
      </c>
      <c r="X172" s="1044" t="str">
        <f t="shared" si="163"/>
        <v/>
      </c>
      <c r="Y172" s="1044">
        <f t="shared" si="164"/>
        <v>0</v>
      </c>
      <c r="Z172" s="1044" t="str">
        <f t="shared" si="165"/>
        <v/>
      </c>
      <c r="AA172" s="1044">
        <f t="shared" si="166"/>
        <v>0</v>
      </c>
      <c r="AB172" s="1044">
        <f t="shared" si="167"/>
        <v>0</v>
      </c>
      <c r="AC172" s="1044">
        <f t="shared" si="168"/>
        <v>0</v>
      </c>
      <c r="AD172" s="1044" t="str">
        <f t="shared" si="169"/>
        <v/>
      </c>
      <c r="AE172" s="1044">
        <f t="shared" si="170"/>
        <v>0</v>
      </c>
      <c r="AF172" s="1044" t="str">
        <f t="shared" si="171"/>
        <v/>
      </c>
      <c r="AG172" s="1044">
        <f t="shared" si="172"/>
        <v>0</v>
      </c>
      <c r="AH172" s="1044">
        <f t="shared" si="173"/>
        <v>0</v>
      </c>
      <c r="AI172" s="1044" t="str">
        <f t="shared" si="174"/>
        <v/>
      </c>
      <c r="AJ172" s="1044">
        <f t="shared" si="175"/>
        <v>0</v>
      </c>
      <c r="AK172" s="1044">
        <f t="shared" si="176"/>
        <v>0</v>
      </c>
      <c r="AL172" s="1044">
        <f t="shared" si="177"/>
        <v>0</v>
      </c>
      <c r="AM172" s="1044">
        <f t="shared" si="178"/>
        <v>0</v>
      </c>
      <c r="AN172" s="1044" t="str">
        <f t="shared" si="179"/>
        <v/>
      </c>
      <c r="AO172" s="1044" t="str">
        <f t="shared" si="180"/>
        <v/>
      </c>
      <c r="AP172" s="1044">
        <f t="shared" si="181"/>
        <v>0</v>
      </c>
      <c r="AQ172" s="1044">
        <f t="shared" si="182"/>
        <v>0</v>
      </c>
      <c r="AR172" s="1044" t="str">
        <f t="shared" si="183"/>
        <v/>
      </c>
      <c r="AS172" s="1044">
        <f t="shared" si="184"/>
        <v>0</v>
      </c>
      <c r="AT172" s="1044" t="str">
        <f t="shared" si="185"/>
        <v/>
      </c>
      <c r="AU172" s="1044">
        <f t="shared" si="186"/>
        <v>0</v>
      </c>
      <c r="AV172" s="1044" t="str">
        <f t="shared" si="187"/>
        <v/>
      </c>
      <c r="AW172" s="1044">
        <f t="shared" si="188"/>
        <v>0</v>
      </c>
      <c r="AX172" s="1044" t="str">
        <f t="shared" si="189"/>
        <v/>
      </c>
      <c r="AY172" s="1044">
        <f t="shared" si="190"/>
        <v>0</v>
      </c>
      <c r="AZ172" s="1044" t="str">
        <f t="shared" si="191"/>
        <v/>
      </c>
      <c r="BA172" s="1044">
        <f t="shared" si="192"/>
        <v>0</v>
      </c>
      <c r="BB172" s="1044" t="str">
        <f t="shared" si="193"/>
        <v/>
      </c>
      <c r="BC172" s="1044">
        <f t="shared" si="194"/>
        <v>0</v>
      </c>
      <c r="BD172" s="1044">
        <f t="shared" si="195"/>
        <v>0</v>
      </c>
      <c r="BE172" s="1044" t="str">
        <f t="shared" si="196"/>
        <v/>
      </c>
      <c r="BF172" s="1044" t="str">
        <f t="shared" si="197"/>
        <v/>
      </c>
      <c r="BG172" s="1044" t="str">
        <f t="shared" si="198"/>
        <v/>
      </c>
      <c r="BH172" s="1044" t="str">
        <f t="shared" si="199"/>
        <v/>
      </c>
      <c r="BI172" s="1044" t="str">
        <f t="shared" si="200"/>
        <v/>
      </c>
      <c r="BJ172" s="1044" t="str">
        <f t="shared" si="201"/>
        <v/>
      </c>
      <c r="BK172" s="1044" t="str">
        <f t="shared" si="202"/>
        <v/>
      </c>
      <c r="BL172" s="1044" t="str">
        <f t="shared" si="203"/>
        <v/>
      </c>
      <c r="BM172" s="1044" t="str">
        <f t="shared" si="204"/>
        <v/>
      </c>
      <c r="BN172" s="1044" t="str">
        <f t="shared" si="205"/>
        <v/>
      </c>
      <c r="BO172" s="1044" t="str">
        <f t="shared" si="206"/>
        <v/>
      </c>
      <c r="BP172" s="1044" t="str">
        <f t="shared" si="207"/>
        <v/>
      </c>
      <c r="BQ172" s="1044" t="str">
        <f t="shared" si="208"/>
        <v/>
      </c>
      <c r="BR172" s="1044" t="str">
        <f t="shared" si="209"/>
        <v/>
      </c>
      <c r="BS172" s="1044" t="str">
        <f t="shared" si="210"/>
        <v/>
      </c>
      <c r="BT172" s="1044" t="str">
        <f t="shared" si="211"/>
        <v/>
      </c>
      <c r="BU172" s="1044" t="str">
        <f t="shared" si="212"/>
        <v/>
      </c>
    </row>
    <row r="173" spans="1:73" ht="30" customHeight="1">
      <c r="A173" s="1069" t="str">
        <f t="shared" si="142"/>
        <v/>
      </c>
      <c r="B173" s="1063"/>
      <c r="C173" s="1064" t="s">
        <v>254</v>
      </c>
      <c r="D173" s="1070" t="str">
        <f t="shared" si="143"/>
        <v/>
      </c>
      <c r="E173" s="1071" t="str">
        <f t="shared" si="144"/>
        <v/>
      </c>
      <c r="F173" s="1067" t="str">
        <f t="shared" si="145"/>
        <v/>
      </c>
      <c r="G173" s="1068" t="str">
        <f t="shared" si="146"/>
        <v/>
      </c>
      <c r="H173" s="1069" t="str">
        <f t="shared" si="147"/>
        <v/>
      </c>
      <c r="I173" s="1069" t="str">
        <f t="shared" si="148"/>
        <v/>
      </c>
      <c r="J173" s="1067" t="str">
        <f t="shared" si="149"/>
        <v/>
      </c>
      <c r="K173" s="1044" t="str">
        <f t="shared" si="150"/>
        <v/>
      </c>
      <c r="L173" s="1044" t="str">
        <f t="shared" si="151"/>
        <v/>
      </c>
      <c r="M173" s="1044" t="str">
        <f t="shared" si="152"/>
        <v/>
      </c>
      <c r="N173" s="1044" t="str">
        <f t="shared" si="153"/>
        <v/>
      </c>
      <c r="O173" s="1044" t="str">
        <f t="shared" si="154"/>
        <v/>
      </c>
      <c r="P173" s="1044" t="str">
        <f t="shared" si="155"/>
        <v/>
      </c>
      <c r="Q173" s="1044">
        <f t="shared" si="156"/>
        <v>0</v>
      </c>
      <c r="R173" s="1044">
        <f t="shared" si="157"/>
        <v>0</v>
      </c>
      <c r="S173" s="1044">
        <f t="shared" si="158"/>
        <v>0</v>
      </c>
      <c r="T173" s="1044">
        <f t="shared" si="159"/>
        <v>0</v>
      </c>
      <c r="U173" s="1044" t="str">
        <f t="shared" si="160"/>
        <v/>
      </c>
      <c r="V173" s="1044" t="str">
        <f t="shared" si="161"/>
        <v/>
      </c>
      <c r="W173" s="1044">
        <f t="shared" si="162"/>
        <v>0</v>
      </c>
      <c r="X173" s="1044" t="str">
        <f t="shared" si="163"/>
        <v/>
      </c>
      <c r="Y173" s="1044">
        <f t="shared" si="164"/>
        <v>0</v>
      </c>
      <c r="Z173" s="1044" t="str">
        <f t="shared" si="165"/>
        <v/>
      </c>
      <c r="AA173" s="1044">
        <f t="shared" si="166"/>
        <v>0</v>
      </c>
      <c r="AB173" s="1044">
        <f t="shared" si="167"/>
        <v>0</v>
      </c>
      <c r="AC173" s="1044">
        <f t="shared" si="168"/>
        <v>0</v>
      </c>
      <c r="AD173" s="1044" t="str">
        <f t="shared" si="169"/>
        <v/>
      </c>
      <c r="AE173" s="1044">
        <f t="shared" si="170"/>
        <v>0</v>
      </c>
      <c r="AF173" s="1044" t="str">
        <f t="shared" si="171"/>
        <v/>
      </c>
      <c r="AG173" s="1044">
        <f t="shared" si="172"/>
        <v>0</v>
      </c>
      <c r="AH173" s="1044">
        <f t="shared" si="173"/>
        <v>0</v>
      </c>
      <c r="AI173" s="1044" t="str">
        <f t="shared" si="174"/>
        <v/>
      </c>
      <c r="AJ173" s="1044">
        <f t="shared" si="175"/>
        <v>0</v>
      </c>
      <c r="AK173" s="1044">
        <f t="shared" si="176"/>
        <v>0</v>
      </c>
      <c r="AL173" s="1044">
        <f t="shared" si="177"/>
        <v>0</v>
      </c>
      <c r="AM173" s="1044">
        <f t="shared" si="178"/>
        <v>0</v>
      </c>
      <c r="AN173" s="1044" t="str">
        <f t="shared" si="179"/>
        <v/>
      </c>
      <c r="AO173" s="1044" t="str">
        <f t="shared" si="180"/>
        <v/>
      </c>
      <c r="AP173" s="1044">
        <f t="shared" si="181"/>
        <v>0</v>
      </c>
      <c r="AQ173" s="1044">
        <f t="shared" si="182"/>
        <v>0</v>
      </c>
      <c r="AR173" s="1044" t="str">
        <f t="shared" si="183"/>
        <v/>
      </c>
      <c r="AS173" s="1044">
        <f t="shared" si="184"/>
        <v>0</v>
      </c>
      <c r="AT173" s="1044" t="str">
        <f t="shared" si="185"/>
        <v/>
      </c>
      <c r="AU173" s="1044">
        <f t="shared" si="186"/>
        <v>0</v>
      </c>
      <c r="AV173" s="1044" t="str">
        <f t="shared" si="187"/>
        <v/>
      </c>
      <c r="AW173" s="1044">
        <f t="shared" si="188"/>
        <v>0</v>
      </c>
      <c r="AX173" s="1044" t="str">
        <f t="shared" si="189"/>
        <v/>
      </c>
      <c r="AY173" s="1044">
        <f t="shared" si="190"/>
        <v>0</v>
      </c>
      <c r="AZ173" s="1044" t="str">
        <f t="shared" si="191"/>
        <v/>
      </c>
      <c r="BA173" s="1044">
        <f t="shared" si="192"/>
        <v>0</v>
      </c>
      <c r="BB173" s="1044" t="str">
        <f t="shared" si="193"/>
        <v/>
      </c>
      <c r="BC173" s="1044">
        <f t="shared" si="194"/>
        <v>0</v>
      </c>
      <c r="BD173" s="1044">
        <f t="shared" si="195"/>
        <v>0</v>
      </c>
      <c r="BE173" s="1044" t="str">
        <f t="shared" si="196"/>
        <v/>
      </c>
      <c r="BF173" s="1044" t="str">
        <f t="shared" si="197"/>
        <v/>
      </c>
      <c r="BG173" s="1044" t="str">
        <f t="shared" si="198"/>
        <v/>
      </c>
      <c r="BH173" s="1044" t="str">
        <f t="shared" si="199"/>
        <v/>
      </c>
      <c r="BI173" s="1044" t="str">
        <f t="shared" si="200"/>
        <v/>
      </c>
      <c r="BJ173" s="1044" t="str">
        <f t="shared" si="201"/>
        <v/>
      </c>
      <c r="BK173" s="1044" t="str">
        <f t="shared" si="202"/>
        <v/>
      </c>
      <c r="BL173" s="1044" t="str">
        <f t="shared" si="203"/>
        <v/>
      </c>
      <c r="BM173" s="1044" t="str">
        <f t="shared" si="204"/>
        <v/>
      </c>
      <c r="BN173" s="1044" t="str">
        <f t="shared" si="205"/>
        <v/>
      </c>
      <c r="BO173" s="1044" t="str">
        <f t="shared" si="206"/>
        <v/>
      </c>
      <c r="BP173" s="1044" t="str">
        <f t="shared" si="207"/>
        <v/>
      </c>
      <c r="BQ173" s="1044" t="str">
        <f t="shared" si="208"/>
        <v/>
      </c>
      <c r="BR173" s="1044" t="str">
        <f t="shared" si="209"/>
        <v/>
      </c>
      <c r="BS173" s="1044" t="str">
        <f t="shared" si="210"/>
        <v/>
      </c>
      <c r="BT173" s="1044" t="str">
        <f t="shared" si="211"/>
        <v/>
      </c>
      <c r="BU173" s="1044" t="str">
        <f t="shared" si="212"/>
        <v/>
      </c>
    </row>
    <row r="174" spans="1:73" ht="30" customHeight="1">
      <c r="A174" s="1069" t="str">
        <f t="shared" si="142"/>
        <v/>
      </c>
      <c r="B174" s="1063"/>
      <c r="C174" s="1064" t="s">
        <v>254</v>
      </c>
      <c r="D174" s="1070" t="str">
        <f t="shared" si="143"/>
        <v/>
      </c>
      <c r="E174" s="1071" t="str">
        <f t="shared" si="144"/>
        <v/>
      </c>
      <c r="F174" s="1067" t="str">
        <f t="shared" si="145"/>
        <v/>
      </c>
      <c r="G174" s="1068" t="str">
        <f t="shared" si="146"/>
        <v/>
      </c>
      <c r="H174" s="1069" t="str">
        <f t="shared" si="147"/>
        <v/>
      </c>
      <c r="I174" s="1069" t="str">
        <f t="shared" si="148"/>
        <v/>
      </c>
      <c r="J174" s="1067" t="str">
        <f t="shared" si="149"/>
        <v/>
      </c>
      <c r="K174" s="1044" t="str">
        <f t="shared" si="150"/>
        <v/>
      </c>
      <c r="L174" s="1044" t="str">
        <f t="shared" si="151"/>
        <v/>
      </c>
      <c r="M174" s="1044" t="str">
        <f t="shared" si="152"/>
        <v/>
      </c>
      <c r="N174" s="1044" t="str">
        <f t="shared" si="153"/>
        <v/>
      </c>
      <c r="O174" s="1044" t="str">
        <f t="shared" si="154"/>
        <v/>
      </c>
      <c r="P174" s="1044" t="str">
        <f t="shared" si="155"/>
        <v/>
      </c>
      <c r="Q174" s="1044">
        <f t="shared" si="156"/>
        <v>0</v>
      </c>
      <c r="R174" s="1044">
        <f t="shared" si="157"/>
        <v>0</v>
      </c>
      <c r="S174" s="1044">
        <f t="shared" si="158"/>
        <v>0</v>
      </c>
      <c r="T174" s="1044">
        <f t="shared" si="159"/>
        <v>0</v>
      </c>
      <c r="U174" s="1044" t="str">
        <f t="shared" si="160"/>
        <v/>
      </c>
      <c r="V174" s="1044" t="str">
        <f t="shared" si="161"/>
        <v/>
      </c>
      <c r="W174" s="1044">
        <f t="shared" si="162"/>
        <v>0</v>
      </c>
      <c r="X174" s="1044" t="str">
        <f t="shared" si="163"/>
        <v/>
      </c>
      <c r="Y174" s="1044">
        <f t="shared" si="164"/>
        <v>0</v>
      </c>
      <c r="Z174" s="1044" t="str">
        <f t="shared" si="165"/>
        <v/>
      </c>
      <c r="AA174" s="1044">
        <f t="shared" si="166"/>
        <v>0</v>
      </c>
      <c r="AB174" s="1044">
        <f t="shared" si="167"/>
        <v>0</v>
      </c>
      <c r="AC174" s="1044">
        <f t="shared" si="168"/>
        <v>0</v>
      </c>
      <c r="AD174" s="1044" t="str">
        <f t="shared" si="169"/>
        <v/>
      </c>
      <c r="AE174" s="1044">
        <f t="shared" si="170"/>
        <v>0</v>
      </c>
      <c r="AF174" s="1044" t="str">
        <f t="shared" si="171"/>
        <v/>
      </c>
      <c r="AG174" s="1044">
        <f t="shared" si="172"/>
        <v>0</v>
      </c>
      <c r="AH174" s="1044">
        <f t="shared" si="173"/>
        <v>0</v>
      </c>
      <c r="AI174" s="1044" t="str">
        <f t="shared" si="174"/>
        <v/>
      </c>
      <c r="AJ174" s="1044">
        <f t="shared" si="175"/>
        <v>0</v>
      </c>
      <c r="AK174" s="1044">
        <f t="shared" si="176"/>
        <v>0</v>
      </c>
      <c r="AL174" s="1044">
        <f t="shared" si="177"/>
        <v>0</v>
      </c>
      <c r="AM174" s="1044">
        <f t="shared" si="178"/>
        <v>0</v>
      </c>
      <c r="AN174" s="1044" t="str">
        <f t="shared" si="179"/>
        <v/>
      </c>
      <c r="AO174" s="1044" t="str">
        <f t="shared" si="180"/>
        <v/>
      </c>
      <c r="AP174" s="1044">
        <f t="shared" si="181"/>
        <v>0</v>
      </c>
      <c r="AQ174" s="1044">
        <f t="shared" si="182"/>
        <v>0</v>
      </c>
      <c r="AR174" s="1044" t="str">
        <f t="shared" si="183"/>
        <v/>
      </c>
      <c r="AS174" s="1044">
        <f t="shared" si="184"/>
        <v>0</v>
      </c>
      <c r="AT174" s="1044" t="str">
        <f t="shared" si="185"/>
        <v/>
      </c>
      <c r="AU174" s="1044">
        <f t="shared" si="186"/>
        <v>0</v>
      </c>
      <c r="AV174" s="1044" t="str">
        <f t="shared" si="187"/>
        <v/>
      </c>
      <c r="AW174" s="1044">
        <f t="shared" si="188"/>
        <v>0</v>
      </c>
      <c r="AX174" s="1044" t="str">
        <f t="shared" si="189"/>
        <v/>
      </c>
      <c r="AY174" s="1044">
        <f t="shared" si="190"/>
        <v>0</v>
      </c>
      <c r="AZ174" s="1044" t="str">
        <f t="shared" si="191"/>
        <v/>
      </c>
      <c r="BA174" s="1044">
        <f t="shared" si="192"/>
        <v>0</v>
      </c>
      <c r="BB174" s="1044" t="str">
        <f t="shared" si="193"/>
        <v/>
      </c>
      <c r="BC174" s="1044">
        <f t="shared" si="194"/>
        <v>0</v>
      </c>
      <c r="BD174" s="1044">
        <f t="shared" si="195"/>
        <v>0</v>
      </c>
      <c r="BE174" s="1044" t="str">
        <f t="shared" si="196"/>
        <v/>
      </c>
      <c r="BF174" s="1044" t="str">
        <f t="shared" si="197"/>
        <v/>
      </c>
      <c r="BG174" s="1044" t="str">
        <f t="shared" si="198"/>
        <v/>
      </c>
      <c r="BH174" s="1044" t="str">
        <f t="shared" si="199"/>
        <v/>
      </c>
      <c r="BI174" s="1044" t="str">
        <f t="shared" si="200"/>
        <v/>
      </c>
      <c r="BJ174" s="1044" t="str">
        <f t="shared" si="201"/>
        <v/>
      </c>
      <c r="BK174" s="1044" t="str">
        <f t="shared" si="202"/>
        <v/>
      </c>
      <c r="BL174" s="1044" t="str">
        <f t="shared" si="203"/>
        <v/>
      </c>
      <c r="BM174" s="1044" t="str">
        <f t="shared" si="204"/>
        <v/>
      </c>
      <c r="BN174" s="1044" t="str">
        <f t="shared" si="205"/>
        <v/>
      </c>
      <c r="BO174" s="1044" t="str">
        <f t="shared" si="206"/>
        <v/>
      </c>
      <c r="BP174" s="1044" t="str">
        <f t="shared" si="207"/>
        <v/>
      </c>
      <c r="BQ174" s="1044" t="str">
        <f t="shared" si="208"/>
        <v/>
      </c>
      <c r="BR174" s="1044" t="str">
        <f t="shared" si="209"/>
        <v/>
      </c>
      <c r="BS174" s="1044" t="str">
        <f t="shared" si="210"/>
        <v/>
      </c>
      <c r="BT174" s="1044" t="str">
        <f t="shared" si="211"/>
        <v/>
      </c>
      <c r="BU174" s="1044" t="str">
        <f t="shared" si="212"/>
        <v/>
      </c>
    </row>
    <row r="175" spans="1:73" ht="30" customHeight="1">
      <c r="A175" s="1069" t="str">
        <f t="shared" si="142"/>
        <v/>
      </c>
      <c r="B175" s="1063"/>
      <c r="C175" s="1064" t="s">
        <v>254</v>
      </c>
      <c r="D175" s="1070" t="str">
        <f t="shared" si="143"/>
        <v/>
      </c>
      <c r="E175" s="1071" t="str">
        <f t="shared" si="144"/>
        <v/>
      </c>
      <c r="F175" s="1067" t="str">
        <f t="shared" si="145"/>
        <v/>
      </c>
      <c r="G175" s="1068" t="str">
        <f t="shared" si="146"/>
        <v/>
      </c>
      <c r="H175" s="1069" t="str">
        <f t="shared" si="147"/>
        <v/>
      </c>
      <c r="I175" s="1069" t="str">
        <f t="shared" si="148"/>
        <v/>
      </c>
      <c r="J175" s="1067" t="str">
        <f t="shared" si="149"/>
        <v/>
      </c>
      <c r="K175" s="1044" t="str">
        <f t="shared" si="150"/>
        <v/>
      </c>
      <c r="L175" s="1044" t="str">
        <f t="shared" si="151"/>
        <v/>
      </c>
      <c r="M175" s="1044" t="str">
        <f t="shared" si="152"/>
        <v/>
      </c>
      <c r="N175" s="1044" t="str">
        <f t="shared" si="153"/>
        <v/>
      </c>
      <c r="O175" s="1044" t="str">
        <f t="shared" si="154"/>
        <v/>
      </c>
      <c r="P175" s="1044" t="str">
        <f t="shared" si="155"/>
        <v/>
      </c>
      <c r="Q175" s="1044">
        <f t="shared" si="156"/>
        <v>0</v>
      </c>
      <c r="R175" s="1044">
        <f t="shared" si="157"/>
        <v>0</v>
      </c>
      <c r="S175" s="1044">
        <f t="shared" si="158"/>
        <v>0</v>
      </c>
      <c r="T175" s="1044">
        <f t="shared" si="159"/>
        <v>0</v>
      </c>
      <c r="U175" s="1044" t="str">
        <f t="shared" si="160"/>
        <v/>
      </c>
      <c r="V175" s="1044" t="str">
        <f t="shared" si="161"/>
        <v/>
      </c>
      <c r="W175" s="1044">
        <f t="shared" si="162"/>
        <v>0</v>
      </c>
      <c r="X175" s="1044" t="str">
        <f t="shared" si="163"/>
        <v/>
      </c>
      <c r="Y175" s="1044">
        <f t="shared" si="164"/>
        <v>0</v>
      </c>
      <c r="Z175" s="1044" t="str">
        <f t="shared" si="165"/>
        <v/>
      </c>
      <c r="AA175" s="1044">
        <f t="shared" si="166"/>
        <v>0</v>
      </c>
      <c r="AB175" s="1044">
        <f t="shared" si="167"/>
        <v>0</v>
      </c>
      <c r="AC175" s="1044">
        <f t="shared" si="168"/>
        <v>0</v>
      </c>
      <c r="AD175" s="1044" t="str">
        <f t="shared" si="169"/>
        <v/>
      </c>
      <c r="AE175" s="1044">
        <f t="shared" si="170"/>
        <v>0</v>
      </c>
      <c r="AF175" s="1044" t="str">
        <f t="shared" si="171"/>
        <v/>
      </c>
      <c r="AG175" s="1044">
        <f t="shared" si="172"/>
        <v>0</v>
      </c>
      <c r="AH175" s="1044">
        <f t="shared" si="173"/>
        <v>0</v>
      </c>
      <c r="AI175" s="1044" t="str">
        <f t="shared" si="174"/>
        <v/>
      </c>
      <c r="AJ175" s="1044">
        <f t="shared" si="175"/>
        <v>0</v>
      </c>
      <c r="AK175" s="1044">
        <f t="shared" si="176"/>
        <v>0</v>
      </c>
      <c r="AL175" s="1044">
        <f t="shared" si="177"/>
        <v>0</v>
      </c>
      <c r="AM175" s="1044">
        <f t="shared" si="178"/>
        <v>0</v>
      </c>
      <c r="AN175" s="1044" t="str">
        <f t="shared" si="179"/>
        <v/>
      </c>
      <c r="AO175" s="1044" t="str">
        <f t="shared" si="180"/>
        <v/>
      </c>
      <c r="AP175" s="1044">
        <f t="shared" si="181"/>
        <v>0</v>
      </c>
      <c r="AQ175" s="1044">
        <f t="shared" si="182"/>
        <v>0</v>
      </c>
      <c r="AR175" s="1044" t="str">
        <f t="shared" si="183"/>
        <v/>
      </c>
      <c r="AS175" s="1044">
        <f t="shared" si="184"/>
        <v>0</v>
      </c>
      <c r="AT175" s="1044" t="str">
        <f t="shared" si="185"/>
        <v/>
      </c>
      <c r="AU175" s="1044">
        <f t="shared" si="186"/>
        <v>0</v>
      </c>
      <c r="AV175" s="1044" t="str">
        <f t="shared" si="187"/>
        <v/>
      </c>
      <c r="AW175" s="1044">
        <f t="shared" si="188"/>
        <v>0</v>
      </c>
      <c r="AX175" s="1044" t="str">
        <f t="shared" si="189"/>
        <v/>
      </c>
      <c r="AY175" s="1044">
        <f t="shared" si="190"/>
        <v>0</v>
      </c>
      <c r="AZ175" s="1044" t="str">
        <f t="shared" si="191"/>
        <v/>
      </c>
      <c r="BA175" s="1044">
        <f t="shared" si="192"/>
        <v>0</v>
      </c>
      <c r="BB175" s="1044" t="str">
        <f t="shared" si="193"/>
        <v/>
      </c>
      <c r="BC175" s="1044">
        <f t="shared" si="194"/>
        <v>0</v>
      </c>
      <c r="BD175" s="1044">
        <f t="shared" si="195"/>
        <v>0</v>
      </c>
      <c r="BE175" s="1044" t="str">
        <f t="shared" si="196"/>
        <v/>
      </c>
      <c r="BF175" s="1044" t="str">
        <f t="shared" si="197"/>
        <v/>
      </c>
      <c r="BG175" s="1044" t="str">
        <f t="shared" si="198"/>
        <v/>
      </c>
      <c r="BH175" s="1044" t="str">
        <f t="shared" si="199"/>
        <v/>
      </c>
      <c r="BI175" s="1044" t="str">
        <f t="shared" si="200"/>
        <v/>
      </c>
      <c r="BJ175" s="1044" t="str">
        <f t="shared" si="201"/>
        <v/>
      </c>
      <c r="BK175" s="1044" t="str">
        <f t="shared" si="202"/>
        <v/>
      </c>
      <c r="BL175" s="1044" t="str">
        <f t="shared" si="203"/>
        <v/>
      </c>
      <c r="BM175" s="1044" t="str">
        <f t="shared" si="204"/>
        <v/>
      </c>
      <c r="BN175" s="1044" t="str">
        <f t="shared" si="205"/>
        <v/>
      </c>
      <c r="BO175" s="1044" t="str">
        <f t="shared" si="206"/>
        <v/>
      </c>
      <c r="BP175" s="1044" t="str">
        <f t="shared" si="207"/>
        <v/>
      </c>
      <c r="BQ175" s="1044" t="str">
        <f t="shared" si="208"/>
        <v/>
      </c>
      <c r="BR175" s="1044" t="str">
        <f t="shared" si="209"/>
        <v/>
      </c>
      <c r="BS175" s="1044" t="str">
        <f t="shared" si="210"/>
        <v/>
      </c>
      <c r="BT175" s="1044" t="str">
        <f t="shared" si="211"/>
        <v/>
      </c>
      <c r="BU175" s="1044" t="str">
        <f t="shared" si="212"/>
        <v/>
      </c>
    </row>
    <row r="176" spans="1:73" ht="30" customHeight="1">
      <c r="A176" s="1069" t="str">
        <f t="shared" si="142"/>
        <v/>
      </c>
      <c r="B176" s="1063"/>
      <c r="C176" s="1064" t="s">
        <v>254</v>
      </c>
      <c r="D176" s="1070" t="str">
        <f t="shared" si="143"/>
        <v/>
      </c>
      <c r="E176" s="1071" t="str">
        <f t="shared" si="144"/>
        <v/>
      </c>
      <c r="F176" s="1067" t="str">
        <f t="shared" si="145"/>
        <v/>
      </c>
      <c r="G176" s="1068" t="str">
        <f t="shared" si="146"/>
        <v/>
      </c>
      <c r="H176" s="1069" t="str">
        <f t="shared" si="147"/>
        <v/>
      </c>
      <c r="I176" s="1069" t="str">
        <f t="shared" si="148"/>
        <v/>
      </c>
      <c r="J176" s="1067" t="str">
        <f t="shared" si="149"/>
        <v/>
      </c>
      <c r="K176" s="1044" t="str">
        <f t="shared" si="150"/>
        <v/>
      </c>
      <c r="L176" s="1044" t="str">
        <f t="shared" si="151"/>
        <v/>
      </c>
      <c r="M176" s="1044" t="str">
        <f t="shared" si="152"/>
        <v/>
      </c>
      <c r="N176" s="1044" t="str">
        <f t="shared" si="153"/>
        <v/>
      </c>
      <c r="O176" s="1044" t="str">
        <f t="shared" si="154"/>
        <v/>
      </c>
      <c r="P176" s="1044" t="str">
        <f t="shared" si="155"/>
        <v/>
      </c>
      <c r="Q176" s="1044">
        <f t="shared" si="156"/>
        <v>0</v>
      </c>
      <c r="R176" s="1044">
        <f t="shared" si="157"/>
        <v>0</v>
      </c>
      <c r="S176" s="1044">
        <f t="shared" si="158"/>
        <v>0</v>
      </c>
      <c r="T176" s="1044">
        <f t="shared" si="159"/>
        <v>0</v>
      </c>
      <c r="U176" s="1044" t="str">
        <f t="shared" si="160"/>
        <v/>
      </c>
      <c r="V176" s="1044" t="str">
        <f t="shared" si="161"/>
        <v/>
      </c>
      <c r="W176" s="1044">
        <f t="shared" si="162"/>
        <v>0</v>
      </c>
      <c r="X176" s="1044" t="str">
        <f t="shared" si="163"/>
        <v/>
      </c>
      <c r="Y176" s="1044">
        <f t="shared" si="164"/>
        <v>0</v>
      </c>
      <c r="Z176" s="1044" t="str">
        <f t="shared" si="165"/>
        <v/>
      </c>
      <c r="AA176" s="1044">
        <f t="shared" si="166"/>
        <v>0</v>
      </c>
      <c r="AB176" s="1044">
        <f t="shared" si="167"/>
        <v>0</v>
      </c>
      <c r="AC176" s="1044">
        <f t="shared" si="168"/>
        <v>0</v>
      </c>
      <c r="AD176" s="1044" t="str">
        <f t="shared" si="169"/>
        <v/>
      </c>
      <c r="AE176" s="1044">
        <f t="shared" si="170"/>
        <v>0</v>
      </c>
      <c r="AF176" s="1044" t="str">
        <f t="shared" si="171"/>
        <v/>
      </c>
      <c r="AG176" s="1044">
        <f t="shared" si="172"/>
        <v>0</v>
      </c>
      <c r="AH176" s="1044">
        <f t="shared" si="173"/>
        <v>0</v>
      </c>
      <c r="AI176" s="1044" t="str">
        <f t="shared" si="174"/>
        <v/>
      </c>
      <c r="AJ176" s="1044">
        <f t="shared" si="175"/>
        <v>0</v>
      </c>
      <c r="AK176" s="1044">
        <f t="shared" si="176"/>
        <v>0</v>
      </c>
      <c r="AL176" s="1044">
        <f t="shared" si="177"/>
        <v>0</v>
      </c>
      <c r="AM176" s="1044">
        <f t="shared" si="178"/>
        <v>0</v>
      </c>
      <c r="AN176" s="1044" t="str">
        <f t="shared" si="179"/>
        <v/>
      </c>
      <c r="AO176" s="1044" t="str">
        <f t="shared" si="180"/>
        <v/>
      </c>
      <c r="AP176" s="1044">
        <f t="shared" si="181"/>
        <v>0</v>
      </c>
      <c r="AQ176" s="1044">
        <f t="shared" si="182"/>
        <v>0</v>
      </c>
      <c r="AR176" s="1044" t="str">
        <f t="shared" si="183"/>
        <v/>
      </c>
      <c r="AS176" s="1044">
        <f t="shared" si="184"/>
        <v>0</v>
      </c>
      <c r="AT176" s="1044" t="str">
        <f t="shared" si="185"/>
        <v/>
      </c>
      <c r="AU176" s="1044">
        <f t="shared" si="186"/>
        <v>0</v>
      </c>
      <c r="AV176" s="1044" t="str">
        <f t="shared" si="187"/>
        <v/>
      </c>
      <c r="AW176" s="1044">
        <f t="shared" si="188"/>
        <v>0</v>
      </c>
      <c r="AX176" s="1044" t="str">
        <f t="shared" si="189"/>
        <v/>
      </c>
      <c r="AY176" s="1044">
        <f t="shared" si="190"/>
        <v>0</v>
      </c>
      <c r="AZ176" s="1044" t="str">
        <f t="shared" si="191"/>
        <v/>
      </c>
      <c r="BA176" s="1044">
        <f t="shared" si="192"/>
        <v>0</v>
      </c>
      <c r="BB176" s="1044" t="str">
        <f t="shared" si="193"/>
        <v/>
      </c>
      <c r="BC176" s="1044">
        <f t="shared" si="194"/>
        <v>0</v>
      </c>
      <c r="BD176" s="1044">
        <f t="shared" si="195"/>
        <v>0</v>
      </c>
      <c r="BE176" s="1044" t="str">
        <f t="shared" si="196"/>
        <v/>
      </c>
      <c r="BF176" s="1044" t="str">
        <f t="shared" si="197"/>
        <v/>
      </c>
      <c r="BG176" s="1044" t="str">
        <f t="shared" si="198"/>
        <v/>
      </c>
      <c r="BH176" s="1044" t="str">
        <f t="shared" si="199"/>
        <v/>
      </c>
      <c r="BI176" s="1044" t="str">
        <f t="shared" si="200"/>
        <v/>
      </c>
      <c r="BJ176" s="1044" t="str">
        <f t="shared" si="201"/>
        <v/>
      </c>
      <c r="BK176" s="1044" t="str">
        <f t="shared" si="202"/>
        <v/>
      </c>
      <c r="BL176" s="1044" t="str">
        <f t="shared" si="203"/>
        <v/>
      </c>
      <c r="BM176" s="1044" t="str">
        <f t="shared" si="204"/>
        <v/>
      </c>
      <c r="BN176" s="1044" t="str">
        <f t="shared" si="205"/>
        <v/>
      </c>
      <c r="BO176" s="1044" t="str">
        <f t="shared" si="206"/>
        <v/>
      </c>
      <c r="BP176" s="1044" t="str">
        <f t="shared" si="207"/>
        <v/>
      </c>
      <c r="BQ176" s="1044" t="str">
        <f t="shared" si="208"/>
        <v/>
      </c>
      <c r="BR176" s="1044" t="str">
        <f t="shared" si="209"/>
        <v/>
      </c>
      <c r="BS176" s="1044" t="str">
        <f t="shared" si="210"/>
        <v/>
      </c>
      <c r="BT176" s="1044" t="str">
        <f t="shared" si="211"/>
        <v/>
      </c>
      <c r="BU176" s="1044" t="str">
        <f t="shared" si="212"/>
        <v/>
      </c>
    </row>
    <row r="177" spans="1:73" ht="30" customHeight="1">
      <c r="A177" s="1069" t="str">
        <f t="shared" si="142"/>
        <v/>
      </c>
      <c r="B177" s="1063"/>
      <c r="C177" s="1064" t="s">
        <v>254</v>
      </c>
      <c r="D177" s="1070" t="str">
        <f t="shared" si="143"/>
        <v/>
      </c>
      <c r="E177" s="1071" t="str">
        <f t="shared" si="144"/>
        <v/>
      </c>
      <c r="F177" s="1067" t="str">
        <f t="shared" si="145"/>
        <v/>
      </c>
      <c r="G177" s="1068" t="str">
        <f t="shared" si="146"/>
        <v/>
      </c>
      <c r="H177" s="1069" t="str">
        <f t="shared" si="147"/>
        <v/>
      </c>
      <c r="I177" s="1069" t="str">
        <f t="shared" si="148"/>
        <v/>
      </c>
      <c r="J177" s="1067" t="str">
        <f t="shared" si="149"/>
        <v/>
      </c>
      <c r="K177" s="1044" t="str">
        <f t="shared" si="150"/>
        <v/>
      </c>
      <c r="L177" s="1044" t="str">
        <f t="shared" si="151"/>
        <v/>
      </c>
      <c r="M177" s="1044" t="str">
        <f t="shared" si="152"/>
        <v/>
      </c>
      <c r="N177" s="1044" t="str">
        <f t="shared" si="153"/>
        <v/>
      </c>
      <c r="O177" s="1044" t="str">
        <f t="shared" si="154"/>
        <v/>
      </c>
      <c r="P177" s="1044" t="str">
        <f t="shared" si="155"/>
        <v/>
      </c>
      <c r="Q177" s="1044">
        <f t="shared" si="156"/>
        <v>0</v>
      </c>
      <c r="R177" s="1044">
        <f t="shared" si="157"/>
        <v>0</v>
      </c>
      <c r="S177" s="1044">
        <f t="shared" si="158"/>
        <v>0</v>
      </c>
      <c r="T177" s="1044">
        <f t="shared" si="159"/>
        <v>0</v>
      </c>
      <c r="U177" s="1044" t="str">
        <f t="shared" si="160"/>
        <v/>
      </c>
      <c r="V177" s="1044" t="str">
        <f t="shared" si="161"/>
        <v/>
      </c>
      <c r="W177" s="1044">
        <f t="shared" si="162"/>
        <v>0</v>
      </c>
      <c r="X177" s="1044" t="str">
        <f t="shared" si="163"/>
        <v/>
      </c>
      <c r="Y177" s="1044">
        <f t="shared" si="164"/>
        <v>0</v>
      </c>
      <c r="Z177" s="1044" t="str">
        <f t="shared" si="165"/>
        <v/>
      </c>
      <c r="AA177" s="1044">
        <f t="shared" si="166"/>
        <v>0</v>
      </c>
      <c r="AB177" s="1044">
        <f t="shared" si="167"/>
        <v>0</v>
      </c>
      <c r="AC177" s="1044">
        <f t="shared" si="168"/>
        <v>0</v>
      </c>
      <c r="AD177" s="1044" t="str">
        <f t="shared" si="169"/>
        <v/>
      </c>
      <c r="AE177" s="1044">
        <f t="shared" si="170"/>
        <v>0</v>
      </c>
      <c r="AF177" s="1044" t="str">
        <f t="shared" si="171"/>
        <v/>
      </c>
      <c r="AG177" s="1044">
        <f t="shared" si="172"/>
        <v>0</v>
      </c>
      <c r="AH177" s="1044">
        <f t="shared" si="173"/>
        <v>0</v>
      </c>
      <c r="AI177" s="1044" t="str">
        <f t="shared" si="174"/>
        <v/>
      </c>
      <c r="AJ177" s="1044">
        <f t="shared" si="175"/>
        <v>0</v>
      </c>
      <c r="AK177" s="1044">
        <f t="shared" si="176"/>
        <v>0</v>
      </c>
      <c r="AL177" s="1044">
        <f t="shared" si="177"/>
        <v>0</v>
      </c>
      <c r="AM177" s="1044">
        <f t="shared" si="178"/>
        <v>0</v>
      </c>
      <c r="AN177" s="1044" t="str">
        <f t="shared" si="179"/>
        <v/>
      </c>
      <c r="AO177" s="1044" t="str">
        <f t="shared" si="180"/>
        <v/>
      </c>
      <c r="AP177" s="1044">
        <f t="shared" si="181"/>
        <v>0</v>
      </c>
      <c r="AQ177" s="1044">
        <f t="shared" si="182"/>
        <v>0</v>
      </c>
      <c r="AR177" s="1044" t="str">
        <f t="shared" si="183"/>
        <v/>
      </c>
      <c r="AS177" s="1044">
        <f t="shared" si="184"/>
        <v>0</v>
      </c>
      <c r="AT177" s="1044" t="str">
        <f t="shared" si="185"/>
        <v/>
      </c>
      <c r="AU177" s="1044">
        <f t="shared" si="186"/>
        <v>0</v>
      </c>
      <c r="AV177" s="1044" t="str">
        <f t="shared" si="187"/>
        <v/>
      </c>
      <c r="AW177" s="1044">
        <f t="shared" si="188"/>
        <v>0</v>
      </c>
      <c r="AX177" s="1044" t="str">
        <f t="shared" si="189"/>
        <v/>
      </c>
      <c r="AY177" s="1044">
        <f t="shared" si="190"/>
        <v>0</v>
      </c>
      <c r="AZ177" s="1044" t="str">
        <f t="shared" si="191"/>
        <v/>
      </c>
      <c r="BA177" s="1044">
        <f t="shared" si="192"/>
        <v>0</v>
      </c>
      <c r="BB177" s="1044" t="str">
        <f t="shared" si="193"/>
        <v/>
      </c>
      <c r="BC177" s="1044">
        <f t="shared" si="194"/>
        <v>0</v>
      </c>
      <c r="BD177" s="1044">
        <f t="shared" si="195"/>
        <v>0</v>
      </c>
      <c r="BE177" s="1044" t="str">
        <f t="shared" si="196"/>
        <v/>
      </c>
      <c r="BF177" s="1044" t="str">
        <f t="shared" si="197"/>
        <v/>
      </c>
      <c r="BG177" s="1044" t="str">
        <f t="shared" si="198"/>
        <v/>
      </c>
      <c r="BH177" s="1044" t="str">
        <f t="shared" si="199"/>
        <v/>
      </c>
      <c r="BI177" s="1044" t="str">
        <f t="shared" si="200"/>
        <v/>
      </c>
      <c r="BJ177" s="1044" t="str">
        <f t="shared" si="201"/>
        <v/>
      </c>
      <c r="BK177" s="1044" t="str">
        <f t="shared" si="202"/>
        <v/>
      </c>
      <c r="BL177" s="1044" t="str">
        <f t="shared" si="203"/>
        <v/>
      </c>
      <c r="BM177" s="1044" t="str">
        <f t="shared" si="204"/>
        <v/>
      </c>
      <c r="BN177" s="1044" t="str">
        <f t="shared" si="205"/>
        <v/>
      </c>
      <c r="BO177" s="1044" t="str">
        <f t="shared" si="206"/>
        <v/>
      </c>
      <c r="BP177" s="1044" t="str">
        <f t="shared" si="207"/>
        <v/>
      </c>
      <c r="BQ177" s="1044" t="str">
        <f t="shared" si="208"/>
        <v/>
      </c>
      <c r="BR177" s="1044" t="str">
        <f t="shared" si="209"/>
        <v/>
      </c>
      <c r="BS177" s="1044" t="str">
        <f t="shared" si="210"/>
        <v/>
      </c>
      <c r="BT177" s="1044" t="str">
        <f t="shared" si="211"/>
        <v/>
      </c>
      <c r="BU177" s="1044" t="str">
        <f t="shared" si="212"/>
        <v/>
      </c>
    </row>
    <row r="178" spans="1:73" ht="30" customHeight="1">
      <c r="A178" s="1069" t="str">
        <f t="shared" si="142"/>
        <v/>
      </c>
      <c r="B178" s="1063"/>
      <c r="C178" s="1064" t="s">
        <v>254</v>
      </c>
      <c r="D178" s="1070" t="str">
        <f t="shared" si="143"/>
        <v/>
      </c>
      <c r="E178" s="1071" t="str">
        <f t="shared" si="144"/>
        <v/>
      </c>
      <c r="F178" s="1067" t="str">
        <f t="shared" si="145"/>
        <v/>
      </c>
      <c r="G178" s="1068" t="str">
        <f t="shared" si="146"/>
        <v/>
      </c>
      <c r="H178" s="1069" t="str">
        <f t="shared" si="147"/>
        <v/>
      </c>
      <c r="I178" s="1069" t="str">
        <f t="shared" si="148"/>
        <v/>
      </c>
      <c r="J178" s="1067" t="str">
        <f t="shared" si="149"/>
        <v/>
      </c>
      <c r="K178" s="1044" t="str">
        <f t="shared" si="150"/>
        <v/>
      </c>
      <c r="L178" s="1044" t="str">
        <f t="shared" si="151"/>
        <v/>
      </c>
      <c r="M178" s="1044" t="str">
        <f t="shared" si="152"/>
        <v/>
      </c>
      <c r="N178" s="1044" t="str">
        <f t="shared" si="153"/>
        <v/>
      </c>
      <c r="O178" s="1044" t="str">
        <f t="shared" si="154"/>
        <v/>
      </c>
      <c r="P178" s="1044" t="str">
        <f t="shared" si="155"/>
        <v/>
      </c>
      <c r="Q178" s="1044">
        <f t="shared" si="156"/>
        <v>0</v>
      </c>
      <c r="R178" s="1044">
        <f t="shared" si="157"/>
        <v>0</v>
      </c>
      <c r="S178" s="1044">
        <f t="shared" si="158"/>
        <v>0</v>
      </c>
      <c r="T178" s="1044">
        <f t="shared" si="159"/>
        <v>0</v>
      </c>
      <c r="U178" s="1044" t="str">
        <f t="shared" si="160"/>
        <v/>
      </c>
      <c r="V178" s="1044" t="str">
        <f t="shared" si="161"/>
        <v/>
      </c>
      <c r="W178" s="1044">
        <f t="shared" si="162"/>
        <v>0</v>
      </c>
      <c r="X178" s="1044" t="str">
        <f t="shared" si="163"/>
        <v/>
      </c>
      <c r="Y178" s="1044">
        <f t="shared" si="164"/>
        <v>0</v>
      </c>
      <c r="Z178" s="1044" t="str">
        <f t="shared" si="165"/>
        <v/>
      </c>
      <c r="AA178" s="1044">
        <f t="shared" si="166"/>
        <v>0</v>
      </c>
      <c r="AB178" s="1044">
        <f t="shared" si="167"/>
        <v>0</v>
      </c>
      <c r="AC178" s="1044">
        <f t="shared" si="168"/>
        <v>0</v>
      </c>
      <c r="AD178" s="1044" t="str">
        <f t="shared" si="169"/>
        <v/>
      </c>
      <c r="AE178" s="1044">
        <f t="shared" si="170"/>
        <v>0</v>
      </c>
      <c r="AF178" s="1044" t="str">
        <f t="shared" si="171"/>
        <v/>
      </c>
      <c r="AG178" s="1044">
        <f t="shared" si="172"/>
        <v>0</v>
      </c>
      <c r="AH178" s="1044">
        <f t="shared" si="173"/>
        <v>0</v>
      </c>
      <c r="AI178" s="1044" t="str">
        <f t="shared" si="174"/>
        <v/>
      </c>
      <c r="AJ178" s="1044">
        <f t="shared" si="175"/>
        <v>0</v>
      </c>
      <c r="AK178" s="1044">
        <f t="shared" si="176"/>
        <v>0</v>
      </c>
      <c r="AL178" s="1044">
        <f t="shared" si="177"/>
        <v>0</v>
      </c>
      <c r="AM178" s="1044">
        <f t="shared" si="178"/>
        <v>0</v>
      </c>
      <c r="AN178" s="1044" t="str">
        <f t="shared" si="179"/>
        <v/>
      </c>
      <c r="AO178" s="1044" t="str">
        <f t="shared" si="180"/>
        <v/>
      </c>
      <c r="AP178" s="1044">
        <f t="shared" si="181"/>
        <v>0</v>
      </c>
      <c r="AQ178" s="1044">
        <f t="shared" si="182"/>
        <v>0</v>
      </c>
      <c r="AR178" s="1044" t="str">
        <f t="shared" si="183"/>
        <v/>
      </c>
      <c r="AS178" s="1044">
        <f t="shared" si="184"/>
        <v>0</v>
      </c>
      <c r="AT178" s="1044" t="str">
        <f t="shared" si="185"/>
        <v/>
      </c>
      <c r="AU178" s="1044">
        <f t="shared" si="186"/>
        <v>0</v>
      </c>
      <c r="AV178" s="1044" t="str">
        <f t="shared" si="187"/>
        <v/>
      </c>
      <c r="AW178" s="1044">
        <f t="shared" si="188"/>
        <v>0</v>
      </c>
      <c r="AX178" s="1044" t="str">
        <f t="shared" si="189"/>
        <v/>
      </c>
      <c r="AY178" s="1044">
        <f t="shared" si="190"/>
        <v>0</v>
      </c>
      <c r="AZ178" s="1044" t="str">
        <f t="shared" si="191"/>
        <v/>
      </c>
      <c r="BA178" s="1044">
        <f t="shared" si="192"/>
        <v>0</v>
      </c>
      <c r="BB178" s="1044" t="str">
        <f t="shared" si="193"/>
        <v/>
      </c>
      <c r="BC178" s="1044">
        <f t="shared" si="194"/>
        <v>0</v>
      </c>
      <c r="BD178" s="1044">
        <f t="shared" si="195"/>
        <v>0</v>
      </c>
      <c r="BE178" s="1044" t="str">
        <f t="shared" si="196"/>
        <v/>
      </c>
      <c r="BF178" s="1044" t="str">
        <f t="shared" si="197"/>
        <v/>
      </c>
      <c r="BG178" s="1044" t="str">
        <f t="shared" si="198"/>
        <v/>
      </c>
      <c r="BH178" s="1044" t="str">
        <f t="shared" si="199"/>
        <v/>
      </c>
      <c r="BI178" s="1044" t="str">
        <f t="shared" si="200"/>
        <v/>
      </c>
      <c r="BJ178" s="1044" t="str">
        <f t="shared" si="201"/>
        <v/>
      </c>
      <c r="BK178" s="1044" t="str">
        <f t="shared" si="202"/>
        <v/>
      </c>
      <c r="BL178" s="1044" t="str">
        <f t="shared" si="203"/>
        <v/>
      </c>
      <c r="BM178" s="1044" t="str">
        <f t="shared" si="204"/>
        <v/>
      </c>
      <c r="BN178" s="1044" t="str">
        <f t="shared" si="205"/>
        <v/>
      </c>
      <c r="BO178" s="1044" t="str">
        <f t="shared" si="206"/>
        <v/>
      </c>
      <c r="BP178" s="1044" t="str">
        <f t="shared" si="207"/>
        <v/>
      </c>
      <c r="BQ178" s="1044" t="str">
        <f t="shared" si="208"/>
        <v/>
      </c>
      <c r="BR178" s="1044" t="str">
        <f t="shared" si="209"/>
        <v/>
      </c>
      <c r="BS178" s="1044" t="str">
        <f t="shared" si="210"/>
        <v/>
      </c>
      <c r="BT178" s="1044" t="str">
        <f t="shared" si="211"/>
        <v/>
      </c>
      <c r="BU178" s="1044" t="str">
        <f t="shared" si="212"/>
        <v/>
      </c>
    </row>
    <row r="179" spans="1:73" ht="30" customHeight="1">
      <c r="A179" s="1069" t="str">
        <f t="shared" si="142"/>
        <v/>
      </c>
      <c r="B179" s="1063"/>
      <c r="C179" s="1064" t="s">
        <v>254</v>
      </c>
      <c r="D179" s="1070" t="str">
        <f t="shared" si="143"/>
        <v/>
      </c>
      <c r="E179" s="1071" t="str">
        <f t="shared" si="144"/>
        <v/>
      </c>
      <c r="F179" s="1067" t="str">
        <f t="shared" si="145"/>
        <v/>
      </c>
      <c r="G179" s="1068" t="str">
        <f t="shared" si="146"/>
        <v/>
      </c>
      <c r="H179" s="1069" t="str">
        <f t="shared" si="147"/>
        <v/>
      </c>
      <c r="I179" s="1069" t="str">
        <f t="shared" si="148"/>
        <v/>
      </c>
      <c r="J179" s="1067" t="str">
        <f t="shared" si="149"/>
        <v/>
      </c>
      <c r="K179" s="1044" t="str">
        <f t="shared" si="150"/>
        <v/>
      </c>
      <c r="L179" s="1044" t="str">
        <f t="shared" si="151"/>
        <v/>
      </c>
      <c r="M179" s="1044" t="str">
        <f t="shared" si="152"/>
        <v/>
      </c>
      <c r="N179" s="1044" t="str">
        <f t="shared" si="153"/>
        <v/>
      </c>
      <c r="O179" s="1044" t="str">
        <f t="shared" si="154"/>
        <v/>
      </c>
      <c r="P179" s="1044" t="str">
        <f t="shared" si="155"/>
        <v/>
      </c>
      <c r="Q179" s="1044">
        <f t="shared" si="156"/>
        <v>0</v>
      </c>
      <c r="R179" s="1044">
        <f t="shared" si="157"/>
        <v>0</v>
      </c>
      <c r="S179" s="1044">
        <f t="shared" si="158"/>
        <v>0</v>
      </c>
      <c r="T179" s="1044">
        <f t="shared" si="159"/>
        <v>0</v>
      </c>
      <c r="U179" s="1044" t="str">
        <f t="shared" si="160"/>
        <v/>
      </c>
      <c r="V179" s="1044" t="str">
        <f t="shared" si="161"/>
        <v/>
      </c>
      <c r="W179" s="1044">
        <f t="shared" si="162"/>
        <v>0</v>
      </c>
      <c r="X179" s="1044" t="str">
        <f t="shared" si="163"/>
        <v/>
      </c>
      <c r="Y179" s="1044">
        <f t="shared" si="164"/>
        <v>0</v>
      </c>
      <c r="Z179" s="1044" t="str">
        <f t="shared" si="165"/>
        <v/>
      </c>
      <c r="AA179" s="1044">
        <f t="shared" si="166"/>
        <v>0</v>
      </c>
      <c r="AB179" s="1044">
        <f t="shared" si="167"/>
        <v>0</v>
      </c>
      <c r="AC179" s="1044">
        <f t="shared" si="168"/>
        <v>0</v>
      </c>
      <c r="AD179" s="1044" t="str">
        <f t="shared" si="169"/>
        <v/>
      </c>
      <c r="AE179" s="1044">
        <f t="shared" si="170"/>
        <v>0</v>
      </c>
      <c r="AF179" s="1044" t="str">
        <f t="shared" si="171"/>
        <v/>
      </c>
      <c r="AG179" s="1044">
        <f t="shared" si="172"/>
        <v>0</v>
      </c>
      <c r="AH179" s="1044">
        <f t="shared" si="173"/>
        <v>0</v>
      </c>
      <c r="AI179" s="1044" t="str">
        <f t="shared" si="174"/>
        <v/>
      </c>
      <c r="AJ179" s="1044">
        <f t="shared" si="175"/>
        <v>0</v>
      </c>
      <c r="AK179" s="1044">
        <f t="shared" si="176"/>
        <v>0</v>
      </c>
      <c r="AL179" s="1044">
        <f t="shared" si="177"/>
        <v>0</v>
      </c>
      <c r="AM179" s="1044">
        <f t="shared" si="178"/>
        <v>0</v>
      </c>
      <c r="AN179" s="1044" t="str">
        <f t="shared" si="179"/>
        <v/>
      </c>
      <c r="AO179" s="1044" t="str">
        <f t="shared" si="180"/>
        <v/>
      </c>
      <c r="AP179" s="1044">
        <f t="shared" si="181"/>
        <v>0</v>
      </c>
      <c r="AQ179" s="1044">
        <f t="shared" si="182"/>
        <v>0</v>
      </c>
      <c r="AR179" s="1044" t="str">
        <f t="shared" si="183"/>
        <v/>
      </c>
      <c r="AS179" s="1044">
        <f t="shared" si="184"/>
        <v>0</v>
      </c>
      <c r="AT179" s="1044" t="str">
        <f t="shared" si="185"/>
        <v/>
      </c>
      <c r="AU179" s="1044">
        <f t="shared" si="186"/>
        <v>0</v>
      </c>
      <c r="AV179" s="1044" t="str">
        <f t="shared" si="187"/>
        <v/>
      </c>
      <c r="AW179" s="1044">
        <f t="shared" si="188"/>
        <v>0</v>
      </c>
      <c r="AX179" s="1044" t="str">
        <f t="shared" si="189"/>
        <v/>
      </c>
      <c r="AY179" s="1044">
        <f t="shared" si="190"/>
        <v>0</v>
      </c>
      <c r="AZ179" s="1044" t="str">
        <f t="shared" si="191"/>
        <v/>
      </c>
      <c r="BA179" s="1044">
        <f t="shared" si="192"/>
        <v>0</v>
      </c>
      <c r="BB179" s="1044" t="str">
        <f t="shared" si="193"/>
        <v/>
      </c>
      <c r="BC179" s="1044">
        <f t="shared" si="194"/>
        <v>0</v>
      </c>
      <c r="BD179" s="1044">
        <f t="shared" si="195"/>
        <v>0</v>
      </c>
      <c r="BE179" s="1044" t="str">
        <f t="shared" si="196"/>
        <v/>
      </c>
      <c r="BF179" s="1044" t="str">
        <f t="shared" si="197"/>
        <v/>
      </c>
      <c r="BG179" s="1044" t="str">
        <f t="shared" si="198"/>
        <v/>
      </c>
      <c r="BH179" s="1044" t="str">
        <f t="shared" si="199"/>
        <v/>
      </c>
      <c r="BI179" s="1044" t="str">
        <f t="shared" si="200"/>
        <v/>
      </c>
      <c r="BJ179" s="1044" t="str">
        <f t="shared" si="201"/>
        <v/>
      </c>
      <c r="BK179" s="1044" t="str">
        <f t="shared" si="202"/>
        <v/>
      </c>
      <c r="BL179" s="1044" t="str">
        <f t="shared" si="203"/>
        <v/>
      </c>
      <c r="BM179" s="1044" t="str">
        <f t="shared" si="204"/>
        <v/>
      </c>
      <c r="BN179" s="1044" t="str">
        <f t="shared" si="205"/>
        <v/>
      </c>
      <c r="BO179" s="1044" t="str">
        <f t="shared" si="206"/>
        <v/>
      </c>
      <c r="BP179" s="1044" t="str">
        <f t="shared" si="207"/>
        <v/>
      </c>
      <c r="BQ179" s="1044" t="str">
        <f t="shared" si="208"/>
        <v/>
      </c>
      <c r="BR179" s="1044" t="str">
        <f t="shared" si="209"/>
        <v/>
      </c>
      <c r="BS179" s="1044" t="str">
        <f t="shared" si="210"/>
        <v/>
      </c>
      <c r="BT179" s="1044" t="str">
        <f t="shared" si="211"/>
        <v/>
      </c>
      <c r="BU179" s="1044" t="str">
        <f t="shared" si="212"/>
        <v/>
      </c>
    </row>
    <row r="180" spans="1:73" ht="30" customHeight="1">
      <c r="A180" s="1069" t="str">
        <f t="shared" si="142"/>
        <v/>
      </c>
      <c r="B180" s="1063"/>
      <c r="C180" s="1064" t="s">
        <v>254</v>
      </c>
      <c r="D180" s="1070" t="str">
        <f t="shared" si="143"/>
        <v/>
      </c>
      <c r="E180" s="1071" t="str">
        <f t="shared" si="144"/>
        <v/>
      </c>
      <c r="F180" s="1067" t="str">
        <f t="shared" si="145"/>
        <v/>
      </c>
      <c r="G180" s="1068" t="str">
        <f t="shared" si="146"/>
        <v/>
      </c>
      <c r="H180" s="1069" t="str">
        <f t="shared" si="147"/>
        <v/>
      </c>
      <c r="I180" s="1069" t="str">
        <f t="shared" si="148"/>
        <v/>
      </c>
      <c r="J180" s="1067" t="str">
        <f t="shared" si="149"/>
        <v/>
      </c>
      <c r="K180" s="1044" t="str">
        <f t="shared" si="150"/>
        <v/>
      </c>
      <c r="L180" s="1044" t="str">
        <f t="shared" si="151"/>
        <v/>
      </c>
      <c r="M180" s="1044" t="str">
        <f t="shared" si="152"/>
        <v/>
      </c>
      <c r="N180" s="1044" t="str">
        <f t="shared" si="153"/>
        <v/>
      </c>
      <c r="O180" s="1044" t="str">
        <f t="shared" si="154"/>
        <v/>
      </c>
      <c r="P180" s="1044" t="str">
        <f t="shared" si="155"/>
        <v/>
      </c>
      <c r="Q180" s="1044">
        <f t="shared" si="156"/>
        <v>0</v>
      </c>
      <c r="R180" s="1044">
        <f t="shared" si="157"/>
        <v>0</v>
      </c>
      <c r="S180" s="1044">
        <f t="shared" si="158"/>
        <v>0</v>
      </c>
      <c r="T180" s="1044">
        <f t="shared" si="159"/>
        <v>0</v>
      </c>
      <c r="U180" s="1044" t="str">
        <f t="shared" si="160"/>
        <v/>
      </c>
      <c r="V180" s="1044" t="str">
        <f t="shared" si="161"/>
        <v/>
      </c>
      <c r="W180" s="1044">
        <f t="shared" si="162"/>
        <v>0</v>
      </c>
      <c r="X180" s="1044" t="str">
        <f t="shared" si="163"/>
        <v/>
      </c>
      <c r="Y180" s="1044">
        <f t="shared" si="164"/>
        <v>0</v>
      </c>
      <c r="Z180" s="1044" t="str">
        <f t="shared" si="165"/>
        <v/>
      </c>
      <c r="AA180" s="1044">
        <f t="shared" si="166"/>
        <v>0</v>
      </c>
      <c r="AB180" s="1044">
        <f t="shared" si="167"/>
        <v>0</v>
      </c>
      <c r="AC180" s="1044">
        <f t="shared" si="168"/>
        <v>0</v>
      </c>
      <c r="AD180" s="1044" t="str">
        <f t="shared" si="169"/>
        <v/>
      </c>
      <c r="AE180" s="1044">
        <f t="shared" si="170"/>
        <v>0</v>
      </c>
      <c r="AF180" s="1044" t="str">
        <f t="shared" si="171"/>
        <v/>
      </c>
      <c r="AG180" s="1044">
        <f t="shared" si="172"/>
        <v>0</v>
      </c>
      <c r="AH180" s="1044">
        <f t="shared" si="173"/>
        <v>0</v>
      </c>
      <c r="AI180" s="1044" t="str">
        <f t="shared" si="174"/>
        <v/>
      </c>
      <c r="AJ180" s="1044">
        <f t="shared" si="175"/>
        <v>0</v>
      </c>
      <c r="AK180" s="1044">
        <f t="shared" si="176"/>
        <v>0</v>
      </c>
      <c r="AL180" s="1044">
        <f t="shared" si="177"/>
        <v>0</v>
      </c>
      <c r="AM180" s="1044">
        <f t="shared" si="178"/>
        <v>0</v>
      </c>
      <c r="AN180" s="1044" t="str">
        <f t="shared" si="179"/>
        <v/>
      </c>
      <c r="AO180" s="1044" t="str">
        <f t="shared" si="180"/>
        <v/>
      </c>
      <c r="AP180" s="1044">
        <f t="shared" si="181"/>
        <v>0</v>
      </c>
      <c r="AQ180" s="1044">
        <f t="shared" si="182"/>
        <v>0</v>
      </c>
      <c r="AR180" s="1044" t="str">
        <f t="shared" si="183"/>
        <v/>
      </c>
      <c r="AS180" s="1044">
        <f t="shared" si="184"/>
        <v>0</v>
      </c>
      <c r="AT180" s="1044" t="str">
        <f t="shared" si="185"/>
        <v/>
      </c>
      <c r="AU180" s="1044">
        <f t="shared" si="186"/>
        <v>0</v>
      </c>
      <c r="AV180" s="1044" t="str">
        <f t="shared" si="187"/>
        <v/>
      </c>
      <c r="AW180" s="1044">
        <f t="shared" si="188"/>
        <v>0</v>
      </c>
      <c r="AX180" s="1044" t="str">
        <f t="shared" si="189"/>
        <v/>
      </c>
      <c r="AY180" s="1044">
        <f t="shared" si="190"/>
        <v>0</v>
      </c>
      <c r="AZ180" s="1044" t="str">
        <f t="shared" si="191"/>
        <v/>
      </c>
      <c r="BA180" s="1044">
        <f t="shared" si="192"/>
        <v>0</v>
      </c>
      <c r="BB180" s="1044" t="str">
        <f t="shared" si="193"/>
        <v/>
      </c>
      <c r="BC180" s="1044">
        <f t="shared" si="194"/>
        <v>0</v>
      </c>
      <c r="BD180" s="1044">
        <f t="shared" si="195"/>
        <v>0</v>
      </c>
      <c r="BE180" s="1044" t="str">
        <f t="shared" si="196"/>
        <v/>
      </c>
      <c r="BF180" s="1044" t="str">
        <f t="shared" si="197"/>
        <v/>
      </c>
      <c r="BG180" s="1044" t="str">
        <f t="shared" si="198"/>
        <v/>
      </c>
      <c r="BH180" s="1044" t="str">
        <f t="shared" si="199"/>
        <v/>
      </c>
      <c r="BI180" s="1044" t="str">
        <f t="shared" si="200"/>
        <v/>
      </c>
      <c r="BJ180" s="1044" t="str">
        <f t="shared" si="201"/>
        <v/>
      </c>
      <c r="BK180" s="1044" t="str">
        <f t="shared" si="202"/>
        <v/>
      </c>
      <c r="BL180" s="1044" t="str">
        <f t="shared" si="203"/>
        <v/>
      </c>
      <c r="BM180" s="1044" t="str">
        <f t="shared" si="204"/>
        <v/>
      </c>
      <c r="BN180" s="1044" t="str">
        <f t="shared" si="205"/>
        <v/>
      </c>
      <c r="BO180" s="1044" t="str">
        <f t="shared" si="206"/>
        <v/>
      </c>
      <c r="BP180" s="1044" t="str">
        <f t="shared" si="207"/>
        <v/>
      </c>
      <c r="BQ180" s="1044" t="str">
        <f t="shared" si="208"/>
        <v/>
      </c>
      <c r="BR180" s="1044" t="str">
        <f t="shared" si="209"/>
        <v/>
      </c>
      <c r="BS180" s="1044" t="str">
        <f t="shared" si="210"/>
        <v/>
      </c>
      <c r="BT180" s="1044" t="str">
        <f t="shared" si="211"/>
        <v/>
      </c>
      <c r="BU180" s="1044" t="str">
        <f t="shared" si="212"/>
        <v/>
      </c>
    </row>
    <row r="181" spans="1:73" ht="30" customHeight="1">
      <c r="A181" s="1069" t="str">
        <f t="shared" si="142"/>
        <v/>
      </c>
      <c r="B181" s="1063"/>
      <c r="C181" s="1064" t="s">
        <v>254</v>
      </c>
      <c r="D181" s="1070" t="str">
        <f t="shared" si="143"/>
        <v/>
      </c>
      <c r="E181" s="1071" t="str">
        <f t="shared" si="144"/>
        <v/>
      </c>
      <c r="F181" s="1067" t="str">
        <f t="shared" si="145"/>
        <v/>
      </c>
      <c r="G181" s="1068" t="str">
        <f t="shared" si="146"/>
        <v/>
      </c>
      <c r="H181" s="1069" t="str">
        <f t="shared" si="147"/>
        <v/>
      </c>
      <c r="I181" s="1069" t="str">
        <f t="shared" si="148"/>
        <v/>
      </c>
      <c r="J181" s="1067" t="str">
        <f t="shared" si="149"/>
        <v/>
      </c>
      <c r="K181" s="1044" t="str">
        <f t="shared" si="150"/>
        <v/>
      </c>
      <c r="L181" s="1044" t="str">
        <f t="shared" si="151"/>
        <v/>
      </c>
      <c r="M181" s="1044" t="str">
        <f t="shared" si="152"/>
        <v/>
      </c>
      <c r="N181" s="1044" t="str">
        <f t="shared" si="153"/>
        <v/>
      </c>
      <c r="O181" s="1044" t="str">
        <f t="shared" si="154"/>
        <v/>
      </c>
      <c r="P181" s="1044" t="str">
        <f t="shared" si="155"/>
        <v/>
      </c>
      <c r="Q181" s="1044">
        <f t="shared" si="156"/>
        <v>0</v>
      </c>
      <c r="R181" s="1044">
        <f t="shared" si="157"/>
        <v>0</v>
      </c>
      <c r="S181" s="1044">
        <f t="shared" si="158"/>
        <v>0</v>
      </c>
      <c r="T181" s="1044">
        <f t="shared" si="159"/>
        <v>0</v>
      </c>
      <c r="U181" s="1044" t="str">
        <f t="shared" si="160"/>
        <v/>
      </c>
      <c r="V181" s="1044" t="str">
        <f t="shared" si="161"/>
        <v/>
      </c>
      <c r="W181" s="1044">
        <f t="shared" si="162"/>
        <v>0</v>
      </c>
      <c r="X181" s="1044" t="str">
        <f t="shared" si="163"/>
        <v/>
      </c>
      <c r="Y181" s="1044">
        <f t="shared" si="164"/>
        <v>0</v>
      </c>
      <c r="Z181" s="1044" t="str">
        <f t="shared" si="165"/>
        <v/>
      </c>
      <c r="AA181" s="1044">
        <f t="shared" si="166"/>
        <v>0</v>
      </c>
      <c r="AB181" s="1044">
        <f t="shared" si="167"/>
        <v>0</v>
      </c>
      <c r="AC181" s="1044">
        <f t="shared" si="168"/>
        <v>0</v>
      </c>
      <c r="AD181" s="1044" t="str">
        <f t="shared" si="169"/>
        <v/>
      </c>
      <c r="AE181" s="1044">
        <f t="shared" si="170"/>
        <v>0</v>
      </c>
      <c r="AF181" s="1044" t="str">
        <f t="shared" si="171"/>
        <v/>
      </c>
      <c r="AG181" s="1044">
        <f t="shared" si="172"/>
        <v>0</v>
      </c>
      <c r="AH181" s="1044">
        <f t="shared" si="173"/>
        <v>0</v>
      </c>
      <c r="AI181" s="1044" t="str">
        <f t="shared" si="174"/>
        <v/>
      </c>
      <c r="AJ181" s="1044">
        <f t="shared" si="175"/>
        <v>0</v>
      </c>
      <c r="AK181" s="1044">
        <f t="shared" si="176"/>
        <v>0</v>
      </c>
      <c r="AL181" s="1044">
        <f t="shared" si="177"/>
        <v>0</v>
      </c>
      <c r="AM181" s="1044">
        <f t="shared" si="178"/>
        <v>0</v>
      </c>
      <c r="AN181" s="1044" t="str">
        <f t="shared" si="179"/>
        <v/>
      </c>
      <c r="AO181" s="1044" t="str">
        <f t="shared" si="180"/>
        <v/>
      </c>
      <c r="AP181" s="1044">
        <f t="shared" si="181"/>
        <v>0</v>
      </c>
      <c r="AQ181" s="1044">
        <f t="shared" si="182"/>
        <v>0</v>
      </c>
      <c r="AR181" s="1044" t="str">
        <f t="shared" si="183"/>
        <v/>
      </c>
      <c r="AS181" s="1044">
        <f t="shared" si="184"/>
        <v>0</v>
      </c>
      <c r="AT181" s="1044" t="str">
        <f t="shared" si="185"/>
        <v/>
      </c>
      <c r="AU181" s="1044">
        <f t="shared" si="186"/>
        <v>0</v>
      </c>
      <c r="AV181" s="1044" t="str">
        <f t="shared" si="187"/>
        <v/>
      </c>
      <c r="AW181" s="1044">
        <f t="shared" si="188"/>
        <v>0</v>
      </c>
      <c r="AX181" s="1044" t="str">
        <f t="shared" si="189"/>
        <v/>
      </c>
      <c r="AY181" s="1044">
        <f t="shared" si="190"/>
        <v>0</v>
      </c>
      <c r="AZ181" s="1044" t="str">
        <f t="shared" si="191"/>
        <v/>
      </c>
      <c r="BA181" s="1044">
        <f t="shared" si="192"/>
        <v>0</v>
      </c>
      <c r="BB181" s="1044" t="str">
        <f t="shared" si="193"/>
        <v/>
      </c>
      <c r="BC181" s="1044">
        <f t="shared" si="194"/>
        <v>0</v>
      </c>
      <c r="BD181" s="1044">
        <f t="shared" si="195"/>
        <v>0</v>
      </c>
      <c r="BE181" s="1044" t="str">
        <f t="shared" si="196"/>
        <v/>
      </c>
      <c r="BF181" s="1044" t="str">
        <f t="shared" si="197"/>
        <v/>
      </c>
      <c r="BG181" s="1044" t="str">
        <f t="shared" si="198"/>
        <v/>
      </c>
      <c r="BH181" s="1044" t="str">
        <f t="shared" si="199"/>
        <v/>
      </c>
      <c r="BI181" s="1044" t="str">
        <f t="shared" si="200"/>
        <v/>
      </c>
      <c r="BJ181" s="1044" t="str">
        <f t="shared" si="201"/>
        <v/>
      </c>
      <c r="BK181" s="1044" t="str">
        <f t="shared" si="202"/>
        <v/>
      </c>
      <c r="BL181" s="1044" t="str">
        <f t="shared" si="203"/>
        <v/>
      </c>
      <c r="BM181" s="1044" t="str">
        <f t="shared" si="204"/>
        <v/>
      </c>
      <c r="BN181" s="1044" t="str">
        <f t="shared" si="205"/>
        <v/>
      </c>
      <c r="BO181" s="1044" t="str">
        <f t="shared" si="206"/>
        <v/>
      </c>
      <c r="BP181" s="1044" t="str">
        <f t="shared" si="207"/>
        <v/>
      </c>
      <c r="BQ181" s="1044" t="str">
        <f t="shared" si="208"/>
        <v/>
      </c>
      <c r="BR181" s="1044" t="str">
        <f t="shared" si="209"/>
        <v/>
      </c>
      <c r="BS181" s="1044" t="str">
        <f t="shared" si="210"/>
        <v/>
      </c>
      <c r="BT181" s="1044" t="str">
        <f t="shared" si="211"/>
        <v/>
      </c>
      <c r="BU181" s="1044" t="str">
        <f t="shared" si="212"/>
        <v/>
      </c>
    </row>
    <row r="182" spans="1:73" ht="30" customHeight="1">
      <c r="A182" s="1069" t="str">
        <f t="shared" si="142"/>
        <v/>
      </c>
      <c r="B182" s="1063"/>
      <c r="C182" s="1064" t="s">
        <v>254</v>
      </c>
      <c r="D182" s="1070" t="str">
        <f t="shared" si="143"/>
        <v/>
      </c>
      <c r="E182" s="1071" t="str">
        <f t="shared" si="144"/>
        <v/>
      </c>
      <c r="F182" s="1067" t="str">
        <f t="shared" si="145"/>
        <v/>
      </c>
      <c r="G182" s="1068" t="str">
        <f t="shared" si="146"/>
        <v/>
      </c>
      <c r="H182" s="1069" t="str">
        <f t="shared" si="147"/>
        <v/>
      </c>
      <c r="I182" s="1069" t="str">
        <f t="shared" si="148"/>
        <v/>
      </c>
      <c r="J182" s="1067" t="str">
        <f t="shared" si="149"/>
        <v/>
      </c>
      <c r="K182" s="1044" t="str">
        <f t="shared" si="150"/>
        <v/>
      </c>
      <c r="L182" s="1044" t="str">
        <f t="shared" si="151"/>
        <v/>
      </c>
      <c r="M182" s="1044" t="str">
        <f t="shared" si="152"/>
        <v/>
      </c>
      <c r="N182" s="1044" t="str">
        <f t="shared" si="153"/>
        <v/>
      </c>
      <c r="O182" s="1044" t="str">
        <f t="shared" si="154"/>
        <v/>
      </c>
      <c r="P182" s="1044" t="str">
        <f t="shared" si="155"/>
        <v/>
      </c>
      <c r="Q182" s="1044">
        <f t="shared" si="156"/>
        <v>0</v>
      </c>
      <c r="R182" s="1044">
        <f t="shared" si="157"/>
        <v>0</v>
      </c>
      <c r="S182" s="1044">
        <f t="shared" si="158"/>
        <v>0</v>
      </c>
      <c r="T182" s="1044">
        <f t="shared" si="159"/>
        <v>0</v>
      </c>
      <c r="U182" s="1044" t="str">
        <f t="shared" si="160"/>
        <v/>
      </c>
      <c r="V182" s="1044" t="str">
        <f t="shared" si="161"/>
        <v/>
      </c>
      <c r="W182" s="1044">
        <f t="shared" si="162"/>
        <v>0</v>
      </c>
      <c r="X182" s="1044" t="str">
        <f t="shared" si="163"/>
        <v/>
      </c>
      <c r="Y182" s="1044">
        <f t="shared" si="164"/>
        <v>0</v>
      </c>
      <c r="Z182" s="1044" t="str">
        <f t="shared" si="165"/>
        <v/>
      </c>
      <c r="AA182" s="1044">
        <f t="shared" si="166"/>
        <v>0</v>
      </c>
      <c r="AB182" s="1044">
        <f t="shared" si="167"/>
        <v>0</v>
      </c>
      <c r="AC182" s="1044">
        <f t="shared" si="168"/>
        <v>0</v>
      </c>
      <c r="AD182" s="1044" t="str">
        <f t="shared" si="169"/>
        <v/>
      </c>
      <c r="AE182" s="1044">
        <f t="shared" si="170"/>
        <v>0</v>
      </c>
      <c r="AF182" s="1044" t="str">
        <f t="shared" si="171"/>
        <v/>
      </c>
      <c r="AG182" s="1044">
        <f t="shared" si="172"/>
        <v>0</v>
      </c>
      <c r="AH182" s="1044">
        <f t="shared" si="173"/>
        <v>0</v>
      </c>
      <c r="AI182" s="1044" t="str">
        <f t="shared" si="174"/>
        <v/>
      </c>
      <c r="AJ182" s="1044">
        <f t="shared" si="175"/>
        <v>0</v>
      </c>
      <c r="AK182" s="1044">
        <f t="shared" si="176"/>
        <v>0</v>
      </c>
      <c r="AL182" s="1044">
        <f t="shared" si="177"/>
        <v>0</v>
      </c>
      <c r="AM182" s="1044">
        <f t="shared" si="178"/>
        <v>0</v>
      </c>
      <c r="AN182" s="1044" t="str">
        <f t="shared" si="179"/>
        <v/>
      </c>
      <c r="AO182" s="1044" t="str">
        <f t="shared" si="180"/>
        <v/>
      </c>
      <c r="AP182" s="1044">
        <f t="shared" si="181"/>
        <v>0</v>
      </c>
      <c r="AQ182" s="1044">
        <f t="shared" si="182"/>
        <v>0</v>
      </c>
      <c r="AR182" s="1044" t="str">
        <f t="shared" si="183"/>
        <v/>
      </c>
      <c r="AS182" s="1044">
        <f t="shared" si="184"/>
        <v>0</v>
      </c>
      <c r="AT182" s="1044" t="str">
        <f t="shared" si="185"/>
        <v/>
      </c>
      <c r="AU182" s="1044">
        <f t="shared" si="186"/>
        <v>0</v>
      </c>
      <c r="AV182" s="1044" t="str">
        <f t="shared" si="187"/>
        <v/>
      </c>
      <c r="AW182" s="1044">
        <f t="shared" si="188"/>
        <v>0</v>
      </c>
      <c r="AX182" s="1044" t="str">
        <f t="shared" si="189"/>
        <v/>
      </c>
      <c r="AY182" s="1044">
        <f t="shared" si="190"/>
        <v>0</v>
      </c>
      <c r="AZ182" s="1044" t="str">
        <f t="shared" si="191"/>
        <v/>
      </c>
      <c r="BA182" s="1044">
        <f t="shared" si="192"/>
        <v>0</v>
      </c>
      <c r="BB182" s="1044" t="str">
        <f t="shared" si="193"/>
        <v/>
      </c>
      <c r="BC182" s="1044">
        <f t="shared" si="194"/>
        <v>0</v>
      </c>
      <c r="BD182" s="1044">
        <f t="shared" si="195"/>
        <v>0</v>
      </c>
      <c r="BE182" s="1044" t="str">
        <f t="shared" si="196"/>
        <v/>
      </c>
      <c r="BF182" s="1044" t="str">
        <f t="shared" si="197"/>
        <v/>
      </c>
      <c r="BG182" s="1044" t="str">
        <f t="shared" si="198"/>
        <v/>
      </c>
      <c r="BH182" s="1044" t="str">
        <f t="shared" si="199"/>
        <v/>
      </c>
      <c r="BI182" s="1044" t="str">
        <f t="shared" si="200"/>
        <v/>
      </c>
      <c r="BJ182" s="1044" t="str">
        <f t="shared" si="201"/>
        <v/>
      </c>
      <c r="BK182" s="1044" t="str">
        <f t="shared" si="202"/>
        <v/>
      </c>
      <c r="BL182" s="1044" t="str">
        <f t="shared" si="203"/>
        <v/>
      </c>
      <c r="BM182" s="1044" t="str">
        <f t="shared" si="204"/>
        <v/>
      </c>
      <c r="BN182" s="1044" t="str">
        <f t="shared" si="205"/>
        <v/>
      </c>
      <c r="BO182" s="1044" t="str">
        <f t="shared" si="206"/>
        <v/>
      </c>
      <c r="BP182" s="1044" t="str">
        <f t="shared" si="207"/>
        <v/>
      </c>
      <c r="BQ182" s="1044" t="str">
        <f t="shared" si="208"/>
        <v/>
      </c>
      <c r="BR182" s="1044" t="str">
        <f t="shared" si="209"/>
        <v/>
      </c>
      <c r="BS182" s="1044" t="str">
        <f t="shared" si="210"/>
        <v/>
      </c>
      <c r="BT182" s="1044" t="str">
        <f t="shared" si="211"/>
        <v/>
      </c>
      <c r="BU182" s="1044" t="str">
        <f t="shared" si="212"/>
        <v/>
      </c>
    </row>
    <row r="183" spans="1:73" ht="30" customHeight="1">
      <c r="A183" s="1069" t="str">
        <f t="shared" si="142"/>
        <v/>
      </c>
      <c r="B183" s="1063"/>
      <c r="C183" s="1064" t="s">
        <v>254</v>
      </c>
      <c r="D183" s="1070" t="str">
        <f t="shared" si="143"/>
        <v/>
      </c>
      <c r="E183" s="1071" t="str">
        <f t="shared" si="144"/>
        <v/>
      </c>
      <c r="F183" s="1067" t="str">
        <f t="shared" si="145"/>
        <v/>
      </c>
      <c r="G183" s="1068" t="str">
        <f t="shared" si="146"/>
        <v/>
      </c>
      <c r="H183" s="1069" t="str">
        <f t="shared" si="147"/>
        <v/>
      </c>
      <c r="I183" s="1069" t="str">
        <f t="shared" si="148"/>
        <v/>
      </c>
      <c r="J183" s="1067" t="str">
        <f t="shared" si="149"/>
        <v/>
      </c>
      <c r="K183" s="1044" t="str">
        <f t="shared" si="150"/>
        <v/>
      </c>
      <c r="L183" s="1044" t="str">
        <f t="shared" si="151"/>
        <v/>
      </c>
      <c r="M183" s="1044" t="str">
        <f t="shared" si="152"/>
        <v/>
      </c>
      <c r="N183" s="1044" t="str">
        <f t="shared" si="153"/>
        <v/>
      </c>
      <c r="O183" s="1044" t="str">
        <f t="shared" si="154"/>
        <v/>
      </c>
      <c r="P183" s="1044" t="str">
        <f t="shared" si="155"/>
        <v/>
      </c>
      <c r="Q183" s="1044">
        <f t="shared" si="156"/>
        <v>0</v>
      </c>
      <c r="R183" s="1044">
        <f t="shared" si="157"/>
        <v>0</v>
      </c>
      <c r="S183" s="1044">
        <f t="shared" si="158"/>
        <v>0</v>
      </c>
      <c r="T183" s="1044">
        <f t="shared" si="159"/>
        <v>0</v>
      </c>
      <c r="U183" s="1044" t="str">
        <f t="shared" si="160"/>
        <v/>
      </c>
      <c r="V183" s="1044" t="str">
        <f t="shared" si="161"/>
        <v/>
      </c>
      <c r="W183" s="1044">
        <f t="shared" si="162"/>
        <v>0</v>
      </c>
      <c r="X183" s="1044" t="str">
        <f t="shared" si="163"/>
        <v/>
      </c>
      <c r="Y183" s="1044">
        <f t="shared" si="164"/>
        <v>0</v>
      </c>
      <c r="Z183" s="1044" t="str">
        <f t="shared" si="165"/>
        <v/>
      </c>
      <c r="AA183" s="1044">
        <f t="shared" si="166"/>
        <v>0</v>
      </c>
      <c r="AB183" s="1044">
        <f t="shared" si="167"/>
        <v>0</v>
      </c>
      <c r="AC183" s="1044">
        <f t="shared" si="168"/>
        <v>0</v>
      </c>
      <c r="AD183" s="1044" t="str">
        <f t="shared" si="169"/>
        <v/>
      </c>
      <c r="AE183" s="1044">
        <f t="shared" si="170"/>
        <v>0</v>
      </c>
      <c r="AF183" s="1044" t="str">
        <f t="shared" si="171"/>
        <v/>
      </c>
      <c r="AG183" s="1044">
        <f t="shared" si="172"/>
        <v>0</v>
      </c>
      <c r="AH183" s="1044">
        <f t="shared" si="173"/>
        <v>0</v>
      </c>
      <c r="AI183" s="1044" t="str">
        <f t="shared" si="174"/>
        <v/>
      </c>
      <c r="AJ183" s="1044">
        <f t="shared" si="175"/>
        <v>0</v>
      </c>
      <c r="AK183" s="1044">
        <f t="shared" si="176"/>
        <v>0</v>
      </c>
      <c r="AL183" s="1044">
        <f t="shared" si="177"/>
        <v>0</v>
      </c>
      <c r="AM183" s="1044">
        <f t="shared" si="178"/>
        <v>0</v>
      </c>
      <c r="AN183" s="1044" t="str">
        <f t="shared" si="179"/>
        <v/>
      </c>
      <c r="AO183" s="1044" t="str">
        <f t="shared" si="180"/>
        <v/>
      </c>
      <c r="AP183" s="1044">
        <f t="shared" si="181"/>
        <v>0</v>
      </c>
      <c r="AQ183" s="1044">
        <f t="shared" si="182"/>
        <v>0</v>
      </c>
      <c r="AR183" s="1044" t="str">
        <f t="shared" si="183"/>
        <v/>
      </c>
      <c r="AS183" s="1044">
        <f t="shared" si="184"/>
        <v>0</v>
      </c>
      <c r="AT183" s="1044" t="str">
        <f t="shared" si="185"/>
        <v/>
      </c>
      <c r="AU183" s="1044">
        <f t="shared" si="186"/>
        <v>0</v>
      </c>
      <c r="AV183" s="1044" t="str">
        <f t="shared" si="187"/>
        <v/>
      </c>
      <c r="AW183" s="1044">
        <f t="shared" si="188"/>
        <v>0</v>
      </c>
      <c r="AX183" s="1044" t="str">
        <f t="shared" si="189"/>
        <v/>
      </c>
      <c r="AY183" s="1044">
        <f t="shared" si="190"/>
        <v>0</v>
      </c>
      <c r="AZ183" s="1044" t="str">
        <f t="shared" si="191"/>
        <v/>
      </c>
      <c r="BA183" s="1044">
        <f t="shared" si="192"/>
        <v>0</v>
      </c>
      <c r="BB183" s="1044" t="str">
        <f t="shared" si="193"/>
        <v/>
      </c>
      <c r="BC183" s="1044">
        <f t="shared" si="194"/>
        <v>0</v>
      </c>
      <c r="BD183" s="1044">
        <f t="shared" si="195"/>
        <v>0</v>
      </c>
      <c r="BE183" s="1044" t="str">
        <f t="shared" si="196"/>
        <v/>
      </c>
      <c r="BF183" s="1044" t="str">
        <f t="shared" si="197"/>
        <v/>
      </c>
      <c r="BG183" s="1044" t="str">
        <f t="shared" si="198"/>
        <v/>
      </c>
      <c r="BH183" s="1044" t="str">
        <f t="shared" si="199"/>
        <v/>
      </c>
      <c r="BI183" s="1044" t="str">
        <f t="shared" si="200"/>
        <v/>
      </c>
      <c r="BJ183" s="1044" t="str">
        <f t="shared" si="201"/>
        <v/>
      </c>
      <c r="BK183" s="1044" t="str">
        <f t="shared" si="202"/>
        <v/>
      </c>
      <c r="BL183" s="1044" t="str">
        <f t="shared" si="203"/>
        <v/>
      </c>
      <c r="BM183" s="1044" t="str">
        <f t="shared" si="204"/>
        <v/>
      </c>
      <c r="BN183" s="1044" t="str">
        <f t="shared" si="205"/>
        <v/>
      </c>
      <c r="BO183" s="1044" t="str">
        <f t="shared" si="206"/>
        <v/>
      </c>
      <c r="BP183" s="1044" t="str">
        <f t="shared" si="207"/>
        <v/>
      </c>
      <c r="BQ183" s="1044" t="str">
        <f t="shared" si="208"/>
        <v/>
      </c>
      <c r="BR183" s="1044" t="str">
        <f t="shared" si="209"/>
        <v/>
      </c>
      <c r="BS183" s="1044" t="str">
        <f t="shared" si="210"/>
        <v/>
      </c>
      <c r="BT183" s="1044" t="str">
        <f t="shared" si="211"/>
        <v/>
      </c>
      <c r="BU183" s="1044" t="str">
        <f t="shared" si="212"/>
        <v/>
      </c>
    </row>
    <row r="184" spans="1:73" ht="30" customHeight="1">
      <c r="A184" s="1069" t="str">
        <f t="shared" si="142"/>
        <v/>
      </c>
      <c r="B184" s="1063"/>
      <c r="C184" s="1064" t="s">
        <v>254</v>
      </c>
      <c r="D184" s="1070" t="str">
        <f t="shared" si="143"/>
        <v/>
      </c>
      <c r="E184" s="1071" t="str">
        <f t="shared" si="144"/>
        <v/>
      </c>
      <c r="F184" s="1067" t="str">
        <f t="shared" si="145"/>
        <v/>
      </c>
      <c r="G184" s="1068" t="str">
        <f t="shared" si="146"/>
        <v/>
      </c>
      <c r="H184" s="1069" t="str">
        <f t="shared" si="147"/>
        <v/>
      </c>
      <c r="I184" s="1069" t="str">
        <f t="shared" si="148"/>
        <v/>
      </c>
      <c r="J184" s="1067" t="str">
        <f t="shared" si="149"/>
        <v/>
      </c>
      <c r="K184" s="1044" t="str">
        <f t="shared" si="150"/>
        <v/>
      </c>
      <c r="L184" s="1044" t="str">
        <f t="shared" si="151"/>
        <v/>
      </c>
      <c r="M184" s="1044" t="str">
        <f t="shared" si="152"/>
        <v/>
      </c>
      <c r="N184" s="1044" t="str">
        <f t="shared" si="153"/>
        <v/>
      </c>
      <c r="O184" s="1044" t="str">
        <f t="shared" si="154"/>
        <v/>
      </c>
      <c r="P184" s="1044" t="str">
        <f t="shared" si="155"/>
        <v/>
      </c>
      <c r="Q184" s="1044">
        <f t="shared" si="156"/>
        <v>0</v>
      </c>
      <c r="R184" s="1044">
        <f t="shared" si="157"/>
        <v>0</v>
      </c>
      <c r="S184" s="1044">
        <f t="shared" si="158"/>
        <v>0</v>
      </c>
      <c r="T184" s="1044">
        <f t="shared" si="159"/>
        <v>0</v>
      </c>
      <c r="U184" s="1044" t="str">
        <f t="shared" si="160"/>
        <v/>
      </c>
      <c r="V184" s="1044" t="str">
        <f t="shared" si="161"/>
        <v/>
      </c>
      <c r="W184" s="1044">
        <f t="shared" si="162"/>
        <v>0</v>
      </c>
      <c r="X184" s="1044" t="str">
        <f t="shared" si="163"/>
        <v/>
      </c>
      <c r="Y184" s="1044">
        <f t="shared" si="164"/>
        <v>0</v>
      </c>
      <c r="Z184" s="1044" t="str">
        <f t="shared" si="165"/>
        <v/>
      </c>
      <c r="AA184" s="1044">
        <f t="shared" si="166"/>
        <v>0</v>
      </c>
      <c r="AB184" s="1044">
        <f t="shared" si="167"/>
        <v>0</v>
      </c>
      <c r="AC184" s="1044">
        <f t="shared" si="168"/>
        <v>0</v>
      </c>
      <c r="AD184" s="1044" t="str">
        <f t="shared" si="169"/>
        <v/>
      </c>
      <c r="AE184" s="1044">
        <f t="shared" si="170"/>
        <v>0</v>
      </c>
      <c r="AF184" s="1044" t="str">
        <f t="shared" si="171"/>
        <v/>
      </c>
      <c r="AG184" s="1044">
        <f t="shared" si="172"/>
        <v>0</v>
      </c>
      <c r="AH184" s="1044">
        <f t="shared" si="173"/>
        <v>0</v>
      </c>
      <c r="AI184" s="1044" t="str">
        <f t="shared" si="174"/>
        <v/>
      </c>
      <c r="AJ184" s="1044">
        <f t="shared" si="175"/>
        <v>0</v>
      </c>
      <c r="AK184" s="1044">
        <f t="shared" si="176"/>
        <v>0</v>
      </c>
      <c r="AL184" s="1044">
        <f t="shared" si="177"/>
        <v>0</v>
      </c>
      <c r="AM184" s="1044">
        <f t="shared" si="178"/>
        <v>0</v>
      </c>
      <c r="AN184" s="1044" t="str">
        <f t="shared" si="179"/>
        <v/>
      </c>
      <c r="AO184" s="1044" t="str">
        <f t="shared" si="180"/>
        <v/>
      </c>
      <c r="AP184" s="1044">
        <f t="shared" si="181"/>
        <v>0</v>
      </c>
      <c r="AQ184" s="1044">
        <f t="shared" si="182"/>
        <v>0</v>
      </c>
      <c r="AR184" s="1044" t="str">
        <f t="shared" si="183"/>
        <v/>
      </c>
      <c r="AS184" s="1044">
        <f t="shared" si="184"/>
        <v>0</v>
      </c>
      <c r="AT184" s="1044" t="str">
        <f t="shared" si="185"/>
        <v/>
      </c>
      <c r="AU184" s="1044">
        <f t="shared" si="186"/>
        <v>0</v>
      </c>
      <c r="AV184" s="1044" t="str">
        <f t="shared" si="187"/>
        <v/>
      </c>
      <c r="AW184" s="1044">
        <f t="shared" si="188"/>
        <v>0</v>
      </c>
      <c r="AX184" s="1044" t="str">
        <f t="shared" si="189"/>
        <v/>
      </c>
      <c r="AY184" s="1044">
        <f t="shared" si="190"/>
        <v>0</v>
      </c>
      <c r="AZ184" s="1044" t="str">
        <f t="shared" si="191"/>
        <v/>
      </c>
      <c r="BA184" s="1044">
        <f t="shared" si="192"/>
        <v>0</v>
      </c>
      <c r="BB184" s="1044" t="str">
        <f t="shared" si="193"/>
        <v/>
      </c>
      <c r="BC184" s="1044">
        <f t="shared" si="194"/>
        <v>0</v>
      </c>
      <c r="BD184" s="1044">
        <f t="shared" si="195"/>
        <v>0</v>
      </c>
      <c r="BE184" s="1044" t="str">
        <f t="shared" si="196"/>
        <v/>
      </c>
      <c r="BF184" s="1044" t="str">
        <f t="shared" si="197"/>
        <v/>
      </c>
      <c r="BG184" s="1044" t="str">
        <f t="shared" si="198"/>
        <v/>
      </c>
      <c r="BH184" s="1044" t="str">
        <f t="shared" si="199"/>
        <v/>
      </c>
      <c r="BI184" s="1044" t="str">
        <f t="shared" si="200"/>
        <v/>
      </c>
      <c r="BJ184" s="1044" t="str">
        <f t="shared" si="201"/>
        <v/>
      </c>
      <c r="BK184" s="1044" t="str">
        <f t="shared" si="202"/>
        <v/>
      </c>
      <c r="BL184" s="1044" t="str">
        <f t="shared" si="203"/>
        <v/>
      </c>
      <c r="BM184" s="1044" t="str">
        <f t="shared" si="204"/>
        <v/>
      </c>
      <c r="BN184" s="1044" t="str">
        <f t="shared" si="205"/>
        <v/>
      </c>
      <c r="BO184" s="1044" t="str">
        <f t="shared" si="206"/>
        <v/>
      </c>
      <c r="BP184" s="1044" t="str">
        <f t="shared" si="207"/>
        <v/>
      </c>
      <c r="BQ184" s="1044" t="str">
        <f t="shared" si="208"/>
        <v/>
      </c>
      <c r="BR184" s="1044" t="str">
        <f t="shared" si="209"/>
        <v/>
      </c>
      <c r="BS184" s="1044" t="str">
        <f t="shared" si="210"/>
        <v/>
      </c>
      <c r="BT184" s="1044" t="str">
        <f t="shared" si="211"/>
        <v/>
      </c>
      <c r="BU184" s="1044" t="str">
        <f t="shared" si="212"/>
        <v/>
      </c>
    </row>
    <row r="185" spans="1:73" ht="30" customHeight="1">
      <c r="A185" s="1069" t="str">
        <f t="shared" si="142"/>
        <v/>
      </c>
      <c r="B185" s="1063"/>
      <c r="C185" s="1064" t="s">
        <v>254</v>
      </c>
      <c r="D185" s="1070" t="str">
        <f t="shared" si="143"/>
        <v/>
      </c>
      <c r="E185" s="1071" t="str">
        <f t="shared" si="144"/>
        <v/>
      </c>
      <c r="F185" s="1067" t="str">
        <f t="shared" si="145"/>
        <v/>
      </c>
      <c r="G185" s="1068" t="str">
        <f t="shared" si="146"/>
        <v/>
      </c>
      <c r="H185" s="1069" t="str">
        <f t="shared" si="147"/>
        <v/>
      </c>
      <c r="I185" s="1069" t="str">
        <f t="shared" si="148"/>
        <v/>
      </c>
      <c r="J185" s="1067" t="str">
        <f t="shared" si="149"/>
        <v/>
      </c>
      <c r="K185" s="1044" t="str">
        <f t="shared" si="150"/>
        <v/>
      </c>
      <c r="L185" s="1044" t="str">
        <f t="shared" si="151"/>
        <v/>
      </c>
      <c r="M185" s="1044" t="str">
        <f t="shared" si="152"/>
        <v/>
      </c>
      <c r="N185" s="1044" t="str">
        <f t="shared" si="153"/>
        <v/>
      </c>
      <c r="O185" s="1044" t="str">
        <f t="shared" si="154"/>
        <v/>
      </c>
      <c r="P185" s="1044" t="str">
        <f t="shared" si="155"/>
        <v/>
      </c>
      <c r="Q185" s="1044">
        <f t="shared" si="156"/>
        <v>0</v>
      </c>
      <c r="R185" s="1044">
        <f t="shared" si="157"/>
        <v>0</v>
      </c>
      <c r="S185" s="1044">
        <f t="shared" si="158"/>
        <v>0</v>
      </c>
      <c r="T185" s="1044">
        <f t="shared" si="159"/>
        <v>0</v>
      </c>
      <c r="U185" s="1044" t="str">
        <f t="shared" si="160"/>
        <v/>
      </c>
      <c r="V185" s="1044" t="str">
        <f t="shared" si="161"/>
        <v/>
      </c>
      <c r="W185" s="1044">
        <f t="shared" si="162"/>
        <v>0</v>
      </c>
      <c r="X185" s="1044" t="str">
        <f t="shared" si="163"/>
        <v/>
      </c>
      <c r="Y185" s="1044">
        <f t="shared" si="164"/>
        <v>0</v>
      </c>
      <c r="Z185" s="1044" t="str">
        <f t="shared" si="165"/>
        <v/>
      </c>
      <c r="AA185" s="1044">
        <f t="shared" si="166"/>
        <v>0</v>
      </c>
      <c r="AB185" s="1044">
        <f t="shared" si="167"/>
        <v>0</v>
      </c>
      <c r="AC185" s="1044">
        <f t="shared" si="168"/>
        <v>0</v>
      </c>
      <c r="AD185" s="1044" t="str">
        <f t="shared" si="169"/>
        <v/>
      </c>
      <c r="AE185" s="1044">
        <f t="shared" si="170"/>
        <v>0</v>
      </c>
      <c r="AF185" s="1044" t="str">
        <f t="shared" si="171"/>
        <v/>
      </c>
      <c r="AG185" s="1044">
        <f t="shared" si="172"/>
        <v>0</v>
      </c>
      <c r="AH185" s="1044">
        <f t="shared" si="173"/>
        <v>0</v>
      </c>
      <c r="AI185" s="1044" t="str">
        <f t="shared" si="174"/>
        <v/>
      </c>
      <c r="AJ185" s="1044">
        <f t="shared" si="175"/>
        <v>0</v>
      </c>
      <c r="AK185" s="1044">
        <f t="shared" si="176"/>
        <v>0</v>
      </c>
      <c r="AL185" s="1044">
        <f t="shared" si="177"/>
        <v>0</v>
      </c>
      <c r="AM185" s="1044">
        <f t="shared" si="178"/>
        <v>0</v>
      </c>
      <c r="AN185" s="1044" t="str">
        <f t="shared" si="179"/>
        <v/>
      </c>
      <c r="AO185" s="1044" t="str">
        <f t="shared" si="180"/>
        <v/>
      </c>
      <c r="AP185" s="1044">
        <f t="shared" si="181"/>
        <v>0</v>
      </c>
      <c r="AQ185" s="1044">
        <f t="shared" si="182"/>
        <v>0</v>
      </c>
      <c r="AR185" s="1044" t="str">
        <f t="shared" si="183"/>
        <v/>
      </c>
      <c r="AS185" s="1044">
        <f t="shared" si="184"/>
        <v>0</v>
      </c>
      <c r="AT185" s="1044" t="str">
        <f t="shared" si="185"/>
        <v/>
      </c>
      <c r="AU185" s="1044">
        <f t="shared" si="186"/>
        <v>0</v>
      </c>
      <c r="AV185" s="1044" t="str">
        <f t="shared" si="187"/>
        <v/>
      </c>
      <c r="AW185" s="1044">
        <f t="shared" si="188"/>
        <v>0</v>
      </c>
      <c r="AX185" s="1044" t="str">
        <f t="shared" si="189"/>
        <v/>
      </c>
      <c r="AY185" s="1044">
        <f t="shared" si="190"/>
        <v>0</v>
      </c>
      <c r="AZ185" s="1044" t="str">
        <f t="shared" si="191"/>
        <v/>
      </c>
      <c r="BA185" s="1044">
        <f t="shared" si="192"/>
        <v>0</v>
      </c>
      <c r="BB185" s="1044" t="str">
        <f t="shared" si="193"/>
        <v/>
      </c>
      <c r="BC185" s="1044">
        <f t="shared" si="194"/>
        <v>0</v>
      </c>
      <c r="BD185" s="1044">
        <f t="shared" si="195"/>
        <v>0</v>
      </c>
      <c r="BE185" s="1044" t="str">
        <f t="shared" si="196"/>
        <v/>
      </c>
      <c r="BF185" s="1044" t="str">
        <f t="shared" si="197"/>
        <v/>
      </c>
      <c r="BG185" s="1044" t="str">
        <f t="shared" si="198"/>
        <v/>
      </c>
      <c r="BH185" s="1044" t="str">
        <f t="shared" si="199"/>
        <v/>
      </c>
      <c r="BI185" s="1044" t="str">
        <f t="shared" si="200"/>
        <v/>
      </c>
      <c r="BJ185" s="1044" t="str">
        <f t="shared" si="201"/>
        <v/>
      </c>
      <c r="BK185" s="1044" t="str">
        <f t="shared" si="202"/>
        <v/>
      </c>
      <c r="BL185" s="1044" t="str">
        <f t="shared" si="203"/>
        <v/>
      </c>
      <c r="BM185" s="1044" t="str">
        <f t="shared" si="204"/>
        <v/>
      </c>
      <c r="BN185" s="1044" t="str">
        <f t="shared" si="205"/>
        <v/>
      </c>
      <c r="BO185" s="1044" t="str">
        <f t="shared" si="206"/>
        <v/>
      </c>
      <c r="BP185" s="1044" t="str">
        <f t="shared" si="207"/>
        <v/>
      </c>
      <c r="BQ185" s="1044" t="str">
        <f t="shared" si="208"/>
        <v/>
      </c>
      <c r="BR185" s="1044" t="str">
        <f t="shared" si="209"/>
        <v/>
      </c>
      <c r="BS185" s="1044" t="str">
        <f t="shared" si="210"/>
        <v/>
      </c>
      <c r="BT185" s="1044" t="str">
        <f t="shared" si="211"/>
        <v/>
      </c>
      <c r="BU185" s="1044" t="str">
        <f t="shared" si="212"/>
        <v/>
      </c>
    </row>
    <row r="186" spans="1:73" ht="30" customHeight="1">
      <c r="A186" s="1069" t="str">
        <f t="shared" si="142"/>
        <v/>
      </c>
      <c r="B186" s="1063"/>
      <c r="C186" s="1064" t="s">
        <v>254</v>
      </c>
      <c r="D186" s="1070" t="str">
        <f t="shared" si="143"/>
        <v/>
      </c>
      <c r="E186" s="1071" t="str">
        <f t="shared" si="144"/>
        <v/>
      </c>
      <c r="F186" s="1067" t="str">
        <f t="shared" si="145"/>
        <v/>
      </c>
      <c r="G186" s="1068" t="str">
        <f t="shared" si="146"/>
        <v/>
      </c>
      <c r="H186" s="1069" t="str">
        <f t="shared" si="147"/>
        <v/>
      </c>
      <c r="I186" s="1069" t="str">
        <f t="shared" si="148"/>
        <v/>
      </c>
      <c r="J186" s="1067" t="str">
        <f t="shared" si="149"/>
        <v/>
      </c>
      <c r="K186" s="1044" t="str">
        <f t="shared" si="150"/>
        <v/>
      </c>
      <c r="L186" s="1044" t="str">
        <f t="shared" si="151"/>
        <v/>
      </c>
      <c r="M186" s="1044" t="str">
        <f t="shared" si="152"/>
        <v/>
      </c>
      <c r="N186" s="1044" t="str">
        <f t="shared" si="153"/>
        <v/>
      </c>
      <c r="O186" s="1044" t="str">
        <f t="shared" si="154"/>
        <v/>
      </c>
      <c r="P186" s="1044" t="str">
        <f t="shared" si="155"/>
        <v/>
      </c>
      <c r="Q186" s="1044">
        <f t="shared" si="156"/>
        <v>0</v>
      </c>
      <c r="R186" s="1044">
        <f t="shared" si="157"/>
        <v>0</v>
      </c>
      <c r="S186" s="1044">
        <f t="shared" si="158"/>
        <v>0</v>
      </c>
      <c r="T186" s="1044">
        <f t="shared" si="159"/>
        <v>0</v>
      </c>
      <c r="U186" s="1044" t="str">
        <f t="shared" si="160"/>
        <v/>
      </c>
      <c r="V186" s="1044" t="str">
        <f t="shared" si="161"/>
        <v/>
      </c>
      <c r="W186" s="1044">
        <f t="shared" si="162"/>
        <v>0</v>
      </c>
      <c r="X186" s="1044" t="str">
        <f t="shared" si="163"/>
        <v/>
      </c>
      <c r="Y186" s="1044">
        <f t="shared" si="164"/>
        <v>0</v>
      </c>
      <c r="Z186" s="1044" t="str">
        <f t="shared" si="165"/>
        <v/>
      </c>
      <c r="AA186" s="1044">
        <f t="shared" si="166"/>
        <v>0</v>
      </c>
      <c r="AB186" s="1044">
        <f t="shared" si="167"/>
        <v>0</v>
      </c>
      <c r="AC186" s="1044">
        <f t="shared" si="168"/>
        <v>0</v>
      </c>
      <c r="AD186" s="1044" t="str">
        <f t="shared" si="169"/>
        <v/>
      </c>
      <c r="AE186" s="1044">
        <f t="shared" si="170"/>
        <v>0</v>
      </c>
      <c r="AF186" s="1044" t="str">
        <f t="shared" si="171"/>
        <v/>
      </c>
      <c r="AG186" s="1044">
        <f t="shared" si="172"/>
        <v>0</v>
      </c>
      <c r="AH186" s="1044">
        <f t="shared" si="173"/>
        <v>0</v>
      </c>
      <c r="AI186" s="1044" t="str">
        <f t="shared" si="174"/>
        <v/>
      </c>
      <c r="AJ186" s="1044">
        <f t="shared" si="175"/>
        <v>0</v>
      </c>
      <c r="AK186" s="1044">
        <f t="shared" si="176"/>
        <v>0</v>
      </c>
      <c r="AL186" s="1044">
        <f t="shared" si="177"/>
        <v>0</v>
      </c>
      <c r="AM186" s="1044">
        <f t="shared" si="178"/>
        <v>0</v>
      </c>
      <c r="AN186" s="1044" t="str">
        <f t="shared" si="179"/>
        <v/>
      </c>
      <c r="AO186" s="1044" t="str">
        <f t="shared" si="180"/>
        <v/>
      </c>
      <c r="AP186" s="1044">
        <f t="shared" si="181"/>
        <v>0</v>
      </c>
      <c r="AQ186" s="1044">
        <f t="shared" si="182"/>
        <v>0</v>
      </c>
      <c r="AR186" s="1044" t="str">
        <f t="shared" si="183"/>
        <v/>
      </c>
      <c r="AS186" s="1044">
        <f t="shared" si="184"/>
        <v>0</v>
      </c>
      <c r="AT186" s="1044" t="str">
        <f t="shared" si="185"/>
        <v/>
      </c>
      <c r="AU186" s="1044">
        <f t="shared" si="186"/>
        <v>0</v>
      </c>
      <c r="AV186" s="1044" t="str">
        <f t="shared" si="187"/>
        <v/>
      </c>
      <c r="AW186" s="1044">
        <f t="shared" si="188"/>
        <v>0</v>
      </c>
      <c r="AX186" s="1044" t="str">
        <f t="shared" si="189"/>
        <v/>
      </c>
      <c r="AY186" s="1044">
        <f t="shared" si="190"/>
        <v>0</v>
      </c>
      <c r="AZ186" s="1044" t="str">
        <f t="shared" si="191"/>
        <v/>
      </c>
      <c r="BA186" s="1044">
        <f t="shared" si="192"/>
        <v>0</v>
      </c>
      <c r="BB186" s="1044" t="str">
        <f t="shared" si="193"/>
        <v/>
      </c>
      <c r="BC186" s="1044">
        <f t="shared" si="194"/>
        <v>0</v>
      </c>
      <c r="BD186" s="1044">
        <f t="shared" si="195"/>
        <v>0</v>
      </c>
      <c r="BE186" s="1044" t="str">
        <f t="shared" si="196"/>
        <v/>
      </c>
      <c r="BF186" s="1044" t="str">
        <f t="shared" si="197"/>
        <v/>
      </c>
      <c r="BG186" s="1044" t="str">
        <f t="shared" si="198"/>
        <v/>
      </c>
      <c r="BH186" s="1044" t="str">
        <f t="shared" si="199"/>
        <v/>
      </c>
      <c r="BI186" s="1044" t="str">
        <f t="shared" si="200"/>
        <v/>
      </c>
      <c r="BJ186" s="1044" t="str">
        <f t="shared" si="201"/>
        <v/>
      </c>
      <c r="BK186" s="1044" t="str">
        <f t="shared" si="202"/>
        <v/>
      </c>
      <c r="BL186" s="1044" t="str">
        <f t="shared" si="203"/>
        <v/>
      </c>
      <c r="BM186" s="1044" t="str">
        <f t="shared" si="204"/>
        <v/>
      </c>
      <c r="BN186" s="1044" t="str">
        <f t="shared" si="205"/>
        <v/>
      </c>
      <c r="BO186" s="1044" t="str">
        <f t="shared" si="206"/>
        <v/>
      </c>
      <c r="BP186" s="1044" t="str">
        <f t="shared" si="207"/>
        <v/>
      </c>
      <c r="BQ186" s="1044" t="str">
        <f t="shared" si="208"/>
        <v/>
      </c>
      <c r="BR186" s="1044" t="str">
        <f t="shared" si="209"/>
        <v/>
      </c>
      <c r="BS186" s="1044" t="str">
        <f t="shared" si="210"/>
        <v/>
      </c>
      <c r="BT186" s="1044" t="str">
        <f t="shared" si="211"/>
        <v/>
      </c>
      <c r="BU186" s="1044" t="str">
        <f t="shared" si="212"/>
        <v/>
      </c>
    </row>
    <row r="187" spans="1:73" ht="30" customHeight="1">
      <c r="A187" s="1069" t="str">
        <f t="shared" si="142"/>
        <v/>
      </c>
      <c r="B187" s="1063"/>
      <c r="C187" s="1064" t="s">
        <v>254</v>
      </c>
      <c r="D187" s="1070" t="str">
        <f t="shared" si="143"/>
        <v/>
      </c>
      <c r="E187" s="1071" t="str">
        <f t="shared" si="144"/>
        <v/>
      </c>
      <c r="F187" s="1067" t="str">
        <f t="shared" si="145"/>
        <v/>
      </c>
      <c r="G187" s="1068" t="str">
        <f t="shared" si="146"/>
        <v/>
      </c>
      <c r="H187" s="1069" t="str">
        <f t="shared" si="147"/>
        <v/>
      </c>
      <c r="I187" s="1069" t="str">
        <f t="shared" si="148"/>
        <v/>
      </c>
      <c r="J187" s="1067" t="str">
        <f t="shared" si="149"/>
        <v/>
      </c>
      <c r="K187" s="1044" t="str">
        <f t="shared" si="150"/>
        <v/>
      </c>
      <c r="L187" s="1044" t="str">
        <f t="shared" si="151"/>
        <v/>
      </c>
      <c r="M187" s="1044" t="str">
        <f t="shared" si="152"/>
        <v/>
      </c>
      <c r="N187" s="1044" t="str">
        <f t="shared" si="153"/>
        <v/>
      </c>
      <c r="O187" s="1044" t="str">
        <f t="shared" si="154"/>
        <v/>
      </c>
      <c r="P187" s="1044" t="str">
        <f t="shared" si="155"/>
        <v/>
      </c>
      <c r="Q187" s="1044">
        <f t="shared" si="156"/>
        <v>0</v>
      </c>
      <c r="R187" s="1044">
        <f t="shared" si="157"/>
        <v>0</v>
      </c>
      <c r="S187" s="1044">
        <f t="shared" si="158"/>
        <v>0</v>
      </c>
      <c r="T187" s="1044">
        <f t="shared" si="159"/>
        <v>0</v>
      </c>
      <c r="U187" s="1044" t="str">
        <f t="shared" si="160"/>
        <v/>
      </c>
      <c r="V187" s="1044" t="str">
        <f t="shared" si="161"/>
        <v/>
      </c>
      <c r="W187" s="1044">
        <f t="shared" si="162"/>
        <v>0</v>
      </c>
      <c r="X187" s="1044" t="str">
        <f t="shared" si="163"/>
        <v/>
      </c>
      <c r="Y187" s="1044">
        <f t="shared" si="164"/>
        <v>0</v>
      </c>
      <c r="Z187" s="1044" t="str">
        <f t="shared" si="165"/>
        <v/>
      </c>
      <c r="AA187" s="1044">
        <f t="shared" si="166"/>
        <v>0</v>
      </c>
      <c r="AB187" s="1044">
        <f t="shared" si="167"/>
        <v>0</v>
      </c>
      <c r="AC187" s="1044">
        <f t="shared" si="168"/>
        <v>0</v>
      </c>
      <c r="AD187" s="1044" t="str">
        <f t="shared" si="169"/>
        <v/>
      </c>
      <c r="AE187" s="1044">
        <f t="shared" si="170"/>
        <v>0</v>
      </c>
      <c r="AF187" s="1044" t="str">
        <f t="shared" si="171"/>
        <v/>
      </c>
      <c r="AG187" s="1044">
        <f t="shared" si="172"/>
        <v>0</v>
      </c>
      <c r="AH187" s="1044">
        <f t="shared" si="173"/>
        <v>0</v>
      </c>
      <c r="AI187" s="1044" t="str">
        <f t="shared" si="174"/>
        <v/>
      </c>
      <c r="AJ187" s="1044">
        <f t="shared" si="175"/>
        <v>0</v>
      </c>
      <c r="AK187" s="1044">
        <f t="shared" si="176"/>
        <v>0</v>
      </c>
      <c r="AL187" s="1044">
        <f t="shared" si="177"/>
        <v>0</v>
      </c>
      <c r="AM187" s="1044">
        <f t="shared" si="178"/>
        <v>0</v>
      </c>
      <c r="AN187" s="1044" t="str">
        <f t="shared" si="179"/>
        <v/>
      </c>
      <c r="AO187" s="1044" t="str">
        <f t="shared" si="180"/>
        <v/>
      </c>
      <c r="AP187" s="1044">
        <f t="shared" si="181"/>
        <v>0</v>
      </c>
      <c r="AQ187" s="1044">
        <f t="shared" si="182"/>
        <v>0</v>
      </c>
      <c r="AR187" s="1044" t="str">
        <f t="shared" si="183"/>
        <v/>
      </c>
      <c r="AS187" s="1044">
        <f t="shared" si="184"/>
        <v>0</v>
      </c>
      <c r="AT187" s="1044" t="str">
        <f t="shared" si="185"/>
        <v/>
      </c>
      <c r="AU187" s="1044">
        <f t="shared" si="186"/>
        <v>0</v>
      </c>
      <c r="AV187" s="1044" t="str">
        <f t="shared" si="187"/>
        <v/>
      </c>
      <c r="AW187" s="1044">
        <f t="shared" si="188"/>
        <v>0</v>
      </c>
      <c r="AX187" s="1044" t="str">
        <f t="shared" si="189"/>
        <v/>
      </c>
      <c r="AY187" s="1044">
        <f t="shared" si="190"/>
        <v>0</v>
      </c>
      <c r="AZ187" s="1044" t="str">
        <f t="shared" si="191"/>
        <v/>
      </c>
      <c r="BA187" s="1044">
        <f t="shared" si="192"/>
        <v>0</v>
      </c>
      <c r="BB187" s="1044" t="str">
        <f t="shared" si="193"/>
        <v/>
      </c>
      <c r="BC187" s="1044">
        <f t="shared" si="194"/>
        <v>0</v>
      </c>
      <c r="BD187" s="1044">
        <f t="shared" si="195"/>
        <v>0</v>
      </c>
      <c r="BE187" s="1044" t="str">
        <f t="shared" si="196"/>
        <v/>
      </c>
      <c r="BF187" s="1044" t="str">
        <f t="shared" si="197"/>
        <v/>
      </c>
      <c r="BG187" s="1044" t="str">
        <f t="shared" si="198"/>
        <v/>
      </c>
      <c r="BH187" s="1044" t="str">
        <f t="shared" si="199"/>
        <v/>
      </c>
      <c r="BI187" s="1044" t="str">
        <f t="shared" si="200"/>
        <v/>
      </c>
      <c r="BJ187" s="1044" t="str">
        <f t="shared" si="201"/>
        <v/>
      </c>
      <c r="BK187" s="1044" t="str">
        <f t="shared" si="202"/>
        <v/>
      </c>
      <c r="BL187" s="1044" t="str">
        <f t="shared" si="203"/>
        <v/>
      </c>
      <c r="BM187" s="1044" t="str">
        <f t="shared" si="204"/>
        <v/>
      </c>
      <c r="BN187" s="1044" t="str">
        <f t="shared" si="205"/>
        <v/>
      </c>
      <c r="BO187" s="1044" t="str">
        <f t="shared" si="206"/>
        <v/>
      </c>
      <c r="BP187" s="1044" t="str">
        <f t="shared" si="207"/>
        <v/>
      </c>
      <c r="BQ187" s="1044" t="str">
        <f t="shared" si="208"/>
        <v/>
      </c>
      <c r="BR187" s="1044" t="str">
        <f t="shared" si="209"/>
        <v/>
      </c>
      <c r="BS187" s="1044" t="str">
        <f t="shared" si="210"/>
        <v/>
      </c>
      <c r="BT187" s="1044" t="str">
        <f t="shared" si="211"/>
        <v/>
      </c>
      <c r="BU187" s="1044" t="str">
        <f t="shared" si="212"/>
        <v/>
      </c>
    </row>
    <row r="188" spans="1:73" ht="30" customHeight="1">
      <c r="A188" s="1069" t="str">
        <f t="shared" si="142"/>
        <v/>
      </c>
      <c r="B188" s="1063"/>
      <c r="C188" s="1064" t="s">
        <v>254</v>
      </c>
      <c r="D188" s="1070" t="str">
        <f t="shared" si="143"/>
        <v/>
      </c>
      <c r="E188" s="1071" t="str">
        <f t="shared" si="144"/>
        <v/>
      </c>
      <c r="F188" s="1067" t="str">
        <f t="shared" si="145"/>
        <v/>
      </c>
      <c r="G188" s="1068" t="str">
        <f t="shared" si="146"/>
        <v/>
      </c>
      <c r="H188" s="1069" t="str">
        <f t="shared" si="147"/>
        <v/>
      </c>
      <c r="I188" s="1069" t="str">
        <f t="shared" si="148"/>
        <v/>
      </c>
      <c r="J188" s="1067" t="str">
        <f t="shared" si="149"/>
        <v/>
      </c>
      <c r="K188" s="1044" t="str">
        <f t="shared" si="150"/>
        <v/>
      </c>
      <c r="L188" s="1044" t="str">
        <f t="shared" si="151"/>
        <v/>
      </c>
      <c r="M188" s="1044" t="str">
        <f t="shared" si="152"/>
        <v/>
      </c>
      <c r="N188" s="1044" t="str">
        <f t="shared" si="153"/>
        <v/>
      </c>
      <c r="O188" s="1044" t="str">
        <f t="shared" si="154"/>
        <v/>
      </c>
      <c r="P188" s="1044" t="str">
        <f t="shared" si="155"/>
        <v/>
      </c>
      <c r="Q188" s="1044">
        <f t="shared" si="156"/>
        <v>0</v>
      </c>
      <c r="R188" s="1044">
        <f t="shared" si="157"/>
        <v>0</v>
      </c>
      <c r="S188" s="1044">
        <f t="shared" si="158"/>
        <v>0</v>
      </c>
      <c r="T188" s="1044">
        <f t="shared" si="159"/>
        <v>0</v>
      </c>
      <c r="U188" s="1044" t="str">
        <f t="shared" si="160"/>
        <v/>
      </c>
      <c r="V188" s="1044" t="str">
        <f t="shared" si="161"/>
        <v/>
      </c>
      <c r="W188" s="1044">
        <f t="shared" si="162"/>
        <v>0</v>
      </c>
      <c r="X188" s="1044" t="str">
        <f t="shared" si="163"/>
        <v/>
      </c>
      <c r="Y188" s="1044">
        <f t="shared" si="164"/>
        <v>0</v>
      </c>
      <c r="Z188" s="1044" t="str">
        <f t="shared" si="165"/>
        <v/>
      </c>
      <c r="AA188" s="1044">
        <f t="shared" si="166"/>
        <v>0</v>
      </c>
      <c r="AB188" s="1044">
        <f t="shared" si="167"/>
        <v>0</v>
      </c>
      <c r="AC188" s="1044">
        <f t="shared" si="168"/>
        <v>0</v>
      </c>
      <c r="AD188" s="1044" t="str">
        <f t="shared" si="169"/>
        <v/>
      </c>
      <c r="AE188" s="1044">
        <f t="shared" si="170"/>
        <v>0</v>
      </c>
      <c r="AF188" s="1044" t="str">
        <f t="shared" si="171"/>
        <v/>
      </c>
      <c r="AG188" s="1044">
        <f t="shared" si="172"/>
        <v>0</v>
      </c>
      <c r="AH188" s="1044">
        <f t="shared" si="173"/>
        <v>0</v>
      </c>
      <c r="AI188" s="1044" t="str">
        <f t="shared" si="174"/>
        <v/>
      </c>
      <c r="AJ188" s="1044">
        <f t="shared" si="175"/>
        <v>0</v>
      </c>
      <c r="AK188" s="1044">
        <f t="shared" si="176"/>
        <v>0</v>
      </c>
      <c r="AL188" s="1044">
        <f t="shared" si="177"/>
        <v>0</v>
      </c>
      <c r="AM188" s="1044">
        <f t="shared" si="178"/>
        <v>0</v>
      </c>
      <c r="AN188" s="1044" t="str">
        <f t="shared" si="179"/>
        <v/>
      </c>
      <c r="AO188" s="1044" t="str">
        <f t="shared" si="180"/>
        <v/>
      </c>
      <c r="AP188" s="1044">
        <f t="shared" si="181"/>
        <v>0</v>
      </c>
      <c r="AQ188" s="1044">
        <f t="shared" si="182"/>
        <v>0</v>
      </c>
      <c r="AR188" s="1044" t="str">
        <f t="shared" si="183"/>
        <v/>
      </c>
      <c r="AS188" s="1044">
        <f t="shared" si="184"/>
        <v>0</v>
      </c>
      <c r="AT188" s="1044" t="str">
        <f t="shared" si="185"/>
        <v/>
      </c>
      <c r="AU188" s="1044">
        <f t="shared" si="186"/>
        <v>0</v>
      </c>
      <c r="AV188" s="1044" t="str">
        <f t="shared" si="187"/>
        <v/>
      </c>
      <c r="AW188" s="1044">
        <f t="shared" si="188"/>
        <v>0</v>
      </c>
      <c r="AX188" s="1044" t="str">
        <f t="shared" si="189"/>
        <v/>
      </c>
      <c r="AY188" s="1044">
        <f t="shared" si="190"/>
        <v>0</v>
      </c>
      <c r="AZ188" s="1044" t="str">
        <f t="shared" si="191"/>
        <v/>
      </c>
      <c r="BA188" s="1044">
        <f t="shared" si="192"/>
        <v>0</v>
      </c>
      <c r="BB188" s="1044" t="str">
        <f t="shared" si="193"/>
        <v/>
      </c>
      <c r="BC188" s="1044">
        <f t="shared" si="194"/>
        <v>0</v>
      </c>
      <c r="BD188" s="1044">
        <f t="shared" si="195"/>
        <v>0</v>
      </c>
      <c r="BE188" s="1044" t="str">
        <f t="shared" si="196"/>
        <v/>
      </c>
      <c r="BF188" s="1044" t="str">
        <f t="shared" si="197"/>
        <v/>
      </c>
      <c r="BG188" s="1044" t="str">
        <f t="shared" si="198"/>
        <v/>
      </c>
      <c r="BH188" s="1044" t="str">
        <f t="shared" si="199"/>
        <v/>
      </c>
      <c r="BI188" s="1044" t="str">
        <f t="shared" si="200"/>
        <v/>
      </c>
      <c r="BJ188" s="1044" t="str">
        <f t="shared" si="201"/>
        <v/>
      </c>
      <c r="BK188" s="1044" t="str">
        <f t="shared" si="202"/>
        <v/>
      </c>
      <c r="BL188" s="1044" t="str">
        <f t="shared" si="203"/>
        <v/>
      </c>
      <c r="BM188" s="1044" t="str">
        <f t="shared" si="204"/>
        <v/>
      </c>
      <c r="BN188" s="1044" t="str">
        <f t="shared" si="205"/>
        <v/>
      </c>
      <c r="BO188" s="1044" t="str">
        <f t="shared" si="206"/>
        <v/>
      </c>
      <c r="BP188" s="1044" t="str">
        <f t="shared" si="207"/>
        <v/>
      </c>
      <c r="BQ188" s="1044" t="str">
        <f t="shared" si="208"/>
        <v/>
      </c>
      <c r="BR188" s="1044" t="str">
        <f t="shared" si="209"/>
        <v/>
      </c>
      <c r="BS188" s="1044" t="str">
        <f t="shared" si="210"/>
        <v/>
      </c>
      <c r="BT188" s="1044" t="str">
        <f t="shared" si="211"/>
        <v/>
      </c>
      <c r="BU188" s="1044" t="str">
        <f t="shared" si="212"/>
        <v/>
      </c>
    </row>
    <row r="189" spans="1:73" ht="30" customHeight="1">
      <c r="A189" s="1069" t="str">
        <f t="shared" si="142"/>
        <v/>
      </c>
      <c r="B189" s="1063"/>
      <c r="C189" s="1064" t="s">
        <v>254</v>
      </c>
      <c r="D189" s="1070" t="str">
        <f t="shared" si="143"/>
        <v/>
      </c>
      <c r="E189" s="1071" t="str">
        <f t="shared" si="144"/>
        <v/>
      </c>
      <c r="F189" s="1067" t="str">
        <f t="shared" si="145"/>
        <v/>
      </c>
      <c r="G189" s="1068" t="str">
        <f t="shared" si="146"/>
        <v/>
      </c>
      <c r="H189" s="1069" t="str">
        <f t="shared" si="147"/>
        <v/>
      </c>
      <c r="I189" s="1069" t="str">
        <f t="shared" si="148"/>
        <v/>
      </c>
      <c r="J189" s="1067" t="str">
        <f t="shared" si="149"/>
        <v/>
      </c>
      <c r="K189" s="1044" t="str">
        <f t="shared" si="150"/>
        <v/>
      </c>
      <c r="L189" s="1044" t="str">
        <f t="shared" si="151"/>
        <v/>
      </c>
      <c r="M189" s="1044" t="str">
        <f t="shared" si="152"/>
        <v/>
      </c>
      <c r="N189" s="1044" t="str">
        <f t="shared" si="153"/>
        <v/>
      </c>
      <c r="O189" s="1044" t="str">
        <f t="shared" si="154"/>
        <v/>
      </c>
      <c r="P189" s="1044" t="str">
        <f t="shared" si="155"/>
        <v/>
      </c>
      <c r="Q189" s="1044">
        <f t="shared" si="156"/>
        <v>0</v>
      </c>
      <c r="R189" s="1044">
        <f t="shared" si="157"/>
        <v>0</v>
      </c>
      <c r="S189" s="1044">
        <f t="shared" si="158"/>
        <v>0</v>
      </c>
      <c r="T189" s="1044">
        <f t="shared" si="159"/>
        <v>0</v>
      </c>
      <c r="U189" s="1044" t="str">
        <f t="shared" si="160"/>
        <v/>
      </c>
      <c r="V189" s="1044" t="str">
        <f t="shared" si="161"/>
        <v/>
      </c>
      <c r="W189" s="1044">
        <f t="shared" si="162"/>
        <v>0</v>
      </c>
      <c r="X189" s="1044" t="str">
        <f t="shared" si="163"/>
        <v/>
      </c>
      <c r="Y189" s="1044">
        <f t="shared" si="164"/>
        <v>0</v>
      </c>
      <c r="Z189" s="1044" t="str">
        <f t="shared" si="165"/>
        <v/>
      </c>
      <c r="AA189" s="1044">
        <f t="shared" si="166"/>
        <v>0</v>
      </c>
      <c r="AB189" s="1044">
        <f t="shared" si="167"/>
        <v>0</v>
      </c>
      <c r="AC189" s="1044">
        <f t="shared" si="168"/>
        <v>0</v>
      </c>
      <c r="AD189" s="1044" t="str">
        <f t="shared" si="169"/>
        <v/>
      </c>
      <c r="AE189" s="1044">
        <f t="shared" si="170"/>
        <v>0</v>
      </c>
      <c r="AF189" s="1044" t="str">
        <f t="shared" si="171"/>
        <v/>
      </c>
      <c r="AG189" s="1044">
        <f t="shared" si="172"/>
        <v>0</v>
      </c>
      <c r="AH189" s="1044">
        <f t="shared" si="173"/>
        <v>0</v>
      </c>
      <c r="AI189" s="1044" t="str">
        <f t="shared" si="174"/>
        <v/>
      </c>
      <c r="AJ189" s="1044">
        <f t="shared" si="175"/>
        <v>0</v>
      </c>
      <c r="AK189" s="1044">
        <f t="shared" si="176"/>
        <v>0</v>
      </c>
      <c r="AL189" s="1044">
        <f t="shared" si="177"/>
        <v>0</v>
      </c>
      <c r="AM189" s="1044">
        <f t="shared" si="178"/>
        <v>0</v>
      </c>
      <c r="AN189" s="1044" t="str">
        <f t="shared" si="179"/>
        <v/>
      </c>
      <c r="AO189" s="1044" t="str">
        <f t="shared" si="180"/>
        <v/>
      </c>
      <c r="AP189" s="1044">
        <f t="shared" si="181"/>
        <v>0</v>
      </c>
      <c r="AQ189" s="1044">
        <f t="shared" si="182"/>
        <v>0</v>
      </c>
      <c r="AR189" s="1044" t="str">
        <f t="shared" si="183"/>
        <v/>
      </c>
      <c r="AS189" s="1044">
        <f t="shared" si="184"/>
        <v>0</v>
      </c>
      <c r="AT189" s="1044" t="str">
        <f t="shared" si="185"/>
        <v/>
      </c>
      <c r="AU189" s="1044">
        <f t="shared" si="186"/>
        <v>0</v>
      </c>
      <c r="AV189" s="1044" t="str">
        <f t="shared" si="187"/>
        <v/>
      </c>
      <c r="AW189" s="1044">
        <f t="shared" si="188"/>
        <v>0</v>
      </c>
      <c r="AX189" s="1044" t="str">
        <f t="shared" si="189"/>
        <v/>
      </c>
      <c r="AY189" s="1044">
        <f t="shared" si="190"/>
        <v>0</v>
      </c>
      <c r="AZ189" s="1044" t="str">
        <f t="shared" si="191"/>
        <v/>
      </c>
      <c r="BA189" s="1044">
        <f t="shared" si="192"/>
        <v>0</v>
      </c>
      <c r="BB189" s="1044" t="str">
        <f t="shared" si="193"/>
        <v/>
      </c>
      <c r="BC189" s="1044">
        <f t="shared" si="194"/>
        <v>0</v>
      </c>
      <c r="BD189" s="1044">
        <f t="shared" si="195"/>
        <v>0</v>
      </c>
      <c r="BE189" s="1044" t="str">
        <f t="shared" si="196"/>
        <v/>
      </c>
      <c r="BF189" s="1044" t="str">
        <f t="shared" si="197"/>
        <v/>
      </c>
      <c r="BG189" s="1044" t="str">
        <f t="shared" si="198"/>
        <v/>
      </c>
      <c r="BH189" s="1044" t="str">
        <f t="shared" si="199"/>
        <v/>
      </c>
      <c r="BI189" s="1044" t="str">
        <f t="shared" si="200"/>
        <v/>
      </c>
      <c r="BJ189" s="1044" t="str">
        <f t="shared" si="201"/>
        <v/>
      </c>
      <c r="BK189" s="1044" t="str">
        <f t="shared" si="202"/>
        <v/>
      </c>
      <c r="BL189" s="1044" t="str">
        <f t="shared" si="203"/>
        <v/>
      </c>
      <c r="BM189" s="1044" t="str">
        <f t="shared" si="204"/>
        <v/>
      </c>
      <c r="BN189" s="1044" t="str">
        <f t="shared" si="205"/>
        <v/>
      </c>
      <c r="BO189" s="1044" t="str">
        <f t="shared" si="206"/>
        <v/>
      </c>
      <c r="BP189" s="1044" t="str">
        <f t="shared" si="207"/>
        <v/>
      </c>
      <c r="BQ189" s="1044" t="str">
        <f t="shared" si="208"/>
        <v/>
      </c>
      <c r="BR189" s="1044" t="str">
        <f t="shared" si="209"/>
        <v/>
      </c>
      <c r="BS189" s="1044" t="str">
        <f t="shared" si="210"/>
        <v/>
      </c>
      <c r="BT189" s="1044" t="str">
        <f t="shared" si="211"/>
        <v/>
      </c>
      <c r="BU189" s="1044" t="str">
        <f t="shared" si="212"/>
        <v/>
      </c>
    </row>
    <row r="190" spans="1:73" ht="30" customHeight="1">
      <c r="A190" s="1069" t="str">
        <f t="shared" si="142"/>
        <v/>
      </c>
      <c r="B190" s="1063"/>
      <c r="C190" s="1064" t="s">
        <v>254</v>
      </c>
      <c r="D190" s="1070" t="str">
        <f t="shared" si="143"/>
        <v/>
      </c>
      <c r="E190" s="1071" t="str">
        <f t="shared" si="144"/>
        <v/>
      </c>
      <c r="F190" s="1067" t="str">
        <f t="shared" si="145"/>
        <v/>
      </c>
      <c r="G190" s="1068" t="str">
        <f t="shared" si="146"/>
        <v/>
      </c>
      <c r="H190" s="1069" t="str">
        <f t="shared" si="147"/>
        <v/>
      </c>
      <c r="I190" s="1069" t="str">
        <f t="shared" si="148"/>
        <v/>
      </c>
      <c r="J190" s="1067" t="str">
        <f t="shared" si="149"/>
        <v/>
      </c>
      <c r="K190" s="1044" t="str">
        <f t="shared" si="150"/>
        <v/>
      </c>
      <c r="L190" s="1044" t="str">
        <f t="shared" si="151"/>
        <v/>
      </c>
      <c r="M190" s="1044" t="str">
        <f t="shared" si="152"/>
        <v/>
      </c>
      <c r="N190" s="1044" t="str">
        <f t="shared" si="153"/>
        <v/>
      </c>
      <c r="O190" s="1044" t="str">
        <f t="shared" si="154"/>
        <v/>
      </c>
      <c r="P190" s="1044" t="str">
        <f t="shared" si="155"/>
        <v/>
      </c>
      <c r="Q190" s="1044">
        <f t="shared" si="156"/>
        <v>0</v>
      </c>
      <c r="R190" s="1044">
        <f t="shared" si="157"/>
        <v>0</v>
      </c>
      <c r="S190" s="1044">
        <f t="shared" si="158"/>
        <v>0</v>
      </c>
      <c r="T190" s="1044">
        <f t="shared" si="159"/>
        <v>0</v>
      </c>
      <c r="U190" s="1044" t="str">
        <f t="shared" si="160"/>
        <v/>
      </c>
      <c r="V190" s="1044" t="str">
        <f t="shared" si="161"/>
        <v/>
      </c>
      <c r="W190" s="1044">
        <f t="shared" si="162"/>
        <v>0</v>
      </c>
      <c r="X190" s="1044" t="str">
        <f t="shared" si="163"/>
        <v/>
      </c>
      <c r="Y190" s="1044">
        <f t="shared" si="164"/>
        <v>0</v>
      </c>
      <c r="Z190" s="1044" t="str">
        <f t="shared" si="165"/>
        <v/>
      </c>
      <c r="AA190" s="1044">
        <f t="shared" si="166"/>
        <v>0</v>
      </c>
      <c r="AB190" s="1044">
        <f t="shared" si="167"/>
        <v>0</v>
      </c>
      <c r="AC190" s="1044">
        <f t="shared" si="168"/>
        <v>0</v>
      </c>
      <c r="AD190" s="1044" t="str">
        <f t="shared" si="169"/>
        <v/>
      </c>
      <c r="AE190" s="1044">
        <f t="shared" si="170"/>
        <v>0</v>
      </c>
      <c r="AF190" s="1044" t="str">
        <f t="shared" si="171"/>
        <v/>
      </c>
      <c r="AG190" s="1044">
        <f t="shared" si="172"/>
        <v>0</v>
      </c>
      <c r="AH190" s="1044">
        <f t="shared" si="173"/>
        <v>0</v>
      </c>
      <c r="AI190" s="1044" t="str">
        <f t="shared" si="174"/>
        <v/>
      </c>
      <c r="AJ190" s="1044">
        <f t="shared" si="175"/>
        <v>0</v>
      </c>
      <c r="AK190" s="1044">
        <f t="shared" si="176"/>
        <v>0</v>
      </c>
      <c r="AL190" s="1044">
        <f t="shared" si="177"/>
        <v>0</v>
      </c>
      <c r="AM190" s="1044">
        <f t="shared" si="178"/>
        <v>0</v>
      </c>
      <c r="AN190" s="1044" t="str">
        <f t="shared" si="179"/>
        <v/>
      </c>
      <c r="AO190" s="1044" t="str">
        <f t="shared" si="180"/>
        <v/>
      </c>
      <c r="AP190" s="1044">
        <f t="shared" si="181"/>
        <v>0</v>
      </c>
      <c r="AQ190" s="1044">
        <f t="shared" si="182"/>
        <v>0</v>
      </c>
      <c r="AR190" s="1044" t="str">
        <f t="shared" si="183"/>
        <v/>
      </c>
      <c r="AS190" s="1044">
        <f t="shared" si="184"/>
        <v>0</v>
      </c>
      <c r="AT190" s="1044" t="str">
        <f t="shared" si="185"/>
        <v/>
      </c>
      <c r="AU190" s="1044">
        <f t="shared" si="186"/>
        <v>0</v>
      </c>
      <c r="AV190" s="1044" t="str">
        <f t="shared" si="187"/>
        <v/>
      </c>
      <c r="AW190" s="1044">
        <f t="shared" si="188"/>
        <v>0</v>
      </c>
      <c r="AX190" s="1044" t="str">
        <f t="shared" si="189"/>
        <v/>
      </c>
      <c r="AY190" s="1044">
        <f t="shared" si="190"/>
        <v>0</v>
      </c>
      <c r="AZ190" s="1044" t="str">
        <f t="shared" si="191"/>
        <v/>
      </c>
      <c r="BA190" s="1044">
        <f t="shared" si="192"/>
        <v>0</v>
      </c>
      <c r="BB190" s="1044" t="str">
        <f t="shared" si="193"/>
        <v/>
      </c>
      <c r="BC190" s="1044">
        <f t="shared" si="194"/>
        <v>0</v>
      </c>
      <c r="BD190" s="1044">
        <f t="shared" si="195"/>
        <v>0</v>
      </c>
      <c r="BE190" s="1044" t="str">
        <f t="shared" si="196"/>
        <v/>
      </c>
      <c r="BF190" s="1044" t="str">
        <f t="shared" si="197"/>
        <v/>
      </c>
      <c r="BG190" s="1044" t="str">
        <f t="shared" si="198"/>
        <v/>
      </c>
      <c r="BH190" s="1044" t="str">
        <f t="shared" si="199"/>
        <v/>
      </c>
      <c r="BI190" s="1044" t="str">
        <f t="shared" si="200"/>
        <v/>
      </c>
      <c r="BJ190" s="1044" t="str">
        <f t="shared" si="201"/>
        <v/>
      </c>
      <c r="BK190" s="1044" t="str">
        <f t="shared" si="202"/>
        <v/>
      </c>
      <c r="BL190" s="1044" t="str">
        <f t="shared" si="203"/>
        <v/>
      </c>
      <c r="BM190" s="1044" t="str">
        <f t="shared" si="204"/>
        <v/>
      </c>
      <c r="BN190" s="1044" t="str">
        <f t="shared" si="205"/>
        <v/>
      </c>
      <c r="BO190" s="1044" t="str">
        <f t="shared" si="206"/>
        <v/>
      </c>
      <c r="BP190" s="1044" t="str">
        <f t="shared" si="207"/>
        <v/>
      </c>
      <c r="BQ190" s="1044" t="str">
        <f t="shared" si="208"/>
        <v/>
      </c>
      <c r="BR190" s="1044" t="str">
        <f t="shared" si="209"/>
        <v/>
      </c>
      <c r="BS190" s="1044" t="str">
        <f t="shared" si="210"/>
        <v/>
      </c>
      <c r="BT190" s="1044" t="str">
        <f t="shared" si="211"/>
        <v/>
      </c>
      <c r="BU190" s="1044" t="str">
        <f t="shared" si="212"/>
        <v/>
      </c>
    </row>
    <row r="191" spans="1:73" ht="30" customHeight="1">
      <c r="A191" s="1069" t="str">
        <f t="shared" si="142"/>
        <v/>
      </c>
      <c r="B191" s="1063"/>
      <c r="C191" s="1064" t="s">
        <v>254</v>
      </c>
      <c r="D191" s="1070" t="str">
        <f t="shared" si="143"/>
        <v/>
      </c>
      <c r="E191" s="1071" t="str">
        <f t="shared" si="144"/>
        <v/>
      </c>
      <c r="F191" s="1067" t="str">
        <f t="shared" si="145"/>
        <v/>
      </c>
      <c r="G191" s="1068" t="str">
        <f t="shared" si="146"/>
        <v/>
      </c>
      <c r="H191" s="1069" t="str">
        <f t="shared" si="147"/>
        <v/>
      </c>
      <c r="I191" s="1069" t="str">
        <f t="shared" si="148"/>
        <v/>
      </c>
      <c r="J191" s="1067" t="str">
        <f t="shared" si="149"/>
        <v/>
      </c>
      <c r="K191" s="1044" t="str">
        <f t="shared" si="150"/>
        <v/>
      </c>
      <c r="L191" s="1044" t="str">
        <f t="shared" si="151"/>
        <v/>
      </c>
      <c r="M191" s="1044" t="str">
        <f t="shared" si="152"/>
        <v/>
      </c>
      <c r="N191" s="1044" t="str">
        <f t="shared" si="153"/>
        <v/>
      </c>
      <c r="O191" s="1044" t="str">
        <f t="shared" si="154"/>
        <v/>
      </c>
      <c r="P191" s="1044" t="str">
        <f t="shared" si="155"/>
        <v/>
      </c>
      <c r="Q191" s="1044">
        <f t="shared" si="156"/>
        <v>0</v>
      </c>
      <c r="R191" s="1044">
        <f t="shared" si="157"/>
        <v>0</v>
      </c>
      <c r="S191" s="1044">
        <f t="shared" si="158"/>
        <v>0</v>
      </c>
      <c r="T191" s="1044">
        <f t="shared" si="159"/>
        <v>0</v>
      </c>
      <c r="U191" s="1044" t="str">
        <f t="shared" si="160"/>
        <v/>
      </c>
      <c r="V191" s="1044" t="str">
        <f t="shared" si="161"/>
        <v/>
      </c>
      <c r="W191" s="1044">
        <f t="shared" si="162"/>
        <v>0</v>
      </c>
      <c r="X191" s="1044" t="str">
        <f t="shared" si="163"/>
        <v/>
      </c>
      <c r="Y191" s="1044">
        <f t="shared" si="164"/>
        <v>0</v>
      </c>
      <c r="Z191" s="1044" t="str">
        <f t="shared" si="165"/>
        <v/>
      </c>
      <c r="AA191" s="1044">
        <f t="shared" si="166"/>
        <v>0</v>
      </c>
      <c r="AB191" s="1044">
        <f t="shared" si="167"/>
        <v>0</v>
      </c>
      <c r="AC191" s="1044">
        <f t="shared" si="168"/>
        <v>0</v>
      </c>
      <c r="AD191" s="1044" t="str">
        <f t="shared" si="169"/>
        <v/>
      </c>
      <c r="AE191" s="1044">
        <f t="shared" si="170"/>
        <v>0</v>
      </c>
      <c r="AF191" s="1044" t="str">
        <f t="shared" si="171"/>
        <v/>
      </c>
      <c r="AG191" s="1044">
        <f t="shared" si="172"/>
        <v>0</v>
      </c>
      <c r="AH191" s="1044">
        <f t="shared" si="173"/>
        <v>0</v>
      </c>
      <c r="AI191" s="1044" t="str">
        <f t="shared" si="174"/>
        <v/>
      </c>
      <c r="AJ191" s="1044">
        <f t="shared" si="175"/>
        <v>0</v>
      </c>
      <c r="AK191" s="1044">
        <f t="shared" si="176"/>
        <v>0</v>
      </c>
      <c r="AL191" s="1044">
        <f t="shared" si="177"/>
        <v>0</v>
      </c>
      <c r="AM191" s="1044">
        <f t="shared" si="178"/>
        <v>0</v>
      </c>
      <c r="AN191" s="1044" t="str">
        <f t="shared" si="179"/>
        <v/>
      </c>
      <c r="AO191" s="1044" t="str">
        <f t="shared" si="180"/>
        <v/>
      </c>
      <c r="AP191" s="1044">
        <f t="shared" si="181"/>
        <v>0</v>
      </c>
      <c r="AQ191" s="1044">
        <f t="shared" si="182"/>
        <v>0</v>
      </c>
      <c r="AR191" s="1044" t="str">
        <f t="shared" si="183"/>
        <v/>
      </c>
      <c r="AS191" s="1044">
        <f t="shared" si="184"/>
        <v>0</v>
      </c>
      <c r="AT191" s="1044" t="str">
        <f t="shared" si="185"/>
        <v/>
      </c>
      <c r="AU191" s="1044">
        <f t="shared" si="186"/>
        <v>0</v>
      </c>
      <c r="AV191" s="1044" t="str">
        <f t="shared" si="187"/>
        <v/>
      </c>
      <c r="AW191" s="1044">
        <f t="shared" si="188"/>
        <v>0</v>
      </c>
      <c r="AX191" s="1044" t="str">
        <f t="shared" si="189"/>
        <v/>
      </c>
      <c r="AY191" s="1044">
        <f t="shared" si="190"/>
        <v>0</v>
      </c>
      <c r="AZ191" s="1044" t="str">
        <f t="shared" si="191"/>
        <v/>
      </c>
      <c r="BA191" s="1044">
        <f t="shared" si="192"/>
        <v>0</v>
      </c>
      <c r="BB191" s="1044" t="str">
        <f t="shared" si="193"/>
        <v/>
      </c>
      <c r="BC191" s="1044">
        <f t="shared" si="194"/>
        <v>0</v>
      </c>
      <c r="BD191" s="1044">
        <f t="shared" si="195"/>
        <v>0</v>
      </c>
      <c r="BE191" s="1044" t="str">
        <f t="shared" si="196"/>
        <v/>
      </c>
      <c r="BF191" s="1044" t="str">
        <f t="shared" si="197"/>
        <v/>
      </c>
      <c r="BG191" s="1044" t="str">
        <f t="shared" si="198"/>
        <v/>
      </c>
      <c r="BH191" s="1044" t="str">
        <f t="shared" si="199"/>
        <v/>
      </c>
      <c r="BI191" s="1044" t="str">
        <f t="shared" si="200"/>
        <v/>
      </c>
      <c r="BJ191" s="1044" t="str">
        <f t="shared" si="201"/>
        <v/>
      </c>
      <c r="BK191" s="1044" t="str">
        <f t="shared" si="202"/>
        <v/>
      </c>
      <c r="BL191" s="1044" t="str">
        <f t="shared" si="203"/>
        <v/>
      </c>
      <c r="BM191" s="1044" t="str">
        <f t="shared" si="204"/>
        <v/>
      </c>
      <c r="BN191" s="1044" t="str">
        <f t="shared" si="205"/>
        <v/>
      </c>
      <c r="BO191" s="1044" t="str">
        <f t="shared" si="206"/>
        <v/>
      </c>
      <c r="BP191" s="1044" t="str">
        <f t="shared" si="207"/>
        <v/>
      </c>
      <c r="BQ191" s="1044" t="str">
        <f t="shared" si="208"/>
        <v/>
      </c>
      <c r="BR191" s="1044" t="str">
        <f t="shared" si="209"/>
        <v/>
      </c>
      <c r="BS191" s="1044" t="str">
        <f t="shared" si="210"/>
        <v/>
      </c>
      <c r="BT191" s="1044" t="str">
        <f t="shared" si="211"/>
        <v/>
      </c>
      <c r="BU191" s="1044" t="str">
        <f t="shared" si="212"/>
        <v/>
      </c>
    </row>
    <row r="192" spans="1:73" ht="30" customHeight="1">
      <c r="A192" s="1069" t="str">
        <f t="shared" si="142"/>
        <v/>
      </c>
      <c r="B192" s="1063"/>
      <c r="C192" s="1064" t="s">
        <v>254</v>
      </c>
      <c r="D192" s="1070" t="str">
        <f t="shared" si="143"/>
        <v/>
      </c>
      <c r="E192" s="1071" t="str">
        <f t="shared" si="144"/>
        <v/>
      </c>
      <c r="F192" s="1067" t="str">
        <f t="shared" si="145"/>
        <v/>
      </c>
      <c r="G192" s="1068" t="str">
        <f t="shared" si="146"/>
        <v/>
      </c>
      <c r="H192" s="1069" t="str">
        <f t="shared" si="147"/>
        <v/>
      </c>
      <c r="I192" s="1069" t="str">
        <f t="shared" si="148"/>
        <v/>
      </c>
      <c r="J192" s="1067" t="str">
        <f t="shared" si="149"/>
        <v/>
      </c>
      <c r="K192" s="1044" t="str">
        <f t="shared" si="150"/>
        <v/>
      </c>
      <c r="L192" s="1044" t="str">
        <f t="shared" si="151"/>
        <v/>
      </c>
      <c r="M192" s="1044" t="str">
        <f t="shared" si="152"/>
        <v/>
      </c>
      <c r="N192" s="1044" t="str">
        <f t="shared" si="153"/>
        <v/>
      </c>
      <c r="O192" s="1044" t="str">
        <f t="shared" si="154"/>
        <v/>
      </c>
      <c r="P192" s="1044" t="str">
        <f t="shared" si="155"/>
        <v/>
      </c>
      <c r="Q192" s="1044">
        <f t="shared" si="156"/>
        <v>0</v>
      </c>
      <c r="R192" s="1044">
        <f t="shared" si="157"/>
        <v>0</v>
      </c>
      <c r="S192" s="1044">
        <f t="shared" si="158"/>
        <v>0</v>
      </c>
      <c r="T192" s="1044">
        <f t="shared" si="159"/>
        <v>0</v>
      </c>
      <c r="U192" s="1044" t="str">
        <f t="shared" si="160"/>
        <v/>
      </c>
      <c r="V192" s="1044" t="str">
        <f t="shared" si="161"/>
        <v/>
      </c>
      <c r="W192" s="1044">
        <f t="shared" si="162"/>
        <v>0</v>
      </c>
      <c r="X192" s="1044" t="str">
        <f t="shared" si="163"/>
        <v/>
      </c>
      <c r="Y192" s="1044">
        <f t="shared" si="164"/>
        <v>0</v>
      </c>
      <c r="Z192" s="1044" t="str">
        <f t="shared" si="165"/>
        <v/>
      </c>
      <c r="AA192" s="1044">
        <f t="shared" si="166"/>
        <v>0</v>
      </c>
      <c r="AB192" s="1044">
        <f t="shared" si="167"/>
        <v>0</v>
      </c>
      <c r="AC192" s="1044">
        <f t="shared" si="168"/>
        <v>0</v>
      </c>
      <c r="AD192" s="1044" t="str">
        <f t="shared" si="169"/>
        <v/>
      </c>
      <c r="AE192" s="1044">
        <f t="shared" si="170"/>
        <v>0</v>
      </c>
      <c r="AF192" s="1044" t="str">
        <f t="shared" si="171"/>
        <v/>
      </c>
      <c r="AG192" s="1044">
        <f t="shared" si="172"/>
        <v>0</v>
      </c>
      <c r="AH192" s="1044">
        <f t="shared" si="173"/>
        <v>0</v>
      </c>
      <c r="AI192" s="1044" t="str">
        <f t="shared" si="174"/>
        <v/>
      </c>
      <c r="AJ192" s="1044">
        <f t="shared" si="175"/>
        <v>0</v>
      </c>
      <c r="AK192" s="1044">
        <f t="shared" si="176"/>
        <v>0</v>
      </c>
      <c r="AL192" s="1044">
        <f t="shared" si="177"/>
        <v>0</v>
      </c>
      <c r="AM192" s="1044">
        <f t="shared" si="178"/>
        <v>0</v>
      </c>
      <c r="AN192" s="1044" t="str">
        <f t="shared" si="179"/>
        <v/>
      </c>
      <c r="AO192" s="1044" t="str">
        <f t="shared" si="180"/>
        <v/>
      </c>
      <c r="AP192" s="1044">
        <f t="shared" si="181"/>
        <v>0</v>
      </c>
      <c r="AQ192" s="1044">
        <f t="shared" si="182"/>
        <v>0</v>
      </c>
      <c r="AR192" s="1044" t="str">
        <f t="shared" si="183"/>
        <v/>
      </c>
      <c r="AS192" s="1044">
        <f t="shared" si="184"/>
        <v>0</v>
      </c>
      <c r="AT192" s="1044" t="str">
        <f t="shared" si="185"/>
        <v/>
      </c>
      <c r="AU192" s="1044">
        <f t="shared" si="186"/>
        <v>0</v>
      </c>
      <c r="AV192" s="1044" t="str">
        <f t="shared" si="187"/>
        <v/>
      </c>
      <c r="AW192" s="1044">
        <f t="shared" si="188"/>
        <v>0</v>
      </c>
      <c r="AX192" s="1044" t="str">
        <f t="shared" si="189"/>
        <v/>
      </c>
      <c r="AY192" s="1044">
        <f t="shared" si="190"/>
        <v>0</v>
      </c>
      <c r="AZ192" s="1044" t="str">
        <f t="shared" si="191"/>
        <v/>
      </c>
      <c r="BA192" s="1044">
        <f t="shared" si="192"/>
        <v>0</v>
      </c>
      <c r="BB192" s="1044" t="str">
        <f t="shared" si="193"/>
        <v/>
      </c>
      <c r="BC192" s="1044">
        <f t="shared" si="194"/>
        <v>0</v>
      </c>
      <c r="BD192" s="1044">
        <f t="shared" si="195"/>
        <v>0</v>
      </c>
      <c r="BE192" s="1044" t="str">
        <f t="shared" si="196"/>
        <v/>
      </c>
      <c r="BF192" s="1044" t="str">
        <f t="shared" si="197"/>
        <v/>
      </c>
      <c r="BG192" s="1044" t="str">
        <f t="shared" si="198"/>
        <v/>
      </c>
      <c r="BH192" s="1044" t="str">
        <f t="shared" si="199"/>
        <v/>
      </c>
      <c r="BI192" s="1044" t="str">
        <f t="shared" si="200"/>
        <v/>
      </c>
      <c r="BJ192" s="1044" t="str">
        <f t="shared" si="201"/>
        <v/>
      </c>
      <c r="BK192" s="1044" t="str">
        <f t="shared" si="202"/>
        <v/>
      </c>
      <c r="BL192" s="1044" t="str">
        <f t="shared" si="203"/>
        <v/>
      </c>
      <c r="BM192" s="1044" t="str">
        <f t="shared" si="204"/>
        <v/>
      </c>
      <c r="BN192" s="1044" t="str">
        <f t="shared" si="205"/>
        <v/>
      </c>
      <c r="BO192" s="1044" t="str">
        <f t="shared" si="206"/>
        <v/>
      </c>
      <c r="BP192" s="1044" t="str">
        <f t="shared" si="207"/>
        <v/>
      </c>
      <c r="BQ192" s="1044" t="str">
        <f t="shared" si="208"/>
        <v/>
      </c>
      <c r="BR192" s="1044" t="str">
        <f t="shared" si="209"/>
        <v/>
      </c>
      <c r="BS192" s="1044" t="str">
        <f t="shared" si="210"/>
        <v/>
      </c>
      <c r="BT192" s="1044" t="str">
        <f t="shared" si="211"/>
        <v/>
      </c>
      <c r="BU192" s="1044" t="str">
        <f t="shared" si="212"/>
        <v/>
      </c>
    </row>
    <row r="193" spans="1:867" ht="30" customHeight="1">
      <c r="A193" s="1069" t="str">
        <f t="shared" si="142"/>
        <v/>
      </c>
      <c r="B193" s="1063"/>
      <c r="C193" s="1064" t="s">
        <v>254</v>
      </c>
      <c r="D193" s="1070" t="str">
        <f t="shared" si="143"/>
        <v/>
      </c>
      <c r="E193" s="1071" t="str">
        <f t="shared" si="144"/>
        <v/>
      </c>
      <c r="F193" s="1067" t="str">
        <f t="shared" si="145"/>
        <v/>
      </c>
      <c r="G193" s="1068" t="str">
        <f t="shared" si="146"/>
        <v/>
      </c>
      <c r="H193" s="1069" t="str">
        <f t="shared" si="147"/>
        <v/>
      </c>
      <c r="I193" s="1069" t="str">
        <f t="shared" si="148"/>
        <v/>
      </c>
      <c r="J193" s="1067" t="str">
        <f t="shared" si="149"/>
        <v/>
      </c>
      <c r="K193" s="1044" t="str">
        <f t="shared" si="150"/>
        <v/>
      </c>
      <c r="L193" s="1044" t="str">
        <f t="shared" si="151"/>
        <v/>
      </c>
      <c r="M193" s="1044" t="str">
        <f t="shared" si="152"/>
        <v/>
      </c>
      <c r="N193" s="1044" t="str">
        <f t="shared" si="153"/>
        <v/>
      </c>
      <c r="O193" s="1044" t="str">
        <f t="shared" si="154"/>
        <v/>
      </c>
      <c r="P193" s="1044" t="str">
        <f t="shared" si="155"/>
        <v/>
      </c>
      <c r="Q193" s="1044">
        <f t="shared" si="156"/>
        <v>0</v>
      </c>
      <c r="R193" s="1044">
        <f t="shared" si="157"/>
        <v>0</v>
      </c>
      <c r="S193" s="1044">
        <f t="shared" si="158"/>
        <v>0</v>
      </c>
      <c r="T193" s="1044">
        <f t="shared" si="159"/>
        <v>0</v>
      </c>
      <c r="U193" s="1044" t="str">
        <f t="shared" si="160"/>
        <v/>
      </c>
      <c r="V193" s="1044" t="str">
        <f t="shared" si="161"/>
        <v/>
      </c>
      <c r="W193" s="1044">
        <f t="shared" si="162"/>
        <v>0</v>
      </c>
      <c r="X193" s="1044" t="str">
        <f t="shared" si="163"/>
        <v/>
      </c>
      <c r="Y193" s="1044">
        <f t="shared" si="164"/>
        <v>0</v>
      </c>
      <c r="Z193" s="1044" t="str">
        <f t="shared" si="165"/>
        <v/>
      </c>
      <c r="AA193" s="1044">
        <f t="shared" si="166"/>
        <v>0</v>
      </c>
      <c r="AB193" s="1044">
        <f t="shared" si="167"/>
        <v>0</v>
      </c>
      <c r="AC193" s="1044">
        <f t="shared" si="168"/>
        <v>0</v>
      </c>
      <c r="AD193" s="1044" t="str">
        <f t="shared" si="169"/>
        <v/>
      </c>
      <c r="AE193" s="1044">
        <f t="shared" si="170"/>
        <v>0</v>
      </c>
      <c r="AF193" s="1044" t="str">
        <f t="shared" si="171"/>
        <v/>
      </c>
      <c r="AG193" s="1044">
        <f t="shared" si="172"/>
        <v>0</v>
      </c>
      <c r="AH193" s="1044">
        <f t="shared" si="173"/>
        <v>0</v>
      </c>
      <c r="AI193" s="1044" t="str">
        <f t="shared" si="174"/>
        <v/>
      </c>
      <c r="AJ193" s="1044">
        <f t="shared" si="175"/>
        <v>0</v>
      </c>
      <c r="AK193" s="1044">
        <f t="shared" si="176"/>
        <v>0</v>
      </c>
      <c r="AL193" s="1044">
        <f t="shared" si="177"/>
        <v>0</v>
      </c>
      <c r="AM193" s="1044">
        <f t="shared" si="178"/>
        <v>0</v>
      </c>
      <c r="AN193" s="1044" t="str">
        <f t="shared" si="179"/>
        <v/>
      </c>
      <c r="AO193" s="1044" t="str">
        <f t="shared" si="180"/>
        <v/>
      </c>
      <c r="AP193" s="1044">
        <f t="shared" si="181"/>
        <v>0</v>
      </c>
      <c r="AQ193" s="1044">
        <f t="shared" si="182"/>
        <v>0</v>
      </c>
      <c r="AR193" s="1044" t="str">
        <f t="shared" si="183"/>
        <v/>
      </c>
      <c r="AS193" s="1044">
        <f t="shared" si="184"/>
        <v>0</v>
      </c>
      <c r="AT193" s="1044" t="str">
        <f t="shared" si="185"/>
        <v/>
      </c>
      <c r="AU193" s="1044">
        <f t="shared" si="186"/>
        <v>0</v>
      </c>
      <c r="AV193" s="1044" t="str">
        <f t="shared" si="187"/>
        <v/>
      </c>
      <c r="AW193" s="1044">
        <f t="shared" si="188"/>
        <v>0</v>
      </c>
      <c r="AX193" s="1044" t="str">
        <f t="shared" si="189"/>
        <v/>
      </c>
      <c r="AY193" s="1044">
        <f t="shared" si="190"/>
        <v>0</v>
      </c>
      <c r="AZ193" s="1044" t="str">
        <f t="shared" si="191"/>
        <v/>
      </c>
      <c r="BA193" s="1044">
        <f t="shared" si="192"/>
        <v>0</v>
      </c>
      <c r="BB193" s="1044" t="str">
        <f t="shared" si="193"/>
        <v/>
      </c>
      <c r="BC193" s="1044">
        <f t="shared" si="194"/>
        <v>0</v>
      </c>
      <c r="BD193" s="1044">
        <f t="shared" si="195"/>
        <v>0</v>
      </c>
      <c r="BE193" s="1044" t="str">
        <f t="shared" si="196"/>
        <v/>
      </c>
      <c r="BF193" s="1044" t="str">
        <f t="shared" si="197"/>
        <v/>
      </c>
      <c r="BG193" s="1044" t="str">
        <f t="shared" si="198"/>
        <v/>
      </c>
      <c r="BH193" s="1044" t="str">
        <f t="shared" si="199"/>
        <v/>
      </c>
      <c r="BI193" s="1044" t="str">
        <f t="shared" si="200"/>
        <v/>
      </c>
      <c r="BJ193" s="1044" t="str">
        <f t="shared" si="201"/>
        <v/>
      </c>
      <c r="BK193" s="1044" t="str">
        <f t="shared" si="202"/>
        <v/>
      </c>
      <c r="BL193" s="1044" t="str">
        <f t="shared" si="203"/>
        <v/>
      </c>
      <c r="BM193" s="1044" t="str">
        <f t="shared" si="204"/>
        <v/>
      </c>
      <c r="BN193" s="1044" t="str">
        <f t="shared" si="205"/>
        <v/>
      </c>
      <c r="BO193" s="1044" t="str">
        <f t="shared" si="206"/>
        <v/>
      </c>
      <c r="BP193" s="1044" t="str">
        <f t="shared" si="207"/>
        <v/>
      </c>
      <c r="BQ193" s="1044" t="str">
        <f t="shared" si="208"/>
        <v/>
      </c>
      <c r="BR193" s="1044" t="str">
        <f t="shared" si="209"/>
        <v/>
      </c>
      <c r="BS193" s="1044" t="str">
        <f t="shared" si="210"/>
        <v/>
      </c>
      <c r="BT193" s="1044" t="str">
        <f t="shared" si="211"/>
        <v/>
      </c>
      <c r="BU193" s="1044" t="str">
        <f t="shared" si="212"/>
        <v/>
      </c>
    </row>
    <row r="194" spans="1:867" ht="30" customHeight="1">
      <c r="A194" s="1069" t="str">
        <f t="shared" si="142"/>
        <v/>
      </c>
      <c r="B194" s="1063"/>
      <c r="C194" s="1064" t="s">
        <v>254</v>
      </c>
      <c r="D194" s="1070" t="str">
        <f t="shared" si="143"/>
        <v/>
      </c>
      <c r="E194" s="1071" t="str">
        <f t="shared" si="144"/>
        <v/>
      </c>
      <c r="F194" s="1067" t="str">
        <f t="shared" si="145"/>
        <v/>
      </c>
      <c r="G194" s="1068" t="str">
        <f t="shared" si="146"/>
        <v/>
      </c>
      <c r="H194" s="1069" t="str">
        <f t="shared" si="147"/>
        <v/>
      </c>
      <c r="I194" s="1069" t="str">
        <f t="shared" si="148"/>
        <v/>
      </c>
      <c r="J194" s="1067" t="str">
        <f t="shared" si="149"/>
        <v/>
      </c>
      <c r="K194" s="1044" t="str">
        <f t="shared" si="150"/>
        <v/>
      </c>
      <c r="L194" s="1044" t="str">
        <f t="shared" si="151"/>
        <v/>
      </c>
      <c r="M194" s="1044" t="str">
        <f t="shared" si="152"/>
        <v/>
      </c>
      <c r="N194" s="1044" t="str">
        <f t="shared" si="153"/>
        <v/>
      </c>
      <c r="O194" s="1044" t="str">
        <f t="shared" si="154"/>
        <v/>
      </c>
      <c r="P194" s="1044" t="str">
        <f t="shared" si="155"/>
        <v/>
      </c>
      <c r="Q194" s="1044">
        <f t="shared" si="156"/>
        <v>0</v>
      </c>
      <c r="R194" s="1044">
        <f t="shared" si="157"/>
        <v>0</v>
      </c>
      <c r="S194" s="1044">
        <f t="shared" si="158"/>
        <v>0</v>
      </c>
      <c r="T194" s="1044">
        <f t="shared" si="159"/>
        <v>0</v>
      </c>
      <c r="U194" s="1044" t="str">
        <f t="shared" si="160"/>
        <v/>
      </c>
      <c r="V194" s="1044" t="str">
        <f t="shared" si="161"/>
        <v/>
      </c>
      <c r="W194" s="1044">
        <f t="shared" si="162"/>
        <v>0</v>
      </c>
      <c r="X194" s="1044" t="str">
        <f t="shared" si="163"/>
        <v/>
      </c>
      <c r="Y194" s="1044">
        <f t="shared" si="164"/>
        <v>0</v>
      </c>
      <c r="Z194" s="1044" t="str">
        <f t="shared" si="165"/>
        <v/>
      </c>
      <c r="AA194" s="1044">
        <f t="shared" si="166"/>
        <v>0</v>
      </c>
      <c r="AB194" s="1044">
        <f t="shared" si="167"/>
        <v>0</v>
      </c>
      <c r="AC194" s="1044">
        <f t="shared" si="168"/>
        <v>0</v>
      </c>
      <c r="AD194" s="1044" t="str">
        <f t="shared" si="169"/>
        <v/>
      </c>
      <c r="AE194" s="1044">
        <f t="shared" si="170"/>
        <v>0</v>
      </c>
      <c r="AF194" s="1044" t="str">
        <f t="shared" si="171"/>
        <v/>
      </c>
      <c r="AG194" s="1044">
        <f t="shared" si="172"/>
        <v>0</v>
      </c>
      <c r="AH194" s="1044">
        <f t="shared" si="173"/>
        <v>0</v>
      </c>
      <c r="AI194" s="1044" t="str">
        <f t="shared" si="174"/>
        <v/>
      </c>
      <c r="AJ194" s="1044">
        <f t="shared" si="175"/>
        <v>0</v>
      </c>
      <c r="AK194" s="1044">
        <f t="shared" si="176"/>
        <v>0</v>
      </c>
      <c r="AL194" s="1044">
        <f t="shared" si="177"/>
        <v>0</v>
      </c>
      <c r="AM194" s="1044">
        <f t="shared" si="178"/>
        <v>0</v>
      </c>
      <c r="AN194" s="1044" t="str">
        <f t="shared" si="179"/>
        <v/>
      </c>
      <c r="AO194" s="1044" t="str">
        <f t="shared" si="180"/>
        <v/>
      </c>
      <c r="AP194" s="1044">
        <f t="shared" si="181"/>
        <v>0</v>
      </c>
      <c r="AQ194" s="1044">
        <f t="shared" si="182"/>
        <v>0</v>
      </c>
      <c r="AR194" s="1044" t="str">
        <f t="shared" si="183"/>
        <v/>
      </c>
      <c r="AS194" s="1044">
        <f t="shared" si="184"/>
        <v>0</v>
      </c>
      <c r="AT194" s="1044" t="str">
        <f t="shared" si="185"/>
        <v/>
      </c>
      <c r="AU194" s="1044">
        <f t="shared" si="186"/>
        <v>0</v>
      </c>
      <c r="AV194" s="1044" t="str">
        <f t="shared" si="187"/>
        <v/>
      </c>
      <c r="AW194" s="1044">
        <f t="shared" si="188"/>
        <v>0</v>
      </c>
      <c r="AX194" s="1044" t="str">
        <f t="shared" si="189"/>
        <v/>
      </c>
      <c r="AY194" s="1044">
        <f t="shared" si="190"/>
        <v>0</v>
      </c>
      <c r="AZ194" s="1044" t="str">
        <f t="shared" si="191"/>
        <v/>
      </c>
      <c r="BA194" s="1044">
        <f t="shared" si="192"/>
        <v>0</v>
      </c>
      <c r="BB194" s="1044" t="str">
        <f t="shared" si="193"/>
        <v/>
      </c>
      <c r="BC194" s="1044">
        <f t="shared" si="194"/>
        <v>0</v>
      </c>
      <c r="BD194" s="1044">
        <f t="shared" si="195"/>
        <v>0</v>
      </c>
      <c r="BE194" s="1044" t="str">
        <f t="shared" si="196"/>
        <v/>
      </c>
      <c r="BF194" s="1044" t="str">
        <f t="shared" si="197"/>
        <v/>
      </c>
      <c r="BG194" s="1044" t="str">
        <f t="shared" si="198"/>
        <v/>
      </c>
      <c r="BH194" s="1044" t="str">
        <f t="shared" si="199"/>
        <v/>
      </c>
      <c r="BI194" s="1044" t="str">
        <f t="shared" si="200"/>
        <v/>
      </c>
      <c r="BJ194" s="1044" t="str">
        <f t="shared" si="201"/>
        <v/>
      </c>
      <c r="BK194" s="1044" t="str">
        <f t="shared" si="202"/>
        <v/>
      </c>
      <c r="BL194" s="1044" t="str">
        <f t="shared" si="203"/>
        <v/>
      </c>
      <c r="BM194" s="1044" t="str">
        <f t="shared" si="204"/>
        <v/>
      </c>
      <c r="BN194" s="1044" t="str">
        <f t="shared" si="205"/>
        <v/>
      </c>
      <c r="BO194" s="1044" t="str">
        <f t="shared" si="206"/>
        <v/>
      </c>
      <c r="BP194" s="1044" t="str">
        <f t="shared" si="207"/>
        <v/>
      </c>
      <c r="BQ194" s="1044" t="str">
        <f t="shared" si="208"/>
        <v/>
      </c>
      <c r="BR194" s="1044" t="str">
        <f t="shared" si="209"/>
        <v/>
      </c>
      <c r="BS194" s="1044" t="str">
        <f t="shared" si="210"/>
        <v/>
      </c>
      <c r="BT194" s="1044" t="str">
        <f t="shared" si="211"/>
        <v/>
      </c>
      <c r="BU194" s="1044" t="str">
        <f t="shared" si="212"/>
        <v/>
      </c>
    </row>
    <row r="195" spans="1:867" ht="30" customHeight="1">
      <c r="A195" s="1069" t="str">
        <f t="shared" si="142"/>
        <v/>
      </c>
      <c r="B195" s="1063"/>
      <c r="C195" s="1064" t="s">
        <v>254</v>
      </c>
      <c r="D195" s="1070" t="str">
        <f t="shared" si="143"/>
        <v/>
      </c>
      <c r="E195" s="1071" t="str">
        <f t="shared" si="144"/>
        <v/>
      </c>
      <c r="F195" s="1067" t="str">
        <f t="shared" si="145"/>
        <v/>
      </c>
      <c r="G195" s="1068" t="str">
        <f t="shared" si="146"/>
        <v/>
      </c>
      <c r="H195" s="1069" t="str">
        <f t="shared" si="147"/>
        <v/>
      </c>
      <c r="I195" s="1069" t="str">
        <f t="shared" si="148"/>
        <v/>
      </c>
      <c r="J195" s="1067" t="str">
        <f t="shared" si="149"/>
        <v/>
      </c>
      <c r="K195" s="1044" t="str">
        <f t="shared" si="150"/>
        <v/>
      </c>
      <c r="L195" s="1044" t="str">
        <f t="shared" si="151"/>
        <v/>
      </c>
      <c r="M195" s="1044" t="str">
        <f t="shared" si="152"/>
        <v/>
      </c>
      <c r="N195" s="1044" t="str">
        <f t="shared" si="153"/>
        <v/>
      </c>
      <c r="O195" s="1044" t="str">
        <f t="shared" si="154"/>
        <v/>
      </c>
      <c r="P195" s="1044" t="str">
        <f t="shared" si="155"/>
        <v/>
      </c>
      <c r="Q195" s="1044">
        <f t="shared" si="156"/>
        <v>0</v>
      </c>
      <c r="R195" s="1044">
        <f t="shared" si="157"/>
        <v>0</v>
      </c>
      <c r="S195" s="1044">
        <f t="shared" si="158"/>
        <v>0</v>
      </c>
      <c r="T195" s="1044">
        <f t="shared" si="159"/>
        <v>0</v>
      </c>
      <c r="U195" s="1044" t="str">
        <f t="shared" si="160"/>
        <v/>
      </c>
      <c r="V195" s="1044" t="str">
        <f t="shared" si="161"/>
        <v/>
      </c>
      <c r="W195" s="1044">
        <f t="shared" si="162"/>
        <v>0</v>
      </c>
      <c r="X195" s="1044" t="str">
        <f t="shared" si="163"/>
        <v/>
      </c>
      <c r="Y195" s="1044">
        <f t="shared" si="164"/>
        <v>0</v>
      </c>
      <c r="Z195" s="1044" t="str">
        <f t="shared" si="165"/>
        <v/>
      </c>
      <c r="AA195" s="1044">
        <f t="shared" si="166"/>
        <v>0</v>
      </c>
      <c r="AB195" s="1044">
        <f t="shared" si="167"/>
        <v>0</v>
      </c>
      <c r="AC195" s="1044">
        <f t="shared" si="168"/>
        <v>0</v>
      </c>
      <c r="AD195" s="1044" t="str">
        <f t="shared" si="169"/>
        <v/>
      </c>
      <c r="AE195" s="1044">
        <f t="shared" si="170"/>
        <v>0</v>
      </c>
      <c r="AF195" s="1044" t="str">
        <f t="shared" si="171"/>
        <v/>
      </c>
      <c r="AG195" s="1044">
        <f t="shared" si="172"/>
        <v>0</v>
      </c>
      <c r="AH195" s="1044">
        <f t="shared" si="173"/>
        <v>0</v>
      </c>
      <c r="AI195" s="1044" t="str">
        <f t="shared" si="174"/>
        <v/>
      </c>
      <c r="AJ195" s="1044">
        <f t="shared" si="175"/>
        <v>0</v>
      </c>
      <c r="AK195" s="1044">
        <f t="shared" si="176"/>
        <v>0</v>
      </c>
      <c r="AL195" s="1044">
        <f t="shared" si="177"/>
        <v>0</v>
      </c>
      <c r="AM195" s="1044">
        <f t="shared" si="178"/>
        <v>0</v>
      </c>
      <c r="AN195" s="1044" t="str">
        <f t="shared" si="179"/>
        <v/>
      </c>
      <c r="AO195" s="1044" t="str">
        <f t="shared" si="180"/>
        <v/>
      </c>
      <c r="AP195" s="1044">
        <f t="shared" si="181"/>
        <v>0</v>
      </c>
      <c r="AQ195" s="1044">
        <f t="shared" si="182"/>
        <v>0</v>
      </c>
      <c r="AR195" s="1044" t="str">
        <f t="shared" si="183"/>
        <v/>
      </c>
      <c r="AS195" s="1044">
        <f t="shared" si="184"/>
        <v>0</v>
      </c>
      <c r="AT195" s="1044" t="str">
        <f t="shared" si="185"/>
        <v/>
      </c>
      <c r="AU195" s="1044">
        <f t="shared" si="186"/>
        <v>0</v>
      </c>
      <c r="AV195" s="1044" t="str">
        <f t="shared" si="187"/>
        <v/>
      </c>
      <c r="AW195" s="1044">
        <f t="shared" si="188"/>
        <v>0</v>
      </c>
      <c r="AX195" s="1044" t="str">
        <f t="shared" si="189"/>
        <v/>
      </c>
      <c r="AY195" s="1044">
        <f t="shared" si="190"/>
        <v>0</v>
      </c>
      <c r="AZ195" s="1044" t="str">
        <f t="shared" si="191"/>
        <v/>
      </c>
      <c r="BA195" s="1044">
        <f t="shared" si="192"/>
        <v>0</v>
      </c>
      <c r="BB195" s="1044" t="str">
        <f t="shared" si="193"/>
        <v/>
      </c>
      <c r="BC195" s="1044">
        <f t="shared" si="194"/>
        <v>0</v>
      </c>
      <c r="BD195" s="1044">
        <f t="shared" si="195"/>
        <v>0</v>
      </c>
      <c r="BE195" s="1044" t="str">
        <f t="shared" si="196"/>
        <v/>
      </c>
      <c r="BF195" s="1044" t="str">
        <f t="shared" si="197"/>
        <v/>
      </c>
      <c r="BG195" s="1044" t="str">
        <f t="shared" si="198"/>
        <v/>
      </c>
      <c r="BH195" s="1044" t="str">
        <f t="shared" si="199"/>
        <v/>
      </c>
      <c r="BI195" s="1044" t="str">
        <f t="shared" si="200"/>
        <v/>
      </c>
      <c r="BJ195" s="1044" t="str">
        <f t="shared" si="201"/>
        <v/>
      </c>
      <c r="BK195" s="1044" t="str">
        <f t="shared" si="202"/>
        <v/>
      </c>
      <c r="BL195" s="1044" t="str">
        <f t="shared" si="203"/>
        <v/>
      </c>
      <c r="BM195" s="1044" t="str">
        <f t="shared" si="204"/>
        <v/>
      </c>
      <c r="BN195" s="1044" t="str">
        <f t="shared" si="205"/>
        <v/>
      </c>
      <c r="BO195" s="1044" t="str">
        <f t="shared" si="206"/>
        <v/>
      </c>
      <c r="BP195" s="1044" t="str">
        <f t="shared" si="207"/>
        <v/>
      </c>
      <c r="BQ195" s="1044" t="str">
        <f t="shared" si="208"/>
        <v/>
      </c>
      <c r="BR195" s="1044" t="str">
        <f t="shared" si="209"/>
        <v/>
      </c>
      <c r="BS195" s="1044" t="str">
        <f t="shared" si="210"/>
        <v/>
      </c>
      <c r="BT195" s="1044" t="str">
        <f t="shared" si="211"/>
        <v/>
      </c>
      <c r="BU195" s="1044" t="str">
        <f t="shared" si="212"/>
        <v/>
      </c>
    </row>
    <row r="196" spans="1:867" ht="30" customHeight="1">
      <c r="A196" s="1069" t="str">
        <f t="shared" si="142"/>
        <v/>
      </c>
      <c r="B196" s="1063"/>
      <c r="C196" s="1064" t="s">
        <v>254</v>
      </c>
      <c r="D196" s="1070" t="str">
        <f t="shared" si="143"/>
        <v/>
      </c>
      <c r="E196" s="1071" t="str">
        <f t="shared" si="144"/>
        <v/>
      </c>
      <c r="F196" s="1067" t="str">
        <f t="shared" si="145"/>
        <v/>
      </c>
      <c r="G196" s="1068" t="str">
        <f t="shared" si="146"/>
        <v/>
      </c>
      <c r="H196" s="1069" t="str">
        <f t="shared" si="147"/>
        <v/>
      </c>
      <c r="I196" s="1069" t="str">
        <f t="shared" si="148"/>
        <v/>
      </c>
      <c r="J196" s="1067" t="str">
        <f t="shared" si="149"/>
        <v/>
      </c>
      <c r="K196" s="1044" t="str">
        <f t="shared" si="150"/>
        <v/>
      </c>
      <c r="L196" s="1044" t="str">
        <f t="shared" si="151"/>
        <v/>
      </c>
      <c r="M196" s="1044" t="str">
        <f t="shared" si="152"/>
        <v/>
      </c>
      <c r="N196" s="1044" t="str">
        <f t="shared" si="153"/>
        <v/>
      </c>
      <c r="O196" s="1044" t="str">
        <f t="shared" si="154"/>
        <v/>
      </c>
      <c r="P196" s="1044" t="str">
        <f t="shared" si="155"/>
        <v/>
      </c>
      <c r="Q196" s="1044">
        <f t="shared" si="156"/>
        <v>0</v>
      </c>
      <c r="R196" s="1044">
        <f t="shared" si="157"/>
        <v>0</v>
      </c>
      <c r="S196" s="1044">
        <f t="shared" si="158"/>
        <v>0</v>
      </c>
      <c r="T196" s="1044">
        <f t="shared" si="159"/>
        <v>0</v>
      </c>
      <c r="U196" s="1044" t="str">
        <f t="shared" si="160"/>
        <v/>
      </c>
      <c r="V196" s="1044" t="str">
        <f t="shared" si="161"/>
        <v/>
      </c>
      <c r="W196" s="1044">
        <f t="shared" si="162"/>
        <v>0</v>
      </c>
      <c r="X196" s="1044" t="str">
        <f t="shared" si="163"/>
        <v/>
      </c>
      <c r="Y196" s="1044">
        <f t="shared" si="164"/>
        <v>0</v>
      </c>
      <c r="Z196" s="1044" t="str">
        <f t="shared" si="165"/>
        <v/>
      </c>
      <c r="AA196" s="1044">
        <f t="shared" si="166"/>
        <v>0</v>
      </c>
      <c r="AB196" s="1044">
        <f t="shared" si="167"/>
        <v>0</v>
      </c>
      <c r="AC196" s="1044">
        <f t="shared" si="168"/>
        <v>0</v>
      </c>
      <c r="AD196" s="1044" t="str">
        <f t="shared" si="169"/>
        <v/>
      </c>
      <c r="AE196" s="1044">
        <f t="shared" si="170"/>
        <v>0</v>
      </c>
      <c r="AF196" s="1044" t="str">
        <f t="shared" si="171"/>
        <v/>
      </c>
      <c r="AG196" s="1044">
        <f t="shared" si="172"/>
        <v>0</v>
      </c>
      <c r="AH196" s="1044">
        <f t="shared" si="173"/>
        <v>0</v>
      </c>
      <c r="AI196" s="1044" t="str">
        <f t="shared" si="174"/>
        <v/>
      </c>
      <c r="AJ196" s="1044">
        <f t="shared" si="175"/>
        <v>0</v>
      </c>
      <c r="AK196" s="1044">
        <f t="shared" si="176"/>
        <v>0</v>
      </c>
      <c r="AL196" s="1044">
        <f t="shared" si="177"/>
        <v>0</v>
      </c>
      <c r="AM196" s="1044">
        <f t="shared" si="178"/>
        <v>0</v>
      </c>
      <c r="AN196" s="1044" t="str">
        <f t="shared" si="179"/>
        <v/>
      </c>
      <c r="AO196" s="1044" t="str">
        <f t="shared" si="180"/>
        <v/>
      </c>
      <c r="AP196" s="1044">
        <f t="shared" si="181"/>
        <v>0</v>
      </c>
      <c r="AQ196" s="1044">
        <f t="shared" si="182"/>
        <v>0</v>
      </c>
      <c r="AR196" s="1044" t="str">
        <f t="shared" si="183"/>
        <v/>
      </c>
      <c r="AS196" s="1044">
        <f t="shared" si="184"/>
        <v>0</v>
      </c>
      <c r="AT196" s="1044" t="str">
        <f t="shared" si="185"/>
        <v/>
      </c>
      <c r="AU196" s="1044">
        <f t="shared" si="186"/>
        <v>0</v>
      </c>
      <c r="AV196" s="1044" t="str">
        <f t="shared" si="187"/>
        <v/>
      </c>
      <c r="AW196" s="1044">
        <f t="shared" si="188"/>
        <v>0</v>
      </c>
      <c r="AX196" s="1044" t="str">
        <f t="shared" si="189"/>
        <v/>
      </c>
      <c r="AY196" s="1044">
        <f t="shared" si="190"/>
        <v>0</v>
      </c>
      <c r="AZ196" s="1044" t="str">
        <f t="shared" si="191"/>
        <v/>
      </c>
      <c r="BA196" s="1044">
        <f t="shared" si="192"/>
        <v>0</v>
      </c>
      <c r="BB196" s="1044" t="str">
        <f t="shared" si="193"/>
        <v/>
      </c>
      <c r="BC196" s="1044">
        <f t="shared" si="194"/>
        <v>0</v>
      </c>
      <c r="BD196" s="1044">
        <f t="shared" si="195"/>
        <v>0</v>
      </c>
      <c r="BE196" s="1044" t="str">
        <f t="shared" si="196"/>
        <v/>
      </c>
      <c r="BF196" s="1044" t="str">
        <f t="shared" si="197"/>
        <v/>
      </c>
      <c r="BG196" s="1044" t="str">
        <f t="shared" si="198"/>
        <v/>
      </c>
      <c r="BH196" s="1044" t="str">
        <f t="shared" si="199"/>
        <v/>
      </c>
      <c r="BI196" s="1044" t="str">
        <f t="shared" si="200"/>
        <v/>
      </c>
      <c r="BJ196" s="1044" t="str">
        <f t="shared" si="201"/>
        <v/>
      </c>
      <c r="BK196" s="1044" t="str">
        <f t="shared" si="202"/>
        <v/>
      </c>
      <c r="BL196" s="1044" t="str">
        <f t="shared" si="203"/>
        <v/>
      </c>
      <c r="BM196" s="1044" t="str">
        <f t="shared" si="204"/>
        <v/>
      </c>
      <c r="BN196" s="1044" t="str">
        <f t="shared" si="205"/>
        <v/>
      </c>
      <c r="BO196" s="1044" t="str">
        <f t="shared" si="206"/>
        <v/>
      </c>
      <c r="BP196" s="1044" t="str">
        <f t="shared" si="207"/>
        <v/>
      </c>
      <c r="BQ196" s="1044" t="str">
        <f t="shared" si="208"/>
        <v/>
      </c>
      <c r="BR196" s="1044" t="str">
        <f t="shared" si="209"/>
        <v/>
      </c>
      <c r="BS196" s="1044" t="str">
        <f t="shared" si="210"/>
        <v/>
      </c>
      <c r="BT196" s="1044" t="str">
        <f t="shared" si="211"/>
        <v/>
      </c>
      <c r="BU196" s="1044" t="str">
        <f t="shared" si="212"/>
        <v/>
      </c>
    </row>
    <row r="197" spans="1:867" ht="30" customHeight="1">
      <c r="A197" s="1069" t="str">
        <f t="shared" si="142"/>
        <v/>
      </c>
      <c r="B197" s="1063"/>
      <c r="C197" s="1064" t="s">
        <v>254</v>
      </c>
      <c r="D197" s="1070" t="str">
        <f t="shared" si="143"/>
        <v/>
      </c>
      <c r="E197" s="1071" t="str">
        <f t="shared" si="144"/>
        <v/>
      </c>
      <c r="F197" s="1067" t="str">
        <f t="shared" si="145"/>
        <v/>
      </c>
      <c r="G197" s="1068" t="str">
        <f t="shared" si="146"/>
        <v/>
      </c>
      <c r="H197" s="1069" t="str">
        <f t="shared" si="147"/>
        <v/>
      </c>
      <c r="I197" s="1069" t="str">
        <f t="shared" si="148"/>
        <v/>
      </c>
      <c r="J197" s="1067" t="str">
        <f t="shared" si="149"/>
        <v/>
      </c>
      <c r="K197" s="1044" t="str">
        <f t="shared" si="150"/>
        <v/>
      </c>
      <c r="L197" s="1044" t="str">
        <f t="shared" si="151"/>
        <v/>
      </c>
      <c r="M197" s="1044" t="str">
        <f t="shared" si="152"/>
        <v/>
      </c>
      <c r="N197" s="1044" t="str">
        <f t="shared" si="153"/>
        <v/>
      </c>
      <c r="O197" s="1044" t="str">
        <f t="shared" si="154"/>
        <v/>
      </c>
      <c r="P197" s="1044" t="str">
        <f t="shared" si="155"/>
        <v/>
      </c>
      <c r="Q197" s="1044">
        <f t="shared" si="156"/>
        <v>0</v>
      </c>
      <c r="R197" s="1044">
        <f t="shared" si="157"/>
        <v>0</v>
      </c>
      <c r="S197" s="1044">
        <f t="shared" si="158"/>
        <v>0</v>
      </c>
      <c r="T197" s="1044">
        <f t="shared" si="159"/>
        <v>0</v>
      </c>
      <c r="U197" s="1044" t="str">
        <f t="shared" si="160"/>
        <v/>
      </c>
      <c r="V197" s="1044" t="str">
        <f t="shared" si="161"/>
        <v/>
      </c>
      <c r="W197" s="1044">
        <f t="shared" si="162"/>
        <v>0</v>
      </c>
      <c r="X197" s="1044" t="str">
        <f t="shared" si="163"/>
        <v/>
      </c>
      <c r="Y197" s="1044">
        <f t="shared" si="164"/>
        <v>0</v>
      </c>
      <c r="Z197" s="1044" t="str">
        <f t="shared" si="165"/>
        <v/>
      </c>
      <c r="AA197" s="1044">
        <f t="shared" si="166"/>
        <v>0</v>
      </c>
      <c r="AB197" s="1044">
        <f t="shared" si="167"/>
        <v>0</v>
      </c>
      <c r="AC197" s="1044">
        <f t="shared" si="168"/>
        <v>0</v>
      </c>
      <c r="AD197" s="1044" t="str">
        <f t="shared" si="169"/>
        <v/>
      </c>
      <c r="AE197" s="1044">
        <f t="shared" si="170"/>
        <v>0</v>
      </c>
      <c r="AF197" s="1044" t="str">
        <f t="shared" si="171"/>
        <v/>
      </c>
      <c r="AG197" s="1044">
        <f t="shared" si="172"/>
        <v>0</v>
      </c>
      <c r="AH197" s="1044">
        <f t="shared" si="173"/>
        <v>0</v>
      </c>
      <c r="AI197" s="1044" t="str">
        <f t="shared" si="174"/>
        <v/>
      </c>
      <c r="AJ197" s="1044">
        <f t="shared" si="175"/>
        <v>0</v>
      </c>
      <c r="AK197" s="1044">
        <f t="shared" si="176"/>
        <v>0</v>
      </c>
      <c r="AL197" s="1044">
        <f t="shared" si="177"/>
        <v>0</v>
      </c>
      <c r="AM197" s="1044">
        <f t="shared" si="178"/>
        <v>0</v>
      </c>
      <c r="AN197" s="1044" t="str">
        <f t="shared" si="179"/>
        <v/>
      </c>
      <c r="AO197" s="1044" t="str">
        <f t="shared" si="180"/>
        <v/>
      </c>
      <c r="AP197" s="1044">
        <f t="shared" si="181"/>
        <v>0</v>
      </c>
      <c r="AQ197" s="1044">
        <f t="shared" si="182"/>
        <v>0</v>
      </c>
      <c r="AR197" s="1044" t="str">
        <f t="shared" si="183"/>
        <v/>
      </c>
      <c r="AS197" s="1044">
        <f t="shared" si="184"/>
        <v>0</v>
      </c>
      <c r="AT197" s="1044" t="str">
        <f t="shared" si="185"/>
        <v/>
      </c>
      <c r="AU197" s="1044">
        <f t="shared" si="186"/>
        <v>0</v>
      </c>
      <c r="AV197" s="1044" t="str">
        <f t="shared" si="187"/>
        <v/>
      </c>
      <c r="AW197" s="1044">
        <f t="shared" si="188"/>
        <v>0</v>
      </c>
      <c r="AX197" s="1044" t="str">
        <f t="shared" si="189"/>
        <v/>
      </c>
      <c r="AY197" s="1044">
        <f t="shared" si="190"/>
        <v>0</v>
      </c>
      <c r="AZ197" s="1044" t="str">
        <f t="shared" si="191"/>
        <v/>
      </c>
      <c r="BA197" s="1044">
        <f t="shared" si="192"/>
        <v>0</v>
      </c>
      <c r="BB197" s="1044" t="str">
        <f t="shared" si="193"/>
        <v/>
      </c>
      <c r="BC197" s="1044">
        <f t="shared" si="194"/>
        <v>0</v>
      </c>
      <c r="BD197" s="1044">
        <f t="shared" si="195"/>
        <v>0</v>
      </c>
      <c r="BE197" s="1044" t="str">
        <f t="shared" si="196"/>
        <v/>
      </c>
      <c r="BF197" s="1044" t="str">
        <f t="shared" si="197"/>
        <v/>
      </c>
      <c r="BG197" s="1044" t="str">
        <f t="shared" si="198"/>
        <v/>
      </c>
      <c r="BH197" s="1044" t="str">
        <f t="shared" si="199"/>
        <v/>
      </c>
      <c r="BI197" s="1044" t="str">
        <f t="shared" si="200"/>
        <v/>
      </c>
      <c r="BJ197" s="1044" t="str">
        <f t="shared" si="201"/>
        <v/>
      </c>
      <c r="BK197" s="1044" t="str">
        <f t="shared" si="202"/>
        <v/>
      </c>
      <c r="BL197" s="1044" t="str">
        <f t="shared" si="203"/>
        <v/>
      </c>
      <c r="BM197" s="1044" t="str">
        <f t="shared" si="204"/>
        <v/>
      </c>
      <c r="BN197" s="1044" t="str">
        <f t="shared" si="205"/>
        <v/>
      </c>
      <c r="BO197" s="1044" t="str">
        <f t="shared" si="206"/>
        <v/>
      </c>
      <c r="BP197" s="1044" t="str">
        <f t="shared" si="207"/>
        <v/>
      </c>
      <c r="BQ197" s="1044" t="str">
        <f t="shared" si="208"/>
        <v/>
      </c>
      <c r="BR197" s="1044" t="str">
        <f t="shared" si="209"/>
        <v/>
      </c>
      <c r="BS197" s="1044" t="str">
        <f t="shared" si="210"/>
        <v/>
      </c>
      <c r="BT197" s="1044" t="str">
        <f t="shared" si="211"/>
        <v/>
      </c>
      <c r="BU197" s="1044" t="str">
        <f t="shared" si="212"/>
        <v/>
      </c>
    </row>
    <row r="198" spans="1:867" ht="30" customHeight="1">
      <c r="A198" s="1069" t="str">
        <f t="shared" si="142"/>
        <v/>
      </c>
      <c r="B198" s="1063"/>
      <c r="C198" s="1064" t="s">
        <v>254</v>
      </c>
      <c r="D198" s="1070" t="str">
        <f t="shared" si="143"/>
        <v/>
      </c>
      <c r="E198" s="1071" t="str">
        <f t="shared" si="144"/>
        <v/>
      </c>
      <c r="F198" s="1067" t="str">
        <f t="shared" si="145"/>
        <v/>
      </c>
      <c r="G198" s="1068" t="str">
        <f t="shared" si="146"/>
        <v/>
      </c>
      <c r="H198" s="1069" t="str">
        <f t="shared" si="147"/>
        <v/>
      </c>
      <c r="I198" s="1069" t="str">
        <f t="shared" si="148"/>
        <v/>
      </c>
      <c r="J198" s="1067" t="str">
        <f t="shared" si="149"/>
        <v/>
      </c>
      <c r="K198" s="1044" t="str">
        <f t="shared" si="150"/>
        <v/>
      </c>
      <c r="L198" s="1044" t="str">
        <f t="shared" si="151"/>
        <v/>
      </c>
      <c r="M198" s="1044" t="str">
        <f t="shared" si="152"/>
        <v/>
      </c>
      <c r="N198" s="1044" t="str">
        <f t="shared" si="153"/>
        <v/>
      </c>
      <c r="O198" s="1044" t="str">
        <f t="shared" si="154"/>
        <v/>
      </c>
      <c r="P198" s="1044" t="str">
        <f t="shared" si="155"/>
        <v/>
      </c>
      <c r="Q198" s="1044">
        <f t="shared" si="156"/>
        <v>0</v>
      </c>
      <c r="R198" s="1044">
        <f t="shared" si="157"/>
        <v>0</v>
      </c>
      <c r="S198" s="1044">
        <f t="shared" si="158"/>
        <v>0</v>
      </c>
      <c r="T198" s="1044">
        <f t="shared" si="159"/>
        <v>0</v>
      </c>
      <c r="U198" s="1044" t="str">
        <f t="shared" si="160"/>
        <v/>
      </c>
      <c r="V198" s="1044" t="str">
        <f t="shared" si="161"/>
        <v/>
      </c>
      <c r="W198" s="1044">
        <f t="shared" si="162"/>
        <v>0</v>
      </c>
      <c r="X198" s="1044" t="str">
        <f t="shared" si="163"/>
        <v/>
      </c>
      <c r="Y198" s="1044">
        <f t="shared" si="164"/>
        <v>0</v>
      </c>
      <c r="Z198" s="1044" t="str">
        <f t="shared" si="165"/>
        <v/>
      </c>
      <c r="AA198" s="1044">
        <f t="shared" si="166"/>
        <v>0</v>
      </c>
      <c r="AB198" s="1044">
        <f t="shared" si="167"/>
        <v>0</v>
      </c>
      <c r="AC198" s="1044">
        <f t="shared" si="168"/>
        <v>0</v>
      </c>
      <c r="AD198" s="1044" t="str">
        <f t="shared" si="169"/>
        <v/>
      </c>
      <c r="AE198" s="1044">
        <f t="shared" si="170"/>
        <v>0</v>
      </c>
      <c r="AF198" s="1044" t="str">
        <f t="shared" si="171"/>
        <v/>
      </c>
      <c r="AG198" s="1044">
        <f t="shared" si="172"/>
        <v>0</v>
      </c>
      <c r="AH198" s="1044">
        <f t="shared" si="173"/>
        <v>0</v>
      </c>
      <c r="AI198" s="1044" t="str">
        <f t="shared" si="174"/>
        <v/>
      </c>
      <c r="AJ198" s="1044">
        <f t="shared" si="175"/>
        <v>0</v>
      </c>
      <c r="AK198" s="1044">
        <f t="shared" si="176"/>
        <v>0</v>
      </c>
      <c r="AL198" s="1044">
        <f t="shared" si="177"/>
        <v>0</v>
      </c>
      <c r="AM198" s="1044">
        <f t="shared" si="178"/>
        <v>0</v>
      </c>
      <c r="AN198" s="1044" t="str">
        <f t="shared" si="179"/>
        <v/>
      </c>
      <c r="AO198" s="1044" t="str">
        <f t="shared" si="180"/>
        <v/>
      </c>
      <c r="AP198" s="1044">
        <f t="shared" si="181"/>
        <v>0</v>
      </c>
      <c r="AQ198" s="1044">
        <f t="shared" si="182"/>
        <v>0</v>
      </c>
      <c r="AR198" s="1044" t="str">
        <f t="shared" si="183"/>
        <v/>
      </c>
      <c r="AS198" s="1044">
        <f t="shared" si="184"/>
        <v>0</v>
      </c>
      <c r="AT198" s="1044" t="str">
        <f t="shared" si="185"/>
        <v/>
      </c>
      <c r="AU198" s="1044">
        <f t="shared" si="186"/>
        <v>0</v>
      </c>
      <c r="AV198" s="1044" t="str">
        <f t="shared" si="187"/>
        <v/>
      </c>
      <c r="AW198" s="1044">
        <f t="shared" si="188"/>
        <v>0</v>
      </c>
      <c r="AX198" s="1044" t="str">
        <f t="shared" si="189"/>
        <v/>
      </c>
      <c r="AY198" s="1044">
        <f t="shared" si="190"/>
        <v>0</v>
      </c>
      <c r="AZ198" s="1044" t="str">
        <f t="shared" si="191"/>
        <v/>
      </c>
      <c r="BA198" s="1044">
        <f t="shared" si="192"/>
        <v>0</v>
      </c>
      <c r="BB198" s="1044" t="str">
        <f t="shared" si="193"/>
        <v/>
      </c>
      <c r="BC198" s="1044">
        <f t="shared" si="194"/>
        <v>0</v>
      </c>
      <c r="BD198" s="1044">
        <f t="shared" si="195"/>
        <v>0</v>
      </c>
      <c r="BE198" s="1044" t="str">
        <f t="shared" si="196"/>
        <v/>
      </c>
      <c r="BF198" s="1044" t="str">
        <f t="shared" si="197"/>
        <v/>
      </c>
      <c r="BG198" s="1044" t="str">
        <f t="shared" si="198"/>
        <v/>
      </c>
      <c r="BH198" s="1044" t="str">
        <f t="shared" si="199"/>
        <v/>
      </c>
      <c r="BI198" s="1044" t="str">
        <f t="shared" si="200"/>
        <v/>
      </c>
      <c r="BJ198" s="1044" t="str">
        <f t="shared" si="201"/>
        <v/>
      </c>
      <c r="BK198" s="1044" t="str">
        <f t="shared" si="202"/>
        <v/>
      </c>
      <c r="BL198" s="1044" t="str">
        <f t="shared" si="203"/>
        <v/>
      </c>
      <c r="BM198" s="1044" t="str">
        <f t="shared" si="204"/>
        <v/>
      </c>
      <c r="BN198" s="1044" t="str">
        <f t="shared" si="205"/>
        <v/>
      </c>
      <c r="BO198" s="1044" t="str">
        <f t="shared" si="206"/>
        <v/>
      </c>
      <c r="BP198" s="1044" t="str">
        <f t="shared" si="207"/>
        <v/>
      </c>
      <c r="BQ198" s="1044" t="str">
        <f t="shared" si="208"/>
        <v/>
      </c>
      <c r="BR198" s="1044" t="str">
        <f t="shared" si="209"/>
        <v/>
      </c>
      <c r="BS198" s="1044" t="str">
        <f t="shared" si="210"/>
        <v/>
      </c>
      <c r="BT198" s="1044" t="str">
        <f t="shared" si="211"/>
        <v/>
      </c>
      <c r="BU198" s="1044" t="str">
        <f t="shared" si="212"/>
        <v/>
      </c>
    </row>
    <row r="199" spans="1:867" ht="30" customHeight="1">
      <c r="A199" s="1069" t="str">
        <f t="shared" si="142"/>
        <v/>
      </c>
      <c r="B199" s="1063"/>
      <c r="C199" s="1064" t="s">
        <v>254</v>
      </c>
      <c r="D199" s="1070" t="str">
        <f t="shared" si="143"/>
        <v/>
      </c>
      <c r="E199" s="1071" t="str">
        <f t="shared" si="144"/>
        <v/>
      </c>
      <c r="F199" s="1067" t="str">
        <f t="shared" si="145"/>
        <v/>
      </c>
      <c r="G199" s="1068" t="str">
        <f t="shared" si="146"/>
        <v/>
      </c>
      <c r="H199" s="1069" t="str">
        <f t="shared" si="147"/>
        <v/>
      </c>
      <c r="I199" s="1069" t="str">
        <f t="shared" si="148"/>
        <v/>
      </c>
      <c r="J199" s="1067" t="str">
        <f t="shared" si="149"/>
        <v/>
      </c>
      <c r="K199" s="1044" t="str">
        <f t="shared" si="150"/>
        <v/>
      </c>
      <c r="L199" s="1044" t="str">
        <f t="shared" si="151"/>
        <v/>
      </c>
      <c r="M199" s="1044" t="str">
        <f t="shared" si="152"/>
        <v/>
      </c>
      <c r="N199" s="1044" t="str">
        <f t="shared" si="153"/>
        <v/>
      </c>
      <c r="O199" s="1044" t="str">
        <f t="shared" si="154"/>
        <v/>
      </c>
      <c r="P199" s="1044" t="str">
        <f t="shared" si="155"/>
        <v/>
      </c>
      <c r="Q199" s="1044">
        <f t="shared" si="156"/>
        <v>0</v>
      </c>
      <c r="R199" s="1044">
        <f t="shared" si="157"/>
        <v>0</v>
      </c>
      <c r="S199" s="1044">
        <f t="shared" si="158"/>
        <v>0</v>
      </c>
      <c r="T199" s="1044">
        <f t="shared" si="159"/>
        <v>0</v>
      </c>
      <c r="U199" s="1044" t="str">
        <f t="shared" si="160"/>
        <v/>
      </c>
      <c r="V199" s="1044" t="str">
        <f t="shared" si="161"/>
        <v/>
      </c>
      <c r="W199" s="1044">
        <f t="shared" si="162"/>
        <v>0</v>
      </c>
      <c r="X199" s="1044" t="str">
        <f t="shared" si="163"/>
        <v/>
      </c>
      <c r="Y199" s="1044">
        <f t="shared" si="164"/>
        <v>0</v>
      </c>
      <c r="Z199" s="1044" t="str">
        <f t="shared" si="165"/>
        <v/>
      </c>
      <c r="AA199" s="1044">
        <f t="shared" si="166"/>
        <v>0</v>
      </c>
      <c r="AB199" s="1044">
        <f t="shared" si="167"/>
        <v>0</v>
      </c>
      <c r="AC199" s="1044">
        <f t="shared" si="168"/>
        <v>0</v>
      </c>
      <c r="AD199" s="1044" t="str">
        <f t="shared" si="169"/>
        <v/>
      </c>
      <c r="AE199" s="1044">
        <f t="shared" si="170"/>
        <v>0</v>
      </c>
      <c r="AF199" s="1044" t="str">
        <f t="shared" si="171"/>
        <v/>
      </c>
      <c r="AG199" s="1044">
        <f t="shared" si="172"/>
        <v>0</v>
      </c>
      <c r="AH199" s="1044">
        <f t="shared" si="173"/>
        <v>0</v>
      </c>
      <c r="AI199" s="1044" t="str">
        <f t="shared" si="174"/>
        <v/>
      </c>
      <c r="AJ199" s="1044">
        <f t="shared" si="175"/>
        <v>0</v>
      </c>
      <c r="AK199" s="1044">
        <f t="shared" si="176"/>
        <v>0</v>
      </c>
      <c r="AL199" s="1044">
        <f t="shared" si="177"/>
        <v>0</v>
      </c>
      <c r="AM199" s="1044">
        <f t="shared" si="178"/>
        <v>0</v>
      </c>
      <c r="AN199" s="1044" t="str">
        <f t="shared" si="179"/>
        <v/>
      </c>
      <c r="AO199" s="1044" t="str">
        <f t="shared" si="180"/>
        <v/>
      </c>
      <c r="AP199" s="1044">
        <f t="shared" si="181"/>
        <v>0</v>
      </c>
      <c r="AQ199" s="1044">
        <f t="shared" si="182"/>
        <v>0</v>
      </c>
      <c r="AR199" s="1044" t="str">
        <f t="shared" si="183"/>
        <v/>
      </c>
      <c r="AS199" s="1044">
        <f t="shared" si="184"/>
        <v>0</v>
      </c>
      <c r="AT199" s="1044" t="str">
        <f t="shared" si="185"/>
        <v/>
      </c>
      <c r="AU199" s="1044">
        <f t="shared" si="186"/>
        <v>0</v>
      </c>
      <c r="AV199" s="1044" t="str">
        <f t="shared" si="187"/>
        <v/>
      </c>
      <c r="AW199" s="1044">
        <f t="shared" si="188"/>
        <v>0</v>
      </c>
      <c r="AX199" s="1044" t="str">
        <f t="shared" si="189"/>
        <v/>
      </c>
      <c r="AY199" s="1044">
        <f t="shared" si="190"/>
        <v>0</v>
      </c>
      <c r="AZ199" s="1044" t="str">
        <f t="shared" si="191"/>
        <v/>
      </c>
      <c r="BA199" s="1044">
        <f t="shared" si="192"/>
        <v>0</v>
      </c>
      <c r="BB199" s="1044" t="str">
        <f t="shared" si="193"/>
        <v/>
      </c>
      <c r="BC199" s="1044">
        <f t="shared" si="194"/>
        <v>0</v>
      </c>
      <c r="BD199" s="1044">
        <f t="shared" si="195"/>
        <v>0</v>
      </c>
      <c r="BE199" s="1044" t="str">
        <f t="shared" si="196"/>
        <v/>
      </c>
      <c r="BF199" s="1044" t="str">
        <f t="shared" si="197"/>
        <v/>
      </c>
      <c r="BG199" s="1044" t="str">
        <f t="shared" si="198"/>
        <v/>
      </c>
      <c r="BH199" s="1044" t="str">
        <f t="shared" si="199"/>
        <v/>
      </c>
      <c r="BI199" s="1044" t="str">
        <f t="shared" si="200"/>
        <v/>
      </c>
      <c r="BJ199" s="1044" t="str">
        <f t="shared" si="201"/>
        <v/>
      </c>
      <c r="BK199" s="1044" t="str">
        <f t="shared" si="202"/>
        <v/>
      </c>
      <c r="BL199" s="1044" t="str">
        <f t="shared" si="203"/>
        <v/>
      </c>
      <c r="BM199" s="1044" t="str">
        <f t="shared" si="204"/>
        <v/>
      </c>
      <c r="BN199" s="1044" t="str">
        <f t="shared" si="205"/>
        <v/>
      </c>
      <c r="BO199" s="1044" t="str">
        <f t="shared" si="206"/>
        <v/>
      </c>
      <c r="BP199" s="1044" t="str">
        <f t="shared" si="207"/>
        <v/>
      </c>
      <c r="BQ199" s="1044" t="str">
        <f t="shared" si="208"/>
        <v/>
      </c>
      <c r="BR199" s="1044" t="str">
        <f t="shared" si="209"/>
        <v/>
      </c>
      <c r="BS199" s="1044" t="str">
        <f t="shared" si="210"/>
        <v/>
      </c>
      <c r="BT199" s="1044" t="str">
        <f t="shared" si="211"/>
        <v/>
      </c>
      <c r="BU199" s="1044" t="str">
        <f t="shared" si="212"/>
        <v/>
      </c>
    </row>
    <row r="200" spans="1:867" ht="30" customHeight="1">
      <c r="A200" s="1069" t="str">
        <f t="shared" si="142"/>
        <v/>
      </c>
      <c r="B200" s="1063"/>
      <c r="C200" s="1064" t="s">
        <v>254</v>
      </c>
      <c r="D200" s="1070" t="str">
        <f t="shared" si="143"/>
        <v/>
      </c>
      <c r="E200" s="1071" t="str">
        <f t="shared" si="144"/>
        <v/>
      </c>
      <c r="F200" s="1067" t="str">
        <f t="shared" si="145"/>
        <v/>
      </c>
      <c r="G200" s="1068" t="str">
        <f t="shared" si="146"/>
        <v/>
      </c>
      <c r="H200" s="1069" t="str">
        <f t="shared" si="147"/>
        <v/>
      </c>
      <c r="I200" s="1069" t="str">
        <f t="shared" si="148"/>
        <v/>
      </c>
      <c r="J200" s="1067" t="str">
        <f t="shared" si="149"/>
        <v/>
      </c>
      <c r="K200" s="1044" t="str">
        <f t="shared" si="150"/>
        <v/>
      </c>
      <c r="L200" s="1044" t="str">
        <f t="shared" si="151"/>
        <v/>
      </c>
      <c r="M200" s="1044" t="str">
        <f t="shared" si="152"/>
        <v/>
      </c>
      <c r="N200" s="1044" t="str">
        <f t="shared" si="153"/>
        <v/>
      </c>
      <c r="O200" s="1044" t="str">
        <f t="shared" si="154"/>
        <v/>
      </c>
      <c r="P200" s="1044" t="str">
        <f t="shared" si="155"/>
        <v/>
      </c>
      <c r="Q200" s="1044">
        <f t="shared" si="156"/>
        <v>0</v>
      </c>
      <c r="R200" s="1044">
        <f t="shared" si="157"/>
        <v>0</v>
      </c>
      <c r="S200" s="1044">
        <f t="shared" si="158"/>
        <v>0</v>
      </c>
      <c r="T200" s="1044">
        <f t="shared" si="159"/>
        <v>0</v>
      </c>
      <c r="U200" s="1044" t="str">
        <f t="shared" si="160"/>
        <v/>
      </c>
      <c r="V200" s="1044" t="str">
        <f t="shared" si="161"/>
        <v/>
      </c>
      <c r="W200" s="1044">
        <f t="shared" si="162"/>
        <v>0</v>
      </c>
      <c r="X200" s="1044" t="str">
        <f t="shared" si="163"/>
        <v/>
      </c>
      <c r="Y200" s="1044">
        <f t="shared" si="164"/>
        <v>0</v>
      </c>
      <c r="Z200" s="1044" t="str">
        <f t="shared" si="165"/>
        <v/>
      </c>
      <c r="AA200" s="1044">
        <f t="shared" si="166"/>
        <v>0</v>
      </c>
      <c r="AB200" s="1044">
        <f t="shared" si="167"/>
        <v>0</v>
      </c>
      <c r="AC200" s="1044">
        <f t="shared" si="168"/>
        <v>0</v>
      </c>
      <c r="AD200" s="1044" t="str">
        <f t="shared" si="169"/>
        <v/>
      </c>
      <c r="AE200" s="1044">
        <f t="shared" si="170"/>
        <v>0</v>
      </c>
      <c r="AF200" s="1044" t="str">
        <f t="shared" si="171"/>
        <v/>
      </c>
      <c r="AG200" s="1044">
        <f t="shared" si="172"/>
        <v>0</v>
      </c>
      <c r="AH200" s="1044">
        <f t="shared" si="173"/>
        <v>0</v>
      </c>
      <c r="AI200" s="1044" t="str">
        <f t="shared" si="174"/>
        <v/>
      </c>
      <c r="AJ200" s="1044">
        <f t="shared" si="175"/>
        <v>0</v>
      </c>
      <c r="AK200" s="1044">
        <f t="shared" si="176"/>
        <v>0</v>
      </c>
      <c r="AL200" s="1044">
        <f t="shared" si="177"/>
        <v>0</v>
      </c>
      <c r="AM200" s="1044">
        <f t="shared" si="178"/>
        <v>0</v>
      </c>
      <c r="AN200" s="1044" t="str">
        <f t="shared" si="179"/>
        <v/>
      </c>
      <c r="AO200" s="1044" t="str">
        <f t="shared" si="180"/>
        <v/>
      </c>
      <c r="AP200" s="1044">
        <f t="shared" si="181"/>
        <v>0</v>
      </c>
      <c r="AQ200" s="1044">
        <f t="shared" si="182"/>
        <v>0</v>
      </c>
      <c r="AR200" s="1044" t="str">
        <f t="shared" si="183"/>
        <v/>
      </c>
      <c r="AS200" s="1044">
        <f t="shared" si="184"/>
        <v>0</v>
      </c>
      <c r="AT200" s="1044" t="str">
        <f t="shared" si="185"/>
        <v/>
      </c>
      <c r="AU200" s="1044">
        <f t="shared" si="186"/>
        <v>0</v>
      </c>
      <c r="AV200" s="1044" t="str">
        <f t="shared" si="187"/>
        <v/>
      </c>
      <c r="AW200" s="1044">
        <f t="shared" si="188"/>
        <v>0</v>
      </c>
      <c r="AX200" s="1044" t="str">
        <f t="shared" si="189"/>
        <v/>
      </c>
      <c r="AY200" s="1044">
        <f t="shared" si="190"/>
        <v>0</v>
      </c>
      <c r="AZ200" s="1044" t="str">
        <f t="shared" si="191"/>
        <v/>
      </c>
      <c r="BA200" s="1044">
        <f t="shared" si="192"/>
        <v>0</v>
      </c>
      <c r="BB200" s="1044" t="str">
        <f t="shared" si="193"/>
        <v/>
      </c>
      <c r="BC200" s="1044">
        <f t="shared" si="194"/>
        <v>0</v>
      </c>
      <c r="BD200" s="1044">
        <f t="shared" si="195"/>
        <v>0</v>
      </c>
      <c r="BE200" s="1044" t="str">
        <f t="shared" si="196"/>
        <v/>
      </c>
      <c r="BF200" s="1044" t="str">
        <f t="shared" si="197"/>
        <v/>
      </c>
      <c r="BG200" s="1044" t="str">
        <f t="shared" si="198"/>
        <v/>
      </c>
      <c r="BH200" s="1044" t="str">
        <f t="shared" si="199"/>
        <v/>
      </c>
      <c r="BI200" s="1044" t="str">
        <f t="shared" si="200"/>
        <v/>
      </c>
      <c r="BJ200" s="1044" t="str">
        <f t="shared" si="201"/>
        <v/>
      </c>
      <c r="BK200" s="1044" t="str">
        <f t="shared" si="202"/>
        <v/>
      </c>
      <c r="BL200" s="1044" t="str">
        <f t="shared" si="203"/>
        <v/>
      </c>
      <c r="BM200" s="1044" t="str">
        <f t="shared" si="204"/>
        <v/>
      </c>
      <c r="BN200" s="1044" t="str">
        <f t="shared" si="205"/>
        <v/>
      </c>
      <c r="BO200" s="1044" t="str">
        <f t="shared" si="206"/>
        <v/>
      </c>
      <c r="BP200" s="1044" t="str">
        <f t="shared" si="207"/>
        <v/>
      </c>
      <c r="BQ200" s="1044" t="str">
        <f t="shared" si="208"/>
        <v/>
      </c>
      <c r="BR200" s="1044" t="str">
        <f t="shared" si="209"/>
        <v/>
      </c>
      <c r="BS200" s="1044" t="str">
        <f t="shared" si="210"/>
        <v/>
      </c>
      <c r="BT200" s="1044" t="str">
        <f t="shared" si="211"/>
        <v/>
      </c>
      <c r="BU200" s="1044" t="str">
        <f t="shared" si="212"/>
        <v/>
      </c>
    </row>
    <row r="201" spans="1:867">
      <c r="A201" s="1048"/>
      <c r="B201" s="1048"/>
      <c r="C201" s="1048"/>
      <c r="D201" s="1048"/>
      <c r="E201" s="1048"/>
      <c r="F201" s="1048"/>
      <c r="G201" s="1048"/>
      <c r="H201" s="1048"/>
      <c r="I201" s="1048"/>
      <c r="J201" s="1048"/>
      <c r="K201" s="1048"/>
      <c r="L201" s="1048"/>
      <c r="M201" s="1048"/>
      <c r="N201" s="1048"/>
      <c r="O201" s="1048"/>
      <c r="P201" s="1048"/>
      <c r="Q201" s="1048"/>
      <c r="R201" s="1048"/>
      <c r="S201" s="1048"/>
      <c r="T201" s="1048"/>
      <c r="U201" s="1048"/>
      <c r="V201" s="1048"/>
      <c r="W201" s="1048"/>
      <c r="X201" s="1048"/>
      <c r="Y201" s="1048"/>
      <c r="Z201" s="1048"/>
      <c r="AA201" s="1048"/>
      <c r="AB201" s="1048"/>
      <c r="AC201" s="1048"/>
      <c r="AD201" s="1048"/>
      <c r="AE201" s="1048"/>
      <c r="AF201" s="1048"/>
      <c r="AG201" s="1048"/>
      <c r="AH201" s="1048"/>
      <c r="AI201" s="1048"/>
      <c r="AJ201" s="1048"/>
      <c r="AK201" s="1048"/>
      <c r="AL201" s="1048"/>
      <c r="AM201" s="1048"/>
      <c r="AN201" s="1048"/>
      <c r="AO201" s="1048"/>
      <c r="AP201" s="1048"/>
      <c r="AQ201" s="1048"/>
      <c r="AR201" s="1048"/>
      <c r="AS201" s="1048"/>
      <c r="AT201" s="1048"/>
      <c r="AU201" s="1048"/>
      <c r="AV201" s="1048"/>
      <c r="AW201" s="1048"/>
      <c r="AX201" s="1048"/>
      <c r="AY201" s="1048"/>
      <c r="AZ201" s="1048"/>
      <c r="BA201" s="1048"/>
      <c r="BB201" s="1048"/>
      <c r="BC201" s="1048"/>
      <c r="BD201" s="1048"/>
      <c r="BE201" s="1048"/>
      <c r="BF201" s="1048"/>
      <c r="BG201" s="1048"/>
      <c r="BH201" s="1048"/>
      <c r="BI201" s="1048"/>
      <c r="BJ201" s="1048"/>
      <c r="BK201" s="1048"/>
      <c r="BL201" s="1048"/>
      <c r="BM201" s="1048"/>
      <c r="BN201" s="1048"/>
      <c r="BO201" s="1048"/>
      <c r="BP201" s="1048"/>
      <c r="BQ201" s="1048"/>
      <c r="BR201" s="1048"/>
      <c r="BS201" s="1048"/>
      <c r="BT201" s="1048"/>
      <c r="BU201" s="1048"/>
      <c r="BV201" s="1048"/>
      <c r="BW201" s="1048"/>
      <c r="BX201" s="1048"/>
      <c r="BY201" s="1048"/>
      <c r="BZ201" s="1048"/>
      <c r="CA201" s="1048"/>
      <c r="CB201" s="1048"/>
      <c r="CC201" s="1048"/>
      <c r="CD201" s="1048"/>
      <c r="CE201" s="1048"/>
      <c r="CF201" s="1048"/>
      <c r="CG201" s="1048"/>
      <c r="CH201" s="1048"/>
      <c r="CI201" s="1048"/>
      <c r="CJ201" s="1048"/>
      <c r="CK201" s="1048"/>
      <c r="CL201" s="1048"/>
      <c r="CM201" s="1048"/>
      <c r="CN201" s="1048"/>
      <c r="CO201" s="1048"/>
      <c r="CP201" s="1048"/>
      <c r="CQ201" s="1048"/>
      <c r="CR201" s="1048"/>
      <c r="CS201" s="1048"/>
      <c r="CT201" s="1048"/>
      <c r="CU201" s="1048"/>
      <c r="CV201" s="1048"/>
      <c r="CW201" s="1048"/>
      <c r="CX201" s="1048"/>
      <c r="CY201" s="1048"/>
      <c r="CZ201" s="1048"/>
      <c r="DA201" s="1048"/>
      <c r="DB201" s="1048"/>
      <c r="DC201" s="1048"/>
      <c r="DD201" s="1048"/>
      <c r="DE201" s="1048"/>
      <c r="DF201" s="1048"/>
      <c r="DG201" s="1048"/>
      <c r="DH201" s="1048"/>
      <c r="DI201" s="1048"/>
      <c r="DJ201" s="1048"/>
      <c r="DK201" s="1048"/>
      <c r="DL201" s="1048"/>
      <c r="DM201" s="1048"/>
      <c r="DN201" s="1048"/>
      <c r="DO201" s="1048"/>
      <c r="DP201" s="1048"/>
      <c r="DQ201" s="1048"/>
      <c r="DR201" s="1048"/>
      <c r="DS201" s="1048"/>
      <c r="DT201" s="1048"/>
      <c r="DU201" s="1048"/>
      <c r="DV201" s="1048"/>
      <c r="DW201" s="1048"/>
      <c r="DX201" s="1048"/>
      <c r="DY201" s="1048"/>
      <c r="DZ201" s="1048"/>
      <c r="EA201" s="1048"/>
      <c r="EB201" s="1048"/>
      <c r="EC201" s="1048"/>
      <c r="ED201" s="1048"/>
      <c r="EE201" s="1048"/>
      <c r="EF201" s="1048"/>
      <c r="EG201" s="1048"/>
      <c r="EH201" s="1048"/>
      <c r="EI201" s="1048"/>
      <c r="EJ201" s="1048"/>
      <c r="EK201" s="1048"/>
      <c r="EL201" s="1048"/>
      <c r="EM201" s="1048"/>
      <c r="EN201" s="1048"/>
      <c r="EO201" s="1048"/>
      <c r="EP201" s="1048"/>
      <c r="EQ201" s="1048"/>
      <c r="ER201" s="1048"/>
      <c r="ES201" s="1048"/>
      <c r="ET201" s="1048"/>
      <c r="EU201" s="1048"/>
      <c r="EV201" s="1048"/>
      <c r="EW201" s="1048"/>
      <c r="EX201" s="1048"/>
      <c r="EY201" s="1048"/>
      <c r="EZ201" s="1048"/>
      <c r="FA201" s="1048"/>
      <c r="FB201" s="1048"/>
      <c r="FC201" s="1048"/>
      <c r="FD201" s="1048"/>
      <c r="FE201" s="1048"/>
      <c r="FF201" s="1048"/>
      <c r="FG201" s="1048"/>
      <c r="FH201" s="1048"/>
      <c r="FI201" s="1048"/>
      <c r="FJ201" s="1048"/>
      <c r="FK201" s="1048"/>
      <c r="FL201" s="1048"/>
      <c r="FM201" s="1048"/>
      <c r="FN201" s="1048"/>
      <c r="FO201" s="1048"/>
      <c r="FP201" s="1048"/>
      <c r="FQ201" s="1048"/>
      <c r="FR201" s="1048"/>
      <c r="FS201" s="1048"/>
      <c r="FT201" s="1048"/>
      <c r="FU201" s="1048"/>
      <c r="FV201" s="1048"/>
      <c r="FW201" s="1048"/>
      <c r="FX201" s="1048"/>
      <c r="FY201" s="1048"/>
      <c r="FZ201" s="1048"/>
      <c r="GA201" s="1048"/>
      <c r="GB201" s="1048"/>
      <c r="GC201" s="1048"/>
      <c r="GD201" s="1048"/>
      <c r="GE201" s="1048"/>
      <c r="GF201" s="1048"/>
      <c r="GG201" s="1048"/>
      <c r="GH201" s="1048"/>
      <c r="GI201" s="1048"/>
      <c r="GJ201" s="1048"/>
      <c r="GK201" s="1048"/>
      <c r="GL201" s="1048"/>
      <c r="GM201" s="1048"/>
      <c r="GN201" s="1048"/>
      <c r="GO201" s="1048"/>
      <c r="GP201" s="1048"/>
      <c r="GQ201" s="1048"/>
      <c r="GR201" s="1048"/>
      <c r="GS201" s="1048"/>
      <c r="GT201" s="1048"/>
      <c r="GU201" s="1048"/>
      <c r="GV201" s="1048"/>
      <c r="GW201" s="1048"/>
      <c r="GX201" s="1048"/>
      <c r="GY201" s="1048"/>
      <c r="GZ201" s="1048"/>
      <c r="HA201" s="1048"/>
      <c r="HB201" s="1048"/>
      <c r="HC201" s="1048"/>
      <c r="HD201" s="1048"/>
      <c r="HE201" s="1048"/>
      <c r="HF201" s="1048"/>
      <c r="HG201" s="1048"/>
      <c r="HH201" s="1048"/>
      <c r="HI201" s="1048"/>
      <c r="HJ201" s="1048"/>
      <c r="HK201" s="1048"/>
      <c r="HL201" s="1048"/>
      <c r="HM201" s="1048"/>
      <c r="HN201" s="1048"/>
      <c r="HO201" s="1048"/>
      <c r="HP201" s="1048"/>
      <c r="HQ201" s="1048"/>
      <c r="HR201" s="1048"/>
      <c r="HS201" s="1048"/>
      <c r="HT201" s="1048"/>
      <c r="HU201" s="1048"/>
      <c r="HV201" s="1048"/>
      <c r="HW201" s="1048"/>
      <c r="HX201" s="1048"/>
      <c r="HY201" s="1048"/>
      <c r="HZ201" s="1048"/>
      <c r="IA201" s="1048"/>
      <c r="IB201" s="1048"/>
      <c r="IC201" s="1048"/>
      <c r="ID201" s="1048"/>
      <c r="IE201" s="1048"/>
      <c r="IF201" s="1048"/>
      <c r="IG201" s="1048"/>
      <c r="IH201" s="1048"/>
      <c r="II201" s="1048"/>
      <c r="IJ201" s="1048"/>
      <c r="IK201" s="1048"/>
      <c r="IL201" s="1048"/>
      <c r="IM201" s="1048"/>
      <c r="IN201" s="1048"/>
      <c r="IO201" s="1048"/>
      <c r="IP201" s="1048"/>
      <c r="IQ201" s="1048"/>
      <c r="IR201" s="1048"/>
      <c r="IS201" s="1048"/>
      <c r="IT201" s="1048"/>
      <c r="IU201" s="1048"/>
      <c r="IV201" s="1048"/>
      <c r="IW201" s="1048"/>
      <c r="IX201" s="1048"/>
      <c r="IY201" s="1048"/>
      <c r="IZ201" s="1048"/>
      <c r="JA201" s="1048"/>
      <c r="JB201" s="1048"/>
      <c r="JC201" s="1048"/>
      <c r="JD201" s="1048"/>
      <c r="JE201" s="1048"/>
      <c r="JF201" s="1048"/>
      <c r="JG201" s="1048"/>
      <c r="JH201" s="1048"/>
      <c r="JI201" s="1048"/>
      <c r="JJ201" s="1048"/>
      <c r="JK201" s="1048"/>
      <c r="JL201" s="1048"/>
      <c r="JM201" s="1048"/>
      <c r="JN201" s="1048"/>
      <c r="JO201" s="1048"/>
      <c r="JP201" s="1048"/>
      <c r="JQ201" s="1048"/>
      <c r="JR201" s="1048"/>
      <c r="JS201" s="1048"/>
      <c r="JT201" s="1048"/>
      <c r="JU201" s="1048"/>
      <c r="JV201" s="1048"/>
      <c r="JW201" s="1048"/>
      <c r="JX201" s="1048"/>
      <c r="JY201" s="1048"/>
      <c r="JZ201" s="1048"/>
      <c r="KA201" s="1048"/>
      <c r="KB201" s="1048"/>
      <c r="KC201" s="1048"/>
      <c r="KD201" s="1048"/>
      <c r="KE201" s="1048"/>
      <c r="KF201" s="1048"/>
      <c r="KG201" s="1048"/>
      <c r="KH201" s="1048"/>
      <c r="KI201" s="1048"/>
      <c r="KJ201" s="1048"/>
      <c r="KK201" s="1048"/>
      <c r="KL201" s="1048"/>
      <c r="KM201" s="1048"/>
      <c r="KN201" s="1048"/>
      <c r="KO201" s="1048"/>
      <c r="KP201" s="1048"/>
      <c r="KQ201" s="1048"/>
      <c r="KR201" s="1048"/>
      <c r="KS201" s="1048"/>
      <c r="KT201" s="1048"/>
      <c r="KU201" s="1048"/>
      <c r="KV201" s="1048"/>
      <c r="KW201" s="1048"/>
      <c r="KX201" s="1048"/>
      <c r="KY201" s="1048"/>
      <c r="KZ201" s="1048"/>
      <c r="LA201" s="1048"/>
      <c r="LB201" s="1048"/>
      <c r="LC201" s="1048"/>
      <c r="LD201" s="1048"/>
      <c r="LE201" s="1048"/>
      <c r="LF201" s="1048"/>
      <c r="LG201" s="1048"/>
      <c r="LH201" s="1048"/>
      <c r="LI201" s="1048"/>
      <c r="LJ201" s="1048"/>
      <c r="LK201" s="1048"/>
      <c r="LL201" s="1048"/>
      <c r="LM201" s="1048"/>
      <c r="LN201" s="1048"/>
      <c r="LO201" s="1048"/>
      <c r="LP201" s="1048"/>
      <c r="LQ201" s="1048"/>
      <c r="LR201" s="1048"/>
      <c r="LS201" s="1048"/>
      <c r="LT201" s="1048"/>
      <c r="LU201" s="1048"/>
      <c r="LV201" s="1048"/>
      <c r="LW201" s="1048"/>
      <c r="LX201" s="1048"/>
      <c r="LY201" s="1048"/>
      <c r="LZ201" s="1048"/>
      <c r="MA201" s="1048"/>
      <c r="MB201" s="1048"/>
      <c r="UU201" s="1048"/>
      <c r="UV201" s="1048"/>
      <c r="UW201" s="1048"/>
      <c r="UX201" s="1048"/>
      <c r="UY201" s="1048"/>
      <c r="UZ201" s="1048"/>
      <c r="VA201" s="1048"/>
      <c r="VB201" s="1048"/>
      <c r="VC201" s="1048"/>
      <c r="VD201" s="1048"/>
      <c r="VE201" s="1048"/>
      <c r="VF201" s="1048"/>
      <c r="VG201" s="1048"/>
      <c r="VH201" s="1048"/>
      <c r="VI201" s="1048"/>
      <c r="VJ201" s="1048"/>
      <c r="VK201" s="1048"/>
      <c r="VL201" s="1048"/>
      <c r="VM201" s="1048"/>
      <c r="VN201" s="1048"/>
      <c r="VO201" s="1048"/>
      <c r="VP201" s="1048"/>
      <c r="VQ201" s="1048"/>
      <c r="VR201" s="1048"/>
      <c r="VS201" s="1048"/>
      <c r="VT201" s="1048"/>
      <c r="VU201" s="1048"/>
      <c r="VV201" s="1048"/>
      <c r="VW201" s="1048"/>
      <c r="VX201" s="1048"/>
      <c r="VY201" s="1048"/>
      <c r="VZ201" s="1048"/>
      <c r="WA201" s="1048"/>
      <c r="WB201" s="1048"/>
      <c r="WC201" s="1048"/>
      <c r="WD201" s="1048"/>
      <c r="WE201" s="1048"/>
      <c r="WF201" s="1048"/>
      <c r="WG201" s="1048"/>
      <c r="WH201" s="1048"/>
      <c r="WI201" s="1048"/>
      <c r="WJ201" s="1048"/>
      <c r="WK201" s="1048"/>
      <c r="WL201" s="1048"/>
      <c r="WM201" s="1048"/>
      <c r="WN201" s="1048"/>
      <c r="WO201" s="1048"/>
      <c r="WP201" s="1048"/>
      <c r="WQ201" s="1048"/>
      <c r="WR201" s="1048"/>
      <c r="WS201" s="1048"/>
      <c r="WT201" s="1048"/>
      <c r="WU201" s="1048"/>
      <c r="WV201" s="1048"/>
      <c r="WW201" s="1048"/>
      <c r="WX201" s="1048"/>
      <c r="WY201" s="1048"/>
      <c r="WZ201" s="1048"/>
      <c r="XA201" s="1048"/>
      <c r="XB201" s="1048"/>
      <c r="XC201" s="1048"/>
      <c r="XD201" s="1048"/>
      <c r="XE201" s="1048"/>
      <c r="XF201" s="1048"/>
      <c r="XG201" s="1048"/>
      <c r="XH201" s="1048"/>
      <c r="XI201" s="1048"/>
      <c r="XJ201" s="1048"/>
      <c r="XK201" s="1048"/>
      <c r="XL201" s="1048"/>
      <c r="XM201" s="1048"/>
      <c r="XN201" s="1048"/>
      <c r="XO201" s="1048"/>
      <c r="XP201" s="1048"/>
      <c r="XQ201" s="1048"/>
      <c r="XR201" s="1048"/>
      <c r="XS201" s="1048"/>
      <c r="XT201" s="1048"/>
      <c r="XU201" s="1048"/>
      <c r="XV201" s="1048"/>
      <c r="XW201" s="1048"/>
      <c r="XX201" s="1048"/>
      <c r="XY201" s="1048"/>
      <c r="XZ201" s="1048"/>
      <c r="YA201" s="1048"/>
      <c r="YB201" s="1048"/>
      <c r="YC201" s="1048"/>
      <c r="YD201" s="1048"/>
      <c r="YE201" s="1048"/>
      <c r="YF201" s="1048"/>
      <c r="YG201" s="1048"/>
      <c r="YH201" s="1048"/>
      <c r="YI201" s="1048"/>
      <c r="YJ201" s="1048"/>
      <c r="YK201" s="1048"/>
      <c r="YL201" s="1048"/>
      <c r="YM201" s="1048"/>
      <c r="YN201" s="1048"/>
      <c r="YO201" s="1048"/>
      <c r="YP201" s="1048"/>
      <c r="YQ201" s="1048"/>
      <c r="YR201" s="1048"/>
      <c r="YS201" s="1048"/>
      <c r="YT201" s="1048"/>
      <c r="YU201" s="1048"/>
      <c r="YV201" s="1048"/>
      <c r="YW201" s="1048"/>
      <c r="YX201" s="1048"/>
      <c r="YY201" s="1048"/>
      <c r="YZ201" s="1048"/>
      <c r="ZA201" s="1048"/>
      <c r="ZB201" s="1048"/>
      <c r="ZC201" s="1048"/>
      <c r="ZD201" s="1048"/>
      <c r="ZE201" s="1048"/>
      <c r="ZF201" s="1048"/>
      <c r="ZG201" s="1048"/>
      <c r="ZH201" s="1048"/>
      <c r="ZI201" s="1048"/>
      <c r="ZJ201" s="1048"/>
      <c r="ZK201" s="1048"/>
      <c r="ZL201" s="1048"/>
      <c r="ZM201" s="1048"/>
      <c r="ZN201" s="1048"/>
      <c r="ZO201" s="1048"/>
      <c r="ZP201" s="1048"/>
      <c r="ZQ201" s="1048"/>
      <c r="ZR201" s="1048"/>
      <c r="ZS201" s="1048"/>
      <c r="ZT201" s="1048"/>
      <c r="ZU201" s="1048"/>
      <c r="ZV201" s="1048"/>
      <c r="ZW201" s="1048"/>
      <c r="ZX201" s="1048"/>
      <c r="ZY201" s="1048"/>
      <c r="ZZ201" s="1048"/>
      <c r="AAA201" s="1048"/>
      <c r="AAB201" s="1048"/>
      <c r="AAC201" s="1048"/>
      <c r="AAD201" s="1048"/>
      <c r="AAE201" s="1048"/>
      <c r="AAF201" s="1048"/>
      <c r="AAG201" s="1048"/>
      <c r="AAH201" s="1048"/>
      <c r="AAI201" s="1048"/>
      <c r="AAJ201" s="1048"/>
      <c r="AAK201" s="1048"/>
      <c r="AAL201" s="1048"/>
      <c r="AAM201" s="1048"/>
      <c r="AAN201" s="1048"/>
      <c r="AAO201" s="1048"/>
      <c r="AAP201" s="1048"/>
      <c r="AAQ201" s="1048"/>
      <c r="AAR201" s="1048"/>
      <c r="AAS201" s="1048"/>
      <c r="AAT201" s="1048"/>
      <c r="AAU201" s="1048"/>
      <c r="AAV201" s="1048"/>
      <c r="AAW201" s="1048"/>
      <c r="AAX201" s="1048"/>
      <c r="AAY201" s="1048"/>
      <c r="AAZ201" s="1048"/>
      <c r="ABA201" s="1048"/>
      <c r="ABB201" s="1048"/>
      <c r="ABC201" s="1048"/>
      <c r="ABD201" s="1048"/>
      <c r="ABE201" s="1048"/>
      <c r="ABF201" s="1048"/>
      <c r="ABG201" s="1048"/>
      <c r="ABH201" s="1048"/>
      <c r="ABI201" s="1048"/>
      <c r="ABJ201" s="1048"/>
      <c r="ABK201" s="1048"/>
      <c r="ABL201" s="1048"/>
      <c r="ABM201" s="1048"/>
      <c r="ABN201" s="1048"/>
      <c r="ABO201" s="1048"/>
      <c r="ABP201" s="1048"/>
      <c r="ABQ201" s="1048"/>
      <c r="ABR201" s="1048"/>
      <c r="ABS201" s="1048"/>
      <c r="ABT201" s="1048"/>
      <c r="ABU201" s="1048"/>
      <c r="ABV201" s="1048"/>
      <c r="ABW201" s="1048"/>
      <c r="ABX201" s="1048"/>
      <c r="ABY201" s="1048"/>
      <c r="ABZ201" s="1048"/>
      <c r="ACA201" s="1048"/>
      <c r="ACB201" s="1048"/>
      <c r="ACC201" s="1048"/>
      <c r="ACD201" s="1048"/>
      <c r="ACE201" s="1048"/>
      <c r="ACF201" s="1048"/>
      <c r="ACG201" s="1048"/>
      <c r="ACH201" s="1048"/>
      <c r="ACI201" s="1048"/>
      <c r="ACJ201" s="1048"/>
      <c r="ACK201" s="1048"/>
      <c r="ACL201" s="1048"/>
      <c r="ACM201" s="1048"/>
      <c r="ACN201" s="1048"/>
      <c r="ACO201" s="1048"/>
      <c r="ACP201" s="1048"/>
      <c r="ACQ201" s="1048"/>
      <c r="ACR201" s="1048"/>
      <c r="ACS201" s="1048"/>
      <c r="ACT201" s="1048"/>
      <c r="ACU201" s="1048"/>
      <c r="ACV201" s="1048"/>
      <c r="ACW201" s="1048"/>
      <c r="ACX201" s="1048"/>
      <c r="ACY201" s="1048"/>
      <c r="ACZ201" s="1048"/>
      <c r="ADA201" s="1048"/>
      <c r="ADB201" s="1048"/>
      <c r="ADC201" s="1048"/>
      <c r="ADD201" s="1048"/>
      <c r="ADE201" s="1048"/>
      <c r="ADF201" s="1048"/>
      <c r="ADG201" s="1048"/>
      <c r="ADH201" s="1048"/>
      <c r="ADI201" s="1048"/>
      <c r="ADJ201" s="1048"/>
      <c r="ADK201" s="1048"/>
      <c r="ADL201" s="1048"/>
      <c r="ADM201" s="1048"/>
      <c r="ADN201" s="1048"/>
      <c r="ADO201" s="1048"/>
      <c r="ADP201" s="1048"/>
      <c r="ADQ201" s="1048"/>
      <c r="ADR201" s="1048"/>
      <c r="ADS201" s="1048"/>
      <c r="ADT201" s="1048"/>
      <c r="ADU201" s="1048"/>
      <c r="ADV201" s="1048"/>
      <c r="ADW201" s="1048"/>
      <c r="ADX201" s="1048"/>
      <c r="ADY201" s="1048"/>
      <c r="ADZ201" s="1048"/>
      <c r="AEA201" s="1048"/>
      <c r="AEB201" s="1048"/>
      <c r="AEC201" s="1048"/>
      <c r="AED201" s="1048"/>
      <c r="AEE201" s="1048"/>
      <c r="AEF201" s="1048"/>
      <c r="AEG201" s="1048"/>
      <c r="AEH201" s="1048"/>
      <c r="AEI201" s="1048"/>
      <c r="AEJ201" s="1048"/>
      <c r="AEK201" s="1048"/>
      <c r="AEL201" s="1048"/>
      <c r="AEM201" s="1048"/>
      <c r="AEN201" s="1048"/>
      <c r="AEO201" s="1048"/>
      <c r="AEP201" s="1048"/>
      <c r="AEQ201" s="1048"/>
      <c r="AER201" s="1048"/>
      <c r="AES201" s="1048"/>
      <c r="AET201" s="1048"/>
      <c r="AEU201" s="1048"/>
      <c r="AEV201" s="1048"/>
      <c r="AEW201" s="1048"/>
      <c r="AEX201" s="1048"/>
      <c r="AEY201" s="1048"/>
      <c r="AEZ201" s="1048"/>
      <c r="AFA201" s="1048"/>
      <c r="AFB201" s="1048"/>
      <c r="AFC201" s="1048"/>
      <c r="AFD201" s="1048"/>
      <c r="AFE201" s="1048"/>
      <c r="AFF201" s="1048"/>
      <c r="AFG201" s="1048"/>
      <c r="AFH201" s="1048"/>
      <c r="AFI201" s="1048"/>
      <c r="AFJ201" s="1048"/>
      <c r="AFK201" s="1048"/>
      <c r="AFL201" s="1048"/>
      <c r="AFM201" s="1048"/>
      <c r="AFN201" s="1048"/>
      <c r="AFO201" s="1048"/>
      <c r="AFP201" s="1048"/>
      <c r="AFQ201" s="1048"/>
      <c r="AFR201" s="1048"/>
      <c r="AFS201" s="1048"/>
      <c r="AFT201" s="1048"/>
      <c r="AFU201" s="1048"/>
      <c r="AFV201" s="1048"/>
      <c r="AFW201" s="1048"/>
      <c r="AFX201" s="1048"/>
      <c r="AFY201" s="1048"/>
      <c r="AFZ201" s="1048"/>
      <c r="AGA201" s="1048"/>
      <c r="AGB201" s="1048"/>
      <c r="AGC201" s="1048"/>
      <c r="AGD201" s="1048"/>
      <c r="AGE201" s="1048"/>
      <c r="AGF201" s="1048"/>
      <c r="AGG201" s="1048"/>
      <c r="AGH201" s="1048"/>
      <c r="AGI201" s="1048"/>
    </row>
  </sheetData>
  <mergeCells count="2">
    <mergeCell ref="A1:J1"/>
    <mergeCell ref="A9:J9"/>
  </mergeCells>
  <conditionalFormatting sqref="E16:E200">
    <cfRule type="expression" dxfId="25" priority="1">
      <formula>ISNUMBER(SEARCH("⚠",E16))</formula>
    </cfRule>
  </conditionalFormatting>
  <conditionalFormatting sqref="G16:G200">
    <cfRule type="expression" dxfId="24" priority="2">
      <formula>ISNUMBER(SEARCH("suspicion",G16))</formula>
    </cfRule>
    <cfRule type="expression" dxfId="23" priority="3">
      <formula>ISNUMBER(SEARCH("info",G16))</formula>
    </cfRule>
  </conditionalFormatting>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20</vt:i4>
      </vt:variant>
    </vt:vector>
  </HeadingPairs>
  <TitlesOfParts>
    <vt:vector size="20" baseType="lpstr">
      <vt:lpstr>ALLERGENES.9.Aout.2026</vt:lpstr>
      <vt:lpstr>CONTROLE_ALLERGENES</vt:lpstr>
      <vt:lpstr>CONTROLE_QUOTIDIEN</vt:lpstr>
      <vt:lpstr>FICHE_CAT_PAI</vt:lpstr>
      <vt:lpstr>Magique.et.Allergènes</vt:lpstr>
      <vt:lpstr>Saisissez vos recettes</vt:lpstr>
      <vt:lpstr>PROMPTS_CFA</vt:lpstr>
      <vt:lpstr>Dictionnaire</vt:lpstr>
      <vt:lpstr>Moteur.1.Pédagogiques</vt:lpstr>
      <vt:lpstr>Moteur.vertical</vt:lpstr>
      <vt:lpstr>Choix</vt:lpstr>
      <vt:lpstr>Mode.emploi.A</vt:lpstr>
      <vt:lpstr>Mode d'emploi.B</vt:lpstr>
      <vt:lpstr>Vocabulaire_explications</vt:lpstr>
      <vt:lpstr>Allergènes.et.Farine</vt:lpstr>
      <vt:lpstr>Fonctionnement.explications</vt:lpstr>
      <vt:lpstr>Etiquetage</vt:lpstr>
      <vt:lpstr>Classement Fiches Recettes</vt:lpstr>
      <vt:lpstr>Transmission des savoirs.2025</vt:lpstr>
      <vt:lpstr>Joël.Leboucher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Joël Leboucher</cp:lastModifiedBy>
  <dcterms:created xsi:type="dcterms:W3CDTF">2026-04-04T08:43:58Z</dcterms:created>
  <dcterms:modified xsi:type="dcterms:W3CDTF">2026-08-23T17:41:03Z</dcterms:modified>
</cp:coreProperties>
</file>